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DB5D945B-5F6F-4009-9B78-BAB521C77CF1}" xr6:coauthVersionLast="47" xr6:coauthVersionMax="47" xr10:uidLastSave="{00000000-0000-0000-0000-000000000000}"/>
  <bookViews>
    <workbookView xWindow="1560" yWindow="1455" windowWidth="1921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_t2g_link_hdr_001" localSheetId="0">'Main Page'!$A$1908</definedName>
    <definedName name="_t2g_link_hdr_002" localSheetId="0">'Main Page'!$A$1960</definedName>
    <definedName name="_t2g_link_hdr_003" localSheetId="0">'Main Page'!$A$2127</definedName>
    <definedName name="_t2g_link_hdr_004" localSheetId="0">'Main Page'!$A$2348</definedName>
    <definedName name="_t2g_link_hdr_005" localSheetId="0">'Main Page'!$A$2543</definedName>
    <definedName name="_t2g_link_hdr_006" localSheetId="0">'Main Page'!$A$2651</definedName>
    <definedName name="_t2g_link_hdr_007" localSheetId="0">'Main Page'!$A$2726</definedName>
    <definedName name="_t2g_link_hdr_008" localSheetId="0">'Main Page'!$A$3030</definedName>
    <definedName name="_t2g_link_hdr_009" localSheetId="0">'Main Page'!$A$3040</definedName>
    <definedName name="_t2g_link_hdr_010" localSheetId="0">'Main Page'!$A$3200</definedName>
    <definedName name="_t2g_link_hdr_011" localSheetId="0">'Main Page'!$A$3689</definedName>
    <definedName name="_t2g_link_hdr_012" localSheetId="0">'Main Page'!$A$3851</definedName>
    <definedName name="_t2g_link_hdr_013" localSheetId="0">'Main Page'!$A$3872</definedName>
    <definedName name="_t2g_link_hdr_014" localSheetId="0">'Main Page'!$A$3967</definedName>
    <definedName name="_t2g_link_hdr_015" localSheetId="0">'Main Page'!$A$4158</definedName>
    <definedName name="_t2g_link_hdr_016" localSheetId="0">'Main Page'!$A$2043</definedName>
    <definedName name="_t2g_link_hdr_017" localSheetId="0">'Main Page'!$A$11</definedName>
    <definedName name="_t2g_link_hdr_018" localSheetId="0">'Main Page'!$A$269</definedName>
    <definedName name="_t2g_link_hdr_019" localSheetId="0">'Main Page'!$A$593</definedName>
    <definedName name="_t2g_link_hdr_020" localSheetId="0">'Main Page'!$A$958</definedName>
    <definedName name="_t2g_link_hdr_021" localSheetId="0">'Main Page'!$A$1147</definedName>
    <definedName name="_t2g_link_hdr_022" localSheetId="0">'Main Page'!$A$1297</definedName>
    <definedName name="_t2g_link_hdr_023" localSheetId="0">'Main Page'!$A$1473</definedName>
    <definedName name="_t2g_link_hdr_024" localSheetId="0">'Main Page'!$A$1768</definedName>
    <definedName name="_t2g_link_hdr_025" localSheetId="0">'Main Page'!$A$4203</definedName>
    <definedName name="AccruedDiscount">'Main Page'!$K$4243</definedName>
    <definedName name="AfterDiscountBeforeTax">'Main Page'!$I$4221</definedName>
    <definedName name="AfterDiscountTax">'Main Page'!$J$4221</definedName>
    <definedName name="AfterDiscountTaxCCV">'Main Page'!$J$4222</definedName>
    <definedName name="AfterDiscountWithTax">'Main Page'!$K$4221</definedName>
    <definedName name="AzaleaTopLeft">'Main Page'!$A$7</definedName>
    <definedName name="BeforeDiscountBeforeTax">'Main Page'!$I$4219</definedName>
    <definedName name="BeforeDiscountTax">'Main Page'!$J$4219</definedName>
    <definedName name="BeforeDiscountWithTax">'Main Page'!$K$4219</definedName>
    <definedName name="BonusDiscount">'Main Page'!$H$4218</definedName>
    <definedName name="BonusDiscountMsg">'Main Page'!$G$4218</definedName>
    <definedName name="ConsultFeeCredit">'Main Page'!$K$4225</definedName>
    <definedName name="ConsultFeeInsert">'Main Page'!$F$4225</definedName>
    <definedName name="Deciduous">'Main Page'!$AQ$6</definedName>
    <definedName name="Deciduous__foliage_drops_off_every_fall">'Main Page'!$AQ$6</definedName>
    <definedName name="DeciduousDescription">'Main Page'!$F$8</definedName>
    <definedName name="DeciduousDescriptionNotes">'Main Page'!$AQ$6</definedName>
    <definedName name="DepositCredit">'Main Page'!$K$4226</definedName>
    <definedName name="DepositInsert">'Main Page'!$F$4226</definedName>
    <definedName name="DifficultyFeeNoConcatenate">'Main Page'!$AG$4224</definedName>
    <definedName name="Eastern_Triangle_Area">'Main Page'!$B$4255</definedName>
    <definedName name="Eastern_Triangle_Area_of_North_Carolina">'Main Page'!$B$4255</definedName>
    <definedName name="EasternTriangleAreaNC">'Main Page'!$B$4255</definedName>
    <definedName name="Edison_General_Notes">'Main Page'!$Z$4245</definedName>
    <definedName name="Edison_Landscaping_Price_Details">'Main Page'!$Z$4218</definedName>
    <definedName name="Edison_Landscaping_Price_Summary">'Main Page'!$Z$4218</definedName>
    <definedName name="EdisonTop">'Main Page'!$Z$7</definedName>
    <definedName name="EnterMiles">'Main Page'!$D$4223</definedName>
    <definedName name="Evergreen">'Main Page'!$AL$6</definedName>
    <definedName name="Evergreen__keeps_foliage_year_round">'Main Page'!$AL$6</definedName>
    <definedName name="EvergreenDescription">'Main Page'!$C$8</definedName>
    <definedName name="EvergreenDescriptionNotes">'Main Page'!$AL$6</definedName>
    <definedName name="GUARANTEE">'Main Page'!$AD$2</definedName>
    <definedName name="Guaranteed">'Main Page'!$AU$2</definedName>
    <definedName name="includes_Free_Local_Delivery">'Main Page'!$I$4217</definedName>
    <definedName name="MileageFee">'Main Page'!$K$4223</definedName>
    <definedName name="MileageFeeMessage">'Main Page'!$AC$4217</definedName>
    <definedName name="MileageFeeNoConcatenate">'Main Page'!$M$4223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Page'!$H$4217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Page'!$AF$4230</definedName>
    <definedName name="PlanterBalanceCredit">'Main Page'!$AF$4229</definedName>
    <definedName name="PlanterBeforeDiscount">'Main Page'!$AF$4221</definedName>
    <definedName name="PlanterDepositAmount">'Main Page'!$AF$4227</definedName>
    <definedName name="PlanterDepositPercentage">'Main Page'!$AE$4227</definedName>
    <definedName name="PlanterDifficultyAmount">'Main Page'!$AF$4224</definedName>
    <definedName name="PlanterDifficultyPercentage">'Main Page'!$AE$4224</definedName>
    <definedName name="PlanterDiscount">'Main Page'!$AE$4222</definedName>
    <definedName name="PlanterDiscountAmount">'Main Page'!$AF$4222</definedName>
    <definedName name="PlanterDiscountHeader">'Main Page'!$AB$3</definedName>
    <definedName name="PlanterMileageNoConcatenate">'Main Page'!$AG$4225</definedName>
    <definedName name="PlanterPreviousAmountsPaid">'Main Page'!$AF$4235</definedName>
    <definedName name="PlanterTotalAfterDiscount">'Main Page'!$AF$4223</definedName>
    <definedName name="PlanterYesMe">'Main Page'!$AE$9</definedName>
    <definedName name="PlantingIndicatorMsg">'Main Page'!$AB$4217</definedName>
    <definedName name="PlantingTotal">'Main Page'!$AF$4226</definedName>
    <definedName name="PlantingTotalHeader">'Main Page'!$AB$4</definedName>
    <definedName name="PlantNotes">'Main Page'!$AL$2</definedName>
    <definedName name="PlantsPricedHere">'Main Page'!$A$4219</definedName>
    <definedName name="Pot">'Main Page'!$AH$4218</definedName>
    <definedName name="PriceitQODC">'Main Page'!$D$2</definedName>
    <definedName name="_xlnm.Print_Area" localSheetId="4">'Discount Lookup'!$I$2:$N$55</definedName>
    <definedName name="_xlnm.Print_Area" localSheetId="0">'Main Page'!$A$2:$AI$4291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Page'!$B$4274</definedName>
    <definedName name="RoundCCV">'Main Page'!$E$4225</definedName>
    <definedName name="SalesTaxPercentage">'Main Page'!$J$4218</definedName>
    <definedName name="ShowSelections">'Main Page'!$A$9</definedName>
    <definedName name="SumMulch">'Main Page'!$V$4234</definedName>
    <definedName name="SumPlantingFees">'Main Page'!$AK$4216</definedName>
    <definedName name="SumPlantingFeesPlusDiscounts">'Main Page'!$AJ$4216</definedName>
    <definedName name="SumPlants">'Main Page'!$W$4234</definedName>
    <definedName name="SumPlantsYPlanting">'Main Page'!$Y$4234</definedName>
    <definedName name="SumSoil">'Main Page'!$U$4234</definedName>
    <definedName name="T2G_Delivery_Total">'Main Page'!$K$4224</definedName>
    <definedName name="T2GAccruedDiscount">'Main Page'!$K$4243</definedName>
    <definedName name="T2GAccruedDollars">'Main Page'!$I$4243</definedName>
    <definedName name="T2GBalanceCCV">'Main Page'!$K$4228</definedName>
    <definedName name="T2GBalanceCredit">'Main Page'!$K$4227</definedName>
    <definedName name="T2GDeliveryTotal">'Main Page'!$K$4224</definedName>
    <definedName name="T2GDiscount">'Main Page'!$H$4220</definedName>
    <definedName name="T2GDiscountBeforeTax">'Main Page'!$I$4220</definedName>
    <definedName name="T2GDiscountTax">'Main Page'!$J$4220</definedName>
    <definedName name="T2GDiscountWithTax">'Main Page'!$K$4220</definedName>
    <definedName name="T2GPreviousAmountsPaid">'Main Page'!$D$4227</definedName>
    <definedName name="T2GRetailSumNoTax">'Main Page'!$X$4234</definedName>
    <definedName name="T2GTaxSum">'Main Page'!$J$4234</definedName>
    <definedName name="TOP">'Main Page'!$N$7</definedName>
    <definedName name="TotalPlantsG">'Main Page'!$G$4217</definedName>
    <definedName name="Trees2Go_Delivery_Total">'Main Page'!$K$4224</definedName>
    <definedName name="Trees2Go_Discount_Table">'Main Page'!$B$4240</definedName>
    <definedName name="Trees2Go_Price_Details">'Main Page'!$A$4217</definedName>
    <definedName name="Trees2Go_Price_Summary">'Main Page'!$A$4217</definedName>
    <definedName name="Trees2Go_Total">'Main Page'!$K$4224</definedName>
    <definedName name="Utilities">'Main Page'!$L$9</definedName>
    <definedName name="Warranty">'Main Page'!$B$4280</definedName>
  </definedNam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" l="1"/>
  <c r="G10" i="1"/>
  <c r="Z11" i="1"/>
  <c r="Z12" i="1"/>
  <c r="Z13" i="1"/>
  <c r="Z14" i="1"/>
  <c r="H15" i="1"/>
  <c r="Z15" i="1"/>
  <c r="Z16" i="1"/>
  <c r="Z17" i="1"/>
  <c r="H18" i="1"/>
  <c r="Z18" i="1"/>
  <c r="H19" i="1"/>
  <c r="Z19" i="1"/>
  <c r="H20" i="1"/>
  <c r="Z20" i="1"/>
  <c r="Z21" i="1"/>
  <c r="Z22" i="1"/>
  <c r="H23" i="1"/>
  <c r="Z23" i="1"/>
  <c r="Z24" i="1"/>
  <c r="Z25" i="1"/>
  <c r="H26" i="1"/>
  <c r="Z26" i="1"/>
  <c r="Z27" i="1"/>
  <c r="Z28" i="1"/>
  <c r="H29" i="1"/>
  <c r="Z29" i="1"/>
  <c r="Z30" i="1"/>
  <c r="Z31" i="1"/>
  <c r="H32" i="1"/>
  <c r="Z32" i="1"/>
  <c r="H33" i="1"/>
  <c r="Z33" i="1"/>
  <c r="Z34" i="1"/>
  <c r="Z35" i="1"/>
  <c r="H36" i="1"/>
  <c r="Z36" i="1"/>
  <c r="H37" i="1"/>
  <c r="Z37" i="1"/>
  <c r="Z38" i="1"/>
  <c r="Z39" i="1"/>
  <c r="H40" i="1"/>
  <c r="Z40" i="1"/>
  <c r="Z41" i="1"/>
  <c r="Z42" i="1"/>
  <c r="H43" i="1"/>
  <c r="Z43" i="1"/>
  <c r="H44" i="1"/>
  <c r="Z44" i="1"/>
  <c r="H45" i="1"/>
  <c r="Z45" i="1"/>
  <c r="H46" i="1"/>
  <c r="Z46" i="1"/>
  <c r="H47" i="1"/>
  <c r="Z47" i="1"/>
  <c r="Z48" i="1"/>
  <c r="Z49" i="1"/>
  <c r="H50" i="1"/>
  <c r="Z50" i="1"/>
  <c r="H51" i="1"/>
  <c r="Z51" i="1"/>
  <c r="H52" i="1"/>
  <c r="Z52" i="1"/>
  <c r="H53" i="1"/>
  <c r="Z53" i="1"/>
  <c r="Z54" i="1"/>
  <c r="Z55" i="1"/>
  <c r="H56" i="1"/>
  <c r="Z56" i="1"/>
  <c r="H57" i="1"/>
  <c r="Z57" i="1"/>
  <c r="H58" i="1"/>
  <c r="Z58" i="1"/>
  <c r="H59" i="1"/>
  <c r="Z59" i="1"/>
  <c r="Z60" i="1"/>
  <c r="Z61" i="1"/>
  <c r="H62" i="1"/>
  <c r="Z62" i="1"/>
  <c r="Z63" i="1"/>
  <c r="Z64" i="1"/>
  <c r="H65" i="1"/>
  <c r="Z65" i="1"/>
  <c r="Z66" i="1"/>
  <c r="Z67" i="1"/>
  <c r="H68" i="1"/>
  <c r="Z68" i="1"/>
  <c r="H69" i="1"/>
  <c r="Z69" i="1"/>
  <c r="H70" i="1"/>
  <c r="Z70" i="1"/>
  <c r="H71" i="1"/>
  <c r="Z71" i="1"/>
  <c r="H72" i="1"/>
  <c r="Z72" i="1"/>
  <c r="Z73" i="1"/>
  <c r="Z74" i="1"/>
  <c r="H75" i="1"/>
  <c r="Z75" i="1"/>
  <c r="H76" i="1"/>
  <c r="Z76" i="1"/>
  <c r="H77" i="1"/>
  <c r="Z77" i="1"/>
  <c r="H78" i="1"/>
  <c r="Z78" i="1"/>
  <c r="Z79" i="1"/>
  <c r="Z80" i="1"/>
  <c r="H81" i="1"/>
  <c r="Z81" i="1"/>
  <c r="Z82" i="1"/>
  <c r="Z83" i="1"/>
  <c r="H84" i="1"/>
  <c r="Z84" i="1"/>
  <c r="H85" i="1"/>
  <c r="Z85" i="1"/>
  <c r="H86" i="1"/>
  <c r="Z86" i="1"/>
  <c r="Z87" i="1"/>
  <c r="Z88" i="1"/>
  <c r="H89" i="1"/>
  <c r="Z89" i="1"/>
  <c r="Z90" i="1"/>
  <c r="Z91" i="1"/>
  <c r="H92" i="1"/>
  <c r="Z92" i="1"/>
  <c r="Z93" i="1"/>
  <c r="Z94" i="1"/>
  <c r="H95" i="1"/>
  <c r="Z95" i="1"/>
  <c r="Z96" i="1"/>
  <c r="Z97" i="1"/>
  <c r="H98" i="1"/>
  <c r="Z98" i="1"/>
  <c r="Z99" i="1"/>
  <c r="Z100" i="1"/>
  <c r="H101" i="1"/>
  <c r="Z101" i="1"/>
  <c r="H102" i="1"/>
  <c r="Z102" i="1"/>
  <c r="H103" i="1"/>
  <c r="Z103" i="1"/>
  <c r="H104" i="1"/>
  <c r="Z104" i="1"/>
  <c r="H105" i="1"/>
  <c r="Z105" i="1"/>
  <c r="H106" i="1"/>
  <c r="Z106" i="1"/>
  <c r="H107" i="1"/>
  <c r="Z107" i="1"/>
  <c r="H108" i="1"/>
  <c r="Z108" i="1"/>
  <c r="Z109" i="1"/>
  <c r="Z110" i="1"/>
  <c r="H111" i="1"/>
  <c r="Z111" i="1"/>
  <c r="Z112" i="1"/>
  <c r="Z113" i="1"/>
  <c r="H114" i="1"/>
  <c r="Z114" i="1"/>
  <c r="H115" i="1"/>
  <c r="Z115" i="1"/>
  <c r="H116" i="1"/>
  <c r="Z116" i="1"/>
  <c r="H117" i="1"/>
  <c r="Z117" i="1"/>
  <c r="Z118" i="1"/>
  <c r="Z119" i="1"/>
  <c r="H120" i="1"/>
  <c r="Z120" i="1"/>
  <c r="Z121" i="1"/>
  <c r="Z122" i="1"/>
  <c r="H123" i="1"/>
  <c r="Z123" i="1"/>
  <c r="Z124" i="1"/>
  <c r="Z125" i="1"/>
  <c r="H126" i="1"/>
  <c r="Z126" i="1"/>
  <c r="Z127" i="1"/>
  <c r="Z128" i="1"/>
  <c r="H129" i="1"/>
  <c r="Z129" i="1"/>
  <c r="H130" i="1"/>
  <c r="Z130" i="1"/>
  <c r="H131" i="1"/>
  <c r="Z131" i="1"/>
  <c r="H132" i="1"/>
  <c r="Z132" i="1"/>
  <c r="Z133" i="1"/>
  <c r="Z134" i="1"/>
  <c r="H135" i="1"/>
  <c r="Z135" i="1"/>
  <c r="H136" i="1"/>
  <c r="Z136" i="1"/>
  <c r="Z137" i="1"/>
  <c r="Z138" i="1"/>
  <c r="H139" i="1"/>
  <c r="Z139" i="1"/>
  <c r="H140" i="1"/>
  <c r="Z140" i="1"/>
  <c r="Z141" i="1"/>
  <c r="Z142" i="1"/>
  <c r="H143" i="1"/>
  <c r="Z143" i="1"/>
  <c r="H144" i="1"/>
  <c r="Z144" i="1"/>
  <c r="H145" i="1"/>
  <c r="Z145" i="1"/>
  <c r="H146" i="1"/>
  <c r="Z146" i="1"/>
  <c r="Z147" i="1"/>
  <c r="Z148" i="1"/>
  <c r="H149" i="1"/>
  <c r="Z149" i="1"/>
  <c r="Z150" i="1"/>
  <c r="Z151" i="1"/>
  <c r="H152" i="1"/>
  <c r="Z152" i="1"/>
  <c r="Z153" i="1"/>
  <c r="Z154" i="1"/>
  <c r="H155" i="1"/>
  <c r="Z155" i="1"/>
  <c r="H156" i="1"/>
  <c r="Z156" i="1"/>
  <c r="H157" i="1"/>
  <c r="Z157" i="1"/>
  <c r="Z158" i="1"/>
  <c r="Z159" i="1"/>
  <c r="H160" i="1"/>
  <c r="Z160" i="1"/>
  <c r="Z161" i="1"/>
  <c r="Z162" i="1"/>
  <c r="H163" i="1"/>
  <c r="Z163" i="1"/>
  <c r="Z164" i="1"/>
  <c r="Z165" i="1"/>
  <c r="H166" i="1"/>
  <c r="Z166" i="1"/>
  <c r="Z167" i="1"/>
  <c r="Z168" i="1"/>
  <c r="H169" i="1"/>
  <c r="Z169" i="1"/>
  <c r="H170" i="1"/>
  <c r="Z170" i="1"/>
  <c r="H171" i="1"/>
  <c r="Z171" i="1"/>
  <c r="H172" i="1"/>
  <c r="Z172" i="1"/>
  <c r="H173" i="1"/>
  <c r="Z173" i="1"/>
  <c r="H174" i="1"/>
  <c r="Z174" i="1"/>
  <c r="H175" i="1"/>
  <c r="Z175" i="1"/>
  <c r="Z176" i="1"/>
  <c r="Z177" i="1"/>
  <c r="H178" i="1"/>
  <c r="Z178" i="1"/>
  <c r="Z179" i="1"/>
  <c r="Z180" i="1"/>
  <c r="H181" i="1"/>
  <c r="Z181" i="1"/>
  <c r="Z182" i="1"/>
  <c r="Z183" i="1"/>
  <c r="H184" i="1"/>
  <c r="Z184" i="1"/>
  <c r="Z185" i="1"/>
  <c r="Z186" i="1"/>
  <c r="H187" i="1"/>
  <c r="Z187" i="1"/>
  <c r="Z188" i="1"/>
  <c r="Z189" i="1"/>
  <c r="H190" i="1"/>
  <c r="Z190" i="1"/>
  <c r="Z191" i="1"/>
  <c r="Z192" i="1"/>
  <c r="H193" i="1"/>
  <c r="Z193" i="1"/>
  <c r="Z194" i="1"/>
  <c r="Z195" i="1"/>
  <c r="H196" i="1"/>
  <c r="Z196" i="1"/>
  <c r="Z197" i="1"/>
  <c r="Z198" i="1"/>
  <c r="H199" i="1"/>
  <c r="Z199" i="1"/>
  <c r="Z200" i="1"/>
  <c r="Z201" i="1"/>
  <c r="H202" i="1"/>
  <c r="Z202" i="1"/>
  <c r="H203" i="1"/>
  <c r="Z203" i="1"/>
  <c r="Z204" i="1"/>
  <c r="Z205" i="1"/>
  <c r="H206" i="1"/>
  <c r="Z206" i="1"/>
  <c r="Z207" i="1"/>
  <c r="Z208" i="1"/>
  <c r="H209" i="1"/>
  <c r="Z209" i="1"/>
  <c r="H210" i="1"/>
  <c r="Z210" i="1"/>
  <c r="H211" i="1"/>
  <c r="Z211" i="1"/>
  <c r="H212" i="1"/>
  <c r="Z212" i="1"/>
  <c r="H213" i="1"/>
  <c r="Z213" i="1"/>
  <c r="Z214" i="1"/>
  <c r="Z215" i="1"/>
  <c r="H216" i="1"/>
  <c r="Z216" i="1"/>
  <c r="Z217" i="1"/>
  <c r="Z218" i="1"/>
  <c r="H219" i="1"/>
  <c r="Z219" i="1"/>
  <c r="Z220" i="1"/>
  <c r="Z221" i="1"/>
  <c r="H222" i="1"/>
  <c r="Z222" i="1"/>
  <c r="Z223" i="1"/>
  <c r="Z224" i="1"/>
  <c r="H225" i="1"/>
  <c r="Z225" i="1"/>
  <c r="Z226" i="1"/>
  <c r="Z227" i="1"/>
  <c r="H228" i="1"/>
  <c r="Z228" i="1"/>
  <c r="H229" i="1"/>
  <c r="Z229" i="1"/>
  <c r="H230" i="1"/>
  <c r="Z230" i="1"/>
  <c r="Z231" i="1"/>
  <c r="Z232" i="1"/>
  <c r="H233" i="1"/>
  <c r="Z233" i="1"/>
  <c r="H234" i="1"/>
  <c r="Z234" i="1"/>
  <c r="H235" i="1"/>
  <c r="Z235" i="1"/>
  <c r="Z236" i="1"/>
  <c r="Z237" i="1"/>
  <c r="H238" i="1"/>
  <c r="Z238" i="1"/>
  <c r="Z239" i="1"/>
  <c r="Z240" i="1"/>
  <c r="H241" i="1"/>
  <c r="Z241" i="1"/>
  <c r="H242" i="1"/>
  <c r="Z242" i="1"/>
  <c r="Z243" i="1"/>
  <c r="Z244" i="1"/>
  <c r="H245" i="1"/>
  <c r="Z245" i="1"/>
  <c r="Z246" i="1"/>
  <c r="Z247" i="1"/>
  <c r="H248" i="1"/>
  <c r="Z248" i="1"/>
  <c r="Z249" i="1"/>
  <c r="Z250" i="1"/>
  <c r="H251" i="1"/>
  <c r="Z251" i="1"/>
  <c r="Z252" i="1"/>
  <c r="Z253" i="1"/>
  <c r="H254" i="1"/>
  <c r="Z254" i="1"/>
  <c r="Z255" i="1"/>
  <c r="Z256" i="1"/>
  <c r="H257" i="1"/>
  <c r="Z257" i="1"/>
  <c r="Z258" i="1"/>
  <c r="Z259" i="1"/>
  <c r="H260" i="1"/>
  <c r="Z260" i="1"/>
  <c r="Z261" i="1"/>
  <c r="Z262" i="1"/>
  <c r="H263" i="1"/>
  <c r="Z263" i="1"/>
  <c r="H264" i="1"/>
  <c r="Z264" i="1"/>
  <c r="Z265" i="1"/>
  <c r="Z266" i="1"/>
  <c r="H267" i="1"/>
  <c r="Z267" i="1"/>
  <c r="Z268" i="1"/>
  <c r="Z269" i="1"/>
  <c r="Z270" i="1"/>
  <c r="H271" i="1"/>
  <c r="Z271" i="1"/>
  <c r="Z272" i="1"/>
  <c r="Z273" i="1"/>
  <c r="H274" i="1"/>
  <c r="Z274" i="1"/>
  <c r="Z275" i="1"/>
  <c r="Z276" i="1"/>
  <c r="H277" i="1"/>
  <c r="Z277" i="1"/>
  <c r="Z278" i="1"/>
  <c r="Z279" i="1"/>
  <c r="H280" i="1"/>
  <c r="Z280" i="1"/>
  <c r="H281" i="1"/>
  <c r="Z281" i="1"/>
  <c r="Z282" i="1"/>
  <c r="Z283" i="1"/>
  <c r="H284" i="1"/>
  <c r="Z284" i="1"/>
  <c r="Z285" i="1"/>
  <c r="Z286" i="1"/>
  <c r="H287" i="1"/>
  <c r="Z287" i="1"/>
  <c r="H288" i="1"/>
  <c r="Z288" i="1"/>
  <c r="Z289" i="1"/>
  <c r="Z290" i="1"/>
  <c r="H291" i="1"/>
  <c r="Z291" i="1"/>
  <c r="H292" i="1"/>
  <c r="Z292" i="1"/>
  <c r="H293" i="1"/>
  <c r="Z293" i="1"/>
  <c r="Z294" i="1"/>
  <c r="Z295" i="1"/>
  <c r="H296" i="1"/>
  <c r="Z296" i="1"/>
  <c r="Z297" i="1"/>
  <c r="Z298" i="1"/>
  <c r="H299" i="1"/>
  <c r="Z299" i="1"/>
  <c r="Z300" i="1"/>
  <c r="Z301" i="1"/>
  <c r="H302" i="1"/>
  <c r="Z302" i="1"/>
  <c r="Z303" i="1"/>
  <c r="Z304" i="1"/>
  <c r="H305" i="1"/>
  <c r="Z305" i="1"/>
  <c r="H306" i="1"/>
  <c r="Z306" i="1"/>
  <c r="H307" i="1"/>
  <c r="Z307" i="1"/>
  <c r="Z308" i="1"/>
  <c r="Z309" i="1"/>
  <c r="H310" i="1"/>
  <c r="Z310" i="1"/>
  <c r="Z311" i="1"/>
  <c r="Z312" i="1"/>
  <c r="H313" i="1"/>
  <c r="Z313" i="1"/>
  <c r="Z314" i="1"/>
  <c r="Z315" i="1"/>
  <c r="H316" i="1"/>
  <c r="Z316" i="1"/>
  <c r="Z317" i="1"/>
  <c r="Z318" i="1"/>
  <c r="H319" i="1"/>
  <c r="Z319" i="1"/>
  <c r="Z320" i="1"/>
  <c r="Z321" i="1"/>
  <c r="H322" i="1"/>
  <c r="Z322" i="1"/>
  <c r="Z323" i="1"/>
  <c r="Z324" i="1"/>
  <c r="H325" i="1"/>
  <c r="Z325" i="1"/>
  <c r="Z326" i="1"/>
  <c r="Z327" i="1"/>
  <c r="H328" i="1"/>
  <c r="Z328" i="1"/>
  <c r="Z329" i="1"/>
  <c r="Z330" i="1"/>
  <c r="H331" i="1"/>
  <c r="Z331" i="1"/>
  <c r="H332" i="1"/>
  <c r="Z332" i="1"/>
  <c r="H333" i="1"/>
  <c r="Z333" i="1"/>
  <c r="Z334" i="1"/>
  <c r="Z335" i="1"/>
  <c r="H336" i="1"/>
  <c r="Z336" i="1"/>
  <c r="H337" i="1"/>
  <c r="Z337" i="1"/>
  <c r="Z338" i="1"/>
  <c r="Z339" i="1"/>
  <c r="H340" i="1"/>
  <c r="Z340" i="1"/>
  <c r="Z341" i="1"/>
  <c r="H342" i="1"/>
  <c r="Z342" i="1"/>
  <c r="H343" i="1"/>
  <c r="Z343" i="1"/>
  <c r="H344" i="1"/>
  <c r="Z344" i="1"/>
  <c r="Z345" i="1"/>
  <c r="Z346" i="1"/>
  <c r="H347" i="1"/>
  <c r="Z347" i="1"/>
  <c r="Z348" i="1"/>
  <c r="Z349" i="1"/>
  <c r="H350" i="1"/>
  <c r="Z350" i="1"/>
  <c r="Z351" i="1"/>
  <c r="Z352" i="1"/>
  <c r="H353" i="1"/>
  <c r="Z353" i="1"/>
  <c r="H354" i="1"/>
  <c r="Z354" i="1"/>
  <c r="Z355" i="1"/>
  <c r="Z356" i="1"/>
  <c r="H357" i="1"/>
  <c r="Z357" i="1"/>
  <c r="H358" i="1"/>
  <c r="Z358" i="1"/>
  <c r="Z359" i="1"/>
  <c r="Z360" i="1"/>
  <c r="H361" i="1"/>
  <c r="Z361" i="1"/>
  <c r="H362" i="1"/>
  <c r="Z362" i="1"/>
  <c r="H363" i="1"/>
  <c r="Z363" i="1"/>
  <c r="Z364" i="1"/>
  <c r="Z365" i="1"/>
  <c r="H366" i="1"/>
  <c r="Z366" i="1"/>
  <c r="H367" i="1"/>
  <c r="Z367" i="1"/>
  <c r="Z368" i="1"/>
  <c r="Z369" i="1"/>
  <c r="H370" i="1"/>
  <c r="Z370" i="1"/>
  <c r="Z371" i="1"/>
  <c r="Z372" i="1"/>
  <c r="H373" i="1"/>
  <c r="Z373" i="1"/>
  <c r="Z374" i="1"/>
  <c r="Z375" i="1"/>
  <c r="H376" i="1"/>
  <c r="Z376" i="1"/>
  <c r="Z377" i="1"/>
  <c r="Z378" i="1"/>
  <c r="H379" i="1"/>
  <c r="Z379" i="1"/>
  <c r="Z380" i="1"/>
  <c r="Z381" i="1"/>
  <c r="H382" i="1"/>
  <c r="Z382" i="1"/>
  <c r="H383" i="1"/>
  <c r="Z383" i="1"/>
  <c r="H384" i="1"/>
  <c r="Z384" i="1"/>
  <c r="H385" i="1"/>
  <c r="Z385" i="1"/>
  <c r="H386" i="1"/>
  <c r="Z386" i="1"/>
  <c r="Z387" i="1"/>
  <c r="Z388" i="1"/>
  <c r="H389" i="1"/>
  <c r="Z389" i="1"/>
  <c r="Z390" i="1"/>
  <c r="Z391" i="1"/>
  <c r="H392" i="1"/>
  <c r="Z392" i="1"/>
  <c r="Z393" i="1"/>
  <c r="Z394" i="1"/>
  <c r="H395" i="1"/>
  <c r="Z395" i="1"/>
  <c r="Z396" i="1"/>
  <c r="Z397" i="1"/>
  <c r="H398" i="1"/>
  <c r="Z398" i="1"/>
  <c r="Z399" i="1"/>
  <c r="Z400" i="1"/>
  <c r="H401" i="1"/>
  <c r="Z401" i="1"/>
  <c r="H402" i="1"/>
  <c r="Z402" i="1"/>
  <c r="H403" i="1"/>
  <c r="Z403" i="1"/>
  <c r="Z404" i="1"/>
  <c r="Z405" i="1"/>
  <c r="H406" i="1"/>
  <c r="Z406" i="1"/>
  <c r="Z407" i="1"/>
  <c r="Z408" i="1"/>
  <c r="H409" i="1"/>
  <c r="Z409" i="1"/>
  <c r="H410" i="1"/>
  <c r="Z410" i="1"/>
  <c r="H411" i="1"/>
  <c r="Z411" i="1"/>
  <c r="H412" i="1"/>
  <c r="Z412" i="1"/>
  <c r="Z413" i="1"/>
  <c r="Z414" i="1"/>
  <c r="H415" i="1"/>
  <c r="Z415" i="1"/>
  <c r="Z416" i="1"/>
  <c r="Z417" i="1"/>
  <c r="H418" i="1"/>
  <c r="Z418" i="1"/>
  <c r="Z419" i="1"/>
  <c r="Z420" i="1"/>
  <c r="H421" i="1"/>
  <c r="Z421" i="1"/>
  <c r="H422" i="1"/>
  <c r="Z422" i="1"/>
  <c r="H423" i="1"/>
  <c r="Z423" i="1"/>
  <c r="Z424" i="1"/>
  <c r="Z425" i="1"/>
  <c r="H426" i="1"/>
  <c r="Z426" i="1"/>
  <c r="Z427" i="1"/>
  <c r="Z428" i="1"/>
  <c r="H429" i="1"/>
  <c r="Z429" i="1"/>
  <c r="H430" i="1"/>
  <c r="Z430" i="1"/>
  <c r="Z431" i="1"/>
  <c r="Z432" i="1"/>
  <c r="H433" i="1"/>
  <c r="Z433" i="1"/>
  <c r="Z434" i="1"/>
  <c r="Z435" i="1"/>
  <c r="H436" i="1"/>
  <c r="Z436" i="1"/>
  <c r="H437" i="1"/>
  <c r="Z437" i="1"/>
  <c r="H438" i="1"/>
  <c r="Z438" i="1"/>
  <c r="H439" i="1"/>
  <c r="Z439" i="1"/>
  <c r="H440" i="1"/>
  <c r="Z440" i="1"/>
  <c r="H441" i="1"/>
  <c r="Z441" i="1"/>
  <c r="Z442" i="1"/>
  <c r="Z443" i="1"/>
  <c r="H444" i="1"/>
  <c r="Z444" i="1"/>
  <c r="Z445" i="1"/>
  <c r="Z446" i="1"/>
  <c r="H447" i="1"/>
  <c r="Z447" i="1"/>
  <c r="H448" i="1"/>
  <c r="Z448" i="1"/>
  <c r="Z449" i="1"/>
  <c r="Z450" i="1"/>
  <c r="H451" i="1"/>
  <c r="Z451" i="1"/>
  <c r="H452" i="1"/>
  <c r="Z452" i="1"/>
  <c r="H453" i="1"/>
  <c r="Z453" i="1"/>
  <c r="H454" i="1"/>
  <c r="Z454" i="1"/>
  <c r="H455" i="1"/>
  <c r="Z455" i="1"/>
  <c r="Z456" i="1"/>
  <c r="Z457" i="1"/>
  <c r="H458" i="1"/>
  <c r="Z458" i="1"/>
  <c r="H459" i="1"/>
  <c r="Z459" i="1"/>
  <c r="Z460" i="1"/>
  <c r="Z461" i="1"/>
  <c r="H462" i="1"/>
  <c r="Z462" i="1"/>
  <c r="H463" i="1"/>
  <c r="Z463" i="1"/>
  <c r="H464" i="1"/>
  <c r="Z464" i="1"/>
  <c r="Z465" i="1"/>
  <c r="Z466" i="1"/>
  <c r="H467" i="1"/>
  <c r="Z467" i="1"/>
  <c r="H468" i="1"/>
  <c r="Z468" i="1"/>
  <c r="Z469" i="1"/>
  <c r="Z470" i="1"/>
  <c r="H471" i="1"/>
  <c r="Z471" i="1"/>
  <c r="Z472" i="1"/>
  <c r="Z473" i="1"/>
  <c r="H474" i="1"/>
  <c r="Z474" i="1"/>
  <c r="Z475" i="1"/>
  <c r="Z476" i="1"/>
  <c r="H477" i="1"/>
  <c r="Z477" i="1"/>
  <c r="H478" i="1"/>
  <c r="Z478" i="1"/>
  <c r="Z479" i="1"/>
  <c r="Z480" i="1"/>
  <c r="H481" i="1"/>
  <c r="Z481" i="1"/>
  <c r="Z482" i="1"/>
  <c r="Z483" i="1"/>
  <c r="H484" i="1"/>
  <c r="Z484" i="1"/>
  <c r="Z485" i="1"/>
  <c r="Z486" i="1"/>
  <c r="H487" i="1"/>
  <c r="Z487" i="1"/>
  <c r="H488" i="1"/>
  <c r="Z488" i="1"/>
  <c r="Z489" i="1"/>
  <c r="Z490" i="1"/>
  <c r="H491" i="1"/>
  <c r="Z491" i="1"/>
  <c r="H492" i="1"/>
  <c r="Z492" i="1"/>
  <c r="Z493" i="1"/>
  <c r="Z494" i="1"/>
  <c r="H495" i="1"/>
  <c r="Z495" i="1"/>
  <c r="Z496" i="1"/>
  <c r="Z497" i="1"/>
  <c r="H498" i="1"/>
  <c r="Z498" i="1"/>
  <c r="H499" i="1"/>
  <c r="Z499" i="1"/>
  <c r="H500" i="1"/>
  <c r="Z500" i="1"/>
  <c r="Z501" i="1"/>
  <c r="Z502" i="1"/>
  <c r="H503" i="1"/>
  <c r="Z503" i="1"/>
  <c r="Z504" i="1"/>
  <c r="Z505" i="1"/>
  <c r="H506" i="1"/>
  <c r="Z506" i="1"/>
  <c r="H507" i="1"/>
  <c r="Z507" i="1"/>
  <c r="Z508" i="1"/>
  <c r="Z509" i="1"/>
  <c r="H510" i="1"/>
  <c r="Z510" i="1"/>
  <c r="Z511" i="1"/>
  <c r="Z512" i="1"/>
  <c r="H513" i="1"/>
  <c r="Z513" i="1"/>
  <c r="H514" i="1"/>
  <c r="Z514" i="1"/>
  <c r="Z515" i="1"/>
  <c r="Z516" i="1"/>
  <c r="H517" i="1"/>
  <c r="Z517" i="1"/>
  <c r="H518" i="1"/>
  <c r="Z518" i="1"/>
  <c r="H519" i="1"/>
  <c r="Z519" i="1"/>
  <c r="H520" i="1"/>
  <c r="Z520" i="1"/>
  <c r="Z521" i="1"/>
  <c r="Z522" i="1"/>
  <c r="H523" i="1"/>
  <c r="Z523" i="1"/>
  <c r="Z524" i="1"/>
  <c r="Z525" i="1"/>
  <c r="H526" i="1"/>
  <c r="Z526" i="1"/>
  <c r="Z527" i="1"/>
  <c r="Z528" i="1"/>
  <c r="H529" i="1"/>
  <c r="Z529" i="1"/>
  <c r="Z530" i="1"/>
  <c r="Z531" i="1"/>
  <c r="H532" i="1"/>
  <c r="Z532" i="1"/>
  <c r="H533" i="1"/>
  <c r="Z533" i="1"/>
  <c r="H534" i="1"/>
  <c r="Z534" i="1"/>
  <c r="Z535" i="1"/>
  <c r="Z536" i="1"/>
  <c r="H537" i="1"/>
  <c r="Z537" i="1"/>
  <c r="Z538" i="1"/>
  <c r="Z539" i="1"/>
  <c r="H540" i="1"/>
  <c r="Z540" i="1"/>
  <c r="H541" i="1"/>
  <c r="Z541" i="1"/>
  <c r="Z542" i="1"/>
  <c r="Z543" i="1"/>
  <c r="H544" i="1"/>
  <c r="Z544" i="1"/>
  <c r="H545" i="1"/>
  <c r="Z545" i="1"/>
  <c r="H546" i="1"/>
  <c r="Z546" i="1"/>
  <c r="Z547" i="1"/>
  <c r="Z548" i="1"/>
  <c r="H549" i="1"/>
  <c r="Z549" i="1"/>
  <c r="H550" i="1"/>
  <c r="Z550" i="1"/>
  <c r="H551" i="1"/>
  <c r="Z551" i="1"/>
  <c r="Z552" i="1"/>
  <c r="Z553" i="1"/>
  <c r="H554" i="1"/>
  <c r="Z554" i="1"/>
  <c r="Z555" i="1"/>
  <c r="Z556" i="1"/>
  <c r="H557" i="1"/>
  <c r="Z557" i="1"/>
  <c r="Z558" i="1"/>
  <c r="Z559" i="1"/>
  <c r="H560" i="1"/>
  <c r="Z560" i="1"/>
  <c r="Z561" i="1"/>
  <c r="Z562" i="1"/>
  <c r="H563" i="1"/>
  <c r="Z563" i="1"/>
  <c r="H564" i="1"/>
  <c r="Z564" i="1"/>
  <c r="Z565" i="1"/>
  <c r="Z566" i="1"/>
  <c r="H567" i="1"/>
  <c r="Z567" i="1"/>
  <c r="Z568" i="1"/>
  <c r="Z569" i="1"/>
  <c r="H570" i="1"/>
  <c r="Z570" i="1"/>
  <c r="H571" i="1"/>
  <c r="Z571" i="1"/>
  <c r="Z572" i="1"/>
  <c r="Z573" i="1"/>
  <c r="H574" i="1"/>
  <c r="Z574" i="1"/>
  <c r="Z575" i="1"/>
  <c r="Z576" i="1"/>
  <c r="H577" i="1"/>
  <c r="Z577" i="1"/>
  <c r="H578" i="1"/>
  <c r="Z578" i="1"/>
  <c r="Z579" i="1"/>
  <c r="Z580" i="1"/>
  <c r="H581" i="1"/>
  <c r="Z581" i="1"/>
  <c r="H582" i="1"/>
  <c r="Z582" i="1"/>
  <c r="H583" i="1"/>
  <c r="Z583" i="1"/>
  <c r="H584" i="1"/>
  <c r="Z584" i="1"/>
  <c r="Z585" i="1"/>
  <c r="Z586" i="1"/>
  <c r="H587" i="1"/>
  <c r="Z587" i="1"/>
  <c r="Z588" i="1"/>
  <c r="Z589" i="1"/>
  <c r="H590" i="1"/>
  <c r="Z590" i="1"/>
  <c r="H591" i="1"/>
  <c r="Z591" i="1"/>
  <c r="Z592" i="1"/>
  <c r="Z593" i="1"/>
  <c r="Z594" i="1"/>
  <c r="H595" i="1"/>
  <c r="Z595" i="1"/>
  <c r="H596" i="1"/>
  <c r="Z596" i="1"/>
  <c r="Z597" i="1"/>
  <c r="Z598" i="1"/>
  <c r="H599" i="1"/>
  <c r="Z599" i="1"/>
  <c r="Z600" i="1"/>
  <c r="Z601" i="1"/>
  <c r="H602" i="1"/>
  <c r="Z602" i="1"/>
  <c r="Z603" i="1"/>
  <c r="Z604" i="1"/>
  <c r="H605" i="1"/>
  <c r="Z605" i="1"/>
  <c r="Z606" i="1"/>
  <c r="Z607" i="1"/>
  <c r="H608" i="1"/>
  <c r="Z608" i="1"/>
  <c r="H609" i="1"/>
  <c r="Z609" i="1"/>
  <c r="H610" i="1"/>
  <c r="Z610" i="1"/>
  <c r="H611" i="1"/>
  <c r="Z611" i="1"/>
  <c r="H612" i="1"/>
  <c r="Z612" i="1"/>
  <c r="Z613" i="1"/>
  <c r="Z614" i="1"/>
  <c r="H615" i="1"/>
  <c r="Z615" i="1"/>
  <c r="Z616" i="1"/>
  <c r="Z617" i="1"/>
  <c r="H618" i="1"/>
  <c r="Z618" i="1"/>
  <c r="Z619" i="1"/>
  <c r="Z620" i="1"/>
  <c r="H621" i="1"/>
  <c r="Z621" i="1"/>
  <c r="H622" i="1"/>
  <c r="Z622" i="1"/>
  <c r="Z623" i="1"/>
  <c r="Z624" i="1"/>
  <c r="H625" i="1"/>
  <c r="Z625" i="1"/>
  <c r="H626" i="1"/>
  <c r="Z626" i="1"/>
  <c r="H627" i="1"/>
  <c r="Z627" i="1"/>
  <c r="H628" i="1"/>
  <c r="Z628" i="1"/>
  <c r="H629" i="1"/>
  <c r="Z629" i="1"/>
  <c r="H630" i="1"/>
  <c r="Z630" i="1"/>
  <c r="Z631" i="1"/>
  <c r="Z632" i="1"/>
  <c r="H633" i="1"/>
  <c r="Z633" i="1"/>
  <c r="Z634" i="1"/>
  <c r="Z635" i="1"/>
  <c r="H636" i="1"/>
  <c r="Z636" i="1"/>
  <c r="Z637" i="1"/>
  <c r="Z638" i="1"/>
  <c r="H639" i="1"/>
  <c r="Z639" i="1"/>
  <c r="H640" i="1"/>
  <c r="Z640" i="1"/>
  <c r="H641" i="1"/>
  <c r="Z641" i="1"/>
  <c r="H642" i="1"/>
  <c r="Z642" i="1"/>
  <c r="H643" i="1"/>
  <c r="Z643" i="1"/>
  <c r="H644" i="1"/>
  <c r="Z644" i="1"/>
  <c r="Z645" i="1"/>
  <c r="Z646" i="1"/>
  <c r="H647" i="1"/>
  <c r="Z647" i="1"/>
  <c r="H648" i="1"/>
  <c r="Z648" i="1"/>
  <c r="H649" i="1"/>
  <c r="Z649" i="1"/>
  <c r="H650" i="1"/>
  <c r="Z650" i="1"/>
  <c r="Z651" i="1"/>
  <c r="Z652" i="1"/>
  <c r="H653" i="1"/>
  <c r="Z653" i="1"/>
  <c r="Z654" i="1"/>
  <c r="Z655" i="1"/>
  <c r="H656" i="1"/>
  <c r="Z656" i="1"/>
  <c r="H657" i="1"/>
  <c r="Z657" i="1"/>
  <c r="H658" i="1"/>
  <c r="Z658" i="1"/>
  <c r="Z659" i="1"/>
  <c r="Z660" i="1"/>
  <c r="H661" i="1"/>
  <c r="Z661" i="1"/>
  <c r="H662" i="1"/>
  <c r="Z662" i="1"/>
  <c r="H663" i="1"/>
  <c r="Z663" i="1"/>
  <c r="H664" i="1"/>
  <c r="Z664" i="1"/>
  <c r="H665" i="1"/>
  <c r="Z665" i="1"/>
  <c r="H666" i="1"/>
  <c r="Z666" i="1"/>
  <c r="Z667" i="1"/>
  <c r="Z668" i="1"/>
  <c r="H669" i="1"/>
  <c r="Z669" i="1"/>
  <c r="Z670" i="1"/>
  <c r="Z671" i="1"/>
  <c r="H672" i="1"/>
  <c r="Z672" i="1"/>
  <c r="H673" i="1"/>
  <c r="Z673" i="1"/>
  <c r="Z674" i="1"/>
  <c r="Z675" i="1"/>
  <c r="H676" i="1"/>
  <c r="Z676" i="1"/>
  <c r="Z677" i="1"/>
  <c r="Z678" i="1"/>
  <c r="H679" i="1"/>
  <c r="Z679" i="1"/>
  <c r="H680" i="1"/>
  <c r="Z680" i="1"/>
  <c r="Z681" i="1"/>
  <c r="Z682" i="1"/>
  <c r="H683" i="1"/>
  <c r="Z683" i="1"/>
  <c r="Z684" i="1"/>
  <c r="Z685" i="1"/>
  <c r="H686" i="1"/>
  <c r="Z686" i="1"/>
  <c r="H687" i="1"/>
  <c r="Z687" i="1"/>
  <c r="Z688" i="1"/>
  <c r="Z689" i="1"/>
  <c r="H690" i="1"/>
  <c r="Z690" i="1"/>
  <c r="Z691" i="1"/>
  <c r="Z692" i="1"/>
  <c r="H693" i="1"/>
  <c r="Z693" i="1"/>
  <c r="Z694" i="1"/>
  <c r="Z695" i="1"/>
  <c r="H696" i="1"/>
  <c r="Z696" i="1"/>
  <c r="H697" i="1"/>
  <c r="Z697" i="1"/>
  <c r="Z698" i="1"/>
  <c r="Z699" i="1"/>
  <c r="H700" i="1"/>
  <c r="Z700" i="1"/>
  <c r="Z701" i="1"/>
  <c r="Z702" i="1"/>
  <c r="H703" i="1"/>
  <c r="Z703" i="1"/>
  <c r="H704" i="1"/>
  <c r="Z704" i="1"/>
  <c r="H705" i="1"/>
  <c r="Z705" i="1"/>
  <c r="Z706" i="1"/>
  <c r="Z707" i="1"/>
  <c r="H708" i="1"/>
  <c r="Z708" i="1"/>
  <c r="H709" i="1"/>
  <c r="Z709" i="1"/>
  <c r="H710" i="1"/>
  <c r="Z710" i="1"/>
  <c r="Z711" i="1"/>
  <c r="Z712" i="1"/>
  <c r="H713" i="1"/>
  <c r="Z713" i="1"/>
  <c r="Z714" i="1"/>
  <c r="Z715" i="1"/>
  <c r="H716" i="1"/>
  <c r="Z716" i="1"/>
  <c r="Z717" i="1"/>
  <c r="Z718" i="1"/>
  <c r="H719" i="1"/>
  <c r="Z719" i="1"/>
  <c r="Z720" i="1"/>
  <c r="Z721" i="1"/>
  <c r="H722" i="1"/>
  <c r="Z722" i="1"/>
  <c r="Z723" i="1"/>
  <c r="Z724" i="1"/>
  <c r="H725" i="1"/>
  <c r="Z725" i="1"/>
  <c r="H726" i="1"/>
  <c r="Z726" i="1"/>
  <c r="H727" i="1"/>
  <c r="Z727" i="1"/>
  <c r="Z728" i="1"/>
  <c r="Z729" i="1"/>
  <c r="H730" i="1"/>
  <c r="Z730" i="1"/>
  <c r="H731" i="1"/>
  <c r="Z731" i="1"/>
  <c r="H732" i="1"/>
  <c r="Z732" i="1"/>
  <c r="H733" i="1"/>
  <c r="Z733" i="1"/>
  <c r="H734" i="1"/>
  <c r="Z734" i="1"/>
  <c r="H735" i="1"/>
  <c r="Z735" i="1"/>
  <c r="H736" i="1"/>
  <c r="Z736" i="1"/>
  <c r="H737" i="1"/>
  <c r="Z737" i="1"/>
  <c r="H738" i="1"/>
  <c r="Z738" i="1"/>
  <c r="H739" i="1"/>
  <c r="Z739" i="1"/>
  <c r="H740" i="1"/>
  <c r="Z740" i="1"/>
  <c r="H741" i="1"/>
  <c r="Z741" i="1"/>
  <c r="Z742" i="1"/>
  <c r="Z743" i="1"/>
  <c r="H744" i="1"/>
  <c r="Z744" i="1"/>
  <c r="H745" i="1"/>
  <c r="Z745" i="1"/>
  <c r="H746" i="1"/>
  <c r="Z746" i="1"/>
  <c r="H747" i="1"/>
  <c r="Z747" i="1"/>
  <c r="H748" i="1"/>
  <c r="Z748" i="1"/>
  <c r="Z749" i="1"/>
  <c r="Z750" i="1"/>
  <c r="H751" i="1"/>
  <c r="Z751" i="1"/>
  <c r="Z752" i="1"/>
  <c r="Z753" i="1"/>
  <c r="H754" i="1"/>
  <c r="Z754" i="1"/>
  <c r="H755" i="1"/>
  <c r="Z755" i="1"/>
  <c r="Z756" i="1"/>
  <c r="Z757" i="1"/>
  <c r="H758" i="1"/>
  <c r="Z758" i="1"/>
  <c r="H759" i="1"/>
  <c r="Z759" i="1"/>
  <c r="H760" i="1"/>
  <c r="Z760" i="1"/>
  <c r="H761" i="1"/>
  <c r="Z761" i="1"/>
  <c r="H762" i="1"/>
  <c r="Z762" i="1"/>
  <c r="H763" i="1"/>
  <c r="Z763" i="1"/>
  <c r="H764" i="1"/>
  <c r="Z764" i="1"/>
  <c r="H765" i="1"/>
  <c r="Z765" i="1"/>
  <c r="H766" i="1"/>
  <c r="Z766" i="1"/>
  <c r="Z767" i="1"/>
  <c r="Z768" i="1"/>
  <c r="H769" i="1"/>
  <c r="Z769" i="1"/>
  <c r="Z770" i="1"/>
  <c r="Z771" i="1"/>
  <c r="H772" i="1"/>
  <c r="Z772" i="1"/>
  <c r="H773" i="1"/>
  <c r="Z773" i="1"/>
  <c r="Z774" i="1"/>
  <c r="Z775" i="1"/>
  <c r="H776" i="1"/>
  <c r="Z776" i="1"/>
  <c r="Z777" i="1"/>
  <c r="Z778" i="1"/>
  <c r="H779" i="1"/>
  <c r="Z779" i="1"/>
  <c r="Z780" i="1"/>
  <c r="Z781" i="1"/>
  <c r="H782" i="1"/>
  <c r="Z782" i="1"/>
  <c r="Z783" i="1"/>
  <c r="Z784" i="1"/>
  <c r="H785" i="1"/>
  <c r="Z785" i="1"/>
  <c r="H786" i="1"/>
  <c r="Z786" i="1"/>
  <c r="H787" i="1"/>
  <c r="Z787" i="1"/>
  <c r="H788" i="1"/>
  <c r="Z788" i="1"/>
  <c r="H789" i="1"/>
  <c r="Z789" i="1"/>
  <c r="Z790" i="1"/>
  <c r="Z791" i="1"/>
  <c r="H792" i="1"/>
  <c r="Z792" i="1"/>
  <c r="Z793" i="1"/>
  <c r="Z794" i="1"/>
  <c r="H795" i="1"/>
  <c r="Z795" i="1"/>
  <c r="Z796" i="1"/>
  <c r="Z797" i="1"/>
  <c r="H798" i="1"/>
  <c r="Z798" i="1"/>
  <c r="H799" i="1"/>
  <c r="Z799" i="1"/>
  <c r="H800" i="1"/>
  <c r="Z800" i="1"/>
  <c r="H801" i="1"/>
  <c r="Z801" i="1"/>
  <c r="H802" i="1"/>
  <c r="Z802" i="1"/>
  <c r="Z803" i="1"/>
  <c r="Z804" i="1"/>
  <c r="H805" i="1"/>
  <c r="Z805" i="1"/>
  <c r="Z806" i="1"/>
  <c r="Z807" i="1"/>
  <c r="H808" i="1"/>
  <c r="Z808" i="1"/>
  <c r="Z809" i="1"/>
  <c r="Z810" i="1"/>
  <c r="H811" i="1"/>
  <c r="Z811" i="1"/>
  <c r="Z812" i="1"/>
  <c r="Z813" i="1"/>
  <c r="H814" i="1"/>
  <c r="Z814" i="1"/>
  <c r="H815" i="1"/>
  <c r="Z815" i="1"/>
  <c r="H816" i="1"/>
  <c r="Z816" i="1"/>
  <c r="H817" i="1"/>
  <c r="Z817" i="1"/>
  <c r="Z818" i="1"/>
  <c r="Z819" i="1"/>
  <c r="H820" i="1"/>
  <c r="Z820" i="1"/>
  <c r="H821" i="1"/>
  <c r="Z821" i="1"/>
  <c r="H822" i="1"/>
  <c r="Z822" i="1"/>
  <c r="Z823" i="1"/>
  <c r="Z824" i="1"/>
  <c r="H825" i="1"/>
  <c r="Z825" i="1"/>
  <c r="H826" i="1"/>
  <c r="Z826" i="1"/>
  <c r="H827" i="1"/>
  <c r="Z827" i="1"/>
  <c r="H828" i="1"/>
  <c r="Z828" i="1"/>
  <c r="H829" i="1"/>
  <c r="Z829" i="1"/>
  <c r="H830" i="1"/>
  <c r="Z830" i="1"/>
  <c r="H831" i="1"/>
  <c r="Z831" i="1"/>
  <c r="Z832" i="1"/>
  <c r="Z833" i="1"/>
  <c r="H834" i="1"/>
  <c r="Z834" i="1"/>
  <c r="Z835" i="1"/>
  <c r="Z836" i="1"/>
  <c r="H837" i="1"/>
  <c r="Z837" i="1"/>
  <c r="Z838" i="1"/>
  <c r="Z839" i="1"/>
  <c r="H840" i="1"/>
  <c r="Z840" i="1"/>
  <c r="Z841" i="1"/>
  <c r="Z842" i="1"/>
  <c r="H843" i="1"/>
  <c r="Z843" i="1"/>
  <c r="Z844" i="1"/>
  <c r="Z845" i="1"/>
  <c r="H846" i="1"/>
  <c r="Z846" i="1"/>
  <c r="Z847" i="1"/>
  <c r="Z848" i="1"/>
  <c r="H849" i="1"/>
  <c r="Z849" i="1"/>
  <c r="Z850" i="1"/>
  <c r="Z851" i="1"/>
  <c r="H852" i="1"/>
  <c r="Z852" i="1"/>
  <c r="Z853" i="1"/>
  <c r="Z854" i="1"/>
  <c r="H855" i="1"/>
  <c r="Z855" i="1"/>
  <c r="H856" i="1"/>
  <c r="Z856" i="1"/>
  <c r="H857" i="1"/>
  <c r="Z857" i="1"/>
  <c r="H858" i="1"/>
  <c r="Z858" i="1"/>
  <c r="H859" i="1"/>
  <c r="Z859" i="1"/>
  <c r="H860" i="1"/>
  <c r="Z860" i="1"/>
  <c r="H861" i="1"/>
  <c r="Z861" i="1"/>
  <c r="H862" i="1"/>
  <c r="Z862" i="1"/>
  <c r="H863" i="1"/>
  <c r="Z863" i="1"/>
  <c r="H864" i="1"/>
  <c r="Z864" i="1"/>
  <c r="H865" i="1"/>
  <c r="Z865" i="1"/>
  <c r="Z866" i="1"/>
  <c r="Z867" i="1"/>
  <c r="H868" i="1"/>
  <c r="Z868" i="1"/>
  <c r="Z869" i="1"/>
  <c r="Z870" i="1"/>
  <c r="H871" i="1"/>
  <c r="Z871" i="1"/>
  <c r="H872" i="1"/>
  <c r="Z872" i="1"/>
  <c r="H873" i="1"/>
  <c r="Z873" i="1"/>
  <c r="Z874" i="1"/>
  <c r="Z875" i="1"/>
  <c r="H876" i="1"/>
  <c r="Z876" i="1"/>
  <c r="Z877" i="1"/>
  <c r="Z878" i="1"/>
  <c r="H879" i="1"/>
  <c r="Z879" i="1"/>
  <c r="Z880" i="1"/>
  <c r="Z881" i="1"/>
  <c r="H882" i="1"/>
  <c r="Z882" i="1"/>
  <c r="H883" i="1"/>
  <c r="Z883" i="1"/>
  <c r="Z884" i="1"/>
  <c r="Z885" i="1"/>
  <c r="H886" i="1"/>
  <c r="Z886" i="1"/>
  <c r="H887" i="1"/>
  <c r="Z887" i="1"/>
  <c r="H888" i="1"/>
  <c r="Z888" i="1"/>
  <c r="Z889" i="1"/>
  <c r="Z890" i="1"/>
  <c r="H891" i="1"/>
  <c r="Z891" i="1"/>
  <c r="H892" i="1"/>
  <c r="Z892" i="1"/>
  <c r="H893" i="1"/>
  <c r="Z893" i="1"/>
  <c r="H894" i="1"/>
  <c r="Z894" i="1"/>
  <c r="H895" i="1"/>
  <c r="Z895" i="1"/>
  <c r="Z896" i="1"/>
  <c r="Z897" i="1"/>
  <c r="H898" i="1"/>
  <c r="Z898" i="1"/>
  <c r="Z899" i="1"/>
  <c r="Z900" i="1"/>
  <c r="H901" i="1"/>
  <c r="Z901" i="1"/>
  <c r="Z902" i="1"/>
  <c r="Z903" i="1"/>
  <c r="H904" i="1"/>
  <c r="Z904" i="1"/>
  <c r="H905" i="1"/>
  <c r="Z905" i="1"/>
  <c r="Z906" i="1"/>
  <c r="Z907" i="1"/>
  <c r="H908" i="1"/>
  <c r="Z908" i="1"/>
  <c r="Z909" i="1"/>
  <c r="Z910" i="1"/>
  <c r="H911" i="1"/>
  <c r="Z911" i="1"/>
  <c r="Z912" i="1"/>
  <c r="Z913" i="1"/>
  <c r="H914" i="1"/>
  <c r="Z914" i="1"/>
  <c r="Z915" i="1"/>
  <c r="Z916" i="1"/>
  <c r="H917" i="1"/>
  <c r="Z917" i="1"/>
  <c r="H918" i="1"/>
  <c r="Z918" i="1"/>
  <c r="H919" i="1"/>
  <c r="Z919" i="1"/>
  <c r="Z920" i="1"/>
  <c r="Z921" i="1"/>
  <c r="H922" i="1"/>
  <c r="Z922" i="1"/>
  <c r="H923" i="1"/>
  <c r="Z923" i="1"/>
  <c r="Z924" i="1"/>
  <c r="Z925" i="1"/>
  <c r="H926" i="1"/>
  <c r="Z926" i="1"/>
  <c r="Z927" i="1"/>
  <c r="Z928" i="1"/>
  <c r="H929" i="1"/>
  <c r="Z929" i="1"/>
  <c r="H930" i="1"/>
  <c r="Z930" i="1"/>
  <c r="Z931" i="1"/>
  <c r="Z932" i="1"/>
  <c r="H933" i="1"/>
  <c r="Z933" i="1"/>
  <c r="Z934" i="1"/>
  <c r="Z935" i="1"/>
  <c r="H936" i="1"/>
  <c r="Z936" i="1"/>
  <c r="Z937" i="1"/>
  <c r="Z938" i="1"/>
  <c r="H939" i="1"/>
  <c r="Z939" i="1"/>
  <c r="Z940" i="1"/>
  <c r="Z941" i="1"/>
  <c r="H942" i="1"/>
  <c r="Z942" i="1"/>
  <c r="H943" i="1"/>
  <c r="Z943" i="1"/>
  <c r="Z944" i="1"/>
  <c r="Z945" i="1"/>
  <c r="H946" i="1"/>
  <c r="Z946" i="1"/>
  <c r="H947" i="1"/>
  <c r="Z947" i="1"/>
  <c r="Z948" i="1"/>
  <c r="Z949" i="1"/>
  <c r="H950" i="1"/>
  <c r="Z950" i="1"/>
  <c r="Z951" i="1"/>
  <c r="Z952" i="1"/>
  <c r="H953" i="1"/>
  <c r="Z953" i="1"/>
  <c r="H954" i="1"/>
  <c r="Z954" i="1"/>
  <c r="H955" i="1"/>
  <c r="Z955" i="1"/>
  <c r="H956" i="1"/>
  <c r="Z956" i="1"/>
  <c r="Z957" i="1"/>
  <c r="Z958" i="1"/>
  <c r="Z959" i="1"/>
  <c r="H960" i="1"/>
  <c r="Z960" i="1"/>
  <c r="Z961" i="1"/>
  <c r="Z962" i="1"/>
  <c r="H963" i="1"/>
  <c r="Z963" i="1"/>
  <c r="H964" i="1"/>
  <c r="Z964" i="1"/>
  <c r="Z965" i="1"/>
  <c r="Z966" i="1"/>
  <c r="H967" i="1"/>
  <c r="Z967" i="1"/>
  <c r="H968" i="1"/>
  <c r="Z968" i="1"/>
  <c r="Z969" i="1"/>
  <c r="Z970" i="1"/>
  <c r="H971" i="1"/>
  <c r="Z971" i="1"/>
  <c r="H972" i="1"/>
  <c r="Z972" i="1"/>
  <c r="H973" i="1"/>
  <c r="Z973" i="1"/>
  <c r="H974" i="1"/>
  <c r="Z974" i="1"/>
  <c r="H975" i="1"/>
  <c r="Z975" i="1"/>
  <c r="H976" i="1"/>
  <c r="Z976" i="1"/>
  <c r="H977" i="1"/>
  <c r="Z977" i="1"/>
  <c r="H978" i="1"/>
  <c r="Z978" i="1"/>
  <c r="Z979" i="1"/>
  <c r="Z980" i="1"/>
  <c r="H981" i="1"/>
  <c r="Z981" i="1"/>
  <c r="Z982" i="1"/>
  <c r="Z983" i="1"/>
  <c r="H984" i="1"/>
  <c r="Z984" i="1"/>
  <c r="H985" i="1"/>
  <c r="Z985" i="1"/>
  <c r="H986" i="1"/>
  <c r="Z986" i="1"/>
  <c r="Z987" i="1"/>
  <c r="Z988" i="1"/>
  <c r="H989" i="1"/>
  <c r="Z989" i="1"/>
  <c r="H990" i="1"/>
  <c r="Z990" i="1"/>
  <c r="Z991" i="1"/>
  <c r="Z992" i="1"/>
  <c r="H993" i="1"/>
  <c r="Z993" i="1"/>
  <c r="H994" i="1"/>
  <c r="Z994" i="1"/>
  <c r="H995" i="1"/>
  <c r="Z995" i="1"/>
  <c r="Z996" i="1"/>
  <c r="Z997" i="1"/>
  <c r="H998" i="1"/>
  <c r="Z998" i="1"/>
  <c r="H999" i="1"/>
  <c r="Z999" i="1"/>
  <c r="Z1000" i="1"/>
  <c r="Z1001" i="1"/>
  <c r="H1002" i="1"/>
  <c r="Z1002" i="1"/>
  <c r="Z1003" i="1"/>
  <c r="Z1004" i="1"/>
  <c r="H1005" i="1"/>
  <c r="Z1005" i="1"/>
  <c r="H1006" i="1"/>
  <c r="Z1006" i="1"/>
  <c r="Z1007" i="1"/>
  <c r="Z1008" i="1"/>
  <c r="H1009" i="1"/>
  <c r="Z1009" i="1"/>
  <c r="Z1010" i="1"/>
  <c r="Z1011" i="1"/>
  <c r="H1012" i="1"/>
  <c r="Z1012" i="1"/>
  <c r="H1013" i="1"/>
  <c r="Z1013" i="1"/>
  <c r="H1014" i="1"/>
  <c r="Z1014" i="1"/>
  <c r="H1015" i="1"/>
  <c r="Z1015" i="1"/>
  <c r="Z1016" i="1"/>
  <c r="Z1017" i="1"/>
  <c r="H1018" i="1"/>
  <c r="Z1018" i="1"/>
  <c r="H1019" i="1"/>
  <c r="Z1019" i="1"/>
  <c r="H1020" i="1"/>
  <c r="Z1020" i="1"/>
  <c r="H1021" i="1"/>
  <c r="Z1021" i="1"/>
  <c r="H1022" i="1"/>
  <c r="Z1022" i="1"/>
  <c r="H1023" i="1"/>
  <c r="Z1023" i="1"/>
  <c r="H1024" i="1"/>
  <c r="Z1024" i="1"/>
  <c r="H1025" i="1"/>
  <c r="Z1025" i="1"/>
  <c r="Z1026" i="1"/>
  <c r="Z1027" i="1"/>
  <c r="H1028" i="1"/>
  <c r="Z1028" i="1"/>
  <c r="H1029" i="1"/>
  <c r="Z1029" i="1"/>
  <c r="Z1030" i="1"/>
  <c r="Z1031" i="1"/>
  <c r="H1032" i="1"/>
  <c r="Z1032" i="1"/>
  <c r="H1033" i="1"/>
  <c r="Z1033" i="1"/>
  <c r="H1034" i="1"/>
  <c r="Z1034" i="1"/>
  <c r="Z1035" i="1"/>
  <c r="Z1036" i="1"/>
  <c r="H1037" i="1"/>
  <c r="Z1037" i="1"/>
  <c r="Z1038" i="1"/>
  <c r="Z1039" i="1"/>
  <c r="H1040" i="1"/>
  <c r="Z1040" i="1"/>
  <c r="Z1041" i="1"/>
  <c r="Z1042" i="1"/>
  <c r="H1043" i="1"/>
  <c r="Z1043" i="1"/>
  <c r="H1044" i="1"/>
  <c r="Z1044" i="1"/>
  <c r="H1045" i="1"/>
  <c r="Z1045" i="1"/>
  <c r="H1046" i="1"/>
  <c r="Z1046" i="1"/>
  <c r="Z1047" i="1"/>
  <c r="Z1048" i="1"/>
  <c r="H1049" i="1"/>
  <c r="Z1049" i="1"/>
  <c r="H1050" i="1"/>
  <c r="Z1050" i="1"/>
  <c r="H1051" i="1"/>
  <c r="Z1051" i="1"/>
  <c r="Z1052" i="1"/>
  <c r="Z1053" i="1"/>
  <c r="H1054" i="1"/>
  <c r="Z1054" i="1"/>
  <c r="Z1055" i="1"/>
  <c r="Z1056" i="1"/>
  <c r="H1057" i="1"/>
  <c r="Z1057" i="1"/>
  <c r="Z1058" i="1"/>
  <c r="Z1059" i="1"/>
  <c r="H1060" i="1"/>
  <c r="Z1060" i="1"/>
  <c r="Z1061" i="1"/>
  <c r="Z1062" i="1"/>
  <c r="H1063" i="1"/>
  <c r="Z1063" i="1"/>
  <c r="Z1064" i="1"/>
  <c r="Z1065" i="1"/>
  <c r="H1066" i="1"/>
  <c r="Z1066" i="1"/>
  <c r="Z1067" i="1"/>
  <c r="Z1068" i="1"/>
  <c r="H1069" i="1"/>
  <c r="Z1069" i="1"/>
  <c r="Z1070" i="1"/>
  <c r="Z1071" i="1"/>
  <c r="H1072" i="1"/>
  <c r="Z1072" i="1"/>
  <c r="Z1073" i="1"/>
  <c r="Z1074" i="1"/>
  <c r="H1075" i="1"/>
  <c r="Z1075" i="1"/>
  <c r="Z1076" i="1"/>
  <c r="Z1077" i="1"/>
  <c r="H1078" i="1"/>
  <c r="Z1078" i="1"/>
  <c r="H1079" i="1"/>
  <c r="Z1079" i="1"/>
  <c r="Z1080" i="1"/>
  <c r="Z1081" i="1"/>
  <c r="H1082" i="1"/>
  <c r="Z1082" i="1"/>
  <c r="H1083" i="1"/>
  <c r="Z1083" i="1"/>
  <c r="H1084" i="1"/>
  <c r="Z1084" i="1"/>
  <c r="H1085" i="1"/>
  <c r="Z1085" i="1"/>
  <c r="H1086" i="1"/>
  <c r="Z1086" i="1"/>
  <c r="Z1087" i="1"/>
  <c r="Z1088" i="1"/>
  <c r="H1089" i="1"/>
  <c r="Z1089" i="1"/>
  <c r="H1090" i="1"/>
  <c r="Z1090" i="1"/>
  <c r="Z1091" i="1"/>
  <c r="Z1092" i="1"/>
  <c r="H1093" i="1"/>
  <c r="Z1093" i="1"/>
  <c r="H1094" i="1"/>
  <c r="Z1094" i="1"/>
  <c r="Z1095" i="1"/>
  <c r="Z1096" i="1"/>
  <c r="H1097" i="1"/>
  <c r="Z1097" i="1"/>
  <c r="H1098" i="1"/>
  <c r="Z1098" i="1"/>
  <c r="H1099" i="1"/>
  <c r="Z1099" i="1"/>
  <c r="H1100" i="1"/>
  <c r="Z1100" i="1"/>
  <c r="Z1101" i="1"/>
  <c r="Z1102" i="1"/>
  <c r="H1103" i="1"/>
  <c r="Z1103" i="1"/>
  <c r="H1104" i="1"/>
  <c r="Z1104" i="1"/>
  <c r="H1105" i="1"/>
  <c r="Z1105" i="1"/>
  <c r="H1106" i="1"/>
  <c r="Z1106" i="1"/>
  <c r="H1107" i="1"/>
  <c r="Z1107" i="1"/>
  <c r="H1108" i="1"/>
  <c r="Z1108" i="1"/>
  <c r="H1109" i="1"/>
  <c r="Z1109" i="1"/>
  <c r="H1110" i="1"/>
  <c r="Z1110" i="1"/>
  <c r="Z1111" i="1"/>
  <c r="Z1112" i="1"/>
  <c r="H1113" i="1"/>
  <c r="Z1113" i="1"/>
  <c r="Z1114" i="1"/>
  <c r="Z1115" i="1"/>
  <c r="H1116" i="1"/>
  <c r="Z1116" i="1"/>
  <c r="Z1117" i="1"/>
  <c r="Z1118" i="1"/>
  <c r="H1119" i="1"/>
  <c r="Z1119" i="1"/>
  <c r="H1120" i="1"/>
  <c r="Z1120" i="1"/>
  <c r="Z1121" i="1"/>
  <c r="Z1122" i="1"/>
  <c r="H1123" i="1"/>
  <c r="Z1123" i="1"/>
  <c r="Z1124" i="1"/>
  <c r="Z1125" i="1"/>
  <c r="H1126" i="1"/>
  <c r="Z1126" i="1"/>
  <c r="Z1127" i="1"/>
  <c r="Z1128" i="1"/>
  <c r="H1129" i="1"/>
  <c r="Z1129" i="1"/>
  <c r="H1130" i="1"/>
  <c r="Z1130" i="1"/>
  <c r="H1131" i="1"/>
  <c r="Z1131" i="1"/>
  <c r="Z1132" i="1"/>
  <c r="Z1133" i="1"/>
  <c r="H1134" i="1"/>
  <c r="Z1134" i="1"/>
  <c r="H1135" i="1"/>
  <c r="Z1135" i="1"/>
  <c r="H1136" i="1"/>
  <c r="Z1136" i="1"/>
  <c r="H1137" i="1"/>
  <c r="Z1137" i="1"/>
  <c r="H1138" i="1"/>
  <c r="Z1138" i="1"/>
  <c r="Z1139" i="1"/>
  <c r="Z1140" i="1"/>
  <c r="H1141" i="1"/>
  <c r="Z1141" i="1"/>
  <c r="H1142" i="1"/>
  <c r="Z1142" i="1"/>
  <c r="Z1143" i="1"/>
  <c r="Z1144" i="1"/>
  <c r="H1145" i="1"/>
  <c r="Z1145" i="1"/>
  <c r="Z1146" i="1"/>
  <c r="Z1147" i="1"/>
  <c r="Z1148" i="1"/>
  <c r="H1149" i="1"/>
  <c r="Z1149" i="1"/>
  <c r="Z1150" i="1"/>
  <c r="Z1151" i="1"/>
  <c r="H1152" i="1"/>
  <c r="Z1152" i="1"/>
  <c r="Z1153" i="1"/>
  <c r="Z1154" i="1"/>
  <c r="H1155" i="1"/>
  <c r="Z1155" i="1"/>
  <c r="H1156" i="1"/>
  <c r="Z1156" i="1"/>
  <c r="H1157" i="1"/>
  <c r="Z1157" i="1"/>
  <c r="H1158" i="1"/>
  <c r="Z1158" i="1"/>
  <c r="Z1159" i="1"/>
  <c r="Z1160" i="1"/>
  <c r="H1161" i="1"/>
  <c r="Z1161" i="1"/>
  <c r="H1162" i="1"/>
  <c r="Z1162" i="1"/>
  <c r="Z1163" i="1"/>
  <c r="Z1164" i="1"/>
  <c r="H1165" i="1"/>
  <c r="Z1165" i="1"/>
  <c r="Z1166" i="1"/>
  <c r="Z1167" i="1"/>
  <c r="H1168" i="1"/>
  <c r="Z1168" i="1"/>
  <c r="Z1169" i="1"/>
  <c r="Z1170" i="1"/>
  <c r="H1171" i="1"/>
  <c r="Z1171" i="1"/>
  <c r="Z1172" i="1"/>
  <c r="Z1173" i="1"/>
  <c r="H1174" i="1"/>
  <c r="Z1174" i="1"/>
  <c r="Z1175" i="1"/>
  <c r="Z1176" i="1"/>
  <c r="H1177" i="1"/>
  <c r="Z1177" i="1"/>
  <c r="H1178" i="1"/>
  <c r="Z1178" i="1"/>
  <c r="Z1179" i="1"/>
  <c r="Z1180" i="1"/>
  <c r="H1181" i="1"/>
  <c r="Z1181" i="1"/>
  <c r="H1182" i="1"/>
  <c r="Z1182" i="1"/>
  <c r="Z1183" i="1"/>
  <c r="Z1184" i="1"/>
  <c r="H1185" i="1"/>
  <c r="Z1185" i="1"/>
  <c r="H1186" i="1"/>
  <c r="Z1186" i="1"/>
  <c r="H1187" i="1"/>
  <c r="Z1187" i="1"/>
  <c r="H1188" i="1"/>
  <c r="Z1188" i="1"/>
  <c r="H1189" i="1"/>
  <c r="Z1189" i="1"/>
  <c r="H1190" i="1"/>
  <c r="Z1190" i="1"/>
  <c r="H1191" i="1"/>
  <c r="Z1191" i="1"/>
  <c r="H1192" i="1"/>
  <c r="Z1192" i="1"/>
  <c r="H1193" i="1"/>
  <c r="Z1193" i="1"/>
  <c r="H1194" i="1"/>
  <c r="Z1194" i="1"/>
  <c r="H1195" i="1"/>
  <c r="Z1195" i="1"/>
  <c r="H1196" i="1"/>
  <c r="Z1196" i="1"/>
  <c r="H1197" i="1"/>
  <c r="Z1197" i="1"/>
  <c r="H1198" i="1"/>
  <c r="Z1198" i="1"/>
  <c r="H1199" i="1"/>
  <c r="Z1199" i="1"/>
  <c r="H1200" i="1"/>
  <c r="Z1200" i="1"/>
  <c r="H1201" i="1"/>
  <c r="Z1201" i="1"/>
  <c r="H1202" i="1"/>
  <c r="Z1202" i="1"/>
  <c r="H1203" i="1"/>
  <c r="Z1203" i="1"/>
  <c r="H1204" i="1"/>
  <c r="Z1204" i="1"/>
  <c r="H1205" i="1"/>
  <c r="Z1205" i="1"/>
  <c r="H1206" i="1"/>
  <c r="Z1206" i="1"/>
  <c r="H1207" i="1"/>
  <c r="Z1207" i="1"/>
  <c r="Z1208" i="1"/>
  <c r="Z1209" i="1"/>
  <c r="H1210" i="1"/>
  <c r="Z1210" i="1"/>
  <c r="H1211" i="1"/>
  <c r="Z1211" i="1"/>
  <c r="H1212" i="1"/>
  <c r="Z1212" i="1"/>
  <c r="H1213" i="1"/>
  <c r="Z1213" i="1"/>
  <c r="H1214" i="1"/>
  <c r="Z1214" i="1"/>
  <c r="H1215" i="1"/>
  <c r="Z1215" i="1"/>
  <c r="H1216" i="1"/>
  <c r="Z1216" i="1"/>
  <c r="Z1217" i="1"/>
  <c r="Z1218" i="1"/>
  <c r="H1219" i="1"/>
  <c r="Z1219" i="1"/>
  <c r="H1220" i="1"/>
  <c r="Z1220" i="1"/>
  <c r="H1221" i="1"/>
  <c r="Z1221" i="1"/>
  <c r="H1222" i="1"/>
  <c r="Z1222" i="1"/>
  <c r="Z1223" i="1"/>
  <c r="Z1224" i="1"/>
  <c r="H1225" i="1"/>
  <c r="Z1225" i="1"/>
  <c r="H1226" i="1"/>
  <c r="Z1226" i="1"/>
  <c r="Z1227" i="1"/>
  <c r="Z1228" i="1"/>
  <c r="H1229" i="1"/>
  <c r="Z1229" i="1"/>
  <c r="H1230" i="1"/>
  <c r="Z1230" i="1"/>
  <c r="H1231" i="1"/>
  <c r="Z1231" i="1"/>
  <c r="H1232" i="1"/>
  <c r="Z1232" i="1"/>
  <c r="H1233" i="1"/>
  <c r="Z1233" i="1"/>
  <c r="H1234" i="1"/>
  <c r="Z1234" i="1"/>
  <c r="H1235" i="1"/>
  <c r="Z1235" i="1"/>
  <c r="H1236" i="1"/>
  <c r="Z1236" i="1"/>
  <c r="H1237" i="1"/>
  <c r="Z1237" i="1"/>
  <c r="Z1238" i="1"/>
  <c r="Z1239" i="1"/>
  <c r="H1240" i="1"/>
  <c r="Z1240" i="1"/>
  <c r="Z1241" i="1"/>
  <c r="Z1242" i="1"/>
  <c r="H1243" i="1"/>
  <c r="Z1243" i="1"/>
  <c r="Z1244" i="1"/>
  <c r="Z1245" i="1"/>
  <c r="H1246" i="1"/>
  <c r="Z1246" i="1"/>
  <c r="Z1247" i="1"/>
  <c r="Z1248" i="1"/>
  <c r="H1249" i="1"/>
  <c r="Z1249" i="1"/>
  <c r="H1250" i="1"/>
  <c r="Z1250" i="1"/>
  <c r="Z1251" i="1"/>
  <c r="Z1252" i="1"/>
  <c r="H1253" i="1"/>
  <c r="Z1253" i="1"/>
  <c r="Z1254" i="1"/>
  <c r="Z1255" i="1"/>
  <c r="H1256" i="1"/>
  <c r="Z1256" i="1"/>
  <c r="Z1257" i="1"/>
  <c r="Z1258" i="1"/>
  <c r="H1259" i="1"/>
  <c r="Z1259" i="1"/>
  <c r="H1260" i="1"/>
  <c r="Z1260" i="1"/>
  <c r="H1261" i="1"/>
  <c r="Z1261" i="1"/>
  <c r="H1262" i="1"/>
  <c r="Z1262" i="1"/>
  <c r="Z1263" i="1"/>
  <c r="Z1264" i="1"/>
  <c r="H1265" i="1"/>
  <c r="Z1265" i="1"/>
  <c r="H1266" i="1"/>
  <c r="Z1266" i="1"/>
  <c r="Z1267" i="1"/>
  <c r="Z1268" i="1"/>
  <c r="H1269" i="1"/>
  <c r="Z1269" i="1"/>
  <c r="H1270" i="1"/>
  <c r="Z1270" i="1"/>
  <c r="Z1271" i="1"/>
  <c r="Z1272" i="1"/>
  <c r="H1273" i="1"/>
  <c r="Z1273" i="1"/>
  <c r="Z1274" i="1"/>
  <c r="Z1275" i="1"/>
  <c r="H1276" i="1"/>
  <c r="Z1276" i="1"/>
  <c r="H1277" i="1"/>
  <c r="Z1277" i="1"/>
  <c r="Z1278" i="1"/>
  <c r="Z1279" i="1"/>
  <c r="H1280" i="1"/>
  <c r="Z1280" i="1"/>
  <c r="H1281" i="1"/>
  <c r="Z1281" i="1"/>
  <c r="Z1282" i="1"/>
  <c r="Z1283" i="1"/>
  <c r="H1284" i="1"/>
  <c r="Z1284" i="1"/>
  <c r="H1285" i="1"/>
  <c r="Z1285" i="1"/>
  <c r="Z1286" i="1"/>
  <c r="Z1287" i="1"/>
  <c r="H1288" i="1"/>
  <c r="Z1288" i="1"/>
  <c r="H1289" i="1"/>
  <c r="Z1289" i="1"/>
  <c r="Z1290" i="1"/>
  <c r="Z1291" i="1"/>
  <c r="H1292" i="1"/>
  <c r="Z1292" i="1"/>
  <c r="Z1293" i="1"/>
  <c r="Z1294" i="1"/>
  <c r="H1295" i="1"/>
  <c r="Z1295" i="1"/>
  <c r="Z1296" i="1"/>
  <c r="Z1297" i="1"/>
  <c r="Z1298" i="1"/>
  <c r="H1299" i="1"/>
  <c r="Z1299" i="1"/>
  <c r="Z1300" i="1"/>
  <c r="Z1301" i="1"/>
  <c r="H1302" i="1"/>
  <c r="Z1302" i="1"/>
  <c r="Z1303" i="1"/>
  <c r="Z1304" i="1"/>
  <c r="H1305" i="1"/>
  <c r="Z1305" i="1"/>
  <c r="H1306" i="1"/>
  <c r="Z1306" i="1"/>
  <c r="H1307" i="1"/>
  <c r="Z1307" i="1"/>
  <c r="H1308" i="1"/>
  <c r="Z1308" i="1"/>
  <c r="Z1309" i="1"/>
  <c r="Z1310" i="1"/>
  <c r="H1311" i="1"/>
  <c r="Z1311" i="1"/>
  <c r="H1312" i="1"/>
  <c r="Z1312" i="1"/>
  <c r="Z1313" i="1"/>
  <c r="Z1314" i="1"/>
  <c r="H1315" i="1"/>
  <c r="Z1315" i="1"/>
  <c r="Z1316" i="1"/>
  <c r="Z1317" i="1"/>
  <c r="H1318" i="1"/>
  <c r="Z1318" i="1"/>
  <c r="H1319" i="1"/>
  <c r="Z1319" i="1"/>
  <c r="H1320" i="1"/>
  <c r="Z1320" i="1"/>
  <c r="H1321" i="1"/>
  <c r="Z1321" i="1"/>
  <c r="H1322" i="1"/>
  <c r="Z1322" i="1"/>
  <c r="H1323" i="1"/>
  <c r="Z1323" i="1"/>
  <c r="Z1324" i="1"/>
  <c r="Z1325" i="1"/>
  <c r="H1326" i="1"/>
  <c r="Z1326" i="1"/>
  <c r="Z1327" i="1"/>
  <c r="Z1328" i="1"/>
  <c r="H1329" i="1"/>
  <c r="Z1329" i="1"/>
  <c r="H1330" i="1"/>
  <c r="Z1330" i="1"/>
  <c r="Z1331" i="1"/>
  <c r="Z1332" i="1"/>
  <c r="H1333" i="1"/>
  <c r="Z1333" i="1"/>
  <c r="Z1334" i="1"/>
  <c r="Z1335" i="1"/>
  <c r="H1336" i="1"/>
  <c r="Z1336" i="1"/>
  <c r="Z1337" i="1"/>
  <c r="Z1338" i="1"/>
  <c r="H1339" i="1"/>
  <c r="Z1339" i="1"/>
  <c r="H1340" i="1"/>
  <c r="Z1340" i="1"/>
  <c r="H1341" i="1"/>
  <c r="Z1341" i="1"/>
  <c r="H1342" i="1"/>
  <c r="Z1342" i="1"/>
  <c r="Z1343" i="1"/>
  <c r="Z1344" i="1"/>
  <c r="H1345" i="1"/>
  <c r="Z1345" i="1"/>
  <c r="H1346" i="1"/>
  <c r="Z1346" i="1"/>
  <c r="H1347" i="1"/>
  <c r="Z1347" i="1"/>
  <c r="H1348" i="1"/>
  <c r="Z1348" i="1"/>
  <c r="Z1349" i="1"/>
  <c r="Z1350" i="1"/>
  <c r="H1351" i="1"/>
  <c r="Z1351" i="1"/>
  <c r="Z1352" i="1"/>
  <c r="Z1353" i="1"/>
  <c r="H1354" i="1"/>
  <c r="Z1354" i="1"/>
  <c r="Z1355" i="1"/>
  <c r="Z1356" i="1"/>
  <c r="H1357" i="1"/>
  <c r="Z1357" i="1"/>
  <c r="H1358" i="1"/>
  <c r="Z1358" i="1"/>
  <c r="Z1359" i="1"/>
  <c r="Z1360" i="1"/>
  <c r="H1361" i="1"/>
  <c r="Z1361" i="1"/>
  <c r="Z1362" i="1"/>
  <c r="Z1363" i="1"/>
  <c r="H1364" i="1"/>
  <c r="Z1364" i="1"/>
  <c r="Z1365" i="1"/>
  <c r="Z1366" i="1"/>
  <c r="H1367" i="1"/>
  <c r="Z1367" i="1"/>
  <c r="Z1368" i="1"/>
  <c r="Z1369" i="1"/>
  <c r="H1370" i="1"/>
  <c r="Z1370" i="1"/>
  <c r="H1371" i="1"/>
  <c r="Z1371" i="1"/>
  <c r="H1372" i="1"/>
  <c r="Z1372" i="1"/>
  <c r="H1373" i="1"/>
  <c r="Z1373" i="1"/>
  <c r="H1374" i="1"/>
  <c r="Z1374" i="1"/>
  <c r="H1375" i="1"/>
  <c r="Z1375" i="1"/>
  <c r="Z1376" i="1"/>
  <c r="Z1377" i="1"/>
  <c r="H1378" i="1"/>
  <c r="Z1378" i="1"/>
  <c r="H1379" i="1"/>
  <c r="Z1379" i="1"/>
  <c r="H1380" i="1"/>
  <c r="Z1380" i="1"/>
  <c r="Z1381" i="1"/>
  <c r="Z1382" i="1"/>
  <c r="H1383" i="1"/>
  <c r="Z1383" i="1"/>
  <c r="Z1384" i="1"/>
  <c r="Z1385" i="1"/>
  <c r="H1386" i="1"/>
  <c r="Z1386" i="1"/>
  <c r="H1387" i="1"/>
  <c r="Z1387" i="1"/>
  <c r="H1388" i="1"/>
  <c r="Z1388" i="1"/>
  <c r="Z1389" i="1"/>
  <c r="Z1390" i="1"/>
  <c r="H1391" i="1"/>
  <c r="Z1391" i="1"/>
  <c r="H1392" i="1"/>
  <c r="Z1392" i="1"/>
  <c r="H1393" i="1"/>
  <c r="Z1393" i="1"/>
  <c r="H1394" i="1"/>
  <c r="Z1394" i="1"/>
  <c r="H1395" i="1"/>
  <c r="Z1395" i="1"/>
  <c r="Z1396" i="1"/>
  <c r="Z1397" i="1"/>
  <c r="H1398" i="1"/>
  <c r="Z1398" i="1"/>
  <c r="H1399" i="1"/>
  <c r="Z1399" i="1"/>
  <c r="H1400" i="1"/>
  <c r="Z1400" i="1"/>
  <c r="Z1401" i="1"/>
  <c r="Z1402" i="1"/>
  <c r="H1403" i="1"/>
  <c r="Z1403" i="1"/>
  <c r="Z1404" i="1"/>
  <c r="Z1405" i="1"/>
  <c r="H1406" i="1"/>
  <c r="Z1406" i="1"/>
  <c r="H1407" i="1"/>
  <c r="Z1407" i="1"/>
  <c r="H1408" i="1"/>
  <c r="Z1408" i="1"/>
  <c r="H1409" i="1"/>
  <c r="Z1409" i="1"/>
  <c r="H1410" i="1"/>
  <c r="Z1410" i="1"/>
  <c r="H1411" i="1"/>
  <c r="Z1411" i="1"/>
  <c r="H1412" i="1"/>
  <c r="Z1412" i="1"/>
  <c r="Z1413" i="1"/>
  <c r="Z1414" i="1"/>
  <c r="H1415" i="1"/>
  <c r="Z1415" i="1"/>
  <c r="H1416" i="1"/>
  <c r="Z1416" i="1"/>
  <c r="Z1417" i="1"/>
  <c r="Z1418" i="1"/>
  <c r="H1419" i="1"/>
  <c r="Z1419" i="1"/>
  <c r="H1420" i="1"/>
  <c r="Z1420" i="1"/>
  <c r="H1421" i="1"/>
  <c r="Z1421" i="1"/>
  <c r="H1422" i="1"/>
  <c r="Z1422" i="1"/>
  <c r="H1423" i="1"/>
  <c r="Z1423" i="1"/>
  <c r="H1424" i="1"/>
  <c r="Z1424" i="1"/>
  <c r="H1425" i="1"/>
  <c r="Z1425" i="1"/>
  <c r="H1426" i="1"/>
  <c r="Z1426" i="1"/>
  <c r="Z1427" i="1"/>
  <c r="Z1428" i="1"/>
  <c r="H1429" i="1"/>
  <c r="Z1429" i="1"/>
  <c r="H1430" i="1"/>
  <c r="Z1430" i="1"/>
  <c r="H1431" i="1"/>
  <c r="Z1431" i="1"/>
  <c r="H1432" i="1"/>
  <c r="Z1432" i="1"/>
  <c r="H1433" i="1"/>
  <c r="Z1433" i="1"/>
  <c r="H1434" i="1"/>
  <c r="Z1434" i="1"/>
  <c r="H1435" i="1"/>
  <c r="Z1435" i="1"/>
  <c r="H1436" i="1"/>
  <c r="Z1436" i="1"/>
  <c r="H1437" i="1"/>
  <c r="Z1437" i="1"/>
  <c r="Z1438" i="1"/>
  <c r="Z1439" i="1"/>
  <c r="H1440" i="1"/>
  <c r="Z1440" i="1"/>
  <c r="H1441" i="1"/>
  <c r="Z1441" i="1"/>
  <c r="Z1442" i="1"/>
  <c r="Z1443" i="1"/>
  <c r="H1444" i="1"/>
  <c r="Z1444" i="1"/>
  <c r="H1445" i="1"/>
  <c r="Z1445" i="1"/>
  <c r="H1446" i="1"/>
  <c r="Z1446" i="1"/>
  <c r="Z1447" i="1"/>
  <c r="Z1448" i="1"/>
  <c r="H1449" i="1"/>
  <c r="Z1449" i="1"/>
  <c r="Z1450" i="1"/>
  <c r="Z1451" i="1"/>
  <c r="H1452" i="1"/>
  <c r="Z1452" i="1"/>
  <c r="H1453" i="1"/>
  <c r="Z1453" i="1"/>
  <c r="H1454" i="1"/>
  <c r="Z1454" i="1"/>
  <c r="Z1455" i="1"/>
  <c r="Z1456" i="1"/>
  <c r="H1457" i="1"/>
  <c r="Z1457" i="1"/>
  <c r="Z1458" i="1"/>
  <c r="Z1459" i="1"/>
  <c r="H1460" i="1"/>
  <c r="Z1460" i="1"/>
  <c r="Z1461" i="1"/>
  <c r="Z1462" i="1"/>
  <c r="H1463" i="1"/>
  <c r="Z1463" i="1"/>
  <c r="Z1464" i="1"/>
  <c r="Z1465" i="1"/>
  <c r="H1466" i="1"/>
  <c r="Z1466" i="1"/>
  <c r="H1467" i="1"/>
  <c r="Z1467" i="1"/>
  <c r="H1468" i="1"/>
  <c r="Z1468" i="1"/>
  <c r="Z1469" i="1"/>
  <c r="Z1470" i="1"/>
  <c r="H1471" i="1"/>
  <c r="Z1471" i="1"/>
  <c r="Z1472" i="1"/>
  <c r="Z1473" i="1"/>
  <c r="Z1474" i="1"/>
  <c r="H1475" i="1"/>
  <c r="Z1475" i="1"/>
  <c r="H1476" i="1"/>
  <c r="Z1476" i="1"/>
  <c r="H1477" i="1"/>
  <c r="Z1477" i="1"/>
  <c r="Z1478" i="1"/>
  <c r="Z1479" i="1"/>
  <c r="H1480" i="1"/>
  <c r="Z1480" i="1"/>
  <c r="Z1481" i="1"/>
  <c r="Z1482" i="1"/>
  <c r="H1483" i="1"/>
  <c r="Z1483" i="1"/>
  <c r="Z1484" i="1"/>
  <c r="Z1485" i="1"/>
  <c r="H1486" i="1"/>
  <c r="Z1486" i="1"/>
  <c r="Z1487" i="1"/>
  <c r="Z1488" i="1"/>
  <c r="H1489" i="1"/>
  <c r="Z1489" i="1"/>
  <c r="Z1490" i="1"/>
  <c r="Z1491" i="1"/>
  <c r="H1492" i="1"/>
  <c r="Z1492" i="1"/>
  <c r="H1493" i="1"/>
  <c r="Z1493" i="1"/>
  <c r="Z1494" i="1"/>
  <c r="Z1495" i="1"/>
  <c r="H1496" i="1"/>
  <c r="Z1496" i="1"/>
  <c r="Z1497" i="1"/>
  <c r="Z1498" i="1"/>
  <c r="H1499" i="1"/>
  <c r="Z1499" i="1"/>
  <c r="Z1500" i="1"/>
  <c r="Z1501" i="1"/>
  <c r="H1502" i="1"/>
  <c r="Z1502" i="1"/>
  <c r="Z1503" i="1"/>
  <c r="Z1504" i="1"/>
  <c r="H1505" i="1"/>
  <c r="Z1505" i="1"/>
  <c r="Z1506" i="1"/>
  <c r="Z1507" i="1"/>
  <c r="H1508" i="1"/>
  <c r="Z1508" i="1"/>
  <c r="Z1509" i="1"/>
  <c r="Z1510" i="1"/>
  <c r="H1511" i="1"/>
  <c r="Z1511" i="1"/>
  <c r="H1512" i="1"/>
  <c r="Z1512" i="1"/>
  <c r="H1513" i="1"/>
  <c r="Z1513" i="1"/>
  <c r="H1514" i="1"/>
  <c r="Z1514" i="1"/>
  <c r="H1515" i="1"/>
  <c r="Z1515" i="1"/>
  <c r="Z1516" i="1"/>
  <c r="Z1517" i="1"/>
  <c r="H1518" i="1"/>
  <c r="Z1518" i="1"/>
  <c r="H1519" i="1"/>
  <c r="Z1519" i="1"/>
  <c r="Z1520" i="1"/>
  <c r="Z1521" i="1"/>
  <c r="H1522" i="1"/>
  <c r="Z1522" i="1"/>
  <c r="H1523" i="1"/>
  <c r="Z1523" i="1"/>
  <c r="H1524" i="1"/>
  <c r="Z1524" i="1"/>
  <c r="H1525" i="1"/>
  <c r="Z1525" i="1"/>
  <c r="H1526" i="1"/>
  <c r="Z1526" i="1"/>
  <c r="H1527" i="1"/>
  <c r="Z1527" i="1"/>
  <c r="Z1528" i="1"/>
  <c r="Z1529" i="1"/>
  <c r="H1530" i="1"/>
  <c r="Z1530" i="1"/>
  <c r="Z1531" i="1"/>
  <c r="Z1532" i="1"/>
  <c r="H1533" i="1"/>
  <c r="Z1533" i="1"/>
  <c r="H1534" i="1"/>
  <c r="Z1534" i="1"/>
  <c r="H1535" i="1"/>
  <c r="Z1535" i="1"/>
  <c r="H1536" i="1"/>
  <c r="Z1536" i="1"/>
  <c r="H1537" i="1"/>
  <c r="Z1537" i="1"/>
  <c r="H1538" i="1"/>
  <c r="Z1538" i="1"/>
  <c r="H1539" i="1"/>
  <c r="Z1539" i="1"/>
  <c r="H1540" i="1"/>
  <c r="Z1540" i="1"/>
  <c r="H1541" i="1"/>
  <c r="Z1541" i="1"/>
  <c r="Z1542" i="1"/>
  <c r="Z1543" i="1"/>
  <c r="H1544" i="1"/>
  <c r="Z1544" i="1"/>
  <c r="H1545" i="1"/>
  <c r="Z1545" i="1"/>
  <c r="H1546" i="1"/>
  <c r="Z1546" i="1"/>
  <c r="Z1547" i="1"/>
  <c r="Z1548" i="1"/>
  <c r="H1549" i="1"/>
  <c r="Z1549" i="1"/>
  <c r="Z1550" i="1"/>
  <c r="Z1551" i="1"/>
  <c r="H1552" i="1"/>
  <c r="Z1552" i="1"/>
  <c r="Z1553" i="1"/>
  <c r="Z1554" i="1"/>
  <c r="H1555" i="1"/>
  <c r="Z1555" i="1"/>
  <c r="H1556" i="1"/>
  <c r="Z1556" i="1"/>
  <c r="Z1557" i="1"/>
  <c r="Z1558" i="1"/>
  <c r="H1559" i="1"/>
  <c r="Z1559" i="1"/>
  <c r="Z1560" i="1"/>
  <c r="Z1561" i="1"/>
  <c r="H1562" i="1"/>
  <c r="Z1562" i="1"/>
  <c r="Z1563" i="1"/>
  <c r="Z1564" i="1"/>
  <c r="H1565" i="1"/>
  <c r="Z1565" i="1"/>
  <c r="Z1566" i="1"/>
  <c r="Z1567" i="1"/>
  <c r="H1568" i="1"/>
  <c r="Z1568" i="1"/>
  <c r="Z1569" i="1"/>
  <c r="Z1570" i="1"/>
  <c r="H1571" i="1"/>
  <c r="Z1571" i="1"/>
  <c r="H1572" i="1"/>
  <c r="Z1572" i="1"/>
  <c r="Z1573" i="1"/>
  <c r="Z1574" i="1"/>
  <c r="H1575" i="1"/>
  <c r="Z1575" i="1"/>
  <c r="Z1576" i="1"/>
  <c r="Z1577" i="1"/>
  <c r="H1578" i="1"/>
  <c r="Z1578" i="1"/>
  <c r="H1579" i="1"/>
  <c r="Z1579" i="1"/>
  <c r="H1580" i="1"/>
  <c r="Z1580" i="1"/>
  <c r="H1581" i="1"/>
  <c r="Z1581" i="1"/>
  <c r="Z1582" i="1"/>
  <c r="Z1583" i="1"/>
  <c r="H1584" i="1"/>
  <c r="Z1584" i="1"/>
  <c r="H1585" i="1"/>
  <c r="Z1585" i="1"/>
  <c r="Z1586" i="1"/>
  <c r="Z1587" i="1"/>
  <c r="H1588" i="1"/>
  <c r="Z1588" i="1"/>
  <c r="H1589" i="1"/>
  <c r="Z1589" i="1"/>
  <c r="Z1590" i="1"/>
  <c r="Z1591" i="1"/>
  <c r="H1592" i="1"/>
  <c r="Z1592" i="1"/>
  <c r="Z1593" i="1"/>
  <c r="Z1594" i="1"/>
  <c r="H1595" i="1"/>
  <c r="Z1595" i="1"/>
  <c r="H1596" i="1"/>
  <c r="Z1596" i="1"/>
  <c r="H1597" i="1"/>
  <c r="Z1597" i="1"/>
  <c r="H1598" i="1"/>
  <c r="Z1598" i="1"/>
  <c r="H1599" i="1"/>
  <c r="Z1599" i="1"/>
  <c r="H1600" i="1"/>
  <c r="Z1600" i="1"/>
  <c r="H1601" i="1"/>
  <c r="Z1601" i="1"/>
  <c r="Z1602" i="1"/>
  <c r="Z1603" i="1"/>
  <c r="H1604" i="1"/>
  <c r="Z1604" i="1"/>
  <c r="H1605" i="1"/>
  <c r="Z1605" i="1"/>
  <c r="H1606" i="1"/>
  <c r="Z1606" i="1"/>
  <c r="Z1607" i="1"/>
  <c r="Z1608" i="1"/>
  <c r="H1609" i="1"/>
  <c r="Z1609" i="1"/>
  <c r="H1610" i="1"/>
  <c r="Z1610" i="1"/>
  <c r="H1611" i="1"/>
  <c r="Z1611" i="1"/>
  <c r="Z1612" i="1"/>
  <c r="Z1613" i="1"/>
  <c r="H1614" i="1"/>
  <c r="Z1614" i="1"/>
  <c r="Z1615" i="1"/>
  <c r="Z1616" i="1"/>
  <c r="H1617" i="1"/>
  <c r="Z1617" i="1"/>
  <c r="Z1618" i="1"/>
  <c r="Z1619" i="1"/>
  <c r="H1620" i="1"/>
  <c r="Z1620" i="1"/>
  <c r="Z1621" i="1"/>
  <c r="Z1622" i="1"/>
  <c r="H1623" i="1"/>
  <c r="Z1623" i="1"/>
  <c r="H1624" i="1"/>
  <c r="Z1624" i="1"/>
  <c r="Z1625" i="1"/>
  <c r="Z1626" i="1"/>
  <c r="H1627" i="1"/>
  <c r="Z1627" i="1"/>
  <c r="Z1628" i="1"/>
  <c r="Z1629" i="1"/>
  <c r="H1630" i="1"/>
  <c r="Z1630" i="1"/>
  <c r="H1631" i="1"/>
  <c r="Z1631" i="1"/>
  <c r="H1632" i="1"/>
  <c r="Z1632" i="1"/>
  <c r="Z1633" i="1"/>
  <c r="Z1634" i="1"/>
  <c r="H1635" i="1"/>
  <c r="Z1635" i="1"/>
  <c r="Z1636" i="1"/>
  <c r="Z1637" i="1"/>
  <c r="H1638" i="1"/>
  <c r="Z1638" i="1"/>
  <c r="H1639" i="1"/>
  <c r="Z1639" i="1"/>
  <c r="H1640" i="1"/>
  <c r="Z1640" i="1"/>
  <c r="H1641" i="1"/>
  <c r="Z1641" i="1"/>
  <c r="H1642" i="1"/>
  <c r="Z1642" i="1"/>
  <c r="H1643" i="1"/>
  <c r="Z1643" i="1"/>
  <c r="H1644" i="1"/>
  <c r="Z1644" i="1"/>
  <c r="H1645" i="1"/>
  <c r="Z1645" i="1"/>
  <c r="Z1646" i="1"/>
  <c r="Z1647" i="1"/>
  <c r="H1648" i="1"/>
  <c r="Z1648" i="1"/>
  <c r="H1649" i="1"/>
  <c r="Z1649" i="1"/>
  <c r="H1650" i="1"/>
  <c r="Z1650" i="1"/>
  <c r="H1651" i="1"/>
  <c r="Z1651" i="1"/>
  <c r="Z1652" i="1"/>
  <c r="Z1653" i="1"/>
  <c r="H1654" i="1"/>
  <c r="Z1654" i="1"/>
  <c r="H1655" i="1"/>
  <c r="Z1655" i="1"/>
  <c r="Z1656" i="1"/>
  <c r="Z1657" i="1"/>
  <c r="H1658" i="1"/>
  <c r="Z1658" i="1"/>
  <c r="Z1659" i="1"/>
  <c r="H1660" i="1"/>
  <c r="Z1660" i="1"/>
  <c r="H1661" i="1"/>
  <c r="Z1661" i="1"/>
  <c r="H1662" i="1"/>
  <c r="Z1662" i="1"/>
  <c r="Z1663" i="1"/>
  <c r="Z1664" i="1"/>
  <c r="H1665" i="1"/>
  <c r="Z1665" i="1"/>
  <c r="H1666" i="1"/>
  <c r="Z1666" i="1"/>
  <c r="H1667" i="1"/>
  <c r="Z1667" i="1"/>
  <c r="H1668" i="1"/>
  <c r="Z1668" i="1"/>
  <c r="H1669" i="1"/>
  <c r="Z1669" i="1"/>
  <c r="H1670" i="1"/>
  <c r="Z1670" i="1"/>
  <c r="H1671" i="1"/>
  <c r="Z1671" i="1"/>
  <c r="H1672" i="1"/>
  <c r="Z1672" i="1"/>
  <c r="H1673" i="1"/>
  <c r="Z1673" i="1"/>
  <c r="H1674" i="1"/>
  <c r="Z1674" i="1"/>
  <c r="H1675" i="1"/>
  <c r="Z1675" i="1"/>
  <c r="H1676" i="1"/>
  <c r="Z1676" i="1"/>
  <c r="H1677" i="1"/>
  <c r="Z1677" i="1"/>
  <c r="H1678" i="1"/>
  <c r="Z1678" i="1"/>
  <c r="H1679" i="1"/>
  <c r="Z1679" i="1"/>
  <c r="H1680" i="1"/>
  <c r="Z1680" i="1"/>
  <c r="H1681" i="1"/>
  <c r="Z1681" i="1"/>
  <c r="Z1682" i="1"/>
  <c r="Z1683" i="1"/>
  <c r="H1684" i="1"/>
  <c r="Z1684" i="1"/>
  <c r="Z1685" i="1"/>
  <c r="Z1686" i="1"/>
  <c r="H1687" i="1"/>
  <c r="Z1687" i="1"/>
  <c r="H1688" i="1"/>
  <c r="Z1688" i="1"/>
  <c r="Z1689" i="1"/>
  <c r="Z1690" i="1"/>
  <c r="H1691" i="1"/>
  <c r="Z1691" i="1"/>
  <c r="H1692" i="1"/>
  <c r="Z1692" i="1"/>
  <c r="H1693" i="1"/>
  <c r="Z1693" i="1"/>
  <c r="H1694" i="1"/>
  <c r="Z1694" i="1"/>
  <c r="H1695" i="1"/>
  <c r="Z1695" i="1"/>
  <c r="H1696" i="1"/>
  <c r="Z1696" i="1"/>
  <c r="H1697" i="1"/>
  <c r="Z1697" i="1"/>
  <c r="Z1698" i="1"/>
  <c r="Z1699" i="1"/>
  <c r="H1700" i="1"/>
  <c r="Z1700" i="1"/>
  <c r="H1701" i="1"/>
  <c r="Z1701" i="1"/>
  <c r="Z1702" i="1"/>
  <c r="Z1703" i="1"/>
  <c r="H1704" i="1"/>
  <c r="Z1704" i="1"/>
  <c r="H1705" i="1"/>
  <c r="Z1705" i="1"/>
  <c r="Z1706" i="1"/>
  <c r="Z1707" i="1"/>
  <c r="H1708" i="1"/>
  <c r="Z1708" i="1"/>
  <c r="Z1709" i="1"/>
  <c r="Z1710" i="1"/>
  <c r="H1711" i="1"/>
  <c r="Z1711" i="1"/>
  <c r="Z1712" i="1"/>
  <c r="Z1713" i="1"/>
  <c r="H1714" i="1"/>
  <c r="Z1714" i="1"/>
  <c r="H1715" i="1"/>
  <c r="Z1715" i="1"/>
  <c r="H1716" i="1"/>
  <c r="Z1716" i="1"/>
  <c r="H1717" i="1"/>
  <c r="Z1717" i="1"/>
  <c r="Z1718" i="1"/>
  <c r="Z1719" i="1"/>
  <c r="H1720" i="1"/>
  <c r="Z1720" i="1"/>
  <c r="H1721" i="1"/>
  <c r="Z1721" i="1"/>
  <c r="H1722" i="1"/>
  <c r="Z1722" i="1"/>
  <c r="Z1723" i="1"/>
  <c r="Z1724" i="1"/>
  <c r="H1725" i="1"/>
  <c r="Z1725" i="1"/>
  <c r="H1726" i="1"/>
  <c r="Z1726" i="1"/>
  <c r="Z1727" i="1"/>
  <c r="Z1728" i="1"/>
  <c r="H1729" i="1"/>
  <c r="Z1729" i="1"/>
  <c r="H1730" i="1"/>
  <c r="Z1730" i="1"/>
  <c r="H1731" i="1"/>
  <c r="Z1731" i="1"/>
  <c r="Z1732" i="1"/>
  <c r="Z1733" i="1"/>
  <c r="H1734" i="1"/>
  <c r="Z1734" i="1"/>
  <c r="Z1735" i="1"/>
  <c r="Z1736" i="1"/>
  <c r="H1737" i="1"/>
  <c r="Z1737" i="1"/>
  <c r="Z1738" i="1"/>
  <c r="Z1739" i="1"/>
  <c r="H1740" i="1"/>
  <c r="Z1740" i="1"/>
  <c r="Z1741" i="1"/>
  <c r="Z1742" i="1"/>
  <c r="H1743" i="1"/>
  <c r="Z1743" i="1"/>
  <c r="H1744" i="1"/>
  <c r="Z1744" i="1"/>
  <c r="Z1745" i="1"/>
  <c r="Z1746" i="1"/>
  <c r="H1747" i="1"/>
  <c r="Z1747" i="1"/>
  <c r="Z1748" i="1"/>
  <c r="Z1749" i="1"/>
  <c r="H1750" i="1"/>
  <c r="Z1750" i="1"/>
  <c r="Z1751" i="1"/>
  <c r="Z1752" i="1"/>
  <c r="H1753" i="1"/>
  <c r="Z1753" i="1"/>
  <c r="H1754" i="1"/>
  <c r="Z1754" i="1"/>
  <c r="H1755" i="1"/>
  <c r="Z1755" i="1"/>
  <c r="H1756" i="1"/>
  <c r="Z1756" i="1"/>
  <c r="H1757" i="1"/>
  <c r="Z1757" i="1"/>
  <c r="Z1758" i="1"/>
  <c r="Z1759" i="1"/>
  <c r="H1760" i="1"/>
  <c r="Z1760" i="1"/>
  <c r="H1761" i="1"/>
  <c r="Z1761" i="1"/>
  <c r="Z1762" i="1"/>
  <c r="Z1763" i="1"/>
  <c r="H1764" i="1"/>
  <c r="Z1764" i="1"/>
  <c r="H1765" i="1"/>
  <c r="Z1765" i="1"/>
  <c r="H1766" i="1"/>
  <c r="Z1766" i="1"/>
  <c r="Z1767" i="1"/>
  <c r="Z1768" i="1"/>
  <c r="Z1769" i="1"/>
  <c r="H1770" i="1"/>
  <c r="Z1770" i="1"/>
  <c r="Z1771" i="1"/>
  <c r="Z1772" i="1"/>
  <c r="H1773" i="1"/>
  <c r="Z1773" i="1"/>
  <c r="Z1774" i="1"/>
  <c r="Z1775" i="1"/>
  <c r="H1776" i="1"/>
  <c r="Z1776" i="1"/>
  <c r="H1777" i="1"/>
  <c r="Z1777" i="1"/>
  <c r="H1778" i="1"/>
  <c r="Z1778" i="1"/>
  <c r="H1779" i="1"/>
  <c r="Z1779" i="1"/>
  <c r="Z1780" i="1"/>
  <c r="Z1781" i="1"/>
  <c r="H1782" i="1"/>
  <c r="Z1782" i="1"/>
  <c r="H1783" i="1"/>
  <c r="Z1783" i="1"/>
  <c r="H1784" i="1"/>
  <c r="Z1784" i="1"/>
  <c r="Z1785" i="1"/>
  <c r="Z1786" i="1"/>
  <c r="H1787" i="1"/>
  <c r="Z1787" i="1"/>
  <c r="H1788" i="1"/>
  <c r="Z1788" i="1"/>
  <c r="H1789" i="1"/>
  <c r="Z1789" i="1"/>
  <c r="Z1790" i="1"/>
  <c r="Z1791" i="1"/>
  <c r="H1792" i="1"/>
  <c r="Z1792" i="1"/>
  <c r="H1793" i="1"/>
  <c r="Z1793" i="1"/>
  <c r="Z1794" i="1"/>
  <c r="Z1795" i="1"/>
  <c r="H1796" i="1"/>
  <c r="Z1796" i="1"/>
  <c r="Z1797" i="1"/>
  <c r="Z1798" i="1"/>
  <c r="H1799" i="1"/>
  <c r="Z1799" i="1"/>
  <c r="Z1800" i="1"/>
  <c r="Z1801" i="1"/>
  <c r="H1802" i="1"/>
  <c r="Z1802" i="1"/>
  <c r="H1803" i="1"/>
  <c r="Z1803" i="1"/>
  <c r="H1804" i="1"/>
  <c r="Z1804" i="1"/>
  <c r="Z1805" i="1"/>
  <c r="Z1806" i="1"/>
  <c r="H1807" i="1"/>
  <c r="Z1807" i="1"/>
  <c r="Z1808" i="1"/>
  <c r="Z1809" i="1"/>
  <c r="H1810" i="1"/>
  <c r="Z1810" i="1"/>
  <c r="Z1811" i="1"/>
  <c r="Z1812" i="1"/>
  <c r="H1813" i="1"/>
  <c r="Z1813" i="1"/>
  <c r="H1814" i="1"/>
  <c r="Z1814" i="1"/>
  <c r="H1815" i="1"/>
  <c r="Z1815" i="1"/>
  <c r="H1816" i="1"/>
  <c r="Z1816" i="1"/>
  <c r="Z1817" i="1"/>
  <c r="Z1818" i="1"/>
  <c r="H1819" i="1"/>
  <c r="Z1819" i="1"/>
  <c r="H1820" i="1"/>
  <c r="Z1820" i="1"/>
  <c r="H1821" i="1"/>
  <c r="Z1821" i="1"/>
  <c r="Z1822" i="1"/>
  <c r="Z1823" i="1"/>
  <c r="H1824" i="1"/>
  <c r="Z1824" i="1"/>
  <c r="Z1825" i="1"/>
  <c r="Z1826" i="1"/>
  <c r="H1827" i="1"/>
  <c r="Z1827" i="1"/>
  <c r="H1828" i="1"/>
  <c r="Z1828" i="1"/>
  <c r="H1829" i="1"/>
  <c r="Z1829" i="1"/>
  <c r="H1830" i="1"/>
  <c r="Z1830" i="1"/>
  <c r="H1831" i="1"/>
  <c r="Z1831" i="1"/>
  <c r="Z1832" i="1"/>
  <c r="Z1833" i="1"/>
  <c r="H1834" i="1"/>
  <c r="Z1834" i="1"/>
  <c r="H1835" i="1"/>
  <c r="Z1835" i="1"/>
  <c r="H1836" i="1"/>
  <c r="Z1836" i="1"/>
  <c r="H1837" i="1"/>
  <c r="Z1837" i="1"/>
  <c r="Z1838" i="1"/>
  <c r="Z1839" i="1"/>
  <c r="H1840" i="1"/>
  <c r="Z1840" i="1"/>
  <c r="Z1841" i="1"/>
  <c r="Z1842" i="1"/>
  <c r="H1843" i="1"/>
  <c r="Z1843" i="1"/>
  <c r="Z1844" i="1"/>
  <c r="Z1845" i="1"/>
  <c r="H1846" i="1"/>
  <c r="Z1846" i="1"/>
  <c r="Z1847" i="1"/>
  <c r="Z1848" i="1"/>
  <c r="H1849" i="1"/>
  <c r="Z1849" i="1"/>
  <c r="Z1850" i="1"/>
  <c r="Z1851" i="1"/>
  <c r="H1852" i="1"/>
  <c r="Z1852" i="1"/>
  <c r="H1853" i="1"/>
  <c r="Z1853" i="1"/>
  <c r="H1854" i="1"/>
  <c r="Z1854" i="1"/>
  <c r="Z1855" i="1"/>
  <c r="Z1856" i="1"/>
  <c r="H1857" i="1"/>
  <c r="Z1857" i="1"/>
  <c r="Z1858" i="1"/>
  <c r="Z1859" i="1"/>
  <c r="H1860" i="1"/>
  <c r="Z1860" i="1"/>
  <c r="Z1861" i="1"/>
  <c r="Z1862" i="1"/>
  <c r="H1863" i="1"/>
  <c r="Z1863" i="1"/>
  <c r="Z1864" i="1"/>
  <c r="Z1865" i="1"/>
  <c r="H1866" i="1"/>
  <c r="Z1866" i="1"/>
  <c r="Z1867" i="1"/>
  <c r="Z1868" i="1"/>
  <c r="H1869" i="1"/>
  <c r="Z1869" i="1"/>
  <c r="Z1870" i="1"/>
  <c r="Z1871" i="1"/>
  <c r="H1872" i="1"/>
  <c r="Z1872" i="1"/>
  <c r="Z1873" i="1"/>
  <c r="Z1874" i="1"/>
  <c r="H1875" i="1"/>
  <c r="Z1875" i="1"/>
  <c r="Z1876" i="1"/>
  <c r="Z1877" i="1"/>
  <c r="H1878" i="1"/>
  <c r="Z1878" i="1"/>
  <c r="H1879" i="1"/>
  <c r="Z1879" i="1"/>
  <c r="H1880" i="1"/>
  <c r="Z1880" i="1"/>
  <c r="H1881" i="1"/>
  <c r="Z1881" i="1"/>
  <c r="H1882" i="1"/>
  <c r="Z1882" i="1"/>
  <c r="H1883" i="1"/>
  <c r="Z1883" i="1"/>
  <c r="Z1884" i="1"/>
  <c r="Z1885" i="1"/>
  <c r="H1886" i="1"/>
  <c r="Z1886" i="1"/>
  <c r="H1887" i="1"/>
  <c r="Z1887" i="1"/>
  <c r="H1888" i="1"/>
  <c r="Z1888" i="1"/>
  <c r="Z1889" i="1"/>
  <c r="Z1890" i="1"/>
  <c r="H1891" i="1"/>
  <c r="Z1891" i="1"/>
  <c r="Z1892" i="1"/>
  <c r="Z1893" i="1"/>
  <c r="H1894" i="1"/>
  <c r="Z1894" i="1"/>
  <c r="H1895" i="1"/>
  <c r="Z1895" i="1"/>
  <c r="Z1896" i="1"/>
  <c r="Z1897" i="1"/>
  <c r="H1898" i="1"/>
  <c r="Z1898" i="1"/>
  <c r="H1899" i="1"/>
  <c r="Z1899" i="1"/>
  <c r="Z1900" i="1"/>
  <c r="Z1901" i="1"/>
  <c r="H1902" i="1"/>
  <c r="Z1902" i="1"/>
  <c r="H1903" i="1"/>
  <c r="Z1903" i="1"/>
  <c r="Z1904" i="1"/>
  <c r="Z1905" i="1"/>
  <c r="H1906" i="1"/>
  <c r="Z1906" i="1"/>
  <c r="Z1907" i="1"/>
  <c r="Z1908" i="1"/>
  <c r="Z1909" i="1"/>
  <c r="H1910" i="1"/>
  <c r="Z1910" i="1"/>
  <c r="Z1911" i="1"/>
  <c r="Z1912" i="1"/>
  <c r="H1913" i="1"/>
  <c r="Z1913" i="1"/>
  <c r="Z1914" i="1"/>
  <c r="Z1915" i="1"/>
  <c r="H1916" i="1"/>
  <c r="Z1916" i="1"/>
  <c r="Z1917" i="1"/>
  <c r="Z1918" i="1"/>
  <c r="H1919" i="1"/>
  <c r="Z1919" i="1"/>
  <c r="Z1920" i="1"/>
  <c r="Z1921" i="1"/>
  <c r="H1922" i="1"/>
  <c r="Z1922" i="1"/>
  <c r="Z1923" i="1"/>
  <c r="Z1924" i="1"/>
  <c r="H1925" i="1"/>
  <c r="Z1925" i="1"/>
  <c r="H1926" i="1"/>
  <c r="Z1926" i="1"/>
  <c r="Z1927" i="1"/>
  <c r="Z1928" i="1"/>
  <c r="H1929" i="1"/>
  <c r="Z1929" i="1"/>
  <c r="Z1930" i="1"/>
  <c r="Z1931" i="1"/>
  <c r="H1932" i="1"/>
  <c r="Z1932" i="1"/>
  <c r="Z1933" i="1"/>
  <c r="Z1934" i="1"/>
  <c r="H1935" i="1"/>
  <c r="Z1935" i="1"/>
  <c r="Z1936" i="1"/>
  <c r="Z1937" i="1"/>
  <c r="H1938" i="1"/>
  <c r="Z1938" i="1"/>
  <c r="Z1939" i="1"/>
  <c r="Z1940" i="1"/>
  <c r="H1941" i="1"/>
  <c r="Z1941" i="1"/>
  <c r="H1942" i="1"/>
  <c r="Z1942" i="1"/>
  <c r="Z1943" i="1"/>
  <c r="Z1944" i="1"/>
  <c r="H1945" i="1"/>
  <c r="Z1945" i="1"/>
  <c r="H1946" i="1"/>
  <c r="Z1946" i="1"/>
  <c r="H1947" i="1"/>
  <c r="Z1947" i="1"/>
  <c r="H1948" i="1"/>
  <c r="Z1948" i="1"/>
  <c r="H1949" i="1"/>
  <c r="Z1949" i="1"/>
  <c r="Z1950" i="1"/>
  <c r="Z1951" i="1"/>
  <c r="H1952" i="1"/>
  <c r="Z1952" i="1"/>
  <c r="Z1953" i="1"/>
  <c r="Z1954" i="1"/>
  <c r="H1955" i="1"/>
  <c r="Z1955" i="1"/>
  <c r="Z1956" i="1"/>
  <c r="Z1957" i="1"/>
  <c r="H1958" i="1"/>
  <c r="Z1958" i="1"/>
  <c r="Z1959" i="1"/>
  <c r="Z1960" i="1"/>
  <c r="Z1961" i="1"/>
  <c r="H1962" i="1"/>
  <c r="Z1962" i="1"/>
  <c r="Z1963" i="1"/>
  <c r="Z1964" i="1"/>
  <c r="H1965" i="1"/>
  <c r="Z1965" i="1"/>
  <c r="H1966" i="1"/>
  <c r="Z1966" i="1"/>
  <c r="Z1967" i="1"/>
  <c r="Z1968" i="1"/>
  <c r="H1969" i="1"/>
  <c r="Z1969" i="1"/>
  <c r="H1970" i="1"/>
  <c r="Z1970" i="1"/>
  <c r="H1971" i="1"/>
  <c r="Z1971" i="1"/>
  <c r="H1972" i="1"/>
  <c r="Z1972" i="1"/>
  <c r="H1973" i="1"/>
  <c r="Z1973" i="1"/>
  <c r="H1974" i="1"/>
  <c r="Z1974" i="1"/>
  <c r="Z1975" i="1"/>
  <c r="Z1976" i="1"/>
  <c r="H1977" i="1"/>
  <c r="Z1977" i="1"/>
  <c r="Z1978" i="1"/>
  <c r="Z1979" i="1"/>
  <c r="H1980" i="1"/>
  <c r="Z1980" i="1"/>
  <c r="Z1981" i="1"/>
  <c r="Z1982" i="1"/>
  <c r="H1983" i="1"/>
  <c r="Z1983" i="1"/>
  <c r="H1984" i="1"/>
  <c r="Z1984" i="1"/>
  <c r="Z1985" i="1"/>
  <c r="Z1986" i="1"/>
  <c r="H1987" i="1"/>
  <c r="Z1987" i="1"/>
  <c r="H1988" i="1"/>
  <c r="Z1988" i="1"/>
  <c r="Z1989" i="1"/>
  <c r="Z1990" i="1"/>
  <c r="H1991" i="1"/>
  <c r="Z1991" i="1"/>
  <c r="H1992" i="1"/>
  <c r="Z1992" i="1"/>
  <c r="Z1993" i="1"/>
  <c r="Z1994" i="1"/>
  <c r="H1995" i="1"/>
  <c r="Z1995" i="1"/>
  <c r="H1996" i="1"/>
  <c r="Z1996" i="1"/>
  <c r="Z1997" i="1"/>
  <c r="Z1998" i="1"/>
  <c r="H1999" i="1"/>
  <c r="Z1999" i="1"/>
  <c r="Z2000" i="1"/>
  <c r="Z2001" i="1"/>
  <c r="H2002" i="1"/>
  <c r="Z2002" i="1"/>
  <c r="Z2003" i="1"/>
  <c r="Z2004" i="1"/>
  <c r="H2005" i="1"/>
  <c r="Z2005" i="1"/>
  <c r="H2006" i="1"/>
  <c r="Z2006" i="1"/>
  <c r="H2007" i="1"/>
  <c r="Z2007" i="1"/>
  <c r="H2008" i="1"/>
  <c r="Z2008" i="1"/>
  <c r="Z2009" i="1"/>
  <c r="Z2010" i="1"/>
  <c r="H2011" i="1"/>
  <c r="Z2011" i="1"/>
  <c r="Z2012" i="1"/>
  <c r="Z2013" i="1"/>
  <c r="H2014" i="1"/>
  <c r="Z2014" i="1"/>
  <c r="Z2015" i="1"/>
  <c r="Z2016" i="1"/>
  <c r="H2017" i="1"/>
  <c r="Z2017" i="1"/>
  <c r="Z2018" i="1"/>
  <c r="Z2019" i="1"/>
  <c r="H2020" i="1"/>
  <c r="Z2020" i="1"/>
  <c r="Z2021" i="1"/>
  <c r="Z2022" i="1"/>
  <c r="H2023" i="1"/>
  <c r="Z2023" i="1"/>
  <c r="Z2024" i="1"/>
  <c r="Z2025" i="1"/>
  <c r="H2026" i="1"/>
  <c r="Z2026" i="1"/>
  <c r="H2027" i="1"/>
  <c r="Z2027" i="1"/>
  <c r="Z2028" i="1"/>
  <c r="Z2029" i="1"/>
  <c r="H2030" i="1"/>
  <c r="Z2030" i="1"/>
  <c r="Z2031" i="1"/>
  <c r="Z2032" i="1"/>
  <c r="H2033" i="1"/>
  <c r="Z2033" i="1"/>
  <c r="H2034" i="1"/>
  <c r="Z2034" i="1"/>
  <c r="H2035" i="1"/>
  <c r="Z2035" i="1"/>
  <c r="Z2036" i="1"/>
  <c r="Z2037" i="1"/>
  <c r="H2038" i="1"/>
  <c r="Z2038" i="1"/>
  <c r="Z2039" i="1"/>
  <c r="Z2040" i="1"/>
  <c r="H2041" i="1"/>
  <c r="Z2041" i="1"/>
  <c r="Z2042" i="1"/>
  <c r="Z2043" i="1"/>
  <c r="Z2044" i="1"/>
  <c r="H2045" i="1"/>
  <c r="Z2045" i="1"/>
  <c r="H2046" i="1"/>
  <c r="Z2046" i="1"/>
  <c r="H2047" i="1"/>
  <c r="Z2047" i="1"/>
  <c r="Z2048" i="1"/>
  <c r="Z2049" i="1"/>
  <c r="H2050" i="1"/>
  <c r="Z2050" i="1"/>
  <c r="H2051" i="1"/>
  <c r="Z2051" i="1"/>
  <c r="H2052" i="1"/>
  <c r="Z2052" i="1"/>
  <c r="H2053" i="1"/>
  <c r="Z2053" i="1"/>
  <c r="H2054" i="1"/>
  <c r="Z2054" i="1"/>
  <c r="H2055" i="1"/>
  <c r="Z2055" i="1"/>
  <c r="H2056" i="1"/>
  <c r="Z2056" i="1"/>
  <c r="H2057" i="1"/>
  <c r="Z2057" i="1"/>
  <c r="H2058" i="1"/>
  <c r="Z2058" i="1"/>
  <c r="Z2059" i="1"/>
  <c r="Z2060" i="1"/>
  <c r="H2061" i="1"/>
  <c r="Z2061" i="1"/>
  <c r="H2062" i="1"/>
  <c r="Z2062" i="1"/>
  <c r="Z2063" i="1"/>
  <c r="Z2064" i="1"/>
  <c r="H2065" i="1"/>
  <c r="Z2065" i="1"/>
  <c r="H2066" i="1"/>
  <c r="Z2066" i="1"/>
  <c r="H2067" i="1"/>
  <c r="Z2067" i="1"/>
  <c r="H2068" i="1"/>
  <c r="Z2068" i="1"/>
  <c r="Z2069" i="1"/>
  <c r="Z2070" i="1"/>
  <c r="H2071" i="1"/>
  <c r="Z2071" i="1"/>
  <c r="Z2072" i="1"/>
  <c r="Z2073" i="1"/>
  <c r="H2074" i="1"/>
  <c r="Z2074" i="1"/>
  <c r="H2075" i="1"/>
  <c r="Z2075" i="1"/>
  <c r="H2076" i="1"/>
  <c r="Z2076" i="1"/>
  <c r="Z2077" i="1"/>
  <c r="Z2078" i="1"/>
  <c r="H2079" i="1"/>
  <c r="Z2079" i="1"/>
  <c r="H2080" i="1"/>
  <c r="Z2080" i="1"/>
  <c r="H2081" i="1"/>
  <c r="Z2081" i="1"/>
  <c r="H2082" i="1"/>
  <c r="Z2082" i="1"/>
  <c r="Z2083" i="1"/>
  <c r="Z2084" i="1"/>
  <c r="H2085" i="1"/>
  <c r="Z2085" i="1"/>
  <c r="Z2086" i="1"/>
  <c r="Z2087" i="1"/>
  <c r="H2088" i="1"/>
  <c r="Z2088" i="1"/>
  <c r="Z2089" i="1"/>
  <c r="Z2090" i="1"/>
  <c r="H2091" i="1"/>
  <c r="Z2091" i="1"/>
  <c r="H2092" i="1"/>
  <c r="Z2092" i="1"/>
  <c r="H2093" i="1"/>
  <c r="Z2093" i="1"/>
  <c r="Z2094" i="1"/>
  <c r="Z2095" i="1"/>
  <c r="H2096" i="1"/>
  <c r="Z2096" i="1"/>
  <c r="H2097" i="1"/>
  <c r="Z2097" i="1"/>
  <c r="Z2098" i="1"/>
  <c r="Z2099" i="1"/>
  <c r="H2100" i="1"/>
  <c r="Z2100" i="1"/>
  <c r="Z2101" i="1"/>
  <c r="Z2102" i="1"/>
  <c r="H2103" i="1"/>
  <c r="Z2103" i="1"/>
  <c r="Z2104" i="1"/>
  <c r="Z2105" i="1"/>
  <c r="H2106" i="1"/>
  <c r="Z2106" i="1"/>
  <c r="H2107" i="1"/>
  <c r="Z2107" i="1"/>
  <c r="Z2108" i="1"/>
  <c r="Z2109" i="1"/>
  <c r="H2110" i="1"/>
  <c r="Z2110" i="1"/>
  <c r="H2111" i="1"/>
  <c r="Z2111" i="1"/>
  <c r="H2112" i="1"/>
  <c r="Z2112" i="1"/>
  <c r="H2113" i="1"/>
  <c r="Z2113" i="1"/>
  <c r="H2114" i="1"/>
  <c r="Z2114" i="1"/>
  <c r="H2115" i="1"/>
  <c r="Z2115" i="1"/>
  <c r="Z2116" i="1"/>
  <c r="Z2117" i="1"/>
  <c r="H2118" i="1"/>
  <c r="Z2118" i="1"/>
  <c r="Z2119" i="1"/>
  <c r="Z2120" i="1"/>
  <c r="H2121" i="1"/>
  <c r="Z2121" i="1"/>
  <c r="H2122" i="1"/>
  <c r="Z2122" i="1"/>
  <c r="H2123" i="1"/>
  <c r="Z2123" i="1"/>
  <c r="H2124" i="1"/>
  <c r="Z2124" i="1"/>
  <c r="H2125" i="1"/>
  <c r="Z2125" i="1"/>
  <c r="Z2126" i="1"/>
  <c r="Z2127" i="1"/>
  <c r="Z2128" i="1"/>
  <c r="H2129" i="1"/>
  <c r="Z2129" i="1"/>
  <c r="H2130" i="1"/>
  <c r="Z2130" i="1"/>
  <c r="H2131" i="1"/>
  <c r="Z2131" i="1"/>
  <c r="Z2132" i="1"/>
  <c r="Z2133" i="1"/>
  <c r="H2134" i="1"/>
  <c r="Z2134" i="1"/>
  <c r="Z2135" i="1"/>
  <c r="Z2136" i="1"/>
  <c r="H2137" i="1"/>
  <c r="Z2137" i="1"/>
  <c r="H2138" i="1"/>
  <c r="Z2138" i="1"/>
  <c r="Z2139" i="1"/>
  <c r="Z2140" i="1"/>
  <c r="H2141" i="1"/>
  <c r="Z2141" i="1"/>
  <c r="H2142" i="1"/>
  <c r="Z2142" i="1"/>
  <c r="Z2143" i="1"/>
  <c r="Z2144" i="1"/>
  <c r="H2145" i="1"/>
  <c r="Z2145" i="1"/>
  <c r="H2146" i="1"/>
  <c r="Z2146" i="1"/>
  <c r="H2147" i="1"/>
  <c r="Z2147" i="1"/>
  <c r="Z2148" i="1"/>
  <c r="Z2149" i="1"/>
  <c r="H2150" i="1"/>
  <c r="Z2150" i="1"/>
  <c r="Z2151" i="1"/>
  <c r="Z2152" i="1"/>
  <c r="H2153" i="1"/>
  <c r="Z2153" i="1"/>
  <c r="H2154" i="1"/>
  <c r="Z2154" i="1"/>
  <c r="H2155" i="1"/>
  <c r="Z2155" i="1"/>
  <c r="Z2156" i="1"/>
  <c r="Z2157" i="1"/>
  <c r="H2158" i="1"/>
  <c r="Z2158" i="1"/>
  <c r="H2159" i="1"/>
  <c r="Z2159" i="1"/>
  <c r="Z2160" i="1"/>
  <c r="Z2161" i="1"/>
  <c r="H2162" i="1"/>
  <c r="Z2162" i="1"/>
  <c r="H2163" i="1"/>
  <c r="Z2163" i="1"/>
  <c r="H2164" i="1"/>
  <c r="Z2164" i="1"/>
  <c r="Z2165" i="1"/>
  <c r="Z2166" i="1"/>
  <c r="H2167" i="1"/>
  <c r="Z2167" i="1"/>
  <c r="Z2168" i="1"/>
  <c r="Z2169" i="1"/>
  <c r="H2170" i="1"/>
  <c r="Z2170" i="1"/>
  <c r="Z2171" i="1"/>
  <c r="Z2172" i="1"/>
  <c r="H2173" i="1"/>
  <c r="Z2173" i="1"/>
  <c r="Z2174" i="1"/>
  <c r="Z2175" i="1"/>
  <c r="H2176" i="1"/>
  <c r="Z2176" i="1"/>
  <c r="H2177" i="1"/>
  <c r="Z2177" i="1"/>
  <c r="H2178" i="1"/>
  <c r="Z2178" i="1"/>
  <c r="Z2179" i="1"/>
  <c r="Z2180" i="1"/>
  <c r="H2181" i="1"/>
  <c r="Z2181" i="1"/>
  <c r="Z2182" i="1"/>
  <c r="Z2183" i="1"/>
  <c r="H2184" i="1"/>
  <c r="Z2184" i="1"/>
  <c r="Z2185" i="1"/>
  <c r="Z2186" i="1"/>
  <c r="H2187" i="1"/>
  <c r="Z2187" i="1"/>
  <c r="Z2188" i="1"/>
  <c r="Z2189" i="1"/>
  <c r="H2190" i="1"/>
  <c r="Z2190" i="1"/>
  <c r="H2191" i="1"/>
  <c r="Z2191" i="1"/>
  <c r="H2192" i="1"/>
  <c r="Z2192" i="1"/>
  <c r="H2193" i="1"/>
  <c r="Z2193" i="1"/>
  <c r="H2194" i="1"/>
  <c r="Z2194" i="1"/>
  <c r="Z2195" i="1"/>
  <c r="Z2196" i="1"/>
  <c r="H2197" i="1"/>
  <c r="Z2197" i="1"/>
  <c r="H2198" i="1"/>
  <c r="Z2198" i="1"/>
  <c r="H2199" i="1"/>
  <c r="Z2199" i="1"/>
  <c r="H2200" i="1"/>
  <c r="Z2200" i="1"/>
  <c r="H2201" i="1"/>
  <c r="Z2201" i="1"/>
  <c r="H2202" i="1"/>
  <c r="Z2202" i="1"/>
  <c r="H2203" i="1"/>
  <c r="Z2203" i="1"/>
  <c r="Z2204" i="1"/>
  <c r="Z2205" i="1"/>
  <c r="H2206" i="1"/>
  <c r="Z2206" i="1"/>
  <c r="H2207" i="1"/>
  <c r="Z2207" i="1"/>
  <c r="H2208" i="1"/>
  <c r="Z2208" i="1"/>
  <c r="H2209" i="1"/>
  <c r="Z2209" i="1"/>
  <c r="H2210" i="1"/>
  <c r="Z2210" i="1"/>
  <c r="Z2211" i="1"/>
  <c r="Z2212" i="1"/>
  <c r="H2213" i="1"/>
  <c r="Z2213" i="1"/>
  <c r="H2214" i="1"/>
  <c r="Z2214" i="1"/>
  <c r="H2215" i="1"/>
  <c r="Z2215" i="1"/>
  <c r="H2216" i="1"/>
  <c r="Z2216" i="1"/>
  <c r="Z2217" i="1"/>
  <c r="Z2218" i="1"/>
  <c r="H2219" i="1"/>
  <c r="Z2219" i="1"/>
  <c r="H2220" i="1"/>
  <c r="Z2220" i="1"/>
  <c r="Z2221" i="1"/>
  <c r="Z2222" i="1"/>
  <c r="H2223" i="1"/>
  <c r="Z2223" i="1"/>
  <c r="H2224" i="1"/>
  <c r="Z2224" i="1"/>
  <c r="Z2225" i="1"/>
  <c r="Z2226" i="1"/>
  <c r="H2227" i="1"/>
  <c r="Z2227" i="1"/>
  <c r="H2228" i="1"/>
  <c r="Z2228" i="1"/>
  <c r="H2229" i="1"/>
  <c r="Z2229" i="1"/>
  <c r="H2230" i="1"/>
  <c r="Z2230" i="1"/>
  <c r="H2231" i="1"/>
  <c r="Z2231" i="1"/>
  <c r="H2232" i="1"/>
  <c r="Z2232" i="1"/>
  <c r="H2233" i="1"/>
  <c r="Z2233" i="1"/>
  <c r="H2234" i="1"/>
  <c r="Z2234" i="1"/>
  <c r="H2235" i="1"/>
  <c r="Z2235" i="1"/>
  <c r="H2236" i="1"/>
  <c r="Z2236" i="1"/>
  <c r="Z2237" i="1"/>
  <c r="Z2238" i="1"/>
  <c r="H2239" i="1"/>
  <c r="Z2239" i="1"/>
  <c r="Z2240" i="1"/>
  <c r="Z2241" i="1"/>
  <c r="H2242" i="1"/>
  <c r="Z2242" i="1"/>
  <c r="H2243" i="1"/>
  <c r="Z2243" i="1"/>
  <c r="H2244" i="1"/>
  <c r="Z2244" i="1"/>
  <c r="Z2245" i="1"/>
  <c r="Z2246" i="1"/>
  <c r="H2247" i="1"/>
  <c r="Z2247" i="1"/>
  <c r="H2248" i="1"/>
  <c r="Z2248" i="1"/>
  <c r="Z2249" i="1"/>
  <c r="Z2250" i="1"/>
  <c r="H2251" i="1"/>
  <c r="Z2251" i="1"/>
  <c r="H2252" i="1"/>
  <c r="Z2252" i="1"/>
  <c r="H2253" i="1"/>
  <c r="Z2253" i="1"/>
  <c r="H2254" i="1"/>
  <c r="Z2254" i="1"/>
  <c r="Z2255" i="1"/>
  <c r="Z2256" i="1"/>
  <c r="H2257" i="1"/>
  <c r="Z2257" i="1"/>
  <c r="Z2258" i="1"/>
  <c r="Z2259" i="1"/>
  <c r="H2260" i="1"/>
  <c r="Z2260" i="1"/>
  <c r="H2261" i="1"/>
  <c r="Z2261" i="1"/>
  <c r="H2262" i="1"/>
  <c r="Z2262" i="1"/>
  <c r="Z2263" i="1"/>
  <c r="Z2264" i="1"/>
  <c r="H2265" i="1"/>
  <c r="Z2265" i="1"/>
  <c r="H2266" i="1"/>
  <c r="Z2266" i="1"/>
  <c r="H2267" i="1"/>
  <c r="Z2267" i="1"/>
  <c r="H2268" i="1"/>
  <c r="Z2268" i="1"/>
  <c r="H2269" i="1"/>
  <c r="Z2269" i="1"/>
  <c r="H2270" i="1"/>
  <c r="Z2270" i="1"/>
  <c r="H2271" i="1"/>
  <c r="Z2271" i="1"/>
  <c r="Z2272" i="1"/>
  <c r="Z2273" i="1"/>
  <c r="H2274" i="1"/>
  <c r="Z2274" i="1"/>
  <c r="Z2275" i="1"/>
  <c r="Z2276" i="1"/>
  <c r="H2277" i="1"/>
  <c r="Z2277" i="1"/>
  <c r="Z2278" i="1"/>
  <c r="Z2279" i="1"/>
  <c r="H2280" i="1"/>
  <c r="Z2280" i="1"/>
  <c r="Z2281" i="1"/>
  <c r="Z2282" i="1"/>
  <c r="H2283" i="1"/>
  <c r="Z2283" i="1"/>
  <c r="H2284" i="1"/>
  <c r="Z2284" i="1"/>
  <c r="Z2285" i="1"/>
  <c r="Z2286" i="1"/>
  <c r="H2287" i="1"/>
  <c r="Z2287" i="1"/>
  <c r="Z2288" i="1"/>
  <c r="Z2289" i="1"/>
  <c r="H2290" i="1"/>
  <c r="Z2290" i="1"/>
  <c r="Z2291" i="1"/>
  <c r="Z2292" i="1"/>
  <c r="H2293" i="1"/>
  <c r="Z2293" i="1"/>
  <c r="H2294" i="1"/>
  <c r="Z2294" i="1"/>
  <c r="H2295" i="1"/>
  <c r="Z2295" i="1"/>
  <c r="Z2296" i="1"/>
  <c r="Z2297" i="1"/>
  <c r="H2298" i="1"/>
  <c r="Z2298" i="1"/>
  <c r="H2299" i="1"/>
  <c r="Z2299" i="1"/>
  <c r="Z2300" i="1"/>
  <c r="Z2301" i="1"/>
  <c r="H2302" i="1"/>
  <c r="Z2302" i="1"/>
  <c r="H2303" i="1"/>
  <c r="Z2303" i="1"/>
  <c r="Z2304" i="1"/>
  <c r="Z2305" i="1"/>
  <c r="H2306" i="1"/>
  <c r="Z2306" i="1"/>
  <c r="H2307" i="1"/>
  <c r="Z2307" i="1"/>
  <c r="Z2308" i="1"/>
  <c r="Z2309" i="1"/>
  <c r="H2310" i="1"/>
  <c r="Z2310" i="1"/>
  <c r="H2311" i="1"/>
  <c r="Z2311" i="1"/>
  <c r="Z2312" i="1"/>
  <c r="Z2313" i="1"/>
  <c r="H2314" i="1"/>
  <c r="Z2314" i="1"/>
  <c r="H2315" i="1"/>
  <c r="Z2315" i="1"/>
  <c r="H2316" i="1"/>
  <c r="Z2316" i="1"/>
  <c r="H2317" i="1"/>
  <c r="Z2317" i="1"/>
  <c r="Z2318" i="1"/>
  <c r="Z2319" i="1"/>
  <c r="H2320" i="1"/>
  <c r="Z2320" i="1"/>
  <c r="H2321" i="1"/>
  <c r="Z2321" i="1"/>
  <c r="Z2322" i="1"/>
  <c r="Z2323" i="1"/>
  <c r="H2324" i="1"/>
  <c r="Z2324" i="1"/>
  <c r="H2325" i="1"/>
  <c r="Z2325" i="1"/>
  <c r="Z2326" i="1"/>
  <c r="Z2327" i="1"/>
  <c r="H2328" i="1"/>
  <c r="Z2328" i="1"/>
  <c r="Z2329" i="1"/>
  <c r="Z2330" i="1"/>
  <c r="H2331" i="1"/>
  <c r="Z2331" i="1"/>
  <c r="H2332" i="1"/>
  <c r="Z2332" i="1"/>
  <c r="H2333" i="1"/>
  <c r="Z2333" i="1"/>
  <c r="Z2334" i="1"/>
  <c r="Z2335" i="1"/>
  <c r="H2336" i="1"/>
  <c r="Z2336" i="1"/>
  <c r="Z2337" i="1"/>
  <c r="Z2338" i="1"/>
  <c r="H2339" i="1"/>
  <c r="Z2339" i="1"/>
  <c r="H2340" i="1"/>
  <c r="Z2340" i="1"/>
  <c r="Z2341" i="1"/>
  <c r="Z2342" i="1"/>
  <c r="H2343" i="1"/>
  <c r="Z2343" i="1"/>
  <c r="H2344" i="1"/>
  <c r="Z2344" i="1"/>
  <c r="H2345" i="1"/>
  <c r="Z2345" i="1"/>
  <c r="H2346" i="1"/>
  <c r="Z2346" i="1"/>
  <c r="Z2347" i="1"/>
  <c r="Z2348" i="1"/>
  <c r="Z2349" i="1"/>
  <c r="H2350" i="1"/>
  <c r="Z2350" i="1"/>
  <c r="Z2351" i="1"/>
  <c r="Z2352" i="1"/>
  <c r="H2353" i="1"/>
  <c r="Z2353" i="1"/>
  <c r="Z2354" i="1"/>
  <c r="Z2355" i="1"/>
  <c r="H2356" i="1"/>
  <c r="Z2356" i="1"/>
  <c r="H2357" i="1"/>
  <c r="Z2357" i="1"/>
  <c r="Z2358" i="1"/>
  <c r="Z2359" i="1"/>
  <c r="H2360" i="1"/>
  <c r="Z2360" i="1"/>
  <c r="H2361" i="1"/>
  <c r="Z2361" i="1"/>
  <c r="Z2362" i="1"/>
  <c r="Z2363" i="1"/>
  <c r="H2364" i="1"/>
  <c r="Z2364" i="1"/>
  <c r="Z2365" i="1"/>
  <c r="Z2366" i="1"/>
  <c r="H2367" i="1"/>
  <c r="Z2367" i="1"/>
  <c r="Z2368" i="1"/>
  <c r="Z2369" i="1"/>
  <c r="H2370" i="1"/>
  <c r="Z2370" i="1"/>
  <c r="H2371" i="1"/>
  <c r="Z2371" i="1"/>
  <c r="Z2372" i="1"/>
  <c r="Z2373" i="1"/>
  <c r="H2374" i="1"/>
  <c r="Z2374" i="1"/>
  <c r="Z2375" i="1"/>
  <c r="Z2376" i="1"/>
  <c r="H2377" i="1"/>
  <c r="Z2377" i="1"/>
  <c r="H2378" i="1"/>
  <c r="Z2378" i="1"/>
  <c r="H2379" i="1"/>
  <c r="Z2379" i="1"/>
  <c r="H2380" i="1"/>
  <c r="Z2380" i="1"/>
  <c r="H2381" i="1"/>
  <c r="Z2381" i="1"/>
  <c r="Z2382" i="1"/>
  <c r="Z2383" i="1"/>
  <c r="H2384" i="1"/>
  <c r="Z2384" i="1"/>
  <c r="H2385" i="1"/>
  <c r="Z2385" i="1"/>
  <c r="Z2386" i="1"/>
  <c r="Z2387" i="1"/>
  <c r="H2388" i="1"/>
  <c r="Z2388" i="1"/>
  <c r="Z2389" i="1"/>
  <c r="Z2390" i="1"/>
  <c r="H2391" i="1"/>
  <c r="Z2391" i="1"/>
  <c r="Z2392" i="1"/>
  <c r="Z2393" i="1"/>
  <c r="H2394" i="1"/>
  <c r="Z2394" i="1"/>
  <c r="Z2395" i="1"/>
  <c r="Z2396" i="1"/>
  <c r="H2397" i="1"/>
  <c r="Z2397" i="1"/>
  <c r="H2398" i="1"/>
  <c r="Z2398" i="1"/>
  <c r="Z2399" i="1"/>
  <c r="Z2400" i="1"/>
  <c r="H2401" i="1"/>
  <c r="Z2401" i="1"/>
  <c r="H2402" i="1"/>
  <c r="Z2402" i="1"/>
  <c r="Z2403" i="1"/>
  <c r="Z2404" i="1"/>
  <c r="H2405" i="1"/>
  <c r="Z2405" i="1"/>
  <c r="H2406" i="1"/>
  <c r="Z2406" i="1"/>
  <c r="H2407" i="1"/>
  <c r="Z2407" i="1"/>
  <c r="Z2408" i="1"/>
  <c r="Z2409" i="1"/>
  <c r="H2410" i="1"/>
  <c r="Z2410" i="1"/>
  <c r="Z2411" i="1"/>
  <c r="Z2412" i="1"/>
  <c r="H2413" i="1"/>
  <c r="Z2413" i="1"/>
  <c r="Z2414" i="1"/>
  <c r="Z2415" i="1"/>
  <c r="H2416" i="1"/>
  <c r="Z2416" i="1"/>
  <c r="Z2417" i="1"/>
  <c r="Z2418" i="1"/>
  <c r="H2419" i="1"/>
  <c r="Z2419" i="1"/>
  <c r="Z2420" i="1"/>
  <c r="Z2421" i="1"/>
  <c r="H2422" i="1"/>
  <c r="Z2422" i="1"/>
  <c r="Z2423" i="1"/>
  <c r="Z2424" i="1"/>
  <c r="H2425" i="1"/>
  <c r="Z2425" i="1"/>
  <c r="Z2426" i="1"/>
  <c r="Z2427" i="1"/>
  <c r="H2428" i="1"/>
  <c r="Z2428" i="1"/>
  <c r="Z2429" i="1"/>
  <c r="Z2430" i="1"/>
  <c r="H2431" i="1"/>
  <c r="Z2431" i="1"/>
  <c r="H2432" i="1"/>
  <c r="Z2432" i="1"/>
  <c r="Z2433" i="1"/>
  <c r="Z2434" i="1"/>
  <c r="H2435" i="1"/>
  <c r="Z2435" i="1"/>
  <c r="H2436" i="1"/>
  <c r="Z2436" i="1"/>
  <c r="H2437" i="1"/>
  <c r="Z2437" i="1"/>
  <c r="H2438" i="1"/>
  <c r="Z2438" i="1"/>
  <c r="Z2439" i="1"/>
  <c r="Z2440" i="1"/>
  <c r="H2441" i="1"/>
  <c r="Z2441" i="1"/>
  <c r="Z2442" i="1"/>
  <c r="Z2443" i="1"/>
  <c r="H2444" i="1"/>
  <c r="Z2444" i="1"/>
  <c r="H2445" i="1"/>
  <c r="Z2445" i="1"/>
  <c r="H2446" i="1"/>
  <c r="Z2446" i="1"/>
  <c r="Z2447" i="1"/>
  <c r="Z2448" i="1"/>
  <c r="H2449" i="1"/>
  <c r="Z2449" i="1"/>
  <c r="H2450" i="1"/>
  <c r="Z2450" i="1"/>
  <c r="Z2451" i="1"/>
  <c r="Z2452" i="1"/>
  <c r="H2453" i="1"/>
  <c r="Z2453" i="1"/>
  <c r="Z2454" i="1"/>
  <c r="Z2455" i="1"/>
  <c r="H2456" i="1"/>
  <c r="Z2456" i="1"/>
  <c r="H2457" i="1"/>
  <c r="Z2457" i="1"/>
  <c r="H2458" i="1"/>
  <c r="Z2458" i="1"/>
  <c r="H2459" i="1"/>
  <c r="Z2459" i="1"/>
  <c r="H2460" i="1"/>
  <c r="Z2460" i="1"/>
  <c r="H2461" i="1"/>
  <c r="Z2461" i="1"/>
  <c r="H2462" i="1"/>
  <c r="Z2462" i="1"/>
  <c r="H2463" i="1"/>
  <c r="Z2463" i="1"/>
  <c r="H2464" i="1"/>
  <c r="Z2464" i="1"/>
  <c r="Z2465" i="1"/>
  <c r="Z2466" i="1"/>
  <c r="H2467" i="1"/>
  <c r="Z2467" i="1"/>
  <c r="H2468" i="1"/>
  <c r="Z2468" i="1"/>
  <c r="Z2469" i="1"/>
  <c r="Z2470" i="1"/>
  <c r="H2471" i="1"/>
  <c r="Z2471" i="1"/>
  <c r="Z2472" i="1"/>
  <c r="Z2473" i="1"/>
  <c r="H2474" i="1"/>
  <c r="Z2474" i="1"/>
  <c r="Z2475" i="1"/>
  <c r="Z2476" i="1"/>
  <c r="H2477" i="1"/>
  <c r="Z2477" i="1"/>
  <c r="Z2478" i="1"/>
  <c r="Z2479" i="1"/>
  <c r="H2480" i="1"/>
  <c r="Z2480" i="1"/>
  <c r="Z2481" i="1"/>
  <c r="Z2482" i="1"/>
  <c r="H2483" i="1"/>
  <c r="Z2483" i="1"/>
  <c r="H2484" i="1"/>
  <c r="Z2484" i="1"/>
  <c r="H2485" i="1"/>
  <c r="Z2485" i="1"/>
  <c r="H2486" i="1"/>
  <c r="Z2486" i="1"/>
  <c r="H2487" i="1"/>
  <c r="Z2487" i="1"/>
  <c r="Z2488" i="1"/>
  <c r="Z2489" i="1"/>
  <c r="H2490" i="1"/>
  <c r="Z2490" i="1"/>
  <c r="Z2491" i="1"/>
  <c r="Z2492" i="1"/>
  <c r="H2493" i="1"/>
  <c r="Z2493" i="1"/>
  <c r="H2494" i="1"/>
  <c r="Z2494" i="1"/>
  <c r="H2495" i="1"/>
  <c r="Z2495" i="1"/>
  <c r="H2496" i="1"/>
  <c r="Z2496" i="1"/>
  <c r="H2497" i="1"/>
  <c r="Z2497" i="1"/>
  <c r="Z2498" i="1"/>
  <c r="Z2499" i="1"/>
  <c r="H2500" i="1"/>
  <c r="Z2500" i="1"/>
  <c r="Z2501" i="1"/>
  <c r="Z2502" i="1"/>
  <c r="H2503" i="1"/>
  <c r="Z2503" i="1"/>
  <c r="H2504" i="1"/>
  <c r="Z2504" i="1"/>
  <c r="Z2505" i="1"/>
  <c r="Z2506" i="1"/>
  <c r="H2507" i="1"/>
  <c r="Z2507" i="1"/>
  <c r="H2508" i="1"/>
  <c r="Z2508" i="1"/>
  <c r="Z2509" i="1"/>
  <c r="Z2510" i="1"/>
  <c r="H2511" i="1"/>
  <c r="Z2511" i="1"/>
  <c r="Z2512" i="1"/>
  <c r="Z2513" i="1"/>
  <c r="H2514" i="1"/>
  <c r="Z2514" i="1"/>
  <c r="Z2515" i="1"/>
  <c r="Z2516" i="1"/>
  <c r="H2517" i="1"/>
  <c r="Z2517" i="1"/>
  <c r="H2518" i="1"/>
  <c r="Z2518" i="1"/>
  <c r="H2519" i="1"/>
  <c r="Z2519" i="1"/>
  <c r="H2520" i="1"/>
  <c r="Z2520" i="1"/>
  <c r="H2521" i="1"/>
  <c r="Z2521" i="1"/>
  <c r="H2522" i="1"/>
  <c r="Z2522" i="1"/>
  <c r="Z2523" i="1"/>
  <c r="Z2524" i="1"/>
  <c r="H2525" i="1"/>
  <c r="Z2525" i="1"/>
  <c r="Z2526" i="1"/>
  <c r="Z2527" i="1"/>
  <c r="H2528" i="1"/>
  <c r="Z2528" i="1"/>
  <c r="Z2529" i="1"/>
  <c r="Z2530" i="1"/>
  <c r="H2531" i="1"/>
  <c r="Z2531" i="1"/>
  <c r="H2532" i="1"/>
  <c r="Z2532" i="1"/>
  <c r="H2533" i="1"/>
  <c r="Z2533" i="1"/>
  <c r="H2534" i="1"/>
  <c r="Z2534" i="1"/>
  <c r="H2535" i="1"/>
  <c r="Z2535" i="1"/>
  <c r="H2536" i="1"/>
  <c r="Z2536" i="1"/>
  <c r="H2537" i="1"/>
  <c r="Z2537" i="1"/>
  <c r="H2538" i="1"/>
  <c r="Z2538" i="1"/>
  <c r="Z2539" i="1"/>
  <c r="Z2540" i="1"/>
  <c r="H2541" i="1"/>
  <c r="Z2541" i="1"/>
  <c r="Z2542" i="1"/>
  <c r="Z2543" i="1"/>
  <c r="Z2544" i="1"/>
  <c r="H2545" i="1"/>
  <c r="Z2545" i="1"/>
  <c r="H2546" i="1"/>
  <c r="Z2546" i="1"/>
  <c r="Z2547" i="1"/>
  <c r="Z2548" i="1"/>
  <c r="H2549" i="1"/>
  <c r="Z2549" i="1"/>
  <c r="Z2550" i="1"/>
  <c r="Z2551" i="1"/>
  <c r="H2552" i="1"/>
  <c r="Z2552" i="1"/>
  <c r="H2553" i="1"/>
  <c r="Z2553" i="1"/>
  <c r="H2554" i="1"/>
  <c r="Z2554" i="1"/>
  <c r="H2555" i="1"/>
  <c r="Z2555" i="1"/>
  <c r="Z2556" i="1"/>
  <c r="Z2557" i="1"/>
  <c r="H2558" i="1"/>
  <c r="Z2558" i="1"/>
  <c r="H2559" i="1"/>
  <c r="Z2559" i="1"/>
  <c r="Z2560" i="1"/>
  <c r="Z2561" i="1"/>
  <c r="H2562" i="1"/>
  <c r="Z2562" i="1"/>
  <c r="H2563" i="1"/>
  <c r="Z2563" i="1"/>
  <c r="H2564" i="1"/>
  <c r="Z2564" i="1"/>
  <c r="H2565" i="1"/>
  <c r="Z2565" i="1"/>
  <c r="H2566" i="1"/>
  <c r="Z2566" i="1"/>
  <c r="Z2567" i="1"/>
  <c r="Z2568" i="1"/>
  <c r="H2569" i="1"/>
  <c r="Z2569" i="1"/>
  <c r="H2570" i="1"/>
  <c r="Z2570" i="1"/>
  <c r="H2571" i="1"/>
  <c r="Z2571" i="1"/>
  <c r="H2572" i="1"/>
  <c r="Z2572" i="1"/>
  <c r="Z2573" i="1"/>
  <c r="Z2574" i="1"/>
  <c r="H2575" i="1"/>
  <c r="Z2575" i="1"/>
  <c r="Z2576" i="1"/>
  <c r="Z2577" i="1"/>
  <c r="H2578" i="1"/>
  <c r="Z2578" i="1"/>
  <c r="H2579" i="1"/>
  <c r="Z2579" i="1"/>
  <c r="H2580" i="1"/>
  <c r="Z2580" i="1"/>
  <c r="H2581" i="1"/>
  <c r="Z2581" i="1"/>
  <c r="H2582" i="1"/>
  <c r="Z2582" i="1"/>
  <c r="H2583" i="1"/>
  <c r="Z2583" i="1"/>
  <c r="H2584" i="1"/>
  <c r="Z2584" i="1"/>
  <c r="H2585" i="1"/>
  <c r="Z2585" i="1"/>
  <c r="H2586" i="1"/>
  <c r="Z2586" i="1"/>
  <c r="H2587" i="1"/>
  <c r="Z2587" i="1"/>
  <c r="H2588" i="1"/>
  <c r="Z2588" i="1"/>
  <c r="Z2589" i="1"/>
  <c r="Z2590" i="1"/>
  <c r="H2591" i="1"/>
  <c r="Z2591" i="1"/>
  <c r="H2592" i="1"/>
  <c r="Z2592" i="1"/>
  <c r="H2593" i="1"/>
  <c r="Z2593" i="1"/>
  <c r="H2594" i="1"/>
  <c r="Z2594" i="1"/>
  <c r="H2595" i="1"/>
  <c r="Z2595" i="1"/>
  <c r="H2596" i="1"/>
  <c r="Z2596" i="1"/>
  <c r="H2597" i="1"/>
  <c r="Z2597" i="1"/>
  <c r="H2598" i="1"/>
  <c r="Z2598" i="1"/>
  <c r="Z2599" i="1"/>
  <c r="Z2600" i="1"/>
  <c r="H2601" i="1"/>
  <c r="Z2601" i="1"/>
  <c r="Z2602" i="1"/>
  <c r="Z2603" i="1"/>
  <c r="H2604" i="1"/>
  <c r="Z2604" i="1"/>
  <c r="Z2605" i="1"/>
  <c r="Z2606" i="1"/>
  <c r="H2607" i="1"/>
  <c r="Z2607" i="1"/>
  <c r="H2608" i="1"/>
  <c r="Z2608" i="1"/>
  <c r="Z2609" i="1"/>
  <c r="Z2610" i="1"/>
  <c r="H2611" i="1"/>
  <c r="Z2611" i="1"/>
  <c r="H2612" i="1"/>
  <c r="Z2612" i="1"/>
  <c r="Z2613" i="1"/>
  <c r="Z2614" i="1"/>
  <c r="H2615" i="1"/>
  <c r="Z2615" i="1"/>
  <c r="Z2616" i="1"/>
  <c r="Z2617" i="1"/>
  <c r="H2618" i="1"/>
  <c r="Z2618" i="1"/>
  <c r="H2619" i="1"/>
  <c r="Z2619" i="1"/>
  <c r="Z2620" i="1"/>
  <c r="Z2621" i="1"/>
  <c r="H2622" i="1"/>
  <c r="Z2622" i="1"/>
  <c r="Z2623" i="1"/>
  <c r="Z2624" i="1"/>
  <c r="H2625" i="1"/>
  <c r="Z2625" i="1"/>
  <c r="H2626" i="1"/>
  <c r="Z2626" i="1"/>
  <c r="Z2627" i="1"/>
  <c r="Z2628" i="1"/>
  <c r="H2629" i="1"/>
  <c r="Z2629" i="1"/>
  <c r="Z2630" i="1"/>
  <c r="Z2631" i="1"/>
  <c r="H2632" i="1"/>
  <c r="Z2632" i="1"/>
  <c r="Z2633" i="1"/>
  <c r="Z2634" i="1"/>
  <c r="H2635" i="1"/>
  <c r="Z2635" i="1"/>
  <c r="H2636" i="1"/>
  <c r="Z2636" i="1"/>
  <c r="Z2637" i="1"/>
  <c r="Z2638" i="1"/>
  <c r="H2639" i="1"/>
  <c r="Z2639" i="1"/>
  <c r="Z2640" i="1"/>
  <c r="Z2641" i="1"/>
  <c r="H2642" i="1"/>
  <c r="Z2642" i="1"/>
  <c r="H2643" i="1"/>
  <c r="Z2643" i="1"/>
  <c r="Z2644" i="1"/>
  <c r="Z2645" i="1"/>
  <c r="H2646" i="1"/>
  <c r="Z2646" i="1"/>
  <c r="Z2647" i="1"/>
  <c r="Z2648" i="1"/>
  <c r="H2649" i="1"/>
  <c r="Z2649" i="1"/>
  <c r="Z2650" i="1"/>
  <c r="Z2651" i="1"/>
  <c r="Z2652" i="1"/>
  <c r="H2653" i="1"/>
  <c r="Z2653" i="1"/>
  <c r="H2654" i="1"/>
  <c r="Z2654" i="1"/>
  <c r="Z2655" i="1"/>
  <c r="Z2656" i="1"/>
  <c r="H2657" i="1"/>
  <c r="Z2657" i="1"/>
  <c r="H2658" i="1"/>
  <c r="Z2658" i="1"/>
  <c r="H2659" i="1"/>
  <c r="Z2659" i="1"/>
  <c r="H2660" i="1"/>
  <c r="Z2660" i="1"/>
  <c r="H2661" i="1"/>
  <c r="Z2661" i="1"/>
  <c r="Z2662" i="1"/>
  <c r="Z2663" i="1"/>
  <c r="H2664" i="1"/>
  <c r="Z2664" i="1"/>
  <c r="Z2665" i="1"/>
  <c r="Z2666" i="1"/>
  <c r="H2667" i="1"/>
  <c r="Z2667" i="1"/>
  <c r="H2668" i="1"/>
  <c r="Z2668" i="1"/>
  <c r="Z2669" i="1"/>
  <c r="Z2670" i="1"/>
  <c r="H2671" i="1"/>
  <c r="Z2671" i="1"/>
  <c r="Z2672" i="1"/>
  <c r="Z2673" i="1"/>
  <c r="H2674" i="1"/>
  <c r="Z2674" i="1"/>
  <c r="Z2675" i="1"/>
  <c r="Z2676" i="1"/>
  <c r="H2677" i="1"/>
  <c r="Z2677" i="1"/>
  <c r="H2678" i="1"/>
  <c r="Z2678" i="1"/>
  <c r="H2679" i="1"/>
  <c r="Z2679" i="1"/>
  <c r="Z2680" i="1"/>
  <c r="Z2681" i="1"/>
  <c r="H2682" i="1"/>
  <c r="Z2682" i="1"/>
  <c r="H2683" i="1"/>
  <c r="Z2683" i="1"/>
  <c r="H2684" i="1"/>
  <c r="Z2684" i="1"/>
  <c r="H2685" i="1"/>
  <c r="Z2685" i="1"/>
  <c r="Z2686" i="1"/>
  <c r="Z2687" i="1"/>
  <c r="H2688" i="1"/>
  <c r="Z2688" i="1"/>
  <c r="H2689" i="1"/>
  <c r="Z2689" i="1"/>
  <c r="Z2690" i="1"/>
  <c r="Z2691" i="1"/>
  <c r="H2692" i="1"/>
  <c r="Z2692" i="1"/>
  <c r="H2693" i="1"/>
  <c r="Z2693" i="1"/>
  <c r="H2694" i="1"/>
  <c r="Z2694" i="1"/>
  <c r="H2695" i="1"/>
  <c r="Z2695" i="1"/>
  <c r="Z2696" i="1"/>
  <c r="Z2697" i="1"/>
  <c r="H2698" i="1"/>
  <c r="Z2698" i="1"/>
  <c r="H2699" i="1"/>
  <c r="Z2699" i="1"/>
  <c r="Z2700" i="1"/>
  <c r="Z2701" i="1"/>
  <c r="H2702" i="1"/>
  <c r="Z2702" i="1"/>
  <c r="Z2703" i="1"/>
  <c r="Z2704" i="1"/>
  <c r="H2705" i="1"/>
  <c r="Z2705" i="1"/>
  <c r="Z2706" i="1"/>
  <c r="Z2707" i="1"/>
  <c r="H2708" i="1"/>
  <c r="Z2708" i="1"/>
  <c r="Z2709" i="1"/>
  <c r="Z2710" i="1"/>
  <c r="H2711" i="1"/>
  <c r="Z2711" i="1"/>
  <c r="H2712" i="1"/>
  <c r="Z2712" i="1"/>
  <c r="Z2713" i="1"/>
  <c r="Z2714" i="1"/>
  <c r="H2715" i="1"/>
  <c r="Z2715" i="1"/>
  <c r="Z2716" i="1"/>
  <c r="Z2717" i="1"/>
  <c r="H2718" i="1"/>
  <c r="Z2718" i="1"/>
  <c r="Z2719" i="1"/>
  <c r="Z2720" i="1"/>
  <c r="H2721" i="1"/>
  <c r="Z2721" i="1"/>
  <c r="Z2722" i="1"/>
  <c r="Z2723" i="1"/>
  <c r="H2724" i="1"/>
  <c r="Z2724" i="1"/>
  <c r="Z2725" i="1"/>
  <c r="Z2726" i="1"/>
  <c r="Z2727" i="1"/>
  <c r="H2728" i="1"/>
  <c r="Z2728" i="1"/>
  <c r="Z2729" i="1"/>
  <c r="Z2730" i="1"/>
  <c r="H2731" i="1"/>
  <c r="Z2731" i="1"/>
  <c r="Z2732" i="1"/>
  <c r="Z2733" i="1"/>
  <c r="H2734" i="1"/>
  <c r="Z2734" i="1"/>
  <c r="Z2735" i="1"/>
  <c r="Z2736" i="1"/>
  <c r="H2737" i="1"/>
  <c r="Z2737" i="1"/>
  <c r="Z2738" i="1"/>
  <c r="Z2739" i="1"/>
  <c r="H2740" i="1"/>
  <c r="Z2740" i="1"/>
  <c r="Z2741" i="1"/>
  <c r="Z2742" i="1"/>
  <c r="H2743" i="1"/>
  <c r="Z2743" i="1"/>
  <c r="H2744" i="1"/>
  <c r="Z2744" i="1"/>
  <c r="H2745" i="1"/>
  <c r="Z2745" i="1"/>
  <c r="H2746" i="1"/>
  <c r="Z2746" i="1"/>
  <c r="H2747" i="1"/>
  <c r="Z2747" i="1"/>
  <c r="H2748" i="1"/>
  <c r="Z2748" i="1"/>
  <c r="Z2749" i="1"/>
  <c r="Z2750" i="1"/>
  <c r="H2751" i="1"/>
  <c r="Z2751" i="1"/>
  <c r="Z2752" i="1"/>
  <c r="Z2753" i="1"/>
  <c r="H2754" i="1"/>
  <c r="Z2754" i="1"/>
  <c r="Z2755" i="1"/>
  <c r="Z2756" i="1"/>
  <c r="H2757" i="1"/>
  <c r="Z2757" i="1"/>
  <c r="Z2758" i="1"/>
  <c r="Z2759" i="1"/>
  <c r="H2760" i="1"/>
  <c r="Z2760" i="1"/>
  <c r="H2761" i="1"/>
  <c r="Z2761" i="1"/>
  <c r="H2762" i="1"/>
  <c r="Z2762" i="1"/>
  <c r="H2763" i="1"/>
  <c r="Z2763" i="1"/>
  <c r="Z2764" i="1"/>
  <c r="Z2765" i="1"/>
  <c r="H2766" i="1"/>
  <c r="Z2766" i="1"/>
  <c r="H2767" i="1"/>
  <c r="Z2767" i="1"/>
  <c r="H2768" i="1"/>
  <c r="Z2768" i="1"/>
  <c r="H2769" i="1"/>
  <c r="Z2769" i="1"/>
  <c r="Z2770" i="1"/>
  <c r="Z2771" i="1"/>
  <c r="H2772" i="1"/>
  <c r="Z2772" i="1"/>
  <c r="H2773" i="1"/>
  <c r="Z2773" i="1"/>
  <c r="H2774" i="1"/>
  <c r="Z2774" i="1"/>
  <c r="Z2775" i="1"/>
  <c r="Z2776" i="1"/>
  <c r="H2777" i="1"/>
  <c r="Z2777" i="1"/>
  <c r="H2778" i="1"/>
  <c r="Z2778" i="1"/>
  <c r="Z2779" i="1"/>
  <c r="Z2780" i="1"/>
  <c r="H2781" i="1"/>
  <c r="Z2781" i="1"/>
  <c r="Z2782" i="1"/>
  <c r="Z2783" i="1"/>
  <c r="H2784" i="1"/>
  <c r="Z2784" i="1"/>
  <c r="Z2785" i="1"/>
  <c r="Z2786" i="1"/>
  <c r="H2787" i="1"/>
  <c r="Z2787" i="1"/>
  <c r="Z2788" i="1"/>
  <c r="Z2789" i="1"/>
  <c r="H2790" i="1"/>
  <c r="Z2790" i="1"/>
  <c r="H2791" i="1"/>
  <c r="Z2791" i="1"/>
  <c r="H2792" i="1"/>
  <c r="Z2792" i="1"/>
  <c r="H2793" i="1"/>
  <c r="Z2793" i="1"/>
  <c r="Z2794" i="1"/>
  <c r="Z2795" i="1"/>
  <c r="H2796" i="1"/>
  <c r="Z2796" i="1"/>
  <c r="Z2797" i="1"/>
  <c r="Z2798" i="1"/>
  <c r="H2799" i="1"/>
  <c r="Z2799" i="1"/>
  <c r="H2800" i="1"/>
  <c r="Z2800" i="1"/>
  <c r="H2801" i="1"/>
  <c r="Z2801" i="1"/>
  <c r="H2802" i="1"/>
  <c r="Z2802" i="1"/>
  <c r="H2803" i="1"/>
  <c r="Z2803" i="1"/>
  <c r="Z2804" i="1"/>
  <c r="Z2805" i="1"/>
  <c r="H2806" i="1"/>
  <c r="Z2806" i="1"/>
  <c r="Z2807" i="1"/>
  <c r="Z2808" i="1"/>
  <c r="H2809" i="1"/>
  <c r="Z2809" i="1"/>
  <c r="Z2810" i="1"/>
  <c r="Z2811" i="1"/>
  <c r="H2812" i="1"/>
  <c r="Z2812" i="1"/>
  <c r="Z2813" i="1"/>
  <c r="Z2814" i="1"/>
  <c r="H2815" i="1"/>
  <c r="Z2815" i="1"/>
  <c r="H2816" i="1"/>
  <c r="Z2816" i="1"/>
  <c r="H2817" i="1"/>
  <c r="Z2817" i="1"/>
  <c r="Z2818" i="1"/>
  <c r="Z2819" i="1"/>
  <c r="H2820" i="1"/>
  <c r="Z2820" i="1"/>
  <c r="Z2821" i="1"/>
  <c r="Z2822" i="1"/>
  <c r="H2823" i="1"/>
  <c r="Z2823" i="1"/>
  <c r="H2824" i="1"/>
  <c r="Z2824" i="1"/>
  <c r="Z2825" i="1"/>
  <c r="Z2826" i="1"/>
  <c r="H2827" i="1"/>
  <c r="Z2827" i="1"/>
  <c r="Z2828" i="1"/>
  <c r="Z2829" i="1"/>
  <c r="H2830" i="1"/>
  <c r="Z2830" i="1"/>
  <c r="Z2831" i="1"/>
  <c r="Z2832" i="1"/>
  <c r="H2833" i="1"/>
  <c r="Z2833" i="1"/>
  <c r="Z2834" i="1"/>
  <c r="Z2835" i="1"/>
  <c r="H2836" i="1"/>
  <c r="Z2836" i="1"/>
  <c r="H2837" i="1"/>
  <c r="Z2837" i="1"/>
  <c r="H2838" i="1"/>
  <c r="Z2838" i="1"/>
  <c r="Z2839" i="1"/>
  <c r="Z2840" i="1"/>
  <c r="H2841" i="1"/>
  <c r="Z2841" i="1"/>
  <c r="Z2842" i="1"/>
  <c r="Z2843" i="1"/>
  <c r="H2844" i="1"/>
  <c r="Z2844" i="1"/>
  <c r="H2845" i="1"/>
  <c r="Z2845" i="1"/>
  <c r="Z2846" i="1"/>
  <c r="Z2847" i="1"/>
  <c r="H2848" i="1"/>
  <c r="Z2848" i="1"/>
  <c r="H2849" i="1"/>
  <c r="Z2849" i="1"/>
  <c r="H2850" i="1"/>
  <c r="Z2850" i="1"/>
  <c r="Z2851" i="1"/>
  <c r="Z2852" i="1"/>
  <c r="H2853" i="1"/>
  <c r="Z2853" i="1"/>
  <c r="H2854" i="1"/>
  <c r="Z2854" i="1"/>
  <c r="Z2855" i="1"/>
  <c r="Z2856" i="1"/>
  <c r="H2857" i="1"/>
  <c r="Z2857" i="1"/>
  <c r="H2858" i="1"/>
  <c r="Z2858" i="1"/>
  <c r="Z2859" i="1"/>
  <c r="Z2860" i="1"/>
  <c r="H2861" i="1"/>
  <c r="Z2861" i="1"/>
  <c r="H2862" i="1"/>
  <c r="Z2862" i="1"/>
  <c r="H2863" i="1"/>
  <c r="Z2863" i="1"/>
  <c r="Z2864" i="1"/>
  <c r="Z2865" i="1"/>
  <c r="H2866" i="1"/>
  <c r="Z2866" i="1"/>
  <c r="Z2867" i="1"/>
  <c r="Z2868" i="1"/>
  <c r="H2869" i="1"/>
  <c r="Z2869" i="1"/>
  <c r="Z2870" i="1"/>
  <c r="Z2871" i="1"/>
  <c r="H2872" i="1"/>
  <c r="Z2872" i="1"/>
  <c r="H2873" i="1"/>
  <c r="Z2873" i="1"/>
  <c r="H2874" i="1"/>
  <c r="Z2874" i="1"/>
  <c r="H2875" i="1"/>
  <c r="Z2875" i="1"/>
  <c r="H2876" i="1"/>
  <c r="Z2876" i="1"/>
  <c r="H2877" i="1"/>
  <c r="Z2877" i="1"/>
  <c r="Z2878" i="1"/>
  <c r="Z2879" i="1"/>
  <c r="H2880" i="1"/>
  <c r="Z2880" i="1"/>
  <c r="Z2881" i="1"/>
  <c r="Z2882" i="1"/>
  <c r="H2883" i="1"/>
  <c r="Z2883" i="1"/>
  <c r="Z2884" i="1"/>
  <c r="Z2885" i="1"/>
  <c r="H2886" i="1"/>
  <c r="Z2886" i="1"/>
  <c r="H2887" i="1"/>
  <c r="Z2887" i="1"/>
  <c r="Z2888" i="1"/>
  <c r="Z2889" i="1"/>
  <c r="H2890" i="1"/>
  <c r="Z2890" i="1"/>
  <c r="Z2891" i="1"/>
  <c r="Z2892" i="1"/>
  <c r="H2893" i="1"/>
  <c r="Z2893" i="1"/>
  <c r="Z2894" i="1"/>
  <c r="Z2895" i="1"/>
  <c r="H2896" i="1"/>
  <c r="Z2896" i="1"/>
  <c r="Z2897" i="1"/>
  <c r="Z2898" i="1"/>
  <c r="H2899" i="1"/>
  <c r="Z2899" i="1"/>
  <c r="H2900" i="1"/>
  <c r="Z2900" i="1"/>
  <c r="Z2901" i="1"/>
  <c r="Z2902" i="1"/>
  <c r="H2903" i="1"/>
  <c r="Z2903" i="1"/>
  <c r="Z2904" i="1"/>
  <c r="Z2905" i="1"/>
  <c r="H2906" i="1"/>
  <c r="Z2906" i="1"/>
  <c r="H2907" i="1"/>
  <c r="Z2907" i="1"/>
  <c r="H2908" i="1"/>
  <c r="Z2908" i="1"/>
  <c r="Z2909" i="1"/>
  <c r="Z2910" i="1"/>
  <c r="H2911" i="1"/>
  <c r="Z2911" i="1"/>
  <c r="Z2912" i="1"/>
  <c r="Z2913" i="1"/>
  <c r="H2914" i="1"/>
  <c r="Z2914" i="1"/>
  <c r="Z2915" i="1"/>
  <c r="Z2916" i="1"/>
  <c r="H2917" i="1"/>
  <c r="Z2917" i="1"/>
  <c r="Z2918" i="1"/>
  <c r="Z2919" i="1"/>
  <c r="H2920" i="1"/>
  <c r="Z2920" i="1"/>
  <c r="Z2921" i="1"/>
  <c r="Z2922" i="1"/>
  <c r="H2923" i="1"/>
  <c r="Z2923" i="1"/>
  <c r="H2924" i="1"/>
  <c r="Z2924" i="1"/>
  <c r="Z2925" i="1"/>
  <c r="Z2926" i="1"/>
  <c r="H2927" i="1"/>
  <c r="Z2927" i="1"/>
  <c r="Z2928" i="1"/>
  <c r="Z2929" i="1"/>
  <c r="H2930" i="1"/>
  <c r="Z2930" i="1"/>
  <c r="Z2931" i="1"/>
  <c r="Z2932" i="1"/>
  <c r="H2933" i="1"/>
  <c r="Z2933" i="1"/>
  <c r="Z2934" i="1"/>
  <c r="Z2935" i="1"/>
  <c r="H2936" i="1"/>
  <c r="Z2936" i="1"/>
  <c r="Z2937" i="1"/>
  <c r="Z2938" i="1"/>
  <c r="H2939" i="1"/>
  <c r="Z2939" i="1"/>
  <c r="Z2940" i="1"/>
  <c r="Z2941" i="1"/>
  <c r="H2942" i="1"/>
  <c r="Z2942" i="1"/>
  <c r="Z2943" i="1"/>
  <c r="Z2944" i="1"/>
  <c r="H2945" i="1"/>
  <c r="Z2945" i="1"/>
  <c r="H2946" i="1"/>
  <c r="Z2946" i="1"/>
  <c r="H2947" i="1"/>
  <c r="Z2947" i="1"/>
  <c r="H2948" i="1"/>
  <c r="Z2948" i="1"/>
  <c r="Z2949" i="1"/>
  <c r="Z2950" i="1"/>
  <c r="H2951" i="1"/>
  <c r="Z2951" i="1"/>
  <c r="H2952" i="1"/>
  <c r="Z2952" i="1"/>
  <c r="H2953" i="1"/>
  <c r="Z2953" i="1"/>
  <c r="H2954" i="1"/>
  <c r="Z2954" i="1"/>
  <c r="Z2955" i="1"/>
  <c r="Z2956" i="1"/>
  <c r="H2957" i="1"/>
  <c r="Z2957" i="1"/>
  <c r="Z2958" i="1"/>
  <c r="Z2959" i="1"/>
  <c r="H2960" i="1"/>
  <c r="Z2960" i="1"/>
  <c r="H2961" i="1"/>
  <c r="Z2961" i="1"/>
  <c r="Z2962" i="1"/>
  <c r="Z2963" i="1"/>
  <c r="H2964" i="1"/>
  <c r="Z2964" i="1"/>
  <c r="H2965" i="1"/>
  <c r="Z2965" i="1"/>
  <c r="H2966" i="1"/>
  <c r="Z2966" i="1"/>
  <c r="Z2967" i="1"/>
  <c r="Z2968" i="1"/>
  <c r="H2969" i="1"/>
  <c r="Z2969" i="1"/>
  <c r="H2970" i="1"/>
  <c r="Z2970" i="1"/>
  <c r="H2971" i="1"/>
  <c r="Z2971" i="1"/>
  <c r="Z2972" i="1"/>
  <c r="Z2973" i="1"/>
  <c r="H2974" i="1"/>
  <c r="Z2974" i="1"/>
  <c r="H2975" i="1"/>
  <c r="Z2975" i="1"/>
  <c r="H2976" i="1"/>
  <c r="Z2976" i="1"/>
  <c r="Z2977" i="1"/>
  <c r="Z2978" i="1"/>
  <c r="H2979" i="1"/>
  <c r="Z2979" i="1"/>
  <c r="H2980" i="1"/>
  <c r="Z2980" i="1"/>
  <c r="Z2981" i="1"/>
  <c r="Z2982" i="1"/>
  <c r="H2983" i="1"/>
  <c r="Z2983" i="1"/>
  <c r="H2984" i="1"/>
  <c r="Z2984" i="1"/>
  <c r="Z2985" i="1"/>
  <c r="Z2986" i="1"/>
  <c r="H2987" i="1"/>
  <c r="Z2987" i="1"/>
  <c r="H2988" i="1"/>
  <c r="Z2988" i="1"/>
  <c r="Z2989" i="1"/>
  <c r="Z2990" i="1"/>
  <c r="H2991" i="1"/>
  <c r="Z2991" i="1"/>
  <c r="H2992" i="1"/>
  <c r="Z2992" i="1"/>
  <c r="Z2993" i="1"/>
  <c r="Z2994" i="1"/>
  <c r="H2995" i="1"/>
  <c r="Z2995" i="1"/>
  <c r="Z2996" i="1"/>
  <c r="Z2997" i="1"/>
  <c r="H2998" i="1"/>
  <c r="Z2998" i="1"/>
  <c r="H2999" i="1"/>
  <c r="Z2999" i="1"/>
  <c r="H3000" i="1"/>
  <c r="Z3000" i="1"/>
  <c r="H3001" i="1"/>
  <c r="Z3001" i="1"/>
  <c r="Z3002" i="1"/>
  <c r="Z3003" i="1"/>
  <c r="H3004" i="1"/>
  <c r="Z3004" i="1"/>
  <c r="Z3005" i="1"/>
  <c r="Z3006" i="1"/>
  <c r="H3007" i="1"/>
  <c r="Z3007" i="1"/>
  <c r="Z3008" i="1"/>
  <c r="Z3009" i="1"/>
  <c r="H3010" i="1"/>
  <c r="Z3010" i="1"/>
  <c r="H3011" i="1"/>
  <c r="Z3011" i="1"/>
  <c r="Z3012" i="1"/>
  <c r="Z3013" i="1"/>
  <c r="H3014" i="1"/>
  <c r="Z3014" i="1"/>
  <c r="H3015" i="1"/>
  <c r="Z3015" i="1"/>
  <c r="Z3016" i="1"/>
  <c r="Z3017" i="1"/>
  <c r="H3018" i="1"/>
  <c r="Z3018" i="1"/>
  <c r="Z3019" i="1"/>
  <c r="Z3020" i="1"/>
  <c r="H3021" i="1"/>
  <c r="Z3021" i="1"/>
  <c r="H3022" i="1"/>
  <c r="Z3022" i="1"/>
  <c r="Z3023" i="1"/>
  <c r="Z3024" i="1"/>
  <c r="H3025" i="1"/>
  <c r="Z3025" i="1"/>
  <c r="H3026" i="1"/>
  <c r="Z3026" i="1"/>
  <c r="H3027" i="1"/>
  <c r="Z3027" i="1"/>
  <c r="H3028" i="1"/>
  <c r="Z3028" i="1"/>
  <c r="Z3029" i="1"/>
  <c r="Z3030" i="1"/>
  <c r="Z3031" i="1"/>
  <c r="H3032" i="1"/>
  <c r="Z3032" i="1"/>
  <c r="H3033" i="1"/>
  <c r="Z3033" i="1"/>
  <c r="H3034" i="1"/>
  <c r="Z3034" i="1"/>
  <c r="H3035" i="1"/>
  <c r="Z3035" i="1"/>
  <c r="Z3036" i="1"/>
  <c r="Z3037" i="1"/>
  <c r="H3038" i="1"/>
  <c r="Z3038" i="1"/>
  <c r="Z3039" i="1"/>
  <c r="Z3040" i="1"/>
  <c r="Z3041" i="1"/>
  <c r="H3042" i="1"/>
  <c r="Z3042" i="1"/>
  <c r="H3043" i="1"/>
  <c r="Z3043" i="1"/>
  <c r="H3044" i="1"/>
  <c r="Z3044" i="1"/>
  <c r="Z3045" i="1"/>
  <c r="Z3046" i="1"/>
  <c r="H3047" i="1"/>
  <c r="Z3047" i="1"/>
  <c r="Z3048" i="1"/>
  <c r="Z3049" i="1"/>
  <c r="H3050" i="1"/>
  <c r="Z3050" i="1"/>
  <c r="Z3051" i="1"/>
  <c r="Z3052" i="1"/>
  <c r="H3053" i="1"/>
  <c r="Z3053" i="1"/>
  <c r="Z3054" i="1"/>
  <c r="Z3055" i="1"/>
  <c r="H3056" i="1"/>
  <c r="Z3056" i="1"/>
  <c r="Z3057" i="1"/>
  <c r="Z3058" i="1"/>
  <c r="H3059" i="1"/>
  <c r="Z3059" i="1"/>
  <c r="Z3060" i="1"/>
  <c r="Z3061" i="1"/>
  <c r="H3062" i="1"/>
  <c r="Z3062" i="1"/>
  <c r="Z3063" i="1"/>
  <c r="Z3064" i="1"/>
  <c r="H3065" i="1"/>
  <c r="Z3065" i="1"/>
  <c r="H3066" i="1"/>
  <c r="Z3066" i="1"/>
  <c r="Z3067" i="1"/>
  <c r="Z3068" i="1"/>
  <c r="H3069" i="1"/>
  <c r="Z3069" i="1"/>
  <c r="H3070" i="1"/>
  <c r="Z3070" i="1"/>
  <c r="H3071" i="1"/>
  <c r="Z3071" i="1"/>
  <c r="Z3072" i="1"/>
  <c r="Z3073" i="1"/>
  <c r="H3074" i="1"/>
  <c r="Z3074" i="1"/>
  <c r="H3075" i="1"/>
  <c r="Z3075" i="1"/>
  <c r="H3076" i="1"/>
  <c r="Z3076" i="1"/>
  <c r="H3077" i="1"/>
  <c r="Z3077" i="1"/>
  <c r="Z3078" i="1"/>
  <c r="Z3079" i="1"/>
  <c r="H3080" i="1"/>
  <c r="Z3080" i="1"/>
  <c r="Z3081" i="1"/>
  <c r="Z3082" i="1"/>
  <c r="H3083" i="1"/>
  <c r="Z3083" i="1"/>
  <c r="H3084" i="1"/>
  <c r="Z3084" i="1"/>
  <c r="H3085" i="1"/>
  <c r="Z3085" i="1"/>
  <c r="H3086" i="1"/>
  <c r="Z3086" i="1"/>
  <c r="Z3087" i="1"/>
  <c r="Z3088" i="1"/>
  <c r="H3089" i="1"/>
  <c r="Z3089" i="1"/>
  <c r="H3090" i="1"/>
  <c r="Z3090" i="1"/>
  <c r="Z3091" i="1"/>
  <c r="Z3092" i="1"/>
  <c r="H3093" i="1"/>
  <c r="Z3093" i="1"/>
  <c r="Z3094" i="1"/>
  <c r="Z3095" i="1"/>
  <c r="H3096" i="1"/>
  <c r="Z3096" i="1"/>
  <c r="Z3097" i="1"/>
  <c r="Z3098" i="1"/>
  <c r="H3099" i="1"/>
  <c r="Z3099" i="1"/>
  <c r="H3100" i="1"/>
  <c r="Z3100" i="1"/>
  <c r="H3101" i="1"/>
  <c r="Z3101" i="1"/>
  <c r="Z3102" i="1"/>
  <c r="Z3103" i="1"/>
  <c r="H3104" i="1"/>
  <c r="Z3104" i="1"/>
  <c r="Z3105" i="1"/>
  <c r="Z3106" i="1"/>
  <c r="H3107" i="1"/>
  <c r="Z3107" i="1"/>
  <c r="Z3108" i="1"/>
  <c r="Z3109" i="1"/>
  <c r="H3110" i="1"/>
  <c r="Z3110" i="1"/>
  <c r="Z3111" i="1"/>
  <c r="Z3112" i="1"/>
  <c r="H3113" i="1"/>
  <c r="Z3113" i="1"/>
  <c r="Z3114" i="1"/>
  <c r="Z3115" i="1"/>
  <c r="H3116" i="1"/>
  <c r="Z3116" i="1"/>
  <c r="H3117" i="1"/>
  <c r="Z3117" i="1"/>
  <c r="Z3118" i="1"/>
  <c r="Z3119" i="1"/>
  <c r="H3120" i="1"/>
  <c r="Z3120" i="1"/>
  <c r="H3121" i="1"/>
  <c r="Z3121" i="1"/>
  <c r="Z3122" i="1"/>
  <c r="Z3123" i="1"/>
  <c r="H3124" i="1"/>
  <c r="Z3124" i="1"/>
  <c r="Z3125" i="1"/>
  <c r="Z3126" i="1"/>
  <c r="H3127" i="1"/>
  <c r="Z3127" i="1"/>
  <c r="Z3128" i="1"/>
  <c r="Z3129" i="1"/>
  <c r="H3130" i="1"/>
  <c r="Z3130" i="1"/>
  <c r="H3131" i="1"/>
  <c r="Z3131" i="1"/>
  <c r="H3132" i="1"/>
  <c r="Z3132" i="1"/>
  <c r="H3133" i="1"/>
  <c r="Z3133" i="1"/>
  <c r="Z3134" i="1"/>
  <c r="Z3135" i="1"/>
  <c r="H3136" i="1"/>
  <c r="Z3136" i="1"/>
  <c r="Z3137" i="1"/>
  <c r="Z3138" i="1"/>
  <c r="H3139" i="1"/>
  <c r="Z3139" i="1"/>
  <c r="H3140" i="1"/>
  <c r="Z3140" i="1"/>
  <c r="H3141" i="1"/>
  <c r="Z3141" i="1"/>
  <c r="Z3142" i="1"/>
  <c r="Z3143" i="1"/>
  <c r="H3144" i="1"/>
  <c r="Z3144" i="1"/>
  <c r="H3145" i="1"/>
  <c r="Z3145" i="1"/>
  <c r="H3146" i="1"/>
  <c r="Z3146" i="1"/>
  <c r="H3147" i="1"/>
  <c r="Z3147" i="1"/>
  <c r="Z3148" i="1"/>
  <c r="Z3149" i="1"/>
  <c r="H3150" i="1"/>
  <c r="Z3150" i="1"/>
  <c r="Z3151" i="1"/>
  <c r="Z3152" i="1"/>
  <c r="H3153" i="1"/>
  <c r="Z3153" i="1"/>
  <c r="Z3154" i="1"/>
  <c r="Z3155" i="1"/>
  <c r="H3156" i="1"/>
  <c r="Z3156" i="1"/>
  <c r="H3157" i="1"/>
  <c r="Z3157" i="1"/>
  <c r="Z3158" i="1"/>
  <c r="Z3159" i="1"/>
  <c r="H3160" i="1"/>
  <c r="Z3160" i="1"/>
  <c r="Z3161" i="1"/>
  <c r="Z3162" i="1"/>
  <c r="H3163" i="1"/>
  <c r="Z3163" i="1"/>
  <c r="H3164" i="1"/>
  <c r="Z3164" i="1"/>
  <c r="Z3165" i="1"/>
  <c r="Z3166" i="1"/>
  <c r="H3167" i="1"/>
  <c r="Z3167" i="1"/>
  <c r="Z3168" i="1"/>
  <c r="Z3169" i="1"/>
  <c r="H3170" i="1"/>
  <c r="Z3170" i="1"/>
  <c r="Z3171" i="1"/>
  <c r="Z3172" i="1"/>
  <c r="H3173" i="1"/>
  <c r="Z3173" i="1"/>
  <c r="Z3174" i="1"/>
  <c r="Z3175" i="1"/>
  <c r="H3176" i="1"/>
  <c r="Z3176" i="1"/>
  <c r="H3177" i="1"/>
  <c r="Z3177" i="1"/>
  <c r="H3178" i="1"/>
  <c r="Z3178" i="1"/>
  <c r="Z3179" i="1"/>
  <c r="Z3180" i="1"/>
  <c r="H3181" i="1"/>
  <c r="Z3181" i="1"/>
  <c r="H3182" i="1"/>
  <c r="Z3182" i="1"/>
  <c r="Z3183" i="1"/>
  <c r="Z3184" i="1"/>
  <c r="H3185" i="1"/>
  <c r="Z3185" i="1"/>
  <c r="H3186" i="1"/>
  <c r="Z3186" i="1"/>
  <c r="Z3187" i="1"/>
  <c r="Z3188" i="1"/>
  <c r="H3189" i="1"/>
  <c r="Z3189" i="1"/>
  <c r="H3190" i="1"/>
  <c r="Z3190" i="1"/>
  <c r="Z3191" i="1"/>
  <c r="Z3192" i="1"/>
  <c r="H3193" i="1"/>
  <c r="Z3193" i="1"/>
  <c r="H3194" i="1"/>
  <c r="Z3194" i="1"/>
  <c r="Z3195" i="1"/>
  <c r="Z3196" i="1"/>
  <c r="H3197" i="1"/>
  <c r="Z3197" i="1"/>
  <c r="H3198" i="1"/>
  <c r="Z3198" i="1"/>
  <c r="Z3199" i="1"/>
  <c r="Z3200" i="1"/>
  <c r="Z3201" i="1"/>
  <c r="H3202" i="1"/>
  <c r="Z3202" i="1"/>
  <c r="H3203" i="1"/>
  <c r="Z3203" i="1"/>
  <c r="Z3204" i="1"/>
  <c r="Z3205" i="1"/>
  <c r="H3206" i="1"/>
  <c r="Z3206" i="1"/>
  <c r="Z3207" i="1"/>
  <c r="Z3208" i="1"/>
  <c r="H3209" i="1"/>
  <c r="Z3209" i="1"/>
  <c r="Z3210" i="1"/>
  <c r="Z3211" i="1"/>
  <c r="H3212" i="1"/>
  <c r="Z3212" i="1"/>
  <c r="Z3213" i="1"/>
  <c r="Z3214" i="1"/>
  <c r="H3215" i="1"/>
  <c r="Z3215" i="1"/>
  <c r="Z3216" i="1"/>
  <c r="Z3217" i="1"/>
  <c r="H3218" i="1"/>
  <c r="Z3218" i="1"/>
  <c r="Z3219" i="1"/>
  <c r="Z3220" i="1"/>
  <c r="H3221" i="1"/>
  <c r="Z3221" i="1"/>
  <c r="Z3222" i="1"/>
  <c r="Z3223" i="1"/>
  <c r="H3224" i="1"/>
  <c r="Z3224" i="1"/>
  <c r="Z3225" i="1"/>
  <c r="Z3226" i="1"/>
  <c r="H3227" i="1"/>
  <c r="Z3227" i="1"/>
  <c r="Z3228" i="1"/>
  <c r="Z3229" i="1"/>
  <c r="H3230" i="1"/>
  <c r="Z3230" i="1"/>
  <c r="H3231" i="1"/>
  <c r="Z3231" i="1"/>
  <c r="Z3232" i="1"/>
  <c r="Z3233" i="1"/>
  <c r="H3234" i="1"/>
  <c r="Z3234" i="1"/>
  <c r="H3235" i="1"/>
  <c r="Z3235" i="1"/>
  <c r="H3236" i="1"/>
  <c r="Z3236" i="1"/>
  <c r="Z3237" i="1"/>
  <c r="Z3238" i="1"/>
  <c r="H3239" i="1"/>
  <c r="Z3239" i="1"/>
  <c r="H3240" i="1"/>
  <c r="Z3240" i="1"/>
  <c r="H3241" i="1"/>
  <c r="Z3241" i="1"/>
  <c r="Z3242" i="1"/>
  <c r="Z3243" i="1"/>
  <c r="H3244" i="1"/>
  <c r="Z3244" i="1"/>
  <c r="H3245" i="1"/>
  <c r="Z3245" i="1"/>
  <c r="Z3246" i="1"/>
  <c r="Z3247" i="1"/>
  <c r="H3248" i="1"/>
  <c r="Z3248" i="1"/>
  <c r="Z3249" i="1"/>
  <c r="Z3250" i="1"/>
  <c r="H3251" i="1"/>
  <c r="Z3251" i="1"/>
  <c r="H3252" i="1"/>
  <c r="Z3252" i="1"/>
  <c r="H3253" i="1"/>
  <c r="Z3253" i="1"/>
  <c r="H3254" i="1"/>
  <c r="Z3254" i="1"/>
  <c r="H3255" i="1"/>
  <c r="Z3255" i="1"/>
  <c r="Z3256" i="1"/>
  <c r="Z3257" i="1"/>
  <c r="H3258" i="1"/>
  <c r="Z3258" i="1"/>
  <c r="Z3259" i="1"/>
  <c r="Z3260" i="1"/>
  <c r="H3261" i="1"/>
  <c r="Z3261" i="1"/>
  <c r="H3262" i="1"/>
  <c r="Z3262" i="1"/>
  <c r="Z3263" i="1"/>
  <c r="Z3264" i="1"/>
  <c r="H3265" i="1"/>
  <c r="Z3265" i="1"/>
  <c r="H3266" i="1"/>
  <c r="Z3266" i="1"/>
  <c r="H3267" i="1"/>
  <c r="Z3267" i="1"/>
  <c r="H3268" i="1"/>
  <c r="Z3268" i="1"/>
  <c r="H3269" i="1"/>
  <c r="Z3269" i="1"/>
  <c r="H3270" i="1"/>
  <c r="Z3270" i="1"/>
  <c r="H3271" i="1"/>
  <c r="Z3271" i="1"/>
  <c r="H3272" i="1"/>
  <c r="Z3272" i="1"/>
  <c r="H3273" i="1"/>
  <c r="Z3273" i="1"/>
  <c r="H3274" i="1"/>
  <c r="Z3274" i="1"/>
  <c r="H3275" i="1"/>
  <c r="Z3275" i="1"/>
  <c r="H3276" i="1"/>
  <c r="Z3276" i="1"/>
  <c r="H3277" i="1"/>
  <c r="Z3277" i="1"/>
  <c r="H3278" i="1"/>
  <c r="Z3278" i="1"/>
  <c r="H3279" i="1"/>
  <c r="Z3279" i="1"/>
  <c r="Z3280" i="1"/>
  <c r="Z3281" i="1"/>
  <c r="H3282" i="1"/>
  <c r="Z3282" i="1"/>
  <c r="H3283" i="1"/>
  <c r="Z3283" i="1"/>
  <c r="H3284" i="1"/>
  <c r="Z3284" i="1"/>
  <c r="Z3285" i="1"/>
  <c r="Z3286" i="1"/>
  <c r="H3287" i="1"/>
  <c r="Z3287" i="1"/>
  <c r="H3288" i="1"/>
  <c r="Z3288" i="1"/>
  <c r="H3289" i="1"/>
  <c r="Z3289" i="1"/>
  <c r="Z3290" i="1"/>
  <c r="Z3291" i="1"/>
  <c r="H3292" i="1"/>
  <c r="Z3292" i="1"/>
  <c r="Z3293" i="1"/>
  <c r="Z3294" i="1"/>
  <c r="H3295" i="1"/>
  <c r="Z3295" i="1"/>
  <c r="H3296" i="1"/>
  <c r="Z3296" i="1"/>
  <c r="Z3297" i="1"/>
  <c r="Z3298" i="1"/>
  <c r="H3299" i="1"/>
  <c r="Z3299" i="1"/>
  <c r="Z3300" i="1"/>
  <c r="Z3301" i="1"/>
  <c r="H3302" i="1"/>
  <c r="Z3302" i="1"/>
  <c r="H3303" i="1"/>
  <c r="Z3303" i="1"/>
  <c r="Z3304" i="1"/>
  <c r="Z3305" i="1"/>
  <c r="H3306" i="1"/>
  <c r="Z3306" i="1"/>
  <c r="H3307" i="1"/>
  <c r="Z3307" i="1"/>
  <c r="H3308" i="1"/>
  <c r="Z3308" i="1"/>
  <c r="H3309" i="1"/>
  <c r="Z3309" i="1"/>
  <c r="H3310" i="1"/>
  <c r="Z3310" i="1"/>
  <c r="Z3311" i="1"/>
  <c r="Z3312" i="1"/>
  <c r="H3313" i="1"/>
  <c r="Z3313" i="1"/>
  <c r="H3314" i="1"/>
  <c r="Z3314" i="1"/>
  <c r="H3315" i="1"/>
  <c r="Z3315" i="1"/>
  <c r="Z3316" i="1"/>
  <c r="Z3317" i="1"/>
  <c r="H3318" i="1"/>
  <c r="Z3318" i="1"/>
  <c r="Z3319" i="1"/>
  <c r="Z3320" i="1"/>
  <c r="H3321" i="1"/>
  <c r="Z3321" i="1"/>
  <c r="Z3322" i="1"/>
  <c r="Z3323" i="1"/>
  <c r="H3324" i="1"/>
  <c r="Z3324" i="1"/>
  <c r="Z3325" i="1"/>
  <c r="Z3326" i="1"/>
  <c r="H3327" i="1"/>
  <c r="Z3327" i="1"/>
  <c r="Z3328" i="1"/>
  <c r="Z3329" i="1"/>
  <c r="H3330" i="1"/>
  <c r="Z3330" i="1"/>
  <c r="H3331" i="1"/>
  <c r="Z3331" i="1"/>
  <c r="Z3332" i="1"/>
  <c r="Z3333" i="1"/>
  <c r="H3334" i="1"/>
  <c r="Z3334" i="1"/>
  <c r="H3335" i="1"/>
  <c r="Z3335" i="1"/>
  <c r="H3336" i="1"/>
  <c r="Z3336" i="1"/>
  <c r="H3337" i="1"/>
  <c r="Z3337" i="1"/>
  <c r="H3338" i="1"/>
  <c r="Z3338" i="1"/>
  <c r="H3339" i="1"/>
  <c r="Z3339" i="1"/>
  <c r="H3340" i="1"/>
  <c r="Z3340" i="1"/>
  <c r="H3341" i="1"/>
  <c r="Z3341" i="1"/>
  <c r="H3342" i="1"/>
  <c r="Z3342" i="1"/>
  <c r="Z3343" i="1"/>
  <c r="Z3344" i="1"/>
  <c r="H3345" i="1"/>
  <c r="Z3345" i="1"/>
  <c r="Z3346" i="1"/>
  <c r="Z3347" i="1"/>
  <c r="H3348" i="1"/>
  <c r="Z3348" i="1"/>
  <c r="Z3349" i="1"/>
  <c r="Z3350" i="1"/>
  <c r="H3351" i="1"/>
  <c r="Z3351" i="1"/>
  <c r="Z3352" i="1"/>
  <c r="Z3353" i="1"/>
  <c r="H3354" i="1"/>
  <c r="Z3354" i="1"/>
  <c r="Z3355" i="1"/>
  <c r="Z3356" i="1"/>
  <c r="H3357" i="1"/>
  <c r="Z3357" i="1"/>
  <c r="H3358" i="1"/>
  <c r="Z3358" i="1"/>
  <c r="Z3359" i="1"/>
  <c r="Z3360" i="1"/>
  <c r="H3361" i="1"/>
  <c r="Z3361" i="1"/>
  <c r="Z3362" i="1"/>
  <c r="Z3363" i="1"/>
  <c r="H3364" i="1"/>
  <c r="Z3364" i="1"/>
  <c r="H3365" i="1"/>
  <c r="Z3365" i="1"/>
  <c r="H3366" i="1"/>
  <c r="Z3366" i="1"/>
  <c r="H3367" i="1"/>
  <c r="Z3367" i="1"/>
  <c r="Z3368" i="1"/>
  <c r="Z3369" i="1"/>
  <c r="H3370" i="1"/>
  <c r="Z3370" i="1"/>
  <c r="H3371" i="1"/>
  <c r="Z3371" i="1"/>
  <c r="H3372" i="1"/>
  <c r="Z3372" i="1"/>
  <c r="H3373" i="1"/>
  <c r="Z3373" i="1"/>
  <c r="H3374" i="1"/>
  <c r="Z3374" i="1"/>
  <c r="H3375" i="1"/>
  <c r="Z3375" i="1"/>
  <c r="H3376" i="1"/>
  <c r="Z3376" i="1"/>
  <c r="H3377" i="1"/>
  <c r="Z3377" i="1"/>
  <c r="H3378" i="1"/>
  <c r="Z3378" i="1"/>
  <c r="H3379" i="1"/>
  <c r="Z3379" i="1"/>
  <c r="H3380" i="1"/>
  <c r="Z3380" i="1"/>
  <c r="H3381" i="1"/>
  <c r="Z3381" i="1"/>
  <c r="Z3382" i="1"/>
  <c r="Z3383" i="1"/>
  <c r="H3384" i="1"/>
  <c r="Z3384" i="1"/>
  <c r="H3385" i="1"/>
  <c r="Z3385" i="1"/>
  <c r="Z3386" i="1"/>
  <c r="Z3387" i="1"/>
  <c r="H3388" i="1"/>
  <c r="Z3388" i="1"/>
  <c r="H3389" i="1"/>
  <c r="Z3389" i="1"/>
  <c r="H3390" i="1"/>
  <c r="Z3390" i="1"/>
  <c r="Z3391" i="1"/>
  <c r="Z3392" i="1"/>
  <c r="H3393" i="1"/>
  <c r="Z3393" i="1"/>
  <c r="H3394" i="1"/>
  <c r="Z3394" i="1"/>
  <c r="Z3395" i="1"/>
  <c r="Z3396" i="1"/>
  <c r="H3397" i="1"/>
  <c r="Z3397" i="1"/>
  <c r="H3398" i="1"/>
  <c r="Z3398" i="1"/>
  <c r="Z3399" i="1"/>
  <c r="Z3400" i="1"/>
  <c r="H3401" i="1"/>
  <c r="Z3401" i="1"/>
  <c r="H3402" i="1"/>
  <c r="Z3402" i="1"/>
  <c r="H3403" i="1"/>
  <c r="Z3403" i="1"/>
  <c r="H3404" i="1"/>
  <c r="Z3404" i="1"/>
  <c r="H3405" i="1"/>
  <c r="Z3405" i="1"/>
  <c r="Z3406" i="1"/>
  <c r="Z3407" i="1"/>
  <c r="H3408" i="1"/>
  <c r="Z3408" i="1"/>
  <c r="H3409" i="1"/>
  <c r="Z3409" i="1"/>
  <c r="H3410" i="1"/>
  <c r="Z3410" i="1"/>
  <c r="Z3411" i="1"/>
  <c r="Z3412" i="1"/>
  <c r="H3413" i="1"/>
  <c r="Z3413" i="1"/>
  <c r="Z3414" i="1"/>
  <c r="Z3415" i="1"/>
  <c r="H3416" i="1"/>
  <c r="Z3416" i="1"/>
  <c r="H3417" i="1"/>
  <c r="Z3417" i="1"/>
  <c r="Z3418" i="1"/>
  <c r="Z3419" i="1"/>
  <c r="H3420" i="1"/>
  <c r="Z3420" i="1"/>
  <c r="Z3421" i="1"/>
  <c r="Z3422" i="1"/>
  <c r="H3423" i="1"/>
  <c r="Z3423" i="1"/>
  <c r="Z3424" i="1"/>
  <c r="Z3425" i="1"/>
  <c r="H3426" i="1"/>
  <c r="Z3426" i="1"/>
  <c r="H3427" i="1"/>
  <c r="Z3427" i="1"/>
  <c r="Z3428" i="1"/>
  <c r="Z3429" i="1"/>
  <c r="H3430" i="1"/>
  <c r="Z3430" i="1"/>
  <c r="H3431" i="1"/>
  <c r="Z3431" i="1"/>
  <c r="H3432" i="1"/>
  <c r="Z3432" i="1"/>
  <c r="Z3433" i="1"/>
  <c r="Z3434" i="1"/>
  <c r="H3435" i="1"/>
  <c r="Z3435" i="1"/>
  <c r="H3436" i="1"/>
  <c r="Z3436" i="1"/>
  <c r="H3437" i="1"/>
  <c r="Z3437" i="1"/>
  <c r="H3438" i="1"/>
  <c r="Z3438" i="1"/>
  <c r="H3439" i="1"/>
  <c r="Z3439" i="1"/>
  <c r="H3440" i="1"/>
  <c r="Z3440" i="1"/>
  <c r="Z3441" i="1"/>
  <c r="Z3442" i="1"/>
  <c r="H3443" i="1"/>
  <c r="Z3443" i="1"/>
  <c r="Z3444" i="1"/>
  <c r="Z3445" i="1"/>
  <c r="H3446" i="1"/>
  <c r="Z3446" i="1"/>
  <c r="Z3447" i="1"/>
  <c r="Z3448" i="1"/>
  <c r="H3449" i="1"/>
  <c r="Z3449" i="1"/>
  <c r="Z3450" i="1"/>
  <c r="Z3451" i="1"/>
  <c r="H3452" i="1"/>
  <c r="Z3452" i="1"/>
  <c r="Z3453" i="1"/>
  <c r="Z3454" i="1"/>
  <c r="H3455" i="1"/>
  <c r="Z3455" i="1"/>
  <c r="Z3456" i="1"/>
  <c r="Z3457" i="1"/>
  <c r="H3458" i="1"/>
  <c r="Z3458" i="1"/>
  <c r="H3459" i="1"/>
  <c r="Z3459" i="1"/>
  <c r="Z3460" i="1"/>
  <c r="Z3461" i="1"/>
  <c r="H3462" i="1"/>
  <c r="Z3462" i="1"/>
  <c r="Z3463" i="1"/>
  <c r="Z3464" i="1"/>
  <c r="H3465" i="1"/>
  <c r="Z3465" i="1"/>
  <c r="Z3466" i="1"/>
  <c r="Z3467" i="1"/>
  <c r="H3468" i="1"/>
  <c r="Z3468" i="1"/>
  <c r="Z3469" i="1"/>
  <c r="Z3470" i="1"/>
  <c r="H3471" i="1"/>
  <c r="Z3471" i="1"/>
  <c r="Z3472" i="1"/>
  <c r="Z3473" i="1"/>
  <c r="H3474" i="1"/>
  <c r="Z3474" i="1"/>
  <c r="H3475" i="1"/>
  <c r="Z3475" i="1"/>
  <c r="H3476" i="1"/>
  <c r="Z3476" i="1"/>
  <c r="H3477" i="1"/>
  <c r="Z3477" i="1"/>
  <c r="Z3478" i="1"/>
  <c r="Z3479" i="1"/>
  <c r="H3480" i="1"/>
  <c r="Z3480" i="1"/>
  <c r="Z3481" i="1"/>
  <c r="Z3482" i="1"/>
  <c r="H3483" i="1"/>
  <c r="Z3483" i="1"/>
  <c r="Z3484" i="1"/>
  <c r="Z3485" i="1"/>
  <c r="H3486" i="1"/>
  <c r="Z3486" i="1"/>
  <c r="Z3487" i="1"/>
  <c r="Z3488" i="1"/>
  <c r="H3489" i="1"/>
  <c r="Z3489" i="1"/>
  <c r="H3490" i="1"/>
  <c r="Z3490" i="1"/>
  <c r="Z3491" i="1"/>
  <c r="Z3492" i="1"/>
  <c r="H3493" i="1"/>
  <c r="Z3493" i="1"/>
  <c r="H3494" i="1"/>
  <c r="Z3494" i="1"/>
  <c r="H3495" i="1"/>
  <c r="Z3495" i="1"/>
  <c r="Z3496" i="1"/>
  <c r="Z3497" i="1"/>
  <c r="H3498" i="1"/>
  <c r="Z3498" i="1"/>
  <c r="Z3499" i="1"/>
  <c r="Z3500" i="1"/>
  <c r="H3501" i="1"/>
  <c r="Z3501" i="1"/>
  <c r="H3502" i="1"/>
  <c r="Z3502" i="1"/>
  <c r="Z3503" i="1"/>
  <c r="Z3504" i="1"/>
  <c r="H3505" i="1"/>
  <c r="Z3505" i="1"/>
  <c r="Z3506" i="1"/>
  <c r="Z3507" i="1"/>
  <c r="H3508" i="1"/>
  <c r="Z3508" i="1"/>
  <c r="H3509" i="1"/>
  <c r="Z3509" i="1"/>
  <c r="H3510" i="1"/>
  <c r="Z3510" i="1"/>
  <c r="Z3511" i="1"/>
  <c r="Z3512" i="1"/>
  <c r="H3513" i="1"/>
  <c r="Z3513" i="1"/>
  <c r="H3514" i="1"/>
  <c r="Z3514" i="1"/>
  <c r="Z3515" i="1"/>
  <c r="Z3516" i="1"/>
  <c r="H3517" i="1"/>
  <c r="Z3517" i="1"/>
  <c r="Z3518" i="1"/>
  <c r="Z3519" i="1"/>
  <c r="H3520" i="1"/>
  <c r="Z3520" i="1"/>
  <c r="Z3521" i="1"/>
  <c r="Z3522" i="1"/>
  <c r="H3523" i="1"/>
  <c r="Z3523" i="1"/>
  <c r="H3524" i="1"/>
  <c r="Z3524" i="1"/>
  <c r="H3525" i="1"/>
  <c r="Z3525" i="1"/>
  <c r="H3526" i="1"/>
  <c r="Z3526" i="1"/>
  <c r="H3527" i="1"/>
  <c r="Z3527" i="1"/>
  <c r="H3528" i="1"/>
  <c r="Z3528" i="1"/>
  <c r="H3529" i="1"/>
  <c r="Z3529" i="1"/>
  <c r="H3530" i="1"/>
  <c r="Z3530" i="1"/>
  <c r="H3531" i="1"/>
  <c r="Z3531" i="1"/>
  <c r="H3532" i="1"/>
  <c r="Z3532" i="1"/>
  <c r="H3533" i="1"/>
  <c r="Z3533" i="1"/>
  <c r="H3534" i="1"/>
  <c r="Z3534" i="1"/>
  <c r="Z3535" i="1"/>
  <c r="Z3536" i="1"/>
  <c r="H3537" i="1"/>
  <c r="Z3537" i="1"/>
  <c r="H3538" i="1"/>
  <c r="Z3538" i="1"/>
  <c r="Z3539" i="1"/>
  <c r="Z3540" i="1"/>
  <c r="H3541" i="1"/>
  <c r="Z3541" i="1"/>
  <c r="H3542" i="1"/>
  <c r="Z3542" i="1"/>
  <c r="H3543" i="1"/>
  <c r="Z3543" i="1"/>
  <c r="H3544" i="1"/>
  <c r="Z3544" i="1"/>
  <c r="Z3545" i="1"/>
  <c r="Z3546" i="1"/>
  <c r="H3547" i="1"/>
  <c r="Z3547" i="1"/>
  <c r="H3548" i="1"/>
  <c r="Z3548" i="1"/>
  <c r="H3549" i="1"/>
  <c r="Z3549" i="1"/>
  <c r="H3550" i="1"/>
  <c r="Z3550" i="1"/>
  <c r="H3551" i="1"/>
  <c r="Z3551" i="1"/>
  <c r="H3552" i="1"/>
  <c r="Z3552" i="1"/>
  <c r="H3553" i="1"/>
  <c r="Z3553" i="1"/>
  <c r="Z3554" i="1"/>
  <c r="Z3555" i="1"/>
  <c r="H3556" i="1"/>
  <c r="Z3556" i="1"/>
  <c r="H3557" i="1"/>
  <c r="Z3557" i="1"/>
  <c r="Z3558" i="1"/>
  <c r="Z3559" i="1"/>
  <c r="H3560" i="1"/>
  <c r="Z3560" i="1"/>
  <c r="H3561" i="1"/>
  <c r="Z3561" i="1"/>
  <c r="Z3562" i="1"/>
  <c r="Z3563" i="1"/>
  <c r="H3564" i="1"/>
  <c r="Z3564" i="1"/>
  <c r="Z3565" i="1"/>
  <c r="Z3566" i="1"/>
  <c r="H3567" i="1"/>
  <c r="Z3567" i="1"/>
  <c r="H3568" i="1"/>
  <c r="Z3568" i="1"/>
  <c r="Z3569" i="1"/>
  <c r="Z3570" i="1"/>
  <c r="H3571" i="1"/>
  <c r="Z3571" i="1"/>
  <c r="H3572" i="1"/>
  <c r="Z3572" i="1"/>
  <c r="Z3573" i="1"/>
  <c r="Z3574" i="1"/>
  <c r="H3575" i="1"/>
  <c r="Z3575" i="1"/>
  <c r="Z3576" i="1"/>
  <c r="Z3577" i="1"/>
  <c r="H3578" i="1"/>
  <c r="Z3578" i="1"/>
  <c r="Z3579" i="1"/>
  <c r="Z3580" i="1"/>
  <c r="H3581" i="1"/>
  <c r="Z3581" i="1"/>
  <c r="Z3582" i="1"/>
  <c r="Z3583" i="1"/>
  <c r="H3584" i="1"/>
  <c r="Z3584" i="1"/>
  <c r="Z3585" i="1"/>
  <c r="Z3586" i="1"/>
  <c r="H3587" i="1"/>
  <c r="Z3587" i="1"/>
  <c r="Z3588" i="1"/>
  <c r="Z3589" i="1"/>
  <c r="H3590" i="1"/>
  <c r="Z3590" i="1"/>
  <c r="Z3591" i="1"/>
  <c r="Z3592" i="1"/>
  <c r="H3593" i="1"/>
  <c r="Z3593" i="1"/>
  <c r="Z3594" i="1"/>
  <c r="Z3595" i="1"/>
  <c r="H3596" i="1"/>
  <c r="Z3596" i="1"/>
  <c r="Z3597" i="1"/>
  <c r="Z3598" i="1"/>
  <c r="H3599" i="1"/>
  <c r="Z3599" i="1"/>
  <c r="Z3600" i="1"/>
  <c r="Z3601" i="1"/>
  <c r="H3602" i="1"/>
  <c r="Z3602" i="1"/>
  <c r="H3603" i="1"/>
  <c r="Z3603" i="1"/>
  <c r="H3604" i="1"/>
  <c r="Z3604" i="1"/>
  <c r="H3605" i="1"/>
  <c r="Z3605" i="1"/>
  <c r="Z3606" i="1"/>
  <c r="Z3607" i="1"/>
  <c r="H3608" i="1"/>
  <c r="Z3608" i="1"/>
  <c r="Z3609" i="1"/>
  <c r="Z3610" i="1"/>
  <c r="H3611" i="1"/>
  <c r="Z3611" i="1"/>
  <c r="Z3612" i="1"/>
  <c r="Z3613" i="1"/>
  <c r="H3614" i="1"/>
  <c r="Z3614" i="1"/>
  <c r="H3615" i="1"/>
  <c r="Z3615" i="1"/>
  <c r="H3616" i="1"/>
  <c r="Z3616" i="1"/>
  <c r="H3617" i="1"/>
  <c r="Z3617" i="1"/>
  <c r="Z3618" i="1"/>
  <c r="Z3619" i="1"/>
  <c r="H3620" i="1"/>
  <c r="Z3620" i="1"/>
  <c r="Z3621" i="1"/>
  <c r="Z3622" i="1"/>
  <c r="H3623" i="1"/>
  <c r="Z3623" i="1"/>
  <c r="H3624" i="1"/>
  <c r="Z3624" i="1"/>
  <c r="H3625" i="1"/>
  <c r="Z3625" i="1"/>
  <c r="Z3626" i="1"/>
  <c r="Z3627" i="1"/>
  <c r="H3628" i="1"/>
  <c r="Z3628" i="1"/>
  <c r="Z3629" i="1"/>
  <c r="Z3630" i="1"/>
  <c r="H3631" i="1"/>
  <c r="Z3631" i="1"/>
  <c r="H3632" i="1"/>
  <c r="Z3632" i="1"/>
  <c r="Z3633" i="1"/>
  <c r="Z3634" i="1"/>
  <c r="H3635" i="1"/>
  <c r="Z3635" i="1"/>
  <c r="Z3636" i="1"/>
  <c r="Z3637" i="1"/>
  <c r="H3638" i="1"/>
  <c r="Z3638" i="1"/>
  <c r="H3639" i="1"/>
  <c r="Z3639" i="1"/>
  <c r="H3640" i="1"/>
  <c r="Z3640" i="1"/>
  <c r="H3641" i="1"/>
  <c r="Z3641" i="1"/>
  <c r="H3642" i="1"/>
  <c r="Z3642" i="1"/>
  <c r="H3643" i="1"/>
  <c r="Z3643" i="1"/>
  <c r="H3644" i="1"/>
  <c r="Z3644" i="1"/>
  <c r="Z3645" i="1"/>
  <c r="Z3646" i="1"/>
  <c r="H3647" i="1"/>
  <c r="Z3647" i="1"/>
  <c r="Z3648" i="1"/>
  <c r="Z3649" i="1"/>
  <c r="H3650" i="1"/>
  <c r="Z3650" i="1"/>
  <c r="Z3651" i="1"/>
  <c r="Z3652" i="1"/>
  <c r="H3653" i="1"/>
  <c r="Z3653" i="1"/>
  <c r="H3654" i="1"/>
  <c r="Z3654" i="1"/>
  <c r="Z3655" i="1"/>
  <c r="Z3656" i="1"/>
  <c r="H3657" i="1"/>
  <c r="Z3657" i="1"/>
  <c r="Z3658" i="1"/>
  <c r="Z3659" i="1"/>
  <c r="H3660" i="1"/>
  <c r="Z3660" i="1"/>
  <c r="H3661" i="1"/>
  <c r="Z3661" i="1"/>
  <c r="H3662" i="1"/>
  <c r="Z3662" i="1"/>
  <c r="H3663" i="1"/>
  <c r="Z3663" i="1"/>
  <c r="Z3664" i="1"/>
  <c r="Z3665" i="1"/>
  <c r="H3666" i="1"/>
  <c r="Z3666" i="1"/>
  <c r="Z3667" i="1"/>
  <c r="Z3668" i="1"/>
  <c r="H3669" i="1"/>
  <c r="Z3669" i="1"/>
  <c r="Z3670" i="1"/>
  <c r="Z3671" i="1"/>
  <c r="H3672" i="1"/>
  <c r="Z3672" i="1"/>
  <c r="H3673" i="1"/>
  <c r="Z3673" i="1"/>
  <c r="H3674" i="1"/>
  <c r="Z3674" i="1"/>
  <c r="H3675" i="1"/>
  <c r="Z3675" i="1"/>
  <c r="H3676" i="1"/>
  <c r="Z3676" i="1"/>
  <c r="Z3677" i="1"/>
  <c r="Z3678" i="1"/>
  <c r="H3679" i="1"/>
  <c r="Z3679" i="1"/>
  <c r="Z3680" i="1"/>
  <c r="Z3681" i="1"/>
  <c r="H3682" i="1"/>
  <c r="Z3682" i="1"/>
  <c r="Z3683" i="1"/>
  <c r="Z3684" i="1"/>
  <c r="H3685" i="1"/>
  <c r="Z3685" i="1"/>
  <c r="H3686" i="1"/>
  <c r="Z3686" i="1"/>
  <c r="H3687" i="1"/>
  <c r="Z3687" i="1"/>
  <c r="Z3688" i="1"/>
  <c r="Z3689" i="1"/>
  <c r="Z3690" i="1"/>
  <c r="H3691" i="1"/>
  <c r="Z3691" i="1"/>
  <c r="Z3692" i="1"/>
  <c r="Z3693" i="1"/>
  <c r="H3694" i="1"/>
  <c r="Z3694" i="1"/>
  <c r="H3695" i="1"/>
  <c r="Z3695" i="1"/>
  <c r="H3696" i="1"/>
  <c r="Z3696" i="1"/>
  <c r="H3697" i="1"/>
  <c r="Z3697" i="1"/>
  <c r="H3698" i="1"/>
  <c r="Z3698" i="1"/>
  <c r="H3699" i="1"/>
  <c r="Z3699" i="1"/>
  <c r="H3700" i="1"/>
  <c r="Z3700" i="1"/>
  <c r="H3701" i="1"/>
  <c r="Z3701" i="1"/>
  <c r="Z3702" i="1"/>
  <c r="Z3703" i="1"/>
  <c r="H3704" i="1"/>
  <c r="Z3704" i="1"/>
  <c r="H3705" i="1"/>
  <c r="Z3705" i="1"/>
  <c r="Z3706" i="1"/>
  <c r="Z3707" i="1"/>
  <c r="H3708" i="1"/>
  <c r="Z3708" i="1"/>
  <c r="Z3709" i="1"/>
  <c r="Z3710" i="1"/>
  <c r="H3711" i="1"/>
  <c r="Z3711" i="1"/>
  <c r="H3712" i="1"/>
  <c r="Z3712" i="1"/>
  <c r="Z3713" i="1"/>
  <c r="Z3714" i="1"/>
  <c r="H3715" i="1"/>
  <c r="Z3715" i="1"/>
  <c r="H3716" i="1"/>
  <c r="Z3716" i="1"/>
  <c r="H3717" i="1"/>
  <c r="Z3717" i="1"/>
  <c r="H3718" i="1"/>
  <c r="Z3718" i="1"/>
  <c r="Z3719" i="1"/>
  <c r="Z3720" i="1"/>
  <c r="H3721" i="1"/>
  <c r="Z3721" i="1"/>
  <c r="H3722" i="1"/>
  <c r="Z3722" i="1"/>
  <c r="H3723" i="1"/>
  <c r="Z3723" i="1"/>
  <c r="H3724" i="1"/>
  <c r="Z3724" i="1"/>
  <c r="H3725" i="1"/>
  <c r="Z3725" i="1"/>
  <c r="H3726" i="1"/>
  <c r="Z3726" i="1"/>
  <c r="H3727" i="1"/>
  <c r="Z3727" i="1"/>
  <c r="Z3728" i="1"/>
  <c r="Z3729" i="1"/>
  <c r="H3730" i="1"/>
  <c r="Z3730" i="1"/>
  <c r="Z3731" i="1"/>
  <c r="Z3732" i="1"/>
  <c r="H3733" i="1"/>
  <c r="Z3733" i="1"/>
  <c r="Z3734" i="1"/>
  <c r="Z3735" i="1"/>
  <c r="H3736" i="1"/>
  <c r="Z3736" i="1"/>
  <c r="Z3737" i="1"/>
  <c r="Z3738" i="1"/>
  <c r="H3739" i="1"/>
  <c r="Z3739" i="1"/>
  <c r="Z3740" i="1"/>
  <c r="Z3741" i="1"/>
  <c r="H3742" i="1"/>
  <c r="Z3742" i="1"/>
  <c r="Z3743" i="1"/>
  <c r="Z3744" i="1"/>
  <c r="H3745" i="1"/>
  <c r="Z3745" i="1"/>
  <c r="H3746" i="1"/>
  <c r="Z3746" i="1"/>
  <c r="Z3747" i="1"/>
  <c r="Z3748" i="1"/>
  <c r="H3749" i="1"/>
  <c r="Z3749" i="1"/>
  <c r="H3750" i="1"/>
  <c r="Z3750" i="1"/>
  <c r="Z3751" i="1"/>
  <c r="Z3752" i="1"/>
  <c r="H3753" i="1"/>
  <c r="Z3753" i="1"/>
  <c r="H3754" i="1"/>
  <c r="Z3754" i="1"/>
  <c r="Z3755" i="1"/>
  <c r="Z3756" i="1"/>
  <c r="H3757" i="1"/>
  <c r="Z3757" i="1"/>
  <c r="H3758" i="1"/>
  <c r="Z3758" i="1"/>
  <c r="Z3759" i="1"/>
  <c r="Z3760" i="1"/>
  <c r="H3761" i="1"/>
  <c r="Z3761" i="1"/>
  <c r="Z3762" i="1"/>
  <c r="Z3763" i="1"/>
  <c r="H3764" i="1"/>
  <c r="Z3764" i="1"/>
  <c r="Z3765" i="1"/>
  <c r="Z3766" i="1"/>
  <c r="H3767" i="1"/>
  <c r="Z3767" i="1"/>
  <c r="Z3768" i="1"/>
  <c r="Z3769" i="1"/>
  <c r="H3770" i="1"/>
  <c r="Z3770" i="1"/>
  <c r="Z3771" i="1"/>
  <c r="Z3772" i="1"/>
  <c r="H3773" i="1"/>
  <c r="Z3773" i="1"/>
  <c r="Z3774" i="1"/>
  <c r="Z3775" i="1"/>
  <c r="H3776" i="1"/>
  <c r="Z3776" i="1"/>
  <c r="Z3777" i="1"/>
  <c r="Z3778" i="1"/>
  <c r="H3779" i="1"/>
  <c r="Z3779" i="1"/>
  <c r="H3780" i="1"/>
  <c r="Z3780" i="1"/>
  <c r="Z3781" i="1"/>
  <c r="Z3782" i="1"/>
  <c r="H3783" i="1"/>
  <c r="Z3783" i="1"/>
  <c r="H3784" i="1"/>
  <c r="Z3784" i="1"/>
  <c r="H3785" i="1"/>
  <c r="Z3785" i="1"/>
  <c r="H3786" i="1"/>
  <c r="Z3786" i="1"/>
  <c r="H3787" i="1"/>
  <c r="Z3787" i="1"/>
  <c r="Z3788" i="1"/>
  <c r="Z3789" i="1"/>
  <c r="H3790" i="1"/>
  <c r="Z3790" i="1"/>
  <c r="H3791" i="1"/>
  <c r="Z3791" i="1"/>
  <c r="H3792" i="1"/>
  <c r="Z3792" i="1"/>
  <c r="H3793" i="1"/>
  <c r="Z3793" i="1"/>
  <c r="H3794" i="1"/>
  <c r="Z3794" i="1"/>
  <c r="Z3795" i="1"/>
  <c r="Z3796" i="1"/>
  <c r="H3797" i="1"/>
  <c r="Z3797" i="1"/>
  <c r="H3798" i="1"/>
  <c r="Z3798" i="1"/>
  <c r="H3799" i="1"/>
  <c r="Z3799" i="1"/>
  <c r="Z3800" i="1"/>
  <c r="Z3801" i="1"/>
  <c r="H3802" i="1"/>
  <c r="Z3802" i="1"/>
  <c r="Z3803" i="1"/>
  <c r="Z3804" i="1"/>
  <c r="H3805" i="1"/>
  <c r="Z3805" i="1"/>
  <c r="H3806" i="1"/>
  <c r="Z3806" i="1"/>
  <c r="Z3807" i="1"/>
  <c r="Z3808" i="1"/>
  <c r="H3809" i="1"/>
  <c r="Z3809" i="1"/>
  <c r="Z3810" i="1"/>
  <c r="Z3811" i="1"/>
  <c r="H3812" i="1"/>
  <c r="Z3812" i="1"/>
  <c r="Z3813" i="1"/>
  <c r="Z3814" i="1"/>
  <c r="H3815" i="1"/>
  <c r="Z3815" i="1"/>
  <c r="Z3816" i="1"/>
  <c r="Z3817" i="1"/>
  <c r="H3818" i="1"/>
  <c r="Z3818" i="1"/>
  <c r="Z3819" i="1"/>
  <c r="Z3820" i="1"/>
  <c r="H3821" i="1"/>
  <c r="Z3821" i="1"/>
  <c r="Z3822" i="1"/>
  <c r="Z3823" i="1"/>
  <c r="H3824" i="1"/>
  <c r="Z3824" i="1"/>
  <c r="H3825" i="1"/>
  <c r="Z3825" i="1"/>
  <c r="Z3826" i="1"/>
  <c r="Z3827" i="1"/>
  <c r="H3828" i="1"/>
  <c r="Z3828" i="1"/>
  <c r="Z3829" i="1"/>
  <c r="Z3830" i="1"/>
  <c r="H3831" i="1"/>
  <c r="Z3831" i="1"/>
  <c r="H3832" i="1"/>
  <c r="Z3832" i="1"/>
  <c r="H3833" i="1"/>
  <c r="Z3833" i="1"/>
  <c r="Z3834" i="1"/>
  <c r="Z3835" i="1"/>
  <c r="H3836" i="1"/>
  <c r="Z3836" i="1"/>
  <c r="H3837" i="1"/>
  <c r="Z3837" i="1"/>
  <c r="Z3838" i="1"/>
  <c r="Z3839" i="1"/>
  <c r="H3840" i="1"/>
  <c r="Z3840" i="1"/>
  <c r="Z3841" i="1"/>
  <c r="Z3842" i="1"/>
  <c r="H3843" i="1"/>
  <c r="Z3843" i="1"/>
  <c r="H3844" i="1"/>
  <c r="Z3844" i="1"/>
  <c r="Z3845" i="1"/>
  <c r="Z3846" i="1"/>
  <c r="H3847" i="1"/>
  <c r="Z3847" i="1"/>
  <c r="H3848" i="1"/>
  <c r="Z3848" i="1"/>
  <c r="H3849" i="1"/>
  <c r="Z3849" i="1"/>
  <c r="Z3850" i="1"/>
  <c r="Z3851" i="1"/>
  <c r="Z3852" i="1"/>
  <c r="H3853" i="1"/>
  <c r="Z3853" i="1"/>
  <c r="H3854" i="1"/>
  <c r="Z3854" i="1"/>
  <c r="H3855" i="1"/>
  <c r="Z3855" i="1"/>
  <c r="H3856" i="1"/>
  <c r="Z3856" i="1"/>
  <c r="Z3857" i="1"/>
  <c r="Z3858" i="1"/>
  <c r="H3859" i="1"/>
  <c r="Z3859" i="1"/>
  <c r="H3860" i="1"/>
  <c r="Z3860" i="1"/>
  <c r="H3861" i="1"/>
  <c r="Z3861" i="1"/>
  <c r="Z3862" i="1"/>
  <c r="Z3863" i="1"/>
  <c r="H3864" i="1"/>
  <c r="Z3864" i="1"/>
  <c r="H3865" i="1"/>
  <c r="Z3865" i="1"/>
  <c r="H3866" i="1"/>
  <c r="Z3866" i="1"/>
  <c r="H3867" i="1"/>
  <c r="Z3867" i="1"/>
  <c r="Z3868" i="1"/>
  <c r="Z3869" i="1"/>
  <c r="H3870" i="1"/>
  <c r="Z3870" i="1"/>
  <c r="Z3871" i="1"/>
  <c r="Z3872" i="1"/>
  <c r="Z3873" i="1"/>
  <c r="H3874" i="1"/>
  <c r="Z3874" i="1"/>
  <c r="H3875" i="1"/>
  <c r="Z3875" i="1"/>
  <c r="Z3876" i="1"/>
  <c r="Z3877" i="1"/>
  <c r="H3878" i="1"/>
  <c r="Z3878" i="1"/>
  <c r="H3879" i="1"/>
  <c r="Z3879" i="1"/>
  <c r="H3880" i="1"/>
  <c r="Z3880" i="1"/>
  <c r="H3881" i="1"/>
  <c r="Z3881" i="1"/>
  <c r="Z3882" i="1"/>
  <c r="Z3883" i="1"/>
  <c r="H3884" i="1"/>
  <c r="Z3884" i="1"/>
  <c r="H3885" i="1"/>
  <c r="Z3885" i="1"/>
  <c r="Z3886" i="1"/>
  <c r="Z3887" i="1"/>
  <c r="H3888" i="1"/>
  <c r="Z3888" i="1"/>
  <c r="Z3889" i="1"/>
  <c r="Z3890" i="1"/>
  <c r="H3891" i="1"/>
  <c r="Z3891" i="1"/>
  <c r="Z3892" i="1"/>
  <c r="Z3893" i="1"/>
  <c r="H3894" i="1"/>
  <c r="Z3894" i="1"/>
  <c r="H3895" i="1"/>
  <c r="Z3895" i="1"/>
  <c r="Z3896" i="1"/>
  <c r="Z3897" i="1"/>
  <c r="H3898" i="1"/>
  <c r="Z3898" i="1"/>
  <c r="H3899" i="1"/>
  <c r="Z3899" i="1"/>
  <c r="H3900" i="1"/>
  <c r="Z3900" i="1"/>
  <c r="H3901" i="1"/>
  <c r="Z3901" i="1"/>
  <c r="H3902" i="1"/>
  <c r="Z3902" i="1"/>
  <c r="H3903" i="1"/>
  <c r="Z3903" i="1"/>
  <c r="Z3904" i="1"/>
  <c r="Z3905" i="1"/>
  <c r="H3906" i="1"/>
  <c r="Z3906" i="1"/>
  <c r="Z3907" i="1"/>
  <c r="Z3908" i="1"/>
  <c r="H3909" i="1"/>
  <c r="Z3909" i="1"/>
  <c r="H3910" i="1"/>
  <c r="Z3910" i="1"/>
  <c r="Z3911" i="1"/>
  <c r="Z3912" i="1"/>
  <c r="H3913" i="1"/>
  <c r="Z3913" i="1"/>
  <c r="H3914" i="1"/>
  <c r="Z3914" i="1"/>
  <c r="Z3915" i="1"/>
  <c r="Z3916" i="1"/>
  <c r="H3917" i="1"/>
  <c r="Z3917" i="1"/>
  <c r="Z3918" i="1"/>
  <c r="Z3919" i="1"/>
  <c r="H3920" i="1"/>
  <c r="Z3920" i="1"/>
  <c r="H3921" i="1"/>
  <c r="Z3921" i="1"/>
  <c r="Z3922" i="1"/>
  <c r="Z3923" i="1"/>
  <c r="H3924" i="1"/>
  <c r="Z3924" i="1"/>
  <c r="Z3925" i="1"/>
  <c r="Z3926" i="1"/>
  <c r="H3927" i="1"/>
  <c r="Z3927" i="1"/>
  <c r="H3928" i="1"/>
  <c r="Z3928" i="1"/>
  <c r="Z3929" i="1"/>
  <c r="Z3930" i="1"/>
  <c r="H3931" i="1"/>
  <c r="Z3931" i="1"/>
  <c r="Z3932" i="1"/>
  <c r="Z3933" i="1"/>
  <c r="H3934" i="1"/>
  <c r="Z3934" i="1"/>
  <c r="Z3935" i="1"/>
  <c r="Z3936" i="1"/>
  <c r="H3937" i="1"/>
  <c r="Z3937" i="1"/>
  <c r="Z3938" i="1"/>
  <c r="Z3939" i="1"/>
  <c r="H3940" i="1"/>
  <c r="Z3940" i="1"/>
  <c r="Z3941" i="1"/>
  <c r="Z3942" i="1"/>
  <c r="H3943" i="1"/>
  <c r="Z3943" i="1"/>
  <c r="H3944" i="1"/>
  <c r="Z3944" i="1"/>
  <c r="Z3945" i="1"/>
  <c r="Z3946" i="1"/>
  <c r="H3947" i="1"/>
  <c r="Z3947" i="1"/>
  <c r="H3948" i="1"/>
  <c r="Z3948" i="1"/>
  <c r="Z3949" i="1"/>
  <c r="Z3950" i="1"/>
  <c r="H3951" i="1"/>
  <c r="Z3951" i="1"/>
  <c r="H3952" i="1"/>
  <c r="Z3952" i="1"/>
  <c r="Z3953" i="1"/>
  <c r="Z3954" i="1"/>
  <c r="H3955" i="1"/>
  <c r="Z3955" i="1"/>
  <c r="H3956" i="1"/>
  <c r="Z3956" i="1"/>
  <c r="H3957" i="1"/>
  <c r="Z3957" i="1"/>
  <c r="H3958" i="1"/>
  <c r="Z3958" i="1"/>
  <c r="H3959" i="1"/>
  <c r="Z3959" i="1"/>
  <c r="Z3960" i="1"/>
  <c r="Z3961" i="1"/>
  <c r="H3962" i="1"/>
  <c r="Z3962" i="1"/>
  <c r="Z3963" i="1"/>
  <c r="Z3964" i="1"/>
  <c r="H3965" i="1"/>
  <c r="Z3965" i="1"/>
  <c r="Z3966" i="1"/>
  <c r="Z3967" i="1"/>
  <c r="Z3968" i="1"/>
  <c r="H3969" i="1"/>
  <c r="Z3969" i="1"/>
  <c r="Z3970" i="1"/>
  <c r="Z3971" i="1"/>
  <c r="H3972" i="1"/>
  <c r="Z3972" i="1"/>
  <c r="Z3973" i="1"/>
  <c r="Z3974" i="1"/>
  <c r="H3975" i="1"/>
  <c r="Z3975" i="1"/>
  <c r="H3976" i="1"/>
  <c r="Z3976" i="1"/>
  <c r="H3977" i="1"/>
  <c r="Z3977" i="1"/>
  <c r="H3978" i="1"/>
  <c r="Z3978" i="1"/>
  <c r="H3979" i="1"/>
  <c r="Z3979" i="1"/>
  <c r="H3980" i="1"/>
  <c r="Z3980" i="1"/>
  <c r="H3981" i="1"/>
  <c r="Z3981" i="1"/>
  <c r="H3982" i="1"/>
  <c r="Z3982" i="1"/>
  <c r="H3983" i="1"/>
  <c r="Z3983" i="1"/>
  <c r="H3984" i="1"/>
  <c r="Z3984" i="1"/>
  <c r="H3985" i="1"/>
  <c r="Z3985" i="1"/>
  <c r="H3986" i="1"/>
  <c r="Z3986" i="1"/>
  <c r="H3987" i="1"/>
  <c r="Z3987" i="1"/>
  <c r="H3988" i="1"/>
  <c r="Z3988" i="1"/>
  <c r="H3989" i="1"/>
  <c r="Z3989" i="1"/>
  <c r="Z3990" i="1"/>
  <c r="Z3991" i="1"/>
  <c r="H3992" i="1"/>
  <c r="Z3992" i="1"/>
  <c r="H3993" i="1"/>
  <c r="Z3993" i="1"/>
  <c r="Z3994" i="1"/>
  <c r="Z3995" i="1"/>
  <c r="H3996" i="1"/>
  <c r="Z3996" i="1"/>
  <c r="H3997" i="1"/>
  <c r="Z3997" i="1"/>
  <c r="H3998" i="1"/>
  <c r="Z3998" i="1"/>
  <c r="H3999" i="1"/>
  <c r="Z3999" i="1"/>
  <c r="H4000" i="1"/>
  <c r="Z4000" i="1"/>
  <c r="H4001" i="1"/>
  <c r="Z4001" i="1"/>
  <c r="H4002" i="1"/>
  <c r="Z4002" i="1"/>
  <c r="H4003" i="1"/>
  <c r="Z4003" i="1"/>
  <c r="H4004" i="1"/>
  <c r="Z4004" i="1"/>
  <c r="Z4005" i="1"/>
  <c r="Z4006" i="1"/>
  <c r="H4007" i="1"/>
  <c r="Z4007" i="1"/>
  <c r="Z4008" i="1"/>
  <c r="Z4009" i="1"/>
  <c r="H4010" i="1"/>
  <c r="Z4010" i="1"/>
  <c r="H4011" i="1"/>
  <c r="Z4011" i="1"/>
  <c r="H4012" i="1"/>
  <c r="Z4012" i="1"/>
  <c r="Z4013" i="1"/>
  <c r="Z4014" i="1"/>
  <c r="H4015" i="1"/>
  <c r="Z4015" i="1"/>
  <c r="H4016" i="1"/>
  <c r="Z4016" i="1"/>
  <c r="H4017" i="1"/>
  <c r="Z4017" i="1"/>
  <c r="H4018" i="1"/>
  <c r="Z4018" i="1"/>
  <c r="Z4019" i="1"/>
  <c r="Z4020" i="1"/>
  <c r="H4021" i="1"/>
  <c r="Z4021" i="1"/>
  <c r="Z4022" i="1"/>
  <c r="Z4023" i="1"/>
  <c r="H4024" i="1"/>
  <c r="Z4024" i="1"/>
  <c r="Z4025" i="1"/>
  <c r="Z4026" i="1"/>
  <c r="H4027" i="1"/>
  <c r="Z4027" i="1"/>
  <c r="H4028" i="1"/>
  <c r="Z4028" i="1"/>
  <c r="H4029" i="1"/>
  <c r="Z4029" i="1"/>
  <c r="H4030" i="1"/>
  <c r="Z4030" i="1"/>
  <c r="Z4031" i="1"/>
  <c r="Z4032" i="1"/>
  <c r="H4033" i="1"/>
  <c r="Z4033" i="1"/>
  <c r="Z4034" i="1"/>
  <c r="Z4035" i="1"/>
  <c r="H4036" i="1"/>
  <c r="Z4036" i="1"/>
  <c r="H4037" i="1"/>
  <c r="Z4037" i="1"/>
  <c r="Z4038" i="1"/>
  <c r="Z4039" i="1"/>
  <c r="H4040" i="1"/>
  <c r="Z4040" i="1"/>
  <c r="Z4041" i="1"/>
  <c r="Z4042" i="1"/>
  <c r="H4043" i="1"/>
  <c r="Z4043" i="1"/>
  <c r="H4044" i="1"/>
  <c r="Z4044" i="1"/>
  <c r="H4045" i="1"/>
  <c r="Z4045" i="1"/>
  <c r="H4046" i="1"/>
  <c r="Z4046" i="1"/>
  <c r="Z4047" i="1"/>
  <c r="Z4048" i="1"/>
  <c r="H4049" i="1"/>
  <c r="Z4049" i="1"/>
  <c r="Z4050" i="1"/>
  <c r="Z4051" i="1"/>
  <c r="H4052" i="1"/>
  <c r="Z4052" i="1"/>
  <c r="H4053" i="1"/>
  <c r="Z4053" i="1"/>
  <c r="Z4054" i="1"/>
  <c r="Z4055" i="1"/>
  <c r="H4056" i="1"/>
  <c r="Z4056" i="1"/>
  <c r="H4057" i="1"/>
  <c r="Z4057" i="1"/>
  <c r="H4058" i="1"/>
  <c r="Z4058" i="1"/>
  <c r="H4059" i="1"/>
  <c r="Z4059" i="1"/>
  <c r="Z4060" i="1"/>
  <c r="Z4061" i="1"/>
  <c r="H4062" i="1"/>
  <c r="Z4062" i="1"/>
  <c r="Z4063" i="1"/>
  <c r="Z4064" i="1"/>
  <c r="H4065" i="1"/>
  <c r="Z4065" i="1"/>
  <c r="Z4066" i="1"/>
  <c r="Z4067" i="1"/>
  <c r="H4068" i="1"/>
  <c r="Z4068" i="1"/>
  <c r="Z4069" i="1"/>
  <c r="Z4070" i="1"/>
  <c r="H4071" i="1"/>
  <c r="Z4071" i="1"/>
  <c r="Z4072" i="1"/>
  <c r="Z4073" i="1"/>
  <c r="H4074" i="1"/>
  <c r="Z4074" i="1"/>
  <c r="Z4075" i="1"/>
  <c r="Z4076" i="1"/>
  <c r="H4077" i="1"/>
  <c r="Z4077" i="1"/>
  <c r="H4078" i="1"/>
  <c r="Z4078" i="1"/>
  <c r="Z4079" i="1"/>
  <c r="Z4080" i="1"/>
  <c r="H4081" i="1"/>
  <c r="Z4081" i="1"/>
  <c r="H4082" i="1"/>
  <c r="Z4082" i="1"/>
  <c r="Z4083" i="1"/>
  <c r="Z4084" i="1"/>
  <c r="H4085" i="1"/>
  <c r="Z4085" i="1"/>
  <c r="H4086" i="1"/>
  <c r="Z4086" i="1"/>
  <c r="H4087" i="1"/>
  <c r="Z4087" i="1"/>
  <c r="Z4088" i="1"/>
  <c r="Z4089" i="1"/>
  <c r="H4090" i="1"/>
  <c r="Z4090" i="1"/>
  <c r="H4091" i="1"/>
  <c r="Z4091" i="1"/>
  <c r="Z4092" i="1"/>
  <c r="Z4093" i="1"/>
  <c r="H4094" i="1"/>
  <c r="Z4094" i="1"/>
  <c r="Z4095" i="1"/>
  <c r="Z4096" i="1"/>
  <c r="H4097" i="1"/>
  <c r="Z4097" i="1"/>
  <c r="H4098" i="1"/>
  <c r="Z4098" i="1"/>
  <c r="Z4099" i="1"/>
  <c r="Z4100" i="1"/>
  <c r="H4101" i="1"/>
  <c r="Z4101" i="1"/>
  <c r="Z4102" i="1"/>
  <c r="Z4103" i="1"/>
  <c r="H4104" i="1"/>
  <c r="Z4104" i="1"/>
  <c r="Z4105" i="1"/>
  <c r="Z4106" i="1"/>
  <c r="H4107" i="1"/>
  <c r="Z4107" i="1"/>
  <c r="Z4108" i="1"/>
  <c r="Z4109" i="1"/>
  <c r="H4110" i="1"/>
  <c r="Z4110" i="1"/>
  <c r="H4111" i="1"/>
  <c r="Z4111" i="1"/>
  <c r="H4112" i="1"/>
  <c r="Z4112" i="1"/>
  <c r="H4113" i="1"/>
  <c r="Z4113" i="1"/>
  <c r="H4114" i="1"/>
  <c r="Z4114" i="1"/>
  <c r="Z4115" i="1"/>
  <c r="Z4116" i="1"/>
  <c r="H4117" i="1"/>
  <c r="Z4117" i="1"/>
  <c r="Z4118" i="1"/>
  <c r="Z4119" i="1"/>
  <c r="H4120" i="1"/>
  <c r="Z4120" i="1"/>
  <c r="H4121" i="1"/>
  <c r="Z4121" i="1"/>
  <c r="Z4122" i="1"/>
  <c r="Z4123" i="1"/>
  <c r="H4124" i="1"/>
  <c r="Z4124" i="1"/>
  <c r="H4125" i="1"/>
  <c r="Z4125" i="1"/>
  <c r="Z4126" i="1"/>
  <c r="Z4127" i="1"/>
  <c r="H4128" i="1"/>
  <c r="Z4128" i="1"/>
  <c r="H4129" i="1"/>
  <c r="Z4129" i="1"/>
  <c r="H4130" i="1"/>
  <c r="Z4130" i="1"/>
  <c r="H4131" i="1"/>
  <c r="Z4131" i="1"/>
  <c r="H4132" i="1"/>
  <c r="Z4132" i="1"/>
  <c r="H4133" i="1"/>
  <c r="Z4133" i="1"/>
  <c r="Z4134" i="1"/>
  <c r="Z4135" i="1"/>
  <c r="H4136" i="1"/>
  <c r="Z4136" i="1"/>
  <c r="Z4137" i="1"/>
  <c r="Z4138" i="1"/>
  <c r="H4139" i="1"/>
  <c r="Z4139" i="1"/>
  <c r="Z4140" i="1"/>
  <c r="Z4141" i="1"/>
  <c r="H4142" i="1"/>
  <c r="Z4142" i="1"/>
  <c r="H4143" i="1"/>
  <c r="Z4143" i="1"/>
  <c r="H4144" i="1"/>
  <c r="Z4144" i="1"/>
  <c r="H4145" i="1"/>
  <c r="Z4145" i="1"/>
  <c r="Z4146" i="1"/>
  <c r="Z4147" i="1"/>
  <c r="H4148" i="1"/>
  <c r="Z4148" i="1"/>
  <c r="Z4149" i="1"/>
  <c r="Z4150" i="1"/>
  <c r="H4151" i="1"/>
  <c r="Z4151" i="1"/>
  <c r="Z4152" i="1"/>
  <c r="Z4153" i="1"/>
  <c r="H4154" i="1"/>
  <c r="Z4154" i="1"/>
  <c r="H4155" i="1"/>
  <c r="Z4155" i="1"/>
  <c r="H4156" i="1"/>
  <c r="Z4156" i="1"/>
  <c r="Z4157" i="1"/>
  <c r="Z4158" i="1"/>
  <c r="Z4159" i="1"/>
  <c r="H4160" i="1"/>
  <c r="Z4160" i="1"/>
  <c r="Z4161" i="1"/>
  <c r="Z4162" i="1"/>
  <c r="H4163" i="1"/>
  <c r="Z4163" i="1"/>
  <c r="Z4164" i="1"/>
  <c r="Z4165" i="1"/>
  <c r="H4166" i="1"/>
  <c r="Z4166" i="1"/>
  <c r="H4167" i="1"/>
  <c r="Z4167" i="1"/>
  <c r="H4168" i="1"/>
  <c r="Z4168" i="1"/>
  <c r="H4169" i="1"/>
  <c r="Z4169" i="1"/>
  <c r="Z4170" i="1"/>
  <c r="Z4171" i="1"/>
  <c r="H4172" i="1"/>
  <c r="Z4172" i="1"/>
  <c r="Z4173" i="1"/>
  <c r="Z4174" i="1"/>
  <c r="H4175" i="1"/>
  <c r="Z4175" i="1"/>
  <c r="Z4176" i="1"/>
  <c r="Z4177" i="1"/>
  <c r="H4178" i="1"/>
  <c r="Z4178" i="1"/>
  <c r="Z4179" i="1"/>
  <c r="Z4180" i="1"/>
  <c r="H4181" i="1"/>
  <c r="Z4181" i="1"/>
  <c r="H4182" i="1"/>
  <c r="Z4182" i="1"/>
  <c r="H4183" i="1"/>
  <c r="Z4183" i="1"/>
  <c r="H4184" i="1"/>
  <c r="Z4184" i="1"/>
  <c r="Z4185" i="1"/>
  <c r="Z4186" i="1"/>
  <c r="H4187" i="1"/>
  <c r="Z4187" i="1"/>
  <c r="Z4188" i="1"/>
  <c r="Z4189" i="1"/>
  <c r="H4190" i="1"/>
  <c r="Z4190" i="1"/>
  <c r="H4191" i="1"/>
  <c r="Z4191" i="1"/>
  <c r="H4192" i="1"/>
  <c r="Z4192" i="1"/>
  <c r="H4193" i="1"/>
  <c r="Z4193" i="1"/>
  <c r="H4194" i="1"/>
  <c r="Z4194" i="1"/>
  <c r="H4195" i="1"/>
  <c r="Z4195" i="1"/>
  <c r="H4196" i="1"/>
  <c r="Z4196" i="1"/>
  <c r="H4197" i="1"/>
  <c r="Z4197" i="1"/>
  <c r="H4198" i="1"/>
  <c r="Z4198" i="1"/>
  <c r="Z4199" i="1"/>
  <c r="Z4200" i="1"/>
  <c r="H4201" i="1"/>
  <c r="Z4201" i="1"/>
  <c r="Z4202" i="1"/>
  <c r="Z4203" i="1"/>
  <c r="Z4204" i="1"/>
  <c r="H4205" i="1"/>
  <c r="Z4205" i="1"/>
  <c r="Z4206" i="1"/>
  <c r="Z4207" i="1"/>
  <c r="H4208" i="1"/>
  <c r="Z4208" i="1"/>
  <c r="Z4209" i="1"/>
  <c r="Z4210" i="1"/>
  <c r="H4211" i="1"/>
  <c r="Z4211" i="1"/>
  <c r="H4212" i="1"/>
  <c r="Z4212" i="1"/>
  <c r="Z4213" i="1"/>
  <c r="Z4214" i="1"/>
  <c r="Z4215" i="1"/>
  <c r="Z4216" i="1"/>
  <c r="W4234" i="1"/>
  <c r="G4217" i="1"/>
  <c r="K4223" i="1"/>
  <c r="M4223" i="1"/>
  <c r="I2" i="1"/>
  <c r="A4238" i="1"/>
  <c r="D4237" i="1"/>
  <c r="A4237" i="1"/>
  <c r="X14" i="1"/>
  <c r="I15" i="1"/>
  <c r="X15" i="1"/>
  <c r="X16" i="1"/>
  <c r="X17" i="1"/>
  <c r="I18" i="1"/>
  <c r="X18" i="1"/>
  <c r="I19" i="1"/>
  <c r="X19" i="1"/>
  <c r="I20" i="1"/>
  <c r="X20" i="1"/>
  <c r="X21" i="1"/>
  <c r="X22" i="1"/>
  <c r="I23" i="1"/>
  <c r="X23" i="1"/>
  <c r="X24" i="1"/>
  <c r="X25" i="1"/>
  <c r="I26" i="1"/>
  <c r="X26" i="1"/>
  <c r="X27" i="1"/>
  <c r="X28" i="1"/>
  <c r="I29" i="1"/>
  <c r="X29" i="1"/>
  <c r="X30" i="1"/>
  <c r="X31" i="1"/>
  <c r="I32" i="1"/>
  <c r="X32" i="1"/>
  <c r="I33" i="1"/>
  <c r="X33" i="1"/>
  <c r="X34" i="1"/>
  <c r="X35" i="1"/>
  <c r="I36" i="1"/>
  <c r="X36" i="1"/>
  <c r="I37" i="1"/>
  <c r="X37" i="1"/>
  <c r="X38" i="1"/>
  <c r="X39" i="1"/>
  <c r="I40" i="1"/>
  <c r="X40" i="1"/>
  <c r="X41" i="1"/>
  <c r="X42" i="1"/>
  <c r="I43" i="1"/>
  <c r="X43" i="1"/>
  <c r="I44" i="1"/>
  <c r="X44" i="1"/>
  <c r="I45" i="1"/>
  <c r="X45" i="1"/>
  <c r="I46" i="1"/>
  <c r="X46" i="1"/>
  <c r="I47" i="1"/>
  <c r="X47" i="1"/>
  <c r="X48" i="1"/>
  <c r="X49" i="1"/>
  <c r="I50" i="1"/>
  <c r="X50" i="1"/>
  <c r="I51" i="1"/>
  <c r="X51" i="1"/>
  <c r="I52" i="1"/>
  <c r="X52" i="1"/>
  <c r="I53" i="1"/>
  <c r="X53" i="1"/>
  <c r="X54" i="1"/>
  <c r="X55" i="1"/>
  <c r="I56" i="1"/>
  <c r="X56" i="1"/>
  <c r="I57" i="1"/>
  <c r="X57" i="1"/>
  <c r="I58" i="1"/>
  <c r="X58" i="1"/>
  <c r="I59" i="1"/>
  <c r="X59" i="1"/>
  <c r="X60" i="1"/>
  <c r="X61" i="1"/>
  <c r="I62" i="1"/>
  <c r="X62" i="1"/>
  <c r="X63" i="1"/>
  <c r="X64" i="1"/>
  <c r="I65" i="1"/>
  <c r="X65" i="1"/>
  <c r="X66" i="1"/>
  <c r="X67" i="1"/>
  <c r="I68" i="1"/>
  <c r="X68" i="1"/>
  <c r="I69" i="1"/>
  <c r="X69" i="1"/>
  <c r="I70" i="1"/>
  <c r="X70" i="1"/>
  <c r="I71" i="1"/>
  <c r="X71" i="1"/>
  <c r="I72" i="1"/>
  <c r="X72" i="1"/>
  <c r="X73" i="1"/>
  <c r="X74" i="1"/>
  <c r="I75" i="1"/>
  <c r="X75" i="1"/>
  <c r="I76" i="1"/>
  <c r="X76" i="1"/>
  <c r="I77" i="1"/>
  <c r="X77" i="1"/>
  <c r="I78" i="1"/>
  <c r="X78" i="1"/>
  <c r="X79" i="1"/>
  <c r="X80" i="1"/>
  <c r="I81" i="1"/>
  <c r="X81" i="1"/>
  <c r="X82" i="1"/>
  <c r="X83" i="1"/>
  <c r="I84" i="1"/>
  <c r="X84" i="1"/>
  <c r="I85" i="1"/>
  <c r="X85" i="1"/>
  <c r="I86" i="1"/>
  <c r="X86" i="1"/>
  <c r="X87" i="1"/>
  <c r="X88" i="1"/>
  <c r="I89" i="1"/>
  <c r="X89" i="1"/>
  <c r="X90" i="1"/>
  <c r="X91" i="1"/>
  <c r="I92" i="1"/>
  <c r="X92" i="1"/>
  <c r="X93" i="1"/>
  <c r="X94" i="1"/>
  <c r="I95" i="1"/>
  <c r="X95" i="1"/>
  <c r="X96" i="1"/>
  <c r="X97" i="1"/>
  <c r="I98" i="1"/>
  <c r="X98" i="1"/>
  <c r="X99" i="1"/>
  <c r="X100" i="1"/>
  <c r="I101" i="1"/>
  <c r="X101" i="1"/>
  <c r="I102" i="1"/>
  <c r="X102" i="1"/>
  <c r="I103" i="1"/>
  <c r="X103" i="1"/>
  <c r="I104" i="1"/>
  <c r="X104" i="1"/>
  <c r="I105" i="1"/>
  <c r="X105" i="1"/>
  <c r="I106" i="1"/>
  <c r="X106" i="1"/>
  <c r="I107" i="1"/>
  <c r="X107" i="1"/>
  <c r="I108" i="1"/>
  <c r="X108" i="1"/>
  <c r="X109" i="1"/>
  <c r="X110" i="1"/>
  <c r="I111" i="1"/>
  <c r="X111" i="1"/>
  <c r="X112" i="1"/>
  <c r="X113" i="1"/>
  <c r="I114" i="1"/>
  <c r="X114" i="1"/>
  <c r="I115" i="1"/>
  <c r="X115" i="1"/>
  <c r="I116" i="1"/>
  <c r="X116" i="1"/>
  <c r="I117" i="1"/>
  <c r="X117" i="1"/>
  <c r="X118" i="1"/>
  <c r="X119" i="1"/>
  <c r="I120" i="1"/>
  <c r="X120" i="1"/>
  <c r="X121" i="1"/>
  <c r="X122" i="1"/>
  <c r="I123" i="1"/>
  <c r="X123" i="1"/>
  <c r="X124" i="1"/>
  <c r="X125" i="1"/>
  <c r="I126" i="1"/>
  <c r="X126" i="1"/>
  <c r="X127" i="1"/>
  <c r="X128" i="1"/>
  <c r="I129" i="1"/>
  <c r="X129" i="1"/>
  <c r="I130" i="1"/>
  <c r="X130" i="1"/>
  <c r="I131" i="1"/>
  <c r="X131" i="1"/>
  <c r="I132" i="1"/>
  <c r="X132" i="1"/>
  <c r="X133" i="1"/>
  <c r="X134" i="1"/>
  <c r="I135" i="1"/>
  <c r="X135" i="1"/>
  <c r="I136" i="1"/>
  <c r="X136" i="1"/>
  <c r="X137" i="1"/>
  <c r="X138" i="1"/>
  <c r="I139" i="1"/>
  <c r="X139" i="1"/>
  <c r="I140" i="1"/>
  <c r="X140" i="1"/>
  <c r="X141" i="1"/>
  <c r="X142" i="1"/>
  <c r="I143" i="1"/>
  <c r="X143" i="1"/>
  <c r="I144" i="1"/>
  <c r="X144" i="1"/>
  <c r="I145" i="1"/>
  <c r="X145" i="1"/>
  <c r="I146" i="1"/>
  <c r="X146" i="1"/>
  <c r="X147" i="1"/>
  <c r="X148" i="1"/>
  <c r="I149" i="1"/>
  <c r="X149" i="1"/>
  <c r="X150" i="1"/>
  <c r="X151" i="1"/>
  <c r="I152" i="1"/>
  <c r="X152" i="1"/>
  <c r="X153" i="1"/>
  <c r="X154" i="1"/>
  <c r="I155" i="1"/>
  <c r="X155" i="1"/>
  <c r="I156" i="1"/>
  <c r="X156" i="1"/>
  <c r="I157" i="1"/>
  <c r="X157" i="1"/>
  <c r="X158" i="1"/>
  <c r="X159" i="1"/>
  <c r="I160" i="1"/>
  <c r="X160" i="1"/>
  <c r="X161" i="1"/>
  <c r="X162" i="1"/>
  <c r="I163" i="1"/>
  <c r="X163" i="1"/>
  <c r="X164" i="1"/>
  <c r="X165" i="1"/>
  <c r="I166" i="1"/>
  <c r="X166" i="1"/>
  <c r="X167" i="1"/>
  <c r="X168" i="1"/>
  <c r="I169" i="1"/>
  <c r="X169" i="1"/>
  <c r="I170" i="1"/>
  <c r="X170" i="1"/>
  <c r="I171" i="1"/>
  <c r="X171" i="1"/>
  <c r="I172" i="1"/>
  <c r="X172" i="1"/>
  <c r="I173" i="1"/>
  <c r="X173" i="1"/>
  <c r="I174" i="1"/>
  <c r="X174" i="1"/>
  <c r="I175" i="1"/>
  <c r="X175" i="1"/>
  <c r="X176" i="1"/>
  <c r="X177" i="1"/>
  <c r="I178" i="1"/>
  <c r="X178" i="1"/>
  <c r="X179" i="1"/>
  <c r="X180" i="1"/>
  <c r="I181" i="1"/>
  <c r="X181" i="1"/>
  <c r="X182" i="1"/>
  <c r="X183" i="1"/>
  <c r="I184" i="1"/>
  <c r="X184" i="1"/>
  <c r="X185" i="1"/>
  <c r="X186" i="1"/>
  <c r="I187" i="1"/>
  <c r="X187" i="1"/>
  <c r="X188" i="1"/>
  <c r="X189" i="1"/>
  <c r="I190" i="1"/>
  <c r="X190" i="1"/>
  <c r="X191" i="1"/>
  <c r="X192" i="1"/>
  <c r="I193" i="1"/>
  <c r="X193" i="1"/>
  <c r="X194" i="1"/>
  <c r="X195" i="1"/>
  <c r="I196" i="1"/>
  <c r="X196" i="1"/>
  <c r="X197" i="1"/>
  <c r="X198" i="1"/>
  <c r="I199" i="1"/>
  <c r="X199" i="1"/>
  <c r="X200" i="1"/>
  <c r="X201" i="1"/>
  <c r="I202" i="1"/>
  <c r="X202" i="1"/>
  <c r="I203" i="1"/>
  <c r="X203" i="1"/>
  <c r="X204" i="1"/>
  <c r="X205" i="1"/>
  <c r="I206" i="1"/>
  <c r="X206" i="1"/>
  <c r="X207" i="1"/>
  <c r="X208" i="1"/>
  <c r="I209" i="1"/>
  <c r="X209" i="1"/>
  <c r="I210" i="1"/>
  <c r="X210" i="1"/>
  <c r="I211" i="1"/>
  <c r="X211" i="1"/>
  <c r="I212" i="1"/>
  <c r="X212" i="1"/>
  <c r="I213" i="1"/>
  <c r="X213" i="1"/>
  <c r="X214" i="1"/>
  <c r="X215" i="1"/>
  <c r="I216" i="1"/>
  <c r="X216" i="1"/>
  <c r="X217" i="1"/>
  <c r="X218" i="1"/>
  <c r="I219" i="1"/>
  <c r="X219" i="1"/>
  <c r="X220" i="1"/>
  <c r="X221" i="1"/>
  <c r="I222" i="1"/>
  <c r="X222" i="1"/>
  <c r="X223" i="1"/>
  <c r="X224" i="1"/>
  <c r="I225" i="1"/>
  <c r="X225" i="1"/>
  <c r="X226" i="1"/>
  <c r="X227" i="1"/>
  <c r="I228" i="1"/>
  <c r="X228" i="1"/>
  <c r="I229" i="1"/>
  <c r="X229" i="1"/>
  <c r="I230" i="1"/>
  <c r="X230" i="1"/>
  <c r="X231" i="1"/>
  <c r="X232" i="1"/>
  <c r="I233" i="1"/>
  <c r="X233" i="1"/>
  <c r="I234" i="1"/>
  <c r="X234" i="1"/>
  <c r="I235" i="1"/>
  <c r="X235" i="1"/>
  <c r="X236" i="1"/>
  <c r="X237" i="1"/>
  <c r="I238" i="1"/>
  <c r="X238" i="1"/>
  <c r="X239" i="1"/>
  <c r="X240" i="1"/>
  <c r="I241" i="1"/>
  <c r="X241" i="1"/>
  <c r="I242" i="1"/>
  <c r="X242" i="1"/>
  <c r="X243" i="1"/>
  <c r="X244" i="1"/>
  <c r="I245" i="1"/>
  <c r="X245" i="1"/>
  <c r="X246" i="1"/>
  <c r="X247" i="1"/>
  <c r="I248" i="1"/>
  <c r="X248" i="1"/>
  <c r="X249" i="1"/>
  <c r="X250" i="1"/>
  <c r="I251" i="1"/>
  <c r="X251" i="1"/>
  <c r="X252" i="1"/>
  <c r="X253" i="1"/>
  <c r="I254" i="1"/>
  <c r="X254" i="1"/>
  <c r="X255" i="1"/>
  <c r="X256" i="1"/>
  <c r="I257" i="1"/>
  <c r="X257" i="1"/>
  <c r="X258" i="1"/>
  <c r="X259" i="1"/>
  <c r="I260" i="1"/>
  <c r="X260" i="1"/>
  <c r="X261" i="1"/>
  <c r="X262" i="1"/>
  <c r="I263" i="1"/>
  <c r="X263" i="1"/>
  <c r="I264" i="1"/>
  <c r="X264" i="1"/>
  <c r="X265" i="1"/>
  <c r="X266" i="1"/>
  <c r="I267" i="1"/>
  <c r="X267" i="1"/>
  <c r="X268" i="1"/>
  <c r="X269" i="1"/>
  <c r="X270" i="1"/>
  <c r="I271" i="1"/>
  <c r="X271" i="1"/>
  <c r="X272" i="1"/>
  <c r="X273" i="1"/>
  <c r="I274" i="1"/>
  <c r="X274" i="1"/>
  <c r="X275" i="1"/>
  <c r="X276" i="1"/>
  <c r="I277" i="1"/>
  <c r="X277" i="1"/>
  <c r="X278" i="1"/>
  <c r="X279" i="1"/>
  <c r="I280" i="1"/>
  <c r="X280" i="1"/>
  <c r="I281" i="1"/>
  <c r="X281" i="1"/>
  <c r="X282" i="1"/>
  <c r="X283" i="1"/>
  <c r="I284" i="1"/>
  <c r="X284" i="1"/>
  <c r="X285" i="1"/>
  <c r="X286" i="1"/>
  <c r="I287" i="1"/>
  <c r="X287" i="1"/>
  <c r="I288" i="1"/>
  <c r="X288" i="1"/>
  <c r="X289" i="1"/>
  <c r="X290" i="1"/>
  <c r="I291" i="1"/>
  <c r="X291" i="1"/>
  <c r="I292" i="1"/>
  <c r="X292" i="1"/>
  <c r="I293" i="1"/>
  <c r="X293" i="1"/>
  <c r="X294" i="1"/>
  <c r="X295" i="1"/>
  <c r="I296" i="1"/>
  <c r="X296" i="1"/>
  <c r="X297" i="1"/>
  <c r="X298" i="1"/>
  <c r="I299" i="1"/>
  <c r="X299" i="1"/>
  <c r="X300" i="1"/>
  <c r="X301" i="1"/>
  <c r="I302" i="1"/>
  <c r="X302" i="1"/>
  <c r="X303" i="1"/>
  <c r="X304" i="1"/>
  <c r="I305" i="1"/>
  <c r="X305" i="1"/>
  <c r="I306" i="1"/>
  <c r="X306" i="1"/>
  <c r="I307" i="1"/>
  <c r="X307" i="1"/>
  <c r="X308" i="1"/>
  <c r="X309" i="1"/>
  <c r="I310" i="1"/>
  <c r="X310" i="1"/>
  <c r="X311" i="1"/>
  <c r="X312" i="1"/>
  <c r="I313" i="1"/>
  <c r="X313" i="1"/>
  <c r="X314" i="1"/>
  <c r="X315" i="1"/>
  <c r="I316" i="1"/>
  <c r="X316" i="1"/>
  <c r="X317" i="1"/>
  <c r="X318" i="1"/>
  <c r="I319" i="1"/>
  <c r="X319" i="1"/>
  <c r="X320" i="1"/>
  <c r="X321" i="1"/>
  <c r="I322" i="1"/>
  <c r="X322" i="1"/>
  <c r="X323" i="1"/>
  <c r="X324" i="1"/>
  <c r="I325" i="1"/>
  <c r="X325" i="1"/>
  <c r="X326" i="1"/>
  <c r="X327" i="1"/>
  <c r="I328" i="1"/>
  <c r="X328" i="1"/>
  <c r="X329" i="1"/>
  <c r="X330" i="1"/>
  <c r="I331" i="1"/>
  <c r="X331" i="1"/>
  <c r="I332" i="1"/>
  <c r="X332" i="1"/>
  <c r="I333" i="1"/>
  <c r="X333" i="1"/>
  <c r="X334" i="1"/>
  <c r="X335" i="1"/>
  <c r="I336" i="1"/>
  <c r="X336" i="1"/>
  <c r="I337" i="1"/>
  <c r="X337" i="1"/>
  <c r="X338" i="1"/>
  <c r="X339" i="1"/>
  <c r="I340" i="1"/>
  <c r="X340" i="1"/>
  <c r="X341" i="1"/>
  <c r="I342" i="1"/>
  <c r="X342" i="1"/>
  <c r="I343" i="1"/>
  <c r="X343" i="1"/>
  <c r="I344" i="1"/>
  <c r="X344" i="1"/>
  <c r="X345" i="1"/>
  <c r="X346" i="1"/>
  <c r="I347" i="1"/>
  <c r="X347" i="1"/>
  <c r="X348" i="1"/>
  <c r="X349" i="1"/>
  <c r="I350" i="1"/>
  <c r="X350" i="1"/>
  <c r="X351" i="1"/>
  <c r="X352" i="1"/>
  <c r="I353" i="1"/>
  <c r="X353" i="1"/>
  <c r="I354" i="1"/>
  <c r="X354" i="1"/>
  <c r="X355" i="1"/>
  <c r="X356" i="1"/>
  <c r="I357" i="1"/>
  <c r="X357" i="1"/>
  <c r="I358" i="1"/>
  <c r="X358" i="1"/>
  <c r="X359" i="1"/>
  <c r="X360" i="1"/>
  <c r="I361" i="1"/>
  <c r="X361" i="1"/>
  <c r="I362" i="1"/>
  <c r="X362" i="1"/>
  <c r="I363" i="1"/>
  <c r="X363" i="1"/>
  <c r="X364" i="1"/>
  <c r="X365" i="1"/>
  <c r="I366" i="1"/>
  <c r="X366" i="1"/>
  <c r="I367" i="1"/>
  <c r="X367" i="1"/>
  <c r="X368" i="1"/>
  <c r="X369" i="1"/>
  <c r="I370" i="1"/>
  <c r="X370" i="1"/>
  <c r="X371" i="1"/>
  <c r="X372" i="1"/>
  <c r="I373" i="1"/>
  <c r="X373" i="1"/>
  <c r="X374" i="1"/>
  <c r="X375" i="1"/>
  <c r="I376" i="1"/>
  <c r="X376" i="1"/>
  <c r="X377" i="1"/>
  <c r="X378" i="1"/>
  <c r="I379" i="1"/>
  <c r="X379" i="1"/>
  <c r="X380" i="1"/>
  <c r="X381" i="1"/>
  <c r="I382" i="1"/>
  <c r="X382" i="1"/>
  <c r="I383" i="1"/>
  <c r="X383" i="1"/>
  <c r="I384" i="1"/>
  <c r="X384" i="1"/>
  <c r="I385" i="1"/>
  <c r="X385" i="1"/>
  <c r="I386" i="1"/>
  <c r="X386" i="1"/>
  <c r="X387" i="1"/>
  <c r="X388" i="1"/>
  <c r="I389" i="1"/>
  <c r="X389" i="1"/>
  <c r="X390" i="1"/>
  <c r="X391" i="1"/>
  <c r="I392" i="1"/>
  <c r="X392" i="1"/>
  <c r="X393" i="1"/>
  <c r="X394" i="1"/>
  <c r="I395" i="1"/>
  <c r="X395" i="1"/>
  <c r="X396" i="1"/>
  <c r="X397" i="1"/>
  <c r="I398" i="1"/>
  <c r="X398" i="1"/>
  <c r="X399" i="1"/>
  <c r="X400" i="1"/>
  <c r="I401" i="1"/>
  <c r="X401" i="1"/>
  <c r="I402" i="1"/>
  <c r="X402" i="1"/>
  <c r="I403" i="1"/>
  <c r="X403" i="1"/>
  <c r="X404" i="1"/>
  <c r="X405" i="1"/>
  <c r="I406" i="1"/>
  <c r="X406" i="1"/>
  <c r="X407" i="1"/>
  <c r="X408" i="1"/>
  <c r="I409" i="1"/>
  <c r="X409" i="1"/>
  <c r="I410" i="1"/>
  <c r="X410" i="1"/>
  <c r="I411" i="1"/>
  <c r="X411" i="1"/>
  <c r="I412" i="1"/>
  <c r="X412" i="1"/>
  <c r="X413" i="1"/>
  <c r="X414" i="1"/>
  <c r="I415" i="1"/>
  <c r="X415" i="1"/>
  <c r="X416" i="1"/>
  <c r="X417" i="1"/>
  <c r="I418" i="1"/>
  <c r="X418" i="1"/>
  <c r="X419" i="1"/>
  <c r="X420" i="1"/>
  <c r="I421" i="1"/>
  <c r="X421" i="1"/>
  <c r="I422" i="1"/>
  <c r="X422" i="1"/>
  <c r="I423" i="1"/>
  <c r="X423" i="1"/>
  <c r="X424" i="1"/>
  <c r="X425" i="1"/>
  <c r="I426" i="1"/>
  <c r="X426" i="1"/>
  <c r="X427" i="1"/>
  <c r="X428" i="1"/>
  <c r="I429" i="1"/>
  <c r="X429" i="1"/>
  <c r="I430" i="1"/>
  <c r="X430" i="1"/>
  <c r="X431" i="1"/>
  <c r="X432" i="1"/>
  <c r="I433" i="1"/>
  <c r="X433" i="1"/>
  <c r="X434" i="1"/>
  <c r="X435" i="1"/>
  <c r="I436" i="1"/>
  <c r="X436" i="1"/>
  <c r="I437" i="1"/>
  <c r="X437" i="1"/>
  <c r="I438" i="1"/>
  <c r="X438" i="1"/>
  <c r="I439" i="1"/>
  <c r="X439" i="1"/>
  <c r="I440" i="1"/>
  <c r="X440" i="1"/>
  <c r="I441" i="1"/>
  <c r="X441" i="1"/>
  <c r="X442" i="1"/>
  <c r="X443" i="1"/>
  <c r="I444" i="1"/>
  <c r="X444" i="1"/>
  <c r="X445" i="1"/>
  <c r="X446" i="1"/>
  <c r="I447" i="1"/>
  <c r="X447" i="1"/>
  <c r="I448" i="1"/>
  <c r="X448" i="1"/>
  <c r="X449" i="1"/>
  <c r="X450" i="1"/>
  <c r="I451" i="1"/>
  <c r="X451" i="1"/>
  <c r="I452" i="1"/>
  <c r="X452" i="1"/>
  <c r="I453" i="1"/>
  <c r="X453" i="1"/>
  <c r="I454" i="1"/>
  <c r="X454" i="1"/>
  <c r="I455" i="1"/>
  <c r="X455" i="1"/>
  <c r="X456" i="1"/>
  <c r="X457" i="1"/>
  <c r="I458" i="1"/>
  <c r="X458" i="1"/>
  <c r="I459" i="1"/>
  <c r="X459" i="1"/>
  <c r="X460" i="1"/>
  <c r="X461" i="1"/>
  <c r="I462" i="1"/>
  <c r="X462" i="1"/>
  <c r="I463" i="1"/>
  <c r="X463" i="1"/>
  <c r="I464" i="1"/>
  <c r="X464" i="1"/>
  <c r="X465" i="1"/>
  <c r="X466" i="1"/>
  <c r="I467" i="1"/>
  <c r="X467" i="1"/>
  <c r="I468" i="1"/>
  <c r="X468" i="1"/>
  <c r="X469" i="1"/>
  <c r="X470" i="1"/>
  <c r="I471" i="1"/>
  <c r="X471" i="1"/>
  <c r="X472" i="1"/>
  <c r="X473" i="1"/>
  <c r="I474" i="1"/>
  <c r="X474" i="1"/>
  <c r="X475" i="1"/>
  <c r="X476" i="1"/>
  <c r="I477" i="1"/>
  <c r="X477" i="1"/>
  <c r="I478" i="1"/>
  <c r="X478" i="1"/>
  <c r="X479" i="1"/>
  <c r="X480" i="1"/>
  <c r="I481" i="1"/>
  <c r="X481" i="1"/>
  <c r="X482" i="1"/>
  <c r="X483" i="1"/>
  <c r="I484" i="1"/>
  <c r="X484" i="1"/>
  <c r="X485" i="1"/>
  <c r="X486" i="1"/>
  <c r="I487" i="1"/>
  <c r="X487" i="1"/>
  <c r="I488" i="1"/>
  <c r="X488" i="1"/>
  <c r="X489" i="1"/>
  <c r="X490" i="1"/>
  <c r="I491" i="1"/>
  <c r="X491" i="1"/>
  <c r="I492" i="1"/>
  <c r="X492" i="1"/>
  <c r="X493" i="1"/>
  <c r="X494" i="1"/>
  <c r="I495" i="1"/>
  <c r="X495" i="1"/>
  <c r="X496" i="1"/>
  <c r="X497" i="1"/>
  <c r="I498" i="1"/>
  <c r="X498" i="1"/>
  <c r="I499" i="1"/>
  <c r="X499" i="1"/>
  <c r="I500" i="1"/>
  <c r="X500" i="1"/>
  <c r="X501" i="1"/>
  <c r="X502" i="1"/>
  <c r="I503" i="1"/>
  <c r="X503" i="1"/>
  <c r="X504" i="1"/>
  <c r="X505" i="1"/>
  <c r="I506" i="1"/>
  <c r="X506" i="1"/>
  <c r="I507" i="1"/>
  <c r="X507" i="1"/>
  <c r="X508" i="1"/>
  <c r="X509" i="1"/>
  <c r="I510" i="1"/>
  <c r="X510" i="1"/>
  <c r="X511" i="1"/>
  <c r="X512" i="1"/>
  <c r="I513" i="1"/>
  <c r="X513" i="1"/>
  <c r="I514" i="1"/>
  <c r="X514" i="1"/>
  <c r="X515" i="1"/>
  <c r="X516" i="1"/>
  <c r="I517" i="1"/>
  <c r="X517" i="1"/>
  <c r="I518" i="1"/>
  <c r="X518" i="1"/>
  <c r="I519" i="1"/>
  <c r="X519" i="1"/>
  <c r="I520" i="1"/>
  <c r="X520" i="1"/>
  <c r="X521" i="1"/>
  <c r="X522" i="1"/>
  <c r="I523" i="1"/>
  <c r="X523" i="1"/>
  <c r="X524" i="1"/>
  <c r="X525" i="1"/>
  <c r="I526" i="1"/>
  <c r="X526" i="1"/>
  <c r="X527" i="1"/>
  <c r="X528" i="1"/>
  <c r="I529" i="1"/>
  <c r="X529" i="1"/>
  <c r="X530" i="1"/>
  <c r="X531" i="1"/>
  <c r="I532" i="1"/>
  <c r="X532" i="1"/>
  <c r="I533" i="1"/>
  <c r="X533" i="1"/>
  <c r="I534" i="1"/>
  <c r="X534" i="1"/>
  <c r="X535" i="1"/>
  <c r="X536" i="1"/>
  <c r="I537" i="1"/>
  <c r="X537" i="1"/>
  <c r="X538" i="1"/>
  <c r="X539" i="1"/>
  <c r="I540" i="1"/>
  <c r="X540" i="1"/>
  <c r="I541" i="1"/>
  <c r="X541" i="1"/>
  <c r="X542" i="1"/>
  <c r="X543" i="1"/>
  <c r="I544" i="1"/>
  <c r="X544" i="1"/>
  <c r="I545" i="1"/>
  <c r="X545" i="1"/>
  <c r="I546" i="1"/>
  <c r="X546" i="1"/>
  <c r="X547" i="1"/>
  <c r="X548" i="1"/>
  <c r="I549" i="1"/>
  <c r="X549" i="1"/>
  <c r="I550" i="1"/>
  <c r="X550" i="1"/>
  <c r="I551" i="1"/>
  <c r="X551" i="1"/>
  <c r="X552" i="1"/>
  <c r="X553" i="1"/>
  <c r="I554" i="1"/>
  <c r="X554" i="1"/>
  <c r="X555" i="1"/>
  <c r="X556" i="1"/>
  <c r="I557" i="1"/>
  <c r="X557" i="1"/>
  <c r="X558" i="1"/>
  <c r="X559" i="1"/>
  <c r="I560" i="1"/>
  <c r="X560" i="1"/>
  <c r="X561" i="1"/>
  <c r="X562" i="1"/>
  <c r="I563" i="1"/>
  <c r="X563" i="1"/>
  <c r="I564" i="1"/>
  <c r="X564" i="1"/>
  <c r="X565" i="1"/>
  <c r="X566" i="1"/>
  <c r="I567" i="1"/>
  <c r="X567" i="1"/>
  <c r="X568" i="1"/>
  <c r="X569" i="1"/>
  <c r="I570" i="1"/>
  <c r="X570" i="1"/>
  <c r="I571" i="1"/>
  <c r="X571" i="1"/>
  <c r="X572" i="1"/>
  <c r="X573" i="1"/>
  <c r="I574" i="1"/>
  <c r="X574" i="1"/>
  <c r="X575" i="1"/>
  <c r="X576" i="1"/>
  <c r="I577" i="1"/>
  <c r="X577" i="1"/>
  <c r="I578" i="1"/>
  <c r="X578" i="1"/>
  <c r="X579" i="1"/>
  <c r="X580" i="1"/>
  <c r="I581" i="1"/>
  <c r="X581" i="1"/>
  <c r="I582" i="1"/>
  <c r="X582" i="1"/>
  <c r="I583" i="1"/>
  <c r="X583" i="1"/>
  <c r="I584" i="1"/>
  <c r="X584" i="1"/>
  <c r="X585" i="1"/>
  <c r="X586" i="1"/>
  <c r="I587" i="1"/>
  <c r="X587" i="1"/>
  <c r="X588" i="1"/>
  <c r="X589" i="1"/>
  <c r="I590" i="1"/>
  <c r="X590" i="1"/>
  <c r="I591" i="1"/>
  <c r="X591" i="1"/>
  <c r="X592" i="1"/>
  <c r="X593" i="1"/>
  <c r="X594" i="1"/>
  <c r="I595" i="1"/>
  <c r="X595" i="1"/>
  <c r="I596" i="1"/>
  <c r="X596" i="1"/>
  <c r="X597" i="1"/>
  <c r="X598" i="1"/>
  <c r="I599" i="1"/>
  <c r="X599" i="1"/>
  <c r="X600" i="1"/>
  <c r="X601" i="1"/>
  <c r="I602" i="1"/>
  <c r="X602" i="1"/>
  <c r="X603" i="1"/>
  <c r="X604" i="1"/>
  <c r="I605" i="1"/>
  <c r="X605" i="1"/>
  <c r="X606" i="1"/>
  <c r="X607" i="1"/>
  <c r="I608" i="1"/>
  <c r="X608" i="1"/>
  <c r="I609" i="1"/>
  <c r="X609" i="1"/>
  <c r="I610" i="1"/>
  <c r="X610" i="1"/>
  <c r="I611" i="1"/>
  <c r="X611" i="1"/>
  <c r="I612" i="1"/>
  <c r="X612" i="1"/>
  <c r="X613" i="1"/>
  <c r="X614" i="1"/>
  <c r="I615" i="1"/>
  <c r="X615" i="1"/>
  <c r="X616" i="1"/>
  <c r="X617" i="1"/>
  <c r="I618" i="1"/>
  <c r="X618" i="1"/>
  <c r="X619" i="1"/>
  <c r="X620" i="1"/>
  <c r="I621" i="1"/>
  <c r="X621" i="1"/>
  <c r="I622" i="1"/>
  <c r="X622" i="1"/>
  <c r="X623" i="1"/>
  <c r="X624" i="1"/>
  <c r="I625" i="1"/>
  <c r="X625" i="1"/>
  <c r="I626" i="1"/>
  <c r="X626" i="1"/>
  <c r="I627" i="1"/>
  <c r="X627" i="1"/>
  <c r="I628" i="1"/>
  <c r="X628" i="1"/>
  <c r="I629" i="1"/>
  <c r="X629" i="1"/>
  <c r="I630" i="1"/>
  <c r="X630" i="1"/>
  <c r="X631" i="1"/>
  <c r="X632" i="1"/>
  <c r="I633" i="1"/>
  <c r="X633" i="1"/>
  <c r="X634" i="1"/>
  <c r="X635" i="1"/>
  <c r="I636" i="1"/>
  <c r="X636" i="1"/>
  <c r="X637" i="1"/>
  <c r="X638" i="1"/>
  <c r="I639" i="1"/>
  <c r="X639" i="1"/>
  <c r="I640" i="1"/>
  <c r="X640" i="1"/>
  <c r="I641" i="1"/>
  <c r="X641" i="1"/>
  <c r="I642" i="1"/>
  <c r="X642" i="1"/>
  <c r="I643" i="1"/>
  <c r="X643" i="1"/>
  <c r="I644" i="1"/>
  <c r="X644" i="1"/>
  <c r="X645" i="1"/>
  <c r="X646" i="1"/>
  <c r="I647" i="1"/>
  <c r="X647" i="1"/>
  <c r="I648" i="1"/>
  <c r="X648" i="1"/>
  <c r="I649" i="1"/>
  <c r="X649" i="1"/>
  <c r="I650" i="1"/>
  <c r="X650" i="1"/>
  <c r="X651" i="1"/>
  <c r="X652" i="1"/>
  <c r="I653" i="1"/>
  <c r="X653" i="1"/>
  <c r="X654" i="1"/>
  <c r="X655" i="1"/>
  <c r="I656" i="1"/>
  <c r="X656" i="1"/>
  <c r="I657" i="1"/>
  <c r="X657" i="1"/>
  <c r="I658" i="1"/>
  <c r="X658" i="1"/>
  <c r="X659" i="1"/>
  <c r="X660" i="1"/>
  <c r="I661" i="1"/>
  <c r="X661" i="1"/>
  <c r="I662" i="1"/>
  <c r="X662" i="1"/>
  <c r="I663" i="1"/>
  <c r="X663" i="1"/>
  <c r="I664" i="1"/>
  <c r="X664" i="1"/>
  <c r="I665" i="1"/>
  <c r="X665" i="1"/>
  <c r="I666" i="1"/>
  <c r="X666" i="1"/>
  <c r="X667" i="1"/>
  <c r="X668" i="1"/>
  <c r="I669" i="1"/>
  <c r="X669" i="1"/>
  <c r="X670" i="1"/>
  <c r="X671" i="1"/>
  <c r="I672" i="1"/>
  <c r="X672" i="1"/>
  <c r="I673" i="1"/>
  <c r="X673" i="1"/>
  <c r="X674" i="1"/>
  <c r="X675" i="1"/>
  <c r="I676" i="1"/>
  <c r="X676" i="1"/>
  <c r="X677" i="1"/>
  <c r="X678" i="1"/>
  <c r="I679" i="1"/>
  <c r="X679" i="1"/>
  <c r="I680" i="1"/>
  <c r="X680" i="1"/>
  <c r="X681" i="1"/>
  <c r="X682" i="1"/>
  <c r="I683" i="1"/>
  <c r="X683" i="1"/>
  <c r="X684" i="1"/>
  <c r="X685" i="1"/>
  <c r="I686" i="1"/>
  <c r="X686" i="1"/>
  <c r="I687" i="1"/>
  <c r="X687" i="1"/>
  <c r="X688" i="1"/>
  <c r="X689" i="1"/>
  <c r="I690" i="1"/>
  <c r="X690" i="1"/>
  <c r="X691" i="1"/>
  <c r="X692" i="1"/>
  <c r="I693" i="1"/>
  <c r="X693" i="1"/>
  <c r="X694" i="1"/>
  <c r="X695" i="1"/>
  <c r="I696" i="1"/>
  <c r="X696" i="1"/>
  <c r="I697" i="1"/>
  <c r="X697" i="1"/>
  <c r="X698" i="1"/>
  <c r="X699" i="1"/>
  <c r="I700" i="1"/>
  <c r="X700" i="1"/>
  <c r="X701" i="1"/>
  <c r="X702" i="1"/>
  <c r="I703" i="1"/>
  <c r="X703" i="1"/>
  <c r="I704" i="1"/>
  <c r="X704" i="1"/>
  <c r="I705" i="1"/>
  <c r="X705" i="1"/>
  <c r="X706" i="1"/>
  <c r="X707" i="1"/>
  <c r="I708" i="1"/>
  <c r="X708" i="1"/>
  <c r="I709" i="1"/>
  <c r="X709" i="1"/>
  <c r="I710" i="1"/>
  <c r="X710" i="1"/>
  <c r="X711" i="1"/>
  <c r="X712" i="1"/>
  <c r="I713" i="1"/>
  <c r="X713" i="1"/>
  <c r="X714" i="1"/>
  <c r="X715" i="1"/>
  <c r="I716" i="1"/>
  <c r="X716" i="1"/>
  <c r="X717" i="1"/>
  <c r="X718" i="1"/>
  <c r="I719" i="1"/>
  <c r="X719" i="1"/>
  <c r="X720" i="1"/>
  <c r="X721" i="1"/>
  <c r="I722" i="1"/>
  <c r="X722" i="1"/>
  <c r="X723" i="1"/>
  <c r="X724" i="1"/>
  <c r="I725" i="1"/>
  <c r="X725" i="1"/>
  <c r="I726" i="1"/>
  <c r="X726" i="1"/>
  <c r="I727" i="1"/>
  <c r="X727" i="1"/>
  <c r="X728" i="1"/>
  <c r="X729" i="1"/>
  <c r="I730" i="1"/>
  <c r="X730" i="1"/>
  <c r="I731" i="1"/>
  <c r="X731" i="1"/>
  <c r="I732" i="1"/>
  <c r="X732" i="1"/>
  <c r="I733" i="1"/>
  <c r="X733" i="1"/>
  <c r="I734" i="1"/>
  <c r="X734" i="1"/>
  <c r="I735" i="1"/>
  <c r="X735" i="1"/>
  <c r="I736" i="1"/>
  <c r="X736" i="1"/>
  <c r="I737" i="1"/>
  <c r="X737" i="1"/>
  <c r="I738" i="1"/>
  <c r="X738" i="1"/>
  <c r="I739" i="1"/>
  <c r="X739" i="1"/>
  <c r="I740" i="1"/>
  <c r="X740" i="1"/>
  <c r="I741" i="1"/>
  <c r="X741" i="1"/>
  <c r="X742" i="1"/>
  <c r="X743" i="1"/>
  <c r="I744" i="1"/>
  <c r="X744" i="1"/>
  <c r="I745" i="1"/>
  <c r="X745" i="1"/>
  <c r="I746" i="1"/>
  <c r="X746" i="1"/>
  <c r="I747" i="1"/>
  <c r="X747" i="1"/>
  <c r="I748" i="1"/>
  <c r="X748" i="1"/>
  <c r="X749" i="1"/>
  <c r="X750" i="1"/>
  <c r="I751" i="1"/>
  <c r="X751" i="1"/>
  <c r="X752" i="1"/>
  <c r="X753" i="1"/>
  <c r="I754" i="1"/>
  <c r="X754" i="1"/>
  <c r="I755" i="1"/>
  <c r="X755" i="1"/>
  <c r="X756" i="1"/>
  <c r="X757" i="1"/>
  <c r="I758" i="1"/>
  <c r="X758" i="1"/>
  <c r="I759" i="1"/>
  <c r="X759" i="1"/>
  <c r="I760" i="1"/>
  <c r="X760" i="1"/>
  <c r="I761" i="1"/>
  <c r="X761" i="1"/>
  <c r="I762" i="1"/>
  <c r="X762" i="1"/>
  <c r="I763" i="1"/>
  <c r="X763" i="1"/>
  <c r="I764" i="1"/>
  <c r="X764" i="1"/>
  <c r="I765" i="1"/>
  <c r="X765" i="1"/>
  <c r="I766" i="1"/>
  <c r="X766" i="1"/>
  <c r="X767" i="1"/>
  <c r="X768" i="1"/>
  <c r="I769" i="1"/>
  <c r="X769" i="1"/>
  <c r="X770" i="1"/>
  <c r="X771" i="1"/>
  <c r="I772" i="1"/>
  <c r="X772" i="1"/>
  <c r="I773" i="1"/>
  <c r="X773" i="1"/>
  <c r="X774" i="1"/>
  <c r="X775" i="1"/>
  <c r="I776" i="1"/>
  <c r="X776" i="1"/>
  <c r="X777" i="1"/>
  <c r="X778" i="1"/>
  <c r="I779" i="1"/>
  <c r="X779" i="1"/>
  <c r="X780" i="1"/>
  <c r="X781" i="1"/>
  <c r="I782" i="1"/>
  <c r="X782" i="1"/>
  <c r="X783" i="1"/>
  <c r="X784" i="1"/>
  <c r="I785" i="1"/>
  <c r="X785" i="1"/>
  <c r="I786" i="1"/>
  <c r="X786" i="1"/>
  <c r="I787" i="1"/>
  <c r="X787" i="1"/>
  <c r="I788" i="1"/>
  <c r="X788" i="1"/>
  <c r="I789" i="1"/>
  <c r="X789" i="1"/>
  <c r="X790" i="1"/>
  <c r="X791" i="1"/>
  <c r="I792" i="1"/>
  <c r="X792" i="1"/>
  <c r="X793" i="1"/>
  <c r="X794" i="1"/>
  <c r="I795" i="1"/>
  <c r="X795" i="1"/>
  <c r="X796" i="1"/>
  <c r="X797" i="1"/>
  <c r="I798" i="1"/>
  <c r="X798" i="1"/>
  <c r="I799" i="1"/>
  <c r="X799" i="1"/>
  <c r="I800" i="1"/>
  <c r="X800" i="1"/>
  <c r="I801" i="1"/>
  <c r="X801" i="1"/>
  <c r="I802" i="1"/>
  <c r="X802" i="1"/>
  <c r="X803" i="1"/>
  <c r="X804" i="1"/>
  <c r="I805" i="1"/>
  <c r="X805" i="1"/>
  <c r="X806" i="1"/>
  <c r="X807" i="1"/>
  <c r="I808" i="1"/>
  <c r="X808" i="1"/>
  <c r="X809" i="1"/>
  <c r="X810" i="1"/>
  <c r="I811" i="1"/>
  <c r="X811" i="1"/>
  <c r="X812" i="1"/>
  <c r="X813" i="1"/>
  <c r="I814" i="1"/>
  <c r="X814" i="1"/>
  <c r="I815" i="1"/>
  <c r="X815" i="1"/>
  <c r="I816" i="1"/>
  <c r="X816" i="1"/>
  <c r="I817" i="1"/>
  <c r="X817" i="1"/>
  <c r="X818" i="1"/>
  <c r="X819" i="1"/>
  <c r="I820" i="1"/>
  <c r="X820" i="1"/>
  <c r="I821" i="1"/>
  <c r="X821" i="1"/>
  <c r="I822" i="1"/>
  <c r="X822" i="1"/>
  <c r="X823" i="1"/>
  <c r="X824" i="1"/>
  <c r="I825" i="1"/>
  <c r="X825" i="1"/>
  <c r="I826" i="1"/>
  <c r="X826" i="1"/>
  <c r="I827" i="1"/>
  <c r="X827" i="1"/>
  <c r="I828" i="1"/>
  <c r="X828" i="1"/>
  <c r="I829" i="1"/>
  <c r="X829" i="1"/>
  <c r="I830" i="1"/>
  <c r="X830" i="1"/>
  <c r="I831" i="1"/>
  <c r="X831" i="1"/>
  <c r="X832" i="1"/>
  <c r="X833" i="1"/>
  <c r="I834" i="1"/>
  <c r="X834" i="1"/>
  <c r="X835" i="1"/>
  <c r="X836" i="1"/>
  <c r="I837" i="1"/>
  <c r="X837" i="1"/>
  <c r="X838" i="1"/>
  <c r="X839" i="1"/>
  <c r="I840" i="1"/>
  <c r="X840" i="1"/>
  <c r="X841" i="1"/>
  <c r="X842" i="1"/>
  <c r="I843" i="1"/>
  <c r="X843" i="1"/>
  <c r="X844" i="1"/>
  <c r="X845" i="1"/>
  <c r="I846" i="1"/>
  <c r="X846" i="1"/>
  <c r="X847" i="1"/>
  <c r="X848" i="1"/>
  <c r="I849" i="1"/>
  <c r="X849" i="1"/>
  <c r="X850" i="1"/>
  <c r="X851" i="1"/>
  <c r="I852" i="1"/>
  <c r="X852" i="1"/>
  <c r="X853" i="1"/>
  <c r="X854" i="1"/>
  <c r="I855" i="1"/>
  <c r="X855" i="1"/>
  <c r="I856" i="1"/>
  <c r="X856" i="1"/>
  <c r="I857" i="1"/>
  <c r="X857" i="1"/>
  <c r="I858" i="1"/>
  <c r="X858" i="1"/>
  <c r="I859" i="1"/>
  <c r="X859" i="1"/>
  <c r="I860" i="1"/>
  <c r="X860" i="1"/>
  <c r="I861" i="1"/>
  <c r="X861" i="1"/>
  <c r="I862" i="1"/>
  <c r="X862" i="1"/>
  <c r="I863" i="1"/>
  <c r="X863" i="1"/>
  <c r="I864" i="1"/>
  <c r="X864" i="1"/>
  <c r="I865" i="1"/>
  <c r="X865" i="1"/>
  <c r="X866" i="1"/>
  <c r="X867" i="1"/>
  <c r="I868" i="1"/>
  <c r="X868" i="1"/>
  <c r="X869" i="1"/>
  <c r="X870" i="1"/>
  <c r="I871" i="1"/>
  <c r="X871" i="1"/>
  <c r="I872" i="1"/>
  <c r="X872" i="1"/>
  <c r="I873" i="1"/>
  <c r="X873" i="1"/>
  <c r="X874" i="1"/>
  <c r="X875" i="1"/>
  <c r="I876" i="1"/>
  <c r="X876" i="1"/>
  <c r="X877" i="1"/>
  <c r="X878" i="1"/>
  <c r="I879" i="1"/>
  <c r="X879" i="1"/>
  <c r="X880" i="1"/>
  <c r="X881" i="1"/>
  <c r="I882" i="1"/>
  <c r="X882" i="1"/>
  <c r="I883" i="1"/>
  <c r="X883" i="1"/>
  <c r="X884" i="1"/>
  <c r="X885" i="1"/>
  <c r="I886" i="1"/>
  <c r="X886" i="1"/>
  <c r="I887" i="1"/>
  <c r="X887" i="1"/>
  <c r="I888" i="1"/>
  <c r="X888" i="1"/>
  <c r="X889" i="1"/>
  <c r="X890" i="1"/>
  <c r="I891" i="1"/>
  <c r="X891" i="1"/>
  <c r="I892" i="1"/>
  <c r="X892" i="1"/>
  <c r="I893" i="1"/>
  <c r="X893" i="1"/>
  <c r="I894" i="1"/>
  <c r="X894" i="1"/>
  <c r="I895" i="1"/>
  <c r="X895" i="1"/>
  <c r="X896" i="1"/>
  <c r="X897" i="1"/>
  <c r="I898" i="1"/>
  <c r="X898" i="1"/>
  <c r="X899" i="1"/>
  <c r="X900" i="1"/>
  <c r="I901" i="1"/>
  <c r="X901" i="1"/>
  <c r="X902" i="1"/>
  <c r="X903" i="1"/>
  <c r="I904" i="1"/>
  <c r="X904" i="1"/>
  <c r="I905" i="1"/>
  <c r="X905" i="1"/>
  <c r="X906" i="1"/>
  <c r="X907" i="1"/>
  <c r="I908" i="1"/>
  <c r="X908" i="1"/>
  <c r="X909" i="1"/>
  <c r="X910" i="1"/>
  <c r="I911" i="1"/>
  <c r="X911" i="1"/>
  <c r="X912" i="1"/>
  <c r="X913" i="1"/>
  <c r="I914" i="1"/>
  <c r="X914" i="1"/>
  <c r="X915" i="1"/>
  <c r="X916" i="1"/>
  <c r="I917" i="1"/>
  <c r="X917" i="1"/>
  <c r="I918" i="1"/>
  <c r="X918" i="1"/>
  <c r="I919" i="1"/>
  <c r="X919" i="1"/>
  <c r="X920" i="1"/>
  <c r="X921" i="1"/>
  <c r="I922" i="1"/>
  <c r="X922" i="1"/>
  <c r="I923" i="1"/>
  <c r="X923" i="1"/>
  <c r="X924" i="1"/>
  <c r="X925" i="1"/>
  <c r="I926" i="1"/>
  <c r="X926" i="1"/>
  <c r="X927" i="1"/>
  <c r="X928" i="1"/>
  <c r="I929" i="1"/>
  <c r="X929" i="1"/>
  <c r="I930" i="1"/>
  <c r="X930" i="1"/>
  <c r="X931" i="1"/>
  <c r="X932" i="1"/>
  <c r="I933" i="1"/>
  <c r="X933" i="1"/>
  <c r="X934" i="1"/>
  <c r="X935" i="1"/>
  <c r="I936" i="1"/>
  <c r="X936" i="1"/>
  <c r="X937" i="1"/>
  <c r="X938" i="1"/>
  <c r="I939" i="1"/>
  <c r="X939" i="1"/>
  <c r="X940" i="1"/>
  <c r="X941" i="1"/>
  <c r="I942" i="1"/>
  <c r="X942" i="1"/>
  <c r="I943" i="1"/>
  <c r="X943" i="1"/>
  <c r="X944" i="1"/>
  <c r="X945" i="1"/>
  <c r="I946" i="1"/>
  <c r="X946" i="1"/>
  <c r="I947" i="1"/>
  <c r="X947" i="1"/>
  <c r="X948" i="1"/>
  <c r="X949" i="1"/>
  <c r="I950" i="1"/>
  <c r="X950" i="1"/>
  <c r="X951" i="1"/>
  <c r="X952" i="1"/>
  <c r="I953" i="1"/>
  <c r="X953" i="1"/>
  <c r="I954" i="1"/>
  <c r="X954" i="1"/>
  <c r="I955" i="1"/>
  <c r="X955" i="1"/>
  <c r="I956" i="1"/>
  <c r="X956" i="1"/>
  <c r="X957" i="1"/>
  <c r="X958" i="1"/>
  <c r="X959" i="1"/>
  <c r="I960" i="1"/>
  <c r="X960" i="1"/>
  <c r="X961" i="1"/>
  <c r="X962" i="1"/>
  <c r="I963" i="1"/>
  <c r="X963" i="1"/>
  <c r="I964" i="1"/>
  <c r="X964" i="1"/>
  <c r="X965" i="1"/>
  <c r="X966" i="1"/>
  <c r="I967" i="1"/>
  <c r="X967" i="1"/>
  <c r="I968" i="1"/>
  <c r="X968" i="1"/>
  <c r="X969" i="1"/>
  <c r="X970" i="1"/>
  <c r="I971" i="1"/>
  <c r="X971" i="1"/>
  <c r="I972" i="1"/>
  <c r="X972" i="1"/>
  <c r="I973" i="1"/>
  <c r="X973" i="1"/>
  <c r="I974" i="1"/>
  <c r="X974" i="1"/>
  <c r="I975" i="1"/>
  <c r="X975" i="1"/>
  <c r="I976" i="1"/>
  <c r="X976" i="1"/>
  <c r="I977" i="1"/>
  <c r="X977" i="1"/>
  <c r="I978" i="1"/>
  <c r="X978" i="1"/>
  <c r="X979" i="1"/>
  <c r="X980" i="1"/>
  <c r="I981" i="1"/>
  <c r="X981" i="1"/>
  <c r="X982" i="1"/>
  <c r="X983" i="1"/>
  <c r="I984" i="1"/>
  <c r="X984" i="1"/>
  <c r="I985" i="1"/>
  <c r="X985" i="1"/>
  <c r="I986" i="1"/>
  <c r="X986" i="1"/>
  <c r="X987" i="1"/>
  <c r="X988" i="1"/>
  <c r="I989" i="1"/>
  <c r="X989" i="1"/>
  <c r="I990" i="1"/>
  <c r="X990" i="1"/>
  <c r="X991" i="1"/>
  <c r="X992" i="1"/>
  <c r="I993" i="1"/>
  <c r="X993" i="1"/>
  <c r="I994" i="1"/>
  <c r="X994" i="1"/>
  <c r="I995" i="1"/>
  <c r="X995" i="1"/>
  <c r="X996" i="1"/>
  <c r="X997" i="1"/>
  <c r="I998" i="1"/>
  <c r="X998" i="1"/>
  <c r="I999" i="1"/>
  <c r="X999" i="1"/>
  <c r="X1000" i="1"/>
  <c r="X1001" i="1"/>
  <c r="I1002" i="1"/>
  <c r="X1002" i="1"/>
  <c r="X1003" i="1"/>
  <c r="X1004" i="1"/>
  <c r="I1005" i="1"/>
  <c r="X1005" i="1"/>
  <c r="I1006" i="1"/>
  <c r="X1006" i="1"/>
  <c r="X1007" i="1"/>
  <c r="X1008" i="1"/>
  <c r="I1009" i="1"/>
  <c r="X1009" i="1"/>
  <c r="X1010" i="1"/>
  <c r="X1011" i="1"/>
  <c r="I1012" i="1"/>
  <c r="X1012" i="1"/>
  <c r="I1013" i="1"/>
  <c r="X1013" i="1"/>
  <c r="I1014" i="1"/>
  <c r="X1014" i="1"/>
  <c r="I1015" i="1"/>
  <c r="X1015" i="1"/>
  <c r="X1016" i="1"/>
  <c r="X1017" i="1"/>
  <c r="I1018" i="1"/>
  <c r="X1018" i="1"/>
  <c r="I1019" i="1"/>
  <c r="X1019" i="1"/>
  <c r="I1020" i="1"/>
  <c r="X1020" i="1"/>
  <c r="I1021" i="1"/>
  <c r="X1021" i="1"/>
  <c r="I1022" i="1"/>
  <c r="X1022" i="1"/>
  <c r="I1023" i="1"/>
  <c r="X1023" i="1"/>
  <c r="I1024" i="1"/>
  <c r="X1024" i="1"/>
  <c r="I1025" i="1"/>
  <c r="X1025" i="1"/>
  <c r="X1026" i="1"/>
  <c r="X1027" i="1"/>
  <c r="I1028" i="1"/>
  <c r="X1028" i="1"/>
  <c r="I1029" i="1"/>
  <c r="X1029" i="1"/>
  <c r="X1030" i="1"/>
  <c r="X1031" i="1"/>
  <c r="I1032" i="1"/>
  <c r="X1032" i="1"/>
  <c r="I1033" i="1"/>
  <c r="X1033" i="1"/>
  <c r="I1034" i="1"/>
  <c r="X1034" i="1"/>
  <c r="X1035" i="1"/>
  <c r="X1036" i="1"/>
  <c r="I1037" i="1"/>
  <c r="X1037" i="1"/>
  <c r="X1038" i="1"/>
  <c r="X1039" i="1"/>
  <c r="I1040" i="1"/>
  <c r="X1040" i="1"/>
  <c r="X1041" i="1"/>
  <c r="X1042" i="1"/>
  <c r="I1043" i="1"/>
  <c r="X1043" i="1"/>
  <c r="I1044" i="1"/>
  <c r="X1044" i="1"/>
  <c r="I1045" i="1"/>
  <c r="X1045" i="1"/>
  <c r="I1046" i="1"/>
  <c r="X1046" i="1"/>
  <c r="X1047" i="1"/>
  <c r="X1048" i="1"/>
  <c r="I1049" i="1"/>
  <c r="X1049" i="1"/>
  <c r="I1050" i="1"/>
  <c r="X1050" i="1"/>
  <c r="I1051" i="1"/>
  <c r="X1051" i="1"/>
  <c r="X1052" i="1"/>
  <c r="X1053" i="1"/>
  <c r="I1054" i="1"/>
  <c r="X1054" i="1"/>
  <c r="X1055" i="1"/>
  <c r="X1056" i="1"/>
  <c r="I1057" i="1"/>
  <c r="X1057" i="1"/>
  <c r="X1058" i="1"/>
  <c r="X1059" i="1"/>
  <c r="I1060" i="1"/>
  <c r="X1060" i="1"/>
  <c r="X1061" i="1"/>
  <c r="X1062" i="1"/>
  <c r="I1063" i="1"/>
  <c r="X1063" i="1"/>
  <c r="X1064" i="1"/>
  <c r="X1065" i="1"/>
  <c r="I1066" i="1"/>
  <c r="X1066" i="1"/>
  <c r="X1067" i="1"/>
  <c r="X1068" i="1"/>
  <c r="I1069" i="1"/>
  <c r="X1069" i="1"/>
  <c r="X1070" i="1"/>
  <c r="X1071" i="1"/>
  <c r="I1072" i="1"/>
  <c r="X1072" i="1"/>
  <c r="X1073" i="1"/>
  <c r="X1074" i="1"/>
  <c r="I1075" i="1"/>
  <c r="X1075" i="1"/>
  <c r="X1076" i="1"/>
  <c r="X1077" i="1"/>
  <c r="I1078" i="1"/>
  <c r="X1078" i="1"/>
  <c r="I1079" i="1"/>
  <c r="X1079" i="1"/>
  <c r="X1080" i="1"/>
  <c r="X1081" i="1"/>
  <c r="I1082" i="1"/>
  <c r="X1082" i="1"/>
  <c r="I1083" i="1"/>
  <c r="X1083" i="1"/>
  <c r="I1084" i="1"/>
  <c r="X1084" i="1"/>
  <c r="I1085" i="1"/>
  <c r="X1085" i="1"/>
  <c r="I1086" i="1"/>
  <c r="X1086" i="1"/>
  <c r="X1087" i="1"/>
  <c r="X1088" i="1"/>
  <c r="I1089" i="1"/>
  <c r="X1089" i="1"/>
  <c r="I1090" i="1"/>
  <c r="X1090" i="1"/>
  <c r="X1091" i="1"/>
  <c r="X1092" i="1"/>
  <c r="I1093" i="1"/>
  <c r="X1093" i="1"/>
  <c r="I1094" i="1"/>
  <c r="X1094" i="1"/>
  <c r="X1095" i="1"/>
  <c r="X1096" i="1"/>
  <c r="I1097" i="1"/>
  <c r="X1097" i="1"/>
  <c r="I1098" i="1"/>
  <c r="X1098" i="1"/>
  <c r="I1099" i="1"/>
  <c r="X1099" i="1"/>
  <c r="I1100" i="1"/>
  <c r="X1100" i="1"/>
  <c r="X1101" i="1"/>
  <c r="X1102" i="1"/>
  <c r="I1103" i="1"/>
  <c r="X1103" i="1"/>
  <c r="I1104" i="1"/>
  <c r="X1104" i="1"/>
  <c r="I1105" i="1"/>
  <c r="X1105" i="1"/>
  <c r="I1106" i="1"/>
  <c r="X1106" i="1"/>
  <c r="I1107" i="1"/>
  <c r="X1107" i="1"/>
  <c r="I1108" i="1"/>
  <c r="X1108" i="1"/>
  <c r="I1109" i="1"/>
  <c r="X1109" i="1"/>
  <c r="I1110" i="1"/>
  <c r="X1110" i="1"/>
  <c r="X1111" i="1"/>
  <c r="X1112" i="1"/>
  <c r="I1113" i="1"/>
  <c r="X1113" i="1"/>
  <c r="X1114" i="1"/>
  <c r="X1115" i="1"/>
  <c r="I1116" i="1"/>
  <c r="X1116" i="1"/>
  <c r="X1117" i="1"/>
  <c r="X1118" i="1"/>
  <c r="I1119" i="1"/>
  <c r="X1119" i="1"/>
  <c r="I1120" i="1"/>
  <c r="X1120" i="1"/>
  <c r="X1121" i="1"/>
  <c r="X1122" i="1"/>
  <c r="I1123" i="1"/>
  <c r="X1123" i="1"/>
  <c r="X1124" i="1"/>
  <c r="X1125" i="1"/>
  <c r="I1126" i="1"/>
  <c r="X1126" i="1"/>
  <c r="X1127" i="1"/>
  <c r="X1128" i="1"/>
  <c r="I1129" i="1"/>
  <c r="X1129" i="1"/>
  <c r="I1130" i="1"/>
  <c r="X1130" i="1"/>
  <c r="I1131" i="1"/>
  <c r="X1131" i="1"/>
  <c r="X1132" i="1"/>
  <c r="X1133" i="1"/>
  <c r="I1134" i="1"/>
  <c r="X1134" i="1"/>
  <c r="I1135" i="1"/>
  <c r="X1135" i="1"/>
  <c r="I1136" i="1"/>
  <c r="X1136" i="1"/>
  <c r="I1137" i="1"/>
  <c r="X1137" i="1"/>
  <c r="I1138" i="1"/>
  <c r="X1138" i="1"/>
  <c r="X1139" i="1"/>
  <c r="X1140" i="1"/>
  <c r="I1141" i="1"/>
  <c r="X1141" i="1"/>
  <c r="I1142" i="1"/>
  <c r="X1142" i="1"/>
  <c r="X1143" i="1"/>
  <c r="X1144" i="1"/>
  <c r="I1145" i="1"/>
  <c r="X1145" i="1"/>
  <c r="X1146" i="1"/>
  <c r="X1147" i="1"/>
  <c r="X1148" i="1"/>
  <c r="I1149" i="1"/>
  <c r="X1149" i="1"/>
  <c r="X1150" i="1"/>
  <c r="X1151" i="1"/>
  <c r="I1152" i="1"/>
  <c r="X1152" i="1"/>
  <c r="X1153" i="1"/>
  <c r="X1154" i="1"/>
  <c r="I1155" i="1"/>
  <c r="X1155" i="1"/>
  <c r="I1156" i="1"/>
  <c r="X1156" i="1"/>
  <c r="I1157" i="1"/>
  <c r="X1157" i="1"/>
  <c r="I1158" i="1"/>
  <c r="X1158" i="1"/>
  <c r="X1159" i="1"/>
  <c r="X1160" i="1"/>
  <c r="I1161" i="1"/>
  <c r="X1161" i="1"/>
  <c r="I1162" i="1"/>
  <c r="X1162" i="1"/>
  <c r="X1163" i="1"/>
  <c r="X1164" i="1"/>
  <c r="I1165" i="1"/>
  <c r="X1165" i="1"/>
  <c r="X1166" i="1"/>
  <c r="X1167" i="1"/>
  <c r="I1168" i="1"/>
  <c r="X1168" i="1"/>
  <c r="X1169" i="1"/>
  <c r="X1170" i="1"/>
  <c r="I1171" i="1"/>
  <c r="X1171" i="1"/>
  <c r="X1172" i="1"/>
  <c r="X1173" i="1"/>
  <c r="I1174" i="1"/>
  <c r="X1174" i="1"/>
  <c r="X1175" i="1"/>
  <c r="X1176" i="1"/>
  <c r="I1177" i="1"/>
  <c r="X1177" i="1"/>
  <c r="I1178" i="1"/>
  <c r="X1178" i="1"/>
  <c r="X1179" i="1"/>
  <c r="X1180" i="1"/>
  <c r="I1181" i="1"/>
  <c r="X1181" i="1"/>
  <c r="I1182" i="1"/>
  <c r="X1182" i="1"/>
  <c r="X1183" i="1"/>
  <c r="X1184" i="1"/>
  <c r="I1185" i="1"/>
  <c r="X1185" i="1"/>
  <c r="I1186" i="1"/>
  <c r="X1186" i="1"/>
  <c r="I1187" i="1"/>
  <c r="X1187" i="1"/>
  <c r="I1188" i="1"/>
  <c r="X1188" i="1"/>
  <c r="I1189" i="1"/>
  <c r="X1189" i="1"/>
  <c r="I1190" i="1"/>
  <c r="X1190" i="1"/>
  <c r="I1191" i="1"/>
  <c r="X1191" i="1"/>
  <c r="I1192" i="1"/>
  <c r="X1192" i="1"/>
  <c r="I1193" i="1"/>
  <c r="X1193" i="1"/>
  <c r="I1194" i="1"/>
  <c r="X1194" i="1"/>
  <c r="I1195" i="1"/>
  <c r="X1195" i="1"/>
  <c r="I1196" i="1"/>
  <c r="X1196" i="1"/>
  <c r="I1197" i="1"/>
  <c r="X1197" i="1"/>
  <c r="I1198" i="1"/>
  <c r="X1198" i="1"/>
  <c r="I1199" i="1"/>
  <c r="X1199" i="1"/>
  <c r="I1200" i="1"/>
  <c r="X1200" i="1"/>
  <c r="I1201" i="1"/>
  <c r="X1201" i="1"/>
  <c r="I1202" i="1"/>
  <c r="X1202" i="1"/>
  <c r="I1203" i="1"/>
  <c r="X1203" i="1"/>
  <c r="I1204" i="1"/>
  <c r="X1204" i="1"/>
  <c r="I1205" i="1"/>
  <c r="X1205" i="1"/>
  <c r="I1206" i="1"/>
  <c r="X1206" i="1"/>
  <c r="I1207" i="1"/>
  <c r="X1207" i="1"/>
  <c r="X1208" i="1"/>
  <c r="X1209" i="1"/>
  <c r="I1210" i="1"/>
  <c r="X1210" i="1"/>
  <c r="I1211" i="1"/>
  <c r="X1211" i="1"/>
  <c r="I1212" i="1"/>
  <c r="X1212" i="1"/>
  <c r="I1213" i="1"/>
  <c r="X1213" i="1"/>
  <c r="I1214" i="1"/>
  <c r="X1214" i="1"/>
  <c r="I1215" i="1"/>
  <c r="X1215" i="1"/>
  <c r="I1216" i="1"/>
  <c r="X1216" i="1"/>
  <c r="X1217" i="1"/>
  <c r="X1218" i="1"/>
  <c r="I1219" i="1"/>
  <c r="X1219" i="1"/>
  <c r="I1220" i="1"/>
  <c r="X1220" i="1"/>
  <c r="I1221" i="1"/>
  <c r="X1221" i="1"/>
  <c r="I1222" i="1"/>
  <c r="X1222" i="1"/>
  <c r="X1223" i="1"/>
  <c r="X1224" i="1"/>
  <c r="I1225" i="1"/>
  <c r="X1225" i="1"/>
  <c r="I1226" i="1"/>
  <c r="X1226" i="1"/>
  <c r="X1227" i="1"/>
  <c r="X1228" i="1"/>
  <c r="I1229" i="1"/>
  <c r="X1229" i="1"/>
  <c r="I1230" i="1"/>
  <c r="X1230" i="1"/>
  <c r="I1231" i="1"/>
  <c r="X1231" i="1"/>
  <c r="I1232" i="1"/>
  <c r="X1232" i="1"/>
  <c r="I1233" i="1"/>
  <c r="X1233" i="1"/>
  <c r="I1234" i="1"/>
  <c r="X1234" i="1"/>
  <c r="I1235" i="1"/>
  <c r="X1235" i="1"/>
  <c r="I1236" i="1"/>
  <c r="X1236" i="1"/>
  <c r="I1237" i="1"/>
  <c r="X1237" i="1"/>
  <c r="X1238" i="1"/>
  <c r="X1239" i="1"/>
  <c r="I1240" i="1"/>
  <c r="X1240" i="1"/>
  <c r="X1241" i="1"/>
  <c r="X1242" i="1"/>
  <c r="I1243" i="1"/>
  <c r="X1243" i="1"/>
  <c r="X1244" i="1"/>
  <c r="X1245" i="1"/>
  <c r="I1246" i="1"/>
  <c r="X1246" i="1"/>
  <c r="X1247" i="1"/>
  <c r="X1248" i="1"/>
  <c r="I1249" i="1"/>
  <c r="X1249" i="1"/>
  <c r="I1250" i="1"/>
  <c r="X1250" i="1"/>
  <c r="X1251" i="1"/>
  <c r="X1252" i="1"/>
  <c r="I1253" i="1"/>
  <c r="X1253" i="1"/>
  <c r="X1254" i="1"/>
  <c r="X1255" i="1"/>
  <c r="I1256" i="1"/>
  <c r="X1256" i="1"/>
  <c r="X1257" i="1"/>
  <c r="X1258" i="1"/>
  <c r="I1259" i="1"/>
  <c r="X1259" i="1"/>
  <c r="I1260" i="1"/>
  <c r="X1260" i="1"/>
  <c r="I1261" i="1"/>
  <c r="X1261" i="1"/>
  <c r="I1262" i="1"/>
  <c r="X1262" i="1"/>
  <c r="X1263" i="1"/>
  <c r="X1264" i="1"/>
  <c r="I1265" i="1"/>
  <c r="X1265" i="1"/>
  <c r="I1266" i="1"/>
  <c r="X1266" i="1"/>
  <c r="X1267" i="1"/>
  <c r="X1268" i="1"/>
  <c r="I1269" i="1"/>
  <c r="X1269" i="1"/>
  <c r="I1270" i="1"/>
  <c r="X1270" i="1"/>
  <c r="X1271" i="1"/>
  <c r="X1272" i="1"/>
  <c r="I1273" i="1"/>
  <c r="X1273" i="1"/>
  <c r="X1274" i="1"/>
  <c r="X1275" i="1"/>
  <c r="I1276" i="1"/>
  <c r="X1276" i="1"/>
  <c r="I1277" i="1"/>
  <c r="X1277" i="1"/>
  <c r="X1278" i="1"/>
  <c r="X1279" i="1"/>
  <c r="I1280" i="1"/>
  <c r="X1280" i="1"/>
  <c r="I1281" i="1"/>
  <c r="X1281" i="1"/>
  <c r="X1282" i="1"/>
  <c r="X1283" i="1"/>
  <c r="I1284" i="1"/>
  <c r="X1284" i="1"/>
  <c r="I1285" i="1"/>
  <c r="X1285" i="1"/>
  <c r="X1286" i="1"/>
  <c r="X1287" i="1"/>
  <c r="I1288" i="1"/>
  <c r="X1288" i="1"/>
  <c r="I1289" i="1"/>
  <c r="X1289" i="1"/>
  <c r="X1290" i="1"/>
  <c r="X1291" i="1"/>
  <c r="I1292" i="1"/>
  <c r="X1292" i="1"/>
  <c r="X1293" i="1"/>
  <c r="X1294" i="1"/>
  <c r="I1295" i="1"/>
  <c r="X1295" i="1"/>
  <c r="X1296" i="1"/>
  <c r="X1297" i="1"/>
  <c r="X1298" i="1"/>
  <c r="I1299" i="1"/>
  <c r="X1299" i="1"/>
  <c r="X1300" i="1"/>
  <c r="X1301" i="1"/>
  <c r="I1302" i="1"/>
  <c r="X1302" i="1"/>
  <c r="X1303" i="1"/>
  <c r="X1304" i="1"/>
  <c r="I1305" i="1"/>
  <c r="X1305" i="1"/>
  <c r="I1306" i="1"/>
  <c r="X1306" i="1"/>
  <c r="I1307" i="1"/>
  <c r="X1307" i="1"/>
  <c r="I1308" i="1"/>
  <c r="X1308" i="1"/>
  <c r="X1309" i="1"/>
  <c r="X1310" i="1"/>
  <c r="I1311" i="1"/>
  <c r="X1311" i="1"/>
  <c r="I1312" i="1"/>
  <c r="X1312" i="1"/>
  <c r="X1313" i="1"/>
  <c r="X1314" i="1"/>
  <c r="I1315" i="1"/>
  <c r="X1315" i="1"/>
  <c r="X1316" i="1"/>
  <c r="X1317" i="1"/>
  <c r="I1318" i="1"/>
  <c r="X1318" i="1"/>
  <c r="I1319" i="1"/>
  <c r="X1319" i="1"/>
  <c r="I1320" i="1"/>
  <c r="X1320" i="1"/>
  <c r="I1321" i="1"/>
  <c r="X1321" i="1"/>
  <c r="I1322" i="1"/>
  <c r="X1322" i="1"/>
  <c r="I1323" i="1"/>
  <c r="X1323" i="1"/>
  <c r="X1324" i="1"/>
  <c r="X1325" i="1"/>
  <c r="I1326" i="1"/>
  <c r="X1326" i="1"/>
  <c r="X1327" i="1"/>
  <c r="X1328" i="1"/>
  <c r="I1329" i="1"/>
  <c r="X1329" i="1"/>
  <c r="I1330" i="1"/>
  <c r="X1330" i="1"/>
  <c r="X1331" i="1"/>
  <c r="X1332" i="1"/>
  <c r="I1333" i="1"/>
  <c r="X1333" i="1"/>
  <c r="X1334" i="1"/>
  <c r="X1335" i="1"/>
  <c r="I1336" i="1"/>
  <c r="X1336" i="1"/>
  <c r="X1337" i="1"/>
  <c r="X1338" i="1"/>
  <c r="I1339" i="1"/>
  <c r="X1339" i="1"/>
  <c r="I1340" i="1"/>
  <c r="X1340" i="1"/>
  <c r="I1341" i="1"/>
  <c r="X1341" i="1"/>
  <c r="I1342" i="1"/>
  <c r="X1342" i="1"/>
  <c r="X1343" i="1"/>
  <c r="X1344" i="1"/>
  <c r="I1345" i="1"/>
  <c r="X1345" i="1"/>
  <c r="I1346" i="1"/>
  <c r="X1346" i="1"/>
  <c r="I1347" i="1"/>
  <c r="X1347" i="1"/>
  <c r="I1348" i="1"/>
  <c r="X1348" i="1"/>
  <c r="X1349" i="1"/>
  <c r="X1350" i="1"/>
  <c r="I1351" i="1"/>
  <c r="X1351" i="1"/>
  <c r="X1352" i="1"/>
  <c r="X1353" i="1"/>
  <c r="I1354" i="1"/>
  <c r="X1354" i="1"/>
  <c r="X1355" i="1"/>
  <c r="X1356" i="1"/>
  <c r="I1357" i="1"/>
  <c r="X1357" i="1"/>
  <c r="I1358" i="1"/>
  <c r="X1358" i="1"/>
  <c r="X1359" i="1"/>
  <c r="X1360" i="1"/>
  <c r="I1361" i="1"/>
  <c r="X1361" i="1"/>
  <c r="X1362" i="1"/>
  <c r="X1363" i="1"/>
  <c r="I1364" i="1"/>
  <c r="X1364" i="1"/>
  <c r="X1365" i="1"/>
  <c r="X1366" i="1"/>
  <c r="I1367" i="1"/>
  <c r="X1367" i="1"/>
  <c r="X1368" i="1"/>
  <c r="X1369" i="1"/>
  <c r="I1370" i="1"/>
  <c r="X1370" i="1"/>
  <c r="I1371" i="1"/>
  <c r="X1371" i="1"/>
  <c r="I1372" i="1"/>
  <c r="X1372" i="1"/>
  <c r="I1373" i="1"/>
  <c r="X1373" i="1"/>
  <c r="I1374" i="1"/>
  <c r="X1374" i="1"/>
  <c r="I1375" i="1"/>
  <c r="X1375" i="1"/>
  <c r="X1376" i="1"/>
  <c r="X1377" i="1"/>
  <c r="I1378" i="1"/>
  <c r="X1378" i="1"/>
  <c r="I1379" i="1"/>
  <c r="X1379" i="1"/>
  <c r="I1380" i="1"/>
  <c r="X1380" i="1"/>
  <c r="X1381" i="1"/>
  <c r="X1382" i="1"/>
  <c r="I1383" i="1"/>
  <c r="X1383" i="1"/>
  <c r="X1384" i="1"/>
  <c r="X1385" i="1"/>
  <c r="I1386" i="1"/>
  <c r="X1386" i="1"/>
  <c r="I1387" i="1"/>
  <c r="X1387" i="1"/>
  <c r="I1388" i="1"/>
  <c r="X1388" i="1"/>
  <c r="X1389" i="1"/>
  <c r="X1390" i="1"/>
  <c r="I1391" i="1"/>
  <c r="X1391" i="1"/>
  <c r="I1392" i="1"/>
  <c r="X1392" i="1"/>
  <c r="I1393" i="1"/>
  <c r="X1393" i="1"/>
  <c r="I1394" i="1"/>
  <c r="X1394" i="1"/>
  <c r="I1395" i="1"/>
  <c r="X1395" i="1"/>
  <c r="X1396" i="1"/>
  <c r="X1397" i="1"/>
  <c r="I1398" i="1"/>
  <c r="X1398" i="1"/>
  <c r="I1399" i="1"/>
  <c r="X1399" i="1"/>
  <c r="I1400" i="1"/>
  <c r="X1400" i="1"/>
  <c r="X1401" i="1"/>
  <c r="X1402" i="1"/>
  <c r="I1403" i="1"/>
  <c r="X1403" i="1"/>
  <c r="X1404" i="1"/>
  <c r="X1405" i="1"/>
  <c r="I1406" i="1"/>
  <c r="X1406" i="1"/>
  <c r="I1407" i="1"/>
  <c r="X1407" i="1"/>
  <c r="I1408" i="1"/>
  <c r="X1408" i="1"/>
  <c r="I1409" i="1"/>
  <c r="X1409" i="1"/>
  <c r="I1410" i="1"/>
  <c r="X1410" i="1"/>
  <c r="I1411" i="1"/>
  <c r="X1411" i="1"/>
  <c r="I1412" i="1"/>
  <c r="X1412" i="1"/>
  <c r="X1413" i="1"/>
  <c r="X1414" i="1"/>
  <c r="I1415" i="1"/>
  <c r="X1415" i="1"/>
  <c r="I1416" i="1"/>
  <c r="X1416" i="1"/>
  <c r="X1417" i="1"/>
  <c r="X1418" i="1"/>
  <c r="I1419" i="1"/>
  <c r="X1419" i="1"/>
  <c r="I1420" i="1"/>
  <c r="X1420" i="1"/>
  <c r="I1421" i="1"/>
  <c r="X1421" i="1"/>
  <c r="I1422" i="1"/>
  <c r="X1422" i="1"/>
  <c r="I1423" i="1"/>
  <c r="X1423" i="1"/>
  <c r="I1424" i="1"/>
  <c r="X1424" i="1"/>
  <c r="I1425" i="1"/>
  <c r="X1425" i="1"/>
  <c r="I1426" i="1"/>
  <c r="X1426" i="1"/>
  <c r="X1427" i="1"/>
  <c r="X1428" i="1"/>
  <c r="I1429" i="1"/>
  <c r="X1429" i="1"/>
  <c r="I1430" i="1"/>
  <c r="X1430" i="1"/>
  <c r="I1431" i="1"/>
  <c r="X1431" i="1"/>
  <c r="I1432" i="1"/>
  <c r="X1432" i="1"/>
  <c r="I1433" i="1"/>
  <c r="X1433" i="1"/>
  <c r="I1434" i="1"/>
  <c r="X1434" i="1"/>
  <c r="I1435" i="1"/>
  <c r="X1435" i="1"/>
  <c r="I1436" i="1"/>
  <c r="X1436" i="1"/>
  <c r="I1437" i="1"/>
  <c r="X1437" i="1"/>
  <c r="X1438" i="1"/>
  <c r="X1439" i="1"/>
  <c r="I1440" i="1"/>
  <c r="X1440" i="1"/>
  <c r="I1441" i="1"/>
  <c r="X1441" i="1"/>
  <c r="X1442" i="1"/>
  <c r="X1443" i="1"/>
  <c r="I1444" i="1"/>
  <c r="X1444" i="1"/>
  <c r="I1445" i="1"/>
  <c r="X1445" i="1"/>
  <c r="I1446" i="1"/>
  <c r="X1446" i="1"/>
  <c r="X1447" i="1"/>
  <c r="X1448" i="1"/>
  <c r="I1449" i="1"/>
  <c r="X1449" i="1"/>
  <c r="X1450" i="1"/>
  <c r="X1451" i="1"/>
  <c r="I1452" i="1"/>
  <c r="X1452" i="1"/>
  <c r="I1453" i="1"/>
  <c r="X1453" i="1"/>
  <c r="I1454" i="1"/>
  <c r="X1454" i="1"/>
  <c r="X1455" i="1"/>
  <c r="X1456" i="1"/>
  <c r="I1457" i="1"/>
  <c r="X1457" i="1"/>
  <c r="X1458" i="1"/>
  <c r="X1459" i="1"/>
  <c r="I1460" i="1"/>
  <c r="X1460" i="1"/>
  <c r="X1461" i="1"/>
  <c r="X1462" i="1"/>
  <c r="I1463" i="1"/>
  <c r="X1463" i="1"/>
  <c r="X1464" i="1"/>
  <c r="X1465" i="1"/>
  <c r="I1466" i="1"/>
  <c r="X1466" i="1"/>
  <c r="I1467" i="1"/>
  <c r="X1467" i="1"/>
  <c r="I1468" i="1"/>
  <c r="X1468" i="1"/>
  <c r="X1469" i="1"/>
  <c r="X1470" i="1"/>
  <c r="I1471" i="1"/>
  <c r="X1471" i="1"/>
  <c r="X1472" i="1"/>
  <c r="X1473" i="1"/>
  <c r="X1474" i="1"/>
  <c r="I1475" i="1"/>
  <c r="X1475" i="1"/>
  <c r="I1476" i="1"/>
  <c r="X1476" i="1"/>
  <c r="I1477" i="1"/>
  <c r="X1477" i="1"/>
  <c r="X1478" i="1"/>
  <c r="X1479" i="1"/>
  <c r="I1480" i="1"/>
  <c r="X1480" i="1"/>
  <c r="X1481" i="1"/>
  <c r="X1482" i="1"/>
  <c r="I1483" i="1"/>
  <c r="X1483" i="1"/>
  <c r="X1484" i="1"/>
  <c r="X1485" i="1"/>
  <c r="I1486" i="1"/>
  <c r="X1486" i="1"/>
  <c r="X1487" i="1"/>
  <c r="X1488" i="1"/>
  <c r="I1489" i="1"/>
  <c r="X1489" i="1"/>
  <c r="X1490" i="1"/>
  <c r="X1491" i="1"/>
  <c r="I1492" i="1"/>
  <c r="X1492" i="1"/>
  <c r="I1493" i="1"/>
  <c r="X1493" i="1"/>
  <c r="X1494" i="1"/>
  <c r="X1495" i="1"/>
  <c r="I1496" i="1"/>
  <c r="X1496" i="1"/>
  <c r="X1497" i="1"/>
  <c r="X1498" i="1"/>
  <c r="I1499" i="1"/>
  <c r="X1499" i="1"/>
  <c r="X1500" i="1"/>
  <c r="X1501" i="1"/>
  <c r="I1502" i="1"/>
  <c r="X1502" i="1"/>
  <c r="X1503" i="1"/>
  <c r="X1504" i="1"/>
  <c r="I1505" i="1"/>
  <c r="X1505" i="1"/>
  <c r="X1506" i="1"/>
  <c r="X1507" i="1"/>
  <c r="I1508" i="1"/>
  <c r="X1508" i="1"/>
  <c r="X1509" i="1"/>
  <c r="X1510" i="1"/>
  <c r="I1511" i="1"/>
  <c r="X1511" i="1"/>
  <c r="I1512" i="1"/>
  <c r="X1512" i="1"/>
  <c r="I1513" i="1"/>
  <c r="X1513" i="1"/>
  <c r="I1514" i="1"/>
  <c r="X1514" i="1"/>
  <c r="I1515" i="1"/>
  <c r="X1515" i="1"/>
  <c r="X1516" i="1"/>
  <c r="X1517" i="1"/>
  <c r="I1518" i="1"/>
  <c r="X1518" i="1"/>
  <c r="I1519" i="1"/>
  <c r="X1519" i="1"/>
  <c r="X1520" i="1"/>
  <c r="X1521" i="1"/>
  <c r="I1522" i="1"/>
  <c r="X1522" i="1"/>
  <c r="I1523" i="1"/>
  <c r="X1523" i="1"/>
  <c r="I1524" i="1"/>
  <c r="X1524" i="1"/>
  <c r="I1525" i="1"/>
  <c r="X1525" i="1"/>
  <c r="I1526" i="1"/>
  <c r="X1526" i="1"/>
  <c r="I1527" i="1"/>
  <c r="X1527" i="1"/>
  <c r="X1528" i="1"/>
  <c r="X1529" i="1"/>
  <c r="I1530" i="1"/>
  <c r="X1530" i="1"/>
  <c r="X1531" i="1"/>
  <c r="X1532" i="1"/>
  <c r="I1533" i="1"/>
  <c r="X1533" i="1"/>
  <c r="I1534" i="1"/>
  <c r="X1534" i="1"/>
  <c r="I1535" i="1"/>
  <c r="X1535" i="1"/>
  <c r="I1536" i="1"/>
  <c r="X1536" i="1"/>
  <c r="I1537" i="1"/>
  <c r="X1537" i="1"/>
  <c r="I1538" i="1"/>
  <c r="X1538" i="1"/>
  <c r="I1539" i="1"/>
  <c r="X1539" i="1"/>
  <c r="I1540" i="1"/>
  <c r="X1540" i="1"/>
  <c r="I1541" i="1"/>
  <c r="X1541" i="1"/>
  <c r="X1542" i="1"/>
  <c r="X1543" i="1"/>
  <c r="I1544" i="1"/>
  <c r="X1544" i="1"/>
  <c r="I1545" i="1"/>
  <c r="X1545" i="1"/>
  <c r="I1546" i="1"/>
  <c r="X1546" i="1"/>
  <c r="X1547" i="1"/>
  <c r="X1548" i="1"/>
  <c r="I1549" i="1"/>
  <c r="X1549" i="1"/>
  <c r="X1550" i="1"/>
  <c r="X1551" i="1"/>
  <c r="I1552" i="1"/>
  <c r="X1552" i="1"/>
  <c r="X1553" i="1"/>
  <c r="X1554" i="1"/>
  <c r="I1555" i="1"/>
  <c r="X1555" i="1"/>
  <c r="I1556" i="1"/>
  <c r="X1556" i="1"/>
  <c r="X1557" i="1"/>
  <c r="X1558" i="1"/>
  <c r="I1559" i="1"/>
  <c r="X1559" i="1"/>
  <c r="X1560" i="1"/>
  <c r="X1561" i="1"/>
  <c r="I1562" i="1"/>
  <c r="X1562" i="1"/>
  <c r="X1563" i="1"/>
  <c r="X1564" i="1"/>
  <c r="I1565" i="1"/>
  <c r="X1565" i="1"/>
  <c r="X1566" i="1"/>
  <c r="X1567" i="1"/>
  <c r="I1568" i="1"/>
  <c r="X1568" i="1"/>
  <c r="X1569" i="1"/>
  <c r="X1570" i="1"/>
  <c r="I1571" i="1"/>
  <c r="X1571" i="1"/>
  <c r="I1572" i="1"/>
  <c r="X1572" i="1"/>
  <c r="X1573" i="1"/>
  <c r="X1574" i="1"/>
  <c r="I1575" i="1"/>
  <c r="X1575" i="1"/>
  <c r="X1576" i="1"/>
  <c r="X1577" i="1"/>
  <c r="I1578" i="1"/>
  <c r="X1578" i="1"/>
  <c r="I1579" i="1"/>
  <c r="X1579" i="1"/>
  <c r="I1580" i="1"/>
  <c r="X1580" i="1"/>
  <c r="I1581" i="1"/>
  <c r="X1581" i="1"/>
  <c r="X1582" i="1"/>
  <c r="X1583" i="1"/>
  <c r="I1584" i="1"/>
  <c r="X1584" i="1"/>
  <c r="I1585" i="1"/>
  <c r="X1585" i="1"/>
  <c r="X1586" i="1"/>
  <c r="X1587" i="1"/>
  <c r="I1588" i="1"/>
  <c r="X1588" i="1"/>
  <c r="I1589" i="1"/>
  <c r="X1589" i="1"/>
  <c r="X1590" i="1"/>
  <c r="X1591" i="1"/>
  <c r="I1592" i="1"/>
  <c r="X1592" i="1"/>
  <c r="X1593" i="1"/>
  <c r="X1594" i="1"/>
  <c r="I1595" i="1"/>
  <c r="X1595" i="1"/>
  <c r="I1596" i="1"/>
  <c r="X1596" i="1"/>
  <c r="I1597" i="1"/>
  <c r="X1597" i="1"/>
  <c r="I1598" i="1"/>
  <c r="X1598" i="1"/>
  <c r="I1599" i="1"/>
  <c r="X1599" i="1"/>
  <c r="I1600" i="1"/>
  <c r="X1600" i="1"/>
  <c r="I1601" i="1"/>
  <c r="X1601" i="1"/>
  <c r="X1602" i="1"/>
  <c r="X1603" i="1"/>
  <c r="I1604" i="1"/>
  <c r="X1604" i="1"/>
  <c r="I1605" i="1"/>
  <c r="X1605" i="1"/>
  <c r="I1606" i="1"/>
  <c r="X1606" i="1"/>
  <c r="X1607" i="1"/>
  <c r="X1608" i="1"/>
  <c r="I1609" i="1"/>
  <c r="X1609" i="1"/>
  <c r="I1610" i="1"/>
  <c r="X1610" i="1"/>
  <c r="I1611" i="1"/>
  <c r="X1611" i="1"/>
  <c r="X1612" i="1"/>
  <c r="X1613" i="1"/>
  <c r="I1614" i="1"/>
  <c r="X1614" i="1"/>
  <c r="X1615" i="1"/>
  <c r="X1616" i="1"/>
  <c r="I1617" i="1"/>
  <c r="X1617" i="1"/>
  <c r="X1618" i="1"/>
  <c r="X1619" i="1"/>
  <c r="I1620" i="1"/>
  <c r="X1620" i="1"/>
  <c r="X1621" i="1"/>
  <c r="X1622" i="1"/>
  <c r="I1623" i="1"/>
  <c r="X1623" i="1"/>
  <c r="I1624" i="1"/>
  <c r="X1624" i="1"/>
  <c r="X1625" i="1"/>
  <c r="X1626" i="1"/>
  <c r="I1627" i="1"/>
  <c r="X1627" i="1"/>
  <c r="X1628" i="1"/>
  <c r="X1629" i="1"/>
  <c r="I1630" i="1"/>
  <c r="X1630" i="1"/>
  <c r="I1631" i="1"/>
  <c r="X1631" i="1"/>
  <c r="I1632" i="1"/>
  <c r="X1632" i="1"/>
  <c r="X1633" i="1"/>
  <c r="X1634" i="1"/>
  <c r="I1635" i="1"/>
  <c r="X1635" i="1"/>
  <c r="X1636" i="1"/>
  <c r="X1637" i="1"/>
  <c r="I1638" i="1"/>
  <c r="X1638" i="1"/>
  <c r="I1639" i="1"/>
  <c r="X1639" i="1"/>
  <c r="I1640" i="1"/>
  <c r="X1640" i="1"/>
  <c r="I1641" i="1"/>
  <c r="X1641" i="1"/>
  <c r="I1642" i="1"/>
  <c r="X1642" i="1"/>
  <c r="I1643" i="1"/>
  <c r="X1643" i="1"/>
  <c r="I1644" i="1"/>
  <c r="X1644" i="1"/>
  <c r="I1645" i="1"/>
  <c r="X1645" i="1"/>
  <c r="X1646" i="1"/>
  <c r="X1647" i="1"/>
  <c r="I1648" i="1"/>
  <c r="X1648" i="1"/>
  <c r="I1649" i="1"/>
  <c r="X1649" i="1"/>
  <c r="I1650" i="1"/>
  <c r="X1650" i="1"/>
  <c r="I1651" i="1"/>
  <c r="X1651" i="1"/>
  <c r="X1652" i="1"/>
  <c r="X1653" i="1"/>
  <c r="I1654" i="1"/>
  <c r="X1654" i="1"/>
  <c r="I1655" i="1"/>
  <c r="X1655" i="1"/>
  <c r="X1656" i="1"/>
  <c r="X1657" i="1"/>
  <c r="I1658" i="1"/>
  <c r="X1658" i="1"/>
  <c r="X1659" i="1"/>
  <c r="I1660" i="1"/>
  <c r="X1660" i="1"/>
  <c r="I1661" i="1"/>
  <c r="X1661" i="1"/>
  <c r="I1662" i="1"/>
  <c r="X1662" i="1"/>
  <c r="X1663" i="1"/>
  <c r="X1664" i="1"/>
  <c r="I1665" i="1"/>
  <c r="X1665" i="1"/>
  <c r="I1666" i="1"/>
  <c r="X1666" i="1"/>
  <c r="I1667" i="1"/>
  <c r="X1667" i="1"/>
  <c r="I1668" i="1"/>
  <c r="X1668" i="1"/>
  <c r="I1669" i="1"/>
  <c r="X1669" i="1"/>
  <c r="I1670" i="1"/>
  <c r="X1670" i="1"/>
  <c r="I1671" i="1"/>
  <c r="X1671" i="1"/>
  <c r="I1672" i="1"/>
  <c r="X1672" i="1"/>
  <c r="I1673" i="1"/>
  <c r="X1673" i="1"/>
  <c r="I1674" i="1"/>
  <c r="X1674" i="1"/>
  <c r="I1675" i="1"/>
  <c r="X1675" i="1"/>
  <c r="I1676" i="1"/>
  <c r="X1676" i="1"/>
  <c r="I1677" i="1"/>
  <c r="X1677" i="1"/>
  <c r="I1678" i="1"/>
  <c r="X1678" i="1"/>
  <c r="I1679" i="1"/>
  <c r="X1679" i="1"/>
  <c r="I1680" i="1"/>
  <c r="X1680" i="1"/>
  <c r="I1681" i="1"/>
  <c r="X1681" i="1"/>
  <c r="X1682" i="1"/>
  <c r="X1683" i="1"/>
  <c r="I1684" i="1"/>
  <c r="X1684" i="1"/>
  <c r="X1685" i="1"/>
  <c r="X1686" i="1"/>
  <c r="I1687" i="1"/>
  <c r="X1687" i="1"/>
  <c r="I1688" i="1"/>
  <c r="X1688" i="1"/>
  <c r="X1689" i="1"/>
  <c r="X1690" i="1"/>
  <c r="I1691" i="1"/>
  <c r="X1691" i="1"/>
  <c r="I1692" i="1"/>
  <c r="X1692" i="1"/>
  <c r="I1693" i="1"/>
  <c r="X1693" i="1"/>
  <c r="I1694" i="1"/>
  <c r="X1694" i="1"/>
  <c r="I1695" i="1"/>
  <c r="X1695" i="1"/>
  <c r="I1696" i="1"/>
  <c r="X1696" i="1"/>
  <c r="I1697" i="1"/>
  <c r="X1697" i="1"/>
  <c r="X1698" i="1"/>
  <c r="X1699" i="1"/>
  <c r="I1700" i="1"/>
  <c r="X1700" i="1"/>
  <c r="I1701" i="1"/>
  <c r="X1701" i="1"/>
  <c r="X1702" i="1"/>
  <c r="X1703" i="1"/>
  <c r="I1704" i="1"/>
  <c r="X1704" i="1"/>
  <c r="I1705" i="1"/>
  <c r="X1705" i="1"/>
  <c r="X1706" i="1"/>
  <c r="X1707" i="1"/>
  <c r="I1708" i="1"/>
  <c r="X1708" i="1"/>
  <c r="X1709" i="1"/>
  <c r="X1710" i="1"/>
  <c r="I1711" i="1"/>
  <c r="X1711" i="1"/>
  <c r="X1712" i="1"/>
  <c r="X1713" i="1"/>
  <c r="I1714" i="1"/>
  <c r="X1714" i="1"/>
  <c r="I1715" i="1"/>
  <c r="X1715" i="1"/>
  <c r="I1716" i="1"/>
  <c r="X1716" i="1"/>
  <c r="I1717" i="1"/>
  <c r="X1717" i="1"/>
  <c r="X1718" i="1"/>
  <c r="X1719" i="1"/>
  <c r="I1720" i="1"/>
  <c r="X1720" i="1"/>
  <c r="I1721" i="1"/>
  <c r="X1721" i="1"/>
  <c r="I1722" i="1"/>
  <c r="X1722" i="1"/>
  <c r="X1723" i="1"/>
  <c r="X1724" i="1"/>
  <c r="I1725" i="1"/>
  <c r="X1725" i="1"/>
  <c r="I1726" i="1"/>
  <c r="X1726" i="1"/>
  <c r="X1727" i="1"/>
  <c r="X1728" i="1"/>
  <c r="I1729" i="1"/>
  <c r="X1729" i="1"/>
  <c r="I1730" i="1"/>
  <c r="X1730" i="1"/>
  <c r="I1731" i="1"/>
  <c r="X1731" i="1"/>
  <c r="X1732" i="1"/>
  <c r="X1733" i="1"/>
  <c r="I1734" i="1"/>
  <c r="X1734" i="1"/>
  <c r="X1735" i="1"/>
  <c r="X1736" i="1"/>
  <c r="I1737" i="1"/>
  <c r="X1737" i="1"/>
  <c r="X1738" i="1"/>
  <c r="X1739" i="1"/>
  <c r="I1740" i="1"/>
  <c r="X1740" i="1"/>
  <c r="X1741" i="1"/>
  <c r="X1742" i="1"/>
  <c r="I1743" i="1"/>
  <c r="X1743" i="1"/>
  <c r="I1744" i="1"/>
  <c r="X1744" i="1"/>
  <c r="X1745" i="1"/>
  <c r="X1746" i="1"/>
  <c r="I1747" i="1"/>
  <c r="X1747" i="1"/>
  <c r="X1748" i="1"/>
  <c r="X1749" i="1"/>
  <c r="I1750" i="1"/>
  <c r="X1750" i="1"/>
  <c r="X1751" i="1"/>
  <c r="X1752" i="1"/>
  <c r="I1753" i="1"/>
  <c r="X1753" i="1"/>
  <c r="I1754" i="1"/>
  <c r="X1754" i="1"/>
  <c r="I1755" i="1"/>
  <c r="X1755" i="1"/>
  <c r="I1756" i="1"/>
  <c r="X1756" i="1"/>
  <c r="I1757" i="1"/>
  <c r="X1757" i="1"/>
  <c r="X1758" i="1"/>
  <c r="X1759" i="1"/>
  <c r="I1760" i="1"/>
  <c r="X1760" i="1"/>
  <c r="I1761" i="1"/>
  <c r="X1761" i="1"/>
  <c r="X1762" i="1"/>
  <c r="X1763" i="1"/>
  <c r="I1764" i="1"/>
  <c r="X1764" i="1"/>
  <c r="I1765" i="1"/>
  <c r="X1765" i="1"/>
  <c r="I1766" i="1"/>
  <c r="X1766" i="1"/>
  <c r="X1767" i="1"/>
  <c r="X1768" i="1"/>
  <c r="X1769" i="1"/>
  <c r="I1770" i="1"/>
  <c r="X1770" i="1"/>
  <c r="X1771" i="1"/>
  <c r="X1772" i="1"/>
  <c r="I1773" i="1"/>
  <c r="X1773" i="1"/>
  <c r="X1774" i="1"/>
  <c r="X1775" i="1"/>
  <c r="I1776" i="1"/>
  <c r="X1776" i="1"/>
  <c r="I1777" i="1"/>
  <c r="X1777" i="1"/>
  <c r="I1778" i="1"/>
  <c r="X1778" i="1"/>
  <c r="I1779" i="1"/>
  <c r="X1779" i="1"/>
  <c r="X1780" i="1"/>
  <c r="X1781" i="1"/>
  <c r="I1782" i="1"/>
  <c r="X1782" i="1"/>
  <c r="I1783" i="1"/>
  <c r="X1783" i="1"/>
  <c r="I1784" i="1"/>
  <c r="X1784" i="1"/>
  <c r="X1785" i="1"/>
  <c r="X1786" i="1"/>
  <c r="I1787" i="1"/>
  <c r="X1787" i="1"/>
  <c r="I1788" i="1"/>
  <c r="X1788" i="1"/>
  <c r="I1789" i="1"/>
  <c r="X1789" i="1"/>
  <c r="X1790" i="1"/>
  <c r="X1791" i="1"/>
  <c r="I1792" i="1"/>
  <c r="X1792" i="1"/>
  <c r="I1793" i="1"/>
  <c r="X1793" i="1"/>
  <c r="X1794" i="1"/>
  <c r="X1795" i="1"/>
  <c r="I1796" i="1"/>
  <c r="X1796" i="1"/>
  <c r="X1797" i="1"/>
  <c r="X1798" i="1"/>
  <c r="I1799" i="1"/>
  <c r="X1799" i="1"/>
  <c r="X1800" i="1"/>
  <c r="X1801" i="1"/>
  <c r="I1802" i="1"/>
  <c r="X1802" i="1"/>
  <c r="I1803" i="1"/>
  <c r="X1803" i="1"/>
  <c r="I1804" i="1"/>
  <c r="X1804" i="1"/>
  <c r="X1805" i="1"/>
  <c r="X1806" i="1"/>
  <c r="I1807" i="1"/>
  <c r="X1807" i="1"/>
  <c r="X1808" i="1"/>
  <c r="X1809" i="1"/>
  <c r="I1810" i="1"/>
  <c r="X1810" i="1"/>
  <c r="X1811" i="1"/>
  <c r="X1812" i="1"/>
  <c r="I1813" i="1"/>
  <c r="X1813" i="1"/>
  <c r="I1814" i="1"/>
  <c r="X1814" i="1"/>
  <c r="I1815" i="1"/>
  <c r="X1815" i="1"/>
  <c r="I1816" i="1"/>
  <c r="X1816" i="1"/>
  <c r="X1817" i="1"/>
  <c r="X1818" i="1"/>
  <c r="I1819" i="1"/>
  <c r="X1819" i="1"/>
  <c r="I1820" i="1"/>
  <c r="X1820" i="1"/>
  <c r="I1821" i="1"/>
  <c r="X1821" i="1"/>
  <c r="X1822" i="1"/>
  <c r="X1823" i="1"/>
  <c r="I1824" i="1"/>
  <c r="X1824" i="1"/>
  <c r="X1825" i="1"/>
  <c r="X1826" i="1"/>
  <c r="I1827" i="1"/>
  <c r="X1827" i="1"/>
  <c r="I1828" i="1"/>
  <c r="X1828" i="1"/>
  <c r="I1829" i="1"/>
  <c r="X1829" i="1"/>
  <c r="I1830" i="1"/>
  <c r="X1830" i="1"/>
  <c r="I1831" i="1"/>
  <c r="X1831" i="1"/>
  <c r="X1832" i="1"/>
  <c r="X1833" i="1"/>
  <c r="I1834" i="1"/>
  <c r="X1834" i="1"/>
  <c r="I1835" i="1"/>
  <c r="X1835" i="1"/>
  <c r="I1836" i="1"/>
  <c r="X1836" i="1"/>
  <c r="I1837" i="1"/>
  <c r="X1837" i="1"/>
  <c r="X1838" i="1"/>
  <c r="X1839" i="1"/>
  <c r="I1840" i="1"/>
  <c r="X1840" i="1"/>
  <c r="X1841" i="1"/>
  <c r="X1842" i="1"/>
  <c r="I1843" i="1"/>
  <c r="X1843" i="1"/>
  <c r="X1844" i="1"/>
  <c r="X1845" i="1"/>
  <c r="I1846" i="1"/>
  <c r="X1846" i="1"/>
  <c r="X1847" i="1"/>
  <c r="X1848" i="1"/>
  <c r="I1849" i="1"/>
  <c r="X1849" i="1"/>
  <c r="X1850" i="1"/>
  <c r="X1851" i="1"/>
  <c r="I1852" i="1"/>
  <c r="X1852" i="1"/>
  <c r="I1853" i="1"/>
  <c r="X1853" i="1"/>
  <c r="I1854" i="1"/>
  <c r="X1854" i="1"/>
  <c r="X1855" i="1"/>
  <c r="X1856" i="1"/>
  <c r="I1857" i="1"/>
  <c r="X1857" i="1"/>
  <c r="X1858" i="1"/>
  <c r="X1859" i="1"/>
  <c r="I1860" i="1"/>
  <c r="X1860" i="1"/>
  <c r="X1861" i="1"/>
  <c r="X1862" i="1"/>
  <c r="I1863" i="1"/>
  <c r="X1863" i="1"/>
  <c r="X1864" i="1"/>
  <c r="X1865" i="1"/>
  <c r="I1866" i="1"/>
  <c r="X1866" i="1"/>
  <c r="X1867" i="1"/>
  <c r="X1868" i="1"/>
  <c r="I1869" i="1"/>
  <c r="X1869" i="1"/>
  <c r="X1870" i="1"/>
  <c r="X1871" i="1"/>
  <c r="I1872" i="1"/>
  <c r="X1872" i="1"/>
  <c r="X1873" i="1"/>
  <c r="X1874" i="1"/>
  <c r="I1875" i="1"/>
  <c r="X1875" i="1"/>
  <c r="X1876" i="1"/>
  <c r="X1877" i="1"/>
  <c r="I1878" i="1"/>
  <c r="X1878" i="1"/>
  <c r="I1879" i="1"/>
  <c r="X1879" i="1"/>
  <c r="I1880" i="1"/>
  <c r="X1880" i="1"/>
  <c r="I1881" i="1"/>
  <c r="X1881" i="1"/>
  <c r="I1882" i="1"/>
  <c r="X1882" i="1"/>
  <c r="I1883" i="1"/>
  <c r="X1883" i="1"/>
  <c r="X1884" i="1"/>
  <c r="X1885" i="1"/>
  <c r="I1886" i="1"/>
  <c r="X1886" i="1"/>
  <c r="I1887" i="1"/>
  <c r="X1887" i="1"/>
  <c r="I1888" i="1"/>
  <c r="X1888" i="1"/>
  <c r="X1889" i="1"/>
  <c r="X1890" i="1"/>
  <c r="I1891" i="1"/>
  <c r="X1891" i="1"/>
  <c r="X1892" i="1"/>
  <c r="X1893" i="1"/>
  <c r="I1894" i="1"/>
  <c r="X1894" i="1"/>
  <c r="I1895" i="1"/>
  <c r="X1895" i="1"/>
  <c r="X1896" i="1"/>
  <c r="X1897" i="1"/>
  <c r="I1898" i="1"/>
  <c r="X1898" i="1"/>
  <c r="I1899" i="1"/>
  <c r="X1899" i="1"/>
  <c r="X1900" i="1"/>
  <c r="X1901" i="1"/>
  <c r="I1902" i="1"/>
  <c r="X1902" i="1"/>
  <c r="I1903" i="1"/>
  <c r="X1903" i="1"/>
  <c r="X1904" i="1"/>
  <c r="X1905" i="1"/>
  <c r="I1906" i="1"/>
  <c r="X1906" i="1"/>
  <c r="X1907" i="1"/>
  <c r="X1908" i="1"/>
  <c r="X1909" i="1"/>
  <c r="I1910" i="1"/>
  <c r="X1910" i="1"/>
  <c r="X1911" i="1"/>
  <c r="X1912" i="1"/>
  <c r="I1913" i="1"/>
  <c r="X1913" i="1"/>
  <c r="X1914" i="1"/>
  <c r="X1915" i="1"/>
  <c r="I1916" i="1"/>
  <c r="X1916" i="1"/>
  <c r="X1917" i="1"/>
  <c r="X1918" i="1"/>
  <c r="I1919" i="1"/>
  <c r="X1919" i="1"/>
  <c r="X1920" i="1"/>
  <c r="X1921" i="1"/>
  <c r="I1922" i="1"/>
  <c r="X1922" i="1"/>
  <c r="X1923" i="1"/>
  <c r="X1924" i="1"/>
  <c r="I1925" i="1"/>
  <c r="X1925" i="1"/>
  <c r="I1926" i="1"/>
  <c r="X1926" i="1"/>
  <c r="X1927" i="1"/>
  <c r="X1928" i="1"/>
  <c r="I1929" i="1"/>
  <c r="X1929" i="1"/>
  <c r="X1930" i="1"/>
  <c r="X1931" i="1"/>
  <c r="I1932" i="1"/>
  <c r="X1932" i="1"/>
  <c r="X1933" i="1"/>
  <c r="X1934" i="1"/>
  <c r="I1935" i="1"/>
  <c r="X1935" i="1"/>
  <c r="X1936" i="1"/>
  <c r="X1937" i="1"/>
  <c r="I1938" i="1"/>
  <c r="X1938" i="1"/>
  <c r="X1939" i="1"/>
  <c r="X1940" i="1"/>
  <c r="I1941" i="1"/>
  <c r="X1941" i="1"/>
  <c r="I1942" i="1"/>
  <c r="X1942" i="1"/>
  <c r="X1943" i="1"/>
  <c r="X1944" i="1"/>
  <c r="I1945" i="1"/>
  <c r="X1945" i="1"/>
  <c r="I1946" i="1"/>
  <c r="X1946" i="1"/>
  <c r="I1947" i="1"/>
  <c r="X1947" i="1"/>
  <c r="I1948" i="1"/>
  <c r="X1948" i="1"/>
  <c r="I1949" i="1"/>
  <c r="X1949" i="1"/>
  <c r="X1950" i="1"/>
  <c r="X1951" i="1"/>
  <c r="I1952" i="1"/>
  <c r="X1952" i="1"/>
  <c r="X1953" i="1"/>
  <c r="X1954" i="1"/>
  <c r="I1955" i="1"/>
  <c r="X1955" i="1"/>
  <c r="X1956" i="1"/>
  <c r="X1957" i="1"/>
  <c r="I1958" i="1"/>
  <c r="X1958" i="1"/>
  <c r="X1959" i="1"/>
  <c r="X1960" i="1"/>
  <c r="X1961" i="1"/>
  <c r="I1962" i="1"/>
  <c r="X1962" i="1"/>
  <c r="X1963" i="1"/>
  <c r="X1964" i="1"/>
  <c r="I1965" i="1"/>
  <c r="X1965" i="1"/>
  <c r="I1966" i="1"/>
  <c r="X1966" i="1"/>
  <c r="X1967" i="1"/>
  <c r="X1968" i="1"/>
  <c r="I1969" i="1"/>
  <c r="X1969" i="1"/>
  <c r="I1970" i="1"/>
  <c r="X1970" i="1"/>
  <c r="I1971" i="1"/>
  <c r="X1971" i="1"/>
  <c r="I1972" i="1"/>
  <c r="X1972" i="1"/>
  <c r="I1973" i="1"/>
  <c r="X1973" i="1"/>
  <c r="I1974" i="1"/>
  <c r="X1974" i="1"/>
  <c r="X1975" i="1"/>
  <c r="X1976" i="1"/>
  <c r="I1977" i="1"/>
  <c r="X1977" i="1"/>
  <c r="X1978" i="1"/>
  <c r="X1979" i="1"/>
  <c r="I1980" i="1"/>
  <c r="X1980" i="1"/>
  <c r="X1981" i="1"/>
  <c r="X1982" i="1"/>
  <c r="I1983" i="1"/>
  <c r="X1983" i="1"/>
  <c r="I1984" i="1"/>
  <c r="X1984" i="1"/>
  <c r="X1985" i="1"/>
  <c r="X1986" i="1"/>
  <c r="I1987" i="1"/>
  <c r="X1987" i="1"/>
  <c r="I1988" i="1"/>
  <c r="X1988" i="1"/>
  <c r="X1989" i="1"/>
  <c r="X1990" i="1"/>
  <c r="I1991" i="1"/>
  <c r="X1991" i="1"/>
  <c r="I1992" i="1"/>
  <c r="X1992" i="1"/>
  <c r="X1993" i="1"/>
  <c r="X1994" i="1"/>
  <c r="I1995" i="1"/>
  <c r="X1995" i="1"/>
  <c r="I1996" i="1"/>
  <c r="X1996" i="1"/>
  <c r="X1997" i="1"/>
  <c r="X1998" i="1"/>
  <c r="I1999" i="1"/>
  <c r="X1999" i="1"/>
  <c r="X2000" i="1"/>
  <c r="X2001" i="1"/>
  <c r="I2002" i="1"/>
  <c r="X2002" i="1"/>
  <c r="X2003" i="1"/>
  <c r="X2004" i="1"/>
  <c r="I2005" i="1"/>
  <c r="X2005" i="1"/>
  <c r="I2006" i="1"/>
  <c r="X2006" i="1"/>
  <c r="I2007" i="1"/>
  <c r="X2007" i="1"/>
  <c r="I2008" i="1"/>
  <c r="X2008" i="1"/>
  <c r="X2009" i="1"/>
  <c r="X2010" i="1"/>
  <c r="I2011" i="1"/>
  <c r="X2011" i="1"/>
  <c r="X2012" i="1"/>
  <c r="X2013" i="1"/>
  <c r="I2014" i="1"/>
  <c r="X2014" i="1"/>
  <c r="X2015" i="1"/>
  <c r="X2016" i="1"/>
  <c r="I2017" i="1"/>
  <c r="X2017" i="1"/>
  <c r="X2018" i="1"/>
  <c r="X2019" i="1"/>
  <c r="I2020" i="1"/>
  <c r="X2020" i="1"/>
  <c r="X2021" i="1"/>
  <c r="X2022" i="1"/>
  <c r="I2023" i="1"/>
  <c r="X2023" i="1"/>
  <c r="X2024" i="1"/>
  <c r="X2025" i="1"/>
  <c r="I2026" i="1"/>
  <c r="X2026" i="1"/>
  <c r="I2027" i="1"/>
  <c r="X2027" i="1"/>
  <c r="X2028" i="1"/>
  <c r="X2029" i="1"/>
  <c r="I2030" i="1"/>
  <c r="X2030" i="1"/>
  <c r="X2031" i="1"/>
  <c r="X2032" i="1"/>
  <c r="I2033" i="1"/>
  <c r="X2033" i="1"/>
  <c r="I2034" i="1"/>
  <c r="X2034" i="1"/>
  <c r="I2035" i="1"/>
  <c r="X2035" i="1"/>
  <c r="X2036" i="1"/>
  <c r="X2037" i="1"/>
  <c r="I2038" i="1"/>
  <c r="X2038" i="1"/>
  <c r="X2039" i="1"/>
  <c r="X2040" i="1"/>
  <c r="I2041" i="1"/>
  <c r="X2041" i="1"/>
  <c r="X2042" i="1"/>
  <c r="X2043" i="1"/>
  <c r="X2044" i="1"/>
  <c r="I2045" i="1"/>
  <c r="X2045" i="1"/>
  <c r="I2046" i="1"/>
  <c r="X2046" i="1"/>
  <c r="I2047" i="1"/>
  <c r="X2047" i="1"/>
  <c r="X2048" i="1"/>
  <c r="X2049" i="1"/>
  <c r="I2050" i="1"/>
  <c r="X2050" i="1"/>
  <c r="I2051" i="1"/>
  <c r="X2051" i="1"/>
  <c r="I2052" i="1"/>
  <c r="X2052" i="1"/>
  <c r="I2053" i="1"/>
  <c r="X2053" i="1"/>
  <c r="I2054" i="1"/>
  <c r="X2054" i="1"/>
  <c r="I2055" i="1"/>
  <c r="X2055" i="1"/>
  <c r="I2056" i="1"/>
  <c r="X2056" i="1"/>
  <c r="I2057" i="1"/>
  <c r="X2057" i="1"/>
  <c r="I2058" i="1"/>
  <c r="X2058" i="1"/>
  <c r="X2059" i="1"/>
  <c r="X2060" i="1"/>
  <c r="I2061" i="1"/>
  <c r="X2061" i="1"/>
  <c r="I2062" i="1"/>
  <c r="X2062" i="1"/>
  <c r="X2063" i="1"/>
  <c r="X2064" i="1"/>
  <c r="I2065" i="1"/>
  <c r="X2065" i="1"/>
  <c r="I2066" i="1"/>
  <c r="X2066" i="1"/>
  <c r="I2067" i="1"/>
  <c r="X2067" i="1"/>
  <c r="I2068" i="1"/>
  <c r="X2068" i="1"/>
  <c r="X2069" i="1"/>
  <c r="X2070" i="1"/>
  <c r="I2071" i="1"/>
  <c r="X2071" i="1"/>
  <c r="X2072" i="1"/>
  <c r="X2073" i="1"/>
  <c r="I2074" i="1"/>
  <c r="X2074" i="1"/>
  <c r="I2075" i="1"/>
  <c r="X2075" i="1"/>
  <c r="I2076" i="1"/>
  <c r="X2076" i="1"/>
  <c r="X2077" i="1"/>
  <c r="X2078" i="1"/>
  <c r="I2079" i="1"/>
  <c r="X2079" i="1"/>
  <c r="I2080" i="1"/>
  <c r="X2080" i="1"/>
  <c r="I2081" i="1"/>
  <c r="X2081" i="1"/>
  <c r="I2082" i="1"/>
  <c r="X2082" i="1"/>
  <c r="X2083" i="1"/>
  <c r="X2084" i="1"/>
  <c r="I2085" i="1"/>
  <c r="X2085" i="1"/>
  <c r="X2086" i="1"/>
  <c r="X2087" i="1"/>
  <c r="I2088" i="1"/>
  <c r="X2088" i="1"/>
  <c r="X2089" i="1"/>
  <c r="X2090" i="1"/>
  <c r="I2091" i="1"/>
  <c r="X2091" i="1"/>
  <c r="I2092" i="1"/>
  <c r="X2092" i="1"/>
  <c r="I2093" i="1"/>
  <c r="X2093" i="1"/>
  <c r="X2094" i="1"/>
  <c r="X2095" i="1"/>
  <c r="I2096" i="1"/>
  <c r="X2096" i="1"/>
  <c r="I2097" i="1"/>
  <c r="X2097" i="1"/>
  <c r="X2098" i="1"/>
  <c r="X2099" i="1"/>
  <c r="I2100" i="1"/>
  <c r="X2100" i="1"/>
  <c r="X2101" i="1"/>
  <c r="X2102" i="1"/>
  <c r="I2103" i="1"/>
  <c r="X2103" i="1"/>
  <c r="X2104" i="1"/>
  <c r="X2105" i="1"/>
  <c r="I2106" i="1"/>
  <c r="X2106" i="1"/>
  <c r="I2107" i="1"/>
  <c r="X2107" i="1"/>
  <c r="X2108" i="1"/>
  <c r="X2109" i="1"/>
  <c r="I2110" i="1"/>
  <c r="X2110" i="1"/>
  <c r="I2111" i="1"/>
  <c r="X2111" i="1"/>
  <c r="I2112" i="1"/>
  <c r="X2112" i="1"/>
  <c r="I2113" i="1"/>
  <c r="X2113" i="1"/>
  <c r="I2114" i="1"/>
  <c r="X2114" i="1"/>
  <c r="I2115" i="1"/>
  <c r="X2115" i="1"/>
  <c r="X2116" i="1"/>
  <c r="X2117" i="1"/>
  <c r="I2118" i="1"/>
  <c r="X2118" i="1"/>
  <c r="X2119" i="1"/>
  <c r="X2120" i="1"/>
  <c r="I2121" i="1"/>
  <c r="X2121" i="1"/>
  <c r="I2122" i="1"/>
  <c r="X2122" i="1"/>
  <c r="I2123" i="1"/>
  <c r="X2123" i="1"/>
  <c r="I2124" i="1"/>
  <c r="X2124" i="1"/>
  <c r="I2125" i="1"/>
  <c r="X2125" i="1"/>
  <c r="X2126" i="1"/>
  <c r="X2127" i="1"/>
  <c r="X2128" i="1"/>
  <c r="I2129" i="1"/>
  <c r="X2129" i="1"/>
  <c r="I2130" i="1"/>
  <c r="X2130" i="1"/>
  <c r="I2131" i="1"/>
  <c r="X2131" i="1"/>
  <c r="X2132" i="1"/>
  <c r="X2133" i="1"/>
  <c r="I2134" i="1"/>
  <c r="X2134" i="1"/>
  <c r="X2135" i="1"/>
  <c r="X2136" i="1"/>
  <c r="I2137" i="1"/>
  <c r="X2137" i="1"/>
  <c r="I2138" i="1"/>
  <c r="X2138" i="1"/>
  <c r="X2139" i="1"/>
  <c r="X2140" i="1"/>
  <c r="I2141" i="1"/>
  <c r="X2141" i="1"/>
  <c r="I2142" i="1"/>
  <c r="X2142" i="1"/>
  <c r="X2143" i="1"/>
  <c r="X2144" i="1"/>
  <c r="I2145" i="1"/>
  <c r="X2145" i="1"/>
  <c r="I2146" i="1"/>
  <c r="X2146" i="1"/>
  <c r="I2147" i="1"/>
  <c r="X2147" i="1"/>
  <c r="X2148" i="1"/>
  <c r="X2149" i="1"/>
  <c r="I2150" i="1"/>
  <c r="X2150" i="1"/>
  <c r="X2151" i="1"/>
  <c r="X2152" i="1"/>
  <c r="I2153" i="1"/>
  <c r="X2153" i="1"/>
  <c r="I2154" i="1"/>
  <c r="X2154" i="1"/>
  <c r="I2155" i="1"/>
  <c r="X2155" i="1"/>
  <c r="X2156" i="1"/>
  <c r="X2157" i="1"/>
  <c r="I2158" i="1"/>
  <c r="X2158" i="1"/>
  <c r="I2159" i="1"/>
  <c r="X2159" i="1"/>
  <c r="X2160" i="1"/>
  <c r="X2161" i="1"/>
  <c r="I2162" i="1"/>
  <c r="X2162" i="1"/>
  <c r="I2163" i="1"/>
  <c r="X2163" i="1"/>
  <c r="I2164" i="1"/>
  <c r="X2164" i="1"/>
  <c r="X2165" i="1"/>
  <c r="X2166" i="1"/>
  <c r="I2167" i="1"/>
  <c r="X2167" i="1"/>
  <c r="X2168" i="1"/>
  <c r="X2169" i="1"/>
  <c r="I2170" i="1"/>
  <c r="X2170" i="1"/>
  <c r="X2171" i="1"/>
  <c r="X2172" i="1"/>
  <c r="I2173" i="1"/>
  <c r="X2173" i="1"/>
  <c r="X2174" i="1"/>
  <c r="X2175" i="1"/>
  <c r="I2176" i="1"/>
  <c r="X2176" i="1"/>
  <c r="I2177" i="1"/>
  <c r="X2177" i="1"/>
  <c r="I2178" i="1"/>
  <c r="X2178" i="1"/>
  <c r="X2179" i="1"/>
  <c r="X2180" i="1"/>
  <c r="I2181" i="1"/>
  <c r="X2181" i="1"/>
  <c r="X2182" i="1"/>
  <c r="X2183" i="1"/>
  <c r="I2184" i="1"/>
  <c r="X2184" i="1"/>
  <c r="X2185" i="1"/>
  <c r="X2186" i="1"/>
  <c r="I2187" i="1"/>
  <c r="X2187" i="1"/>
  <c r="X2188" i="1"/>
  <c r="X2189" i="1"/>
  <c r="I2190" i="1"/>
  <c r="X2190" i="1"/>
  <c r="I2191" i="1"/>
  <c r="X2191" i="1"/>
  <c r="I2192" i="1"/>
  <c r="X2192" i="1"/>
  <c r="I2193" i="1"/>
  <c r="X2193" i="1"/>
  <c r="I2194" i="1"/>
  <c r="X2194" i="1"/>
  <c r="X2195" i="1"/>
  <c r="X2196" i="1"/>
  <c r="I2197" i="1"/>
  <c r="X2197" i="1"/>
  <c r="I2198" i="1"/>
  <c r="X2198" i="1"/>
  <c r="I2199" i="1"/>
  <c r="X2199" i="1"/>
  <c r="I2200" i="1"/>
  <c r="X2200" i="1"/>
  <c r="I2201" i="1"/>
  <c r="X2201" i="1"/>
  <c r="I2202" i="1"/>
  <c r="X2202" i="1"/>
  <c r="I2203" i="1"/>
  <c r="X2203" i="1"/>
  <c r="X2204" i="1"/>
  <c r="X2205" i="1"/>
  <c r="I2206" i="1"/>
  <c r="X2206" i="1"/>
  <c r="I2207" i="1"/>
  <c r="X2207" i="1"/>
  <c r="I2208" i="1"/>
  <c r="X2208" i="1"/>
  <c r="I2209" i="1"/>
  <c r="X2209" i="1"/>
  <c r="I2210" i="1"/>
  <c r="X2210" i="1"/>
  <c r="X2211" i="1"/>
  <c r="X2212" i="1"/>
  <c r="I2213" i="1"/>
  <c r="X2213" i="1"/>
  <c r="I2214" i="1"/>
  <c r="X2214" i="1"/>
  <c r="I2215" i="1"/>
  <c r="X2215" i="1"/>
  <c r="I2216" i="1"/>
  <c r="X2216" i="1"/>
  <c r="X2217" i="1"/>
  <c r="X2218" i="1"/>
  <c r="I2219" i="1"/>
  <c r="X2219" i="1"/>
  <c r="I2220" i="1"/>
  <c r="X2220" i="1"/>
  <c r="X2221" i="1"/>
  <c r="X2222" i="1"/>
  <c r="I2223" i="1"/>
  <c r="X2223" i="1"/>
  <c r="I2224" i="1"/>
  <c r="X2224" i="1"/>
  <c r="X2225" i="1"/>
  <c r="X2226" i="1"/>
  <c r="I2227" i="1"/>
  <c r="X2227" i="1"/>
  <c r="I2228" i="1"/>
  <c r="X2228" i="1"/>
  <c r="I2229" i="1"/>
  <c r="X2229" i="1"/>
  <c r="I2230" i="1"/>
  <c r="X2230" i="1"/>
  <c r="I2231" i="1"/>
  <c r="X2231" i="1"/>
  <c r="I2232" i="1"/>
  <c r="X2232" i="1"/>
  <c r="I2233" i="1"/>
  <c r="X2233" i="1"/>
  <c r="I2234" i="1"/>
  <c r="X2234" i="1"/>
  <c r="I2235" i="1"/>
  <c r="X2235" i="1"/>
  <c r="I2236" i="1"/>
  <c r="X2236" i="1"/>
  <c r="X2237" i="1"/>
  <c r="X2238" i="1"/>
  <c r="I2239" i="1"/>
  <c r="X2239" i="1"/>
  <c r="X2240" i="1"/>
  <c r="X2241" i="1"/>
  <c r="I2242" i="1"/>
  <c r="X2242" i="1"/>
  <c r="I2243" i="1"/>
  <c r="X2243" i="1"/>
  <c r="I2244" i="1"/>
  <c r="X2244" i="1"/>
  <c r="X2245" i="1"/>
  <c r="X2246" i="1"/>
  <c r="I2247" i="1"/>
  <c r="X2247" i="1"/>
  <c r="I2248" i="1"/>
  <c r="X2248" i="1"/>
  <c r="X2249" i="1"/>
  <c r="X2250" i="1"/>
  <c r="I2251" i="1"/>
  <c r="X2251" i="1"/>
  <c r="I2252" i="1"/>
  <c r="X2252" i="1"/>
  <c r="I2253" i="1"/>
  <c r="X2253" i="1"/>
  <c r="I2254" i="1"/>
  <c r="X2254" i="1"/>
  <c r="X2255" i="1"/>
  <c r="X2256" i="1"/>
  <c r="I2257" i="1"/>
  <c r="X2257" i="1"/>
  <c r="X2258" i="1"/>
  <c r="X2259" i="1"/>
  <c r="I2260" i="1"/>
  <c r="X2260" i="1"/>
  <c r="I2261" i="1"/>
  <c r="X2261" i="1"/>
  <c r="I2262" i="1"/>
  <c r="X2262" i="1"/>
  <c r="X2263" i="1"/>
  <c r="X2264" i="1"/>
  <c r="I2265" i="1"/>
  <c r="X2265" i="1"/>
  <c r="I2266" i="1"/>
  <c r="X2266" i="1"/>
  <c r="I2267" i="1"/>
  <c r="X2267" i="1"/>
  <c r="I2268" i="1"/>
  <c r="X2268" i="1"/>
  <c r="I2269" i="1"/>
  <c r="X2269" i="1"/>
  <c r="I2270" i="1"/>
  <c r="X2270" i="1"/>
  <c r="I2271" i="1"/>
  <c r="X2271" i="1"/>
  <c r="X2272" i="1"/>
  <c r="X2273" i="1"/>
  <c r="I2274" i="1"/>
  <c r="X2274" i="1"/>
  <c r="X2275" i="1"/>
  <c r="X2276" i="1"/>
  <c r="I2277" i="1"/>
  <c r="X2277" i="1"/>
  <c r="X2278" i="1"/>
  <c r="X2279" i="1"/>
  <c r="I2280" i="1"/>
  <c r="X2280" i="1"/>
  <c r="X2281" i="1"/>
  <c r="X2282" i="1"/>
  <c r="I2283" i="1"/>
  <c r="X2283" i="1"/>
  <c r="I2284" i="1"/>
  <c r="X2284" i="1"/>
  <c r="X2285" i="1"/>
  <c r="X2286" i="1"/>
  <c r="I2287" i="1"/>
  <c r="X2287" i="1"/>
  <c r="X2288" i="1"/>
  <c r="X2289" i="1"/>
  <c r="I2290" i="1"/>
  <c r="X2290" i="1"/>
  <c r="X2291" i="1"/>
  <c r="X2292" i="1"/>
  <c r="I2293" i="1"/>
  <c r="X2293" i="1"/>
  <c r="I2294" i="1"/>
  <c r="X2294" i="1"/>
  <c r="I2295" i="1"/>
  <c r="X2295" i="1"/>
  <c r="X2296" i="1"/>
  <c r="X2297" i="1"/>
  <c r="I2298" i="1"/>
  <c r="X2298" i="1"/>
  <c r="I2299" i="1"/>
  <c r="X2299" i="1"/>
  <c r="X2300" i="1"/>
  <c r="X2301" i="1"/>
  <c r="I2302" i="1"/>
  <c r="X2302" i="1"/>
  <c r="I2303" i="1"/>
  <c r="X2303" i="1"/>
  <c r="X2304" i="1"/>
  <c r="X2305" i="1"/>
  <c r="I2306" i="1"/>
  <c r="X2306" i="1"/>
  <c r="I2307" i="1"/>
  <c r="X2307" i="1"/>
  <c r="X2308" i="1"/>
  <c r="X2309" i="1"/>
  <c r="I2310" i="1"/>
  <c r="X2310" i="1"/>
  <c r="I2311" i="1"/>
  <c r="X2311" i="1"/>
  <c r="X2312" i="1"/>
  <c r="X2313" i="1"/>
  <c r="I2314" i="1"/>
  <c r="X2314" i="1"/>
  <c r="I2315" i="1"/>
  <c r="X2315" i="1"/>
  <c r="I2316" i="1"/>
  <c r="X2316" i="1"/>
  <c r="I2317" i="1"/>
  <c r="X2317" i="1"/>
  <c r="X2318" i="1"/>
  <c r="X2319" i="1"/>
  <c r="I2320" i="1"/>
  <c r="X2320" i="1"/>
  <c r="I2321" i="1"/>
  <c r="X2321" i="1"/>
  <c r="X2322" i="1"/>
  <c r="X2323" i="1"/>
  <c r="I2324" i="1"/>
  <c r="X2324" i="1"/>
  <c r="I2325" i="1"/>
  <c r="X2325" i="1"/>
  <c r="X2326" i="1"/>
  <c r="X2327" i="1"/>
  <c r="I2328" i="1"/>
  <c r="X2328" i="1"/>
  <c r="X2329" i="1"/>
  <c r="X2330" i="1"/>
  <c r="I2331" i="1"/>
  <c r="X2331" i="1"/>
  <c r="I2332" i="1"/>
  <c r="X2332" i="1"/>
  <c r="I2333" i="1"/>
  <c r="X2333" i="1"/>
  <c r="X2334" i="1"/>
  <c r="X2335" i="1"/>
  <c r="I2336" i="1"/>
  <c r="X2336" i="1"/>
  <c r="X2337" i="1"/>
  <c r="X2338" i="1"/>
  <c r="I2339" i="1"/>
  <c r="X2339" i="1"/>
  <c r="I2340" i="1"/>
  <c r="X2340" i="1"/>
  <c r="X2341" i="1"/>
  <c r="X2342" i="1"/>
  <c r="I2343" i="1"/>
  <c r="X2343" i="1"/>
  <c r="I2344" i="1"/>
  <c r="X2344" i="1"/>
  <c r="I2345" i="1"/>
  <c r="X2345" i="1"/>
  <c r="I2346" i="1"/>
  <c r="X2346" i="1"/>
  <c r="X2347" i="1"/>
  <c r="X2348" i="1"/>
  <c r="X2349" i="1"/>
  <c r="I2350" i="1"/>
  <c r="X2350" i="1"/>
  <c r="X2351" i="1"/>
  <c r="X2352" i="1"/>
  <c r="I2353" i="1"/>
  <c r="X2353" i="1"/>
  <c r="X2354" i="1"/>
  <c r="X2355" i="1"/>
  <c r="I2356" i="1"/>
  <c r="X2356" i="1"/>
  <c r="I2357" i="1"/>
  <c r="X2357" i="1"/>
  <c r="X2358" i="1"/>
  <c r="X2359" i="1"/>
  <c r="I2360" i="1"/>
  <c r="X2360" i="1"/>
  <c r="I2361" i="1"/>
  <c r="X2361" i="1"/>
  <c r="X2362" i="1"/>
  <c r="X2363" i="1"/>
  <c r="I2364" i="1"/>
  <c r="X2364" i="1"/>
  <c r="X2365" i="1"/>
  <c r="X2366" i="1"/>
  <c r="I2367" i="1"/>
  <c r="X2367" i="1"/>
  <c r="X2368" i="1"/>
  <c r="X2369" i="1"/>
  <c r="I2370" i="1"/>
  <c r="X2370" i="1"/>
  <c r="I2371" i="1"/>
  <c r="X2371" i="1"/>
  <c r="X2372" i="1"/>
  <c r="X2373" i="1"/>
  <c r="I2374" i="1"/>
  <c r="X2374" i="1"/>
  <c r="X2375" i="1"/>
  <c r="X2376" i="1"/>
  <c r="I2377" i="1"/>
  <c r="X2377" i="1"/>
  <c r="I2378" i="1"/>
  <c r="X2378" i="1"/>
  <c r="I2379" i="1"/>
  <c r="X2379" i="1"/>
  <c r="I2380" i="1"/>
  <c r="X2380" i="1"/>
  <c r="I2381" i="1"/>
  <c r="X2381" i="1"/>
  <c r="X2382" i="1"/>
  <c r="X2383" i="1"/>
  <c r="I2384" i="1"/>
  <c r="X2384" i="1"/>
  <c r="I2385" i="1"/>
  <c r="X2385" i="1"/>
  <c r="X2386" i="1"/>
  <c r="X2387" i="1"/>
  <c r="I2388" i="1"/>
  <c r="X2388" i="1"/>
  <c r="X2389" i="1"/>
  <c r="X2390" i="1"/>
  <c r="I2391" i="1"/>
  <c r="X2391" i="1"/>
  <c r="X2392" i="1"/>
  <c r="X2393" i="1"/>
  <c r="I2394" i="1"/>
  <c r="X2394" i="1"/>
  <c r="X2395" i="1"/>
  <c r="X2396" i="1"/>
  <c r="I2397" i="1"/>
  <c r="X2397" i="1"/>
  <c r="I2398" i="1"/>
  <c r="X2398" i="1"/>
  <c r="X2399" i="1"/>
  <c r="X2400" i="1"/>
  <c r="I2401" i="1"/>
  <c r="X2401" i="1"/>
  <c r="I2402" i="1"/>
  <c r="X2402" i="1"/>
  <c r="X2403" i="1"/>
  <c r="X2404" i="1"/>
  <c r="I2405" i="1"/>
  <c r="X2405" i="1"/>
  <c r="I2406" i="1"/>
  <c r="X2406" i="1"/>
  <c r="I2407" i="1"/>
  <c r="X2407" i="1"/>
  <c r="X2408" i="1"/>
  <c r="X2409" i="1"/>
  <c r="I2410" i="1"/>
  <c r="X2410" i="1"/>
  <c r="X2411" i="1"/>
  <c r="X2412" i="1"/>
  <c r="I2413" i="1"/>
  <c r="X2413" i="1"/>
  <c r="X2414" i="1"/>
  <c r="X2415" i="1"/>
  <c r="I2416" i="1"/>
  <c r="X2416" i="1"/>
  <c r="X2417" i="1"/>
  <c r="X2418" i="1"/>
  <c r="I2419" i="1"/>
  <c r="X2419" i="1"/>
  <c r="X2420" i="1"/>
  <c r="X2421" i="1"/>
  <c r="I2422" i="1"/>
  <c r="X2422" i="1"/>
  <c r="X2423" i="1"/>
  <c r="X2424" i="1"/>
  <c r="I2425" i="1"/>
  <c r="X2425" i="1"/>
  <c r="X2426" i="1"/>
  <c r="X2427" i="1"/>
  <c r="I2428" i="1"/>
  <c r="X2428" i="1"/>
  <c r="X2429" i="1"/>
  <c r="X2430" i="1"/>
  <c r="I2431" i="1"/>
  <c r="X2431" i="1"/>
  <c r="I2432" i="1"/>
  <c r="X2432" i="1"/>
  <c r="X2433" i="1"/>
  <c r="X2434" i="1"/>
  <c r="I2435" i="1"/>
  <c r="X2435" i="1"/>
  <c r="I2436" i="1"/>
  <c r="X2436" i="1"/>
  <c r="I2437" i="1"/>
  <c r="X2437" i="1"/>
  <c r="I2438" i="1"/>
  <c r="X2438" i="1"/>
  <c r="X2439" i="1"/>
  <c r="X2440" i="1"/>
  <c r="I2441" i="1"/>
  <c r="X2441" i="1"/>
  <c r="X2442" i="1"/>
  <c r="X2443" i="1"/>
  <c r="I2444" i="1"/>
  <c r="X2444" i="1"/>
  <c r="I2445" i="1"/>
  <c r="X2445" i="1"/>
  <c r="I2446" i="1"/>
  <c r="X2446" i="1"/>
  <c r="X2447" i="1"/>
  <c r="X2448" i="1"/>
  <c r="I2449" i="1"/>
  <c r="X2449" i="1"/>
  <c r="I2450" i="1"/>
  <c r="X2450" i="1"/>
  <c r="X2451" i="1"/>
  <c r="X2452" i="1"/>
  <c r="I2453" i="1"/>
  <c r="X2453" i="1"/>
  <c r="X2454" i="1"/>
  <c r="X2455" i="1"/>
  <c r="I2456" i="1"/>
  <c r="X2456" i="1"/>
  <c r="I2457" i="1"/>
  <c r="X2457" i="1"/>
  <c r="I2458" i="1"/>
  <c r="X2458" i="1"/>
  <c r="I2459" i="1"/>
  <c r="X2459" i="1"/>
  <c r="I2460" i="1"/>
  <c r="X2460" i="1"/>
  <c r="I2461" i="1"/>
  <c r="X2461" i="1"/>
  <c r="I2462" i="1"/>
  <c r="X2462" i="1"/>
  <c r="I2463" i="1"/>
  <c r="X2463" i="1"/>
  <c r="I2464" i="1"/>
  <c r="X2464" i="1"/>
  <c r="X2465" i="1"/>
  <c r="X2466" i="1"/>
  <c r="I2467" i="1"/>
  <c r="X2467" i="1"/>
  <c r="I2468" i="1"/>
  <c r="X2468" i="1"/>
  <c r="X2469" i="1"/>
  <c r="X2470" i="1"/>
  <c r="I2471" i="1"/>
  <c r="X2471" i="1"/>
  <c r="X2472" i="1"/>
  <c r="X2473" i="1"/>
  <c r="I2474" i="1"/>
  <c r="X2474" i="1"/>
  <c r="X2475" i="1"/>
  <c r="X2476" i="1"/>
  <c r="I2477" i="1"/>
  <c r="X2477" i="1"/>
  <c r="X2478" i="1"/>
  <c r="X2479" i="1"/>
  <c r="I2480" i="1"/>
  <c r="X2480" i="1"/>
  <c r="X2481" i="1"/>
  <c r="X2482" i="1"/>
  <c r="I2483" i="1"/>
  <c r="X2483" i="1"/>
  <c r="I2484" i="1"/>
  <c r="X2484" i="1"/>
  <c r="I2485" i="1"/>
  <c r="X2485" i="1"/>
  <c r="I2486" i="1"/>
  <c r="X2486" i="1"/>
  <c r="I2487" i="1"/>
  <c r="X2487" i="1"/>
  <c r="X2488" i="1"/>
  <c r="X2489" i="1"/>
  <c r="I2490" i="1"/>
  <c r="X2490" i="1"/>
  <c r="X2491" i="1"/>
  <c r="X2492" i="1"/>
  <c r="I2493" i="1"/>
  <c r="X2493" i="1"/>
  <c r="I2494" i="1"/>
  <c r="X2494" i="1"/>
  <c r="I2495" i="1"/>
  <c r="X2495" i="1"/>
  <c r="I2496" i="1"/>
  <c r="X2496" i="1"/>
  <c r="I2497" i="1"/>
  <c r="X2497" i="1"/>
  <c r="X2498" i="1"/>
  <c r="X2499" i="1"/>
  <c r="I2500" i="1"/>
  <c r="X2500" i="1"/>
  <c r="X2501" i="1"/>
  <c r="X2502" i="1"/>
  <c r="I2503" i="1"/>
  <c r="X2503" i="1"/>
  <c r="I2504" i="1"/>
  <c r="X2504" i="1"/>
  <c r="X2505" i="1"/>
  <c r="X2506" i="1"/>
  <c r="I2507" i="1"/>
  <c r="X2507" i="1"/>
  <c r="I2508" i="1"/>
  <c r="X2508" i="1"/>
  <c r="X2509" i="1"/>
  <c r="X2510" i="1"/>
  <c r="I2511" i="1"/>
  <c r="X2511" i="1"/>
  <c r="X2512" i="1"/>
  <c r="X2513" i="1"/>
  <c r="I2514" i="1"/>
  <c r="X2514" i="1"/>
  <c r="X2515" i="1"/>
  <c r="X2516" i="1"/>
  <c r="I2517" i="1"/>
  <c r="X2517" i="1"/>
  <c r="I2518" i="1"/>
  <c r="X2518" i="1"/>
  <c r="I2519" i="1"/>
  <c r="X2519" i="1"/>
  <c r="I2520" i="1"/>
  <c r="X2520" i="1"/>
  <c r="I2521" i="1"/>
  <c r="X2521" i="1"/>
  <c r="I2522" i="1"/>
  <c r="X2522" i="1"/>
  <c r="X2523" i="1"/>
  <c r="X2524" i="1"/>
  <c r="I2525" i="1"/>
  <c r="X2525" i="1"/>
  <c r="X2526" i="1"/>
  <c r="X2527" i="1"/>
  <c r="I2528" i="1"/>
  <c r="X2528" i="1"/>
  <c r="X2529" i="1"/>
  <c r="X2530" i="1"/>
  <c r="I2531" i="1"/>
  <c r="X2531" i="1"/>
  <c r="I2532" i="1"/>
  <c r="X2532" i="1"/>
  <c r="I2533" i="1"/>
  <c r="X2533" i="1"/>
  <c r="I2534" i="1"/>
  <c r="X2534" i="1"/>
  <c r="I2535" i="1"/>
  <c r="X2535" i="1"/>
  <c r="I2536" i="1"/>
  <c r="X2536" i="1"/>
  <c r="I2537" i="1"/>
  <c r="X2537" i="1"/>
  <c r="I2538" i="1"/>
  <c r="X2538" i="1"/>
  <c r="X2539" i="1"/>
  <c r="X2540" i="1"/>
  <c r="I2541" i="1"/>
  <c r="X2541" i="1"/>
  <c r="X2542" i="1"/>
  <c r="X2543" i="1"/>
  <c r="X2544" i="1"/>
  <c r="I2545" i="1"/>
  <c r="X2545" i="1"/>
  <c r="I2546" i="1"/>
  <c r="X2546" i="1"/>
  <c r="X2547" i="1"/>
  <c r="X2548" i="1"/>
  <c r="I2549" i="1"/>
  <c r="X2549" i="1"/>
  <c r="X2550" i="1"/>
  <c r="X2551" i="1"/>
  <c r="I2552" i="1"/>
  <c r="X2552" i="1"/>
  <c r="I2553" i="1"/>
  <c r="X2553" i="1"/>
  <c r="I2554" i="1"/>
  <c r="X2554" i="1"/>
  <c r="I2555" i="1"/>
  <c r="X2555" i="1"/>
  <c r="X2556" i="1"/>
  <c r="X2557" i="1"/>
  <c r="I2558" i="1"/>
  <c r="X2558" i="1"/>
  <c r="I2559" i="1"/>
  <c r="X2559" i="1"/>
  <c r="X2560" i="1"/>
  <c r="X2561" i="1"/>
  <c r="I2562" i="1"/>
  <c r="X2562" i="1"/>
  <c r="I2563" i="1"/>
  <c r="X2563" i="1"/>
  <c r="I2564" i="1"/>
  <c r="X2564" i="1"/>
  <c r="I2565" i="1"/>
  <c r="X2565" i="1"/>
  <c r="I2566" i="1"/>
  <c r="X2566" i="1"/>
  <c r="X2567" i="1"/>
  <c r="X2568" i="1"/>
  <c r="I2569" i="1"/>
  <c r="X2569" i="1"/>
  <c r="I2570" i="1"/>
  <c r="X2570" i="1"/>
  <c r="I2571" i="1"/>
  <c r="X2571" i="1"/>
  <c r="I2572" i="1"/>
  <c r="X2572" i="1"/>
  <c r="X2573" i="1"/>
  <c r="X2574" i="1"/>
  <c r="I2575" i="1"/>
  <c r="X2575" i="1"/>
  <c r="X2576" i="1"/>
  <c r="X2577" i="1"/>
  <c r="I2578" i="1"/>
  <c r="X2578" i="1"/>
  <c r="I2579" i="1"/>
  <c r="X2579" i="1"/>
  <c r="I2580" i="1"/>
  <c r="X2580" i="1"/>
  <c r="I2581" i="1"/>
  <c r="X2581" i="1"/>
  <c r="I2582" i="1"/>
  <c r="X2582" i="1"/>
  <c r="I2583" i="1"/>
  <c r="X2583" i="1"/>
  <c r="I2584" i="1"/>
  <c r="X2584" i="1"/>
  <c r="I2585" i="1"/>
  <c r="X2585" i="1"/>
  <c r="I2586" i="1"/>
  <c r="X2586" i="1"/>
  <c r="I2587" i="1"/>
  <c r="X2587" i="1"/>
  <c r="I2588" i="1"/>
  <c r="X2588" i="1"/>
  <c r="X2589" i="1"/>
  <c r="X2590" i="1"/>
  <c r="I2591" i="1"/>
  <c r="X2591" i="1"/>
  <c r="I2592" i="1"/>
  <c r="X2592" i="1"/>
  <c r="I2593" i="1"/>
  <c r="X2593" i="1"/>
  <c r="I2594" i="1"/>
  <c r="X2594" i="1"/>
  <c r="I2595" i="1"/>
  <c r="X2595" i="1"/>
  <c r="I2596" i="1"/>
  <c r="X2596" i="1"/>
  <c r="I2597" i="1"/>
  <c r="X2597" i="1"/>
  <c r="I2598" i="1"/>
  <c r="X2598" i="1"/>
  <c r="X2599" i="1"/>
  <c r="X2600" i="1"/>
  <c r="I2601" i="1"/>
  <c r="X2601" i="1"/>
  <c r="X2602" i="1"/>
  <c r="X2603" i="1"/>
  <c r="I2604" i="1"/>
  <c r="X2604" i="1"/>
  <c r="X2605" i="1"/>
  <c r="X2606" i="1"/>
  <c r="I2607" i="1"/>
  <c r="X2607" i="1"/>
  <c r="I2608" i="1"/>
  <c r="X2608" i="1"/>
  <c r="X2609" i="1"/>
  <c r="X2610" i="1"/>
  <c r="I2611" i="1"/>
  <c r="X2611" i="1"/>
  <c r="I2612" i="1"/>
  <c r="X2612" i="1"/>
  <c r="X2613" i="1"/>
  <c r="X2614" i="1"/>
  <c r="I2615" i="1"/>
  <c r="X2615" i="1"/>
  <c r="X2616" i="1"/>
  <c r="X2617" i="1"/>
  <c r="I2618" i="1"/>
  <c r="X2618" i="1"/>
  <c r="I2619" i="1"/>
  <c r="X2619" i="1"/>
  <c r="X2620" i="1"/>
  <c r="X2621" i="1"/>
  <c r="I2622" i="1"/>
  <c r="X2622" i="1"/>
  <c r="X2623" i="1"/>
  <c r="X2624" i="1"/>
  <c r="I2625" i="1"/>
  <c r="X2625" i="1"/>
  <c r="I2626" i="1"/>
  <c r="X2626" i="1"/>
  <c r="X2627" i="1"/>
  <c r="X2628" i="1"/>
  <c r="I2629" i="1"/>
  <c r="X2629" i="1"/>
  <c r="X2630" i="1"/>
  <c r="X2631" i="1"/>
  <c r="I2632" i="1"/>
  <c r="X2632" i="1"/>
  <c r="X2633" i="1"/>
  <c r="X2634" i="1"/>
  <c r="I2635" i="1"/>
  <c r="X2635" i="1"/>
  <c r="I2636" i="1"/>
  <c r="X2636" i="1"/>
  <c r="X2637" i="1"/>
  <c r="X2638" i="1"/>
  <c r="I2639" i="1"/>
  <c r="X2639" i="1"/>
  <c r="X2640" i="1"/>
  <c r="X2641" i="1"/>
  <c r="I2642" i="1"/>
  <c r="X2642" i="1"/>
  <c r="I2643" i="1"/>
  <c r="X2643" i="1"/>
  <c r="X2644" i="1"/>
  <c r="X2645" i="1"/>
  <c r="I2646" i="1"/>
  <c r="X2646" i="1"/>
  <c r="X2647" i="1"/>
  <c r="X2648" i="1"/>
  <c r="I2649" i="1"/>
  <c r="X2649" i="1"/>
  <c r="X2650" i="1"/>
  <c r="X2651" i="1"/>
  <c r="X2652" i="1"/>
  <c r="I2653" i="1"/>
  <c r="X2653" i="1"/>
  <c r="I2654" i="1"/>
  <c r="X2654" i="1"/>
  <c r="X2655" i="1"/>
  <c r="X2656" i="1"/>
  <c r="I2657" i="1"/>
  <c r="X2657" i="1"/>
  <c r="I2658" i="1"/>
  <c r="X2658" i="1"/>
  <c r="I2659" i="1"/>
  <c r="X2659" i="1"/>
  <c r="I2660" i="1"/>
  <c r="X2660" i="1"/>
  <c r="I2661" i="1"/>
  <c r="X2661" i="1"/>
  <c r="X2662" i="1"/>
  <c r="X2663" i="1"/>
  <c r="I2664" i="1"/>
  <c r="X2664" i="1"/>
  <c r="X2665" i="1"/>
  <c r="X2666" i="1"/>
  <c r="I2667" i="1"/>
  <c r="X2667" i="1"/>
  <c r="I2668" i="1"/>
  <c r="X2668" i="1"/>
  <c r="X2669" i="1"/>
  <c r="X2670" i="1"/>
  <c r="I2671" i="1"/>
  <c r="X2671" i="1"/>
  <c r="X2672" i="1"/>
  <c r="X2673" i="1"/>
  <c r="I2674" i="1"/>
  <c r="X2674" i="1"/>
  <c r="X2675" i="1"/>
  <c r="X2676" i="1"/>
  <c r="I2677" i="1"/>
  <c r="X2677" i="1"/>
  <c r="I2678" i="1"/>
  <c r="X2678" i="1"/>
  <c r="I2679" i="1"/>
  <c r="X2679" i="1"/>
  <c r="X2680" i="1"/>
  <c r="X2681" i="1"/>
  <c r="I2682" i="1"/>
  <c r="X2682" i="1"/>
  <c r="I2683" i="1"/>
  <c r="X2683" i="1"/>
  <c r="I2684" i="1"/>
  <c r="X2684" i="1"/>
  <c r="I2685" i="1"/>
  <c r="X2685" i="1"/>
  <c r="X2686" i="1"/>
  <c r="X2687" i="1"/>
  <c r="I2688" i="1"/>
  <c r="X2688" i="1"/>
  <c r="I2689" i="1"/>
  <c r="X2689" i="1"/>
  <c r="X2690" i="1"/>
  <c r="X2691" i="1"/>
  <c r="I2692" i="1"/>
  <c r="X2692" i="1"/>
  <c r="I2693" i="1"/>
  <c r="X2693" i="1"/>
  <c r="I2694" i="1"/>
  <c r="X2694" i="1"/>
  <c r="I2695" i="1"/>
  <c r="X2695" i="1"/>
  <c r="X2696" i="1"/>
  <c r="X2697" i="1"/>
  <c r="I2698" i="1"/>
  <c r="X2698" i="1"/>
  <c r="I2699" i="1"/>
  <c r="X2699" i="1"/>
  <c r="X2700" i="1"/>
  <c r="X2701" i="1"/>
  <c r="I2702" i="1"/>
  <c r="X2702" i="1"/>
  <c r="X2703" i="1"/>
  <c r="X2704" i="1"/>
  <c r="I2705" i="1"/>
  <c r="X2705" i="1"/>
  <c r="X2706" i="1"/>
  <c r="X2707" i="1"/>
  <c r="I2708" i="1"/>
  <c r="X2708" i="1"/>
  <c r="X2709" i="1"/>
  <c r="X2710" i="1"/>
  <c r="I2711" i="1"/>
  <c r="X2711" i="1"/>
  <c r="I2712" i="1"/>
  <c r="X2712" i="1"/>
  <c r="X2713" i="1"/>
  <c r="X2714" i="1"/>
  <c r="I2715" i="1"/>
  <c r="X2715" i="1"/>
  <c r="X2716" i="1"/>
  <c r="X2717" i="1"/>
  <c r="I2718" i="1"/>
  <c r="X2718" i="1"/>
  <c r="X2719" i="1"/>
  <c r="X2720" i="1"/>
  <c r="I2721" i="1"/>
  <c r="X2721" i="1"/>
  <c r="X2722" i="1"/>
  <c r="X2723" i="1"/>
  <c r="I2724" i="1"/>
  <c r="X2724" i="1"/>
  <c r="X2725" i="1"/>
  <c r="X2726" i="1"/>
  <c r="X2727" i="1"/>
  <c r="I2728" i="1"/>
  <c r="X2728" i="1"/>
  <c r="X2729" i="1"/>
  <c r="X2730" i="1"/>
  <c r="I2731" i="1"/>
  <c r="X2731" i="1"/>
  <c r="X2732" i="1"/>
  <c r="X2733" i="1"/>
  <c r="I2734" i="1"/>
  <c r="X2734" i="1"/>
  <c r="X2735" i="1"/>
  <c r="X2736" i="1"/>
  <c r="I2737" i="1"/>
  <c r="X2737" i="1"/>
  <c r="X2738" i="1"/>
  <c r="X2739" i="1"/>
  <c r="I2740" i="1"/>
  <c r="X2740" i="1"/>
  <c r="X2741" i="1"/>
  <c r="X2742" i="1"/>
  <c r="I2743" i="1"/>
  <c r="X2743" i="1"/>
  <c r="I2744" i="1"/>
  <c r="X2744" i="1"/>
  <c r="I2745" i="1"/>
  <c r="X2745" i="1"/>
  <c r="I2746" i="1"/>
  <c r="X2746" i="1"/>
  <c r="I2747" i="1"/>
  <c r="X2747" i="1"/>
  <c r="I2748" i="1"/>
  <c r="X2748" i="1"/>
  <c r="X2749" i="1"/>
  <c r="X2750" i="1"/>
  <c r="I2751" i="1"/>
  <c r="X2751" i="1"/>
  <c r="X2752" i="1"/>
  <c r="X2753" i="1"/>
  <c r="I2754" i="1"/>
  <c r="X2754" i="1"/>
  <c r="X2755" i="1"/>
  <c r="X2756" i="1"/>
  <c r="I2757" i="1"/>
  <c r="X2757" i="1"/>
  <c r="X2758" i="1"/>
  <c r="X2759" i="1"/>
  <c r="I2760" i="1"/>
  <c r="X2760" i="1"/>
  <c r="I2761" i="1"/>
  <c r="X2761" i="1"/>
  <c r="I2762" i="1"/>
  <c r="X2762" i="1"/>
  <c r="I2763" i="1"/>
  <c r="X2763" i="1"/>
  <c r="X2764" i="1"/>
  <c r="X2765" i="1"/>
  <c r="I2766" i="1"/>
  <c r="X2766" i="1"/>
  <c r="I2767" i="1"/>
  <c r="X2767" i="1"/>
  <c r="I2768" i="1"/>
  <c r="X2768" i="1"/>
  <c r="I2769" i="1"/>
  <c r="X2769" i="1"/>
  <c r="X2770" i="1"/>
  <c r="X2771" i="1"/>
  <c r="I2772" i="1"/>
  <c r="X2772" i="1"/>
  <c r="I2773" i="1"/>
  <c r="X2773" i="1"/>
  <c r="I2774" i="1"/>
  <c r="X2774" i="1"/>
  <c r="X2775" i="1"/>
  <c r="X2776" i="1"/>
  <c r="I2777" i="1"/>
  <c r="X2777" i="1"/>
  <c r="I2778" i="1"/>
  <c r="X2778" i="1"/>
  <c r="X2779" i="1"/>
  <c r="X2780" i="1"/>
  <c r="I2781" i="1"/>
  <c r="X2781" i="1"/>
  <c r="X2782" i="1"/>
  <c r="X2783" i="1"/>
  <c r="I2784" i="1"/>
  <c r="X2784" i="1"/>
  <c r="X2785" i="1"/>
  <c r="X2786" i="1"/>
  <c r="I2787" i="1"/>
  <c r="X2787" i="1"/>
  <c r="X2788" i="1"/>
  <c r="X2789" i="1"/>
  <c r="I2790" i="1"/>
  <c r="X2790" i="1"/>
  <c r="I2791" i="1"/>
  <c r="X2791" i="1"/>
  <c r="I2792" i="1"/>
  <c r="X2792" i="1"/>
  <c r="I2793" i="1"/>
  <c r="X2793" i="1"/>
  <c r="X2794" i="1"/>
  <c r="X2795" i="1"/>
  <c r="I2796" i="1"/>
  <c r="X2796" i="1"/>
  <c r="X2797" i="1"/>
  <c r="X2798" i="1"/>
  <c r="I2799" i="1"/>
  <c r="X2799" i="1"/>
  <c r="I2800" i="1"/>
  <c r="X2800" i="1"/>
  <c r="I2801" i="1"/>
  <c r="X2801" i="1"/>
  <c r="I2802" i="1"/>
  <c r="X2802" i="1"/>
  <c r="I2803" i="1"/>
  <c r="X2803" i="1"/>
  <c r="X2804" i="1"/>
  <c r="X2805" i="1"/>
  <c r="I2806" i="1"/>
  <c r="X2806" i="1"/>
  <c r="X2807" i="1"/>
  <c r="X2808" i="1"/>
  <c r="I2809" i="1"/>
  <c r="X2809" i="1"/>
  <c r="X2810" i="1"/>
  <c r="X2811" i="1"/>
  <c r="I2812" i="1"/>
  <c r="X2812" i="1"/>
  <c r="X2813" i="1"/>
  <c r="X2814" i="1"/>
  <c r="I2815" i="1"/>
  <c r="X2815" i="1"/>
  <c r="I2816" i="1"/>
  <c r="X2816" i="1"/>
  <c r="I2817" i="1"/>
  <c r="X2817" i="1"/>
  <c r="X2818" i="1"/>
  <c r="X2819" i="1"/>
  <c r="I2820" i="1"/>
  <c r="X2820" i="1"/>
  <c r="X2821" i="1"/>
  <c r="X2822" i="1"/>
  <c r="I2823" i="1"/>
  <c r="X2823" i="1"/>
  <c r="I2824" i="1"/>
  <c r="X2824" i="1"/>
  <c r="X2825" i="1"/>
  <c r="X2826" i="1"/>
  <c r="I2827" i="1"/>
  <c r="X2827" i="1"/>
  <c r="X2828" i="1"/>
  <c r="X2829" i="1"/>
  <c r="I2830" i="1"/>
  <c r="X2830" i="1"/>
  <c r="X2831" i="1"/>
  <c r="X2832" i="1"/>
  <c r="I2833" i="1"/>
  <c r="X2833" i="1"/>
  <c r="X2834" i="1"/>
  <c r="X2835" i="1"/>
  <c r="I2836" i="1"/>
  <c r="X2836" i="1"/>
  <c r="I2837" i="1"/>
  <c r="X2837" i="1"/>
  <c r="I2838" i="1"/>
  <c r="X2838" i="1"/>
  <c r="X2839" i="1"/>
  <c r="X2840" i="1"/>
  <c r="I2841" i="1"/>
  <c r="X2841" i="1"/>
  <c r="X2842" i="1"/>
  <c r="X2843" i="1"/>
  <c r="I2844" i="1"/>
  <c r="X2844" i="1"/>
  <c r="I2845" i="1"/>
  <c r="X2845" i="1"/>
  <c r="X2846" i="1"/>
  <c r="X2847" i="1"/>
  <c r="I2848" i="1"/>
  <c r="X2848" i="1"/>
  <c r="I2849" i="1"/>
  <c r="X2849" i="1"/>
  <c r="I2850" i="1"/>
  <c r="X2850" i="1"/>
  <c r="X2851" i="1"/>
  <c r="X2852" i="1"/>
  <c r="I2853" i="1"/>
  <c r="X2853" i="1"/>
  <c r="I2854" i="1"/>
  <c r="X2854" i="1"/>
  <c r="X2855" i="1"/>
  <c r="X2856" i="1"/>
  <c r="I2857" i="1"/>
  <c r="X2857" i="1"/>
  <c r="I2858" i="1"/>
  <c r="X2858" i="1"/>
  <c r="X2859" i="1"/>
  <c r="X2860" i="1"/>
  <c r="I2861" i="1"/>
  <c r="X2861" i="1"/>
  <c r="I2862" i="1"/>
  <c r="X2862" i="1"/>
  <c r="I2863" i="1"/>
  <c r="X2863" i="1"/>
  <c r="X2864" i="1"/>
  <c r="X2865" i="1"/>
  <c r="I2866" i="1"/>
  <c r="X2866" i="1"/>
  <c r="X2867" i="1"/>
  <c r="X2868" i="1"/>
  <c r="I2869" i="1"/>
  <c r="X2869" i="1"/>
  <c r="X2870" i="1"/>
  <c r="X2871" i="1"/>
  <c r="I2872" i="1"/>
  <c r="X2872" i="1"/>
  <c r="I2873" i="1"/>
  <c r="X2873" i="1"/>
  <c r="I2874" i="1"/>
  <c r="X2874" i="1"/>
  <c r="I2875" i="1"/>
  <c r="X2875" i="1"/>
  <c r="I2876" i="1"/>
  <c r="X2876" i="1"/>
  <c r="I2877" i="1"/>
  <c r="X2877" i="1"/>
  <c r="X2878" i="1"/>
  <c r="X2879" i="1"/>
  <c r="I2880" i="1"/>
  <c r="X2880" i="1"/>
  <c r="X2881" i="1"/>
  <c r="X2882" i="1"/>
  <c r="I2883" i="1"/>
  <c r="X2883" i="1"/>
  <c r="X2884" i="1"/>
  <c r="X2885" i="1"/>
  <c r="I2886" i="1"/>
  <c r="X2886" i="1"/>
  <c r="I2887" i="1"/>
  <c r="X2887" i="1"/>
  <c r="X2888" i="1"/>
  <c r="X2889" i="1"/>
  <c r="I2890" i="1"/>
  <c r="X2890" i="1"/>
  <c r="X2891" i="1"/>
  <c r="X2892" i="1"/>
  <c r="I2893" i="1"/>
  <c r="X2893" i="1"/>
  <c r="X2894" i="1"/>
  <c r="X2895" i="1"/>
  <c r="I2896" i="1"/>
  <c r="X2896" i="1"/>
  <c r="X2897" i="1"/>
  <c r="X2898" i="1"/>
  <c r="I2899" i="1"/>
  <c r="X2899" i="1"/>
  <c r="I2900" i="1"/>
  <c r="X2900" i="1"/>
  <c r="X2901" i="1"/>
  <c r="X2902" i="1"/>
  <c r="I2903" i="1"/>
  <c r="X2903" i="1"/>
  <c r="X2904" i="1"/>
  <c r="X2905" i="1"/>
  <c r="I2906" i="1"/>
  <c r="X2906" i="1"/>
  <c r="I2907" i="1"/>
  <c r="X2907" i="1"/>
  <c r="I2908" i="1"/>
  <c r="X2908" i="1"/>
  <c r="X2909" i="1"/>
  <c r="X2910" i="1"/>
  <c r="I2911" i="1"/>
  <c r="X2911" i="1"/>
  <c r="X2912" i="1"/>
  <c r="X2913" i="1"/>
  <c r="I2914" i="1"/>
  <c r="X2914" i="1"/>
  <c r="X2915" i="1"/>
  <c r="X2916" i="1"/>
  <c r="I2917" i="1"/>
  <c r="X2917" i="1"/>
  <c r="X2918" i="1"/>
  <c r="X2919" i="1"/>
  <c r="I2920" i="1"/>
  <c r="X2920" i="1"/>
  <c r="X2921" i="1"/>
  <c r="X2922" i="1"/>
  <c r="I2923" i="1"/>
  <c r="X2923" i="1"/>
  <c r="I2924" i="1"/>
  <c r="X2924" i="1"/>
  <c r="X2925" i="1"/>
  <c r="X2926" i="1"/>
  <c r="I2927" i="1"/>
  <c r="X2927" i="1"/>
  <c r="X2928" i="1"/>
  <c r="X2929" i="1"/>
  <c r="I2930" i="1"/>
  <c r="X2930" i="1"/>
  <c r="X2931" i="1"/>
  <c r="X2932" i="1"/>
  <c r="I2933" i="1"/>
  <c r="X2933" i="1"/>
  <c r="X2934" i="1"/>
  <c r="X2935" i="1"/>
  <c r="I2936" i="1"/>
  <c r="X2936" i="1"/>
  <c r="X2937" i="1"/>
  <c r="X2938" i="1"/>
  <c r="I2939" i="1"/>
  <c r="X2939" i="1"/>
  <c r="X2940" i="1"/>
  <c r="X2941" i="1"/>
  <c r="I2942" i="1"/>
  <c r="X2942" i="1"/>
  <c r="X2943" i="1"/>
  <c r="X2944" i="1"/>
  <c r="I2945" i="1"/>
  <c r="X2945" i="1"/>
  <c r="I2946" i="1"/>
  <c r="X2946" i="1"/>
  <c r="I2947" i="1"/>
  <c r="X2947" i="1"/>
  <c r="I2948" i="1"/>
  <c r="X2948" i="1"/>
  <c r="X2949" i="1"/>
  <c r="X2950" i="1"/>
  <c r="I2951" i="1"/>
  <c r="X2951" i="1"/>
  <c r="I2952" i="1"/>
  <c r="X2952" i="1"/>
  <c r="I2953" i="1"/>
  <c r="X2953" i="1"/>
  <c r="I2954" i="1"/>
  <c r="X2954" i="1"/>
  <c r="X2955" i="1"/>
  <c r="X2956" i="1"/>
  <c r="I2957" i="1"/>
  <c r="X2957" i="1"/>
  <c r="X2958" i="1"/>
  <c r="X2959" i="1"/>
  <c r="I2960" i="1"/>
  <c r="X2960" i="1"/>
  <c r="I2961" i="1"/>
  <c r="X2961" i="1"/>
  <c r="X2962" i="1"/>
  <c r="X2963" i="1"/>
  <c r="I2964" i="1"/>
  <c r="X2964" i="1"/>
  <c r="I2965" i="1"/>
  <c r="X2965" i="1"/>
  <c r="I2966" i="1"/>
  <c r="X2966" i="1"/>
  <c r="X2967" i="1"/>
  <c r="X2968" i="1"/>
  <c r="I2969" i="1"/>
  <c r="X2969" i="1"/>
  <c r="I2970" i="1"/>
  <c r="X2970" i="1"/>
  <c r="I2971" i="1"/>
  <c r="X2971" i="1"/>
  <c r="X2972" i="1"/>
  <c r="X2973" i="1"/>
  <c r="I2974" i="1"/>
  <c r="X2974" i="1"/>
  <c r="I2975" i="1"/>
  <c r="X2975" i="1"/>
  <c r="I2976" i="1"/>
  <c r="X2976" i="1"/>
  <c r="X2977" i="1"/>
  <c r="X2978" i="1"/>
  <c r="I2979" i="1"/>
  <c r="X2979" i="1"/>
  <c r="I2980" i="1"/>
  <c r="X2980" i="1"/>
  <c r="X2981" i="1"/>
  <c r="X2982" i="1"/>
  <c r="I2983" i="1"/>
  <c r="X2983" i="1"/>
  <c r="I2984" i="1"/>
  <c r="X2984" i="1"/>
  <c r="X2985" i="1"/>
  <c r="X2986" i="1"/>
  <c r="I2987" i="1"/>
  <c r="X2987" i="1"/>
  <c r="I2988" i="1"/>
  <c r="X2988" i="1"/>
  <c r="X2989" i="1"/>
  <c r="X2990" i="1"/>
  <c r="I2991" i="1"/>
  <c r="X2991" i="1"/>
  <c r="I2992" i="1"/>
  <c r="X2992" i="1"/>
  <c r="X2993" i="1"/>
  <c r="X2994" i="1"/>
  <c r="I2995" i="1"/>
  <c r="X2995" i="1"/>
  <c r="X2996" i="1"/>
  <c r="X2997" i="1"/>
  <c r="I2998" i="1"/>
  <c r="X2998" i="1"/>
  <c r="I2999" i="1"/>
  <c r="X2999" i="1"/>
  <c r="I3000" i="1"/>
  <c r="X3000" i="1"/>
  <c r="I3001" i="1"/>
  <c r="X3001" i="1"/>
  <c r="X3002" i="1"/>
  <c r="X3003" i="1"/>
  <c r="I3004" i="1"/>
  <c r="X3004" i="1"/>
  <c r="X3005" i="1"/>
  <c r="X3006" i="1"/>
  <c r="I3007" i="1"/>
  <c r="X3007" i="1"/>
  <c r="X3008" i="1"/>
  <c r="X3009" i="1"/>
  <c r="I3010" i="1"/>
  <c r="X3010" i="1"/>
  <c r="I3011" i="1"/>
  <c r="X3011" i="1"/>
  <c r="X3012" i="1"/>
  <c r="X3013" i="1"/>
  <c r="I3014" i="1"/>
  <c r="X3014" i="1"/>
  <c r="I3015" i="1"/>
  <c r="X3015" i="1"/>
  <c r="X3016" i="1"/>
  <c r="X3017" i="1"/>
  <c r="I3018" i="1"/>
  <c r="X3018" i="1"/>
  <c r="X3019" i="1"/>
  <c r="X3020" i="1"/>
  <c r="I3021" i="1"/>
  <c r="X3021" i="1"/>
  <c r="I3022" i="1"/>
  <c r="X3022" i="1"/>
  <c r="X3023" i="1"/>
  <c r="X3024" i="1"/>
  <c r="I3025" i="1"/>
  <c r="X3025" i="1"/>
  <c r="I3026" i="1"/>
  <c r="X3026" i="1"/>
  <c r="I3027" i="1"/>
  <c r="X3027" i="1"/>
  <c r="I3028" i="1"/>
  <c r="X3028" i="1"/>
  <c r="X3029" i="1"/>
  <c r="X3030" i="1"/>
  <c r="X3031" i="1"/>
  <c r="I3032" i="1"/>
  <c r="X3032" i="1"/>
  <c r="I3033" i="1"/>
  <c r="X3033" i="1"/>
  <c r="I3034" i="1"/>
  <c r="X3034" i="1"/>
  <c r="I3035" i="1"/>
  <c r="X3035" i="1"/>
  <c r="X3036" i="1"/>
  <c r="X3037" i="1"/>
  <c r="I3038" i="1"/>
  <c r="X3038" i="1"/>
  <c r="X3039" i="1"/>
  <c r="X3040" i="1"/>
  <c r="X3041" i="1"/>
  <c r="I3042" i="1"/>
  <c r="X3042" i="1"/>
  <c r="I3043" i="1"/>
  <c r="X3043" i="1"/>
  <c r="I3044" i="1"/>
  <c r="X3044" i="1"/>
  <c r="X3045" i="1"/>
  <c r="X3046" i="1"/>
  <c r="I3047" i="1"/>
  <c r="X3047" i="1"/>
  <c r="X3048" i="1"/>
  <c r="X3049" i="1"/>
  <c r="I3050" i="1"/>
  <c r="X3050" i="1"/>
  <c r="X3051" i="1"/>
  <c r="X3052" i="1"/>
  <c r="I3053" i="1"/>
  <c r="X3053" i="1"/>
  <c r="X3054" i="1"/>
  <c r="X3055" i="1"/>
  <c r="I3056" i="1"/>
  <c r="X3056" i="1"/>
  <c r="X3057" i="1"/>
  <c r="X3058" i="1"/>
  <c r="I3059" i="1"/>
  <c r="X3059" i="1"/>
  <c r="X3060" i="1"/>
  <c r="X3061" i="1"/>
  <c r="I3062" i="1"/>
  <c r="X3062" i="1"/>
  <c r="X3063" i="1"/>
  <c r="X3064" i="1"/>
  <c r="I3065" i="1"/>
  <c r="X3065" i="1"/>
  <c r="I3066" i="1"/>
  <c r="X3066" i="1"/>
  <c r="X3067" i="1"/>
  <c r="X3068" i="1"/>
  <c r="I3069" i="1"/>
  <c r="X3069" i="1"/>
  <c r="I3070" i="1"/>
  <c r="X3070" i="1"/>
  <c r="I3071" i="1"/>
  <c r="X3071" i="1"/>
  <c r="X3072" i="1"/>
  <c r="X3073" i="1"/>
  <c r="I3074" i="1"/>
  <c r="X3074" i="1"/>
  <c r="I3075" i="1"/>
  <c r="X3075" i="1"/>
  <c r="I3076" i="1"/>
  <c r="X3076" i="1"/>
  <c r="I3077" i="1"/>
  <c r="X3077" i="1"/>
  <c r="X3078" i="1"/>
  <c r="X3079" i="1"/>
  <c r="I3080" i="1"/>
  <c r="X3080" i="1"/>
  <c r="X3081" i="1"/>
  <c r="X3082" i="1"/>
  <c r="I3083" i="1"/>
  <c r="X3083" i="1"/>
  <c r="I3084" i="1"/>
  <c r="X3084" i="1"/>
  <c r="I3085" i="1"/>
  <c r="X3085" i="1"/>
  <c r="I3086" i="1"/>
  <c r="X3086" i="1"/>
  <c r="X3087" i="1"/>
  <c r="X3088" i="1"/>
  <c r="I3089" i="1"/>
  <c r="X3089" i="1"/>
  <c r="I3090" i="1"/>
  <c r="X3090" i="1"/>
  <c r="X3091" i="1"/>
  <c r="X3092" i="1"/>
  <c r="I3093" i="1"/>
  <c r="X3093" i="1"/>
  <c r="X3094" i="1"/>
  <c r="X3095" i="1"/>
  <c r="I3096" i="1"/>
  <c r="X3096" i="1"/>
  <c r="X3097" i="1"/>
  <c r="X3098" i="1"/>
  <c r="I3099" i="1"/>
  <c r="X3099" i="1"/>
  <c r="I3100" i="1"/>
  <c r="X3100" i="1"/>
  <c r="I3101" i="1"/>
  <c r="X3101" i="1"/>
  <c r="X3102" i="1"/>
  <c r="X3103" i="1"/>
  <c r="I3104" i="1"/>
  <c r="X3104" i="1"/>
  <c r="X3105" i="1"/>
  <c r="X3106" i="1"/>
  <c r="I3107" i="1"/>
  <c r="X3107" i="1"/>
  <c r="X3108" i="1"/>
  <c r="X3109" i="1"/>
  <c r="I3110" i="1"/>
  <c r="X3110" i="1"/>
  <c r="X3111" i="1"/>
  <c r="X3112" i="1"/>
  <c r="I3113" i="1"/>
  <c r="X3113" i="1"/>
  <c r="X3114" i="1"/>
  <c r="X3115" i="1"/>
  <c r="I3116" i="1"/>
  <c r="X3116" i="1"/>
  <c r="I3117" i="1"/>
  <c r="X3117" i="1"/>
  <c r="X3118" i="1"/>
  <c r="X3119" i="1"/>
  <c r="I3120" i="1"/>
  <c r="X3120" i="1"/>
  <c r="I3121" i="1"/>
  <c r="X3121" i="1"/>
  <c r="X3122" i="1"/>
  <c r="X3123" i="1"/>
  <c r="I3124" i="1"/>
  <c r="X3124" i="1"/>
  <c r="X3125" i="1"/>
  <c r="X3126" i="1"/>
  <c r="I3127" i="1"/>
  <c r="X3127" i="1"/>
  <c r="X3128" i="1"/>
  <c r="X3129" i="1"/>
  <c r="I3130" i="1"/>
  <c r="X3130" i="1"/>
  <c r="I3131" i="1"/>
  <c r="X3131" i="1"/>
  <c r="I3132" i="1"/>
  <c r="X3132" i="1"/>
  <c r="I3133" i="1"/>
  <c r="X3133" i="1"/>
  <c r="X3134" i="1"/>
  <c r="X3135" i="1"/>
  <c r="I3136" i="1"/>
  <c r="X3136" i="1"/>
  <c r="X3137" i="1"/>
  <c r="X3138" i="1"/>
  <c r="I3139" i="1"/>
  <c r="X3139" i="1"/>
  <c r="I3140" i="1"/>
  <c r="X3140" i="1"/>
  <c r="I3141" i="1"/>
  <c r="X3141" i="1"/>
  <c r="X3142" i="1"/>
  <c r="X3143" i="1"/>
  <c r="I3144" i="1"/>
  <c r="X3144" i="1"/>
  <c r="I3145" i="1"/>
  <c r="X3145" i="1"/>
  <c r="I3146" i="1"/>
  <c r="X3146" i="1"/>
  <c r="I3147" i="1"/>
  <c r="X3147" i="1"/>
  <c r="X3148" i="1"/>
  <c r="X3149" i="1"/>
  <c r="I3150" i="1"/>
  <c r="X3150" i="1"/>
  <c r="X3151" i="1"/>
  <c r="X3152" i="1"/>
  <c r="I3153" i="1"/>
  <c r="X3153" i="1"/>
  <c r="X3154" i="1"/>
  <c r="X3155" i="1"/>
  <c r="I3156" i="1"/>
  <c r="X3156" i="1"/>
  <c r="I3157" i="1"/>
  <c r="X3157" i="1"/>
  <c r="X3158" i="1"/>
  <c r="X3159" i="1"/>
  <c r="I3160" i="1"/>
  <c r="X3160" i="1"/>
  <c r="X3161" i="1"/>
  <c r="X3162" i="1"/>
  <c r="I3163" i="1"/>
  <c r="X3163" i="1"/>
  <c r="I3164" i="1"/>
  <c r="X3164" i="1"/>
  <c r="X3165" i="1"/>
  <c r="X3166" i="1"/>
  <c r="I3167" i="1"/>
  <c r="X3167" i="1"/>
  <c r="X3168" i="1"/>
  <c r="X3169" i="1"/>
  <c r="I3170" i="1"/>
  <c r="X3170" i="1"/>
  <c r="X3171" i="1"/>
  <c r="X3172" i="1"/>
  <c r="I3173" i="1"/>
  <c r="X3173" i="1"/>
  <c r="X3174" i="1"/>
  <c r="X3175" i="1"/>
  <c r="I3176" i="1"/>
  <c r="X3176" i="1"/>
  <c r="I3177" i="1"/>
  <c r="X3177" i="1"/>
  <c r="I3178" i="1"/>
  <c r="X3178" i="1"/>
  <c r="X3179" i="1"/>
  <c r="X3180" i="1"/>
  <c r="I3181" i="1"/>
  <c r="X3181" i="1"/>
  <c r="I3182" i="1"/>
  <c r="X3182" i="1"/>
  <c r="X3183" i="1"/>
  <c r="X3184" i="1"/>
  <c r="I3185" i="1"/>
  <c r="X3185" i="1"/>
  <c r="I3186" i="1"/>
  <c r="X3186" i="1"/>
  <c r="X3187" i="1"/>
  <c r="X3188" i="1"/>
  <c r="I3189" i="1"/>
  <c r="X3189" i="1"/>
  <c r="I3190" i="1"/>
  <c r="X3190" i="1"/>
  <c r="X3191" i="1"/>
  <c r="X3192" i="1"/>
  <c r="I3193" i="1"/>
  <c r="X3193" i="1"/>
  <c r="I3194" i="1"/>
  <c r="X3194" i="1"/>
  <c r="X3195" i="1"/>
  <c r="X3196" i="1"/>
  <c r="I3197" i="1"/>
  <c r="X3197" i="1"/>
  <c r="I3198" i="1"/>
  <c r="X3198" i="1"/>
  <c r="X3199" i="1"/>
  <c r="X3200" i="1"/>
  <c r="X3201" i="1"/>
  <c r="I3202" i="1"/>
  <c r="X3202" i="1"/>
  <c r="I3203" i="1"/>
  <c r="X3203" i="1"/>
  <c r="X3204" i="1"/>
  <c r="X3205" i="1"/>
  <c r="I3206" i="1"/>
  <c r="X3206" i="1"/>
  <c r="X3207" i="1"/>
  <c r="X3208" i="1"/>
  <c r="I3209" i="1"/>
  <c r="X3209" i="1"/>
  <c r="X3210" i="1"/>
  <c r="X3211" i="1"/>
  <c r="I3212" i="1"/>
  <c r="X3212" i="1"/>
  <c r="X3213" i="1"/>
  <c r="X3214" i="1"/>
  <c r="I3215" i="1"/>
  <c r="X3215" i="1"/>
  <c r="X3216" i="1"/>
  <c r="X3217" i="1"/>
  <c r="I3218" i="1"/>
  <c r="X3218" i="1"/>
  <c r="X3219" i="1"/>
  <c r="X3220" i="1"/>
  <c r="I3221" i="1"/>
  <c r="X3221" i="1"/>
  <c r="X3222" i="1"/>
  <c r="X3223" i="1"/>
  <c r="I3224" i="1"/>
  <c r="X3224" i="1"/>
  <c r="X3225" i="1"/>
  <c r="X3226" i="1"/>
  <c r="I3227" i="1"/>
  <c r="X3227" i="1"/>
  <c r="X3228" i="1"/>
  <c r="X3229" i="1"/>
  <c r="I3230" i="1"/>
  <c r="X3230" i="1"/>
  <c r="I3231" i="1"/>
  <c r="X3231" i="1"/>
  <c r="X3232" i="1"/>
  <c r="X3233" i="1"/>
  <c r="I3234" i="1"/>
  <c r="X3234" i="1"/>
  <c r="I3235" i="1"/>
  <c r="X3235" i="1"/>
  <c r="I3236" i="1"/>
  <c r="X3236" i="1"/>
  <c r="X3237" i="1"/>
  <c r="X3238" i="1"/>
  <c r="I3239" i="1"/>
  <c r="X3239" i="1"/>
  <c r="I3240" i="1"/>
  <c r="X3240" i="1"/>
  <c r="I3241" i="1"/>
  <c r="X3241" i="1"/>
  <c r="X3242" i="1"/>
  <c r="X3243" i="1"/>
  <c r="I3244" i="1"/>
  <c r="X3244" i="1"/>
  <c r="I3245" i="1"/>
  <c r="X3245" i="1"/>
  <c r="X3246" i="1"/>
  <c r="X3247" i="1"/>
  <c r="I3248" i="1"/>
  <c r="X3248" i="1"/>
  <c r="X3249" i="1"/>
  <c r="X3250" i="1"/>
  <c r="I3251" i="1"/>
  <c r="X3251" i="1"/>
  <c r="I3252" i="1"/>
  <c r="X3252" i="1"/>
  <c r="I3253" i="1"/>
  <c r="X3253" i="1"/>
  <c r="I3254" i="1"/>
  <c r="X3254" i="1"/>
  <c r="I3255" i="1"/>
  <c r="X3255" i="1"/>
  <c r="X3256" i="1"/>
  <c r="X3257" i="1"/>
  <c r="I3258" i="1"/>
  <c r="X3258" i="1"/>
  <c r="X3259" i="1"/>
  <c r="X3260" i="1"/>
  <c r="I3261" i="1"/>
  <c r="X3261" i="1"/>
  <c r="I3262" i="1"/>
  <c r="X3262" i="1"/>
  <c r="X3263" i="1"/>
  <c r="X3264" i="1"/>
  <c r="I3265" i="1"/>
  <c r="X3265" i="1"/>
  <c r="I3266" i="1"/>
  <c r="X3266" i="1"/>
  <c r="I3267" i="1"/>
  <c r="X3267" i="1"/>
  <c r="I3268" i="1"/>
  <c r="X3268" i="1"/>
  <c r="I3269" i="1"/>
  <c r="X3269" i="1"/>
  <c r="I3270" i="1"/>
  <c r="X3270" i="1"/>
  <c r="I3271" i="1"/>
  <c r="X3271" i="1"/>
  <c r="I3272" i="1"/>
  <c r="X3272" i="1"/>
  <c r="I3273" i="1"/>
  <c r="X3273" i="1"/>
  <c r="I3274" i="1"/>
  <c r="X3274" i="1"/>
  <c r="I3275" i="1"/>
  <c r="X3275" i="1"/>
  <c r="I3276" i="1"/>
  <c r="X3276" i="1"/>
  <c r="I3277" i="1"/>
  <c r="X3277" i="1"/>
  <c r="I3278" i="1"/>
  <c r="X3278" i="1"/>
  <c r="I3279" i="1"/>
  <c r="X3279" i="1"/>
  <c r="X3280" i="1"/>
  <c r="X3281" i="1"/>
  <c r="I3282" i="1"/>
  <c r="X3282" i="1"/>
  <c r="I3283" i="1"/>
  <c r="X3283" i="1"/>
  <c r="I3284" i="1"/>
  <c r="X3284" i="1"/>
  <c r="X3285" i="1"/>
  <c r="X3286" i="1"/>
  <c r="I3287" i="1"/>
  <c r="X3287" i="1"/>
  <c r="I3288" i="1"/>
  <c r="X3288" i="1"/>
  <c r="I3289" i="1"/>
  <c r="X3289" i="1"/>
  <c r="X3290" i="1"/>
  <c r="X3291" i="1"/>
  <c r="I3292" i="1"/>
  <c r="X3292" i="1"/>
  <c r="X3293" i="1"/>
  <c r="X3294" i="1"/>
  <c r="I3295" i="1"/>
  <c r="X3295" i="1"/>
  <c r="I3296" i="1"/>
  <c r="X3296" i="1"/>
  <c r="X3297" i="1"/>
  <c r="X3298" i="1"/>
  <c r="I3299" i="1"/>
  <c r="X3299" i="1"/>
  <c r="X3300" i="1"/>
  <c r="X3301" i="1"/>
  <c r="I3302" i="1"/>
  <c r="X3302" i="1"/>
  <c r="I3303" i="1"/>
  <c r="X3303" i="1"/>
  <c r="X3304" i="1"/>
  <c r="X3305" i="1"/>
  <c r="I3306" i="1"/>
  <c r="X3306" i="1"/>
  <c r="I3307" i="1"/>
  <c r="X3307" i="1"/>
  <c r="I3308" i="1"/>
  <c r="X3308" i="1"/>
  <c r="I3309" i="1"/>
  <c r="X3309" i="1"/>
  <c r="I3310" i="1"/>
  <c r="X3310" i="1"/>
  <c r="X3311" i="1"/>
  <c r="X3312" i="1"/>
  <c r="I3313" i="1"/>
  <c r="X3313" i="1"/>
  <c r="I3314" i="1"/>
  <c r="X3314" i="1"/>
  <c r="I3315" i="1"/>
  <c r="X3315" i="1"/>
  <c r="X3316" i="1"/>
  <c r="X3317" i="1"/>
  <c r="I3318" i="1"/>
  <c r="X3318" i="1"/>
  <c r="X3319" i="1"/>
  <c r="X3320" i="1"/>
  <c r="I3321" i="1"/>
  <c r="X3321" i="1"/>
  <c r="X3322" i="1"/>
  <c r="X3323" i="1"/>
  <c r="I3324" i="1"/>
  <c r="X3324" i="1"/>
  <c r="X3325" i="1"/>
  <c r="X3326" i="1"/>
  <c r="I3327" i="1"/>
  <c r="X3327" i="1"/>
  <c r="X3328" i="1"/>
  <c r="X3329" i="1"/>
  <c r="I3330" i="1"/>
  <c r="X3330" i="1"/>
  <c r="I3331" i="1"/>
  <c r="X3331" i="1"/>
  <c r="X3332" i="1"/>
  <c r="X3333" i="1"/>
  <c r="I3334" i="1"/>
  <c r="X3334" i="1"/>
  <c r="I3335" i="1"/>
  <c r="X3335" i="1"/>
  <c r="I3336" i="1"/>
  <c r="X3336" i="1"/>
  <c r="I3337" i="1"/>
  <c r="X3337" i="1"/>
  <c r="I3338" i="1"/>
  <c r="X3338" i="1"/>
  <c r="I3339" i="1"/>
  <c r="X3339" i="1"/>
  <c r="I3340" i="1"/>
  <c r="X3340" i="1"/>
  <c r="I3341" i="1"/>
  <c r="X3341" i="1"/>
  <c r="I3342" i="1"/>
  <c r="X3342" i="1"/>
  <c r="X3343" i="1"/>
  <c r="X3344" i="1"/>
  <c r="I3345" i="1"/>
  <c r="X3345" i="1"/>
  <c r="X3346" i="1"/>
  <c r="X3347" i="1"/>
  <c r="I3348" i="1"/>
  <c r="X3348" i="1"/>
  <c r="X3349" i="1"/>
  <c r="X3350" i="1"/>
  <c r="I3351" i="1"/>
  <c r="X3351" i="1"/>
  <c r="X3352" i="1"/>
  <c r="X3353" i="1"/>
  <c r="I3354" i="1"/>
  <c r="X3354" i="1"/>
  <c r="X3355" i="1"/>
  <c r="X3356" i="1"/>
  <c r="I3357" i="1"/>
  <c r="X3357" i="1"/>
  <c r="I3358" i="1"/>
  <c r="X3358" i="1"/>
  <c r="X3359" i="1"/>
  <c r="X3360" i="1"/>
  <c r="I3361" i="1"/>
  <c r="X3361" i="1"/>
  <c r="X3362" i="1"/>
  <c r="X3363" i="1"/>
  <c r="I3364" i="1"/>
  <c r="X3364" i="1"/>
  <c r="I3365" i="1"/>
  <c r="X3365" i="1"/>
  <c r="I3366" i="1"/>
  <c r="X3366" i="1"/>
  <c r="I3367" i="1"/>
  <c r="X3367" i="1"/>
  <c r="X3368" i="1"/>
  <c r="X3369" i="1"/>
  <c r="I3370" i="1"/>
  <c r="X3370" i="1"/>
  <c r="I3371" i="1"/>
  <c r="X3371" i="1"/>
  <c r="I3372" i="1"/>
  <c r="X3372" i="1"/>
  <c r="I3373" i="1"/>
  <c r="X3373" i="1"/>
  <c r="I3374" i="1"/>
  <c r="X3374" i="1"/>
  <c r="I3375" i="1"/>
  <c r="X3375" i="1"/>
  <c r="I3376" i="1"/>
  <c r="X3376" i="1"/>
  <c r="I3377" i="1"/>
  <c r="X3377" i="1"/>
  <c r="I3378" i="1"/>
  <c r="X3378" i="1"/>
  <c r="I3379" i="1"/>
  <c r="X3379" i="1"/>
  <c r="I3380" i="1"/>
  <c r="X3380" i="1"/>
  <c r="I3381" i="1"/>
  <c r="X3381" i="1"/>
  <c r="X3382" i="1"/>
  <c r="X3383" i="1"/>
  <c r="I3384" i="1"/>
  <c r="X3384" i="1"/>
  <c r="I3385" i="1"/>
  <c r="X3385" i="1"/>
  <c r="X3386" i="1"/>
  <c r="X3387" i="1"/>
  <c r="I3388" i="1"/>
  <c r="X3388" i="1"/>
  <c r="I3389" i="1"/>
  <c r="X3389" i="1"/>
  <c r="I3390" i="1"/>
  <c r="X3390" i="1"/>
  <c r="X3391" i="1"/>
  <c r="X3392" i="1"/>
  <c r="I3393" i="1"/>
  <c r="X3393" i="1"/>
  <c r="I3394" i="1"/>
  <c r="X3394" i="1"/>
  <c r="X3395" i="1"/>
  <c r="X3396" i="1"/>
  <c r="I3397" i="1"/>
  <c r="X3397" i="1"/>
  <c r="I3398" i="1"/>
  <c r="X3398" i="1"/>
  <c r="X3399" i="1"/>
  <c r="X3400" i="1"/>
  <c r="I3401" i="1"/>
  <c r="X3401" i="1"/>
  <c r="I3402" i="1"/>
  <c r="X3402" i="1"/>
  <c r="I3403" i="1"/>
  <c r="X3403" i="1"/>
  <c r="I3404" i="1"/>
  <c r="X3404" i="1"/>
  <c r="I3405" i="1"/>
  <c r="X3405" i="1"/>
  <c r="X3406" i="1"/>
  <c r="X3407" i="1"/>
  <c r="I3408" i="1"/>
  <c r="X3408" i="1"/>
  <c r="I3409" i="1"/>
  <c r="X3409" i="1"/>
  <c r="I3410" i="1"/>
  <c r="X3410" i="1"/>
  <c r="X3411" i="1"/>
  <c r="X3412" i="1"/>
  <c r="I3413" i="1"/>
  <c r="X3413" i="1"/>
  <c r="X3414" i="1"/>
  <c r="X3415" i="1"/>
  <c r="I3416" i="1"/>
  <c r="X3416" i="1"/>
  <c r="I3417" i="1"/>
  <c r="X3417" i="1"/>
  <c r="X3418" i="1"/>
  <c r="X3419" i="1"/>
  <c r="I3420" i="1"/>
  <c r="X3420" i="1"/>
  <c r="X3421" i="1"/>
  <c r="X3422" i="1"/>
  <c r="I3423" i="1"/>
  <c r="X3423" i="1"/>
  <c r="X3424" i="1"/>
  <c r="X3425" i="1"/>
  <c r="I3426" i="1"/>
  <c r="X3426" i="1"/>
  <c r="I3427" i="1"/>
  <c r="X3427" i="1"/>
  <c r="X3428" i="1"/>
  <c r="X3429" i="1"/>
  <c r="I3430" i="1"/>
  <c r="X3430" i="1"/>
  <c r="I3431" i="1"/>
  <c r="X3431" i="1"/>
  <c r="I3432" i="1"/>
  <c r="X3432" i="1"/>
  <c r="X3433" i="1"/>
  <c r="X3434" i="1"/>
  <c r="I3435" i="1"/>
  <c r="X3435" i="1"/>
  <c r="I3436" i="1"/>
  <c r="X3436" i="1"/>
  <c r="I3437" i="1"/>
  <c r="X3437" i="1"/>
  <c r="I3438" i="1"/>
  <c r="X3438" i="1"/>
  <c r="I3439" i="1"/>
  <c r="X3439" i="1"/>
  <c r="I3440" i="1"/>
  <c r="X3440" i="1"/>
  <c r="X3441" i="1"/>
  <c r="X3442" i="1"/>
  <c r="I3443" i="1"/>
  <c r="X3443" i="1"/>
  <c r="X3444" i="1"/>
  <c r="X3445" i="1"/>
  <c r="I3446" i="1"/>
  <c r="X3446" i="1"/>
  <c r="X3447" i="1"/>
  <c r="X3448" i="1"/>
  <c r="I3449" i="1"/>
  <c r="X3449" i="1"/>
  <c r="X3450" i="1"/>
  <c r="X3451" i="1"/>
  <c r="I3452" i="1"/>
  <c r="X3452" i="1"/>
  <c r="X3453" i="1"/>
  <c r="X3454" i="1"/>
  <c r="I3455" i="1"/>
  <c r="X3455" i="1"/>
  <c r="X3456" i="1"/>
  <c r="X3457" i="1"/>
  <c r="I3458" i="1"/>
  <c r="X3458" i="1"/>
  <c r="I3459" i="1"/>
  <c r="X3459" i="1"/>
  <c r="X3460" i="1"/>
  <c r="X3461" i="1"/>
  <c r="I3462" i="1"/>
  <c r="X3462" i="1"/>
  <c r="X3463" i="1"/>
  <c r="X3464" i="1"/>
  <c r="I3465" i="1"/>
  <c r="X3465" i="1"/>
  <c r="X3466" i="1"/>
  <c r="X3467" i="1"/>
  <c r="I3468" i="1"/>
  <c r="X3468" i="1"/>
  <c r="X3469" i="1"/>
  <c r="X3470" i="1"/>
  <c r="I3471" i="1"/>
  <c r="X3471" i="1"/>
  <c r="X3472" i="1"/>
  <c r="X3473" i="1"/>
  <c r="I3474" i="1"/>
  <c r="X3474" i="1"/>
  <c r="I3475" i="1"/>
  <c r="X3475" i="1"/>
  <c r="I3476" i="1"/>
  <c r="X3476" i="1"/>
  <c r="I3477" i="1"/>
  <c r="X3477" i="1"/>
  <c r="X3478" i="1"/>
  <c r="X3479" i="1"/>
  <c r="I3480" i="1"/>
  <c r="X3480" i="1"/>
  <c r="X3481" i="1"/>
  <c r="X3482" i="1"/>
  <c r="I3483" i="1"/>
  <c r="X3483" i="1"/>
  <c r="X3484" i="1"/>
  <c r="X3485" i="1"/>
  <c r="I3486" i="1"/>
  <c r="X3486" i="1"/>
  <c r="X3487" i="1"/>
  <c r="X3488" i="1"/>
  <c r="I3489" i="1"/>
  <c r="X3489" i="1"/>
  <c r="I3490" i="1"/>
  <c r="X3490" i="1"/>
  <c r="X3491" i="1"/>
  <c r="X3492" i="1"/>
  <c r="I3493" i="1"/>
  <c r="X3493" i="1"/>
  <c r="I3494" i="1"/>
  <c r="X3494" i="1"/>
  <c r="I3495" i="1"/>
  <c r="X3495" i="1"/>
  <c r="X3496" i="1"/>
  <c r="X3497" i="1"/>
  <c r="I3498" i="1"/>
  <c r="X3498" i="1"/>
  <c r="X3499" i="1"/>
  <c r="X3500" i="1"/>
  <c r="I3501" i="1"/>
  <c r="X3501" i="1"/>
  <c r="I3502" i="1"/>
  <c r="X3502" i="1"/>
  <c r="X3503" i="1"/>
  <c r="X3504" i="1"/>
  <c r="I3505" i="1"/>
  <c r="X3505" i="1"/>
  <c r="X3506" i="1"/>
  <c r="X3507" i="1"/>
  <c r="I3508" i="1"/>
  <c r="X3508" i="1"/>
  <c r="I3509" i="1"/>
  <c r="X3509" i="1"/>
  <c r="I3510" i="1"/>
  <c r="X3510" i="1"/>
  <c r="X3511" i="1"/>
  <c r="X3512" i="1"/>
  <c r="I3513" i="1"/>
  <c r="X3513" i="1"/>
  <c r="I3514" i="1"/>
  <c r="X3514" i="1"/>
  <c r="X3515" i="1"/>
  <c r="X3516" i="1"/>
  <c r="I3517" i="1"/>
  <c r="X3517" i="1"/>
  <c r="X3518" i="1"/>
  <c r="X3519" i="1"/>
  <c r="I3520" i="1"/>
  <c r="X3520" i="1"/>
  <c r="X3521" i="1"/>
  <c r="X3522" i="1"/>
  <c r="I3523" i="1"/>
  <c r="X3523" i="1"/>
  <c r="I3524" i="1"/>
  <c r="X3524" i="1"/>
  <c r="I3525" i="1"/>
  <c r="X3525" i="1"/>
  <c r="I3526" i="1"/>
  <c r="X3526" i="1"/>
  <c r="I3527" i="1"/>
  <c r="X3527" i="1"/>
  <c r="I3528" i="1"/>
  <c r="X3528" i="1"/>
  <c r="I3529" i="1"/>
  <c r="X3529" i="1"/>
  <c r="I3530" i="1"/>
  <c r="X3530" i="1"/>
  <c r="I3531" i="1"/>
  <c r="X3531" i="1"/>
  <c r="I3532" i="1"/>
  <c r="X3532" i="1"/>
  <c r="I3533" i="1"/>
  <c r="X3533" i="1"/>
  <c r="I3534" i="1"/>
  <c r="X3534" i="1"/>
  <c r="X3535" i="1"/>
  <c r="X3536" i="1"/>
  <c r="I3537" i="1"/>
  <c r="X3537" i="1"/>
  <c r="I3538" i="1"/>
  <c r="X3538" i="1"/>
  <c r="X3539" i="1"/>
  <c r="X3540" i="1"/>
  <c r="I3541" i="1"/>
  <c r="X3541" i="1"/>
  <c r="I3542" i="1"/>
  <c r="X3542" i="1"/>
  <c r="I3543" i="1"/>
  <c r="X3543" i="1"/>
  <c r="I3544" i="1"/>
  <c r="X3544" i="1"/>
  <c r="X3545" i="1"/>
  <c r="X3546" i="1"/>
  <c r="I3547" i="1"/>
  <c r="X3547" i="1"/>
  <c r="I3548" i="1"/>
  <c r="X3548" i="1"/>
  <c r="I3549" i="1"/>
  <c r="X3549" i="1"/>
  <c r="I3550" i="1"/>
  <c r="X3550" i="1"/>
  <c r="I3551" i="1"/>
  <c r="X3551" i="1"/>
  <c r="I3552" i="1"/>
  <c r="X3552" i="1"/>
  <c r="I3553" i="1"/>
  <c r="X3553" i="1"/>
  <c r="X3554" i="1"/>
  <c r="X3555" i="1"/>
  <c r="I3556" i="1"/>
  <c r="X3556" i="1"/>
  <c r="I3557" i="1"/>
  <c r="X3557" i="1"/>
  <c r="X3558" i="1"/>
  <c r="X3559" i="1"/>
  <c r="I3560" i="1"/>
  <c r="X3560" i="1"/>
  <c r="I3561" i="1"/>
  <c r="X3561" i="1"/>
  <c r="X3562" i="1"/>
  <c r="X3563" i="1"/>
  <c r="I3564" i="1"/>
  <c r="X3564" i="1"/>
  <c r="X3565" i="1"/>
  <c r="X3566" i="1"/>
  <c r="I3567" i="1"/>
  <c r="X3567" i="1"/>
  <c r="I3568" i="1"/>
  <c r="X3568" i="1"/>
  <c r="X3569" i="1"/>
  <c r="X3570" i="1"/>
  <c r="I3571" i="1"/>
  <c r="X3571" i="1"/>
  <c r="I3572" i="1"/>
  <c r="X3572" i="1"/>
  <c r="X3573" i="1"/>
  <c r="X3574" i="1"/>
  <c r="I3575" i="1"/>
  <c r="X3575" i="1"/>
  <c r="X3576" i="1"/>
  <c r="X3577" i="1"/>
  <c r="I3578" i="1"/>
  <c r="X3578" i="1"/>
  <c r="X3579" i="1"/>
  <c r="X3580" i="1"/>
  <c r="I3581" i="1"/>
  <c r="X3581" i="1"/>
  <c r="X3582" i="1"/>
  <c r="X3583" i="1"/>
  <c r="I3584" i="1"/>
  <c r="X3584" i="1"/>
  <c r="X3585" i="1"/>
  <c r="X3586" i="1"/>
  <c r="I3587" i="1"/>
  <c r="X3587" i="1"/>
  <c r="X3588" i="1"/>
  <c r="X3589" i="1"/>
  <c r="I3590" i="1"/>
  <c r="X3590" i="1"/>
  <c r="X3591" i="1"/>
  <c r="X3592" i="1"/>
  <c r="I3593" i="1"/>
  <c r="X3593" i="1"/>
  <c r="X3594" i="1"/>
  <c r="X3595" i="1"/>
  <c r="I3596" i="1"/>
  <c r="X3596" i="1"/>
  <c r="X3597" i="1"/>
  <c r="X3598" i="1"/>
  <c r="I3599" i="1"/>
  <c r="X3599" i="1"/>
  <c r="X3600" i="1"/>
  <c r="X3601" i="1"/>
  <c r="I3602" i="1"/>
  <c r="X3602" i="1"/>
  <c r="I3603" i="1"/>
  <c r="X3603" i="1"/>
  <c r="I3604" i="1"/>
  <c r="X3604" i="1"/>
  <c r="I3605" i="1"/>
  <c r="X3605" i="1"/>
  <c r="X3606" i="1"/>
  <c r="X3607" i="1"/>
  <c r="I3608" i="1"/>
  <c r="X3608" i="1"/>
  <c r="X3609" i="1"/>
  <c r="X3610" i="1"/>
  <c r="I3611" i="1"/>
  <c r="X3611" i="1"/>
  <c r="X3612" i="1"/>
  <c r="X3613" i="1"/>
  <c r="I3614" i="1"/>
  <c r="X3614" i="1"/>
  <c r="I3615" i="1"/>
  <c r="X3615" i="1"/>
  <c r="I3616" i="1"/>
  <c r="X3616" i="1"/>
  <c r="I3617" i="1"/>
  <c r="X3617" i="1"/>
  <c r="X3618" i="1"/>
  <c r="X3619" i="1"/>
  <c r="I3620" i="1"/>
  <c r="X3620" i="1"/>
  <c r="X3621" i="1"/>
  <c r="X3622" i="1"/>
  <c r="I3623" i="1"/>
  <c r="X3623" i="1"/>
  <c r="I3624" i="1"/>
  <c r="X3624" i="1"/>
  <c r="I3625" i="1"/>
  <c r="X3625" i="1"/>
  <c r="X3626" i="1"/>
  <c r="X3627" i="1"/>
  <c r="I3628" i="1"/>
  <c r="X3628" i="1"/>
  <c r="X3629" i="1"/>
  <c r="X3630" i="1"/>
  <c r="I3631" i="1"/>
  <c r="X3631" i="1"/>
  <c r="I3632" i="1"/>
  <c r="X3632" i="1"/>
  <c r="X3633" i="1"/>
  <c r="X3634" i="1"/>
  <c r="I3635" i="1"/>
  <c r="X3635" i="1"/>
  <c r="X3636" i="1"/>
  <c r="X3637" i="1"/>
  <c r="I3638" i="1"/>
  <c r="X3638" i="1"/>
  <c r="I3639" i="1"/>
  <c r="X3639" i="1"/>
  <c r="I3640" i="1"/>
  <c r="X3640" i="1"/>
  <c r="I3641" i="1"/>
  <c r="X3641" i="1"/>
  <c r="I3642" i="1"/>
  <c r="X3642" i="1"/>
  <c r="I3643" i="1"/>
  <c r="X3643" i="1"/>
  <c r="I3644" i="1"/>
  <c r="X3644" i="1"/>
  <c r="X3645" i="1"/>
  <c r="X3646" i="1"/>
  <c r="I3647" i="1"/>
  <c r="X3647" i="1"/>
  <c r="X3648" i="1"/>
  <c r="X3649" i="1"/>
  <c r="I3650" i="1"/>
  <c r="X3650" i="1"/>
  <c r="X3651" i="1"/>
  <c r="X3652" i="1"/>
  <c r="I3653" i="1"/>
  <c r="X3653" i="1"/>
  <c r="I3654" i="1"/>
  <c r="X3654" i="1"/>
  <c r="X3655" i="1"/>
  <c r="X3656" i="1"/>
  <c r="I3657" i="1"/>
  <c r="X3657" i="1"/>
  <c r="X3658" i="1"/>
  <c r="X3659" i="1"/>
  <c r="I3660" i="1"/>
  <c r="X3660" i="1"/>
  <c r="I3661" i="1"/>
  <c r="X3661" i="1"/>
  <c r="I3662" i="1"/>
  <c r="X3662" i="1"/>
  <c r="I3663" i="1"/>
  <c r="X3663" i="1"/>
  <c r="X3664" i="1"/>
  <c r="X3665" i="1"/>
  <c r="I3666" i="1"/>
  <c r="X3666" i="1"/>
  <c r="X3667" i="1"/>
  <c r="X3668" i="1"/>
  <c r="I3669" i="1"/>
  <c r="X3669" i="1"/>
  <c r="X3670" i="1"/>
  <c r="X3671" i="1"/>
  <c r="I3672" i="1"/>
  <c r="X3672" i="1"/>
  <c r="I3673" i="1"/>
  <c r="X3673" i="1"/>
  <c r="I3674" i="1"/>
  <c r="X3674" i="1"/>
  <c r="I3675" i="1"/>
  <c r="X3675" i="1"/>
  <c r="I3676" i="1"/>
  <c r="X3676" i="1"/>
  <c r="X3677" i="1"/>
  <c r="X3678" i="1"/>
  <c r="I3679" i="1"/>
  <c r="X3679" i="1"/>
  <c r="X3680" i="1"/>
  <c r="X3681" i="1"/>
  <c r="I3682" i="1"/>
  <c r="X3682" i="1"/>
  <c r="X3683" i="1"/>
  <c r="X3684" i="1"/>
  <c r="I3685" i="1"/>
  <c r="X3685" i="1"/>
  <c r="I3686" i="1"/>
  <c r="X3686" i="1"/>
  <c r="I3687" i="1"/>
  <c r="X3687" i="1"/>
  <c r="X3688" i="1"/>
  <c r="X3689" i="1"/>
  <c r="X3690" i="1"/>
  <c r="I3691" i="1"/>
  <c r="X3691" i="1"/>
  <c r="X3692" i="1"/>
  <c r="X3693" i="1"/>
  <c r="I3694" i="1"/>
  <c r="X3694" i="1"/>
  <c r="I3695" i="1"/>
  <c r="X3695" i="1"/>
  <c r="I3696" i="1"/>
  <c r="X3696" i="1"/>
  <c r="I3697" i="1"/>
  <c r="X3697" i="1"/>
  <c r="I3698" i="1"/>
  <c r="X3698" i="1"/>
  <c r="I3699" i="1"/>
  <c r="X3699" i="1"/>
  <c r="I3700" i="1"/>
  <c r="X3700" i="1"/>
  <c r="I3701" i="1"/>
  <c r="X3701" i="1"/>
  <c r="X3702" i="1"/>
  <c r="X3703" i="1"/>
  <c r="I3704" i="1"/>
  <c r="X3704" i="1"/>
  <c r="I3705" i="1"/>
  <c r="X3705" i="1"/>
  <c r="X3706" i="1"/>
  <c r="X3707" i="1"/>
  <c r="I3708" i="1"/>
  <c r="X3708" i="1"/>
  <c r="X3709" i="1"/>
  <c r="X3710" i="1"/>
  <c r="I3711" i="1"/>
  <c r="X3711" i="1"/>
  <c r="I3712" i="1"/>
  <c r="X3712" i="1"/>
  <c r="X3713" i="1"/>
  <c r="X3714" i="1"/>
  <c r="I3715" i="1"/>
  <c r="X3715" i="1"/>
  <c r="I3716" i="1"/>
  <c r="X3716" i="1"/>
  <c r="I3717" i="1"/>
  <c r="X3717" i="1"/>
  <c r="I3718" i="1"/>
  <c r="X3718" i="1"/>
  <c r="X3719" i="1"/>
  <c r="X3720" i="1"/>
  <c r="I3721" i="1"/>
  <c r="X3721" i="1"/>
  <c r="I3722" i="1"/>
  <c r="X3722" i="1"/>
  <c r="I3723" i="1"/>
  <c r="X3723" i="1"/>
  <c r="I3724" i="1"/>
  <c r="X3724" i="1"/>
  <c r="I3725" i="1"/>
  <c r="X3725" i="1"/>
  <c r="I3726" i="1"/>
  <c r="X3726" i="1"/>
  <c r="I3727" i="1"/>
  <c r="X3727" i="1"/>
  <c r="X3728" i="1"/>
  <c r="X3729" i="1"/>
  <c r="I3730" i="1"/>
  <c r="X3730" i="1"/>
  <c r="X3731" i="1"/>
  <c r="X3732" i="1"/>
  <c r="I3733" i="1"/>
  <c r="X3733" i="1"/>
  <c r="X3734" i="1"/>
  <c r="X3735" i="1"/>
  <c r="I3736" i="1"/>
  <c r="X3736" i="1"/>
  <c r="X3737" i="1"/>
  <c r="X3738" i="1"/>
  <c r="I3739" i="1"/>
  <c r="X3739" i="1"/>
  <c r="X3740" i="1"/>
  <c r="X3741" i="1"/>
  <c r="I3742" i="1"/>
  <c r="X3742" i="1"/>
  <c r="X3743" i="1"/>
  <c r="X3744" i="1"/>
  <c r="I3745" i="1"/>
  <c r="X3745" i="1"/>
  <c r="I3746" i="1"/>
  <c r="X3746" i="1"/>
  <c r="X3747" i="1"/>
  <c r="X3748" i="1"/>
  <c r="I3749" i="1"/>
  <c r="X3749" i="1"/>
  <c r="I3750" i="1"/>
  <c r="X3750" i="1"/>
  <c r="X3751" i="1"/>
  <c r="X3752" i="1"/>
  <c r="I3753" i="1"/>
  <c r="X3753" i="1"/>
  <c r="I3754" i="1"/>
  <c r="X3754" i="1"/>
  <c r="X3755" i="1"/>
  <c r="X3756" i="1"/>
  <c r="I3757" i="1"/>
  <c r="X3757" i="1"/>
  <c r="I3758" i="1"/>
  <c r="X3758" i="1"/>
  <c r="X3759" i="1"/>
  <c r="X3760" i="1"/>
  <c r="I3761" i="1"/>
  <c r="X3761" i="1"/>
  <c r="X3762" i="1"/>
  <c r="X3763" i="1"/>
  <c r="I3764" i="1"/>
  <c r="X3764" i="1"/>
  <c r="X3765" i="1"/>
  <c r="X3766" i="1"/>
  <c r="I3767" i="1"/>
  <c r="X3767" i="1"/>
  <c r="X3768" i="1"/>
  <c r="X3769" i="1"/>
  <c r="I3770" i="1"/>
  <c r="X3770" i="1"/>
  <c r="X3771" i="1"/>
  <c r="X3772" i="1"/>
  <c r="I3773" i="1"/>
  <c r="X3773" i="1"/>
  <c r="X3774" i="1"/>
  <c r="X3775" i="1"/>
  <c r="I3776" i="1"/>
  <c r="X3776" i="1"/>
  <c r="X3777" i="1"/>
  <c r="X3778" i="1"/>
  <c r="I3779" i="1"/>
  <c r="X3779" i="1"/>
  <c r="I3780" i="1"/>
  <c r="X3780" i="1"/>
  <c r="X3781" i="1"/>
  <c r="X3782" i="1"/>
  <c r="I3783" i="1"/>
  <c r="X3783" i="1"/>
  <c r="I3784" i="1"/>
  <c r="X3784" i="1"/>
  <c r="I3785" i="1"/>
  <c r="X3785" i="1"/>
  <c r="I3786" i="1"/>
  <c r="X3786" i="1"/>
  <c r="I3787" i="1"/>
  <c r="X3787" i="1"/>
  <c r="X3788" i="1"/>
  <c r="X3789" i="1"/>
  <c r="I3790" i="1"/>
  <c r="X3790" i="1"/>
  <c r="I3791" i="1"/>
  <c r="X3791" i="1"/>
  <c r="I3792" i="1"/>
  <c r="X3792" i="1"/>
  <c r="I3793" i="1"/>
  <c r="X3793" i="1"/>
  <c r="I3794" i="1"/>
  <c r="X3794" i="1"/>
  <c r="X3795" i="1"/>
  <c r="X3796" i="1"/>
  <c r="I3797" i="1"/>
  <c r="X3797" i="1"/>
  <c r="I3798" i="1"/>
  <c r="X3798" i="1"/>
  <c r="I3799" i="1"/>
  <c r="X3799" i="1"/>
  <c r="X3800" i="1"/>
  <c r="X3801" i="1"/>
  <c r="I3802" i="1"/>
  <c r="X3802" i="1"/>
  <c r="X3803" i="1"/>
  <c r="X3804" i="1"/>
  <c r="I3805" i="1"/>
  <c r="X3805" i="1"/>
  <c r="I3806" i="1"/>
  <c r="X3806" i="1"/>
  <c r="X3807" i="1"/>
  <c r="X3808" i="1"/>
  <c r="I3809" i="1"/>
  <c r="X3809" i="1"/>
  <c r="X3810" i="1"/>
  <c r="X3811" i="1"/>
  <c r="I3812" i="1"/>
  <c r="X3812" i="1"/>
  <c r="X3813" i="1"/>
  <c r="X3814" i="1"/>
  <c r="I3815" i="1"/>
  <c r="X3815" i="1"/>
  <c r="X3816" i="1"/>
  <c r="X3817" i="1"/>
  <c r="I3818" i="1"/>
  <c r="X3818" i="1"/>
  <c r="X3819" i="1"/>
  <c r="X3820" i="1"/>
  <c r="I3821" i="1"/>
  <c r="X3821" i="1"/>
  <c r="X3822" i="1"/>
  <c r="X3823" i="1"/>
  <c r="I3824" i="1"/>
  <c r="X3824" i="1"/>
  <c r="I3825" i="1"/>
  <c r="X3825" i="1"/>
  <c r="X3826" i="1"/>
  <c r="X3827" i="1"/>
  <c r="I3828" i="1"/>
  <c r="X3828" i="1"/>
  <c r="X3829" i="1"/>
  <c r="X3830" i="1"/>
  <c r="I3831" i="1"/>
  <c r="X3831" i="1"/>
  <c r="I3832" i="1"/>
  <c r="X3832" i="1"/>
  <c r="I3833" i="1"/>
  <c r="X3833" i="1"/>
  <c r="X3834" i="1"/>
  <c r="X3835" i="1"/>
  <c r="I3836" i="1"/>
  <c r="X3836" i="1"/>
  <c r="I3837" i="1"/>
  <c r="X3837" i="1"/>
  <c r="X3838" i="1"/>
  <c r="X3839" i="1"/>
  <c r="I3840" i="1"/>
  <c r="X3840" i="1"/>
  <c r="X3841" i="1"/>
  <c r="X3842" i="1"/>
  <c r="I3843" i="1"/>
  <c r="X3843" i="1"/>
  <c r="I3844" i="1"/>
  <c r="X3844" i="1"/>
  <c r="X3845" i="1"/>
  <c r="X3846" i="1"/>
  <c r="I3847" i="1"/>
  <c r="X3847" i="1"/>
  <c r="I3848" i="1"/>
  <c r="X3848" i="1"/>
  <c r="I3849" i="1"/>
  <c r="X3849" i="1"/>
  <c r="X3850" i="1"/>
  <c r="X3851" i="1"/>
  <c r="X3852" i="1"/>
  <c r="I3853" i="1"/>
  <c r="X3853" i="1"/>
  <c r="I3854" i="1"/>
  <c r="X3854" i="1"/>
  <c r="I3855" i="1"/>
  <c r="X3855" i="1"/>
  <c r="I3856" i="1"/>
  <c r="X3856" i="1"/>
  <c r="X3857" i="1"/>
  <c r="X3858" i="1"/>
  <c r="I3859" i="1"/>
  <c r="X3859" i="1"/>
  <c r="I3860" i="1"/>
  <c r="X3860" i="1"/>
  <c r="I3861" i="1"/>
  <c r="X3861" i="1"/>
  <c r="X3862" i="1"/>
  <c r="X3863" i="1"/>
  <c r="I3864" i="1"/>
  <c r="X3864" i="1"/>
  <c r="I3865" i="1"/>
  <c r="X3865" i="1"/>
  <c r="I3866" i="1"/>
  <c r="X3866" i="1"/>
  <c r="I3867" i="1"/>
  <c r="X3867" i="1"/>
  <c r="X3868" i="1"/>
  <c r="X3869" i="1"/>
  <c r="I3870" i="1"/>
  <c r="X3870" i="1"/>
  <c r="X3871" i="1"/>
  <c r="X3872" i="1"/>
  <c r="X3873" i="1"/>
  <c r="I3874" i="1"/>
  <c r="X3874" i="1"/>
  <c r="I3875" i="1"/>
  <c r="X3875" i="1"/>
  <c r="X3876" i="1"/>
  <c r="X3877" i="1"/>
  <c r="I3878" i="1"/>
  <c r="X3878" i="1"/>
  <c r="I3879" i="1"/>
  <c r="X3879" i="1"/>
  <c r="I3880" i="1"/>
  <c r="X3880" i="1"/>
  <c r="I3881" i="1"/>
  <c r="X3881" i="1"/>
  <c r="X3882" i="1"/>
  <c r="X3883" i="1"/>
  <c r="I3884" i="1"/>
  <c r="X3884" i="1"/>
  <c r="I3885" i="1"/>
  <c r="X3885" i="1"/>
  <c r="X3886" i="1"/>
  <c r="X3887" i="1"/>
  <c r="I3888" i="1"/>
  <c r="X3888" i="1"/>
  <c r="X3889" i="1"/>
  <c r="X3890" i="1"/>
  <c r="I3891" i="1"/>
  <c r="X3891" i="1"/>
  <c r="X3892" i="1"/>
  <c r="X3893" i="1"/>
  <c r="I3894" i="1"/>
  <c r="X3894" i="1"/>
  <c r="I3895" i="1"/>
  <c r="X3895" i="1"/>
  <c r="X3896" i="1"/>
  <c r="X3897" i="1"/>
  <c r="I3898" i="1"/>
  <c r="X3898" i="1"/>
  <c r="I3899" i="1"/>
  <c r="X3899" i="1"/>
  <c r="I3900" i="1"/>
  <c r="X3900" i="1"/>
  <c r="I3901" i="1"/>
  <c r="X3901" i="1"/>
  <c r="I3902" i="1"/>
  <c r="X3902" i="1"/>
  <c r="I3903" i="1"/>
  <c r="X3903" i="1"/>
  <c r="X3904" i="1"/>
  <c r="X3905" i="1"/>
  <c r="I3906" i="1"/>
  <c r="X3906" i="1"/>
  <c r="X3907" i="1"/>
  <c r="X3908" i="1"/>
  <c r="I3909" i="1"/>
  <c r="X3909" i="1"/>
  <c r="I3910" i="1"/>
  <c r="X3910" i="1"/>
  <c r="X3911" i="1"/>
  <c r="X3912" i="1"/>
  <c r="I3913" i="1"/>
  <c r="X3913" i="1"/>
  <c r="I3914" i="1"/>
  <c r="X3914" i="1"/>
  <c r="X3915" i="1"/>
  <c r="X3916" i="1"/>
  <c r="I3917" i="1"/>
  <c r="X3917" i="1"/>
  <c r="X3918" i="1"/>
  <c r="X3919" i="1"/>
  <c r="I3920" i="1"/>
  <c r="X3920" i="1"/>
  <c r="I3921" i="1"/>
  <c r="X3921" i="1"/>
  <c r="X3922" i="1"/>
  <c r="X3923" i="1"/>
  <c r="I3924" i="1"/>
  <c r="X3924" i="1"/>
  <c r="X3925" i="1"/>
  <c r="X3926" i="1"/>
  <c r="I3927" i="1"/>
  <c r="X3927" i="1"/>
  <c r="I3928" i="1"/>
  <c r="X3928" i="1"/>
  <c r="X3929" i="1"/>
  <c r="X3930" i="1"/>
  <c r="I3931" i="1"/>
  <c r="X3931" i="1"/>
  <c r="X3932" i="1"/>
  <c r="X3933" i="1"/>
  <c r="I3934" i="1"/>
  <c r="X3934" i="1"/>
  <c r="X3935" i="1"/>
  <c r="X3936" i="1"/>
  <c r="I3937" i="1"/>
  <c r="X3937" i="1"/>
  <c r="X3938" i="1"/>
  <c r="X3939" i="1"/>
  <c r="I3940" i="1"/>
  <c r="X3940" i="1"/>
  <c r="X3941" i="1"/>
  <c r="X3942" i="1"/>
  <c r="I3943" i="1"/>
  <c r="X3943" i="1"/>
  <c r="I3944" i="1"/>
  <c r="X3944" i="1"/>
  <c r="X3945" i="1"/>
  <c r="X3946" i="1"/>
  <c r="I3947" i="1"/>
  <c r="X3947" i="1"/>
  <c r="I3948" i="1"/>
  <c r="X3948" i="1"/>
  <c r="X3949" i="1"/>
  <c r="X3950" i="1"/>
  <c r="I3951" i="1"/>
  <c r="X3951" i="1"/>
  <c r="I3952" i="1"/>
  <c r="X3952" i="1"/>
  <c r="X3953" i="1"/>
  <c r="X3954" i="1"/>
  <c r="I3955" i="1"/>
  <c r="X3955" i="1"/>
  <c r="I3956" i="1"/>
  <c r="X3956" i="1"/>
  <c r="I3957" i="1"/>
  <c r="X3957" i="1"/>
  <c r="I3958" i="1"/>
  <c r="X3958" i="1"/>
  <c r="I3959" i="1"/>
  <c r="X3959" i="1"/>
  <c r="X3960" i="1"/>
  <c r="X3961" i="1"/>
  <c r="I3962" i="1"/>
  <c r="X3962" i="1"/>
  <c r="X3963" i="1"/>
  <c r="X3964" i="1"/>
  <c r="I3965" i="1"/>
  <c r="X3965" i="1"/>
  <c r="X3966" i="1"/>
  <c r="X3967" i="1"/>
  <c r="X3968" i="1"/>
  <c r="I3969" i="1"/>
  <c r="X3969" i="1"/>
  <c r="X3970" i="1"/>
  <c r="X3971" i="1"/>
  <c r="I3972" i="1"/>
  <c r="X3972" i="1"/>
  <c r="X3973" i="1"/>
  <c r="X3974" i="1"/>
  <c r="I3975" i="1"/>
  <c r="X3975" i="1"/>
  <c r="I3976" i="1"/>
  <c r="X3976" i="1"/>
  <c r="I3977" i="1"/>
  <c r="X3977" i="1"/>
  <c r="I3978" i="1"/>
  <c r="X3978" i="1"/>
  <c r="I3979" i="1"/>
  <c r="X3979" i="1"/>
  <c r="I3980" i="1"/>
  <c r="X3980" i="1"/>
  <c r="I3981" i="1"/>
  <c r="X3981" i="1"/>
  <c r="I3982" i="1"/>
  <c r="X3982" i="1"/>
  <c r="I3983" i="1"/>
  <c r="X3983" i="1"/>
  <c r="I3984" i="1"/>
  <c r="X3984" i="1"/>
  <c r="I3985" i="1"/>
  <c r="X3985" i="1"/>
  <c r="I3986" i="1"/>
  <c r="X3986" i="1"/>
  <c r="I3987" i="1"/>
  <c r="X3987" i="1"/>
  <c r="I3988" i="1"/>
  <c r="X3988" i="1"/>
  <c r="I3989" i="1"/>
  <c r="X3989" i="1"/>
  <c r="X3990" i="1"/>
  <c r="X3991" i="1"/>
  <c r="I3992" i="1"/>
  <c r="X3992" i="1"/>
  <c r="I3993" i="1"/>
  <c r="X3993" i="1"/>
  <c r="X3994" i="1"/>
  <c r="X3995" i="1"/>
  <c r="I3996" i="1"/>
  <c r="X3996" i="1"/>
  <c r="I3997" i="1"/>
  <c r="X3997" i="1"/>
  <c r="I3998" i="1"/>
  <c r="X3998" i="1"/>
  <c r="I3999" i="1"/>
  <c r="X3999" i="1"/>
  <c r="I4000" i="1"/>
  <c r="X4000" i="1"/>
  <c r="I4001" i="1"/>
  <c r="X4001" i="1"/>
  <c r="I4002" i="1"/>
  <c r="X4002" i="1"/>
  <c r="I4003" i="1"/>
  <c r="X4003" i="1"/>
  <c r="I4004" i="1"/>
  <c r="X4004" i="1"/>
  <c r="X4005" i="1"/>
  <c r="X4006" i="1"/>
  <c r="I4007" i="1"/>
  <c r="X4007" i="1"/>
  <c r="X4008" i="1"/>
  <c r="X4009" i="1"/>
  <c r="I4010" i="1"/>
  <c r="X4010" i="1"/>
  <c r="I4011" i="1"/>
  <c r="X4011" i="1"/>
  <c r="I4012" i="1"/>
  <c r="X4012" i="1"/>
  <c r="X4013" i="1"/>
  <c r="X4014" i="1"/>
  <c r="I4015" i="1"/>
  <c r="X4015" i="1"/>
  <c r="I4016" i="1"/>
  <c r="X4016" i="1"/>
  <c r="I4017" i="1"/>
  <c r="X4017" i="1"/>
  <c r="I4018" i="1"/>
  <c r="X4018" i="1"/>
  <c r="X4019" i="1"/>
  <c r="X4020" i="1"/>
  <c r="I4021" i="1"/>
  <c r="X4021" i="1"/>
  <c r="X4022" i="1"/>
  <c r="X4023" i="1"/>
  <c r="I4024" i="1"/>
  <c r="X4024" i="1"/>
  <c r="X4025" i="1"/>
  <c r="X4026" i="1"/>
  <c r="I4027" i="1"/>
  <c r="X4027" i="1"/>
  <c r="I4028" i="1"/>
  <c r="X4028" i="1"/>
  <c r="I4029" i="1"/>
  <c r="X4029" i="1"/>
  <c r="I4030" i="1"/>
  <c r="X4030" i="1"/>
  <c r="X4031" i="1"/>
  <c r="X4032" i="1"/>
  <c r="I4033" i="1"/>
  <c r="X4033" i="1"/>
  <c r="X4034" i="1"/>
  <c r="X4035" i="1"/>
  <c r="I4036" i="1"/>
  <c r="X4036" i="1"/>
  <c r="I4037" i="1"/>
  <c r="X4037" i="1"/>
  <c r="X4038" i="1"/>
  <c r="X4039" i="1"/>
  <c r="I4040" i="1"/>
  <c r="X4040" i="1"/>
  <c r="X4041" i="1"/>
  <c r="X4042" i="1"/>
  <c r="I4043" i="1"/>
  <c r="X4043" i="1"/>
  <c r="I4044" i="1"/>
  <c r="X4044" i="1"/>
  <c r="I4045" i="1"/>
  <c r="X4045" i="1"/>
  <c r="I4046" i="1"/>
  <c r="X4046" i="1"/>
  <c r="X4047" i="1"/>
  <c r="X4048" i="1"/>
  <c r="I4049" i="1"/>
  <c r="X4049" i="1"/>
  <c r="X4050" i="1"/>
  <c r="X4051" i="1"/>
  <c r="I4052" i="1"/>
  <c r="X4052" i="1"/>
  <c r="I4053" i="1"/>
  <c r="X4053" i="1"/>
  <c r="X4054" i="1"/>
  <c r="X4055" i="1"/>
  <c r="I4056" i="1"/>
  <c r="X4056" i="1"/>
  <c r="I4057" i="1"/>
  <c r="X4057" i="1"/>
  <c r="I4058" i="1"/>
  <c r="X4058" i="1"/>
  <c r="I4059" i="1"/>
  <c r="X4059" i="1"/>
  <c r="X4060" i="1"/>
  <c r="X4061" i="1"/>
  <c r="I4062" i="1"/>
  <c r="X4062" i="1"/>
  <c r="X4063" i="1"/>
  <c r="X4064" i="1"/>
  <c r="I4065" i="1"/>
  <c r="X4065" i="1"/>
  <c r="X4066" i="1"/>
  <c r="X4067" i="1"/>
  <c r="I4068" i="1"/>
  <c r="X4068" i="1"/>
  <c r="X4069" i="1"/>
  <c r="X4070" i="1"/>
  <c r="I4071" i="1"/>
  <c r="X4071" i="1"/>
  <c r="X4072" i="1"/>
  <c r="X4073" i="1"/>
  <c r="I4074" i="1"/>
  <c r="X4074" i="1"/>
  <c r="X4075" i="1"/>
  <c r="X4076" i="1"/>
  <c r="I4077" i="1"/>
  <c r="X4077" i="1"/>
  <c r="I4078" i="1"/>
  <c r="X4078" i="1"/>
  <c r="X4079" i="1"/>
  <c r="X4080" i="1"/>
  <c r="I4081" i="1"/>
  <c r="X4081" i="1"/>
  <c r="I4082" i="1"/>
  <c r="X4082" i="1"/>
  <c r="X4083" i="1"/>
  <c r="X4084" i="1"/>
  <c r="I4085" i="1"/>
  <c r="X4085" i="1"/>
  <c r="I4086" i="1"/>
  <c r="X4086" i="1"/>
  <c r="I4087" i="1"/>
  <c r="X4087" i="1"/>
  <c r="X4088" i="1"/>
  <c r="X4089" i="1"/>
  <c r="I4090" i="1"/>
  <c r="X4090" i="1"/>
  <c r="I4091" i="1"/>
  <c r="X4091" i="1"/>
  <c r="X4092" i="1"/>
  <c r="X4093" i="1"/>
  <c r="I4094" i="1"/>
  <c r="X4094" i="1"/>
  <c r="X4095" i="1"/>
  <c r="X4096" i="1"/>
  <c r="I4097" i="1"/>
  <c r="X4097" i="1"/>
  <c r="I4098" i="1"/>
  <c r="X4098" i="1"/>
  <c r="X4099" i="1"/>
  <c r="X4100" i="1"/>
  <c r="I4101" i="1"/>
  <c r="X4101" i="1"/>
  <c r="X4102" i="1"/>
  <c r="X4103" i="1"/>
  <c r="I4104" i="1"/>
  <c r="X4104" i="1"/>
  <c r="X4105" i="1"/>
  <c r="X4106" i="1"/>
  <c r="I4107" i="1"/>
  <c r="X4107" i="1"/>
  <c r="X4108" i="1"/>
  <c r="X4109" i="1"/>
  <c r="I4110" i="1"/>
  <c r="X4110" i="1"/>
  <c r="I4111" i="1"/>
  <c r="X4111" i="1"/>
  <c r="I4112" i="1"/>
  <c r="X4112" i="1"/>
  <c r="I4113" i="1"/>
  <c r="X4113" i="1"/>
  <c r="I4114" i="1"/>
  <c r="X4114" i="1"/>
  <c r="X4115" i="1"/>
  <c r="X4116" i="1"/>
  <c r="I4117" i="1"/>
  <c r="X4117" i="1"/>
  <c r="X4118" i="1"/>
  <c r="X4119" i="1"/>
  <c r="I4120" i="1"/>
  <c r="X4120" i="1"/>
  <c r="I4121" i="1"/>
  <c r="X4121" i="1"/>
  <c r="X4122" i="1"/>
  <c r="X4123" i="1"/>
  <c r="I4124" i="1"/>
  <c r="X4124" i="1"/>
  <c r="I4125" i="1"/>
  <c r="X4125" i="1"/>
  <c r="X4126" i="1"/>
  <c r="X4127" i="1"/>
  <c r="I4128" i="1"/>
  <c r="X4128" i="1"/>
  <c r="I4129" i="1"/>
  <c r="X4129" i="1"/>
  <c r="I4130" i="1"/>
  <c r="X4130" i="1"/>
  <c r="I4131" i="1"/>
  <c r="X4131" i="1"/>
  <c r="I4132" i="1"/>
  <c r="X4132" i="1"/>
  <c r="I4133" i="1"/>
  <c r="X4133" i="1"/>
  <c r="X4134" i="1"/>
  <c r="X4135" i="1"/>
  <c r="I4136" i="1"/>
  <c r="X4136" i="1"/>
  <c r="X4137" i="1"/>
  <c r="X4138" i="1"/>
  <c r="I4139" i="1"/>
  <c r="X4139" i="1"/>
  <c r="X4140" i="1"/>
  <c r="X4141" i="1"/>
  <c r="I4142" i="1"/>
  <c r="X4142" i="1"/>
  <c r="I4143" i="1"/>
  <c r="X4143" i="1"/>
  <c r="I4144" i="1"/>
  <c r="X4144" i="1"/>
  <c r="I4145" i="1"/>
  <c r="X4145" i="1"/>
  <c r="X4146" i="1"/>
  <c r="X4147" i="1"/>
  <c r="I4148" i="1"/>
  <c r="X4148" i="1"/>
  <c r="X4149" i="1"/>
  <c r="X4150" i="1"/>
  <c r="I4151" i="1"/>
  <c r="X4151" i="1"/>
  <c r="X4152" i="1"/>
  <c r="X4153" i="1"/>
  <c r="I4154" i="1"/>
  <c r="X4154" i="1"/>
  <c r="I4155" i="1"/>
  <c r="X4155" i="1"/>
  <c r="I4156" i="1"/>
  <c r="X4156" i="1"/>
  <c r="X4157" i="1"/>
  <c r="X4158" i="1"/>
  <c r="X4159" i="1"/>
  <c r="I4160" i="1"/>
  <c r="X4160" i="1"/>
  <c r="X4161" i="1"/>
  <c r="X4162" i="1"/>
  <c r="I4163" i="1"/>
  <c r="X4163" i="1"/>
  <c r="X4164" i="1"/>
  <c r="X4165" i="1"/>
  <c r="I4166" i="1"/>
  <c r="X4166" i="1"/>
  <c r="I4167" i="1"/>
  <c r="X4167" i="1"/>
  <c r="I4168" i="1"/>
  <c r="X4168" i="1"/>
  <c r="I4169" i="1"/>
  <c r="X4169" i="1"/>
  <c r="X4170" i="1"/>
  <c r="X4171" i="1"/>
  <c r="I4172" i="1"/>
  <c r="X4172" i="1"/>
  <c r="X4173" i="1"/>
  <c r="X4174" i="1"/>
  <c r="I4175" i="1"/>
  <c r="X4175" i="1"/>
  <c r="X4176" i="1"/>
  <c r="X4177" i="1"/>
  <c r="I4178" i="1"/>
  <c r="X4178" i="1"/>
  <c r="X4179" i="1"/>
  <c r="X4180" i="1"/>
  <c r="I4181" i="1"/>
  <c r="X4181" i="1"/>
  <c r="I4182" i="1"/>
  <c r="X4182" i="1"/>
  <c r="I4183" i="1"/>
  <c r="X4183" i="1"/>
  <c r="I4184" i="1"/>
  <c r="X4184" i="1"/>
  <c r="X4185" i="1"/>
  <c r="X4186" i="1"/>
  <c r="I4187" i="1"/>
  <c r="X4187" i="1"/>
  <c r="X4188" i="1"/>
  <c r="X4189" i="1"/>
  <c r="I4190" i="1"/>
  <c r="X4190" i="1"/>
  <c r="I4191" i="1"/>
  <c r="X4191" i="1"/>
  <c r="I4192" i="1"/>
  <c r="X4192" i="1"/>
  <c r="I4193" i="1"/>
  <c r="X4193" i="1"/>
  <c r="I4194" i="1"/>
  <c r="X4194" i="1"/>
  <c r="I4195" i="1"/>
  <c r="X4195" i="1"/>
  <c r="I4196" i="1"/>
  <c r="X4196" i="1"/>
  <c r="I4197" i="1"/>
  <c r="X4197" i="1"/>
  <c r="I4198" i="1"/>
  <c r="X4198" i="1"/>
  <c r="X4199" i="1"/>
  <c r="X4200" i="1"/>
  <c r="I4201" i="1"/>
  <c r="X4201" i="1"/>
  <c r="X4202" i="1"/>
  <c r="X4203" i="1"/>
  <c r="X4204" i="1"/>
  <c r="I4205" i="1"/>
  <c r="X4205" i="1"/>
  <c r="X4206" i="1"/>
  <c r="X4207" i="1"/>
  <c r="I4208" i="1"/>
  <c r="X4208" i="1"/>
  <c r="X4209" i="1"/>
  <c r="X4210" i="1"/>
  <c r="I4211" i="1"/>
  <c r="X4211" i="1"/>
  <c r="I4212" i="1"/>
  <c r="X4212" i="1"/>
  <c r="X4213" i="1"/>
  <c r="X4214" i="1"/>
  <c r="X4215" i="1"/>
  <c r="X4234" i="1"/>
  <c r="J15" i="1"/>
  <c r="J18" i="1"/>
  <c r="J19" i="1"/>
  <c r="J20" i="1"/>
  <c r="J23" i="1"/>
  <c r="J26" i="1"/>
  <c r="J29" i="1"/>
  <c r="J32" i="1"/>
  <c r="J33" i="1"/>
  <c r="J36" i="1"/>
  <c r="J37" i="1"/>
  <c r="J40" i="1"/>
  <c r="J43" i="1"/>
  <c r="J44" i="1"/>
  <c r="J45" i="1"/>
  <c r="J46" i="1"/>
  <c r="J47" i="1"/>
  <c r="J50" i="1"/>
  <c r="J51" i="1"/>
  <c r="J52" i="1"/>
  <c r="J53" i="1"/>
  <c r="J56" i="1"/>
  <c r="J57" i="1"/>
  <c r="J58" i="1"/>
  <c r="J59" i="1"/>
  <c r="J62" i="1"/>
  <c r="J65" i="1"/>
  <c r="J68" i="1"/>
  <c r="J69" i="1"/>
  <c r="J70" i="1"/>
  <c r="J71" i="1"/>
  <c r="J72" i="1"/>
  <c r="J75" i="1"/>
  <c r="J76" i="1"/>
  <c r="J77" i="1"/>
  <c r="J78" i="1"/>
  <c r="J81" i="1"/>
  <c r="J84" i="1"/>
  <c r="J85" i="1"/>
  <c r="J86" i="1"/>
  <c r="J89" i="1"/>
  <c r="J92" i="1"/>
  <c r="J95" i="1"/>
  <c r="J98" i="1"/>
  <c r="J101" i="1"/>
  <c r="J102" i="1"/>
  <c r="J103" i="1"/>
  <c r="J104" i="1"/>
  <c r="J105" i="1"/>
  <c r="J106" i="1"/>
  <c r="J107" i="1"/>
  <c r="J108" i="1"/>
  <c r="J111" i="1"/>
  <c r="J114" i="1"/>
  <c r="J115" i="1"/>
  <c r="J116" i="1"/>
  <c r="J117" i="1"/>
  <c r="J120" i="1"/>
  <c r="J123" i="1"/>
  <c r="J126" i="1"/>
  <c r="J129" i="1"/>
  <c r="J130" i="1"/>
  <c r="J131" i="1"/>
  <c r="J132" i="1"/>
  <c r="J135" i="1"/>
  <c r="J136" i="1"/>
  <c r="J139" i="1"/>
  <c r="J140" i="1"/>
  <c r="J143" i="1"/>
  <c r="J144" i="1"/>
  <c r="J145" i="1"/>
  <c r="J146" i="1"/>
  <c r="J149" i="1"/>
  <c r="J152" i="1"/>
  <c r="J155" i="1"/>
  <c r="J156" i="1"/>
  <c r="J157" i="1"/>
  <c r="J160" i="1"/>
  <c r="J163" i="1"/>
  <c r="J166" i="1"/>
  <c r="J169" i="1"/>
  <c r="J170" i="1"/>
  <c r="J171" i="1"/>
  <c r="J172" i="1"/>
  <c r="J173" i="1"/>
  <c r="J174" i="1"/>
  <c r="J175" i="1"/>
  <c r="J178" i="1"/>
  <c r="J181" i="1"/>
  <c r="J184" i="1"/>
  <c r="J187" i="1"/>
  <c r="J190" i="1"/>
  <c r="J193" i="1"/>
  <c r="J196" i="1"/>
  <c r="J199" i="1"/>
  <c r="J202" i="1"/>
  <c r="J203" i="1"/>
  <c r="J206" i="1"/>
  <c r="J209" i="1"/>
  <c r="J210" i="1"/>
  <c r="J211" i="1"/>
  <c r="J212" i="1"/>
  <c r="J213" i="1"/>
  <c r="J216" i="1"/>
  <c r="J219" i="1"/>
  <c r="J222" i="1"/>
  <c r="J225" i="1"/>
  <c r="J228" i="1"/>
  <c r="J229" i="1"/>
  <c r="J230" i="1"/>
  <c r="J233" i="1"/>
  <c r="J234" i="1"/>
  <c r="J235" i="1"/>
  <c r="J238" i="1"/>
  <c r="J241" i="1"/>
  <c r="J242" i="1"/>
  <c r="J245" i="1"/>
  <c r="J248" i="1"/>
  <c r="J251" i="1"/>
  <c r="J254" i="1"/>
  <c r="J257" i="1"/>
  <c r="J260" i="1"/>
  <c r="J263" i="1"/>
  <c r="J264" i="1"/>
  <c r="J267" i="1"/>
  <c r="J271" i="1"/>
  <c r="J274" i="1"/>
  <c r="J277" i="1"/>
  <c r="J280" i="1"/>
  <c r="J281" i="1"/>
  <c r="J284" i="1"/>
  <c r="J287" i="1"/>
  <c r="J288" i="1"/>
  <c r="J291" i="1"/>
  <c r="J292" i="1"/>
  <c r="J293" i="1"/>
  <c r="J296" i="1"/>
  <c r="J299" i="1"/>
  <c r="J302" i="1"/>
  <c r="J305" i="1"/>
  <c r="J306" i="1"/>
  <c r="J307" i="1"/>
  <c r="J310" i="1"/>
  <c r="J313" i="1"/>
  <c r="J316" i="1"/>
  <c r="J319" i="1"/>
  <c r="J322" i="1"/>
  <c r="J325" i="1"/>
  <c r="J328" i="1"/>
  <c r="J331" i="1"/>
  <c r="J332" i="1"/>
  <c r="J333" i="1"/>
  <c r="J336" i="1"/>
  <c r="J337" i="1"/>
  <c r="J340" i="1"/>
  <c r="J342" i="1"/>
  <c r="J343" i="1"/>
  <c r="J344" i="1"/>
  <c r="J347" i="1"/>
  <c r="J350" i="1"/>
  <c r="J353" i="1"/>
  <c r="J354" i="1"/>
  <c r="J357" i="1"/>
  <c r="J358" i="1"/>
  <c r="J361" i="1"/>
  <c r="J362" i="1"/>
  <c r="J363" i="1"/>
  <c r="J366" i="1"/>
  <c r="J367" i="1"/>
  <c r="J370" i="1"/>
  <c r="J373" i="1"/>
  <c r="J376" i="1"/>
  <c r="J379" i="1"/>
  <c r="J382" i="1"/>
  <c r="J383" i="1"/>
  <c r="J384" i="1"/>
  <c r="J385" i="1"/>
  <c r="J386" i="1"/>
  <c r="J389" i="1"/>
  <c r="J392" i="1"/>
  <c r="J395" i="1"/>
  <c r="J398" i="1"/>
  <c r="J401" i="1"/>
  <c r="J402" i="1"/>
  <c r="J403" i="1"/>
  <c r="J406" i="1"/>
  <c r="J409" i="1"/>
  <c r="J410" i="1"/>
  <c r="J411" i="1"/>
  <c r="J412" i="1"/>
  <c r="J415" i="1"/>
  <c r="J418" i="1"/>
  <c r="J421" i="1"/>
  <c r="J422" i="1"/>
  <c r="J423" i="1"/>
  <c r="J426" i="1"/>
  <c r="J429" i="1"/>
  <c r="J430" i="1"/>
  <c r="J433" i="1"/>
  <c r="J436" i="1"/>
  <c r="J437" i="1"/>
  <c r="J438" i="1"/>
  <c r="J439" i="1"/>
  <c r="J440" i="1"/>
  <c r="J441" i="1"/>
  <c r="J444" i="1"/>
  <c r="J447" i="1"/>
  <c r="J448" i="1"/>
  <c r="J451" i="1"/>
  <c r="J452" i="1"/>
  <c r="J453" i="1"/>
  <c r="J454" i="1"/>
  <c r="J455" i="1"/>
  <c r="J458" i="1"/>
  <c r="J459" i="1"/>
  <c r="J462" i="1"/>
  <c r="J463" i="1"/>
  <c r="J464" i="1"/>
  <c r="J467" i="1"/>
  <c r="J468" i="1"/>
  <c r="J471" i="1"/>
  <c r="J474" i="1"/>
  <c r="J477" i="1"/>
  <c r="J478" i="1"/>
  <c r="J481" i="1"/>
  <c r="J484" i="1"/>
  <c r="J487" i="1"/>
  <c r="J488" i="1"/>
  <c r="J491" i="1"/>
  <c r="J492" i="1"/>
  <c r="J495" i="1"/>
  <c r="J498" i="1"/>
  <c r="J499" i="1"/>
  <c r="J500" i="1"/>
  <c r="J503" i="1"/>
  <c r="J506" i="1"/>
  <c r="J507" i="1"/>
  <c r="J510" i="1"/>
  <c r="J513" i="1"/>
  <c r="J514" i="1"/>
  <c r="J517" i="1"/>
  <c r="J518" i="1"/>
  <c r="J519" i="1"/>
  <c r="J520" i="1"/>
  <c r="J523" i="1"/>
  <c r="J526" i="1"/>
  <c r="J529" i="1"/>
  <c r="J532" i="1"/>
  <c r="J533" i="1"/>
  <c r="J534" i="1"/>
  <c r="J537" i="1"/>
  <c r="J540" i="1"/>
  <c r="J541" i="1"/>
  <c r="J544" i="1"/>
  <c r="J545" i="1"/>
  <c r="J546" i="1"/>
  <c r="J549" i="1"/>
  <c r="J550" i="1"/>
  <c r="J551" i="1"/>
  <c r="J554" i="1"/>
  <c r="J557" i="1"/>
  <c r="J560" i="1"/>
  <c r="J563" i="1"/>
  <c r="J564" i="1"/>
  <c r="J567" i="1"/>
  <c r="J570" i="1"/>
  <c r="J571" i="1"/>
  <c r="J574" i="1"/>
  <c r="J577" i="1"/>
  <c r="J578" i="1"/>
  <c r="J581" i="1"/>
  <c r="J582" i="1"/>
  <c r="J583" i="1"/>
  <c r="J584" i="1"/>
  <c r="J587" i="1"/>
  <c r="J590" i="1"/>
  <c r="J591" i="1"/>
  <c r="J595" i="1"/>
  <c r="J596" i="1"/>
  <c r="J599" i="1"/>
  <c r="J602" i="1"/>
  <c r="J605" i="1"/>
  <c r="J608" i="1"/>
  <c r="J609" i="1"/>
  <c r="J610" i="1"/>
  <c r="J611" i="1"/>
  <c r="J612" i="1"/>
  <c r="J615" i="1"/>
  <c r="J618" i="1"/>
  <c r="J621" i="1"/>
  <c r="J622" i="1"/>
  <c r="J625" i="1"/>
  <c r="J626" i="1"/>
  <c r="J627" i="1"/>
  <c r="J628" i="1"/>
  <c r="J629" i="1"/>
  <c r="J630" i="1"/>
  <c r="J633" i="1"/>
  <c r="J636" i="1"/>
  <c r="J639" i="1"/>
  <c r="J640" i="1"/>
  <c r="J641" i="1"/>
  <c r="J642" i="1"/>
  <c r="J643" i="1"/>
  <c r="J644" i="1"/>
  <c r="J647" i="1"/>
  <c r="J648" i="1"/>
  <c r="J649" i="1"/>
  <c r="J650" i="1"/>
  <c r="J653" i="1"/>
  <c r="J656" i="1"/>
  <c r="J657" i="1"/>
  <c r="J658" i="1"/>
  <c r="J661" i="1"/>
  <c r="J662" i="1"/>
  <c r="J663" i="1"/>
  <c r="J664" i="1"/>
  <c r="J665" i="1"/>
  <c r="J666" i="1"/>
  <c r="J669" i="1"/>
  <c r="J672" i="1"/>
  <c r="J673" i="1"/>
  <c r="J676" i="1"/>
  <c r="J679" i="1"/>
  <c r="J680" i="1"/>
  <c r="J683" i="1"/>
  <c r="J686" i="1"/>
  <c r="J687" i="1"/>
  <c r="J690" i="1"/>
  <c r="J693" i="1"/>
  <c r="J696" i="1"/>
  <c r="J697" i="1"/>
  <c r="J700" i="1"/>
  <c r="J703" i="1"/>
  <c r="J704" i="1"/>
  <c r="J705" i="1"/>
  <c r="J708" i="1"/>
  <c r="J709" i="1"/>
  <c r="J710" i="1"/>
  <c r="J713" i="1"/>
  <c r="J716" i="1"/>
  <c r="J719" i="1"/>
  <c r="J722" i="1"/>
  <c r="J725" i="1"/>
  <c r="J726" i="1"/>
  <c r="J727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4" i="1"/>
  <c r="J745" i="1"/>
  <c r="J746" i="1"/>
  <c r="J747" i="1"/>
  <c r="J748" i="1"/>
  <c r="J751" i="1"/>
  <c r="J754" i="1"/>
  <c r="J755" i="1"/>
  <c r="J758" i="1"/>
  <c r="J759" i="1"/>
  <c r="J760" i="1"/>
  <c r="J761" i="1"/>
  <c r="J762" i="1"/>
  <c r="J763" i="1"/>
  <c r="J764" i="1"/>
  <c r="J765" i="1"/>
  <c r="J766" i="1"/>
  <c r="J769" i="1"/>
  <c r="J772" i="1"/>
  <c r="J773" i="1"/>
  <c r="J776" i="1"/>
  <c r="J779" i="1"/>
  <c r="J782" i="1"/>
  <c r="J785" i="1"/>
  <c r="J786" i="1"/>
  <c r="J787" i="1"/>
  <c r="J788" i="1"/>
  <c r="J789" i="1"/>
  <c r="J792" i="1"/>
  <c r="J795" i="1"/>
  <c r="J798" i="1"/>
  <c r="J799" i="1"/>
  <c r="J800" i="1"/>
  <c r="J801" i="1"/>
  <c r="J802" i="1"/>
  <c r="J805" i="1"/>
  <c r="J808" i="1"/>
  <c r="J811" i="1"/>
  <c r="J814" i="1"/>
  <c r="J815" i="1"/>
  <c r="J816" i="1"/>
  <c r="J817" i="1"/>
  <c r="J820" i="1"/>
  <c r="J821" i="1"/>
  <c r="J822" i="1"/>
  <c r="J825" i="1"/>
  <c r="J826" i="1"/>
  <c r="J827" i="1"/>
  <c r="J828" i="1"/>
  <c r="J829" i="1"/>
  <c r="J830" i="1"/>
  <c r="J831" i="1"/>
  <c r="J834" i="1"/>
  <c r="J837" i="1"/>
  <c r="J840" i="1"/>
  <c r="J843" i="1"/>
  <c r="J846" i="1"/>
  <c r="J849" i="1"/>
  <c r="J852" i="1"/>
  <c r="J855" i="1"/>
  <c r="J856" i="1"/>
  <c r="J857" i="1"/>
  <c r="J858" i="1"/>
  <c r="J859" i="1"/>
  <c r="J860" i="1"/>
  <c r="J861" i="1"/>
  <c r="J862" i="1"/>
  <c r="J863" i="1"/>
  <c r="J864" i="1"/>
  <c r="J865" i="1"/>
  <c r="J868" i="1"/>
  <c r="J871" i="1"/>
  <c r="J872" i="1"/>
  <c r="J873" i="1"/>
  <c r="J876" i="1"/>
  <c r="J879" i="1"/>
  <c r="J882" i="1"/>
  <c r="J883" i="1"/>
  <c r="J886" i="1"/>
  <c r="J887" i="1"/>
  <c r="J888" i="1"/>
  <c r="J891" i="1"/>
  <c r="J892" i="1"/>
  <c r="J893" i="1"/>
  <c r="J894" i="1"/>
  <c r="J895" i="1"/>
  <c r="J898" i="1"/>
  <c r="J901" i="1"/>
  <c r="J904" i="1"/>
  <c r="J905" i="1"/>
  <c r="J908" i="1"/>
  <c r="J911" i="1"/>
  <c r="J914" i="1"/>
  <c r="J917" i="1"/>
  <c r="J918" i="1"/>
  <c r="J919" i="1"/>
  <c r="J922" i="1"/>
  <c r="J923" i="1"/>
  <c r="J926" i="1"/>
  <c r="J929" i="1"/>
  <c r="J930" i="1"/>
  <c r="J933" i="1"/>
  <c r="J936" i="1"/>
  <c r="J939" i="1"/>
  <c r="J942" i="1"/>
  <c r="J943" i="1"/>
  <c r="J946" i="1"/>
  <c r="J947" i="1"/>
  <c r="J950" i="1"/>
  <c r="J953" i="1"/>
  <c r="J954" i="1"/>
  <c r="J955" i="1"/>
  <c r="J956" i="1"/>
  <c r="J960" i="1"/>
  <c r="J963" i="1"/>
  <c r="J964" i="1"/>
  <c r="J967" i="1"/>
  <c r="J968" i="1"/>
  <c r="J971" i="1"/>
  <c r="J972" i="1"/>
  <c r="J973" i="1"/>
  <c r="J974" i="1"/>
  <c r="J975" i="1"/>
  <c r="J976" i="1"/>
  <c r="J977" i="1"/>
  <c r="J978" i="1"/>
  <c r="J981" i="1"/>
  <c r="J984" i="1"/>
  <c r="J985" i="1"/>
  <c r="J986" i="1"/>
  <c r="J989" i="1"/>
  <c r="J990" i="1"/>
  <c r="J993" i="1"/>
  <c r="J994" i="1"/>
  <c r="J995" i="1"/>
  <c r="J998" i="1"/>
  <c r="J999" i="1"/>
  <c r="J1002" i="1"/>
  <c r="J1005" i="1"/>
  <c r="J1006" i="1"/>
  <c r="J1009" i="1"/>
  <c r="J1012" i="1"/>
  <c r="J1013" i="1"/>
  <c r="J1014" i="1"/>
  <c r="J1015" i="1"/>
  <c r="J1018" i="1"/>
  <c r="J1019" i="1"/>
  <c r="J1020" i="1"/>
  <c r="J1021" i="1"/>
  <c r="J1022" i="1"/>
  <c r="J1023" i="1"/>
  <c r="J1024" i="1"/>
  <c r="J1025" i="1"/>
  <c r="J1028" i="1"/>
  <c r="J1029" i="1"/>
  <c r="J1032" i="1"/>
  <c r="J1033" i="1"/>
  <c r="J1034" i="1"/>
  <c r="J1037" i="1"/>
  <c r="J1040" i="1"/>
  <c r="J1043" i="1"/>
  <c r="J1044" i="1"/>
  <c r="J1045" i="1"/>
  <c r="J1046" i="1"/>
  <c r="J1049" i="1"/>
  <c r="J1050" i="1"/>
  <c r="J1051" i="1"/>
  <c r="J1054" i="1"/>
  <c r="J1057" i="1"/>
  <c r="J1060" i="1"/>
  <c r="J1063" i="1"/>
  <c r="J1066" i="1"/>
  <c r="J1069" i="1"/>
  <c r="J1072" i="1"/>
  <c r="J1075" i="1"/>
  <c r="J1078" i="1"/>
  <c r="J1079" i="1"/>
  <c r="J1082" i="1"/>
  <c r="J1083" i="1"/>
  <c r="J1084" i="1"/>
  <c r="J1085" i="1"/>
  <c r="J1086" i="1"/>
  <c r="J1089" i="1"/>
  <c r="J1090" i="1"/>
  <c r="J1093" i="1"/>
  <c r="J1094" i="1"/>
  <c r="J1097" i="1"/>
  <c r="J1098" i="1"/>
  <c r="J1099" i="1"/>
  <c r="J1100" i="1"/>
  <c r="J1103" i="1"/>
  <c r="J1104" i="1"/>
  <c r="J1105" i="1"/>
  <c r="J1106" i="1"/>
  <c r="J1107" i="1"/>
  <c r="J1108" i="1"/>
  <c r="J1109" i="1"/>
  <c r="J1110" i="1"/>
  <c r="J1113" i="1"/>
  <c r="J1116" i="1"/>
  <c r="J1119" i="1"/>
  <c r="J1120" i="1"/>
  <c r="J1123" i="1"/>
  <c r="J1126" i="1"/>
  <c r="J1129" i="1"/>
  <c r="J1130" i="1"/>
  <c r="J1131" i="1"/>
  <c r="J1134" i="1"/>
  <c r="J1135" i="1"/>
  <c r="J1136" i="1"/>
  <c r="J1137" i="1"/>
  <c r="J1138" i="1"/>
  <c r="J1141" i="1"/>
  <c r="J1142" i="1"/>
  <c r="J1145" i="1"/>
  <c r="J1149" i="1"/>
  <c r="J1152" i="1"/>
  <c r="J1155" i="1"/>
  <c r="J1156" i="1"/>
  <c r="J1157" i="1"/>
  <c r="J1158" i="1"/>
  <c r="J1161" i="1"/>
  <c r="J1162" i="1"/>
  <c r="J1165" i="1"/>
  <c r="J1168" i="1"/>
  <c r="J1171" i="1"/>
  <c r="J1174" i="1"/>
  <c r="J1177" i="1"/>
  <c r="J1178" i="1"/>
  <c r="J1181" i="1"/>
  <c r="J1182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10" i="1"/>
  <c r="J1211" i="1"/>
  <c r="J1212" i="1"/>
  <c r="J1213" i="1"/>
  <c r="J1214" i="1"/>
  <c r="J1215" i="1"/>
  <c r="J1216" i="1"/>
  <c r="J1219" i="1"/>
  <c r="J1220" i="1"/>
  <c r="J1221" i="1"/>
  <c r="J1222" i="1"/>
  <c r="J1225" i="1"/>
  <c r="J1226" i="1"/>
  <c r="J1229" i="1"/>
  <c r="J1230" i="1"/>
  <c r="J1231" i="1"/>
  <c r="J1232" i="1"/>
  <c r="J1233" i="1"/>
  <c r="J1234" i="1"/>
  <c r="J1235" i="1"/>
  <c r="J1236" i="1"/>
  <c r="J1237" i="1"/>
  <c r="J1240" i="1"/>
  <c r="J1243" i="1"/>
  <c r="J1246" i="1"/>
  <c r="J1249" i="1"/>
  <c r="J1250" i="1"/>
  <c r="J1253" i="1"/>
  <c r="J1256" i="1"/>
  <c r="J1259" i="1"/>
  <c r="J1260" i="1"/>
  <c r="J1261" i="1"/>
  <c r="J1262" i="1"/>
  <c r="J1265" i="1"/>
  <c r="J1266" i="1"/>
  <c r="J1269" i="1"/>
  <c r="J1270" i="1"/>
  <c r="J1273" i="1"/>
  <c r="J1276" i="1"/>
  <c r="J1277" i="1"/>
  <c r="J1280" i="1"/>
  <c r="J1281" i="1"/>
  <c r="J1284" i="1"/>
  <c r="J1285" i="1"/>
  <c r="J1288" i="1"/>
  <c r="J1289" i="1"/>
  <c r="J1292" i="1"/>
  <c r="J1295" i="1"/>
  <c r="J1299" i="1"/>
  <c r="J1302" i="1"/>
  <c r="J1305" i="1"/>
  <c r="J1306" i="1"/>
  <c r="J1307" i="1"/>
  <c r="J1308" i="1"/>
  <c r="J1311" i="1"/>
  <c r="J1312" i="1"/>
  <c r="J1315" i="1"/>
  <c r="J1318" i="1"/>
  <c r="J1319" i="1"/>
  <c r="J1320" i="1"/>
  <c r="J1321" i="1"/>
  <c r="J1322" i="1"/>
  <c r="J1323" i="1"/>
  <c r="J1326" i="1"/>
  <c r="J1329" i="1"/>
  <c r="J1330" i="1"/>
  <c r="J1333" i="1"/>
  <c r="J1336" i="1"/>
  <c r="J1339" i="1"/>
  <c r="J1340" i="1"/>
  <c r="J1341" i="1"/>
  <c r="J1342" i="1"/>
  <c r="J1345" i="1"/>
  <c r="J1346" i="1"/>
  <c r="J1347" i="1"/>
  <c r="J1348" i="1"/>
  <c r="J1351" i="1"/>
  <c r="J1354" i="1"/>
  <c r="J1357" i="1"/>
  <c r="J1358" i="1"/>
  <c r="J1361" i="1"/>
  <c r="J1364" i="1"/>
  <c r="J1367" i="1"/>
  <c r="J1370" i="1"/>
  <c r="J1371" i="1"/>
  <c r="J1372" i="1"/>
  <c r="J1373" i="1"/>
  <c r="J1374" i="1"/>
  <c r="J1375" i="1"/>
  <c r="J1378" i="1"/>
  <c r="J1379" i="1"/>
  <c r="J1380" i="1"/>
  <c r="J1383" i="1"/>
  <c r="J1386" i="1"/>
  <c r="J1387" i="1"/>
  <c r="J1388" i="1"/>
  <c r="J1391" i="1"/>
  <c r="J1392" i="1"/>
  <c r="J1393" i="1"/>
  <c r="J1394" i="1"/>
  <c r="J1395" i="1"/>
  <c r="J1398" i="1"/>
  <c r="J1399" i="1"/>
  <c r="J1400" i="1"/>
  <c r="J1403" i="1"/>
  <c r="J1406" i="1"/>
  <c r="J1407" i="1"/>
  <c r="J1408" i="1"/>
  <c r="J1409" i="1"/>
  <c r="J1410" i="1"/>
  <c r="J1411" i="1"/>
  <c r="J1412" i="1"/>
  <c r="J1415" i="1"/>
  <c r="J1416" i="1"/>
  <c r="J1419" i="1"/>
  <c r="J1420" i="1"/>
  <c r="J1421" i="1"/>
  <c r="J1422" i="1"/>
  <c r="J1423" i="1"/>
  <c r="J1424" i="1"/>
  <c r="J1425" i="1"/>
  <c r="J1426" i="1"/>
  <c r="J1429" i="1"/>
  <c r="J1430" i="1"/>
  <c r="J1431" i="1"/>
  <c r="J1432" i="1"/>
  <c r="J1433" i="1"/>
  <c r="J1434" i="1"/>
  <c r="J1435" i="1"/>
  <c r="J1436" i="1"/>
  <c r="J1437" i="1"/>
  <c r="J1440" i="1"/>
  <c r="J1441" i="1"/>
  <c r="J1444" i="1"/>
  <c r="J1445" i="1"/>
  <c r="J1446" i="1"/>
  <c r="J1449" i="1"/>
  <c r="J1452" i="1"/>
  <c r="J1453" i="1"/>
  <c r="J1454" i="1"/>
  <c r="J1457" i="1"/>
  <c r="J1460" i="1"/>
  <c r="J1463" i="1"/>
  <c r="J1466" i="1"/>
  <c r="J1467" i="1"/>
  <c r="J1468" i="1"/>
  <c r="J1471" i="1"/>
  <c r="J1475" i="1"/>
  <c r="J1476" i="1"/>
  <c r="J1477" i="1"/>
  <c r="J1480" i="1"/>
  <c r="J1483" i="1"/>
  <c r="J1486" i="1"/>
  <c r="J1489" i="1"/>
  <c r="J1492" i="1"/>
  <c r="J1493" i="1"/>
  <c r="J1496" i="1"/>
  <c r="J1499" i="1"/>
  <c r="J1502" i="1"/>
  <c r="J1505" i="1"/>
  <c r="J1508" i="1"/>
  <c r="J1511" i="1"/>
  <c r="J1512" i="1"/>
  <c r="J1513" i="1"/>
  <c r="J1514" i="1"/>
  <c r="J1515" i="1"/>
  <c r="J1518" i="1"/>
  <c r="J1519" i="1"/>
  <c r="J1522" i="1"/>
  <c r="J1523" i="1"/>
  <c r="J1524" i="1"/>
  <c r="J1525" i="1"/>
  <c r="J1526" i="1"/>
  <c r="J1527" i="1"/>
  <c r="J1530" i="1"/>
  <c r="J1533" i="1"/>
  <c r="J1534" i="1"/>
  <c r="J1535" i="1"/>
  <c r="J1536" i="1"/>
  <c r="J1537" i="1"/>
  <c r="J1538" i="1"/>
  <c r="J1539" i="1"/>
  <c r="J1540" i="1"/>
  <c r="J1541" i="1"/>
  <c r="J1544" i="1"/>
  <c r="J1545" i="1"/>
  <c r="J1546" i="1"/>
  <c r="J1549" i="1"/>
  <c r="J1552" i="1"/>
  <c r="J1555" i="1"/>
  <c r="J1556" i="1"/>
  <c r="J1559" i="1"/>
  <c r="J1562" i="1"/>
  <c r="J1565" i="1"/>
  <c r="J1568" i="1"/>
  <c r="J1571" i="1"/>
  <c r="J1572" i="1"/>
  <c r="J1575" i="1"/>
  <c r="J1578" i="1"/>
  <c r="J1579" i="1"/>
  <c r="J1580" i="1"/>
  <c r="J1581" i="1"/>
  <c r="J1584" i="1"/>
  <c r="J1585" i="1"/>
  <c r="J1588" i="1"/>
  <c r="J1589" i="1"/>
  <c r="J1592" i="1"/>
  <c r="J1595" i="1"/>
  <c r="J1596" i="1"/>
  <c r="J1597" i="1"/>
  <c r="J1598" i="1"/>
  <c r="J1599" i="1"/>
  <c r="J1600" i="1"/>
  <c r="J1601" i="1"/>
  <c r="J1604" i="1"/>
  <c r="J1605" i="1"/>
  <c r="J1606" i="1"/>
  <c r="J1609" i="1"/>
  <c r="J1610" i="1"/>
  <c r="J1611" i="1"/>
  <c r="J1614" i="1"/>
  <c r="J1617" i="1"/>
  <c r="J1620" i="1"/>
  <c r="J1623" i="1"/>
  <c r="J1624" i="1"/>
  <c r="J1627" i="1"/>
  <c r="J1630" i="1"/>
  <c r="J1631" i="1"/>
  <c r="J1632" i="1"/>
  <c r="J1635" i="1"/>
  <c r="J1638" i="1"/>
  <c r="J1639" i="1"/>
  <c r="J1640" i="1"/>
  <c r="J1641" i="1"/>
  <c r="J1642" i="1"/>
  <c r="J1643" i="1"/>
  <c r="J1644" i="1"/>
  <c r="J1645" i="1"/>
  <c r="J1648" i="1"/>
  <c r="J1649" i="1"/>
  <c r="J1650" i="1"/>
  <c r="J1651" i="1"/>
  <c r="J1654" i="1"/>
  <c r="J1655" i="1"/>
  <c r="J1658" i="1"/>
  <c r="J1660" i="1"/>
  <c r="J1661" i="1"/>
  <c r="J1662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4" i="1"/>
  <c r="J1687" i="1"/>
  <c r="J1688" i="1"/>
  <c r="J1691" i="1"/>
  <c r="J1692" i="1"/>
  <c r="J1693" i="1"/>
  <c r="J1694" i="1"/>
  <c r="J1695" i="1"/>
  <c r="J1696" i="1"/>
  <c r="J1697" i="1"/>
  <c r="J1700" i="1"/>
  <c r="J1701" i="1"/>
  <c r="J1704" i="1"/>
  <c r="J1705" i="1"/>
  <c r="J1708" i="1"/>
  <c r="J1711" i="1"/>
  <c r="J1714" i="1"/>
  <c r="J1715" i="1"/>
  <c r="J1716" i="1"/>
  <c r="J1717" i="1"/>
  <c r="J1720" i="1"/>
  <c r="J1721" i="1"/>
  <c r="J1722" i="1"/>
  <c r="J1725" i="1"/>
  <c r="J1726" i="1"/>
  <c r="J1729" i="1"/>
  <c r="J1730" i="1"/>
  <c r="J1731" i="1"/>
  <c r="J1734" i="1"/>
  <c r="J1737" i="1"/>
  <c r="J1740" i="1"/>
  <c r="J1743" i="1"/>
  <c r="J1744" i="1"/>
  <c r="J1747" i="1"/>
  <c r="J1750" i="1"/>
  <c r="J1753" i="1"/>
  <c r="J1754" i="1"/>
  <c r="J1755" i="1"/>
  <c r="J1756" i="1"/>
  <c r="J1757" i="1"/>
  <c r="J1760" i="1"/>
  <c r="J1761" i="1"/>
  <c r="J1764" i="1"/>
  <c r="J1765" i="1"/>
  <c r="J1766" i="1"/>
  <c r="J1770" i="1"/>
  <c r="J1773" i="1"/>
  <c r="J1776" i="1"/>
  <c r="J1777" i="1"/>
  <c r="J1778" i="1"/>
  <c r="J1779" i="1"/>
  <c r="J1782" i="1"/>
  <c r="J1783" i="1"/>
  <c r="J1784" i="1"/>
  <c r="J1787" i="1"/>
  <c r="J1788" i="1"/>
  <c r="J1789" i="1"/>
  <c r="J1792" i="1"/>
  <c r="J1793" i="1"/>
  <c r="J1796" i="1"/>
  <c r="J1799" i="1"/>
  <c r="J1802" i="1"/>
  <c r="J1803" i="1"/>
  <c r="J1804" i="1"/>
  <c r="J1807" i="1"/>
  <c r="J1810" i="1"/>
  <c r="J1813" i="1"/>
  <c r="J1814" i="1"/>
  <c r="J1815" i="1"/>
  <c r="J1816" i="1"/>
  <c r="J1819" i="1"/>
  <c r="J1820" i="1"/>
  <c r="J1821" i="1"/>
  <c r="J1824" i="1"/>
  <c r="J1827" i="1"/>
  <c r="J1828" i="1"/>
  <c r="J1829" i="1"/>
  <c r="J1830" i="1"/>
  <c r="J1831" i="1"/>
  <c r="J1834" i="1"/>
  <c r="J1835" i="1"/>
  <c r="J1836" i="1"/>
  <c r="J1837" i="1"/>
  <c r="J1840" i="1"/>
  <c r="J1843" i="1"/>
  <c r="J1846" i="1"/>
  <c r="J1849" i="1"/>
  <c r="J1852" i="1"/>
  <c r="J1853" i="1"/>
  <c r="J1854" i="1"/>
  <c r="J1857" i="1"/>
  <c r="J1860" i="1"/>
  <c r="J1863" i="1"/>
  <c r="J1866" i="1"/>
  <c r="J1869" i="1"/>
  <c r="J1872" i="1"/>
  <c r="J1875" i="1"/>
  <c r="J1878" i="1"/>
  <c r="J1879" i="1"/>
  <c r="J1880" i="1"/>
  <c r="J1881" i="1"/>
  <c r="J1882" i="1"/>
  <c r="J1883" i="1"/>
  <c r="J1886" i="1"/>
  <c r="J1887" i="1"/>
  <c r="J1888" i="1"/>
  <c r="J1891" i="1"/>
  <c r="J1894" i="1"/>
  <c r="J1895" i="1"/>
  <c r="J1898" i="1"/>
  <c r="J1899" i="1"/>
  <c r="J1902" i="1"/>
  <c r="J1903" i="1"/>
  <c r="J1906" i="1"/>
  <c r="J1910" i="1"/>
  <c r="J1913" i="1"/>
  <c r="J1916" i="1"/>
  <c r="J1919" i="1"/>
  <c r="J1922" i="1"/>
  <c r="J1925" i="1"/>
  <c r="J1926" i="1"/>
  <c r="J1929" i="1"/>
  <c r="J1932" i="1"/>
  <c r="J1935" i="1"/>
  <c r="J1938" i="1"/>
  <c r="J1941" i="1"/>
  <c r="J1942" i="1"/>
  <c r="J1945" i="1"/>
  <c r="J1946" i="1"/>
  <c r="J1947" i="1"/>
  <c r="J1948" i="1"/>
  <c r="J1949" i="1"/>
  <c r="J1952" i="1"/>
  <c r="J1955" i="1"/>
  <c r="J1958" i="1"/>
  <c r="J1962" i="1"/>
  <c r="J1965" i="1"/>
  <c r="J1966" i="1"/>
  <c r="J1969" i="1"/>
  <c r="J1970" i="1"/>
  <c r="J1971" i="1"/>
  <c r="J1972" i="1"/>
  <c r="J1973" i="1"/>
  <c r="J1974" i="1"/>
  <c r="J1977" i="1"/>
  <c r="J1980" i="1"/>
  <c r="J1983" i="1"/>
  <c r="J1984" i="1"/>
  <c r="J1987" i="1"/>
  <c r="J1988" i="1"/>
  <c r="J1991" i="1"/>
  <c r="J1992" i="1"/>
  <c r="J1995" i="1"/>
  <c r="J1996" i="1"/>
  <c r="J1999" i="1"/>
  <c r="J2002" i="1"/>
  <c r="J2005" i="1"/>
  <c r="J2006" i="1"/>
  <c r="J2007" i="1"/>
  <c r="J2008" i="1"/>
  <c r="J2011" i="1"/>
  <c r="J2014" i="1"/>
  <c r="J2017" i="1"/>
  <c r="J2020" i="1"/>
  <c r="J2023" i="1"/>
  <c r="J2026" i="1"/>
  <c r="J2027" i="1"/>
  <c r="J2030" i="1"/>
  <c r="J2033" i="1"/>
  <c r="J2034" i="1"/>
  <c r="J2035" i="1"/>
  <c r="J2038" i="1"/>
  <c r="J2041" i="1"/>
  <c r="J2045" i="1"/>
  <c r="J2046" i="1"/>
  <c r="J2047" i="1"/>
  <c r="J2050" i="1"/>
  <c r="J2051" i="1"/>
  <c r="J2052" i="1"/>
  <c r="J2053" i="1"/>
  <c r="J2054" i="1"/>
  <c r="J2055" i="1"/>
  <c r="J2056" i="1"/>
  <c r="J2057" i="1"/>
  <c r="J2058" i="1"/>
  <c r="J2061" i="1"/>
  <c r="J2062" i="1"/>
  <c r="J2065" i="1"/>
  <c r="J2066" i="1"/>
  <c r="J2067" i="1"/>
  <c r="J2068" i="1"/>
  <c r="J2071" i="1"/>
  <c r="J2074" i="1"/>
  <c r="J2075" i="1"/>
  <c r="J2076" i="1"/>
  <c r="J2079" i="1"/>
  <c r="J2080" i="1"/>
  <c r="J2081" i="1"/>
  <c r="J2082" i="1"/>
  <c r="J2085" i="1"/>
  <c r="J2088" i="1"/>
  <c r="J2091" i="1"/>
  <c r="J2092" i="1"/>
  <c r="J2093" i="1"/>
  <c r="J2096" i="1"/>
  <c r="J2097" i="1"/>
  <c r="J2100" i="1"/>
  <c r="J2103" i="1"/>
  <c r="J2106" i="1"/>
  <c r="J2107" i="1"/>
  <c r="J2110" i="1"/>
  <c r="J2111" i="1"/>
  <c r="J2112" i="1"/>
  <c r="J2113" i="1"/>
  <c r="J2114" i="1"/>
  <c r="J2115" i="1"/>
  <c r="J2118" i="1"/>
  <c r="J2121" i="1"/>
  <c r="J2122" i="1"/>
  <c r="J2123" i="1"/>
  <c r="J2124" i="1"/>
  <c r="J2125" i="1"/>
  <c r="J2129" i="1"/>
  <c r="J2130" i="1"/>
  <c r="J2131" i="1"/>
  <c r="J2134" i="1"/>
  <c r="J2137" i="1"/>
  <c r="J2138" i="1"/>
  <c r="J2141" i="1"/>
  <c r="J2142" i="1"/>
  <c r="J2145" i="1"/>
  <c r="J2146" i="1"/>
  <c r="J2147" i="1"/>
  <c r="J2150" i="1"/>
  <c r="J2153" i="1"/>
  <c r="J2154" i="1"/>
  <c r="J2155" i="1"/>
  <c r="J2158" i="1"/>
  <c r="J2159" i="1"/>
  <c r="J2162" i="1"/>
  <c r="J2163" i="1"/>
  <c r="J2164" i="1"/>
  <c r="J2167" i="1"/>
  <c r="J2170" i="1"/>
  <c r="J2173" i="1"/>
  <c r="J2176" i="1"/>
  <c r="J2177" i="1"/>
  <c r="J2178" i="1"/>
  <c r="J2181" i="1"/>
  <c r="J2184" i="1"/>
  <c r="J2187" i="1"/>
  <c r="J2190" i="1"/>
  <c r="J2191" i="1"/>
  <c r="J2192" i="1"/>
  <c r="J2193" i="1"/>
  <c r="J2194" i="1"/>
  <c r="J2197" i="1"/>
  <c r="J2198" i="1"/>
  <c r="J2199" i="1"/>
  <c r="J2200" i="1"/>
  <c r="J2201" i="1"/>
  <c r="J2202" i="1"/>
  <c r="J2203" i="1"/>
  <c r="J2206" i="1"/>
  <c r="J2207" i="1"/>
  <c r="J2208" i="1"/>
  <c r="J2209" i="1"/>
  <c r="J2210" i="1"/>
  <c r="J2213" i="1"/>
  <c r="J2214" i="1"/>
  <c r="J2215" i="1"/>
  <c r="J2216" i="1"/>
  <c r="J2219" i="1"/>
  <c r="J2220" i="1"/>
  <c r="J2223" i="1"/>
  <c r="J2224" i="1"/>
  <c r="J2227" i="1"/>
  <c r="J2228" i="1"/>
  <c r="J2229" i="1"/>
  <c r="J2230" i="1"/>
  <c r="J2231" i="1"/>
  <c r="J2232" i="1"/>
  <c r="J2233" i="1"/>
  <c r="J2234" i="1"/>
  <c r="J2235" i="1"/>
  <c r="J2236" i="1"/>
  <c r="J2239" i="1"/>
  <c r="J2242" i="1"/>
  <c r="J2243" i="1"/>
  <c r="J2244" i="1"/>
  <c r="J2247" i="1"/>
  <c r="J2248" i="1"/>
  <c r="J2251" i="1"/>
  <c r="J2252" i="1"/>
  <c r="J2253" i="1"/>
  <c r="J2254" i="1"/>
  <c r="J2257" i="1"/>
  <c r="J2260" i="1"/>
  <c r="J2261" i="1"/>
  <c r="J2262" i="1"/>
  <c r="J2265" i="1"/>
  <c r="J2266" i="1"/>
  <c r="J2267" i="1"/>
  <c r="J2268" i="1"/>
  <c r="J2269" i="1"/>
  <c r="J2270" i="1"/>
  <c r="J2271" i="1"/>
  <c r="J2274" i="1"/>
  <c r="J2277" i="1"/>
  <c r="J2280" i="1"/>
  <c r="J2283" i="1"/>
  <c r="J2284" i="1"/>
  <c r="J2287" i="1"/>
  <c r="J2290" i="1"/>
  <c r="J2293" i="1"/>
  <c r="J2294" i="1"/>
  <c r="J2295" i="1"/>
  <c r="J2298" i="1"/>
  <c r="J2299" i="1"/>
  <c r="J2302" i="1"/>
  <c r="J2303" i="1"/>
  <c r="J2306" i="1"/>
  <c r="J2307" i="1"/>
  <c r="J2310" i="1"/>
  <c r="J2311" i="1"/>
  <c r="J2314" i="1"/>
  <c r="J2315" i="1"/>
  <c r="J2316" i="1"/>
  <c r="J2317" i="1"/>
  <c r="J2320" i="1"/>
  <c r="J2321" i="1"/>
  <c r="J2324" i="1"/>
  <c r="J2325" i="1"/>
  <c r="J2328" i="1"/>
  <c r="J2331" i="1"/>
  <c r="J2332" i="1"/>
  <c r="J2333" i="1"/>
  <c r="J2336" i="1"/>
  <c r="J2339" i="1"/>
  <c r="J2340" i="1"/>
  <c r="J2343" i="1"/>
  <c r="J2344" i="1"/>
  <c r="J2345" i="1"/>
  <c r="J2346" i="1"/>
  <c r="J2350" i="1"/>
  <c r="J2353" i="1"/>
  <c r="J2356" i="1"/>
  <c r="J2357" i="1"/>
  <c r="J2360" i="1"/>
  <c r="J2361" i="1"/>
  <c r="J2364" i="1"/>
  <c r="J2367" i="1"/>
  <c r="J2370" i="1"/>
  <c r="J2371" i="1"/>
  <c r="J2374" i="1"/>
  <c r="J2377" i="1"/>
  <c r="J2378" i="1"/>
  <c r="J2379" i="1"/>
  <c r="J2380" i="1"/>
  <c r="J2381" i="1"/>
  <c r="J2384" i="1"/>
  <c r="J2385" i="1"/>
  <c r="J2388" i="1"/>
  <c r="J2391" i="1"/>
  <c r="J2394" i="1"/>
  <c r="J2397" i="1"/>
  <c r="J2398" i="1"/>
  <c r="J2401" i="1"/>
  <c r="J2402" i="1"/>
  <c r="J2405" i="1"/>
  <c r="J2406" i="1"/>
  <c r="J2407" i="1"/>
  <c r="J2410" i="1"/>
  <c r="J2413" i="1"/>
  <c r="J2416" i="1"/>
  <c r="J2419" i="1"/>
  <c r="J2422" i="1"/>
  <c r="J2425" i="1"/>
  <c r="J2428" i="1"/>
  <c r="J2431" i="1"/>
  <c r="J2432" i="1"/>
  <c r="J2435" i="1"/>
  <c r="J2436" i="1"/>
  <c r="J2437" i="1"/>
  <c r="J2438" i="1"/>
  <c r="J2441" i="1"/>
  <c r="J2444" i="1"/>
  <c r="J2445" i="1"/>
  <c r="J2446" i="1"/>
  <c r="J2449" i="1"/>
  <c r="J2450" i="1"/>
  <c r="J2453" i="1"/>
  <c r="J2456" i="1"/>
  <c r="J2457" i="1"/>
  <c r="J2458" i="1"/>
  <c r="J2459" i="1"/>
  <c r="J2460" i="1"/>
  <c r="J2461" i="1"/>
  <c r="J2462" i="1"/>
  <c r="J2463" i="1"/>
  <c r="J2464" i="1"/>
  <c r="J2467" i="1"/>
  <c r="J2468" i="1"/>
  <c r="J2471" i="1"/>
  <c r="J2474" i="1"/>
  <c r="J2477" i="1"/>
  <c r="J2480" i="1"/>
  <c r="J2483" i="1"/>
  <c r="J2484" i="1"/>
  <c r="J2485" i="1"/>
  <c r="J2486" i="1"/>
  <c r="J2487" i="1"/>
  <c r="J2490" i="1"/>
  <c r="J2493" i="1"/>
  <c r="J2494" i="1"/>
  <c r="J2495" i="1"/>
  <c r="J2496" i="1"/>
  <c r="J2497" i="1"/>
  <c r="J2500" i="1"/>
  <c r="J2503" i="1"/>
  <c r="J2504" i="1"/>
  <c r="J2507" i="1"/>
  <c r="J2508" i="1"/>
  <c r="J2511" i="1"/>
  <c r="J2514" i="1"/>
  <c r="J2517" i="1"/>
  <c r="J2518" i="1"/>
  <c r="J2519" i="1"/>
  <c r="J2520" i="1"/>
  <c r="J2521" i="1"/>
  <c r="J2522" i="1"/>
  <c r="J2525" i="1"/>
  <c r="J2528" i="1"/>
  <c r="J2531" i="1"/>
  <c r="J2532" i="1"/>
  <c r="J2533" i="1"/>
  <c r="J2534" i="1"/>
  <c r="J2535" i="1"/>
  <c r="J2536" i="1"/>
  <c r="J2537" i="1"/>
  <c r="J2538" i="1"/>
  <c r="J2541" i="1"/>
  <c r="J2545" i="1"/>
  <c r="J2546" i="1"/>
  <c r="J2549" i="1"/>
  <c r="J2552" i="1"/>
  <c r="J2553" i="1"/>
  <c r="J2554" i="1"/>
  <c r="J2555" i="1"/>
  <c r="J2558" i="1"/>
  <c r="J2559" i="1"/>
  <c r="J2562" i="1"/>
  <c r="J2563" i="1"/>
  <c r="J2564" i="1"/>
  <c r="J2565" i="1"/>
  <c r="J2566" i="1"/>
  <c r="J2569" i="1"/>
  <c r="J2570" i="1"/>
  <c r="J2571" i="1"/>
  <c r="J2572" i="1"/>
  <c r="J2575" i="1"/>
  <c r="J2578" i="1"/>
  <c r="J2579" i="1"/>
  <c r="J2580" i="1"/>
  <c r="J2581" i="1"/>
  <c r="J2582" i="1"/>
  <c r="J2583" i="1"/>
  <c r="J2584" i="1"/>
  <c r="J2585" i="1"/>
  <c r="J2586" i="1"/>
  <c r="J2587" i="1"/>
  <c r="J2588" i="1"/>
  <c r="J2591" i="1"/>
  <c r="J2592" i="1"/>
  <c r="J2593" i="1"/>
  <c r="J2594" i="1"/>
  <c r="J2595" i="1"/>
  <c r="J2596" i="1"/>
  <c r="J2597" i="1"/>
  <c r="J2598" i="1"/>
  <c r="J2601" i="1"/>
  <c r="J2604" i="1"/>
  <c r="J2607" i="1"/>
  <c r="J2608" i="1"/>
  <c r="J2611" i="1"/>
  <c r="J2612" i="1"/>
  <c r="J2615" i="1"/>
  <c r="J2618" i="1"/>
  <c r="J2619" i="1"/>
  <c r="J2622" i="1"/>
  <c r="J2625" i="1"/>
  <c r="J2626" i="1"/>
  <c r="J2629" i="1"/>
  <c r="J2632" i="1"/>
  <c r="J2635" i="1"/>
  <c r="J2636" i="1"/>
  <c r="J2639" i="1"/>
  <c r="J2642" i="1"/>
  <c r="J2643" i="1"/>
  <c r="J2646" i="1"/>
  <c r="J2649" i="1"/>
  <c r="J2653" i="1"/>
  <c r="J2654" i="1"/>
  <c r="J2657" i="1"/>
  <c r="J2658" i="1"/>
  <c r="J2659" i="1"/>
  <c r="J2660" i="1"/>
  <c r="J2661" i="1"/>
  <c r="J2664" i="1"/>
  <c r="J2667" i="1"/>
  <c r="J2668" i="1"/>
  <c r="J2671" i="1"/>
  <c r="J2674" i="1"/>
  <c r="J2677" i="1"/>
  <c r="J2678" i="1"/>
  <c r="J2679" i="1"/>
  <c r="J2682" i="1"/>
  <c r="J2683" i="1"/>
  <c r="J2684" i="1"/>
  <c r="J2685" i="1"/>
  <c r="J2688" i="1"/>
  <c r="J2689" i="1"/>
  <c r="J2692" i="1"/>
  <c r="J2693" i="1"/>
  <c r="J2694" i="1"/>
  <c r="J2695" i="1"/>
  <c r="J2698" i="1"/>
  <c r="J2699" i="1"/>
  <c r="J2702" i="1"/>
  <c r="J2705" i="1"/>
  <c r="J2708" i="1"/>
  <c r="J2711" i="1"/>
  <c r="J2712" i="1"/>
  <c r="J2715" i="1"/>
  <c r="J2718" i="1"/>
  <c r="J2721" i="1"/>
  <c r="J2724" i="1"/>
  <c r="J2728" i="1"/>
  <c r="J2731" i="1"/>
  <c r="J2734" i="1"/>
  <c r="J2737" i="1"/>
  <c r="J2740" i="1"/>
  <c r="J2743" i="1"/>
  <c r="J2744" i="1"/>
  <c r="J2745" i="1"/>
  <c r="J2746" i="1"/>
  <c r="J2747" i="1"/>
  <c r="J2748" i="1"/>
  <c r="J2751" i="1"/>
  <c r="J2754" i="1"/>
  <c r="J2757" i="1"/>
  <c r="J2760" i="1"/>
  <c r="J2761" i="1"/>
  <c r="J2762" i="1"/>
  <c r="J2763" i="1"/>
  <c r="J2766" i="1"/>
  <c r="J2767" i="1"/>
  <c r="J2768" i="1"/>
  <c r="J2769" i="1"/>
  <c r="J2772" i="1"/>
  <c r="J2773" i="1"/>
  <c r="J2774" i="1"/>
  <c r="J2777" i="1"/>
  <c r="J2778" i="1"/>
  <c r="J2781" i="1"/>
  <c r="J2784" i="1"/>
  <c r="J2787" i="1"/>
  <c r="J2790" i="1"/>
  <c r="J2791" i="1"/>
  <c r="J2792" i="1"/>
  <c r="J2793" i="1"/>
  <c r="J2796" i="1"/>
  <c r="J2799" i="1"/>
  <c r="J2800" i="1"/>
  <c r="J2801" i="1"/>
  <c r="J2802" i="1"/>
  <c r="J2803" i="1"/>
  <c r="J2806" i="1"/>
  <c r="J2809" i="1"/>
  <c r="J2812" i="1"/>
  <c r="J2815" i="1"/>
  <c r="J2816" i="1"/>
  <c r="J2817" i="1"/>
  <c r="J2820" i="1"/>
  <c r="J2823" i="1"/>
  <c r="J2824" i="1"/>
  <c r="J2827" i="1"/>
  <c r="J2830" i="1"/>
  <c r="J2833" i="1"/>
  <c r="J2836" i="1"/>
  <c r="J2837" i="1"/>
  <c r="J2838" i="1"/>
  <c r="J2841" i="1"/>
  <c r="J2844" i="1"/>
  <c r="J2845" i="1"/>
  <c r="J2848" i="1"/>
  <c r="J2849" i="1"/>
  <c r="J2850" i="1"/>
  <c r="J2853" i="1"/>
  <c r="J2854" i="1"/>
  <c r="J2857" i="1"/>
  <c r="J2858" i="1"/>
  <c r="J2861" i="1"/>
  <c r="J2862" i="1"/>
  <c r="J2863" i="1"/>
  <c r="J2866" i="1"/>
  <c r="J2869" i="1"/>
  <c r="J2872" i="1"/>
  <c r="J2873" i="1"/>
  <c r="J2874" i="1"/>
  <c r="J2875" i="1"/>
  <c r="J2876" i="1"/>
  <c r="J2877" i="1"/>
  <c r="J2880" i="1"/>
  <c r="J2883" i="1"/>
  <c r="J2886" i="1"/>
  <c r="J2887" i="1"/>
  <c r="J2890" i="1"/>
  <c r="J2893" i="1"/>
  <c r="J2896" i="1"/>
  <c r="J2899" i="1"/>
  <c r="J2900" i="1"/>
  <c r="J2903" i="1"/>
  <c r="J2906" i="1"/>
  <c r="J2907" i="1"/>
  <c r="J2908" i="1"/>
  <c r="J2911" i="1"/>
  <c r="J2914" i="1"/>
  <c r="J2917" i="1"/>
  <c r="J2920" i="1"/>
  <c r="J2923" i="1"/>
  <c r="J2924" i="1"/>
  <c r="J2927" i="1"/>
  <c r="J2930" i="1"/>
  <c r="J2933" i="1"/>
  <c r="J2936" i="1"/>
  <c r="J2939" i="1"/>
  <c r="J2942" i="1"/>
  <c r="J2945" i="1"/>
  <c r="J2946" i="1"/>
  <c r="J2947" i="1"/>
  <c r="J2948" i="1"/>
  <c r="J2951" i="1"/>
  <c r="J2952" i="1"/>
  <c r="J2953" i="1"/>
  <c r="J2954" i="1"/>
  <c r="J2957" i="1"/>
  <c r="J2960" i="1"/>
  <c r="J2961" i="1"/>
  <c r="J2964" i="1"/>
  <c r="J2965" i="1"/>
  <c r="J2966" i="1"/>
  <c r="J2969" i="1"/>
  <c r="J2970" i="1"/>
  <c r="J2971" i="1"/>
  <c r="J2974" i="1"/>
  <c r="J2975" i="1"/>
  <c r="J2976" i="1"/>
  <c r="J2979" i="1"/>
  <c r="J2980" i="1"/>
  <c r="J2983" i="1"/>
  <c r="J2984" i="1"/>
  <c r="J2987" i="1"/>
  <c r="J2988" i="1"/>
  <c r="J2991" i="1"/>
  <c r="J2992" i="1"/>
  <c r="J2995" i="1"/>
  <c r="J2998" i="1"/>
  <c r="J2999" i="1"/>
  <c r="J3000" i="1"/>
  <c r="J3001" i="1"/>
  <c r="J3004" i="1"/>
  <c r="J3007" i="1"/>
  <c r="J3010" i="1"/>
  <c r="J3011" i="1"/>
  <c r="J3014" i="1"/>
  <c r="J3015" i="1"/>
  <c r="J3018" i="1"/>
  <c r="J3021" i="1"/>
  <c r="J3022" i="1"/>
  <c r="J3025" i="1"/>
  <c r="J3026" i="1"/>
  <c r="J3027" i="1"/>
  <c r="J3028" i="1"/>
  <c r="J3032" i="1"/>
  <c r="J3033" i="1"/>
  <c r="J3034" i="1"/>
  <c r="J3035" i="1"/>
  <c r="J3038" i="1"/>
  <c r="J3042" i="1"/>
  <c r="J3043" i="1"/>
  <c r="J3044" i="1"/>
  <c r="J3047" i="1"/>
  <c r="J3050" i="1"/>
  <c r="J3053" i="1"/>
  <c r="J3056" i="1"/>
  <c r="J3059" i="1"/>
  <c r="J3062" i="1"/>
  <c r="J3065" i="1"/>
  <c r="J3066" i="1"/>
  <c r="J3069" i="1"/>
  <c r="J3070" i="1"/>
  <c r="J3071" i="1"/>
  <c r="J3074" i="1"/>
  <c r="J3075" i="1"/>
  <c r="J3076" i="1"/>
  <c r="J3077" i="1"/>
  <c r="J3080" i="1"/>
  <c r="J3083" i="1"/>
  <c r="J3084" i="1"/>
  <c r="J3085" i="1"/>
  <c r="J3086" i="1"/>
  <c r="J3089" i="1"/>
  <c r="J3090" i="1"/>
  <c r="J3093" i="1"/>
  <c r="J3096" i="1"/>
  <c r="J3099" i="1"/>
  <c r="J3100" i="1"/>
  <c r="J3101" i="1"/>
  <c r="J3104" i="1"/>
  <c r="J3107" i="1"/>
  <c r="J3110" i="1"/>
  <c r="J3113" i="1"/>
  <c r="J3116" i="1"/>
  <c r="J3117" i="1"/>
  <c r="J3120" i="1"/>
  <c r="J3121" i="1"/>
  <c r="J3124" i="1"/>
  <c r="J3127" i="1"/>
  <c r="J3130" i="1"/>
  <c r="J3131" i="1"/>
  <c r="J3132" i="1"/>
  <c r="J3133" i="1"/>
  <c r="J3136" i="1"/>
  <c r="J3139" i="1"/>
  <c r="J3140" i="1"/>
  <c r="J3141" i="1"/>
  <c r="J3144" i="1"/>
  <c r="J3145" i="1"/>
  <c r="J3146" i="1"/>
  <c r="J3147" i="1"/>
  <c r="J3150" i="1"/>
  <c r="J3153" i="1"/>
  <c r="J3156" i="1"/>
  <c r="J3157" i="1"/>
  <c r="J3160" i="1"/>
  <c r="J3163" i="1"/>
  <c r="J3164" i="1"/>
  <c r="J3167" i="1"/>
  <c r="J3170" i="1"/>
  <c r="J3173" i="1"/>
  <c r="J3176" i="1"/>
  <c r="J3177" i="1"/>
  <c r="J3178" i="1"/>
  <c r="J3181" i="1"/>
  <c r="J3182" i="1"/>
  <c r="J3185" i="1"/>
  <c r="J3186" i="1"/>
  <c r="J3189" i="1"/>
  <c r="J3190" i="1"/>
  <c r="J3193" i="1"/>
  <c r="J3194" i="1"/>
  <c r="J3197" i="1"/>
  <c r="J3198" i="1"/>
  <c r="J3202" i="1"/>
  <c r="J3203" i="1"/>
  <c r="J3206" i="1"/>
  <c r="J3209" i="1"/>
  <c r="J3212" i="1"/>
  <c r="J3215" i="1"/>
  <c r="J3218" i="1"/>
  <c r="J3221" i="1"/>
  <c r="J3224" i="1"/>
  <c r="J3227" i="1"/>
  <c r="J3230" i="1"/>
  <c r="J3231" i="1"/>
  <c r="J3234" i="1"/>
  <c r="J3235" i="1"/>
  <c r="J3236" i="1"/>
  <c r="J3239" i="1"/>
  <c r="J3240" i="1"/>
  <c r="J3241" i="1"/>
  <c r="J3244" i="1"/>
  <c r="J3245" i="1"/>
  <c r="J3248" i="1"/>
  <c r="J3251" i="1"/>
  <c r="J3252" i="1"/>
  <c r="J3253" i="1"/>
  <c r="J3254" i="1"/>
  <c r="J3255" i="1"/>
  <c r="J3258" i="1"/>
  <c r="J3261" i="1"/>
  <c r="J3262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2" i="1"/>
  <c r="J3283" i="1"/>
  <c r="J3284" i="1"/>
  <c r="J3287" i="1"/>
  <c r="J3288" i="1"/>
  <c r="J3289" i="1"/>
  <c r="J3292" i="1"/>
  <c r="J3295" i="1"/>
  <c r="J3296" i="1"/>
  <c r="J3299" i="1"/>
  <c r="J3302" i="1"/>
  <c r="J3303" i="1"/>
  <c r="J3306" i="1"/>
  <c r="J3307" i="1"/>
  <c r="J3308" i="1"/>
  <c r="J3309" i="1"/>
  <c r="J3310" i="1"/>
  <c r="J3313" i="1"/>
  <c r="J3314" i="1"/>
  <c r="J3315" i="1"/>
  <c r="J3318" i="1"/>
  <c r="J3321" i="1"/>
  <c r="J3324" i="1"/>
  <c r="J3327" i="1"/>
  <c r="J3330" i="1"/>
  <c r="J3331" i="1"/>
  <c r="J3334" i="1"/>
  <c r="J3335" i="1"/>
  <c r="J3336" i="1"/>
  <c r="J3337" i="1"/>
  <c r="J3338" i="1"/>
  <c r="J3339" i="1"/>
  <c r="J3340" i="1"/>
  <c r="J3341" i="1"/>
  <c r="J3342" i="1"/>
  <c r="J3345" i="1"/>
  <c r="J3348" i="1"/>
  <c r="J3351" i="1"/>
  <c r="J3354" i="1"/>
  <c r="J3357" i="1"/>
  <c r="J3358" i="1"/>
  <c r="J3361" i="1"/>
  <c r="J3364" i="1"/>
  <c r="J3365" i="1"/>
  <c r="J3366" i="1"/>
  <c r="J3367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4" i="1"/>
  <c r="J3385" i="1"/>
  <c r="J3388" i="1"/>
  <c r="J3389" i="1"/>
  <c r="J3390" i="1"/>
  <c r="J3393" i="1"/>
  <c r="J3394" i="1"/>
  <c r="J3397" i="1"/>
  <c r="J3398" i="1"/>
  <c r="J3401" i="1"/>
  <c r="J3402" i="1"/>
  <c r="J3403" i="1"/>
  <c r="J3404" i="1"/>
  <c r="J3405" i="1"/>
  <c r="J3408" i="1"/>
  <c r="J3409" i="1"/>
  <c r="J3410" i="1"/>
  <c r="J3413" i="1"/>
  <c r="J3416" i="1"/>
  <c r="J3417" i="1"/>
  <c r="J3420" i="1"/>
  <c r="J3423" i="1"/>
  <c r="J3426" i="1"/>
  <c r="J3427" i="1"/>
  <c r="J3430" i="1"/>
  <c r="J3431" i="1"/>
  <c r="J3432" i="1"/>
  <c r="J3435" i="1"/>
  <c r="J3436" i="1"/>
  <c r="J3437" i="1"/>
  <c r="J3438" i="1"/>
  <c r="J3439" i="1"/>
  <c r="J3440" i="1"/>
  <c r="J3443" i="1"/>
  <c r="J3446" i="1"/>
  <c r="J3449" i="1"/>
  <c r="J3452" i="1"/>
  <c r="J3455" i="1"/>
  <c r="J3458" i="1"/>
  <c r="J3459" i="1"/>
  <c r="J3462" i="1"/>
  <c r="J3465" i="1"/>
  <c r="J3468" i="1"/>
  <c r="J3471" i="1"/>
  <c r="J3474" i="1"/>
  <c r="J3475" i="1"/>
  <c r="J3476" i="1"/>
  <c r="J3477" i="1"/>
  <c r="J3480" i="1"/>
  <c r="J3483" i="1"/>
  <c r="J3486" i="1"/>
  <c r="J3489" i="1"/>
  <c r="J3490" i="1"/>
  <c r="J3493" i="1"/>
  <c r="J3494" i="1"/>
  <c r="J3495" i="1"/>
  <c r="J3498" i="1"/>
  <c r="J3501" i="1"/>
  <c r="J3502" i="1"/>
  <c r="J3505" i="1"/>
  <c r="J3508" i="1"/>
  <c r="J3509" i="1"/>
  <c r="J3510" i="1"/>
  <c r="J3513" i="1"/>
  <c r="J3514" i="1"/>
  <c r="J3517" i="1"/>
  <c r="J3520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7" i="1"/>
  <c r="J3538" i="1"/>
  <c r="J3541" i="1"/>
  <c r="J3542" i="1"/>
  <c r="J3543" i="1"/>
  <c r="J3544" i="1"/>
  <c r="J3547" i="1"/>
  <c r="J3548" i="1"/>
  <c r="J3549" i="1"/>
  <c r="J3550" i="1"/>
  <c r="J3551" i="1"/>
  <c r="J3552" i="1"/>
  <c r="J3553" i="1"/>
  <c r="J3556" i="1"/>
  <c r="J3557" i="1"/>
  <c r="J3560" i="1"/>
  <c r="J3561" i="1"/>
  <c r="J3564" i="1"/>
  <c r="J3567" i="1"/>
  <c r="J3568" i="1"/>
  <c r="J3571" i="1"/>
  <c r="J3572" i="1"/>
  <c r="J3575" i="1"/>
  <c r="J3578" i="1"/>
  <c r="J3581" i="1"/>
  <c r="J3584" i="1"/>
  <c r="J3587" i="1"/>
  <c r="J3590" i="1"/>
  <c r="J3593" i="1"/>
  <c r="J3596" i="1"/>
  <c r="J3599" i="1"/>
  <c r="J3602" i="1"/>
  <c r="J3603" i="1"/>
  <c r="J3604" i="1"/>
  <c r="J3605" i="1"/>
  <c r="J3608" i="1"/>
  <c r="J3611" i="1"/>
  <c r="J3614" i="1"/>
  <c r="J3615" i="1"/>
  <c r="J3616" i="1"/>
  <c r="J3617" i="1"/>
  <c r="J3620" i="1"/>
  <c r="J3623" i="1"/>
  <c r="J3624" i="1"/>
  <c r="J3625" i="1"/>
  <c r="J3628" i="1"/>
  <c r="J3631" i="1"/>
  <c r="J3632" i="1"/>
  <c r="J3635" i="1"/>
  <c r="J3638" i="1"/>
  <c r="J3639" i="1"/>
  <c r="J3640" i="1"/>
  <c r="J3641" i="1"/>
  <c r="J3642" i="1"/>
  <c r="J3643" i="1"/>
  <c r="J3644" i="1"/>
  <c r="J3647" i="1"/>
  <c r="J3650" i="1"/>
  <c r="J3653" i="1"/>
  <c r="J3654" i="1"/>
  <c r="J3657" i="1"/>
  <c r="J3660" i="1"/>
  <c r="J3661" i="1"/>
  <c r="J3662" i="1"/>
  <c r="J3663" i="1"/>
  <c r="J3666" i="1"/>
  <c r="J3669" i="1"/>
  <c r="J3672" i="1"/>
  <c r="J3673" i="1"/>
  <c r="J3674" i="1"/>
  <c r="J3675" i="1"/>
  <c r="J3676" i="1"/>
  <c r="J3679" i="1"/>
  <c r="J3682" i="1"/>
  <c r="J3685" i="1"/>
  <c r="J3686" i="1"/>
  <c r="J3687" i="1"/>
  <c r="J3691" i="1"/>
  <c r="J3694" i="1"/>
  <c r="J3695" i="1"/>
  <c r="J3696" i="1"/>
  <c r="J3697" i="1"/>
  <c r="J3698" i="1"/>
  <c r="J3699" i="1"/>
  <c r="J3700" i="1"/>
  <c r="J3701" i="1"/>
  <c r="J3704" i="1"/>
  <c r="J3705" i="1"/>
  <c r="J3708" i="1"/>
  <c r="J3711" i="1"/>
  <c r="J3712" i="1"/>
  <c r="J3715" i="1"/>
  <c r="J3716" i="1"/>
  <c r="J3717" i="1"/>
  <c r="J3718" i="1"/>
  <c r="J3721" i="1"/>
  <c r="J3722" i="1"/>
  <c r="J3723" i="1"/>
  <c r="J3724" i="1"/>
  <c r="J3725" i="1"/>
  <c r="J3726" i="1"/>
  <c r="J3727" i="1"/>
  <c r="J3730" i="1"/>
  <c r="J3733" i="1"/>
  <c r="J3736" i="1"/>
  <c r="J3739" i="1"/>
  <c r="J3742" i="1"/>
  <c r="J3745" i="1"/>
  <c r="J3746" i="1"/>
  <c r="J3749" i="1"/>
  <c r="J3750" i="1"/>
  <c r="J3753" i="1"/>
  <c r="J3754" i="1"/>
  <c r="J3757" i="1"/>
  <c r="J3758" i="1"/>
  <c r="J3761" i="1"/>
  <c r="J3764" i="1"/>
  <c r="J3767" i="1"/>
  <c r="J3770" i="1"/>
  <c r="J3773" i="1"/>
  <c r="J3776" i="1"/>
  <c r="J3779" i="1"/>
  <c r="J3780" i="1"/>
  <c r="J3783" i="1"/>
  <c r="J3784" i="1"/>
  <c r="J3785" i="1"/>
  <c r="J3786" i="1"/>
  <c r="J3787" i="1"/>
  <c r="J3790" i="1"/>
  <c r="J3791" i="1"/>
  <c r="J3792" i="1"/>
  <c r="J3793" i="1"/>
  <c r="J3794" i="1"/>
  <c r="J3797" i="1"/>
  <c r="J3798" i="1"/>
  <c r="J3799" i="1"/>
  <c r="J3802" i="1"/>
  <c r="J3805" i="1"/>
  <c r="J3806" i="1"/>
  <c r="J3809" i="1"/>
  <c r="J3812" i="1"/>
  <c r="J3815" i="1"/>
  <c r="J3818" i="1"/>
  <c r="J3821" i="1"/>
  <c r="J3824" i="1"/>
  <c r="J3825" i="1"/>
  <c r="J3828" i="1"/>
  <c r="J3831" i="1"/>
  <c r="J3832" i="1"/>
  <c r="J3833" i="1"/>
  <c r="J3836" i="1"/>
  <c r="J3837" i="1"/>
  <c r="J3840" i="1"/>
  <c r="J3843" i="1"/>
  <c r="J3844" i="1"/>
  <c r="J3847" i="1"/>
  <c r="J3848" i="1"/>
  <c r="J3849" i="1"/>
  <c r="J3853" i="1"/>
  <c r="J3854" i="1"/>
  <c r="J3855" i="1"/>
  <c r="J3856" i="1"/>
  <c r="J3859" i="1"/>
  <c r="J3860" i="1"/>
  <c r="J3861" i="1"/>
  <c r="J3864" i="1"/>
  <c r="J3865" i="1"/>
  <c r="J3866" i="1"/>
  <c r="J3867" i="1"/>
  <c r="J3870" i="1"/>
  <c r="J3874" i="1"/>
  <c r="J3875" i="1"/>
  <c r="J3878" i="1"/>
  <c r="J3879" i="1"/>
  <c r="J3880" i="1"/>
  <c r="J3881" i="1"/>
  <c r="J3884" i="1"/>
  <c r="J3885" i="1"/>
  <c r="J3888" i="1"/>
  <c r="J3891" i="1"/>
  <c r="J3894" i="1"/>
  <c r="J3895" i="1"/>
  <c r="J3898" i="1"/>
  <c r="J3899" i="1"/>
  <c r="J3900" i="1"/>
  <c r="J3901" i="1"/>
  <c r="J3902" i="1"/>
  <c r="J3903" i="1"/>
  <c r="J3906" i="1"/>
  <c r="J3909" i="1"/>
  <c r="J3910" i="1"/>
  <c r="J3913" i="1"/>
  <c r="J3914" i="1"/>
  <c r="J3917" i="1"/>
  <c r="J3920" i="1"/>
  <c r="J3921" i="1"/>
  <c r="J3924" i="1"/>
  <c r="J3927" i="1"/>
  <c r="J3928" i="1"/>
  <c r="J3931" i="1"/>
  <c r="J3934" i="1"/>
  <c r="J3937" i="1"/>
  <c r="J3940" i="1"/>
  <c r="J3943" i="1"/>
  <c r="J3944" i="1"/>
  <c r="J3947" i="1"/>
  <c r="J3948" i="1"/>
  <c r="J3951" i="1"/>
  <c r="J3952" i="1"/>
  <c r="J3955" i="1"/>
  <c r="J3956" i="1"/>
  <c r="J3957" i="1"/>
  <c r="J3958" i="1"/>
  <c r="J3959" i="1"/>
  <c r="J3962" i="1"/>
  <c r="J3965" i="1"/>
  <c r="J3969" i="1"/>
  <c r="J3972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2" i="1"/>
  <c r="J3993" i="1"/>
  <c r="J3996" i="1"/>
  <c r="J3997" i="1"/>
  <c r="J3998" i="1"/>
  <c r="J3999" i="1"/>
  <c r="J4000" i="1"/>
  <c r="J4001" i="1"/>
  <c r="J4002" i="1"/>
  <c r="J4003" i="1"/>
  <c r="J4004" i="1"/>
  <c r="J4007" i="1"/>
  <c r="J4010" i="1"/>
  <c r="J4011" i="1"/>
  <c r="J4012" i="1"/>
  <c r="J4015" i="1"/>
  <c r="J4016" i="1"/>
  <c r="J4017" i="1"/>
  <c r="J4018" i="1"/>
  <c r="J4021" i="1"/>
  <c r="J4024" i="1"/>
  <c r="J4027" i="1"/>
  <c r="J4028" i="1"/>
  <c r="J4029" i="1"/>
  <c r="J4030" i="1"/>
  <c r="J4033" i="1"/>
  <c r="J4036" i="1"/>
  <c r="J4037" i="1"/>
  <c r="J4040" i="1"/>
  <c r="J4043" i="1"/>
  <c r="J4044" i="1"/>
  <c r="J4045" i="1"/>
  <c r="J4046" i="1"/>
  <c r="J4049" i="1"/>
  <c r="J4052" i="1"/>
  <c r="J4053" i="1"/>
  <c r="J4056" i="1"/>
  <c r="J4057" i="1"/>
  <c r="J4058" i="1"/>
  <c r="J4059" i="1"/>
  <c r="J4062" i="1"/>
  <c r="J4065" i="1"/>
  <c r="J4068" i="1"/>
  <c r="J4071" i="1"/>
  <c r="J4074" i="1"/>
  <c r="J4077" i="1"/>
  <c r="J4078" i="1"/>
  <c r="J4081" i="1"/>
  <c r="J4082" i="1"/>
  <c r="J4085" i="1"/>
  <c r="J4086" i="1"/>
  <c r="J4087" i="1"/>
  <c r="J4090" i="1"/>
  <c r="J4091" i="1"/>
  <c r="J4094" i="1"/>
  <c r="J4097" i="1"/>
  <c r="J4098" i="1"/>
  <c r="J4101" i="1"/>
  <c r="J4104" i="1"/>
  <c r="J4107" i="1"/>
  <c r="J4110" i="1"/>
  <c r="J4111" i="1"/>
  <c r="J4112" i="1"/>
  <c r="J4113" i="1"/>
  <c r="J4114" i="1"/>
  <c r="J4117" i="1"/>
  <c r="J4120" i="1"/>
  <c r="J4121" i="1"/>
  <c r="J4124" i="1"/>
  <c r="J4125" i="1"/>
  <c r="J4128" i="1"/>
  <c r="J4129" i="1"/>
  <c r="J4130" i="1"/>
  <c r="J4131" i="1"/>
  <c r="J4132" i="1"/>
  <c r="J4133" i="1"/>
  <c r="J4136" i="1"/>
  <c r="J4139" i="1"/>
  <c r="J4142" i="1"/>
  <c r="J4143" i="1"/>
  <c r="J4144" i="1"/>
  <c r="J4145" i="1"/>
  <c r="J4148" i="1"/>
  <c r="J4151" i="1"/>
  <c r="J4154" i="1"/>
  <c r="J4155" i="1"/>
  <c r="J4156" i="1"/>
  <c r="J4160" i="1"/>
  <c r="J4163" i="1"/>
  <c r="J4166" i="1"/>
  <c r="J4167" i="1"/>
  <c r="J4168" i="1"/>
  <c r="J4169" i="1"/>
  <c r="J4172" i="1"/>
  <c r="J4175" i="1"/>
  <c r="J4178" i="1"/>
  <c r="J4181" i="1"/>
  <c r="J4182" i="1"/>
  <c r="J4183" i="1"/>
  <c r="J4184" i="1"/>
  <c r="J4187" i="1"/>
  <c r="J4190" i="1"/>
  <c r="J4191" i="1"/>
  <c r="J4192" i="1"/>
  <c r="J4193" i="1"/>
  <c r="J4194" i="1"/>
  <c r="J4195" i="1"/>
  <c r="J4196" i="1"/>
  <c r="J4197" i="1"/>
  <c r="J4198" i="1"/>
  <c r="J4201" i="1"/>
  <c r="J4205" i="1"/>
  <c r="J4208" i="1"/>
  <c r="J4211" i="1"/>
  <c r="J4212" i="1"/>
  <c r="J4234" i="1"/>
  <c r="J4219" i="1"/>
  <c r="K4219" i="1"/>
  <c r="I4243" i="1"/>
  <c r="A3" i="2"/>
  <c r="B3" i="2"/>
  <c r="H4220" i="1"/>
  <c r="K4220" i="1"/>
  <c r="K4221" i="1"/>
  <c r="K4224" i="1"/>
  <c r="L4230" i="1"/>
  <c r="D4222" i="1"/>
  <c r="A4222" i="1"/>
  <c r="B4221" i="1"/>
  <c r="B4219" i="1"/>
  <c r="B4220" i="1"/>
  <c r="J8" i="1"/>
  <c r="C2" i="1"/>
  <c r="T14" i="1"/>
  <c r="U14" i="1"/>
  <c r="V14" i="1"/>
  <c r="W14" i="1"/>
  <c r="AE14" i="1"/>
  <c r="Y14" i="1"/>
  <c r="AB14" i="1"/>
  <c r="AC14" i="1"/>
  <c r="AF14" i="1"/>
  <c r="AI14" i="1"/>
  <c r="AE15" i="1"/>
  <c r="K15" i="1"/>
  <c r="Y15" i="1"/>
  <c r="AE16" i="1"/>
  <c r="Y16" i="1"/>
  <c r="AE17" i="1"/>
  <c r="Y17" i="1"/>
  <c r="AE18" i="1"/>
  <c r="Y18" i="1"/>
  <c r="AE19" i="1"/>
  <c r="Y19" i="1"/>
  <c r="AE20" i="1"/>
  <c r="Y20" i="1"/>
  <c r="AE21" i="1"/>
  <c r="Y21" i="1"/>
  <c r="AE22" i="1"/>
  <c r="Y22" i="1"/>
  <c r="AE23" i="1"/>
  <c r="Y23" i="1"/>
  <c r="AE24" i="1"/>
  <c r="Y24" i="1"/>
  <c r="AE25" i="1"/>
  <c r="Y25" i="1"/>
  <c r="AE26" i="1"/>
  <c r="Y26" i="1"/>
  <c r="AE27" i="1"/>
  <c r="Y27" i="1"/>
  <c r="AE28" i="1"/>
  <c r="Y28" i="1"/>
  <c r="AE29" i="1"/>
  <c r="Y29" i="1"/>
  <c r="AE30" i="1"/>
  <c r="Y30" i="1"/>
  <c r="AE31" i="1"/>
  <c r="Y31" i="1"/>
  <c r="AE32" i="1"/>
  <c r="Y32" i="1"/>
  <c r="AE33" i="1"/>
  <c r="Y33" i="1"/>
  <c r="AE34" i="1"/>
  <c r="Y34" i="1"/>
  <c r="AE35" i="1"/>
  <c r="Y35" i="1"/>
  <c r="AE36" i="1"/>
  <c r="Y36" i="1"/>
  <c r="AE37" i="1"/>
  <c r="Y37" i="1"/>
  <c r="AE38" i="1"/>
  <c r="Y38" i="1"/>
  <c r="AE39" i="1"/>
  <c r="Y39" i="1"/>
  <c r="AE40" i="1"/>
  <c r="Y40" i="1"/>
  <c r="AE41" i="1"/>
  <c r="Y41" i="1"/>
  <c r="AE42" i="1"/>
  <c r="Y42" i="1"/>
  <c r="AE43" i="1"/>
  <c r="Y43" i="1"/>
  <c r="AE44" i="1"/>
  <c r="Y44" i="1"/>
  <c r="AE45" i="1"/>
  <c r="Y45" i="1"/>
  <c r="AE46" i="1"/>
  <c r="Y46" i="1"/>
  <c r="AE47" i="1"/>
  <c r="Y47" i="1"/>
  <c r="AE48" i="1"/>
  <c r="Y48" i="1"/>
  <c r="AE49" i="1"/>
  <c r="Y49" i="1"/>
  <c r="AE50" i="1"/>
  <c r="Y50" i="1"/>
  <c r="AE51" i="1"/>
  <c r="Y51" i="1"/>
  <c r="AE52" i="1"/>
  <c r="Y52" i="1"/>
  <c r="AE53" i="1"/>
  <c r="Y53" i="1"/>
  <c r="AE54" i="1"/>
  <c r="Y54" i="1"/>
  <c r="AE55" i="1"/>
  <c r="Y55" i="1"/>
  <c r="AE56" i="1"/>
  <c r="Y56" i="1"/>
  <c r="AE57" i="1"/>
  <c r="Y57" i="1"/>
  <c r="AE58" i="1"/>
  <c r="Y58" i="1"/>
  <c r="AE59" i="1"/>
  <c r="Y59" i="1"/>
  <c r="AE60" i="1"/>
  <c r="Y60" i="1"/>
  <c r="AE61" i="1"/>
  <c r="Y61" i="1"/>
  <c r="AE62" i="1"/>
  <c r="Y62" i="1"/>
  <c r="AE63" i="1"/>
  <c r="Y63" i="1"/>
  <c r="AE64" i="1"/>
  <c r="Y64" i="1"/>
  <c r="AE65" i="1"/>
  <c r="Y65" i="1"/>
  <c r="AE66" i="1"/>
  <c r="Y66" i="1"/>
  <c r="AE67" i="1"/>
  <c r="Y67" i="1"/>
  <c r="AE68" i="1"/>
  <c r="Y68" i="1"/>
  <c r="AE69" i="1"/>
  <c r="Y69" i="1"/>
  <c r="AE70" i="1"/>
  <c r="Y70" i="1"/>
  <c r="AE71" i="1"/>
  <c r="Y71" i="1"/>
  <c r="AE72" i="1"/>
  <c r="Y72" i="1"/>
  <c r="AE73" i="1"/>
  <c r="Y73" i="1"/>
  <c r="AE74" i="1"/>
  <c r="Y74" i="1"/>
  <c r="AE75" i="1"/>
  <c r="Y75" i="1"/>
  <c r="AE76" i="1"/>
  <c r="Y76" i="1"/>
  <c r="AE77" i="1"/>
  <c r="Y77" i="1"/>
  <c r="AE78" i="1"/>
  <c r="Y78" i="1"/>
  <c r="AE79" i="1"/>
  <c r="Y79" i="1"/>
  <c r="AE80" i="1"/>
  <c r="Y80" i="1"/>
  <c r="AE81" i="1"/>
  <c r="Y81" i="1"/>
  <c r="AE82" i="1"/>
  <c r="Y82" i="1"/>
  <c r="AE83" i="1"/>
  <c r="Y83" i="1"/>
  <c r="AE84" i="1"/>
  <c r="Y84" i="1"/>
  <c r="AE85" i="1"/>
  <c r="Y85" i="1"/>
  <c r="AE86" i="1"/>
  <c r="Y86" i="1"/>
  <c r="AE87" i="1"/>
  <c r="Y87" i="1"/>
  <c r="AE88" i="1"/>
  <c r="Y88" i="1"/>
  <c r="AE89" i="1"/>
  <c r="Y89" i="1"/>
  <c r="AE90" i="1"/>
  <c r="Y90" i="1"/>
  <c r="AE91" i="1"/>
  <c r="Y91" i="1"/>
  <c r="AE92" i="1"/>
  <c r="Y92" i="1"/>
  <c r="AE93" i="1"/>
  <c r="Y93" i="1"/>
  <c r="AE94" i="1"/>
  <c r="Y94" i="1"/>
  <c r="AE95" i="1"/>
  <c r="Y95" i="1"/>
  <c r="AE96" i="1"/>
  <c r="Y96" i="1"/>
  <c r="AE97" i="1"/>
  <c r="Y97" i="1"/>
  <c r="AE98" i="1"/>
  <c r="Y98" i="1"/>
  <c r="AE99" i="1"/>
  <c r="Y99" i="1"/>
  <c r="AE100" i="1"/>
  <c r="Y100" i="1"/>
  <c r="AE101" i="1"/>
  <c r="Y101" i="1"/>
  <c r="AE102" i="1"/>
  <c r="Y102" i="1"/>
  <c r="AE103" i="1"/>
  <c r="Y103" i="1"/>
  <c r="AE104" i="1"/>
  <c r="Y104" i="1"/>
  <c r="AE105" i="1"/>
  <c r="Y105" i="1"/>
  <c r="AE106" i="1"/>
  <c r="Y106" i="1"/>
  <c r="AE107" i="1"/>
  <c r="Y107" i="1"/>
  <c r="AE108" i="1"/>
  <c r="Y108" i="1"/>
  <c r="AE109" i="1"/>
  <c r="Y109" i="1"/>
  <c r="AE110" i="1"/>
  <c r="Y110" i="1"/>
  <c r="AE111" i="1"/>
  <c r="Y111" i="1"/>
  <c r="AE112" i="1"/>
  <c r="Y112" i="1"/>
  <c r="AE113" i="1"/>
  <c r="Y113" i="1"/>
  <c r="AE114" i="1"/>
  <c r="Y114" i="1"/>
  <c r="AE115" i="1"/>
  <c r="Y115" i="1"/>
  <c r="AE116" i="1"/>
  <c r="Y116" i="1"/>
  <c r="AE117" i="1"/>
  <c r="Y117" i="1"/>
  <c r="AE118" i="1"/>
  <c r="Y118" i="1"/>
  <c r="AE119" i="1"/>
  <c r="Y119" i="1"/>
  <c r="AE120" i="1"/>
  <c r="Y120" i="1"/>
  <c r="AE121" i="1"/>
  <c r="Y121" i="1"/>
  <c r="AE122" i="1"/>
  <c r="Y122" i="1"/>
  <c r="AE123" i="1"/>
  <c r="Y123" i="1"/>
  <c r="AE124" i="1"/>
  <c r="Y124" i="1"/>
  <c r="AE125" i="1"/>
  <c r="Y125" i="1"/>
  <c r="AE126" i="1"/>
  <c r="Y126" i="1"/>
  <c r="AE127" i="1"/>
  <c r="Y127" i="1"/>
  <c r="AE128" i="1"/>
  <c r="Y128" i="1"/>
  <c r="AE129" i="1"/>
  <c r="Y129" i="1"/>
  <c r="AE130" i="1"/>
  <c r="Y130" i="1"/>
  <c r="AE131" i="1"/>
  <c r="Y131" i="1"/>
  <c r="AE132" i="1"/>
  <c r="Y132" i="1"/>
  <c r="AE133" i="1"/>
  <c r="Y133" i="1"/>
  <c r="AE134" i="1"/>
  <c r="Y134" i="1"/>
  <c r="AE135" i="1"/>
  <c r="Y135" i="1"/>
  <c r="AE136" i="1"/>
  <c r="Y136" i="1"/>
  <c r="AE137" i="1"/>
  <c r="Y137" i="1"/>
  <c r="AE138" i="1"/>
  <c r="Y138" i="1"/>
  <c r="AE139" i="1"/>
  <c r="Y139" i="1"/>
  <c r="AE140" i="1"/>
  <c r="Y140" i="1"/>
  <c r="AE141" i="1"/>
  <c r="Y141" i="1"/>
  <c r="AE142" i="1"/>
  <c r="Y142" i="1"/>
  <c r="AE143" i="1"/>
  <c r="Y143" i="1"/>
  <c r="AE144" i="1"/>
  <c r="Y144" i="1"/>
  <c r="AE145" i="1"/>
  <c r="Y145" i="1"/>
  <c r="AE146" i="1"/>
  <c r="Y146" i="1"/>
  <c r="AE147" i="1"/>
  <c r="Y147" i="1"/>
  <c r="AE148" i="1"/>
  <c r="Y148" i="1"/>
  <c r="AE149" i="1"/>
  <c r="Y149" i="1"/>
  <c r="AE150" i="1"/>
  <c r="Y150" i="1"/>
  <c r="AE151" i="1"/>
  <c r="Y151" i="1"/>
  <c r="AE152" i="1"/>
  <c r="Y152" i="1"/>
  <c r="AE153" i="1"/>
  <c r="Y153" i="1"/>
  <c r="AE154" i="1"/>
  <c r="Y154" i="1"/>
  <c r="AE155" i="1"/>
  <c r="Y155" i="1"/>
  <c r="AE156" i="1"/>
  <c r="Y156" i="1"/>
  <c r="AE157" i="1"/>
  <c r="Y157" i="1"/>
  <c r="AE158" i="1"/>
  <c r="Y158" i="1"/>
  <c r="AE159" i="1"/>
  <c r="Y159" i="1"/>
  <c r="AE160" i="1"/>
  <c r="Y160" i="1"/>
  <c r="AE161" i="1"/>
  <c r="Y161" i="1"/>
  <c r="AE162" i="1"/>
  <c r="Y162" i="1"/>
  <c r="AE163" i="1"/>
  <c r="Y163" i="1"/>
  <c r="AE164" i="1"/>
  <c r="Y164" i="1"/>
  <c r="AE165" i="1"/>
  <c r="Y165" i="1"/>
  <c r="AE166" i="1"/>
  <c r="Y166" i="1"/>
  <c r="AE167" i="1"/>
  <c r="Y167" i="1"/>
  <c r="AE168" i="1"/>
  <c r="Y168" i="1"/>
  <c r="AE169" i="1"/>
  <c r="Y169" i="1"/>
  <c r="AE170" i="1"/>
  <c r="Y170" i="1"/>
  <c r="AE171" i="1"/>
  <c r="Y171" i="1"/>
  <c r="AE172" i="1"/>
  <c r="Y172" i="1"/>
  <c r="AE173" i="1"/>
  <c r="Y173" i="1"/>
  <c r="AE174" i="1"/>
  <c r="Y174" i="1"/>
  <c r="AE175" i="1"/>
  <c r="Y175" i="1"/>
  <c r="AE176" i="1"/>
  <c r="Y176" i="1"/>
  <c r="AE177" i="1"/>
  <c r="Y177" i="1"/>
  <c r="AE178" i="1"/>
  <c r="Y178" i="1"/>
  <c r="AE179" i="1"/>
  <c r="Y179" i="1"/>
  <c r="AE180" i="1"/>
  <c r="Y180" i="1"/>
  <c r="AE181" i="1"/>
  <c r="Y181" i="1"/>
  <c r="AE182" i="1"/>
  <c r="Y182" i="1"/>
  <c r="AE183" i="1"/>
  <c r="Y183" i="1"/>
  <c r="AE184" i="1"/>
  <c r="Y184" i="1"/>
  <c r="AE185" i="1"/>
  <c r="Y185" i="1"/>
  <c r="AE186" i="1"/>
  <c r="Y186" i="1"/>
  <c r="AE187" i="1"/>
  <c r="Y187" i="1"/>
  <c r="AE188" i="1"/>
  <c r="Y188" i="1"/>
  <c r="AE189" i="1"/>
  <c r="Y189" i="1"/>
  <c r="AE190" i="1"/>
  <c r="Y190" i="1"/>
  <c r="AE191" i="1"/>
  <c r="Y191" i="1"/>
  <c r="AE192" i="1"/>
  <c r="Y192" i="1"/>
  <c r="AE193" i="1"/>
  <c r="Y193" i="1"/>
  <c r="AE194" i="1"/>
  <c r="Y194" i="1"/>
  <c r="AE195" i="1"/>
  <c r="Y195" i="1"/>
  <c r="AE196" i="1"/>
  <c r="Y196" i="1"/>
  <c r="AE197" i="1"/>
  <c r="Y197" i="1"/>
  <c r="AE198" i="1"/>
  <c r="Y198" i="1"/>
  <c r="AE199" i="1"/>
  <c r="Y199" i="1"/>
  <c r="AE200" i="1"/>
  <c r="Y200" i="1"/>
  <c r="AE201" i="1"/>
  <c r="Y201" i="1"/>
  <c r="AE202" i="1"/>
  <c r="Y202" i="1"/>
  <c r="AE203" i="1"/>
  <c r="Y203" i="1"/>
  <c r="AE204" i="1"/>
  <c r="Y204" i="1"/>
  <c r="AE205" i="1"/>
  <c r="Y205" i="1"/>
  <c r="AE206" i="1"/>
  <c r="Y206" i="1"/>
  <c r="AE207" i="1"/>
  <c r="Y207" i="1"/>
  <c r="AE208" i="1"/>
  <c r="Y208" i="1"/>
  <c r="AE209" i="1"/>
  <c r="Y209" i="1"/>
  <c r="AE210" i="1"/>
  <c r="Y210" i="1"/>
  <c r="AE211" i="1"/>
  <c r="Y211" i="1"/>
  <c r="AE212" i="1"/>
  <c r="Y212" i="1"/>
  <c r="AE213" i="1"/>
  <c r="Y213" i="1"/>
  <c r="AE214" i="1"/>
  <c r="Y214" i="1"/>
  <c r="AE215" i="1"/>
  <c r="Y215" i="1"/>
  <c r="AE216" i="1"/>
  <c r="Y216" i="1"/>
  <c r="AE217" i="1"/>
  <c r="Y217" i="1"/>
  <c r="AE218" i="1"/>
  <c r="Y218" i="1"/>
  <c r="AE219" i="1"/>
  <c r="Y219" i="1"/>
  <c r="AE220" i="1"/>
  <c r="Y220" i="1"/>
  <c r="AE221" i="1"/>
  <c r="Y221" i="1"/>
  <c r="AE222" i="1"/>
  <c r="Y222" i="1"/>
  <c r="AE223" i="1"/>
  <c r="Y223" i="1"/>
  <c r="AE224" i="1"/>
  <c r="Y224" i="1"/>
  <c r="AE225" i="1"/>
  <c r="Y225" i="1"/>
  <c r="AE226" i="1"/>
  <c r="Y226" i="1"/>
  <c r="AE227" i="1"/>
  <c r="Y227" i="1"/>
  <c r="AE228" i="1"/>
  <c r="Y228" i="1"/>
  <c r="AE229" i="1"/>
  <c r="Y229" i="1"/>
  <c r="AE230" i="1"/>
  <c r="Y230" i="1"/>
  <c r="AE231" i="1"/>
  <c r="Y231" i="1"/>
  <c r="AE232" i="1"/>
  <c r="Y232" i="1"/>
  <c r="AE233" i="1"/>
  <c r="Y233" i="1"/>
  <c r="AE234" i="1"/>
  <c r="Y234" i="1"/>
  <c r="AE235" i="1"/>
  <c r="Y235" i="1"/>
  <c r="AE236" i="1"/>
  <c r="Y236" i="1"/>
  <c r="AE237" i="1"/>
  <c r="Y237" i="1"/>
  <c r="AE238" i="1"/>
  <c r="Y238" i="1"/>
  <c r="AE239" i="1"/>
  <c r="Y239" i="1"/>
  <c r="AE240" i="1"/>
  <c r="Y240" i="1"/>
  <c r="AE241" i="1"/>
  <c r="Y241" i="1"/>
  <c r="AE242" i="1"/>
  <c r="Y242" i="1"/>
  <c r="AE243" i="1"/>
  <c r="Y243" i="1"/>
  <c r="AE244" i="1"/>
  <c r="Y244" i="1"/>
  <c r="AE245" i="1"/>
  <c r="Y245" i="1"/>
  <c r="AE246" i="1"/>
  <c r="Y246" i="1"/>
  <c r="AE247" i="1"/>
  <c r="Y247" i="1"/>
  <c r="AE248" i="1"/>
  <c r="Y248" i="1"/>
  <c r="AE249" i="1"/>
  <c r="Y249" i="1"/>
  <c r="AE250" i="1"/>
  <c r="Y250" i="1"/>
  <c r="AE251" i="1"/>
  <c r="Y251" i="1"/>
  <c r="AE252" i="1"/>
  <c r="Y252" i="1"/>
  <c r="AE253" i="1"/>
  <c r="Y253" i="1"/>
  <c r="AE254" i="1"/>
  <c r="Y254" i="1"/>
  <c r="AE255" i="1"/>
  <c r="Y255" i="1"/>
  <c r="AE256" i="1"/>
  <c r="Y256" i="1"/>
  <c r="AE257" i="1"/>
  <c r="Y257" i="1"/>
  <c r="AE258" i="1"/>
  <c r="Y258" i="1"/>
  <c r="AE259" i="1"/>
  <c r="Y259" i="1"/>
  <c r="AE260" i="1"/>
  <c r="Y260" i="1"/>
  <c r="AE261" i="1"/>
  <c r="Y261" i="1"/>
  <c r="AE262" i="1"/>
  <c r="Y262" i="1"/>
  <c r="AE263" i="1"/>
  <c r="Y263" i="1"/>
  <c r="AE264" i="1"/>
  <c r="Y264" i="1"/>
  <c r="AE265" i="1"/>
  <c r="Y265" i="1"/>
  <c r="AE266" i="1"/>
  <c r="Y266" i="1"/>
  <c r="AE267" i="1"/>
  <c r="Y267" i="1"/>
  <c r="AE268" i="1"/>
  <c r="Y268" i="1"/>
  <c r="AE269" i="1"/>
  <c r="Y269" i="1"/>
  <c r="AE270" i="1"/>
  <c r="Y270" i="1"/>
  <c r="AE271" i="1"/>
  <c r="Y271" i="1"/>
  <c r="AE272" i="1"/>
  <c r="Y272" i="1"/>
  <c r="AE273" i="1"/>
  <c r="Y273" i="1"/>
  <c r="AE274" i="1"/>
  <c r="Y274" i="1"/>
  <c r="AE275" i="1"/>
  <c r="Y275" i="1"/>
  <c r="AE276" i="1"/>
  <c r="Y276" i="1"/>
  <c r="AE277" i="1"/>
  <c r="Y277" i="1"/>
  <c r="AE278" i="1"/>
  <c r="Y278" i="1"/>
  <c r="AE279" i="1"/>
  <c r="Y279" i="1"/>
  <c r="AE280" i="1"/>
  <c r="Y280" i="1"/>
  <c r="AE281" i="1"/>
  <c r="Y281" i="1"/>
  <c r="AE282" i="1"/>
  <c r="Y282" i="1"/>
  <c r="AE283" i="1"/>
  <c r="Y283" i="1"/>
  <c r="AE284" i="1"/>
  <c r="Y284" i="1"/>
  <c r="AE285" i="1"/>
  <c r="Y285" i="1"/>
  <c r="AE286" i="1"/>
  <c r="Y286" i="1"/>
  <c r="AE287" i="1"/>
  <c r="Y287" i="1"/>
  <c r="AE288" i="1"/>
  <c r="Y288" i="1"/>
  <c r="AE289" i="1"/>
  <c r="Y289" i="1"/>
  <c r="AE290" i="1"/>
  <c r="Y290" i="1"/>
  <c r="AE291" i="1"/>
  <c r="Y291" i="1"/>
  <c r="AE292" i="1"/>
  <c r="Y292" i="1"/>
  <c r="AE293" i="1"/>
  <c r="Y293" i="1"/>
  <c r="AE294" i="1"/>
  <c r="Y294" i="1"/>
  <c r="AE295" i="1"/>
  <c r="Y295" i="1"/>
  <c r="AE296" i="1"/>
  <c r="Y296" i="1"/>
  <c r="AE297" i="1"/>
  <c r="Y297" i="1"/>
  <c r="AE298" i="1"/>
  <c r="Y298" i="1"/>
  <c r="AE299" i="1"/>
  <c r="Y299" i="1"/>
  <c r="AE300" i="1"/>
  <c r="Y300" i="1"/>
  <c r="AE301" i="1"/>
  <c r="Y301" i="1"/>
  <c r="AE302" i="1"/>
  <c r="Y302" i="1"/>
  <c r="AE303" i="1"/>
  <c r="Y303" i="1"/>
  <c r="AE304" i="1"/>
  <c r="Y304" i="1"/>
  <c r="AE305" i="1"/>
  <c r="Y305" i="1"/>
  <c r="AE306" i="1"/>
  <c r="Y306" i="1"/>
  <c r="AE307" i="1"/>
  <c r="Y307" i="1"/>
  <c r="AE308" i="1"/>
  <c r="Y308" i="1"/>
  <c r="AE309" i="1"/>
  <c r="Y309" i="1"/>
  <c r="AE310" i="1"/>
  <c r="Y310" i="1"/>
  <c r="AE311" i="1"/>
  <c r="Y311" i="1"/>
  <c r="AE312" i="1"/>
  <c r="Y312" i="1"/>
  <c r="AE313" i="1"/>
  <c r="Y313" i="1"/>
  <c r="AE314" i="1"/>
  <c r="Y314" i="1"/>
  <c r="AE315" i="1"/>
  <c r="Y315" i="1"/>
  <c r="AE316" i="1"/>
  <c r="Y316" i="1"/>
  <c r="AE317" i="1"/>
  <c r="Y317" i="1"/>
  <c r="AE318" i="1"/>
  <c r="Y318" i="1"/>
  <c r="AE319" i="1"/>
  <c r="Y319" i="1"/>
  <c r="AE320" i="1"/>
  <c r="Y320" i="1"/>
  <c r="AE321" i="1"/>
  <c r="Y321" i="1"/>
  <c r="AE322" i="1"/>
  <c r="Y322" i="1"/>
  <c r="AE323" i="1"/>
  <c r="Y323" i="1"/>
  <c r="AE324" i="1"/>
  <c r="Y324" i="1"/>
  <c r="AE325" i="1"/>
  <c r="Y325" i="1"/>
  <c r="AE326" i="1"/>
  <c r="Y326" i="1"/>
  <c r="AE327" i="1"/>
  <c r="Y327" i="1"/>
  <c r="AE328" i="1"/>
  <c r="Y328" i="1"/>
  <c r="AE329" i="1"/>
  <c r="Y329" i="1"/>
  <c r="AE330" i="1"/>
  <c r="Y330" i="1"/>
  <c r="AE331" i="1"/>
  <c r="Y331" i="1"/>
  <c r="AE332" i="1"/>
  <c r="Y332" i="1"/>
  <c r="AE333" i="1"/>
  <c r="Y333" i="1"/>
  <c r="AE334" i="1"/>
  <c r="Y334" i="1"/>
  <c r="AE335" i="1"/>
  <c r="Y335" i="1"/>
  <c r="AE336" i="1"/>
  <c r="Y336" i="1"/>
  <c r="AE337" i="1"/>
  <c r="Y337" i="1"/>
  <c r="AE338" i="1"/>
  <c r="Y338" i="1"/>
  <c r="AE339" i="1"/>
  <c r="Y339" i="1"/>
  <c r="AE340" i="1"/>
  <c r="Y340" i="1"/>
  <c r="AE341" i="1"/>
  <c r="Y341" i="1"/>
  <c r="AE342" i="1"/>
  <c r="Y342" i="1"/>
  <c r="AE343" i="1"/>
  <c r="Y343" i="1"/>
  <c r="AE344" i="1"/>
  <c r="Y344" i="1"/>
  <c r="AE345" i="1"/>
  <c r="Y345" i="1"/>
  <c r="AE346" i="1"/>
  <c r="Y346" i="1"/>
  <c r="AE347" i="1"/>
  <c r="Y347" i="1"/>
  <c r="AE348" i="1"/>
  <c r="Y348" i="1"/>
  <c r="AE349" i="1"/>
  <c r="Y349" i="1"/>
  <c r="AE350" i="1"/>
  <c r="Y350" i="1"/>
  <c r="AE351" i="1"/>
  <c r="Y351" i="1"/>
  <c r="AE352" i="1"/>
  <c r="Y352" i="1"/>
  <c r="AE353" i="1"/>
  <c r="Y353" i="1"/>
  <c r="AE354" i="1"/>
  <c r="Y354" i="1"/>
  <c r="AE355" i="1"/>
  <c r="Y355" i="1"/>
  <c r="AE356" i="1"/>
  <c r="Y356" i="1"/>
  <c r="AE357" i="1"/>
  <c r="Y357" i="1"/>
  <c r="AE358" i="1"/>
  <c r="Y358" i="1"/>
  <c r="AE359" i="1"/>
  <c r="Y359" i="1"/>
  <c r="AE360" i="1"/>
  <c r="Y360" i="1"/>
  <c r="AE361" i="1"/>
  <c r="Y361" i="1"/>
  <c r="AE362" i="1"/>
  <c r="Y362" i="1"/>
  <c r="AE363" i="1"/>
  <c r="Y363" i="1"/>
  <c r="AE364" i="1"/>
  <c r="Y364" i="1"/>
  <c r="AE365" i="1"/>
  <c r="Y365" i="1"/>
  <c r="AE366" i="1"/>
  <c r="Y366" i="1"/>
  <c r="AE367" i="1"/>
  <c r="Y367" i="1"/>
  <c r="AE368" i="1"/>
  <c r="Y368" i="1"/>
  <c r="AE369" i="1"/>
  <c r="Y369" i="1"/>
  <c r="AE370" i="1"/>
  <c r="Y370" i="1"/>
  <c r="AE371" i="1"/>
  <c r="Y371" i="1"/>
  <c r="AE372" i="1"/>
  <c r="Y372" i="1"/>
  <c r="AE373" i="1"/>
  <c r="Y373" i="1"/>
  <c r="AE374" i="1"/>
  <c r="Y374" i="1"/>
  <c r="AE375" i="1"/>
  <c r="Y375" i="1"/>
  <c r="AE376" i="1"/>
  <c r="Y376" i="1"/>
  <c r="AE377" i="1"/>
  <c r="Y377" i="1"/>
  <c r="AE378" i="1"/>
  <c r="Y378" i="1"/>
  <c r="AE379" i="1"/>
  <c r="Y379" i="1"/>
  <c r="AE380" i="1"/>
  <c r="Y380" i="1"/>
  <c r="AE381" i="1"/>
  <c r="Y381" i="1"/>
  <c r="AE382" i="1"/>
  <c r="Y382" i="1"/>
  <c r="AE383" i="1"/>
  <c r="Y383" i="1"/>
  <c r="AE384" i="1"/>
  <c r="Y384" i="1"/>
  <c r="AE385" i="1"/>
  <c r="Y385" i="1"/>
  <c r="AE386" i="1"/>
  <c r="Y386" i="1"/>
  <c r="AE387" i="1"/>
  <c r="Y387" i="1"/>
  <c r="AE388" i="1"/>
  <c r="Y388" i="1"/>
  <c r="AE389" i="1"/>
  <c r="Y389" i="1"/>
  <c r="AE390" i="1"/>
  <c r="Y390" i="1"/>
  <c r="AE391" i="1"/>
  <c r="Y391" i="1"/>
  <c r="AE392" i="1"/>
  <c r="Y392" i="1"/>
  <c r="AE393" i="1"/>
  <c r="Y393" i="1"/>
  <c r="AE394" i="1"/>
  <c r="Y394" i="1"/>
  <c r="AE395" i="1"/>
  <c r="Y395" i="1"/>
  <c r="AE396" i="1"/>
  <c r="Y396" i="1"/>
  <c r="AE397" i="1"/>
  <c r="Y397" i="1"/>
  <c r="AE398" i="1"/>
  <c r="Y398" i="1"/>
  <c r="AE399" i="1"/>
  <c r="Y399" i="1"/>
  <c r="AE400" i="1"/>
  <c r="Y400" i="1"/>
  <c r="AE401" i="1"/>
  <c r="Y401" i="1"/>
  <c r="AE402" i="1"/>
  <c r="Y402" i="1"/>
  <c r="AE403" i="1"/>
  <c r="Y403" i="1"/>
  <c r="AE404" i="1"/>
  <c r="Y404" i="1"/>
  <c r="AE405" i="1"/>
  <c r="Y405" i="1"/>
  <c r="AE406" i="1"/>
  <c r="Y406" i="1"/>
  <c r="AE407" i="1"/>
  <c r="Y407" i="1"/>
  <c r="AE408" i="1"/>
  <c r="Y408" i="1"/>
  <c r="AE409" i="1"/>
  <c r="Y409" i="1"/>
  <c r="AE410" i="1"/>
  <c r="Y410" i="1"/>
  <c r="AE411" i="1"/>
  <c r="Y411" i="1"/>
  <c r="AE412" i="1"/>
  <c r="Y412" i="1"/>
  <c r="AE413" i="1"/>
  <c r="Y413" i="1"/>
  <c r="AE414" i="1"/>
  <c r="Y414" i="1"/>
  <c r="AE415" i="1"/>
  <c r="Y415" i="1"/>
  <c r="AE416" i="1"/>
  <c r="Y416" i="1"/>
  <c r="AE417" i="1"/>
  <c r="Y417" i="1"/>
  <c r="AE418" i="1"/>
  <c r="Y418" i="1"/>
  <c r="AE419" i="1"/>
  <c r="Y419" i="1"/>
  <c r="AE420" i="1"/>
  <c r="Y420" i="1"/>
  <c r="AE421" i="1"/>
  <c r="Y421" i="1"/>
  <c r="AE422" i="1"/>
  <c r="Y422" i="1"/>
  <c r="AE423" i="1"/>
  <c r="Y423" i="1"/>
  <c r="AE424" i="1"/>
  <c r="Y424" i="1"/>
  <c r="AE425" i="1"/>
  <c r="Y425" i="1"/>
  <c r="AE426" i="1"/>
  <c r="Y426" i="1"/>
  <c r="AE427" i="1"/>
  <c r="Y427" i="1"/>
  <c r="AE428" i="1"/>
  <c r="Y428" i="1"/>
  <c r="AE429" i="1"/>
  <c r="Y429" i="1"/>
  <c r="AE430" i="1"/>
  <c r="Y430" i="1"/>
  <c r="AE431" i="1"/>
  <c r="Y431" i="1"/>
  <c r="AE432" i="1"/>
  <c r="Y432" i="1"/>
  <c r="AE433" i="1"/>
  <c r="Y433" i="1"/>
  <c r="AE434" i="1"/>
  <c r="Y434" i="1"/>
  <c r="AE435" i="1"/>
  <c r="Y435" i="1"/>
  <c r="AE436" i="1"/>
  <c r="Y436" i="1"/>
  <c r="AE437" i="1"/>
  <c r="Y437" i="1"/>
  <c r="AE438" i="1"/>
  <c r="Y438" i="1"/>
  <c r="AE439" i="1"/>
  <c r="Y439" i="1"/>
  <c r="AE440" i="1"/>
  <c r="Y440" i="1"/>
  <c r="AE441" i="1"/>
  <c r="Y441" i="1"/>
  <c r="AE442" i="1"/>
  <c r="Y442" i="1"/>
  <c r="AE443" i="1"/>
  <c r="Y443" i="1"/>
  <c r="AE444" i="1"/>
  <c r="Y444" i="1"/>
  <c r="AE445" i="1"/>
  <c r="Y445" i="1"/>
  <c r="AE446" i="1"/>
  <c r="Y446" i="1"/>
  <c r="AE447" i="1"/>
  <c r="Y447" i="1"/>
  <c r="AE448" i="1"/>
  <c r="Y448" i="1"/>
  <c r="AE449" i="1"/>
  <c r="Y449" i="1"/>
  <c r="AE450" i="1"/>
  <c r="Y450" i="1"/>
  <c r="AE451" i="1"/>
  <c r="Y451" i="1"/>
  <c r="AE452" i="1"/>
  <c r="Y452" i="1"/>
  <c r="AE453" i="1"/>
  <c r="Y453" i="1"/>
  <c r="AE454" i="1"/>
  <c r="Y454" i="1"/>
  <c r="AE455" i="1"/>
  <c r="Y455" i="1"/>
  <c r="AE456" i="1"/>
  <c r="Y456" i="1"/>
  <c r="AE457" i="1"/>
  <c r="Y457" i="1"/>
  <c r="AE458" i="1"/>
  <c r="Y458" i="1"/>
  <c r="AE459" i="1"/>
  <c r="Y459" i="1"/>
  <c r="AE460" i="1"/>
  <c r="Y460" i="1"/>
  <c r="AE461" i="1"/>
  <c r="Y461" i="1"/>
  <c r="AE462" i="1"/>
  <c r="Y462" i="1"/>
  <c r="AE463" i="1"/>
  <c r="Y463" i="1"/>
  <c r="AE464" i="1"/>
  <c r="Y464" i="1"/>
  <c r="AE465" i="1"/>
  <c r="Y465" i="1"/>
  <c r="AE466" i="1"/>
  <c r="Y466" i="1"/>
  <c r="AE467" i="1"/>
  <c r="Y467" i="1"/>
  <c r="AE468" i="1"/>
  <c r="Y468" i="1"/>
  <c r="AE469" i="1"/>
  <c r="Y469" i="1"/>
  <c r="AE470" i="1"/>
  <c r="Y470" i="1"/>
  <c r="AE471" i="1"/>
  <c r="Y471" i="1"/>
  <c r="AE472" i="1"/>
  <c r="Y472" i="1"/>
  <c r="AE473" i="1"/>
  <c r="Y473" i="1"/>
  <c r="AE474" i="1"/>
  <c r="Y474" i="1"/>
  <c r="AE475" i="1"/>
  <c r="Y475" i="1"/>
  <c r="AE476" i="1"/>
  <c r="Y476" i="1"/>
  <c r="AE477" i="1"/>
  <c r="Y477" i="1"/>
  <c r="AE478" i="1"/>
  <c r="Y478" i="1"/>
  <c r="AE479" i="1"/>
  <c r="Y479" i="1"/>
  <c r="AE480" i="1"/>
  <c r="Y480" i="1"/>
  <c r="AE481" i="1"/>
  <c r="Y481" i="1"/>
  <c r="AE482" i="1"/>
  <c r="Y482" i="1"/>
  <c r="AE483" i="1"/>
  <c r="Y483" i="1"/>
  <c r="AE484" i="1"/>
  <c r="Y484" i="1"/>
  <c r="AE485" i="1"/>
  <c r="Y485" i="1"/>
  <c r="AE486" i="1"/>
  <c r="Y486" i="1"/>
  <c r="AE487" i="1"/>
  <c r="Y487" i="1"/>
  <c r="AE488" i="1"/>
  <c r="Y488" i="1"/>
  <c r="AE489" i="1"/>
  <c r="Y489" i="1"/>
  <c r="AE490" i="1"/>
  <c r="Y490" i="1"/>
  <c r="AE491" i="1"/>
  <c r="Y491" i="1"/>
  <c r="AE492" i="1"/>
  <c r="Y492" i="1"/>
  <c r="AE493" i="1"/>
  <c r="Y493" i="1"/>
  <c r="AE494" i="1"/>
  <c r="Y494" i="1"/>
  <c r="AE495" i="1"/>
  <c r="Y495" i="1"/>
  <c r="AE496" i="1"/>
  <c r="Y496" i="1"/>
  <c r="AE497" i="1"/>
  <c r="Y497" i="1"/>
  <c r="AE498" i="1"/>
  <c r="Y498" i="1"/>
  <c r="AE499" i="1"/>
  <c r="Y499" i="1"/>
  <c r="AE500" i="1"/>
  <c r="Y500" i="1"/>
  <c r="AE501" i="1"/>
  <c r="Y501" i="1"/>
  <c r="AE502" i="1"/>
  <c r="Y502" i="1"/>
  <c r="AE503" i="1"/>
  <c r="Y503" i="1"/>
  <c r="AE504" i="1"/>
  <c r="Y504" i="1"/>
  <c r="AE505" i="1"/>
  <c r="Y505" i="1"/>
  <c r="AE506" i="1"/>
  <c r="Y506" i="1"/>
  <c r="AE507" i="1"/>
  <c r="Y507" i="1"/>
  <c r="AE508" i="1"/>
  <c r="Y508" i="1"/>
  <c r="AE509" i="1"/>
  <c r="Y509" i="1"/>
  <c r="AE510" i="1"/>
  <c r="Y510" i="1"/>
  <c r="AE511" i="1"/>
  <c r="Y511" i="1"/>
  <c r="AE512" i="1"/>
  <c r="Y512" i="1"/>
  <c r="AE513" i="1"/>
  <c r="Y513" i="1"/>
  <c r="AE514" i="1"/>
  <c r="Y514" i="1"/>
  <c r="AE515" i="1"/>
  <c r="Y515" i="1"/>
  <c r="AE516" i="1"/>
  <c r="Y516" i="1"/>
  <c r="AE517" i="1"/>
  <c r="Y517" i="1"/>
  <c r="AE518" i="1"/>
  <c r="Y518" i="1"/>
  <c r="AE519" i="1"/>
  <c r="Y519" i="1"/>
  <c r="AE520" i="1"/>
  <c r="Y520" i="1"/>
  <c r="AE521" i="1"/>
  <c r="Y521" i="1"/>
  <c r="AE522" i="1"/>
  <c r="Y522" i="1"/>
  <c r="AE523" i="1"/>
  <c r="Y523" i="1"/>
  <c r="AE524" i="1"/>
  <c r="Y524" i="1"/>
  <c r="AE525" i="1"/>
  <c r="Y525" i="1"/>
  <c r="AE526" i="1"/>
  <c r="Y526" i="1"/>
  <c r="AE527" i="1"/>
  <c r="Y527" i="1"/>
  <c r="AE528" i="1"/>
  <c r="Y528" i="1"/>
  <c r="AE529" i="1"/>
  <c r="Y529" i="1"/>
  <c r="AE530" i="1"/>
  <c r="Y530" i="1"/>
  <c r="AE531" i="1"/>
  <c r="Y531" i="1"/>
  <c r="AE532" i="1"/>
  <c r="Y532" i="1"/>
  <c r="AE533" i="1"/>
  <c r="Y533" i="1"/>
  <c r="AE534" i="1"/>
  <c r="Y534" i="1"/>
  <c r="AE535" i="1"/>
  <c r="Y535" i="1"/>
  <c r="AE536" i="1"/>
  <c r="Y536" i="1"/>
  <c r="AE537" i="1"/>
  <c r="Y537" i="1"/>
  <c r="AE538" i="1"/>
  <c r="Y538" i="1"/>
  <c r="AE539" i="1"/>
  <c r="Y539" i="1"/>
  <c r="AE540" i="1"/>
  <c r="Y540" i="1"/>
  <c r="AE541" i="1"/>
  <c r="Y541" i="1"/>
  <c r="AE542" i="1"/>
  <c r="Y542" i="1"/>
  <c r="AE543" i="1"/>
  <c r="Y543" i="1"/>
  <c r="AE544" i="1"/>
  <c r="Y544" i="1"/>
  <c r="AE545" i="1"/>
  <c r="Y545" i="1"/>
  <c r="AE546" i="1"/>
  <c r="Y546" i="1"/>
  <c r="AE547" i="1"/>
  <c r="Y547" i="1"/>
  <c r="AE548" i="1"/>
  <c r="Y548" i="1"/>
  <c r="AE549" i="1"/>
  <c r="Y549" i="1"/>
  <c r="AE550" i="1"/>
  <c r="Y550" i="1"/>
  <c r="AE551" i="1"/>
  <c r="Y551" i="1"/>
  <c r="AE552" i="1"/>
  <c r="Y552" i="1"/>
  <c r="AE553" i="1"/>
  <c r="Y553" i="1"/>
  <c r="AE554" i="1"/>
  <c r="Y554" i="1"/>
  <c r="AE555" i="1"/>
  <c r="Y555" i="1"/>
  <c r="AE556" i="1"/>
  <c r="Y556" i="1"/>
  <c r="AE557" i="1"/>
  <c r="Y557" i="1"/>
  <c r="AE558" i="1"/>
  <c r="Y558" i="1"/>
  <c r="AE559" i="1"/>
  <c r="Y559" i="1"/>
  <c r="AE560" i="1"/>
  <c r="Y560" i="1"/>
  <c r="AE561" i="1"/>
  <c r="Y561" i="1"/>
  <c r="AE562" i="1"/>
  <c r="Y562" i="1"/>
  <c r="AE563" i="1"/>
  <c r="Y563" i="1"/>
  <c r="AE564" i="1"/>
  <c r="Y564" i="1"/>
  <c r="AE565" i="1"/>
  <c r="Y565" i="1"/>
  <c r="AE566" i="1"/>
  <c r="Y566" i="1"/>
  <c r="AE567" i="1"/>
  <c r="Y567" i="1"/>
  <c r="AE568" i="1"/>
  <c r="Y568" i="1"/>
  <c r="AE569" i="1"/>
  <c r="Y569" i="1"/>
  <c r="AE570" i="1"/>
  <c r="Y570" i="1"/>
  <c r="AE571" i="1"/>
  <c r="Y571" i="1"/>
  <c r="AE572" i="1"/>
  <c r="Y572" i="1"/>
  <c r="AE573" i="1"/>
  <c r="Y573" i="1"/>
  <c r="AE574" i="1"/>
  <c r="Y574" i="1"/>
  <c r="AE575" i="1"/>
  <c r="Y575" i="1"/>
  <c r="AE576" i="1"/>
  <c r="Y576" i="1"/>
  <c r="AE577" i="1"/>
  <c r="Y577" i="1"/>
  <c r="AE578" i="1"/>
  <c r="Y578" i="1"/>
  <c r="AE579" i="1"/>
  <c r="Y579" i="1"/>
  <c r="AE580" i="1"/>
  <c r="Y580" i="1"/>
  <c r="AE581" i="1"/>
  <c r="Y581" i="1"/>
  <c r="AE582" i="1"/>
  <c r="Y582" i="1"/>
  <c r="AE583" i="1"/>
  <c r="Y583" i="1"/>
  <c r="AE584" i="1"/>
  <c r="Y584" i="1"/>
  <c r="AE585" i="1"/>
  <c r="Y585" i="1"/>
  <c r="AE586" i="1"/>
  <c r="Y586" i="1"/>
  <c r="AE587" i="1"/>
  <c r="Y587" i="1"/>
  <c r="AE588" i="1"/>
  <c r="Y588" i="1"/>
  <c r="AE589" i="1"/>
  <c r="Y589" i="1"/>
  <c r="AE590" i="1"/>
  <c r="Y590" i="1"/>
  <c r="AE591" i="1"/>
  <c r="Y591" i="1"/>
  <c r="AE592" i="1"/>
  <c r="Y592" i="1"/>
  <c r="AE593" i="1"/>
  <c r="Y593" i="1"/>
  <c r="AE594" i="1"/>
  <c r="Y594" i="1"/>
  <c r="AE595" i="1"/>
  <c r="Y595" i="1"/>
  <c r="AE596" i="1"/>
  <c r="Y596" i="1"/>
  <c r="AE597" i="1"/>
  <c r="Y597" i="1"/>
  <c r="AE598" i="1"/>
  <c r="Y598" i="1"/>
  <c r="AE599" i="1"/>
  <c r="Y599" i="1"/>
  <c r="AE600" i="1"/>
  <c r="Y600" i="1"/>
  <c r="AE601" i="1"/>
  <c r="Y601" i="1"/>
  <c r="AE602" i="1"/>
  <c r="Y602" i="1"/>
  <c r="AE603" i="1"/>
  <c r="Y603" i="1"/>
  <c r="AE604" i="1"/>
  <c r="Y604" i="1"/>
  <c r="AE605" i="1"/>
  <c r="Y605" i="1"/>
  <c r="AE606" i="1"/>
  <c r="Y606" i="1"/>
  <c r="AE607" i="1"/>
  <c r="Y607" i="1"/>
  <c r="AE608" i="1"/>
  <c r="Y608" i="1"/>
  <c r="AE609" i="1"/>
  <c r="Y609" i="1"/>
  <c r="AE610" i="1"/>
  <c r="Y610" i="1"/>
  <c r="AE611" i="1"/>
  <c r="Y611" i="1"/>
  <c r="AE612" i="1"/>
  <c r="Y612" i="1"/>
  <c r="AE613" i="1"/>
  <c r="Y613" i="1"/>
  <c r="AE614" i="1"/>
  <c r="Y614" i="1"/>
  <c r="AE615" i="1"/>
  <c r="Y615" i="1"/>
  <c r="AE616" i="1"/>
  <c r="Y616" i="1"/>
  <c r="AE617" i="1"/>
  <c r="Y617" i="1"/>
  <c r="AE618" i="1"/>
  <c r="Y618" i="1"/>
  <c r="AE619" i="1"/>
  <c r="Y619" i="1"/>
  <c r="AE620" i="1"/>
  <c r="Y620" i="1"/>
  <c r="AE621" i="1"/>
  <c r="Y621" i="1"/>
  <c r="AE622" i="1"/>
  <c r="Y622" i="1"/>
  <c r="AE623" i="1"/>
  <c r="Y623" i="1"/>
  <c r="AE624" i="1"/>
  <c r="Y624" i="1"/>
  <c r="AE625" i="1"/>
  <c r="Y625" i="1"/>
  <c r="AE626" i="1"/>
  <c r="Y626" i="1"/>
  <c r="AE627" i="1"/>
  <c r="Y627" i="1"/>
  <c r="AE628" i="1"/>
  <c r="Y628" i="1"/>
  <c r="AE629" i="1"/>
  <c r="Y629" i="1"/>
  <c r="AE630" i="1"/>
  <c r="Y630" i="1"/>
  <c r="AE631" i="1"/>
  <c r="Y631" i="1"/>
  <c r="AE632" i="1"/>
  <c r="Y632" i="1"/>
  <c r="AE633" i="1"/>
  <c r="Y633" i="1"/>
  <c r="AE634" i="1"/>
  <c r="Y634" i="1"/>
  <c r="AE635" i="1"/>
  <c r="Y635" i="1"/>
  <c r="AE636" i="1"/>
  <c r="Y636" i="1"/>
  <c r="AE637" i="1"/>
  <c r="Y637" i="1"/>
  <c r="AE638" i="1"/>
  <c r="Y638" i="1"/>
  <c r="AE639" i="1"/>
  <c r="Y639" i="1"/>
  <c r="AE640" i="1"/>
  <c r="Y640" i="1"/>
  <c r="AE641" i="1"/>
  <c r="Y641" i="1"/>
  <c r="AE642" i="1"/>
  <c r="Y642" i="1"/>
  <c r="AE643" i="1"/>
  <c r="Y643" i="1"/>
  <c r="AE644" i="1"/>
  <c r="Y644" i="1"/>
  <c r="AE645" i="1"/>
  <c r="Y645" i="1"/>
  <c r="AE646" i="1"/>
  <c r="Y646" i="1"/>
  <c r="AE647" i="1"/>
  <c r="Y647" i="1"/>
  <c r="AE648" i="1"/>
  <c r="Y648" i="1"/>
  <c r="AE649" i="1"/>
  <c r="Y649" i="1"/>
  <c r="AE650" i="1"/>
  <c r="Y650" i="1"/>
  <c r="AE651" i="1"/>
  <c r="Y651" i="1"/>
  <c r="AE652" i="1"/>
  <c r="Y652" i="1"/>
  <c r="AE653" i="1"/>
  <c r="Y653" i="1"/>
  <c r="AE654" i="1"/>
  <c r="Y654" i="1"/>
  <c r="AE655" i="1"/>
  <c r="Y655" i="1"/>
  <c r="AE656" i="1"/>
  <c r="Y656" i="1"/>
  <c r="AE657" i="1"/>
  <c r="Y657" i="1"/>
  <c r="AE658" i="1"/>
  <c r="Y658" i="1"/>
  <c r="AE659" i="1"/>
  <c r="Y659" i="1"/>
  <c r="AE660" i="1"/>
  <c r="Y660" i="1"/>
  <c r="AE661" i="1"/>
  <c r="Y661" i="1"/>
  <c r="AE662" i="1"/>
  <c r="Y662" i="1"/>
  <c r="AE663" i="1"/>
  <c r="Y663" i="1"/>
  <c r="AE664" i="1"/>
  <c r="Y664" i="1"/>
  <c r="AE665" i="1"/>
  <c r="Y665" i="1"/>
  <c r="AE666" i="1"/>
  <c r="Y666" i="1"/>
  <c r="AE667" i="1"/>
  <c r="Y667" i="1"/>
  <c r="AE668" i="1"/>
  <c r="Y668" i="1"/>
  <c r="AE669" i="1"/>
  <c r="Y669" i="1"/>
  <c r="AE670" i="1"/>
  <c r="Y670" i="1"/>
  <c r="AE671" i="1"/>
  <c r="Y671" i="1"/>
  <c r="AE672" i="1"/>
  <c r="Y672" i="1"/>
  <c r="AE673" i="1"/>
  <c r="Y673" i="1"/>
  <c r="AE674" i="1"/>
  <c r="Y674" i="1"/>
  <c r="AE675" i="1"/>
  <c r="Y675" i="1"/>
  <c r="AE676" i="1"/>
  <c r="Y676" i="1"/>
  <c r="AE677" i="1"/>
  <c r="Y677" i="1"/>
  <c r="AE678" i="1"/>
  <c r="Y678" i="1"/>
  <c r="AE679" i="1"/>
  <c r="Y679" i="1"/>
  <c r="AE680" i="1"/>
  <c r="Y680" i="1"/>
  <c r="AE681" i="1"/>
  <c r="Y681" i="1"/>
  <c r="AE682" i="1"/>
  <c r="Y682" i="1"/>
  <c r="AE683" i="1"/>
  <c r="Y683" i="1"/>
  <c r="AE684" i="1"/>
  <c r="Y684" i="1"/>
  <c r="AE685" i="1"/>
  <c r="Y685" i="1"/>
  <c r="AE686" i="1"/>
  <c r="Y686" i="1"/>
  <c r="AE687" i="1"/>
  <c r="Y687" i="1"/>
  <c r="AE688" i="1"/>
  <c r="Y688" i="1"/>
  <c r="AE689" i="1"/>
  <c r="Y689" i="1"/>
  <c r="AE690" i="1"/>
  <c r="Y690" i="1"/>
  <c r="AE691" i="1"/>
  <c r="Y691" i="1"/>
  <c r="AE692" i="1"/>
  <c r="Y692" i="1"/>
  <c r="AE693" i="1"/>
  <c r="Y693" i="1"/>
  <c r="AE694" i="1"/>
  <c r="Y694" i="1"/>
  <c r="AE695" i="1"/>
  <c r="Y695" i="1"/>
  <c r="AE696" i="1"/>
  <c r="Y696" i="1"/>
  <c r="AE697" i="1"/>
  <c r="Y697" i="1"/>
  <c r="AE698" i="1"/>
  <c r="Y698" i="1"/>
  <c r="AE699" i="1"/>
  <c r="Y699" i="1"/>
  <c r="AE700" i="1"/>
  <c r="Y700" i="1"/>
  <c r="AE701" i="1"/>
  <c r="Y701" i="1"/>
  <c r="AE702" i="1"/>
  <c r="Y702" i="1"/>
  <c r="AE703" i="1"/>
  <c r="Y703" i="1"/>
  <c r="AE704" i="1"/>
  <c r="Y704" i="1"/>
  <c r="AE705" i="1"/>
  <c r="Y705" i="1"/>
  <c r="AE706" i="1"/>
  <c r="Y706" i="1"/>
  <c r="AE707" i="1"/>
  <c r="Y707" i="1"/>
  <c r="AE708" i="1"/>
  <c r="Y708" i="1"/>
  <c r="AE709" i="1"/>
  <c r="Y709" i="1"/>
  <c r="AE710" i="1"/>
  <c r="Y710" i="1"/>
  <c r="AE711" i="1"/>
  <c r="Y711" i="1"/>
  <c r="AE712" i="1"/>
  <c r="Y712" i="1"/>
  <c r="AE713" i="1"/>
  <c r="Y713" i="1"/>
  <c r="AE714" i="1"/>
  <c r="Y714" i="1"/>
  <c r="AE715" i="1"/>
  <c r="Y715" i="1"/>
  <c r="AE716" i="1"/>
  <c r="Y716" i="1"/>
  <c r="AE717" i="1"/>
  <c r="Y717" i="1"/>
  <c r="AE718" i="1"/>
  <c r="Y718" i="1"/>
  <c r="AE719" i="1"/>
  <c r="Y719" i="1"/>
  <c r="AE720" i="1"/>
  <c r="Y720" i="1"/>
  <c r="AE721" i="1"/>
  <c r="Y721" i="1"/>
  <c r="AE722" i="1"/>
  <c r="Y722" i="1"/>
  <c r="AE723" i="1"/>
  <c r="Y723" i="1"/>
  <c r="AE724" i="1"/>
  <c r="Y724" i="1"/>
  <c r="AE725" i="1"/>
  <c r="Y725" i="1"/>
  <c r="AE726" i="1"/>
  <c r="Y726" i="1"/>
  <c r="AE727" i="1"/>
  <c r="Y727" i="1"/>
  <c r="AE728" i="1"/>
  <c r="Y728" i="1"/>
  <c r="AE729" i="1"/>
  <c r="Y729" i="1"/>
  <c r="AE730" i="1"/>
  <c r="Y730" i="1"/>
  <c r="AE731" i="1"/>
  <c r="Y731" i="1"/>
  <c r="AE732" i="1"/>
  <c r="Y732" i="1"/>
  <c r="AE733" i="1"/>
  <c r="Y733" i="1"/>
  <c r="AE734" i="1"/>
  <c r="Y734" i="1"/>
  <c r="AE735" i="1"/>
  <c r="Y735" i="1"/>
  <c r="AE736" i="1"/>
  <c r="Y736" i="1"/>
  <c r="AE737" i="1"/>
  <c r="Y737" i="1"/>
  <c r="AE738" i="1"/>
  <c r="Y738" i="1"/>
  <c r="AE739" i="1"/>
  <c r="Y739" i="1"/>
  <c r="AE740" i="1"/>
  <c r="Y740" i="1"/>
  <c r="AE741" i="1"/>
  <c r="Y741" i="1"/>
  <c r="AE742" i="1"/>
  <c r="Y742" i="1"/>
  <c r="AE743" i="1"/>
  <c r="Y743" i="1"/>
  <c r="AE744" i="1"/>
  <c r="Y744" i="1"/>
  <c r="AE745" i="1"/>
  <c r="Y745" i="1"/>
  <c r="AE746" i="1"/>
  <c r="Y746" i="1"/>
  <c r="AE747" i="1"/>
  <c r="Y747" i="1"/>
  <c r="AE748" i="1"/>
  <c r="Y748" i="1"/>
  <c r="AE749" i="1"/>
  <c r="Y749" i="1"/>
  <c r="AE750" i="1"/>
  <c r="Y750" i="1"/>
  <c r="AE751" i="1"/>
  <c r="Y751" i="1"/>
  <c r="AE752" i="1"/>
  <c r="Y752" i="1"/>
  <c r="AE753" i="1"/>
  <c r="Y753" i="1"/>
  <c r="AE754" i="1"/>
  <c r="Y754" i="1"/>
  <c r="AE755" i="1"/>
  <c r="Y755" i="1"/>
  <c r="AE756" i="1"/>
  <c r="Y756" i="1"/>
  <c r="AE757" i="1"/>
  <c r="Y757" i="1"/>
  <c r="AE758" i="1"/>
  <c r="Y758" i="1"/>
  <c r="AE759" i="1"/>
  <c r="Y759" i="1"/>
  <c r="AE760" i="1"/>
  <c r="Y760" i="1"/>
  <c r="AE761" i="1"/>
  <c r="Y761" i="1"/>
  <c r="AE762" i="1"/>
  <c r="Y762" i="1"/>
  <c r="AE763" i="1"/>
  <c r="Y763" i="1"/>
  <c r="AE764" i="1"/>
  <c r="Y764" i="1"/>
  <c r="AE765" i="1"/>
  <c r="Y765" i="1"/>
  <c r="AE766" i="1"/>
  <c r="Y766" i="1"/>
  <c r="AE767" i="1"/>
  <c r="Y767" i="1"/>
  <c r="AE768" i="1"/>
  <c r="Y768" i="1"/>
  <c r="AE769" i="1"/>
  <c r="Y769" i="1"/>
  <c r="AE770" i="1"/>
  <c r="Y770" i="1"/>
  <c r="AE771" i="1"/>
  <c r="Y771" i="1"/>
  <c r="AE772" i="1"/>
  <c r="Y772" i="1"/>
  <c r="AE773" i="1"/>
  <c r="Y773" i="1"/>
  <c r="AE774" i="1"/>
  <c r="Y774" i="1"/>
  <c r="AE775" i="1"/>
  <c r="Y775" i="1"/>
  <c r="AE776" i="1"/>
  <c r="Y776" i="1"/>
  <c r="AE777" i="1"/>
  <c r="Y777" i="1"/>
  <c r="AE778" i="1"/>
  <c r="Y778" i="1"/>
  <c r="AE779" i="1"/>
  <c r="Y779" i="1"/>
  <c r="AE780" i="1"/>
  <c r="Y780" i="1"/>
  <c r="AE781" i="1"/>
  <c r="Y781" i="1"/>
  <c r="AE782" i="1"/>
  <c r="Y782" i="1"/>
  <c r="AE783" i="1"/>
  <c r="Y783" i="1"/>
  <c r="AE784" i="1"/>
  <c r="Y784" i="1"/>
  <c r="AE785" i="1"/>
  <c r="Y785" i="1"/>
  <c r="AE786" i="1"/>
  <c r="Y786" i="1"/>
  <c r="AE787" i="1"/>
  <c r="Y787" i="1"/>
  <c r="AE788" i="1"/>
  <c r="Y788" i="1"/>
  <c r="AE789" i="1"/>
  <c r="Y789" i="1"/>
  <c r="AE790" i="1"/>
  <c r="Y790" i="1"/>
  <c r="AE791" i="1"/>
  <c r="Y791" i="1"/>
  <c r="AE792" i="1"/>
  <c r="Y792" i="1"/>
  <c r="AE793" i="1"/>
  <c r="Y793" i="1"/>
  <c r="AE794" i="1"/>
  <c r="Y794" i="1"/>
  <c r="AE795" i="1"/>
  <c r="Y795" i="1"/>
  <c r="AE796" i="1"/>
  <c r="Y796" i="1"/>
  <c r="AE797" i="1"/>
  <c r="Y797" i="1"/>
  <c r="AE798" i="1"/>
  <c r="Y798" i="1"/>
  <c r="AE799" i="1"/>
  <c r="Y799" i="1"/>
  <c r="AE800" i="1"/>
  <c r="Y800" i="1"/>
  <c r="AE801" i="1"/>
  <c r="Y801" i="1"/>
  <c r="AE802" i="1"/>
  <c r="Y802" i="1"/>
  <c r="AE803" i="1"/>
  <c r="Y803" i="1"/>
  <c r="AE804" i="1"/>
  <c r="Y804" i="1"/>
  <c r="AE805" i="1"/>
  <c r="Y805" i="1"/>
  <c r="AE806" i="1"/>
  <c r="Y806" i="1"/>
  <c r="AE807" i="1"/>
  <c r="Y807" i="1"/>
  <c r="AE808" i="1"/>
  <c r="Y808" i="1"/>
  <c r="AE809" i="1"/>
  <c r="Y809" i="1"/>
  <c r="AE810" i="1"/>
  <c r="Y810" i="1"/>
  <c r="AE811" i="1"/>
  <c r="Y811" i="1"/>
  <c r="AE812" i="1"/>
  <c r="Y812" i="1"/>
  <c r="AE813" i="1"/>
  <c r="Y813" i="1"/>
  <c r="AE814" i="1"/>
  <c r="Y814" i="1"/>
  <c r="AE815" i="1"/>
  <c r="Y815" i="1"/>
  <c r="AE816" i="1"/>
  <c r="Y816" i="1"/>
  <c r="AE817" i="1"/>
  <c r="Y817" i="1"/>
  <c r="AE818" i="1"/>
  <c r="Y818" i="1"/>
  <c r="AE819" i="1"/>
  <c r="Y819" i="1"/>
  <c r="AE820" i="1"/>
  <c r="Y820" i="1"/>
  <c r="AE821" i="1"/>
  <c r="Y821" i="1"/>
  <c r="AE822" i="1"/>
  <c r="Y822" i="1"/>
  <c r="AE823" i="1"/>
  <c r="Y823" i="1"/>
  <c r="AE824" i="1"/>
  <c r="Y824" i="1"/>
  <c r="AE825" i="1"/>
  <c r="Y825" i="1"/>
  <c r="AE826" i="1"/>
  <c r="Y826" i="1"/>
  <c r="AE827" i="1"/>
  <c r="Y827" i="1"/>
  <c r="AE828" i="1"/>
  <c r="Y828" i="1"/>
  <c r="AE829" i="1"/>
  <c r="Y829" i="1"/>
  <c r="AE830" i="1"/>
  <c r="Y830" i="1"/>
  <c r="AE831" i="1"/>
  <c r="Y831" i="1"/>
  <c r="AE832" i="1"/>
  <c r="Y832" i="1"/>
  <c r="AE833" i="1"/>
  <c r="Y833" i="1"/>
  <c r="AE834" i="1"/>
  <c r="Y834" i="1"/>
  <c r="AE835" i="1"/>
  <c r="Y835" i="1"/>
  <c r="AE836" i="1"/>
  <c r="Y836" i="1"/>
  <c r="AE837" i="1"/>
  <c r="Y837" i="1"/>
  <c r="AE838" i="1"/>
  <c r="Y838" i="1"/>
  <c r="AE839" i="1"/>
  <c r="Y839" i="1"/>
  <c r="AE840" i="1"/>
  <c r="Y840" i="1"/>
  <c r="AE841" i="1"/>
  <c r="Y841" i="1"/>
  <c r="AE842" i="1"/>
  <c r="Y842" i="1"/>
  <c r="AE843" i="1"/>
  <c r="Y843" i="1"/>
  <c r="AE844" i="1"/>
  <c r="Y844" i="1"/>
  <c r="AE845" i="1"/>
  <c r="Y845" i="1"/>
  <c r="AE846" i="1"/>
  <c r="Y846" i="1"/>
  <c r="AE847" i="1"/>
  <c r="Y847" i="1"/>
  <c r="AE848" i="1"/>
  <c r="Y848" i="1"/>
  <c r="AE849" i="1"/>
  <c r="Y849" i="1"/>
  <c r="AE850" i="1"/>
  <c r="Y850" i="1"/>
  <c r="AE851" i="1"/>
  <c r="Y851" i="1"/>
  <c r="AE852" i="1"/>
  <c r="Y852" i="1"/>
  <c r="AE853" i="1"/>
  <c r="Y853" i="1"/>
  <c r="AE854" i="1"/>
  <c r="Y854" i="1"/>
  <c r="AE855" i="1"/>
  <c r="Y855" i="1"/>
  <c r="AE856" i="1"/>
  <c r="Y856" i="1"/>
  <c r="AE857" i="1"/>
  <c r="Y857" i="1"/>
  <c r="AE858" i="1"/>
  <c r="Y858" i="1"/>
  <c r="AE859" i="1"/>
  <c r="Y859" i="1"/>
  <c r="AE860" i="1"/>
  <c r="Y860" i="1"/>
  <c r="AE861" i="1"/>
  <c r="Y861" i="1"/>
  <c r="AE862" i="1"/>
  <c r="Y862" i="1"/>
  <c r="AE863" i="1"/>
  <c r="Y863" i="1"/>
  <c r="AE864" i="1"/>
  <c r="Y864" i="1"/>
  <c r="AE865" i="1"/>
  <c r="Y865" i="1"/>
  <c r="AE866" i="1"/>
  <c r="Y866" i="1"/>
  <c r="AE867" i="1"/>
  <c r="Y867" i="1"/>
  <c r="AE868" i="1"/>
  <c r="Y868" i="1"/>
  <c r="AE869" i="1"/>
  <c r="Y869" i="1"/>
  <c r="AE870" i="1"/>
  <c r="Y870" i="1"/>
  <c r="AE871" i="1"/>
  <c r="Y871" i="1"/>
  <c r="AE872" i="1"/>
  <c r="Y872" i="1"/>
  <c r="AE873" i="1"/>
  <c r="Y873" i="1"/>
  <c r="AE874" i="1"/>
  <c r="Y874" i="1"/>
  <c r="AE875" i="1"/>
  <c r="Y875" i="1"/>
  <c r="AE876" i="1"/>
  <c r="Y876" i="1"/>
  <c r="AE877" i="1"/>
  <c r="Y877" i="1"/>
  <c r="AE878" i="1"/>
  <c r="Y878" i="1"/>
  <c r="AE879" i="1"/>
  <c r="Y879" i="1"/>
  <c r="AE880" i="1"/>
  <c r="Y880" i="1"/>
  <c r="AE881" i="1"/>
  <c r="Y881" i="1"/>
  <c r="AE882" i="1"/>
  <c r="Y882" i="1"/>
  <c r="AE883" i="1"/>
  <c r="Y883" i="1"/>
  <c r="AE884" i="1"/>
  <c r="Y884" i="1"/>
  <c r="AE885" i="1"/>
  <c r="Y885" i="1"/>
  <c r="AE886" i="1"/>
  <c r="Y886" i="1"/>
  <c r="AE887" i="1"/>
  <c r="Y887" i="1"/>
  <c r="AE888" i="1"/>
  <c r="Y888" i="1"/>
  <c r="AE889" i="1"/>
  <c r="Y889" i="1"/>
  <c r="AE890" i="1"/>
  <c r="Y890" i="1"/>
  <c r="AE891" i="1"/>
  <c r="Y891" i="1"/>
  <c r="AE892" i="1"/>
  <c r="Y892" i="1"/>
  <c r="AE893" i="1"/>
  <c r="Y893" i="1"/>
  <c r="AE894" i="1"/>
  <c r="Y894" i="1"/>
  <c r="AE895" i="1"/>
  <c r="Y895" i="1"/>
  <c r="AE896" i="1"/>
  <c r="Y896" i="1"/>
  <c r="AE897" i="1"/>
  <c r="Y897" i="1"/>
  <c r="AE898" i="1"/>
  <c r="Y898" i="1"/>
  <c r="AE899" i="1"/>
  <c r="Y899" i="1"/>
  <c r="AE900" i="1"/>
  <c r="Y900" i="1"/>
  <c r="AE901" i="1"/>
  <c r="Y901" i="1"/>
  <c r="AE902" i="1"/>
  <c r="Y902" i="1"/>
  <c r="AE903" i="1"/>
  <c r="Y903" i="1"/>
  <c r="AE904" i="1"/>
  <c r="Y904" i="1"/>
  <c r="AE905" i="1"/>
  <c r="Y905" i="1"/>
  <c r="AE906" i="1"/>
  <c r="Y906" i="1"/>
  <c r="AE907" i="1"/>
  <c r="Y907" i="1"/>
  <c r="AE908" i="1"/>
  <c r="Y908" i="1"/>
  <c r="AE909" i="1"/>
  <c r="Y909" i="1"/>
  <c r="AE910" i="1"/>
  <c r="Y910" i="1"/>
  <c r="AE911" i="1"/>
  <c r="Y911" i="1"/>
  <c r="AE912" i="1"/>
  <c r="Y912" i="1"/>
  <c r="AE913" i="1"/>
  <c r="Y913" i="1"/>
  <c r="AE914" i="1"/>
  <c r="Y914" i="1"/>
  <c r="AE915" i="1"/>
  <c r="Y915" i="1"/>
  <c r="AE916" i="1"/>
  <c r="Y916" i="1"/>
  <c r="AE917" i="1"/>
  <c r="Y917" i="1"/>
  <c r="AE918" i="1"/>
  <c r="Y918" i="1"/>
  <c r="AE919" i="1"/>
  <c r="Y919" i="1"/>
  <c r="AE920" i="1"/>
  <c r="Y920" i="1"/>
  <c r="AE921" i="1"/>
  <c r="Y921" i="1"/>
  <c r="AE922" i="1"/>
  <c r="Y922" i="1"/>
  <c r="AE923" i="1"/>
  <c r="Y923" i="1"/>
  <c r="AE924" i="1"/>
  <c r="Y924" i="1"/>
  <c r="AE925" i="1"/>
  <c r="Y925" i="1"/>
  <c r="AE926" i="1"/>
  <c r="Y926" i="1"/>
  <c r="AE927" i="1"/>
  <c r="Y927" i="1"/>
  <c r="AE928" i="1"/>
  <c r="Y928" i="1"/>
  <c r="AE929" i="1"/>
  <c r="Y929" i="1"/>
  <c r="AE930" i="1"/>
  <c r="Y930" i="1"/>
  <c r="AE931" i="1"/>
  <c r="Y931" i="1"/>
  <c r="AE932" i="1"/>
  <c r="Y932" i="1"/>
  <c r="AE933" i="1"/>
  <c r="Y933" i="1"/>
  <c r="AE934" i="1"/>
  <c r="Y934" i="1"/>
  <c r="AE935" i="1"/>
  <c r="Y935" i="1"/>
  <c r="AE936" i="1"/>
  <c r="Y936" i="1"/>
  <c r="AE937" i="1"/>
  <c r="Y937" i="1"/>
  <c r="AE938" i="1"/>
  <c r="Y938" i="1"/>
  <c r="AE939" i="1"/>
  <c r="Y939" i="1"/>
  <c r="AE940" i="1"/>
  <c r="Y940" i="1"/>
  <c r="AE941" i="1"/>
  <c r="Y941" i="1"/>
  <c r="AE942" i="1"/>
  <c r="Y942" i="1"/>
  <c r="AE943" i="1"/>
  <c r="Y943" i="1"/>
  <c r="AE944" i="1"/>
  <c r="Y944" i="1"/>
  <c r="AE945" i="1"/>
  <c r="Y945" i="1"/>
  <c r="AE946" i="1"/>
  <c r="Y946" i="1"/>
  <c r="AE947" i="1"/>
  <c r="Y947" i="1"/>
  <c r="AE948" i="1"/>
  <c r="Y948" i="1"/>
  <c r="AE949" i="1"/>
  <c r="Y949" i="1"/>
  <c r="AE950" i="1"/>
  <c r="Y950" i="1"/>
  <c r="AE951" i="1"/>
  <c r="Y951" i="1"/>
  <c r="AE952" i="1"/>
  <c r="Y952" i="1"/>
  <c r="AE953" i="1"/>
  <c r="Y953" i="1"/>
  <c r="AE954" i="1"/>
  <c r="Y954" i="1"/>
  <c r="AE955" i="1"/>
  <c r="Y955" i="1"/>
  <c r="AE956" i="1"/>
  <c r="Y956" i="1"/>
  <c r="AE957" i="1"/>
  <c r="Y957" i="1"/>
  <c r="AE958" i="1"/>
  <c r="Y958" i="1"/>
  <c r="AE959" i="1"/>
  <c r="Y959" i="1"/>
  <c r="AE960" i="1"/>
  <c r="Y960" i="1"/>
  <c r="AE961" i="1"/>
  <c r="Y961" i="1"/>
  <c r="AE962" i="1"/>
  <c r="Y962" i="1"/>
  <c r="AE963" i="1"/>
  <c r="Y963" i="1"/>
  <c r="AE964" i="1"/>
  <c r="Y964" i="1"/>
  <c r="AE965" i="1"/>
  <c r="Y965" i="1"/>
  <c r="AE966" i="1"/>
  <c r="Y966" i="1"/>
  <c r="AE967" i="1"/>
  <c r="Y967" i="1"/>
  <c r="AE968" i="1"/>
  <c r="Y968" i="1"/>
  <c r="AE969" i="1"/>
  <c r="Y969" i="1"/>
  <c r="AE970" i="1"/>
  <c r="Y970" i="1"/>
  <c r="AE971" i="1"/>
  <c r="Y971" i="1"/>
  <c r="AE972" i="1"/>
  <c r="Y972" i="1"/>
  <c r="AE973" i="1"/>
  <c r="Y973" i="1"/>
  <c r="AE974" i="1"/>
  <c r="Y974" i="1"/>
  <c r="AE975" i="1"/>
  <c r="Y975" i="1"/>
  <c r="AE976" i="1"/>
  <c r="Y976" i="1"/>
  <c r="AE977" i="1"/>
  <c r="Y977" i="1"/>
  <c r="AE978" i="1"/>
  <c r="Y978" i="1"/>
  <c r="AE979" i="1"/>
  <c r="Y979" i="1"/>
  <c r="AE980" i="1"/>
  <c r="Y980" i="1"/>
  <c r="AE981" i="1"/>
  <c r="Y981" i="1"/>
  <c r="AE982" i="1"/>
  <c r="Y982" i="1"/>
  <c r="AE983" i="1"/>
  <c r="Y983" i="1"/>
  <c r="AE984" i="1"/>
  <c r="Y984" i="1"/>
  <c r="AE985" i="1"/>
  <c r="Y985" i="1"/>
  <c r="AE986" i="1"/>
  <c r="Y986" i="1"/>
  <c r="AE987" i="1"/>
  <c r="Y987" i="1"/>
  <c r="AE988" i="1"/>
  <c r="Y988" i="1"/>
  <c r="AE989" i="1"/>
  <c r="Y989" i="1"/>
  <c r="AE990" i="1"/>
  <c r="Y990" i="1"/>
  <c r="AE991" i="1"/>
  <c r="Y991" i="1"/>
  <c r="AE992" i="1"/>
  <c r="Y992" i="1"/>
  <c r="AE993" i="1"/>
  <c r="Y993" i="1"/>
  <c r="AE994" i="1"/>
  <c r="Y994" i="1"/>
  <c r="AE995" i="1"/>
  <c r="Y995" i="1"/>
  <c r="AE996" i="1"/>
  <c r="Y996" i="1"/>
  <c r="AE997" i="1"/>
  <c r="Y997" i="1"/>
  <c r="AE998" i="1"/>
  <c r="Y998" i="1"/>
  <c r="AE999" i="1"/>
  <c r="Y999" i="1"/>
  <c r="AE1000" i="1"/>
  <c r="Y1000" i="1"/>
  <c r="AE1001" i="1"/>
  <c r="Y1001" i="1"/>
  <c r="AE1002" i="1"/>
  <c r="Y1002" i="1"/>
  <c r="AE1003" i="1"/>
  <c r="Y1003" i="1"/>
  <c r="AE1004" i="1"/>
  <c r="Y1004" i="1"/>
  <c r="AE1005" i="1"/>
  <c r="Y1005" i="1"/>
  <c r="AE1006" i="1"/>
  <c r="Y1006" i="1"/>
  <c r="AE1007" i="1"/>
  <c r="Y1007" i="1"/>
  <c r="AE1008" i="1"/>
  <c r="Y1008" i="1"/>
  <c r="AE1009" i="1"/>
  <c r="Y1009" i="1"/>
  <c r="AE1010" i="1"/>
  <c r="Y1010" i="1"/>
  <c r="AE1011" i="1"/>
  <c r="Y1011" i="1"/>
  <c r="AE1012" i="1"/>
  <c r="Y1012" i="1"/>
  <c r="AE1013" i="1"/>
  <c r="Y1013" i="1"/>
  <c r="AE1014" i="1"/>
  <c r="Y1014" i="1"/>
  <c r="AE1015" i="1"/>
  <c r="Y1015" i="1"/>
  <c r="AE1016" i="1"/>
  <c r="Y1016" i="1"/>
  <c r="AE1017" i="1"/>
  <c r="Y1017" i="1"/>
  <c r="AE1018" i="1"/>
  <c r="Y1018" i="1"/>
  <c r="AE1019" i="1"/>
  <c r="Y1019" i="1"/>
  <c r="AE1020" i="1"/>
  <c r="Y1020" i="1"/>
  <c r="AE1021" i="1"/>
  <c r="Y1021" i="1"/>
  <c r="AE1022" i="1"/>
  <c r="Y1022" i="1"/>
  <c r="AE1023" i="1"/>
  <c r="Y1023" i="1"/>
  <c r="AE1024" i="1"/>
  <c r="Y1024" i="1"/>
  <c r="AE1025" i="1"/>
  <c r="Y1025" i="1"/>
  <c r="AE1026" i="1"/>
  <c r="Y1026" i="1"/>
  <c r="AE1027" i="1"/>
  <c r="Y1027" i="1"/>
  <c r="AE1028" i="1"/>
  <c r="Y1028" i="1"/>
  <c r="AE1029" i="1"/>
  <c r="Y1029" i="1"/>
  <c r="AE1030" i="1"/>
  <c r="Y1030" i="1"/>
  <c r="AE1031" i="1"/>
  <c r="Y1031" i="1"/>
  <c r="AE1032" i="1"/>
  <c r="Y1032" i="1"/>
  <c r="AE1033" i="1"/>
  <c r="Y1033" i="1"/>
  <c r="AE1034" i="1"/>
  <c r="Y1034" i="1"/>
  <c r="AE1035" i="1"/>
  <c r="Y1035" i="1"/>
  <c r="AE1036" i="1"/>
  <c r="Y1036" i="1"/>
  <c r="AE1037" i="1"/>
  <c r="Y1037" i="1"/>
  <c r="AE1038" i="1"/>
  <c r="Y1038" i="1"/>
  <c r="AE1039" i="1"/>
  <c r="Y1039" i="1"/>
  <c r="AE1040" i="1"/>
  <c r="Y1040" i="1"/>
  <c r="AE1041" i="1"/>
  <c r="Y1041" i="1"/>
  <c r="AE1042" i="1"/>
  <c r="Y1042" i="1"/>
  <c r="AE1043" i="1"/>
  <c r="Y1043" i="1"/>
  <c r="AE1044" i="1"/>
  <c r="Y1044" i="1"/>
  <c r="AE1045" i="1"/>
  <c r="Y1045" i="1"/>
  <c r="AE1046" i="1"/>
  <c r="Y1046" i="1"/>
  <c r="AE1047" i="1"/>
  <c r="Y1047" i="1"/>
  <c r="AE1048" i="1"/>
  <c r="Y1048" i="1"/>
  <c r="AE1049" i="1"/>
  <c r="Y1049" i="1"/>
  <c r="AE1050" i="1"/>
  <c r="Y1050" i="1"/>
  <c r="AE1051" i="1"/>
  <c r="Y1051" i="1"/>
  <c r="AE1052" i="1"/>
  <c r="Y1052" i="1"/>
  <c r="AE1053" i="1"/>
  <c r="Y1053" i="1"/>
  <c r="AE1054" i="1"/>
  <c r="Y1054" i="1"/>
  <c r="AE1055" i="1"/>
  <c r="Y1055" i="1"/>
  <c r="AE1056" i="1"/>
  <c r="Y1056" i="1"/>
  <c r="AE1057" i="1"/>
  <c r="Y1057" i="1"/>
  <c r="AE1058" i="1"/>
  <c r="Y1058" i="1"/>
  <c r="AE1059" i="1"/>
  <c r="Y1059" i="1"/>
  <c r="AE1060" i="1"/>
  <c r="Y1060" i="1"/>
  <c r="AE1061" i="1"/>
  <c r="Y1061" i="1"/>
  <c r="AE1062" i="1"/>
  <c r="Y1062" i="1"/>
  <c r="AE1063" i="1"/>
  <c r="Y1063" i="1"/>
  <c r="AE1064" i="1"/>
  <c r="Y1064" i="1"/>
  <c r="AE1065" i="1"/>
  <c r="Y1065" i="1"/>
  <c r="AE1066" i="1"/>
  <c r="Y1066" i="1"/>
  <c r="AE1067" i="1"/>
  <c r="Y1067" i="1"/>
  <c r="AE1068" i="1"/>
  <c r="Y1068" i="1"/>
  <c r="AE1069" i="1"/>
  <c r="Y1069" i="1"/>
  <c r="AE1070" i="1"/>
  <c r="Y1070" i="1"/>
  <c r="AE1071" i="1"/>
  <c r="Y1071" i="1"/>
  <c r="AE1072" i="1"/>
  <c r="Y1072" i="1"/>
  <c r="AE1073" i="1"/>
  <c r="Y1073" i="1"/>
  <c r="AE1074" i="1"/>
  <c r="Y1074" i="1"/>
  <c r="AE1075" i="1"/>
  <c r="Y1075" i="1"/>
  <c r="AE1076" i="1"/>
  <c r="Y1076" i="1"/>
  <c r="AE1077" i="1"/>
  <c r="Y1077" i="1"/>
  <c r="AE1078" i="1"/>
  <c r="Y1078" i="1"/>
  <c r="AE1079" i="1"/>
  <c r="Y1079" i="1"/>
  <c r="AE1080" i="1"/>
  <c r="Y1080" i="1"/>
  <c r="AE1081" i="1"/>
  <c r="Y1081" i="1"/>
  <c r="AE1082" i="1"/>
  <c r="Y1082" i="1"/>
  <c r="AE1083" i="1"/>
  <c r="Y1083" i="1"/>
  <c r="AE1084" i="1"/>
  <c r="Y1084" i="1"/>
  <c r="AE1085" i="1"/>
  <c r="Y1085" i="1"/>
  <c r="AE1086" i="1"/>
  <c r="Y1086" i="1"/>
  <c r="AE1087" i="1"/>
  <c r="Y1087" i="1"/>
  <c r="AE1088" i="1"/>
  <c r="Y1088" i="1"/>
  <c r="AE1089" i="1"/>
  <c r="Y1089" i="1"/>
  <c r="AE1090" i="1"/>
  <c r="Y1090" i="1"/>
  <c r="AE1091" i="1"/>
  <c r="Y1091" i="1"/>
  <c r="AE1092" i="1"/>
  <c r="Y1092" i="1"/>
  <c r="AE1093" i="1"/>
  <c r="Y1093" i="1"/>
  <c r="AE1094" i="1"/>
  <c r="Y1094" i="1"/>
  <c r="AE1095" i="1"/>
  <c r="Y1095" i="1"/>
  <c r="AE1096" i="1"/>
  <c r="Y1096" i="1"/>
  <c r="AE1097" i="1"/>
  <c r="Y1097" i="1"/>
  <c r="AE1098" i="1"/>
  <c r="Y1098" i="1"/>
  <c r="AE1099" i="1"/>
  <c r="Y1099" i="1"/>
  <c r="AE1100" i="1"/>
  <c r="Y1100" i="1"/>
  <c r="AE1101" i="1"/>
  <c r="Y1101" i="1"/>
  <c r="AE1102" i="1"/>
  <c r="Y1102" i="1"/>
  <c r="AE1103" i="1"/>
  <c r="Y1103" i="1"/>
  <c r="AE1104" i="1"/>
  <c r="Y1104" i="1"/>
  <c r="AE1105" i="1"/>
  <c r="Y1105" i="1"/>
  <c r="AE1106" i="1"/>
  <c r="Y1106" i="1"/>
  <c r="AE1107" i="1"/>
  <c r="Y1107" i="1"/>
  <c r="AE1108" i="1"/>
  <c r="Y1108" i="1"/>
  <c r="AE1109" i="1"/>
  <c r="Y1109" i="1"/>
  <c r="AE1110" i="1"/>
  <c r="Y1110" i="1"/>
  <c r="AE1111" i="1"/>
  <c r="Y1111" i="1"/>
  <c r="AE1112" i="1"/>
  <c r="Y1112" i="1"/>
  <c r="AE1113" i="1"/>
  <c r="Y1113" i="1"/>
  <c r="AE1114" i="1"/>
  <c r="Y1114" i="1"/>
  <c r="AE1115" i="1"/>
  <c r="Y1115" i="1"/>
  <c r="AE1116" i="1"/>
  <c r="Y1116" i="1"/>
  <c r="AE1117" i="1"/>
  <c r="Y1117" i="1"/>
  <c r="AE1118" i="1"/>
  <c r="Y1118" i="1"/>
  <c r="AE1119" i="1"/>
  <c r="Y1119" i="1"/>
  <c r="AE1120" i="1"/>
  <c r="Y1120" i="1"/>
  <c r="AE1121" i="1"/>
  <c r="Y1121" i="1"/>
  <c r="AE1122" i="1"/>
  <c r="Y1122" i="1"/>
  <c r="AE1123" i="1"/>
  <c r="Y1123" i="1"/>
  <c r="AE1124" i="1"/>
  <c r="Y1124" i="1"/>
  <c r="AE1125" i="1"/>
  <c r="Y1125" i="1"/>
  <c r="AE1126" i="1"/>
  <c r="Y1126" i="1"/>
  <c r="AE1127" i="1"/>
  <c r="Y1127" i="1"/>
  <c r="AE1128" i="1"/>
  <c r="Y1128" i="1"/>
  <c r="AE1129" i="1"/>
  <c r="Y1129" i="1"/>
  <c r="AE1130" i="1"/>
  <c r="Y1130" i="1"/>
  <c r="AE1131" i="1"/>
  <c r="Y1131" i="1"/>
  <c r="AE1132" i="1"/>
  <c r="Y1132" i="1"/>
  <c r="AE1133" i="1"/>
  <c r="Y1133" i="1"/>
  <c r="AE1134" i="1"/>
  <c r="Y1134" i="1"/>
  <c r="AE1135" i="1"/>
  <c r="Y1135" i="1"/>
  <c r="AE1136" i="1"/>
  <c r="Y1136" i="1"/>
  <c r="AE1137" i="1"/>
  <c r="Y1137" i="1"/>
  <c r="AE1138" i="1"/>
  <c r="Y1138" i="1"/>
  <c r="AE1139" i="1"/>
  <c r="Y1139" i="1"/>
  <c r="AE1140" i="1"/>
  <c r="Y1140" i="1"/>
  <c r="AE1141" i="1"/>
  <c r="Y1141" i="1"/>
  <c r="AE1142" i="1"/>
  <c r="Y1142" i="1"/>
  <c r="AE1143" i="1"/>
  <c r="Y1143" i="1"/>
  <c r="AE1144" i="1"/>
  <c r="Y1144" i="1"/>
  <c r="AE1145" i="1"/>
  <c r="Y1145" i="1"/>
  <c r="AE1146" i="1"/>
  <c r="Y1146" i="1"/>
  <c r="AE1147" i="1"/>
  <c r="Y1147" i="1"/>
  <c r="AE1148" i="1"/>
  <c r="Y1148" i="1"/>
  <c r="AE1149" i="1"/>
  <c r="Y1149" i="1"/>
  <c r="AE1150" i="1"/>
  <c r="Y1150" i="1"/>
  <c r="AE1151" i="1"/>
  <c r="Y1151" i="1"/>
  <c r="AE1152" i="1"/>
  <c r="Y1152" i="1"/>
  <c r="AE1153" i="1"/>
  <c r="Y1153" i="1"/>
  <c r="AE1154" i="1"/>
  <c r="Y1154" i="1"/>
  <c r="AE1155" i="1"/>
  <c r="Y1155" i="1"/>
  <c r="AE1156" i="1"/>
  <c r="Y1156" i="1"/>
  <c r="AE1157" i="1"/>
  <c r="Y1157" i="1"/>
  <c r="AE1158" i="1"/>
  <c r="Y1158" i="1"/>
  <c r="AE1159" i="1"/>
  <c r="Y1159" i="1"/>
  <c r="AE1160" i="1"/>
  <c r="Y1160" i="1"/>
  <c r="AE1161" i="1"/>
  <c r="Y1161" i="1"/>
  <c r="AE1162" i="1"/>
  <c r="Y1162" i="1"/>
  <c r="AE1163" i="1"/>
  <c r="Y1163" i="1"/>
  <c r="AE1164" i="1"/>
  <c r="Y1164" i="1"/>
  <c r="AE1165" i="1"/>
  <c r="Y1165" i="1"/>
  <c r="AE1166" i="1"/>
  <c r="Y1166" i="1"/>
  <c r="AE1167" i="1"/>
  <c r="Y1167" i="1"/>
  <c r="AE1168" i="1"/>
  <c r="Y1168" i="1"/>
  <c r="AE1169" i="1"/>
  <c r="Y1169" i="1"/>
  <c r="AE1170" i="1"/>
  <c r="Y1170" i="1"/>
  <c r="AE1171" i="1"/>
  <c r="Y1171" i="1"/>
  <c r="AE1172" i="1"/>
  <c r="Y1172" i="1"/>
  <c r="AE1173" i="1"/>
  <c r="Y1173" i="1"/>
  <c r="AE1174" i="1"/>
  <c r="Y1174" i="1"/>
  <c r="AE1175" i="1"/>
  <c r="Y1175" i="1"/>
  <c r="AE1176" i="1"/>
  <c r="Y1176" i="1"/>
  <c r="AE1177" i="1"/>
  <c r="Y1177" i="1"/>
  <c r="AE1178" i="1"/>
  <c r="Y1178" i="1"/>
  <c r="AE1179" i="1"/>
  <c r="Y1179" i="1"/>
  <c r="AE1180" i="1"/>
  <c r="Y1180" i="1"/>
  <c r="AE1181" i="1"/>
  <c r="Y1181" i="1"/>
  <c r="AE1182" i="1"/>
  <c r="Y1182" i="1"/>
  <c r="AE1183" i="1"/>
  <c r="Y1183" i="1"/>
  <c r="AE1184" i="1"/>
  <c r="Y1184" i="1"/>
  <c r="AE1185" i="1"/>
  <c r="Y1185" i="1"/>
  <c r="AE1186" i="1"/>
  <c r="Y1186" i="1"/>
  <c r="AE1187" i="1"/>
  <c r="Y1187" i="1"/>
  <c r="AE1188" i="1"/>
  <c r="Y1188" i="1"/>
  <c r="AE1189" i="1"/>
  <c r="Y1189" i="1"/>
  <c r="AE1190" i="1"/>
  <c r="Y1190" i="1"/>
  <c r="AE1191" i="1"/>
  <c r="Y1191" i="1"/>
  <c r="AE1192" i="1"/>
  <c r="Y1192" i="1"/>
  <c r="AE1193" i="1"/>
  <c r="Y1193" i="1"/>
  <c r="AE1194" i="1"/>
  <c r="Y1194" i="1"/>
  <c r="AE1195" i="1"/>
  <c r="Y1195" i="1"/>
  <c r="AE1196" i="1"/>
  <c r="Y1196" i="1"/>
  <c r="AE1197" i="1"/>
  <c r="Y1197" i="1"/>
  <c r="AE1198" i="1"/>
  <c r="Y1198" i="1"/>
  <c r="AE1199" i="1"/>
  <c r="Y1199" i="1"/>
  <c r="AE1200" i="1"/>
  <c r="Y1200" i="1"/>
  <c r="AE1201" i="1"/>
  <c r="Y1201" i="1"/>
  <c r="AE1202" i="1"/>
  <c r="Y1202" i="1"/>
  <c r="AE1203" i="1"/>
  <c r="Y1203" i="1"/>
  <c r="AE1204" i="1"/>
  <c r="Y1204" i="1"/>
  <c r="AE1205" i="1"/>
  <c r="Y1205" i="1"/>
  <c r="AE1206" i="1"/>
  <c r="Y1206" i="1"/>
  <c r="AE1207" i="1"/>
  <c r="Y1207" i="1"/>
  <c r="AE1208" i="1"/>
  <c r="Y1208" i="1"/>
  <c r="AE1209" i="1"/>
  <c r="Y1209" i="1"/>
  <c r="AE1210" i="1"/>
  <c r="Y1210" i="1"/>
  <c r="AE1211" i="1"/>
  <c r="Y1211" i="1"/>
  <c r="AE1212" i="1"/>
  <c r="Y1212" i="1"/>
  <c r="AE1213" i="1"/>
  <c r="Y1213" i="1"/>
  <c r="AE1214" i="1"/>
  <c r="Y1214" i="1"/>
  <c r="AE1215" i="1"/>
  <c r="Y1215" i="1"/>
  <c r="AE1216" i="1"/>
  <c r="Y1216" i="1"/>
  <c r="AE1217" i="1"/>
  <c r="Y1217" i="1"/>
  <c r="AE1218" i="1"/>
  <c r="Y1218" i="1"/>
  <c r="AE1219" i="1"/>
  <c r="Y1219" i="1"/>
  <c r="AE1220" i="1"/>
  <c r="Y1220" i="1"/>
  <c r="AE1221" i="1"/>
  <c r="Y1221" i="1"/>
  <c r="AE1222" i="1"/>
  <c r="Y1222" i="1"/>
  <c r="AE1223" i="1"/>
  <c r="Y1223" i="1"/>
  <c r="AE1224" i="1"/>
  <c r="Y1224" i="1"/>
  <c r="AE1225" i="1"/>
  <c r="Y1225" i="1"/>
  <c r="AE1226" i="1"/>
  <c r="Y1226" i="1"/>
  <c r="AE1227" i="1"/>
  <c r="Y1227" i="1"/>
  <c r="AE1228" i="1"/>
  <c r="Y1228" i="1"/>
  <c r="AE1229" i="1"/>
  <c r="Y1229" i="1"/>
  <c r="AE1230" i="1"/>
  <c r="Y1230" i="1"/>
  <c r="AE1231" i="1"/>
  <c r="Y1231" i="1"/>
  <c r="AE1232" i="1"/>
  <c r="Y1232" i="1"/>
  <c r="AE1233" i="1"/>
  <c r="Y1233" i="1"/>
  <c r="AE1234" i="1"/>
  <c r="Y1234" i="1"/>
  <c r="AE1235" i="1"/>
  <c r="Y1235" i="1"/>
  <c r="AE1236" i="1"/>
  <c r="Y1236" i="1"/>
  <c r="AE1237" i="1"/>
  <c r="Y1237" i="1"/>
  <c r="AE1238" i="1"/>
  <c r="Y1238" i="1"/>
  <c r="AE1239" i="1"/>
  <c r="Y1239" i="1"/>
  <c r="AE1240" i="1"/>
  <c r="Y1240" i="1"/>
  <c r="AE1241" i="1"/>
  <c r="Y1241" i="1"/>
  <c r="AE1242" i="1"/>
  <c r="Y1242" i="1"/>
  <c r="AE1243" i="1"/>
  <c r="Y1243" i="1"/>
  <c r="AE1244" i="1"/>
  <c r="Y1244" i="1"/>
  <c r="AE1245" i="1"/>
  <c r="Y1245" i="1"/>
  <c r="AE1246" i="1"/>
  <c r="Y1246" i="1"/>
  <c r="AE1247" i="1"/>
  <c r="Y1247" i="1"/>
  <c r="AE1248" i="1"/>
  <c r="Y1248" i="1"/>
  <c r="AE1249" i="1"/>
  <c r="Y1249" i="1"/>
  <c r="AE1250" i="1"/>
  <c r="Y1250" i="1"/>
  <c r="AE1251" i="1"/>
  <c r="Y1251" i="1"/>
  <c r="AE1252" i="1"/>
  <c r="Y1252" i="1"/>
  <c r="AE1253" i="1"/>
  <c r="Y1253" i="1"/>
  <c r="AE1254" i="1"/>
  <c r="Y1254" i="1"/>
  <c r="AE1255" i="1"/>
  <c r="Y1255" i="1"/>
  <c r="AE1256" i="1"/>
  <c r="Y1256" i="1"/>
  <c r="AE1257" i="1"/>
  <c r="Y1257" i="1"/>
  <c r="AE1258" i="1"/>
  <c r="Y1258" i="1"/>
  <c r="AE1259" i="1"/>
  <c r="Y1259" i="1"/>
  <c r="AE1260" i="1"/>
  <c r="Y1260" i="1"/>
  <c r="AE1261" i="1"/>
  <c r="Y1261" i="1"/>
  <c r="AE1262" i="1"/>
  <c r="Y1262" i="1"/>
  <c r="AE1263" i="1"/>
  <c r="Y1263" i="1"/>
  <c r="AE1264" i="1"/>
  <c r="Y1264" i="1"/>
  <c r="AE1265" i="1"/>
  <c r="Y1265" i="1"/>
  <c r="AE1266" i="1"/>
  <c r="Y1266" i="1"/>
  <c r="AE1267" i="1"/>
  <c r="Y1267" i="1"/>
  <c r="AE1268" i="1"/>
  <c r="Y1268" i="1"/>
  <c r="AE1269" i="1"/>
  <c r="Y1269" i="1"/>
  <c r="AE1270" i="1"/>
  <c r="Y1270" i="1"/>
  <c r="AE1271" i="1"/>
  <c r="Y1271" i="1"/>
  <c r="AE1272" i="1"/>
  <c r="Y1272" i="1"/>
  <c r="AE1273" i="1"/>
  <c r="Y1273" i="1"/>
  <c r="AE1274" i="1"/>
  <c r="Y1274" i="1"/>
  <c r="AE1275" i="1"/>
  <c r="Y1275" i="1"/>
  <c r="AE1276" i="1"/>
  <c r="Y1276" i="1"/>
  <c r="AE1277" i="1"/>
  <c r="Y1277" i="1"/>
  <c r="AE1278" i="1"/>
  <c r="Y1278" i="1"/>
  <c r="AE1279" i="1"/>
  <c r="Y1279" i="1"/>
  <c r="AE1280" i="1"/>
  <c r="Y1280" i="1"/>
  <c r="AE1281" i="1"/>
  <c r="Y1281" i="1"/>
  <c r="AE1282" i="1"/>
  <c r="Y1282" i="1"/>
  <c r="AE1283" i="1"/>
  <c r="Y1283" i="1"/>
  <c r="AE1284" i="1"/>
  <c r="Y1284" i="1"/>
  <c r="AE1285" i="1"/>
  <c r="Y1285" i="1"/>
  <c r="AE1286" i="1"/>
  <c r="Y1286" i="1"/>
  <c r="AE1287" i="1"/>
  <c r="Y1287" i="1"/>
  <c r="AE1288" i="1"/>
  <c r="Y1288" i="1"/>
  <c r="AE1289" i="1"/>
  <c r="Y1289" i="1"/>
  <c r="AE1290" i="1"/>
  <c r="Y1290" i="1"/>
  <c r="AE1291" i="1"/>
  <c r="Y1291" i="1"/>
  <c r="AE1292" i="1"/>
  <c r="Y1292" i="1"/>
  <c r="AE1293" i="1"/>
  <c r="Y1293" i="1"/>
  <c r="AE1294" i="1"/>
  <c r="Y1294" i="1"/>
  <c r="AE1295" i="1"/>
  <c r="Y1295" i="1"/>
  <c r="AE1296" i="1"/>
  <c r="Y1296" i="1"/>
  <c r="AE1297" i="1"/>
  <c r="Y1297" i="1"/>
  <c r="AE1298" i="1"/>
  <c r="Y1298" i="1"/>
  <c r="AE1299" i="1"/>
  <c r="Y1299" i="1"/>
  <c r="AE1300" i="1"/>
  <c r="Y1300" i="1"/>
  <c r="AE1301" i="1"/>
  <c r="Y1301" i="1"/>
  <c r="AE1302" i="1"/>
  <c r="Y1302" i="1"/>
  <c r="AE1303" i="1"/>
  <c r="Y1303" i="1"/>
  <c r="AE1304" i="1"/>
  <c r="Y1304" i="1"/>
  <c r="AE1305" i="1"/>
  <c r="Y1305" i="1"/>
  <c r="AE1306" i="1"/>
  <c r="Y1306" i="1"/>
  <c r="AE1307" i="1"/>
  <c r="Y1307" i="1"/>
  <c r="AE1308" i="1"/>
  <c r="Y1308" i="1"/>
  <c r="AE1309" i="1"/>
  <c r="Y1309" i="1"/>
  <c r="AE1310" i="1"/>
  <c r="Y1310" i="1"/>
  <c r="AE1311" i="1"/>
  <c r="Y1311" i="1"/>
  <c r="AE1312" i="1"/>
  <c r="Y1312" i="1"/>
  <c r="AE1313" i="1"/>
  <c r="Y1313" i="1"/>
  <c r="AE1314" i="1"/>
  <c r="Y1314" i="1"/>
  <c r="AE1315" i="1"/>
  <c r="Y1315" i="1"/>
  <c r="AE1316" i="1"/>
  <c r="Y1316" i="1"/>
  <c r="AE1317" i="1"/>
  <c r="Y1317" i="1"/>
  <c r="AE1318" i="1"/>
  <c r="Y1318" i="1"/>
  <c r="AE1319" i="1"/>
  <c r="Y1319" i="1"/>
  <c r="AE1320" i="1"/>
  <c r="Y1320" i="1"/>
  <c r="AE1321" i="1"/>
  <c r="Y1321" i="1"/>
  <c r="AE1322" i="1"/>
  <c r="Y1322" i="1"/>
  <c r="AE1323" i="1"/>
  <c r="Y1323" i="1"/>
  <c r="AE1324" i="1"/>
  <c r="Y1324" i="1"/>
  <c r="AE1325" i="1"/>
  <c r="Y1325" i="1"/>
  <c r="AE1326" i="1"/>
  <c r="Y1326" i="1"/>
  <c r="AE1327" i="1"/>
  <c r="Y1327" i="1"/>
  <c r="AE1328" i="1"/>
  <c r="Y1328" i="1"/>
  <c r="AE1329" i="1"/>
  <c r="Y1329" i="1"/>
  <c r="AE1330" i="1"/>
  <c r="Y1330" i="1"/>
  <c r="AE1331" i="1"/>
  <c r="Y1331" i="1"/>
  <c r="AE1332" i="1"/>
  <c r="Y1332" i="1"/>
  <c r="AE1333" i="1"/>
  <c r="Y1333" i="1"/>
  <c r="AE1334" i="1"/>
  <c r="Y1334" i="1"/>
  <c r="AE1335" i="1"/>
  <c r="Y1335" i="1"/>
  <c r="AE1336" i="1"/>
  <c r="Y1336" i="1"/>
  <c r="AE1337" i="1"/>
  <c r="Y1337" i="1"/>
  <c r="AE1338" i="1"/>
  <c r="Y1338" i="1"/>
  <c r="AE1339" i="1"/>
  <c r="Y1339" i="1"/>
  <c r="AE1340" i="1"/>
  <c r="Y1340" i="1"/>
  <c r="AE1341" i="1"/>
  <c r="Y1341" i="1"/>
  <c r="AE1342" i="1"/>
  <c r="Y1342" i="1"/>
  <c r="AE1343" i="1"/>
  <c r="Y1343" i="1"/>
  <c r="AE1344" i="1"/>
  <c r="Y1344" i="1"/>
  <c r="AE1345" i="1"/>
  <c r="Y1345" i="1"/>
  <c r="AE1346" i="1"/>
  <c r="Y1346" i="1"/>
  <c r="AE1347" i="1"/>
  <c r="Y1347" i="1"/>
  <c r="AE1348" i="1"/>
  <c r="Y1348" i="1"/>
  <c r="AE1349" i="1"/>
  <c r="Y1349" i="1"/>
  <c r="AE1350" i="1"/>
  <c r="Y1350" i="1"/>
  <c r="AE1351" i="1"/>
  <c r="Y1351" i="1"/>
  <c r="AE1352" i="1"/>
  <c r="Y1352" i="1"/>
  <c r="AE1353" i="1"/>
  <c r="Y1353" i="1"/>
  <c r="AE1354" i="1"/>
  <c r="Y1354" i="1"/>
  <c r="AE1355" i="1"/>
  <c r="Y1355" i="1"/>
  <c r="AE1356" i="1"/>
  <c r="Y1356" i="1"/>
  <c r="AE1357" i="1"/>
  <c r="Y1357" i="1"/>
  <c r="AE1358" i="1"/>
  <c r="Y1358" i="1"/>
  <c r="AE1359" i="1"/>
  <c r="Y1359" i="1"/>
  <c r="AE1360" i="1"/>
  <c r="Y1360" i="1"/>
  <c r="AE1361" i="1"/>
  <c r="Y1361" i="1"/>
  <c r="AE1362" i="1"/>
  <c r="Y1362" i="1"/>
  <c r="AE1363" i="1"/>
  <c r="Y1363" i="1"/>
  <c r="AE1364" i="1"/>
  <c r="Y1364" i="1"/>
  <c r="AE1365" i="1"/>
  <c r="Y1365" i="1"/>
  <c r="AE1366" i="1"/>
  <c r="Y1366" i="1"/>
  <c r="AE1367" i="1"/>
  <c r="Y1367" i="1"/>
  <c r="AE1368" i="1"/>
  <c r="Y1368" i="1"/>
  <c r="AE1369" i="1"/>
  <c r="Y1369" i="1"/>
  <c r="AE1370" i="1"/>
  <c r="Y1370" i="1"/>
  <c r="AE1371" i="1"/>
  <c r="Y1371" i="1"/>
  <c r="AE1372" i="1"/>
  <c r="Y1372" i="1"/>
  <c r="AE1373" i="1"/>
  <c r="Y1373" i="1"/>
  <c r="AE1374" i="1"/>
  <c r="Y1374" i="1"/>
  <c r="AE1375" i="1"/>
  <c r="Y1375" i="1"/>
  <c r="AE1376" i="1"/>
  <c r="Y1376" i="1"/>
  <c r="AE1377" i="1"/>
  <c r="Y1377" i="1"/>
  <c r="AE1378" i="1"/>
  <c r="Y1378" i="1"/>
  <c r="AE1379" i="1"/>
  <c r="Y1379" i="1"/>
  <c r="AE1380" i="1"/>
  <c r="Y1380" i="1"/>
  <c r="AE1381" i="1"/>
  <c r="Y1381" i="1"/>
  <c r="AE1382" i="1"/>
  <c r="Y1382" i="1"/>
  <c r="AE1383" i="1"/>
  <c r="Y1383" i="1"/>
  <c r="AE1384" i="1"/>
  <c r="Y1384" i="1"/>
  <c r="AE1385" i="1"/>
  <c r="Y1385" i="1"/>
  <c r="AE1386" i="1"/>
  <c r="Y1386" i="1"/>
  <c r="AE1387" i="1"/>
  <c r="Y1387" i="1"/>
  <c r="AE1388" i="1"/>
  <c r="Y1388" i="1"/>
  <c r="AE1389" i="1"/>
  <c r="Y1389" i="1"/>
  <c r="AE1390" i="1"/>
  <c r="Y1390" i="1"/>
  <c r="AE1391" i="1"/>
  <c r="Y1391" i="1"/>
  <c r="AE1392" i="1"/>
  <c r="Y1392" i="1"/>
  <c r="AE1393" i="1"/>
  <c r="Y1393" i="1"/>
  <c r="AE1394" i="1"/>
  <c r="Y1394" i="1"/>
  <c r="AE1395" i="1"/>
  <c r="Y1395" i="1"/>
  <c r="AE1396" i="1"/>
  <c r="Y1396" i="1"/>
  <c r="AE1397" i="1"/>
  <c r="Y1397" i="1"/>
  <c r="AE1398" i="1"/>
  <c r="Y1398" i="1"/>
  <c r="AE1399" i="1"/>
  <c r="Y1399" i="1"/>
  <c r="AE1400" i="1"/>
  <c r="Y1400" i="1"/>
  <c r="AE1401" i="1"/>
  <c r="Y1401" i="1"/>
  <c r="AE1402" i="1"/>
  <c r="Y1402" i="1"/>
  <c r="AE1403" i="1"/>
  <c r="Y1403" i="1"/>
  <c r="AE1404" i="1"/>
  <c r="Y1404" i="1"/>
  <c r="AE1405" i="1"/>
  <c r="Y1405" i="1"/>
  <c r="AE1406" i="1"/>
  <c r="Y1406" i="1"/>
  <c r="AE1407" i="1"/>
  <c r="Y1407" i="1"/>
  <c r="AE1408" i="1"/>
  <c r="Y1408" i="1"/>
  <c r="AE1409" i="1"/>
  <c r="Y1409" i="1"/>
  <c r="AE1410" i="1"/>
  <c r="Y1410" i="1"/>
  <c r="AE1411" i="1"/>
  <c r="Y1411" i="1"/>
  <c r="AE1412" i="1"/>
  <c r="Y1412" i="1"/>
  <c r="AE1413" i="1"/>
  <c r="Y1413" i="1"/>
  <c r="AE1414" i="1"/>
  <c r="Y1414" i="1"/>
  <c r="AE1415" i="1"/>
  <c r="Y1415" i="1"/>
  <c r="AE1416" i="1"/>
  <c r="Y1416" i="1"/>
  <c r="AE1417" i="1"/>
  <c r="Y1417" i="1"/>
  <c r="AE1418" i="1"/>
  <c r="Y1418" i="1"/>
  <c r="AE1419" i="1"/>
  <c r="Y1419" i="1"/>
  <c r="AE1420" i="1"/>
  <c r="Y1420" i="1"/>
  <c r="AE1421" i="1"/>
  <c r="Y1421" i="1"/>
  <c r="AE1422" i="1"/>
  <c r="Y1422" i="1"/>
  <c r="AE1423" i="1"/>
  <c r="Y1423" i="1"/>
  <c r="AE1424" i="1"/>
  <c r="Y1424" i="1"/>
  <c r="AE1425" i="1"/>
  <c r="Y1425" i="1"/>
  <c r="AE1426" i="1"/>
  <c r="Y1426" i="1"/>
  <c r="AE1427" i="1"/>
  <c r="Y1427" i="1"/>
  <c r="AE1428" i="1"/>
  <c r="Y1428" i="1"/>
  <c r="AE1429" i="1"/>
  <c r="Y1429" i="1"/>
  <c r="AE1430" i="1"/>
  <c r="Y1430" i="1"/>
  <c r="AE1431" i="1"/>
  <c r="Y1431" i="1"/>
  <c r="AE1432" i="1"/>
  <c r="Y1432" i="1"/>
  <c r="AE1433" i="1"/>
  <c r="Y1433" i="1"/>
  <c r="AE1434" i="1"/>
  <c r="Y1434" i="1"/>
  <c r="AE1435" i="1"/>
  <c r="Y1435" i="1"/>
  <c r="AE1436" i="1"/>
  <c r="Y1436" i="1"/>
  <c r="AE1437" i="1"/>
  <c r="Y1437" i="1"/>
  <c r="AE1438" i="1"/>
  <c r="Y1438" i="1"/>
  <c r="AE1439" i="1"/>
  <c r="Y1439" i="1"/>
  <c r="AE1440" i="1"/>
  <c r="Y1440" i="1"/>
  <c r="AE1441" i="1"/>
  <c r="Y1441" i="1"/>
  <c r="AE1442" i="1"/>
  <c r="Y1442" i="1"/>
  <c r="AE1443" i="1"/>
  <c r="Y1443" i="1"/>
  <c r="AE1444" i="1"/>
  <c r="Y1444" i="1"/>
  <c r="AE1445" i="1"/>
  <c r="Y1445" i="1"/>
  <c r="AE1446" i="1"/>
  <c r="Y1446" i="1"/>
  <c r="AE1447" i="1"/>
  <c r="Y1447" i="1"/>
  <c r="AE1448" i="1"/>
  <c r="Y1448" i="1"/>
  <c r="AE1449" i="1"/>
  <c r="Y1449" i="1"/>
  <c r="AE1450" i="1"/>
  <c r="Y1450" i="1"/>
  <c r="AE1451" i="1"/>
  <c r="Y1451" i="1"/>
  <c r="AE1452" i="1"/>
  <c r="Y1452" i="1"/>
  <c r="AE1453" i="1"/>
  <c r="Y1453" i="1"/>
  <c r="AE1454" i="1"/>
  <c r="Y1454" i="1"/>
  <c r="AE1455" i="1"/>
  <c r="Y1455" i="1"/>
  <c r="AE1456" i="1"/>
  <c r="Y1456" i="1"/>
  <c r="AE1457" i="1"/>
  <c r="Y1457" i="1"/>
  <c r="AE1458" i="1"/>
  <c r="Y1458" i="1"/>
  <c r="AE1459" i="1"/>
  <c r="Y1459" i="1"/>
  <c r="AE1460" i="1"/>
  <c r="Y1460" i="1"/>
  <c r="AE1461" i="1"/>
  <c r="Y1461" i="1"/>
  <c r="AE1462" i="1"/>
  <c r="Y1462" i="1"/>
  <c r="AE1463" i="1"/>
  <c r="Y1463" i="1"/>
  <c r="AE1464" i="1"/>
  <c r="Y1464" i="1"/>
  <c r="AE1465" i="1"/>
  <c r="Y1465" i="1"/>
  <c r="AE1466" i="1"/>
  <c r="Y1466" i="1"/>
  <c r="AE1467" i="1"/>
  <c r="Y1467" i="1"/>
  <c r="AE1468" i="1"/>
  <c r="Y1468" i="1"/>
  <c r="AE1469" i="1"/>
  <c r="Y1469" i="1"/>
  <c r="AE1470" i="1"/>
  <c r="Y1470" i="1"/>
  <c r="AE1471" i="1"/>
  <c r="Y1471" i="1"/>
  <c r="AE1472" i="1"/>
  <c r="Y1472" i="1"/>
  <c r="AE1473" i="1"/>
  <c r="Y1473" i="1"/>
  <c r="AE1474" i="1"/>
  <c r="Y1474" i="1"/>
  <c r="AE1475" i="1"/>
  <c r="Y1475" i="1"/>
  <c r="AE1476" i="1"/>
  <c r="Y1476" i="1"/>
  <c r="AE1477" i="1"/>
  <c r="Y1477" i="1"/>
  <c r="AE1478" i="1"/>
  <c r="Y1478" i="1"/>
  <c r="AE1479" i="1"/>
  <c r="Y1479" i="1"/>
  <c r="AE1480" i="1"/>
  <c r="Y1480" i="1"/>
  <c r="AE1481" i="1"/>
  <c r="Y1481" i="1"/>
  <c r="AE1482" i="1"/>
  <c r="Y1482" i="1"/>
  <c r="AE1483" i="1"/>
  <c r="Y1483" i="1"/>
  <c r="AE1484" i="1"/>
  <c r="Y1484" i="1"/>
  <c r="AE1485" i="1"/>
  <c r="Y1485" i="1"/>
  <c r="AE1486" i="1"/>
  <c r="Y1486" i="1"/>
  <c r="AE1487" i="1"/>
  <c r="Y1487" i="1"/>
  <c r="AE1488" i="1"/>
  <c r="Y1488" i="1"/>
  <c r="AE1489" i="1"/>
  <c r="Y1489" i="1"/>
  <c r="AE1490" i="1"/>
  <c r="Y1490" i="1"/>
  <c r="AE1491" i="1"/>
  <c r="Y1491" i="1"/>
  <c r="AE1492" i="1"/>
  <c r="Y1492" i="1"/>
  <c r="AE1493" i="1"/>
  <c r="Y1493" i="1"/>
  <c r="AE1494" i="1"/>
  <c r="Y1494" i="1"/>
  <c r="AE1495" i="1"/>
  <c r="Y1495" i="1"/>
  <c r="AE1496" i="1"/>
  <c r="Y1496" i="1"/>
  <c r="AE1497" i="1"/>
  <c r="Y1497" i="1"/>
  <c r="AE1498" i="1"/>
  <c r="Y1498" i="1"/>
  <c r="AE1499" i="1"/>
  <c r="Y1499" i="1"/>
  <c r="AE1500" i="1"/>
  <c r="Y1500" i="1"/>
  <c r="AE1501" i="1"/>
  <c r="Y1501" i="1"/>
  <c r="AE1502" i="1"/>
  <c r="Y1502" i="1"/>
  <c r="AE1503" i="1"/>
  <c r="Y1503" i="1"/>
  <c r="AE1504" i="1"/>
  <c r="Y1504" i="1"/>
  <c r="AE1505" i="1"/>
  <c r="Y1505" i="1"/>
  <c r="AE1506" i="1"/>
  <c r="Y1506" i="1"/>
  <c r="AE1507" i="1"/>
  <c r="Y1507" i="1"/>
  <c r="AE1508" i="1"/>
  <c r="Y1508" i="1"/>
  <c r="AE1509" i="1"/>
  <c r="Y1509" i="1"/>
  <c r="AE1510" i="1"/>
  <c r="Y1510" i="1"/>
  <c r="AE1511" i="1"/>
  <c r="Y1511" i="1"/>
  <c r="AE1512" i="1"/>
  <c r="Y1512" i="1"/>
  <c r="AE1513" i="1"/>
  <c r="Y1513" i="1"/>
  <c r="AE1514" i="1"/>
  <c r="Y1514" i="1"/>
  <c r="AE1515" i="1"/>
  <c r="Y1515" i="1"/>
  <c r="AE1516" i="1"/>
  <c r="Y1516" i="1"/>
  <c r="AE1517" i="1"/>
  <c r="Y1517" i="1"/>
  <c r="AE1518" i="1"/>
  <c r="Y1518" i="1"/>
  <c r="AE1519" i="1"/>
  <c r="Y1519" i="1"/>
  <c r="AE1520" i="1"/>
  <c r="Y1520" i="1"/>
  <c r="AE1521" i="1"/>
  <c r="Y1521" i="1"/>
  <c r="AE1522" i="1"/>
  <c r="Y1522" i="1"/>
  <c r="AE1523" i="1"/>
  <c r="Y1523" i="1"/>
  <c r="AE1524" i="1"/>
  <c r="Y1524" i="1"/>
  <c r="AE1525" i="1"/>
  <c r="Y1525" i="1"/>
  <c r="AE1526" i="1"/>
  <c r="Y1526" i="1"/>
  <c r="AE1527" i="1"/>
  <c r="Y1527" i="1"/>
  <c r="AE1528" i="1"/>
  <c r="Y1528" i="1"/>
  <c r="AE1529" i="1"/>
  <c r="Y1529" i="1"/>
  <c r="AE1530" i="1"/>
  <c r="Y1530" i="1"/>
  <c r="AE1531" i="1"/>
  <c r="Y1531" i="1"/>
  <c r="AE1532" i="1"/>
  <c r="Y1532" i="1"/>
  <c r="AE1533" i="1"/>
  <c r="Y1533" i="1"/>
  <c r="AE1534" i="1"/>
  <c r="Y1534" i="1"/>
  <c r="AE1535" i="1"/>
  <c r="Y1535" i="1"/>
  <c r="AE1536" i="1"/>
  <c r="Y1536" i="1"/>
  <c r="AE1537" i="1"/>
  <c r="Y1537" i="1"/>
  <c r="AE1538" i="1"/>
  <c r="Y1538" i="1"/>
  <c r="AE1539" i="1"/>
  <c r="Y1539" i="1"/>
  <c r="AE1540" i="1"/>
  <c r="Y1540" i="1"/>
  <c r="AE1541" i="1"/>
  <c r="Y1541" i="1"/>
  <c r="AE1542" i="1"/>
  <c r="Y1542" i="1"/>
  <c r="AE1543" i="1"/>
  <c r="Y1543" i="1"/>
  <c r="AE1544" i="1"/>
  <c r="Y1544" i="1"/>
  <c r="AE1545" i="1"/>
  <c r="Y1545" i="1"/>
  <c r="AE1546" i="1"/>
  <c r="Y1546" i="1"/>
  <c r="AE1547" i="1"/>
  <c r="Y1547" i="1"/>
  <c r="AE1548" i="1"/>
  <c r="Y1548" i="1"/>
  <c r="AE1549" i="1"/>
  <c r="Y1549" i="1"/>
  <c r="AE1550" i="1"/>
  <c r="Y1550" i="1"/>
  <c r="AE1551" i="1"/>
  <c r="Y1551" i="1"/>
  <c r="AE1552" i="1"/>
  <c r="Y1552" i="1"/>
  <c r="AE1553" i="1"/>
  <c r="Y1553" i="1"/>
  <c r="AE1554" i="1"/>
  <c r="Y1554" i="1"/>
  <c r="AE1555" i="1"/>
  <c r="Y1555" i="1"/>
  <c r="AE1556" i="1"/>
  <c r="Y1556" i="1"/>
  <c r="AE1557" i="1"/>
  <c r="Y1557" i="1"/>
  <c r="AE1558" i="1"/>
  <c r="Y1558" i="1"/>
  <c r="AE1559" i="1"/>
  <c r="Y1559" i="1"/>
  <c r="AE1560" i="1"/>
  <c r="Y1560" i="1"/>
  <c r="AE1561" i="1"/>
  <c r="Y1561" i="1"/>
  <c r="AE1562" i="1"/>
  <c r="Y1562" i="1"/>
  <c r="AE1563" i="1"/>
  <c r="Y1563" i="1"/>
  <c r="AE1564" i="1"/>
  <c r="Y1564" i="1"/>
  <c r="AE1565" i="1"/>
  <c r="Y1565" i="1"/>
  <c r="AE1566" i="1"/>
  <c r="Y1566" i="1"/>
  <c r="AE1567" i="1"/>
  <c r="Y1567" i="1"/>
  <c r="AE1568" i="1"/>
  <c r="Y1568" i="1"/>
  <c r="AE1569" i="1"/>
  <c r="Y1569" i="1"/>
  <c r="AE1570" i="1"/>
  <c r="Y1570" i="1"/>
  <c r="AE1571" i="1"/>
  <c r="Y1571" i="1"/>
  <c r="AE1572" i="1"/>
  <c r="Y1572" i="1"/>
  <c r="AE1573" i="1"/>
  <c r="Y1573" i="1"/>
  <c r="AE1574" i="1"/>
  <c r="Y1574" i="1"/>
  <c r="AE1575" i="1"/>
  <c r="Y1575" i="1"/>
  <c r="AE1576" i="1"/>
  <c r="Y1576" i="1"/>
  <c r="AE1577" i="1"/>
  <c r="Y1577" i="1"/>
  <c r="AE1578" i="1"/>
  <c r="Y1578" i="1"/>
  <c r="AE1579" i="1"/>
  <c r="Y1579" i="1"/>
  <c r="AE1580" i="1"/>
  <c r="Y1580" i="1"/>
  <c r="AE1581" i="1"/>
  <c r="Y1581" i="1"/>
  <c r="AE1582" i="1"/>
  <c r="Y1582" i="1"/>
  <c r="AE1583" i="1"/>
  <c r="Y1583" i="1"/>
  <c r="AE1584" i="1"/>
  <c r="Y1584" i="1"/>
  <c r="AE1585" i="1"/>
  <c r="Y1585" i="1"/>
  <c r="AE1586" i="1"/>
  <c r="Y1586" i="1"/>
  <c r="AE1587" i="1"/>
  <c r="Y1587" i="1"/>
  <c r="AE1588" i="1"/>
  <c r="Y1588" i="1"/>
  <c r="AE1589" i="1"/>
  <c r="Y1589" i="1"/>
  <c r="AE1590" i="1"/>
  <c r="Y1590" i="1"/>
  <c r="AE1591" i="1"/>
  <c r="Y1591" i="1"/>
  <c r="AE1592" i="1"/>
  <c r="Y1592" i="1"/>
  <c r="AE1593" i="1"/>
  <c r="Y1593" i="1"/>
  <c r="AE1594" i="1"/>
  <c r="Y1594" i="1"/>
  <c r="AE1595" i="1"/>
  <c r="Y1595" i="1"/>
  <c r="AE1596" i="1"/>
  <c r="Y1596" i="1"/>
  <c r="AE1597" i="1"/>
  <c r="Y1597" i="1"/>
  <c r="AE1598" i="1"/>
  <c r="Y1598" i="1"/>
  <c r="AE1599" i="1"/>
  <c r="Y1599" i="1"/>
  <c r="AE1600" i="1"/>
  <c r="Y1600" i="1"/>
  <c r="AE1601" i="1"/>
  <c r="Y1601" i="1"/>
  <c r="AE1602" i="1"/>
  <c r="Y1602" i="1"/>
  <c r="AE1603" i="1"/>
  <c r="Y1603" i="1"/>
  <c r="AE1604" i="1"/>
  <c r="Y1604" i="1"/>
  <c r="AE1605" i="1"/>
  <c r="Y1605" i="1"/>
  <c r="AE1606" i="1"/>
  <c r="Y1606" i="1"/>
  <c r="AE1607" i="1"/>
  <c r="Y1607" i="1"/>
  <c r="AE1608" i="1"/>
  <c r="Y1608" i="1"/>
  <c r="AE1609" i="1"/>
  <c r="Y1609" i="1"/>
  <c r="AE1610" i="1"/>
  <c r="Y1610" i="1"/>
  <c r="AE1611" i="1"/>
  <c r="Y1611" i="1"/>
  <c r="AE1612" i="1"/>
  <c r="Y1612" i="1"/>
  <c r="AE1613" i="1"/>
  <c r="Y1613" i="1"/>
  <c r="AE1614" i="1"/>
  <c r="Y1614" i="1"/>
  <c r="AE1615" i="1"/>
  <c r="Y1615" i="1"/>
  <c r="AE1616" i="1"/>
  <c r="Y1616" i="1"/>
  <c r="AE1617" i="1"/>
  <c r="Y1617" i="1"/>
  <c r="AE1618" i="1"/>
  <c r="Y1618" i="1"/>
  <c r="AE1619" i="1"/>
  <c r="Y1619" i="1"/>
  <c r="AE1620" i="1"/>
  <c r="Y1620" i="1"/>
  <c r="AE1621" i="1"/>
  <c r="Y1621" i="1"/>
  <c r="AE1622" i="1"/>
  <c r="Y1622" i="1"/>
  <c r="AE1623" i="1"/>
  <c r="Y1623" i="1"/>
  <c r="AE1624" i="1"/>
  <c r="Y1624" i="1"/>
  <c r="AE1625" i="1"/>
  <c r="Y1625" i="1"/>
  <c r="AE1626" i="1"/>
  <c r="Y1626" i="1"/>
  <c r="AE1627" i="1"/>
  <c r="Y1627" i="1"/>
  <c r="AE1628" i="1"/>
  <c r="Y1628" i="1"/>
  <c r="AE1629" i="1"/>
  <c r="Y1629" i="1"/>
  <c r="AE1630" i="1"/>
  <c r="Y1630" i="1"/>
  <c r="AE1631" i="1"/>
  <c r="Y1631" i="1"/>
  <c r="AE1632" i="1"/>
  <c r="Y1632" i="1"/>
  <c r="AE1633" i="1"/>
  <c r="Y1633" i="1"/>
  <c r="AE1634" i="1"/>
  <c r="Y1634" i="1"/>
  <c r="AE1635" i="1"/>
  <c r="Y1635" i="1"/>
  <c r="AE1636" i="1"/>
  <c r="Y1636" i="1"/>
  <c r="AE1637" i="1"/>
  <c r="Y1637" i="1"/>
  <c r="AE1638" i="1"/>
  <c r="Y1638" i="1"/>
  <c r="AE1639" i="1"/>
  <c r="Y1639" i="1"/>
  <c r="AE1640" i="1"/>
  <c r="Y1640" i="1"/>
  <c r="AE1641" i="1"/>
  <c r="Y1641" i="1"/>
  <c r="AE1642" i="1"/>
  <c r="Y1642" i="1"/>
  <c r="AE1643" i="1"/>
  <c r="Y1643" i="1"/>
  <c r="AE1644" i="1"/>
  <c r="Y1644" i="1"/>
  <c r="AE1645" i="1"/>
  <c r="Y1645" i="1"/>
  <c r="AE1646" i="1"/>
  <c r="Y1646" i="1"/>
  <c r="AE1647" i="1"/>
  <c r="Y1647" i="1"/>
  <c r="AE1648" i="1"/>
  <c r="Y1648" i="1"/>
  <c r="AE1649" i="1"/>
  <c r="Y1649" i="1"/>
  <c r="AE1650" i="1"/>
  <c r="Y1650" i="1"/>
  <c r="AE1651" i="1"/>
  <c r="Y1651" i="1"/>
  <c r="AE1652" i="1"/>
  <c r="Y1652" i="1"/>
  <c r="AE1653" i="1"/>
  <c r="Y1653" i="1"/>
  <c r="AE1654" i="1"/>
  <c r="Y1654" i="1"/>
  <c r="AE1655" i="1"/>
  <c r="Y1655" i="1"/>
  <c r="AE1656" i="1"/>
  <c r="Y1656" i="1"/>
  <c r="AE1657" i="1"/>
  <c r="Y1657" i="1"/>
  <c r="AE1658" i="1"/>
  <c r="Y1658" i="1"/>
  <c r="AE1659" i="1"/>
  <c r="Y1659" i="1"/>
  <c r="AE1660" i="1"/>
  <c r="Y1660" i="1"/>
  <c r="AE1661" i="1"/>
  <c r="Y1661" i="1"/>
  <c r="AE1662" i="1"/>
  <c r="Y1662" i="1"/>
  <c r="AE1663" i="1"/>
  <c r="Y1663" i="1"/>
  <c r="AE1664" i="1"/>
  <c r="Y1664" i="1"/>
  <c r="AE1665" i="1"/>
  <c r="Y1665" i="1"/>
  <c r="AE1666" i="1"/>
  <c r="Y1666" i="1"/>
  <c r="AE1667" i="1"/>
  <c r="Y1667" i="1"/>
  <c r="AE1668" i="1"/>
  <c r="Y1668" i="1"/>
  <c r="AE1669" i="1"/>
  <c r="Y1669" i="1"/>
  <c r="AE1670" i="1"/>
  <c r="Y1670" i="1"/>
  <c r="AE1671" i="1"/>
  <c r="Y1671" i="1"/>
  <c r="AE1672" i="1"/>
  <c r="Y1672" i="1"/>
  <c r="AE1673" i="1"/>
  <c r="Y1673" i="1"/>
  <c r="AE1674" i="1"/>
  <c r="Y1674" i="1"/>
  <c r="AE1675" i="1"/>
  <c r="Y1675" i="1"/>
  <c r="AE1676" i="1"/>
  <c r="Y1676" i="1"/>
  <c r="AE1677" i="1"/>
  <c r="Y1677" i="1"/>
  <c r="AE1678" i="1"/>
  <c r="Y1678" i="1"/>
  <c r="AE1679" i="1"/>
  <c r="Y1679" i="1"/>
  <c r="AE1680" i="1"/>
  <c r="Y1680" i="1"/>
  <c r="AE1681" i="1"/>
  <c r="Y1681" i="1"/>
  <c r="AE1682" i="1"/>
  <c r="Y1682" i="1"/>
  <c r="AE1683" i="1"/>
  <c r="Y1683" i="1"/>
  <c r="AE1684" i="1"/>
  <c r="Y1684" i="1"/>
  <c r="AE1685" i="1"/>
  <c r="Y1685" i="1"/>
  <c r="AE1686" i="1"/>
  <c r="Y1686" i="1"/>
  <c r="AE1687" i="1"/>
  <c r="Y1687" i="1"/>
  <c r="AE1688" i="1"/>
  <c r="Y1688" i="1"/>
  <c r="AE1689" i="1"/>
  <c r="Y1689" i="1"/>
  <c r="AE1690" i="1"/>
  <c r="Y1690" i="1"/>
  <c r="AE1691" i="1"/>
  <c r="Y1691" i="1"/>
  <c r="AE1692" i="1"/>
  <c r="Y1692" i="1"/>
  <c r="AE1693" i="1"/>
  <c r="Y1693" i="1"/>
  <c r="AE1694" i="1"/>
  <c r="Y1694" i="1"/>
  <c r="AE1695" i="1"/>
  <c r="Y1695" i="1"/>
  <c r="AE1696" i="1"/>
  <c r="Y1696" i="1"/>
  <c r="AE1697" i="1"/>
  <c r="Y1697" i="1"/>
  <c r="AE1698" i="1"/>
  <c r="Y1698" i="1"/>
  <c r="AE1699" i="1"/>
  <c r="Y1699" i="1"/>
  <c r="AE1700" i="1"/>
  <c r="Y1700" i="1"/>
  <c r="AE1701" i="1"/>
  <c r="Y1701" i="1"/>
  <c r="AE1702" i="1"/>
  <c r="Y1702" i="1"/>
  <c r="AE1703" i="1"/>
  <c r="Y1703" i="1"/>
  <c r="AE1704" i="1"/>
  <c r="Y1704" i="1"/>
  <c r="AE1705" i="1"/>
  <c r="Y1705" i="1"/>
  <c r="AE1706" i="1"/>
  <c r="Y1706" i="1"/>
  <c r="AE1707" i="1"/>
  <c r="Y1707" i="1"/>
  <c r="AE1708" i="1"/>
  <c r="Y1708" i="1"/>
  <c r="AE1709" i="1"/>
  <c r="Y1709" i="1"/>
  <c r="AE1710" i="1"/>
  <c r="Y1710" i="1"/>
  <c r="AE1711" i="1"/>
  <c r="Y1711" i="1"/>
  <c r="AE1712" i="1"/>
  <c r="Y1712" i="1"/>
  <c r="AE1713" i="1"/>
  <c r="Y1713" i="1"/>
  <c r="AE1714" i="1"/>
  <c r="Y1714" i="1"/>
  <c r="AE1715" i="1"/>
  <c r="Y1715" i="1"/>
  <c r="AE1716" i="1"/>
  <c r="Y1716" i="1"/>
  <c r="AE1717" i="1"/>
  <c r="Y1717" i="1"/>
  <c r="AE1718" i="1"/>
  <c r="Y1718" i="1"/>
  <c r="AE1719" i="1"/>
  <c r="Y1719" i="1"/>
  <c r="AE1720" i="1"/>
  <c r="Y1720" i="1"/>
  <c r="AE1721" i="1"/>
  <c r="Y1721" i="1"/>
  <c r="AE1722" i="1"/>
  <c r="Y1722" i="1"/>
  <c r="AE1723" i="1"/>
  <c r="Y1723" i="1"/>
  <c r="AE1724" i="1"/>
  <c r="Y1724" i="1"/>
  <c r="AE1725" i="1"/>
  <c r="Y1725" i="1"/>
  <c r="AE1726" i="1"/>
  <c r="Y1726" i="1"/>
  <c r="AE1727" i="1"/>
  <c r="Y1727" i="1"/>
  <c r="AE1728" i="1"/>
  <c r="Y1728" i="1"/>
  <c r="AE1729" i="1"/>
  <c r="Y1729" i="1"/>
  <c r="AE1730" i="1"/>
  <c r="Y1730" i="1"/>
  <c r="AE1731" i="1"/>
  <c r="Y1731" i="1"/>
  <c r="AE1732" i="1"/>
  <c r="Y1732" i="1"/>
  <c r="AE1733" i="1"/>
  <c r="Y1733" i="1"/>
  <c r="AE1734" i="1"/>
  <c r="Y1734" i="1"/>
  <c r="AE1735" i="1"/>
  <c r="Y1735" i="1"/>
  <c r="AE1736" i="1"/>
  <c r="Y1736" i="1"/>
  <c r="AE1737" i="1"/>
  <c r="Y1737" i="1"/>
  <c r="AE1738" i="1"/>
  <c r="Y1738" i="1"/>
  <c r="AE1739" i="1"/>
  <c r="Y1739" i="1"/>
  <c r="AE1740" i="1"/>
  <c r="Y1740" i="1"/>
  <c r="AE1741" i="1"/>
  <c r="Y1741" i="1"/>
  <c r="AE1742" i="1"/>
  <c r="Y1742" i="1"/>
  <c r="AE1743" i="1"/>
  <c r="Y1743" i="1"/>
  <c r="AE1744" i="1"/>
  <c r="Y1744" i="1"/>
  <c r="AE1745" i="1"/>
  <c r="Y1745" i="1"/>
  <c r="AE1746" i="1"/>
  <c r="Y1746" i="1"/>
  <c r="AE1747" i="1"/>
  <c r="Y1747" i="1"/>
  <c r="AE1748" i="1"/>
  <c r="Y1748" i="1"/>
  <c r="AE1749" i="1"/>
  <c r="Y1749" i="1"/>
  <c r="AE1750" i="1"/>
  <c r="Y1750" i="1"/>
  <c r="AE1751" i="1"/>
  <c r="Y1751" i="1"/>
  <c r="AE1752" i="1"/>
  <c r="Y1752" i="1"/>
  <c r="AE1753" i="1"/>
  <c r="Y1753" i="1"/>
  <c r="AE1754" i="1"/>
  <c r="Y1754" i="1"/>
  <c r="AE1755" i="1"/>
  <c r="Y1755" i="1"/>
  <c r="AE1756" i="1"/>
  <c r="Y1756" i="1"/>
  <c r="AE1757" i="1"/>
  <c r="Y1757" i="1"/>
  <c r="AE1758" i="1"/>
  <c r="Y1758" i="1"/>
  <c r="AE1759" i="1"/>
  <c r="Y1759" i="1"/>
  <c r="AE1760" i="1"/>
  <c r="Y1760" i="1"/>
  <c r="AE1761" i="1"/>
  <c r="Y1761" i="1"/>
  <c r="AE1762" i="1"/>
  <c r="Y1762" i="1"/>
  <c r="AE1763" i="1"/>
  <c r="Y1763" i="1"/>
  <c r="AE1764" i="1"/>
  <c r="Y1764" i="1"/>
  <c r="AE1765" i="1"/>
  <c r="Y1765" i="1"/>
  <c r="AE1766" i="1"/>
  <c r="Y1766" i="1"/>
  <c r="AE1767" i="1"/>
  <c r="Y1767" i="1"/>
  <c r="AE1768" i="1"/>
  <c r="Y1768" i="1"/>
  <c r="AE1769" i="1"/>
  <c r="Y1769" i="1"/>
  <c r="AE1770" i="1"/>
  <c r="Y1770" i="1"/>
  <c r="AE1771" i="1"/>
  <c r="Y1771" i="1"/>
  <c r="AE1772" i="1"/>
  <c r="Y1772" i="1"/>
  <c r="AE1773" i="1"/>
  <c r="Y1773" i="1"/>
  <c r="AE1774" i="1"/>
  <c r="Y1774" i="1"/>
  <c r="AE1775" i="1"/>
  <c r="Y1775" i="1"/>
  <c r="AE1776" i="1"/>
  <c r="Y1776" i="1"/>
  <c r="AE1777" i="1"/>
  <c r="Y1777" i="1"/>
  <c r="AE1778" i="1"/>
  <c r="Y1778" i="1"/>
  <c r="AE1779" i="1"/>
  <c r="Y1779" i="1"/>
  <c r="AE1780" i="1"/>
  <c r="Y1780" i="1"/>
  <c r="AE1781" i="1"/>
  <c r="Y1781" i="1"/>
  <c r="AE1782" i="1"/>
  <c r="Y1782" i="1"/>
  <c r="AE1783" i="1"/>
  <c r="Y1783" i="1"/>
  <c r="AE1784" i="1"/>
  <c r="Y1784" i="1"/>
  <c r="AE1785" i="1"/>
  <c r="Y1785" i="1"/>
  <c r="AE1786" i="1"/>
  <c r="Y1786" i="1"/>
  <c r="AE1787" i="1"/>
  <c r="Y1787" i="1"/>
  <c r="AE1788" i="1"/>
  <c r="Y1788" i="1"/>
  <c r="AE1789" i="1"/>
  <c r="Y1789" i="1"/>
  <c r="AE1790" i="1"/>
  <c r="Y1790" i="1"/>
  <c r="AE1791" i="1"/>
  <c r="Y1791" i="1"/>
  <c r="AE1792" i="1"/>
  <c r="Y1792" i="1"/>
  <c r="AE1793" i="1"/>
  <c r="Y1793" i="1"/>
  <c r="AE1794" i="1"/>
  <c r="Y1794" i="1"/>
  <c r="AE1795" i="1"/>
  <c r="Y1795" i="1"/>
  <c r="AE1796" i="1"/>
  <c r="Y1796" i="1"/>
  <c r="AE1797" i="1"/>
  <c r="Y1797" i="1"/>
  <c r="AE1798" i="1"/>
  <c r="Y1798" i="1"/>
  <c r="AE1799" i="1"/>
  <c r="Y1799" i="1"/>
  <c r="AE1800" i="1"/>
  <c r="Y1800" i="1"/>
  <c r="AE1801" i="1"/>
  <c r="Y1801" i="1"/>
  <c r="AE1802" i="1"/>
  <c r="Y1802" i="1"/>
  <c r="AE1803" i="1"/>
  <c r="Y1803" i="1"/>
  <c r="AE1804" i="1"/>
  <c r="Y1804" i="1"/>
  <c r="AE1805" i="1"/>
  <c r="Y1805" i="1"/>
  <c r="AE1806" i="1"/>
  <c r="Y1806" i="1"/>
  <c r="AE1807" i="1"/>
  <c r="Y1807" i="1"/>
  <c r="AE1808" i="1"/>
  <c r="Y1808" i="1"/>
  <c r="AE1809" i="1"/>
  <c r="Y1809" i="1"/>
  <c r="AE1810" i="1"/>
  <c r="Y1810" i="1"/>
  <c r="AE1811" i="1"/>
  <c r="Y1811" i="1"/>
  <c r="AE1812" i="1"/>
  <c r="Y1812" i="1"/>
  <c r="AE1813" i="1"/>
  <c r="Y1813" i="1"/>
  <c r="AE1814" i="1"/>
  <c r="Y1814" i="1"/>
  <c r="AE1815" i="1"/>
  <c r="Y1815" i="1"/>
  <c r="AE1816" i="1"/>
  <c r="Y1816" i="1"/>
  <c r="AE1817" i="1"/>
  <c r="Y1817" i="1"/>
  <c r="AE1818" i="1"/>
  <c r="Y1818" i="1"/>
  <c r="AE1819" i="1"/>
  <c r="Y1819" i="1"/>
  <c r="AE1820" i="1"/>
  <c r="Y1820" i="1"/>
  <c r="AE1821" i="1"/>
  <c r="Y1821" i="1"/>
  <c r="AE1822" i="1"/>
  <c r="Y1822" i="1"/>
  <c r="AE1823" i="1"/>
  <c r="Y1823" i="1"/>
  <c r="AE1824" i="1"/>
  <c r="Y1824" i="1"/>
  <c r="AE1825" i="1"/>
  <c r="Y1825" i="1"/>
  <c r="AE1826" i="1"/>
  <c r="Y1826" i="1"/>
  <c r="AE1827" i="1"/>
  <c r="Y1827" i="1"/>
  <c r="AE1828" i="1"/>
  <c r="Y1828" i="1"/>
  <c r="AE1829" i="1"/>
  <c r="Y1829" i="1"/>
  <c r="AE1830" i="1"/>
  <c r="Y1830" i="1"/>
  <c r="AE1831" i="1"/>
  <c r="Y1831" i="1"/>
  <c r="AE1832" i="1"/>
  <c r="Y1832" i="1"/>
  <c r="AE1833" i="1"/>
  <c r="Y1833" i="1"/>
  <c r="AE1834" i="1"/>
  <c r="Y1834" i="1"/>
  <c r="AE1835" i="1"/>
  <c r="Y1835" i="1"/>
  <c r="AE1836" i="1"/>
  <c r="Y1836" i="1"/>
  <c r="AE1837" i="1"/>
  <c r="Y1837" i="1"/>
  <c r="AE1838" i="1"/>
  <c r="Y1838" i="1"/>
  <c r="AE1839" i="1"/>
  <c r="Y1839" i="1"/>
  <c r="AE1840" i="1"/>
  <c r="Y1840" i="1"/>
  <c r="AE1841" i="1"/>
  <c r="Y1841" i="1"/>
  <c r="AE1842" i="1"/>
  <c r="Y1842" i="1"/>
  <c r="AE1843" i="1"/>
  <c r="Y1843" i="1"/>
  <c r="AE1844" i="1"/>
  <c r="Y1844" i="1"/>
  <c r="AE1845" i="1"/>
  <c r="Y1845" i="1"/>
  <c r="AE1846" i="1"/>
  <c r="Y1846" i="1"/>
  <c r="AE1847" i="1"/>
  <c r="Y1847" i="1"/>
  <c r="AE1848" i="1"/>
  <c r="Y1848" i="1"/>
  <c r="AE1849" i="1"/>
  <c r="Y1849" i="1"/>
  <c r="AE1850" i="1"/>
  <c r="Y1850" i="1"/>
  <c r="AE1851" i="1"/>
  <c r="Y1851" i="1"/>
  <c r="AE1852" i="1"/>
  <c r="Y1852" i="1"/>
  <c r="AE1853" i="1"/>
  <c r="Y1853" i="1"/>
  <c r="AE1854" i="1"/>
  <c r="Y1854" i="1"/>
  <c r="AE1855" i="1"/>
  <c r="Y1855" i="1"/>
  <c r="AE1856" i="1"/>
  <c r="Y1856" i="1"/>
  <c r="AE1857" i="1"/>
  <c r="Y1857" i="1"/>
  <c r="AE1858" i="1"/>
  <c r="Y1858" i="1"/>
  <c r="AE1859" i="1"/>
  <c r="Y1859" i="1"/>
  <c r="AE1860" i="1"/>
  <c r="Y1860" i="1"/>
  <c r="AE1861" i="1"/>
  <c r="Y1861" i="1"/>
  <c r="AE1862" i="1"/>
  <c r="Y1862" i="1"/>
  <c r="AE1863" i="1"/>
  <c r="Y1863" i="1"/>
  <c r="AE1864" i="1"/>
  <c r="Y1864" i="1"/>
  <c r="AE1865" i="1"/>
  <c r="Y1865" i="1"/>
  <c r="AE1866" i="1"/>
  <c r="Y1866" i="1"/>
  <c r="AE1867" i="1"/>
  <c r="Y1867" i="1"/>
  <c r="AE1868" i="1"/>
  <c r="Y1868" i="1"/>
  <c r="AE1869" i="1"/>
  <c r="Y1869" i="1"/>
  <c r="AE1870" i="1"/>
  <c r="Y1870" i="1"/>
  <c r="AE1871" i="1"/>
  <c r="Y1871" i="1"/>
  <c r="AE1872" i="1"/>
  <c r="Y1872" i="1"/>
  <c r="AE1873" i="1"/>
  <c r="Y1873" i="1"/>
  <c r="AE1874" i="1"/>
  <c r="Y1874" i="1"/>
  <c r="AE1875" i="1"/>
  <c r="Y1875" i="1"/>
  <c r="AE1876" i="1"/>
  <c r="Y1876" i="1"/>
  <c r="AE1877" i="1"/>
  <c r="Y1877" i="1"/>
  <c r="AE1878" i="1"/>
  <c r="Y1878" i="1"/>
  <c r="AE1879" i="1"/>
  <c r="Y1879" i="1"/>
  <c r="AE1880" i="1"/>
  <c r="Y1880" i="1"/>
  <c r="AE1881" i="1"/>
  <c r="Y1881" i="1"/>
  <c r="AE1882" i="1"/>
  <c r="Y1882" i="1"/>
  <c r="AE1883" i="1"/>
  <c r="Y1883" i="1"/>
  <c r="AE1884" i="1"/>
  <c r="Y1884" i="1"/>
  <c r="AE1885" i="1"/>
  <c r="Y1885" i="1"/>
  <c r="AE1886" i="1"/>
  <c r="Y1886" i="1"/>
  <c r="AE1887" i="1"/>
  <c r="Y1887" i="1"/>
  <c r="AE1888" i="1"/>
  <c r="Y1888" i="1"/>
  <c r="AE1889" i="1"/>
  <c r="Y1889" i="1"/>
  <c r="AE1890" i="1"/>
  <c r="Y1890" i="1"/>
  <c r="AE1891" i="1"/>
  <c r="Y1891" i="1"/>
  <c r="AE1892" i="1"/>
  <c r="Y1892" i="1"/>
  <c r="AE1893" i="1"/>
  <c r="Y1893" i="1"/>
  <c r="AE1894" i="1"/>
  <c r="Y1894" i="1"/>
  <c r="AE1895" i="1"/>
  <c r="Y1895" i="1"/>
  <c r="AE1896" i="1"/>
  <c r="Y1896" i="1"/>
  <c r="AE1897" i="1"/>
  <c r="Y1897" i="1"/>
  <c r="AE1898" i="1"/>
  <c r="Y1898" i="1"/>
  <c r="AE1899" i="1"/>
  <c r="Y1899" i="1"/>
  <c r="AE1900" i="1"/>
  <c r="Y1900" i="1"/>
  <c r="AE1901" i="1"/>
  <c r="Y1901" i="1"/>
  <c r="AE1902" i="1"/>
  <c r="Y1902" i="1"/>
  <c r="AE1903" i="1"/>
  <c r="Y1903" i="1"/>
  <c r="AE1904" i="1"/>
  <c r="Y1904" i="1"/>
  <c r="AE1905" i="1"/>
  <c r="Y1905" i="1"/>
  <c r="AE1906" i="1"/>
  <c r="Y1906" i="1"/>
  <c r="AE1907" i="1"/>
  <c r="Y1907" i="1"/>
  <c r="AE1908" i="1"/>
  <c r="Y1908" i="1"/>
  <c r="AE1909" i="1"/>
  <c r="Y1909" i="1"/>
  <c r="AE1910" i="1"/>
  <c r="Y1910" i="1"/>
  <c r="AE1911" i="1"/>
  <c r="Y1911" i="1"/>
  <c r="AE1912" i="1"/>
  <c r="Y1912" i="1"/>
  <c r="AE1913" i="1"/>
  <c r="Y1913" i="1"/>
  <c r="AE1914" i="1"/>
  <c r="Y1914" i="1"/>
  <c r="AE1915" i="1"/>
  <c r="Y1915" i="1"/>
  <c r="AE1916" i="1"/>
  <c r="Y1916" i="1"/>
  <c r="AE1917" i="1"/>
  <c r="Y1917" i="1"/>
  <c r="AE1918" i="1"/>
  <c r="Y1918" i="1"/>
  <c r="AE1919" i="1"/>
  <c r="Y1919" i="1"/>
  <c r="AE1920" i="1"/>
  <c r="Y1920" i="1"/>
  <c r="AE1921" i="1"/>
  <c r="Y1921" i="1"/>
  <c r="AE1922" i="1"/>
  <c r="Y1922" i="1"/>
  <c r="AE1923" i="1"/>
  <c r="Y1923" i="1"/>
  <c r="AE1924" i="1"/>
  <c r="Y1924" i="1"/>
  <c r="AE1925" i="1"/>
  <c r="Y1925" i="1"/>
  <c r="AE1926" i="1"/>
  <c r="Y1926" i="1"/>
  <c r="AE1927" i="1"/>
  <c r="Y1927" i="1"/>
  <c r="AE1928" i="1"/>
  <c r="Y1928" i="1"/>
  <c r="AE1929" i="1"/>
  <c r="Y1929" i="1"/>
  <c r="AE1930" i="1"/>
  <c r="Y1930" i="1"/>
  <c r="AE1931" i="1"/>
  <c r="Y1931" i="1"/>
  <c r="AE1932" i="1"/>
  <c r="Y1932" i="1"/>
  <c r="AE1933" i="1"/>
  <c r="Y1933" i="1"/>
  <c r="AE1934" i="1"/>
  <c r="Y1934" i="1"/>
  <c r="AE1935" i="1"/>
  <c r="Y1935" i="1"/>
  <c r="AE1936" i="1"/>
  <c r="Y1936" i="1"/>
  <c r="AE1937" i="1"/>
  <c r="Y1937" i="1"/>
  <c r="AE1938" i="1"/>
  <c r="Y1938" i="1"/>
  <c r="AE1939" i="1"/>
  <c r="Y1939" i="1"/>
  <c r="AE1940" i="1"/>
  <c r="Y1940" i="1"/>
  <c r="AE1941" i="1"/>
  <c r="Y1941" i="1"/>
  <c r="AE1942" i="1"/>
  <c r="Y1942" i="1"/>
  <c r="AE1943" i="1"/>
  <c r="Y1943" i="1"/>
  <c r="AE1944" i="1"/>
  <c r="Y1944" i="1"/>
  <c r="AE1945" i="1"/>
  <c r="Y1945" i="1"/>
  <c r="AE1946" i="1"/>
  <c r="Y1946" i="1"/>
  <c r="AE1947" i="1"/>
  <c r="Y1947" i="1"/>
  <c r="AE1948" i="1"/>
  <c r="Y1948" i="1"/>
  <c r="AE1949" i="1"/>
  <c r="Y1949" i="1"/>
  <c r="AE1950" i="1"/>
  <c r="Y1950" i="1"/>
  <c r="AE1951" i="1"/>
  <c r="Y1951" i="1"/>
  <c r="AE1952" i="1"/>
  <c r="Y1952" i="1"/>
  <c r="AE1953" i="1"/>
  <c r="Y1953" i="1"/>
  <c r="AE1954" i="1"/>
  <c r="Y1954" i="1"/>
  <c r="AE1955" i="1"/>
  <c r="Y1955" i="1"/>
  <c r="AE1956" i="1"/>
  <c r="Y1956" i="1"/>
  <c r="AE1957" i="1"/>
  <c r="Y1957" i="1"/>
  <c r="AE1958" i="1"/>
  <c r="Y1958" i="1"/>
  <c r="AE1959" i="1"/>
  <c r="Y1959" i="1"/>
  <c r="AE1960" i="1"/>
  <c r="Y1960" i="1"/>
  <c r="AE1961" i="1"/>
  <c r="Y1961" i="1"/>
  <c r="AE1962" i="1"/>
  <c r="Y1962" i="1"/>
  <c r="AE1963" i="1"/>
  <c r="Y1963" i="1"/>
  <c r="AE1964" i="1"/>
  <c r="Y1964" i="1"/>
  <c r="AE1965" i="1"/>
  <c r="Y1965" i="1"/>
  <c r="AE1966" i="1"/>
  <c r="Y1966" i="1"/>
  <c r="AE1967" i="1"/>
  <c r="Y1967" i="1"/>
  <c r="AE1968" i="1"/>
  <c r="Y1968" i="1"/>
  <c r="AE1969" i="1"/>
  <c r="Y1969" i="1"/>
  <c r="AE1970" i="1"/>
  <c r="Y1970" i="1"/>
  <c r="AE1971" i="1"/>
  <c r="Y1971" i="1"/>
  <c r="AE1972" i="1"/>
  <c r="Y1972" i="1"/>
  <c r="AE1973" i="1"/>
  <c r="Y1973" i="1"/>
  <c r="AE1974" i="1"/>
  <c r="Y1974" i="1"/>
  <c r="AE1975" i="1"/>
  <c r="Y1975" i="1"/>
  <c r="AE1976" i="1"/>
  <c r="Y1976" i="1"/>
  <c r="AE1977" i="1"/>
  <c r="Y1977" i="1"/>
  <c r="AE1978" i="1"/>
  <c r="Y1978" i="1"/>
  <c r="AE1979" i="1"/>
  <c r="Y1979" i="1"/>
  <c r="AE1980" i="1"/>
  <c r="Y1980" i="1"/>
  <c r="AE1981" i="1"/>
  <c r="Y1981" i="1"/>
  <c r="AE1982" i="1"/>
  <c r="Y1982" i="1"/>
  <c r="AE1983" i="1"/>
  <c r="Y1983" i="1"/>
  <c r="AE1984" i="1"/>
  <c r="Y1984" i="1"/>
  <c r="AE1985" i="1"/>
  <c r="Y1985" i="1"/>
  <c r="AE1986" i="1"/>
  <c r="Y1986" i="1"/>
  <c r="AE1987" i="1"/>
  <c r="Y1987" i="1"/>
  <c r="AE1988" i="1"/>
  <c r="Y1988" i="1"/>
  <c r="AE1989" i="1"/>
  <c r="Y1989" i="1"/>
  <c r="AE1990" i="1"/>
  <c r="Y1990" i="1"/>
  <c r="AE1991" i="1"/>
  <c r="Y1991" i="1"/>
  <c r="AE1992" i="1"/>
  <c r="Y1992" i="1"/>
  <c r="AE1993" i="1"/>
  <c r="Y1993" i="1"/>
  <c r="AE1994" i="1"/>
  <c r="Y1994" i="1"/>
  <c r="AE1995" i="1"/>
  <c r="Y1995" i="1"/>
  <c r="AE1996" i="1"/>
  <c r="Y1996" i="1"/>
  <c r="AE1997" i="1"/>
  <c r="Y1997" i="1"/>
  <c r="AE1998" i="1"/>
  <c r="Y1998" i="1"/>
  <c r="AE1999" i="1"/>
  <c r="Y1999" i="1"/>
  <c r="AE2000" i="1"/>
  <c r="Y2000" i="1"/>
  <c r="AE2001" i="1"/>
  <c r="Y2001" i="1"/>
  <c r="AE2002" i="1"/>
  <c r="Y2002" i="1"/>
  <c r="AE2003" i="1"/>
  <c r="Y2003" i="1"/>
  <c r="AE2004" i="1"/>
  <c r="Y2004" i="1"/>
  <c r="AE2005" i="1"/>
  <c r="Y2005" i="1"/>
  <c r="AE2006" i="1"/>
  <c r="Y2006" i="1"/>
  <c r="AE2007" i="1"/>
  <c r="Y2007" i="1"/>
  <c r="AE2008" i="1"/>
  <c r="Y2008" i="1"/>
  <c r="AE2009" i="1"/>
  <c r="Y2009" i="1"/>
  <c r="AE2010" i="1"/>
  <c r="Y2010" i="1"/>
  <c r="AE2011" i="1"/>
  <c r="Y2011" i="1"/>
  <c r="AE2012" i="1"/>
  <c r="Y2012" i="1"/>
  <c r="AE2013" i="1"/>
  <c r="Y2013" i="1"/>
  <c r="AE2014" i="1"/>
  <c r="Y2014" i="1"/>
  <c r="AE2015" i="1"/>
  <c r="Y2015" i="1"/>
  <c r="AE2016" i="1"/>
  <c r="Y2016" i="1"/>
  <c r="AE2017" i="1"/>
  <c r="Y2017" i="1"/>
  <c r="AE2018" i="1"/>
  <c r="Y2018" i="1"/>
  <c r="AE2019" i="1"/>
  <c r="Y2019" i="1"/>
  <c r="AE2020" i="1"/>
  <c r="Y2020" i="1"/>
  <c r="AE2021" i="1"/>
  <c r="Y2021" i="1"/>
  <c r="AE2022" i="1"/>
  <c r="Y2022" i="1"/>
  <c r="AE2023" i="1"/>
  <c r="Y2023" i="1"/>
  <c r="AE2024" i="1"/>
  <c r="Y2024" i="1"/>
  <c r="AE2025" i="1"/>
  <c r="Y2025" i="1"/>
  <c r="AE2026" i="1"/>
  <c r="Y2026" i="1"/>
  <c r="AE2027" i="1"/>
  <c r="Y2027" i="1"/>
  <c r="AE2028" i="1"/>
  <c r="Y2028" i="1"/>
  <c r="AE2029" i="1"/>
  <c r="Y2029" i="1"/>
  <c r="AE2030" i="1"/>
  <c r="Y2030" i="1"/>
  <c r="AE2031" i="1"/>
  <c r="Y2031" i="1"/>
  <c r="AE2032" i="1"/>
  <c r="Y2032" i="1"/>
  <c r="AE2033" i="1"/>
  <c r="Y2033" i="1"/>
  <c r="AE2034" i="1"/>
  <c r="Y2034" i="1"/>
  <c r="AE2035" i="1"/>
  <c r="Y2035" i="1"/>
  <c r="AE2036" i="1"/>
  <c r="Y2036" i="1"/>
  <c r="AE2037" i="1"/>
  <c r="Y2037" i="1"/>
  <c r="AE2038" i="1"/>
  <c r="Y2038" i="1"/>
  <c r="AE2039" i="1"/>
  <c r="Y2039" i="1"/>
  <c r="AE2040" i="1"/>
  <c r="Y2040" i="1"/>
  <c r="AE2041" i="1"/>
  <c r="Y2041" i="1"/>
  <c r="AE2042" i="1"/>
  <c r="Y2042" i="1"/>
  <c r="AE2043" i="1"/>
  <c r="Y2043" i="1"/>
  <c r="AE2044" i="1"/>
  <c r="Y2044" i="1"/>
  <c r="AE2045" i="1"/>
  <c r="Y2045" i="1"/>
  <c r="AE2046" i="1"/>
  <c r="Y2046" i="1"/>
  <c r="AE2047" i="1"/>
  <c r="Y2047" i="1"/>
  <c r="AE2048" i="1"/>
  <c r="Y2048" i="1"/>
  <c r="AE2049" i="1"/>
  <c r="Y2049" i="1"/>
  <c r="AE2050" i="1"/>
  <c r="Y2050" i="1"/>
  <c r="AE2051" i="1"/>
  <c r="Y2051" i="1"/>
  <c r="AE2052" i="1"/>
  <c r="Y2052" i="1"/>
  <c r="AE2053" i="1"/>
  <c r="Y2053" i="1"/>
  <c r="AE2054" i="1"/>
  <c r="Y2054" i="1"/>
  <c r="AE2055" i="1"/>
  <c r="Y2055" i="1"/>
  <c r="AE2056" i="1"/>
  <c r="Y2056" i="1"/>
  <c r="AE2057" i="1"/>
  <c r="Y2057" i="1"/>
  <c r="AE2058" i="1"/>
  <c r="Y2058" i="1"/>
  <c r="AE2059" i="1"/>
  <c r="Y2059" i="1"/>
  <c r="AE2060" i="1"/>
  <c r="Y2060" i="1"/>
  <c r="AE2061" i="1"/>
  <c r="Y2061" i="1"/>
  <c r="AE2062" i="1"/>
  <c r="Y2062" i="1"/>
  <c r="AE2063" i="1"/>
  <c r="Y2063" i="1"/>
  <c r="AE2064" i="1"/>
  <c r="Y2064" i="1"/>
  <c r="AE2065" i="1"/>
  <c r="Y2065" i="1"/>
  <c r="AE2066" i="1"/>
  <c r="Y2066" i="1"/>
  <c r="AE2067" i="1"/>
  <c r="Y2067" i="1"/>
  <c r="AE2068" i="1"/>
  <c r="Y2068" i="1"/>
  <c r="AE2069" i="1"/>
  <c r="Y2069" i="1"/>
  <c r="AE2070" i="1"/>
  <c r="Y2070" i="1"/>
  <c r="AE2071" i="1"/>
  <c r="Y2071" i="1"/>
  <c r="AE2072" i="1"/>
  <c r="Y2072" i="1"/>
  <c r="AE2073" i="1"/>
  <c r="Y2073" i="1"/>
  <c r="AE2074" i="1"/>
  <c r="Y2074" i="1"/>
  <c r="AE2075" i="1"/>
  <c r="Y2075" i="1"/>
  <c r="AE2076" i="1"/>
  <c r="Y2076" i="1"/>
  <c r="AE2077" i="1"/>
  <c r="Y2077" i="1"/>
  <c r="AE2078" i="1"/>
  <c r="Y2078" i="1"/>
  <c r="AE2079" i="1"/>
  <c r="Y2079" i="1"/>
  <c r="AE2080" i="1"/>
  <c r="Y2080" i="1"/>
  <c r="AE2081" i="1"/>
  <c r="Y2081" i="1"/>
  <c r="AE2082" i="1"/>
  <c r="Y2082" i="1"/>
  <c r="AE2083" i="1"/>
  <c r="Y2083" i="1"/>
  <c r="AE2084" i="1"/>
  <c r="Y2084" i="1"/>
  <c r="AE2085" i="1"/>
  <c r="Y2085" i="1"/>
  <c r="AE2086" i="1"/>
  <c r="Y2086" i="1"/>
  <c r="AE2087" i="1"/>
  <c r="Y2087" i="1"/>
  <c r="AE2088" i="1"/>
  <c r="Y2088" i="1"/>
  <c r="AE2089" i="1"/>
  <c r="Y2089" i="1"/>
  <c r="AE2090" i="1"/>
  <c r="Y2090" i="1"/>
  <c r="AE2091" i="1"/>
  <c r="Y2091" i="1"/>
  <c r="AE2092" i="1"/>
  <c r="Y2092" i="1"/>
  <c r="AE2093" i="1"/>
  <c r="Y2093" i="1"/>
  <c r="AE2094" i="1"/>
  <c r="Y2094" i="1"/>
  <c r="AE2095" i="1"/>
  <c r="Y2095" i="1"/>
  <c r="AE2096" i="1"/>
  <c r="Y2096" i="1"/>
  <c r="AE2097" i="1"/>
  <c r="Y2097" i="1"/>
  <c r="AE2098" i="1"/>
  <c r="Y2098" i="1"/>
  <c r="AE2099" i="1"/>
  <c r="Y2099" i="1"/>
  <c r="AE2100" i="1"/>
  <c r="Y2100" i="1"/>
  <c r="AE2101" i="1"/>
  <c r="Y2101" i="1"/>
  <c r="AE2102" i="1"/>
  <c r="Y2102" i="1"/>
  <c r="AE2103" i="1"/>
  <c r="Y2103" i="1"/>
  <c r="AE2104" i="1"/>
  <c r="Y2104" i="1"/>
  <c r="AE2105" i="1"/>
  <c r="Y2105" i="1"/>
  <c r="AE2106" i="1"/>
  <c r="Y2106" i="1"/>
  <c r="AE2107" i="1"/>
  <c r="Y2107" i="1"/>
  <c r="AE2108" i="1"/>
  <c r="Y2108" i="1"/>
  <c r="AE2109" i="1"/>
  <c r="Y2109" i="1"/>
  <c r="AE2110" i="1"/>
  <c r="Y2110" i="1"/>
  <c r="AE2111" i="1"/>
  <c r="Y2111" i="1"/>
  <c r="AE2112" i="1"/>
  <c r="Y2112" i="1"/>
  <c r="AE2113" i="1"/>
  <c r="Y2113" i="1"/>
  <c r="AE2114" i="1"/>
  <c r="Y2114" i="1"/>
  <c r="AE2115" i="1"/>
  <c r="Y2115" i="1"/>
  <c r="AE2116" i="1"/>
  <c r="Y2116" i="1"/>
  <c r="AE2117" i="1"/>
  <c r="Y2117" i="1"/>
  <c r="AE2118" i="1"/>
  <c r="Y2118" i="1"/>
  <c r="AE2119" i="1"/>
  <c r="Y2119" i="1"/>
  <c r="AE2120" i="1"/>
  <c r="Y2120" i="1"/>
  <c r="AE2121" i="1"/>
  <c r="Y2121" i="1"/>
  <c r="AE2122" i="1"/>
  <c r="Y2122" i="1"/>
  <c r="AE2123" i="1"/>
  <c r="Y2123" i="1"/>
  <c r="AE2124" i="1"/>
  <c r="Y2124" i="1"/>
  <c r="AE2125" i="1"/>
  <c r="Y2125" i="1"/>
  <c r="AE2126" i="1"/>
  <c r="Y2126" i="1"/>
  <c r="AE2127" i="1"/>
  <c r="Y2127" i="1"/>
  <c r="AE2128" i="1"/>
  <c r="Y2128" i="1"/>
  <c r="AE2129" i="1"/>
  <c r="Y2129" i="1"/>
  <c r="AE2130" i="1"/>
  <c r="Y2130" i="1"/>
  <c r="AE2131" i="1"/>
  <c r="Y2131" i="1"/>
  <c r="AE2132" i="1"/>
  <c r="Y2132" i="1"/>
  <c r="AE2133" i="1"/>
  <c r="Y2133" i="1"/>
  <c r="AE2134" i="1"/>
  <c r="Y2134" i="1"/>
  <c r="AE2135" i="1"/>
  <c r="Y2135" i="1"/>
  <c r="AE2136" i="1"/>
  <c r="Y2136" i="1"/>
  <c r="AE2137" i="1"/>
  <c r="Y2137" i="1"/>
  <c r="AE2138" i="1"/>
  <c r="Y2138" i="1"/>
  <c r="AE2139" i="1"/>
  <c r="Y2139" i="1"/>
  <c r="AE2140" i="1"/>
  <c r="Y2140" i="1"/>
  <c r="AE2141" i="1"/>
  <c r="Y2141" i="1"/>
  <c r="AE2142" i="1"/>
  <c r="Y2142" i="1"/>
  <c r="AE2143" i="1"/>
  <c r="Y2143" i="1"/>
  <c r="AE2144" i="1"/>
  <c r="Y2144" i="1"/>
  <c r="AE2145" i="1"/>
  <c r="Y2145" i="1"/>
  <c r="AE2146" i="1"/>
  <c r="Y2146" i="1"/>
  <c r="AE2147" i="1"/>
  <c r="Y2147" i="1"/>
  <c r="AE2148" i="1"/>
  <c r="Y2148" i="1"/>
  <c r="AE2149" i="1"/>
  <c r="Y2149" i="1"/>
  <c r="AE2150" i="1"/>
  <c r="Y2150" i="1"/>
  <c r="AE2151" i="1"/>
  <c r="Y2151" i="1"/>
  <c r="AE2152" i="1"/>
  <c r="Y2152" i="1"/>
  <c r="AE2153" i="1"/>
  <c r="Y2153" i="1"/>
  <c r="AE2154" i="1"/>
  <c r="Y2154" i="1"/>
  <c r="AE2155" i="1"/>
  <c r="Y2155" i="1"/>
  <c r="AE2156" i="1"/>
  <c r="Y2156" i="1"/>
  <c r="AE2157" i="1"/>
  <c r="Y2157" i="1"/>
  <c r="AE2158" i="1"/>
  <c r="Y2158" i="1"/>
  <c r="AE2159" i="1"/>
  <c r="Y2159" i="1"/>
  <c r="AE2160" i="1"/>
  <c r="Y2160" i="1"/>
  <c r="AE2161" i="1"/>
  <c r="Y2161" i="1"/>
  <c r="AE2162" i="1"/>
  <c r="Y2162" i="1"/>
  <c r="AE2163" i="1"/>
  <c r="Y2163" i="1"/>
  <c r="AE2164" i="1"/>
  <c r="Y2164" i="1"/>
  <c r="AE2165" i="1"/>
  <c r="Y2165" i="1"/>
  <c r="AE2166" i="1"/>
  <c r="Y2166" i="1"/>
  <c r="AE2167" i="1"/>
  <c r="Y2167" i="1"/>
  <c r="AE2168" i="1"/>
  <c r="Y2168" i="1"/>
  <c r="AE2169" i="1"/>
  <c r="Y2169" i="1"/>
  <c r="AE2170" i="1"/>
  <c r="Y2170" i="1"/>
  <c r="AE2171" i="1"/>
  <c r="Y2171" i="1"/>
  <c r="AE2172" i="1"/>
  <c r="Y2172" i="1"/>
  <c r="AE2173" i="1"/>
  <c r="Y2173" i="1"/>
  <c r="AE2174" i="1"/>
  <c r="Y2174" i="1"/>
  <c r="AE2175" i="1"/>
  <c r="Y2175" i="1"/>
  <c r="AE2176" i="1"/>
  <c r="Y2176" i="1"/>
  <c r="AE2177" i="1"/>
  <c r="Y2177" i="1"/>
  <c r="AE2178" i="1"/>
  <c r="Y2178" i="1"/>
  <c r="AE2179" i="1"/>
  <c r="Y2179" i="1"/>
  <c r="AE2180" i="1"/>
  <c r="Y2180" i="1"/>
  <c r="AE2181" i="1"/>
  <c r="Y2181" i="1"/>
  <c r="AE2182" i="1"/>
  <c r="Y2182" i="1"/>
  <c r="AE2183" i="1"/>
  <c r="Y2183" i="1"/>
  <c r="AE2184" i="1"/>
  <c r="Y2184" i="1"/>
  <c r="AE2185" i="1"/>
  <c r="Y2185" i="1"/>
  <c r="AE2186" i="1"/>
  <c r="Y2186" i="1"/>
  <c r="AE2187" i="1"/>
  <c r="Y2187" i="1"/>
  <c r="AE2188" i="1"/>
  <c r="Y2188" i="1"/>
  <c r="AE2189" i="1"/>
  <c r="Y2189" i="1"/>
  <c r="AE2190" i="1"/>
  <c r="Y2190" i="1"/>
  <c r="AE2191" i="1"/>
  <c r="Y2191" i="1"/>
  <c r="AE2192" i="1"/>
  <c r="Y2192" i="1"/>
  <c r="AE2193" i="1"/>
  <c r="Y2193" i="1"/>
  <c r="AE2194" i="1"/>
  <c r="Y2194" i="1"/>
  <c r="AE2195" i="1"/>
  <c r="Y2195" i="1"/>
  <c r="AE2196" i="1"/>
  <c r="Y2196" i="1"/>
  <c r="AE2197" i="1"/>
  <c r="Y2197" i="1"/>
  <c r="AE2198" i="1"/>
  <c r="Y2198" i="1"/>
  <c r="AE2199" i="1"/>
  <c r="Y2199" i="1"/>
  <c r="AE2200" i="1"/>
  <c r="Y2200" i="1"/>
  <c r="AE2201" i="1"/>
  <c r="Y2201" i="1"/>
  <c r="AE2202" i="1"/>
  <c r="Y2202" i="1"/>
  <c r="AE2203" i="1"/>
  <c r="Y2203" i="1"/>
  <c r="AE2204" i="1"/>
  <c r="Y2204" i="1"/>
  <c r="AE2205" i="1"/>
  <c r="Y2205" i="1"/>
  <c r="AE2206" i="1"/>
  <c r="Y2206" i="1"/>
  <c r="AE2207" i="1"/>
  <c r="Y2207" i="1"/>
  <c r="AE2208" i="1"/>
  <c r="Y2208" i="1"/>
  <c r="AE2209" i="1"/>
  <c r="Y2209" i="1"/>
  <c r="AE2210" i="1"/>
  <c r="Y2210" i="1"/>
  <c r="AE2211" i="1"/>
  <c r="Y2211" i="1"/>
  <c r="AE2212" i="1"/>
  <c r="Y2212" i="1"/>
  <c r="AE2213" i="1"/>
  <c r="Y2213" i="1"/>
  <c r="AE2214" i="1"/>
  <c r="Y2214" i="1"/>
  <c r="AE2215" i="1"/>
  <c r="Y2215" i="1"/>
  <c r="AE2216" i="1"/>
  <c r="Y2216" i="1"/>
  <c r="AE2217" i="1"/>
  <c r="Y2217" i="1"/>
  <c r="AE2218" i="1"/>
  <c r="Y2218" i="1"/>
  <c r="AE2219" i="1"/>
  <c r="Y2219" i="1"/>
  <c r="AE2220" i="1"/>
  <c r="Y2220" i="1"/>
  <c r="AE2221" i="1"/>
  <c r="Y2221" i="1"/>
  <c r="AE2222" i="1"/>
  <c r="Y2222" i="1"/>
  <c r="AE2223" i="1"/>
  <c r="Y2223" i="1"/>
  <c r="AE2224" i="1"/>
  <c r="Y2224" i="1"/>
  <c r="AE2225" i="1"/>
  <c r="Y2225" i="1"/>
  <c r="AE2226" i="1"/>
  <c r="Y2226" i="1"/>
  <c r="AE2227" i="1"/>
  <c r="Y2227" i="1"/>
  <c r="AE2228" i="1"/>
  <c r="Y2228" i="1"/>
  <c r="AE2229" i="1"/>
  <c r="Y2229" i="1"/>
  <c r="AE2230" i="1"/>
  <c r="Y2230" i="1"/>
  <c r="AE2231" i="1"/>
  <c r="Y2231" i="1"/>
  <c r="AE2232" i="1"/>
  <c r="Y2232" i="1"/>
  <c r="AE2233" i="1"/>
  <c r="Y2233" i="1"/>
  <c r="AE2234" i="1"/>
  <c r="Y2234" i="1"/>
  <c r="AE2235" i="1"/>
  <c r="Y2235" i="1"/>
  <c r="AE2236" i="1"/>
  <c r="Y2236" i="1"/>
  <c r="AE2237" i="1"/>
  <c r="Y2237" i="1"/>
  <c r="AE2238" i="1"/>
  <c r="Y2238" i="1"/>
  <c r="AE2239" i="1"/>
  <c r="Y2239" i="1"/>
  <c r="AE2240" i="1"/>
  <c r="Y2240" i="1"/>
  <c r="AE2241" i="1"/>
  <c r="Y2241" i="1"/>
  <c r="AE2242" i="1"/>
  <c r="Y2242" i="1"/>
  <c r="AE2243" i="1"/>
  <c r="Y2243" i="1"/>
  <c r="AE2244" i="1"/>
  <c r="Y2244" i="1"/>
  <c r="AE2245" i="1"/>
  <c r="Y2245" i="1"/>
  <c r="AE2246" i="1"/>
  <c r="Y2246" i="1"/>
  <c r="AE2247" i="1"/>
  <c r="Y2247" i="1"/>
  <c r="AE2248" i="1"/>
  <c r="Y2248" i="1"/>
  <c r="AE2249" i="1"/>
  <c r="Y2249" i="1"/>
  <c r="AE2250" i="1"/>
  <c r="Y2250" i="1"/>
  <c r="AE2251" i="1"/>
  <c r="Y2251" i="1"/>
  <c r="AE2252" i="1"/>
  <c r="Y2252" i="1"/>
  <c r="AE2253" i="1"/>
  <c r="Y2253" i="1"/>
  <c r="AE2254" i="1"/>
  <c r="Y2254" i="1"/>
  <c r="AE2255" i="1"/>
  <c r="Y2255" i="1"/>
  <c r="AE2256" i="1"/>
  <c r="Y2256" i="1"/>
  <c r="AE2257" i="1"/>
  <c r="Y2257" i="1"/>
  <c r="AE2258" i="1"/>
  <c r="Y2258" i="1"/>
  <c r="AE2259" i="1"/>
  <c r="Y2259" i="1"/>
  <c r="AE2260" i="1"/>
  <c r="Y2260" i="1"/>
  <c r="AE2261" i="1"/>
  <c r="Y2261" i="1"/>
  <c r="AE2262" i="1"/>
  <c r="Y2262" i="1"/>
  <c r="AE2263" i="1"/>
  <c r="Y2263" i="1"/>
  <c r="AE2264" i="1"/>
  <c r="Y2264" i="1"/>
  <c r="AE2265" i="1"/>
  <c r="Y2265" i="1"/>
  <c r="AE2266" i="1"/>
  <c r="Y2266" i="1"/>
  <c r="AE2267" i="1"/>
  <c r="Y2267" i="1"/>
  <c r="AE2268" i="1"/>
  <c r="Y2268" i="1"/>
  <c r="AE2269" i="1"/>
  <c r="Y2269" i="1"/>
  <c r="AE2270" i="1"/>
  <c r="Y2270" i="1"/>
  <c r="AE2271" i="1"/>
  <c r="Y2271" i="1"/>
  <c r="AE2272" i="1"/>
  <c r="Y2272" i="1"/>
  <c r="AE2273" i="1"/>
  <c r="Y2273" i="1"/>
  <c r="AE2274" i="1"/>
  <c r="Y2274" i="1"/>
  <c r="AE2275" i="1"/>
  <c r="Y2275" i="1"/>
  <c r="AE2276" i="1"/>
  <c r="Y2276" i="1"/>
  <c r="AE2277" i="1"/>
  <c r="Y2277" i="1"/>
  <c r="AE2278" i="1"/>
  <c r="Y2278" i="1"/>
  <c r="AE2279" i="1"/>
  <c r="Y2279" i="1"/>
  <c r="AE2280" i="1"/>
  <c r="Y2280" i="1"/>
  <c r="AE2281" i="1"/>
  <c r="Y2281" i="1"/>
  <c r="AE2282" i="1"/>
  <c r="Y2282" i="1"/>
  <c r="AE2283" i="1"/>
  <c r="Y2283" i="1"/>
  <c r="AE2284" i="1"/>
  <c r="Y2284" i="1"/>
  <c r="AE2285" i="1"/>
  <c r="Y2285" i="1"/>
  <c r="AE2286" i="1"/>
  <c r="Y2286" i="1"/>
  <c r="AE2287" i="1"/>
  <c r="Y2287" i="1"/>
  <c r="AE2288" i="1"/>
  <c r="Y2288" i="1"/>
  <c r="AE2289" i="1"/>
  <c r="Y2289" i="1"/>
  <c r="AE2290" i="1"/>
  <c r="Y2290" i="1"/>
  <c r="AE2291" i="1"/>
  <c r="Y2291" i="1"/>
  <c r="AE2292" i="1"/>
  <c r="Y2292" i="1"/>
  <c r="AE2293" i="1"/>
  <c r="Y2293" i="1"/>
  <c r="AE2294" i="1"/>
  <c r="Y2294" i="1"/>
  <c r="AE2295" i="1"/>
  <c r="Y2295" i="1"/>
  <c r="AE2296" i="1"/>
  <c r="Y2296" i="1"/>
  <c r="AE2297" i="1"/>
  <c r="Y2297" i="1"/>
  <c r="AE2298" i="1"/>
  <c r="Y2298" i="1"/>
  <c r="AE2299" i="1"/>
  <c r="Y2299" i="1"/>
  <c r="AE2300" i="1"/>
  <c r="Y2300" i="1"/>
  <c r="AE2301" i="1"/>
  <c r="Y2301" i="1"/>
  <c r="AE2302" i="1"/>
  <c r="Y2302" i="1"/>
  <c r="AE2303" i="1"/>
  <c r="Y2303" i="1"/>
  <c r="AE2304" i="1"/>
  <c r="Y2304" i="1"/>
  <c r="AE2305" i="1"/>
  <c r="Y2305" i="1"/>
  <c r="AE2306" i="1"/>
  <c r="Y2306" i="1"/>
  <c r="AE2307" i="1"/>
  <c r="Y2307" i="1"/>
  <c r="AE2308" i="1"/>
  <c r="Y2308" i="1"/>
  <c r="AE2309" i="1"/>
  <c r="Y2309" i="1"/>
  <c r="AE2310" i="1"/>
  <c r="Y2310" i="1"/>
  <c r="AE2311" i="1"/>
  <c r="Y2311" i="1"/>
  <c r="AE2312" i="1"/>
  <c r="Y2312" i="1"/>
  <c r="AE2313" i="1"/>
  <c r="Y2313" i="1"/>
  <c r="AE2314" i="1"/>
  <c r="Y2314" i="1"/>
  <c r="AE2315" i="1"/>
  <c r="Y2315" i="1"/>
  <c r="AE2316" i="1"/>
  <c r="Y2316" i="1"/>
  <c r="AE2317" i="1"/>
  <c r="Y2317" i="1"/>
  <c r="AE2318" i="1"/>
  <c r="Y2318" i="1"/>
  <c r="AE2319" i="1"/>
  <c r="Y2319" i="1"/>
  <c r="AE2320" i="1"/>
  <c r="Y2320" i="1"/>
  <c r="AE2321" i="1"/>
  <c r="Y2321" i="1"/>
  <c r="AE2322" i="1"/>
  <c r="Y2322" i="1"/>
  <c r="AE2323" i="1"/>
  <c r="Y2323" i="1"/>
  <c r="AE2324" i="1"/>
  <c r="Y2324" i="1"/>
  <c r="AE2325" i="1"/>
  <c r="Y2325" i="1"/>
  <c r="AE2326" i="1"/>
  <c r="Y2326" i="1"/>
  <c r="AE2327" i="1"/>
  <c r="Y2327" i="1"/>
  <c r="AE2328" i="1"/>
  <c r="Y2328" i="1"/>
  <c r="AE2329" i="1"/>
  <c r="Y2329" i="1"/>
  <c r="AE2330" i="1"/>
  <c r="Y2330" i="1"/>
  <c r="AE2331" i="1"/>
  <c r="Y2331" i="1"/>
  <c r="AE2332" i="1"/>
  <c r="Y2332" i="1"/>
  <c r="AE2333" i="1"/>
  <c r="Y2333" i="1"/>
  <c r="AE2334" i="1"/>
  <c r="Y2334" i="1"/>
  <c r="AE2335" i="1"/>
  <c r="Y2335" i="1"/>
  <c r="AE2336" i="1"/>
  <c r="Y2336" i="1"/>
  <c r="AE2337" i="1"/>
  <c r="Y2337" i="1"/>
  <c r="AE2338" i="1"/>
  <c r="Y2338" i="1"/>
  <c r="AE2339" i="1"/>
  <c r="Y2339" i="1"/>
  <c r="AE2340" i="1"/>
  <c r="Y2340" i="1"/>
  <c r="AE2341" i="1"/>
  <c r="Y2341" i="1"/>
  <c r="AE2342" i="1"/>
  <c r="Y2342" i="1"/>
  <c r="AE2343" i="1"/>
  <c r="Y2343" i="1"/>
  <c r="AE2344" i="1"/>
  <c r="Y2344" i="1"/>
  <c r="AE2345" i="1"/>
  <c r="Y2345" i="1"/>
  <c r="AE2346" i="1"/>
  <c r="Y2346" i="1"/>
  <c r="AE2347" i="1"/>
  <c r="Y2347" i="1"/>
  <c r="AE2348" i="1"/>
  <c r="Y2348" i="1"/>
  <c r="AE2349" i="1"/>
  <c r="Y2349" i="1"/>
  <c r="AE2350" i="1"/>
  <c r="Y2350" i="1"/>
  <c r="AE2351" i="1"/>
  <c r="Y2351" i="1"/>
  <c r="AE2352" i="1"/>
  <c r="Y2352" i="1"/>
  <c r="AE2353" i="1"/>
  <c r="Y2353" i="1"/>
  <c r="AE2354" i="1"/>
  <c r="Y2354" i="1"/>
  <c r="AE2355" i="1"/>
  <c r="Y2355" i="1"/>
  <c r="AE2356" i="1"/>
  <c r="Y2356" i="1"/>
  <c r="AE2357" i="1"/>
  <c r="Y2357" i="1"/>
  <c r="AE2358" i="1"/>
  <c r="Y2358" i="1"/>
  <c r="AE2359" i="1"/>
  <c r="Y2359" i="1"/>
  <c r="AE2360" i="1"/>
  <c r="Y2360" i="1"/>
  <c r="AE2361" i="1"/>
  <c r="Y2361" i="1"/>
  <c r="AE2362" i="1"/>
  <c r="Y2362" i="1"/>
  <c r="AE2363" i="1"/>
  <c r="Y2363" i="1"/>
  <c r="AE2364" i="1"/>
  <c r="Y2364" i="1"/>
  <c r="AE2365" i="1"/>
  <c r="Y2365" i="1"/>
  <c r="AE2366" i="1"/>
  <c r="Y2366" i="1"/>
  <c r="AE2367" i="1"/>
  <c r="Y2367" i="1"/>
  <c r="AE2368" i="1"/>
  <c r="Y2368" i="1"/>
  <c r="AE2369" i="1"/>
  <c r="Y2369" i="1"/>
  <c r="AE2370" i="1"/>
  <c r="Y2370" i="1"/>
  <c r="AE2371" i="1"/>
  <c r="Y2371" i="1"/>
  <c r="AE2372" i="1"/>
  <c r="Y2372" i="1"/>
  <c r="AE2373" i="1"/>
  <c r="Y2373" i="1"/>
  <c r="AE2374" i="1"/>
  <c r="Y2374" i="1"/>
  <c r="AE2375" i="1"/>
  <c r="Y2375" i="1"/>
  <c r="AE2376" i="1"/>
  <c r="Y2376" i="1"/>
  <c r="AE2377" i="1"/>
  <c r="Y2377" i="1"/>
  <c r="AE2378" i="1"/>
  <c r="Y2378" i="1"/>
  <c r="AE2379" i="1"/>
  <c r="Y2379" i="1"/>
  <c r="AE2380" i="1"/>
  <c r="Y2380" i="1"/>
  <c r="AE2381" i="1"/>
  <c r="Y2381" i="1"/>
  <c r="AE2382" i="1"/>
  <c r="Y2382" i="1"/>
  <c r="AE2383" i="1"/>
  <c r="Y2383" i="1"/>
  <c r="AE2384" i="1"/>
  <c r="Y2384" i="1"/>
  <c r="AE2385" i="1"/>
  <c r="Y2385" i="1"/>
  <c r="AE2386" i="1"/>
  <c r="Y2386" i="1"/>
  <c r="AE2387" i="1"/>
  <c r="Y2387" i="1"/>
  <c r="AE2388" i="1"/>
  <c r="Y2388" i="1"/>
  <c r="AE2389" i="1"/>
  <c r="Y2389" i="1"/>
  <c r="AE2390" i="1"/>
  <c r="Y2390" i="1"/>
  <c r="AE2391" i="1"/>
  <c r="Y2391" i="1"/>
  <c r="AE2392" i="1"/>
  <c r="Y2392" i="1"/>
  <c r="AE2393" i="1"/>
  <c r="Y2393" i="1"/>
  <c r="AE2394" i="1"/>
  <c r="Y2394" i="1"/>
  <c r="AE2395" i="1"/>
  <c r="Y2395" i="1"/>
  <c r="AE2396" i="1"/>
  <c r="Y2396" i="1"/>
  <c r="AE2397" i="1"/>
  <c r="Y2397" i="1"/>
  <c r="AE2398" i="1"/>
  <c r="Y2398" i="1"/>
  <c r="AE2399" i="1"/>
  <c r="Y2399" i="1"/>
  <c r="AE2400" i="1"/>
  <c r="Y2400" i="1"/>
  <c r="AE2401" i="1"/>
  <c r="Y2401" i="1"/>
  <c r="AE2402" i="1"/>
  <c r="Y2402" i="1"/>
  <c r="AE2403" i="1"/>
  <c r="Y2403" i="1"/>
  <c r="AE2404" i="1"/>
  <c r="Y2404" i="1"/>
  <c r="AE2405" i="1"/>
  <c r="Y2405" i="1"/>
  <c r="AE2406" i="1"/>
  <c r="Y2406" i="1"/>
  <c r="AE2407" i="1"/>
  <c r="Y2407" i="1"/>
  <c r="AE2408" i="1"/>
  <c r="Y2408" i="1"/>
  <c r="AE2409" i="1"/>
  <c r="Y2409" i="1"/>
  <c r="AE2410" i="1"/>
  <c r="Y2410" i="1"/>
  <c r="AE2411" i="1"/>
  <c r="Y2411" i="1"/>
  <c r="AE2412" i="1"/>
  <c r="Y2412" i="1"/>
  <c r="AE2413" i="1"/>
  <c r="Y2413" i="1"/>
  <c r="AE2414" i="1"/>
  <c r="Y2414" i="1"/>
  <c r="AE2415" i="1"/>
  <c r="Y2415" i="1"/>
  <c r="AE2416" i="1"/>
  <c r="Y2416" i="1"/>
  <c r="AE2417" i="1"/>
  <c r="Y2417" i="1"/>
  <c r="AE2418" i="1"/>
  <c r="Y2418" i="1"/>
  <c r="AE2419" i="1"/>
  <c r="Y2419" i="1"/>
  <c r="AE2420" i="1"/>
  <c r="Y2420" i="1"/>
  <c r="AE2421" i="1"/>
  <c r="Y2421" i="1"/>
  <c r="AE2422" i="1"/>
  <c r="Y2422" i="1"/>
  <c r="AE2423" i="1"/>
  <c r="Y2423" i="1"/>
  <c r="AE2424" i="1"/>
  <c r="Y2424" i="1"/>
  <c r="AE2425" i="1"/>
  <c r="Y2425" i="1"/>
  <c r="AE2426" i="1"/>
  <c r="Y2426" i="1"/>
  <c r="AE2427" i="1"/>
  <c r="Y2427" i="1"/>
  <c r="AE2428" i="1"/>
  <c r="Y2428" i="1"/>
  <c r="AE2429" i="1"/>
  <c r="Y2429" i="1"/>
  <c r="AE2430" i="1"/>
  <c r="Y2430" i="1"/>
  <c r="AE2431" i="1"/>
  <c r="Y2431" i="1"/>
  <c r="AE2432" i="1"/>
  <c r="Y2432" i="1"/>
  <c r="AE2433" i="1"/>
  <c r="Y2433" i="1"/>
  <c r="AE2434" i="1"/>
  <c r="Y2434" i="1"/>
  <c r="AE2435" i="1"/>
  <c r="Y2435" i="1"/>
  <c r="AE2436" i="1"/>
  <c r="Y2436" i="1"/>
  <c r="AE2437" i="1"/>
  <c r="Y2437" i="1"/>
  <c r="AE2438" i="1"/>
  <c r="Y2438" i="1"/>
  <c r="AE2439" i="1"/>
  <c r="Y2439" i="1"/>
  <c r="AE2440" i="1"/>
  <c r="Y2440" i="1"/>
  <c r="AE2441" i="1"/>
  <c r="Y2441" i="1"/>
  <c r="AE2442" i="1"/>
  <c r="Y2442" i="1"/>
  <c r="AE2443" i="1"/>
  <c r="Y2443" i="1"/>
  <c r="AE2444" i="1"/>
  <c r="Y2444" i="1"/>
  <c r="AE2445" i="1"/>
  <c r="Y2445" i="1"/>
  <c r="AE2446" i="1"/>
  <c r="Y2446" i="1"/>
  <c r="AE2447" i="1"/>
  <c r="Y2447" i="1"/>
  <c r="AE2448" i="1"/>
  <c r="Y2448" i="1"/>
  <c r="AE2449" i="1"/>
  <c r="Y2449" i="1"/>
  <c r="AE2450" i="1"/>
  <c r="Y2450" i="1"/>
  <c r="AE2451" i="1"/>
  <c r="Y2451" i="1"/>
  <c r="AE2452" i="1"/>
  <c r="Y2452" i="1"/>
  <c r="AE2453" i="1"/>
  <c r="Y2453" i="1"/>
  <c r="AE2454" i="1"/>
  <c r="Y2454" i="1"/>
  <c r="AE2455" i="1"/>
  <c r="Y2455" i="1"/>
  <c r="AE2456" i="1"/>
  <c r="Y2456" i="1"/>
  <c r="AE2457" i="1"/>
  <c r="Y2457" i="1"/>
  <c r="AE2458" i="1"/>
  <c r="Y2458" i="1"/>
  <c r="AE2459" i="1"/>
  <c r="Y2459" i="1"/>
  <c r="AE2460" i="1"/>
  <c r="Y2460" i="1"/>
  <c r="AE2461" i="1"/>
  <c r="Y2461" i="1"/>
  <c r="AE2462" i="1"/>
  <c r="Y2462" i="1"/>
  <c r="AE2463" i="1"/>
  <c r="Y2463" i="1"/>
  <c r="AE2464" i="1"/>
  <c r="Y2464" i="1"/>
  <c r="AE2465" i="1"/>
  <c r="Y2465" i="1"/>
  <c r="AE2466" i="1"/>
  <c r="Y2466" i="1"/>
  <c r="AE2467" i="1"/>
  <c r="Y2467" i="1"/>
  <c r="AE2468" i="1"/>
  <c r="Y2468" i="1"/>
  <c r="AE2469" i="1"/>
  <c r="Y2469" i="1"/>
  <c r="AE2470" i="1"/>
  <c r="Y2470" i="1"/>
  <c r="AE2471" i="1"/>
  <c r="Y2471" i="1"/>
  <c r="AE2472" i="1"/>
  <c r="Y2472" i="1"/>
  <c r="AE2473" i="1"/>
  <c r="Y2473" i="1"/>
  <c r="AE2474" i="1"/>
  <c r="Y2474" i="1"/>
  <c r="AE2475" i="1"/>
  <c r="Y2475" i="1"/>
  <c r="AE2476" i="1"/>
  <c r="Y2476" i="1"/>
  <c r="AE2477" i="1"/>
  <c r="Y2477" i="1"/>
  <c r="AE2478" i="1"/>
  <c r="Y2478" i="1"/>
  <c r="AE2479" i="1"/>
  <c r="Y2479" i="1"/>
  <c r="AE2480" i="1"/>
  <c r="Y2480" i="1"/>
  <c r="AE2481" i="1"/>
  <c r="Y2481" i="1"/>
  <c r="AE2482" i="1"/>
  <c r="Y2482" i="1"/>
  <c r="AE2483" i="1"/>
  <c r="Y2483" i="1"/>
  <c r="AE2484" i="1"/>
  <c r="Y2484" i="1"/>
  <c r="AE2485" i="1"/>
  <c r="Y2485" i="1"/>
  <c r="AE2486" i="1"/>
  <c r="Y2486" i="1"/>
  <c r="AE2487" i="1"/>
  <c r="Y2487" i="1"/>
  <c r="AE2488" i="1"/>
  <c r="Y2488" i="1"/>
  <c r="AE2489" i="1"/>
  <c r="Y2489" i="1"/>
  <c r="AE2490" i="1"/>
  <c r="Y2490" i="1"/>
  <c r="AE2491" i="1"/>
  <c r="Y2491" i="1"/>
  <c r="AE2492" i="1"/>
  <c r="Y2492" i="1"/>
  <c r="AE2493" i="1"/>
  <c r="Y2493" i="1"/>
  <c r="AE2494" i="1"/>
  <c r="Y2494" i="1"/>
  <c r="AE2495" i="1"/>
  <c r="Y2495" i="1"/>
  <c r="AE2496" i="1"/>
  <c r="Y2496" i="1"/>
  <c r="AE2497" i="1"/>
  <c r="Y2497" i="1"/>
  <c r="AE2498" i="1"/>
  <c r="Y2498" i="1"/>
  <c r="AE2499" i="1"/>
  <c r="Y2499" i="1"/>
  <c r="AE2500" i="1"/>
  <c r="Y2500" i="1"/>
  <c r="AE2501" i="1"/>
  <c r="Y2501" i="1"/>
  <c r="AE2502" i="1"/>
  <c r="Y2502" i="1"/>
  <c r="AE2503" i="1"/>
  <c r="Y2503" i="1"/>
  <c r="AE2504" i="1"/>
  <c r="Y2504" i="1"/>
  <c r="AE2505" i="1"/>
  <c r="Y2505" i="1"/>
  <c r="AE2506" i="1"/>
  <c r="Y2506" i="1"/>
  <c r="AE2507" i="1"/>
  <c r="Y2507" i="1"/>
  <c r="AE2508" i="1"/>
  <c r="Y2508" i="1"/>
  <c r="AE2509" i="1"/>
  <c r="Y2509" i="1"/>
  <c r="AE2510" i="1"/>
  <c r="Y2510" i="1"/>
  <c r="AE2511" i="1"/>
  <c r="Y2511" i="1"/>
  <c r="AE2512" i="1"/>
  <c r="Y2512" i="1"/>
  <c r="AE2513" i="1"/>
  <c r="Y2513" i="1"/>
  <c r="AE2514" i="1"/>
  <c r="Y2514" i="1"/>
  <c r="AE2515" i="1"/>
  <c r="Y2515" i="1"/>
  <c r="AE2516" i="1"/>
  <c r="Y2516" i="1"/>
  <c r="AE2517" i="1"/>
  <c r="Y2517" i="1"/>
  <c r="AE2518" i="1"/>
  <c r="Y2518" i="1"/>
  <c r="AE2519" i="1"/>
  <c r="Y2519" i="1"/>
  <c r="AE2520" i="1"/>
  <c r="Y2520" i="1"/>
  <c r="AE2521" i="1"/>
  <c r="Y2521" i="1"/>
  <c r="AE2522" i="1"/>
  <c r="Y2522" i="1"/>
  <c r="AE2523" i="1"/>
  <c r="Y2523" i="1"/>
  <c r="AE2524" i="1"/>
  <c r="Y2524" i="1"/>
  <c r="AE2525" i="1"/>
  <c r="Y2525" i="1"/>
  <c r="AE2526" i="1"/>
  <c r="Y2526" i="1"/>
  <c r="AE2527" i="1"/>
  <c r="Y2527" i="1"/>
  <c r="AE2528" i="1"/>
  <c r="Y2528" i="1"/>
  <c r="AE2529" i="1"/>
  <c r="Y2529" i="1"/>
  <c r="AE2530" i="1"/>
  <c r="Y2530" i="1"/>
  <c r="AE2531" i="1"/>
  <c r="Y2531" i="1"/>
  <c r="AE2532" i="1"/>
  <c r="Y2532" i="1"/>
  <c r="AE2533" i="1"/>
  <c r="Y2533" i="1"/>
  <c r="AE2534" i="1"/>
  <c r="Y2534" i="1"/>
  <c r="AE2535" i="1"/>
  <c r="Y2535" i="1"/>
  <c r="AE2536" i="1"/>
  <c r="Y2536" i="1"/>
  <c r="AE2537" i="1"/>
  <c r="Y2537" i="1"/>
  <c r="AE2538" i="1"/>
  <c r="Y2538" i="1"/>
  <c r="AE2539" i="1"/>
  <c r="Y2539" i="1"/>
  <c r="AE2540" i="1"/>
  <c r="Y2540" i="1"/>
  <c r="AE2541" i="1"/>
  <c r="Y2541" i="1"/>
  <c r="AE2542" i="1"/>
  <c r="Y2542" i="1"/>
  <c r="AE2543" i="1"/>
  <c r="Y2543" i="1"/>
  <c r="AE2544" i="1"/>
  <c r="Y2544" i="1"/>
  <c r="AE2545" i="1"/>
  <c r="Y2545" i="1"/>
  <c r="AE2546" i="1"/>
  <c r="Y2546" i="1"/>
  <c r="AE2547" i="1"/>
  <c r="Y2547" i="1"/>
  <c r="AE2548" i="1"/>
  <c r="Y2548" i="1"/>
  <c r="AE2549" i="1"/>
  <c r="Y2549" i="1"/>
  <c r="AE2550" i="1"/>
  <c r="Y2550" i="1"/>
  <c r="AE2551" i="1"/>
  <c r="Y2551" i="1"/>
  <c r="AE2552" i="1"/>
  <c r="Y2552" i="1"/>
  <c r="AE2553" i="1"/>
  <c r="Y2553" i="1"/>
  <c r="AE2554" i="1"/>
  <c r="Y2554" i="1"/>
  <c r="AE2555" i="1"/>
  <c r="Y2555" i="1"/>
  <c r="AE2556" i="1"/>
  <c r="Y2556" i="1"/>
  <c r="AE2557" i="1"/>
  <c r="Y2557" i="1"/>
  <c r="AE2558" i="1"/>
  <c r="Y2558" i="1"/>
  <c r="AE2559" i="1"/>
  <c r="Y2559" i="1"/>
  <c r="AE2560" i="1"/>
  <c r="Y2560" i="1"/>
  <c r="AE2561" i="1"/>
  <c r="Y2561" i="1"/>
  <c r="AE2562" i="1"/>
  <c r="Y2562" i="1"/>
  <c r="AE2563" i="1"/>
  <c r="Y2563" i="1"/>
  <c r="AE2564" i="1"/>
  <c r="Y2564" i="1"/>
  <c r="AE2565" i="1"/>
  <c r="Y2565" i="1"/>
  <c r="AE2566" i="1"/>
  <c r="Y2566" i="1"/>
  <c r="AE2567" i="1"/>
  <c r="Y2567" i="1"/>
  <c r="AE2568" i="1"/>
  <c r="Y2568" i="1"/>
  <c r="AE2569" i="1"/>
  <c r="Y2569" i="1"/>
  <c r="AE2570" i="1"/>
  <c r="Y2570" i="1"/>
  <c r="AE2571" i="1"/>
  <c r="Y2571" i="1"/>
  <c r="AE2572" i="1"/>
  <c r="Y2572" i="1"/>
  <c r="AE2573" i="1"/>
  <c r="Y2573" i="1"/>
  <c r="AE2574" i="1"/>
  <c r="Y2574" i="1"/>
  <c r="AE2575" i="1"/>
  <c r="Y2575" i="1"/>
  <c r="AE2576" i="1"/>
  <c r="Y2576" i="1"/>
  <c r="AE2577" i="1"/>
  <c r="Y2577" i="1"/>
  <c r="AE2578" i="1"/>
  <c r="Y2578" i="1"/>
  <c r="AE2579" i="1"/>
  <c r="Y2579" i="1"/>
  <c r="AE2580" i="1"/>
  <c r="Y2580" i="1"/>
  <c r="AE2581" i="1"/>
  <c r="Y2581" i="1"/>
  <c r="AE2582" i="1"/>
  <c r="Y2582" i="1"/>
  <c r="AE2583" i="1"/>
  <c r="Y2583" i="1"/>
  <c r="AE2584" i="1"/>
  <c r="Y2584" i="1"/>
  <c r="AE2585" i="1"/>
  <c r="Y2585" i="1"/>
  <c r="AE2586" i="1"/>
  <c r="Y2586" i="1"/>
  <c r="AE2587" i="1"/>
  <c r="Y2587" i="1"/>
  <c r="AE2588" i="1"/>
  <c r="Y2588" i="1"/>
  <c r="AE2589" i="1"/>
  <c r="Y2589" i="1"/>
  <c r="AE2590" i="1"/>
  <c r="Y2590" i="1"/>
  <c r="AE2591" i="1"/>
  <c r="Y2591" i="1"/>
  <c r="AE2592" i="1"/>
  <c r="Y2592" i="1"/>
  <c r="AE2593" i="1"/>
  <c r="Y2593" i="1"/>
  <c r="AE2594" i="1"/>
  <c r="Y2594" i="1"/>
  <c r="AE2595" i="1"/>
  <c r="Y2595" i="1"/>
  <c r="AE2596" i="1"/>
  <c r="Y2596" i="1"/>
  <c r="AE2597" i="1"/>
  <c r="Y2597" i="1"/>
  <c r="AE2598" i="1"/>
  <c r="Y2598" i="1"/>
  <c r="AE2599" i="1"/>
  <c r="Y2599" i="1"/>
  <c r="AE2600" i="1"/>
  <c r="Y2600" i="1"/>
  <c r="AE2601" i="1"/>
  <c r="Y2601" i="1"/>
  <c r="AE2602" i="1"/>
  <c r="Y2602" i="1"/>
  <c r="AE2603" i="1"/>
  <c r="Y2603" i="1"/>
  <c r="AE2604" i="1"/>
  <c r="Y2604" i="1"/>
  <c r="AE2605" i="1"/>
  <c r="Y2605" i="1"/>
  <c r="AE2606" i="1"/>
  <c r="Y2606" i="1"/>
  <c r="AE2607" i="1"/>
  <c r="Y2607" i="1"/>
  <c r="AE2608" i="1"/>
  <c r="Y2608" i="1"/>
  <c r="AE2609" i="1"/>
  <c r="Y2609" i="1"/>
  <c r="AE2610" i="1"/>
  <c r="Y2610" i="1"/>
  <c r="AE2611" i="1"/>
  <c r="Y2611" i="1"/>
  <c r="AE2612" i="1"/>
  <c r="Y2612" i="1"/>
  <c r="AE2613" i="1"/>
  <c r="Y2613" i="1"/>
  <c r="AE2614" i="1"/>
  <c r="Y2614" i="1"/>
  <c r="AE2615" i="1"/>
  <c r="Y2615" i="1"/>
  <c r="AE2616" i="1"/>
  <c r="Y2616" i="1"/>
  <c r="AE2617" i="1"/>
  <c r="Y2617" i="1"/>
  <c r="AE2618" i="1"/>
  <c r="Y2618" i="1"/>
  <c r="AE2619" i="1"/>
  <c r="Y2619" i="1"/>
  <c r="AE2620" i="1"/>
  <c r="Y2620" i="1"/>
  <c r="AE2621" i="1"/>
  <c r="Y2621" i="1"/>
  <c r="AE2622" i="1"/>
  <c r="Y2622" i="1"/>
  <c r="AE2623" i="1"/>
  <c r="Y2623" i="1"/>
  <c r="AE2624" i="1"/>
  <c r="Y2624" i="1"/>
  <c r="AE2625" i="1"/>
  <c r="Y2625" i="1"/>
  <c r="AE2626" i="1"/>
  <c r="Y2626" i="1"/>
  <c r="AE2627" i="1"/>
  <c r="Y2627" i="1"/>
  <c r="AE2628" i="1"/>
  <c r="Y2628" i="1"/>
  <c r="AE2629" i="1"/>
  <c r="Y2629" i="1"/>
  <c r="AE2630" i="1"/>
  <c r="Y2630" i="1"/>
  <c r="AE2631" i="1"/>
  <c r="Y2631" i="1"/>
  <c r="AE2632" i="1"/>
  <c r="Y2632" i="1"/>
  <c r="AE2633" i="1"/>
  <c r="Y2633" i="1"/>
  <c r="AE2634" i="1"/>
  <c r="Y2634" i="1"/>
  <c r="AE2635" i="1"/>
  <c r="Y2635" i="1"/>
  <c r="AE2636" i="1"/>
  <c r="Y2636" i="1"/>
  <c r="AE2637" i="1"/>
  <c r="Y2637" i="1"/>
  <c r="AE2638" i="1"/>
  <c r="Y2638" i="1"/>
  <c r="AE2639" i="1"/>
  <c r="Y2639" i="1"/>
  <c r="AE2640" i="1"/>
  <c r="Y2640" i="1"/>
  <c r="AE2641" i="1"/>
  <c r="Y2641" i="1"/>
  <c r="AE2642" i="1"/>
  <c r="Y2642" i="1"/>
  <c r="AE2643" i="1"/>
  <c r="Y2643" i="1"/>
  <c r="AE2644" i="1"/>
  <c r="Y2644" i="1"/>
  <c r="AE2645" i="1"/>
  <c r="Y2645" i="1"/>
  <c r="AE2646" i="1"/>
  <c r="Y2646" i="1"/>
  <c r="AE2647" i="1"/>
  <c r="Y2647" i="1"/>
  <c r="AE2648" i="1"/>
  <c r="Y2648" i="1"/>
  <c r="AE2649" i="1"/>
  <c r="Y2649" i="1"/>
  <c r="AE2650" i="1"/>
  <c r="Y2650" i="1"/>
  <c r="AE2651" i="1"/>
  <c r="Y2651" i="1"/>
  <c r="AE2652" i="1"/>
  <c r="Y2652" i="1"/>
  <c r="AE2653" i="1"/>
  <c r="Y2653" i="1"/>
  <c r="AE2654" i="1"/>
  <c r="Y2654" i="1"/>
  <c r="AE2655" i="1"/>
  <c r="Y2655" i="1"/>
  <c r="AE2656" i="1"/>
  <c r="Y2656" i="1"/>
  <c r="AE2657" i="1"/>
  <c r="Y2657" i="1"/>
  <c r="AE2658" i="1"/>
  <c r="Y2658" i="1"/>
  <c r="AE2659" i="1"/>
  <c r="Y2659" i="1"/>
  <c r="AE2660" i="1"/>
  <c r="Y2660" i="1"/>
  <c r="AE2661" i="1"/>
  <c r="Y2661" i="1"/>
  <c r="AE2662" i="1"/>
  <c r="Y2662" i="1"/>
  <c r="AE2663" i="1"/>
  <c r="Y2663" i="1"/>
  <c r="AE2664" i="1"/>
  <c r="Y2664" i="1"/>
  <c r="AE2665" i="1"/>
  <c r="Y2665" i="1"/>
  <c r="AE2666" i="1"/>
  <c r="Y2666" i="1"/>
  <c r="AE2667" i="1"/>
  <c r="Y2667" i="1"/>
  <c r="AE2668" i="1"/>
  <c r="Y2668" i="1"/>
  <c r="AE2669" i="1"/>
  <c r="Y2669" i="1"/>
  <c r="AE2670" i="1"/>
  <c r="Y2670" i="1"/>
  <c r="AE2671" i="1"/>
  <c r="Y2671" i="1"/>
  <c r="AE2672" i="1"/>
  <c r="Y2672" i="1"/>
  <c r="AE2673" i="1"/>
  <c r="Y2673" i="1"/>
  <c r="AE2674" i="1"/>
  <c r="Y2674" i="1"/>
  <c r="AE2675" i="1"/>
  <c r="Y2675" i="1"/>
  <c r="AE2676" i="1"/>
  <c r="Y2676" i="1"/>
  <c r="AE2677" i="1"/>
  <c r="Y2677" i="1"/>
  <c r="AE2678" i="1"/>
  <c r="Y2678" i="1"/>
  <c r="AE2679" i="1"/>
  <c r="Y2679" i="1"/>
  <c r="AE2680" i="1"/>
  <c r="Y2680" i="1"/>
  <c r="AE2681" i="1"/>
  <c r="Y2681" i="1"/>
  <c r="AE2682" i="1"/>
  <c r="Y2682" i="1"/>
  <c r="AE2683" i="1"/>
  <c r="Y2683" i="1"/>
  <c r="AE2684" i="1"/>
  <c r="Y2684" i="1"/>
  <c r="AE2685" i="1"/>
  <c r="Y2685" i="1"/>
  <c r="AE2686" i="1"/>
  <c r="Y2686" i="1"/>
  <c r="AE2687" i="1"/>
  <c r="Y2687" i="1"/>
  <c r="AE2688" i="1"/>
  <c r="Y2688" i="1"/>
  <c r="AE2689" i="1"/>
  <c r="Y2689" i="1"/>
  <c r="AE2690" i="1"/>
  <c r="Y2690" i="1"/>
  <c r="AE2691" i="1"/>
  <c r="Y2691" i="1"/>
  <c r="AE2692" i="1"/>
  <c r="Y2692" i="1"/>
  <c r="AE2693" i="1"/>
  <c r="Y2693" i="1"/>
  <c r="AE2694" i="1"/>
  <c r="Y2694" i="1"/>
  <c r="AE2695" i="1"/>
  <c r="Y2695" i="1"/>
  <c r="AE2696" i="1"/>
  <c r="Y2696" i="1"/>
  <c r="AE2697" i="1"/>
  <c r="Y2697" i="1"/>
  <c r="AE2698" i="1"/>
  <c r="Y2698" i="1"/>
  <c r="AE2699" i="1"/>
  <c r="Y2699" i="1"/>
  <c r="AE2700" i="1"/>
  <c r="Y2700" i="1"/>
  <c r="AE2701" i="1"/>
  <c r="Y2701" i="1"/>
  <c r="AE2702" i="1"/>
  <c r="Y2702" i="1"/>
  <c r="AE2703" i="1"/>
  <c r="Y2703" i="1"/>
  <c r="AE2704" i="1"/>
  <c r="Y2704" i="1"/>
  <c r="AE2705" i="1"/>
  <c r="Y2705" i="1"/>
  <c r="AE2706" i="1"/>
  <c r="Y2706" i="1"/>
  <c r="AE2707" i="1"/>
  <c r="Y2707" i="1"/>
  <c r="AE2708" i="1"/>
  <c r="Y2708" i="1"/>
  <c r="AE2709" i="1"/>
  <c r="Y2709" i="1"/>
  <c r="AE2710" i="1"/>
  <c r="Y2710" i="1"/>
  <c r="AE2711" i="1"/>
  <c r="Y2711" i="1"/>
  <c r="AE2712" i="1"/>
  <c r="Y2712" i="1"/>
  <c r="AE2713" i="1"/>
  <c r="Y2713" i="1"/>
  <c r="AE2714" i="1"/>
  <c r="Y2714" i="1"/>
  <c r="AE2715" i="1"/>
  <c r="Y2715" i="1"/>
  <c r="AE2716" i="1"/>
  <c r="Y2716" i="1"/>
  <c r="AE2717" i="1"/>
  <c r="Y2717" i="1"/>
  <c r="AE2718" i="1"/>
  <c r="Y2718" i="1"/>
  <c r="AE2719" i="1"/>
  <c r="Y2719" i="1"/>
  <c r="AE2720" i="1"/>
  <c r="Y2720" i="1"/>
  <c r="AE2721" i="1"/>
  <c r="Y2721" i="1"/>
  <c r="AE2722" i="1"/>
  <c r="Y2722" i="1"/>
  <c r="AE2723" i="1"/>
  <c r="Y2723" i="1"/>
  <c r="AE2724" i="1"/>
  <c r="Y2724" i="1"/>
  <c r="AE2725" i="1"/>
  <c r="Y2725" i="1"/>
  <c r="AE2726" i="1"/>
  <c r="Y2726" i="1"/>
  <c r="AE2727" i="1"/>
  <c r="Y2727" i="1"/>
  <c r="AE2728" i="1"/>
  <c r="Y2728" i="1"/>
  <c r="AE2729" i="1"/>
  <c r="Y2729" i="1"/>
  <c r="AE2730" i="1"/>
  <c r="Y2730" i="1"/>
  <c r="AE2731" i="1"/>
  <c r="Y2731" i="1"/>
  <c r="AE2732" i="1"/>
  <c r="Y2732" i="1"/>
  <c r="AE2733" i="1"/>
  <c r="Y2733" i="1"/>
  <c r="AE2734" i="1"/>
  <c r="Y2734" i="1"/>
  <c r="AE2735" i="1"/>
  <c r="Y2735" i="1"/>
  <c r="AE2736" i="1"/>
  <c r="Y2736" i="1"/>
  <c r="AE2737" i="1"/>
  <c r="Y2737" i="1"/>
  <c r="AE2738" i="1"/>
  <c r="Y2738" i="1"/>
  <c r="AE2739" i="1"/>
  <c r="Y2739" i="1"/>
  <c r="AE2740" i="1"/>
  <c r="Y2740" i="1"/>
  <c r="AE2741" i="1"/>
  <c r="Y2741" i="1"/>
  <c r="AE2742" i="1"/>
  <c r="Y2742" i="1"/>
  <c r="AE2743" i="1"/>
  <c r="Y2743" i="1"/>
  <c r="AE2744" i="1"/>
  <c r="Y2744" i="1"/>
  <c r="AE2745" i="1"/>
  <c r="Y2745" i="1"/>
  <c r="AE2746" i="1"/>
  <c r="Y2746" i="1"/>
  <c r="AE2747" i="1"/>
  <c r="Y2747" i="1"/>
  <c r="AE2748" i="1"/>
  <c r="Y2748" i="1"/>
  <c r="AE2749" i="1"/>
  <c r="Y2749" i="1"/>
  <c r="AE2750" i="1"/>
  <c r="Y2750" i="1"/>
  <c r="AE2751" i="1"/>
  <c r="Y2751" i="1"/>
  <c r="AE2752" i="1"/>
  <c r="Y2752" i="1"/>
  <c r="AE2753" i="1"/>
  <c r="Y2753" i="1"/>
  <c r="AE2754" i="1"/>
  <c r="Y2754" i="1"/>
  <c r="AE2755" i="1"/>
  <c r="Y2755" i="1"/>
  <c r="AE2756" i="1"/>
  <c r="Y2756" i="1"/>
  <c r="AE2757" i="1"/>
  <c r="Y2757" i="1"/>
  <c r="AE2758" i="1"/>
  <c r="Y2758" i="1"/>
  <c r="AE2759" i="1"/>
  <c r="Y2759" i="1"/>
  <c r="AE2760" i="1"/>
  <c r="Y2760" i="1"/>
  <c r="AE2761" i="1"/>
  <c r="Y2761" i="1"/>
  <c r="AE2762" i="1"/>
  <c r="Y2762" i="1"/>
  <c r="AE2763" i="1"/>
  <c r="Y2763" i="1"/>
  <c r="AE2764" i="1"/>
  <c r="Y2764" i="1"/>
  <c r="AE2765" i="1"/>
  <c r="Y2765" i="1"/>
  <c r="AE2766" i="1"/>
  <c r="Y2766" i="1"/>
  <c r="AE2767" i="1"/>
  <c r="Y2767" i="1"/>
  <c r="AE2768" i="1"/>
  <c r="Y2768" i="1"/>
  <c r="AE2769" i="1"/>
  <c r="Y2769" i="1"/>
  <c r="AE2770" i="1"/>
  <c r="Y2770" i="1"/>
  <c r="AE2771" i="1"/>
  <c r="Y2771" i="1"/>
  <c r="AE2772" i="1"/>
  <c r="Y2772" i="1"/>
  <c r="AE2773" i="1"/>
  <c r="Y2773" i="1"/>
  <c r="AE2774" i="1"/>
  <c r="Y2774" i="1"/>
  <c r="AE2775" i="1"/>
  <c r="Y2775" i="1"/>
  <c r="AE2776" i="1"/>
  <c r="Y2776" i="1"/>
  <c r="AE2777" i="1"/>
  <c r="Y2777" i="1"/>
  <c r="AE2778" i="1"/>
  <c r="Y2778" i="1"/>
  <c r="AE2779" i="1"/>
  <c r="Y2779" i="1"/>
  <c r="AE2780" i="1"/>
  <c r="Y2780" i="1"/>
  <c r="AE2781" i="1"/>
  <c r="Y2781" i="1"/>
  <c r="AE2782" i="1"/>
  <c r="Y2782" i="1"/>
  <c r="AE2783" i="1"/>
  <c r="Y2783" i="1"/>
  <c r="AE2784" i="1"/>
  <c r="Y2784" i="1"/>
  <c r="AE2785" i="1"/>
  <c r="Y2785" i="1"/>
  <c r="AE2786" i="1"/>
  <c r="Y2786" i="1"/>
  <c r="AE2787" i="1"/>
  <c r="Y2787" i="1"/>
  <c r="AE2788" i="1"/>
  <c r="Y2788" i="1"/>
  <c r="AE2789" i="1"/>
  <c r="Y2789" i="1"/>
  <c r="AE2790" i="1"/>
  <c r="Y2790" i="1"/>
  <c r="AE2791" i="1"/>
  <c r="Y2791" i="1"/>
  <c r="AE2792" i="1"/>
  <c r="Y2792" i="1"/>
  <c r="AE2793" i="1"/>
  <c r="Y2793" i="1"/>
  <c r="AE2794" i="1"/>
  <c r="Y2794" i="1"/>
  <c r="AE2795" i="1"/>
  <c r="Y2795" i="1"/>
  <c r="AE2796" i="1"/>
  <c r="Y2796" i="1"/>
  <c r="AE2797" i="1"/>
  <c r="Y2797" i="1"/>
  <c r="AE2798" i="1"/>
  <c r="Y2798" i="1"/>
  <c r="AE2799" i="1"/>
  <c r="Y2799" i="1"/>
  <c r="AE2800" i="1"/>
  <c r="Y2800" i="1"/>
  <c r="AE2801" i="1"/>
  <c r="Y2801" i="1"/>
  <c r="AE2802" i="1"/>
  <c r="Y2802" i="1"/>
  <c r="AE2803" i="1"/>
  <c r="Y2803" i="1"/>
  <c r="AE2804" i="1"/>
  <c r="Y2804" i="1"/>
  <c r="AE2805" i="1"/>
  <c r="Y2805" i="1"/>
  <c r="AE2806" i="1"/>
  <c r="Y2806" i="1"/>
  <c r="AE2807" i="1"/>
  <c r="Y2807" i="1"/>
  <c r="AE2808" i="1"/>
  <c r="Y2808" i="1"/>
  <c r="AE2809" i="1"/>
  <c r="Y2809" i="1"/>
  <c r="AE2810" i="1"/>
  <c r="Y2810" i="1"/>
  <c r="AE2811" i="1"/>
  <c r="Y2811" i="1"/>
  <c r="AE2812" i="1"/>
  <c r="Y2812" i="1"/>
  <c r="AE2813" i="1"/>
  <c r="Y2813" i="1"/>
  <c r="AE2814" i="1"/>
  <c r="Y2814" i="1"/>
  <c r="AE2815" i="1"/>
  <c r="Y2815" i="1"/>
  <c r="AE2816" i="1"/>
  <c r="Y2816" i="1"/>
  <c r="AE2817" i="1"/>
  <c r="Y2817" i="1"/>
  <c r="AE2818" i="1"/>
  <c r="Y2818" i="1"/>
  <c r="AE2819" i="1"/>
  <c r="Y2819" i="1"/>
  <c r="AE2820" i="1"/>
  <c r="Y2820" i="1"/>
  <c r="AE2821" i="1"/>
  <c r="Y2821" i="1"/>
  <c r="AE2822" i="1"/>
  <c r="Y2822" i="1"/>
  <c r="AE2823" i="1"/>
  <c r="Y2823" i="1"/>
  <c r="AE2824" i="1"/>
  <c r="Y2824" i="1"/>
  <c r="AE2825" i="1"/>
  <c r="Y2825" i="1"/>
  <c r="AE2826" i="1"/>
  <c r="Y2826" i="1"/>
  <c r="AE2827" i="1"/>
  <c r="Y2827" i="1"/>
  <c r="AE2828" i="1"/>
  <c r="Y2828" i="1"/>
  <c r="AE2829" i="1"/>
  <c r="Y2829" i="1"/>
  <c r="AE2830" i="1"/>
  <c r="Y2830" i="1"/>
  <c r="AE2831" i="1"/>
  <c r="Y2831" i="1"/>
  <c r="AE2832" i="1"/>
  <c r="Y2832" i="1"/>
  <c r="AE2833" i="1"/>
  <c r="Y2833" i="1"/>
  <c r="AE2834" i="1"/>
  <c r="Y2834" i="1"/>
  <c r="AE2835" i="1"/>
  <c r="Y2835" i="1"/>
  <c r="AE2836" i="1"/>
  <c r="Y2836" i="1"/>
  <c r="AE2837" i="1"/>
  <c r="Y2837" i="1"/>
  <c r="AE2838" i="1"/>
  <c r="Y2838" i="1"/>
  <c r="AE2839" i="1"/>
  <c r="Y2839" i="1"/>
  <c r="AE2840" i="1"/>
  <c r="Y2840" i="1"/>
  <c r="AE2841" i="1"/>
  <c r="Y2841" i="1"/>
  <c r="AE2842" i="1"/>
  <c r="Y2842" i="1"/>
  <c r="AE2843" i="1"/>
  <c r="Y2843" i="1"/>
  <c r="AE2844" i="1"/>
  <c r="Y2844" i="1"/>
  <c r="AE2845" i="1"/>
  <c r="Y2845" i="1"/>
  <c r="AE2846" i="1"/>
  <c r="Y2846" i="1"/>
  <c r="AE2847" i="1"/>
  <c r="Y2847" i="1"/>
  <c r="AE2848" i="1"/>
  <c r="Y2848" i="1"/>
  <c r="AE2849" i="1"/>
  <c r="Y2849" i="1"/>
  <c r="AE2850" i="1"/>
  <c r="Y2850" i="1"/>
  <c r="AE2851" i="1"/>
  <c r="Y2851" i="1"/>
  <c r="AE2852" i="1"/>
  <c r="Y2852" i="1"/>
  <c r="AE2853" i="1"/>
  <c r="Y2853" i="1"/>
  <c r="AE2854" i="1"/>
  <c r="Y2854" i="1"/>
  <c r="AE2855" i="1"/>
  <c r="Y2855" i="1"/>
  <c r="AE2856" i="1"/>
  <c r="Y2856" i="1"/>
  <c r="AE2857" i="1"/>
  <c r="Y2857" i="1"/>
  <c r="AE2858" i="1"/>
  <c r="Y2858" i="1"/>
  <c r="AE2859" i="1"/>
  <c r="Y2859" i="1"/>
  <c r="AE2860" i="1"/>
  <c r="Y2860" i="1"/>
  <c r="AE2861" i="1"/>
  <c r="Y2861" i="1"/>
  <c r="AE2862" i="1"/>
  <c r="Y2862" i="1"/>
  <c r="AE2863" i="1"/>
  <c r="Y2863" i="1"/>
  <c r="AE2864" i="1"/>
  <c r="Y2864" i="1"/>
  <c r="AE2865" i="1"/>
  <c r="Y2865" i="1"/>
  <c r="AE2866" i="1"/>
  <c r="Y2866" i="1"/>
  <c r="AE2867" i="1"/>
  <c r="Y2867" i="1"/>
  <c r="AE2868" i="1"/>
  <c r="Y2868" i="1"/>
  <c r="AE2869" i="1"/>
  <c r="Y2869" i="1"/>
  <c r="AE2870" i="1"/>
  <c r="Y2870" i="1"/>
  <c r="AE2871" i="1"/>
  <c r="Y2871" i="1"/>
  <c r="AE2872" i="1"/>
  <c r="Y2872" i="1"/>
  <c r="AE2873" i="1"/>
  <c r="Y2873" i="1"/>
  <c r="AE2874" i="1"/>
  <c r="Y2874" i="1"/>
  <c r="AE2875" i="1"/>
  <c r="Y2875" i="1"/>
  <c r="AE2876" i="1"/>
  <c r="Y2876" i="1"/>
  <c r="AE2877" i="1"/>
  <c r="Y2877" i="1"/>
  <c r="AE2878" i="1"/>
  <c r="Y2878" i="1"/>
  <c r="AE2879" i="1"/>
  <c r="Y2879" i="1"/>
  <c r="AE2880" i="1"/>
  <c r="Y2880" i="1"/>
  <c r="AE2881" i="1"/>
  <c r="Y2881" i="1"/>
  <c r="AE2882" i="1"/>
  <c r="Y2882" i="1"/>
  <c r="AE2883" i="1"/>
  <c r="Y2883" i="1"/>
  <c r="AE2884" i="1"/>
  <c r="Y2884" i="1"/>
  <c r="AE2885" i="1"/>
  <c r="Y2885" i="1"/>
  <c r="AE2886" i="1"/>
  <c r="Y2886" i="1"/>
  <c r="AE2887" i="1"/>
  <c r="Y2887" i="1"/>
  <c r="AE2888" i="1"/>
  <c r="Y2888" i="1"/>
  <c r="AE2889" i="1"/>
  <c r="Y2889" i="1"/>
  <c r="AE2890" i="1"/>
  <c r="Y2890" i="1"/>
  <c r="AE2891" i="1"/>
  <c r="Y2891" i="1"/>
  <c r="AE2892" i="1"/>
  <c r="Y2892" i="1"/>
  <c r="AE2893" i="1"/>
  <c r="Y2893" i="1"/>
  <c r="AE2894" i="1"/>
  <c r="Y2894" i="1"/>
  <c r="AE2895" i="1"/>
  <c r="Y2895" i="1"/>
  <c r="AE2896" i="1"/>
  <c r="Y2896" i="1"/>
  <c r="AE2897" i="1"/>
  <c r="Y2897" i="1"/>
  <c r="AE2898" i="1"/>
  <c r="Y2898" i="1"/>
  <c r="AE2899" i="1"/>
  <c r="Y2899" i="1"/>
  <c r="AE2900" i="1"/>
  <c r="Y2900" i="1"/>
  <c r="AE2901" i="1"/>
  <c r="Y2901" i="1"/>
  <c r="AE2902" i="1"/>
  <c r="Y2902" i="1"/>
  <c r="AE2903" i="1"/>
  <c r="Y2903" i="1"/>
  <c r="AE2904" i="1"/>
  <c r="Y2904" i="1"/>
  <c r="AE2905" i="1"/>
  <c r="Y2905" i="1"/>
  <c r="AE2906" i="1"/>
  <c r="Y2906" i="1"/>
  <c r="AE2907" i="1"/>
  <c r="Y2907" i="1"/>
  <c r="AE2908" i="1"/>
  <c r="Y2908" i="1"/>
  <c r="AE2909" i="1"/>
  <c r="Y2909" i="1"/>
  <c r="AE2910" i="1"/>
  <c r="Y2910" i="1"/>
  <c r="AE2911" i="1"/>
  <c r="Y2911" i="1"/>
  <c r="AE2912" i="1"/>
  <c r="Y2912" i="1"/>
  <c r="AE2913" i="1"/>
  <c r="Y2913" i="1"/>
  <c r="AE2914" i="1"/>
  <c r="Y2914" i="1"/>
  <c r="AE2915" i="1"/>
  <c r="Y2915" i="1"/>
  <c r="AE2916" i="1"/>
  <c r="Y2916" i="1"/>
  <c r="AE2917" i="1"/>
  <c r="Y2917" i="1"/>
  <c r="AE2918" i="1"/>
  <c r="Y2918" i="1"/>
  <c r="AE2919" i="1"/>
  <c r="Y2919" i="1"/>
  <c r="AE2920" i="1"/>
  <c r="Y2920" i="1"/>
  <c r="AE2921" i="1"/>
  <c r="Y2921" i="1"/>
  <c r="AE2922" i="1"/>
  <c r="Y2922" i="1"/>
  <c r="AE2923" i="1"/>
  <c r="Y2923" i="1"/>
  <c r="AE2924" i="1"/>
  <c r="Y2924" i="1"/>
  <c r="AE2925" i="1"/>
  <c r="Y2925" i="1"/>
  <c r="AE2926" i="1"/>
  <c r="Y2926" i="1"/>
  <c r="AE2927" i="1"/>
  <c r="Y2927" i="1"/>
  <c r="AE2928" i="1"/>
  <c r="Y2928" i="1"/>
  <c r="AE2929" i="1"/>
  <c r="Y2929" i="1"/>
  <c r="AE2930" i="1"/>
  <c r="Y2930" i="1"/>
  <c r="AE2931" i="1"/>
  <c r="Y2931" i="1"/>
  <c r="AE2932" i="1"/>
  <c r="Y2932" i="1"/>
  <c r="AE2933" i="1"/>
  <c r="Y2933" i="1"/>
  <c r="AE2934" i="1"/>
  <c r="Y2934" i="1"/>
  <c r="AE2935" i="1"/>
  <c r="Y2935" i="1"/>
  <c r="AE2936" i="1"/>
  <c r="Y2936" i="1"/>
  <c r="AE2937" i="1"/>
  <c r="Y2937" i="1"/>
  <c r="AE2938" i="1"/>
  <c r="Y2938" i="1"/>
  <c r="AE2939" i="1"/>
  <c r="Y2939" i="1"/>
  <c r="AE2940" i="1"/>
  <c r="Y2940" i="1"/>
  <c r="AE2941" i="1"/>
  <c r="Y2941" i="1"/>
  <c r="AE2942" i="1"/>
  <c r="Y2942" i="1"/>
  <c r="AE2943" i="1"/>
  <c r="Y2943" i="1"/>
  <c r="AE2944" i="1"/>
  <c r="Y2944" i="1"/>
  <c r="AE2945" i="1"/>
  <c r="Y2945" i="1"/>
  <c r="AE2946" i="1"/>
  <c r="Y2946" i="1"/>
  <c r="AE2947" i="1"/>
  <c r="Y2947" i="1"/>
  <c r="AE2948" i="1"/>
  <c r="Y2948" i="1"/>
  <c r="AE2949" i="1"/>
  <c r="Y2949" i="1"/>
  <c r="AE2950" i="1"/>
  <c r="Y2950" i="1"/>
  <c r="AE2951" i="1"/>
  <c r="Y2951" i="1"/>
  <c r="AE2952" i="1"/>
  <c r="Y2952" i="1"/>
  <c r="AE2953" i="1"/>
  <c r="Y2953" i="1"/>
  <c r="AE2954" i="1"/>
  <c r="Y2954" i="1"/>
  <c r="AE2955" i="1"/>
  <c r="Y2955" i="1"/>
  <c r="AE2956" i="1"/>
  <c r="Y2956" i="1"/>
  <c r="AE2957" i="1"/>
  <c r="Y2957" i="1"/>
  <c r="AE2958" i="1"/>
  <c r="Y2958" i="1"/>
  <c r="AE2959" i="1"/>
  <c r="Y2959" i="1"/>
  <c r="AE2960" i="1"/>
  <c r="Y2960" i="1"/>
  <c r="AE2961" i="1"/>
  <c r="Y2961" i="1"/>
  <c r="AE2962" i="1"/>
  <c r="Y2962" i="1"/>
  <c r="AE2963" i="1"/>
  <c r="Y2963" i="1"/>
  <c r="AE2964" i="1"/>
  <c r="Y2964" i="1"/>
  <c r="AE2965" i="1"/>
  <c r="Y2965" i="1"/>
  <c r="AE2966" i="1"/>
  <c r="Y2966" i="1"/>
  <c r="AE2967" i="1"/>
  <c r="Y2967" i="1"/>
  <c r="AE2968" i="1"/>
  <c r="Y2968" i="1"/>
  <c r="AE2969" i="1"/>
  <c r="Y2969" i="1"/>
  <c r="AE2970" i="1"/>
  <c r="Y2970" i="1"/>
  <c r="AE2971" i="1"/>
  <c r="Y2971" i="1"/>
  <c r="AE2972" i="1"/>
  <c r="Y2972" i="1"/>
  <c r="AE2973" i="1"/>
  <c r="Y2973" i="1"/>
  <c r="AE2974" i="1"/>
  <c r="Y2974" i="1"/>
  <c r="AE2975" i="1"/>
  <c r="Y2975" i="1"/>
  <c r="AE2976" i="1"/>
  <c r="Y2976" i="1"/>
  <c r="AE2977" i="1"/>
  <c r="Y2977" i="1"/>
  <c r="AE2978" i="1"/>
  <c r="Y2978" i="1"/>
  <c r="AE2979" i="1"/>
  <c r="Y2979" i="1"/>
  <c r="AE2980" i="1"/>
  <c r="Y2980" i="1"/>
  <c r="AE2981" i="1"/>
  <c r="Y2981" i="1"/>
  <c r="AE2982" i="1"/>
  <c r="Y2982" i="1"/>
  <c r="AE2983" i="1"/>
  <c r="Y2983" i="1"/>
  <c r="AE2984" i="1"/>
  <c r="Y2984" i="1"/>
  <c r="AE2985" i="1"/>
  <c r="Y2985" i="1"/>
  <c r="AE2986" i="1"/>
  <c r="Y2986" i="1"/>
  <c r="AE2987" i="1"/>
  <c r="Y2987" i="1"/>
  <c r="AE2988" i="1"/>
  <c r="Y2988" i="1"/>
  <c r="AE2989" i="1"/>
  <c r="Y2989" i="1"/>
  <c r="AE2990" i="1"/>
  <c r="Y2990" i="1"/>
  <c r="AE2991" i="1"/>
  <c r="Y2991" i="1"/>
  <c r="AE2992" i="1"/>
  <c r="Y2992" i="1"/>
  <c r="AE2993" i="1"/>
  <c r="Y2993" i="1"/>
  <c r="AE2994" i="1"/>
  <c r="Y2994" i="1"/>
  <c r="AE2995" i="1"/>
  <c r="Y2995" i="1"/>
  <c r="AE2996" i="1"/>
  <c r="Y2996" i="1"/>
  <c r="AE2997" i="1"/>
  <c r="Y2997" i="1"/>
  <c r="AE2998" i="1"/>
  <c r="Y2998" i="1"/>
  <c r="AE2999" i="1"/>
  <c r="Y2999" i="1"/>
  <c r="AE3000" i="1"/>
  <c r="Y3000" i="1"/>
  <c r="AE3001" i="1"/>
  <c r="Y3001" i="1"/>
  <c r="AE3002" i="1"/>
  <c r="Y3002" i="1"/>
  <c r="AE3003" i="1"/>
  <c r="Y3003" i="1"/>
  <c r="AE3004" i="1"/>
  <c r="Y3004" i="1"/>
  <c r="AE3005" i="1"/>
  <c r="Y3005" i="1"/>
  <c r="AE3006" i="1"/>
  <c r="Y3006" i="1"/>
  <c r="AE3007" i="1"/>
  <c r="Y3007" i="1"/>
  <c r="AE3008" i="1"/>
  <c r="Y3008" i="1"/>
  <c r="AE3009" i="1"/>
  <c r="Y3009" i="1"/>
  <c r="AE3010" i="1"/>
  <c r="Y3010" i="1"/>
  <c r="AE3011" i="1"/>
  <c r="Y3011" i="1"/>
  <c r="AE3012" i="1"/>
  <c r="Y3012" i="1"/>
  <c r="AE3013" i="1"/>
  <c r="Y3013" i="1"/>
  <c r="AE3014" i="1"/>
  <c r="Y3014" i="1"/>
  <c r="AE3015" i="1"/>
  <c r="Y3015" i="1"/>
  <c r="AE3016" i="1"/>
  <c r="Y3016" i="1"/>
  <c r="AE3017" i="1"/>
  <c r="Y3017" i="1"/>
  <c r="AE3018" i="1"/>
  <c r="Y3018" i="1"/>
  <c r="AE3019" i="1"/>
  <c r="Y3019" i="1"/>
  <c r="AE3020" i="1"/>
  <c r="Y3020" i="1"/>
  <c r="AE3021" i="1"/>
  <c r="Y3021" i="1"/>
  <c r="AE3022" i="1"/>
  <c r="Y3022" i="1"/>
  <c r="AE3023" i="1"/>
  <c r="Y3023" i="1"/>
  <c r="AE3024" i="1"/>
  <c r="Y3024" i="1"/>
  <c r="AE3025" i="1"/>
  <c r="Y3025" i="1"/>
  <c r="AE3026" i="1"/>
  <c r="Y3026" i="1"/>
  <c r="AE3027" i="1"/>
  <c r="Y3027" i="1"/>
  <c r="AE3028" i="1"/>
  <c r="Y3028" i="1"/>
  <c r="AE3029" i="1"/>
  <c r="Y3029" i="1"/>
  <c r="AE3030" i="1"/>
  <c r="Y3030" i="1"/>
  <c r="AE3031" i="1"/>
  <c r="Y3031" i="1"/>
  <c r="AE3032" i="1"/>
  <c r="Y3032" i="1"/>
  <c r="AE3033" i="1"/>
  <c r="Y3033" i="1"/>
  <c r="AE3034" i="1"/>
  <c r="Y3034" i="1"/>
  <c r="AE3035" i="1"/>
  <c r="Y3035" i="1"/>
  <c r="AE3036" i="1"/>
  <c r="Y3036" i="1"/>
  <c r="AE3037" i="1"/>
  <c r="Y3037" i="1"/>
  <c r="AE3038" i="1"/>
  <c r="Y3038" i="1"/>
  <c r="AE3039" i="1"/>
  <c r="Y3039" i="1"/>
  <c r="AE3040" i="1"/>
  <c r="Y3040" i="1"/>
  <c r="AE3041" i="1"/>
  <c r="Y3041" i="1"/>
  <c r="AE3042" i="1"/>
  <c r="Y3042" i="1"/>
  <c r="AE3043" i="1"/>
  <c r="Y3043" i="1"/>
  <c r="AE3044" i="1"/>
  <c r="Y3044" i="1"/>
  <c r="AE3045" i="1"/>
  <c r="Y3045" i="1"/>
  <c r="AE3046" i="1"/>
  <c r="Y3046" i="1"/>
  <c r="AE3047" i="1"/>
  <c r="Y3047" i="1"/>
  <c r="AE3048" i="1"/>
  <c r="Y3048" i="1"/>
  <c r="AE3049" i="1"/>
  <c r="Y3049" i="1"/>
  <c r="AE3050" i="1"/>
  <c r="Y3050" i="1"/>
  <c r="AE3051" i="1"/>
  <c r="Y3051" i="1"/>
  <c r="AE3052" i="1"/>
  <c r="Y3052" i="1"/>
  <c r="AE3053" i="1"/>
  <c r="Y3053" i="1"/>
  <c r="AE3054" i="1"/>
  <c r="Y3054" i="1"/>
  <c r="AE3055" i="1"/>
  <c r="Y3055" i="1"/>
  <c r="AE3056" i="1"/>
  <c r="Y3056" i="1"/>
  <c r="AE3057" i="1"/>
  <c r="Y3057" i="1"/>
  <c r="AE3058" i="1"/>
  <c r="Y3058" i="1"/>
  <c r="AE3059" i="1"/>
  <c r="Y3059" i="1"/>
  <c r="AE3060" i="1"/>
  <c r="Y3060" i="1"/>
  <c r="AE3061" i="1"/>
  <c r="Y3061" i="1"/>
  <c r="AE3062" i="1"/>
  <c r="Y3062" i="1"/>
  <c r="AE3063" i="1"/>
  <c r="Y3063" i="1"/>
  <c r="AE3064" i="1"/>
  <c r="Y3064" i="1"/>
  <c r="AE3065" i="1"/>
  <c r="Y3065" i="1"/>
  <c r="AE3066" i="1"/>
  <c r="Y3066" i="1"/>
  <c r="AE3067" i="1"/>
  <c r="Y3067" i="1"/>
  <c r="AE3068" i="1"/>
  <c r="Y3068" i="1"/>
  <c r="AE3069" i="1"/>
  <c r="Y3069" i="1"/>
  <c r="AE3070" i="1"/>
  <c r="Y3070" i="1"/>
  <c r="AE3071" i="1"/>
  <c r="Y3071" i="1"/>
  <c r="AE3072" i="1"/>
  <c r="Y3072" i="1"/>
  <c r="AE3073" i="1"/>
  <c r="Y3073" i="1"/>
  <c r="AE3074" i="1"/>
  <c r="Y3074" i="1"/>
  <c r="AE3075" i="1"/>
  <c r="Y3075" i="1"/>
  <c r="AE3076" i="1"/>
  <c r="Y3076" i="1"/>
  <c r="AE3077" i="1"/>
  <c r="Y3077" i="1"/>
  <c r="AE3078" i="1"/>
  <c r="Y3078" i="1"/>
  <c r="AE3079" i="1"/>
  <c r="Y3079" i="1"/>
  <c r="AE3080" i="1"/>
  <c r="Y3080" i="1"/>
  <c r="AE3081" i="1"/>
  <c r="Y3081" i="1"/>
  <c r="AE3082" i="1"/>
  <c r="Y3082" i="1"/>
  <c r="AE3083" i="1"/>
  <c r="Y3083" i="1"/>
  <c r="AE3084" i="1"/>
  <c r="Y3084" i="1"/>
  <c r="AE3085" i="1"/>
  <c r="Y3085" i="1"/>
  <c r="AE3086" i="1"/>
  <c r="Y3086" i="1"/>
  <c r="AE3087" i="1"/>
  <c r="Y3087" i="1"/>
  <c r="AE3088" i="1"/>
  <c r="Y3088" i="1"/>
  <c r="AE3089" i="1"/>
  <c r="Y3089" i="1"/>
  <c r="AE3090" i="1"/>
  <c r="Y3090" i="1"/>
  <c r="AE3091" i="1"/>
  <c r="Y3091" i="1"/>
  <c r="AE3092" i="1"/>
  <c r="Y3092" i="1"/>
  <c r="AE3093" i="1"/>
  <c r="Y3093" i="1"/>
  <c r="AE3094" i="1"/>
  <c r="Y3094" i="1"/>
  <c r="AE3095" i="1"/>
  <c r="Y3095" i="1"/>
  <c r="AE3096" i="1"/>
  <c r="Y3096" i="1"/>
  <c r="AE3097" i="1"/>
  <c r="Y3097" i="1"/>
  <c r="AE3098" i="1"/>
  <c r="Y3098" i="1"/>
  <c r="AE3099" i="1"/>
  <c r="Y3099" i="1"/>
  <c r="AE3100" i="1"/>
  <c r="Y3100" i="1"/>
  <c r="AE3101" i="1"/>
  <c r="Y3101" i="1"/>
  <c r="AE3102" i="1"/>
  <c r="Y3102" i="1"/>
  <c r="AE3103" i="1"/>
  <c r="Y3103" i="1"/>
  <c r="AE3104" i="1"/>
  <c r="Y3104" i="1"/>
  <c r="AE3105" i="1"/>
  <c r="Y3105" i="1"/>
  <c r="AE3106" i="1"/>
  <c r="Y3106" i="1"/>
  <c r="AE3107" i="1"/>
  <c r="Y3107" i="1"/>
  <c r="AE3108" i="1"/>
  <c r="Y3108" i="1"/>
  <c r="AE3109" i="1"/>
  <c r="Y3109" i="1"/>
  <c r="AE3110" i="1"/>
  <c r="Y3110" i="1"/>
  <c r="AE3111" i="1"/>
  <c r="Y3111" i="1"/>
  <c r="AE3112" i="1"/>
  <c r="Y3112" i="1"/>
  <c r="AE3113" i="1"/>
  <c r="Y3113" i="1"/>
  <c r="AE3114" i="1"/>
  <c r="Y3114" i="1"/>
  <c r="AE3115" i="1"/>
  <c r="Y3115" i="1"/>
  <c r="AE3116" i="1"/>
  <c r="Y3116" i="1"/>
  <c r="AE3117" i="1"/>
  <c r="Y3117" i="1"/>
  <c r="AE3118" i="1"/>
  <c r="Y3118" i="1"/>
  <c r="AE3119" i="1"/>
  <c r="Y3119" i="1"/>
  <c r="AE3120" i="1"/>
  <c r="Y3120" i="1"/>
  <c r="AE3121" i="1"/>
  <c r="Y3121" i="1"/>
  <c r="AE3122" i="1"/>
  <c r="Y3122" i="1"/>
  <c r="AE3123" i="1"/>
  <c r="Y3123" i="1"/>
  <c r="AE3124" i="1"/>
  <c r="Y3124" i="1"/>
  <c r="AE3125" i="1"/>
  <c r="Y3125" i="1"/>
  <c r="AE3126" i="1"/>
  <c r="Y3126" i="1"/>
  <c r="AE3127" i="1"/>
  <c r="Y3127" i="1"/>
  <c r="AE3128" i="1"/>
  <c r="Y3128" i="1"/>
  <c r="AE3129" i="1"/>
  <c r="Y3129" i="1"/>
  <c r="AE3130" i="1"/>
  <c r="Y3130" i="1"/>
  <c r="AE3131" i="1"/>
  <c r="Y3131" i="1"/>
  <c r="AE3132" i="1"/>
  <c r="Y3132" i="1"/>
  <c r="AE3133" i="1"/>
  <c r="Y3133" i="1"/>
  <c r="AE3134" i="1"/>
  <c r="Y3134" i="1"/>
  <c r="AE3135" i="1"/>
  <c r="Y3135" i="1"/>
  <c r="AE3136" i="1"/>
  <c r="Y3136" i="1"/>
  <c r="AE3137" i="1"/>
  <c r="Y3137" i="1"/>
  <c r="AE3138" i="1"/>
  <c r="Y3138" i="1"/>
  <c r="AE3139" i="1"/>
  <c r="Y3139" i="1"/>
  <c r="AE3140" i="1"/>
  <c r="Y3140" i="1"/>
  <c r="AE3141" i="1"/>
  <c r="Y3141" i="1"/>
  <c r="AE3142" i="1"/>
  <c r="Y3142" i="1"/>
  <c r="AE3143" i="1"/>
  <c r="Y3143" i="1"/>
  <c r="AE3144" i="1"/>
  <c r="Y3144" i="1"/>
  <c r="AE3145" i="1"/>
  <c r="Y3145" i="1"/>
  <c r="AE3146" i="1"/>
  <c r="Y3146" i="1"/>
  <c r="AE3147" i="1"/>
  <c r="Y3147" i="1"/>
  <c r="AE3148" i="1"/>
  <c r="Y3148" i="1"/>
  <c r="AE3149" i="1"/>
  <c r="Y3149" i="1"/>
  <c r="AE3150" i="1"/>
  <c r="Y3150" i="1"/>
  <c r="AE3151" i="1"/>
  <c r="Y3151" i="1"/>
  <c r="AE3152" i="1"/>
  <c r="Y3152" i="1"/>
  <c r="AE3153" i="1"/>
  <c r="Y3153" i="1"/>
  <c r="AE3154" i="1"/>
  <c r="Y3154" i="1"/>
  <c r="AE3155" i="1"/>
  <c r="Y3155" i="1"/>
  <c r="AE3156" i="1"/>
  <c r="Y3156" i="1"/>
  <c r="AE3157" i="1"/>
  <c r="Y3157" i="1"/>
  <c r="AE3158" i="1"/>
  <c r="Y3158" i="1"/>
  <c r="AE3159" i="1"/>
  <c r="Y3159" i="1"/>
  <c r="AE3160" i="1"/>
  <c r="Y3160" i="1"/>
  <c r="AE3161" i="1"/>
  <c r="Y3161" i="1"/>
  <c r="AE3162" i="1"/>
  <c r="Y3162" i="1"/>
  <c r="AE3163" i="1"/>
  <c r="Y3163" i="1"/>
  <c r="AE3164" i="1"/>
  <c r="Y3164" i="1"/>
  <c r="AE3165" i="1"/>
  <c r="Y3165" i="1"/>
  <c r="AE3166" i="1"/>
  <c r="Y3166" i="1"/>
  <c r="AE3167" i="1"/>
  <c r="Y3167" i="1"/>
  <c r="AE3168" i="1"/>
  <c r="Y3168" i="1"/>
  <c r="AE3169" i="1"/>
  <c r="Y3169" i="1"/>
  <c r="AE3170" i="1"/>
  <c r="Y3170" i="1"/>
  <c r="AE3171" i="1"/>
  <c r="Y3171" i="1"/>
  <c r="AE3172" i="1"/>
  <c r="Y3172" i="1"/>
  <c r="AE3173" i="1"/>
  <c r="Y3173" i="1"/>
  <c r="AE3174" i="1"/>
  <c r="Y3174" i="1"/>
  <c r="AE3175" i="1"/>
  <c r="Y3175" i="1"/>
  <c r="AE3176" i="1"/>
  <c r="Y3176" i="1"/>
  <c r="AE3177" i="1"/>
  <c r="Y3177" i="1"/>
  <c r="AE3178" i="1"/>
  <c r="Y3178" i="1"/>
  <c r="AE3179" i="1"/>
  <c r="Y3179" i="1"/>
  <c r="AE3180" i="1"/>
  <c r="Y3180" i="1"/>
  <c r="AE3181" i="1"/>
  <c r="Y3181" i="1"/>
  <c r="AE3182" i="1"/>
  <c r="Y3182" i="1"/>
  <c r="AE3183" i="1"/>
  <c r="Y3183" i="1"/>
  <c r="AE3184" i="1"/>
  <c r="Y3184" i="1"/>
  <c r="AE3185" i="1"/>
  <c r="Y3185" i="1"/>
  <c r="AE3186" i="1"/>
  <c r="Y3186" i="1"/>
  <c r="AE3187" i="1"/>
  <c r="Y3187" i="1"/>
  <c r="AE3188" i="1"/>
  <c r="Y3188" i="1"/>
  <c r="AE3189" i="1"/>
  <c r="Y3189" i="1"/>
  <c r="AE3190" i="1"/>
  <c r="Y3190" i="1"/>
  <c r="AE3191" i="1"/>
  <c r="Y3191" i="1"/>
  <c r="AE3192" i="1"/>
  <c r="Y3192" i="1"/>
  <c r="AE3193" i="1"/>
  <c r="Y3193" i="1"/>
  <c r="AE3194" i="1"/>
  <c r="Y3194" i="1"/>
  <c r="AE3195" i="1"/>
  <c r="Y3195" i="1"/>
  <c r="AE3196" i="1"/>
  <c r="Y3196" i="1"/>
  <c r="AE3197" i="1"/>
  <c r="Y3197" i="1"/>
  <c r="AE3198" i="1"/>
  <c r="Y3198" i="1"/>
  <c r="AE3199" i="1"/>
  <c r="Y3199" i="1"/>
  <c r="AE3200" i="1"/>
  <c r="Y3200" i="1"/>
  <c r="AE3201" i="1"/>
  <c r="Y3201" i="1"/>
  <c r="AE3202" i="1"/>
  <c r="Y3202" i="1"/>
  <c r="AE3203" i="1"/>
  <c r="Y3203" i="1"/>
  <c r="AE3204" i="1"/>
  <c r="Y3204" i="1"/>
  <c r="AE3205" i="1"/>
  <c r="Y3205" i="1"/>
  <c r="AE3206" i="1"/>
  <c r="Y3206" i="1"/>
  <c r="AE3207" i="1"/>
  <c r="Y3207" i="1"/>
  <c r="AE3208" i="1"/>
  <c r="Y3208" i="1"/>
  <c r="AE3209" i="1"/>
  <c r="Y3209" i="1"/>
  <c r="AE3210" i="1"/>
  <c r="Y3210" i="1"/>
  <c r="AE3211" i="1"/>
  <c r="Y3211" i="1"/>
  <c r="AE3212" i="1"/>
  <c r="Y3212" i="1"/>
  <c r="AE3213" i="1"/>
  <c r="Y3213" i="1"/>
  <c r="AE3214" i="1"/>
  <c r="Y3214" i="1"/>
  <c r="AE3215" i="1"/>
  <c r="Y3215" i="1"/>
  <c r="AE3216" i="1"/>
  <c r="Y3216" i="1"/>
  <c r="AE3217" i="1"/>
  <c r="Y3217" i="1"/>
  <c r="AE3218" i="1"/>
  <c r="Y3218" i="1"/>
  <c r="AE3219" i="1"/>
  <c r="Y3219" i="1"/>
  <c r="AE3220" i="1"/>
  <c r="Y3220" i="1"/>
  <c r="AE3221" i="1"/>
  <c r="Y3221" i="1"/>
  <c r="AE3222" i="1"/>
  <c r="Y3222" i="1"/>
  <c r="AE3223" i="1"/>
  <c r="Y3223" i="1"/>
  <c r="AE3224" i="1"/>
  <c r="Y3224" i="1"/>
  <c r="AE3225" i="1"/>
  <c r="Y3225" i="1"/>
  <c r="AE3226" i="1"/>
  <c r="Y3226" i="1"/>
  <c r="AE3227" i="1"/>
  <c r="Y3227" i="1"/>
  <c r="AE3228" i="1"/>
  <c r="Y3228" i="1"/>
  <c r="AE3229" i="1"/>
  <c r="Y3229" i="1"/>
  <c r="AE3230" i="1"/>
  <c r="Y3230" i="1"/>
  <c r="AE3231" i="1"/>
  <c r="Y3231" i="1"/>
  <c r="AE3232" i="1"/>
  <c r="Y3232" i="1"/>
  <c r="AE3233" i="1"/>
  <c r="Y3233" i="1"/>
  <c r="AE3234" i="1"/>
  <c r="Y3234" i="1"/>
  <c r="AE3235" i="1"/>
  <c r="Y3235" i="1"/>
  <c r="AE3236" i="1"/>
  <c r="Y3236" i="1"/>
  <c r="AE3237" i="1"/>
  <c r="Y3237" i="1"/>
  <c r="AE3238" i="1"/>
  <c r="Y3238" i="1"/>
  <c r="AE3239" i="1"/>
  <c r="Y3239" i="1"/>
  <c r="AE3240" i="1"/>
  <c r="Y3240" i="1"/>
  <c r="AE3241" i="1"/>
  <c r="Y3241" i="1"/>
  <c r="AE3242" i="1"/>
  <c r="Y3242" i="1"/>
  <c r="AE3243" i="1"/>
  <c r="Y3243" i="1"/>
  <c r="AE3244" i="1"/>
  <c r="Y3244" i="1"/>
  <c r="AE3245" i="1"/>
  <c r="Y3245" i="1"/>
  <c r="AE3246" i="1"/>
  <c r="Y3246" i="1"/>
  <c r="AE3247" i="1"/>
  <c r="Y3247" i="1"/>
  <c r="AE3248" i="1"/>
  <c r="Y3248" i="1"/>
  <c r="AE3249" i="1"/>
  <c r="Y3249" i="1"/>
  <c r="AE3250" i="1"/>
  <c r="Y3250" i="1"/>
  <c r="AE3251" i="1"/>
  <c r="Y3251" i="1"/>
  <c r="AE3252" i="1"/>
  <c r="Y3252" i="1"/>
  <c r="AE3253" i="1"/>
  <c r="Y3253" i="1"/>
  <c r="AE3254" i="1"/>
  <c r="Y3254" i="1"/>
  <c r="AE3255" i="1"/>
  <c r="Y3255" i="1"/>
  <c r="AE3256" i="1"/>
  <c r="Y3256" i="1"/>
  <c r="AE3257" i="1"/>
  <c r="Y3257" i="1"/>
  <c r="AE3258" i="1"/>
  <c r="Y3258" i="1"/>
  <c r="AE3259" i="1"/>
  <c r="Y3259" i="1"/>
  <c r="AE3260" i="1"/>
  <c r="Y3260" i="1"/>
  <c r="AE3261" i="1"/>
  <c r="Y3261" i="1"/>
  <c r="AE3262" i="1"/>
  <c r="Y3262" i="1"/>
  <c r="AE3263" i="1"/>
  <c r="Y3263" i="1"/>
  <c r="AE3264" i="1"/>
  <c r="Y3264" i="1"/>
  <c r="AE3265" i="1"/>
  <c r="Y3265" i="1"/>
  <c r="AE3266" i="1"/>
  <c r="Y3266" i="1"/>
  <c r="AE3267" i="1"/>
  <c r="Y3267" i="1"/>
  <c r="AE3268" i="1"/>
  <c r="Y3268" i="1"/>
  <c r="AE3269" i="1"/>
  <c r="Y3269" i="1"/>
  <c r="AE3270" i="1"/>
  <c r="Y3270" i="1"/>
  <c r="AE3271" i="1"/>
  <c r="Y3271" i="1"/>
  <c r="AE3272" i="1"/>
  <c r="Y3272" i="1"/>
  <c r="AE3273" i="1"/>
  <c r="Y3273" i="1"/>
  <c r="AE3274" i="1"/>
  <c r="Y3274" i="1"/>
  <c r="AE3275" i="1"/>
  <c r="Y3275" i="1"/>
  <c r="AE3276" i="1"/>
  <c r="Y3276" i="1"/>
  <c r="AE3277" i="1"/>
  <c r="Y3277" i="1"/>
  <c r="AE3278" i="1"/>
  <c r="Y3278" i="1"/>
  <c r="AE3279" i="1"/>
  <c r="Y3279" i="1"/>
  <c r="AE3280" i="1"/>
  <c r="Y3280" i="1"/>
  <c r="AE3281" i="1"/>
  <c r="Y3281" i="1"/>
  <c r="AE3282" i="1"/>
  <c r="Y3282" i="1"/>
  <c r="AE3283" i="1"/>
  <c r="Y3283" i="1"/>
  <c r="AE3284" i="1"/>
  <c r="Y3284" i="1"/>
  <c r="AE3285" i="1"/>
  <c r="Y3285" i="1"/>
  <c r="AE3286" i="1"/>
  <c r="Y3286" i="1"/>
  <c r="AE3287" i="1"/>
  <c r="Y3287" i="1"/>
  <c r="AE3288" i="1"/>
  <c r="Y3288" i="1"/>
  <c r="AE3289" i="1"/>
  <c r="Y3289" i="1"/>
  <c r="AE3290" i="1"/>
  <c r="Y3290" i="1"/>
  <c r="AE3291" i="1"/>
  <c r="Y3291" i="1"/>
  <c r="AE3292" i="1"/>
  <c r="Y3292" i="1"/>
  <c r="AE3293" i="1"/>
  <c r="Y3293" i="1"/>
  <c r="AE3294" i="1"/>
  <c r="Y3294" i="1"/>
  <c r="AE3295" i="1"/>
  <c r="Y3295" i="1"/>
  <c r="AE3296" i="1"/>
  <c r="Y3296" i="1"/>
  <c r="AE3297" i="1"/>
  <c r="Y3297" i="1"/>
  <c r="AE3298" i="1"/>
  <c r="Y3298" i="1"/>
  <c r="AE3299" i="1"/>
  <c r="Y3299" i="1"/>
  <c r="AE3300" i="1"/>
  <c r="Y3300" i="1"/>
  <c r="AE3301" i="1"/>
  <c r="Y3301" i="1"/>
  <c r="AE3302" i="1"/>
  <c r="Y3302" i="1"/>
  <c r="AE3303" i="1"/>
  <c r="Y3303" i="1"/>
  <c r="AE3304" i="1"/>
  <c r="Y3304" i="1"/>
  <c r="AE3305" i="1"/>
  <c r="Y3305" i="1"/>
  <c r="AE3306" i="1"/>
  <c r="Y3306" i="1"/>
  <c r="AE3307" i="1"/>
  <c r="Y3307" i="1"/>
  <c r="AE3308" i="1"/>
  <c r="Y3308" i="1"/>
  <c r="AE3309" i="1"/>
  <c r="Y3309" i="1"/>
  <c r="AE3310" i="1"/>
  <c r="Y3310" i="1"/>
  <c r="AE3311" i="1"/>
  <c r="Y3311" i="1"/>
  <c r="AE3312" i="1"/>
  <c r="Y3312" i="1"/>
  <c r="AE3313" i="1"/>
  <c r="Y3313" i="1"/>
  <c r="AE3314" i="1"/>
  <c r="Y3314" i="1"/>
  <c r="AE3315" i="1"/>
  <c r="Y3315" i="1"/>
  <c r="AE3316" i="1"/>
  <c r="Y3316" i="1"/>
  <c r="AE3317" i="1"/>
  <c r="Y3317" i="1"/>
  <c r="AE3318" i="1"/>
  <c r="Y3318" i="1"/>
  <c r="AE3319" i="1"/>
  <c r="Y3319" i="1"/>
  <c r="AE3320" i="1"/>
  <c r="Y3320" i="1"/>
  <c r="AE3321" i="1"/>
  <c r="Y3321" i="1"/>
  <c r="AE3322" i="1"/>
  <c r="Y3322" i="1"/>
  <c r="AE3323" i="1"/>
  <c r="Y3323" i="1"/>
  <c r="AE3324" i="1"/>
  <c r="Y3324" i="1"/>
  <c r="AE3325" i="1"/>
  <c r="Y3325" i="1"/>
  <c r="AE3326" i="1"/>
  <c r="Y3326" i="1"/>
  <c r="AE3327" i="1"/>
  <c r="Y3327" i="1"/>
  <c r="AE3328" i="1"/>
  <c r="Y3328" i="1"/>
  <c r="AE3329" i="1"/>
  <c r="Y3329" i="1"/>
  <c r="AE3330" i="1"/>
  <c r="Y3330" i="1"/>
  <c r="AE3331" i="1"/>
  <c r="Y3331" i="1"/>
  <c r="AE3332" i="1"/>
  <c r="Y3332" i="1"/>
  <c r="AE3333" i="1"/>
  <c r="Y3333" i="1"/>
  <c r="AE3334" i="1"/>
  <c r="Y3334" i="1"/>
  <c r="AE3335" i="1"/>
  <c r="Y3335" i="1"/>
  <c r="AE3336" i="1"/>
  <c r="Y3336" i="1"/>
  <c r="AE3337" i="1"/>
  <c r="Y3337" i="1"/>
  <c r="AE3338" i="1"/>
  <c r="Y3338" i="1"/>
  <c r="AE3339" i="1"/>
  <c r="Y3339" i="1"/>
  <c r="AE3340" i="1"/>
  <c r="Y3340" i="1"/>
  <c r="AE3341" i="1"/>
  <c r="Y3341" i="1"/>
  <c r="AE3342" i="1"/>
  <c r="Y3342" i="1"/>
  <c r="AE3343" i="1"/>
  <c r="Y3343" i="1"/>
  <c r="AE3344" i="1"/>
  <c r="Y3344" i="1"/>
  <c r="AE3345" i="1"/>
  <c r="Y3345" i="1"/>
  <c r="AE3346" i="1"/>
  <c r="Y3346" i="1"/>
  <c r="AE3347" i="1"/>
  <c r="Y3347" i="1"/>
  <c r="AE3348" i="1"/>
  <c r="Y3348" i="1"/>
  <c r="AE3349" i="1"/>
  <c r="Y3349" i="1"/>
  <c r="AE3350" i="1"/>
  <c r="Y3350" i="1"/>
  <c r="AE3351" i="1"/>
  <c r="Y3351" i="1"/>
  <c r="AE3352" i="1"/>
  <c r="Y3352" i="1"/>
  <c r="AE3353" i="1"/>
  <c r="Y3353" i="1"/>
  <c r="AE3354" i="1"/>
  <c r="Y3354" i="1"/>
  <c r="AE3355" i="1"/>
  <c r="Y3355" i="1"/>
  <c r="AE3356" i="1"/>
  <c r="Y3356" i="1"/>
  <c r="AE3357" i="1"/>
  <c r="Y3357" i="1"/>
  <c r="AE3358" i="1"/>
  <c r="Y3358" i="1"/>
  <c r="AE3359" i="1"/>
  <c r="Y3359" i="1"/>
  <c r="AE3360" i="1"/>
  <c r="Y3360" i="1"/>
  <c r="AE3361" i="1"/>
  <c r="Y3361" i="1"/>
  <c r="AE3362" i="1"/>
  <c r="Y3362" i="1"/>
  <c r="AE3363" i="1"/>
  <c r="Y3363" i="1"/>
  <c r="AE3364" i="1"/>
  <c r="Y3364" i="1"/>
  <c r="AE3365" i="1"/>
  <c r="Y3365" i="1"/>
  <c r="AE3366" i="1"/>
  <c r="Y3366" i="1"/>
  <c r="AE3367" i="1"/>
  <c r="Y3367" i="1"/>
  <c r="AE3368" i="1"/>
  <c r="Y3368" i="1"/>
  <c r="AE3369" i="1"/>
  <c r="Y3369" i="1"/>
  <c r="AE3370" i="1"/>
  <c r="Y3370" i="1"/>
  <c r="AE3371" i="1"/>
  <c r="Y3371" i="1"/>
  <c r="AE3372" i="1"/>
  <c r="Y3372" i="1"/>
  <c r="AE3373" i="1"/>
  <c r="Y3373" i="1"/>
  <c r="AE3374" i="1"/>
  <c r="Y3374" i="1"/>
  <c r="AE3375" i="1"/>
  <c r="Y3375" i="1"/>
  <c r="AE3376" i="1"/>
  <c r="Y3376" i="1"/>
  <c r="AE3377" i="1"/>
  <c r="Y3377" i="1"/>
  <c r="AE3378" i="1"/>
  <c r="Y3378" i="1"/>
  <c r="AE3379" i="1"/>
  <c r="Y3379" i="1"/>
  <c r="AE3380" i="1"/>
  <c r="Y3380" i="1"/>
  <c r="AE3381" i="1"/>
  <c r="Y3381" i="1"/>
  <c r="AE3382" i="1"/>
  <c r="Y3382" i="1"/>
  <c r="AE3383" i="1"/>
  <c r="Y3383" i="1"/>
  <c r="AE3384" i="1"/>
  <c r="Y3384" i="1"/>
  <c r="AE3385" i="1"/>
  <c r="Y3385" i="1"/>
  <c r="AE3386" i="1"/>
  <c r="Y3386" i="1"/>
  <c r="AE3387" i="1"/>
  <c r="Y3387" i="1"/>
  <c r="AE3388" i="1"/>
  <c r="Y3388" i="1"/>
  <c r="AE3389" i="1"/>
  <c r="Y3389" i="1"/>
  <c r="AE3390" i="1"/>
  <c r="Y3390" i="1"/>
  <c r="AE3391" i="1"/>
  <c r="Y3391" i="1"/>
  <c r="AE3392" i="1"/>
  <c r="Y3392" i="1"/>
  <c r="AE3393" i="1"/>
  <c r="Y3393" i="1"/>
  <c r="AE3394" i="1"/>
  <c r="Y3394" i="1"/>
  <c r="AE3395" i="1"/>
  <c r="Y3395" i="1"/>
  <c r="AE3396" i="1"/>
  <c r="Y3396" i="1"/>
  <c r="AE3397" i="1"/>
  <c r="Y3397" i="1"/>
  <c r="AE3398" i="1"/>
  <c r="Y3398" i="1"/>
  <c r="AE3399" i="1"/>
  <c r="Y3399" i="1"/>
  <c r="AE3400" i="1"/>
  <c r="Y3400" i="1"/>
  <c r="AE3401" i="1"/>
  <c r="Y3401" i="1"/>
  <c r="AE3402" i="1"/>
  <c r="Y3402" i="1"/>
  <c r="AE3403" i="1"/>
  <c r="Y3403" i="1"/>
  <c r="AE3404" i="1"/>
  <c r="Y3404" i="1"/>
  <c r="AE3405" i="1"/>
  <c r="Y3405" i="1"/>
  <c r="AE3406" i="1"/>
  <c r="Y3406" i="1"/>
  <c r="AE3407" i="1"/>
  <c r="Y3407" i="1"/>
  <c r="AE3408" i="1"/>
  <c r="Y3408" i="1"/>
  <c r="AE3409" i="1"/>
  <c r="Y3409" i="1"/>
  <c r="AE3410" i="1"/>
  <c r="Y3410" i="1"/>
  <c r="AE3411" i="1"/>
  <c r="Y3411" i="1"/>
  <c r="AE3412" i="1"/>
  <c r="Y3412" i="1"/>
  <c r="AE3413" i="1"/>
  <c r="Y3413" i="1"/>
  <c r="AE3414" i="1"/>
  <c r="Y3414" i="1"/>
  <c r="AE3415" i="1"/>
  <c r="Y3415" i="1"/>
  <c r="AE3416" i="1"/>
  <c r="Y3416" i="1"/>
  <c r="AE3417" i="1"/>
  <c r="Y3417" i="1"/>
  <c r="AE3418" i="1"/>
  <c r="Y3418" i="1"/>
  <c r="AE3419" i="1"/>
  <c r="Y3419" i="1"/>
  <c r="AE3420" i="1"/>
  <c r="Y3420" i="1"/>
  <c r="AE3421" i="1"/>
  <c r="Y3421" i="1"/>
  <c r="AE3422" i="1"/>
  <c r="Y3422" i="1"/>
  <c r="AE3423" i="1"/>
  <c r="Y3423" i="1"/>
  <c r="AE3424" i="1"/>
  <c r="Y3424" i="1"/>
  <c r="AE3425" i="1"/>
  <c r="Y3425" i="1"/>
  <c r="AE3426" i="1"/>
  <c r="Y3426" i="1"/>
  <c r="AE3427" i="1"/>
  <c r="Y3427" i="1"/>
  <c r="AE3428" i="1"/>
  <c r="Y3428" i="1"/>
  <c r="AE3429" i="1"/>
  <c r="Y3429" i="1"/>
  <c r="AE3430" i="1"/>
  <c r="Y3430" i="1"/>
  <c r="AE3431" i="1"/>
  <c r="Y3431" i="1"/>
  <c r="AE3432" i="1"/>
  <c r="Y3432" i="1"/>
  <c r="AE3433" i="1"/>
  <c r="Y3433" i="1"/>
  <c r="AE3434" i="1"/>
  <c r="Y3434" i="1"/>
  <c r="AE3435" i="1"/>
  <c r="Y3435" i="1"/>
  <c r="AE3436" i="1"/>
  <c r="Y3436" i="1"/>
  <c r="AE3437" i="1"/>
  <c r="Y3437" i="1"/>
  <c r="AE3438" i="1"/>
  <c r="Y3438" i="1"/>
  <c r="AE3439" i="1"/>
  <c r="Y3439" i="1"/>
  <c r="AE3440" i="1"/>
  <c r="Y3440" i="1"/>
  <c r="AE3441" i="1"/>
  <c r="Y3441" i="1"/>
  <c r="AE3442" i="1"/>
  <c r="Y3442" i="1"/>
  <c r="AE3443" i="1"/>
  <c r="Y3443" i="1"/>
  <c r="AE3444" i="1"/>
  <c r="Y3444" i="1"/>
  <c r="AE3445" i="1"/>
  <c r="Y3445" i="1"/>
  <c r="AE3446" i="1"/>
  <c r="Y3446" i="1"/>
  <c r="AE3447" i="1"/>
  <c r="Y3447" i="1"/>
  <c r="AE3448" i="1"/>
  <c r="Y3448" i="1"/>
  <c r="AE3449" i="1"/>
  <c r="Y3449" i="1"/>
  <c r="AE3450" i="1"/>
  <c r="Y3450" i="1"/>
  <c r="AE3451" i="1"/>
  <c r="Y3451" i="1"/>
  <c r="AE3452" i="1"/>
  <c r="Y3452" i="1"/>
  <c r="AE3453" i="1"/>
  <c r="Y3453" i="1"/>
  <c r="AE3454" i="1"/>
  <c r="Y3454" i="1"/>
  <c r="AE3455" i="1"/>
  <c r="Y3455" i="1"/>
  <c r="AE3456" i="1"/>
  <c r="Y3456" i="1"/>
  <c r="AE3457" i="1"/>
  <c r="Y3457" i="1"/>
  <c r="AE3458" i="1"/>
  <c r="Y3458" i="1"/>
  <c r="AE3459" i="1"/>
  <c r="Y3459" i="1"/>
  <c r="AE3460" i="1"/>
  <c r="Y3460" i="1"/>
  <c r="AE3461" i="1"/>
  <c r="Y3461" i="1"/>
  <c r="AE3462" i="1"/>
  <c r="Y3462" i="1"/>
  <c r="AE3463" i="1"/>
  <c r="Y3463" i="1"/>
  <c r="AE3464" i="1"/>
  <c r="Y3464" i="1"/>
  <c r="AE3465" i="1"/>
  <c r="Y3465" i="1"/>
  <c r="AE3466" i="1"/>
  <c r="Y3466" i="1"/>
  <c r="AE3467" i="1"/>
  <c r="Y3467" i="1"/>
  <c r="AE3468" i="1"/>
  <c r="Y3468" i="1"/>
  <c r="AE3469" i="1"/>
  <c r="Y3469" i="1"/>
  <c r="AE3470" i="1"/>
  <c r="Y3470" i="1"/>
  <c r="AE3471" i="1"/>
  <c r="Y3471" i="1"/>
  <c r="AE3472" i="1"/>
  <c r="Y3472" i="1"/>
  <c r="AE3473" i="1"/>
  <c r="Y3473" i="1"/>
  <c r="AE3474" i="1"/>
  <c r="Y3474" i="1"/>
  <c r="AE3475" i="1"/>
  <c r="Y3475" i="1"/>
  <c r="AE3476" i="1"/>
  <c r="Y3476" i="1"/>
  <c r="AE3477" i="1"/>
  <c r="Y3477" i="1"/>
  <c r="AE3478" i="1"/>
  <c r="Y3478" i="1"/>
  <c r="AE3479" i="1"/>
  <c r="Y3479" i="1"/>
  <c r="AE3480" i="1"/>
  <c r="Y3480" i="1"/>
  <c r="AE3481" i="1"/>
  <c r="Y3481" i="1"/>
  <c r="AE3482" i="1"/>
  <c r="Y3482" i="1"/>
  <c r="AE3483" i="1"/>
  <c r="Y3483" i="1"/>
  <c r="AE3484" i="1"/>
  <c r="Y3484" i="1"/>
  <c r="AE3485" i="1"/>
  <c r="Y3485" i="1"/>
  <c r="AE3486" i="1"/>
  <c r="Y3486" i="1"/>
  <c r="AE3487" i="1"/>
  <c r="Y3487" i="1"/>
  <c r="AE3488" i="1"/>
  <c r="Y3488" i="1"/>
  <c r="AE3489" i="1"/>
  <c r="Y3489" i="1"/>
  <c r="AE3490" i="1"/>
  <c r="Y3490" i="1"/>
  <c r="AE3491" i="1"/>
  <c r="Y3491" i="1"/>
  <c r="AE3492" i="1"/>
  <c r="Y3492" i="1"/>
  <c r="AE3493" i="1"/>
  <c r="Y3493" i="1"/>
  <c r="AE3494" i="1"/>
  <c r="Y3494" i="1"/>
  <c r="AE3495" i="1"/>
  <c r="Y3495" i="1"/>
  <c r="AE3496" i="1"/>
  <c r="Y3496" i="1"/>
  <c r="AE3497" i="1"/>
  <c r="Y3497" i="1"/>
  <c r="AE3498" i="1"/>
  <c r="Y3498" i="1"/>
  <c r="AE3499" i="1"/>
  <c r="Y3499" i="1"/>
  <c r="AE3500" i="1"/>
  <c r="Y3500" i="1"/>
  <c r="AE3501" i="1"/>
  <c r="Y3501" i="1"/>
  <c r="AE3502" i="1"/>
  <c r="Y3502" i="1"/>
  <c r="AE3503" i="1"/>
  <c r="Y3503" i="1"/>
  <c r="AE3504" i="1"/>
  <c r="Y3504" i="1"/>
  <c r="AE3505" i="1"/>
  <c r="Y3505" i="1"/>
  <c r="AE3506" i="1"/>
  <c r="Y3506" i="1"/>
  <c r="AE3507" i="1"/>
  <c r="Y3507" i="1"/>
  <c r="AE3508" i="1"/>
  <c r="Y3508" i="1"/>
  <c r="AE3509" i="1"/>
  <c r="Y3509" i="1"/>
  <c r="AE3510" i="1"/>
  <c r="Y3510" i="1"/>
  <c r="AE3511" i="1"/>
  <c r="Y3511" i="1"/>
  <c r="AE3512" i="1"/>
  <c r="Y3512" i="1"/>
  <c r="AE3513" i="1"/>
  <c r="Y3513" i="1"/>
  <c r="AE3514" i="1"/>
  <c r="Y3514" i="1"/>
  <c r="AE3515" i="1"/>
  <c r="Y3515" i="1"/>
  <c r="AE3516" i="1"/>
  <c r="Y3516" i="1"/>
  <c r="AE3517" i="1"/>
  <c r="Y3517" i="1"/>
  <c r="AE3518" i="1"/>
  <c r="Y3518" i="1"/>
  <c r="AE3519" i="1"/>
  <c r="Y3519" i="1"/>
  <c r="AE3520" i="1"/>
  <c r="Y3520" i="1"/>
  <c r="AE3521" i="1"/>
  <c r="Y3521" i="1"/>
  <c r="AE3522" i="1"/>
  <c r="Y3522" i="1"/>
  <c r="AE3523" i="1"/>
  <c r="Y3523" i="1"/>
  <c r="AE3524" i="1"/>
  <c r="Y3524" i="1"/>
  <c r="AE3525" i="1"/>
  <c r="Y3525" i="1"/>
  <c r="AE3526" i="1"/>
  <c r="Y3526" i="1"/>
  <c r="AE3527" i="1"/>
  <c r="Y3527" i="1"/>
  <c r="AE3528" i="1"/>
  <c r="Y3528" i="1"/>
  <c r="AE3529" i="1"/>
  <c r="Y3529" i="1"/>
  <c r="AE3530" i="1"/>
  <c r="Y3530" i="1"/>
  <c r="AE3531" i="1"/>
  <c r="Y3531" i="1"/>
  <c r="AE3532" i="1"/>
  <c r="Y3532" i="1"/>
  <c r="AE3533" i="1"/>
  <c r="Y3533" i="1"/>
  <c r="AE3534" i="1"/>
  <c r="Y3534" i="1"/>
  <c r="AE3535" i="1"/>
  <c r="Y3535" i="1"/>
  <c r="AE3536" i="1"/>
  <c r="Y3536" i="1"/>
  <c r="AE3537" i="1"/>
  <c r="Y3537" i="1"/>
  <c r="AE3538" i="1"/>
  <c r="Y3538" i="1"/>
  <c r="AE3539" i="1"/>
  <c r="Y3539" i="1"/>
  <c r="AE3540" i="1"/>
  <c r="Y3540" i="1"/>
  <c r="AE3541" i="1"/>
  <c r="Y3541" i="1"/>
  <c r="AE3542" i="1"/>
  <c r="Y3542" i="1"/>
  <c r="AE3543" i="1"/>
  <c r="Y3543" i="1"/>
  <c r="AE3544" i="1"/>
  <c r="Y3544" i="1"/>
  <c r="AE3545" i="1"/>
  <c r="Y3545" i="1"/>
  <c r="AE3546" i="1"/>
  <c r="Y3546" i="1"/>
  <c r="AE3547" i="1"/>
  <c r="Y3547" i="1"/>
  <c r="AE3548" i="1"/>
  <c r="Y3548" i="1"/>
  <c r="AE3549" i="1"/>
  <c r="Y3549" i="1"/>
  <c r="AE3550" i="1"/>
  <c r="Y3550" i="1"/>
  <c r="AE3551" i="1"/>
  <c r="Y3551" i="1"/>
  <c r="AE3552" i="1"/>
  <c r="Y3552" i="1"/>
  <c r="AE3553" i="1"/>
  <c r="Y3553" i="1"/>
  <c r="AE3554" i="1"/>
  <c r="Y3554" i="1"/>
  <c r="AE3555" i="1"/>
  <c r="Y3555" i="1"/>
  <c r="AE3556" i="1"/>
  <c r="Y3556" i="1"/>
  <c r="AE3557" i="1"/>
  <c r="Y3557" i="1"/>
  <c r="AE3558" i="1"/>
  <c r="Y3558" i="1"/>
  <c r="AE3559" i="1"/>
  <c r="Y3559" i="1"/>
  <c r="AE3560" i="1"/>
  <c r="Y3560" i="1"/>
  <c r="AE3561" i="1"/>
  <c r="Y3561" i="1"/>
  <c r="AE3562" i="1"/>
  <c r="Y3562" i="1"/>
  <c r="AE3563" i="1"/>
  <c r="Y3563" i="1"/>
  <c r="AE3564" i="1"/>
  <c r="Y3564" i="1"/>
  <c r="AE3565" i="1"/>
  <c r="Y3565" i="1"/>
  <c r="AE3566" i="1"/>
  <c r="Y3566" i="1"/>
  <c r="AE3567" i="1"/>
  <c r="Y3567" i="1"/>
  <c r="AE3568" i="1"/>
  <c r="Y3568" i="1"/>
  <c r="AE3569" i="1"/>
  <c r="Y3569" i="1"/>
  <c r="AE3570" i="1"/>
  <c r="Y3570" i="1"/>
  <c r="AE3571" i="1"/>
  <c r="Y3571" i="1"/>
  <c r="AE3572" i="1"/>
  <c r="Y3572" i="1"/>
  <c r="AE3573" i="1"/>
  <c r="Y3573" i="1"/>
  <c r="AE3574" i="1"/>
  <c r="Y3574" i="1"/>
  <c r="AE3575" i="1"/>
  <c r="Y3575" i="1"/>
  <c r="AE3576" i="1"/>
  <c r="Y3576" i="1"/>
  <c r="AE3577" i="1"/>
  <c r="Y3577" i="1"/>
  <c r="AE3578" i="1"/>
  <c r="Y3578" i="1"/>
  <c r="AE3579" i="1"/>
  <c r="Y3579" i="1"/>
  <c r="AE3580" i="1"/>
  <c r="Y3580" i="1"/>
  <c r="AE3581" i="1"/>
  <c r="Y3581" i="1"/>
  <c r="AE3582" i="1"/>
  <c r="Y3582" i="1"/>
  <c r="AE3583" i="1"/>
  <c r="Y3583" i="1"/>
  <c r="AE3584" i="1"/>
  <c r="Y3584" i="1"/>
  <c r="AE3585" i="1"/>
  <c r="Y3585" i="1"/>
  <c r="AE3586" i="1"/>
  <c r="Y3586" i="1"/>
  <c r="AE3587" i="1"/>
  <c r="Y3587" i="1"/>
  <c r="AE3588" i="1"/>
  <c r="Y3588" i="1"/>
  <c r="AE3589" i="1"/>
  <c r="Y3589" i="1"/>
  <c r="AE3590" i="1"/>
  <c r="Y3590" i="1"/>
  <c r="AE3591" i="1"/>
  <c r="Y3591" i="1"/>
  <c r="AE3592" i="1"/>
  <c r="Y3592" i="1"/>
  <c r="AE3593" i="1"/>
  <c r="Y3593" i="1"/>
  <c r="AE3594" i="1"/>
  <c r="Y3594" i="1"/>
  <c r="AE3595" i="1"/>
  <c r="Y3595" i="1"/>
  <c r="AE3596" i="1"/>
  <c r="Y3596" i="1"/>
  <c r="AE3597" i="1"/>
  <c r="Y3597" i="1"/>
  <c r="AE3598" i="1"/>
  <c r="Y3598" i="1"/>
  <c r="AE3599" i="1"/>
  <c r="Y3599" i="1"/>
  <c r="AE3600" i="1"/>
  <c r="Y3600" i="1"/>
  <c r="AE3601" i="1"/>
  <c r="Y3601" i="1"/>
  <c r="AE3602" i="1"/>
  <c r="Y3602" i="1"/>
  <c r="AE3603" i="1"/>
  <c r="Y3603" i="1"/>
  <c r="AE3604" i="1"/>
  <c r="Y3604" i="1"/>
  <c r="AE3605" i="1"/>
  <c r="Y3605" i="1"/>
  <c r="AE3606" i="1"/>
  <c r="Y3606" i="1"/>
  <c r="AE3607" i="1"/>
  <c r="Y3607" i="1"/>
  <c r="AE3608" i="1"/>
  <c r="Y3608" i="1"/>
  <c r="AE3609" i="1"/>
  <c r="Y3609" i="1"/>
  <c r="AE3610" i="1"/>
  <c r="Y3610" i="1"/>
  <c r="AE3611" i="1"/>
  <c r="Y3611" i="1"/>
  <c r="AE3612" i="1"/>
  <c r="Y3612" i="1"/>
  <c r="AE3613" i="1"/>
  <c r="Y3613" i="1"/>
  <c r="AE3614" i="1"/>
  <c r="Y3614" i="1"/>
  <c r="AE3615" i="1"/>
  <c r="Y3615" i="1"/>
  <c r="AE3616" i="1"/>
  <c r="Y3616" i="1"/>
  <c r="AE3617" i="1"/>
  <c r="Y3617" i="1"/>
  <c r="AE3618" i="1"/>
  <c r="Y3618" i="1"/>
  <c r="AE3619" i="1"/>
  <c r="Y3619" i="1"/>
  <c r="AE3620" i="1"/>
  <c r="Y3620" i="1"/>
  <c r="AE3621" i="1"/>
  <c r="Y3621" i="1"/>
  <c r="AE3622" i="1"/>
  <c r="Y3622" i="1"/>
  <c r="AE3623" i="1"/>
  <c r="Y3623" i="1"/>
  <c r="AE3624" i="1"/>
  <c r="Y3624" i="1"/>
  <c r="AE3625" i="1"/>
  <c r="Y3625" i="1"/>
  <c r="AE3626" i="1"/>
  <c r="Y3626" i="1"/>
  <c r="AE3627" i="1"/>
  <c r="Y3627" i="1"/>
  <c r="AE3628" i="1"/>
  <c r="Y3628" i="1"/>
  <c r="AE3629" i="1"/>
  <c r="Y3629" i="1"/>
  <c r="AE3630" i="1"/>
  <c r="Y3630" i="1"/>
  <c r="AE3631" i="1"/>
  <c r="Y3631" i="1"/>
  <c r="AE3632" i="1"/>
  <c r="Y3632" i="1"/>
  <c r="AE3633" i="1"/>
  <c r="Y3633" i="1"/>
  <c r="AE3634" i="1"/>
  <c r="Y3634" i="1"/>
  <c r="AE3635" i="1"/>
  <c r="Y3635" i="1"/>
  <c r="AE3636" i="1"/>
  <c r="Y3636" i="1"/>
  <c r="AE3637" i="1"/>
  <c r="Y3637" i="1"/>
  <c r="AE3638" i="1"/>
  <c r="Y3638" i="1"/>
  <c r="AE3639" i="1"/>
  <c r="Y3639" i="1"/>
  <c r="AE3640" i="1"/>
  <c r="Y3640" i="1"/>
  <c r="AE3641" i="1"/>
  <c r="Y3641" i="1"/>
  <c r="AE3642" i="1"/>
  <c r="Y3642" i="1"/>
  <c r="AE3643" i="1"/>
  <c r="Y3643" i="1"/>
  <c r="AE3644" i="1"/>
  <c r="Y3644" i="1"/>
  <c r="AE3645" i="1"/>
  <c r="Y3645" i="1"/>
  <c r="AE3646" i="1"/>
  <c r="Y3646" i="1"/>
  <c r="AE3647" i="1"/>
  <c r="Y3647" i="1"/>
  <c r="AE3648" i="1"/>
  <c r="Y3648" i="1"/>
  <c r="AE3649" i="1"/>
  <c r="Y3649" i="1"/>
  <c r="AE3650" i="1"/>
  <c r="Y3650" i="1"/>
  <c r="AE3651" i="1"/>
  <c r="Y3651" i="1"/>
  <c r="AE3652" i="1"/>
  <c r="Y3652" i="1"/>
  <c r="AE3653" i="1"/>
  <c r="Y3653" i="1"/>
  <c r="AE3654" i="1"/>
  <c r="Y3654" i="1"/>
  <c r="AE3655" i="1"/>
  <c r="Y3655" i="1"/>
  <c r="AE3656" i="1"/>
  <c r="Y3656" i="1"/>
  <c r="AE3657" i="1"/>
  <c r="Y3657" i="1"/>
  <c r="AE3658" i="1"/>
  <c r="Y3658" i="1"/>
  <c r="AE3659" i="1"/>
  <c r="Y3659" i="1"/>
  <c r="AE3660" i="1"/>
  <c r="Y3660" i="1"/>
  <c r="AE3661" i="1"/>
  <c r="Y3661" i="1"/>
  <c r="AE3662" i="1"/>
  <c r="Y3662" i="1"/>
  <c r="AE3663" i="1"/>
  <c r="Y3663" i="1"/>
  <c r="AE3664" i="1"/>
  <c r="Y3664" i="1"/>
  <c r="AE3665" i="1"/>
  <c r="Y3665" i="1"/>
  <c r="AE3666" i="1"/>
  <c r="Y3666" i="1"/>
  <c r="AE3667" i="1"/>
  <c r="Y3667" i="1"/>
  <c r="AE3668" i="1"/>
  <c r="Y3668" i="1"/>
  <c r="AE3669" i="1"/>
  <c r="Y3669" i="1"/>
  <c r="AE3670" i="1"/>
  <c r="Y3670" i="1"/>
  <c r="AE3671" i="1"/>
  <c r="Y3671" i="1"/>
  <c r="AE3672" i="1"/>
  <c r="Y3672" i="1"/>
  <c r="AE3673" i="1"/>
  <c r="Y3673" i="1"/>
  <c r="AE3674" i="1"/>
  <c r="Y3674" i="1"/>
  <c r="AE3675" i="1"/>
  <c r="Y3675" i="1"/>
  <c r="AE3676" i="1"/>
  <c r="Y3676" i="1"/>
  <c r="AE3677" i="1"/>
  <c r="Y3677" i="1"/>
  <c r="AE3678" i="1"/>
  <c r="Y3678" i="1"/>
  <c r="AE3679" i="1"/>
  <c r="Y3679" i="1"/>
  <c r="AE3680" i="1"/>
  <c r="Y3680" i="1"/>
  <c r="AE3681" i="1"/>
  <c r="Y3681" i="1"/>
  <c r="AE3682" i="1"/>
  <c r="Y3682" i="1"/>
  <c r="AE3683" i="1"/>
  <c r="Y3683" i="1"/>
  <c r="AE3684" i="1"/>
  <c r="Y3684" i="1"/>
  <c r="AE3685" i="1"/>
  <c r="Y3685" i="1"/>
  <c r="AE3686" i="1"/>
  <c r="Y3686" i="1"/>
  <c r="AE3687" i="1"/>
  <c r="Y3687" i="1"/>
  <c r="AE3688" i="1"/>
  <c r="Y3688" i="1"/>
  <c r="AE3689" i="1"/>
  <c r="Y3689" i="1"/>
  <c r="AE3690" i="1"/>
  <c r="Y3690" i="1"/>
  <c r="AE3691" i="1"/>
  <c r="Y3691" i="1"/>
  <c r="AE3692" i="1"/>
  <c r="Y3692" i="1"/>
  <c r="AE3693" i="1"/>
  <c r="Y3693" i="1"/>
  <c r="AE3694" i="1"/>
  <c r="Y3694" i="1"/>
  <c r="AE3695" i="1"/>
  <c r="Y3695" i="1"/>
  <c r="AE3696" i="1"/>
  <c r="Y3696" i="1"/>
  <c r="AE3697" i="1"/>
  <c r="Y3697" i="1"/>
  <c r="AE3698" i="1"/>
  <c r="Y3698" i="1"/>
  <c r="AE3699" i="1"/>
  <c r="Y3699" i="1"/>
  <c r="AE3700" i="1"/>
  <c r="Y3700" i="1"/>
  <c r="AE3701" i="1"/>
  <c r="Y3701" i="1"/>
  <c r="AE3702" i="1"/>
  <c r="Y3702" i="1"/>
  <c r="AE3703" i="1"/>
  <c r="Y3703" i="1"/>
  <c r="AE3704" i="1"/>
  <c r="Y3704" i="1"/>
  <c r="AE3705" i="1"/>
  <c r="Y3705" i="1"/>
  <c r="AE3706" i="1"/>
  <c r="Y3706" i="1"/>
  <c r="AE3707" i="1"/>
  <c r="Y3707" i="1"/>
  <c r="AE3708" i="1"/>
  <c r="Y3708" i="1"/>
  <c r="AE3709" i="1"/>
  <c r="Y3709" i="1"/>
  <c r="AE3710" i="1"/>
  <c r="Y3710" i="1"/>
  <c r="AE3711" i="1"/>
  <c r="Y3711" i="1"/>
  <c r="AE3712" i="1"/>
  <c r="Y3712" i="1"/>
  <c r="AE3713" i="1"/>
  <c r="Y3713" i="1"/>
  <c r="AE3714" i="1"/>
  <c r="Y3714" i="1"/>
  <c r="AE3715" i="1"/>
  <c r="Y3715" i="1"/>
  <c r="AE3716" i="1"/>
  <c r="Y3716" i="1"/>
  <c r="AE3717" i="1"/>
  <c r="Y3717" i="1"/>
  <c r="AE3718" i="1"/>
  <c r="Y3718" i="1"/>
  <c r="AE3719" i="1"/>
  <c r="Y3719" i="1"/>
  <c r="AE3720" i="1"/>
  <c r="Y3720" i="1"/>
  <c r="AE3721" i="1"/>
  <c r="Y3721" i="1"/>
  <c r="AE3722" i="1"/>
  <c r="Y3722" i="1"/>
  <c r="AE3723" i="1"/>
  <c r="Y3723" i="1"/>
  <c r="AE3724" i="1"/>
  <c r="Y3724" i="1"/>
  <c r="AE3725" i="1"/>
  <c r="Y3725" i="1"/>
  <c r="AE3726" i="1"/>
  <c r="Y3726" i="1"/>
  <c r="AE3727" i="1"/>
  <c r="Y3727" i="1"/>
  <c r="AE3728" i="1"/>
  <c r="Y3728" i="1"/>
  <c r="AE3729" i="1"/>
  <c r="Y3729" i="1"/>
  <c r="AE3730" i="1"/>
  <c r="Y3730" i="1"/>
  <c r="AE3731" i="1"/>
  <c r="Y3731" i="1"/>
  <c r="AE3732" i="1"/>
  <c r="Y3732" i="1"/>
  <c r="AE3733" i="1"/>
  <c r="Y3733" i="1"/>
  <c r="AE3734" i="1"/>
  <c r="Y3734" i="1"/>
  <c r="AE3735" i="1"/>
  <c r="Y3735" i="1"/>
  <c r="AE3736" i="1"/>
  <c r="Y3736" i="1"/>
  <c r="AE3737" i="1"/>
  <c r="Y3737" i="1"/>
  <c r="AE3738" i="1"/>
  <c r="Y3738" i="1"/>
  <c r="AE3739" i="1"/>
  <c r="Y3739" i="1"/>
  <c r="AE3740" i="1"/>
  <c r="Y3740" i="1"/>
  <c r="AE3741" i="1"/>
  <c r="Y3741" i="1"/>
  <c r="AE3742" i="1"/>
  <c r="Y3742" i="1"/>
  <c r="AE3743" i="1"/>
  <c r="Y3743" i="1"/>
  <c r="AE3744" i="1"/>
  <c r="Y3744" i="1"/>
  <c r="AE3745" i="1"/>
  <c r="Y3745" i="1"/>
  <c r="AE3746" i="1"/>
  <c r="Y3746" i="1"/>
  <c r="AE3747" i="1"/>
  <c r="Y3747" i="1"/>
  <c r="AE3748" i="1"/>
  <c r="Y3748" i="1"/>
  <c r="AE3749" i="1"/>
  <c r="Y3749" i="1"/>
  <c r="AE3750" i="1"/>
  <c r="Y3750" i="1"/>
  <c r="AE3751" i="1"/>
  <c r="Y3751" i="1"/>
  <c r="AE3752" i="1"/>
  <c r="Y3752" i="1"/>
  <c r="AE3753" i="1"/>
  <c r="Y3753" i="1"/>
  <c r="AE3754" i="1"/>
  <c r="Y3754" i="1"/>
  <c r="AE3755" i="1"/>
  <c r="Y3755" i="1"/>
  <c r="AE3756" i="1"/>
  <c r="Y3756" i="1"/>
  <c r="AE3757" i="1"/>
  <c r="Y3757" i="1"/>
  <c r="AE3758" i="1"/>
  <c r="Y3758" i="1"/>
  <c r="AE3759" i="1"/>
  <c r="Y3759" i="1"/>
  <c r="AE3760" i="1"/>
  <c r="Y3760" i="1"/>
  <c r="AE3761" i="1"/>
  <c r="Y3761" i="1"/>
  <c r="AE3762" i="1"/>
  <c r="Y3762" i="1"/>
  <c r="AE3763" i="1"/>
  <c r="Y3763" i="1"/>
  <c r="AE3764" i="1"/>
  <c r="Y3764" i="1"/>
  <c r="AE3765" i="1"/>
  <c r="Y3765" i="1"/>
  <c r="AE3766" i="1"/>
  <c r="Y3766" i="1"/>
  <c r="AE3767" i="1"/>
  <c r="Y3767" i="1"/>
  <c r="AE3768" i="1"/>
  <c r="Y3768" i="1"/>
  <c r="AE3769" i="1"/>
  <c r="Y3769" i="1"/>
  <c r="AE3770" i="1"/>
  <c r="Y3770" i="1"/>
  <c r="AE3771" i="1"/>
  <c r="Y3771" i="1"/>
  <c r="AE3772" i="1"/>
  <c r="Y3772" i="1"/>
  <c r="AE3773" i="1"/>
  <c r="Y3773" i="1"/>
  <c r="AE3774" i="1"/>
  <c r="Y3774" i="1"/>
  <c r="AE3775" i="1"/>
  <c r="Y3775" i="1"/>
  <c r="AE3776" i="1"/>
  <c r="Y3776" i="1"/>
  <c r="AE3777" i="1"/>
  <c r="Y3777" i="1"/>
  <c r="AE3778" i="1"/>
  <c r="Y3778" i="1"/>
  <c r="AE3779" i="1"/>
  <c r="Y3779" i="1"/>
  <c r="AE3780" i="1"/>
  <c r="Y3780" i="1"/>
  <c r="AE3781" i="1"/>
  <c r="Y3781" i="1"/>
  <c r="AE3782" i="1"/>
  <c r="Y3782" i="1"/>
  <c r="AE3783" i="1"/>
  <c r="Y3783" i="1"/>
  <c r="AE3784" i="1"/>
  <c r="Y3784" i="1"/>
  <c r="AE3785" i="1"/>
  <c r="Y3785" i="1"/>
  <c r="AE3786" i="1"/>
  <c r="Y3786" i="1"/>
  <c r="AE3787" i="1"/>
  <c r="Y3787" i="1"/>
  <c r="AE3788" i="1"/>
  <c r="Y3788" i="1"/>
  <c r="AE3789" i="1"/>
  <c r="Y3789" i="1"/>
  <c r="AE3790" i="1"/>
  <c r="Y3790" i="1"/>
  <c r="AE3791" i="1"/>
  <c r="Y3791" i="1"/>
  <c r="AE3792" i="1"/>
  <c r="Y3792" i="1"/>
  <c r="AE3793" i="1"/>
  <c r="Y3793" i="1"/>
  <c r="AE3794" i="1"/>
  <c r="Y3794" i="1"/>
  <c r="AE3795" i="1"/>
  <c r="Y3795" i="1"/>
  <c r="AE3796" i="1"/>
  <c r="Y3796" i="1"/>
  <c r="AE3797" i="1"/>
  <c r="Y3797" i="1"/>
  <c r="AE3798" i="1"/>
  <c r="Y3798" i="1"/>
  <c r="AE3799" i="1"/>
  <c r="Y3799" i="1"/>
  <c r="AE3800" i="1"/>
  <c r="Y3800" i="1"/>
  <c r="AE3801" i="1"/>
  <c r="Y3801" i="1"/>
  <c r="AE3802" i="1"/>
  <c r="Y3802" i="1"/>
  <c r="AE3803" i="1"/>
  <c r="Y3803" i="1"/>
  <c r="AE3804" i="1"/>
  <c r="Y3804" i="1"/>
  <c r="AE3805" i="1"/>
  <c r="Y3805" i="1"/>
  <c r="AE3806" i="1"/>
  <c r="Y3806" i="1"/>
  <c r="AE3807" i="1"/>
  <c r="Y3807" i="1"/>
  <c r="AE3808" i="1"/>
  <c r="Y3808" i="1"/>
  <c r="AE3809" i="1"/>
  <c r="Y3809" i="1"/>
  <c r="AE3810" i="1"/>
  <c r="Y3810" i="1"/>
  <c r="AE3811" i="1"/>
  <c r="Y3811" i="1"/>
  <c r="AE3812" i="1"/>
  <c r="Y3812" i="1"/>
  <c r="AE3813" i="1"/>
  <c r="Y3813" i="1"/>
  <c r="AE3814" i="1"/>
  <c r="Y3814" i="1"/>
  <c r="AE3815" i="1"/>
  <c r="Y3815" i="1"/>
  <c r="AE3816" i="1"/>
  <c r="Y3816" i="1"/>
  <c r="AE3817" i="1"/>
  <c r="Y3817" i="1"/>
  <c r="AE3818" i="1"/>
  <c r="Y3818" i="1"/>
  <c r="AE3819" i="1"/>
  <c r="Y3819" i="1"/>
  <c r="AE3820" i="1"/>
  <c r="Y3820" i="1"/>
  <c r="AE3821" i="1"/>
  <c r="Y3821" i="1"/>
  <c r="AE3822" i="1"/>
  <c r="Y3822" i="1"/>
  <c r="AE3823" i="1"/>
  <c r="Y3823" i="1"/>
  <c r="AE3824" i="1"/>
  <c r="Y3824" i="1"/>
  <c r="AE3825" i="1"/>
  <c r="Y3825" i="1"/>
  <c r="AE3826" i="1"/>
  <c r="Y3826" i="1"/>
  <c r="AE3827" i="1"/>
  <c r="Y3827" i="1"/>
  <c r="AE3828" i="1"/>
  <c r="Y3828" i="1"/>
  <c r="AE3829" i="1"/>
  <c r="Y3829" i="1"/>
  <c r="AE3830" i="1"/>
  <c r="Y3830" i="1"/>
  <c r="AE3831" i="1"/>
  <c r="Y3831" i="1"/>
  <c r="AE3832" i="1"/>
  <c r="Y3832" i="1"/>
  <c r="AE3833" i="1"/>
  <c r="Y3833" i="1"/>
  <c r="AE3834" i="1"/>
  <c r="Y3834" i="1"/>
  <c r="AE3835" i="1"/>
  <c r="Y3835" i="1"/>
  <c r="AE3836" i="1"/>
  <c r="Y3836" i="1"/>
  <c r="AE3837" i="1"/>
  <c r="Y3837" i="1"/>
  <c r="AE3838" i="1"/>
  <c r="Y3838" i="1"/>
  <c r="AE3839" i="1"/>
  <c r="Y3839" i="1"/>
  <c r="AE3840" i="1"/>
  <c r="Y3840" i="1"/>
  <c r="AE3841" i="1"/>
  <c r="Y3841" i="1"/>
  <c r="AE3842" i="1"/>
  <c r="Y3842" i="1"/>
  <c r="AE3843" i="1"/>
  <c r="Y3843" i="1"/>
  <c r="AE3844" i="1"/>
  <c r="Y3844" i="1"/>
  <c r="AE3845" i="1"/>
  <c r="Y3845" i="1"/>
  <c r="AE3846" i="1"/>
  <c r="Y3846" i="1"/>
  <c r="AE3847" i="1"/>
  <c r="Y3847" i="1"/>
  <c r="AE3848" i="1"/>
  <c r="Y3848" i="1"/>
  <c r="AE3849" i="1"/>
  <c r="Y3849" i="1"/>
  <c r="AE3850" i="1"/>
  <c r="Y3850" i="1"/>
  <c r="AE3851" i="1"/>
  <c r="Y3851" i="1"/>
  <c r="AE3852" i="1"/>
  <c r="Y3852" i="1"/>
  <c r="AE3853" i="1"/>
  <c r="Y3853" i="1"/>
  <c r="AE3854" i="1"/>
  <c r="Y3854" i="1"/>
  <c r="AE3855" i="1"/>
  <c r="Y3855" i="1"/>
  <c r="AE3856" i="1"/>
  <c r="Y3856" i="1"/>
  <c r="AE3857" i="1"/>
  <c r="Y3857" i="1"/>
  <c r="AE3858" i="1"/>
  <c r="Y3858" i="1"/>
  <c r="AE3859" i="1"/>
  <c r="Y3859" i="1"/>
  <c r="AE3860" i="1"/>
  <c r="Y3860" i="1"/>
  <c r="AE3861" i="1"/>
  <c r="Y3861" i="1"/>
  <c r="AE3862" i="1"/>
  <c r="Y3862" i="1"/>
  <c r="AE3863" i="1"/>
  <c r="Y3863" i="1"/>
  <c r="AE3864" i="1"/>
  <c r="Y3864" i="1"/>
  <c r="AE3865" i="1"/>
  <c r="Y3865" i="1"/>
  <c r="AE3866" i="1"/>
  <c r="Y3866" i="1"/>
  <c r="AE3867" i="1"/>
  <c r="Y3867" i="1"/>
  <c r="AE3868" i="1"/>
  <c r="Y3868" i="1"/>
  <c r="AE3869" i="1"/>
  <c r="Y3869" i="1"/>
  <c r="AE3870" i="1"/>
  <c r="Y3870" i="1"/>
  <c r="AE3871" i="1"/>
  <c r="Y3871" i="1"/>
  <c r="AE3872" i="1"/>
  <c r="Y3872" i="1"/>
  <c r="AE3873" i="1"/>
  <c r="Y3873" i="1"/>
  <c r="AE3874" i="1"/>
  <c r="Y3874" i="1"/>
  <c r="AE3875" i="1"/>
  <c r="Y3875" i="1"/>
  <c r="AE3876" i="1"/>
  <c r="Y3876" i="1"/>
  <c r="AE3877" i="1"/>
  <c r="Y3877" i="1"/>
  <c r="AE3878" i="1"/>
  <c r="Y3878" i="1"/>
  <c r="AE3879" i="1"/>
  <c r="Y3879" i="1"/>
  <c r="AE3880" i="1"/>
  <c r="Y3880" i="1"/>
  <c r="AE3881" i="1"/>
  <c r="Y3881" i="1"/>
  <c r="AE3882" i="1"/>
  <c r="Y3882" i="1"/>
  <c r="AE3883" i="1"/>
  <c r="Y3883" i="1"/>
  <c r="AE3884" i="1"/>
  <c r="Y3884" i="1"/>
  <c r="AE3885" i="1"/>
  <c r="Y3885" i="1"/>
  <c r="AE3886" i="1"/>
  <c r="Y3886" i="1"/>
  <c r="AE3887" i="1"/>
  <c r="Y3887" i="1"/>
  <c r="AE3888" i="1"/>
  <c r="Y3888" i="1"/>
  <c r="AE3889" i="1"/>
  <c r="Y3889" i="1"/>
  <c r="AE3890" i="1"/>
  <c r="Y3890" i="1"/>
  <c r="AE3891" i="1"/>
  <c r="Y3891" i="1"/>
  <c r="AE3892" i="1"/>
  <c r="Y3892" i="1"/>
  <c r="AE3893" i="1"/>
  <c r="Y3893" i="1"/>
  <c r="AE3894" i="1"/>
  <c r="Y3894" i="1"/>
  <c r="AE3895" i="1"/>
  <c r="Y3895" i="1"/>
  <c r="AE3896" i="1"/>
  <c r="Y3896" i="1"/>
  <c r="AE3897" i="1"/>
  <c r="Y3897" i="1"/>
  <c r="AE3898" i="1"/>
  <c r="Y3898" i="1"/>
  <c r="AE3899" i="1"/>
  <c r="Y3899" i="1"/>
  <c r="AE3900" i="1"/>
  <c r="Y3900" i="1"/>
  <c r="AE3901" i="1"/>
  <c r="Y3901" i="1"/>
  <c r="AE3902" i="1"/>
  <c r="Y3902" i="1"/>
  <c r="AE3903" i="1"/>
  <c r="Y3903" i="1"/>
  <c r="AE3904" i="1"/>
  <c r="Y3904" i="1"/>
  <c r="AE3905" i="1"/>
  <c r="Y3905" i="1"/>
  <c r="AE3906" i="1"/>
  <c r="Y3906" i="1"/>
  <c r="AE3907" i="1"/>
  <c r="Y3907" i="1"/>
  <c r="AE3908" i="1"/>
  <c r="Y3908" i="1"/>
  <c r="AE3909" i="1"/>
  <c r="Y3909" i="1"/>
  <c r="AE3910" i="1"/>
  <c r="Y3910" i="1"/>
  <c r="AE3911" i="1"/>
  <c r="Y3911" i="1"/>
  <c r="AE3912" i="1"/>
  <c r="Y3912" i="1"/>
  <c r="AE3913" i="1"/>
  <c r="Y3913" i="1"/>
  <c r="AE3914" i="1"/>
  <c r="Y3914" i="1"/>
  <c r="AE3915" i="1"/>
  <c r="Y3915" i="1"/>
  <c r="AE3916" i="1"/>
  <c r="Y3916" i="1"/>
  <c r="AE3917" i="1"/>
  <c r="Y3917" i="1"/>
  <c r="AE3918" i="1"/>
  <c r="Y3918" i="1"/>
  <c r="AE3919" i="1"/>
  <c r="Y3919" i="1"/>
  <c r="AE3920" i="1"/>
  <c r="Y3920" i="1"/>
  <c r="AE3921" i="1"/>
  <c r="Y3921" i="1"/>
  <c r="AE3922" i="1"/>
  <c r="Y3922" i="1"/>
  <c r="AE3923" i="1"/>
  <c r="Y3923" i="1"/>
  <c r="AE3924" i="1"/>
  <c r="Y3924" i="1"/>
  <c r="AE3925" i="1"/>
  <c r="Y3925" i="1"/>
  <c r="AE3926" i="1"/>
  <c r="Y3926" i="1"/>
  <c r="AE3927" i="1"/>
  <c r="Y3927" i="1"/>
  <c r="AE3928" i="1"/>
  <c r="Y3928" i="1"/>
  <c r="AE3929" i="1"/>
  <c r="Y3929" i="1"/>
  <c r="AE3930" i="1"/>
  <c r="Y3930" i="1"/>
  <c r="AE3931" i="1"/>
  <c r="Y3931" i="1"/>
  <c r="AE3932" i="1"/>
  <c r="Y3932" i="1"/>
  <c r="AE3933" i="1"/>
  <c r="Y3933" i="1"/>
  <c r="AE3934" i="1"/>
  <c r="Y3934" i="1"/>
  <c r="AE3935" i="1"/>
  <c r="Y3935" i="1"/>
  <c r="AE3936" i="1"/>
  <c r="Y3936" i="1"/>
  <c r="AE3937" i="1"/>
  <c r="Y3937" i="1"/>
  <c r="AE3938" i="1"/>
  <c r="Y3938" i="1"/>
  <c r="AE3939" i="1"/>
  <c r="Y3939" i="1"/>
  <c r="AE3940" i="1"/>
  <c r="Y3940" i="1"/>
  <c r="AE3941" i="1"/>
  <c r="Y3941" i="1"/>
  <c r="AE3942" i="1"/>
  <c r="Y3942" i="1"/>
  <c r="AE3943" i="1"/>
  <c r="Y3943" i="1"/>
  <c r="AE3944" i="1"/>
  <c r="Y3944" i="1"/>
  <c r="AE3945" i="1"/>
  <c r="Y3945" i="1"/>
  <c r="AE3946" i="1"/>
  <c r="Y3946" i="1"/>
  <c r="AE3947" i="1"/>
  <c r="Y3947" i="1"/>
  <c r="AE3948" i="1"/>
  <c r="Y3948" i="1"/>
  <c r="AE3949" i="1"/>
  <c r="Y3949" i="1"/>
  <c r="AE3950" i="1"/>
  <c r="Y3950" i="1"/>
  <c r="AE3951" i="1"/>
  <c r="Y3951" i="1"/>
  <c r="AE3952" i="1"/>
  <c r="Y3952" i="1"/>
  <c r="AE3953" i="1"/>
  <c r="Y3953" i="1"/>
  <c r="AE3954" i="1"/>
  <c r="Y3954" i="1"/>
  <c r="AE3955" i="1"/>
  <c r="Y3955" i="1"/>
  <c r="AE3956" i="1"/>
  <c r="Y3956" i="1"/>
  <c r="AE3957" i="1"/>
  <c r="Y3957" i="1"/>
  <c r="AE3958" i="1"/>
  <c r="Y3958" i="1"/>
  <c r="AE3959" i="1"/>
  <c r="Y3959" i="1"/>
  <c r="AE3960" i="1"/>
  <c r="Y3960" i="1"/>
  <c r="AE3961" i="1"/>
  <c r="Y3961" i="1"/>
  <c r="AE3962" i="1"/>
  <c r="Y3962" i="1"/>
  <c r="AE3963" i="1"/>
  <c r="Y3963" i="1"/>
  <c r="AE3964" i="1"/>
  <c r="Y3964" i="1"/>
  <c r="AE3965" i="1"/>
  <c r="Y3965" i="1"/>
  <c r="AE3966" i="1"/>
  <c r="Y3966" i="1"/>
  <c r="AE3967" i="1"/>
  <c r="Y3967" i="1"/>
  <c r="AE3968" i="1"/>
  <c r="Y3968" i="1"/>
  <c r="AE3969" i="1"/>
  <c r="Y3969" i="1"/>
  <c r="AE3970" i="1"/>
  <c r="Y3970" i="1"/>
  <c r="AE3971" i="1"/>
  <c r="Y3971" i="1"/>
  <c r="AE3972" i="1"/>
  <c r="Y3972" i="1"/>
  <c r="AE3973" i="1"/>
  <c r="Y3973" i="1"/>
  <c r="AE3974" i="1"/>
  <c r="Y3974" i="1"/>
  <c r="AE3975" i="1"/>
  <c r="Y3975" i="1"/>
  <c r="AE3976" i="1"/>
  <c r="Y3976" i="1"/>
  <c r="AE3977" i="1"/>
  <c r="Y3977" i="1"/>
  <c r="AE3978" i="1"/>
  <c r="Y3978" i="1"/>
  <c r="AE3979" i="1"/>
  <c r="Y3979" i="1"/>
  <c r="AE3980" i="1"/>
  <c r="Y3980" i="1"/>
  <c r="AE3981" i="1"/>
  <c r="Y3981" i="1"/>
  <c r="AE3982" i="1"/>
  <c r="Y3982" i="1"/>
  <c r="AE3983" i="1"/>
  <c r="Y3983" i="1"/>
  <c r="AE3984" i="1"/>
  <c r="Y3984" i="1"/>
  <c r="AE3985" i="1"/>
  <c r="Y3985" i="1"/>
  <c r="AE3986" i="1"/>
  <c r="Y3986" i="1"/>
  <c r="AE3987" i="1"/>
  <c r="Y3987" i="1"/>
  <c r="AE3988" i="1"/>
  <c r="Y3988" i="1"/>
  <c r="AE3989" i="1"/>
  <c r="Y3989" i="1"/>
  <c r="AE3990" i="1"/>
  <c r="Y3990" i="1"/>
  <c r="AE3991" i="1"/>
  <c r="Y3991" i="1"/>
  <c r="AE3992" i="1"/>
  <c r="Y3992" i="1"/>
  <c r="AE3993" i="1"/>
  <c r="Y3993" i="1"/>
  <c r="AE3994" i="1"/>
  <c r="Y3994" i="1"/>
  <c r="AE3995" i="1"/>
  <c r="Y3995" i="1"/>
  <c r="AE3996" i="1"/>
  <c r="Y3996" i="1"/>
  <c r="AE3997" i="1"/>
  <c r="Y3997" i="1"/>
  <c r="AE3998" i="1"/>
  <c r="Y3998" i="1"/>
  <c r="AE3999" i="1"/>
  <c r="Y3999" i="1"/>
  <c r="AE4000" i="1"/>
  <c r="Y4000" i="1"/>
  <c r="AE4001" i="1"/>
  <c r="Y4001" i="1"/>
  <c r="AE4002" i="1"/>
  <c r="Y4002" i="1"/>
  <c r="AE4003" i="1"/>
  <c r="Y4003" i="1"/>
  <c r="AE4004" i="1"/>
  <c r="Y4004" i="1"/>
  <c r="AE4005" i="1"/>
  <c r="Y4005" i="1"/>
  <c r="AE4006" i="1"/>
  <c r="Y4006" i="1"/>
  <c r="AE4007" i="1"/>
  <c r="Y4007" i="1"/>
  <c r="AE4008" i="1"/>
  <c r="Y4008" i="1"/>
  <c r="AE4009" i="1"/>
  <c r="Y4009" i="1"/>
  <c r="AE4010" i="1"/>
  <c r="Y4010" i="1"/>
  <c r="AE4011" i="1"/>
  <c r="Y4011" i="1"/>
  <c r="AE4012" i="1"/>
  <c r="Y4012" i="1"/>
  <c r="AE4013" i="1"/>
  <c r="Y4013" i="1"/>
  <c r="AE4014" i="1"/>
  <c r="Y4014" i="1"/>
  <c r="AE4015" i="1"/>
  <c r="Y4015" i="1"/>
  <c r="AE4016" i="1"/>
  <c r="Y4016" i="1"/>
  <c r="AE4017" i="1"/>
  <c r="Y4017" i="1"/>
  <c r="AE4018" i="1"/>
  <c r="Y4018" i="1"/>
  <c r="AE4019" i="1"/>
  <c r="Y4019" i="1"/>
  <c r="AE4020" i="1"/>
  <c r="Y4020" i="1"/>
  <c r="AE4021" i="1"/>
  <c r="Y4021" i="1"/>
  <c r="AE4022" i="1"/>
  <c r="Y4022" i="1"/>
  <c r="AE4023" i="1"/>
  <c r="Y4023" i="1"/>
  <c r="AE4024" i="1"/>
  <c r="Y4024" i="1"/>
  <c r="AE4025" i="1"/>
  <c r="Y4025" i="1"/>
  <c r="AE4026" i="1"/>
  <c r="Y4026" i="1"/>
  <c r="AE4027" i="1"/>
  <c r="Y4027" i="1"/>
  <c r="AE4028" i="1"/>
  <c r="Y4028" i="1"/>
  <c r="AE4029" i="1"/>
  <c r="Y4029" i="1"/>
  <c r="AE4030" i="1"/>
  <c r="Y4030" i="1"/>
  <c r="AE4031" i="1"/>
  <c r="Y4031" i="1"/>
  <c r="AE4032" i="1"/>
  <c r="Y4032" i="1"/>
  <c r="AE4033" i="1"/>
  <c r="Y4033" i="1"/>
  <c r="AE4034" i="1"/>
  <c r="Y4034" i="1"/>
  <c r="AE4035" i="1"/>
  <c r="Y4035" i="1"/>
  <c r="AE4036" i="1"/>
  <c r="Y4036" i="1"/>
  <c r="AE4037" i="1"/>
  <c r="Y4037" i="1"/>
  <c r="AE4038" i="1"/>
  <c r="Y4038" i="1"/>
  <c r="AE4039" i="1"/>
  <c r="Y4039" i="1"/>
  <c r="AE4040" i="1"/>
  <c r="Y4040" i="1"/>
  <c r="AE4041" i="1"/>
  <c r="Y4041" i="1"/>
  <c r="AE4042" i="1"/>
  <c r="Y4042" i="1"/>
  <c r="AE4043" i="1"/>
  <c r="Y4043" i="1"/>
  <c r="AE4044" i="1"/>
  <c r="Y4044" i="1"/>
  <c r="AE4045" i="1"/>
  <c r="Y4045" i="1"/>
  <c r="AE4046" i="1"/>
  <c r="Y4046" i="1"/>
  <c r="AE4047" i="1"/>
  <c r="Y4047" i="1"/>
  <c r="AE4048" i="1"/>
  <c r="Y4048" i="1"/>
  <c r="AE4049" i="1"/>
  <c r="Y4049" i="1"/>
  <c r="AE4050" i="1"/>
  <c r="Y4050" i="1"/>
  <c r="AE4051" i="1"/>
  <c r="Y4051" i="1"/>
  <c r="AE4052" i="1"/>
  <c r="Y4052" i="1"/>
  <c r="AE4053" i="1"/>
  <c r="Y4053" i="1"/>
  <c r="AE4054" i="1"/>
  <c r="Y4054" i="1"/>
  <c r="AE4055" i="1"/>
  <c r="Y4055" i="1"/>
  <c r="AE4056" i="1"/>
  <c r="Y4056" i="1"/>
  <c r="AE4057" i="1"/>
  <c r="Y4057" i="1"/>
  <c r="AE4058" i="1"/>
  <c r="Y4058" i="1"/>
  <c r="AE4059" i="1"/>
  <c r="Y4059" i="1"/>
  <c r="AE4060" i="1"/>
  <c r="Y4060" i="1"/>
  <c r="AE4061" i="1"/>
  <c r="Y4061" i="1"/>
  <c r="AE4062" i="1"/>
  <c r="Y4062" i="1"/>
  <c r="AE4063" i="1"/>
  <c r="Y4063" i="1"/>
  <c r="AE4064" i="1"/>
  <c r="Y4064" i="1"/>
  <c r="AE4065" i="1"/>
  <c r="Y4065" i="1"/>
  <c r="AE4066" i="1"/>
  <c r="Y4066" i="1"/>
  <c r="AE4067" i="1"/>
  <c r="Y4067" i="1"/>
  <c r="AE4068" i="1"/>
  <c r="Y4068" i="1"/>
  <c r="AE4069" i="1"/>
  <c r="Y4069" i="1"/>
  <c r="AE4070" i="1"/>
  <c r="Y4070" i="1"/>
  <c r="AE4071" i="1"/>
  <c r="Y4071" i="1"/>
  <c r="AE4072" i="1"/>
  <c r="Y4072" i="1"/>
  <c r="AE4073" i="1"/>
  <c r="Y4073" i="1"/>
  <c r="AE4074" i="1"/>
  <c r="Y4074" i="1"/>
  <c r="AE4075" i="1"/>
  <c r="Y4075" i="1"/>
  <c r="AE4076" i="1"/>
  <c r="Y4076" i="1"/>
  <c r="AE4077" i="1"/>
  <c r="Y4077" i="1"/>
  <c r="AE4078" i="1"/>
  <c r="Y4078" i="1"/>
  <c r="AE4079" i="1"/>
  <c r="Y4079" i="1"/>
  <c r="AE4080" i="1"/>
  <c r="Y4080" i="1"/>
  <c r="AE4081" i="1"/>
  <c r="Y4081" i="1"/>
  <c r="AE4082" i="1"/>
  <c r="Y4082" i="1"/>
  <c r="AE4083" i="1"/>
  <c r="Y4083" i="1"/>
  <c r="AE4084" i="1"/>
  <c r="Y4084" i="1"/>
  <c r="AE4085" i="1"/>
  <c r="Y4085" i="1"/>
  <c r="AE4086" i="1"/>
  <c r="Y4086" i="1"/>
  <c r="AE4087" i="1"/>
  <c r="Y4087" i="1"/>
  <c r="AE4088" i="1"/>
  <c r="Y4088" i="1"/>
  <c r="AE4089" i="1"/>
  <c r="Y4089" i="1"/>
  <c r="AE4090" i="1"/>
  <c r="Y4090" i="1"/>
  <c r="AE4091" i="1"/>
  <c r="Y4091" i="1"/>
  <c r="AE4092" i="1"/>
  <c r="Y4092" i="1"/>
  <c r="AE4093" i="1"/>
  <c r="Y4093" i="1"/>
  <c r="AE4094" i="1"/>
  <c r="Y4094" i="1"/>
  <c r="AE4095" i="1"/>
  <c r="Y4095" i="1"/>
  <c r="AE4096" i="1"/>
  <c r="Y4096" i="1"/>
  <c r="AE4097" i="1"/>
  <c r="Y4097" i="1"/>
  <c r="AE4098" i="1"/>
  <c r="Y4098" i="1"/>
  <c r="AE4099" i="1"/>
  <c r="Y4099" i="1"/>
  <c r="AE4100" i="1"/>
  <c r="Y4100" i="1"/>
  <c r="AE4101" i="1"/>
  <c r="Y4101" i="1"/>
  <c r="AE4102" i="1"/>
  <c r="Y4102" i="1"/>
  <c r="AE4103" i="1"/>
  <c r="Y4103" i="1"/>
  <c r="AE4104" i="1"/>
  <c r="Y4104" i="1"/>
  <c r="AE4105" i="1"/>
  <c r="Y4105" i="1"/>
  <c r="AE4106" i="1"/>
  <c r="Y4106" i="1"/>
  <c r="AE4107" i="1"/>
  <c r="Y4107" i="1"/>
  <c r="AE4108" i="1"/>
  <c r="Y4108" i="1"/>
  <c r="AE4109" i="1"/>
  <c r="Y4109" i="1"/>
  <c r="AE4110" i="1"/>
  <c r="Y4110" i="1"/>
  <c r="AE4111" i="1"/>
  <c r="Y4111" i="1"/>
  <c r="AE4112" i="1"/>
  <c r="Y4112" i="1"/>
  <c r="AE4113" i="1"/>
  <c r="Y4113" i="1"/>
  <c r="AE4114" i="1"/>
  <c r="Y4114" i="1"/>
  <c r="AE4115" i="1"/>
  <c r="Y4115" i="1"/>
  <c r="AE4116" i="1"/>
  <c r="Y4116" i="1"/>
  <c r="AE4117" i="1"/>
  <c r="Y4117" i="1"/>
  <c r="AE4118" i="1"/>
  <c r="Y4118" i="1"/>
  <c r="AE4119" i="1"/>
  <c r="Y4119" i="1"/>
  <c r="AE4120" i="1"/>
  <c r="Y4120" i="1"/>
  <c r="AE4121" i="1"/>
  <c r="Y4121" i="1"/>
  <c r="AE4122" i="1"/>
  <c r="Y4122" i="1"/>
  <c r="AE4123" i="1"/>
  <c r="Y4123" i="1"/>
  <c r="AE4124" i="1"/>
  <c r="Y4124" i="1"/>
  <c r="AE4125" i="1"/>
  <c r="Y4125" i="1"/>
  <c r="AE4126" i="1"/>
  <c r="Y4126" i="1"/>
  <c r="AE4127" i="1"/>
  <c r="Y4127" i="1"/>
  <c r="AE4128" i="1"/>
  <c r="Y4128" i="1"/>
  <c r="AE4129" i="1"/>
  <c r="Y4129" i="1"/>
  <c r="AE4130" i="1"/>
  <c r="Y4130" i="1"/>
  <c r="AE4131" i="1"/>
  <c r="Y4131" i="1"/>
  <c r="AE4132" i="1"/>
  <c r="Y4132" i="1"/>
  <c r="AE4133" i="1"/>
  <c r="Y4133" i="1"/>
  <c r="AE4134" i="1"/>
  <c r="Y4134" i="1"/>
  <c r="AE4135" i="1"/>
  <c r="Y4135" i="1"/>
  <c r="AE4136" i="1"/>
  <c r="Y4136" i="1"/>
  <c r="AE4137" i="1"/>
  <c r="Y4137" i="1"/>
  <c r="AE4138" i="1"/>
  <c r="Y4138" i="1"/>
  <c r="AE4139" i="1"/>
  <c r="Y4139" i="1"/>
  <c r="AE4140" i="1"/>
  <c r="Y4140" i="1"/>
  <c r="AE4141" i="1"/>
  <c r="Y4141" i="1"/>
  <c r="AE4142" i="1"/>
  <c r="Y4142" i="1"/>
  <c r="AE4143" i="1"/>
  <c r="Y4143" i="1"/>
  <c r="AE4144" i="1"/>
  <c r="Y4144" i="1"/>
  <c r="AE4145" i="1"/>
  <c r="Y4145" i="1"/>
  <c r="AE4146" i="1"/>
  <c r="Y4146" i="1"/>
  <c r="AE4147" i="1"/>
  <c r="Y4147" i="1"/>
  <c r="AE4148" i="1"/>
  <c r="Y4148" i="1"/>
  <c r="AE4149" i="1"/>
  <c r="Y4149" i="1"/>
  <c r="AE4150" i="1"/>
  <c r="Y4150" i="1"/>
  <c r="AE4151" i="1"/>
  <c r="Y4151" i="1"/>
  <c r="AE4152" i="1"/>
  <c r="Y4152" i="1"/>
  <c r="AE4153" i="1"/>
  <c r="Y4153" i="1"/>
  <c r="AE4154" i="1"/>
  <c r="Y4154" i="1"/>
  <c r="AE4155" i="1"/>
  <c r="Y4155" i="1"/>
  <c r="AE4156" i="1"/>
  <c r="Y4156" i="1"/>
  <c r="AE4157" i="1"/>
  <c r="Y4157" i="1"/>
  <c r="AE4158" i="1"/>
  <c r="Y4158" i="1"/>
  <c r="AE4159" i="1"/>
  <c r="Y4159" i="1"/>
  <c r="AE4160" i="1"/>
  <c r="Y4160" i="1"/>
  <c r="AE4161" i="1"/>
  <c r="Y4161" i="1"/>
  <c r="AE4162" i="1"/>
  <c r="Y4162" i="1"/>
  <c r="AE4163" i="1"/>
  <c r="Y4163" i="1"/>
  <c r="AE4164" i="1"/>
  <c r="Y4164" i="1"/>
  <c r="AE4165" i="1"/>
  <c r="Y4165" i="1"/>
  <c r="AE4166" i="1"/>
  <c r="Y4166" i="1"/>
  <c r="AE4167" i="1"/>
  <c r="Y4167" i="1"/>
  <c r="AE4168" i="1"/>
  <c r="Y4168" i="1"/>
  <c r="AE4169" i="1"/>
  <c r="Y4169" i="1"/>
  <c r="AE4170" i="1"/>
  <c r="Y4170" i="1"/>
  <c r="AE4171" i="1"/>
  <c r="Y4171" i="1"/>
  <c r="AE4172" i="1"/>
  <c r="Y4172" i="1"/>
  <c r="AE4173" i="1"/>
  <c r="Y4173" i="1"/>
  <c r="AE4174" i="1"/>
  <c r="Y4174" i="1"/>
  <c r="AE4175" i="1"/>
  <c r="Y4175" i="1"/>
  <c r="AE4176" i="1"/>
  <c r="Y4176" i="1"/>
  <c r="AE4177" i="1"/>
  <c r="Y4177" i="1"/>
  <c r="AE4178" i="1"/>
  <c r="Y4178" i="1"/>
  <c r="AE4179" i="1"/>
  <c r="Y4179" i="1"/>
  <c r="AE4180" i="1"/>
  <c r="Y4180" i="1"/>
  <c r="AE4181" i="1"/>
  <c r="Y4181" i="1"/>
  <c r="AE4182" i="1"/>
  <c r="Y4182" i="1"/>
  <c r="AE4183" i="1"/>
  <c r="Y4183" i="1"/>
  <c r="AE4184" i="1"/>
  <c r="Y4184" i="1"/>
  <c r="AE4185" i="1"/>
  <c r="Y4185" i="1"/>
  <c r="AE4186" i="1"/>
  <c r="Y4186" i="1"/>
  <c r="AE4187" i="1"/>
  <c r="Y4187" i="1"/>
  <c r="AE4188" i="1"/>
  <c r="Y4188" i="1"/>
  <c r="AE4189" i="1"/>
  <c r="Y4189" i="1"/>
  <c r="AE4190" i="1"/>
  <c r="Y4190" i="1"/>
  <c r="AE4191" i="1"/>
  <c r="Y4191" i="1"/>
  <c r="AE4192" i="1"/>
  <c r="Y4192" i="1"/>
  <c r="AE4193" i="1"/>
  <c r="Y4193" i="1"/>
  <c r="AE4194" i="1"/>
  <c r="Y4194" i="1"/>
  <c r="AE4195" i="1"/>
  <c r="Y4195" i="1"/>
  <c r="AE4196" i="1"/>
  <c r="Y4196" i="1"/>
  <c r="AE4197" i="1"/>
  <c r="Y4197" i="1"/>
  <c r="AE4198" i="1"/>
  <c r="Y4198" i="1"/>
  <c r="AE4199" i="1"/>
  <c r="Y4199" i="1"/>
  <c r="AE4200" i="1"/>
  <c r="Y4200" i="1"/>
  <c r="AE4201" i="1"/>
  <c r="Y4201" i="1"/>
  <c r="AE4202" i="1"/>
  <c r="Y4202" i="1"/>
  <c r="AE4203" i="1"/>
  <c r="Y4203" i="1"/>
  <c r="AE4204" i="1"/>
  <c r="Y4204" i="1"/>
  <c r="AE4205" i="1"/>
  <c r="Y4205" i="1"/>
  <c r="AE4206" i="1"/>
  <c r="Y4206" i="1"/>
  <c r="AE4207" i="1"/>
  <c r="Y4207" i="1"/>
  <c r="AE4208" i="1"/>
  <c r="Y4208" i="1"/>
  <c r="AE4209" i="1"/>
  <c r="Y4209" i="1"/>
  <c r="AE4210" i="1"/>
  <c r="Y4210" i="1"/>
  <c r="AE4211" i="1"/>
  <c r="Y4211" i="1"/>
  <c r="AE4212" i="1"/>
  <c r="Y4212" i="1"/>
  <c r="AE4213" i="1"/>
  <c r="Y4213" i="1"/>
  <c r="AE4214" i="1"/>
  <c r="Y4214" i="1"/>
  <c r="AE4215" i="1"/>
  <c r="Y4215" i="1"/>
  <c r="Y4234" i="1"/>
  <c r="AG4225" i="1"/>
  <c r="AB4217" i="1"/>
  <c r="AC4217" i="1"/>
  <c r="AI13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J4216" i="1"/>
  <c r="M3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N3" i="2"/>
  <c r="AE4222" i="1"/>
  <c r="AC15" i="1"/>
  <c r="AJ14" i="1"/>
  <c r="AK14" i="1"/>
  <c r="AM14" i="1"/>
  <c r="BF14" i="1"/>
  <c r="BG14" i="1"/>
  <c r="T15" i="1"/>
  <c r="U15" i="1"/>
  <c r="V15" i="1"/>
  <c r="W15" i="1"/>
  <c r="AB15" i="1"/>
  <c r="AF15" i="1"/>
  <c r="AC16" i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J15" i="1"/>
  <c r="AK15" i="1"/>
  <c r="AM15" i="1"/>
  <c r="BF15" i="1"/>
  <c r="BG15" i="1"/>
  <c r="T16" i="1"/>
  <c r="U16" i="1"/>
  <c r="V16" i="1"/>
  <c r="W16" i="1"/>
  <c r="AB16" i="1"/>
  <c r="AF16" i="1"/>
  <c r="AC17" i="1"/>
  <c r="AJ16" i="1"/>
  <c r="AK16" i="1"/>
  <c r="AM16" i="1"/>
  <c r="BF16" i="1"/>
  <c r="BG16" i="1"/>
  <c r="T17" i="1"/>
  <c r="U17" i="1"/>
  <c r="V17" i="1"/>
  <c r="W17" i="1"/>
  <c r="AB17" i="1"/>
  <c r="AF17" i="1"/>
  <c r="K18" i="1"/>
  <c r="AC18" i="1"/>
  <c r="AJ17" i="1"/>
  <c r="AK17" i="1"/>
  <c r="AM17" i="1"/>
  <c r="BF17" i="1"/>
  <c r="BG17" i="1"/>
  <c r="T18" i="1"/>
  <c r="U18" i="1"/>
  <c r="V18" i="1"/>
  <c r="W18" i="1"/>
  <c r="AB18" i="1"/>
  <c r="AF18" i="1"/>
  <c r="K19" i="1"/>
  <c r="AC19" i="1"/>
  <c r="AJ18" i="1"/>
  <c r="AK18" i="1"/>
  <c r="AM18" i="1"/>
  <c r="BF18" i="1"/>
  <c r="BG18" i="1"/>
  <c r="T19" i="1"/>
  <c r="U19" i="1"/>
  <c r="V19" i="1"/>
  <c r="W19" i="1"/>
  <c r="AB19" i="1"/>
  <c r="AF19" i="1"/>
  <c r="K20" i="1"/>
  <c r="AC20" i="1"/>
  <c r="AJ19" i="1"/>
  <c r="AK19" i="1"/>
  <c r="AM19" i="1"/>
  <c r="BF19" i="1"/>
  <c r="BG19" i="1"/>
  <c r="T20" i="1"/>
  <c r="U20" i="1"/>
  <c r="V20" i="1"/>
  <c r="W20" i="1"/>
  <c r="AB20" i="1"/>
  <c r="AF20" i="1"/>
  <c r="AC21" i="1"/>
  <c r="AJ20" i="1"/>
  <c r="AK20" i="1"/>
  <c r="AM20" i="1"/>
  <c r="BF20" i="1"/>
  <c r="BG20" i="1"/>
  <c r="T21" i="1"/>
  <c r="U21" i="1"/>
  <c r="V21" i="1"/>
  <c r="W21" i="1"/>
  <c r="AB21" i="1"/>
  <c r="AF21" i="1"/>
  <c r="AC22" i="1"/>
  <c r="AJ21" i="1"/>
  <c r="AK21" i="1"/>
  <c r="AM21" i="1"/>
  <c r="BF21" i="1"/>
  <c r="BG21" i="1"/>
  <c r="T22" i="1"/>
  <c r="U22" i="1"/>
  <c r="V22" i="1"/>
  <c r="W22" i="1"/>
  <c r="AB22" i="1"/>
  <c r="AF22" i="1"/>
  <c r="K23" i="1"/>
  <c r="AC23" i="1"/>
  <c r="AJ22" i="1"/>
  <c r="AK22" i="1"/>
  <c r="AM22" i="1"/>
  <c r="BF22" i="1"/>
  <c r="BG22" i="1"/>
  <c r="T23" i="1"/>
  <c r="U23" i="1"/>
  <c r="V23" i="1"/>
  <c r="W23" i="1"/>
  <c r="AB23" i="1"/>
  <c r="AF23" i="1"/>
  <c r="AC24" i="1"/>
  <c r="AJ23" i="1"/>
  <c r="AK23" i="1"/>
  <c r="AM23" i="1"/>
  <c r="BF23" i="1"/>
  <c r="BG23" i="1"/>
  <c r="T24" i="1"/>
  <c r="U24" i="1"/>
  <c r="V24" i="1"/>
  <c r="W24" i="1"/>
  <c r="AB24" i="1"/>
  <c r="AF24" i="1"/>
  <c r="AC25" i="1"/>
  <c r="AJ24" i="1"/>
  <c r="AK24" i="1"/>
  <c r="AM24" i="1"/>
  <c r="BF24" i="1"/>
  <c r="BG24" i="1"/>
  <c r="T25" i="1"/>
  <c r="U25" i="1"/>
  <c r="V25" i="1"/>
  <c r="W25" i="1"/>
  <c r="AB25" i="1"/>
  <c r="AF25" i="1"/>
  <c r="K26" i="1"/>
  <c r="AC26" i="1"/>
  <c r="AJ25" i="1"/>
  <c r="AK25" i="1"/>
  <c r="AM25" i="1"/>
  <c r="BF25" i="1"/>
  <c r="BG25" i="1"/>
  <c r="T26" i="1"/>
  <c r="U26" i="1"/>
  <c r="V26" i="1"/>
  <c r="W26" i="1"/>
  <c r="AB26" i="1"/>
  <c r="AF26" i="1"/>
  <c r="AC27" i="1"/>
  <c r="AJ26" i="1"/>
  <c r="AK26" i="1"/>
  <c r="AM26" i="1"/>
  <c r="BF26" i="1"/>
  <c r="BG26" i="1"/>
  <c r="T27" i="1"/>
  <c r="U27" i="1"/>
  <c r="V27" i="1"/>
  <c r="W27" i="1"/>
  <c r="AB27" i="1"/>
  <c r="AF27" i="1"/>
  <c r="AC28" i="1"/>
  <c r="AJ27" i="1"/>
  <c r="AK27" i="1"/>
  <c r="AM27" i="1"/>
  <c r="BF27" i="1"/>
  <c r="BG27" i="1"/>
  <c r="T28" i="1"/>
  <c r="U28" i="1"/>
  <c r="V28" i="1"/>
  <c r="W28" i="1"/>
  <c r="AB28" i="1"/>
  <c r="AF28" i="1"/>
  <c r="K29" i="1"/>
  <c r="AC29" i="1"/>
  <c r="AJ28" i="1"/>
  <c r="AK28" i="1"/>
  <c r="AM28" i="1"/>
  <c r="BF28" i="1"/>
  <c r="BG28" i="1"/>
  <c r="T29" i="1"/>
  <c r="U29" i="1"/>
  <c r="V29" i="1"/>
  <c r="W29" i="1"/>
  <c r="AB29" i="1"/>
  <c r="AF29" i="1"/>
  <c r="AC30" i="1"/>
  <c r="AJ29" i="1"/>
  <c r="AK29" i="1"/>
  <c r="AM29" i="1"/>
  <c r="BF29" i="1"/>
  <c r="BG29" i="1"/>
  <c r="T30" i="1"/>
  <c r="U30" i="1"/>
  <c r="V30" i="1"/>
  <c r="W30" i="1"/>
  <c r="AB30" i="1"/>
  <c r="AF30" i="1"/>
  <c r="AC31" i="1"/>
  <c r="AJ30" i="1"/>
  <c r="AK30" i="1"/>
  <c r="AM30" i="1"/>
  <c r="BF30" i="1"/>
  <c r="BG30" i="1"/>
  <c r="T31" i="1"/>
  <c r="U31" i="1"/>
  <c r="V31" i="1"/>
  <c r="W31" i="1"/>
  <c r="AB31" i="1"/>
  <c r="AF31" i="1"/>
  <c r="K32" i="1"/>
  <c r="AC32" i="1"/>
  <c r="AJ31" i="1"/>
  <c r="AK31" i="1"/>
  <c r="AM31" i="1"/>
  <c r="BF31" i="1"/>
  <c r="BG31" i="1"/>
  <c r="T32" i="1"/>
  <c r="U32" i="1"/>
  <c r="V32" i="1"/>
  <c r="W32" i="1"/>
  <c r="AB32" i="1"/>
  <c r="AF32" i="1"/>
  <c r="K33" i="1"/>
  <c r="AC33" i="1"/>
  <c r="AJ32" i="1"/>
  <c r="AK32" i="1"/>
  <c r="AM32" i="1"/>
  <c r="BF32" i="1"/>
  <c r="BG32" i="1"/>
  <c r="T33" i="1"/>
  <c r="U33" i="1"/>
  <c r="V33" i="1"/>
  <c r="W33" i="1"/>
  <c r="AB33" i="1"/>
  <c r="AF33" i="1"/>
  <c r="AC34" i="1"/>
  <c r="AJ33" i="1"/>
  <c r="AK33" i="1"/>
  <c r="AM33" i="1"/>
  <c r="BF33" i="1"/>
  <c r="BG33" i="1"/>
  <c r="T34" i="1"/>
  <c r="U34" i="1"/>
  <c r="V34" i="1"/>
  <c r="W34" i="1"/>
  <c r="AB34" i="1"/>
  <c r="AF34" i="1"/>
  <c r="AC35" i="1"/>
  <c r="AJ34" i="1"/>
  <c r="AK34" i="1"/>
  <c r="AM34" i="1"/>
  <c r="BF34" i="1"/>
  <c r="BG34" i="1"/>
  <c r="T35" i="1"/>
  <c r="U35" i="1"/>
  <c r="V35" i="1"/>
  <c r="W35" i="1"/>
  <c r="AB35" i="1"/>
  <c r="AF35" i="1"/>
  <c r="K36" i="1"/>
  <c r="AC36" i="1"/>
  <c r="AJ35" i="1"/>
  <c r="AK35" i="1"/>
  <c r="AM35" i="1"/>
  <c r="BF35" i="1"/>
  <c r="BG35" i="1"/>
  <c r="T36" i="1"/>
  <c r="U36" i="1"/>
  <c r="V36" i="1"/>
  <c r="W36" i="1"/>
  <c r="AB36" i="1"/>
  <c r="AF36" i="1"/>
  <c r="K37" i="1"/>
  <c r="AC37" i="1"/>
  <c r="AJ36" i="1"/>
  <c r="AK36" i="1"/>
  <c r="AM36" i="1"/>
  <c r="BF36" i="1"/>
  <c r="BG36" i="1"/>
  <c r="T37" i="1"/>
  <c r="U37" i="1"/>
  <c r="V37" i="1"/>
  <c r="W37" i="1"/>
  <c r="AB37" i="1"/>
  <c r="AF37" i="1"/>
  <c r="AC38" i="1"/>
  <c r="AJ37" i="1"/>
  <c r="AK37" i="1"/>
  <c r="AM37" i="1"/>
  <c r="BF37" i="1"/>
  <c r="BG37" i="1"/>
  <c r="T38" i="1"/>
  <c r="U38" i="1"/>
  <c r="V38" i="1"/>
  <c r="W38" i="1"/>
  <c r="AB38" i="1"/>
  <c r="AF38" i="1"/>
  <c r="AC39" i="1"/>
  <c r="AJ38" i="1"/>
  <c r="AK38" i="1"/>
  <c r="AM38" i="1"/>
  <c r="BF38" i="1"/>
  <c r="BG38" i="1"/>
  <c r="T39" i="1"/>
  <c r="U39" i="1"/>
  <c r="V39" i="1"/>
  <c r="W39" i="1"/>
  <c r="AB39" i="1"/>
  <c r="AF39" i="1"/>
  <c r="K40" i="1"/>
  <c r="AC40" i="1"/>
  <c r="AJ39" i="1"/>
  <c r="AK39" i="1"/>
  <c r="AM39" i="1"/>
  <c r="BF39" i="1"/>
  <c r="BG39" i="1"/>
  <c r="T40" i="1"/>
  <c r="U40" i="1"/>
  <c r="V40" i="1"/>
  <c r="W40" i="1"/>
  <c r="AB40" i="1"/>
  <c r="AF40" i="1"/>
  <c r="AC41" i="1"/>
  <c r="AJ40" i="1"/>
  <c r="AK40" i="1"/>
  <c r="AM40" i="1"/>
  <c r="BF40" i="1"/>
  <c r="BG40" i="1"/>
  <c r="T41" i="1"/>
  <c r="U41" i="1"/>
  <c r="V41" i="1"/>
  <c r="W41" i="1"/>
  <c r="AB41" i="1"/>
  <c r="AF41" i="1"/>
  <c r="AC42" i="1"/>
  <c r="AJ41" i="1"/>
  <c r="AK41" i="1"/>
  <c r="AM41" i="1"/>
  <c r="BF41" i="1"/>
  <c r="BG41" i="1"/>
  <c r="T42" i="1"/>
  <c r="U42" i="1"/>
  <c r="V42" i="1"/>
  <c r="W42" i="1"/>
  <c r="AB42" i="1"/>
  <c r="AF42" i="1"/>
  <c r="K43" i="1"/>
  <c r="AC43" i="1"/>
  <c r="AJ42" i="1"/>
  <c r="AK42" i="1"/>
  <c r="AM42" i="1"/>
  <c r="BF42" i="1"/>
  <c r="BG42" i="1"/>
  <c r="T43" i="1"/>
  <c r="U43" i="1"/>
  <c r="V43" i="1"/>
  <c r="W43" i="1"/>
  <c r="AB43" i="1"/>
  <c r="AF43" i="1"/>
  <c r="K44" i="1"/>
  <c r="AC44" i="1"/>
  <c r="AJ43" i="1"/>
  <c r="AK43" i="1"/>
  <c r="AM43" i="1"/>
  <c r="BF43" i="1"/>
  <c r="BG43" i="1"/>
  <c r="T44" i="1"/>
  <c r="U44" i="1"/>
  <c r="V44" i="1"/>
  <c r="W44" i="1"/>
  <c r="AB44" i="1"/>
  <c r="AF44" i="1"/>
  <c r="K45" i="1"/>
  <c r="AC45" i="1"/>
  <c r="AJ44" i="1"/>
  <c r="AK44" i="1"/>
  <c r="AM44" i="1"/>
  <c r="BF44" i="1"/>
  <c r="BG44" i="1"/>
  <c r="T45" i="1"/>
  <c r="U45" i="1"/>
  <c r="V45" i="1"/>
  <c r="W45" i="1"/>
  <c r="AB45" i="1"/>
  <c r="AF45" i="1"/>
  <c r="K46" i="1"/>
  <c r="AC46" i="1"/>
  <c r="AJ45" i="1"/>
  <c r="AK45" i="1"/>
  <c r="AM45" i="1"/>
  <c r="BF45" i="1"/>
  <c r="BG45" i="1"/>
  <c r="T46" i="1"/>
  <c r="U46" i="1"/>
  <c r="V46" i="1"/>
  <c r="W46" i="1"/>
  <c r="AB46" i="1"/>
  <c r="AF46" i="1"/>
  <c r="K47" i="1"/>
  <c r="AC47" i="1"/>
  <c r="AJ46" i="1"/>
  <c r="AK46" i="1"/>
  <c r="AM46" i="1"/>
  <c r="BF46" i="1"/>
  <c r="BG46" i="1"/>
  <c r="T47" i="1"/>
  <c r="U47" i="1"/>
  <c r="V47" i="1"/>
  <c r="W47" i="1"/>
  <c r="AB47" i="1"/>
  <c r="AF47" i="1"/>
  <c r="AC48" i="1"/>
  <c r="AJ47" i="1"/>
  <c r="AK47" i="1"/>
  <c r="AM47" i="1"/>
  <c r="BF47" i="1"/>
  <c r="BG47" i="1"/>
  <c r="T48" i="1"/>
  <c r="U48" i="1"/>
  <c r="V48" i="1"/>
  <c r="W48" i="1"/>
  <c r="AB48" i="1"/>
  <c r="AF48" i="1"/>
  <c r="AC49" i="1"/>
  <c r="AJ48" i="1"/>
  <c r="AK48" i="1"/>
  <c r="AM48" i="1"/>
  <c r="BF48" i="1"/>
  <c r="BG48" i="1"/>
  <c r="T49" i="1"/>
  <c r="U49" i="1"/>
  <c r="V49" i="1"/>
  <c r="W49" i="1"/>
  <c r="AB49" i="1"/>
  <c r="AF49" i="1"/>
  <c r="K50" i="1"/>
  <c r="AC50" i="1"/>
  <c r="AJ49" i="1"/>
  <c r="AK49" i="1"/>
  <c r="AM49" i="1"/>
  <c r="BF49" i="1"/>
  <c r="BG49" i="1"/>
  <c r="T50" i="1"/>
  <c r="U50" i="1"/>
  <c r="V50" i="1"/>
  <c r="W50" i="1"/>
  <c r="AB50" i="1"/>
  <c r="AF50" i="1"/>
  <c r="K51" i="1"/>
  <c r="AC51" i="1"/>
  <c r="AJ50" i="1"/>
  <c r="AK50" i="1"/>
  <c r="AM50" i="1"/>
  <c r="BF50" i="1"/>
  <c r="BG50" i="1"/>
  <c r="T51" i="1"/>
  <c r="U51" i="1"/>
  <c r="V51" i="1"/>
  <c r="W51" i="1"/>
  <c r="AB51" i="1"/>
  <c r="AF51" i="1"/>
  <c r="K52" i="1"/>
  <c r="AC52" i="1"/>
  <c r="AJ51" i="1"/>
  <c r="AK51" i="1"/>
  <c r="AM51" i="1"/>
  <c r="BF51" i="1"/>
  <c r="BG51" i="1"/>
  <c r="T52" i="1"/>
  <c r="U52" i="1"/>
  <c r="V52" i="1"/>
  <c r="W52" i="1"/>
  <c r="AB52" i="1"/>
  <c r="AF52" i="1"/>
  <c r="K53" i="1"/>
  <c r="AC53" i="1"/>
  <c r="AJ52" i="1"/>
  <c r="AK52" i="1"/>
  <c r="AM52" i="1"/>
  <c r="BF52" i="1"/>
  <c r="BG52" i="1"/>
  <c r="T53" i="1"/>
  <c r="U53" i="1"/>
  <c r="V53" i="1"/>
  <c r="W53" i="1"/>
  <c r="AB53" i="1"/>
  <c r="AF53" i="1"/>
  <c r="AC54" i="1"/>
  <c r="AJ53" i="1"/>
  <c r="AK53" i="1"/>
  <c r="AM53" i="1"/>
  <c r="BF53" i="1"/>
  <c r="BG53" i="1"/>
  <c r="T54" i="1"/>
  <c r="U54" i="1"/>
  <c r="V54" i="1"/>
  <c r="W54" i="1"/>
  <c r="AB54" i="1"/>
  <c r="AF54" i="1"/>
  <c r="AC55" i="1"/>
  <c r="AJ54" i="1"/>
  <c r="AK54" i="1"/>
  <c r="AM54" i="1"/>
  <c r="BF54" i="1"/>
  <c r="BG54" i="1"/>
  <c r="T55" i="1"/>
  <c r="U55" i="1"/>
  <c r="V55" i="1"/>
  <c r="W55" i="1"/>
  <c r="AB55" i="1"/>
  <c r="AF55" i="1"/>
  <c r="K56" i="1"/>
  <c r="AC56" i="1"/>
  <c r="AJ55" i="1"/>
  <c r="AK55" i="1"/>
  <c r="AM55" i="1"/>
  <c r="BF55" i="1"/>
  <c r="BG55" i="1"/>
  <c r="T56" i="1"/>
  <c r="U56" i="1"/>
  <c r="V56" i="1"/>
  <c r="W56" i="1"/>
  <c r="AB56" i="1"/>
  <c r="AF56" i="1"/>
  <c r="K57" i="1"/>
  <c r="AC57" i="1"/>
  <c r="AJ56" i="1"/>
  <c r="AK56" i="1"/>
  <c r="AM56" i="1"/>
  <c r="BF56" i="1"/>
  <c r="BG56" i="1"/>
  <c r="T57" i="1"/>
  <c r="U57" i="1"/>
  <c r="V57" i="1"/>
  <c r="W57" i="1"/>
  <c r="AB57" i="1"/>
  <c r="AF57" i="1"/>
  <c r="K58" i="1"/>
  <c r="AC58" i="1"/>
  <c r="AJ57" i="1"/>
  <c r="AK57" i="1"/>
  <c r="AM57" i="1"/>
  <c r="BF57" i="1"/>
  <c r="BG57" i="1"/>
  <c r="T58" i="1"/>
  <c r="U58" i="1"/>
  <c r="V58" i="1"/>
  <c r="W58" i="1"/>
  <c r="AB58" i="1"/>
  <c r="AF58" i="1"/>
  <c r="K59" i="1"/>
  <c r="AC59" i="1"/>
  <c r="AJ58" i="1"/>
  <c r="AK58" i="1"/>
  <c r="AM58" i="1"/>
  <c r="BF58" i="1"/>
  <c r="BG58" i="1"/>
  <c r="T59" i="1"/>
  <c r="U59" i="1"/>
  <c r="V59" i="1"/>
  <c r="W59" i="1"/>
  <c r="AB59" i="1"/>
  <c r="AF59" i="1"/>
  <c r="AC60" i="1"/>
  <c r="AJ59" i="1"/>
  <c r="AK59" i="1"/>
  <c r="AM59" i="1"/>
  <c r="BF59" i="1"/>
  <c r="BG59" i="1"/>
  <c r="T60" i="1"/>
  <c r="U60" i="1"/>
  <c r="V60" i="1"/>
  <c r="W60" i="1"/>
  <c r="AB60" i="1"/>
  <c r="AF60" i="1"/>
  <c r="AC61" i="1"/>
  <c r="AJ60" i="1"/>
  <c r="AK60" i="1"/>
  <c r="AM60" i="1"/>
  <c r="BF60" i="1"/>
  <c r="BG60" i="1"/>
  <c r="T61" i="1"/>
  <c r="U61" i="1"/>
  <c r="V61" i="1"/>
  <c r="W61" i="1"/>
  <c r="AB61" i="1"/>
  <c r="AF61" i="1"/>
  <c r="K62" i="1"/>
  <c r="AC62" i="1"/>
  <c r="AJ61" i="1"/>
  <c r="AK61" i="1"/>
  <c r="AM61" i="1"/>
  <c r="BF61" i="1"/>
  <c r="BG61" i="1"/>
  <c r="T62" i="1"/>
  <c r="U62" i="1"/>
  <c r="V62" i="1"/>
  <c r="W62" i="1"/>
  <c r="AB62" i="1"/>
  <c r="AF62" i="1"/>
  <c r="AC63" i="1"/>
  <c r="AJ62" i="1"/>
  <c r="AK62" i="1"/>
  <c r="AM62" i="1"/>
  <c r="BF62" i="1"/>
  <c r="BG62" i="1"/>
  <c r="T63" i="1"/>
  <c r="U63" i="1"/>
  <c r="V63" i="1"/>
  <c r="W63" i="1"/>
  <c r="AB63" i="1"/>
  <c r="AF63" i="1"/>
  <c r="AC64" i="1"/>
  <c r="AJ63" i="1"/>
  <c r="AK63" i="1"/>
  <c r="AM63" i="1"/>
  <c r="BF63" i="1"/>
  <c r="BG63" i="1"/>
  <c r="T64" i="1"/>
  <c r="U64" i="1"/>
  <c r="V64" i="1"/>
  <c r="W64" i="1"/>
  <c r="AB64" i="1"/>
  <c r="AF64" i="1"/>
  <c r="K65" i="1"/>
  <c r="AC65" i="1"/>
  <c r="AJ64" i="1"/>
  <c r="AK64" i="1"/>
  <c r="AM64" i="1"/>
  <c r="BF64" i="1"/>
  <c r="BG64" i="1"/>
  <c r="T65" i="1"/>
  <c r="U65" i="1"/>
  <c r="V65" i="1"/>
  <c r="W65" i="1"/>
  <c r="AB65" i="1"/>
  <c r="AF65" i="1"/>
  <c r="AC66" i="1"/>
  <c r="AJ65" i="1"/>
  <c r="AK65" i="1"/>
  <c r="AM65" i="1"/>
  <c r="BF65" i="1"/>
  <c r="BG65" i="1"/>
  <c r="T66" i="1"/>
  <c r="U66" i="1"/>
  <c r="V66" i="1"/>
  <c r="W66" i="1"/>
  <c r="AB66" i="1"/>
  <c r="AF66" i="1"/>
  <c r="AC67" i="1"/>
  <c r="AJ66" i="1"/>
  <c r="AK66" i="1"/>
  <c r="AM66" i="1"/>
  <c r="BF66" i="1"/>
  <c r="BG66" i="1"/>
  <c r="T67" i="1"/>
  <c r="U67" i="1"/>
  <c r="V67" i="1"/>
  <c r="W67" i="1"/>
  <c r="AB67" i="1"/>
  <c r="AF67" i="1"/>
  <c r="K68" i="1"/>
  <c r="AC68" i="1"/>
  <c r="AJ67" i="1"/>
  <c r="AK67" i="1"/>
  <c r="AM67" i="1"/>
  <c r="BF67" i="1"/>
  <c r="BG67" i="1"/>
  <c r="T68" i="1"/>
  <c r="U68" i="1"/>
  <c r="V68" i="1"/>
  <c r="W68" i="1"/>
  <c r="AB68" i="1"/>
  <c r="AF68" i="1"/>
  <c r="K69" i="1"/>
  <c r="AC69" i="1"/>
  <c r="AJ68" i="1"/>
  <c r="AK68" i="1"/>
  <c r="AM68" i="1"/>
  <c r="BF68" i="1"/>
  <c r="BG68" i="1"/>
  <c r="T69" i="1"/>
  <c r="U69" i="1"/>
  <c r="V69" i="1"/>
  <c r="W69" i="1"/>
  <c r="AB69" i="1"/>
  <c r="AF69" i="1"/>
  <c r="K70" i="1"/>
  <c r="AC70" i="1"/>
  <c r="AJ69" i="1"/>
  <c r="AK69" i="1"/>
  <c r="AM69" i="1"/>
  <c r="BF69" i="1"/>
  <c r="BG69" i="1"/>
  <c r="T70" i="1"/>
  <c r="U70" i="1"/>
  <c r="V70" i="1"/>
  <c r="W70" i="1"/>
  <c r="AB70" i="1"/>
  <c r="AF70" i="1"/>
  <c r="K71" i="1"/>
  <c r="AC71" i="1"/>
  <c r="AJ70" i="1"/>
  <c r="AK70" i="1"/>
  <c r="AM70" i="1"/>
  <c r="BF70" i="1"/>
  <c r="BG70" i="1"/>
  <c r="T71" i="1"/>
  <c r="U71" i="1"/>
  <c r="V71" i="1"/>
  <c r="W71" i="1"/>
  <c r="AB71" i="1"/>
  <c r="AF71" i="1"/>
  <c r="K72" i="1"/>
  <c r="AC72" i="1"/>
  <c r="AJ71" i="1"/>
  <c r="AK71" i="1"/>
  <c r="AM71" i="1"/>
  <c r="BF71" i="1"/>
  <c r="BG71" i="1"/>
  <c r="T72" i="1"/>
  <c r="U72" i="1"/>
  <c r="V72" i="1"/>
  <c r="W72" i="1"/>
  <c r="AB72" i="1"/>
  <c r="AF72" i="1"/>
  <c r="AC73" i="1"/>
  <c r="AJ72" i="1"/>
  <c r="AK72" i="1"/>
  <c r="AM72" i="1"/>
  <c r="BF72" i="1"/>
  <c r="BG72" i="1"/>
  <c r="T73" i="1"/>
  <c r="U73" i="1"/>
  <c r="V73" i="1"/>
  <c r="W73" i="1"/>
  <c r="AB73" i="1"/>
  <c r="AF73" i="1"/>
  <c r="AC74" i="1"/>
  <c r="AJ73" i="1"/>
  <c r="AK73" i="1"/>
  <c r="AM73" i="1"/>
  <c r="BF73" i="1"/>
  <c r="BG73" i="1"/>
  <c r="T74" i="1"/>
  <c r="U74" i="1"/>
  <c r="V74" i="1"/>
  <c r="W74" i="1"/>
  <c r="AB74" i="1"/>
  <c r="AF74" i="1"/>
  <c r="K75" i="1"/>
  <c r="AC75" i="1"/>
  <c r="AJ74" i="1"/>
  <c r="AK74" i="1"/>
  <c r="AM74" i="1"/>
  <c r="BF74" i="1"/>
  <c r="BG74" i="1"/>
  <c r="T75" i="1"/>
  <c r="U75" i="1"/>
  <c r="V75" i="1"/>
  <c r="W75" i="1"/>
  <c r="AB75" i="1"/>
  <c r="AF75" i="1"/>
  <c r="K76" i="1"/>
  <c r="AC76" i="1"/>
  <c r="AJ75" i="1"/>
  <c r="AK75" i="1"/>
  <c r="AM75" i="1"/>
  <c r="BF75" i="1"/>
  <c r="BG75" i="1"/>
  <c r="T76" i="1"/>
  <c r="U76" i="1"/>
  <c r="V76" i="1"/>
  <c r="W76" i="1"/>
  <c r="AB76" i="1"/>
  <c r="AF76" i="1"/>
  <c r="K77" i="1"/>
  <c r="AC77" i="1"/>
  <c r="AJ76" i="1"/>
  <c r="AK76" i="1"/>
  <c r="AM76" i="1"/>
  <c r="BF76" i="1"/>
  <c r="BG76" i="1"/>
  <c r="T77" i="1"/>
  <c r="U77" i="1"/>
  <c r="V77" i="1"/>
  <c r="W77" i="1"/>
  <c r="AB77" i="1"/>
  <c r="AF77" i="1"/>
  <c r="K78" i="1"/>
  <c r="AC78" i="1"/>
  <c r="AJ77" i="1"/>
  <c r="AK77" i="1"/>
  <c r="AM77" i="1"/>
  <c r="BF77" i="1"/>
  <c r="BG77" i="1"/>
  <c r="T78" i="1"/>
  <c r="U78" i="1"/>
  <c r="V78" i="1"/>
  <c r="W78" i="1"/>
  <c r="AB78" i="1"/>
  <c r="AF78" i="1"/>
  <c r="AC79" i="1"/>
  <c r="AJ78" i="1"/>
  <c r="AK78" i="1"/>
  <c r="AM78" i="1"/>
  <c r="BF78" i="1"/>
  <c r="BG78" i="1"/>
  <c r="T79" i="1"/>
  <c r="U79" i="1"/>
  <c r="V79" i="1"/>
  <c r="W79" i="1"/>
  <c r="AB79" i="1"/>
  <c r="AF79" i="1"/>
  <c r="AC80" i="1"/>
  <c r="AJ79" i="1"/>
  <c r="AK79" i="1"/>
  <c r="AM79" i="1"/>
  <c r="BF79" i="1"/>
  <c r="BG79" i="1"/>
  <c r="T80" i="1"/>
  <c r="U80" i="1"/>
  <c r="V80" i="1"/>
  <c r="W80" i="1"/>
  <c r="AB80" i="1"/>
  <c r="AF80" i="1"/>
  <c r="K81" i="1"/>
  <c r="AC81" i="1"/>
  <c r="AJ80" i="1"/>
  <c r="AK80" i="1"/>
  <c r="AM80" i="1"/>
  <c r="BF80" i="1"/>
  <c r="BG80" i="1"/>
  <c r="T81" i="1"/>
  <c r="U81" i="1"/>
  <c r="V81" i="1"/>
  <c r="W81" i="1"/>
  <c r="AB81" i="1"/>
  <c r="AF81" i="1"/>
  <c r="AC82" i="1"/>
  <c r="AJ81" i="1"/>
  <c r="AK81" i="1"/>
  <c r="AM81" i="1"/>
  <c r="BF81" i="1"/>
  <c r="BG81" i="1"/>
  <c r="T82" i="1"/>
  <c r="U82" i="1"/>
  <c r="V82" i="1"/>
  <c r="W82" i="1"/>
  <c r="AB82" i="1"/>
  <c r="AF82" i="1"/>
  <c r="AC83" i="1"/>
  <c r="AJ82" i="1"/>
  <c r="AK82" i="1"/>
  <c r="AM82" i="1"/>
  <c r="BF82" i="1"/>
  <c r="BG82" i="1"/>
  <c r="T83" i="1"/>
  <c r="U83" i="1"/>
  <c r="V83" i="1"/>
  <c r="W83" i="1"/>
  <c r="AB83" i="1"/>
  <c r="AF83" i="1"/>
  <c r="K84" i="1"/>
  <c r="AC84" i="1"/>
  <c r="AJ83" i="1"/>
  <c r="AK83" i="1"/>
  <c r="AM83" i="1"/>
  <c r="BF83" i="1"/>
  <c r="BG83" i="1"/>
  <c r="T84" i="1"/>
  <c r="U84" i="1"/>
  <c r="V84" i="1"/>
  <c r="W84" i="1"/>
  <c r="AB84" i="1"/>
  <c r="AF84" i="1"/>
  <c r="K85" i="1"/>
  <c r="AC85" i="1"/>
  <c r="AJ84" i="1"/>
  <c r="AK84" i="1"/>
  <c r="AM84" i="1"/>
  <c r="BF84" i="1"/>
  <c r="BG84" i="1"/>
  <c r="T85" i="1"/>
  <c r="U85" i="1"/>
  <c r="V85" i="1"/>
  <c r="W85" i="1"/>
  <c r="AB85" i="1"/>
  <c r="AF85" i="1"/>
  <c r="K86" i="1"/>
  <c r="AC86" i="1"/>
  <c r="AJ85" i="1"/>
  <c r="AK85" i="1"/>
  <c r="AM85" i="1"/>
  <c r="BF85" i="1"/>
  <c r="BG85" i="1"/>
  <c r="T86" i="1"/>
  <c r="U86" i="1"/>
  <c r="V86" i="1"/>
  <c r="W86" i="1"/>
  <c r="AB86" i="1"/>
  <c r="AF86" i="1"/>
  <c r="AC87" i="1"/>
  <c r="AJ86" i="1"/>
  <c r="AK86" i="1"/>
  <c r="AM86" i="1"/>
  <c r="BF86" i="1"/>
  <c r="BG86" i="1"/>
  <c r="T87" i="1"/>
  <c r="U87" i="1"/>
  <c r="V87" i="1"/>
  <c r="W87" i="1"/>
  <c r="AB87" i="1"/>
  <c r="AF87" i="1"/>
  <c r="AC88" i="1"/>
  <c r="AJ87" i="1"/>
  <c r="AK87" i="1"/>
  <c r="AM87" i="1"/>
  <c r="BF87" i="1"/>
  <c r="BG87" i="1"/>
  <c r="T88" i="1"/>
  <c r="U88" i="1"/>
  <c r="V88" i="1"/>
  <c r="W88" i="1"/>
  <c r="AB88" i="1"/>
  <c r="AF88" i="1"/>
  <c r="K89" i="1"/>
  <c r="AC89" i="1"/>
  <c r="AJ88" i="1"/>
  <c r="AK88" i="1"/>
  <c r="AM88" i="1"/>
  <c r="BF88" i="1"/>
  <c r="BG88" i="1"/>
  <c r="T89" i="1"/>
  <c r="U89" i="1"/>
  <c r="V89" i="1"/>
  <c r="W89" i="1"/>
  <c r="AB89" i="1"/>
  <c r="AF89" i="1"/>
  <c r="AC90" i="1"/>
  <c r="AJ89" i="1"/>
  <c r="AK89" i="1"/>
  <c r="AM89" i="1"/>
  <c r="BF89" i="1"/>
  <c r="BG89" i="1"/>
  <c r="T90" i="1"/>
  <c r="U90" i="1"/>
  <c r="V90" i="1"/>
  <c r="W90" i="1"/>
  <c r="AB90" i="1"/>
  <c r="AF90" i="1"/>
  <c r="AC91" i="1"/>
  <c r="AJ90" i="1"/>
  <c r="AK90" i="1"/>
  <c r="AM90" i="1"/>
  <c r="BF90" i="1"/>
  <c r="BG90" i="1"/>
  <c r="T91" i="1"/>
  <c r="U91" i="1"/>
  <c r="V91" i="1"/>
  <c r="W91" i="1"/>
  <c r="AB91" i="1"/>
  <c r="AF91" i="1"/>
  <c r="K92" i="1"/>
  <c r="AC92" i="1"/>
  <c r="AJ91" i="1"/>
  <c r="AK91" i="1"/>
  <c r="AM91" i="1"/>
  <c r="BF91" i="1"/>
  <c r="BG91" i="1"/>
  <c r="T92" i="1"/>
  <c r="U92" i="1"/>
  <c r="V92" i="1"/>
  <c r="W92" i="1"/>
  <c r="AB92" i="1"/>
  <c r="AF92" i="1"/>
  <c r="AC93" i="1"/>
  <c r="AJ92" i="1"/>
  <c r="AK92" i="1"/>
  <c r="AM92" i="1"/>
  <c r="BF92" i="1"/>
  <c r="BG92" i="1"/>
  <c r="T93" i="1"/>
  <c r="U93" i="1"/>
  <c r="V93" i="1"/>
  <c r="W93" i="1"/>
  <c r="AB93" i="1"/>
  <c r="AF93" i="1"/>
  <c r="AC94" i="1"/>
  <c r="AJ93" i="1"/>
  <c r="AK93" i="1"/>
  <c r="AM93" i="1"/>
  <c r="BF93" i="1"/>
  <c r="BG93" i="1"/>
  <c r="T94" i="1"/>
  <c r="U94" i="1"/>
  <c r="V94" i="1"/>
  <c r="W94" i="1"/>
  <c r="AB94" i="1"/>
  <c r="AF94" i="1"/>
  <c r="K95" i="1"/>
  <c r="AC95" i="1"/>
  <c r="AJ94" i="1"/>
  <c r="AK94" i="1"/>
  <c r="AM94" i="1"/>
  <c r="BF94" i="1"/>
  <c r="BG94" i="1"/>
  <c r="T95" i="1"/>
  <c r="U95" i="1"/>
  <c r="V95" i="1"/>
  <c r="W95" i="1"/>
  <c r="AB95" i="1"/>
  <c r="AF95" i="1"/>
  <c r="AC96" i="1"/>
  <c r="AJ95" i="1"/>
  <c r="AK95" i="1"/>
  <c r="AM95" i="1"/>
  <c r="BF95" i="1"/>
  <c r="BG95" i="1"/>
  <c r="T96" i="1"/>
  <c r="U96" i="1"/>
  <c r="V96" i="1"/>
  <c r="W96" i="1"/>
  <c r="AB96" i="1"/>
  <c r="AF96" i="1"/>
  <c r="AC97" i="1"/>
  <c r="AJ96" i="1"/>
  <c r="AK96" i="1"/>
  <c r="AM96" i="1"/>
  <c r="BF96" i="1"/>
  <c r="BG96" i="1"/>
  <c r="T97" i="1"/>
  <c r="U97" i="1"/>
  <c r="V97" i="1"/>
  <c r="W97" i="1"/>
  <c r="AB97" i="1"/>
  <c r="AF97" i="1"/>
  <c r="K98" i="1"/>
  <c r="AC98" i="1"/>
  <c r="AJ97" i="1"/>
  <c r="AK97" i="1"/>
  <c r="AM97" i="1"/>
  <c r="BF97" i="1"/>
  <c r="BG97" i="1"/>
  <c r="T98" i="1"/>
  <c r="U98" i="1"/>
  <c r="V98" i="1"/>
  <c r="W98" i="1"/>
  <c r="AB98" i="1"/>
  <c r="AF98" i="1"/>
  <c r="AC99" i="1"/>
  <c r="AJ98" i="1"/>
  <c r="AK98" i="1"/>
  <c r="AM98" i="1"/>
  <c r="BF98" i="1"/>
  <c r="BG98" i="1"/>
  <c r="T99" i="1"/>
  <c r="U99" i="1"/>
  <c r="V99" i="1"/>
  <c r="W99" i="1"/>
  <c r="AB99" i="1"/>
  <c r="AF99" i="1"/>
  <c r="AC100" i="1"/>
  <c r="AJ99" i="1"/>
  <c r="AK99" i="1"/>
  <c r="AM99" i="1"/>
  <c r="BF99" i="1"/>
  <c r="BG99" i="1"/>
  <c r="T100" i="1"/>
  <c r="U100" i="1"/>
  <c r="V100" i="1"/>
  <c r="W100" i="1"/>
  <c r="AB100" i="1"/>
  <c r="AF100" i="1"/>
  <c r="K101" i="1"/>
  <c r="AC101" i="1"/>
  <c r="AJ100" i="1"/>
  <c r="AK100" i="1"/>
  <c r="AM100" i="1"/>
  <c r="BF100" i="1"/>
  <c r="BG100" i="1"/>
  <c r="T101" i="1"/>
  <c r="U101" i="1"/>
  <c r="V101" i="1"/>
  <c r="W101" i="1"/>
  <c r="AB101" i="1"/>
  <c r="AF101" i="1"/>
  <c r="K102" i="1"/>
  <c r="AC102" i="1"/>
  <c r="AJ101" i="1"/>
  <c r="AK101" i="1"/>
  <c r="AM101" i="1"/>
  <c r="BF101" i="1"/>
  <c r="BG101" i="1"/>
  <c r="T102" i="1"/>
  <c r="U102" i="1"/>
  <c r="V102" i="1"/>
  <c r="W102" i="1"/>
  <c r="AB102" i="1"/>
  <c r="AF102" i="1"/>
  <c r="K103" i="1"/>
  <c r="AC103" i="1"/>
  <c r="AJ102" i="1"/>
  <c r="AK102" i="1"/>
  <c r="AM102" i="1"/>
  <c r="BF102" i="1"/>
  <c r="BG102" i="1"/>
  <c r="T103" i="1"/>
  <c r="U103" i="1"/>
  <c r="V103" i="1"/>
  <c r="W103" i="1"/>
  <c r="AB103" i="1"/>
  <c r="AF103" i="1"/>
  <c r="K104" i="1"/>
  <c r="AC104" i="1"/>
  <c r="AJ103" i="1"/>
  <c r="AK103" i="1"/>
  <c r="AM103" i="1"/>
  <c r="BF103" i="1"/>
  <c r="BG103" i="1"/>
  <c r="T104" i="1"/>
  <c r="U104" i="1"/>
  <c r="V104" i="1"/>
  <c r="W104" i="1"/>
  <c r="AB104" i="1"/>
  <c r="AF104" i="1"/>
  <c r="K105" i="1"/>
  <c r="AC105" i="1"/>
  <c r="AJ104" i="1"/>
  <c r="AK104" i="1"/>
  <c r="AM104" i="1"/>
  <c r="BF104" i="1"/>
  <c r="BG104" i="1"/>
  <c r="T105" i="1"/>
  <c r="U105" i="1"/>
  <c r="V105" i="1"/>
  <c r="W105" i="1"/>
  <c r="AB105" i="1"/>
  <c r="AF105" i="1"/>
  <c r="K106" i="1"/>
  <c r="AC106" i="1"/>
  <c r="AJ105" i="1"/>
  <c r="AK105" i="1"/>
  <c r="AM105" i="1"/>
  <c r="BF105" i="1"/>
  <c r="BG105" i="1"/>
  <c r="T106" i="1"/>
  <c r="U106" i="1"/>
  <c r="V106" i="1"/>
  <c r="W106" i="1"/>
  <c r="AB106" i="1"/>
  <c r="AF106" i="1"/>
  <c r="K107" i="1"/>
  <c r="AC107" i="1"/>
  <c r="AJ106" i="1"/>
  <c r="AK106" i="1"/>
  <c r="AM106" i="1"/>
  <c r="BF106" i="1"/>
  <c r="BG106" i="1"/>
  <c r="T107" i="1"/>
  <c r="U107" i="1"/>
  <c r="V107" i="1"/>
  <c r="W107" i="1"/>
  <c r="AB107" i="1"/>
  <c r="AF107" i="1"/>
  <c r="K108" i="1"/>
  <c r="AC108" i="1"/>
  <c r="AJ107" i="1"/>
  <c r="AK107" i="1"/>
  <c r="AM107" i="1"/>
  <c r="BF107" i="1"/>
  <c r="BG107" i="1"/>
  <c r="T108" i="1"/>
  <c r="U108" i="1"/>
  <c r="V108" i="1"/>
  <c r="W108" i="1"/>
  <c r="AB108" i="1"/>
  <c r="AF108" i="1"/>
  <c r="AC109" i="1"/>
  <c r="AJ108" i="1"/>
  <c r="AK108" i="1"/>
  <c r="AM108" i="1"/>
  <c r="BF108" i="1"/>
  <c r="BG108" i="1"/>
  <c r="T109" i="1"/>
  <c r="U109" i="1"/>
  <c r="V109" i="1"/>
  <c r="W109" i="1"/>
  <c r="AB109" i="1"/>
  <c r="AF109" i="1"/>
  <c r="AC110" i="1"/>
  <c r="AJ109" i="1"/>
  <c r="AK109" i="1"/>
  <c r="AM109" i="1"/>
  <c r="BF109" i="1"/>
  <c r="BG109" i="1"/>
  <c r="T110" i="1"/>
  <c r="U110" i="1"/>
  <c r="V110" i="1"/>
  <c r="W110" i="1"/>
  <c r="AB110" i="1"/>
  <c r="AF110" i="1"/>
  <c r="K111" i="1"/>
  <c r="AC111" i="1"/>
  <c r="AJ110" i="1"/>
  <c r="AK110" i="1"/>
  <c r="AM110" i="1"/>
  <c r="BF110" i="1"/>
  <c r="BG110" i="1"/>
  <c r="T111" i="1"/>
  <c r="U111" i="1"/>
  <c r="V111" i="1"/>
  <c r="W111" i="1"/>
  <c r="AB111" i="1"/>
  <c r="AF111" i="1"/>
  <c r="AC112" i="1"/>
  <c r="AJ111" i="1"/>
  <c r="AK111" i="1"/>
  <c r="AM111" i="1"/>
  <c r="BF111" i="1"/>
  <c r="BG111" i="1"/>
  <c r="T112" i="1"/>
  <c r="U112" i="1"/>
  <c r="V112" i="1"/>
  <c r="W112" i="1"/>
  <c r="AB112" i="1"/>
  <c r="AF112" i="1"/>
  <c r="AC113" i="1"/>
  <c r="AJ112" i="1"/>
  <c r="AK112" i="1"/>
  <c r="AM112" i="1"/>
  <c r="BF112" i="1"/>
  <c r="BG112" i="1"/>
  <c r="T113" i="1"/>
  <c r="U113" i="1"/>
  <c r="V113" i="1"/>
  <c r="W113" i="1"/>
  <c r="AB113" i="1"/>
  <c r="AF113" i="1"/>
  <c r="K114" i="1"/>
  <c r="AC114" i="1"/>
  <c r="AJ113" i="1"/>
  <c r="AK113" i="1"/>
  <c r="AM113" i="1"/>
  <c r="BF113" i="1"/>
  <c r="BG113" i="1"/>
  <c r="T114" i="1"/>
  <c r="U114" i="1"/>
  <c r="V114" i="1"/>
  <c r="W114" i="1"/>
  <c r="AB114" i="1"/>
  <c r="AF114" i="1"/>
  <c r="K115" i="1"/>
  <c r="AC115" i="1"/>
  <c r="AJ114" i="1"/>
  <c r="AK114" i="1"/>
  <c r="AM114" i="1"/>
  <c r="BF114" i="1"/>
  <c r="BG114" i="1"/>
  <c r="T115" i="1"/>
  <c r="U115" i="1"/>
  <c r="V115" i="1"/>
  <c r="W115" i="1"/>
  <c r="AB115" i="1"/>
  <c r="AF115" i="1"/>
  <c r="K116" i="1"/>
  <c r="AC116" i="1"/>
  <c r="AJ115" i="1"/>
  <c r="AK115" i="1"/>
  <c r="AM115" i="1"/>
  <c r="BF115" i="1"/>
  <c r="BG115" i="1"/>
  <c r="T116" i="1"/>
  <c r="U116" i="1"/>
  <c r="V116" i="1"/>
  <c r="W116" i="1"/>
  <c r="AB116" i="1"/>
  <c r="AF116" i="1"/>
  <c r="K117" i="1"/>
  <c r="AC117" i="1"/>
  <c r="AJ116" i="1"/>
  <c r="AK116" i="1"/>
  <c r="AM116" i="1"/>
  <c r="BF116" i="1"/>
  <c r="BG116" i="1"/>
  <c r="T117" i="1"/>
  <c r="U117" i="1"/>
  <c r="V117" i="1"/>
  <c r="W117" i="1"/>
  <c r="AB117" i="1"/>
  <c r="AF117" i="1"/>
  <c r="AC118" i="1"/>
  <c r="AJ117" i="1"/>
  <c r="AK117" i="1"/>
  <c r="AM117" i="1"/>
  <c r="BF117" i="1"/>
  <c r="BG117" i="1"/>
  <c r="T118" i="1"/>
  <c r="U118" i="1"/>
  <c r="V118" i="1"/>
  <c r="W118" i="1"/>
  <c r="AB118" i="1"/>
  <c r="AF118" i="1"/>
  <c r="AC119" i="1"/>
  <c r="AJ118" i="1"/>
  <c r="AK118" i="1"/>
  <c r="AM118" i="1"/>
  <c r="BF118" i="1"/>
  <c r="BG118" i="1"/>
  <c r="T119" i="1"/>
  <c r="U119" i="1"/>
  <c r="V119" i="1"/>
  <c r="W119" i="1"/>
  <c r="AB119" i="1"/>
  <c r="AF119" i="1"/>
  <c r="K120" i="1"/>
  <c r="AC120" i="1"/>
  <c r="AJ119" i="1"/>
  <c r="AK119" i="1"/>
  <c r="AM119" i="1"/>
  <c r="BF119" i="1"/>
  <c r="BG119" i="1"/>
  <c r="T120" i="1"/>
  <c r="U120" i="1"/>
  <c r="V120" i="1"/>
  <c r="W120" i="1"/>
  <c r="AB120" i="1"/>
  <c r="AF120" i="1"/>
  <c r="AC121" i="1"/>
  <c r="AJ120" i="1"/>
  <c r="AK120" i="1"/>
  <c r="AM120" i="1"/>
  <c r="BF120" i="1"/>
  <c r="BG120" i="1"/>
  <c r="T121" i="1"/>
  <c r="U121" i="1"/>
  <c r="V121" i="1"/>
  <c r="W121" i="1"/>
  <c r="AB121" i="1"/>
  <c r="AF121" i="1"/>
  <c r="AC122" i="1"/>
  <c r="AJ121" i="1"/>
  <c r="AK121" i="1"/>
  <c r="AM121" i="1"/>
  <c r="BF121" i="1"/>
  <c r="BG121" i="1"/>
  <c r="T122" i="1"/>
  <c r="U122" i="1"/>
  <c r="V122" i="1"/>
  <c r="W122" i="1"/>
  <c r="AB122" i="1"/>
  <c r="AF122" i="1"/>
  <c r="K123" i="1"/>
  <c r="AC123" i="1"/>
  <c r="AJ122" i="1"/>
  <c r="AK122" i="1"/>
  <c r="AM122" i="1"/>
  <c r="BF122" i="1"/>
  <c r="BG122" i="1"/>
  <c r="T123" i="1"/>
  <c r="U123" i="1"/>
  <c r="V123" i="1"/>
  <c r="W123" i="1"/>
  <c r="AB123" i="1"/>
  <c r="AF123" i="1"/>
  <c r="AC124" i="1"/>
  <c r="AJ123" i="1"/>
  <c r="AK123" i="1"/>
  <c r="AM123" i="1"/>
  <c r="BF123" i="1"/>
  <c r="BG123" i="1"/>
  <c r="T124" i="1"/>
  <c r="U124" i="1"/>
  <c r="V124" i="1"/>
  <c r="W124" i="1"/>
  <c r="AB124" i="1"/>
  <c r="AF124" i="1"/>
  <c r="AC125" i="1"/>
  <c r="AJ124" i="1"/>
  <c r="AK124" i="1"/>
  <c r="AM124" i="1"/>
  <c r="BF124" i="1"/>
  <c r="BG124" i="1"/>
  <c r="T125" i="1"/>
  <c r="U125" i="1"/>
  <c r="V125" i="1"/>
  <c r="W125" i="1"/>
  <c r="AB125" i="1"/>
  <c r="AF125" i="1"/>
  <c r="K126" i="1"/>
  <c r="AC126" i="1"/>
  <c r="AJ125" i="1"/>
  <c r="AK125" i="1"/>
  <c r="AM125" i="1"/>
  <c r="BF125" i="1"/>
  <c r="BG125" i="1"/>
  <c r="T126" i="1"/>
  <c r="U126" i="1"/>
  <c r="V126" i="1"/>
  <c r="W126" i="1"/>
  <c r="AB126" i="1"/>
  <c r="AF126" i="1"/>
  <c r="AC127" i="1"/>
  <c r="AJ126" i="1"/>
  <c r="AK126" i="1"/>
  <c r="AM126" i="1"/>
  <c r="BF126" i="1"/>
  <c r="BG126" i="1"/>
  <c r="T127" i="1"/>
  <c r="U127" i="1"/>
  <c r="V127" i="1"/>
  <c r="W127" i="1"/>
  <c r="AB127" i="1"/>
  <c r="AF127" i="1"/>
  <c r="AC128" i="1"/>
  <c r="AJ127" i="1"/>
  <c r="AK127" i="1"/>
  <c r="AM127" i="1"/>
  <c r="BF127" i="1"/>
  <c r="BG127" i="1"/>
  <c r="T128" i="1"/>
  <c r="U128" i="1"/>
  <c r="V128" i="1"/>
  <c r="W128" i="1"/>
  <c r="AB128" i="1"/>
  <c r="AF128" i="1"/>
  <c r="K129" i="1"/>
  <c r="AC129" i="1"/>
  <c r="AJ128" i="1"/>
  <c r="AK128" i="1"/>
  <c r="AM128" i="1"/>
  <c r="BF128" i="1"/>
  <c r="BG128" i="1"/>
  <c r="T129" i="1"/>
  <c r="U129" i="1"/>
  <c r="V129" i="1"/>
  <c r="W129" i="1"/>
  <c r="AB129" i="1"/>
  <c r="AF129" i="1"/>
  <c r="K130" i="1"/>
  <c r="AC130" i="1"/>
  <c r="AJ129" i="1"/>
  <c r="AK129" i="1"/>
  <c r="AM129" i="1"/>
  <c r="BF129" i="1"/>
  <c r="BG129" i="1"/>
  <c r="T130" i="1"/>
  <c r="U130" i="1"/>
  <c r="V130" i="1"/>
  <c r="W130" i="1"/>
  <c r="AB130" i="1"/>
  <c r="AF130" i="1"/>
  <c r="K131" i="1"/>
  <c r="AC131" i="1"/>
  <c r="AJ130" i="1"/>
  <c r="AK130" i="1"/>
  <c r="AM130" i="1"/>
  <c r="BF130" i="1"/>
  <c r="BG130" i="1"/>
  <c r="T131" i="1"/>
  <c r="U131" i="1"/>
  <c r="V131" i="1"/>
  <c r="W131" i="1"/>
  <c r="AB131" i="1"/>
  <c r="AF131" i="1"/>
  <c r="K132" i="1"/>
  <c r="AC132" i="1"/>
  <c r="AJ131" i="1"/>
  <c r="AK131" i="1"/>
  <c r="AM131" i="1"/>
  <c r="BF131" i="1"/>
  <c r="BG131" i="1"/>
  <c r="T132" i="1"/>
  <c r="U132" i="1"/>
  <c r="V132" i="1"/>
  <c r="W132" i="1"/>
  <c r="AB132" i="1"/>
  <c r="AF132" i="1"/>
  <c r="AC133" i="1"/>
  <c r="AJ132" i="1"/>
  <c r="AK132" i="1"/>
  <c r="AM132" i="1"/>
  <c r="BF132" i="1"/>
  <c r="BG132" i="1"/>
  <c r="T133" i="1"/>
  <c r="U133" i="1"/>
  <c r="V133" i="1"/>
  <c r="W133" i="1"/>
  <c r="AB133" i="1"/>
  <c r="AF133" i="1"/>
  <c r="AC134" i="1"/>
  <c r="AJ133" i="1"/>
  <c r="AK133" i="1"/>
  <c r="AM133" i="1"/>
  <c r="BF133" i="1"/>
  <c r="BG133" i="1"/>
  <c r="T134" i="1"/>
  <c r="U134" i="1"/>
  <c r="V134" i="1"/>
  <c r="W134" i="1"/>
  <c r="AB134" i="1"/>
  <c r="AF134" i="1"/>
  <c r="K135" i="1"/>
  <c r="AC135" i="1"/>
  <c r="AJ134" i="1"/>
  <c r="AK134" i="1"/>
  <c r="AM134" i="1"/>
  <c r="BF134" i="1"/>
  <c r="BG134" i="1"/>
  <c r="T135" i="1"/>
  <c r="U135" i="1"/>
  <c r="V135" i="1"/>
  <c r="W135" i="1"/>
  <c r="AB135" i="1"/>
  <c r="AF135" i="1"/>
  <c r="K136" i="1"/>
  <c r="AC136" i="1"/>
  <c r="AJ135" i="1"/>
  <c r="AK135" i="1"/>
  <c r="AM135" i="1"/>
  <c r="BF135" i="1"/>
  <c r="BG135" i="1"/>
  <c r="T136" i="1"/>
  <c r="U136" i="1"/>
  <c r="V136" i="1"/>
  <c r="W136" i="1"/>
  <c r="AB136" i="1"/>
  <c r="AF136" i="1"/>
  <c r="AC137" i="1"/>
  <c r="AJ136" i="1"/>
  <c r="AK136" i="1"/>
  <c r="AM136" i="1"/>
  <c r="BF136" i="1"/>
  <c r="BG136" i="1"/>
  <c r="T137" i="1"/>
  <c r="U137" i="1"/>
  <c r="V137" i="1"/>
  <c r="W137" i="1"/>
  <c r="AB137" i="1"/>
  <c r="AF137" i="1"/>
  <c r="AC138" i="1"/>
  <c r="AJ137" i="1"/>
  <c r="AK137" i="1"/>
  <c r="AM137" i="1"/>
  <c r="BF137" i="1"/>
  <c r="BG137" i="1"/>
  <c r="T138" i="1"/>
  <c r="U138" i="1"/>
  <c r="V138" i="1"/>
  <c r="W138" i="1"/>
  <c r="AB138" i="1"/>
  <c r="AF138" i="1"/>
  <c r="K139" i="1"/>
  <c r="AC139" i="1"/>
  <c r="AJ138" i="1"/>
  <c r="AK138" i="1"/>
  <c r="AM138" i="1"/>
  <c r="BF138" i="1"/>
  <c r="BG138" i="1"/>
  <c r="T139" i="1"/>
  <c r="U139" i="1"/>
  <c r="V139" i="1"/>
  <c r="W139" i="1"/>
  <c r="AB139" i="1"/>
  <c r="AF139" i="1"/>
  <c r="K140" i="1"/>
  <c r="AC140" i="1"/>
  <c r="AJ139" i="1"/>
  <c r="AK139" i="1"/>
  <c r="AM139" i="1"/>
  <c r="BF139" i="1"/>
  <c r="BG139" i="1"/>
  <c r="T140" i="1"/>
  <c r="U140" i="1"/>
  <c r="V140" i="1"/>
  <c r="W140" i="1"/>
  <c r="AB140" i="1"/>
  <c r="AF140" i="1"/>
  <c r="AC141" i="1"/>
  <c r="AJ140" i="1"/>
  <c r="AK140" i="1"/>
  <c r="AM140" i="1"/>
  <c r="BF140" i="1"/>
  <c r="BG140" i="1"/>
  <c r="T141" i="1"/>
  <c r="U141" i="1"/>
  <c r="V141" i="1"/>
  <c r="W141" i="1"/>
  <c r="AB141" i="1"/>
  <c r="AF141" i="1"/>
  <c r="AC142" i="1"/>
  <c r="AJ141" i="1"/>
  <c r="AK141" i="1"/>
  <c r="AM141" i="1"/>
  <c r="BF141" i="1"/>
  <c r="BG141" i="1"/>
  <c r="T142" i="1"/>
  <c r="U142" i="1"/>
  <c r="V142" i="1"/>
  <c r="W142" i="1"/>
  <c r="AB142" i="1"/>
  <c r="AF142" i="1"/>
  <c r="K143" i="1"/>
  <c r="AC143" i="1"/>
  <c r="AJ142" i="1"/>
  <c r="AK142" i="1"/>
  <c r="AM142" i="1"/>
  <c r="BF142" i="1"/>
  <c r="BG142" i="1"/>
  <c r="T143" i="1"/>
  <c r="U143" i="1"/>
  <c r="V143" i="1"/>
  <c r="W143" i="1"/>
  <c r="AB143" i="1"/>
  <c r="AF143" i="1"/>
  <c r="K144" i="1"/>
  <c r="AC144" i="1"/>
  <c r="AJ143" i="1"/>
  <c r="AK143" i="1"/>
  <c r="AM143" i="1"/>
  <c r="BF143" i="1"/>
  <c r="BG143" i="1"/>
  <c r="T144" i="1"/>
  <c r="U144" i="1"/>
  <c r="V144" i="1"/>
  <c r="W144" i="1"/>
  <c r="AB144" i="1"/>
  <c r="AF144" i="1"/>
  <c r="K145" i="1"/>
  <c r="AC145" i="1"/>
  <c r="AJ144" i="1"/>
  <c r="AK144" i="1"/>
  <c r="AM144" i="1"/>
  <c r="BF144" i="1"/>
  <c r="BG144" i="1"/>
  <c r="T145" i="1"/>
  <c r="U145" i="1"/>
  <c r="V145" i="1"/>
  <c r="W145" i="1"/>
  <c r="AB145" i="1"/>
  <c r="AF145" i="1"/>
  <c r="K146" i="1"/>
  <c r="AC146" i="1"/>
  <c r="AJ145" i="1"/>
  <c r="AK145" i="1"/>
  <c r="AM145" i="1"/>
  <c r="BF145" i="1"/>
  <c r="BG145" i="1"/>
  <c r="T146" i="1"/>
  <c r="U146" i="1"/>
  <c r="V146" i="1"/>
  <c r="W146" i="1"/>
  <c r="AB146" i="1"/>
  <c r="AF146" i="1"/>
  <c r="AC147" i="1"/>
  <c r="AJ146" i="1"/>
  <c r="AK146" i="1"/>
  <c r="AM146" i="1"/>
  <c r="BF146" i="1"/>
  <c r="BG146" i="1"/>
  <c r="T147" i="1"/>
  <c r="U147" i="1"/>
  <c r="V147" i="1"/>
  <c r="W147" i="1"/>
  <c r="AB147" i="1"/>
  <c r="AF147" i="1"/>
  <c r="AC148" i="1"/>
  <c r="AJ147" i="1"/>
  <c r="AK147" i="1"/>
  <c r="AM147" i="1"/>
  <c r="BF147" i="1"/>
  <c r="BG147" i="1"/>
  <c r="T148" i="1"/>
  <c r="U148" i="1"/>
  <c r="V148" i="1"/>
  <c r="W148" i="1"/>
  <c r="AB148" i="1"/>
  <c r="AF148" i="1"/>
  <c r="K149" i="1"/>
  <c r="AC149" i="1"/>
  <c r="AJ148" i="1"/>
  <c r="AK148" i="1"/>
  <c r="AM148" i="1"/>
  <c r="BF148" i="1"/>
  <c r="BG148" i="1"/>
  <c r="T149" i="1"/>
  <c r="U149" i="1"/>
  <c r="V149" i="1"/>
  <c r="W149" i="1"/>
  <c r="AB149" i="1"/>
  <c r="AF149" i="1"/>
  <c r="AC150" i="1"/>
  <c r="AJ149" i="1"/>
  <c r="AK149" i="1"/>
  <c r="AM149" i="1"/>
  <c r="BF149" i="1"/>
  <c r="BG149" i="1"/>
  <c r="T150" i="1"/>
  <c r="U150" i="1"/>
  <c r="V150" i="1"/>
  <c r="W150" i="1"/>
  <c r="AB150" i="1"/>
  <c r="AF150" i="1"/>
  <c r="AC151" i="1"/>
  <c r="AJ150" i="1"/>
  <c r="AK150" i="1"/>
  <c r="AM150" i="1"/>
  <c r="BF150" i="1"/>
  <c r="BG150" i="1"/>
  <c r="T151" i="1"/>
  <c r="U151" i="1"/>
  <c r="V151" i="1"/>
  <c r="W151" i="1"/>
  <c r="AB151" i="1"/>
  <c r="AF151" i="1"/>
  <c r="K152" i="1"/>
  <c r="AC152" i="1"/>
  <c r="AJ151" i="1"/>
  <c r="AK151" i="1"/>
  <c r="AM151" i="1"/>
  <c r="BF151" i="1"/>
  <c r="BG151" i="1"/>
  <c r="T152" i="1"/>
  <c r="U152" i="1"/>
  <c r="V152" i="1"/>
  <c r="W152" i="1"/>
  <c r="AB152" i="1"/>
  <c r="AF152" i="1"/>
  <c r="AC153" i="1"/>
  <c r="AJ152" i="1"/>
  <c r="AK152" i="1"/>
  <c r="AM152" i="1"/>
  <c r="BF152" i="1"/>
  <c r="BG152" i="1"/>
  <c r="T153" i="1"/>
  <c r="U153" i="1"/>
  <c r="V153" i="1"/>
  <c r="W153" i="1"/>
  <c r="AB153" i="1"/>
  <c r="AF153" i="1"/>
  <c r="AC154" i="1"/>
  <c r="AJ153" i="1"/>
  <c r="AK153" i="1"/>
  <c r="AM153" i="1"/>
  <c r="BF153" i="1"/>
  <c r="BG153" i="1"/>
  <c r="T154" i="1"/>
  <c r="U154" i="1"/>
  <c r="V154" i="1"/>
  <c r="W154" i="1"/>
  <c r="AB154" i="1"/>
  <c r="AF154" i="1"/>
  <c r="K155" i="1"/>
  <c r="AC155" i="1"/>
  <c r="AJ154" i="1"/>
  <c r="AK154" i="1"/>
  <c r="AM154" i="1"/>
  <c r="BF154" i="1"/>
  <c r="BG154" i="1"/>
  <c r="T155" i="1"/>
  <c r="U155" i="1"/>
  <c r="V155" i="1"/>
  <c r="W155" i="1"/>
  <c r="AB155" i="1"/>
  <c r="AF155" i="1"/>
  <c r="K156" i="1"/>
  <c r="AC156" i="1"/>
  <c r="AJ155" i="1"/>
  <c r="AK155" i="1"/>
  <c r="AM155" i="1"/>
  <c r="BF155" i="1"/>
  <c r="BG155" i="1"/>
  <c r="T156" i="1"/>
  <c r="U156" i="1"/>
  <c r="V156" i="1"/>
  <c r="W156" i="1"/>
  <c r="AB156" i="1"/>
  <c r="AF156" i="1"/>
  <c r="K157" i="1"/>
  <c r="AC157" i="1"/>
  <c r="AJ156" i="1"/>
  <c r="AK156" i="1"/>
  <c r="AM156" i="1"/>
  <c r="BF156" i="1"/>
  <c r="BG156" i="1"/>
  <c r="T157" i="1"/>
  <c r="U157" i="1"/>
  <c r="V157" i="1"/>
  <c r="W157" i="1"/>
  <c r="AB157" i="1"/>
  <c r="AF157" i="1"/>
  <c r="AC158" i="1"/>
  <c r="AJ157" i="1"/>
  <c r="AK157" i="1"/>
  <c r="AM157" i="1"/>
  <c r="BF157" i="1"/>
  <c r="BG157" i="1"/>
  <c r="T158" i="1"/>
  <c r="U158" i="1"/>
  <c r="V158" i="1"/>
  <c r="W158" i="1"/>
  <c r="AB158" i="1"/>
  <c r="AF158" i="1"/>
  <c r="AC159" i="1"/>
  <c r="AJ158" i="1"/>
  <c r="AK158" i="1"/>
  <c r="AM158" i="1"/>
  <c r="BF158" i="1"/>
  <c r="BG158" i="1"/>
  <c r="T159" i="1"/>
  <c r="U159" i="1"/>
  <c r="V159" i="1"/>
  <c r="W159" i="1"/>
  <c r="AB159" i="1"/>
  <c r="AF159" i="1"/>
  <c r="K160" i="1"/>
  <c r="AC160" i="1"/>
  <c r="AJ159" i="1"/>
  <c r="AK159" i="1"/>
  <c r="AM159" i="1"/>
  <c r="BF159" i="1"/>
  <c r="BG159" i="1"/>
  <c r="T160" i="1"/>
  <c r="U160" i="1"/>
  <c r="V160" i="1"/>
  <c r="W160" i="1"/>
  <c r="AB160" i="1"/>
  <c r="AF160" i="1"/>
  <c r="AC161" i="1"/>
  <c r="AJ160" i="1"/>
  <c r="AK160" i="1"/>
  <c r="AM160" i="1"/>
  <c r="BF160" i="1"/>
  <c r="BG160" i="1"/>
  <c r="T161" i="1"/>
  <c r="U161" i="1"/>
  <c r="V161" i="1"/>
  <c r="W161" i="1"/>
  <c r="AB161" i="1"/>
  <c r="AF161" i="1"/>
  <c r="AC162" i="1"/>
  <c r="AJ161" i="1"/>
  <c r="AK161" i="1"/>
  <c r="AM161" i="1"/>
  <c r="BF161" i="1"/>
  <c r="BG161" i="1"/>
  <c r="T162" i="1"/>
  <c r="U162" i="1"/>
  <c r="V162" i="1"/>
  <c r="W162" i="1"/>
  <c r="AB162" i="1"/>
  <c r="AF162" i="1"/>
  <c r="K163" i="1"/>
  <c r="AC163" i="1"/>
  <c r="AJ162" i="1"/>
  <c r="AK162" i="1"/>
  <c r="AM162" i="1"/>
  <c r="BF162" i="1"/>
  <c r="BG162" i="1"/>
  <c r="T163" i="1"/>
  <c r="U163" i="1"/>
  <c r="V163" i="1"/>
  <c r="W163" i="1"/>
  <c r="AB163" i="1"/>
  <c r="AF163" i="1"/>
  <c r="AC164" i="1"/>
  <c r="AJ163" i="1"/>
  <c r="AK163" i="1"/>
  <c r="AM163" i="1"/>
  <c r="BF163" i="1"/>
  <c r="BG163" i="1"/>
  <c r="T164" i="1"/>
  <c r="U164" i="1"/>
  <c r="V164" i="1"/>
  <c r="W164" i="1"/>
  <c r="AB164" i="1"/>
  <c r="AF164" i="1"/>
  <c r="AC165" i="1"/>
  <c r="AJ164" i="1"/>
  <c r="AK164" i="1"/>
  <c r="AM164" i="1"/>
  <c r="BF164" i="1"/>
  <c r="BG164" i="1"/>
  <c r="T165" i="1"/>
  <c r="U165" i="1"/>
  <c r="V165" i="1"/>
  <c r="W165" i="1"/>
  <c r="AB165" i="1"/>
  <c r="AF165" i="1"/>
  <c r="K166" i="1"/>
  <c r="AC166" i="1"/>
  <c r="AJ165" i="1"/>
  <c r="AK165" i="1"/>
  <c r="AM165" i="1"/>
  <c r="BF165" i="1"/>
  <c r="BG165" i="1"/>
  <c r="T166" i="1"/>
  <c r="U166" i="1"/>
  <c r="V166" i="1"/>
  <c r="W166" i="1"/>
  <c r="AB166" i="1"/>
  <c r="AF166" i="1"/>
  <c r="AC167" i="1"/>
  <c r="AJ166" i="1"/>
  <c r="AK166" i="1"/>
  <c r="AM166" i="1"/>
  <c r="BF166" i="1"/>
  <c r="BG166" i="1"/>
  <c r="T167" i="1"/>
  <c r="U167" i="1"/>
  <c r="V167" i="1"/>
  <c r="W167" i="1"/>
  <c r="AB167" i="1"/>
  <c r="AF167" i="1"/>
  <c r="AC168" i="1"/>
  <c r="AJ167" i="1"/>
  <c r="AK167" i="1"/>
  <c r="AM167" i="1"/>
  <c r="BF167" i="1"/>
  <c r="BG167" i="1"/>
  <c r="T168" i="1"/>
  <c r="U168" i="1"/>
  <c r="V168" i="1"/>
  <c r="W168" i="1"/>
  <c r="AB168" i="1"/>
  <c r="AF168" i="1"/>
  <c r="K169" i="1"/>
  <c r="AC169" i="1"/>
  <c r="AJ168" i="1"/>
  <c r="AK168" i="1"/>
  <c r="AM168" i="1"/>
  <c r="BF168" i="1"/>
  <c r="BG168" i="1"/>
  <c r="T169" i="1"/>
  <c r="U169" i="1"/>
  <c r="V169" i="1"/>
  <c r="W169" i="1"/>
  <c r="AB169" i="1"/>
  <c r="AF169" i="1"/>
  <c r="K170" i="1"/>
  <c r="AC170" i="1"/>
  <c r="AJ169" i="1"/>
  <c r="AK169" i="1"/>
  <c r="AM169" i="1"/>
  <c r="BF169" i="1"/>
  <c r="BG169" i="1"/>
  <c r="T170" i="1"/>
  <c r="U170" i="1"/>
  <c r="V170" i="1"/>
  <c r="W170" i="1"/>
  <c r="AB170" i="1"/>
  <c r="AF170" i="1"/>
  <c r="K171" i="1"/>
  <c r="AC171" i="1"/>
  <c r="AJ170" i="1"/>
  <c r="AK170" i="1"/>
  <c r="AM170" i="1"/>
  <c r="BF170" i="1"/>
  <c r="BG170" i="1"/>
  <c r="T171" i="1"/>
  <c r="U171" i="1"/>
  <c r="V171" i="1"/>
  <c r="W171" i="1"/>
  <c r="AB171" i="1"/>
  <c r="AF171" i="1"/>
  <c r="K172" i="1"/>
  <c r="AC172" i="1"/>
  <c r="AJ171" i="1"/>
  <c r="AK171" i="1"/>
  <c r="AM171" i="1"/>
  <c r="BF171" i="1"/>
  <c r="BG171" i="1"/>
  <c r="T172" i="1"/>
  <c r="U172" i="1"/>
  <c r="V172" i="1"/>
  <c r="W172" i="1"/>
  <c r="AB172" i="1"/>
  <c r="AF172" i="1"/>
  <c r="K173" i="1"/>
  <c r="AC173" i="1"/>
  <c r="AJ172" i="1"/>
  <c r="AK172" i="1"/>
  <c r="AM172" i="1"/>
  <c r="BF172" i="1"/>
  <c r="BG172" i="1"/>
  <c r="T173" i="1"/>
  <c r="U173" i="1"/>
  <c r="V173" i="1"/>
  <c r="W173" i="1"/>
  <c r="AB173" i="1"/>
  <c r="AF173" i="1"/>
  <c r="K174" i="1"/>
  <c r="AC174" i="1"/>
  <c r="AJ173" i="1"/>
  <c r="AK173" i="1"/>
  <c r="AM173" i="1"/>
  <c r="BF173" i="1"/>
  <c r="BG173" i="1"/>
  <c r="T174" i="1"/>
  <c r="U174" i="1"/>
  <c r="V174" i="1"/>
  <c r="W174" i="1"/>
  <c r="AB174" i="1"/>
  <c r="AF174" i="1"/>
  <c r="K175" i="1"/>
  <c r="AC175" i="1"/>
  <c r="AJ174" i="1"/>
  <c r="AK174" i="1"/>
  <c r="AM174" i="1"/>
  <c r="BF174" i="1"/>
  <c r="BG174" i="1"/>
  <c r="T175" i="1"/>
  <c r="U175" i="1"/>
  <c r="V175" i="1"/>
  <c r="W175" i="1"/>
  <c r="AB175" i="1"/>
  <c r="AF175" i="1"/>
  <c r="AC176" i="1"/>
  <c r="AJ175" i="1"/>
  <c r="AK175" i="1"/>
  <c r="AM175" i="1"/>
  <c r="BF175" i="1"/>
  <c r="BG175" i="1"/>
  <c r="T176" i="1"/>
  <c r="U176" i="1"/>
  <c r="V176" i="1"/>
  <c r="W176" i="1"/>
  <c r="AB176" i="1"/>
  <c r="AF176" i="1"/>
  <c r="AC177" i="1"/>
  <c r="AJ176" i="1"/>
  <c r="AK176" i="1"/>
  <c r="AM176" i="1"/>
  <c r="BF176" i="1"/>
  <c r="BG176" i="1"/>
  <c r="T177" i="1"/>
  <c r="U177" i="1"/>
  <c r="V177" i="1"/>
  <c r="W177" i="1"/>
  <c r="AB177" i="1"/>
  <c r="AF177" i="1"/>
  <c r="K178" i="1"/>
  <c r="AC178" i="1"/>
  <c r="AJ177" i="1"/>
  <c r="AK177" i="1"/>
  <c r="AM177" i="1"/>
  <c r="BF177" i="1"/>
  <c r="BG177" i="1"/>
  <c r="T178" i="1"/>
  <c r="U178" i="1"/>
  <c r="V178" i="1"/>
  <c r="W178" i="1"/>
  <c r="AB178" i="1"/>
  <c r="AF178" i="1"/>
  <c r="AC179" i="1"/>
  <c r="AJ178" i="1"/>
  <c r="AK178" i="1"/>
  <c r="AM178" i="1"/>
  <c r="BF178" i="1"/>
  <c r="BG178" i="1"/>
  <c r="T179" i="1"/>
  <c r="U179" i="1"/>
  <c r="V179" i="1"/>
  <c r="W179" i="1"/>
  <c r="AB179" i="1"/>
  <c r="AF179" i="1"/>
  <c r="AC180" i="1"/>
  <c r="AJ179" i="1"/>
  <c r="AK179" i="1"/>
  <c r="AM179" i="1"/>
  <c r="BF179" i="1"/>
  <c r="BG179" i="1"/>
  <c r="T180" i="1"/>
  <c r="U180" i="1"/>
  <c r="V180" i="1"/>
  <c r="W180" i="1"/>
  <c r="AB180" i="1"/>
  <c r="AF180" i="1"/>
  <c r="K181" i="1"/>
  <c r="AC181" i="1"/>
  <c r="AJ180" i="1"/>
  <c r="AK180" i="1"/>
  <c r="AM180" i="1"/>
  <c r="BF180" i="1"/>
  <c r="BG180" i="1"/>
  <c r="T181" i="1"/>
  <c r="U181" i="1"/>
  <c r="V181" i="1"/>
  <c r="W181" i="1"/>
  <c r="AB181" i="1"/>
  <c r="AF181" i="1"/>
  <c r="AC182" i="1"/>
  <c r="AJ181" i="1"/>
  <c r="AK181" i="1"/>
  <c r="AM181" i="1"/>
  <c r="BF181" i="1"/>
  <c r="BG181" i="1"/>
  <c r="T182" i="1"/>
  <c r="U182" i="1"/>
  <c r="V182" i="1"/>
  <c r="W182" i="1"/>
  <c r="AB182" i="1"/>
  <c r="AF182" i="1"/>
  <c r="AC183" i="1"/>
  <c r="AJ182" i="1"/>
  <c r="AK182" i="1"/>
  <c r="AM182" i="1"/>
  <c r="BF182" i="1"/>
  <c r="BG182" i="1"/>
  <c r="T183" i="1"/>
  <c r="U183" i="1"/>
  <c r="V183" i="1"/>
  <c r="W183" i="1"/>
  <c r="AB183" i="1"/>
  <c r="AF183" i="1"/>
  <c r="K184" i="1"/>
  <c r="AC184" i="1"/>
  <c r="AJ183" i="1"/>
  <c r="AK183" i="1"/>
  <c r="AM183" i="1"/>
  <c r="BF183" i="1"/>
  <c r="BG183" i="1"/>
  <c r="T184" i="1"/>
  <c r="U184" i="1"/>
  <c r="V184" i="1"/>
  <c r="W184" i="1"/>
  <c r="AB184" i="1"/>
  <c r="AF184" i="1"/>
  <c r="AC185" i="1"/>
  <c r="AJ184" i="1"/>
  <c r="AK184" i="1"/>
  <c r="AM184" i="1"/>
  <c r="BF184" i="1"/>
  <c r="BG184" i="1"/>
  <c r="T185" i="1"/>
  <c r="U185" i="1"/>
  <c r="V185" i="1"/>
  <c r="W185" i="1"/>
  <c r="AB185" i="1"/>
  <c r="AF185" i="1"/>
  <c r="AC186" i="1"/>
  <c r="AJ185" i="1"/>
  <c r="AK185" i="1"/>
  <c r="AM185" i="1"/>
  <c r="BF185" i="1"/>
  <c r="BG185" i="1"/>
  <c r="T186" i="1"/>
  <c r="U186" i="1"/>
  <c r="V186" i="1"/>
  <c r="W186" i="1"/>
  <c r="AB186" i="1"/>
  <c r="AF186" i="1"/>
  <c r="K187" i="1"/>
  <c r="AC187" i="1"/>
  <c r="AJ186" i="1"/>
  <c r="AK186" i="1"/>
  <c r="AM186" i="1"/>
  <c r="BF186" i="1"/>
  <c r="BG186" i="1"/>
  <c r="T187" i="1"/>
  <c r="U187" i="1"/>
  <c r="V187" i="1"/>
  <c r="W187" i="1"/>
  <c r="AB187" i="1"/>
  <c r="AF187" i="1"/>
  <c r="AC188" i="1"/>
  <c r="AJ187" i="1"/>
  <c r="AK187" i="1"/>
  <c r="AM187" i="1"/>
  <c r="BF187" i="1"/>
  <c r="BG187" i="1"/>
  <c r="T188" i="1"/>
  <c r="U188" i="1"/>
  <c r="V188" i="1"/>
  <c r="W188" i="1"/>
  <c r="AB188" i="1"/>
  <c r="AF188" i="1"/>
  <c r="AC189" i="1"/>
  <c r="AJ188" i="1"/>
  <c r="AK188" i="1"/>
  <c r="AM188" i="1"/>
  <c r="BF188" i="1"/>
  <c r="BG188" i="1"/>
  <c r="T189" i="1"/>
  <c r="U189" i="1"/>
  <c r="V189" i="1"/>
  <c r="W189" i="1"/>
  <c r="AB189" i="1"/>
  <c r="AF189" i="1"/>
  <c r="K190" i="1"/>
  <c r="AC190" i="1"/>
  <c r="AJ189" i="1"/>
  <c r="AK189" i="1"/>
  <c r="AM189" i="1"/>
  <c r="BF189" i="1"/>
  <c r="BG189" i="1"/>
  <c r="T190" i="1"/>
  <c r="U190" i="1"/>
  <c r="V190" i="1"/>
  <c r="W190" i="1"/>
  <c r="AB190" i="1"/>
  <c r="AF190" i="1"/>
  <c r="AC191" i="1"/>
  <c r="AJ190" i="1"/>
  <c r="AK190" i="1"/>
  <c r="AM190" i="1"/>
  <c r="BF190" i="1"/>
  <c r="BG190" i="1"/>
  <c r="T191" i="1"/>
  <c r="U191" i="1"/>
  <c r="V191" i="1"/>
  <c r="W191" i="1"/>
  <c r="AB191" i="1"/>
  <c r="AF191" i="1"/>
  <c r="AC192" i="1"/>
  <c r="AJ191" i="1"/>
  <c r="AK191" i="1"/>
  <c r="AM191" i="1"/>
  <c r="BF191" i="1"/>
  <c r="BG191" i="1"/>
  <c r="T192" i="1"/>
  <c r="U192" i="1"/>
  <c r="V192" i="1"/>
  <c r="W192" i="1"/>
  <c r="AB192" i="1"/>
  <c r="AF192" i="1"/>
  <c r="K193" i="1"/>
  <c r="AC193" i="1"/>
  <c r="AJ192" i="1"/>
  <c r="AK192" i="1"/>
  <c r="AM192" i="1"/>
  <c r="BF192" i="1"/>
  <c r="BG192" i="1"/>
  <c r="T193" i="1"/>
  <c r="U193" i="1"/>
  <c r="V193" i="1"/>
  <c r="W193" i="1"/>
  <c r="AB193" i="1"/>
  <c r="AF193" i="1"/>
  <c r="AC194" i="1"/>
  <c r="AJ193" i="1"/>
  <c r="AK193" i="1"/>
  <c r="AM193" i="1"/>
  <c r="BF193" i="1"/>
  <c r="BG193" i="1"/>
  <c r="T194" i="1"/>
  <c r="U194" i="1"/>
  <c r="V194" i="1"/>
  <c r="W194" i="1"/>
  <c r="AB194" i="1"/>
  <c r="AF194" i="1"/>
  <c r="AC195" i="1"/>
  <c r="AJ194" i="1"/>
  <c r="AK194" i="1"/>
  <c r="AM194" i="1"/>
  <c r="BF194" i="1"/>
  <c r="BG194" i="1"/>
  <c r="T195" i="1"/>
  <c r="U195" i="1"/>
  <c r="V195" i="1"/>
  <c r="W195" i="1"/>
  <c r="AB195" i="1"/>
  <c r="AF195" i="1"/>
  <c r="K196" i="1"/>
  <c r="AC196" i="1"/>
  <c r="AJ195" i="1"/>
  <c r="AK195" i="1"/>
  <c r="AM195" i="1"/>
  <c r="BF195" i="1"/>
  <c r="BG195" i="1"/>
  <c r="T196" i="1"/>
  <c r="U196" i="1"/>
  <c r="V196" i="1"/>
  <c r="W196" i="1"/>
  <c r="AB196" i="1"/>
  <c r="AF196" i="1"/>
  <c r="AC197" i="1"/>
  <c r="AJ196" i="1"/>
  <c r="AK196" i="1"/>
  <c r="AM196" i="1"/>
  <c r="BF196" i="1"/>
  <c r="BG196" i="1"/>
  <c r="T197" i="1"/>
  <c r="U197" i="1"/>
  <c r="V197" i="1"/>
  <c r="W197" i="1"/>
  <c r="AB197" i="1"/>
  <c r="AF197" i="1"/>
  <c r="AC198" i="1"/>
  <c r="AJ197" i="1"/>
  <c r="AK197" i="1"/>
  <c r="AM197" i="1"/>
  <c r="BF197" i="1"/>
  <c r="BG197" i="1"/>
  <c r="T198" i="1"/>
  <c r="U198" i="1"/>
  <c r="V198" i="1"/>
  <c r="W198" i="1"/>
  <c r="AB198" i="1"/>
  <c r="AF198" i="1"/>
  <c r="K199" i="1"/>
  <c r="AC199" i="1"/>
  <c r="AJ198" i="1"/>
  <c r="AK198" i="1"/>
  <c r="AM198" i="1"/>
  <c r="BF198" i="1"/>
  <c r="BG198" i="1"/>
  <c r="T199" i="1"/>
  <c r="U199" i="1"/>
  <c r="V199" i="1"/>
  <c r="W199" i="1"/>
  <c r="AB199" i="1"/>
  <c r="AF199" i="1"/>
  <c r="AC200" i="1"/>
  <c r="AJ199" i="1"/>
  <c r="AK199" i="1"/>
  <c r="AM199" i="1"/>
  <c r="BF199" i="1"/>
  <c r="BG199" i="1"/>
  <c r="T200" i="1"/>
  <c r="U200" i="1"/>
  <c r="V200" i="1"/>
  <c r="W200" i="1"/>
  <c r="AB200" i="1"/>
  <c r="AF200" i="1"/>
  <c r="AC201" i="1"/>
  <c r="AJ200" i="1"/>
  <c r="AK200" i="1"/>
  <c r="AM200" i="1"/>
  <c r="BF200" i="1"/>
  <c r="BG200" i="1"/>
  <c r="T201" i="1"/>
  <c r="U201" i="1"/>
  <c r="V201" i="1"/>
  <c r="W201" i="1"/>
  <c r="AB201" i="1"/>
  <c r="AF201" i="1"/>
  <c r="K202" i="1"/>
  <c r="AC202" i="1"/>
  <c r="AJ201" i="1"/>
  <c r="AK201" i="1"/>
  <c r="AM201" i="1"/>
  <c r="BF201" i="1"/>
  <c r="BG201" i="1"/>
  <c r="T202" i="1"/>
  <c r="U202" i="1"/>
  <c r="V202" i="1"/>
  <c r="W202" i="1"/>
  <c r="AB202" i="1"/>
  <c r="AF202" i="1"/>
  <c r="K203" i="1"/>
  <c r="AC203" i="1"/>
  <c r="AJ202" i="1"/>
  <c r="AK202" i="1"/>
  <c r="AM202" i="1"/>
  <c r="BF202" i="1"/>
  <c r="BG202" i="1"/>
  <c r="T203" i="1"/>
  <c r="U203" i="1"/>
  <c r="V203" i="1"/>
  <c r="W203" i="1"/>
  <c r="AB203" i="1"/>
  <c r="AF203" i="1"/>
  <c r="AC204" i="1"/>
  <c r="AJ203" i="1"/>
  <c r="AK203" i="1"/>
  <c r="AM203" i="1"/>
  <c r="BF203" i="1"/>
  <c r="BG203" i="1"/>
  <c r="T204" i="1"/>
  <c r="U204" i="1"/>
  <c r="V204" i="1"/>
  <c r="W204" i="1"/>
  <c r="AB204" i="1"/>
  <c r="AF204" i="1"/>
  <c r="AC205" i="1"/>
  <c r="AJ204" i="1"/>
  <c r="AK204" i="1"/>
  <c r="AM204" i="1"/>
  <c r="BF204" i="1"/>
  <c r="BG204" i="1"/>
  <c r="T205" i="1"/>
  <c r="U205" i="1"/>
  <c r="V205" i="1"/>
  <c r="W205" i="1"/>
  <c r="AB205" i="1"/>
  <c r="AF205" i="1"/>
  <c r="K206" i="1"/>
  <c r="AC206" i="1"/>
  <c r="AJ205" i="1"/>
  <c r="AK205" i="1"/>
  <c r="AM205" i="1"/>
  <c r="BF205" i="1"/>
  <c r="BG205" i="1"/>
  <c r="T206" i="1"/>
  <c r="U206" i="1"/>
  <c r="V206" i="1"/>
  <c r="W206" i="1"/>
  <c r="AB206" i="1"/>
  <c r="AF206" i="1"/>
  <c r="AC207" i="1"/>
  <c r="AJ206" i="1"/>
  <c r="AK206" i="1"/>
  <c r="AM206" i="1"/>
  <c r="BF206" i="1"/>
  <c r="BG206" i="1"/>
  <c r="T207" i="1"/>
  <c r="U207" i="1"/>
  <c r="V207" i="1"/>
  <c r="W207" i="1"/>
  <c r="AB207" i="1"/>
  <c r="AF207" i="1"/>
  <c r="AC208" i="1"/>
  <c r="AJ207" i="1"/>
  <c r="AK207" i="1"/>
  <c r="AM207" i="1"/>
  <c r="BF207" i="1"/>
  <c r="BG207" i="1"/>
  <c r="T208" i="1"/>
  <c r="U208" i="1"/>
  <c r="V208" i="1"/>
  <c r="W208" i="1"/>
  <c r="AB208" i="1"/>
  <c r="AF208" i="1"/>
  <c r="K209" i="1"/>
  <c r="AC209" i="1"/>
  <c r="AJ208" i="1"/>
  <c r="AK208" i="1"/>
  <c r="AM208" i="1"/>
  <c r="BF208" i="1"/>
  <c r="BG208" i="1"/>
  <c r="T209" i="1"/>
  <c r="U209" i="1"/>
  <c r="V209" i="1"/>
  <c r="W209" i="1"/>
  <c r="AB209" i="1"/>
  <c r="AF209" i="1"/>
  <c r="K210" i="1"/>
  <c r="AC210" i="1"/>
  <c r="AJ209" i="1"/>
  <c r="AK209" i="1"/>
  <c r="AM209" i="1"/>
  <c r="BF209" i="1"/>
  <c r="BG209" i="1"/>
  <c r="T210" i="1"/>
  <c r="U210" i="1"/>
  <c r="V210" i="1"/>
  <c r="W210" i="1"/>
  <c r="AB210" i="1"/>
  <c r="AF210" i="1"/>
  <c r="K211" i="1"/>
  <c r="AC211" i="1"/>
  <c r="AJ210" i="1"/>
  <c r="AK210" i="1"/>
  <c r="AM210" i="1"/>
  <c r="BF210" i="1"/>
  <c r="BG210" i="1"/>
  <c r="T211" i="1"/>
  <c r="U211" i="1"/>
  <c r="V211" i="1"/>
  <c r="W211" i="1"/>
  <c r="AB211" i="1"/>
  <c r="AF211" i="1"/>
  <c r="K212" i="1"/>
  <c r="AC212" i="1"/>
  <c r="AJ211" i="1"/>
  <c r="AK211" i="1"/>
  <c r="AM211" i="1"/>
  <c r="BF211" i="1"/>
  <c r="BG211" i="1"/>
  <c r="T212" i="1"/>
  <c r="U212" i="1"/>
  <c r="V212" i="1"/>
  <c r="W212" i="1"/>
  <c r="AB212" i="1"/>
  <c r="AF212" i="1"/>
  <c r="K213" i="1"/>
  <c r="AC213" i="1"/>
  <c r="AJ212" i="1"/>
  <c r="AK212" i="1"/>
  <c r="AM212" i="1"/>
  <c r="BF212" i="1"/>
  <c r="BG212" i="1"/>
  <c r="T213" i="1"/>
  <c r="U213" i="1"/>
  <c r="V213" i="1"/>
  <c r="W213" i="1"/>
  <c r="AB213" i="1"/>
  <c r="AF213" i="1"/>
  <c r="AC214" i="1"/>
  <c r="AJ213" i="1"/>
  <c r="AK213" i="1"/>
  <c r="AM213" i="1"/>
  <c r="BF213" i="1"/>
  <c r="BG213" i="1"/>
  <c r="T214" i="1"/>
  <c r="U214" i="1"/>
  <c r="V214" i="1"/>
  <c r="W214" i="1"/>
  <c r="AB214" i="1"/>
  <c r="AF214" i="1"/>
  <c r="AC215" i="1"/>
  <c r="AJ214" i="1"/>
  <c r="AK214" i="1"/>
  <c r="AM214" i="1"/>
  <c r="BF214" i="1"/>
  <c r="BG214" i="1"/>
  <c r="T215" i="1"/>
  <c r="U215" i="1"/>
  <c r="V215" i="1"/>
  <c r="W215" i="1"/>
  <c r="AB215" i="1"/>
  <c r="AF215" i="1"/>
  <c r="K216" i="1"/>
  <c r="AC216" i="1"/>
  <c r="AJ215" i="1"/>
  <c r="AK215" i="1"/>
  <c r="AM215" i="1"/>
  <c r="BF215" i="1"/>
  <c r="BG215" i="1"/>
  <c r="T216" i="1"/>
  <c r="U216" i="1"/>
  <c r="V216" i="1"/>
  <c r="W216" i="1"/>
  <c r="AB216" i="1"/>
  <c r="AF216" i="1"/>
  <c r="AC217" i="1"/>
  <c r="AJ216" i="1"/>
  <c r="AK216" i="1"/>
  <c r="AM216" i="1"/>
  <c r="BF216" i="1"/>
  <c r="BG216" i="1"/>
  <c r="T217" i="1"/>
  <c r="U217" i="1"/>
  <c r="V217" i="1"/>
  <c r="W217" i="1"/>
  <c r="AB217" i="1"/>
  <c r="AF217" i="1"/>
  <c r="AC218" i="1"/>
  <c r="AJ217" i="1"/>
  <c r="AK217" i="1"/>
  <c r="AM217" i="1"/>
  <c r="BF217" i="1"/>
  <c r="BG217" i="1"/>
  <c r="T218" i="1"/>
  <c r="U218" i="1"/>
  <c r="V218" i="1"/>
  <c r="W218" i="1"/>
  <c r="AB218" i="1"/>
  <c r="AF218" i="1"/>
  <c r="K219" i="1"/>
  <c r="AC219" i="1"/>
  <c r="AJ218" i="1"/>
  <c r="AK218" i="1"/>
  <c r="AM218" i="1"/>
  <c r="BF218" i="1"/>
  <c r="BG218" i="1"/>
  <c r="T219" i="1"/>
  <c r="U219" i="1"/>
  <c r="V219" i="1"/>
  <c r="W219" i="1"/>
  <c r="AB219" i="1"/>
  <c r="AF219" i="1"/>
  <c r="AC220" i="1"/>
  <c r="AJ219" i="1"/>
  <c r="AK219" i="1"/>
  <c r="AM219" i="1"/>
  <c r="BF219" i="1"/>
  <c r="BG219" i="1"/>
  <c r="T220" i="1"/>
  <c r="U220" i="1"/>
  <c r="V220" i="1"/>
  <c r="W220" i="1"/>
  <c r="AB220" i="1"/>
  <c r="AF220" i="1"/>
  <c r="AC221" i="1"/>
  <c r="AJ220" i="1"/>
  <c r="AK220" i="1"/>
  <c r="AM220" i="1"/>
  <c r="BF220" i="1"/>
  <c r="BG220" i="1"/>
  <c r="T221" i="1"/>
  <c r="U221" i="1"/>
  <c r="V221" i="1"/>
  <c r="W221" i="1"/>
  <c r="AB221" i="1"/>
  <c r="AF221" i="1"/>
  <c r="K222" i="1"/>
  <c r="AC222" i="1"/>
  <c r="AJ221" i="1"/>
  <c r="AK221" i="1"/>
  <c r="AM221" i="1"/>
  <c r="BF221" i="1"/>
  <c r="BG221" i="1"/>
  <c r="T222" i="1"/>
  <c r="U222" i="1"/>
  <c r="V222" i="1"/>
  <c r="W222" i="1"/>
  <c r="AB222" i="1"/>
  <c r="AF222" i="1"/>
  <c r="AC223" i="1"/>
  <c r="AJ222" i="1"/>
  <c r="AK222" i="1"/>
  <c r="AM222" i="1"/>
  <c r="BF222" i="1"/>
  <c r="BG222" i="1"/>
  <c r="T223" i="1"/>
  <c r="U223" i="1"/>
  <c r="V223" i="1"/>
  <c r="W223" i="1"/>
  <c r="AB223" i="1"/>
  <c r="AF223" i="1"/>
  <c r="AC224" i="1"/>
  <c r="AJ223" i="1"/>
  <c r="AK223" i="1"/>
  <c r="AM223" i="1"/>
  <c r="BF223" i="1"/>
  <c r="BG223" i="1"/>
  <c r="T224" i="1"/>
  <c r="U224" i="1"/>
  <c r="V224" i="1"/>
  <c r="W224" i="1"/>
  <c r="AB224" i="1"/>
  <c r="AF224" i="1"/>
  <c r="K225" i="1"/>
  <c r="AC225" i="1"/>
  <c r="AJ224" i="1"/>
  <c r="AK224" i="1"/>
  <c r="AM224" i="1"/>
  <c r="BF224" i="1"/>
  <c r="BG224" i="1"/>
  <c r="T225" i="1"/>
  <c r="U225" i="1"/>
  <c r="V225" i="1"/>
  <c r="W225" i="1"/>
  <c r="AB225" i="1"/>
  <c r="AF225" i="1"/>
  <c r="AC226" i="1"/>
  <c r="AJ225" i="1"/>
  <c r="AK225" i="1"/>
  <c r="AM225" i="1"/>
  <c r="BF225" i="1"/>
  <c r="BG225" i="1"/>
  <c r="T226" i="1"/>
  <c r="U226" i="1"/>
  <c r="V226" i="1"/>
  <c r="W226" i="1"/>
  <c r="AB226" i="1"/>
  <c r="AF226" i="1"/>
  <c r="AC227" i="1"/>
  <c r="AJ226" i="1"/>
  <c r="AK226" i="1"/>
  <c r="AM226" i="1"/>
  <c r="BF226" i="1"/>
  <c r="BG226" i="1"/>
  <c r="T227" i="1"/>
  <c r="U227" i="1"/>
  <c r="V227" i="1"/>
  <c r="W227" i="1"/>
  <c r="AB227" i="1"/>
  <c r="AF227" i="1"/>
  <c r="K228" i="1"/>
  <c r="AC228" i="1"/>
  <c r="AJ227" i="1"/>
  <c r="AK227" i="1"/>
  <c r="AM227" i="1"/>
  <c r="BF227" i="1"/>
  <c r="BG227" i="1"/>
  <c r="T228" i="1"/>
  <c r="U228" i="1"/>
  <c r="V228" i="1"/>
  <c r="W228" i="1"/>
  <c r="AB228" i="1"/>
  <c r="AF228" i="1"/>
  <c r="K229" i="1"/>
  <c r="AC229" i="1"/>
  <c r="AJ228" i="1"/>
  <c r="AK228" i="1"/>
  <c r="AM228" i="1"/>
  <c r="BF228" i="1"/>
  <c r="BG228" i="1"/>
  <c r="T229" i="1"/>
  <c r="U229" i="1"/>
  <c r="V229" i="1"/>
  <c r="W229" i="1"/>
  <c r="AB229" i="1"/>
  <c r="AF229" i="1"/>
  <c r="K230" i="1"/>
  <c r="AC230" i="1"/>
  <c r="AJ229" i="1"/>
  <c r="AK229" i="1"/>
  <c r="AM229" i="1"/>
  <c r="BF229" i="1"/>
  <c r="BG229" i="1"/>
  <c r="T230" i="1"/>
  <c r="U230" i="1"/>
  <c r="V230" i="1"/>
  <c r="W230" i="1"/>
  <c r="AB230" i="1"/>
  <c r="AF230" i="1"/>
  <c r="AC231" i="1"/>
  <c r="AJ230" i="1"/>
  <c r="AK230" i="1"/>
  <c r="AM230" i="1"/>
  <c r="BF230" i="1"/>
  <c r="BG230" i="1"/>
  <c r="T231" i="1"/>
  <c r="U231" i="1"/>
  <c r="V231" i="1"/>
  <c r="W231" i="1"/>
  <c r="AB231" i="1"/>
  <c r="AF231" i="1"/>
  <c r="AC232" i="1"/>
  <c r="AJ231" i="1"/>
  <c r="AK231" i="1"/>
  <c r="AM231" i="1"/>
  <c r="BF231" i="1"/>
  <c r="BG231" i="1"/>
  <c r="T232" i="1"/>
  <c r="U232" i="1"/>
  <c r="V232" i="1"/>
  <c r="W232" i="1"/>
  <c r="AB232" i="1"/>
  <c r="AF232" i="1"/>
  <c r="K233" i="1"/>
  <c r="AC233" i="1"/>
  <c r="AJ232" i="1"/>
  <c r="AK232" i="1"/>
  <c r="AM232" i="1"/>
  <c r="BF232" i="1"/>
  <c r="BG232" i="1"/>
  <c r="T233" i="1"/>
  <c r="U233" i="1"/>
  <c r="V233" i="1"/>
  <c r="W233" i="1"/>
  <c r="AB233" i="1"/>
  <c r="AF233" i="1"/>
  <c r="K234" i="1"/>
  <c r="AC234" i="1"/>
  <c r="AJ233" i="1"/>
  <c r="AK233" i="1"/>
  <c r="AM233" i="1"/>
  <c r="BF233" i="1"/>
  <c r="BG233" i="1"/>
  <c r="T234" i="1"/>
  <c r="U234" i="1"/>
  <c r="V234" i="1"/>
  <c r="W234" i="1"/>
  <c r="AB234" i="1"/>
  <c r="AF234" i="1"/>
  <c r="K235" i="1"/>
  <c r="AC235" i="1"/>
  <c r="AJ234" i="1"/>
  <c r="AK234" i="1"/>
  <c r="AM234" i="1"/>
  <c r="BF234" i="1"/>
  <c r="BG234" i="1"/>
  <c r="T235" i="1"/>
  <c r="U235" i="1"/>
  <c r="V235" i="1"/>
  <c r="W235" i="1"/>
  <c r="AB235" i="1"/>
  <c r="AF235" i="1"/>
  <c r="AC236" i="1"/>
  <c r="AJ235" i="1"/>
  <c r="AK235" i="1"/>
  <c r="AM235" i="1"/>
  <c r="BF235" i="1"/>
  <c r="BG235" i="1"/>
  <c r="T236" i="1"/>
  <c r="U236" i="1"/>
  <c r="V236" i="1"/>
  <c r="W236" i="1"/>
  <c r="AB236" i="1"/>
  <c r="AF236" i="1"/>
  <c r="AC237" i="1"/>
  <c r="AJ236" i="1"/>
  <c r="AK236" i="1"/>
  <c r="AM236" i="1"/>
  <c r="BF236" i="1"/>
  <c r="BG236" i="1"/>
  <c r="T237" i="1"/>
  <c r="U237" i="1"/>
  <c r="V237" i="1"/>
  <c r="W237" i="1"/>
  <c r="AB237" i="1"/>
  <c r="AF237" i="1"/>
  <c r="K238" i="1"/>
  <c r="AC238" i="1"/>
  <c r="AJ237" i="1"/>
  <c r="AK237" i="1"/>
  <c r="AM237" i="1"/>
  <c r="BF237" i="1"/>
  <c r="BG237" i="1"/>
  <c r="T238" i="1"/>
  <c r="U238" i="1"/>
  <c r="V238" i="1"/>
  <c r="W238" i="1"/>
  <c r="AB238" i="1"/>
  <c r="AF238" i="1"/>
  <c r="AC239" i="1"/>
  <c r="AJ238" i="1"/>
  <c r="AK238" i="1"/>
  <c r="AM238" i="1"/>
  <c r="BF238" i="1"/>
  <c r="BG238" i="1"/>
  <c r="T239" i="1"/>
  <c r="U239" i="1"/>
  <c r="V239" i="1"/>
  <c r="W239" i="1"/>
  <c r="AB239" i="1"/>
  <c r="AF239" i="1"/>
  <c r="AC240" i="1"/>
  <c r="AJ239" i="1"/>
  <c r="AK239" i="1"/>
  <c r="AM239" i="1"/>
  <c r="BF239" i="1"/>
  <c r="BG239" i="1"/>
  <c r="T240" i="1"/>
  <c r="U240" i="1"/>
  <c r="V240" i="1"/>
  <c r="W240" i="1"/>
  <c r="AB240" i="1"/>
  <c r="AF240" i="1"/>
  <c r="K241" i="1"/>
  <c r="AC241" i="1"/>
  <c r="AJ240" i="1"/>
  <c r="AK240" i="1"/>
  <c r="AM240" i="1"/>
  <c r="BF240" i="1"/>
  <c r="BG240" i="1"/>
  <c r="T241" i="1"/>
  <c r="U241" i="1"/>
  <c r="V241" i="1"/>
  <c r="W241" i="1"/>
  <c r="AB241" i="1"/>
  <c r="AF241" i="1"/>
  <c r="K242" i="1"/>
  <c r="AC242" i="1"/>
  <c r="AJ241" i="1"/>
  <c r="AK241" i="1"/>
  <c r="AM241" i="1"/>
  <c r="BF241" i="1"/>
  <c r="BG241" i="1"/>
  <c r="T242" i="1"/>
  <c r="U242" i="1"/>
  <c r="V242" i="1"/>
  <c r="W242" i="1"/>
  <c r="AB242" i="1"/>
  <c r="AF242" i="1"/>
  <c r="AC243" i="1"/>
  <c r="AJ242" i="1"/>
  <c r="AK242" i="1"/>
  <c r="AM242" i="1"/>
  <c r="BF242" i="1"/>
  <c r="BG242" i="1"/>
  <c r="T243" i="1"/>
  <c r="U243" i="1"/>
  <c r="V243" i="1"/>
  <c r="W243" i="1"/>
  <c r="AB243" i="1"/>
  <c r="AF243" i="1"/>
  <c r="AC244" i="1"/>
  <c r="AJ243" i="1"/>
  <c r="AK243" i="1"/>
  <c r="AM243" i="1"/>
  <c r="BF243" i="1"/>
  <c r="BG243" i="1"/>
  <c r="T244" i="1"/>
  <c r="U244" i="1"/>
  <c r="V244" i="1"/>
  <c r="W244" i="1"/>
  <c r="AB244" i="1"/>
  <c r="AF244" i="1"/>
  <c r="K245" i="1"/>
  <c r="AC245" i="1"/>
  <c r="AJ244" i="1"/>
  <c r="AK244" i="1"/>
  <c r="AM244" i="1"/>
  <c r="BF244" i="1"/>
  <c r="BG244" i="1"/>
  <c r="T245" i="1"/>
  <c r="U245" i="1"/>
  <c r="V245" i="1"/>
  <c r="W245" i="1"/>
  <c r="AB245" i="1"/>
  <c r="AF245" i="1"/>
  <c r="AC246" i="1"/>
  <c r="AJ245" i="1"/>
  <c r="AK245" i="1"/>
  <c r="AM245" i="1"/>
  <c r="BF245" i="1"/>
  <c r="BG245" i="1"/>
  <c r="T246" i="1"/>
  <c r="U246" i="1"/>
  <c r="V246" i="1"/>
  <c r="W246" i="1"/>
  <c r="AB246" i="1"/>
  <c r="AF246" i="1"/>
  <c r="AC247" i="1"/>
  <c r="AJ246" i="1"/>
  <c r="AK246" i="1"/>
  <c r="AM246" i="1"/>
  <c r="BF246" i="1"/>
  <c r="BG246" i="1"/>
  <c r="T247" i="1"/>
  <c r="U247" i="1"/>
  <c r="V247" i="1"/>
  <c r="W247" i="1"/>
  <c r="AB247" i="1"/>
  <c r="AF247" i="1"/>
  <c r="K248" i="1"/>
  <c r="AC248" i="1"/>
  <c r="AJ247" i="1"/>
  <c r="AK247" i="1"/>
  <c r="AM247" i="1"/>
  <c r="BF247" i="1"/>
  <c r="BG247" i="1"/>
  <c r="T248" i="1"/>
  <c r="U248" i="1"/>
  <c r="V248" i="1"/>
  <c r="W248" i="1"/>
  <c r="AB248" i="1"/>
  <c r="AF248" i="1"/>
  <c r="AC249" i="1"/>
  <c r="AJ248" i="1"/>
  <c r="AK248" i="1"/>
  <c r="AM248" i="1"/>
  <c r="BF248" i="1"/>
  <c r="BG248" i="1"/>
  <c r="T249" i="1"/>
  <c r="U249" i="1"/>
  <c r="V249" i="1"/>
  <c r="W249" i="1"/>
  <c r="AB249" i="1"/>
  <c r="AF249" i="1"/>
  <c r="AC250" i="1"/>
  <c r="AJ249" i="1"/>
  <c r="AK249" i="1"/>
  <c r="AM249" i="1"/>
  <c r="BF249" i="1"/>
  <c r="BG249" i="1"/>
  <c r="T250" i="1"/>
  <c r="U250" i="1"/>
  <c r="V250" i="1"/>
  <c r="W250" i="1"/>
  <c r="AB250" i="1"/>
  <c r="AF250" i="1"/>
  <c r="K251" i="1"/>
  <c r="AC251" i="1"/>
  <c r="AJ250" i="1"/>
  <c r="AK250" i="1"/>
  <c r="AM250" i="1"/>
  <c r="BF250" i="1"/>
  <c r="BG250" i="1"/>
  <c r="T251" i="1"/>
  <c r="U251" i="1"/>
  <c r="V251" i="1"/>
  <c r="W251" i="1"/>
  <c r="AB251" i="1"/>
  <c r="AF251" i="1"/>
  <c r="AC252" i="1"/>
  <c r="AJ251" i="1"/>
  <c r="AK251" i="1"/>
  <c r="AM251" i="1"/>
  <c r="BF251" i="1"/>
  <c r="BG251" i="1"/>
  <c r="T252" i="1"/>
  <c r="U252" i="1"/>
  <c r="V252" i="1"/>
  <c r="W252" i="1"/>
  <c r="AB252" i="1"/>
  <c r="AF252" i="1"/>
  <c r="AC253" i="1"/>
  <c r="AJ252" i="1"/>
  <c r="AK252" i="1"/>
  <c r="AM252" i="1"/>
  <c r="BF252" i="1"/>
  <c r="BG252" i="1"/>
  <c r="T253" i="1"/>
  <c r="U253" i="1"/>
  <c r="V253" i="1"/>
  <c r="W253" i="1"/>
  <c r="AB253" i="1"/>
  <c r="AF253" i="1"/>
  <c r="K254" i="1"/>
  <c r="AC254" i="1"/>
  <c r="AJ253" i="1"/>
  <c r="AK253" i="1"/>
  <c r="AM253" i="1"/>
  <c r="BF253" i="1"/>
  <c r="BG253" i="1"/>
  <c r="T254" i="1"/>
  <c r="U254" i="1"/>
  <c r="V254" i="1"/>
  <c r="W254" i="1"/>
  <c r="AB254" i="1"/>
  <c r="AF254" i="1"/>
  <c r="AC255" i="1"/>
  <c r="AJ254" i="1"/>
  <c r="AK254" i="1"/>
  <c r="AM254" i="1"/>
  <c r="BF254" i="1"/>
  <c r="BG254" i="1"/>
  <c r="T255" i="1"/>
  <c r="U255" i="1"/>
  <c r="V255" i="1"/>
  <c r="W255" i="1"/>
  <c r="AB255" i="1"/>
  <c r="AF255" i="1"/>
  <c r="AC256" i="1"/>
  <c r="AJ255" i="1"/>
  <c r="AK255" i="1"/>
  <c r="AM255" i="1"/>
  <c r="BF255" i="1"/>
  <c r="BG255" i="1"/>
  <c r="T256" i="1"/>
  <c r="U256" i="1"/>
  <c r="V256" i="1"/>
  <c r="W256" i="1"/>
  <c r="AB256" i="1"/>
  <c r="AF256" i="1"/>
  <c r="K257" i="1"/>
  <c r="AC257" i="1"/>
  <c r="AJ256" i="1"/>
  <c r="AK256" i="1"/>
  <c r="AM256" i="1"/>
  <c r="BF256" i="1"/>
  <c r="BG256" i="1"/>
  <c r="T257" i="1"/>
  <c r="U257" i="1"/>
  <c r="V257" i="1"/>
  <c r="W257" i="1"/>
  <c r="AB257" i="1"/>
  <c r="AF257" i="1"/>
  <c r="AC258" i="1"/>
  <c r="AJ257" i="1"/>
  <c r="AK257" i="1"/>
  <c r="AM257" i="1"/>
  <c r="BF257" i="1"/>
  <c r="BG257" i="1"/>
  <c r="T258" i="1"/>
  <c r="U258" i="1"/>
  <c r="V258" i="1"/>
  <c r="W258" i="1"/>
  <c r="AB258" i="1"/>
  <c r="AF258" i="1"/>
  <c r="AC259" i="1"/>
  <c r="AJ258" i="1"/>
  <c r="AK258" i="1"/>
  <c r="AM258" i="1"/>
  <c r="BF258" i="1"/>
  <c r="BG258" i="1"/>
  <c r="T259" i="1"/>
  <c r="U259" i="1"/>
  <c r="V259" i="1"/>
  <c r="W259" i="1"/>
  <c r="AB259" i="1"/>
  <c r="AF259" i="1"/>
  <c r="K260" i="1"/>
  <c r="AC260" i="1"/>
  <c r="AJ259" i="1"/>
  <c r="AK259" i="1"/>
  <c r="AM259" i="1"/>
  <c r="BF259" i="1"/>
  <c r="BG259" i="1"/>
  <c r="T260" i="1"/>
  <c r="U260" i="1"/>
  <c r="V260" i="1"/>
  <c r="W260" i="1"/>
  <c r="AB260" i="1"/>
  <c r="AF260" i="1"/>
  <c r="AC261" i="1"/>
  <c r="AJ260" i="1"/>
  <c r="AK260" i="1"/>
  <c r="AM260" i="1"/>
  <c r="BF260" i="1"/>
  <c r="BG260" i="1"/>
  <c r="T261" i="1"/>
  <c r="U261" i="1"/>
  <c r="V261" i="1"/>
  <c r="W261" i="1"/>
  <c r="AB261" i="1"/>
  <c r="AF261" i="1"/>
  <c r="AC262" i="1"/>
  <c r="AJ261" i="1"/>
  <c r="AK261" i="1"/>
  <c r="AM261" i="1"/>
  <c r="BF261" i="1"/>
  <c r="BG261" i="1"/>
  <c r="T262" i="1"/>
  <c r="U262" i="1"/>
  <c r="V262" i="1"/>
  <c r="W262" i="1"/>
  <c r="AB262" i="1"/>
  <c r="AF262" i="1"/>
  <c r="K263" i="1"/>
  <c r="AC263" i="1"/>
  <c r="AJ262" i="1"/>
  <c r="AK262" i="1"/>
  <c r="AM262" i="1"/>
  <c r="BF262" i="1"/>
  <c r="BG262" i="1"/>
  <c r="T263" i="1"/>
  <c r="U263" i="1"/>
  <c r="V263" i="1"/>
  <c r="W263" i="1"/>
  <c r="AB263" i="1"/>
  <c r="AF263" i="1"/>
  <c r="K264" i="1"/>
  <c r="AC264" i="1"/>
  <c r="AJ263" i="1"/>
  <c r="AK263" i="1"/>
  <c r="AM263" i="1"/>
  <c r="BF263" i="1"/>
  <c r="BG263" i="1"/>
  <c r="T264" i="1"/>
  <c r="U264" i="1"/>
  <c r="V264" i="1"/>
  <c r="W264" i="1"/>
  <c r="AB264" i="1"/>
  <c r="AF264" i="1"/>
  <c r="AC265" i="1"/>
  <c r="AJ264" i="1"/>
  <c r="AK264" i="1"/>
  <c r="AM264" i="1"/>
  <c r="BF264" i="1"/>
  <c r="BG264" i="1"/>
  <c r="T265" i="1"/>
  <c r="U265" i="1"/>
  <c r="V265" i="1"/>
  <c r="W265" i="1"/>
  <c r="AB265" i="1"/>
  <c r="AF265" i="1"/>
  <c r="AC266" i="1"/>
  <c r="AJ265" i="1"/>
  <c r="AK265" i="1"/>
  <c r="AM265" i="1"/>
  <c r="BF265" i="1"/>
  <c r="BG265" i="1"/>
  <c r="T266" i="1"/>
  <c r="U266" i="1"/>
  <c r="V266" i="1"/>
  <c r="W266" i="1"/>
  <c r="AB266" i="1"/>
  <c r="AF266" i="1"/>
  <c r="K267" i="1"/>
  <c r="AC267" i="1"/>
  <c r="AJ266" i="1"/>
  <c r="AK266" i="1"/>
  <c r="AM266" i="1"/>
  <c r="BF266" i="1"/>
  <c r="BG266" i="1"/>
  <c r="T267" i="1"/>
  <c r="U267" i="1"/>
  <c r="V267" i="1"/>
  <c r="W267" i="1"/>
  <c r="AB267" i="1"/>
  <c r="AF267" i="1"/>
  <c r="AC268" i="1"/>
  <c r="AJ267" i="1"/>
  <c r="AK267" i="1"/>
  <c r="AM267" i="1"/>
  <c r="BF267" i="1"/>
  <c r="BG267" i="1"/>
  <c r="T268" i="1"/>
  <c r="U268" i="1"/>
  <c r="V268" i="1"/>
  <c r="W268" i="1"/>
  <c r="AB268" i="1"/>
  <c r="AF268" i="1"/>
  <c r="AC269" i="1"/>
  <c r="AJ268" i="1"/>
  <c r="AK268" i="1"/>
  <c r="AM268" i="1"/>
  <c r="BF268" i="1"/>
  <c r="BG268" i="1"/>
  <c r="T269" i="1"/>
  <c r="U269" i="1"/>
  <c r="V269" i="1"/>
  <c r="W269" i="1"/>
  <c r="AB269" i="1"/>
  <c r="AF269" i="1"/>
  <c r="AC270" i="1"/>
  <c r="AJ269" i="1"/>
  <c r="AK269" i="1"/>
  <c r="AM269" i="1"/>
  <c r="BF269" i="1"/>
  <c r="BG269" i="1"/>
  <c r="T270" i="1"/>
  <c r="U270" i="1"/>
  <c r="V270" i="1"/>
  <c r="W270" i="1"/>
  <c r="AB270" i="1"/>
  <c r="AF270" i="1"/>
  <c r="K271" i="1"/>
  <c r="AC271" i="1"/>
  <c r="AJ270" i="1"/>
  <c r="AK270" i="1"/>
  <c r="AM270" i="1"/>
  <c r="BF270" i="1"/>
  <c r="BG270" i="1"/>
  <c r="T271" i="1"/>
  <c r="U271" i="1"/>
  <c r="V271" i="1"/>
  <c r="W271" i="1"/>
  <c r="AB271" i="1"/>
  <c r="AF271" i="1"/>
  <c r="AC272" i="1"/>
  <c r="AJ271" i="1"/>
  <c r="AK271" i="1"/>
  <c r="AM271" i="1"/>
  <c r="BF271" i="1"/>
  <c r="BG271" i="1"/>
  <c r="T272" i="1"/>
  <c r="U272" i="1"/>
  <c r="V272" i="1"/>
  <c r="W272" i="1"/>
  <c r="AB272" i="1"/>
  <c r="AF272" i="1"/>
  <c r="AC273" i="1"/>
  <c r="AJ272" i="1"/>
  <c r="AK272" i="1"/>
  <c r="AM272" i="1"/>
  <c r="BF272" i="1"/>
  <c r="BG272" i="1"/>
  <c r="T273" i="1"/>
  <c r="U273" i="1"/>
  <c r="V273" i="1"/>
  <c r="W273" i="1"/>
  <c r="AB273" i="1"/>
  <c r="AF273" i="1"/>
  <c r="K274" i="1"/>
  <c r="AC274" i="1"/>
  <c r="AJ273" i="1"/>
  <c r="AK273" i="1"/>
  <c r="AM273" i="1"/>
  <c r="BF273" i="1"/>
  <c r="BG273" i="1"/>
  <c r="T274" i="1"/>
  <c r="U274" i="1"/>
  <c r="V274" i="1"/>
  <c r="W274" i="1"/>
  <c r="AB274" i="1"/>
  <c r="AF274" i="1"/>
  <c r="AC275" i="1"/>
  <c r="AJ274" i="1"/>
  <c r="AK274" i="1"/>
  <c r="AM274" i="1"/>
  <c r="BF274" i="1"/>
  <c r="BG274" i="1"/>
  <c r="T275" i="1"/>
  <c r="U275" i="1"/>
  <c r="V275" i="1"/>
  <c r="W275" i="1"/>
  <c r="AB275" i="1"/>
  <c r="AF275" i="1"/>
  <c r="AC276" i="1"/>
  <c r="AJ275" i="1"/>
  <c r="AK275" i="1"/>
  <c r="AM275" i="1"/>
  <c r="BF275" i="1"/>
  <c r="BG275" i="1"/>
  <c r="T276" i="1"/>
  <c r="U276" i="1"/>
  <c r="V276" i="1"/>
  <c r="W276" i="1"/>
  <c r="AB276" i="1"/>
  <c r="AF276" i="1"/>
  <c r="K277" i="1"/>
  <c r="AC277" i="1"/>
  <c r="AJ276" i="1"/>
  <c r="AK276" i="1"/>
  <c r="AM276" i="1"/>
  <c r="BF276" i="1"/>
  <c r="BG276" i="1"/>
  <c r="T277" i="1"/>
  <c r="U277" i="1"/>
  <c r="V277" i="1"/>
  <c r="W277" i="1"/>
  <c r="AB277" i="1"/>
  <c r="AF277" i="1"/>
  <c r="AC278" i="1"/>
  <c r="AJ277" i="1"/>
  <c r="AK277" i="1"/>
  <c r="AM277" i="1"/>
  <c r="BF277" i="1"/>
  <c r="BG277" i="1"/>
  <c r="T278" i="1"/>
  <c r="U278" i="1"/>
  <c r="V278" i="1"/>
  <c r="W278" i="1"/>
  <c r="AB278" i="1"/>
  <c r="AF278" i="1"/>
  <c r="AC279" i="1"/>
  <c r="AJ278" i="1"/>
  <c r="AK278" i="1"/>
  <c r="AM278" i="1"/>
  <c r="BF278" i="1"/>
  <c r="BG278" i="1"/>
  <c r="T279" i="1"/>
  <c r="U279" i="1"/>
  <c r="V279" i="1"/>
  <c r="W279" i="1"/>
  <c r="AB279" i="1"/>
  <c r="AF279" i="1"/>
  <c r="K280" i="1"/>
  <c r="AC280" i="1"/>
  <c r="AJ279" i="1"/>
  <c r="AK279" i="1"/>
  <c r="AM279" i="1"/>
  <c r="BF279" i="1"/>
  <c r="BG279" i="1"/>
  <c r="T280" i="1"/>
  <c r="U280" i="1"/>
  <c r="V280" i="1"/>
  <c r="W280" i="1"/>
  <c r="AB280" i="1"/>
  <c r="AF280" i="1"/>
  <c r="K281" i="1"/>
  <c r="AC281" i="1"/>
  <c r="AJ280" i="1"/>
  <c r="AK280" i="1"/>
  <c r="AM280" i="1"/>
  <c r="BF280" i="1"/>
  <c r="BG280" i="1"/>
  <c r="T281" i="1"/>
  <c r="U281" i="1"/>
  <c r="V281" i="1"/>
  <c r="W281" i="1"/>
  <c r="AB281" i="1"/>
  <c r="AF281" i="1"/>
  <c r="AC282" i="1"/>
  <c r="AJ281" i="1"/>
  <c r="AK281" i="1"/>
  <c r="AM281" i="1"/>
  <c r="BF281" i="1"/>
  <c r="BG281" i="1"/>
  <c r="T282" i="1"/>
  <c r="U282" i="1"/>
  <c r="V282" i="1"/>
  <c r="W282" i="1"/>
  <c r="AB282" i="1"/>
  <c r="AF282" i="1"/>
  <c r="AC283" i="1"/>
  <c r="AJ282" i="1"/>
  <c r="AK282" i="1"/>
  <c r="AM282" i="1"/>
  <c r="BF282" i="1"/>
  <c r="BG282" i="1"/>
  <c r="T283" i="1"/>
  <c r="U283" i="1"/>
  <c r="V283" i="1"/>
  <c r="W283" i="1"/>
  <c r="AB283" i="1"/>
  <c r="AF283" i="1"/>
  <c r="K284" i="1"/>
  <c r="AC284" i="1"/>
  <c r="AJ283" i="1"/>
  <c r="AK283" i="1"/>
  <c r="AM283" i="1"/>
  <c r="BF283" i="1"/>
  <c r="BG283" i="1"/>
  <c r="T284" i="1"/>
  <c r="U284" i="1"/>
  <c r="V284" i="1"/>
  <c r="W284" i="1"/>
  <c r="AB284" i="1"/>
  <c r="AF284" i="1"/>
  <c r="AC285" i="1"/>
  <c r="AJ284" i="1"/>
  <c r="AK284" i="1"/>
  <c r="AM284" i="1"/>
  <c r="BF284" i="1"/>
  <c r="BG284" i="1"/>
  <c r="T285" i="1"/>
  <c r="U285" i="1"/>
  <c r="V285" i="1"/>
  <c r="W285" i="1"/>
  <c r="AB285" i="1"/>
  <c r="AF285" i="1"/>
  <c r="AC286" i="1"/>
  <c r="AJ285" i="1"/>
  <c r="AK285" i="1"/>
  <c r="AM285" i="1"/>
  <c r="BF285" i="1"/>
  <c r="BG285" i="1"/>
  <c r="T286" i="1"/>
  <c r="U286" i="1"/>
  <c r="V286" i="1"/>
  <c r="W286" i="1"/>
  <c r="AB286" i="1"/>
  <c r="AF286" i="1"/>
  <c r="K287" i="1"/>
  <c r="AC287" i="1"/>
  <c r="AJ286" i="1"/>
  <c r="AK286" i="1"/>
  <c r="AM286" i="1"/>
  <c r="BF286" i="1"/>
  <c r="BG286" i="1"/>
  <c r="T287" i="1"/>
  <c r="U287" i="1"/>
  <c r="V287" i="1"/>
  <c r="W287" i="1"/>
  <c r="AB287" i="1"/>
  <c r="AF287" i="1"/>
  <c r="K288" i="1"/>
  <c r="AC288" i="1"/>
  <c r="AJ287" i="1"/>
  <c r="AK287" i="1"/>
  <c r="AM287" i="1"/>
  <c r="BF287" i="1"/>
  <c r="BG287" i="1"/>
  <c r="T288" i="1"/>
  <c r="U288" i="1"/>
  <c r="V288" i="1"/>
  <c r="W288" i="1"/>
  <c r="AB288" i="1"/>
  <c r="AF288" i="1"/>
  <c r="AC289" i="1"/>
  <c r="AJ288" i="1"/>
  <c r="AK288" i="1"/>
  <c r="AM288" i="1"/>
  <c r="BF288" i="1"/>
  <c r="BG288" i="1"/>
  <c r="T289" i="1"/>
  <c r="U289" i="1"/>
  <c r="V289" i="1"/>
  <c r="W289" i="1"/>
  <c r="AB289" i="1"/>
  <c r="AF289" i="1"/>
  <c r="AC290" i="1"/>
  <c r="AJ289" i="1"/>
  <c r="AK289" i="1"/>
  <c r="AM289" i="1"/>
  <c r="BF289" i="1"/>
  <c r="BG289" i="1"/>
  <c r="T290" i="1"/>
  <c r="U290" i="1"/>
  <c r="V290" i="1"/>
  <c r="W290" i="1"/>
  <c r="AB290" i="1"/>
  <c r="AF290" i="1"/>
  <c r="K291" i="1"/>
  <c r="AC291" i="1"/>
  <c r="AJ290" i="1"/>
  <c r="AK290" i="1"/>
  <c r="AM290" i="1"/>
  <c r="BF290" i="1"/>
  <c r="BG290" i="1"/>
  <c r="T291" i="1"/>
  <c r="U291" i="1"/>
  <c r="V291" i="1"/>
  <c r="W291" i="1"/>
  <c r="AB291" i="1"/>
  <c r="AF291" i="1"/>
  <c r="K292" i="1"/>
  <c r="AC292" i="1"/>
  <c r="AJ291" i="1"/>
  <c r="AK291" i="1"/>
  <c r="AM291" i="1"/>
  <c r="BF291" i="1"/>
  <c r="BG291" i="1"/>
  <c r="T292" i="1"/>
  <c r="U292" i="1"/>
  <c r="V292" i="1"/>
  <c r="W292" i="1"/>
  <c r="AB292" i="1"/>
  <c r="AF292" i="1"/>
  <c r="K293" i="1"/>
  <c r="AC293" i="1"/>
  <c r="AJ292" i="1"/>
  <c r="AK292" i="1"/>
  <c r="AM292" i="1"/>
  <c r="BF292" i="1"/>
  <c r="BG292" i="1"/>
  <c r="T293" i="1"/>
  <c r="U293" i="1"/>
  <c r="V293" i="1"/>
  <c r="W293" i="1"/>
  <c r="AB293" i="1"/>
  <c r="AF293" i="1"/>
  <c r="AC294" i="1"/>
  <c r="AJ293" i="1"/>
  <c r="AK293" i="1"/>
  <c r="AM293" i="1"/>
  <c r="BF293" i="1"/>
  <c r="BG293" i="1"/>
  <c r="T294" i="1"/>
  <c r="U294" i="1"/>
  <c r="V294" i="1"/>
  <c r="W294" i="1"/>
  <c r="AB294" i="1"/>
  <c r="AF294" i="1"/>
  <c r="AC295" i="1"/>
  <c r="AJ294" i="1"/>
  <c r="AK294" i="1"/>
  <c r="AM294" i="1"/>
  <c r="BF294" i="1"/>
  <c r="BG294" i="1"/>
  <c r="T295" i="1"/>
  <c r="U295" i="1"/>
  <c r="V295" i="1"/>
  <c r="W295" i="1"/>
  <c r="AB295" i="1"/>
  <c r="AF295" i="1"/>
  <c r="K296" i="1"/>
  <c r="AC296" i="1"/>
  <c r="AJ295" i="1"/>
  <c r="AK295" i="1"/>
  <c r="AM295" i="1"/>
  <c r="BF295" i="1"/>
  <c r="BG295" i="1"/>
  <c r="T296" i="1"/>
  <c r="U296" i="1"/>
  <c r="V296" i="1"/>
  <c r="W296" i="1"/>
  <c r="AB296" i="1"/>
  <c r="AF296" i="1"/>
  <c r="AC297" i="1"/>
  <c r="AJ296" i="1"/>
  <c r="AK296" i="1"/>
  <c r="AM296" i="1"/>
  <c r="BF296" i="1"/>
  <c r="BG296" i="1"/>
  <c r="T297" i="1"/>
  <c r="U297" i="1"/>
  <c r="V297" i="1"/>
  <c r="W297" i="1"/>
  <c r="AB297" i="1"/>
  <c r="AF297" i="1"/>
  <c r="AC298" i="1"/>
  <c r="AJ297" i="1"/>
  <c r="AK297" i="1"/>
  <c r="AM297" i="1"/>
  <c r="BF297" i="1"/>
  <c r="BG297" i="1"/>
  <c r="T298" i="1"/>
  <c r="U298" i="1"/>
  <c r="V298" i="1"/>
  <c r="W298" i="1"/>
  <c r="AB298" i="1"/>
  <c r="AF298" i="1"/>
  <c r="K299" i="1"/>
  <c r="AC299" i="1"/>
  <c r="AJ298" i="1"/>
  <c r="AK298" i="1"/>
  <c r="AM298" i="1"/>
  <c r="BF298" i="1"/>
  <c r="BG298" i="1"/>
  <c r="T299" i="1"/>
  <c r="U299" i="1"/>
  <c r="V299" i="1"/>
  <c r="W299" i="1"/>
  <c r="AB299" i="1"/>
  <c r="AF299" i="1"/>
  <c r="AC300" i="1"/>
  <c r="AJ299" i="1"/>
  <c r="AK299" i="1"/>
  <c r="AM299" i="1"/>
  <c r="BF299" i="1"/>
  <c r="BG299" i="1"/>
  <c r="T300" i="1"/>
  <c r="U300" i="1"/>
  <c r="V300" i="1"/>
  <c r="W300" i="1"/>
  <c r="AB300" i="1"/>
  <c r="AF300" i="1"/>
  <c r="AC301" i="1"/>
  <c r="AJ300" i="1"/>
  <c r="AK300" i="1"/>
  <c r="AM300" i="1"/>
  <c r="BF300" i="1"/>
  <c r="BG300" i="1"/>
  <c r="T301" i="1"/>
  <c r="U301" i="1"/>
  <c r="V301" i="1"/>
  <c r="W301" i="1"/>
  <c r="AB301" i="1"/>
  <c r="AF301" i="1"/>
  <c r="K302" i="1"/>
  <c r="AC302" i="1"/>
  <c r="AJ301" i="1"/>
  <c r="AK301" i="1"/>
  <c r="AM301" i="1"/>
  <c r="BF301" i="1"/>
  <c r="BG301" i="1"/>
  <c r="T302" i="1"/>
  <c r="U302" i="1"/>
  <c r="V302" i="1"/>
  <c r="W302" i="1"/>
  <c r="AB302" i="1"/>
  <c r="AF302" i="1"/>
  <c r="AC303" i="1"/>
  <c r="AJ302" i="1"/>
  <c r="AK302" i="1"/>
  <c r="AM302" i="1"/>
  <c r="BF302" i="1"/>
  <c r="BG302" i="1"/>
  <c r="T303" i="1"/>
  <c r="U303" i="1"/>
  <c r="V303" i="1"/>
  <c r="W303" i="1"/>
  <c r="AB303" i="1"/>
  <c r="AF303" i="1"/>
  <c r="AC304" i="1"/>
  <c r="AJ303" i="1"/>
  <c r="AK303" i="1"/>
  <c r="AM303" i="1"/>
  <c r="BF303" i="1"/>
  <c r="BG303" i="1"/>
  <c r="T304" i="1"/>
  <c r="U304" i="1"/>
  <c r="V304" i="1"/>
  <c r="W304" i="1"/>
  <c r="AB304" i="1"/>
  <c r="AF304" i="1"/>
  <c r="K305" i="1"/>
  <c r="AC305" i="1"/>
  <c r="AJ304" i="1"/>
  <c r="AK304" i="1"/>
  <c r="AM304" i="1"/>
  <c r="BF304" i="1"/>
  <c r="BG304" i="1"/>
  <c r="T305" i="1"/>
  <c r="U305" i="1"/>
  <c r="V305" i="1"/>
  <c r="W305" i="1"/>
  <c r="AB305" i="1"/>
  <c r="AF305" i="1"/>
  <c r="K306" i="1"/>
  <c r="AC306" i="1"/>
  <c r="AJ305" i="1"/>
  <c r="AK305" i="1"/>
  <c r="AM305" i="1"/>
  <c r="BF305" i="1"/>
  <c r="BG305" i="1"/>
  <c r="T306" i="1"/>
  <c r="U306" i="1"/>
  <c r="V306" i="1"/>
  <c r="W306" i="1"/>
  <c r="AB306" i="1"/>
  <c r="AF306" i="1"/>
  <c r="K307" i="1"/>
  <c r="AC307" i="1"/>
  <c r="AJ306" i="1"/>
  <c r="AK306" i="1"/>
  <c r="AM306" i="1"/>
  <c r="BF306" i="1"/>
  <c r="BG306" i="1"/>
  <c r="T307" i="1"/>
  <c r="U307" i="1"/>
  <c r="V307" i="1"/>
  <c r="W307" i="1"/>
  <c r="AB307" i="1"/>
  <c r="AF307" i="1"/>
  <c r="AC308" i="1"/>
  <c r="AJ307" i="1"/>
  <c r="AK307" i="1"/>
  <c r="AM307" i="1"/>
  <c r="BF307" i="1"/>
  <c r="BG307" i="1"/>
  <c r="T308" i="1"/>
  <c r="U308" i="1"/>
  <c r="V308" i="1"/>
  <c r="W308" i="1"/>
  <c r="AB308" i="1"/>
  <c r="AF308" i="1"/>
  <c r="AC309" i="1"/>
  <c r="AJ308" i="1"/>
  <c r="AK308" i="1"/>
  <c r="AM308" i="1"/>
  <c r="BF308" i="1"/>
  <c r="BG308" i="1"/>
  <c r="T309" i="1"/>
  <c r="U309" i="1"/>
  <c r="V309" i="1"/>
  <c r="W309" i="1"/>
  <c r="AB309" i="1"/>
  <c r="AF309" i="1"/>
  <c r="K310" i="1"/>
  <c r="AC310" i="1"/>
  <c r="AJ309" i="1"/>
  <c r="AK309" i="1"/>
  <c r="AM309" i="1"/>
  <c r="BF309" i="1"/>
  <c r="BG309" i="1"/>
  <c r="T310" i="1"/>
  <c r="U310" i="1"/>
  <c r="V310" i="1"/>
  <c r="W310" i="1"/>
  <c r="AB310" i="1"/>
  <c r="AF310" i="1"/>
  <c r="AC311" i="1"/>
  <c r="AJ310" i="1"/>
  <c r="AK310" i="1"/>
  <c r="AM310" i="1"/>
  <c r="BF310" i="1"/>
  <c r="BG310" i="1"/>
  <c r="T311" i="1"/>
  <c r="U311" i="1"/>
  <c r="V311" i="1"/>
  <c r="W311" i="1"/>
  <c r="AB311" i="1"/>
  <c r="AF311" i="1"/>
  <c r="AC312" i="1"/>
  <c r="AJ311" i="1"/>
  <c r="AK311" i="1"/>
  <c r="AM311" i="1"/>
  <c r="BF311" i="1"/>
  <c r="BG311" i="1"/>
  <c r="T312" i="1"/>
  <c r="U312" i="1"/>
  <c r="V312" i="1"/>
  <c r="W312" i="1"/>
  <c r="AB312" i="1"/>
  <c r="AF312" i="1"/>
  <c r="K313" i="1"/>
  <c r="AC313" i="1"/>
  <c r="AJ312" i="1"/>
  <c r="AK312" i="1"/>
  <c r="AM312" i="1"/>
  <c r="BF312" i="1"/>
  <c r="BG312" i="1"/>
  <c r="T313" i="1"/>
  <c r="U313" i="1"/>
  <c r="V313" i="1"/>
  <c r="W313" i="1"/>
  <c r="AB313" i="1"/>
  <c r="AF313" i="1"/>
  <c r="AC314" i="1"/>
  <c r="AJ313" i="1"/>
  <c r="AK313" i="1"/>
  <c r="AM313" i="1"/>
  <c r="BF313" i="1"/>
  <c r="BG313" i="1"/>
  <c r="T314" i="1"/>
  <c r="U314" i="1"/>
  <c r="V314" i="1"/>
  <c r="W314" i="1"/>
  <c r="AB314" i="1"/>
  <c r="AF314" i="1"/>
  <c r="AC315" i="1"/>
  <c r="AJ314" i="1"/>
  <c r="AK314" i="1"/>
  <c r="AM314" i="1"/>
  <c r="BF314" i="1"/>
  <c r="BG314" i="1"/>
  <c r="T315" i="1"/>
  <c r="U315" i="1"/>
  <c r="V315" i="1"/>
  <c r="W315" i="1"/>
  <c r="AB315" i="1"/>
  <c r="AF315" i="1"/>
  <c r="K316" i="1"/>
  <c r="AC316" i="1"/>
  <c r="AJ315" i="1"/>
  <c r="AK315" i="1"/>
  <c r="AM315" i="1"/>
  <c r="BF315" i="1"/>
  <c r="BG315" i="1"/>
  <c r="T316" i="1"/>
  <c r="U316" i="1"/>
  <c r="V316" i="1"/>
  <c r="W316" i="1"/>
  <c r="AB316" i="1"/>
  <c r="AF316" i="1"/>
  <c r="AC317" i="1"/>
  <c r="AJ316" i="1"/>
  <c r="AK316" i="1"/>
  <c r="AM316" i="1"/>
  <c r="BF316" i="1"/>
  <c r="BG316" i="1"/>
  <c r="T317" i="1"/>
  <c r="U317" i="1"/>
  <c r="V317" i="1"/>
  <c r="W317" i="1"/>
  <c r="AB317" i="1"/>
  <c r="AF317" i="1"/>
  <c r="AC318" i="1"/>
  <c r="AJ317" i="1"/>
  <c r="AK317" i="1"/>
  <c r="AM317" i="1"/>
  <c r="BF317" i="1"/>
  <c r="BG317" i="1"/>
  <c r="T318" i="1"/>
  <c r="U318" i="1"/>
  <c r="V318" i="1"/>
  <c r="W318" i="1"/>
  <c r="AB318" i="1"/>
  <c r="AF318" i="1"/>
  <c r="K319" i="1"/>
  <c r="AC319" i="1"/>
  <c r="AJ318" i="1"/>
  <c r="AK318" i="1"/>
  <c r="AM318" i="1"/>
  <c r="BF318" i="1"/>
  <c r="BG318" i="1"/>
  <c r="T319" i="1"/>
  <c r="U319" i="1"/>
  <c r="V319" i="1"/>
  <c r="W319" i="1"/>
  <c r="AB319" i="1"/>
  <c r="AF319" i="1"/>
  <c r="AC320" i="1"/>
  <c r="AJ319" i="1"/>
  <c r="AK319" i="1"/>
  <c r="AM319" i="1"/>
  <c r="BF319" i="1"/>
  <c r="BG319" i="1"/>
  <c r="T320" i="1"/>
  <c r="U320" i="1"/>
  <c r="V320" i="1"/>
  <c r="W320" i="1"/>
  <c r="AB320" i="1"/>
  <c r="AF320" i="1"/>
  <c r="AC321" i="1"/>
  <c r="AJ320" i="1"/>
  <c r="AK320" i="1"/>
  <c r="AM320" i="1"/>
  <c r="BF320" i="1"/>
  <c r="BG320" i="1"/>
  <c r="T321" i="1"/>
  <c r="U321" i="1"/>
  <c r="V321" i="1"/>
  <c r="W321" i="1"/>
  <c r="AB321" i="1"/>
  <c r="AF321" i="1"/>
  <c r="K322" i="1"/>
  <c r="AC322" i="1"/>
  <c r="AJ321" i="1"/>
  <c r="AK321" i="1"/>
  <c r="AM321" i="1"/>
  <c r="BF321" i="1"/>
  <c r="BG321" i="1"/>
  <c r="T322" i="1"/>
  <c r="U322" i="1"/>
  <c r="V322" i="1"/>
  <c r="W322" i="1"/>
  <c r="AB322" i="1"/>
  <c r="AF322" i="1"/>
  <c r="AC323" i="1"/>
  <c r="AJ322" i="1"/>
  <c r="AK322" i="1"/>
  <c r="AM322" i="1"/>
  <c r="BF322" i="1"/>
  <c r="BG322" i="1"/>
  <c r="T323" i="1"/>
  <c r="U323" i="1"/>
  <c r="V323" i="1"/>
  <c r="W323" i="1"/>
  <c r="AB323" i="1"/>
  <c r="AF323" i="1"/>
  <c r="AC324" i="1"/>
  <c r="AJ323" i="1"/>
  <c r="AK323" i="1"/>
  <c r="AM323" i="1"/>
  <c r="BF323" i="1"/>
  <c r="BG323" i="1"/>
  <c r="T324" i="1"/>
  <c r="U324" i="1"/>
  <c r="V324" i="1"/>
  <c r="W324" i="1"/>
  <c r="AB324" i="1"/>
  <c r="AF324" i="1"/>
  <c r="K325" i="1"/>
  <c r="AC325" i="1"/>
  <c r="AJ324" i="1"/>
  <c r="AK324" i="1"/>
  <c r="AM324" i="1"/>
  <c r="BF324" i="1"/>
  <c r="BG324" i="1"/>
  <c r="T325" i="1"/>
  <c r="U325" i="1"/>
  <c r="V325" i="1"/>
  <c r="W325" i="1"/>
  <c r="AB325" i="1"/>
  <c r="AF325" i="1"/>
  <c r="AC326" i="1"/>
  <c r="AJ325" i="1"/>
  <c r="AK325" i="1"/>
  <c r="AM325" i="1"/>
  <c r="BF325" i="1"/>
  <c r="BG325" i="1"/>
  <c r="T326" i="1"/>
  <c r="U326" i="1"/>
  <c r="V326" i="1"/>
  <c r="W326" i="1"/>
  <c r="AB326" i="1"/>
  <c r="AF326" i="1"/>
  <c r="AC327" i="1"/>
  <c r="AJ326" i="1"/>
  <c r="AK326" i="1"/>
  <c r="AM326" i="1"/>
  <c r="BF326" i="1"/>
  <c r="BG326" i="1"/>
  <c r="T327" i="1"/>
  <c r="U327" i="1"/>
  <c r="V327" i="1"/>
  <c r="W327" i="1"/>
  <c r="AB327" i="1"/>
  <c r="AF327" i="1"/>
  <c r="K328" i="1"/>
  <c r="AC328" i="1"/>
  <c r="AJ327" i="1"/>
  <c r="AK327" i="1"/>
  <c r="AM327" i="1"/>
  <c r="BF327" i="1"/>
  <c r="BG327" i="1"/>
  <c r="T328" i="1"/>
  <c r="U328" i="1"/>
  <c r="V328" i="1"/>
  <c r="W328" i="1"/>
  <c r="AB328" i="1"/>
  <c r="AF328" i="1"/>
  <c r="AC329" i="1"/>
  <c r="AJ328" i="1"/>
  <c r="AK328" i="1"/>
  <c r="AM328" i="1"/>
  <c r="BF328" i="1"/>
  <c r="BG328" i="1"/>
  <c r="T329" i="1"/>
  <c r="U329" i="1"/>
  <c r="V329" i="1"/>
  <c r="W329" i="1"/>
  <c r="AB329" i="1"/>
  <c r="AF329" i="1"/>
  <c r="AC330" i="1"/>
  <c r="AJ329" i="1"/>
  <c r="AK329" i="1"/>
  <c r="AM329" i="1"/>
  <c r="BF329" i="1"/>
  <c r="BG329" i="1"/>
  <c r="T330" i="1"/>
  <c r="U330" i="1"/>
  <c r="V330" i="1"/>
  <c r="W330" i="1"/>
  <c r="AB330" i="1"/>
  <c r="AF330" i="1"/>
  <c r="K331" i="1"/>
  <c r="AC331" i="1"/>
  <c r="AJ330" i="1"/>
  <c r="AK330" i="1"/>
  <c r="AM330" i="1"/>
  <c r="BF330" i="1"/>
  <c r="BG330" i="1"/>
  <c r="T331" i="1"/>
  <c r="U331" i="1"/>
  <c r="V331" i="1"/>
  <c r="W331" i="1"/>
  <c r="AB331" i="1"/>
  <c r="AF331" i="1"/>
  <c r="K332" i="1"/>
  <c r="AC332" i="1"/>
  <c r="AJ331" i="1"/>
  <c r="AK331" i="1"/>
  <c r="AM331" i="1"/>
  <c r="BF331" i="1"/>
  <c r="BG331" i="1"/>
  <c r="T332" i="1"/>
  <c r="U332" i="1"/>
  <c r="V332" i="1"/>
  <c r="W332" i="1"/>
  <c r="AB332" i="1"/>
  <c r="AF332" i="1"/>
  <c r="K333" i="1"/>
  <c r="AC333" i="1"/>
  <c r="AJ332" i="1"/>
  <c r="AK332" i="1"/>
  <c r="AM332" i="1"/>
  <c r="BF332" i="1"/>
  <c r="BG332" i="1"/>
  <c r="T333" i="1"/>
  <c r="U333" i="1"/>
  <c r="V333" i="1"/>
  <c r="W333" i="1"/>
  <c r="AB333" i="1"/>
  <c r="AF333" i="1"/>
  <c r="AC334" i="1"/>
  <c r="AJ333" i="1"/>
  <c r="AK333" i="1"/>
  <c r="AM333" i="1"/>
  <c r="BF333" i="1"/>
  <c r="BG333" i="1"/>
  <c r="T334" i="1"/>
  <c r="U334" i="1"/>
  <c r="V334" i="1"/>
  <c r="W334" i="1"/>
  <c r="AB334" i="1"/>
  <c r="AF334" i="1"/>
  <c r="AC335" i="1"/>
  <c r="AJ334" i="1"/>
  <c r="AK334" i="1"/>
  <c r="AM334" i="1"/>
  <c r="BF334" i="1"/>
  <c r="BG334" i="1"/>
  <c r="T335" i="1"/>
  <c r="U335" i="1"/>
  <c r="V335" i="1"/>
  <c r="W335" i="1"/>
  <c r="AB335" i="1"/>
  <c r="AF335" i="1"/>
  <c r="K336" i="1"/>
  <c r="AC336" i="1"/>
  <c r="AJ335" i="1"/>
  <c r="AK335" i="1"/>
  <c r="AM335" i="1"/>
  <c r="BF335" i="1"/>
  <c r="BG335" i="1"/>
  <c r="T336" i="1"/>
  <c r="U336" i="1"/>
  <c r="V336" i="1"/>
  <c r="W336" i="1"/>
  <c r="AB336" i="1"/>
  <c r="AF336" i="1"/>
  <c r="K337" i="1"/>
  <c r="AC337" i="1"/>
  <c r="AJ336" i="1"/>
  <c r="AK336" i="1"/>
  <c r="AM336" i="1"/>
  <c r="BF336" i="1"/>
  <c r="BG336" i="1"/>
  <c r="T337" i="1"/>
  <c r="U337" i="1"/>
  <c r="V337" i="1"/>
  <c r="W337" i="1"/>
  <c r="AB337" i="1"/>
  <c r="AF337" i="1"/>
  <c r="AC338" i="1"/>
  <c r="AJ337" i="1"/>
  <c r="AK337" i="1"/>
  <c r="AM337" i="1"/>
  <c r="BF337" i="1"/>
  <c r="BG337" i="1"/>
  <c r="T338" i="1"/>
  <c r="U338" i="1"/>
  <c r="V338" i="1"/>
  <c r="W338" i="1"/>
  <c r="AB338" i="1"/>
  <c r="AF338" i="1"/>
  <c r="AC339" i="1"/>
  <c r="AJ338" i="1"/>
  <c r="AK338" i="1"/>
  <c r="AM338" i="1"/>
  <c r="BF338" i="1"/>
  <c r="BG338" i="1"/>
  <c r="T339" i="1"/>
  <c r="U339" i="1"/>
  <c r="V339" i="1"/>
  <c r="W339" i="1"/>
  <c r="AB339" i="1"/>
  <c r="AF339" i="1"/>
  <c r="K340" i="1"/>
  <c r="AC340" i="1"/>
  <c r="AJ339" i="1"/>
  <c r="AK339" i="1"/>
  <c r="AM339" i="1"/>
  <c r="BF339" i="1"/>
  <c r="BG339" i="1"/>
  <c r="T340" i="1"/>
  <c r="U340" i="1"/>
  <c r="V340" i="1"/>
  <c r="W340" i="1"/>
  <c r="AB340" i="1"/>
  <c r="AF340" i="1"/>
  <c r="AC341" i="1"/>
  <c r="AJ340" i="1"/>
  <c r="AK340" i="1"/>
  <c r="AM340" i="1"/>
  <c r="BF340" i="1"/>
  <c r="BG340" i="1"/>
  <c r="T341" i="1"/>
  <c r="U341" i="1"/>
  <c r="V341" i="1"/>
  <c r="W341" i="1"/>
  <c r="AB341" i="1"/>
  <c r="AF341" i="1"/>
  <c r="K342" i="1"/>
  <c r="AC342" i="1"/>
  <c r="AJ341" i="1"/>
  <c r="AK341" i="1"/>
  <c r="AM341" i="1"/>
  <c r="BF341" i="1"/>
  <c r="BG341" i="1"/>
  <c r="T342" i="1"/>
  <c r="U342" i="1"/>
  <c r="V342" i="1"/>
  <c r="W342" i="1"/>
  <c r="AB342" i="1"/>
  <c r="AF342" i="1"/>
  <c r="K343" i="1"/>
  <c r="AC343" i="1"/>
  <c r="AJ342" i="1"/>
  <c r="AK342" i="1"/>
  <c r="AM342" i="1"/>
  <c r="BF342" i="1"/>
  <c r="BG342" i="1"/>
  <c r="T343" i="1"/>
  <c r="U343" i="1"/>
  <c r="V343" i="1"/>
  <c r="W343" i="1"/>
  <c r="AB343" i="1"/>
  <c r="AF343" i="1"/>
  <c r="K344" i="1"/>
  <c r="AC344" i="1"/>
  <c r="AJ343" i="1"/>
  <c r="AK343" i="1"/>
  <c r="AM343" i="1"/>
  <c r="BF343" i="1"/>
  <c r="BG343" i="1"/>
  <c r="T344" i="1"/>
  <c r="U344" i="1"/>
  <c r="V344" i="1"/>
  <c r="W344" i="1"/>
  <c r="AB344" i="1"/>
  <c r="AF344" i="1"/>
  <c r="AC345" i="1"/>
  <c r="AJ344" i="1"/>
  <c r="AK344" i="1"/>
  <c r="AM344" i="1"/>
  <c r="BF344" i="1"/>
  <c r="BG344" i="1"/>
  <c r="T345" i="1"/>
  <c r="U345" i="1"/>
  <c r="V345" i="1"/>
  <c r="W345" i="1"/>
  <c r="AB345" i="1"/>
  <c r="AF345" i="1"/>
  <c r="AC346" i="1"/>
  <c r="AJ345" i="1"/>
  <c r="AK345" i="1"/>
  <c r="AM345" i="1"/>
  <c r="BF345" i="1"/>
  <c r="BG345" i="1"/>
  <c r="T346" i="1"/>
  <c r="U346" i="1"/>
  <c r="V346" i="1"/>
  <c r="W346" i="1"/>
  <c r="AB346" i="1"/>
  <c r="AF346" i="1"/>
  <c r="K347" i="1"/>
  <c r="AC347" i="1"/>
  <c r="AJ346" i="1"/>
  <c r="AK346" i="1"/>
  <c r="AM346" i="1"/>
  <c r="BF346" i="1"/>
  <c r="BG346" i="1"/>
  <c r="T347" i="1"/>
  <c r="U347" i="1"/>
  <c r="V347" i="1"/>
  <c r="W347" i="1"/>
  <c r="AB347" i="1"/>
  <c r="AF347" i="1"/>
  <c r="AC348" i="1"/>
  <c r="AJ347" i="1"/>
  <c r="AK347" i="1"/>
  <c r="AM347" i="1"/>
  <c r="BF347" i="1"/>
  <c r="BG347" i="1"/>
  <c r="T348" i="1"/>
  <c r="U348" i="1"/>
  <c r="V348" i="1"/>
  <c r="W348" i="1"/>
  <c r="AB348" i="1"/>
  <c r="AF348" i="1"/>
  <c r="AC349" i="1"/>
  <c r="AJ348" i="1"/>
  <c r="AK348" i="1"/>
  <c r="AM348" i="1"/>
  <c r="BF348" i="1"/>
  <c r="BG348" i="1"/>
  <c r="T349" i="1"/>
  <c r="U349" i="1"/>
  <c r="V349" i="1"/>
  <c r="W349" i="1"/>
  <c r="AB349" i="1"/>
  <c r="AF349" i="1"/>
  <c r="K350" i="1"/>
  <c r="AC350" i="1"/>
  <c r="AJ349" i="1"/>
  <c r="AK349" i="1"/>
  <c r="AM349" i="1"/>
  <c r="BF349" i="1"/>
  <c r="BG349" i="1"/>
  <c r="T350" i="1"/>
  <c r="U350" i="1"/>
  <c r="V350" i="1"/>
  <c r="W350" i="1"/>
  <c r="AB350" i="1"/>
  <c r="AF350" i="1"/>
  <c r="AC351" i="1"/>
  <c r="AJ350" i="1"/>
  <c r="AK350" i="1"/>
  <c r="AM350" i="1"/>
  <c r="BF350" i="1"/>
  <c r="BG350" i="1"/>
  <c r="T351" i="1"/>
  <c r="U351" i="1"/>
  <c r="V351" i="1"/>
  <c r="W351" i="1"/>
  <c r="AB351" i="1"/>
  <c r="AF351" i="1"/>
  <c r="AC352" i="1"/>
  <c r="AJ351" i="1"/>
  <c r="AK351" i="1"/>
  <c r="AM351" i="1"/>
  <c r="BF351" i="1"/>
  <c r="BG351" i="1"/>
  <c r="T352" i="1"/>
  <c r="U352" i="1"/>
  <c r="V352" i="1"/>
  <c r="W352" i="1"/>
  <c r="AB352" i="1"/>
  <c r="AF352" i="1"/>
  <c r="K353" i="1"/>
  <c r="AC353" i="1"/>
  <c r="AJ352" i="1"/>
  <c r="AK352" i="1"/>
  <c r="AM352" i="1"/>
  <c r="BF352" i="1"/>
  <c r="BG352" i="1"/>
  <c r="T353" i="1"/>
  <c r="U353" i="1"/>
  <c r="V353" i="1"/>
  <c r="W353" i="1"/>
  <c r="AB353" i="1"/>
  <c r="AF353" i="1"/>
  <c r="K354" i="1"/>
  <c r="AC354" i="1"/>
  <c r="AJ353" i="1"/>
  <c r="AK353" i="1"/>
  <c r="AM353" i="1"/>
  <c r="BF353" i="1"/>
  <c r="BG353" i="1"/>
  <c r="T354" i="1"/>
  <c r="U354" i="1"/>
  <c r="V354" i="1"/>
  <c r="W354" i="1"/>
  <c r="AB354" i="1"/>
  <c r="AF354" i="1"/>
  <c r="AC355" i="1"/>
  <c r="AJ354" i="1"/>
  <c r="AK354" i="1"/>
  <c r="AM354" i="1"/>
  <c r="BF354" i="1"/>
  <c r="BG354" i="1"/>
  <c r="T355" i="1"/>
  <c r="U355" i="1"/>
  <c r="V355" i="1"/>
  <c r="W355" i="1"/>
  <c r="AB355" i="1"/>
  <c r="AF355" i="1"/>
  <c r="AC356" i="1"/>
  <c r="AJ355" i="1"/>
  <c r="AK355" i="1"/>
  <c r="AM355" i="1"/>
  <c r="BF355" i="1"/>
  <c r="BG355" i="1"/>
  <c r="T356" i="1"/>
  <c r="U356" i="1"/>
  <c r="V356" i="1"/>
  <c r="W356" i="1"/>
  <c r="AB356" i="1"/>
  <c r="AF356" i="1"/>
  <c r="K357" i="1"/>
  <c r="AC357" i="1"/>
  <c r="AJ356" i="1"/>
  <c r="AK356" i="1"/>
  <c r="AM356" i="1"/>
  <c r="BF356" i="1"/>
  <c r="BG356" i="1"/>
  <c r="T357" i="1"/>
  <c r="U357" i="1"/>
  <c r="V357" i="1"/>
  <c r="W357" i="1"/>
  <c r="AB357" i="1"/>
  <c r="AF357" i="1"/>
  <c r="K358" i="1"/>
  <c r="AC358" i="1"/>
  <c r="AJ357" i="1"/>
  <c r="AK357" i="1"/>
  <c r="AM357" i="1"/>
  <c r="BF357" i="1"/>
  <c r="BG357" i="1"/>
  <c r="T358" i="1"/>
  <c r="U358" i="1"/>
  <c r="V358" i="1"/>
  <c r="W358" i="1"/>
  <c r="AB358" i="1"/>
  <c r="AF358" i="1"/>
  <c r="AC359" i="1"/>
  <c r="AJ358" i="1"/>
  <c r="AK358" i="1"/>
  <c r="AM358" i="1"/>
  <c r="BF358" i="1"/>
  <c r="BG358" i="1"/>
  <c r="T359" i="1"/>
  <c r="U359" i="1"/>
  <c r="V359" i="1"/>
  <c r="W359" i="1"/>
  <c r="AB359" i="1"/>
  <c r="AF359" i="1"/>
  <c r="AC360" i="1"/>
  <c r="AJ359" i="1"/>
  <c r="AK359" i="1"/>
  <c r="AM359" i="1"/>
  <c r="BF359" i="1"/>
  <c r="BG359" i="1"/>
  <c r="T360" i="1"/>
  <c r="U360" i="1"/>
  <c r="V360" i="1"/>
  <c r="W360" i="1"/>
  <c r="AB360" i="1"/>
  <c r="AF360" i="1"/>
  <c r="K361" i="1"/>
  <c r="AC361" i="1"/>
  <c r="AJ360" i="1"/>
  <c r="AK360" i="1"/>
  <c r="AM360" i="1"/>
  <c r="BF360" i="1"/>
  <c r="BG360" i="1"/>
  <c r="T361" i="1"/>
  <c r="U361" i="1"/>
  <c r="V361" i="1"/>
  <c r="W361" i="1"/>
  <c r="AB361" i="1"/>
  <c r="AF361" i="1"/>
  <c r="K362" i="1"/>
  <c r="AC362" i="1"/>
  <c r="AJ361" i="1"/>
  <c r="AK361" i="1"/>
  <c r="AM361" i="1"/>
  <c r="BF361" i="1"/>
  <c r="BG361" i="1"/>
  <c r="T362" i="1"/>
  <c r="U362" i="1"/>
  <c r="V362" i="1"/>
  <c r="W362" i="1"/>
  <c r="AB362" i="1"/>
  <c r="AF362" i="1"/>
  <c r="K363" i="1"/>
  <c r="AC363" i="1"/>
  <c r="AJ362" i="1"/>
  <c r="AK362" i="1"/>
  <c r="AM362" i="1"/>
  <c r="BF362" i="1"/>
  <c r="BG362" i="1"/>
  <c r="T363" i="1"/>
  <c r="U363" i="1"/>
  <c r="V363" i="1"/>
  <c r="W363" i="1"/>
  <c r="AB363" i="1"/>
  <c r="AF363" i="1"/>
  <c r="AC364" i="1"/>
  <c r="AJ363" i="1"/>
  <c r="AK363" i="1"/>
  <c r="AM363" i="1"/>
  <c r="BF363" i="1"/>
  <c r="BG363" i="1"/>
  <c r="T364" i="1"/>
  <c r="U364" i="1"/>
  <c r="V364" i="1"/>
  <c r="W364" i="1"/>
  <c r="AB364" i="1"/>
  <c r="AF364" i="1"/>
  <c r="AC365" i="1"/>
  <c r="AJ364" i="1"/>
  <c r="AK364" i="1"/>
  <c r="AM364" i="1"/>
  <c r="BF364" i="1"/>
  <c r="BG364" i="1"/>
  <c r="T365" i="1"/>
  <c r="U365" i="1"/>
  <c r="V365" i="1"/>
  <c r="W365" i="1"/>
  <c r="AB365" i="1"/>
  <c r="AF365" i="1"/>
  <c r="K366" i="1"/>
  <c r="AC366" i="1"/>
  <c r="AJ365" i="1"/>
  <c r="AK365" i="1"/>
  <c r="AM365" i="1"/>
  <c r="BF365" i="1"/>
  <c r="BG365" i="1"/>
  <c r="T366" i="1"/>
  <c r="U366" i="1"/>
  <c r="V366" i="1"/>
  <c r="W366" i="1"/>
  <c r="AB366" i="1"/>
  <c r="AF366" i="1"/>
  <c r="K367" i="1"/>
  <c r="AC367" i="1"/>
  <c r="AJ366" i="1"/>
  <c r="AK366" i="1"/>
  <c r="AM366" i="1"/>
  <c r="BF366" i="1"/>
  <c r="BG366" i="1"/>
  <c r="T367" i="1"/>
  <c r="U367" i="1"/>
  <c r="V367" i="1"/>
  <c r="W367" i="1"/>
  <c r="AB367" i="1"/>
  <c r="AF367" i="1"/>
  <c r="AC368" i="1"/>
  <c r="AJ367" i="1"/>
  <c r="AK367" i="1"/>
  <c r="AM367" i="1"/>
  <c r="BF367" i="1"/>
  <c r="BG367" i="1"/>
  <c r="T368" i="1"/>
  <c r="U368" i="1"/>
  <c r="V368" i="1"/>
  <c r="W368" i="1"/>
  <c r="AB368" i="1"/>
  <c r="AF368" i="1"/>
  <c r="AC369" i="1"/>
  <c r="AJ368" i="1"/>
  <c r="AK368" i="1"/>
  <c r="AM368" i="1"/>
  <c r="BF368" i="1"/>
  <c r="BG368" i="1"/>
  <c r="T369" i="1"/>
  <c r="U369" i="1"/>
  <c r="V369" i="1"/>
  <c r="W369" i="1"/>
  <c r="AB369" i="1"/>
  <c r="AF369" i="1"/>
  <c r="K370" i="1"/>
  <c r="AC370" i="1"/>
  <c r="AJ369" i="1"/>
  <c r="AK369" i="1"/>
  <c r="AM369" i="1"/>
  <c r="BF369" i="1"/>
  <c r="BG369" i="1"/>
  <c r="T370" i="1"/>
  <c r="U370" i="1"/>
  <c r="V370" i="1"/>
  <c r="W370" i="1"/>
  <c r="AB370" i="1"/>
  <c r="AF370" i="1"/>
  <c r="AC371" i="1"/>
  <c r="AJ370" i="1"/>
  <c r="AK370" i="1"/>
  <c r="AM370" i="1"/>
  <c r="BF370" i="1"/>
  <c r="BG370" i="1"/>
  <c r="T371" i="1"/>
  <c r="U371" i="1"/>
  <c r="V371" i="1"/>
  <c r="W371" i="1"/>
  <c r="AB371" i="1"/>
  <c r="AF371" i="1"/>
  <c r="AC372" i="1"/>
  <c r="AJ371" i="1"/>
  <c r="AK371" i="1"/>
  <c r="AM371" i="1"/>
  <c r="BF371" i="1"/>
  <c r="BG371" i="1"/>
  <c r="T372" i="1"/>
  <c r="U372" i="1"/>
  <c r="V372" i="1"/>
  <c r="W372" i="1"/>
  <c r="AB372" i="1"/>
  <c r="AF372" i="1"/>
  <c r="K373" i="1"/>
  <c r="AC373" i="1"/>
  <c r="AJ372" i="1"/>
  <c r="AK372" i="1"/>
  <c r="AM372" i="1"/>
  <c r="BF372" i="1"/>
  <c r="BG372" i="1"/>
  <c r="T373" i="1"/>
  <c r="U373" i="1"/>
  <c r="V373" i="1"/>
  <c r="W373" i="1"/>
  <c r="AB373" i="1"/>
  <c r="AF373" i="1"/>
  <c r="AC374" i="1"/>
  <c r="AJ373" i="1"/>
  <c r="AK373" i="1"/>
  <c r="AM373" i="1"/>
  <c r="BF373" i="1"/>
  <c r="BG373" i="1"/>
  <c r="T374" i="1"/>
  <c r="U374" i="1"/>
  <c r="V374" i="1"/>
  <c r="W374" i="1"/>
  <c r="AB374" i="1"/>
  <c r="AF374" i="1"/>
  <c r="AC375" i="1"/>
  <c r="AJ374" i="1"/>
  <c r="AK374" i="1"/>
  <c r="AM374" i="1"/>
  <c r="BF374" i="1"/>
  <c r="BG374" i="1"/>
  <c r="T375" i="1"/>
  <c r="U375" i="1"/>
  <c r="V375" i="1"/>
  <c r="W375" i="1"/>
  <c r="AB375" i="1"/>
  <c r="AF375" i="1"/>
  <c r="K376" i="1"/>
  <c r="AC376" i="1"/>
  <c r="AJ375" i="1"/>
  <c r="AK375" i="1"/>
  <c r="AM375" i="1"/>
  <c r="BF375" i="1"/>
  <c r="BG375" i="1"/>
  <c r="T376" i="1"/>
  <c r="U376" i="1"/>
  <c r="V376" i="1"/>
  <c r="W376" i="1"/>
  <c r="AB376" i="1"/>
  <c r="AF376" i="1"/>
  <c r="AC377" i="1"/>
  <c r="AJ376" i="1"/>
  <c r="AK376" i="1"/>
  <c r="AM376" i="1"/>
  <c r="BF376" i="1"/>
  <c r="BG376" i="1"/>
  <c r="T377" i="1"/>
  <c r="U377" i="1"/>
  <c r="V377" i="1"/>
  <c r="W377" i="1"/>
  <c r="AB377" i="1"/>
  <c r="AF377" i="1"/>
  <c r="AC378" i="1"/>
  <c r="AJ377" i="1"/>
  <c r="AK377" i="1"/>
  <c r="AM377" i="1"/>
  <c r="BF377" i="1"/>
  <c r="BG377" i="1"/>
  <c r="T378" i="1"/>
  <c r="U378" i="1"/>
  <c r="V378" i="1"/>
  <c r="W378" i="1"/>
  <c r="AB378" i="1"/>
  <c r="AF378" i="1"/>
  <c r="K379" i="1"/>
  <c r="AC379" i="1"/>
  <c r="AJ378" i="1"/>
  <c r="AK378" i="1"/>
  <c r="AM378" i="1"/>
  <c r="BF378" i="1"/>
  <c r="BG378" i="1"/>
  <c r="T379" i="1"/>
  <c r="U379" i="1"/>
  <c r="V379" i="1"/>
  <c r="W379" i="1"/>
  <c r="AB379" i="1"/>
  <c r="AF379" i="1"/>
  <c r="AC380" i="1"/>
  <c r="AJ379" i="1"/>
  <c r="AK379" i="1"/>
  <c r="AM379" i="1"/>
  <c r="BF379" i="1"/>
  <c r="BG379" i="1"/>
  <c r="T380" i="1"/>
  <c r="U380" i="1"/>
  <c r="V380" i="1"/>
  <c r="W380" i="1"/>
  <c r="AB380" i="1"/>
  <c r="AF380" i="1"/>
  <c r="AC381" i="1"/>
  <c r="AJ380" i="1"/>
  <c r="AK380" i="1"/>
  <c r="AM380" i="1"/>
  <c r="BF380" i="1"/>
  <c r="BG380" i="1"/>
  <c r="T381" i="1"/>
  <c r="U381" i="1"/>
  <c r="V381" i="1"/>
  <c r="W381" i="1"/>
  <c r="AB381" i="1"/>
  <c r="AF381" i="1"/>
  <c r="K382" i="1"/>
  <c r="AC382" i="1"/>
  <c r="AJ381" i="1"/>
  <c r="AK381" i="1"/>
  <c r="AM381" i="1"/>
  <c r="BF381" i="1"/>
  <c r="BG381" i="1"/>
  <c r="T382" i="1"/>
  <c r="U382" i="1"/>
  <c r="V382" i="1"/>
  <c r="W382" i="1"/>
  <c r="AB382" i="1"/>
  <c r="AF382" i="1"/>
  <c r="K383" i="1"/>
  <c r="AC383" i="1"/>
  <c r="AJ382" i="1"/>
  <c r="AK382" i="1"/>
  <c r="AM382" i="1"/>
  <c r="BF382" i="1"/>
  <c r="BG382" i="1"/>
  <c r="T383" i="1"/>
  <c r="U383" i="1"/>
  <c r="V383" i="1"/>
  <c r="W383" i="1"/>
  <c r="AB383" i="1"/>
  <c r="AF383" i="1"/>
  <c r="K384" i="1"/>
  <c r="AC384" i="1"/>
  <c r="AJ383" i="1"/>
  <c r="AK383" i="1"/>
  <c r="AM383" i="1"/>
  <c r="BF383" i="1"/>
  <c r="BG383" i="1"/>
  <c r="T384" i="1"/>
  <c r="U384" i="1"/>
  <c r="V384" i="1"/>
  <c r="W384" i="1"/>
  <c r="AB384" i="1"/>
  <c r="AF384" i="1"/>
  <c r="K385" i="1"/>
  <c r="AC385" i="1"/>
  <c r="AJ384" i="1"/>
  <c r="AK384" i="1"/>
  <c r="AM384" i="1"/>
  <c r="BF384" i="1"/>
  <c r="BG384" i="1"/>
  <c r="T385" i="1"/>
  <c r="U385" i="1"/>
  <c r="V385" i="1"/>
  <c r="W385" i="1"/>
  <c r="AB385" i="1"/>
  <c r="AF385" i="1"/>
  <c r="K386" i="1"/>
  <c r="AC386" i="1"/>
  <c r="AJ385" i="1"/>
  <c r="AK385" i="1"/>
  <c r="AM385" i="1"/>
  <c r="BF385" i="1"/>
  <c r="BG385" i="1"/>
  <c r="T386" i="1"/>
  <c r="U386" i="1"/>
  <c r="V386" i="1"/>
  <c r="W386" i="1"/>
  <c r="AB386" i="1"/>
  <c r="AF386" i="1"/>
  <c r="AC387" i="1"/>
  <c r="AJ386" i="1"/>
  <c r="AK386" i="1"/>
  <c r="AM386" i="1"/>
  <c r="BF386" i="1"/>
  <c r="BG386" i="1"/>
  <c r="T387" i="1"/>
  <c r="U387" i="1"/>
  <c r="V387" i="1"/>
  <c r="W387" i="1"/>
  <c r="AB387" i="1"/>
  <c r="AF387" i="1"/>
  <c r="AC388" i="1"/>
  <c r="AJ387" i="1"/>
  <c r="AK387" i="1"/>
  <c r="AM387" i="1"/>
  <c r="BF387" i="1"/>
  <c r="BG387" i="1"/>
  <c r="T388" i="1"/>
  <c r="U388" i="1"/>
  <c r="V388" i="1"/>
  <c r="W388" i="1"/>
  <c r="AB388" i="1"/>
  <c r="AF388" i="1"/>
  <c r="K389" i="1"/>
  <c r="AC389" i="1"/>
  <c r="AJ388" i="1"/>
  <c r="AK388" i="1"/>
  <c r="AM388" i="1"/>
  <c r="BF388" i="1"/>
  <c r="BG388" i="1"/>
  <c r="T389" i="1"/>
  <c r="U389" i="1"/>
  <c r="V389" i="1"/>
  <c r="W389" i="1"/>
  <c r="AB389" i="1"/>
  <c r="AF389" i="1"/>
  <c r="AC390" i="1"/>
  <c r="AJ389" i="1"/>
  <c r="AK389" i="1"/>
  <c r="AM389" i="1"/>
  <c r="BF389" i="1"/>
  <c r="BG389" i="1"/>
  <c r="T390" i="1"/>
  <c r="U390" i="1"/>
  <c r="V390" i="1"/>
  <c r="W390" i="1"/>
  <c r="AB390" i="1"/>
  <c r="AF390" i="1"/>
  <c r="AC391" i="1"/>
  <c r="AJ390" i="1"/>
  <c r="AK390" i="1"/>
  <c r="AM390" i="1"/>
  <c r="BF390" i="1"/>
  <c r="BG390" i="1"/>
  <c r="T391" i="1"/>
  <c r="U391" i="1"/>
  <c r="V391" i="1"/>
  <c r="W391" i="1"/>
  <c r="AB391" i="1"/>
  <c r="AF391" i="1"/>
  <c r="K392" i="1"/>
  <c r="AC392" i="1"/>
  <c r="AJ391" i="1"/>
  <c r="AK391" i="1"/>
  <c r="AM391" i="1"/>
  <c r="BF391" i="1"/>
  <c r="BG391" i="1"/>
  <c r="T392" i="1"/>
  <c r="U392" i="1"/>
  <c r="V392" i="1"/>
  <c r="W392" i="1"/>
  <c r="AB392" i="1"/>
  <c r="AF392" i="1"/>
  <c r="AC393" i="1"/>
  <c r="AJ392" i="1"/>
  <c r="AK392" i="1"/>
  <c r="AM392" i="1"/>
  <c r="BF392" i="1"/>
  <c r="BG392" i="1"/>
  <c r="T393" i="1"/>
  <c r="U393" i="1"/>
  <c r="V393" i="1"/>
  <c r="W393" i="1"/>
  <c r="AB393" i="1"/>
  <c r="AF393" i="1"/>
  <c r="AC394" i="1"/>
  <c r="AJ393" i="1"/>
  <c r="AK393" i="1"/>
  <c r="AM393" i="1"/>
  <c r="BF393" i="1"/>
  <c r="BG393" i="1"/>
  <c r="T394" i="1"/>
  <c r="U394" i="1"/>
  <c r="V394" i="1"/>
  <c r="W394" i="1"/>
  <c r="AB394" i="1"/>
  <c r="AF394" i="1"/>
  <c r="K395" i="1"/>
  <c r="AC395" i="1"/>
  <c r="AJ394" i="1"/>
  <c r="AK394" i="1"/>
  <c r="AM394" i="1"/>
  <c r="BF394" i="1"/>
  <c r="BG394" i="1"/>
  <c r="T395" i="1"/>
  <c r="U395" i="1"/>
  <c r="V395" i="1"/>
  <c r="W395" i="1"/>
  <c r="AB395" i="1"/>
  <c r="AF395" i="1"/>
  <c r="AC396" i="1"/>
  <c r="AJ395" i="1"/>
  <c r="AK395" i="1"/>
  <c r="AM395" i="1"/>
  <c r="BF395" i="1"/>
  <c r="BG395" i="1"/>
  <c r="T396" i="1"/>
  <c r="U396" i="1"/>
  <c r="V396" i="1"/>
  <c r="W396" i="1"/>
  <c r="AB396" i="1"/>
  <c r="AF396" i="1"/>
  <c r="AC397" i="1"/>
  <c r="AJ396" i="1"/>
  <c r="AK396" i="1"/>
  <c r="AM396" i="1"/>
  <c r="BF396" i="1"/>
  <c r="BG396" i="1"/>
  <c r="T397" i="1"/>
  <c r="U397" i="1"/>
  <c r="V397" i="1"/>
  <c r="W397" i="1"/>
  <c r="AB397" i="1"/>
  <c r="AF397" i="1"/>
  <c r="K398" i="1"/>
  <c r="AC398" i="1"/>
  <c r="AJ397" i="1"/>
  <c r="AK397" i="1"/>
  <c r="AM397" i="1"/>
  <c r="BF397" i="1"/>
  <c r="BG397" i="1"/>
  <c r="T398" i="1"/>
  <c r="U398" i="1"/>
  <c r="V398" i="1"/>
  <c r="W398" i="1"/>
  <c r="AB398" i="1"/>
  <c r="AF398" i="1"/>
  <c r="AC399" i="1"/>
  <c r="AJ398" i="1"/>
  <c r="AK398" i="1"/>
  <c r="AM398" i="1"/>
  <c r="BF398" i="1"/>
  <c r="BG398" i="1"/>
  <c r="T399" i="1"/>
  <c r="U399" i="1"/>
  <c r="V399" i="1"/>
  <c r="W399" i="1"/>
  <c r="AB399" i="1"/>
  <c r="AF399" i="1"/>
  <c r="AC400" i="1"/>
  <c r="AJ399" i="1"/>
  <c r="AK399" i="1"/>
  <c r="AM399" i="1"/>
  <c r="BF399" i="1"/>
  <c r="BG399" i="1"/>
  <c r="T400" i="1"/>
  <c r="U400" i="1"/>
  <c r="V400" i="1"/>
  <c r="W400" i="1"/>
  <c r="AB400" i="1"/>
  <c r="AF400" i="1"/>
  <c r="K401" i="1"/>
  <c r="AC401" i="1"/>
  <c r="AJ400" i="1"/>
  <c r="AK400" i="1"/>
  <c r="AM400" i="1"/>
  <c r="BF400" i="1"/>
  <c r="BG400" i="1"/>
  <c r="T401" i="1"/>
  <c r="U401" i="1"/>
  <c r="V401" i="1"/>
  <c r="W401" i="1"/>
  <c r="AB401" i="1"/>
  <c r="AF401" i="1"/>
  <c r="K402" i="1"/>
  <c r="AC402" i="1"/>
  <c r="AJ401" i="1"/>
  <c r="AK401" i="1"/>
  <c r="AM401" i="1"/>
  <c r="BF401" i="1"/>
  <c r="BG401" i="1"/>
  <c r="T402" i="1"/>
  <c r="U402" i="1"/>
  <c r="V402" i="1"/>
  <c r="W402" i="1"/>
  <c r="AB402" i="1"/>
  <c r="AF402" i="1"/>
  <c r="K403" i="1"/>
  <c r="AC403" i="1"/>
  <c r="AJ402" i="1"/>
  <c r="AK402" i="1"/>
  <c r="AM402" i="1"/>
  <c r="BF402" i="1"/>
  <c r="BG402" i="1"/>
  <c r="T403" i="1"/>
  <c r="U403" i="1"/>
  <c r="V403" i="1"/>
  <c r="W403" i="1"/>
  <c r="AB403" i="1"/>
  <c r="AF403" i="1"/>
  <c r="AC404" i="1"/>
  <c r="AJ403" i="1"/>
  <c r="AK403" i="1"/>
  <c r="AM403" i="1"/>
  <c r="BF403" i="1"/>
  <c r="BG403" i="1"/>
  <c r="T404" i="1"/>
  <c r="U404" i="1"/>
  <c r="V404" i="1"/>
  <c r="W404" i="1"/>
  <c r="AB404" i="1"/>
  <c r="AF404" i="1"/>
  <c r="AC405" i="1"/>
  <c r="AJ404" i="1"/>
  <c r="AK404" i="1"/>
  <c r="AM404" i="1"/>
  <c r="BF404" i="1"/>
  <c r="BG404" i="1"/>
  <c r="T405" i="1"/>
  <c r="U405" i="1"/>
  <c r="V405" i="1"/>
  <c r="W405" i="1"/>
  <c r="AB405" i="1"/>
  <c r="AF405" i="1"/>
  <c r="K406" i="1"/>
  <c r="AC406" i="1"/>
  <c r="AJ405" i="1"/>
  <c r="AK405" i="1"/>
  <c r="AM405" i="1"/>
  <c r="BF405" i="1"/>
  <c r="BG405" i="1"/>
  <c r="T406" i="1"/>
  <c r="U406" i="1"/>
  <c r="V406" i="1"/>
  <c r="W406" i="1"/>
  <c r="AB406" i="1"/>
  <c r="AF406" i="1"/>
  <c r="AC407" i="1"/>
  <c r="AJ406" i="1"/>
  <c r="AK406" i="1"/>
  <c r="AM406" i="1"/>
  <c r="BF406" i="1"/>
  <c r="BG406" i="1"/>
  <c r="T407" i="1"/>
  <c r="U407" i="1"/>
  <c r="V407" i="1"/>
  <c r="W407" i="1"/>
  <c r="AB407" i="1"/>
  <c r="AF407" i="1"/>
  <c r="AC408" i="1"/>
  <c r="AJ407" i="1"/>
  <c r="AK407" i="1"/>
  <c r="AM407" i="1"/>
  <c r="BF407" i="1"/>
  <c r="BG407" i="1"/>
  <c r="T408" i="1"/>
  <c r="U408" i="1"/>
  <c r="V408" i="1"/>
  <c r="W408" i="1"/>
  <c r="AB408" i="1"/>
  <c r="AF408" i="1"/>
  <c r="K409" i="1"/>
  <c r="AC409" i="1"/>
  <c r="AJ408" i="1"/>
  <c r="AK408" i="1"/>
  <c r="AM408" i="1"/>
  <c r="BF408" i="1"/>
  <c r="BG408" i="1"/>
  <c r="T409" i="1"/>
  <c r="U409" i="1"/>
  <c r="V409" i="1"/>
  <c r="W409" i="1"/>
  <c r="AB409" i="1"/>
  <c r="AF409" i="1"/>
  <c r="K410" i="1"/>
  <c r="AC410" i="1"/>
  <c r="AJ409" i="1"/>
  <c r="AK409" i="1"/>
  <c r="AM409" i="1"/>
  <c r="BF409" i="1"/>
  <c r="BG409" i="1"/>
  <c r="T410" i="1"/>
  <c r="U410" i="1"/>
  <c r="V410" i="1"/>
  <c r="W410" i="1"/>
  <c r="AB410" i="1"/>
  <c r="AF410" i="1"/>
  <c r="K411" i="1"/>
  <c r="AC411" i="1"/>
  <c r="AJ410" i="1"/>
  <c r="AK410" i="1"/>
  <c r="AM410" i="1"/>
  <c r="BF410" i="1"/>
  <c r="BG410" i="1"/>
  <c r="T411" i="1"/>
  <c r="U411" i="1"/>
  <c r="V411" i="1"/>
  <c r="W411" i="1"/>
  <c r="AB411" i="1"/>
  <c r="AF411" i="1"/>
  <c r="K412" i="1"/>
  <c r="AC412" i="1"/>
  <c r="AJ411" i="1"/>
  <c r="AK411" i="1"/>
  <c r="AM411" i="1"/>
  <c r="BF411" i="1"/>
  <c r="BG411" i="1"/>
  <c r="T412" i="1"/>
  <c r="U412" i="1"/>
  <c r="V412" i="1"/>
  <c r="W412" i="1"/>
  <c r="AB412" i="1"/>
  <c r="AF412" i="1"/>
  <c r="AC413" i="1"/>
  <c r="AJ412" i="1"/>
  <c r="AK412" i="1"/>
  <c r="AM412" i="1"/>
  <c r="BF412" i="1"/>
  <c r="BG412" i="1"/>
  <c r="T413" i="1"/>
  <c r="U413" i="1"/>
  <c r="V413" i="1"/>
  <c r="W413" i="1"/>
  <c r="AB413" i="1"/>
  <c r="AF413" i="1"/>
  <c r="AC414" i="1"/>
  <c r="AJ413" i="1"/>
  <c r="AK413" i="1"/>
  <c r="AM413" i="1"/>
  <c r="BF413" i="1"/>
  <c r="BG413" i="1"/>
  <c r="T414" i="1"/>
  <c r="U414" i="1"/>
  <c r="V414" i="1"/>
  <c r="W414" i="1"/>
  <c r="AB414" i="1"/>
  <c r="AF414" i="1"/>
  <c r="K415" i="1"/>
  <c r="AC415" i="1"/>
  <c r="AJ414" i="1"/>
  <c r="AK414" i="1"/>
  <c r="AM414" i="1"/>
  <c r="BF414" i="1"/>
  <c r="BG414" i="1"/>
  <c r="T415" i="1"/>
  <c r="U415" i="1"/>
  <c r="V415" i="1"/>
  <c r="W415" i="1"/>
  <c r="AB415" i="1"/>
  <c r="AF415" i="1"/>
  <c r="AC416" i="1"/>
  <c r="AJ415" i="1"/>
  <c r="AK415" i="1"/>
  <c r="AM415" i="1"/>
  <c r="BF415" i="1"/>
  <c r="BG415" i="1"/>
  <c r="T416" i="1"/>
  <c r="U416" i="1"/>
  <c r="V416" i="1"/>
  <c r="W416" i="1"/>
  <c r="AB416" i="1"/>
  <c r="AF416" i="1"/>
  <c r="AC417" i="1"/>
  <c r="AJ416" i="1"/>
  <c r="AK416" i="1"/>
  <c r="AM416" i="1"/>
  <c r="BF416" i="1"/>
  <c r="BG416" i="1"/>
  <c r="T417" i="1"/>
  <c r="U417" i="1"/>
  <c r="V417" i="1"/>
  <c r="W417" i="1"/>
  <c r="AB417" i="1"/>
  <c r="AF417" i="1"/>
  <c r="K418" i="1"/>
  <c r="AC418" i="1"/>
  <c r="AJ417" i="1"/>
  <c r="AK417" i="1"/>
  <c r="AM417" i="1"/>
  <c r="BF417" i="1"/>
  <c r="BG417" i="1"/>
  <c r="T418" i="1"/>
  <c r="U418" i="1"/>
  <c r="V418" i="1"/>
  <c r="W418" i="1"/>
  <c r="AB418" i="1"/>
  <c r="AF418" i="1"/>
  <c r="AC419" i="1"/>
  <c r="AJ418" i="1"/>
  <c r="AK418" i="1"/>
  <c r="AM418" i="1"/>
  <c r="BF418" i="1"/>
  <c r="BG418" i="1"/>
  <c r="T419" i="1"/>
  <c r="U419" i="1"/>
  <c r="V419" i="1"/>
  <c r="W419" i="1"/>
  <c r="AB419" i="1"/>
  <c r="AF419" i="1"/>
  <c r="AC420" i="1"/>
  <c r="AJ419" i="1"/>
  <c r="AK419" i="1"/>
  <c r="AM419" i="1"/>
  <c r="BF419" i="1"/>
  <c r="BG419" i="1"/>
  <c r="T420" i="1"/>
  <c r="U420" i="1"/>
  <c r="V420" i="1"/>
  <c r="W420" i="1"/>
  <c r="AB420" i="1"/>
  <c r="AF420" i="1"/>
  <c r="K421" i="1"/>
  <c r="AC421" i="1"/>
  <c r="AJ420" i="1"/>
  <c r="AK420" i="1"/>
  <c r="AM420" i="1"/>
  <c r="BF420" i="1"/>
  <c r="BG420" i="1"/>
  <c r="T421" i="1"/>
  <c r="U421" i="1"/>
  <c r="V421" i="1"/>
  <c r="W421" i="1"/>
  <c r="AB421" i="1"/>
  <c r="AF421" i="1"/>
  <c r="K422" i="1"/>
  <c r="AC422" i="1"/>
  <c r="AJ421" i="1"/>
  <c r="AK421" i="1"/>
  <c r="AM421" i="1"/>
  <c r="BF421" i="1"/>
  <c r="BG421" i="1"/>
  <c r="T422" i="1"/>
  <c r="U422" i="1"/>
  <c r="V422" i="1"/>
  <c r="W422" i="1"/>
  <c r="AB422" i="1"/>
  <c r="AF422" i="1"/>
  <c r="K423" i="1"/>
  <c r="AC423" i="1"/>
  <c r="AJ422" i="1"/>
  <c r="AK422" i="1"/>
  <c r="AM422" i="1"/>
  <c r="BF422" i="1"/>
  <c r="BG422" i="1"/>
  <c r="T423" i="1"/>
  <c r="U423" i="1"/>
  <c r="V423" i="1"/>
  <c r="W423" i="1"/>
  <c r="AB423" i="1"/>
  <c r="AF423" i="1"/>
  <c r="AC424" i="1"/>
  <c r="AJ423" i="1"/>
  <c r="AK423" i="1"/>
  <c r="AM423" i="1"/>
  <c r="BF423" i="1"/>
  <c r="BG423" i="1"/>
  <c r="T424" i="1"/>
  <c r="U424" i="1"/>
  <c r="V424" i="1"/>
  <c r="W424" i="1"/>
  <c r="AB424" i="1"/>
  <c r="AF424" i="1"/>
  <c r="AC425" i="1"/>
  <c r="AJ424" i="1"/>
  <c r="AK424" i="1"/>
  <c r="AM424" i="1"/>
  <c r="BF424" i="1"/>
  <c r="BG424" i="1"/>
  <c r="T425" i="1"/>
  <c r="U425" i="1"/>
  <c r="V425" i="1"/>
  <c r="W425" i="1"/>
  <c r="AB425" i="1"/>
  <c r="AF425" i="1"/>
  <c r="K426" i="1"/>
  <c r="AC426" i="1"/>
  <c r="AJ425" i="1"/>
  <c r="AK425" i="1"/>
  <c r="AM425" i="1"/>
  <c r="BF425" i="1"/>
  <c r="BG425" i="1"/>
  <c r="T426" i="1"/>
  <c r="U426" i="1"/>
  <c r="V426" i="1"/>
  <c r="W426" i="1"/>
  <c r="AB426" i="1"/>
  <c r="AF426" i="1"/>
  <c r="AC427" i="1"/>
  <c r="AJ426" i="1"/>
  <c r="AK426" i="1"/>
  <c r="AM426" i="1"/>
  <c r="BF426" i="1"/>
  <c r="BG426" i="1"/>
  <c r="T427" i="1"/>
  <c r="U427" i="1"/>
  <c r="V427" i="1"/>
  <c r="W427" i="1"/>
  <c r="AB427" i="1"/>
  <c r="AF427" i="1"/>
  <c r="AC428" i="1"/>
  <c r="AJ427" i="1"/>
  <c r="AK427" i="1"/>
  <c r="AM427" i="1"/>
  <c r="BF427" i="1"/>
  <c r="BG427" i="1"/>
  <c r="T428" i="1"/>
  <c r="U428" i="1"/>
  <c r="V428" i="1"/>
  <c r="W428" i="1"/>
  <c r="AB428" i="1"/>
  <c r="AF428" i="1"/>
  <c r="K429" i="1"/>
  <c r="AC429" i="1"/>
  <c r="AJ428" i="1"/>
  <c r="AK428" i="1"/>
  <c r="AM428" i="1"/>
  <c r="BF428" i="1"/>
  <c r="BG428" i="1"/>
  <c r="T429" i="1"/>
  <c r="U429" i="1"/>
  <c r="V429" i="1"/>
  <c r="W429" i="1"/>
  <c r="AB429" i="1"/>
  <c r="AF429" i="1"/>
  <c r="K430" i="1"/>
  <c r="AC430" i="1"/>
  <c r="AJ429" i="1"/>
  <c r="AK429" i="1"/>
  <c r="AM429" i="1"/>
  <c r="BF429" i="1"/>
  <c r="BG429" i="1"/>
  <c r="T430" i="1"/>
  <c r="U430" i="1"/>
  <c r="V430" i="1"/>
  <c r="W430" i="1"/>
  <c r="AB430" i="1"/>
  <c r="AF430" i="1"/>
  <c r="AC431" i="1"/>
  <c r="AJ430" i="1"/>
  <c r="AK430" i="1"/>
  <c r="AM430" i="1"/>
  <c r="BF430" i="1"/>
  <c r="BG430" i="1"/>
  <c r="T431" i="1"/>
  <c r="U431" i="1"/>
  <c r="V431" i="1"/>
  <c r="W431" i="1"/>
  <c r="AB431" i="1"/>
  <c r="AF431" i="1"/>
  <c r="AC432" i="1"/>
  <c r="AJ431" i="1"/>
  <c r="AK431" i="1"/>
  <c r="AM431" i="1"/>
  <c r="BF431" i="1"/>
  <c r="BG431" i="1"/>
  <c r="T432" i="1"/>
  <c r="U432" i="1"/>
  <c r="V432" i="1"/>
  <c r="W432" i="1"/>
  <c r="AB432" i="1"/>
  <c r="AF432" i="1"/>
  <c r="K433" i="1"/>
  <c r="AC433" i="1"/>
  <c r="AJ432" i="1"/>
  <c r="AK432" i="1"/>
  <c r="AM432" i="1"/>
  <c r="BF432" i="1"/>
  <c r="BG432" i="1"/>
  <c r="T433" i="1"/>
  <c r="U433" i="1"/>
  <c r="V433" i="1"/>
  <c r="W433" i="1"/>
  <c r="AB433" i="1"/>
  <c r="AF433" i="1"/>
  <c r="AC434" i="1"/>
  <c r="AJ433" i="1"/>
  <c r="AK433" i="1"/>
  <c r="AM433" i="1"/>
  <c r="BF433" i="1"/>
  <c r="BG433" i="1"/>
  <c r="T434" i="1"/>
  <c r="U434" i="1"/>
  <c r="V434" i="1"/>
  <c r="W434" i="1"/>
  <c r="AB434" i="1"/>
  <c r="AF434" i="1"/>
  <c r="AC435" i="1"/>
  <c r="AJ434" i="1"/>
  <c r="AK434" i="1"/>
  <c r="AM434" i="1"/>
  <c r="BF434" i="1"/>
  <c r="BG434" i="1"/>
  <c r="T435" i="1"/>
  <c r="U435" i="1"/>
  <c r="V435" i="1"/>
  <c r="W435" i="1"/>
  <c r="AB435" i="1"/>
  <c r="AF435" i="1"/>
  <c r="K436" i="1"/>
  <c r="AC436" i="1"/>
  <c r="AJ435" i="1"/>
  <c r="AK435" i="1"/>
  <c r="AM435" i="1"/>
  <c r="BF435" i="1"/>
  <c r="BG435" i="1"/>
  <c r="T436" i="1"/>
  <c r="U436" i="1"/>
  <c r="V436" i="1"/>
  <c r="W436" i="1"/>
  <c r="AB436" i="1"/>
  <c r="AF436" i="1"/>
  <c r="K437" i="1"/>
  <c r="AC437" i="1"/>
  <c r="AJ436" i="1"/>
  <c r="AK436" i="1"/>
  <c r="AM436" i="1"/>
  <c r="BF436" i="1"/>
  <c r="BG436" i="1"/>
  <c r="T437" i="1"/>
  <c r="U437" i="1"/>
  <c r="V437" i="1"/>
  <c r="W437" i="1"/>
  <c r="AB437" i="1"/>
  <c r="AF437" i="1"/>
  <c r="K438" i="1"/>
  <c r="AC438" i="1"/>
  <c r="AJ437" i="1"/>
  <c r="AK437" i="1"/>
  <c r="AM437" i="1"/>
  <c r="BF437" i="1"/>
  <c r="BG437" i="1"/>
  <c r="T438" i="1"/>
  <c r="U438" i="1"/>
  <c r="V438" i="1"/>
  <c r="W438" i="1"/>
  <c r="AB438" i="1"/>
  <c r="AF438" i="1"/>
  <c r="K439" i="1"/>
  <c r="AC439" i="1"/>
  <c r="AJ438" i="1"/>
  <c r="AK438" i="1"/>
  <c r="AM438" i="1"/>
  <c r="BF438" i="1"/>
  <c r="BG438" i="1"/>
  <c r="T439" i="1"/>
  <c r="U439" i="1"/>
  <c r="V439" i="1"/>
  <c r="W439" i="1"/>
  <c r="AB439" i="1"/>
  <c r="AF439" i="1"/>
  <c r="K440" i="1"/>
  <c r="AC440" i="1"/>
  <c r="AJ439" i="1"/>
  <c r="AK439" i="1"/>
  <c r="AM439" i="1"/>
  <c r="BF439" i="1"/>
  <c r="BG439" i="1"/>
  <c r="T440" i="1"/>
  <c r="U440" i="1"/>
  <c r="V440" i="1"/>
  <c r="W440" i="1"/>
  <c r="AB440" i="1"/>
  <c r="AF440" i="1"/>
  <c r="K441" i="1"/>
  <c r="AC441" i="1"/>
  <c r="AJ440" i="1"/>
  <c r="AK440" i="1"/>
  <c r="AM440" i="1"/>
  <c r="BF440" i="1"/>
  <c r="BG440" i="1"/>
  <c r="T441" i="1"/>
  <c r="U441" i="1"/>
  <c r="V441" i="1"/>
  <c r="W441" i="1"/>
  <c r="AB441" i="1"/>
  <c r="AF441" i="1"/>
  <c r="AC442" i="1"/>
  <c r="AJ441" i="1"/>
  <c r="AK441" i="1"/>
  <c r="AM441" i="1"/>
  <c r="BF441" i="1"/>
  <c r="BG441" i="1"/>
  <c r="T442" i="1"/>
  <c r="U442" i="1"/>
  <c r="V442" i="1"/>
  <c r="W442" i="1"/>
  <c r="AB442" i="1"/>
  <c r="AF442" i="1"/>
  <c r="AC443" i="1"/>
  <c r="AJ442" i="1"/>
  <c r="AK442" i="1"/>
  <c r="AM442" i="1"/>
  <c r="BF442" i="1"/>
  <c r="BG442" i="1"/>
  <c r="T443" i="1"/>
  <c r="U443" i="1"/>
  <c r="V443" i="1"/>
  <c r="W443" i="1"/>
  <c r="AB443" i="1"/>
  <c r="AF443" i="1"/>
  <c r="K444" i="1"/>
  <c r="AC444" i="1"/>
  <c r="AJ443" i="1"/>
  <c r="AK443" i="1"/>
  <c r="AM443" i="1"/>
  <c r="BF443" i="1"/>
  <c r="BG443" i="1"/>
  <c r="T444" i="1"/>
  <c r="U444" i="1"/>
  <c r="V444" i="1"/>
  <c r="W444" i="1"/>
  <c r="AB444" i="1"/>
  <c r="AF444" i="1"/>
  <c r="AC445" i="1"/>
  <c r="AJ444" i="1"/>
  <c r="AK444" i="1"/>
  <c r="AM444" i="1"/>
  <c r="BF444" i="1"/>
  <c r="BG444" i="1"/>
  <c r="T445" i="1"/>
  <c r="U445" i="1"/>
  <c r="V445" i="1"/>
  <c r="W445" i="1"/>
  <c r="AB445" i="1"/>
  <c r="AF445" i="1"/>
  <c r="AC446" i="1"/>
  <c r="AJ445" i="1"/>
  <c r="AK445" i="1"/>
  <c r="AM445" i="1"/>
  <c r="BF445" i="1"/>
  <c r="BG445" i="1"/>
  <c r="T446" i="1"/>
  <c r="U446" i="1"/>
  <c r="V446" i="1"/>
  <c r="W446" i="1"/>
  <c r="AB446" i="1"/>
  <c r="AF446" i="1"/>
  <c r="K447" i="1"/>
  <c r="AC447" i="1"/>
  <c r="AJ446" i="1"/>
  <c r="AK446" i="1"/>
  <c r="AM446" i="1"/>
  <c r="BF446" i="1"/>
  <c r="BG446" i="1"/>
  <c r="T447" i="1"/>
  <c r="U447" i="1"/>
  <c r="V447" i="1"/>
  <c r="W447" i="1"/>
  <c r="AB447" i="1"/>
  <c r="AF447" i="1"/>
  <c r="K448" i="1"/>
  <c r="AC448" i="1"/>
  <c r="AJ447" i="1"/>
  <c r="AK447" i="1"/>
  <c r="AM447" i="1"/>
  <c r="BF447" i="1"/>
  <c r="BG447" i="1"/>
  <c r="T448" i="1"/>
  <c r="U448" i="1"/>
  <c r="V448" i="1"/>
  <c r="W448" i="1"/>
  <c r="AB448" i="1"/>
  <c r="AF448" i="1"/>
  <c r="AC449" i="1"/>
  <c r="AJ448" i="1"/>
  <c r="AK448" i="1"/>
  <c r="AM448" i="1"/>
  <c r="BF448" i="1"/>
  <c r="BG448" i="1"/>
  <c r="T449" i="1"/>
  <c r="U449" i="1"/>
  <c r="V449" i="1"/>
  <c r="W449" i="1"/>
  <c r="AB449" i="1"/>
  <c r="AF449" i="1"/>
  <c r="AC450" i="1"/>
  <c r="AJ449" i="1"/>
  <c r="AK449" i="1"/>
  <c r="AM449" i="1"/>
  <c r="BF449" i="1"/>
  <c r="BG449" i="1"/>
  <c r="T450" i="1"/>
  <c r="U450" i="1"/>
  <c r="V450" i="1"/>
  <c r="W450" i="1"/>
  <c r="AB450" i="1"/>
  <c r="AF450" i="1"/>
  <c r="K451" i="1"/>
  <c r="AC451" i="1"/>
  <c r="AJ450" i="1"/>
  <c r="AK450" i="1"/>
  <c r="AM450" i="1"/>
  <c r="BF450" i="1"/>
  <c r="BG450" i="1"/>
  <c r="T451" i="1"/>
  <c r="U451" i="1"/>
  <c r="V451" i="1"/>
  <c r="W451" i="1"/>
  <c r="AB451" i="1"/>
  <c r="AF451" i="1"/>
  <c r="K452" i="1"/>
  <c r="AC452" i="1"/>
  <c r="AJ451" i="1"/>
  <c r="AK451" i="1"/>
  <c r="AM451" i="1"/>
  <c r="BF451" i="1"/>
  <c r="BG451" i="1"/>
  <c r="T452" i="1"/>
  <c r="U452" i="1"/>
  <c r="V452" i="1"/>
  <c r="W452" i="1"/>
  <c r="AB452" i="1"/>
  <c r="AF452" i="1"/>
  <c r="K453" i="1"/>
  <c r="AC453" i="1"/>
  <c r="AJ452" i="1"/>
  <c r="AK452" i="1"/>
  <c r="AM452" i="1"/>
  <c r="BF452" i="1"/>
  <c r="BG452" i="1"/>
  <c r="T453" i="1"/>
  <c r="U453" i="1"/>
  <c r="V453" i="1"/>
  <c r="W453" i="1"/>
  <c r="AB453" i="1"/>
  <c r="AF453" i="1"/>
  <c r="K454" i="1"/>
  <c r="AC454" i="1"/>
  <c r="AJ453" i="1"/>
  <c r="AK453" i="1"/>
  <c r="AM453" i="1"/>
  <c r="BF453" i="1"/>
  <c r="BG453" i="1"/>
  <c r="T454" i="1"/>
  <c r="U454" i="1"/>
  <c r="V454" i="1"/>
  <c r="W454" i="1"/>
  <c r="AB454" i="1"/>
  <c r="AF454" i="1"/>
  <c r="K455" i="1"/>
  <c r="AC455" i="1"/>
  <c r="AJ454" i="1"/>
  <c r="AK454" i="1"/>
  <c r="AM454" i="1"/>
  <c r="BF454" i="1"/>
  <c r="BG454" i="1"/>
  <c r="T455" i="1"/>
  <c r="U455" i="1"/>
  <c r="V455" i="1"/>
  <c r="W455" i="1"/>
  <c r="AB455" i="1"/>
  <c r="AF455" i="1"/>
  <c r="AC456" i="1"/>
  <c r="AJ455" i="1"/>
  <c r="AK455" i="1"/>
  <c r="AM455" i="1"/>
  <c r="BF455" i="1"/>
  <c r="BG455" i="1"/>
  <c r="T456" i="1"/>
  <c r="U456" i="1"/>
  <c r="V456" i="1"/>
  <c r="W456" i="1"/>
  <c r="AB456" i="1"/>
  <c r="AF456" i="1"/>
  <c r="AC457" i="1"/>
  <c r="AJ456" i="1"/>
  <c r="AK456" i="1"/>
  <c r="AM456" i="1"/>
  <c r="BF456" i="1"/>
  <c r="BG456" i="1"/>
  <c r="T457" i="1"/>
  <c r="U457" i="1"/>
  <c r="V457" i="1"/>
  <c r="W457" i="1"/>
  <c r="AB457" i="1"/>
  <c r="AF457" i="1"/>
  <c r="K458" i="1"/>
  <c r="AC458" i="1"/>
  <c r="AJ457" i="1"/>
  <c r="AK457" i="1"/>
  <c r="AM457" i="1"/>
  <c r="BF457" i="1"/>
  <c r="BG457" i="1"/>
  <c r="T458" i="1"/>
  <c r="U458" i="1"/>
  <c r="V458" i="1"/>
  <c r="W458" i="1"/>
  <c r="AB458" i="1"/>
  <c r="AF458" i="1"/>
  <c r="K459" i="1"/>
  <c r="AC459" i="1"/>
  <c r="AJ458" i="1"/>
  <c r="AK458" i="1"/>
  <c r="AM458" i="1"/>
  <c r="BF458" i="1"/>
  <c r="BG458" i="1"/>
  <c r="T459" i="1"/>
  <c r="U459" i="1"/>
  <c r="V459" i="1"/>
  <c r="W459" i="1"/>
  <c r="AB459" i="1"/>
  <c r="AF459" i="1"/>
  <c r="AC460" i="1"/>
  <c r="AJ459" i="1"/>
  <c r="AK459" i="1"/>
  <c r="AM459" i="1"/>
  <c r="BF459" i="1"/>
  <c r="BG459" i="1"/>
  <c r="T460" i="1"/>
  <c r="U460" i="1"/>
  <c r="V460" i="1"/>
  <c r="W460" i="1"/>
  <c r="AB460" i="1"/>
  <c r="AF460" i="1"/>
  <c r="AC461" i="1"/>
  <c r="AJ460" i="1"/>
  <c r="AK460" i="1"/>
  <c r="AM460" i="1"/>
  <c r="BF460" i="1"/>
  <c r="BG460" i="1"/>
  <c r="T461" i="1"/>
  <c r="U461" i="1"/>
  <c r="V461" i="1"/>
  <c r="W461" i="1"/>
  <c r="AB461" i="1"/>
  <c r="AF461" i="1"/>
  <c r="K462" i="1"/>
  <c r="AC462" i="1"/>
  <c r="AJ461" i="1"/>
  <c r="AK461" i="1"/>
  <c r="AM461" i="1"/>
  <c r="BF461" i="1"/>
  <c r="BG461" i="1"/>
  <c r="T462" i="1"/>
  <c r="U462" i="1"/>
  <c r="V462" i="1"/>
  <c r="W462" i="1"/>
  <c r="AB462" i="1"/>
  <c r="AF462" i="1"/>
  <c r="K463" i="1"/>
  <c r="AC463" i="1"/>
  <c r="AJ462" i="1"/>
  <c r="AK462" i="1"/>
  <c r="AM462" i="1"/>
  <c r="BF462" i="1"/>
  <c r="BG462" i="1"/>
  <c r="T463" i="1"/>
  <c r="U463" i="1"/>
  <c r="V463" i="1"/>
  <c r="W463" i="1"/>
  <c r="AB463" i="1"/>
  <c r="AF463" i="1"/>
  <c r="K464" i="1"/>
  <c r="AC464" i="1"/>
  <c r="AJ463" i="1"/>
  <c r="AK463" i="1"/>
  <c r="AM463" i="1"/>
  <c r="BF463" i="1"/>
  <c r="BG463" i="1"/>
  <c r="T464" i="1"/>
  <c r="U464" i="1"/>
  <c r="V464" i="1"/>
  <c r="W464" i="1"/>
  <c r="AB464" i="1"/>
  <c r="AF464" i="1"/>
  <c r="AC465" i="1"/>
  <c r="AJ464" i="1"/>
  <c r="AK464" i="1"/>
  <c r="AM464" i="1"/>
  <c r="BF464" i="1"/>
  <c r="BG464" i="1"/>
  <c r="T465" i="1"/>
  <c r="U465" i="1"/>
  <c r="V465" i="1"/>
  <c r="W465" i="1"/>
  <c r="AB465" i="1"/>
  <c r="AF465" i="1"/>
  <c r="AC466" i="1"/>
  <c r="AJ465" i="1"/>
  <c r="AK465" i="1"/>
  <c r="AM465" i="1"/>
  <c r="BF465" i="1"/>
  <c r="BG465" i="1"/>
  <c r="T466" i="1"/>
  <c r="U466" i="1"/>
  <c r="V466" i="1"/>
  <c r="W466" i="1"/>
  <c r="AB466" i="1"/>
  <c r="AF466" i="1"/>
  <c r="K467" i="1"/>
  <c r="AC467" i="1"/>
  <c r="AJ466" i="1"/>
  <c r="AK466" i="1"/>
  <c r="AM466" i="1"/>
  <c r="BF466" i="1"/>
  <c r="BG466" i="1"/>
  <c r="T467" i="1"/>
  <c r="U467" i="1"/>
  <c r="V467" i="1"/>
  <c r="W467" i="1"/>
  <c r="AB467" i="1"/>
  <c r="AF467" i="1"/>
  <c r="K468" i="1"/>
  <c r="AC468" i="1"/>
  <c r="AJ467" i="1"/>
  <c r="AK467" i="1"/>
  <c r="AM467" i="1"/>
  <c r="BF467" i="1"/>
  <c r="BG467" i="1"/>
  <c r="T468" i="1"/>
  <c r="U468" i="1"/>
  <c r="V468" i="1"/>
  <c r="W468" i="1"/>
  <c r="AB468" i="1"/>
  <c r="AF468" i="1"/>
  <c r="AC469" i="1"/>
  <c r="AJ468" i="1"/>
  <c r="AK468" i="1"/>
  <c r="AM468" i="1"/>
  <c r="BF468" i="1"/>
  <c r="BG468" i="1"/>
  <c r="T469" i="1"/>
  <c r="U469" i="1"/>
  <c r="V469" i="1"/>
  <c r="W469" i="1"/>
  <c r="AB469" i="1"/>
  <c r="AF469" i="1"/>
  <c r="AC470" i="1"/>
  <c r="AJ469" i="1"/>
  <c r="AK469" i="1"/>
  <c r="AM469" i="1"/>
  <c r="BF469" i="1"/>
  <c r="BG469" i="1"/>
  <c r="T470" i="1"/>
  <c r="U470" i="1"/>
  <c r="V470" i="1"/>
  <c r="W470" i="1"/>
  <c r="AB470" i="1"/>
  <c r="AF470" i="1"/>
  <c r="K471" i="1"/>
  <c r="AC471" i="1"/>
  <c r="AJ470" i="1"/>
  <c r="AK470" i="1"/>
  <c r="AM470" i="1"/>
  <c r="BF470" i="1"/>
  <c r="BG470" i="1"/>
  <c r="T471" i="1"/>
  <c r="U471" i="1"/>
  <c r="V471" i="1"/>
  <c r="W471" i="1"/>
  <c r="AB471" i="1"/>
  <c r="AF471" i="1"/>
  <c r="AC472" i="1"/>
  <c r="AJ471" i="1"/>
  <c r="AK471" i="1"/>
  <c r="AM471" i="1"/>
  <c r="BF471" i="1"/>
  <c r="BG471" i="1"/>
  <c r="T472" i="1"/>
  <c r="U472" i="1"/>
  <c r="V472" i="1"/>
  <c r="W472" i="1"/>
  <c r="AB472" i="1"/>
  <c r="AF472" i="1"/>
  <c r="AC473" i="1"/>
  <c r="AJ472" i="1"/>
  <c r="AK472" i="1"/>
  <c r="AM472" i="1"/>
  <c r="BF472" i="1"/>
  <c r="BG472" i="1"/>
  <c r="T473" i="1"/>
  <c r="U473" i="1"/>
  <c r="V473" i="1"/>
  <c r="W473" i="1"/>
  <c r="AB473" i="1"/>
  <c r="AF473" i="1"/>
  <c r="K474" i="1"/>
  <c r="AC474" i="1"/>
  <c r="AJ473" i="1"/>
  <c r="AK473" i="1"/>
  <c r="AM473" i="1"/>
  <c r="BF473" i="1"/>
  <c r="BG473" i="1"/>
  <c r="T474" i="1"/>
  <c r="U474" i="1"/>
  <c r="V474" i="1"/>
  <c r="W474" i="1"/>
  <c r="AB474" i="1"/>
  <c r="AF474" i="1"/>
  <c r="AC475" i="1"/>
  <c r="AJ474" i="1"/>
  <c r="AK474" i="1"/>
  <c r="AM474" i="1"/>
  <c r="BF474" i="1"/>
  <c r="BG474" i="1"/>
  <c r="T475" i="1"/>
  <c r="U475" i="1"/>
  <c r="V475" i="1"/>
  <c r="W475" i="1"/>
  <c r="AB475" i="1"/>
  <c r="AF475" i="1"/>
  <c r="AC476" i="1"/>
  <c r="AJ475" i="1"/>
  <c r="AK475" i="1"/>
  <c r="AM475" i="1"/>
  <c r="BF475" i="1"/>
  <c r="BG475" i="1"/>
  <c r="T476" i="1"/>
  <c r="U476" i="1"/>
  <c r="V476" i="1"/>
  <c r="W476" i="1"/>
  <c r="AB476" i="1"/>
  <c r="AF476" i="1"/>
  <c r="K477" i="1"/>
  <c r="AC477" i="1"/>
  <c r="AJ476" i="1"/>
  <c r="AK476" i="1"/>
  <c r="AM476" i="1"/>
  <c r="BF476" i="1"/>
  <c r="BG476" i="1"/>
  <c r="T477" i="1"/>
  <c r="U477" i="1"/>
  <c r="V477" i="1"/>
  <c r="W477" i="1"/>
  <c r="AB477" i="1"/>
  <c r="AF477" i="1"/>
  <c r="K478" i="1"/>
  <c r="AC478" i="1"/>
  <c r="AJ477" i="1"/>
  <c r="AK477" i="1"/>
  <c r="AM477" i="1"/>
  <c r="BF477" i="1"/>
  <c r="BG477" i="1"/>
  <c r="T478" i="1"/>
  <c r="U478" i="1"/>
  <c r="V478" i="1"/>
  <c r="W478" i="1"/>
  <c r="AB478" i="1"/>
  <c r="AF478" i="1"/>
  <c r="AC479" i="1"/>
  <c r="AJ478" i="1"/>
  <c r="AK478" i="1"/>
  <c r="AM478" i="1"/>
  <c r="BF478" i="1"/>
  <c r="BG478" i="1"/>
  <c r="T479" i="1"/>
  <c r="U479" i="1"/>
  <c r="V479" i="1"/>
  <c r="W479" i="1"/>
  <c r="AB479" i="1"/>
  <c r="AF479" i="1"/>
  <c r="AC480" i="1"/>
  <c r="AJ479" i="1"/>
  <c r="AK479" i="1"/>
  <c r="AM479" i="1"/>
  <c r="BF479" i="1"/>
  <c r="BG479" i="1"/>
  <c r="T480" i="1"/>
  <c r="U480" i="1"/>
  <c r="V480" i="1"/>
  <c r="W480" i="1"/>
  <c r="AB480" i="1"/>
  <c r="AF480" i="1"/>
  <c r="K481" i="1"/>
  <c r="AC481" i="1"/>
  <c r="AJ480" i="1"/>
  <c r="AK480" i="1"/>
  <c r="AM480" i="1"/>
  <c r="BF480" i="1"/>
  <c r="BG480" i="1"/>
  <c r="T481" i="1"/>
  <c r="U481" i="1"/>
  <c r="V481" i="1"/>
  <c r="W481" i="1"/>
  <c r="AB481" i="1"/>
  <c r="AF481" i="1"/>
  <c r="AC482" i="1"/>
  <c r="AJ481" i="1"/>
  <c r="AK481" i="1"/>
  <c r="AM481" i="1"/>
  <c r="BF481" i="1"/>
  <c r="BG481" i="1"/>
  <c r="T482" i="1"/>
  <c r="U482" i="1"/>
  <c r="V482" i="1"/>
  <c r="W482" i="1"/>
  <c r="AB482" i="1"/>
  <c r="AF482" i="1"/>
  <c r="AC483" i="1"/>
  <c r="AJ482" i="1"/>
  <c r="AK482" i="1"/>
  <c r="AM482" i="1"/>
  <c r="BF482" i="1"/>
  <c r="BG482" i="1"/>
  <c r="T483" i="1"/>
  <c r="U483" i="1"/>
  <c r="V483" i="1"/>
  <c r="W483" i="1"/>
  <c r="AB483" i="1"/>
  <c r="AF483" i="1"/>
  <c r="K484" i="1"/>
  <c r="AC484" i="1"/>
  <c r="AJ483" i="1"/>
  <c r="AK483" i="1"/>
  <c r="AM483" i="1"/>
  <c r="BF483" i="1"/>
  <c r="BG483" i="1"/>
  <c r="T484" i="1"/>
  <c r="U484" i="1"/>
  <c r="V484" i="1"/>
  <c r="W484" i="1"/>
  <c r="AB484" i="1"/>
  <c r="AF484" i="1"/>
  <c r="AC485" i="1"/>
  <c r="AJ484" i="1"/>
  <c r="AK484" i="1"/>
  <c r="AM484" i="1"/>
  <c r="BF484" i="1"/>
  <c r="BG484" i="1"/>
  <c r="T485" i="1"/>
  <c r="U485" i="1"/>
  <c r="V485" i="1"/>
  <c r="W485" i="1"/>
  <c r="AB485" i="1"/>
  <c r="AF485" i="1"/>
  <c r="AC486" i="1"/>
  <c r="AJ485" i="1"/>
  <c r="AK485" i="1"/>
  <c r="AM485" i="1"/>
  <c r="BF485" i="1"/>
  <c r="BG485" i="1"/>
  <c r="T486" i="1"/>
  <c r="U486" i="1"/>
  <c r="V486" i="1"/>
  <c r="W486" i="1"/>
  <c r="AB486" i="1"/>
  <c r="AF486" i="1"/>
  <c r="K487" i="1"/>
  <c r="AC487" i="1"/>
  <c r="AJ486" i="1"/>
  <c r="AK486" i="1"/>
  <c r="AM486" i="1"/>
  <c r="BF486" i="1"/>
  <c r="BG486" i="1"/>
  <c r="T487" i="1"/>
  <c r="U487" i="1"/>
  <c r="V487" i="1"/>
  <c r="W487" i="1"/>
  <c r="AB487" i="1"/>
  <c r="AF487" i="1"/>
  <c r="K488" i="1"/>
  <c r="AC488" i="1"/>
  <c r="AJ487" i="1"/>
  <c r="AK487" i="1"/>
  <c r="AM487" i="1"/>
  <c r="BF487" i="1"/>
  <c r="BG487" i="1"/>
  <c r="T488" i="1"/>
  <c r="U488" i="1"/>
  <c r="V488" i="1"/>
  <c r="W488" i="1"/>
  <c r="AB488" i="1"/>
  <c r="AF488" i="1"/>
  <c r="AC489" i="1"/>
  <c r="AJ488" i="1"/>
  <c r="AK488" i="1"/>
  <c r="AM488" i="1"/>
  <c r="BF488" i="1"/>
  <c r="BG488" i="1"/>
  <c r="T489" i="1"/>
  <c r="U489" i="1"/>
  <c r="V489" i="1"/>
  <c r="W489" i="1"/>
  <c r="AB489" i="1"/>
  <c r="AF489" i="1"/>
  <c r="AC490" i="1"/>
  <c r="AJ489" i="1"/>
  <c r="AK489" i="1"/>
  <c r="AM489" i="1"/>
  <c r="BF489" i="1"/>
  <c r="BG489" i="1"/>
  <c r="T490" i="1"/>
  <c r="U490" i="1"/>
  <c r="V490" i="1"/>
  <c r="W490" i="1"/>
  <c r="AB490" i="1"/>
  <c r="AF490" i="1"/>
  <c r="K491" i="1"/>
  <c r="AC491" i="1"/>
  <c r="AJ490" i="1"/>
  <c r="AK490" i="1"/>
  <c r="AM490" i="1"/>
  <c r="BF490" i="1"/>
  <c r="BG490" i="1"/>
  <c r="T491" i="1"/>
  <c r="U491" i="1"/>
  <c r="V491" i="1"/>
  <c r="W491" i="1"/>
  <c r="AB491" i="1"/>
  <c r="AF491" i="1"/>
  <c r="K492" i="1"/>
  <c r="AC492" i="1"/>
  <c r="AJ491" i="1"/>
  <c r="AK491" i="1"/>
  <c r="AM491" i="1"/>
  <c r="BF491" i="1"/>
  <c r="BG491" i="1"/>
  <c r="T492" i="1"/>
  <c r="U492" i="1"/>
  <c r="V492" i="1"/>
  <c r="W492" i="1"/>
  <c r="AB492" i="1"/>
  <c r="AF492" i="1"/>
  <c r="AC493" i="1"/>
  <c r="AJ492" i="1"/>
  <c r="AK492" i="1"/>
  <c r="AM492" i="1"/>
  <c r="BF492" i="1"/>
  <c r="BG492" i="1"/>
  <c r="T493" i="1"/>
  <c r="U493" i="1"/>
  <c r="V493" i="1"/>
  <c r="W493" i="1"/>
  <c r="AB493" i="1"/>
  <c r="AF493" i="1"/>
  <c r="AC494" i="1"/>
  <c r="AJ493" i="1"/>
  <c r="AK493" i="1"/>
  <c r="AM493" i="1"/>
  <c r="BF493" i="1"/>
  <c r="BG493" i="1"/>
  <c r="T494" i="1"/>
  <c r="U494" i="1"/>
  <c r="V494" i="1"/>
  <c r="W494" i="1"/>
  <c r="AB494" i="1"/>
  <c r="AF494" i="1"/>
  <c r="K495" i="1"/>
  <c r="AC495" i="1"/>
  <c r="AJ494" i="1"/>
  <c r="AK494" i="1"/>
  <c r="AM494" i="1"/>
  <c r="BF494" i="1"/>
  <c r="BG494" i="1"/>
  <c r="T495" i="1"/>
  <c r="U495" i="1"/>
  <c r="V495" i="1"/>
  <c r="W495" i="1"/>
  <c r="AB495" i="1"/>
  <c r="AF495" i="1"/>
  <c r="AC496" i="1"/>
  <c r="AJ495" i="1"/>
  <c r="AK495" i="1"/>
  <c r="AM495" i="1"/>
  <c r="BF495" i="1"/>
  <c r="BG495" i="1"/>
  <c r="T496" i="1"/>
  <c r="U496" i="1"/>
  <c r="V496" i="1"/>
  <c r="W496" i="1"/>
  <c r="AB496" i="1"/>
  <c r="AF496" i="1"/>
  <c r="AC497" i="1"/>
  <c r="AJ496" i="1"/>
  <c r="AK496" i="1"/>
  <c r="AM496" i="1"/>
  <c r="BF496" i="1"/>
  <c r="BG496" i="1"/>
  <c r="T497" i="1"/>
  <c r="U497" i="1"/>
  <c r="V497" i="1"/>
  <c r="W497" i="1"/>
  <c r="AB497" i="1"/>
  <c r="AF497" i="1"/>
  <c r="K498" i="1"/>
  <c r="AC498" i="1"/>
  <c r="AJ497" i="1"/>
  <c r="AK497" i="1"/>
  <c r="AM497" i="1"/>
  <c r="BF497" i="1"/>
  <c r="BG497" i="1"/>
  <c r="T498" i="1"/>
  <c r="U498" i="1"/>
  <c r="V498" i="1"/>
  <c r="W498" i="1"/>
  <c r="AB498" i="1"/>
  <c r="AF498" i="1"/>
  <c r="K499" i="1"/>
  <c r="AC499" i="1"/>
  <c r="AJ498" i="1"/>
  <c r="AK498" i="1"/>
  <c r="AM498" i="1"/>
  <c r="BF498" i="1"/>
  <c r="BG498" i="1"/>
  <c r="T499" i="1"/>
  <c r="U499" i="1"/>
  <c r="V499" i="1"/>
  <c r="W499" i="1"/>
  <c r="AB499" i="1"/>
  <c r="AF499" i="1"/>
  <c r="K500" i="1"/>
  <c r="AC500" i="1"/>
  <c r="AJ499" i="1"/>
  <c r="AK499" i="1"/>
  <c r="AM499" i="1"/>
  <c r="BF499" i="1"/>
  <c r="BG499" i="1"/>
  <c r="T500" i="1"/>
  <c r="U500" i="1"/>
  <c r="V500" i="1"/>
  <c r="W500" i="1"/>
  <c r="AB500" i="1"/>
  <c r="AF500" i="1"/>
  <c r="AC501" i="1"/>
  <c r="AJ500" i="1"/>
  <c r="AK500" i="1"/>
  <c r="AM500" i="1"/>
  <c r="BF500" i="1"/>
  <c r="BG500" i="1"/>
  <c r="T501" i="1"/>
  <c r="U501" i="1"/>
  <c r="V501" i="1"/>
  <c r="W501" i="1"/>
  <c r="AB501" i="1"/>
  <c r="AF501" i="1"/>
  <c r="AC502" i="1"/>
  <c r="AJ501" i="1"/>
  <c r="AK501" i="1"/>
  <c r="AM501" i="1"/>
  <c r="BF501" i="1"/>
  <c r="BG501" i="1"/>
  <c r="T502" i="1"/>
  <c r="U502" i="1"/>
  <c r="V502" i="1"/>
  <c r="W502" i="1"/>
  <c r="AB502" i="1"/>
  <c r="AF502" i="1"/>
  <c r="K503" i="1"/>
  <c r="AC503" i="1"/>
  <c r="AJ502" i="1"/>
  <c r="AK502" i="1"/>
  <c r="AM502" i="1"/>
  <c r="BF502" i="1"/>
  <c r="BG502" i="1"/>
  <c r="T503" i="1"/>
  <c r="U503" i="1"/>
  <c r="V503" i="1"/>
  <c r="W503" i="1"/>
  <c r="AB503" i="1"/>
  <c r="AF503" i="1"/>
  <c r="AC504" i="1"/>
  <c r="AJ503" i="1"/>
  <c r="AK503" i="1"/>
  <c r="AM503" i="1"/>
  <c r="BF503" i="1"/>
  <c r="BG503" i="1"/>
  <c r="T504" i="1"/>
  <c r="U504" i="1"/>
  <c r="V504" i="1"/>
  <c r="W504" i="1"/>
  <c r="AB504" i="1"/>
  <c r="AF504" i="1"/>
  <c r="AC505" i="1"/>
  <c r="AJ504" i="1"/>
  <c r="AK504" i="1"/>
  <c r="AM504" i="1"/>
  <c r="BF504" i="1"/>
  <c r="BG504" i="1"/>
  <c r="T505" i="1"/>
  <c r="U505" i="1"/>
  <c r="V505" i="1"/>
  <c r="W505" i="1"/>
  <c r="AB505" i="1"/>
  <c r="AF505" i="1"/>
  <c r="K506" i="1"/>
  <c r="AC506" i="1"/>
  <c r="AJ505" i="1"/>
  <c r="AK505" i="1"/>
  <c r="AM505" i="1"/>
  <c r="BF505" i="1"/>
  <c r="BG505" i="1"/>
  <c r="T506" i="1"/>
  <c r="U506" i="1"/>
  <c r="V506" i="1"/>
  <c r="W506" i="1"/>
  <c r="AB506" i="1"/>
  <c r="AF506" i="1"/>
  <c r="K507" i="1"/>
  <c r="AC507" i="1"/>
  <c r="AJ506" i="1"/>
  <c r="AK506" i="1"/>
  <c r="AM506" i="1"/>
  <c r="BF506" i="1"/>
  <c r="BG506" i="1"/>
  <c r="T507" i="1"/>
  <c r="U507" i="1"/>
  <c r="V507" i="1"/>
  <c r="W507" i="1"/>
  <c r="AB507" i="1"/>
  <c r="AF507" i="1"/>
  <c r="AC508" i="1"/>
  <c r="AJ507" i="1"/>
  <c r="AK507" i="1"/>
  <c r="AM507" i="1"/>
  <c r="BF507" i="1"/>
  <c r="BG507" i="1"/>
  <c r="T508" i="1"/>
  <c r="U508" i="1"/>
  <c r="V508" i="1"/>
  <c r="W508" i="1"/>
  <c r="AB508" i="1"/>
  <c r="AF508" i="1"/>
  <c r="AC509" i="1"/>
  <c r="AJ508" i="1"/>
  <c r="AK508" i="1"/>
  <c r="AM508" i="1"/>
  <c r="BF508" i="1"/>
  <c r="BG508" i="1"/>
  <c r="T509" i="1"/>
  <c r="U509" i="1"/>
  <c r="V509" i="1"/>
  <c r="W509" i="1"/>
  <c r="AB509" i="1"/>
  <c r="AF509" i="1"/>
  <c r="K510" i="1"/>
  <c r="AC510" i="1"/>
  <c r="AJ509" i="1"/>
  <c r="AK509" i="1"/>
  <c r="AM509" i="1"/>
  <c r="BF509" i="1"/>
  <c r="BG509" i="1"/>
  <c r="T510" i="1"/>
  <c r="U510" i="1"/>
  <c r="V510" i="1"/>
  <c r="W510" i="1"/>
  <c r="AB510" i="1"/>
  <c r="AF510" i="1"/>
  <c r="AC511" i="1"/>
  <c r="AJ510" i="1"/>
  <c r="AK510" i="1"/>
  <c r="AM510" i="1"/>
  <c r="BF510" i="1"/>
  <c r="BG510" i="1"/>
  <c r="T511" i="1"/>
  <c r="U511" i="1"/>
  <c r="V511" i="1"/>
  <c r="W511" i="1"/>
  <c r="AB511" i="1"/>
  <c r="AF511" i="1"/>
  <c r="AC512" i="1"/>
  <c r="AJ511" i="1"/>
  <c r="AK511" i="1"/>
  <c r="AM511" i="1"/>
  <c r="BF511" i="1"/>
  <c r="BG511" i="1"/>
  <c r="T512" i="1"/>
  <c r="U512" i="1"/>
  <c r="V512" i="1"/>
  <c r="W512" i="1"/>
  <c r="AB512" i="1"/>
  <c r="AF512" i="1"/>
  <c r="K513" i="1"/>
  <c r="AC513" i="1"/>
  <c r="AJ512" i="1"/>
  <c r="AK512" i="1"/>
  <c r="AM512" i="1"/>
  <c r="BF512" i="1"/>
  <c r="BG512" i="1"/>
  <c r="T513" i="1"/>
  <c r="U513" i="1"/>
  <c r="V513" i="1"/>
  <c r="W513" i="1"/>
  <c r="AB513" i="1"/>
  <c r="AF513" i="1"/>
  <c r="K514" i="1"/>
  <c r="AC514" i="1"/>
  <c r="AJ513" i="1"/>
  <c r="AK513" i="1"/>
  <c r="AM513" i="1"/>
  <c r="BF513" i="1"/>
  <c r="BG513" i="1"/>
  <c r="T514" i="1"/>
  <c r="U514" i="1"/>
  <c r="V514" i="1"/>
  <c r="W514" i="1"/>
  <c r="AB514" i="1"/>
  <c r="AF514" i="1"/>
  <c r="AC515" i="1"/>
  <c r="AJ514" i="1"/>
  <c r="AK514" i="1"/>
  <c r="AM514" i="1"/>
  <c r="BF514" i="1"/>
  <c r="BG514" i="1"/>
  <c r="T515" i="1"/>
  <c r="U515" i="1"/>
  <c r="V515" i="1"/>
  <c r="W515" i="1"/>
  <c r="AB515" i="1"/>
  <c r="AF515" i="1"/>
  <c r="AC516" i="1"/>
  <c r="AJ515" i="1"/>
  <c r="AK515" i="1"/>
  <c r="AM515" i="1"/>
  <c r="BF515" i="1"/>
  <c r="BG515" i="1"/>
  <c r="T516" i="1"/>
  <c r="U516" i="1"/>
  <c r="V516" i="1"/>
  <c r="W516" i="1"/>
  <c r="AB516" i="1"/>
  <c r="AF516" i="1"/>
  <c r="K517" i="1"/>
  <c r="AC517" i="1"/>
  <c r="AJ516" i="1"/>
  <c r="AK516" i="1"/>
  <c r="AM516" i="1"/>
  <c r="BF516" i="1"/>
  <c r="BG516" i="1"/>
  <c r="T517" i="1"/>
  <c r="U517" i="1"/>
  <c r="V517" i="1"/>
  <c r="W517" i="1"/>
  <c r="AB517" i="1"/>
  <c r="AF517" i="1"/>
  <c r="K518" i="1"/>
  <c r="AC518" i="1"/>
  <c r="AJ517" i="1"/>
  <c r="AK517" i="1"/>
  <c r="AM517" i="1"/>
  <c r="BF517" i="1"/>
  <c r="BG517" i="1"/>
  <c r="T518" i="1"/>
  <c r="U518" i="1"/>
  <c r="V518" i="1"/>
  <c r="W518" i="1"/>
  <c r="AB518" i="1"/>
  <c r="AF518" i="1"/>
  <c r="K519" i="1"/>
  <c r="AC519" i="1"/>
  <c r="AJ518" i="1"/>
  <c r="AK518" i="1"/>
  <c r="AM518" i="1"/>
  <c r="BF518" i="1"/>
  <c r="BG518" i="1"/>
  <c r="T519" i="1"/>
  <c r="U519" i="1"/>
  <c r="V519" i="1"/>
  <c r="W519" i="1"/>
  <c r="AB519" i="1"/>
  <c r="AF519" i="1"/>
  <c r="K520" i="1"/>
  <c r="AC520" i="1"/>
  <c r="AJ519" i="1"/>
  <c r="AK519" i="1"/>
  <c r="AM519" i="1"/>
  <c r="BF519" i="1"/>
  <c r="BG519" i="1"/>
  <c r="T520" i="1"/>
  <c r="U520" i="1"/>
  <c r="V520" i="1"/>
  <c r="W520" i="1"/>
  <c r="AB520" i="1"/>
  <c r="AF520" i="1"/>
  <c r="AC521" i="1"/>
  <c r="AJ520" i="1"/>
  <c r="AK520" i="1"/>
  <c r="AM520" i="1"/>
  <c r="BF520" i="1"/>
  <c r="BG520" i="1"/>
  <c r="T521" i="1"/>
  <c r="U521" i="1"/>
  <c r="V521" i="1"/>
  <c r="W521" i="1"/>
  <c r="AB521" i="1"/>
  <c r="AF521" i="1"/>
  <c r="AC522" i="1"/>
  <c r="AJ521" i="1"/>
  <c r="AK521" i="1"/>
  <c r="AM521" i="1"/>
  <c r="BF521" i="1"/>
  <c r="BG521" i="1"/>
  <c r="T522" i="1"/>
  <c r="U522" i="1"/>
  <c r="V522" i="1"/>
  <c r="W522" i="1"/>
  <c r="AB522" i="1"/>
  <c r="AF522" i="1"/>
  <c r="K523" i="1"/>
  <c r="AC523" i="1"/>
  <c r="AJ522" i="1"/>
  <c r="AK522" i="1"/>
  <c r="AM522" i="1"/>
  <c r="BF522" i="1"/>
  <c r="BG522" i="1"/>
  <c r="T523" i="1"/>
  <c r="U523" i="1"/>
  <c r="V523" i="1"/>
  <c r="W523" i="1"/>
  <c r="AB523" i="1"/>
  <c r="AF523" i="1"/>
  <c r="AC524" i="1"/>
  <c r="AJ523" i="1"/>
  <c r="AK523" i="1"/>
  <c r="AM523" i="1"/>
  <c r="BF523" i="1"/>
  <c r="BG523" i="1"/>
  <c r="T524" i="1"/>
  <c r="U524" i="1"/>
  <c r="V524" i="1"/>
  <c r="W524" i="1"/>
  <c r="AB524" i="1"/>
  <c r="AF524" i="1"/>
  <c r="AC525" i="1"/>
  <c r="AJ524" i="1"/>
  <c r="AK524" i="1"/>
  <c r="AM524" i="1"/>
  <c r="BF524" i="1"/>
  <c r="BG524" i="1"/>
  <c r="T525" i="1"/>
  <c r="U525" i="1"/>
  <c r="V525" i="1"/>
  <c r="W525" i="1"/>
  <c r="AB525" i="1"/>
  <c r="AF525" i="1"/>
  <c r="K526" i="1"/>
  <c r="AC526" i="1"/>
  <c r="AJ525" i="1"/>
  <c r="AK525" i="1"/>
  <c r="AM525" i="1"/>
  <c r="BF525" i="1"/>
  <c r="BG525" i="1"/>
  <c r="T526" i="1"/>
  <c r="U526" i="1"/>
  <c r="V526" i="1"/>
  <c r="W526" i="1"/>
  <c r="AB526" i="1"/>
  <c r="AF526" i="1"/>
  <c r="AC527" i="1"/>
  <c r="AJ526" i="1"/>
  <c r="AK526" i="1"/>
  <c r="AM526" i="1"/>
  <c r="BF526" i="1"/>
  <c r="BG526" i="1"/>
  <c r="T527" i="1"/>
  <c r="U527" i="1"/>
  <c r="V527" i="1"/>
  <c r="W527" i="1"/>
  <c r="AB527" i="1"/>
  <c r="AF527" i="1"/>
  <c r="AC528" i="1"/>
  <c r="AJ527" i="1"/>
  <c r="AK527" i="1"/>
  <c r="AM527" i="1"/>
  <c r="BF527" i="1"/>
  <c r="BG527" i="1"/>
  <c r="T528" i="1"/>
  <c r="U528" i="1"/>
  <c r="V528" i="1"/>
  <c r="W528" i="1"/>
  <c r="AB528" i="1"/>
  <c r="AF528" i="1"/>
  <c r="K529" i="1"/>
  <c r="AC529" i="1"/>
  <c r="AJ528" i="1"/>
  <c r="AK528" i="1"/>
  <c r="AM528" i="1"/>
  <c r="BF528" i="1"/>
  <c r="BG528" i="1"/>
  <c r="T529" i="1"/>
  <c r="U529" i="1"/>
  <c r="V529" i="1"/>
  <c r="W529" i="1"/>
  <c r="AB529" i="1"/>
  <c r="AF529" i="1"/>
  <c r="AC530" i="1"/>
  <c r="AJ529" i="1"/>
  <c r="AK529" i="1"/>
  <c r="AM529" i="1"/>
  <c r="BF529" i="1"/>
  <c r="BG529" i="1"/>
  <c r="T530" i="1"/>
  <c r="U530" i="1"/>
  <c r="V530" i="1"/>
  <c r="W530" i="1"/>
  <c r="AB530" i="1"/>
  <c r="AF530" i="1"/>
  <c r="AC531" i="1"/>
  <c r="AJ530" i="1"/>
  <c r="AK530" i="1"/>
  <c r="AM530" i="1"/>
  <c r="BF530" i="1"/>
  <c r="BG530" i="1"/>
  <c r="T531" i="1"/>
  <c r="U531" i="1"/>
  <c r="V531" i="1"/>
  <c r="W531" i="1"/>
  <c r="AB531" i="1"/>
  <c r="AF531" i="1"/>
  <c r="K532" i="1"/>
  <c r="AC532" i="1"/>
  <c r="AJ531" i="1"/>
  <c r="AK531" i="1"/>
  <c r="AM531" i="1"/>
  <c r="BF531" i="1"/>
  <c r="BG531" i="1"/>
  <c r="T532" i="1"/>
  <c r="U532" i="1"/>
  <c r="V532" i="1"/>
  <c r="W532" i="1"/>
  <c r="AB532" i="1"/>
  <c r="AF532" i="1"/>
  <c r="K533" i="1"/>
  <c r="AC533" i="1"/>
  <c r="AJ532" i="1"/>
  <c r="AK532" i="1"/>
  <c r="AM532" i="1"/>
  <c r="BF532" i="1"/>
  <c r="BG532" i="1"/>
  <c r="T533" i="1"/>
  <c r="U533" i="1"/>
  <c r="V533" i="1"/>
  <c r="W533" i="1"/>
  <c r="AB533" i="1"/>
  <c r="AF533" i="1"/>
  <c r="K534" i="1"/>
  <c r="AC534" i="1"/>
  <c r="AJ533" i="1"/>
  <c r="AK533" i="1"/>
  <c r="AM533" i="1"/>
  <c r="BF533" i="1"/>
  <c r="BG533" i="1"/>
  <c r="T534" i="1"/>
  <c r="U534" i="1"/>
  <c r="V534" i="1"/>
  <c r="W534" i="1"/>
  <c r="AB534" i="1"/>
  <c r="AF534" i="1"/>
  <c r="AC535" i="1"/>
  <c r="AJ534" i="1"/>
  <c r="AK534" i="1"/>
  <c r="AM534" i="1"/>
  <c r="BF534" i="1"/>
  <c r="BG534" i="1"/>
  <c r="T535" i="1"/>
  <c r="U535" i="1"/>
  <c r="V535" i="1"/>
  <c r="W535" i="1"/>
  <c r="AB535" i="1"/>
  <c r="AF535" i="1"/>
  <c r="AC536" i="1"/>
  <c r="AJ535" i="1"/>
  <c r="AK535" i="1"/>
  <c r="AM535" i="1"/>
  <c r="BF535" i="1"/>
  <c r="BG535" i="1"/>
  <c r="T536" i="1"/>
  <c r="U536" i="1"/>
  <c r="V536" i="1"/>
  <c r="W536" i="1"/>
  <c r="AB536" i="1"/>
  <c r="AF536" i="1"/>
  <c r="K537" i="1"/>
  <c r="AC537" i="1"/>
  <c r="AJ536" i="1"/>
  <c r="AK536" i="1"/>
  <c r="AM536" i="1"/>
  <c r="BF536" i="1"/>
  <c r="BG536" i="1"/>
  <c r="T537" i="1"/>
  <c r="U537" i="1"/>
  <c r="V537" i="1"/>
  <c r="W537" i="1"/>
  <c r="AB537" i="1"/>
  <c r="AF537" i="1"/>
  <c r="AC538" i="1"/>
  <c r="AJ537" i="1"/>
  <c r="AK537" i="1"/>
  <c r="AM537" i="1"/>
  <c r="BF537" i="1"/>
  <c r="BG537" i="1"/>
  <c r="T538" i="1"/>
  <c r="U538" i="1"/>
  <c r="V538" i="1"/>
  <c r="W538" i="1"/>
  <c r="AB538" i="1"/>
  <c r="AF538" i="1"/>
  <c r="AC539" i="1"/>
  <c r="AJ538" i="1"/>
  <c r="AK538" i="1"/>
  <c r="AM538" i="1"/>
  <c r="BF538" i="1"/>
  <c r="BG538" i="1"/>
  <c r="T539" i="1"/>
  <c r="U539" i="1"/>
  <c r="V539" i="1"/>
  <c r="W539" i="1"/>
  <c r="AB539" i="1"/>
  <c r="AF539" i="1"/>
  <c r="K540" i="1"/>
  <c r="AC540" i="1"/>
  <c r="AJ539" i="1"/>
  <c r="AK539" i="1"/>
  <c r="AM539" i="1"/>
  <c r="BF539" i="1"/>
  <c r="BG539" i="1"/>
  <c r="T540" i="1"/>
  <c r="U540" i="1"/>
  <c r="V540" i="1"/>
  <c r="W540" i="1"/>
  <c r="AB540" i="1"/>
  <c r="AF540" i="1"/>
  <c r="K541" i="1"/>
  <c r="AC541" i="1"/>
  <c r="AJ540" i="1"/>
  <c r="AK540" i="1"/>
  <c r="AM540" i="1"/>
  <c r="BF540" i="1"/>
  <c r="BG540" i="1"/>
  <c r="T541" i="1"/>
  <c r="U541" i="1"/>
  <c r="V541" i="1"/>
  <c r="W541" i="1"/>
  <c r="AB541" i="1"/>
  <c r="AF541" i="1"/>
  <c r="AC542" i="1"/>
  <c r="AJ541" i="1"/>
  <c r="AK541" i="1"/>
  <c r="AM541" i="1"/>
  <c r="BF541" i="1"/>
  <c r="BG541" i="1"/>
  <c r="T542" i="1"/>
  <c r="U542" i="1"/>
  <c r="V542" i="1"/>
  <c r="W542" i="1"/>
  <c r="AB542" i="1"/>
  <c r="AF542" i="1"/>
  <c r="AC543" i="1"/>
  <c r="AJ542" i="1"/>
  <c r="AK542" i="1"/>
  <c r="AM542" i="1"/>
  <c r="BF542" i="1"/>
  <c r="BG542" i="1"/>
  <c r="T543" i="1"/>
  <c r="U543" i="1"/>
  <c r="V543" i="1"/>
  <c r="W543" i="1"/>
  <c r="AB543" i="1"/>
  <c r="AF543" i="1"/>
  <c r="K544" i="1"/>
  <c r="AC544" i="1"/>
  <c r="AJ543" i="1"/>
  <c r="AK543" i="1"/>
  <c r="AM543" i="1"/>
  <c r="BF543" i="1"/>
  <c r="BG543" i="1"/>
  <c r="T544" i="1"/>
  <c r="U544" i="1"/>
  <c r="V544" i="1"/>
  <c r="W544" i="1"/>
  <c r="AB544" i="1"/>
  <c r="AF544" i="1"/>
  <c r="K545" i="1"/>
  <c r="AC545" i="1"/>
  <c r="AJ544" i="1"/>
  <c r="AK544" i="1"/>
  <c r="AM544" i="1"/>
  <c r="BF544" i="1"/>
  <c r="BG544" i="1"/>
  <c r="T545" i="1"/>
  <c r="U545" i="1"/>
  <c r="V545" i="1"/>
  <c r="W545" i="1"/>
  <c r="AB545" i="1"/>
  <c r="AF545" i="1"/>
  <c r="K546" i="1"/>
  <c r="AC546" i="1"/>
  <c r="AJ545" i="1"/>
  <c r="AK545" i="1"/>
  <c r="AM545" i="1"/>
  <c r="BF545" i="1"/>
  <c r="BG545" i="1"/>
  <c r="T546" i="1"/>
  <c r="U546" i="1"/>
  <c r="V546" i="1"/>
  <c r="W546" i="1"/>
  <c r="AB546" i="1"/>
  <c r="AF546" i="1"/>
  <c r="AC547" i="1"/>
  <c r="AJ546" i="1"/>
  <c r="AK546" i="1"/>
  <c r="AM546" i="1"/>
  <c r="BF546" i="1"/>
  <c r="BG546" i="1"/>
  <c r="T547" i="1"/>
  <c r="U547" i="1"/>
  <c r="V547" i="1"/>
  <c r="W547" i="1"/>
  <c r="AB547" i="1"/>
  <c r="AF547" i="1"/>
  <c r="AC548" i="1"/>
  <c r="AJ547" i="1"/>
  <c r="AK547" i="1"/>
  <c r="AM547" i="1"/>
  <c r="BF547" i="1"/>
  <c r="BG547" i="1"/>
  <c r="T548" i="1"/>
  <c r="U548" i="1"/>
  <c r="V548" i="1"/>
  <c r="W548" i="1"/>
  <c r="AB548" i="1"/>
  <c r="AF548" i="1"/>
  <c r="K549" i="1"/>
  <c r="AC549" i="1"/>
  <c r="AJ548" i="1"/>
  <c r="AK548" i="1"/>
  <c r="AM548" i="1"/>
  <c r="BF548" i="1"/>
  <c r="BG548" i="1"/>
  <c r="T549" i="1"/>
  <c r="U549" i="1"/>
  <c r="V549" i="1"/>
  <c r="W549" i="1"/>
  <c r="AB549" i="1"/>
  <c r="AF549" i="1"/>
  <c r="K550" i="1"/>
  <c r="AC550" i="1"/>
  <c r="AJ549" i="1"/>
  <c r="AK549" i="1"/>
  <c r="AM549" i="1"/>
  <c r="BF549" i="1"/>
  <c r="BG549" i="1"/>
  <c r="T550" i="1"/>
  <c r="U550" i="1"/>
  <c r="V550" i="1"/>
  <c r="W550" i="1"/>
  <c r="AB550" i="1"/>
  <c r="AF550" i="1"/>
  <c r="K551" i="1"/>
  <c r="AC551" i="1"/>
  <c r="AJ550" i="1"/>
  <c r="AK550" i="1"/>
  <c r="AM550" i="1"/>
  <c r="BF550" i="1"/>
  <c r="BG550" i="1"/>
  <c r="T551" i="1"/>
  <c r="U551" i="1"/>
  <c r="V551" i="1"/>
  <c r="W551" i="1"/>
  <c r="AB551" i="1"/>
  <c r="AF551" i="1"/>
  <c r="AC552" i="1"/>
  <c r="AJ551" i="1"/>
  <c r="AK551" i="1"/>
  <c r="AM551" i="1"/>
  <c r="BF551" i="1"/>
  <c r="BG551" i="1"/>
  <c r="T552" i="1"/>
  <c r="U552" i="1"/>
  <c r="V552" i="1"/>
  <c r="W552" i="1"/>
  <c r="AB552" i="1"/>
  <c r="AF552" i="1"/>
  <c r="AC553" i="1"/>
  <c r="AJ552" i="1"/>
  <c r="AK552" i="1"/>
  <c r="AM552" i="1"/>
  <c r="BF552" i="1"/>
  <c r="BG552" i="1"/>
  <c r="T553" i="1"/>
  <c r="U553" i="1"/>
  <c r="V553" i="1"/>
  <c r="W553" i="1"/>
  <c r="AB553" i="1"/>
  <c r="AF553" i="1"/>
  <c r="K554" i="1"/>
  <c r="AC554" i="1"/>
  <c r="AJ553" i="1"/>
  <c r="AK553" i="1"/>
  <c r="AM553" i="1"/>
  <c r="BF553" i="1"/>
  <c r="BG553" i="1"/>
  <c r="T554" i="1"/>
  <c r="U554" i="1"/>
  <c r="V554" i="1"/>
  <c r="W554" i="1"/>
  <c r="AB554" i="1"/>
  <c r="AF554" i="1"/>
  <c r="AC555" i="1"/>
  <c r="AJ554" i="1"/>
  <c r="AK554" i="1"/>
  <c r="AM554" i="1"/>
  <c r="BF554" i="1"/>
  <c r="BG554" i="1"/>
  <c r="T555" i="1"/>
  <c r="U555" i="1"/>
  <c r="V555" i="1"/>
  <c r="W555" i="1"/>
  <c r="AB555" i="1"/>
  <c r="AF555" i="1"/>
  <c r="AC556" i="1"/>
  <c r="AJ555" i="1"/>
  <c r="AK555" i="1"/>
  <c r="AM555" i="1"/>
  <c r="BF555" i="1"/>
  <c r="BG555" i="1"/>
  <c r="T556" i="1"/>
  <c r="U556" i="1"/>
  <c r="V556" i="1"/>
  <c r="W556" i="1"/>
  <c r="AB556" i="1"/>
  <c r="AF556" i="1"/>
  <c r="K557" i="1"/>
  <c r="AC557" i="1"/>
  <c r="AJ556" i="1"/>
  <c r="AK556" i="1"/>
  <c r="AM556" i="1"/>
  <c r="BF556" i="1"/>
  <c r="BG556" i="1"/>
  <c r="T557" i="1"/>
  <c r="U557" i="1"/>
  <c r="V557" i="1"/>
  <c r="W557" i="1"/>
  <c r="AB557" i="1"/>
  <c r="AF557" i="1"/>
  <c r="AC558" i="1"/>
  <c r="AJ557" i="1"/>
  <c r="AK557" i="1"/>
  <c r="AM557" i="1"/>
  <c r="BF557" i="1"/>
  <c r="BG557" i="1"/>
  <c r="T558" i="1"/>
  <c r="U558" i="1"/>
  <c r="V558" i="1"/>
  <c r="W558" i="1"/>
  <c r="AB558" i="1"/>
  <c r="AF558" i="1"/>
  <c r="AC559" i="1"/>
  <c r="AJ558" i="1"/>
  <c r="AK558" i="1"/>
  <c r="AM558" i="1"/>
  <c r="BF558" i="1"/>
  <c r="BG558" i="1"/>
  <c r="T559" i="1"/>
  <c r="U559" i="1"/>
  <c r="V559" i="1"/>
  <c r="W559" i="1"/>
  <c r="AB559" i="1"/>
  <c r="AF559" i="1"/>
  <c r="K560" i="1"/>
  <c r="AC560" i="1"/>
  <c r="AJ559" i="1"/>
  <c r="AK559" i="1"/>
  <c r="AM559" i="1"/>
  <c r="BF559" i="1"/>
  <c r="BG559" i="1"/>
  <c r="T560" i="1"/>
  <c r="U560" i="1"/>
  <c r="V560" i="1"/>
  <c r="W560" i="1"/>
  <c r="AB560" i="1"/>
  <c r="AF560" i="1"/>
  <c r="AC561" i="1"/>
  <c r="AJ560" i="1"/>
  <c r="AK560" i="1"/>
  <c r="AM560" i="1"/>
  <c r="BF560" i="1"/>
  <c r="BG560" i="1"/>
  <c r="T561" i="1"/>
  <c r="U561" i="1"/>
  <c r="V561" i="1"/>
  <c r="W561" i="1"/>
  <c r="AB561" i="1"/>
  <c r="AF561" i="1"/>
  <c r="AC562" i="1"/>
  <c r="AJ561" i="1"/>
  <c r="AK561" i="1"/>
  <c r="AM561" i="1"/>
  <c r="BF561" i="1"/>
  <c r="BG561" i="1"/>
  <c r="T562" i="1"/>
  <c r="U562" i="1"/>
  <c r="V562" i="1"/>
  <c r="W562" i="1"/>
  <c r="AB562" i="1"/>
  <c r="AF562" i="1"/>
  <c r="K563" i="1"/>
  <c r="AC563" i="1"/>
  <c r="AJ562" i="1"/>
  <c r="AK562" i="1"/>
  <c r="AM562" i="1"/>
  <c r="BF562" i="1"/>
  <c r="BG562" i="1"/>
  <c r="T563" i="1"/>
  <c r="U563" i="1"/>
  <c r="V563" i="1"/>
  <c r="W563" i="1"/>
  <c r="AB563" i="1"/>
  <c r="AF563" i="1"/>
  <c r="K564" i="1"/>
  <c r="AC564" i="1"/>
  <c r="AJ563" i="1"/>
  <c r="AK563" i="1"/>
  <c r="AM563" i="1"/>
  <c r="BF563" i="1"/>
  <c r="BG563" i="1"/>
  <c r="T564" i="1"/>
  <c r="U564" i="1"/>
  <c r="V564" i="1"/>
  <c r="W564" i="1"/>
  <c r="AB564" i="1"/>
  <c r="AF564" i="1"/>
  <c r="AC565" i="1"/>
  <c r="AJ564" i="1"/>
  <c r="AK564" i="1"/>
  <c r="AM564" i="1"/>
  <c r="BF564" i="1"/>
  <c r="BG564" i="1"/>
  <c r="T565" i="1"/>
  <c r="U565" i="1"/>
  <c r="V565" i="1"/>
  <c r="W565" i="1"/>
  <c r="AB565" i="1"/>
  <c r="AF565" i="1"/>
  <c r="AC566" i="1"/>
  <c r="AJ565" i="1"/>
  <c r="AK565" i="1"/>
  <c r="AM565" i="1"/>
  <c r="BF565" i="1"/>
  <c r="BG565" i="1"/>
  <c r="T566" i="1"/>
  <c r="U566" i="1"/>
  <c r="V566" i="1"/>
  <c r="W566" i="1"/>
  <c r="AB566" i="1"/>
  <c r="AF566" i="1"/>
  <c r="K567" i="1"/>
  <c r="AC567" i="1"/>
  <c r="AJ566" i="1"/>
  <c r="AK566" i="1"/>
  <c r="AM566" i="1"/>
  <c r="BF566" i="1"/>
  <c r="BG566" i="1"/>
  <c r="T567" i="1"/>
  <c r="U567" i="1"/>
  <c r="V567" i="1"/>
  <c r="W567" i="1"/>
  <c r="AB567" i="1"/>
  <c r="AF567" i="1"/>
  <c r="AC568" i="1"/>
  <c r="AJ567" i="1"/>
  <c r="AK567" i="1"/>
  <c r="AM567" i="1"/>
  <c r="BF567" i="1"/>
  <c r="BG567" i="1"/>
  <c r="T568" i="1"/>
  <c r="U568" i="1"/>
  <c r="V568" i="1"/>
  <c r="W568" i="1"/>
  <c r="AB568" i="1"/>
  <c r="AF568" i="1"/>
  <c r="AC569" i="1"/>
  <c r="AJ568" i="1"/>
  <c r="AK568" i="1"/>
  <c r="AM568" i="1"/>
  <c r="BF568" i="1"/>
  <c r="BG568" i="1"/>
  <c r="T569" i="1"/>
  <c r="U569" i="1"/>
  <c r="V569" i="1"/>
  <c r="W569" i="1"/>
  <c r="AB569" i="1"/>
  <c r="AF569" i="1"/>
  <c r="K570" i="1"/>
  <c r="AC570" i="1"/>
  <c r="AJ569" i="1"/>
  <c r="AK569" i="1"/>
  <c r="AM569" i="1"/>
  <c r="BF569" i="1"/>
  <c r="BG569" i="1"/>
  <c r="T570" i="1"/>
  <c r="U570" i="1"/>
  <c r="V570" i="1"/>
  <c r="W570" i="1"/>
  <c r="AB570" i="1"/>
  <c r="AF570" i="1"/>
  <c r="K571" i="1"/>
  <c r="AC571" i="1"/>
  <c r="AJ570" i="1"/>
  <c r="AK570" i="1"/>
  <c r="AM570" i="1"/>
  <c r="BF570" i="1"/>
  <c r="BG570" i="1"/>
  <c r="T571" i="1"/>
  <c r="U571" i="1"/>
  <c r="V571" i="1"/>
  <c r="W571" i="1"/>
  <c r="AB571" i="1"/>
  <c r="AF571" i="1"/>
  <c r="AC572" i="1"/>
  <c r="AJ571" i="1"/>
  <c r="AK571" i="1"/>
  <c r="AM571" i="1"/>
  <c r="BF571" i="1"/>
  <c r="BG571" i="1"/>
  <c r="T572" i="1"/>
  <c r="U572" i="1"/>
  <c r="V572" i="1"/>
  <c r="W572" i="1"/>
  <c r="AB572" i="1"/>
  <c r="AF572" i="1"/>
  <c r="AC573" i="1"/>
  <c r="AJ572" i="1"/>
  <c r="AK572" i="1"/>
  <c r="AM572" i="1"/>
  <c r="BF572" i="1"/>
  <c r="BG572" i="1"/>
  <c r="T573" i="1"/>
  <c r="U573" i="1"/>
  <c r="V573" i="1"/>
  <c r="W573" i="1"/>
  <c r="AB573" i="1"/>
  <c r="AF573" i="1"/>
  <c r="K574" i="1"/>
  <c r="AC574" i="1"/>
  <c r="AJ573" i="1"/>
  <c r="AK573" i="1"/>
  <c r="AM573" i="1"/>
  <c r="BF573" i="1"/>
  <c r="BG573" i="1"/>
  <c r="T574" i="1"/>
  <c r="U574" i="1"/>
  <c r="V574" i="1"/>
  <c r="W574" i="1"/>
  <c r="AB574" i="1"/>
  <c r="AF574" i="1"/>
  <c r="AC575" i="1"/>
  <c r="AJ574" i="1"/>
  <c r="AK574" i="1"/>
  <c r="AM574" i="1"/>
  <c r="BF574" i="1"/>
  <c r="BG574" i="1"/>
  <c r="T575" i="1"/>
  <c r="U575" i="1"/>
  <c r="V575" i="1"/>
  <c r="W575" i="1"/>
  <c r="AB575" i="1"/>
  <c r="AF575" i="1"/>
  <c r="AC576" i="1"/>
  <c r="AJ575" i="1"/>
  <c r="AK575" i="1"/>
  <c r="AM575" i="1"/>
  <c r="BF575" i="1"/>
  <c r="BG575" i="1"/>
  <c r="T576" i="1"/>
  <c r="U576" i="1"/>
  <c r="V576" i="1"/>
  <c r="W576" i="1"/>
  <c r="AB576" i="1"/>
  <c r="AF576" i="1"/>
  <c r="K577" i="1"/>
  <c r="AC577" i="1"/>
  <c r="AJ576" i="1"/>
  <c r="AK576" i="1"/>
  <c r="AM576" i="1"/>
  <c r="BF576" i="1"/>
  <c r="BG576" i="1"/>
  <c r="T577" i="1"/>
  <c r="U577" i="1"/>
  <c r="V577" i="1"/>
  <c r="W577" i="1"/>
  <c r="AB577" i="1"/>
  <c r="AF577" i="1"/>
  <c r="K578" i="1"/>
  <c r="AC578" i="1"/>
  <c r="AJ577" i="1"/>
  <c r="AK577" i="1"/>
  <c r="AM577" i="1"/>
  <c r="BF577" i="1"/>
  <c r="BG577" i="1"/>
  <c r="T578" i="1"/>
  <c r="U578" i="1"/>
  <c r="V578" i="1"/>
  <c r="W578" i="1"/>
  <c r="AB578" i="1"/>
  <c r="AF578" i="1"/>
  <c r="AC579" i="1"/>
  <c r="AJ578" i="1"/>
  <c r="AK578" i="1"/>
  <c r="AM578" i="1"/>
  <c r="BF578" i="1"/>
  <c r="BG578" i="1"/>
  <c r="T579" i="1"/>
  <c r="U579" i="1"/>
  <c r="V579" i="1"/>
  <c r="W579" i="1"/>
  <c r="AB579" i="1"/>
  <c r="AF579" i="1"/>
  <c r="AC580" i="1"/>
  <c r="AJ579" i="1"/>
  <c r="AK579" i="1"/>
  <c r="AM579" i="1"/>
  <c r="BF579" i="1"/>
  <c r="BG579" i="1"/>
  <c r="T580" i="1"/>
  <c r="U580" i="1"/>
  <c r="V580" i="1"/>
  <c r="W580" i="1"/>
  <c r="AB580" i="1"/>
  <c r="AF580" i="1"/>
  <c r="K581" i="1"/>
  <c r="AC581" i="1"/>
  <c r="AJ580" i="1"/>
  <c r="AK580" i="1"/>
  <c r="AM580" i="1"/>
  <c r="BF580" i="1"/>
  <c r="BG580" i="1"/>
  <c r="T581" i="1"/>
  <c r="U581" i="1"/>
  <c r="V581" i="1"/>
  <c r="W581" i="1"/>
  <c r="AB581" i="1"/>
  <c r="AF581" i="1"/>
  <c r="K582" i="1"/>
  <c r="AC582" i="1"/>
  <c r="AJ581" i="1"/>
  <c r="AK581" i="1"/>
  <c r="AM581" i="1"/>
  <c r="BF581" i="1"/>
  <c r="BG581" i="1"/>
  <c r="T582" i="1"/>
  <c r="U582" i="1"/>
  <c r="V582" i="1"/>
  <c r="W582" i="1"/>
  <c r="AB582" i="1"/>
  <c r="AF582" i="1"/>
  <c r="K583" i="1"/>
  <c r="AC583" i="1"/>
  <c r="AJ582" i="1"/>
  <c r="AK582" i="1"/>
  <c r="AM582" i="1"/>
  <c r="BF582" i="1"/>
  <c r="BG582" i="1"/>
  <c r="T583" i="1"/>
  <c r="U583" i="1"/>
  <c r="V583" i="1"/>
  <c r="W583" i="1"/>
  <c r="AB583" i="1"/>
  <c r="AF583" i="1"/>
  <c r="K584" i="1"/>
  <c r="AC584" i="1"/>
  <c r="AJ583" i="1"/>
  <c r="AK583" i="1"/>
  <c r="AM583" i="1"/>
  <c r="BF583" i="1"/>
  <c r="BG583" i="1"/>
  <c r="T584" i="1"/>
  <c r="U584" i="1"/>
  <c r="V584" i="1"/>
  <c r="W584" i="1"/>
  <c r="AB584" i="1"/>
  <c r="AF584" i="1"/>
  <c r="AC585" i="1"/>
  <c r="AJ584" i="1"/>
  <c r="AK584" i="1"/>
  <c r="AM584" i="1"/>
  <c r="BF584" i="1"/>
  <c r="BG584" i="1"/>
  <c r="T585" i="1"/>
  <c r="U585" i="1"/>
  <c r="V585" i="1"/>
  <c r="W585" i="1"/>
  <c r="AB585" i="1"/>
  <c r="AF585" i="1"/>
  <c r="AC586" i="1"/>
  <c r="AJ585" i="1"/>
  <c r="AK585" i="1"/>
  <c r="AM585" i="1"/>
  <c r="BF585" i="1"/>
  <c r="BG585" i="1"/>
  <c r="T586" i="1"/>
  <c r="U586" i="1"/>
  <c r="V586" i="1"/>
  <c r="W586" i="1"/>
  <c r="AB586" i="1"/>
  <c r="AF586" i="1"/>
  <c r="K587" i="1"/>
  <c r="AC587" i="1"/>
  <c r="AJ586" i="1"/>
  <c r="AK586" i="1"/>
  <c r="AM586" i="1"/>
  <c r="BF586" i="1"/>
  <c r="BG586" i="1"/>
  <c r="T587" i="1"/>
  <c r="U587" i="1"/>
  <c r="V587" i="1"/>
  <c r="W587" i="1"/>
  <c r="AB587" i="1"/>
  <c r="AF587" i="1"/>
  <c r="AC588" i="1"/>
  <c r="AJ587" i="1"/>
  <c r="AK587" i="1"/>
  <c r="AM587" i="1"/>
  <c r="BF587" i="1"/>
  <c r="BG587" i="1"/>
  <c r="T588" i="1"/>
  <c r="U588" i="1"/>
  <c r="V588" i="1"/>
  <c r="W588" i="1"/>
  <c r="AB588" i="1"/>
  <c r="AF588" i="1"/>
  <c r="AC589" i="1"/>
  <c r="AJ588" i="1"/>
  <c r="AK588" i="1"/>
  <c r="AM588" i="1"/>
  <c r="BF588" i="1"/>
  <c r="BG588" i="1"/>
  <c r="T589" i="1"/>
  <c r="U589" i="1"/>
  <c r="V589" i="1"/>
  <c r="W589" i="1"/>
  <c r="AB589" i="1"/>
  <c r="AF589" i="1"/>
  <c r="K590" i="1"/>
  <c r="AC590" i="1"/>
  <c r="AJ589" i="1"/>
  <c r="AK589" i="1"/>
  <c r="AM589" i="1"/>
  <c r="BF589" i="1"/>
  <c r="BG589" i="1"/>
  <c r="T590" i="1"/>
  <c r="U590" i="1"/>
  <c r="V590" i="1"/>
  <c r="W590" i="1"/>
  <c r="AB590" i="1"/>
  <c r="AF590" i="1"/>
  <c r="K591" i="1"/>
  <c r="AC591" i="1"/>
  <c r="AJ590" i="1"/>
  <c r="AK590" i="1"/>
  <c r="AM590" i="1"/>
  <c r="BF590" i="1"/>
  <c r="BG590" i="1"/>
  <c r="T591" i="1"/>
  <c r="U591" i="1"/>
  <c r="V591" i="1"/>
  <c r="W591" i="1"/>
  <c r="AB591" i="1"/>
  <c r="AF591" i="1"/>
  <c r="AC592" i="1"/>
  <c r="AJ591" i="1"/>
  <c r="AK591" i="1"/>
  <c r="AM591" i="1"/>
  <c r="BF591" i="1"/>
  <c r="BG591" i="1"/>
  <c r="T592" i="1"/>
  <c r="U592" i="1"/>
  <c r="V592" i="1"/>
  <c r="W592" i="1"/>
  <c r="AB592" i="1"/>
  <c r="AF592" i="1"/>
  <c r="AC593" i="1"/>
  <c r="AJ592" i="1"/>
  <c r="AK592" i="1"/>
  <c r="AM592" i="1"/>
  <c r="BF592" i="1"/>
  <c r="BG592" i="1"/>
  <c r="T593" i="1"/>
  <c r="U593" i="1"/>
  <c r="V593" i="1"/>
  <c r="W593" i="1"/>
  <c r="AB593" i="1"/>
  <c r="AF593" i="1"/>
  <c r="AC594" i="1"/>
  <c r="AJ593" i="1"/>
  <c r="AK593" i="1"/>
  <c r="AM593" i="1"/>
  <c r="BF593" i="1"/>
  <c r="BG593" i="1"/>
  <c r="T594" i="1"/>
  <c r="U594" i="1"/>
  <c r="V594" i="1"/>
  <c r="W594" i="1"/>
  <c r="AB594" i="1"/>
  <c r="AF594" i="1"/>
  <c r="K595" i="1"/>
  <c r="AC595" i="1"/>
  <c r="AJ594" i="1"/>
  <c r="AK594" i="1"/>
  <c r="AM594" i="1"/>
  <c r="BF594" i="1"/>
  <c r="BG594" i="1"/>
  <c r="T595" i="1"/>
  <c r="U595" i="1"/>
  <c r="V595" i="1"/>
  <c r="W595" i="1"/>
  <c r="AB595" i="1"/>
  <c r="AF595" i="1"/>
  <c r="K596" i="1"/>
  <c r="AC596" i="1"/>
  <c r="AJ595" i="1"/>
  <c r="AK595" i="1"/>
  <c r="AM595" i="1"/>
  <c r="BF595" i="1"/>
  <c r="BG595" i="1"/>
  <c r="T596" i="1"/>
  <c r="U596" i="1"/>
  <c r="V596" i="1"/>
  <c r="W596" i="1"/>
  <c r="AB596" i="1"/>
  <c r="AF596" i="1"/>
  <c r="AC597" i="1"/>
  <c r="AJ596" i="1"/>
  <c r="AK596" i="1"/>
  <c r="AM596" i="1"/>
  <c r="BF596" i="1"/>
  <c r="BG596" i="1"/>
  <c r="T597" i="1"/>
  <c r="U597" i="1"/>
  <c r="V597" i="1"/>
  <c r="W597" i="1"/>
  <c r="AB597" i="1"/>
  <c r="AF597" i="1"/>
  <c r="AC598" i="1"/>
  <c r="AJ597" i="1"/>
  <c r="AK597" i="1"/>
  <c r="AM597" i="1"/>
  <c r="BF597" i="1"/>
  <c r="BG597" i="1"/>
  <c r="T598" i="1"/>
  <c r="U598" i="1"/>
  <c r="V598" i="1"/>
  <c r="W598" i="1"/>
  <c r="AB598" i="1"/>
  <c r="AF598" i="1"/>
  <c r="K599" i="1"/>
  <c r="AC599" i="1"/>
  <c r="AJ598" i="1"/>
  <c r="AK598" i="1"/>
  <c r="AM598" i="1"/>
  <c r="BF598" i="1"/>
  <c r="BG598" i="1"/>
  <c r="T599" i="1"/>
  <c r="U599" i="1"/>
  <c r="V599" i="1"/>
  <c r="W599" i="1"/>
  <c r="AB599" i="1"/>
  <c r="AF599" i="1"/>
  <c r="AC600" i="1"/>
  <c r="AJ599" i="1"/>
  <c r="AK599" i="1"/>
  <c r="AM599" i="1"/>
  <c r="BF599" i="1"/>
  <c r="BG599" i="1"/>
  <c r="T600" i="1"/>
  <c r="U600" i="1"/>
  <c r="V600" i="1"/>
  <c r="W600" i="1"/>
  <c r="AB600" i="1"/>
  <c r="AF600" i="1"/>
  <c r="AC601" i="1"/>
  <c r="AJ600" i="1"/>
  <c r="AK600" i="1"/>
  <c r="AM600" i="1"/>
  <c r="BF600" i="1"/>
  <c r="BG600" i="1"/>
  <c r="T601" i="1"/>
  <c r="U601" i="1"/>
  <c r="V601" i="1"/>
  <c r="W601" i="1"/>
  <c r="AB601" i="1"/>
  <c r="AF601" i="1"/>
  <c r="K602" i="1"/>
  <c r="AC602" i="1"/>
  <c r="AJ601" i="1"/>
  <c r="AK601" i="1"/>
  <c r="AM601" i="1"/>
  <c r="BF601" i="1"/>
  <c r="BG601" i="1"/>
  <c r="T602" i="1"/>
  <c r="U602" i="1"/>
  <c r="V602" i="1"/>
  <c r="W602" i="1"/>
  <c r="AB602" i="1"/>
  <c r="AF602" i="1"/>
  <c r="AC603" i="1"/>
  <c r="AJ602" i="1"/>
  <c r="AK602" i="1"/>
  <c r="AM602" i="1"/>
  <c r="BF602" i="1"/>
  <c r="BG602" i="1"/>
  <c r="T603" i="1"/>
  <c r="U603" i="1"/>
  <c r="V603" i="1"/>
  <c r="W603" i="1"/>
  <c r="AB603" i="1"/>
  <c r="AF603" i="1"/>
  <c r="AC604" i="1"/>
  <c r="AJ603" i="1"/>
  <c r="AK603" i="1"/>
  <c r="AM603" i="1"/>
  <c r="BF603" i="1"/>
  <c r="BG603" i="1"/>
  <c r="T604" i="1"/>
  <c r="U604" i="1"/>
  <c r="V604" i="1"/>
  <c r="W604" i="1"/>
  <c r="AB604" i="1"/>
  <c r="AF604" i="1"/>
  <c r="K605" i="1"/>
  <c r="AC605" i="1"/>
  <c r="AJ604" i="1"/>
  <c r="AK604" i="1"/>
  <c r="AM604" i="1"/>
  <c r="BF604" i="1"/>
  <c r="BG604" i="1"/>
  <c r="T605" i="1"/>
  <c r="U605" i="1"/>
  <c r="V605" i="1"/>
  <c r="W605" i="1"/>
  <c r="AB605" i="1"/>
  <c r="AF605" i="1"/>
  <c r="AC606" i="1"/>
  <c r="AJ605" i="1"/>
  <c r="AK605" i="1"/>
  <c r="AM605" i="1"/>
  <c r="BF605" i="1"/>
  <c r="BG605" i="1"/>
  <c r="T606" i="1"/>
  <c r="U606" i="1"/>
  <c r="V606" i="1"/>
  <c r="W606" i="1"/>
  <c r="AB606" i="1"/>
  <c r="AF606" i="1"/>
  <c r="AC607" i="1"/>
  <c r="AJ606" i="1"/>
  <c r="AK606" i="1"/>
  <c r="AM606" i="1"/>
  <c r="BF606" i="1"/>
  <c r="BG606" i="1"/>
  <c r="T607" i="1"/>
  <c r="U607" i="1"/>
  <c r="V607" i="1"/>
  <c r="W607" i="1"/>
  <c r="AB607" i="1"/>
  <c r="AF607" i="1"/>
  <c r="K608" i="1"/>
  <c r="AC608" i="1"/>
  <c r="AJ607" i="1"/>
  <c r="AK607" i="1"/>
  <c r="AM607" i="1"/>
  <c r="BF607" i="1"/>
  <c r="BG607" i="1"/>
  <c r="T608" i="1"/>
  <c r="U608" i="1"/>
  <c r="V608" i="1"/>
  <c r="W608" i="1"/>
  <c r="AB608" i="1"/>
  <c r="AF608" i="1"/>
  <c r="K609" i="1"/>
  <c r="AC609" i="1"/>
  <c r="AJ608" i="1"/>
  <c r="AK608" i="1"/>
  <c r="AM608" i="1"/>
  <c r="BF608" i="1"/>
  <c r="BG608" i="1"/>
  <c r="T609" i="1"/>
  <c r="U609" i="1"/>
  <c r="V609" i="1"/>
  <c r="W609" i="1"/>
  <c r="AB609" i="1"/>
  <c r="AF609" i="1"/>
  <c r="K610" i="1"/>
  <c r="AC610" i="1"/>
  <c r="AJ609" i="1"/>
  <c r="AK609" i="1"/>
  <c r="AM609" i="1"/>
  <c r="BF609" i="1"/>
  <c r="BG609" i="1"/>
  <c r="T610" i="1"/>
  <c r="U610" i="1"/>
  <c r="V610" i="1"/>
  <c r="W610" i="1"/>
  <c r="AB610" i="1"/>
  <c r="AF610" i="1"/>
  <c r="K611" i="1"/>
  <c r="AC611" i="1"/>
  <c r="AJ610" i="1"/>
  <c r="AK610" i="1"/>
  <c r="AM610" i="1"/>
  <c r="BF610" i="1"/>
  <c r="BG610" i="1"/>
  <c r="T611" i="1"/>
  <c r="U611" i="1"/>
  <c r="V611" i="1"/>
  <c r="W611" i="1"/>
  <c r="AB611" i="1"/>
  <c r="AF611" i="1"/>
  <c r="K612" i="1"/>
  <c r="AC612" i="1"/>
  <c r="AJ611" i="1"/>
  <c r="AK611" i="1"/>
  <c r="AM611" i="1"/>
  <c r="BF611" i="1"/>
  <c r="BG611" i="1"/>
  <c r="T612" i="1"/>
  <c r="U612" i="1"/>
  <c r="V612" i="1"/>
  <c r="W612" i="1"/>
  <c r="AB612" i="1"/>
  <c r="AF612" i="1"/>
  <c r="AC613" i="1"/>
  <c r="AJ612" i="1"/>
  <c r="AK612" i="1"/>
  <c r="AM612" i="1"/>
  <c r="BF612" i="1"/>
  <c r="BG612" i="1"/>
  <c r="T613" i="1"/>
  <c r="U613" i="1"/>
  <c r="V613" i="1"/>
  <c r="W613" i="1"/>
  <c r="AB613" i="1"/>
  <c r="AF613" i="1"/>
  <c r="AC614" i="1"/>
  <c r="AJ613" i="1"/>
  <c r="AK613" i="1"/>
  <c r="AM613" i="1"/>
  <c r="BF613" i="1"/>
  <c r="BG613" i="1"/>
  <c r="T614" i="1"/>
  <c r="U614" i="1"/>
  <c r="V614" i="1"/>
  <c r="W614" i="1"/>
  <c r="AB614" i="1"/>
  <c r="AF614" i="1"/>
  <c r="K615" i="1"/>
  <c r="AC615" i="1"/>
  <c r="AJ614" i="1"/>
  <c r="AK614" i="1"/>
  <c r="AM614" i="1"/>
  <c r="BF614" i="1"/>
  <c r="BG614" i="1"/>
  <c r="T615" i="1"/>
  <c r="U615" i="1"/>
  <c r="V615" i="1"/>
  <c r="W615" i="1"/>
  <c r="AB615" i="1"/>
  <c r="AF615" i="1"/>
  <c r="AC616" i="1"/>
  <c r="AJ615" i="1"/>
  <c r="AK615" i="1"/>
  <c r="AM615" i="1"/>
  <c r="BF615" i="1"/>
  <c r="BG615" i="1"/>
  <c r="T616" i="1"/>
  <c r="U616" i="1"/>
  <c r="V616" i="1"/>
  <c r="W616" i="1"/>
  <c r="AB616" i="1"/>
  <c r="AF616" i="1"/>
  <c r="AC617" i="1"/>
  <c r="AJ616" i="1"/>
  <c r="AK616" i="1"/>
  <c r="AM616" i="1"/>
  <c r="BF616" i="1"/>
  <c r="BG616" i="1"/>
  <c r="T617" i="1"/>
  <c r="U617" i="1"/>
  <c r="V617" i="1"/>
  <c r="W617" i="1"/>
  <c r="AB617" i="1"/>
  <c r="AF617" i="1"/>
  <c r="K618" i="1"/>
  <c r="AC618" i="1"/>
  <c r="AJ617" i="1"/>
  <c r="AK617" i="1"/>
  <c r="AM617" i="1"/>
  <c r="BF617" i="1"/>
  <c r="BG617" i="1"/>
  <c r="T618" i="1"/>
  <c r="U618" i="1"/>
  <c r="V618" i="1"/>
  <c r="W618" i="1"/>
  <c r="AB618" i="1"/>
  <c r="AF618" i="1"/>
  <c r="AC619" i="1"/>
  <c r="AJ618" i="1"/>
  <c r="AK618" i="1"/>
  <c r="AM618" i="1"/>
  <c r="BF618" i="1"/>
  <c r="BG618" i="1"/>
  <c r="T619" i="1"/>
  <c r="U619" i="1"/>
  <c r="V619" i="1"/>
  <c r="W619" i="1"/>
  <c r="AB619" i="1"/>
  <c r="AF619" i="1"/>
  <c r="AC620" i="1"/>
  <c r="AJ619" i="1"/>
  <c r="AK619" i="1"/>
  <c r="AM619" i="1"/>
  <c r="BF619" i="1"/>
  <c r="BG619" i="1"/>
  <c r="T620" i="1"/>
  <c r="U620" i="1"/>
  <c r="V620" i="1"/>
  <c r="W620" i="1"/>
  <c r="AB620" i="1"/>
  <c r="AF620" i="1"/>
  <c r="K621" i="1"/>
  <c r="AC621" i="1"/>
  <c r="AJ620" i="1"/>
  <c r="AK620" i="1"/>
  <c r="AM620" i="1"/>
  <c r="BF620" i="1"/>
  <c r="BG620" i="1"/>
  <c r="T621" i="1"/>
  <c r="U621" i="1"/>
  <c r="V621" i="1"/>
  <c r="W621" i="1"/>
  <c r="AB621" i="1"/>
  <c r="AF621" i="1"/>
  <c r="K622" i="1"/>
  <c r="AC622" i="1"/>
  <c r="AJ621" i="1"/>
  <c r="AK621" i="1"/>
  <c r="AM621" i="1"/>
  <c r="BF621" i="1"/>
  <c r="BG621" i="1"/>
  <c r="T622" i="1"/>
  <c r="U622" i="1"/>
  <c r="V622" i="1"/>
  <c r="W622" i="1"/>
  <c r="AB622" i="1"/>
  <c r="AF622" i="1"/>
  <c r="AC623" i="1"/>
  <c r="AJ622" i="1"/>
  <c r="AK622" i="1"/>
  <c r="AM622" i="1"/>
  <c r="BF622" i="1"/>
  <c r="BG622" i="1"/>
  <c r="T623" i="1"/>
  <c r="U623" i="1"/>
  <c r="V623" i="1"/>
  <c r="W623" i="1"/>
  <c r="AB623" i="1"/>
  <c r="AF623" i="1"/>
  <c r="AC624" i="1"/>
  <c r="AJ623" i="1"/>
  <c r="AK623" i="1"/>
  <c r="AM623" i="1"/>
  <c r="BF623" i="1"/>
  <c r="BG623" i="1"/>
  <c r="T624" i="1"/>
  <c r="U624" i="1"/>
  <c r="V624" i="1"/>
  <c r="W624" i="1"/>
  <c r="AB624" i="1"/>
  <c r="AF624" i="1"/>
  <c r="K625" i="1"/>
  <c r="AC625" i="1"/>
  <c r="AJ624" i="1"/>
  <c r="AK624" i="1"/>
  <c r="AM624" i="1"/>
  <c r="BF624" i="1"/>
  <c r="BG624" i="1"/>
  <c r="T625" i="1"/>
  <c r="U625" i="1"/>
  <c r="V625" i="1"/>
  <c r="W625" i="1"/>
  <c r="AB625" i="1"/>
  <c r="AF625" i="1"/>
  <c r="K626" i="1"/>
  <c r="AC626" i="1"/>
  <c r="AJ625" i="1"/>
  <c r="AK625" i="1"/>
  <c r="AM625" i="1"/>
  <c r="BF625" i="1"/>
  <c r="BG625" i="1"/>
  <c r="T626" i="1"/>
  <c r="U626" i="1"/>
  <c r="V626" i="1"/>
  <c r="W626" i="1"/>
  <c r="AB626" i="1"/>
  <c r="AF626" i="1"/>
  <c r="K627" i="1"/>
  <c r="AC627" i="1"/>
  <c r="AJ626" i="1"/>
  <c r="AK626" i="1"/>
  <c r="AM626" i="1"/>
  <c r="BF626" i="1"/>
  <c r="BG626" i="1"/>
  <c r="T627" i="1"/>
  <c r="U627" i="1"/>
  <c r="V627" i="1"/>
  <c r="W627" i="1"/>
  <c r="AB627" i="1"/>
  <c r="AF627" i="1"/>
  <c r="K628" i="1"/>
  <c r="AC628" i="1"/>
  <c r="AJ627" i="1"/>
  <c r="AK627" i="1"/>
  <c r="AM627" i="1"/>
  <c r="BF627" i="1"/>
  <c r="BG627" i="1"/>
  <c r="T628" i="1"/>
  <c r="U628" i="1"/>
  <c r="V628" i="1"/>
  <c r="W628" i="1"/>
  <c r="AB628" i="1"/>
  <c r="AF628" i="1"/>
  <c r="K629" i="1"/>
  <c r="AC629" i="1"/>
  <c r="AJ628" i="1"/>
  <c r="AK628" i="1"/>
  <c r="AM628" i="1"/>
  <c r="BF628" i="1"/>
  <c r="BG628" i="1"/>
  <c r="T629" i="1"/>
  <c r="U629" i="1"/>
  <c r="V629" i="1"/>
  <c r="W629" i="1"/>
  <c r="AB629" i="1"/>
  <c r="AF629" i="1"/>
  <c r="K630" i="1"/>
  <c r="AC630" i="1"/>
  <c r="AJ629" i="1"/>
  <c r="AK629" i="1"/>
  <c r="AM629" i="1"/>
  <c r="BF629" i="1"/>
  <c r="BG629" i="1"/>
  <c r="T630" i="1"/>
  <c r="U630" i="1"/>
  <c r="V630" i="1"/>
  <c r="W630" i="1"/>
  <c r="AB630" i="1"/>
  <c r="AF630" i="1"/>
  <c r="AC631" i="1"/>
  <c r="AJ630" i="1"/>
  <c r="AK630" i="1"/>
  <c r="AM630" i="1"/>
  <c r="BF630" i="1"/>
  <c r="BG630" i="1"/>
  <c r="T631" i="1"/>
  <c r="U631" i="1"/>
  <c r="V631" i="1"/>
  <c r="W631" i="1"/>
  <c r="AB631" i="1"/>
  <c r="AF631" i="1"/>
  <c r="AC632" i="1"/>
  <c r="AJ631" i="1"/>
  <c r="AK631" i="1"/>
  <c r="AM631" i="1"/>
  <c r="BF631" i="1"/>
  <c r="BG631" i="1"/>
  <c r="T632" i="1"/>
  <c r="U632" i="1"/>
  <c r="V632" i="1"/>
  <c r="W632" i="1"/>
  <c r="AB632" i="1"/>
  <c r="AF632" i="1"/>
  <c r="K633" i="1"/>
  <c r="AC633" i="1"/>
  <c r="AJ632" i="1"/>
  <c r="AK632" i="1"/>
  <c r="AM632" i="1"/>
  <c r="BF632" i="1"/>
  <c r="BG632" i="1"/>
  <c r="T633" i="1"/>
  <c r="U633" i="1"/>
  <c r="V633" i="1"/>
  <c r="W633" i="1"/>
  <c r="AB633" i="1"/>
  <c r="AF633" i="1"/>
  <c r="AC634" i="1"/>
  <c r="AJ633" i="1"/>
  <c r="AK633" i="1"/>
  <c r="AM633" i="1"/>
  <c r="BF633" i="1"/>
  <c r="BG633" i="1"/>
  <c r="T634" i="1"/>
  <c r="U634" i="1"/>
  <c r="V634" i="1"/>
  <c r="W634" i="1"/>
  <c r="AB634" i="1"/>
  <c r="AF634" i="1"/>
  <c r="AC635" i="1"/>
  <c r="AJ634" i="1"/>
  <c r="AK634" i="1"/>
  <c r="AM634" i="1"/>
  <c r="BF634" i="1"/>
  <c r="BG634" i="1"/>
  <c r="T635" i="1"/>
  <c r="U635" i="1"/>
  <c r="V635" i="1"/>
  <c r="W635" i="1"/>
  <c r="AB635" i="1"/>
  <c r="AF635" i="1"/>
  <c r="K636" i="1"/>
  <c r="AC636" i="1"/>
  <c r="AJ635" i="1"/>
  <c r="AK635" i="1"/>
  <c r="AM635" i="1"/>
  <c r="BF635" i="1"/>
  <c r="BG635" i="1"/>
  <c r="T636" i="1"/>
  <c r="U636" i="1"/>
  <c r="V636" i="1"/>
  <c r="W636" i="1"/>
  <c r="AB636" i="1"/>
  <c r="AF636" i="1"/>
  <c r="AC637" i="1"/>
  <c r="AJ636" i="1"/>
  <c r="AK636" i="1"/>
  <c r="AM636" i="1"/>
  <c r="BF636" i="1"/>
  <c r="BG636" i="1"/>
  <c r="T637" i="1"/>
  <c r="U637" i="1"/>
  <c r="V637" i="1"/>
  <c r="W637" i="1"/>
  <c r="AB637" i="1"/>
  <c r="AF637" i="1"/>
  <c r="AC638" i="1"/>
  <c r="AJ637" i="1"/>
  <c r="AK637" i="1"/>
  <c r="AM637" i="1"/>
  <c r="BF637" i="1"/>
  <c r="BG637" i="1"/>
  <c r="T638" i="1"/>
  <c r="U638" i="1"/>
  <c r="V638" i="1"/>
  <c r="W638" i="1"/>
  <c r="AB638" i="1"/>
  <c r="AF638" i="1"/>
  <c r="K639" i="1"/>
  <c r="AC639" i="1"/>
  <c r="AJ638" i="1"/>
  <c r="AK638" i="1"/>
  <c r="AM638" i="1"/>
  <c r="BF638" i="1"/>
  <c r="BG638" i="1"/>
  <c r="T639" i="1"/>
  <c r="U639" i="1"/>
  <c r="V639" i="1"/>
  <c r="W639" i="1"/>
  <c r="AB639" i="1"/>
  <c r="AF639" i="1"/>
  <c r="K640" i="1"/>
  <c r="AC640" i="1"/>
  <c r="AJ639" i="1"/>
  <c r="AK639" i="1"/>
  <c r="AM639" i="1"/>
  <c r="BF639" i="1"/>
  <c r="BG639" i="1"/>
  <c r="T640" i="1"/>
  <c r="U640" i="1"/>
  <c r="V640" i="1"/>
  <c r="W640" i="1"/>
  <c r="AB640" i="1"/>
  <c r="AF640" i="1"/>
  <c r="K641" i="1"/>
  <c r="AC641" i="1"/>
  <c r="AJ640" i="1"/>
  <c r="AK640" i="1"/>
  <c r="AM640" i="1"/>
  <c r="BF640" i="1"/>
  <c r="BG640" i="1"/>
  <c r="T641" i="1"/>
  <c r="U641" i="1"/>
  <c r="V641" i="1"/>
  <c r="W641" i="1"/>
  <c r="AB641" i="1"/>
  <c r="AF641" i="1"/>
  <c r="K642" i="1"/>
  <c r="AC642" i="1"/>
  <c r="AJ641" i="1"/>
  <c r="AK641" i="1"/>
  <c r="AM641" i="1"/>
  <c r="BF641" i="1"/>
  <c r="BG641" i="1"/>
  <c r="T642" i="1"/>
  <c r="U642" i="1"/>
  <c r="V642" i="1"/>
  <c r="W642" i="1"/>
  <c r="AB642" i="1"/>
  <c r="AF642" i="1"/>
  <c r="K643" i="1"/>
  <c r="AC643" i="1"/>
  <c r="AJ642" i="1"/>
  <c r="AK642" i="1"/>
  <c r="AM642" i="1"/>
  <c r="BF642" i="1"/>
  <c r="BG642" i="1"/>
  <c r="T643" i="1"/>
  <c r="U643" i="1"/>
  <c r="V643" i="1"/>
  <c r="W643" i="1"/>
  <c r="AB643" i="1"/>
  <c r="AF643" i="1"/>
  <c r="K644" i="1"/>
  <c r="AC644" i="1"/>
  <c r="AJ643" i="1"/>
  <c r="AK643" i="1"/>
  <c r="AM643" i="1"/>
  <c r="BF643" i="1"/>
  <c r="BG643" i="1"/>
  <c r="T644" i="1"/>
  <c r="U644" i="1"/>
  <c r="V644" i="1"/>
  <c r="W644" i="1"/>
  <c r="AB644" i="1"/>
  <c r="AF644" i="1"/>
  <c r="AC645" i="1"/>
  <c r="AJ644" i="1"/>
  <c r="AK644" i="1"/>
  <c r="AM644" i="1"/>
  <c r="BF644" i="1"/>
  <c r="BG644" i="1"/>
  <c r="T645" i="1"/>
  <c r="U645" i="1"/>
  <c r="V645" i="1"/>
  <c r="W645" i="1"/>
  <c r="AB645" i="1"/>
  <c r="AF645" i="1"/>
  <c r="AC646" i="1"/>
  <c r="AJ645" i="1"/>
  <c r="AK645" i="1"/>
  <c r="AM645" i="1"/>
  <c r="BF645" i="1"/>
  <c r="BG645" i="1"/>
  <c r="T646" i="1"/>
  <c r="U646" i="1"/>
  <c r="V646" i="1"/>
  <c r="W646" i="1"/>
  <c r="AB646" i="1"/>
  <c r="AF646" i="1"/>
  <c r="K647" i="1"/>
  <c r="AC647" i="1"/>
  <c r="AJ646" i="1"/>
  <c r="AK646" i="1"/>
  <c r="AM646" i="1"/>
  <c r="BF646" i="1"/>
  <c r="BG646" i="1"/>
  <c r="T647" i="1"/>
  <c r="U647" i="1"/>
  <c r="V647" i="1"/>
  <c r="W647" i="1"/>
  <c r="AB647" i="1"/>
  <c r="AF647" i="1"/>
  <c r="K648" i="1"/>
  <c r="AC648" i="1"/>
  <c r="AJ647" i="1"/>
  <c r="AK647" i="1"/>
  <c r="AM647" i="1"/>
  <c r="BF647" i="1"/>
  <c r="BG647" i="1"/>
  <c r="T648" i="1"/>
  <c r="U648" i="1"/>
  <c r="V648" i="1"/>
  <c r="W648" i="1"/>
  <c r="AB648" i="1"/>
  <c r="AF648" i="1"/>
  <c r="K649" i="1"/>
  <c r="AC649" i="1"/>
  <c r="AJ648" i="1"/>
  <c r="AK648" i="1"/>
  <c r="AM648" i="1"/>
  <c r="BF648" i="1"/>
  <c r="BG648" i="1"/>
  <c r="T649" i="1"/>
  <c r="U649" i="1"/>
  <c r="V649" i="1"/>
  <c r="W649" i="1"/>
  <c r="AB649" i="1"/>
  <c r="AF649" i="1"/>
  <c r="K650" i="1"/>
  <c r="AC650" i="1"/>
  <c r="AJ649" i="1"/>
  <c r="AK649" i="1"/>
  <c r="AM649" i="1"/>
  <c r="BF649" i="1"/>
  <c r="BG649" i="1"/>
  <c r="T650" i="1"/>
  <c r="U650" i="1"/>
  <c r="V650" i="1"/>
  <c r="W650" i="1"/>
  <c r="AB650" i="1"/>
  <c r="AF650" i="1"/>
  <c r="AC651" i="1"/>
  <c r="AJ650" i="1"/>
  <c r="AK650" i="1"/>
  <c r="AM650" i="1"/>
  <c r="BF650" i="1"/>
  <c r="BG650" i="1"/>
  <c r="T651" i="1"/>
  <c r="U651" i="1"/>
  <c r="V651" i="1"/>
  <c r="W651" i="1"/>
  <c r="AB651" i="1"/>
  <c r="AF651" i="1"/>
  <c r="AC652" i="1"/>
  <c r="AJ651" i="1"/>
  <c r="AK651" i="1"/>
  <c r="AM651" i="1"/>
  <c r="BF651" i="1"/>
  <c r="BG651" i="1"/>
  <c r="T652" i="1"/>
  <c r="U652" i="1"/>
  <c r="V652" i="1"/>
  <c r="W652" i="1"/>
  <c r="AB652" i="1"/>
  <c r="AF652" i="1"/>
  <c r="K653" i="1"/>
  <c r="AC653" i="1"/>
  <c r="AJ652" i="1"/>
  <c r="AK652" i="1"/>
  <c r="AM652" i="1"/>
  <c r="BF652" i="1"/>
  <c r="BG652" i="1"/>
  <c r="T653" i="1"/>
  <c r="U653" i="1"/>
  <c r="V653" i="1"/>
  <c r="W653" i="1"/>
  <c r="AB653" i="1"/>
  <c r="AF653" i="1"/>
  <c r="AC654" i="1"/>
  <c r="AJ653" i="1"/>
  <c r="AK653" i="1"/>
  <c r="AM653" i="1"/>
  <c r="BF653" i="1"/>
  <c r="BG653" i="1"/>
  <c r="T654" i="1"/>
  <c r="U654" i="1"/>
  <c r="V654" i="1"/>
  <c r="W654" i="1"/>
  <c r="AB654" i="1"/>
  <c r="AF654" i="1"/>
  <c r="AC655" i="1"/>
  <c r="AJ654" i="1"/>
  <c r="AK654" i="1"/>
  <c r="AM654" i="1"/>
  <c r="BF654" i="1"/>
  <c r="BG654" i="1"/>
  <c r="T655" i="1"/>
  <c r="U655" i="1"/>
  <c r="V655" i="1"/>
  <c r="W655" i="1"/>
  <c r="AB655" i="1"/>
  <c r="AF655" i="1"/>
  <c r="K656" i="1"/>
  <c r="AC656" i="1"/>
  <c r="AJ655" i="1"/>
  <c r="AK655" i="1"/>
  <c r="AM655" i="1"/>
  <c r="BF655" i="1"/>
  <c r="BG655" i="1"/>
  <c r="T656" i="1"/>
  <c r="U656" i="1"/>
  <c r="V656" i="1"/>
  <c r="W656" i="1"/>
  <c r="AB656" i="1"/>
  <c r="AF656" i="1"/>
  <c r="K657" i="1"/>
  <c r="AC657" i="1"/>
  <c r="AJ656" i="1"/>
  <c r="AK656" i="1"/>
  <c r="AM656" i="1"/>
  <c r="BF656" i="1"/>
  <c r="BG656" i="1"/>
  <c r="T657" i="1"/>
  <c r="U657" i="1"/>
  <c r="V657" i="1"/>
  <c r="W657" i="1"/>
  <c r="AB657" i="1"/>
  <c r="AF657" i="1"/>
  <c r="K658" i="1"/>
  <c r="AC658" i="1"/>
  <c r="AJ657" i="1"/>
  <c r="AK657" i="1"/>
  <c r="AM657" i="1"/>
  <c r="BF657" i="1"/>
  <c r="BG657" i="1"/>
  <c r="T658" i="1"/>
  <c r="U658" i="1"/>
  <c r="V658" i="1"/>
  <c r="W658" i="1"/>
  <c r="AB658" i="1"/>
  <c r="AF658" i="1"/>
  <c r="AC659" i="1"/>
  <c r="AJ658" i="1"/>
  <c r="AK658" i="1"/>
  <c r="AM658" i="1"/>
  <c r="BF658" i="1"/>
  <c r="BG658" i="1"/>
  <c r="T659" i="1"/>
  <c r="U659" i="1"/>
  <c r="V659" i="1"/>
  <c r="W659" i="1"/>
  <c r="AB659" i="1"/>
  <c r="AF659" i="1"/>
  <c r="AC660" i="1"/>
  <c r="AJ659" i="1"/>
  <c r="AK659" i="1"/>
  <c r="AM659" i="1"/>
  <c r="BF659" i="1"/>
  <c r="BG659" i="1"/>
  <c r="T660" i="1"/>
  <c r="U660" i="1"/>
  <c r="V660" i="1"/>
  <c r="W660" i="1"/>
  <c r="AB660" i="1"/>
  <c r="AF660" i="1"/>
  <c r="K661" i="1"/>
  <c r="AC661" i="1"/>
  <c r="AJ660" i="1"/>
  <c r="AK660" i="1"/>
  <c r="AM660" i="1"/>
  <c r="BF660" i="1"/>
  <c r="BG660" i="1"/>
  <c r="T661" i="1"/>
  <c r="U661" i="1"/>
  <c r="V661" i="1"/>
  <c r="W661" i="1"/>
  <c r="AB661" i="1"/>
  <c r="AF661" i="1"/>
  <c r="K662" i="1"/>
  <c r="AC662" i="1"/>
  <c r="AJ661" i="1"/>
  <c r="AK661" i="1"/>
  <c r="AM661" i="1"/>
  <c r="BF661" i="1"/>
  <c r="BG661" i="1"/>
  <c r="T662" i="1"/>
  <c r="U662" i="1"/>
  <c r="V662" i="1"/>
  <c r="W662" i="1"/>
  <c r="AB662" i="1"/>
  <c r="AF662" i="1"/>
  <c r="K663" i="1"/>
  <c r="AC663" i="1"/>
  <c r="AJ662" i="1"/>
  <c r="AK662" i="1"/>
  <c r="AM662" i="1"/>
  <c r="BF662" i="1"/>
  <c r="BG662" i="1"/>
  <c r="T663" i="1"/>
  <c r="U663" i="1"/>
  <c r="V663" i="1"/>
  <c r="W663" i="1"/>
  <c r="AB663" i="1"/>
  <c r="AF663" i="1"/>
  <c r="K664" i="1"/>
  <c r="AC664" i="1"/>
  <c r="AJ663" i="1"/>
  <c r="AK663" i="1"/>
  <c r="AM663" i="1"/>
  <c r="BF663" i="1"/>
  <c r="BG663" i="1"/>
  <c r="T664" i="1"/>
  <c r="U664" i="1"/>
  <c r="V664" i="1"/>
  <c r="W664" i="1"/>
  <c r="AB664" i="1"/>
  <c r="AF664" i="1"/>
  <c r="K665" i="1"/>
  <c r="AC665" i="1"/>
  <c r="AJ664" i="1"/>
  <c r="AK664" i="1"/>
  <c r="AM664" i="1"/>
  <c r="BF664" i="1"/>
  <c r="BG664" i="1"/>
  <c r="T665" i="1"/>
  <c r="U665" i="1"/>
  <c r="V665" i="1"/>
  <c r="W665" i="1"/>
  <c r="AB665" i="1"/>
  <c r="AF665" i="1"/>
  <c r="K666" i="1"/>
  <c r="AC666" i="1"/>
  <c r="AJ665" i="1"/>
  <c r="AK665" i="1"/>
  <c r="AM665" i="1"/>
  <c r="BF665" i="1"/>
  <c r="BG665" i="1"/>
  <c r="T666" i="1"/>
  <c r="U666" i="1"/>
  <c r="V666" i="1"/>
  <c r="W666" i="1"/>
  <c r="AB666" i="1"/>
  <c r="AF666" i="1"/>
  <c r="AC667" i="1"/>
  <c r="AJ666" i="1"/>
  <c r="AK666" i="1"/>
  <c r="AM666" i="1"/>
  <c r="BF666" i="1"/>
  <c r="BG666" i="1"/>
  <c r="T667" i="1"/>
  <c r="U667" i="1"/>
  <c r="V667" i="1"/>
  <c r="W667" i="1"/>
  <c r="AB667" i="1"/>
  <c r="AF667" i="1"/>
  <c r="AC668" i="1"/>
  <c r="AJ667" i="1"/>
  <c r="AK667" i="1"/>
  <c r="AM667" i="1"/>
  <c r="BF667" i="1"/>
  <c r="BG667" i="1"/>
  <c r="T668" i="1"/>
  <c r="U668" i="1"/>
  <c r="V668" i="1"/>
  <c r="W668" i="1"/>
  <c r="AB668" i="1"/>
  <c r="AF668" i="1"/>
  <c r="K669" i="1"/>
  <c r="AC669" i="1"/>
  <c r="AJ668" i="1"/>
  <c r="AK668" i="1"/>
  <c r="AM668" i="1"/>
  <c r="BF668" i="1"/>
  <c r="BG668" i="1"/>
  <c r="T669" i="1"/>
  <c r="U669" i="1"/>
  <c r="V669" i="1"/>
  <c r="W669" i="1"/>
  <c r="AB669" i="1"/>
  <c r="AF669" i="1"/>
  <c r="AC670" i="1"/>
  <c r="AJ669" i="1"/>
  <c r="AK669" i="1"/>
  <c r="AM669" i="1"/>
  <c r="BF669" i="1"/>
  <c r="BG669" i="1"/>
  <c r="T670" i="1"/>
  <c r="U670" i="1"/>
  <c r="V670" i="1"/>
  <c r="W670" i="1"/>
  <c r="AB670" i="1"/>
  <c r="AF670" i="1"/>
  <c r="AC671" i="1"/>
  <c r="AJ670" i="1"/>
  <c r="AK670" i="1"/>
  <c r="AM670" i="1"/>
  <c r="BF670" i="1"/>
  <c r="BG670" i="1"/>
  <c r="T671" i="1"/>
  <c r="U671" i="1"/>
  <c r="V671" i="1"/>
  <c r="W671" i="1"/>
  <c r="AB671" i="1"/>
  <c r="AF671" i="1"/>
  <c r="K672" i="1"/>
  <c r="AC672" i="1"/>
  <c r="AJ671" i="1"/>
  <c r="AK671" i="1"/>
  <c r="AM671" i="1"/>
  <c r="BF671" i="1"/>
  <c r="BG671" i="1"/>
  <c r="T672" i="1"/>
  <c r="U672" i="1"/>
  <c r="V672" i="1"/>
  <c r="W672" i="1"/>
  <c r="AB672" i="1"/>
  <c r="AF672" i="1"/>
  <c r="K673" i="1"/>
  <c r="AC673" i="1"/>
  <c r="AJ672" i="1"/>
  <c r="AK672" i="1"/>
  <c r="AM672" i="1"/>
  <c r="BF672" i="1"/>
  <c r="BG672" i="1"/>
  <c r="T673" i="1"/>
  <c r="U673" i="1"/>
  <c r="V673" i="1"/>
  <c r="W673" i="1"/>
  <c r="AB673" i="1"/>
  <c r="AF673" i="1"/>
  <c r="AC674" i="1"/>
  <c r="AJ673" i="1"/>
  <c r="AK673" i="1"/>
  <c r="AM673" i="1"/>
  <c r="BF673" i="1"/>
  <c r="BG673" i="1"/>
  <c r="T674" i="1"/>
  <c r="U674" i="1"/>
  <c r="V674" i="1"/>
  <c r="W674" i="1"/>
  <c r="AB674" i="1"/>
  <c r="AF674" i="1"/>
  <c r="AC675" i="1"/>
  <c r="AJ674" i="1"/>
  <c r="AK674" i="1"/>
  <c r="AM674" i="1"/>
  <c r="BF674" i="1"/>
  <c r="BG674" i="1"/>
  <c r="T675" i="1"/>
  <c r="U675" i="1"/>
  <c r="V675" i="1"/>
  <c r="W675" i="1"/>
  <c r="AB675" i="1"/>
  <c r="AF675" i="1"/>
  <c r="K676" i="1"/>
  <c r="AC676" i="1"/>
  <c r="AJ675" i="1"/>
  <c r="AK675" i="1"/>
  <c r="AM675" i="1"/>
  <c r="BF675" i="1"/>
  <c r="BG675" i="1"/>
  <c r="T676" i="1"/>
  <c r="U676" i="1"/>
  <c r="V676" i="1"/>
  <c r="W676" i="1"/>
  <c r="AB676" i="1"/>
  <c r="AF676" i="1"/>
  <c r="AC677" i="1"/>
  <c r="AJ676" i="1"/>
  <c r="AK676" i="1"/>
  <c r="AM676" i="1"/>
  <c r="BF676" i="1"/>
  <c r="BG676" i="1"/>
  <c r="T677" i="1"/>
  <c r="U677" i="1"/>
  <c r="V677" i="1"/>
  <c r="W677" i="1"/>
  <c r="AB677" i="1"/>
  <c r="AF677" i="1"/>
  <c r="AC678" i="1"/>
  <c r="AJ677" i="1"/>
  <c r="AK677" i="1"/>
  <c r="AM677" i="1"/>
  <c r="BF677" i="1"/>
  <c r="BG677" i="1"/>
  <c r="T678" i="1"/>
  <c r="U678" i="1"/>
  <c r="V678" i="1"/>
  <c r="W678" i="1"/>
  <c r="AB678" i="1"/>
  <c r="AF678" i="1"/>
  <c r="K679" i="1"/>
  <c r="AC679" i="1"/>
  <c r="AJ678" i="1"/>
  <c r="AK678" i="1"/>
  <c r="AM678" i="1"/>
  <c r="BF678" i="1"/>
  <c r="BG678" i="1"/>
  <c r="T679" i="1"/>
  <c r="U679" i="1"/>
  <c r="V679" i="1"/>
  <c r="W679" i="1"/>
  <c r="AB679" i="1"/>
  <c r="AF679" i="1"/>
  <c r="K680" i="1"/>
  <c r="AC680" i="1"/>
  <c r="AJ679" i="1"/>
  <c r="AK679" i="1"/>
  <c r="AM679" i="1"/>
  <c r="BF679" i="1"/>
  <c r="BG679" i="1"/>
  <c r="T680" i="1"/>
  <c r="U680" i="1"/>
  <c r="V680" i="1"/>
  <c r="W680" i="1"/>
  <c r="AB680" i="1"/>
  <c r="AF680" i="1"/>
  <c r="AC681" i="1"/>
  <c r="AJ680" i="1"/>
  <c r="AK680" i="1"/>
  <c r="AM680" i="1"/>
  <c r="BF680" i="1"/>
  <c r="BG680" i="1"/>
  <c r="T681" i="1"/>
  <c r="U681" i="1"/>
  <c r="V681" i="1"/>
  <c r="W681" i="1"/>
  <c r="AB681" i="1"/>
  <c r="AF681" i="1"/>
  <c r="AC682" i="1"/>
  <c r="AJ681" i="1"/>
  <c r="AK681" i="1"/>
  <c r="AM681" i="1"/>
  <c r="BF681" i="1"/>
  <c r="BG681" i="1"/>
  <c r="T682" i="1"/>
  <c r="U682" i="1"/>
  <c r="V682" i="1"/>
  <c r="W682" i="1"/>
  <c r="AB682" i="1"/>
  <c r="AF682" i="1"/>
  <c r="K683" i="1"/>
  <c r="AC683" i="1"/>
  <c r="AJ682" i="1"/>
  <c r="AK682" i="1"/>
  <c r="AM682" i="1"/>
  <c r="BF682" i="1"/>
  <c r="BG682" i="1"/>
  <c r="T683" i="1"/>
  <c r="U683" i="1"/>
  <c r="V683" i="1"/>
  <c r="W683" i="1"/>
  <c r="AB683" i="1"/>
  <c r="AF683" i="1"/>
  <c r="AC684" i="1"/>
  <c r="AJ683" i="1"/>
  <c r="AK683" i="1"/>
  <c r="AM683" i="1"/>
  <c r="BF683" i="1"/>
  <c r="BG683" i="1"/>
  <c r="T684" i="1"/>
  <c r="U684" i="1"/>
  <c r="V684" i="1"/>
  <c r="W684" i="1"/>
  <c r="AB684" i="1"/>
  <c r="AF684" i="1"/>
  <c r="AC685" i="1"/>
  <c r="AJ684" i="1"/>
  <c r="AK684" i="1"/>
  <c r="AM684" i="1"/>
  <c r="BF684" i="1"/>
  <c r="BG684" i="1"/>
  <c r="T685" i="1"/>
  <c r="U685" i="1"/>
  <c r="V685" i="1"/>
  <c r="W685" i="1"/>
  <c r="AB685" i="1"/>
  <c r="AF685" i="1"/>
  <c r="K686" i="1"/>
  <c r="AC686" i="1"/>
  <c r="AJ685" i="1"/>
  <c r="AK685" i="1"/>
  <c r="AM685" i="1"/>
  <c r="BF685" i="1"/>
  <c r="BG685" i="1"/>
  <c r="T686" i="1"/>
  <c r="U686" i="1"/>
  <c r="V686" i="1"/>
  <c r="W686" i="1"/>
  <c r="AB686" i="1"/>
  <c r="AF686" i="1"/>
  <c r="K687" i="1"/>
  <c r="AC687" i="1"/>
  <c r="AJ686" i="1"/>
  <c r="AK686" i="1"/>
  <c r="AM686" i="1"/>
  <c r="BF686" i="1"/>
  <c r="BG686" i="1"/>
  <c r="T687" i="1"/>
  <c r="U687" i="1"/>
  <c r="V687" i="1"/>
  <c r="W687" i="1"/>
  <c r="AB687" i="1"/>
  <c r="AF687" i="1"/>
  <c r="AC688" i="1"/>
  <c r="AJ687" i="1"/>
  <c r="AK687" i="1"/>
  <c r="AM687" i="1"/>
  <c r="BF687" i="1"/>
  <c r="BG687" i="1"/>
  <c r="T688" i="1"/>
  <c r="U688" i="1"/>
  <c r="V688" i="1"/>
  <c r="W688" i="1"/>
  <c r="AB688" i="1"/>
  <c r="AF688" i="1"/>
  <c r="AC689" i="1"/>
  <c r="AJ688" i="1"/>
  <c r="AK688" i="1"/>
  <c r="AM688" i="1"/>
  <c r="BF688" i="1"/>
  <c r="BG688" i="1"/>
  <c r="T689" i="1"/>
  <c r="U689" i="1"/>
  <c r="V689" i="1"/>
  <c r="W689" i="1"/>
  <c r="AB689" i="1"/>
  <c r="AF689" i="1"/>
  <c r="K690" i="1"/>
  <c r="AC690" i="1"/>
  <c r="AJ689" i="1"/>
  <c r="AK689" i="1"/>
  <c r="AM689" i="1"/>
  <c r="BF689" i="1"/>
  <c r="BG689" i="1"/>
  <c r="T690" i="1"/>
  <c r="U690" i="1"/>
  <c r="V690" i="1"/>
  <c r="W690" i="1"/>
  <c r="AB690" i="1"/>
  <c r="AF690" i="1"/>
  <c r="AC691" i="1"/>
  <c r="AJ690" i="1"/>
  <c r="AK690" i="1"/>
  <c r="AM690" i="1"/>
  <c r="BF690" i="1"/>
  <c r="BG690" i="1"/>
  <c r="T691" i="1"/>
  <c r="U691" i="1"/>
  <c r="V691" i="1"/>
  <c r="W691" i="1"/>
  <c r="AB691" i="1"/>
  <c r="AF691" i="1"/>
  <c r="AC692" i="1"/>
  <c r="AJ691" i="1"/>
  <c r="AK691" i="1"/>
  <c r="AM691" i="1"/>
  <c r="BF691" i="1"/>
  <c r="BG691" i="1"/>
  <c r="T692" i="1"/>
  <c r="U692" i="1"/>
  <c r="V692" i="1"/>
  <c r="W692" i="1"/>
  <c r="AB692" i="1"/>
  <c r="AF692" i="1"/>
  <c r="K693" i="1"/>
  <c r="AC693" i="1"/>
  <c r="AJ692" i="1"/>
  <c r="AK692" i="1"/>
  <c r="AM692" i="1"/>
  <c r="BF692" i="1"/>
  <c r="BG692" i="1"/>
  <c r="T693" i="1"/>
  <c r="U693" i="1"/>
  <c r="V693" i="1"/>
  <c r="W693" i="1"/>
  <c r="AB693" i="1"/>
  <c r="AF693" i="1"/>
  <c r="AC694" i="1"/>
  <c r="AJ693" i="1"/>
  <c r="AK693" i="1"/>
  <c r="AM693" i="1"/>
  <c r="BF693" i="1"/>
  <c r="BG693" i="1"/>
  <c r="T694" i="1"/>
  <c r="U694" i="1"/>
  <c r="V694" i="1"/>
  <c r="W694" i="1"/>
  <c r="AB694" i="1"/>
  <c r="AF694" i="1"/>
  <c r="AC695" i="1"/>
  <c r="AJ694" i="1"/>
  <c r="AK694" i="1"/>
  <c r="AM694" i="1"/>
  <c r="BF694" i="1"/>
  <c r="BG694" i="1"/>
  <c r="T695" i="1"/>
  <c r="U695" i="1"/>
  <c r="V695" i="1"/>
  <c r="W695" i="1"/>
  <c r="AB695" i="1"/>
  <c r="AF695" i="1"/>
  <c r="K696" i="1"/>
  <c r="AC696" i="1"/>
  <c r="AJ695" i="1"/>
  <c r="AK695" i="1"/>
  <c r="AM695" i="1"/>
  <c r="BF695" i="1"/>
  <c r="BG695" i="1"/>
  <c r="T696" i="1"/>
  <c r="U696" i="1"/>
  <c r="V696" i="1"/>
  <c r="W696" i="1"/>
  <c r="AB696" i="1"/>
  <c r="AF696" i="1"/>
  <c r="K697" i="1"/>
  <c r="AC697" i="1"/>
  <c r="AJ696" i="1"/>
  <c r="AK696" i="1"/>
  <c r="AM696" i="1"/>
  <c r="BF696" i="1"/>
  <c r="BG696" i="1"/>
  <c r="T697" i="1"/>
  <c r="U697" i="1"/>
  <c r="V697" i="1"/>
  <c r="W697" i="1"/>
  <c r="AB697" i="1"/>
  <c r="AF697" i="1"/>
  <c r="AC698" i="1"/>
  <c r="AJ697" i="1"/>
  <c r="AK697" i="1"/>
  <c r="AM697" i="1"/>
  <c r="BF697" i="1"/>
  <c r="BG697" i="1"/>
  <c r="T698" i="1"/>
  <c r="U698" i="1"/>
  <c r="V698" i="1"/>
  <c r="W698" i="1"/>
  <c r="AB698" i="1"/>
  <c r="AF698" i="1"/>
  <c r="AC699" i="1"/>
  <c r="AJ698" i="1"/>
  <c r="AK698" i="1"/>
  <c r="AM698" i="1"/>
  <c r="BF698" i="1"/>
  <c r="BG698" i="1"/>
  <c r="T699" i="1"/>
  <c r="U699" i="1"/>
  <c r="V699" i="1"/>
  <c r="W699" i="1"/>
  <c r="AB699" i="1"/>
  <c r="AF699" i="1"/>
  <c r="K700" i="1"/>
  <c r="AC700" i="1"/>
  <c r="AJ699" i="1"/>
  <c r="AK699" i="1"/>
  <c r="AM699" i="1"/>
  <c r="BF699" i="1"/>
  <c r="BG699" i="1"/>
  <c r="T700" i="1"/>
  <c r="U700" i="1"/>
  <c r="V700" i="1"/>
  <c r="W700" i="1"/>
  <c r="AB700" i="1"/>
  <c r="AF700" i="1"/>
  <c r="AC701" i="1"/>
  <c r="AJ700" i="1"/>
  <c r="AK700" i="1"/>
  <c r="AM700" i="1"/>
  <c r="BF700" i="1"/>
  <c r="BG700" i="1"/>
  <c r="T701" i="1"/>
  <c r="U701" i="1"/>
  <c r="V701" i="1"/>
  <c r="W701" i="1"/>
  <c r="AB701" i="1"/>
  <c r="AF701" i="1"/>
  <c r="AC702" i="1"/>
  <c r="AJ701" i="1"/>
  <c r="AK701" i="1"/>
  <c r="AM701" i="1"/>
  <c r="BF701" i="1"/>
  <c r="BG701" i="1"/>
  <c r="T702" i="1"/>
  <c r="U702" i="1"/>
  <c r="V702" i="1"/>
  <c r="W702" i="1"/>
  <c r="AB702" i="1"/>
  <c r="AF702" i="1"/>
  <c r="K703" i="1"/>
  <c r="AC703" i="1"/>
  <c r="AJ702" i="1"/>
  <c r="AK702" i="1"/>
  <c r="AM702" i="1"/>
  <c r="BF702" i="1"/>
  <c r="BG702" i="1"/>
  <c r="T703" i="1"/>
  <c r="U703" i="1"/>
  <c r="V703" i="1"/>
  <c r="W703" i="1"/>
  <c r="AB703" i="1"/>
  <c r="AF703" i="1"/>
  <c r="K704" i="1"/>
  <c r="AC704" i="1"/>
  <c r="AJ703" i="1"/>
  <c r="AK703" i="1"/>
  <c r="AM703" i="1"/>
  <c r="BF703" i="1"/>
  <c r="BG703" i="1"/>
  <c r="T704" i="1"/>
  <c r="U704" i="1"/>
  <c r="V704" i="1"/>
  <c r="W704" i="1"/>
  <c r="AB704" i="1"/>
  <c r="AF704" i="1"/>
  <c r="K705" i="1"/>
  <c r="AC705" i="1"/>
  <c r="AJ704" i="1"/>
  <c r="AK704" i="1"/>
  <c r="AM704" i="1"/>
  <c r="BF704" i="1"/>
  <c r="BG704" i="1"/>
  <c r="T705" i="1"/>
  <c r="U705" i="1"/>
  <c r="V705" i="1"/>
  <c r="W705" i="1"/>
  <c r="AB705" i="1"/>
  <c r="AF705" i="1"/>
  <c r="AC706" i="1"/>
  <c r="AJ705" i="1"/>
  <c r="AK705" i="1"/>
  <c r="AM705" i="1"/>
  <c r="BF705" i="1"/>
  <c r="BG705" i="1"/>
  <c r="T706" i="1"/>
  <c r="U706" i="1"/>
  <c r="V706" i="1"/>
  <c r="W706" i="1"/>
  <c r="AB706" i="1"/>
  <c r="AF706" i="1"/>
  <c r="AC707" i="1"/>
  <c r="AJ706" i="1"/>
  <c r="AK706" i="1"/>
  <c r="AM706" i="1"/>
  <c r="BF706" i="1"/>
  <c r="BG706" i="1"/>
  <c r="T707" i="1"/>
  <c r="U707" i="1"/>
  <c r="V707" i="1"/>
  <c r="W707" i="1"/>
  <c r="AB707" i="1"/>
  <c r="AF707" i="1"/>
  <c r="K708" i="1"/>
  <c r="AC708" i="1"/>
  <c r="AJ707" i="1"/>
  <c r="AK707" i="1"/>
  <c r="AM707" i="1"/>
  <c r="BF707" i="1"/>
  <c r="BG707" i="1"/>
  <c r="T708" i="1"/>
  <c r="U708" i="1"/>
  <c r="V708" i="1"/>
  <c r="W708" i="1"/>
  <c r="AB708" i="1"/>
  <c r="AF708" i="1"/>
  <c r="K709" i="1"/>
  <c r="AC709" i="1"/>
  <c r="AJ708" i="1"/>
  <c r="AK708" i="1"/>
  <c r="AM708" i="1"/>
  <c r="BF708" i="1"/>
  <c r="BG708" i="1"/>
  <c r="T709" i="1"/>
  <c r="U709" i="1"/>
  <c r="V709" i="1"/>
  <c r="W709" i="1"/>
  <c r="AB709" i="1"/>
  <c r="AF709" i="1"/>
  <c r="K710" i="1"/>
  <c r="AC710" i="1"/>
  <c r="AJ709" i="1"/>
  <c r="AK709" i="1"/>
  <c r="AM709" i="1"/>
  <c r="BF709" i="1"/>
  <c r="BG709" i="1"/>
  <c r="T710" i="1"/>
  <c r="U710" i="1"/>
  <c r="V710" i="1"/>
  <c r="W710" i="1"/>
  <c r="AB710" i="1"/>
  <c r="AF710" i="1"/>
  <c r="AC711" i="1"/>
  <c r="AJ710" i="1"/>
  <c r="AK710" i="1"/>
  <c r="AM710" i="1"/>
  <c r="BF710" i="1"/>
  <c r="BG710" i="1"/>
  <c r="T711" i="1"/>
  <c r="U711" i="1"/>
  <c r="V711" i="1"/>
  <c r="W711" i="1"/>
  <c r="AB711" i="1"/>
  <c r="AF711" i="1"/>
  <c r="AC712" i="1"/>
  <c r="AJ711" i="1"/>
  <c r="AK711" i="1"/>
  <c r="AM711" i="1"/>
  <c r="BF711" i="1"/>
  <c r="BG711" i="1"/>
  <c r="T712" i="1"/>
  <c r="U712" i="1"/>
  <c r="V712" i="1"/>
  <c r="W712" i="1"/>
  <c r="AB712" i="1"/>
  <c r="AF712" i="1"/>
  <c r="K713" i="1"/>
  <c r="AC713" i="1"/>
  <c r="AJ712" i="1"/>
  <c r="AK712" i="1"/>
  <c r="AM712" i="1"/>
  <c r="BF712" i="1"/>
  <c r="BG712" i="1"/>
  <c r="T713" i="1"/>
  <c r="U713" i="1"/>
  <c r="V713" i="1"/>
  <c r="W713" i="1"/>
  <c r="AB713" i="1"/>
  <c r="AF713" i="1"/>
  <c r="AC714" i="1"/>
  <c r="AJ713" i="1"/>
  <c r="AK713" i="1"/>
  <c r="AM713" i="1"/>
  <c r="BF713" i="1"/>
  <c r="BG713" i="1"/>
  <c r="T714" i="1"/>
  <c r="U714" i="1"/>
  <c r="V714" i="1"/>
  <c r="W714" i="1"/>
  <c r="AB714" i="1"/>
  <c r="AF714" i="1"/>
  <c r="AC715" i="1"/>
  <c r="AJ714" i="1"/>
  <c r="AK714" i="1"/>
  <c r="AM714" i="1"/>
  <c r="BF714" i="1"/>
  <c r="BG714" i="1"/>
  <c r="T715" i="1"/>
  <c r="U715" i="1"/>
  <c r="V715" i="1"/>
  <c r="W715" i="1"/>
  <c r="AB715" i="1"/>
  <c r="AF715" i="1"/>
  <c r="K716" i="1"/>
  <c r="AC716" i="1"/>
  <c r="AJ715" i="1"/>
  <c r="AK715" i="1"/>
  <c r="AM715" i="1"/>
  <c r="BF715" i="1"/>
  <c r="BG715" i="1"/>
  <c r="T716" i="1"/>
  <c r="U716" i="1"/>
  <c r="V716" i="1"/>
  <c r="W716" i="1"/>
  <c r="AB716" i="1"/>
  <c r="AF716" i="1"/>
  <c r="AC717" i="1"/>
  <c r="AJ716" i="1"/>
  <c r="AK716" i="1"/>
  <c r="AM716" i="1"/>
  <c r="BF716" i="1"/>
  <c r="BG716" i="1"/>
  <c r="T717" i="1"/>
  <c r="U717" i="1"/>
  <c r="V717" i="1"/>
  <c r="W717" i="1"/>
  <c r="AB717" i="1"/>
  <c r="AF717" i="1"/>
  <c r="AC718" i="1"/>
  <c r="AJ717" i="1"/>
  <c r="AK717" i="1"/>
  <c r="AM717" i="1"/>
  <c r="BF717" i="1"/>
  <c r="BG717" i="1"/>
  <c r="T718" i="1"/>
  <c r="U718" i="1"/>
  <c r="V718" i="1"/>
  <c r="W718" i="1"/>
  <c r="AB718" i="1"/>
  <c r="AF718" i="1"/>
  <c r="K719" i="1"/>
  <c r="AC719" i="1"/>
  <c r="AJ718" i="1"/>
  <c r="AK718" i="1"/>
  <c r="AM718" i="1"/>
  <c r="BF718" i="1"/>
  <c r="BG718" i="1"/>
  <c r="T719" i="1"/>
  <c r="U719" i="1"/>
  <c r="V719" i="1"/>
  <c r="W719" i="1"/>
  <c r="AB719" i="1"/>
  <c r="AF719" i="1"/>
  <c r="AC720" i="1"/>
  <c r="AJ719" i="1"/>
  <c r="AK719" i="1"/>
  <c r="AM719" i="1"/>
  <c r="BF719" i="1"/>
  <c r="BG719" i="1"/>
  <c r="T720" i="1"/>
  <c r="U720" i="1"/>
  <c r="V720" i="1"/>
  <c r="W720" i="1"/>
  <c r="AB720" i="1"/>
  <c r="AF720" i="1"/>
  <c r="AC721" i="1"/>
  <c r="AJ720" i="1"/>
  <c r="AK720" i="1"/>
  <c r="AM720" i="1"/>
  <c r="BF720" i="1"/>
  <c r="BG720" i="1"/>
  <c r="T721" i="1"/>
  <c r="U721" i="1"/>
  <c r="V721" i="1"/>
  <c r="W721" i="1"/>
  <c r="AB721" i="1"/>
  <c r="AF721" i="1"/>
  <c r="K722" i="1"/>
  <c r="AC722" i="1"/>
  <c r="AJ721" i="1"/>
  <c r="AK721" i="1"/>
  <c r="AM721" i="1"/>
  <c r="BF721" i="1"/>
  <c r="BG721" i="1"/>
  <c r="T722" i="1"/>
  <c r="U722" i="1"/>
  <c r="V722" i="1"/>
  <c r="W722" i="1"/>
  <c r="AB722" i="1"/>
  <c r="AF722" i="1"/>
  <c r="AC723" i="1"/>
  <c r="AJ722" i="1"/>
  <c r="AK722" i="1"/>
  <c r="AM722" i="1"/>
  <c r="BF722" i="1"/>
  <c r="BG722" i="1"/>
  <c r="T723" i="1"/>
  <c r="U723" i="1"/>
  <c r="V723" i="1"/>
  <c r="W723" i="1"/>
  <c r="AB723" i="1"/>
  <c r="AF723" i="1"/>
  <c r="AC724" i="1"/>
  <c r="AJ723" i="1"/>
  <c r="AK723" i="1"/>
  <c r="AM723" i="1"/>
  <c r="BF723" i="1"/>
  <c r="BG723" i="1"/>
  <c r="T724" i="1"/>
  <c r="U724" i="1"/>
  <c r="V724" i="1"/>
  <c r="W724" i="1"/>
  <c r="AB724" i="1"/>
  <c r="AF724" i="1"/>
  <c r="K725" i="1"/>
  <c r="AC725" i="1"/>
  <c r="AJ724" i="1"/>
  <c r="AK724" i="1"/>
  <c r="AM724" i="1"/>
  <c r="BF724" i="1"/>
  <c r="BG724" i="1"/>
  <c r="T725" i="1"/>
  <c r="U725" i="1"/>
  <c r="V725" i="1"/>
  <c r="W725" i="1"/>
  <c r="AB725" i="1"/>
  <c r="AF725" i="1"/>
  <c r="K726" i="1"/>
  <c r="AC726" i="1"/>
  <c r="AJ725" i="1"/>
  <c r="AK725" i="1"/>
  <c r="AM725" i="1"/>
  <c r="BF725" i="1"/>
  <c r="BG725" i="1"/>
  <c r="T726" i="1"/>
  <c r="U726" i="1"/>
  <c r="V726" i="1"/>
  <c r="W726" i="1"/>
  <c r="AB726" i="1"/>
  <c r="AF726" i="1"/>
  <c r="K727" i="1"/>
  <c r="AC727" i="1"/>
  <c r="AJ726" i="1"/>
  <c r="AK726" i="1"/>
  <c r="AM726" i="1"/>
  <c r="BF726" i="1"/>
  <c r="BG726" i="1"/>
  <c r="T727" i="1"/>
  <c r="U727" i="1"/>
  <c r="V727" i="1"/>
  <c r="W727" i="1"/>
  <c r="AB727" i="1"/>
  <c r="AF727" i="1"/>
  <c r="AC728" i="1"/>
  <c r="AJ727" i="1"/>
  <c r="AK727" i="1"/>
  <c r="AM727" i="1"/>
  <c r="BF727" i="1"/>
  <c r="BG727" i="1"/>
  <c r="T728" i="1"/>
  <c r="U728" i="1"/>
  <c r="V728" i="1"/>
  <c r="W728" i="1"/>
  <c r="AB728" i="1"/>
  <c r="AF728" i="1"/>
  <c r="AC729" i="1"/>
  <c r="AJ728" i="1"/>
  <c r="AK728" i="1"/>
  <c r="AM728" i="1"/>
  <c r="BF728" i="1"/>
  <c r="BG728" i="1"/>
  <c r="T729" i="1"/>
  <c r="U729" i="1"/>
  <c r="V729" i="1"/>
  <c r="W729" i="1"/>
  <c r="AB729" i="1"/>
  <c r="AF729" i="1"/>
  <c r="K730" i="1"/>
  <c r="AC730" i="1"/>
  <c r="AJ729" i="1"/>
  <c r="AK729" i="1"/>
  <c r="AM729" i="1"/>
  <c r="BF729" i="1"/>
  <c r="BG729" i="1"/>
  <c r="T730" i="1"/>
  <c r="U730" i="1"/>
  <c r="V730" i="1"/>
  <c r="W730" i="1"/>
  <c r="AB730" i="1"/>
  <c r="AF730" i="1"/>
  <c r="K731" i="1"/>
  <c r="AC731" i="1"/>
  <c r="AJ730" i="1"/>
  <c r="AK730" i="1"/>
  <c r="AM730" i="1"/>
  <c r="BF730" i="1"/>
  <c r="BG730" i="1"/>
  <c r="T731" i="1"/>
  <c r="U731" i="1"/>
  <c r="V731" i="1"/>
  <c r="W731" i="1"/>
  <c r="AB731" i="1"/>
  <c r="AF731" i="1"/>
  <c r="K732" i="1"/>
  <c r="AC732" i="1"/>
  <c r="AJ731" i="1"/>
  <c r="AK731" i="1"/>
  <c r="AM731" i="1"/>
  <c r="BF731" i="1"/>
  <c r="BG731" i="1"/>
  <c r="T732" i="1"/>
  <c r="U732" i="1"/>
  <c r="V732" i="1"/>
  <c r="W732" i="1"/>
  <c r="AB732" i="1"/>
  <c r="AF732" i="1"/>
  <c r="K733" i="1"/>
  <c r="AC733" i="1"/>
  <c r="AJ732" i="1"/>
  <c r="AK732" i="1"/>
  <c r="AM732" i="1"/>
  <c r="BF732" i="1"/>
  <c r="BG732" i="1"/>
  <c r="T733" i="1"/>
  <c r="U733" i="1"/>
  <c r="V733" i="1"/>
  <c r="W733" i="1"/>
  <c r="AB733" i="1"/>
  <c r="AF733" i="1"/>
  <c r="K734" i="1"/>
  <c r="AC734" i="1"/>
  <c r="AJ733" i="1"/>
  <c r="AK733" i="1"/>
  <c r="AM733" i="1"/>
  <c r="BF733" i="1"/>
  <c r="BG733" i="1"/>
  <c r="T734" i="1"/>
  <c r="U734" i="1"/>
  <c r="V734" i="1"/>
  <c r="W734" i="1"/>
  <c r="AB734" i="1"/>
  <c r="AF734" i="1"/>
  <c r="K735" i="1"/>
  <c r="AC735" i="1"/>
  <c r="AJ734" i="1"/>
  <c r="AK734" i="1"/>
  <c r="AM734" i="1"/>
  <c r="BF734" i="1"/>
  <c r="BG734" i="1"/>
  <c r="T735" i="1"/>
  <c r="U735" i="1"/>
  <c r="V735" i="1"/>
  <c r="W735" i="1"/>
  <c r="AB735" i="1"/>
  <c r="AF735" i="1"/>
  <c r="K736" i="1"/>
  <c r="AC736" i="1"/>
  <c r="AJ735" i="1"/>
  <c r="AK735" i="1"/>
  <c r="AM735" i="1"/>
  <c r="BF735" i="1"/>
  <c r="BG735" i="1"/>
  <c r="T736" i="1"/>
  <c r="U736" i="1"/>
  <c r="V736" i="1"/>
  <c r="W736" i="1"/>
  <c r="AB736" i="1"/>
  <c r="AF736" i="1"/>
  <c r="K737" i="1"/>
  <c r="AC737" i="1"/>
  <c r="AJ736" i="1"/>
  <c r="AK736" i="1"/>
  <c r="AM736" i="1"/>
  <c r="BF736" i="1"/>
  <c r="BG736" i="1"/>
  <c r="T737" i="1"/>
  <c r="U737" i="1"/>
  <c r="V737" i="1"/>
  <c r="W737" i="1"/>
  <c r="AB737" i="1"/>
  <c r="AF737" i="1"/>
  <c r="K738" i="1"/>
  <c r="AC738" i="1"/>
  <c r="AJ737" i="1"/>
  <c r="AK737" i="1"/>
  <c r="AM737" i="1"/>
  <c r="BF737" i="1"/>
  <c r="BG737" i="1"/>
  <c r="T738" i="1"/>
  <c r="U738" i="1"/>
  <c r="V738" i="1"/>
  <c r="W738" i="1"/>
  <c r="AB738" i="1"/>
  <c r="AF738" i="1"/>
  <c r="K739" i="1"/>
  <c r="AC739" i="1"/>
  <c r="AJ738" i="1"/>
  <c r="AK738" i="1"/>
  <c r="AM738" i="1"/>
  <c r="BF738" i="1"/>
  <c r="BG738" i="1"/>
  <c r="T739" i="1"/>
  <c r="U739" i="1"/>
  <c r="V739" i="1"/>
  <c r="W739" i="1"/>
  <c r="AB739" i="1"/>
  <c r="AF739" i="1"/>
  <c r="K740" i="1"/>
  <c r="AC740" i="1"/>
  <c r="AJ739" i="1"/>
  <c r="AK739" i="1"/>
  <c r="AM739" i="1"/>
  <c r="BF739" i="1"/>
  <c r="BG739" i="1"/>
  <c r="T740" i="1"/>
  <c r="U740" i="1"/>
  <c r="V740" i="1"/>
  <c r="W740" i="1"/>
  <c r="AB740" i="1"/>
  <c r="AF740" i="1"/>
  <c r="K741" i="1"/>
  <c r="AC741" i="1"/>
  <c r="AJ740" i="1"/>
  <c r="AK740" i="1"/>
  <c r="AM740" i="1"/>
  <c r="BF740" i="1"/>
  <c r="BG740" i="1"/>
  <c r="T741" i="1"/>
  <c r="U741" i="1"/>
  <c r="V741" i="1"/>
  <c r="W741" i="1"/>
  <c r="AB741" i="1"/>
  <c r="AF741" i="1"/>
  <c r="AC742" i="1"/>
  <c r="AJ741" i="1"/>
  <c r="AK741" i="1"/>
  <c r="AM741" i="1"/>
  <c r="BF741" i="1"/>
  <c r="BG741" i="1"/>
  <c r="T742" i="1"/>
  <c r="U742" i="1"/>
  <c r="V742" i="1"/>
  <c r="W742" i="1"/>
  <c r="AB742" i="1"/>
  <c r="AF742" i="1"/>
  <c r="AC743" i="1"/>
  <c r="AJ742" i="1"/>
  <c r="AK742" i="1"/>
  <c r="AM742" i="1"/>
  <c r="BF742" i="1"/>
  <c r="BG742" i="1"/>
  <c r="T743" i="1"/>
  <c r="U743" i="1"/>
  <c r="V743" i="1"/>
  <c r="W743" i="1"/>
  <c r="AB743" i="1"/>
  <c r="AF743" i="1"/>
  <c r="K744" i="1"/>
  <c r="AC744" i="1"/>
  <c r="AJ743" i="1"/>
  <c r="AK743" i="1"/>
  <c r="AM743" i="1"/>
  <c r="BF743" i="1"/>
  <c r="BG743" i="1"/>
  <c r="T744" i="1"/>
  <c r="U744" i="1"/>
  <c r="V744" i="1"/>
  <c r="W744" i="1"/>
  <c r="AB744" i="1"/>
  <c r="AF744" i="1"/>
  <c r="K745" i="1"/>
  <c r="AC745" i="1"/>
  <c r="AJ744" i="1"/>
  <c r="AK744" i="1"/>
  <c r="AM744" i="1"/>
  <c r="BF744" i="1"/>
  <c r="BG744" i="1"/>
  <c r="T745" i="1"/>
  <c r="U745" i="1"/>
  <c r="V745" i="1"/>
  <c r="W745" i="1"/>
  <c r="AB745" i="1"/>
  <c r="AF745" i="1"/>
  <c r="K746" i="1"/>
  <c r="AC746" i="1"/>
  <c r="AJ745" i="1"/>
  <c r="AK745" i="1"/>
  <c r="AM745" i="1"/>
  <c r="BF745" i="1"/>
  <c r="BG745" i="1"/>
  <c r="T746" i="1"/>
  <c r="U746" i="1"/>
  <c r="V746" i="1"/>
  <c r="W746" i="1"/>
  <c r="AB746" i="1"/>
  <c r="AF746" i="1"/>
  <c r="K747" i="1"/>
  <c r="AC747" i="1"/>
  <c r="AJ746" i="1"/>
  <c r="AK746" i="1"/>
  <c r="AM746" i="1"/>
  <c r="BF746" i="1"/>
  <c r="BG746" i="1"/>
  <c r="T747" i="1"/>
  <c r="U747" i="1"/>
  <c r="V747" i="1"/>
  <c r="W747" i="1"/>
  <c r="AB747" i="1"/>
  <c r="AF747" i="1"/>
  <c r="K748" i="1"/>
  <c r="AC748" i="1"/>
  <c r="AJ747" i="1"/>
  <c r="AK747" i="1"/>
  <c r="AM747" i="1"/>
  <c r="BF747" i="1"/>
  <c r="BG747" i="1"/>
  <c r="T748" i="1"/>
  <c r="U748" i="1"/>
  <c r="V748" i="1"/>
  <c r="W748" i="1"/>
  <c r="AB748" i="1"/>
  <c r="AF748" i="1"/>
  <c r="AC749" i="1"/>
  <c r="AJ748" i="1"/>
  <c r="AK748" i="1"/>
  <c r="AM748" i="1"/>
  <c r="BF748" i="1"/>
  <c r="BG748" i="1"/>
  <c r="T749" i="1"/>
  <c r="U749" i="1"/>
  <c r="V749" i="1"/>
  <c r="W749" i="1"/>
  <c r="AB749" i="1"/>
  <c r="AF749" i="1"/>
  <c r="AC750" i="1"/>
  <c r="AJ749" i="1"/>
  <c r="AK749" i="1"/>
  <c r="AM749" i="1"/>
  <c r="BF749" i="1"/>
  <c r="BG749" i="1"/>
  <c r="T750" i="1"/>
  <c r="U750" i="1"/>
  <c r="V750" i="1"/>
  <c r="W750" i="1"/>
  <c r="AB750" i="1"/>
  <c r="AF750" i="1"/>
  <c r="K751" i="1"/>
  <c r="AC751" i="1"/>
  <c r="AJ750" i="1"/>
  <c r="AK750" i="1"/>
  <c r="AM750" i="1"/>
  <c r="BF750" i="1"/>
  <c r="BG750" i="1"/>
  <c r="T751" i="1"/>
  <c r="U751" i="1"/>
  <c r="V751" i="1"/>
  <c r="W751" i="1"/>
  <c r="AB751" i="1"/>
  <c r="AF751" i="1"/>
  <c r="AC752" i="1"/>
  <c r="AJ751" i="1"/>
  <c r="AK751" i="1"/>
  <c r="AM751" i="1"/>
  <c r="BF751" i="1"/>
  <c r="BG751" i="1"/>
  <c r="T752" i="1"/>
  <c r="U752" i="1"/>
  <c r="V752" i="1"/>
  <c r="W752" i="1"/>
  <c r="AB752" i="1"/>
  <c r="AF752" i="1"/>
  <c r="AC753" i="1"/>
  <c r="AJ752" i="1"/>
  <c r="AK752" i="1"/>
  <c r="AM752" i="1"/>
  <c r="BF752" i="1"/>
  <c r="BG752" i="1"/>
  <c r="T753" i="1"/>
  <c r="U753" i="1"/>
  <c r="V753" i="1"/>
  <c r="W753" i="1"/>
  <c r="AB753" i="1"/>
  <c r="AF753" i="1"/>
  <c r="K754" i="1"/>
  <c r="AC754" i="1"/>
  <c r="AJ753" i="1"/>
  <c r="AK753" i="1"/>
  <c r="AM753" i="1"/>
  <c r="BF753" i="1"/>
  <c r="BG753" i="1"/>
  <c r="T754" i="1"/>
  <c r="U754" i="1"/>
  <c r="V754" i="1"/>
  <c r="W754" i="1"/>
  <c r="AB754" i="1"/>
  <c r="AF754" i="1"/>
  <c r="K755" i="1"/>
  <c r="AC755" i="1"/>
  <c r="AJ754" i="1"/>
  <c r="AK754" i="1"/>
  <c r="AM754" i="1"/>
  <c r="BF754" i="1"/>
  <c r="BG754" i="1"/>
  <c r="T755" i="1"/>
  <c r="U755" i="1"/>
  <c r="V755" i="1"/>
  <c r="W755" i="1"/>
  <c r="AB755" i="1"/>
  <c r="AF755" i="1"/>
  <c r="AC756" i="1"/>
  <c r="AJ755" i="1"/>
  <c r="AK755" i="1"/>
  <c r="AM755" i="1"/>
  <c r="BF755" i="1"/>
  <c r="BG755" i="1"/>
  <c r="T756" i="1"/>
  <c r="U756" i="1"/>
  <c r="V756" i="1"/>
  <c r="W756" i="1"/>
  <c r="AB756" i="1"/>
  <c r="AF756" i="1"/>
  <c r="AC757" i="1"/>
  <c r="AJ756" i="1"/>
  <c r="AK756" i="1"/>
  <c r="AM756" i="1"/>
  <c r="BF756" i="1"/>
  <c r="BG756" i="1"/>
  <c r="T757" i="1"/>
  <c r="U757" i="1"/>
  <c r="V757" i="1"/>
  <c r="W757" i="1"/>
  <c r="AB757" i="1"/>
  <c r="AF757" i="1"/>
  <c r="K758" i="1"/>
  <c r="AC758" i="1"/>
  <c r="AJ757" i="1"/>
  <c r="AK757" i="1"/>
  <c r="AM757" i="1"/>
  <c r="BF757" i="1"/>
  <c r="BG757" i="1"/>
  <c r="T758" i="1"/>
  <c r="U758" i="1"/>
  <c r="V758" i="1"/>
  <c r="W758" i="1"/>
  <c r="AB758" i="1"/>
  <c r="AF758" i="1"/>
  <c r="K759" i="1"/>
  <c r="AC759" i="1"/>
  <c r="AJ758" i="1"/>
  <c r="AK758" i="1"/>
  <c r="AM758" i="1"/>
  <c r="BF758" i="1"/>
  <c r="BG758" i="1"/>
  <c r="T759" i="1"/>
  <c r="U759" i="1"/>
  <c r="V759" i="1"/>
  <c r="W759" i="1"/>
  <c r="AB759" i="1"/>
  <c r="AF759" i="1"/>
  <c r="K760" i="1"/>
  <c r="AC760" i="1"/>
  <c r="AJ759" i="1"/>
  <c r="AK759" i="1"/>
  <c r="AM759" i="1"/>
  <c r="BF759" i="1"/>
  <c r="BG759" i="1"/>
  <c r="T760" i="1"/>
  <c r="U760" i="1"/>
  <c r="V760" i="1"/>
  <c r="W760" i="1"/>
  <c r="AB760" i="1"/>
  <c r="AF760" i="1"/>
  <c r="K761" i="1"/>
  <c r="AC761" i="1"/>
  <c r="AJ760" i="1"/>
  <c r="AK760" i="1"/>
  <c r="AM760" i="1"/>
  <c r="BF760" i="1"/>
  <c r="BG760" i="1"/>
  <c r="T761" i="1"/>
  <c r="U761" i="1"/>
  <c r="V761" i="1"/>
  <c r="W761" i="1"/>
  <c r="AB761" i="1"/>
  <c r="AF761" i="1"/>
  <c r="K762" i="1"/>
  <c r="AC762" i="1"/>
  <c r="AJ761" i="1"/>
  <c r="AK761" i="1"/>
  <c r="AM761" i="1"/>
  <c r="BF761" i="1"/>
  <c r="BG761" i="1"/>
  <c r="T762" i="1"/>
  <c r="U762" i="1"/>
  <c r="V762" i="1"/>
  <c r="W762" i="1"/>
  <c r="AB762" i="1"/>
  <c r="AF762" i="1"/>
  <c r="K763" i="1"/>
  <c r="AC763" i="1"/>
  <c r="AJ762" i="1"/>
  <c r="AK762" i="1"/>
  <c r="AM762" i="1"/>
  <c r="BF762" i="1"/>
  <c r="BG762" i="1"/>
  <c r="T763" i="1"/>
  <c r="U763" i="1"/>
  <c r="V763" i="1"/>
  <c r="W763" i="1"/>
  <c r="AB763" i="1"/>
  <c r="AF763" i="1"/>
  <c r="K764" i="1"/>
  <c r="AC764" i="1"/>
  <c r="AJ763" i="1"/>
  <c r="AK763" i="1"/>
  <c r="AM763" i="1"/>
  <c r="BF763" i="1"/>
  <c r="BG763" i="1"/>
  <c r="T764" i="1"/>
  <c r="U764" i="1"/>
  <c r="V764" i="1"/>
  <c r="W764" i="1"/>
  <c r="AB764" i="1"/>
  <c r="AF764" i="1"/>
  <c r="K765" i="1"/>
  <c r="AC765" i="1"/>
  <c r="AJ764" i="1"/>
  <c r="AK764" i="1"/>
  <c r="AM764" i="1"/>
  <c r="BF764" i="1"/>
  <c r="BG764" i="1"/>
  <c r="T765" i="1"/>
  <c r="U765" i="1"/>
  <c r="V765" i="1"/>
  <c r="W765" i="1"/>
  <c r="AB765" i="1"/>
  <c r="AF765" i="1"/>
  <c r="K766" i="1"/>
  <c r="AC766" i="1"/>
  <c r="AJ765" i="1"/>
  <c r="AK765" i="1"/>
  <c r="AM765" i="1"/>
  <c r="BF765" i="1"/>
  <c r="BG765" i="1"/>
  <c r="T766" i="1"/>
  <c r="U766" i="1"/>
  <c r="V766" i="1"/>
  <c r="W766" i="1"/>
  <c r="AB766" i="1"/>
  <c r="AF766" i="1"/>
  <c r="AC767" i="1"/>
  <c r="AJ766" i="1"/>
  <c r="AK766" i="1"/>
  <c r="AM766" i="1"/>
  <c r="BF766" i="1"/>
  <c r="BG766" i="1"/>
  <c r="T767" i="1"/>
  <c r="U767" i="1"/>
  <c r="V767" i="1"/>
  <c r="W767" i="1"/>
  <c r="AB767" i="1"/>
  <c r="AF767" i="1"/>
  <c r="AC768" i="1"/>
  <c r="AJ767" i="1"/>
  <c r="AK767" i="1"/>
  <c r="AM767" i="1"/>
  <c r="BF767" i="1"/>
  <c r="BG767" i="1"/>
  <c r="T768" i="1"/>
  <c r="U768" i="1"/>
  <c r="V768" i="1"/>
  <c r="W768" i="1"/>
  <c r="AB768" i="1"/>
  <c r="AF768" i="1"/>
  <c r="K769" i="1"/>
  <c r="AC769" i="1"/>
  <c r="AJ768" i="1"/>
  <c r="AK768" i="1"/>
  <c r="AM768" i="1"/>
  <c r="BF768" i="1"/>
  <c r="BG768" i="1"/>
  <c r="T769" i="1"/>
  <c r="U769" i="1"/>
  <c r="V769" i="1"/>
  <c r="W769" i="1"/>
  <c r="AB769" i="1"/>
  <c r="AF769" i="1"/>
  <c r="AC770" i="1"/>
  <c r="AJ769" i="1"/>
  <c r="AK769" i="1"/>
  <c r="AM769" i="1"/>
  <c r="BF769" i="1"/>
  <c r="BG769" i="1"/>
  <c r="T770" i="1"/>
  <c r="U770" i="1"/>
  <c r="V770" i="1"/>
  <c r="W770" i="1"/>
  <c r="AB770" i="1"/>
  <c r="AF770" i="1"/>
  <c r="AC771" i="1"/>
  <c r="AJ770" i="1"/>
  <c r="AK770" i="1"/>
  <c r="AM770" i="1"/>
  <c r="BF770" i="1"/>
  <c r="BG770" i="1"/>
  <c r="T771" i="1"/>
  <c r="U771" i="1"/>
  <c r="V771" i="1"/>
  <c r="W771" i="1"/>
  <c r="AB771" i="1"/>
  <c r="AF771" i="1"/>
  <c r="K772" i="1"/>
  <c r="AC772" i="1"/>
  <c r="AJ771" i="1"/>
  <c r="AK771" i="1"/>
  <c r="AM771" i="1"/>
  <c r="BF771" i="1"/>
  <c r="BG771" i="1"/>
  <c r="T772" i="1"/>
  <c r="U772" i="1"/>
  <c r="V772" i="1"/>
  <c r="W772" i="1"/>
  <c r="AB772" i="1"/>
  <c r="AF772" i="1"/>
  <c r="K773" i="1"/>
  <c r="AC773" i="1"/>
  <c r="AJ772" i="1"/>
  <c r="AK772" i="1"/>
  <c r="AM772" i="1"/>
  <c r="BF772" i="1"/>
  <c r="BG772" i="1"/>
  <c r="T773" i="1"/>
  <c r="U773" i="1"/>
  <c r="V773" i="1"/>
  <c r="W773" i="1"/>
  <c r="AB773" i="1"/>
  <c r="AF773" i="1"/>
  <c r="AC774" i="1"/>
  <c r="AJ773" i="1"/>
  <c r="AK773" i="1"/>
  <c r="AM773" i="1"/>
  <c r="BF773" i="1"/>
  <c r="BG773" i="1"/>
  <c r="T774" i="1"/>
  <c r="U774" i="1"/>
  <c r="V774" i="1"/>
  <c r="W774" i="1"/>
  <c r="AB774" i="1"/>
  <c r="AF774" i="1"/>
  <c r="AC775" i="1"/>
  <c r="AJ774" i="1"/>
  <c r="AK774" i="1"/>
  <c r="AM774" i="1"/>
  <c r="BF774" i="1"/>
  <c r="BG774" i="1"/>
  <c r="T775" i="1"/>
  <c r="U775" i="1"/>
  <c r="V775" i="1"/>
  <c r="W775" i="1"/>
  <c r="AB775" i="1"/>
  <c r="AF775" i="1"/>
  <c r="K776" i="1"/>
  <c r="AC776" i="1"/>
  <c r="AJ775" i="1"/>
  <c r="AK775" i="1"/>
  <c r="AM775" i="1"/>
  <c r="BF775" i="1"/>
  <c r="BG775" i="1"/>
  <c r="T776" i="1"/>
  <c r="U776" i="1"/>
  <c r="V776" i="1"/>
  <c r="W776" i="1"/>
  <c r="AB776" i="1"/>
  <c r="AF776" i="1"/>
  <c r="AC777" i="1"/>
  <c r="AJ776" i="1"/>
  <c r="AK776" i="1"/>
  <c r="AM776" i="1"/>
  <c r="BF776" i="1"/>
  <c r="BG776" i="1"/>
  <c r="T777" i="1"/>
  <c r="U777" i="1"/>
  <c r="V777" i="1"/>
  <c r="W777" i="1"/>
  <c r="AB777" i="1"/>
  <c r="AF777" i="1"/>
  <c r="AC778" i="1"/>
  <c r="AJ777" i="1"/>
  <c r="AK777" i="1"/>
  <c r="AM777" i="1"/>
  <c r="BF777" i="1"/>
  <c r="BG777" i="1"/>
  <c r="T778" i="1"/>
  <c r="U778" i="1"/>
  <c r="V778" i="1"/>
  <c r="W778" i="1"/>
  <c r="AB778" i="1"/>
  <c r="AF778" i="1"/>
  <c r="K779" i="1"/>
  <c r="AC779" i="1"/>
  <c r="AJ778" i="1"/>
  <c r="AK778" i="1"/>
  <c r="AM778" i="1"/>
  <c r="BF778" i="1"/>
  <c r="BG778" i="1"/>
  <c r="T779" i="1"/>
  <c r="U779" i="1"/>
  <c r="V779" i="1"/>
  <c r="W779" i="1"/>
  <c r="AB779" i="1"/>
  <c r="AF779" i="1"/>
  <c r="AC780" i="1"/>
  <c r="AJ779" i="1"/>
  <c r="AK779" i="1"/>
  <c r="AM779" i="1"/>
  <c r="BF779" i="1"/>
  <c r="BG779" i="1"/>
  <c r="T780" i="1"/>
  <c r="U780" i="1"/>
  <c r="V780" i="1"/>
  <c r="W780" i="1"/>
  <c r="AB780" i="1"/>
  <c r="AF780" i="1"/>
  <c r="AC781" i="1"/>
  <c r="AJ780" i="1"/>
  <c r="AK780" i="1"/>
  <c r="AM780" i="1"/>
  <c r="BF780" i="1"/>
  <c r="BG780" i="1"/>
  <c r="T781" i="1"/>
  <c r="U781" i="1"/>
  <c r="V781" i="1"/>
  <c r="W781" i="1"/>
  <c r="AB781" i="1"/>
  <c r="AF781" i="1"/>
  <c r="K782" i="1"/>
  <c r="AC782" i="1"/>
  <c r="AJ781" i="1"/>
  <c r="AK781" i="1"/>
  <c r="AM781" i="1"/>
  <c r="BF781" i="1"/>
  <c r="BG781" i="1"/>
  <c r="T782" i="1"/>
  <c r="U782" i="1"/>
  <c r="V782" i="1"/>
  <c r="W782" i="1"/>
  <c r="AB782" i="1"/>
  <c r="AF782" i="1"/>
  <c r="AC783" i="1"/>
  <c r="AJ782" i="1"/>
  <c r="AK782" i="1"/>
  <c r="AM782" i="1"/>
  <c r="BF782" i="1"/>
  <c r="BG782" i="1"/>
  <c r="T783" i="1"/>
  <c r="U783" i="1"/>
  <c r="V783" i="1"/>
  <c r="W783" i="1"/>
  <c r="AB783" i="1"/>
  <c r="AF783" i="1"/>
  <c r="AC784" i="1"/>
  <c r="AJ783" i="1"/>
  <c r="AK783" i="1"/>
  <c r="AM783" i="1"/>
  <c r="BF783" i="1"/>
  <c r="BG783" i="1"/>
  <c r="T784" i="1"/>
  <c r="U784" i="1"/>
  <c r="V784" i="1"/>
  <c r="W784" i="1"/>
  <c r="AB784" i="1"/>
  <c r="AF784" i="1"/>
  <c r="K785" i="1"/>
  <c r="AC785" i="1"/>
  <c r="AJ784" i="1"/>
  <c r="AK784" i="1"/>
  <c r="AM784" i="1"/>
  <c r="BF784" i="1"/>
  <c r="BG784" i="1"/>
  <c r="T785" i="1"/>
  <c r="U785" i="1"/>
  <c r="V785" i="1"/>
  <c r="W785" i="1"/>
  <c r="AB785" i="1"/>
  <c r="AF785" i="1"/>
  <c r="K786" i="1"/>
  <c r="AC786" i="1"/>
  <c r="AJ785" i="1"/>
  <c r="AK785" i="1"/>
  <c r="AM785" i="1"/>
  <c r="BF785" i="1"/>
  <c r="BG785" i="1"/>
  <c r="T786" i="1"/>
  <c r="U786" i="1"/>
  <c r="V786" i="1"/>
  <c r="W786" i="1"/>
  <c r="AB786" i="1"/>
  <c r="AF786" i="1"/>
  <c r="K787" i="1"/>
  <c r="AC787" i="1"/>
  <c r="AJ786" i="1"/>
  <c r="AK786" i="1"/>
  <c r="AM786" i="1"/>
  <c r="BF786" i="1"/>
  <c r="BG786" i="1"/>
  <c r="T787" i="1"/>
  <c r="U787" i="1"/>
  <c r="V787" i="1"/>
  <c r="W787" i="1"/>
  <c r="AB787" i="1"/>
  <c r="AF787" i="1"/>
  <c r="K788" i="1"/>
  <c r="AC788" i="1"/>
  <c r="AJ787" i="1"/>
  <c r="AK787" i="1"/>
  <c r="AM787" i="1"/>
  <c r="BF787" i="1"/>
  <c r="BG787" i="1"/>
  <c r="T788" i="1"/>
  <c r="U788" i="1"/>
  <c r="V788" i="1"/>
  <c r="W788" i="1"/>
  <c r="AB788" i="1"/>
  <c r="AF788" i="1"/>
  <c r="K789" i="1"/>
  <c r="AC789" i="1"/>
  <c r="AJ788" i="1"/>
  <c r="AK788" i="1"/>
  <c r="AM788" i="1"/>
  <c r="BF788" i="1"/>
  <c r="BG788" i="1"/>
  <c r="T789" i="1"/>
  <c r="U789" i="1"/>
  <c r="V789" i="1"/>
  <c r="W789" i="1"/>
  <c r="AB789" i="1"/>
  <c r="AF789" i="1"/>
  <c r="AC790" i="1"/>
  <c r="AJ789" i="1"/>
  <c r="AK789" i="1"/>
  <c r="AM789" i="1"/>
  <c r="BF789" i="1"/>
  <c r="BG789" i="1"/>
  <c r="T790" i="1"/>
  <c r="U790" i="1"/>
  <c r="V790" i="1"/>
  <c r="W790" i="1"/>
  <c r="AB790" i="1"/>
  <c r="AF790" i="1"/>
  <c r="AC791" i="1"/>
  <c r="AJ790" i="1"/>
  <c r="AK790" i="1"/>
  <c r="AM790" i="1"/>
  <c r="BF790" i="1"/>
  <c r="BG790" i="1"/>
  <c r="T791" i="1"/>
  <c r="U791" i="1"/>
  <c r="V791" i="1"/>
  <c r="W791" i="1"/>
  <c r="AB791" i="1"/>
  <c r="AF791" i="1"/>
  <c r="K792" i="1"/>
  <c r="AC792" i="1"/>
  <c r="AJ791" i="1"/>
  <c r="AK791" i="1"/>
  <c r="AM791" i="1"/>
  <c r="BF791" i="1"/>
  <c r="BG791" i="1"/>
  <c r="T792" i="1"/>
  <c r="U792" i="1"/>
  <c r="V792" i="1"/>
  <c r="W792" i="1"/>
  <c r="AB792" i="1"/>
  <c r="AF792" i="1"/>
  <c r="AC793" i="1"/>
  <c r="AJ792" i="1"/>
  <c r="AK792" i="1"/>
  <c r="AM792" i="1"/>
  <c r="BF792" i="1"/>
  <c r="BG792" i="1"/>
  <c r="T793" i="1"/>
  <c r="U793" i="1"/>
  <c r="V793" i="1"/>
  <c r="W793" i="1"/>
  <c r="AB793" i="1"/>
  <c r="AF793" i="1"/>
  <c r="AC794" i="1"/>
  <c r="AJ793" i="1"/>
  <c r="AK793" i="1"/>
  <c r="AM793" i="1"/>
  <c r="BF793" i="1"/>
  <c r="BG793" i="1"/>
  <c r="T794" i="1"/>
  <c r="U794" i="1"/>
  <c r="V794" i="1"/>
  <c r="W794" i="1"/>
  <c r="AB794" i="1"/>
  <c r="AF794" i="1"/>
  <c r="K795" i="1"/>
  <c r="AC795" i="1"/>
  <c r="AJ794" i="1"/>
  <c r="AK794" i="1"/>
  <c r="AM794" i="1"/>
  <c r="BF794" i="1"/>
  <c r="BG794" i="1"/>
  <c r="T795" i="1"/>
  <c r="U795" i="1"/>
  <c r="V795" i="1"/>
  <c r="W795" i="1"/>
  <c r="AB795" i="1"/>
  <c r="AF795" i="1"/>
  <c r="AC796" i="1"/>
  <c r="AJ795" i="1"/>
  <c r="AK795" i="1"/>
  <c r="AM795" i="1"/>
  <c r="BF795" i="1"/>
  <c r="BG795" i="1"/>
  <c r="T796" i="1"/>
  <c r="U796" i="1"/>
  <c r="V796" i="1"/>
  <c r="W796" i="1"/>
  <c r="AB796" i="1"/>
  <c r="AF796" i="1"/>
  <c r="AC797" i="1"/>
  <c r="AJ796" i="1"/>
  <c r="AK796" i="1"/>
  <c r="AM796" i="1"/>
  <c r="BF796" i="1"/>
  <c r="BG796" i="1"/>
  <c r="T797" i="1"/>
  <c r="U797" i="1"/>
  <c r="V797" i="1"/>
  <c r="W797" i="1"/>
  <c r="AB797" i="1"/>
  <c r="AF797" i="1"/>
  <c r="K798" i="1"/>
  <c r="AC798" i="1"/>
  <c r="AJ797" i="1"/>
  <c r="AK797" i="1"/>
  <c r="AM797" i="1"/>
  <c r="BF797" i="1"/>
  <c r="BG797" i="1"/>
  <c r="T798" i="1"/>
  <c r="U798" i="1"/>
  <c r="V798" i="1"/>
  <c r="W798" i="1"/>
  <c r="AB798" i="1"/>
  <c r="AF798" i="1"/>
  <c r="K799" i="1"/>
  <c r="AC799" i="1"/>
  <c r="AJ798" i="1"/>
  <c r="AK798" i="1"/>
  <c r="AM798" i="1"/>
  <c r="BF798" i="1"/>
  <c r="BG798" i="1"/>
  <c r="T799" i="1"/>
  <c r="U799" i="1"/>
  <c r="V799" i="1"/>
  <c r="W799" i="1"/>
  <c r="AB799" i="1"/>
  <c r="AF799" i="1"/>
  <c r="K800" i="1"/>
  <c r="AC800" i="1"/>
  <c r="AJ799" i="1"/>
  <c r="AK799" i="1"/>
  <c r="AM799" i="1"/>
  <c r="BF799" i="1"/>
  <c r="BG799" i="1"/>
  <c r="T800" i="1"/>
  <c r="U800" i="1"/>
  <c r="V800" i="1"/>
  <c r="W800" i="1"/>
  <c r="AB800" i="1"/>
  <c r="AF800" i="1"/>
  <c r="K801" i="1"/>
  <c r="AC801" i="1"/>
  <c r="AJ800" i="1"/>
  <c r="AK800" i="1"/>
  <c r="AM800" i="1"/>
  <c r="BF800" i="1"/>
  <c r="BG800" i="1"/>
  <c r="T801" i="1"/>
  <c r="U801" i="1"/>
  <c r="V801" i="1"/>
  <c r="W801" i="1"/>
  <c r="AB801" i="1"/>
  <c r="AF801" i="1"/>
  <c r="K802" i="1"/>
  <c r="AC802" i="1"/>
  <c r="AJ801" i="1"/>
  <c r="AK801" i="1"/>
  <c r="AM801" i="1"/>
  <c r="BF801" i="1"/>
  <c r="BG801" i="1"/>
  <c r="T802" i="1"/>
  <c r="U802" i="1"/>
  <c r="V802" i="1"/>
  <c r="W802" i="1"/>
  <c r="AB802" i="1"/>
  <c r="AF802" i="1"/>
  <c r="AC803" i="1"/>
  <c r="AJ802" i="1"/>
  <c r="AK802" i="1"/>
  <c r="AM802" i="1"/>
  <c r="BF802" i="1"/>
  <c r="BG802" i="1"/>
  <c r="T803" i="1"/>
  <c r="U803" i="1"/>
  <c r="V803" i="1"/>
  <c r="W803" i="1"/>
  <c r="AB803" i="1"/>
  <c r="AF803" i="1"/>
  <c r="AC804" i="1"/>
  <c r="AJ803" i="1"/>
  <c r="AK803" i="1"/>
  <c r="AM803" i="1"/>
  <c r="BF803" i="1"/>
  <c r="BG803" i="1"/>
  <c r="T804" i="1"/>
  <c r="U804" i="1"/>
  <c r="V804" i="1"/>
  <c r="W804" i="1"/>
  <c r="AB804" i="1"/>
  <c r="AF804" i="1"/>
  <c r="K805" i="1"/>
  <c r="AC805" i="1"/>
  <c r="AJ804" i="1"/>
  <c r="AK804" i="1"/>
  <c r="AM804" i="1"/>
  <c r="BF804" i="1"/>
  <c r="BG804" i="1"/>
  <c r="T805" i="1"/>
  <c r="U805" i="1"/>
  <c r="V805" i="1"/>
  <c r="W805" i="1"/>
  <c r="AB805" i="1"/>
  <c r="AF805" i="1"/>
  <c r="AC806" i="1"/>
  <c r="AJ805" i="1"/>
  <c r="AK805" i="1"/>
  <c r="AM805" i="1"/>
  <c r="BF805" i="1"/>
  <c r="BG805" i="1"/>
  <c r="T806" i="1"/>
  <c r="U806" i="1"/>
  <c r="V806" i="1"/>
  <c r="W806" i="1"/>
  <c r="AB806" i="1"/>
  <c r="AF806" i="1"/>
  <c r="AC807" i="1"/>
  <c r="AJ806" i="1"/>
  <c r="AK806" i="1"/>
  <c r="AM806" i="1"/>
  <c r="BF806" i="1"/>
  <c r="BG806" i="1"/>
  <c r="T807" i="1"/>
  <c r="U807" i="1"/>
  <c r="V807" i="1"/>
  <c r="W807" i="1"/>
  <c r="AB807" i="1"/>
  <c r="AF807" i="1"/>
  <c r="K808" i="1"/>
  <c r="AC808" i="1"/>
  <c r="AJ807" i="1"/>
  <c r="AK807" i="1"/>
  <c r="AM807" i="1"/>
  <c r="BF807" i="1"/>
  <c r="BG807" i="1"/>
  <c r="T808" i="1"/>
  <c r="U808" i="1"/>
  <c r="V808" i="1"/>
  <c r="W808" i="1"/>
  <c r="AB808" i="1"/>
  <c r="AF808" i="1"/>
  <c r="AC809" i="1"/>
  <c r="AJ808" i="1"/>
  <c r="AK808" i="1"/>
  <c r="AM808" i="1"/>
  <c r="BF808" i="1"/>
  <c r="BG808" i="1"/>
  <c r="T809" i="1"/>
  <c r="U809" i="1"/>
  <c r="V809" i="1"/>
  <c r="W809" i="1"/>
  <c r="AB809" i="1"/>
  <c r="AF809" i="1"/>
  <c r="AC810" i="1"/>
  <c r="AJ809" i="1"/>
  <c r="AK809" i="1"/>
  <c r="AM809" i="1"/>
  <c r="BF809" i="1"/>
  <c r="BG809" i="1"/>
  <c r="T810" i="1"/>
  <c r="U810" i="1"/>
  <c r="V810" i="1"/>
  <c r="W810" i="1"/>
  <c r="AB810" i="1"/>
  <c r="AF810" i="1"/>
  <c r="K811" i="1"/>
  <c r="AC811" i="1"/>
  <c r="AJ810" i="1"/>
  <c r="AK810" i="1"/>
  <c r="AM810" i="1"/>
  <c r="BF810" i="1"/>
  <c r="BG810" i="1"/>
  <c r="T811" i="1"/>
  <c r="U811" i="1"/>
  <c r="V811" i="1"/>
  <c r="W811" i="1"/>
  <c r="AB811" i="1"/>
  <c r="AF811" i="1"/>
  <c r="AC812" i="1"/>
  <c r="AJ811" i="1"/>
  <c r="AK811" i="1"/>
  <c r="AM811" i="1"/>
  <c r="BF811" i="1"/>
  <c r="BG811" i="1"/>
  <c r="T812" i="1"/>
  <c r="U812" i="1"/>
  <c r="V812" i="1"/>
  <c r="W812" i="1"/>
  <c r="AB812" i="1"/>
  <c r="AF812" i="1"/>
  <c r="AC813" i="1"/>
  <c r="AJ812" i="1"/>
  <c r="AK812" i="1"/>
  <c r="AM812" i="1"/>
  <c r="BF812" i="1"/>
  <c r="BG812" i="1"/>
  <c r="T813" i="1"/>
  <c r="U813" i="1"/>
  <c r="V813" i="1"/>
  <c r="W813" i="1"/>
  <c r="AB813" i="1"/>
  <c r="AF813" i="1"/>
  <c r="K814" i="1"/>
  <c r="AC814" i="1"/>
  <c r="AJ813" i="1"/>
  <c r="AK813" i="1"/>
  <c r="AM813" i="1"/>
  <c r="BF813" i="1"/>
  <c r="BG813" i="1"/>
  <c r="T814" i="1"/>
  <c r="U814" i="1"/>
  <c r="V814" i="1"/>
  <c r="W814" i="1"/>
  <c r="AB814" i="1"/>
  <c r="AF814" i="1"/>
  <c r="K815" i="1"/>
  <c r="AC815" i="1"/>
  <c r="AJ814" i="1"/>
  <c r="AK814" i="1"/>
  <c r="AM814" i="1"/>
  <c r="BF814" i="1"/>
  <c r="BG814" i="1"/>
  <c r="T815" i="1"/>
  <c r="U815" i="1"/>
  <c r="V815" i="1"/>
  <c r="W815" i="1"/>
  <c r="AB815" i="1"/>
  <c r="AF815" i="1"/>
  <c r="K816" i="1"/>
  <c r="AC816" i="1"/>
  <c r="AJ815" i="1"/>
  <c r="AK815" i="1"/>
  <c r="AM815" i="1"/>
  <c r="BF815" i="1"/>
  <c r="BG815" i="1"/>
  <c r="T816" i="1"/>
  <c r="U816" i="1"/>
  <c r="V816" i="1"/>
  <c r="W816" i="1"/>
  <c r="AB816" i="1"/>
  <c r="AF816" i="1"/>
  <c r="K817" i="1"/>
  <c r="AC817" i="1"/>
  <c r="AJ816" i="1"/>
  <c r="AK816" i="1"/>
  <c r="AM816" i="1"/>
  <c r="BF816" i="1"/>
  <c r="BG816" i="1"/>
  <c r="T817" i="1"/>
  <c r="U817" i="1"/>
  <c r="V817" i="1"/>
  <c r="W817" i="1"/>
  <c r="AB817" i="1"/>
  <c r="AF817" i="1"/>
  <c r="AC818" i="1"/>
  <c r="AJ817" i="1"/>
  <c r="AK817" i="1"/>
  <c r="AM817" i="1"/>
  <c r="BF817" i="1"/>
  <c r="BG817" i="1"/>
  <c r="T818" i="1"/>
  <c r="U818" i="1"/>
  <c r="V818" i="1"/>
  <c r="W818" i="1"/>
  <c r="AB818" i="1"/>
  <c r="AF818" i="1"/>
  <c r="AC819" i="1"/>
  <c r="AJ818" i="1"/>
  <c r="AK818" i="1"/>
  <c r="AM818" i="1"/>
  <c r="BF818" i="1"/>
  <c r="BG818" i="1"/>
  <c r="T819" i="1"/>
  <c r="U819" i="1"/>
  <c r="V819" i="1"/>
  <c r="W819" i="1"/>
  <c r="AB819" i="1"/>
  <c r="AF819" i="1"/>
  <c r="K820" i="1"/>
  <c r="AC820" i="1"/>
  <c r="AJ819" i="1"/>
  <c r="AK819" i="1"/>
  <c r="AM819" i="1"/>
  <c r="BF819" i="1"/>
  <c r="BG819" i="1"/>
  <c r="T820" i="1"/>
  <c r="U820" i="1"/>
  <c r="V820" i="1"/>
  <c r="W820" i="1"/>
  <c r="AB820" i="1"/>
  <c r="AF820" i="1"/>
  <c r="K821" i="1"/>
  <c r="AC821" i="1"/>
  <c r="AJ820" i="1"/>
  <c r="AK820" i="1"/>
  <c r="AM820" i="1"/>
  <c r="BF820" i="1"/>
  <c r="BG820" i="1"/>
  <c r="T821" i="1"/>
  <c r="U821" i="1"/>
  <c r="V821" i="1"/>
  <c r="W821" i="1"/>
  <c r="AB821" i="1"/>
  <c r="AF821" i="1"/>
  <c r="K822" i="1"/>
  <c r="AC822" i="1"/>
  <c r="AJ821" i="1"/>
  <c r="AK821" i="1"/>
  <c r="AM821" i="1"/>
  <c r="BF821" i="1"/>
  <c r="BG821" i="1"/>
  <c r="T822" i="1"/>
  <c r="U822" i="1"/>
  <c r="V822" i="1"/>
  <c r="W822" i="1"/>
  <c r="AB822" i="1"/>
  <c r="AF822" i="1"/>
  <c r="AC823" i="1"/>
  <c r="AJ822" i="1"/>
  <c r="AK822" i="1"/>
  <c r="AM822" i="1"/>
  <c r="BF822" i="1"/>
  <c r="BG822" i="1"/>
  <c r="T823" i="1"/>
  <c r="U823" i="1"/>
  <c r="V823" i="1"/>
  <c r="W823" i="1"/>
  <c r="AB823" i="1"/>
  <c r="AF823" i="1"/>
  <c r="AC824" i="1"/>
  <c r="AJ823" i="1"/>
  <c r="AK823" i="1"/>
  <c r="AM823" i="1"/>
  <c r="BF823" i="1"/>
  <c r="BG823" i="1"/>
  <c r="T824" i="1"/>
  <c r="U824" i="1"/>
  <c r="V824" i="1"/>
  <c r="W824" i="1"/>
  <c r="AB824" i="1"/>
  <c r="AF824" i="1"/>
  <c r="K825" i="1"/>
  <c r="AC825" i="1"/>
  <c r="AJ824" i="1"/>
  <c r="AK824" i="1"/>
  <c r="AM824" i="1"/>
  <c r="BF824" i="1"/>
  <c r="BG824" i="1"/>
  <c r="T825" i="1"/>
  <c r="U825" i="1"/>
  <c r="V825" i="1"/>
  <c r="W825" i="1"/>
  <c r="AB825" i="1"/>
  <c r="AF825" i="1"/>
  <c r="K826" i="1"/>
  <c r="AC826" i="1"/>
  <c r="AJ825" i="1"/>
  <c r="AK825" i="1"/>
  <c r="AM825" i="1"/>
  <c r="BF825" i="1"/>
  <c r="BG825" i="1"/>
  <c r="T826" i="1"/>
  <c r="U826" i="1"/>
  <c r="V826" i="1"/>
  <c r="W826" i="1"/>
  <c r="AB826" i="1"/>
  <c r="AF826" i="1"/>
  <c r="K827" i="1"/>
  <c r="AC827" i="1"/>
  <c r="AJ826" i="1"/>
  <c r="AK826" i="1"/>
  <c r="AM826" i="1"/>
  <c r="BF826" i="1"/>
  <c r="BG826" i="1"/>
  <c r="T827" i="1"/>
  <c r="U827" i="1"/>
  <c r="V827" i="1"/>
  <c r="W827" i="1"/>
  <c r="AB827" i="1"/>
  <c r="AF827" i="1"/>
  <c r="K828" i="1"/>
  <c r="AC828" i="1"/>
  <c r="AJ827" i="1"/>
  <c r="AK827" i="1"/>
  <c r="AM827" i="1"/>
  <c r="BF827" i="1"/>
  <c r="BG827" i="1"/>
  <c r="T828" i="1"/>
  <c r="U828" i="1"/>
  <c r="V828" i="1"/>
  <c r="W828" i="1"/>
  <c r="AB828" i="1"/>
  <c r="AF828" i="1"/>
  <c r="K829" i="1"/>
  <c r="AC829" i="1"/>
  <c r="AJ828" i="1"/>
  <c r="AK828" i="1"/>
  <c r="AM828" i="1"/>
  <c r="BF828" i="1"/>
  <c r="BG828" i="1"/>
  <c r="T829" i="1"/>
  <c r="U829" i="1"/>
  <c r="V829" i="1"/>
  <c r="W829" i="1"/>
  <c r="AB829" i="1"/>
  <c r="AF829" i="1"/>
  <c r="K830" i="1"/>
  <c r="AC830" i="1"/>
  <c r="AJ829" i="1"/>
  <c r="AK829" i="1"/>
  <c r="AM829" i="1"/>
  <c r="BF829" i="1"/>
  <c r="BG829" i="1"/>
  <c r="T830" i="1"/>
  <c r="U830" i="1"/>
  <c r="V830" i="1"/>
  <c r="W830" i="1"/>
  <c r="AB830" i="1"/>
  <c r="AF830" i="1"/>
  <c r="K831" i="1"/>
  <c r="AC831" i="1"/>
  <c r="AJ830" i="1"/>
  <c r="AK830" i="1"/>
  <c r="AM830" i="1"/>
  <c r="BF830" i="1"/>
  <c r="BG830" i="1"/>
  <c r="T831" i="1"/>
  <c r="U831" i="1"/>
  <c r="V831" i="1"/>
  <c r="W831" i="1"/>
  <c r="AB831" i="1"/>
  <c r="AF831" i="1"/>
  <c r="AC832" i="1"/>
  <c r="AJ831" i="1"/>
  <c r="AK831" i="1"/>
  <c r="AM831" i="1"/>
  <c r="BF831" i="1"/>
  <c r="BG831" i="1"/>
  <c r="T832" i="1"/>
  <c r="U832" i="1"/>
  <c r="V832" i="1"/>
  <c r="W832" i="1"/>
  <c r="AB832" i="1"/>
  <c r="AF832" i="1"/>
  <c r="AC833" i="1"/>
  <c r="AJ832" i="1"/>
  <c r="AK832" i="1"/>
  <c r="AM832" i="1"/>
  <c r="BF832" i="1"/>
  <c r="BG832" i="1"/>
  <c r="T833" i="1"/>
  <c r="U833" i="1"/>
  <c r="V833" i="1"/>
  <c r="W833" i="1"/>
  <c r="AB833" i="1"/>
  <c r="AF833" i="1"/>
  <c r="K834" i="1"/>
  <c r="AC834" i="1"/>
  <c r="AJ833" i="1"/>
  <c r="AK833" i="1"/>
  <c r="AM833" i="1"/>
  <c r="BF833" i="1"/>
  <c r="BG833" i="1"/>
  <c r="T834" i="1"/>
  <c r="U834" i="1"/>
  <c r="V834" i="1"/>
  <c r="W834" i="1"/>
  <c r="AB834" i="1"/>
  <c r="AF834" i="1"/>
  <c r="AC835" i="1"/>
  <c r="AJ834" i="1"/>
  <c r="AK834" i="1"/>
  <c r="AM834" i="1"/>
  <c r="BF834" i="1"/>
  <c r="BG834" i="1"/>
  <c r="T835" i="1"/>
  <c r="U835" i="1"/>
  <c r="V835" i="1"/>
  <c r="W835" i="1"/>
  <c r="AB835" i="1"/>
  <c r="AF835" i="1"/>
  <c r="AC836" i="1"/>
  <c r="AJ835" i="1"/>
  <c r="AK835" i="1"/>
  <c r="AM835" i="1"/>
  <c r="BF835" i="1"/>
  <c r="BG835" i="1"/>
  <c r="T836" i="1"/>
  <c r="U836" i="1"/>
  <c r="V836" i="1"/>
  <c r="W836" i="1"/>
  <c r="AB836" i="1"/>
  <c r="AF836" i="1"/>
  <c r="K837" i="1"/>
  <c r="AC837" i="1"/>
  <c r="AJ836" i="1"/>
  <c r="AK836" i="1"/>
  <c r="AM836" i="1"/>
  <c r="BF836" i="1"/>
  <c r="BG836" i="1"/>
  <c r="T837" i="1"/>
  <c r="U837" i="1"/>
  <c r="V837" i="1"/>
  <c r="W837" i="1"/>
  <c r="AB837" i="1"/>
  <c r="AF837" i="1"/>
  <c r="AC838" i="1"/>
  <c r="AJ837" i="1"/>
  <c r="AK837" i="1"/>
  <c r="AM837" i="1"/>
  <c r="BF837" i="1"/>
  <c r="BG837" i="1"/>
  <c r="T838" i="1"/>
  <c r="U838" i="1"/>
  <c r="V838" i="1"/>
  <c r="W838" i="1"/>
  <c r="AB838" i="1"/>
  <c r="AF838" i="1"/>
  <c r="AC839" i="1"/>
  <c r="AJ838" i="1"/>
  <c r="AK838" i="1"/>
  <c r="AM838" i="1"/>
  <c r="BF838" i="1"/>
  <c r="BG838" i="1"/>
  <c r="T839" i="1"/>
  <c r="U839" i="1"/>
  <c r="V839" i="1"/>
  <c r="W839" i="1"/>
  <c r="AB839" i="1"/>
  <c r="AF839" i="1"/>
  <c r="K840" i="1"/>
  <c r="AC840" i="1"/>
  <c r="AJ839" i="1"/>
  <c r="AK839" i="1"/>
  <c r="AM839" i="1"/>
  <c r="BF839" i="1"/>
  <c r="BG839" i="1"/>
  <c r="T840" i="1"/>
  <c r="U840" i="1"/>
  <c r="V840" i="1"/>
  <c r="W840" i="1"/>
  <c r="AB840" i="1"/>
  <c r="AF840" i="1"/>
  <c r="AC841" i="1"/>
  <c r="AJ840" i="1"/>
  <c r="AK840" i="1"/>
  <c r="AM840" i="1"/>
  <c r="BF840" i="1"/>
  <c r="BG840" i="1"/>
  <c r="T841" i="1"/>
  <c r="U841" i="1"/>
  <c r="V841" i="1"/>
  <c r="W841" i="1"/>
  <c r="AB841" i="1"/>
  <c r="AF841" i="1"/>
  <c r="AC842" i="1"/>
  <c r="AJ841" i="1"/>
  <c r="AK841" i="1"/>
  <c r="AM841" i="1"/>
  <c r="BF841" i="1"/>
  <c r="BG841" i="1"/>
  <c r="T842" i="1"/>
  <c r="U842" i="1"/>
  <c r="V842" i="1"/>
  <c r="W842" i="1"/>
  <c r="AB842" i="1"/>
  <c r="AF842" i="1"/>
  <c r="K843" i="1"/>
  <c r="AC843" i="1"/>
  <c r="AJ842" i="1"/>
  <c r="AK842" i="1"/>
  <c r="AM842" i="1"/>
  <c r="BF842" i="1"/>
  <c r="BG842" i="1"/>
  <c r="T843" i="1"/>
  <c r="U843" i="1"/>
  <c r="V843" i="1"/>
  <c r="W843" i="1"/>
  <c r="AB843" i="1"/>
  <c r="AF843" i="1"/>
  <c r="AC844" i="1"/>
  <c r="AJ843" i="1"/>
  <c r="AK843" i="1"/>
  <c r="AM843" i="1"/>
  <c r="BF843" i="1"/>
  <c r="BG843" i="1"/>
  <c r="T844" i="1"/>
  <c r="U844" i="1"/>
  <c r="V844" i="1"/>
  <c r="W844" i="1"/>
  <c r="AB844" i="1"/>
  <c r="AF844" i="1"/>
  <c r="AC845" i="1"/>
  <c r="AJ844" i="1"/>
  <c r="AK844" i="1"/>
  <c r="AM844" i="1"/>
  <c r="BF844" i="1"/>
  <c r="BG844" i="1"/>
  <c r="T845" i="1"/>
  <c r="U845" i="1"/>
  <c r="V845" i="1"/>
  <c r="W845" i="1"/>
  <c r="AB845" i="1"/>
  <c r="AF845" i="1"/>
  <c r="K846" i="1"/>
  <c r="AC846" i="1"/>
  <c r="AJ845" i="1"/>
  <c r="AK845" i="1"/>
  <c r="AM845" i="1"/>
  <c r="BF845" i="1"/>
  <c r="BG845" i="1"/>
  <c r="T846" i="1"/>
  <c r="U846" i="1"/>
  <c r="V846" i="1"/>
  <c r="W846" i="1"/>
  <c r="AB846" i="1"/>
  <c r="AF846" i="1"/>
  <c r="AC847" i="1"/>
  <c r="AJ846" i="1"/>
  <c r="AK846" i="1"/>
  <c r="AM846" i="1"/>
  <c r="BF846" i="1"/>
  <c r="BG846" i="1"/>
  <c r="T847" i="1"/>
  <c r="U847" i="1"/>
  <c r="V847" i="1"/>
  <c r="W847" i="1"/>
  <c r="AB847" i="1"/>
  <c r="AF847" i="1"/>
  <c r="AC848" i="1"/>
  <c r="AJ847" i="1"/>
  <c r="AK847" i="1"/>
  <c r="AM847" i="1"/>
  <c r="BF847" i="1"/>
  <c r="BG847" i="1"/>
  <c r="T848" i="1"/>
  <c r="U848" i="1"/>
  <c r="V848" i="1"/>
  <c r="W848" i="1"/>
  <c r="AB848" i="1"/>
  <c r="AF848" i="1"/>
  <c r="K849" i="1"/>
  <c r="AC849" i="1"/>
  <c r="AJ848" i="1"/>
  <c r="AK848" i="1"/>
  <c r="AM848" i="1"/>
  <c r="BF848" i="1"/>
  <c r="BG848" i="1"/>
  <c r="T849" i="1"/>
  <c r="U849" i="1"/>
  <c r="V849" i="1"/>
  <c r="W849" i="1"/>
  <c r="AB849" i="1"/>
  <c r="AF849" i="1"/>
  <c r="AC850" i="1"/>
  <c r="AJ849" i="1"/>
  <c r="AK849" i="1"/>
  <c r="AM849" i="1"/>
  <c r="BF849" i="1"/>
  <c r="BG849" i="1"/>
  <c r="T850" i="1"/>
  <c r="U850" i="1"/>
  <c r="V850" i="1"/>
  <c r="W850" i="1"/>
  <c r="AB850" i="1"/>
  <c r="AF850" i="1"/>
  <c r="AC851" i="1"/>
  <c r="AJ850" i="1"/>
  <c r="AK850" i="1"/>
  <c r="AM850" i="1"/>
  <c r="BF850" i="1"/>
  <c r="BG850" i="1"/>
  <c r="T851" i="1"/>
  <c r="U851" i="1"/>
  <c r="V851" i="1"/>
  <c r="W851" i="1"/>
  <c r="AB851" i="1"/>
  <c r="AF851" i="1"/>
  <c r="K852" i="1"/>
  <c r="AC852" i="1"/>
  <c r="AJ851" i="1"/>
  <c r="AK851" i="1"/>
  <c r="AM851" i="1"/>
  <c r="BF851" i="1"/>
  <c r="BG851" i="1"/>
  <c r="T852" i="1"/>
  <c r="U852" i="1"/>
  <c r="V852" i="1"/>
  <c r="W852" i="1"/>
  <c r="AB852" i="1"/>
  <c r="AF852" i="1"/>
  <c r="AC853" i="1"/>
  <c r="AJ852" i="1"/>
  <c r="AK852" i="1"/>
  <c r="AM852" i="1"/>
  <c r="BF852" i="1"/>
  <c r="BG852" i="1"/>
  <c r="T853" i="1"/>
  <c r="U853" i="1"/>
  <c r="V853" i="1"/>
  <c r="W853" i="1"/>
  <c r="AB853" i="1"/>
  <c r="AF853" i="1"/>
  <c r="AC854" i="1"/>
  <c r="AJ853" i="1"/>
  <c r="AK853" i="1"/>
  <c r="AM853" i="1"/>
  <c r="BF853" i="1"/>
  <c r="BG853" i="1"/>
  <c r="T854" i="1"/>
  <c r="U854" i="1"/>
  <c r="V854" i="1"/>
  <c r="W854" i="1"/>
  <c r="AB854" i="1"/>
  <c r="AF854" i="1"/>
  <c r="K855" i="1"/>
  <c r="AC855" i="1"/>
  <c r="AJ854" i="1"/>
  <c r="AK854" i="1"/>
  <c r="AM854" i="1"/>
  <c r="BF854" i="1"/>
  <c r="BG854" i="1"/>
  <c r="T855" i="1"/>
  <c r="U855" i="1"/>
  <c r="V855" i="1"/>
  <c r="W855" i="1"/>
  <c r="AB855" i="1"/>
  <c r="AF855" i="1"/>
  <c r="K856" i="1"/>
  <c r="AC856" i="1"/>
  <c r="AJ855" i="1"/>
  <c r="AK855" i="1"/>
  <c r="AM855" i="1"/>
  <c r="BF855" i="1"/>
  <c r="BG855" i="1"/>
  <c r="T856" i="1"/>
  <c r="U856" i="1"/>
  <c r="V856" i="1"/>
  <c r="W856" i="1"/>
  <c r="AB856" i="1"/>
  <c r="AF856" i="1"/>
  <c r="K857" i="1"/>
  <c r="AC857" i="1"/>
  <c r="AJ856" i="1"/>
  <c r="AK856" i="1"/>
  <c r="AM856" i="1"/>
  <c r="BF856" i="1"/>
  <c r="BG856" i="1"/>
  <c r="T857" i="1"/>
  <c r="U857" i="1"/>
  <c r="V857" i="1"/>
  <c r="W857" i="1"/>
  <c r="AB857" i="1"/>
  <c r="AF857" i="1"/>
  <c r="K858" i="1"/>
  <c r="AC858" i="1"/>
  <c r="AJ857" i="1"/>
  <c r="AK857" i="1"/>
  <c r="AM857" i="1"/>
  <c r="BF857" i="1"/>
  <c r="BG857" i="1"/>
  <c r="T858" i="1"/>
  <c r="U858" i="1"/>
  <c r="V858" i="1"/>
  <c r="W858" i="1"/>
  <c r="AB858" i="1"/>
  <c r="AF858" i="1"/>
  <c r="K859" i="1"/>
  <c r="AC859" i="1"/>
  <c r="AJ858" i="1"/>
  <c r="AK858" i="1"/>
  <c r="AM858" i="1"/>
  <c r="BF858" i="1"/>
  <c r="BG858" i="1"/>
  <c r="T859" i="1"/>
  <c r="U859" i="1"/>
  <c r="V859" i="1"/>
  <c r="W859" i="1"/>
  <c r="AB859" i="1"/>
  <c r="AF859" i="1"/>
  <c r="K860" i="1"/>
  <c r="AC860" i="1"/>
  <c r="AJ859" i="1"/>
  <c r="AK859" i="1"/>
  <c r="AM859" i="1"/>
  <c r="BF859" i="1"/>
  <c r="BG859" i="1"/>
  <c r="T860" i="1"/>
  <c r="U860" i="1"/>
  <c r="V860" i="1"/>
  <c r="W860" i="1"/>
  <c r="AB860" i="1"/>
  <c r="AF860" i="1"/>
  <c r="K861" i="1"/>
  <c r="AC861" i="1"/>
  <c r="AJ860" i="1"/>
  <c r="AK860" i="1"/>
  <c r="AM860" i="1"/>
  <c r="BF860" i="1"/>
  <c r="BG860" i="1"/>
  <c r="T861" i="1"/>
  <c r="U861" i="1"/>
  <c r="V861" i="1"/>
  <c r="W861" i="1"/>
  <c r="AB861" i="1"/>
  <c r="AF861" i="1"/>
  <c r="K862" i="1"/>
  <c r="AC862" i="1"/>
  <c r="AJ861" i="1"/>
  <c r="AK861" i="1"/>
  <c r="AM861" i="1"/>
  <c r="BF861" i="1"/>
  <c r="BG861" i="1"/>
  <c r="T862" i="1"/>
  <c r="U862" i="1"/>
  <c r="V862" i="1"/>
  <c r="W862" i="1"/>
  <c r="AB862" i="1"/>
  <c r="AF862" i="1"/>
  <c r="K863" i="1"/>
  <c r="AC863" i="1"/>
  <c r="AJ862" i="1"/>
  <c r="AK862" i="1"/>
  <c r="AM862" i="1"/>
  <c r="BF862" i="1"/>
  <c r="BG862" i="1"/>
  <c r="T863" i="1"/>
  <c r="U863" i="1"/>
  <c r="V863" i="1"/>
  <c r="W863" i="1"/>
  <c r="AB863" i="1"/>
  <c r="AF863" i="1"/>
  <c r="K864" i="1"/>
  <c r="AC864" i="1"/>
  <c r="AJ863" i="1"/>
  <c r="AK863" i="1"/>
  <c r="AM863" i="1"/>
  <c r="BF863" i="1"/>
  <c r="BG863" i="1"/>
  <c r="T864" i="1"/>
  <c r="U864" i="1"/>
  <c r="V864" i="1"/>
  <c r="W864" i="1"/>
  <c r="AB864" i="1"/>
  <c r="AF864" i="1"/>
  <c r="K865" i="1"/>
  <c r="AC865" i="1"/>
  <c r="AJ864" i="1"/>
  <c r="AK864" i="1"/>
  <c r="AM864" i="1"/>
  <c r="BF864" i="1"/>
  <c r="BG864" i="1"/>
  <c r="T865" i="1"/>
  <c r="U865" i="1"/>
  <c r="V865" i="1"/>
  <c r="W865" i="1"/>
  <c r="AB865" i="1"/>
  <c r="AF865" i="1"/>
  <c r="AC866" i="1"/>
  <c r="AJ865" i="1"/>
  <c r="AK865" i="1"/>
  <c r="AM865" i="1"/>
  <c r="BF865" i="1"/>
  <c r="BG865" i="1"/>
  <c r="T866" i="1"/>
  <c r="U866" i="1"/>
  <c r="V866" i="1"/>
  <c r="W866" i="1"/>
  <c r="AB866" i="1"/>
  <c r="AF866" i="1"/>
  <c r="AC867" i="1"/>
  <c r="AJ866" i="1"/>
  <c r="AK866" i="1"/>
  <c r="AM866" i="1"/>
  <c r="BF866" i="1"/>
  <c r="BG866" i="1"/>
  <c r="T867" i="1"/>
  <c r="U867" i="1"/>
  <c r="V867" i="1"/>
  <c r="W867" i="1"/>
  <c r="AB867" i="1"/>
  <c r="AF867" i="1"/>
  <c r="K868" i="1"/>
  <c r="AC868" i="1"/>
  <c r="AJ867" i="1"/>
  <c r="AK867" i="1"/>
  <c r="AM867" i="1"/>
  <c r="BF867" i="1"/>
  <c r="BG867" i="1"/>
  <c r="T868" i="1"/>
  <c r="U868" i="1"/>
  <c r="V868" i="1"/>
  <c r="W868" i="1"/>
  <c r="AB868" i="1"/>
  <c r="AF868" i="1"/>
  <c r="AC869" i="1"/>
  <c r="AJ868" i="1"/>
  <c r="AK868" i="1"/>
  <c r="AM868" i="1"/>
  <c r="BF868" i="1"/>
  <c r="BG868" i="1"/>
  <c r="T869" i="1"/>
  <c r="U869" i="1"/>
  <c r="V869" i="1"/>
  <c r="W869" i="1"/>
  <c r="AB869" i="1"/>
  <c r="AF869" i="1"/>
  <c r="AC870" i="1"/>
  <c r="AJ869" i="1"/>
  <c r="AK869" i="1"/>
  <c r="AM869" i="1"/>
  <c r="BF869" i="1"/>
  <c r="BG869" i="1"/>
  <c r="T870" i="1"/>
  <c r="U870" i="1"/>
  <c r="V870" i="1"/>
  <c r="W870" i="1"/>
  <c r="AB870" i="1"/>
  <c r="AF870" i="1"/>
  <c r="K871" i="1"/>
  <c r="AC871" i="1"/>
  <c r="AJ870" i="1"/>
  <c r="AK870" i="1"/>
  <c r="AM870" i="1"/>
  <c r="BF870" i="1"/>
  <c r="BG870" i="1"/>
  <c r="T871" i="1"/>
  <c r="U871" i="1"/>
  <c r="V871" i="1"/>
  <c r="W871" i="1"/>
  <c r="AB871" i="1"/>
  <c r="AF871" i="1"/>
  <c r="K872" i="1"/>
  <c r="AC872" i="1"/>
  <c r="AJ871" i="1"/>
  <c r="AK871" i="1"/>
  <c r="AM871" i="1"/>
  <c r="BF871" i="1"/>
  <c r="BG871" i="1"/>
  <c r="T872" i="1"/>
  <c r="U872" i="1"/>
  <c r="V872" i="1"/>
  <c r="W872" i="1"/>
  <c r="AB872" i="1"/>
  <c r="AF872" i="1"/>
  <c r="K873" i="1"/>
  <c r="AC873" i="1"/>
  <c r="AJ872" i="1"/>
  <c r="AK872" i="1"/>
  <c r="AM872" i="1"/>
  <c r="BF872" i="1"/>
  <c r="BG872" i="1"/>
  <c r="T873" i="1"/>
  <c r="U873" i="1"/>
  <c r="V873" i="1"/>
  <c r="W873" i="1"/>
  <c r="AB873" i="1"/>
  <c r="AF873" i="1"/>
  <c r="AC874" i="1"/>
  <c r="AJ873" i="1"/>
  <c r="AK873" i="1"/>
  <c r="AM873" i="1"/>
  <c r="BF873" i="1"/>
  <c r="BG873" i="1"/>
  <c r="T874" i="1"/>
  <c r="U874" i="1"/>
  <c r="V874" i="1"/>
  <c r="W874" i="1"/>
  <c r="AB874" i="1"/>
  <c r="AF874" i="1"/>
  <c r="AC875" i="1"/>
  <c r="AJ874" i="1"/>
  <c r="AK874" i="1"/>
  <c r="AM874" i="1"/>
  <c r="BF874" i="1"/>
  <c r="BG874" i="1"/>
  <c r="T875" i="1"/>
  <c r="U875" i="1"/>
  <c r="V875" i="1"/>
  <c r="W875" i="1"/>
  <c r="AB875" i="1"/>
  <c r="AF875" i="1"/>
  <c r="K876" i="1"/>
  <c r="AC876" i="1"/>
  <c r="AJ875" i="1"/>
  <c r="AK875" i="1"/>
  <c r="AM875" i="1"/>
  <c r="BF875" i="1"/>
  <c r="BG875" i="1"/>
  <c r="T876" i="1"/>
  <c r="U876" i="1"/>
  <c r="V876" i="1"/>
  <c r="W876" i="1"/>
  <c r="AB876" i="1"/>
  <c r="AF876" i="1"/>
  <c r="AC877" i="1"/>
  <c r="AJ876" i="1"/>
  <c r="AK876" i="1"/>
  <c r="AM876" i="1"/>
  <c r="BF876" i="1"/>
  <c r="BG876" i="1"/>
  <c r="T877" i="1"/>
  <c r="U877" i="1"/>
  <c r="V877" i="1"/>
  <c r="W877" i="1"/>
  <c r="AB877" i="1"/>
  <c r="AF877" i="1"/>
  <c r="AC878" i="1"/>
  <c r="AJ877" i="1"/>
  <c r="AK877" i="1"/>
  <c r="AM877" i="1"/>
  <c r="BF877" i="1"/>
  <c r="BG877" i="1"/>
  <c r="T878" i="1"/>
  <c r="U878" i="1"/>
  <c r="V878" i="1"/>
  <c r="W878" i="1"/>
  <c r="AB878" i="1"/>
  <c r="AF878" i="1"/>
  <c r="K879" i="1"/>
  <c r="AC879" i="1"/>
  <c r="AJ878" i="1"/>
  <c r="AK878" i="1"/>
  <c r="AM878" i="1"/>
  <c r="BF878" i="1"/>
  <c r="BG878" i="1"/>
  <c r="T879" i="1"/>
  <c r="U879" i="1"/>
  <c r="V879" i="1"/>
  <c r="W879" i="1"/>
  <c r="AB879" i="1"/>
  <c r="AF879" i="1"/>
  <c r="AC880" i="1"/>
  <c r="AJ879" i="1"/>
  <c r="AK879" i="1"/>
  <c r="AM879" i="1"/>
  <c r="BF879" i="1"/>
  <c r="BG879" i="1"/>
  <c r="T880" i="1"/>
  <c r="U880" i="1"/>
  <c r="V880" i="1"/>
  <c r="W880" i="1"/>
  <c r="AB880" i="1"/>
  <c r="AF880" i="1"/>
  <c r="AC881" i="1"/>
  <c r="AJ880" i="1"/>
  <c r="AK880" i="1"/>
  <c r="AM880" i="1"/>
  <c r="BF880" i="1"/>
  <c r="BG880" i="1"/>
  <c r="T881" i="1"/>
  <c r="U881" i="1"/>
  <c r="V881" i="1"/>
  <c r="W881" i="1"/>
  <c r="AB881" i="1"/>
  <c r="AF881" i="1"/>
  <c r="K882" i="1"/>
  <c r="AC882" i="1"/>
  <c r="AJ881" i="1"/>
  <c r="AK881" i="1"/>
  <c r="AM881" i="1"/>
  <c r="BF881" i="1"/>
  <c r="BG881" i="1"/>
  <c r="T882" i="1"/>
  <c r="U882" i="1"/>
  <c r="V882" i="1"/>
  <c r="W882" i="1"/>
  <c r="AB882" i="1"/>
  <c r="AF882" i="1"/>
  <c r="K883" i="1"/>
  <c r="AC883" i="1"/>
  <c r="AJ882" i="1"/>
  <c r="AK882" i="1"/>
  <c r="AM882" i="1"/>
  <c r="BF882" i="1"/>
  <c r="BG882" i="1"/>
  <c r="T883" i="1"/>
  <c r="U883" i="1"/>
  <c r="V883" i="1"/>
  <c r="W883" i="1"/>
  <c r="AB883" i="1"/>
  <c r="AF883" i="1"/>
  <c r="AC884" i="1"/>
  <c r="AJ883" i="1"/>
  <c r="AK883" i="1"/>
  <c r="AM883" i="1"/>
  <c r="BF883" i="1"/>
  <c r="BG883" i="1"/>
  <c r="T884" i="1"/>
  <c r="U884" i="1"/>
  <c r="V884" i="1"/>
  <c r="W884" i="1"/>
  <c r="AB884" i="1"/>
  <c r="AF884" i="1"/>
  <c r="AC885" i="1"/>
  <c r="AJ884" i="1"/>
  <c r="AK884" i="1"/>
  <c r="AM884" i="1"/>
  <c r="BF884" i="1"/>
  <c r="BG884" i="1"/>
  <c r="T885" i="1"/>
  <c r="U885" i="1"/>
  <c r="V885" i="1"/>
  <c r="W885" i="1"/>
  <c r="AB885" i="1"/>
  <c r="AF885" i="1"/>
  <c r="K886" i="1"/>
  <c r="AC886" i="1"/>
  <c r="AJ885" i="1"/>
  <c r="AK885" i="1"/>
  <c r="AM885" i="1"/>
  <c r="BF885" i="1"/>
  <c r="BG885" i="1"/>
  <c r="T886" i="1"/>
  <c r="U886" i="1"/>
  <c r="V886" i="1"/>
  <c r="W886" i="1"/>
  <c r="AB886" i="1"/>
  <c r="AF886" i="1"/>
  <c r="K887" i="1"/>
  <c r="AC887" i="1"/>
  <c r="AJ886" i="1"/>
  <c r="AK886" i="1"/>
  <c r="AM886" i="1"/>
  <c r="BF886" i="1"/>
  <c r="BG886" i="1"/>
  <c r="T887" i="1"/>
  <c r="U887" i="1"/>
  <c r="V887" i="1"/>
  <c r="W887" i="1"/>
  <c r="AB887" i="1"/>
  <c r="AF887" i="1"/>
  <c r="K888" i="1"/>
  <c r="AC888" i="1"/>
  <c r="AJ887" i="1"/>
  <c r="AK887" i="1"/>
  <c r="AM887" i="1"/>
  <c r="BF887" i="1"/>
  <c r="BG887" i="1"/>
  <c r="T888" i="1"/>
  <c r="U888" i="1"/>
  <c r="V888" i="1"/>
  <c r="W888" i="1"/>
  <c r="AB888" i="1"/>
  <c r="AF888" i="1"/>
  <c r="AC889" i="1"/>
  <c r="AJ888" i="1"/>
  <c r="AK888" i="1"/>
  <c r="AM888" i="1"/>
  <c r="BF888" i="1"/>
  <c r="BG888" i="1"/>
  <c r="T889" i="1"/>
  <c r="U889" i="1"/>
  <c r="V889" i="1"/>
  <c r="W889" i="1"/>
  <c r="AB889" i="1"/>
  <c r="AF889" i="1"/>
  <c r="AC890" i="1"/>
  <c r="AJ889" i="1"/>
  <c r="AK889" i="1"/>
  <c r="AM889" i="1"/>
  <c r="BF889" i="1"/>
  <c r="BG889" i="1"/>
  <c r="T890" i="1"/>
  <c r="U890" i="1"/>
  <c r="V890" i="1"/>
  <c r="W890" i="1"/>
  <c r="AB890" i="1"/>
  <c r="AF890" i="1"/>
  <c r="K891" i="1"/>
  <c r="AC891" i="1"/>
  <c r="AJ890" i="1"/>
  <c r="AK890" i="1"/>
  <c r="AM890" i="1"/>
  <c r="BF890" i="1"/>
  <c r="BG890" i="1"/>
  <c r="T891" i="1"/>
  <c r="U891" i="1"/>
  <c r="V891" i="1"/>
  <c r="W891" i="1"/>
  <c r="AB891" i="1"/>
  <c r="AF891" i="1"/>
  <c r="K892" i="1"/>
  <c r="AC892" i="1"/>
  <c r="AJ891" i="1"/>
  <c r="AK891" i="1"/>
  <c r="AM891" i="1"/>
  <c r="BF891" i="1"/>
  <c r="BG891" i="1"/>
  <c r="T892" i="1"/>
  <c r="U892" i="1"/>
  <c r="V892" i="1"/>
  <c r="W892" i="1"/>
  <c r="AB892" i="1"/>
  <c r="AF892" i="1"/>
  <c r="K893" i="1"/>
  <c r="AC893" i="1"/>
  <c r="AJ892" i="1"/>
  <c r="AK892" i="1"/>
  <c r="AM892" i="1"/>
  <c r="BF892" i="1"/>
  <c r="BG892" i="1"/>
  <c r="T893" i="1"/>
  <c r="U893" i="1"/>
  <c r="V893" i="1"/>
  <c r="W893" i="1"/>
  <c r="AB893" i="1"/>
  <c r="AF893" i="1"/>
  <c r="K894" i="1"/>
  <c r="AC894" i="1"/>
  <c r="AJ893" i="1"/>
  <c r="AK893" i="1"/>
  <c r="AM893" i="1"/>
  <c r="BF893" i="1"/>
  <c r="BG893" i="1"/>
  <c r="T894" i="1"/>
  <c r="U894" i="1"/>
  <c r="V894" i="1"/>
  <c r="W894" i="1"/>
  <c r="AB894" i="1"/>
  <c r="AF894" i="1"/>
  <c r="K895" i="1"/>
  <c r="AC895" i="1"/>
  <c r="AJ894" i="1"/>
  <c r="AK894" i="1"/>
  <c r="AM894" i="1"/>
  <c r="BF894" i="1"/>
  <c r="BG894" i="1"/>
  <c r="T895" i="1"/>
  <c r="U895" i="1"/>
  <c r="V895" i="1"/>
  <c r="W895" i="1"/>
  <c r="AB895" i="1"/>
  <c r="AF895" i="1"/>
  <c r="AC896" i="1"/>
  <c r="AJ895" i="1"/>
  <c r="AK895" i="1"/>
  <c r="AM895" i="1"/>
  <c r="BF895" i="1"/>
  <c r="BG895" i="1"/>
  <c r="T896" i="1"/>
  <c r="U896" i="1"/>
  <c r="V896" i="1"/>
  <c r="W896" i="1"/>
  <c r="AB896" i="1"/>
  <c r="AF896" i="1"/>
  <c r="AC897" i="1"/>
  <c r="AJ896" i="1"/>
  <c r="AK896" i="1"/>
  <c r="AM896" i="1"/>
  <c r="BF896" i="1"/>
  <c r="BG896" i="1"/>
  <c r="T897" i="1"/>
  <c r="U897" i="1"/>
  <c r="V897" i="1"/>
  <c r="W897" i="1"/>
  <c r="AB897" i="1"/>
  <c r="AF897" i="1"/>
  <c r="K898" i="1"/>
  <c r="AC898" i="1"/>
  <c r="AJ897" i="1"/>
  <c r="AK897" i="1"/>
  <c r="AM897" i="1"/>
  <c r="BF897" i="1"/>
  <c r="BG897" i="1"/>
  <c r="T898" i="1"/>
  <c r="U898" i="1"/>
  <c r="V898" i="1"/>
  <c r="W898" i="1"/>
  <c r="AB898" i="1"/>
  <c r="AF898" i="1"/>
  <c r="AC899" i="1"/>
  <c r="AJ898" i="1"/>
  <c r="AK898" i="1"/>
  <c r="AM898" i="1"/>
  <c r="BF898" i="1"/>
  <c r="BG898" i="1"/>
  <c r="T899" i="1"/>
  <c r="U899" i="1"/>
  <c r="V899" i="1"/>
  <c r="W899" i="1"/>
  <c r="AB899" i="1"/>
  <c r="AF899" i="1"/>
  <c r="AC900" i="1"/>
  <c r="AJ899" i="1"/>
  <c r="AK899" i="1"/>
  <c r="AM899" i="1"/>
  <c r="BF899" i="1"/>
  <c r="BG899" i="1"/>
  <c r="T900" i="1"/>
  <c r="U900" i="1"/>
  <c r="V900" i="1"/>
  <c r="W900" i="1"/>
  <c r="AB900" i="1"/>
  <c r="AF900" i="1"/>
  <c r="K901" i="1"/>
  <c r="AC901" i="1"/>
  <c r="AJ900" i="1"/>
  <c r="AK900" i="1"/>
  <c r="AM900" i="1"/>
  <c r="BF900" i="1"/>
  <c r="BG900" i="1"/>
  <c r="T901" i="1"/>
  <c r="U901" i="1"/>
  <c r="V901" i="1"/>
  <c r="W901" i="1"/>
  <c r="AB901" i="1"/>
  <c r="AF901" i="1"/>
  <c r="AC902" i="1"/>
  <c r="AJ901" i="1"/>
  <c r="AK901" i="1"/>
  <c r="AM901" i="1"/>
  <c r="BF901" i="1"/>
  <c r="BG901" i="1"/>
  <c r="T902" i="1"/>
  <c r="U902" i="1"/>
  <c r="V902" i="1"/>
  <c r="W902" i="1"/>
  <c r="AB902" i="1"/>
  <c r="AF902" i="1"/>
  <c r="AC903" i="1"/>
  <c r="AJ902" i="1"/>
  <c r="AK902" i="1"/>
  <c r="AM902" i="1"/>
  <c r="BF902" i="1"/>
  <c r="BG902" i="1"/>
  <c r="T903" i="1"/>
  <c r="U903" i="1"/>
  <c r="V903" i="1"/>
  <c r="W903" i="1"/>
  <c r="AB903" i="1"/>
  <c r="AF903" i="1"/>
  <c r="K904" i="1"/>
  <c r="AC904" i="1"/>
  <c r="AJ903" i="1"/>
  <c r="AK903" i="1"/>
  <c r="AM903" i="1"/>
  <c r="BF903" i="1"/>
  <c r="BG903" i="1"/>
  <c r="T904" i="1"/>
  <c r="U904" i="1"/>
  <c r="V904" i="1"/>
  <c r="W904" i="1"/>
  <c r="AB904" i="1"/>
  <c r="AF904" i="1"/>
  <c r="K905" i="1"/>
  <c r="AC905" i="1"/>
  <c r="AJ904" i="1"/>
  <c r="AK904" i="1"/>
  <c r="AM904" i="1"/>
  <c r="BF904" i="1"/>
  <c r="BG904" i="1"/>
  <c r="T905" i="1"/>
  <c r="U905" i="1"/>
  <c r="V905" i="1"/>
  <c r="W905" i="1"/>
  <c r="AB905" i="1"/>
  <c r="AF905" i="1"/>
  <c r="AC906" i="1"/>
  <c r="AJ905" i="1"/>
  <c r="AK905" i="1"/>
  <c r="AM905" i="1"/>
  <c r="BF905" i="1"/>
  <c r="BG905" i="1"/>
  <c r="T906" i="1"/>
  <c r="U906" i="1"/>
  <c r="V906" i="1"/>
  <c r="W906" i="1"/>
  <c r="AB906" i="1"/>
  <c r="AF906" i="1"/>
  <c r="AC907" i="1"/>
  <c r="AJ906" i="1"/>
  <c r="AK906" i="1"/>
  <c r="AM906" i="1"/>
  <c r="BF906" i="1"/>
  <c r="BG906" i="1"/>
  <c r="T907" i="1"/>
  <c r="U907" i="1"/>
  <c r="V907" i="1"/>
  <c r="W907" i="1"/>
  <c r="AB907" i="1"/>
  <c r="AF907" i="1"/>
  <c r="K908" i="1"/>
  <c r="AC908" i="1"/>
  <c r="AJ907" i="1"/>
  <c r="AK907" i="1"/>
  <c r="AM907" i="1"/>
  <c r="BF907" i="1"/>
  <c r="BG907" i="1"/>
  <c r="T908" i="1"/>
  <c r="U908" i="1"/>
  <c r="V908" i="1"/>
  <c r="W908" i="1"/>
  <c r="AB908" i="1"/>
  <c r="AF908" i="1"/>
  <c r="AC909" i="1"/>
  <c r="AJ908" i="1"/>
  <c r="AK908" i="1"/>
  <c r="AM908" i="1"/>
  <c r="BF908" i="1"/>
  <c r="BG908" i="1"/>
  <c r="T909" i="1"/>
  <c r="U909" i="1"/>
  <c r="V909" i="1"/>
  <c r="W909" i="1"/>
  <c r="AB909" i="1"/>
  <c r="AF909" i="1"/>
  <c r="AC910" i="1"/>
  <c r="AJ909" i="1"/>
  <c r="AK909" i="1"/>
  <c r="AM909" i="1"/>
  <c r="BF909" i="1"/>
  <c r="BG909" i="1"/>
  <c r="T910" i="1"/>
  <c r="U910" i="1"/>
  <c r="V910" i="1"/>
  <c r="W910" i="1"/>
  <c r="AB910" i="1"/>
  <c r="AF910" i="1"/>
  <c r="K911" i="1"/>
  <c r="AC911" i="1"/>
  <c r="AJ910" i="1"/>
  <c r="AK910" i="1"/>
  <c r="AM910" i="1"/>
  <c r="BF910" i="1"/>
  <c r="BG910" i="1"/>
  <c r="T911" i="1"/>
  <c r="U911" i="1"/>
  <c r="V911" i="1"/>
  <c r="W911" i="1"/>
  <c r="AB911" i="1"/>
  <c r="AF911" i="1"/>
  <c r="AC912" i="1"/>
  <c r="AJ911" i="1"/>
  <c r="AK911" i="1"/>
  <c r="AM911" i="1"/>
  <c r="BF911" i="1"/>
  <c r="BG911" i="1"/>
  <c r="T912" i="1"/>
  <c r="U912" i="1"/>
  <c r="V912" i="1"/>
  <c r="W912" i="1"/>
  <c r="AB912" i="1"/>
  <c r="AF912" i="1"/>
  <c r="AC913" i="1"/>
  <c r="AJ912" i="1"/>
  <c r="AK912" i="1"/>
  <c r="AM912" i="1"/>
  <c r="BF912" i="1"/>
  <c r="BG912" i="1"/>
  <c r="T913" i="1"/>
  <c r="U913" i="1"/>
  <c r="V913" i="1"/>
  <c r="W913" i="1"/>
  <c r="AB913" i="1"/>
  <c r="AF913" i="1"/>
  <c r="K914" i="1"/>
  <c r="AC914" i="1"/>
  <c r="AJ913" i="1"/>
  <c r="AK913" i="1"/>
  <c r="AM913" i="1"/>
  <c r="BF913" i="1"/>
  <c r="BG913" i="1"/>
  <c r="T914" i="1"/>
  <c r="U914" i="1"/>
  <c r="V914" i="1"/>
  <c r="W914" i="1"/>
  <c r="AB914" i="1"/>
  <c r="AF914" i="1"/>
  <c r="AC915" i="1"/>
  <c r="AJ914" i="1"/>
  <c r="AK914" i="1"/>
  <c r="AM914" i="1"/>
  <c r="BF914" i="1"/>
  <c r="BG914" i="1"/>
  <c r="T915" i="1"/>
  <c r="U915" i="1"/>
  <c r="V915" i="1"/>
  <c r="W915" i="1"/>
  <c r="AB915" i="1"/>
  <c r="AF915" i="1"/>
  <c r="AC916" i="1"/>
  <c r="AJ915" i="1"/>
  <c r="AK915" i="1"/>
  <c r="AM915" i="1"/>
  <c r="BF915" i="1"/>
  <c r="BG915" i="1"/>
  <c r="T916" i="1"/>
  <c r="U916" i="1"/>
  <c r="V916" i="1"/>
  <c r="W916" i="1"/>
  <c r="AB916" i="1"/>
  <c r="AF916" i="1"/>
  <c r="K917" i="1"/>
  <c r="AC917" i="1"/>
  <c r="AJ916" i="1"/>
  <c r="AK916" i="1"/>
  <c r="AM916" i="1"/>
  <c r="BF916" i="1"/>
  <c r="BG916" i="1"/>
  <c r="T917" i="1"/>
  <c r="U917" i="1"/>
  <c r="V917" i="1"/>
  <c r="W917" i="1"/>
  <c r="AB917" i="1"/>
  <c r="AF917" i="1"/>
  <c r="K918" i="1"/>
  <c r="AC918" i="1"/>
  <c r="AJ917" i="1"/>
  <c r="AK917" i="1"/>
  <c r="AM917" i="1"/>
  <c r="BF917" i="1"/>
  <c r="BG917" i="1"/>
  <c r="T918" i="1"/>
  <c r="U918" i="1"/>
  <c r="V918" i="1"/>
  <c r="W918" i="1"/>
  <c r="AB918" i="1"/>
  <c r="AF918" i="1"/>
  <c r="K919" i="1"/>
  <c r="AC919" i="1"/>
  <c r="AJ918" i="1"/>
  <c r="AK918" i="1"/>
  <c r="AM918" i="1"/>
  <c r="BF918" i="1"/>
  <c r="BG918" i="1"/>
  <c r="T919" i="1"/>
  <c r="U919" i="1"/>
  <c r="V919" i="1"/>
  <c r="W919" i="1"/>
  <c r="AB919" i="1"/>
  <c r="AF919" i="1"/>
  <c r="AC920" i="1"/>
  <c r="AJ919" i="1"/>
  <c r="AK919" i="1"/>
  <c r="AM919" i="1"/>
  <c r="BF919" i="1"/>
  <c r="BG919" i="1"/>
  <c r="T920" i="1"/>
  <c r="U920" i="1"/>
  <c r="V920" i="1"/>
  <c r="W920" i="1"/>
  <c r="AB920" i="1"/>
  <c r="AF920" i="1"/>
  <c r="AC921" i="1"/>
  <c r="AJ920" i="1"/>
  <c r="AK920" i="1"/>
  <c r="AM920" i="1"/>
  <c r="BF920" i="1"/>
  <c r="BG920" i="1"/>
  <c r="T921" i="1"/>
  <c r="U921" i="1"/>
  <c r="V921" i="1"/>
  <c r="W921" i="1"/>
  <c r="AB921" i="1"/>
  <c r="AF921" i="1"/>
  <c r="K922" i="1"/>
  <c r="AC922" i="1"/>
  <c r="AJ921" i="1"/>
  <c r="AK921" i="1"/>
  <c r="AM921" i="1"/>
  <c r="BF921" i="1"/>
  <c r="BG921" i="1"/>
  <c r="T922" i="1"/>
  <c r="U922" i="1"/>
  <c r="V922" i="1"/>
  <c r="W922" i="1"/>
  <c r="AB922" i="1"/>
  <c r="AF922" i="1"/>
  <c r="K923" i="1"/>
  <c r="AC923" i="1"/>
  <c r="AJ922" i="1"/>
  <c r="AK922" i="1"/>
  <c r="AM922" i="1"/>
  <c r="BF922" i="1"/>
  <c r="BG922" i="1"/>
  <c r="T923" i="1"/>
  <c r="U923" i="1"/>
  <c r="V923" i="1"/>
  <c r="W923" i="1"/>
  <c r="AB923" i="1"/>
  <c r="AF923" i="1"/>
  <c r="AC924" i="1"/>
  <c r="AJ923" i="1"/>
  <c r="AK923" i="1"/>
  <c r="AM923" i="1"/>
  <c r="BF923" i="1"/>
  <c r="BG923" i="1"/>
  <c r="T924" i="1"/>
  <c r="U924" i="1"/>
  <c r="V924" i="1"/>
  <c r="W924" i="1"/>
  <c r="AB924" i="1"/>
  <c r="AF924" i="1"/>
  <c r="AC925" i="1"/>
  <c r="AJ924" i="1"/>
  <c r="AK924" i="1"/>
  <c r="AM924" i="1"/>
  <c r="BF924" i="1"/>
  <c r="BG924" i="1"/>
  <c r="T925" i="1"/>
  <c r="U925" i="1"/>
  <c r="V925" i="1"/>
  <c r="W925" i="1"/>
  <c r="AB925" i="1"/>
  <c r="AF925" i="1"/>
  <c r="K926" i="1"/>
  <c r="AC926" i="1"/>
  <c r="AJ925" i="1"/>
  <c r="AK925" i="1"/>
  <c r="AM925" i="1"/>
  <c r="BF925" i="1"/>
  <c r="BG925" i="1"/>
  <c r="T926" i="1"/>
  <c r="U926" i="1"/>
  <c r="V926" i="1"/>
  <c r="W926" i="1"/>
  <c r="AB926" i="1"/>
  <c r="AF926" i="1"/>
  <c r="AC927" i="1"/>
  <c r="AJ926" i="1"/>
  <c r="AK926" i="1"/>
  <c r="AM926" i="1"/>
  <c r="BF926" i="1"/>
  <c r="BG926" i="1"/>
  <c r="T927" i="1"/>
  <c r="U927" i="1"/>
  <c r="V927" i="1"/>
  <c r="W927" i="1"/>
  <c r="AB927" i="1"/>
  <c r="AF927" i="1"/>
  <c r="AC928" i="1"/>
  <c r="AJ927" i="1"/>
  <c r="AK927" i="1"/>
  <c r="AM927" i="1"/>
  <c r="BF927" i="1"/>
  <c r="BG927" i="1"/>
  <c r="T928" i="1"/>
  <c r="U928" i="1"/>
  <c r="V928" i="1"/>
  <c r="W928" i="1"/>
  <c r="AB928" i="1"/>
  <c r="AF928" i="1"/>
  <c r="K929" i="1"/>
  <c r="AC929" i="1"/>
  <c r="AJ928" i="1"/>
  <c r="AK928" i="1"/>
  <c r="AM928" i="1"/>
  <c r="BF928" i="1"/>
  <c r="BG928" i="1"/>
  <c r="T929" i="1"/>
  <c r="U929" i="1"/>
  <c r="V929" i="1"/>
  <c r="W929" i="1"/>
  <c r="AB929" i="1"/>
  <c r="AF929" i="1"/>
  <c r="K930" i="1"/>
  <c r="AC930" i="1"/>
  <c r="AJ929" i="1"/>
  <c r="AK929" i="1"/>
  <c r="AM929" i="1"/>
  <c r="BF929" i="1"/>
  <c r="BG929" i="1"/>
  <c r="T930" i="1"/>
  <c r="U930" i="1"/>
  <c r="V930" i="1"/>
  <c r="W930" i="1"/>
  <c r="AB930" i="1"/>
  <c r="AF930" i="1"/>
  <c r="AC931" i="1"/>
  <c r="AJ930" i="1"/>
  <c r="AK930" i="1"/>
  <c r="AM930" i="1"/>
  <c r="BF930" i="1"/>
  <c r="BG930" i="1"/>
  <c r="T931" i="1"/>
  <c r="U931" i="1"/>
  <c r="V931" i="1"/>
  <c r="W931" i="1"/>
  <c r="AB931" i="1"/>
  <c r="AF931" i="1"/>
  <c r="AC932" i="1"/>
  <c r="AJ931" i="1"/>
  <c r="AK931" i="1"/>
  <c r="AM931" i="1"/>
  <c r="BF931" i="1"/>
  <c r="BG931" i="1"/>
  <c r="T932" i="1"/>
  <c r="U932" i="1"/>
  <c r="V932" i="1"/>
  <c r="W932" i="1"/>
  <c r="AB932" i="1"/>
  <c r="AF932" i="1"/>
  <c r="K933" i="1"/>
  <c r="AC933" i="1"/>
  <c r="AJ932" i="1"/>
  <c r="AK932" i="1"/>
  <c r="AM932" i="1"/>
  <c r="BF932" i="1"/>
  <c r="BG932" i="1"/>
  <c r="T933" i="1"/>
  <c r="U933" i="1"/>
  <c r="V933" i="1"/>
  <c r="W933" i="1"/>
  <c r="AB933" i="1"/>
  <c r="AF933" i="1"/>
  <c r="AC934" i="1"/>
  <c r="AJ933" i="1"/>
  <c r="AK933" i="1"/>
  <c r="AM933" i="1"/>
  <c r="BF933" i="1"/>
  <c r="BG933" i="1"/>
  <c r="T934" i="1"/>
  <c r="U934" i="1"/>
  <c r="V934" i="1"/>
  <c r="W934" i="1"/>
  <c r="AB934" i="1"/>
  <c r="AF934" i="1"/>
  <c r="AC935" i="1"/>
  <c r="AJ934" i="1"/>
  <c r="AK934" i="1"/>
  <c r="AM934" i="1"/>
  <c r="BF934" i="1"/>
  <c r="BG934" i="1"/>
  <c r="T935" i="1"/>
  <c r="U935" i="1"/>
  <c r="V935" i="1"/>
  <c r="W935" i="1"/>
  <c r="AB935" i="1"/>
  <c r="AF935" i="1"/>
  <c r="K936" i="1"/>
  <c r="AC936" i="1"/>
  <c r="AJ935" i="1"/>
  <c r="AK935" i="1"/>
  <c r="AM935" i="1"/>
  <c r="BF935" i="1"/>
  <c r="BG935" i="1"/>
  <c r="T936" i="1"/>
  <c r="U936" i="1"/>
  <c r="V936" i="1"/>
  <c r="W936" i="1"/>
  <c r="AB936" i="1"/>
  <c r="AF936" i="1"/>
  <c r="AC937" i="1"/>
  <c r="AJ936" i="1"/>
  <c r="AK936" i="1"/>
  <c r="AM936" i="1"/>
  <c r="BF936" i="1"/>
  <c r="BG936" i="1"/>
  <c r="T937" i="1"/>
  <c r="U937" i="1"/>
  <c r="V937" i="1"/>
  <c r="W937" i="1"/>
  <c r="AB937" i="1"/>
  <c r="AF937" i="1"/>
  <c r="AC938" i="1"/>
  <c r="AJ937" i="1"/>
  <c r="AK937" i="1"/>
  <c r="AM937" i="1"/>
  <c r="BF937" i="1"/>
  <c r="BG937" i="1"/>
  <c r="T938" i="1"/>
  <c r="U938" i="1"/>
  <c r="V938" i="1"/>
  <c r="W938" i="1"/>
  <c r="AB938" i="1"/>
  <c r="AF938" i="1"/>
  <c r="K939" i="1"/>
  <c r="AC939" i="1"/>
  <c r="AJ938" i="1"/>
  <c r="AK938" i="1"/>
  <c r="AM938" i="1"/>
  <c r="BF938" i="1"/>
  <c r="BG938" i="1"/>
  <c r="T939" i="1"/>
  <c r="U939" i="1"/>
  <c r="V939" i="1"/>
  <c r="W939" i="1"/>
  <c r="AB939" i="1"/>
  <c r="AF939" i="1"/>
  <c r="AC940" i="1"/>
  <c r="AJ939" i="1"/>
  <c r="AK939" i="1"/>
  <c r="AM939" i="1"/>
  <c r="BF939" i="1"/>
  <c r="BG939" i="1"/>
  <c r="T940" i="1"/>
  <c r="U940" i="1"/>
  <c r="V940" i="1"/>
  <c r="W940" i="1"/>
  <c r="AB940" i="1"/>
  <c r="AF940" i="1"/>
  <c r="AC941" i="1"/>
  <c r="AJ940" i="1"/>
  <c r="AK940" i="1"/>
  <c r="AM940" i="1"/>
  <c r="BF940" i="1"/>
  <c r="BG940" i="1"/>
  <c r="T941" i="1"/>
  <c r="U941" i="1"/>
  <c r="V941" i="1"/>
  <c r="W941" i="1"/>
  <c r="AB941" i="1"/>
  <c r="AF941" i="1"/>
  <c r="K942" i="1"/>
  <c r="AC942" i="1"/>
  <c r="AJ941" i="1"/>
  <c r="AK941" i="1"/>
  <c r="AM941" i="1"/>
  <c r="BF941" i="1"/>
  <c r="BG941" i="1"/>
  <c r="T942" i="1"/>
  <c r="U942" i="1"/>
  <c r="V942" i="1"/>
  <c r="W942" i="1"/>
  <c r="AB942" i="1"/>
  <c r="AF942" i="1"/>
  <c r="K943" i="1"/>
  <c r="AC943" i="1"/>
  <c r="AJ942" i="1"/>
  <c r="AK942" i="1"/>
  <c r="AM942" i="1"/>
  <c r="BF942" i="1"/>
  <c r="BG942" i="1"/>
  <c r="T943" i="1"/>
  <c r="U943" i="1"/>
  <c r="V943" i="1"/>
  <c r="W943" i="1"/>
  <c r="AB943" i="1"/>
  <c r="AF943" i="1"/>
  <c r="AC944" i="1"/>
  <c r="AJ943" i="1"/>
  <c r="AK943" i="1"/>
  <c r="AM943" i="1"/>
  <c r="BF943" i="1"/>
  <c r="BG943" i="1"/>
  <c r="T944" i="1"/>
  <c r="U944" i="1"/>
  <c r="V944" i="1"/>
  <c r="W944" i="1"/>
  <c r="AB944" i="1"/>
  <c r="AF944" i="1"/>
  <c r="AC945" i="1"/>
  <c r="AJ944" i="1"/>
  <c r="AK944" i="1"/>
  <c r="AM944" i="1"/>
  <c r="BF944" i="1"/>
  <c r="BG944" i="1"/>
  <c r="T945" i="1"/>
  <c r="U945" i="1"/>
  <c r="V945" i="1"/>
  <c r="W945" i="1"/>
  <c r="AB945" i="1"/>
  <c r="AF945" i="1"/>
  <c r="K946" i="1"/>
  <c r="AC946" i="1"/>
  <c r="AJ945" i="1"/>
  <c r="AK945" i="1"/>
  <c r="AM945" i="1"/>
  <c r="BF945" i="1"/>
  <c r="BG945" i="1"/>
  <c r="T946" i="1"/>
  <c r="U946" i="1"/>
  <c r="V946" i="1"/>
  <c r="W946" i="1"/>
  <c r="AB946" i="1"/>
  <c r="AF946" i="1"/>
  <c r="K947" i="1"/>
  <c r="AC947" i="1"/>
  <c r="AJ946" i="1"/>
  <c r="AK946" i="1"/>
  <c r="AM946" i="1"/>
  <c r="BF946" i="1"/>
  <c r="BG946" i="1"/>
  <c r="T947" i="1"/>
  <c r="U947" i="1"/>
  <c r="V947" i="1"/>
  <c r="W947" i="1"/>
  <c r="AB947" i="1"/>
  <c r="AF947" i="1"/>
  <c r="AC948" i="1"/>
  <c r="AJ947" i="1"/>
  <c r="AK947" i="1"/>
  <c r="AM947" i="1"/>
  <c r="BF947" i="1"/>
  <c r="BG947" i="1"/>
  <c r="T948" i="1"/>
  <c r="U948" i="1"/>
  <c r="V948" i="1"/>
  <c r="W948" i="1"/>
  <c r="AB948" i="1"/>
  <c r="AF948" i="1"/>
  <c r="AC949" i="1"/>
  <c r="AJ948" i="1"/>
  <c r="AK948" i="1"/>
  <c r="AM948" i="1"/>
  <c r="BF948" i="1"/>
  <c r="BG948" i="1"/>
  <c r="T949" i="1"/>
  <c r="U949" i="1"/>
  <c r="V949" i="1"/>
  <c r="W949" i="1"/>
  <c r="AB949" i="1"/>
  <c r="AF949" i="1"/>
  <c r="K950" i="1"/>
  <c r="AC950" i="1"/>
  <c r="AJ949" i="1"/>
  <c r="AK949" i="1"/>
  <c r="AM949" i="1"/>
  <c r="BF949" i="1"/>
  <c r="BG949" i="1"/>
  <c r="T950" i="1"/>
  <c r="U950" i="1"/>
  <c r="V950" i="1"/>
  <c r="W950" i="1"/>
  <c r="AB950" i="1"/>
  <c r="AF950" i="1"/>
  <c r="AC951" i="1"/>
  <c r="AJ950" i="1"/>
  <c r="AK950" i="1"/>
  <c r="AM950" i="1"/>
  <c r="BF950" i="1"/>
  <c r="BG950" i="1"/>
  <c r="T951" i="1"/>
  <c r="U951" i="1"/>
  <c r="V951" i="1"/>
  <c r="W951" i="1"/>
  <c r="AB951" i="1"/>
  <c r="AF951" i="1"/>
  <c r="AC952" i="1"/>
  <c r="AJ951" i="1"/>
  <c r="AK951" i="1"/>
  <c r="AM951" i="1"/>
  <c r="BF951" i="1"/>
  <c r="BG951" i="1"/>
  <c r="T952" i="1"/>
  <c r="U952" i="1"/>
  <c r="V952" i="1"/>
  <c r="W952" i="1"/>
  <c r="AB952" i="1"/>
  <c r="AF952" i="1"/>
  <c r="K953" i="1"/>
  <c r="AC953" i="1"/>
  <c r="AJ952" i="1"/>
  <c r="AK952" i="1"/>
  <c r="AM952" i="1"/>
  <c r="BF952" i="1"/>
  <c r="BG952" i="1"/>
  <c r="T953" i="1"/>
  <c r="U953" i="1"/>
  <c r="V953" i="1"/>
  <c r="W953" i="1"/>
  <c r="AB953" i="1"/>
  <c r="AF953" i="1"/>
  <c r="K954" i="1"/>
  <c r="AC954" i="1"/>
  <c r="AJ953" i="1"/>
  <c r="AK953" i="1"/>
  <c r="AM953" i="1"/>
  <c r="BF953" i="1"/>
  <c r="BG953" i="1"/>
  <c r="T954" i="1"/>
  <c r="U954" i="1"/>
  <c r="V954" i="1"/>
  <c r="W954" i="1"/>
  <c r="AB954" i="1"/>
  <c r="AF954" i="1"/>
  <c r="K955" i="1"/>
  <c r="AC955" i="1"/>
  <c r="AJ954" i="1"/>
  <c r="AK954" i="1"/>
  <c r="AM954" i="1"/>
  <c r="BF954" i="1"/>
  <c r="BG954" i="1"/>
  <c r="T955" i="1"/>
  <c r="U955" i="1"/>
  <c r="V955" i="1"/>
  <c r="W955" i="1"/>
  <c r="AB955" i="1"/>
  <c r="AF955" i="1"/>
  <c r="K956" i="1"/>
  <c r="AC956" i="1"/>
  <c r="AJ955" i="1"/>
  <c r="AK955" i="1"/>
  <c r="AM955" i="1"/>
  <c r="BF955" i="1"/>
  <c r="BG955" i="1"/>
  <c r="T956" i="1"/>
  <c r="U956" i="1"/>
  <c r="V956" i="1"/>
  <c r="W956" i="1"/>
  <c r="AB956" i="1"/>
  <c r="AF956" i="1"/>
  <c r="AC957" i="1"/>
  <c r="AJ956" i="1"/>
  <c r="AK956" i="1"/>
  <c r="AM956" i="1"/>
  <c r="BF956" i="1"/>
  <c r="BG956" i="1"/>
  <c r="T957" i="1"/>
  <c r="U957" i="1"/>
  <c r="V957" i="1"/>
  <c r="W957" i="1"/>
  <c r="AB957" i="1"/>
  <c r="AF957" i="1"/>
  <c r="AC958" i="1"/>
  <c r="AJ957" i="1"/>
  <c r="AK957" i="1"/>
  <c r="AM957" i="1"/>
  <c r="BF957" i="1"/>
  <c r="BG957" i="1"/>
  <c r="T958" i="1"/>
  <c r="U958" i="1"/>
  <c r="V958" i="1"/>
  <c r="W958" i="1"/>
  <c r="AB958" i="1"/>
  <c r="AF958" i="1"/>
  <c r="AC959" i="1"/>
  <c r="AJ958" i="1"/>
  <c r="AK958" i="1"/>
  <c r="AM958" i="1"/>
  <c r="BF958" i="1"/>
  <c r="BG958" i="1"/>
  <c r="T959" i="1"/>
  <c r="U959" i="1"/>
  <c r="V959" i="1"/>
  <c r="W959" i="1"/>
  <c r="AB959" i="1"/>
  <c r="AF959" i="1"/>
  <c r="K960" i="1"/>
  <c r="AC960" i="1"/>
  <c r="AJ959" i="1"/>
  <c r="AK959" i="1"/>
  <c r="AM959" i="1"/>
  <c r="BF959" i="1"/>
  <c r="BG959" i="1"/>
  <c r="T960" i="1"/>
  <c r="U960" i="1"/>
  <c r="V960" i="1"/>
  <c r="W960" i="1"/>
  <c r="AB960" i="1"/>
  <c r="AF960" i="1"/>
  <c r="AC961" i="1"/>
  <c r="AJ960" i="1"/>
  <c r="AK960" i="1"/>
  <c r="AM960" i="1"/>
  <c r="BF960" i="1"/>
  <c r="BG960" i="1"/>
  <c r="T961" i="1"/>
  <c r="U961" i="1"/>
  <c r="V961" i="1"/>
  <c r="W961" i="1"/>
  <c r="AB961" i="1"/>
  <c r="AF961" i="1"/>
  <c r="AC962" i="1"/>
  <c r="AJ961" i="1"/>
  <c r="AK961" i="1"/>
  <c r="AM961" i="1"/>
  <c r="BF961" i="1"/>
  <c r="BG961" i="1"/>
  <c r="T962" i="1"/>
  <c r="U962" i="1"/>
  <c r="V962" i="1"/>
  <c r="W962" i="1"/>
  <c r="AB962" i="1"/>
  <c r="AF962" i="1"/>
  <c r="K963" i="1"/>
  <c r="AC963" i="1"/>
  <c r="AJ962" i="1"/>
  <c r="AK962" i="1"/>
  <c r="AM962" i="1"/>
  <c r="BF962" i="1"/>
  <c r="BG962" i="1"/>
  <c r="T963" i="1"/>
  <c r="U963" i="1"/>
  <c r="V963" i="1"/>
  <c r="W963" i="1"/>
  <c r="AB963" i="1"/>
  <c r="AF963" i="1"/>
  <c r="K964" i="1"/>
  <c r="AC964" i="1"/>
  <c r="AJ963" i="1"/>
  <c r="AK963" i="1"/>
  <c r="AM963" i="1"/>
  <c r="BF963" i="1"/>
  <c r="BG963" i="1"/>
  <c r="T964" i="1"/>
  <c r="U964" i="1"/>
  <c r="V964" i="1"/>
  <c r="W964" i="1"/>
  <c r="AB964" i="1"/>
  <c r="AF964" i="1"/>
  <c r="AC965" i="1"/>
  <c r="AJ964" i="1"/>
  <c r="AK964" i="1"/>
  <c r="AM964" i="1"/>
  <c r="BF964" i="1"/>
  <c r="BG964" i="1"/>
  <c r="T965" i="1"/>
  <c r="U965" i="1"/>
  <c r="V965" i="1"/>
  <c r="W965" i="1"/>
  <c r="AB965" i="1"/>
  <c r="AF965" i="1"/>
  <c r="AC966" i="1"/>
  <c r="AJ965" i="1"/>
  <c r="AK965" i="1"/>
  <c r="AM965" i="1"/>
  <c r="BF965" i="1"/>
  <c r="BG965" i="1"/>
  <c r="T966" i="1"/>
  <c r="U966" i="1"/>
  <c r="V966" i="1"/>
  <c r="W966" i="1"/>
  <c r="AB966" i="1"/>
  <c r="AF966" i="1"/>
  <c r="K967" i="1"/>
  <c r="AC967" i="1"/>
  <c r="AJ966" i="1"/>
  <c r="AK966" i="1"/>
  <c r="AM966" i="1"/>
  <c r="BF966" i="1"/>
  <c r="BG966" i="1"/>
  <c r="T967" i="1"/>
  <c r="U967" i="1"/>
  <c r="V967" i="1"/>
  <c r="W967" i="1"/>
  <c r="AB967" i="1"/>
  <c r="AF967" i="1"/>
  <c r="K968" i="1"/>
  <c r="AC968" i="1"/>
  <c r="AJ967" i="1"/>
  <c r="AK967" i="1"/>
  <c r="AM967" i="1"/>
  <c r="BF967" i="1"/>
  <c r="BG967" i="1"/>
  <c r="T968" i="1"/>
  <c r="U968" i="1"/>
  <c r="V968" i="1"/>
  <c r="W968" i="1"/>
  <c r="AB968" i="1"/>
  <c r="AF968" i="1"/>
  <c r="AC969" i="1"/>
  <c r="AJ968" i="1"/>
  <c r="AK968" i="1"/>
  <c r="AM968" i="1"/>
  <c r="BF968" i="1"/>
  <c r="BG968" i="1"/>
  <c r="T969" i="1"/>
  <c r="U969" i="1"/>
  <c r="V969" i="1"/>
  <c r="W969" i="1"/>
  <c r="AB969" i="1"/>
  <c r="AF969" i="1"/>
  <c r="AC970" i="1"/>
  <c r="AJ969" i="1"/>
  <c r="AK969" i="1"/>
  <c r="AM969" i="1"/>
  <c r="BF969" i="1"/>
  <c r="BG969" i="1"/>
  <c r="T970" i="1"/>
  <c r="U970" i="1"/>
  <c r="V970" i="1"/>
  <c r="W970" i="1"/>
  <c r="AB970" i="1"/>
  <c r="AF970" i="1"/>
  <c r="K971" i="1"/>
  <c r="AC971" i="1"/>
  <c r="AJ970" i="1"/>
  <c r="AK970" i="1"/>
  <c r="AM970" i="1"/>
  <c r="BF970" i="1"/>
  <c r="BG970" i="1"/>
  <c r="T971" i="1"/>
  <c r="U971" i="1"/>
  <c r="V971" i="1"/>
  <c r="W971" i="1"/>
  <c r="AB971" i="1"/>
  <c r="AF971" i="1"/>
  <c r="K972" i="1"/>
  <c r="AC972" i="1"/>
  <c r="AJ971" i="1"/>
  <c r="AK971" i="1"/>
  <c r="AM971" i="1"/>
  <c r="BF971" i="1"/>
  <c r="BG971" i="1"/>
  <c r="T972" i="1"/>
  <c r="U972" i="1"/>
  <c r="V972" i="1"/>
  <c r="W972" i="1"/>
  <c r="AB972" i="1"/>
  <c r="AF972" i="1"/>
  <c r="K973" i="1"/>
  <c r="AC973" i="1"/>
  <c r="AJ972" i="1"/>
  <c r="AK972" i="1"/>
  <c r="AM972" i="1"/>
  <c r="BF972" i="1"/>
  <c r="BG972" i="1"/>
  <c r="T973" i="1"/>
  <c r="U973" i="1"/>
  <c r="V973" i="1"/>
  <c r="W973" i="1"/>
  <c r="AB973" i="1"/>
  <c r="AF973" i="1"/>
  <c r="K974" i="1"/>
  <c r="AC974" i="1"/>
  <c r="AJ973" i="1"/>
  <c r="AK973" i="1"/>
  <c r="AM973" i="1"/>
  <c r="BF973" i="1"/>
  <c r="BG973" i="1"/>
  <c r="T974" i="1"/>
  <c r="U974" i="1"/>
  <c r="V974" i="1"/>
  <c r="W974" i="1"/>
  <c r="AB974" i="1"/>
  <c r="AF974" i="1"/>
  <c r="K975" i="1"/>
  <c r="AC975" i="1"/>
  <c r="AJ974" i="1"/>
  <c r="AK974" i="1"/>
  <c r="AM974" i="1"/>
  <c r="BF974" i="1"/>
  <c r="BG974" i="1"/>
  <c r="T975" i="1"/>
  <c r="U975" i="1"/>
  <c r="V975" i="1"/>
  <c r="W975" i="1"/>
  <c r="AB975" i="1"/>
  <c r="AF975" i="1"/>
  <c r="K976" i="1"/>
  <c r="AC976" i="1"/>
  <c r="AJ975" i="1"/>
  <c r="AK975" i="1"/>
  <c r="AM975" i="1"/>
  <c r="BF975" i="1"/>
  <c r="BG975" i="1"/>
  <c r="T976" i="1"/>
  <c r="U976" i="1"/>
  <c r="V976" i="1"/>
  <c r="W976" i="1"/>
  <c r="AB976" i="1"/>
  <c r="AF976" i="1"/>
  <c r="K977" i="1"/>
  <c r="AC977" i="1"/>
  <c r="AJ976" i="1"/>
  <c r="AK976" i="1"/>
  <c r="AM976" i="1"/>
  <c r="BF976" i="1"/>
  <c r="BG976" i="1"/>
  <c r="T977" i="1"/>
  <c r="U977" i="1"/>
  <c r="V977" i="1"/>
  <c r="W977" i="1"/>
  <c r="AB977" i="1"/>
  <c r="AF977" i="1"/>
  <c r="K978" i="1"/>
  <c r="AC978" i="1"/>
  <c r="AJ977" i="1"/>
  <c r="AK977" i="1"/>
  <c r="AM977" i="1"/>
  <c r="BF977" i="1"/>
  <c r="BG977" i="1"/>
  <c r="T978" i="1"/>
  <c r="U978" i="1"/>
  <c r="V978" i="1"/>
  <c r="W978" i="1"/>
  <c r="AB978" i="1"/>
  <c r="AF978" i="1"/>
  <c r="AC979" i="1"/>
  <c r="AJ978" i="1"/>
  <c r="AK978" i="1"/>
  <c r="AM978" i="1"/>
  <c r="BF978" i="1"/>
  <c r="BG978" i="1"/>
  <c r="T979" i="1"/>
  <c r="U979" i="1"/>
  <c r="V979" i="1"/>
  <c r="W979" i="1"/>
  <c r="AB979" i="1"/>
  <c r="AF979" i="1"/>
  <c r="AC980" i="1"/>
  <c r="AJ979" i="1"/>
  <c r="AK979" i="1"/>
  <c r="AM979" i="1"/>
  <c r="BF979" i="1"/>
  <c r="BG979" i="1"/>
  <c r="T980" i="1"/>
  <c r="U980" i="1"/>
  <c r="V980" i="1"/>
  <c r="W980" i="1"/>
  <c r="AB980" i="1"/>
  <c r="AF980" i="1"/>
  <c r="K981" i="1"/>
  <c r="AC981" i="1"/>
  <c r="AJ980" i="1"/>
  <c r="AK980" i="1"/>
  <c r="AM980" i="1"/>
  <c r="BF980" i="1"/>
  <c r="BG980" i="1"/>
  <c r="T981" i="1"/>
  <c r="U981" i="1"/>
  <c r="V981" i="1"/>
  <c r="W981" i="1"/>
  <c r="AB981" i="1"/>
  <c r="AF981" i="1"/>
  <c r="AC982" i="1"/>
  <c r="AJ981" i="1"/>
  <c r="AK981" i="1"/>
  <c r="AM981" i="1"/>
  <c r="BF981" i="1"/>
  <c r="BG981" i="1"/>
  <c r="T982" i="1"/>
  <c r="U982" i="1"/>
  <c r="V982" i="1"/>
  <c r="W982" i="1"/>
  <c r="AB982" i="1"/>
  <c r="AF982" i="1"/>
  <c r="AC983" i="1"/>
  <c r="AJ982" i="1"/>
  <c r="AK982" i="1"/>
  <c r="AM982" i="1"/>
  <c r="BF982" i="1"/>
  <c r="BG982" i="1"/>
  <c r="T983" i="1"/>
  <c r="U983" i="1"/>
  <c r="V983" i="1"/>
  <c r="W983" i="1"/>
  <c r="AB983" i="1"/>
  <c r="AF983" i="1"/>
  <c r="K984" i="1"/>
  <c r="AC984" i="1"/>
  <c r="AJ983" i="1"/>
  <c r="AK983" i="1"/>
  <c r="AM983" i="1"/>
  <c r="BF983" i="1"/>
  <c r="BG983" i="1"/>
  <c r="T984" i="1"/>
  <c r="U984" i="1"/>
  <c r="V984" i="1"/>
  <c r="W984" i="1"/>
  <c r="AB984" i="1"/>
  <c r="AF984" i="1"/>
  <c r="K985" i="1"/>
  <c r="AC985" i="1"/>
  <c r="AJ984" i="1"/>
  <c r="AK984" i="1"/>
  <c r="AM984" i="1"/>
  <c r="BF984" i="1"/>
  <c r="BG984" i="1"/>
  <c r="T985" i="1"/>
  <c r="U985" i="1"/>
  <c r="V985" i="1"/>
  <c r="W985" i="1"/>
  <c r="AB985" i="1"/>
  <c r="AF985" i="1"/>
  <c r="K986" i="1"/>
  <c r="AC986" i="1"/>
  <c r="AJ985" i="1"/>
  <c r="AK985" i="1"/>
  <c r="AM985" i="1"/>
  <c r="BF985" i="1"/>
  <c r="BG985" i="1"/>
  <c r="T986" i="1"/>
  <c r="U986" i="1"/>
  <c r="V986" i="1"/>
  <c r="W986" i="1"/>
  <c r="AB986" i="1"/>
  <c r="AF986" i="1"/>
  <c r="AC987" i="1"/>
  <c r="AJ986" i="1"/>
  <c r="AK986" i="1"/>
  <c r="AM986" i="1"/>
  <c r="BF986" i="1"/>
  <c r="BG986" i="1"/>
  <c r="T987" i="1"/>
  <c r="U987" i="1"/>
  <c r="V987" i="1"/>
  <c r="W987" i="1"/>
  <c r="AB987" i="1"/>
  <c r="AF987" i="1"/>
  <c r="AC988" i="1"/>
  <c r="AJ987" i="1"/>
  <c r="AK987" i="1"/>
  <c r="AM987" i="1"/>
  <c r="BF987" i="1"/>
  <c r="BG987" i="1"/>
  <c r="T988" i="1"/>
  <c r="U988" i="1"/>
  <c r="V988" i="1"/>
  <c r="W988" i="1"/>
  <c r="AB988" i="1"/>
  <c r="AF988" i="1"/>
  <c r="K989" i="1"/>
  <c r="AC989" i="1"/>
  <c r="AJ988" i="1"/>
  <c r="AK988" i="1"/>
  <c r="AM988" i="1"/>
  <c r="BF988" i="1"/>
  <c r="BG988" i="1"/>
  <c r="T989" i="1"/>
  <c r="U989" i="1"/>
  <c r="V989" i="1"/>
  <c r="W989" i="1"/>
  <c r="AB989" i="1"/>
  <c r="AF989" i="1"/>
  <c r="K990" i="1"/>
  <c r="AC990" i="1"/>
  <c r="AJ989" i="1"/>
  <c r="AK989" i="1"/>
  <c r="AM989" i="1"/>
  <c r="BF989" i="1"/>
  <c r="BG989" i="1"/>
  <c r="T990" i="1"/>
  <c r="U990" i="1"/>
  <c r="V990" i="1"/>
  <c r="W990" i="1"/>
  <c r="AB990" i="1"/>
  <c r="AF990" i="1"/>
  <c r="AC991" i="1"/>
  <c r="AJ990" i="1"/>
  <c r="AK990" i="1"/>
  <c r="AM990" i="1"/>
  <c r="BF990" i="1"/>
  <c r="BG990" i="1"/>
  <c r="T991" i="1"/>
  <c r="U991" i="1"/>
  <c r="V991" i="1"/>
  <c r="W991" i="1"/>
  <c r="AB991" i="1"/>
  <c r="AF991" i="1"/>
  <c r="AC992" i="1"/>
  <c r="AJ991" i="1"/>
  <c r="AK991" i="1"/>
  <c r="AM991" i="1"/>
  <c r="BF991" i="1"/>
  <c r="BG991" i="1"/>
  <c r="T992" i="1"/>
  <c r="U992" i="1"/>
  <c r="V992" i="1"/>
  <c r="W992" i="1"/>
  <c r="AB992" i="1"/>
  <c r="AF992" i="1"/>
  <c r="K993" i="1"/>
  <c r="AC993" i="1"/>
  <c r="AJ992" i="1"/>
  <c r="AK992" i="1"/>
  <c r="AM992" i="1"/>
  <c r="BF992" i="1"/>
  <c r="BG992" i="1"/>
  <c r="T993" i="1"/>
  <c r="U993" i="1"/>
  <c r="V993" i="1"/>
  <c r="W993" i="1"/>
  <c r="AB993" i="1"/>
  <c r="AF993" i="1"/>
  <c r="K994" i="1"/>
  <c r="AC994" i="1"/>
  <c r="AJ993" i="1"/>
  <c r="AK993" i="1"/>
  <c r="AM993" i="1"/>
  <c r="BF993" i="1"/>
  <c r="BG993" i="1"/>
  <c r="T994" i="1"/>
  <c r="U994" i="1"/>
  <c r="V994" i="1"/>
  <c r="W994" i="1"/>
  <c r="AB994" i="1"/>
  <c r="AF994" i="1"/>
  <c r="K995" i="1"/>
  <c r="AC995" i="1"/>
  <c r="AJ994" i="1"/>
  <c r="AK994" i="1"/>
  <c r="AM994" i="1"/>
  <c r="BF994" i="1"/>
  <c r="BG994" i="1"/>
  <c r="T995" i="1"/>
  <c r="U995" i="1"/>
  <c r="V995" i="1"/>
  <c r="W995" i="1"/>
  <c r="AB995" i="1"/>
  <c r="AF995" i="1"/>
  <c r="AC996" i="1"/>
  <c r="AJ995" i="1"/>
  <c r="AK995" i="1"/>
  <c r="AM995" i="1"/>
  <c r="BF995" i="1"/>
  <c r="BG995" i="1"/>
  <c r="T996" i="1"/>
  <c r="U996" i="1"/>
  <c r="V996" i="1"/>
  <c r="W996" i="1"/>
  <c r="AB996" i="1"/>
  <c r="AF996" i="1"/>
  <c r="AC997" i="1"/>
  <c r="AJ996" i="1"/>
  <c r="AK996" i="1"/>
  <c r="AM996" i="1"/>
  <c r="BF996" i="1"/>
  <c r="BG996" i="1"/>
  <c r="T997" i="1"/>
  <c r="U997" i="1"/>
  <c r="V997" i="1"/>
  <c r="W997" i="1"/>
  <c r="AB997" i="1"/>
  <c r="AF997" i="1"/>
  <c r="K998" i="1"/>
  <c r="AC998" i="1"/>
  <c r="AJ997" i="1"/>
  <c r="AK997" i="1"/>
  <c r="AM997" i="1"/>
  <c r="BF997" i="1"/>
  <c r="BG997" i="1"/>
  <c r="T998" i="1"/>
  <c r="U998" i="1"/>
  <c r="V998" i="1"/>
  <c r="W998" i="1"/>
  <c r="AB998" i="1"/>
  <c r="AF998" i="1"/>
  <c r="K999" i="1"/>
  <c r="AC999" i="1"/>
  <c r="AJ998" i="1"/>
  <c r="AK998" i="1"/>
  <c r="AM998" i="1"/>
  <c r="BF998" i="1"/>
  <c r="BG998" i="1"/>
  <c r="T999" i="1"/>
  <c r="U999" i="1"/>
  <c r="V999" i="1"/>
  <c r="W999" i="1"/>
  <c r="AB999" i="1"/>
  <c r="AF999" i="1"/>
  <c r="AC1000" i="1"/>
  <c r="AJ999" i="1"/>
  <c r="AK999" i="1"/>
  <c r="AM999" i="1"/>
  <c r="BF999" i="1"/>
  <c r="BG999" i="1"/>
  <c r="T1000" i="1"/>
  <c r="U1000" i="1"/>
  <c r="V1000" i="1"/>
  <c r="W1000" i="1"/>
  <c r="AB1000" i="1"/>
  <c r="AF1000" i="1"/>
  <c r="AC1001" i="1"/>
  <c r="AJ1000" i="1"/>
  <c r="AK1000" i="1"/>
  <c r="AM1000" i="1"/>
  <c r="BF1000" i="1"/>
  <c r="BG1000" i="1"/>
  <c r="T1001" i="1"/>
  <c r="U1001" i="1"/>
  <c r="V1001" i="1"/>
  <c r="W1001" i="1"/>
  <c r="AB1001" i="1"/>
  <c r="AF1001" i="1"/>
  <c r="K1002" i="1"/>
  <c r="AC1002" i="1"/>
  <c r="AJ1001" i="1"/>
  <c r="AK1001" i="1"/>
  <c r="AM1001" i="1"/>
  <c r="BF1001" i="1"/>
  <c r="BG1001" i="1"/>
  <c r="T1002" i="1"/>
  <c r="U1002" i="1"/>
  <c r="V1002" i="1"/>
  <c r="W1002" i="1"/>
  <c r="AB1002" i="1"/>
  <c r="AF1002" i="1"/>
  <c r="AC1003" i="1"/>
  <c r="AJ1002" i="1"/>
  <c r="AK1002" i="1"/>
  <c r="AM1002" i="1"/>
  <c r="BF1002" i="1"/>
  <c r="BG1002" i="1"/>
  <c r="T1003" i="1"/>
  <c r="U1003" i="1"/>
  <c r="V1003" i="1"/>
  <c r="W1003" i="1"/>
  <c r="AB1003" i="1"/>
  <c r="AF1003" i="1"/>
  <c r="AC1004" i="1"/>
  <c r="AJ1003" i="1"/>
  <c r="AK1003" i="1"/>
  <c r="AM1003" i="1"/>
  <c r="BF1003" i="1"/>
  <c r="BG1003" i="1"/>
  <c r="T1004" i="1"/>
  <c r="U1004" i="1"/>
  <c r="V1004" i="1"/>
  <c r="W1004" i="1"/>
  <c r="AB1004" i="1"/>
  <c r="AF1004" i="1"/>
  <c r="K1005" i="1"/>
  <c r="AC1005" i="1"/>
  <c r="AJ1004" i="1"/>
  <c r="AK1004" i="1"/>
  <c r="AM1004" i="1"/>
  <c r="BF1004" i="1"/>
  <c r="BG1004" i="1"/>
  <c r="T1005" i="1"/>
  <c r="U1005" i="1"/>
  <c r="V1005" i="1"/>
  <c r="W1005" i="1"/>
  <c r="AB1005" i="1"/>
  <c r="AF1005" i="1"/>
  <c r="K1006" i="1"/>
  <c r="AC1006" i="1"/>
  <c r="AJ1005" i="1"/>
  <c r="AK1005" i="1"/>
  <c r="AM1005" i="1"/>
  <c r="BF1005" i="1"/>
  <c r="BG1005" i="1"/>
  <c r="T1006" i="1"/>
  <c r="U1006" i="1"/>
  <c r="V1006" i="1"/>
  <c r="W1006" i="1"/>
  <c r="AB1006" i="1"/>
  <c r="AF1006" i="1"/>
  <c r="AC1007" i="1"/>
  <c r="AJ1006" i="1"/>
  <c r="AK1006" i="1"/>
  <c r="AM1006" i="1"/>
  <c r="BF1006" i="1"/>
  <c r="BG1006" i="1"/>
  <c r="T1007" i="1"/>
  <c r="U1007" i="1"/>
  <c r="V1007" i="1"/>
  <c r="W1007" i="1"/>
  <c r="AB1007" i="1"/>
  <c r="AF1007" i="1"/>
  <c r="AC1008" i="1"/>
  <c r="AJ1007" i="1"/>
  <c r="AK1007" i="1"/>
  <c r="AM1007" i="1"/>
  <c r="BF1007" i="1"/>
  <c r="BG1007" i="1"/>
  <c r="T1008" i="1"/>
  <c r="U1008" i="1"/>
  <c r="V1008" i="1"/>
  <c r="W1008" i="1"/>
  <c r="AB1008" i="1"/>
  <c r="AF1008" i="1"/>
  <c r="K1009" i="1"/>
  <c r="AC1009" i="1"/>
  <c r="AJ1008" i="1"/>
  <c r="AK1008" i="1"/>
  <c r="AM1008" i="1"/>
  <c r="BF1008" i="1"/>
  <c r="BG1008" i="1"/>
  <c r="T1009" i="1"/>
  <c r="U1009" i="1"/>
  <c r="V1009" i="1"/>
  <c r="W1009" i="1"/>
  <c r="AB1009" i="1"/>
  <c r="AF1009" i="1"/>
  <c r="AC1010" i="1"/>
  <c r="AJ1009" i="1"/>
  <c r="AK1009" i="1"/>
  <c r="AM1009" i="1"/>
  <c r="BF1009" i="1"/>
  <c r="BG1009" i="1"/>
  <c r="T1010" i="1"/>
  <c r="U1010" i="1"/>
  <c r="V1010" i="1"/>
  <c r="W1010" i="1"/>
  <c r="AB1010" i="1"/>
  <c r="AF1010" i="1"/>
  <c r="AC1011" i="1"/>
  <c r="AJ1010" i="1"/>
  <c r="AK1010" i="1"/>
  <c r="AM1010" i="1"/>
  <c r="BF1010" i="1"/>
  <c r="BG1010" i="1"/>
  <c r="T1011" i="1"/>
  <c r="U1011" i="1"/>
  <c r="V1011" i="1"/>
  <c r="W1011" i="1"/>
  <c r="AB1011" i="1"/>
  <c r="AF1011" i="1"/>
  <c r="K1012" i="1"/>
  <c r="AC1012" i="1"/>
  <c r="AJ1011" i="1"/>
  <c r="AK1011" i="1"/>
  <c r="AM1011" i="1"/>
  <c r="BF1011" i="1"/>
  <c r="BG1011" i="1"/>
  <c r="T1012" i="1"/>
  <c r="U1012" i="1"/>
  <c r="V1012" i="1"/>
  <c r="W1012" i="1"/>
  <c r="AB1012" i="1"/>
  <c r="AF1012" i="1"/>
  <c r="K1013" i="1"/>
  <c r="AC1013" i="1"/>
  <c r="AJ1012" i="1"/>
  <c r="AK1012" i="1"/>
  <c r="AM1012" i="1"/>
  <c r="BF1012" i="1"/>
  <c r="BG1012" i="1"/>
  <c r="T1013" i="1"/>
  <c r="U1013" i="1"/>
  <c r="V1013" i="1"/>
  <c r="W1013" i="1"/>
  <c r="AB1013" i="1"/>
  <c r="AF1013" i="1"/>
  <c r="K1014" i="1"/>
  <c r="AC1014" i="1"/>
  <c r="AJ1013" i="1"/>
  <c r="AK1013" i="1"/>
  <c r="AM1013" i="1"/>
  <c r="BF1013" i="1"/>
  <c r="BG1013" i="1"/>
  <c r="T1014" i="1"/>
  <c r="U1014" i="1"/>
  <c r="V1014" i="1"/>
  <c r="W1014" i="1"/>
  <c r="AB1014" i="1"/>
  <c r="AF1014" i="1"/>
  <c r="K1015" i="1"/>
  <c r="AC1015" i="1"/>
  <c r="AJ1014" i="1"/>
  <c r="AK1014" i="1"/>
  <c r="AM1014" i="1"/>
  <c r="BF1014" i="1"/>
  <c r="BG1014" i="1"/>
  <c r="T1015" i="1"/>
  <c r="U1015" i="1"/>
  <c r="V1015" i="1"/>
  <c r="W1015" i="1"/>
  <c r="AB1015" i="1"/>
  <c r="AF1015" i="1"/>
  <c r="AC1016" i="1"/>
  <c r="AJ1015" i="1"/>
  <c r="AK1015" i="1"/>
  <c r="AM1015" i="1"/>
  <c r="BF1015" i="1"/>
  <c r="BG1015" i="1"/>
  <c r="T1016" i="1"/>
  <c r="U1016" i="1"/>
  <c r="V1016" i="1"/>
  <c r="W1016" i="1"/>
  <c r="AB1016" i="1"/>
  <c r="AF1016" i="1"/>
  <c r="AC1017" i="1"/>
  <c r="AJ1016" i="1"/>
  <c r="AK1016" i="1"/>
  <c r="AM1016" i="1"/>
  <c r="BF1016" i="1"/>
  <c r="BG1016" i="1"/>
  <c r="T1017" i="1"/>
  <c r="U1017" i="1"/>
  <c r="V1017" i="1"/>
  <c r="W1017" i="1"/>
  <c r="AB1017" i="1"/>
  <c r="AF1017" i="1"/>
  <c r="K1018" i="1"/>
  <c r="AC1018" i="1"/>
  <c r="AJ1017" i="1"/>
  <c r="AK1017" i="1"/>
  <c r="AM1017" i="1"/>
  <c r="BF1017" i="1"/>
  <c r="BG1017" i="1"/>
  <c r="T1018" i="1"/>
  <c r="U1018" i="1"/>
  <c r="V1018" i="1"/>
  <c r="W1018" i="1"/>
  <c r="AB1018" i="1"/>
  <c r="AF1018" i="1"/>
  <c r="K1019" i="1"/>
  <c r="AC1019" i="1"/>
  <c r="AJ1018" i="1"/>
  <c r="AK1018" i="1"/>
  <c r="AM1018" i="1"/>
  <c r="BF1018" i="1"/>
  <c r="BG1018" i="1"/>
  <c r="T1019" i="1"/>
  <c r="U1019" i="1"/>
  <c r="V1019" i="1"/>
  <c r="W1019" i="1"/>
  <c r="AB1019" i="1"/>
  <c r="AF1019" i="1"/>
  <c r="K1020" i="1"/>
  <c r="AC1020" i="1"/>
  <c r="AJ1019" i="1"/>
  <c r="AK1019" i="1"/>
  <c r="AM1019" i="1"/>
  <c r="BF1019" i="1"/>
  <c r="BG1019" i="1"/>
  <c r="T1020" i="1"/>
  <c r="U1020" i="1"/>
  <c r="V1020" i="1"/>
  <c r="W1020" i="1"/>
  <c r="AB1020" i="1"/>
  <c r="AF1020" i="1"/>
  <c r="K1021" i="1"/>
  <c r="AC1021" i="1"/>
  <c r="AJ1020" i="1"/>
  <c r="AK1020" i="1"/>
  <c r="AM1020" i="1"/>
  <c r="BF1020" i="1"/>
  <c r="BG1020" i="1"/>
  <c r="T1021" i="1"/>
  <c r="U1021" i="1"/>
  <c r="V1021" i="1"/>
  <c r="W1021" i="1"/>
  <c r="AB1021" i="1"/>
  <c r="AF1021" i="1"/>
  <c r="K1022" i="1"/>
  <c r="AC1022" i="1"/>
  <c r="AJ1021" i="1"/>
  <c r="AK1021" i="1"/>
  <c r="AM1021" i="1"/>
  <c r="BF1021" i="1"/>
  <c r="BG1021" i="1"/>
  <c r="T1022" i="1"/>
  <c r="U1022" i="1"/>
  <c r="V1022" i="1"/>
  <c r="W1022" i="1"/>
  <c r="AB1022" i="1"/>
  <c r="AF1022" i="1"/>
  <c r="K1023" i="1"/>
  <c r="AC1023" i="1"/>
  <c r="AJ1022" i="1"/>
  <c r="AK1022" i="1"/>
  <c r="AM1022" i="1"/>
  <c r="BF1022" i="1"/>
  <c r="BG1022" i="1"/>
  <c r="T1023" i="1"/>
  <c r="U1023" i="1"/>
  <c r="V1023" i="1"/>
  <c r="W1023" i="1"/>
  <c r="AB1023" i="1"/>
  <c r="AF1023" i="1"/>
  <c r="K1024" i="1"/>
  <c r="AC1024" i="1"/>
  <c r="AJ1023" i="1"/>
  <c r="AK1023" i="1"/>
  <c r="AM1023" i="1"/>
  <c r="BF1023" i="1"/>
  <c r="BG1023" i="1"/>
  <c r="T1024" i="1"/>
  <c r="U1024" i="1"/>
  <c r="V1024" i="1"/>
  <c r="W1024" i="1"/>
  <c r="AB1024" i="1"/>
  <c r="AF1024" i="1"/>
  <c r="K1025" i="1"/>
  <c r="AC1025" i="1"/>
  <c r="AJ1024" i="1"/>
  <c r="AK1024" i="1"/>
  <c r="AM1024" i="1"/>
  <c r="BF1024" i="1"/>
  <c r="BG1024" i="1"/>
  <c r="T1025" i="1"/>
  <c r="U1025" i="1"/>
  <c r="V1025" i="1"/>
  <c r="W1025" i="1"/>
  <c r="AB1025" i="1"/>
  <c r="AF1025" i="1"/>
  <c r="AC1026" i="1"/>
  <c r="AJ1025" i="1"/>
  <c r="AK1025" i="1"/>
  <c r="AM1025" i="1"/>
  <c r="BF1025" i="1"/>
  <c r="BG1025" i="1"/>
  <c r="T1026" i="1"/>
  <c r="U1026" i="1"/>
  <c r="V1026" i="1"/>
  <c r="W1026" i="1"/>
  <c r="AB1026" i="1"/>
  <c r="AF1026" i="1"/>
  <c r="AC1027" i="1"/>
  <c r="AJ1026" i="1"/>
  <c r="AK1026" i="1"/>
  <c r="AM1026" i="1"/>
  <c r="BF1026" i="1"/>
  <c r="BG1026" i="1"/>
  <c r="T1027" i="1"/>
  <c r="U1027" i="1"/>
  <c r="V1027" i="1"/>
  <c r="W1027" i="1"/>
  <c r="AB1027" i="1"/>
  <c r="AF1027" i="1"/>
  <c r="K1028" i="1"/>
  <c r="AC1028" i="1"/>
  <c r="AJ1027" i="1"/>
  <c r="AK1027" i="1"/>
  <c r="AM1027" i="1"/>
  <c r="BF1027" i="1"/>
  <c r="BG1027" i="1"/>
  <c r="T1028" i="1"/>
  <c r="U1028" i="1"/>
  <c r="V1028" i="1"/>
  <c r="W1028" i="1"/>
  <c r="AB1028" i="1"/>
  <c r="AF1028" i="1"/>
  <c r="K1029" i="1"/>
  <c r="AC1029" i="1"/>
  <c r="AJ1028" i="1"/>
  <c r="AK1028" i="1"/>
  <c r="AM1028" i="1"/>
  <c r="BF1028" i="1"/>
  <c r="BG1028" i="1"/>
  <c r="T1029" i="1"/>
  <c r="U1029" i="1"/>
  <c r="V1029" i="1"/>
  <c r="W1029" i="1"/>
  <c r="AB1029" i="1"/>
  <c r="AF1029" i="1"/>
  <c r="AC1030" i="1"/>
  <c r="AJ1029" i="1"/>
  <c r="AK1029" i="1"/>
  <c r="AM1029" i="1"/>
  <c r="BF1029" i="1"/>
  <c r="BG1029" i="1"/>
  <c r="T1030" i="1"/>
  <c r="U1030" i="1"/>
  <c r="V1030" i="1"/>
  <c r="W1030" i="1"/>
  <c r="AB1030" i="1"/>
  <c r="AF1030" i="1"/>
  <c r="AC1031" i="1"/>
  <c r="AJ1030" i="1"/>
  <c r="AK1030" i="1"/>
  <c r="AM1030" i="1"/>
  <c r="BF1030" i="1"/>
  <c r="BG1030" i="1"/>
  <c r="T1031" i="1"/>
  <c r="U1031" i="1"/>
  <c r="V1031" i="1"/>
  <c r="W1031" i="1"/>
  <c r="AB1031" i="1"/>
  <c r="AF1031" i="1"/>
  <c r="K1032" i="1"/>
  <c r="AC1032" i="1"/>
  <c r="AJ1031" i="1"/>
  <c r="AK1031" i="1"/>
  <c r="AM1031" i="1"/>
  <c r="BF1031" i="1"/>
  <c r="BG1031" i="1"/>
  <c r="T1032" i="1"/>
  <c r="U1032" i="1"/>
  <c r="V1032" i="1"/>
  <c r="W1032" i="1"/>
  <c r="AB1032" i="1"/>
  <c r="AF1032" i="1"/>
  <c r="K1033" i="1"/>
  <c r="AC1033" i="1"/>
  <c r="AJ1032" i="1"/>
  <c r="AK1032" i="1"/>
  <c r="AM1032" i="1"/>
  <c r="BF1032" i="1"/>
  <c r="BG1032" i="1"/>
  <c r="T1033" i="1"/>
  <c r="U1033" i="1"/>
  <c r="V1033" i="1"/>
  <c r="W1033" i="1"/>
  <c r="AB1033" i="1"/>
  <c r="AF1033" i="1"/>
  <c r="K1034" i="1"/>
  <c r="AC1034" i="1"/>
  <c r="AJ1033" i="1"/>
  <c r="AK1033" i="1"/>
  <c r="AM1033" i="1"/>
  <c r="BF1033" i="1"/>
  <c r="BG1033" i="1"/>
  <c r="T1034" i="1"/>
  <c r="U1034" i="1"/>
  <c r="V1034" i="1"/>
  <c r="W1034" i="1"/>
  <c r="AB1034" i="1"/>
  <c r="AF1034" i="1"/>
  <c r="AC1035" i="1"/>
  <c r="AJ1034" i="1"/>
  <c r="AK1034" i="1"/>
  <c r="AM1034" i="1"/>
  <c r="BF1034" i="1"/>
  <c r="BG1034" i="1"/>
  <c r="T1035" i="1"/>
  <c r="U1035" i="1"/>
  <c r="V1035" i="1"/>
  <c r="W1035" i="1"/>
  <c r="AB1035" i="1"/>
  <c r="AF1035" i="1"/>
  <c r="AC1036" i="1"/>
  <c r="AJ1035" i="1"/>
  <c r="AK1035" i="1"/>
  <c r="AM1035" i="1"/>
  <c r="BF1035" i="1"/>
  <c r="BG1035" i="1"/>
  <c r="T1036" i="1"/>
  <c r="U1036" i="1"/>
  <c r="V1036" i="1"/>
  <c r="W1036" i="1"/>
  <c r="AB1036" i="1"/>
  <c r="AF1036" i="1"/>
  <c r="K1037" i="1"/>
  <c r="AC1037" i="1"/>
  <c r="AJ1036" i="1"/>
  <c r="AK1036" i="1"/>
  <c r="AM1036" i="1"/>
  <c r="BF1036" i="1"/>
  <c r="BG1036" i="1"/>
  <c r="T1037" i="1"/>
  <c r="U1037" i="1"/>
  <c r="V1037" i="1"/>
  <c r="W1037" i="1"/>
  <c r="AB1037" i="1"/>
  <c r="AF1037" i="1"/>
  <c r="AC1038" i="1"/>
  <c r="AJ1037" i="1"/>
  <c r="AK1037" i="1"/>
  <c r="AM1037" i="1"/>
  <c r="BF1037" i="1"/>
  <c r="BG1037" i="1"/>
  <c r="T1038" i="1"/>
  <c r="U1038" i="1"/>
  <c r="V1038" i="1"/>
  <c r="W1038" i="1"/>
  <c r="AB1038" i="1"/>
  <c r="AF1038" i="1"/>
  <c r="AC1039" i="1"/>
  <c r="AJ1038" i="1"/>
  <c r="AK1038" i="1"/>
  <c r="AM1038" i="1"/>
  <c r="BF1038" i="1"/>
  <c r="BG1038" i="1"/>
  <c r="T1039" i="1"/>
  <c r="U1039" i="1"/>
  <c r="V1039" i="1"/>
  <c r="W1039" i="1"/>
  <c r="AB1039" i="1"/>
  <c r="AF1039" i="1"/>
  <c r="K1040" i="1"/>
  <c r="AC1040" i="1"/>
  <c r="AJ1039" i="1"/>
  <c r="AK1039" i="1"/>
  <c r="AM1039" i="1"/>
  <c r="BF1039" i="1"/>
  <c r="BG1039" i="1"/>
  <c r="T1040" i="1"/>
  <c r="U1040" i="1"/>
  <c r="V1040" i="1"/>
  <c r="W1040" i="1"/>
  <c r="AB1040" i="1"/>
  <c r="AF1040" i="1"/>
  <c r="AC1041" i="1"/>
  <c r="AJ1040" i="1"/>
  <c r="AK1040" i="1"/>
  <c r="AM1040" i="1"/>
  <c r="BF1040" i="1"/>
  <c r="BG1040" i="1"/>
  <c r="T1041" i="1"/>
  <c r="U1041" i="1"/>
  <c r="V1041" i="1"/>
  <c r="W1041" i="1"/>
  <c r="AB1041" i="1"/>
  <c r="AF1041" i="1"/>
  <c r="AC1042" i="1"/>
  <c r="AJ1041" i="1"/>
  <c r="AK1041" i="1"/>
  <c r="AM1041" i="1"/>
  <c r="BF1041" i="1"/>
  <c r="BG1041" i="1"/>
  <c r="T1042" i="1"/>
  <c r="U1042" i="1"/>
  <c r="V1042" i="1"/>
  <c r="W1042" i="1"/>
  <c r="AB1042" i="1"/>
  <c r="AF1042" i="1"/>
  <c r="K1043" i="1"/>
  <c r="AC1043" i="1"/>
  <c r="AJ1042" i="1"/>
  <c r="AK1042" i="1"/>
  <c r="AM1042" i="1"/>
  <c r="BF1042" i="1"/>
  <c r="BG1042" i="1"/>
  <c r="T1043" i="1"/>
  <c r="U1043" i="1"/>
  <c r="V1043" i="1"/>
  <c r="W1043" i="1"/>
  <c r="AB1043" i="1"/>
  <c r="AF1043" i="1"/>
  <c r="K1044" i="1"/>
  <c r="AC1044" i="1"/>
  <c r="AJ1043" i="1"/>
  <c r="AK1043" i="1"/>
  <c r="AM1043" i="1"/>
  <c r="BF1043" i="1"/>
  <c r="BG1043" i="1"/>
  <c r="T1044" i="1"/>
  <c r="U1044" i="1"/>
  <c r="V1044" i="1"/>
  <c r="W1044" i="1"/>
  <c r="AB1044" i="1"/>
  <c r="AF1044" i="1"/>
  <c r="K1045" i="1"/>
  <c r="AC1045" i="1"/>
  <c r="AJ1044" i="1"/>
  <c r="AK1044" i="1"/>
  <c r="AM1044" i="1"/>
  <c r="BF1044" i="1"/>
  <c r="BG1044" i="1"/>
  <c r="T1045" i="1"/>
  <c r="U1045" i="1"/>
  <c r="V1045" i="1"/>
  <c r="W1045" i="1"/>
  <c r="AB1045" i="1"/>
  <c r="AF1045" i="1"/>
  <c r="K1046" i="1"/>
  <c r="AC1046" i="1"/>
  <c r="AJ1045" i="1"/>
  <c r="AK1045" i="1"/>
  <c r="AM1045" i="1"/>
  <c r="BF1045" i="1"/>
  <c r="BG1045" i="1"/>
  <c r="T1046" i="1"/>
  <c r="U1046" i="1"/>
  <c r="V1046" i="1"/>
  <c r="W1046" i="1"/>
  <c r="AB1046" i="1"/>
  <c r="AF1046" i="1"/>
  <c r="AC1047" i="1"/>
  <c r="AJ1046" i="1"/>
  <c r="AK1046" i="1"/>
  <c r="AM1046" i="1"/>
  <c r="BF1046" i="1"/>
  <c r="BG1046" i="1"/>
  <c r="T1047" i="1"/>
  <c r="U1047" i="1"/>
  <c r="V1047" i="1"/>
  <c r="W1047" i="1"/>
  <c r="AB1047" i="1"/>
  <c r="AF1047" i="1"/>
  <c r="AC1048" i="1"/>
  <c r="AJ1047" i="1"/>
  <c r="AK1047" i="1"/>
  <c r="AM1047" i="1"/>
  <c r="BF1047" i="1"/>
  <c r="BG1047" i="1"/>
  <c r="T1048" i="1"/>
  <c r="U1048" i="1"/>
  <c r="V1048" i="1"/>
  <c r="W1048" i="1"/>
  <c r="AB1048" i="1"/>
  <c r="AF1048" i="1"/>
  <c r="K1049" i="1"/>
  <c r="AC1049" i="1"/>
  <c r="AJ1048" i="1"/>
  <c r="AK1048" i="1"/>
  <c r="AM1048" i="1"/>
  <c r="BF1048" i="1"/>
  <c r="BG1048" i="1"/>
  <c r="T1049" i="1"/>
  <c r="U1049" i="1"/>
  <c r="V1049" i="1"/>
  <c r="W1049" i="1"/>
  <c r="AB1049" i="1"/>
  <c r="AF1049" i="1"/>
  <c r="K1050" i="1"/>
  <c r="AC1050" i="1"/>
  <c r="AJ1049" i="1"/>
  <c r="AK1049" i="1"/>
  <c r="AM1049" i="1"/>
  <c r="BF1049" i="1"/>
  <c r="BG1049" i="1"/>
  <c r="T1050" i="1"/>
  <c r="U1050" i="1"/>
  <c r="V1050" i="1"/>
  <c r="W1050" i="1"/>
  <c r="AB1050" i="1"/>
  <c r="AF1050" i="1"/>
  <c r="K1051" i="1"/>
  <c r="AC1051" i="1"/>
  <c r="AJ1050" i="1"/>
  <c r="AK1050" i="1"/>
  <c r="AM1050" i="1"/>
  <c r="BF1050" i="1"/>
  <c r="BG1050" i="1"/>
  <c r="T1051" i="1"/>
  <c r="U1051" i="1"/>
  <c r="V1051" i="1"/>
  <c r="W1051" i="1"/>
  <c r="AB1051" i="1"/>
  <c r="AF1051" i="1"/>
  <c r="AC1052" i="1"/>
  <c r="AJ1051" i="1"/>
  <c r="AK1051" i="1"/>
  <c r="AM1051" i="1"/>
  <c r="BF1051" i="1"/>
  <c r="BG1051" i="1"/>
  <c r="T1052" i="1"/>
  <c r="U1052" i="1"/>
  <c r="V1052" i="1"/>
  <c r="W1052" i="1"/>
  <c r="AB1052" i="1"/>
  <c r="AF1052" i="1"/>
  <c r="AC1053" i="1"/>
  <c r="AJ1052" i="1"/>
  <c r="AK1052" i="1"/>
  <c r="AM1052" i="1"/>
  <c r="BF1052" i="1"/>
  <c r="BG1052" i="1"/>
  <c r="T1053" i="1"/>
  <c r="U1053" i="1"/>
  <c r="V1053" i="1"/>
  <c r="W1053" i="1"/>
  <c r="AB1053" i="1"/>
  <c r="AF1053" i="1"/>
  <c r="K1054" i="1"/>
  <c r="AC1054" i="1"/>
  <c r="AJ1053" i="1"/>
  <c r="AK1053" i="1"/>
  <c r="AM1053" i="1"/>
  <c r="BF1053" i="1"/>
  <c r="BG1053" i="1"/>
  <c r="T1054" i="1"/>
  <c r="U1054" i="1"/>
  <c r="V1054" i="1"/>
  <c r="W1054" i="1"/>
  <c r="AB1054" i="1"/>
  <c r="AF1054" i="1"/>
  <c r="AC1055" i="1"/>
  <c r="AJ1054" i="1"/>
  <c r="AK1054" i="1"/>
  <c r="AM1054" i="1"/>
  <c r="BF1054" i="1"/>
  <c r="BG1054" i="1"/>
  <c r="T1055" i="1"/>
  <c r="U1055" i="1"/>
  <c r="V1055" i="1"/>
  <c r="W1055" i="1"/>
  <c r="AB1055" i="1"/>
  <c r="AF1055" i="1"/>
  <c r="AC1056" i="1"/>
  <c r="AJ1055" i="1"/>
  <c r="AK1055" i="1"/>
  <c r="AM1055" i="1"/>
  <c r="BF1055" i="1"/>
  <c r="BG1055" i="1"/>
  <c r="T1056" i="1"/>
  <c r="U1056" i="1"/>
  <c r="V1056" i="1"/>
  <c r="W1056" i="1"/>
  <c r="AB1056" i="1"/>
  <c r="AF1056" i="1"/>
  <c r="K1057" i="1"/>
  <c r="AC1057" i="1"/>
  <c r="AJ1056" i="1"/>
  <c r="AK1056" i="1"/>
  <c r="AM1056" i="1"/>
  <c r="BF1056" i="1"/>
  <c r="BG1056" i="1"/>
  <c r="T1057" i="1"/>
  <c r="U1057" i="1"/>
  <c r="V1057" i="1"/>
  <c r="W1057" i="1"/>
  <c r="AB1057" i="1"/>
  <c r="AF1057" i="1"/>
  <c r="AC1058" i="1"/>
  <c r="AJ1057" i="1"/>
  <c r="AK1057" i="1"/>
  <c r="AM1057" i="1"/>
  <c r="BF1057" i="1"/>
  <c r="BG1057" i="1"/>
  <c r="T1058" i="1"/>
  <c r="U1058" i="1"/>
  <c r="V1058" i="1"/>
  <c r="W1058" i="1"/>
  <c r="AB1058" i="1"/>
  <c r="AF1058" i="1"/>
  <c r="AC1059" i="1"/>
  <c r="AJ1058" i="1"/>
  <c r="AK1058" i="1"/>
  <c r="AM1058" i="1"/>
  <c r="BF1058" i="1"/>
  <c r="BG1058" i="1"/>
  <c r="T1059" i="1"/>
  <c r="U1059" i="1"/>
  <c r="V1059" i="1"/>
  <c r="W1059" i="1"/>
  <c r="AB1059" i="1"/>
  <c r="AF1059" i="1"/>
  <c r="K1060" i="1"/>
  <c r="AC1060" i="1"/>
  <c r="AJ1059" i="1"/>
  <c r="AK1059" i="1"/>
  <c r="AM1059" i="1"/>
  <c r="BF1059" i="1"/>
  <c r="BG1059" i="1"/>
  <c r="T1060" i="1"/>
  <c r="U1060" i="1"/>
  <c r="V1060" i="1"/>
  <c r="W1060" i="1"/>
  <c r="AB1060" i="1"/>
  <c r="AF1060" i="1"/>
  <c r="AC1061" i="1"/>
  <c r="AJ1060" i="1"/>
  <c r="AK1060" i="1"/>
  <c r="AM1060" i="1"/>
  <c r="BF1060" i="1"/>
  <c r="BG1060" i="1"/>
  <c r="T1061" i="1"/>
  <c r="U1061" i="1"/>
  <c r="V1061" i="1"/>
  <c r="W1061" i="1"/>
  <c r="AB1061" i="1"/>
  <c r="AF1061" i="1"/>
  <c r="AC1062" i="1"/>
  <c r="AJ1061" i="1"/>
  <c r="AK1061" i="1"/>
  <c r="AM1061" i="1"/>
  <c r="BF1061" i="1"/>
  <c r="BG1061" i="1"/>
  <c r="T1062" i="1"/>
  <c r="U1062" i="1"/>
  <c r="V1062" i="1"/>
  <c r="W1062" i="1"/>
  <c r="AB1062" i="1"/>
  <c r="AF1062" i="1"/>
  <c r="K1063" i="1"/>
  <c r="AC1063" i="1"/>
  <c r="AJ1062" i="1"/>
  <c r="AK1062" i="1"/>
  <c r="AM1062" i="1"/>
  <c r="BF1062" i="1"/>
  <c r="BG1062" i="1"/>
  <c r="T1063" i="1"/>
  <c r="U1063" i="1"/>
  <c r="V1063" i="1"/>
  <c r="W1063" i="1"/>
  <c r="AB1063" i="1"/>
  <c r="AF1063" i="1"/>
  <c r="AC1064" i="1"/>
  <c r="AJ1063" i="1"/>
  <c r="AK1063" i="1"/>
  <c r="AM1063" i="1"/>
  <c r="BF1063" i="1"/>
  <c r="BG1063" i="1"/>
  <c r="T1064" i="1"/>
  <c r="U1064" i="1"/>
  <c r="V1064" i="1"/>
  <c r="W1064" i="1"/>
  <c r="AB1064" i="1"/>
  <c r="AF1064" i="1"/>
  <c r="AC1065" i="1"/>
  <c r="AJ1064" i="1"/>
  <c r="AK1064" i="1"/>
  <c r="AM1064" i="1"/>
  <c r="BF1064" i="1"/>
  <c r="BG1064" i="1"/>
  <c r="T1065" i="1"/>
  <c r="U1065" i="1"/>
  <c r="V1065" i="1"/>
  <c r="W1065" i="1"/>
  <c r="AB1065" i="1"/>
  <c r="AF1065" i="1"/>
  <c r="K1066" i="1"/>
  <c r="AC1066" i="1"/>
  <c r="AJ1065" i="1"/>
  <c r="AK1065" i="1"/>
  <c r="AM1065" i="1"/>
  <c r="BF1065" i="1"/>
  <c r="BG1065" i="1"/>
  <c r="T1066" i="1"/>
  <c r="U1066" i="1"/>
  <c r="V1066" i="1"/>
  <c r="W1066" i="1"/>
  <c r="AB1066" i="1"/>
  <c r="AF1066" i="1"/>
  <c r="AC1067" i="1"/>
  <c r="AJ1066" i="1"/>
  <c r="AK1066" i="1"/>
  <c r="AM1066" i="1"/>
  <c r="BF1066" i="1"/>
  <c r="BG1066" i="1"/>
  <c r="T1067" i="1"/>
  <c r="U1067" i="1"/>
  <c r="V1067" i="1"/>
  <c r="W1067" i="1"/>
  <c r="AB1067" i="1"/>
  <c r="AF1067" i="1"/>
  <c r="AC1068" i="1"/>
  <c r="AJ1067" i="1"/>
  <c r="AK1067" i="1"/>
  <c r="AM1067" i="1"/>
  <c r="BF1067" i="1"/>
  <c r="BG1067" i="1"/>
  <c r="T1068" i="1"/>
  <c r="U1068" i="1"/>
  <c r="V1068" i="1"/>
  <c r="W1068" i="1"/>
  <c r="AB1068" i="1"/>
  <c r="AF1068" i="1"/>
  <c r="K1069" i="1"/>
  <c r="AC1069" i="1"/>
  <c r="AJ1068" i="1"/>
  <c r="AK1068" i="1"/>
  <c r="AM1068" i="1"/>
  <c r="BF1068" i="1"/>
  <c r="BG1068" i="1"/>
  <c r="T1069" i="1"/>
  <c r="U1069" i="1"/>
  <c r="V1069" i="1"/>
  <c r="W1069" i="1"/>
  <c r="AB1069" i="1"/>
  <c r="AF1069" i="1"/>
  <c r="AC1070" i="1"/>
  <c r="AJ1069" i="1"/>
  <c r="AK1069" i="1"/>
  <c r="AM1069" i="1"/>
  <c r="BF1069" i="1"/>
  <c r="BG1069" i="1"/>
  <c r="T1070" i="1"/>
  <c r="U1070" i="1"/>
  <c r="V1070" i="1"/>
  <c r="W1070" i="1"/>
  <c r="AB1070" i="1"/>
  <c r="AF1070" i="1"/>
  <c r="AC1071" i="1"/>
  <c r="AJ1070" i="1"/>
  <c r="AK1070" i="1"/>
  <c r="AM1070" i="1"/>
  <c r="BF1070" i="1"/>
  <c r="BG1070" i="1"/>
  <c r="T1071" i="1"/>
  <c r="U1071" i="1"/>
  <c r="V1071" i="1"/>
  <c r="W1071" i="1"/>
  <c r="AB1071" i="1"/>
  <c r="AF1071" i="1"/>
  <c r="K1072" i="1"/>
  <c r="AC1072" i="1"/>
  <c r="AJ1071" i="1"/>
  <c r="AK1071" i="1"/>
  <c r="AM1071" i="1"/>
  <c r="BF1071" i="1"/>
  <c r="BG1071" i="1"/>
  <c r="T1072" i="1"/>
  <c r="U1072" i="1"/>
  <c r="V1072" i="1"/>
  <c r="W1072" i="1"/>
  <c r="AB1072" i="1"/>
  <c r="AF1072" i="1"/>
  <c r="AC1073" i="1"/>
  <c r="AJ1072" i="1"/>
  <c r="AK1072" i="1"/>
  <c r="AM1072" i="1"/>
  <c r="BF1072" i="1"/>
  <c r="BG1072" i="1"/>
  <c r="T1073" i="1"/>
  <c r="U1073" i="1"/>
  <c r="V1073" i="1"/>
  <c r="W1073" i="1"/>
  <c r="AB1073" i="1"/>
  <c r="AF1073" i="1"/>
  <c r="AC1074" i="1"/>
  <c r="AJ1073" i="1"/>
  <c r="AK1073" i="1"/>
  <c r="AM1073" i="1"/>
  <c r="BF1073" i="1"/>
  <c r="BG1073" i="1"/>
  <c r="T1074" i="1"/>
  <c r="U1074" i="1"/>
  <c r="V1074" i="1"/>
  <c r="W1074" i="1"/>
  <c r="AB1074" i="1"/>
  <c r="AF1074" i="1"/>
  <c r="K1075" i="1"/>
  <c r="AC1075" i="1"/>
  <c r="AJ1074" i="1"/>
  <c r="AK1074" i="1"/>
  <c r="AM1074" i="1"/>
  <c r="BF1074" i="1"/>
  <c r="BG1074" i="1"/>
  <c r="T1075" i="1"/>
  <c r="U1075" i="1"/>
  <c r="V1075" i="1"/>
  <c r="W1075" i="1"/>
  <c r="AB1075" i="1"/>
  <c r="AF1075" i="1"/>
  <c r="AC1076" i="1"/>
  <c r="AJ1075" i="1"/>
  <c r="AK1075" i="1"/>
  <c r="AM1075" i="1"/>
  <c r="BF1075" i="1"/>
  <c r="BG1075" i="1"/>
  <c r="T1076" i="1"/>
  <c r="U1076" i="1"/>
  <c r="V1076" i="1"/>
  <c r="W1076" i="1"/>
  <c r="AB1076" i="1"/>
  <c r="AF1076" i="1"/>
  <c r="AC1077" i="1"/>
  <c r="AJ1076" i="1"/>
  <c r="AK1076" i="1"/>
  <c r="AM1076" i="1"/>
  <c r="BF1076" i="1"/>
  <c r="BG1076" i="1"/>
  <c r="T1077" i="1"/>
  <c r="U1077" i="1"/>
  <c r="V1077" i="1"/>
  <c r="W1077" i="1"/>
  <c r="AB1077" i="1"/>
  <c r="AF1077" i="1"/>
  <c r="K1078" i="1"/>
  <c r="AC1078" i="1"/>
  <c r="AJ1077" i="1"/>
  <c r="AK1077" i="1"/>
  <c r="AM1077" i="1"/>
  <c r="BF1077" i="1"/>
  <c r="BG1077" i="1"/>
  <c r="T1078" i="1"/>
  <c r="U1078" i="1"/>
  <c r="V1078" i="1"/>
  <c r="W1078" i="1"/>
  <c r="AB1078" i="1"/>
  <c r="AF1078" i="1"/>
  <c r="K1079" i="1"/>
  <c r="AC1079" i="1"/>
  <c r="AJ1078" i="1"/>
  <c r="AK1078" i="1"/>
  <c r="AM1078" i="1"/>
  <c r="BF1078" i="1"/>
  <c r="BG1078" i="1"/>
  <c r="T1079" i="1"/>
  <c r="U1079" i="1"/>
  <c r="V1079" i="1"/>
  <c r="W1079" i="1"/>
  <c r="AB1079" i="1"/>
  <c r="AF1079" i="1"/>
  <c r="AC1080" i="1"/>
  <c r="AJ1079" i="1"/>
  <c r="AK1079" i="1"/>
  <c r="AM1079" i="1"/>
  <c r="BF1079" i="1"/>
  <c r="BG1079" i="1"/>
  <c r="T1080" i="1"/>
  <c r="U1080" i="1"/>
  <c r="V1080" i="1"/>
  <c r="W1080" i="1"/>
  <c r="AB1080" i="1"/>
  <c r="AF1080" i="1"/>
  <c r="AC1081" i="1"/>
  <c r="AJ1080" i="1"/>
  <c r="AK1080" i="1"/>
  <c r="AM1080" i="1"/>
  <c r="BF1080" i="1"/>
  <c r="BG1080" i="1"/>
  <c r="T1081" i="1"/>
  <c r="U1081" i="1"/>
  <c r="V1081" i="1"/>
  <c r="W1081" i="1"/>
  <c r="AB1081" i="1"/>
  <c r="AF1081" i="1"/>
  <c r="K1082" i="1"/>
  <c r="AC1082" i="1"/>
  <c r="AJ1081" i="1"/>
  <c r="AK1081" i="1"/>
  <c r="AM1081" i="1"/>
  <c r="BF1081" i="1"/>
  <c r="BG1081" i="1"/>
  <c r="T1082" i="1"/>
  <c r="U1082" i="1"/>
  <c r="V1082" i="1"/>
  <c r="W1082" i="1"/>
  <c r="AB1082" i="1"/>
  <c r="AF1082" i="1"/>
  <c r="K1083" i="1"/>
  <c r="AC1083" i="1"/>
  <c r="AJ1082" i="1"/>
  <c r="AK1082" i="1"/>
  <c r="AM1082" i="1"/>
  <c r="BF1082" i="1"/>
  <c r="BG1082" i="1"/>
  <c r="T1083" i="1"/>
  <c r="U1083" i="1"/>
  <c r="V1083" i="1"/>
  <c r="W1083" i="1"/>
  <c r="AB1083" i="1"/>
  <c r="AF1083" i="1"/>
  <c r="K1084" i="1"/>
  <c r="AC1084" i="1"/>
  <c r="AJ1083" i="1"/>
  <c r="AK1083" i="1"/>
  <c r="AM1083" i="1"/>
  <c r="BF1083" i="1"/>
  <c r="BG1083" i="1"/>
  <c r="T1084" i="1"/>
  <c r="U1084" i="1"/>
  <c r="V1084" i="1"/>
  <c r="W1084" i="1"/>
  <c r="AB1084" i="1"/>
  <c r="AF1084" i="1"/>
  <c r="K1085" i="1"/>
  <c r="AC1085" i="1"/>
  <c r="AJ1084" i="1"/>
  <c r="AK1084" i="1"/>
  <c r="AM1084" i="1"/>
  <c r="BF1084" i="1"/>
  <c r="BG1084" i="1"/>
  <c r="T1085" i="1"/>
  <c r="U1085" i="1"/>
  <c r="V1085" i="1"/>
  <c r="W1085" i="1"/>
  <c r="AB1085" i="1"/>
  <c r="AF1085" i="1"/>
  <c r="K1086" i="1"/>
  <c r="AC1086" i="1"/>
  <c r="AJ1085" i="1"/>
  <c r="AK1085" i="1"/>
  <c r="AM1085" i="1"/>
  <c r="BF1085" i="1"/>
  <c r="BG1085" i="1"/>
  <c r="T1086" i="1"/>
  <c r="U1086" i="1"/>
  <c r="V1086" i="1"/>
  <c r="W1086" i="1"/>
  <c r="AB1086" i="1"/>
  <c r="AF1086" i="1"/>
  <c r="AC1087" i="1"/>
  <c r="AJ1086" i="1"/>
  <c r="AK1086" i="1"/>
  <c r="AM1086" i="1"/>
  <c r="BF1086" i="1"/>
  <c r="BG1086" i="1"/>
  <c r="T1087" i="1"/>
  <c r="U1087" i="1"/>
  <c r="V1087" i="1"/>
  <c r="W1087" i="1"/>
  <c r="AB1087" i="1"/>
  <c r="AF1087" i="1"/>
  <c r="AC1088" i="1"/>
  <c r="AJ1087" i="1"/>
  <c r="AK1087" i="1"/>
  <c r="AM1087" i="1"/>
  <c r="BF1087" i="1"/>
  <c r="BG1087" i="1"/>
  <c r="T1088" i="1"/>
  <c r="U1088" i="1"/>
  <c r="V1088" i="1"/>
  <c r="W1088" i="1"/>
  <c r="AB1088" i="1"/>
  <c r="AF1088" i="1"/>
  <c r="K1089" i="1"/>
  <c r="AC1089" i="1"/>
  <c r="AJ1088" i="1"/>
  <c r="AK1088" i="1"/>
  <c r="AM1088" i="1"/>
  <c r="BF1088" i="1"/>
  <c r="BG1088" i="1"/>
  <c r="T1089" i="1"/>
  <c r="U1089" i="1"/>
  <c r="V1089" i="1"/>
  <c r="W1089" i="1"/>
  <c r="AB1089" i="1"/>
  <c r="AF1089" i="1"/>
  <c r="K1090" i="1"/>
  <c r="AC1090" i="1"/>
  <c r="AJ1089" i="1"/>
  <c r="AK1089" i="1"/>
  <c r="AM1089" i="1"/>
  <c r="BF1089" i="1"/>
  <c r="BG1089" i="1"/>
  <c r="T1090" i="1"/>
  <c r="U1090" i="1"/>
  <c r="V1090" i="1"/>
  <c r="W1090" i="1"/>
  <c r="AB1090" i="1"/>
  <c r="AF1090" i="1"/>
  <c r="AC1091" i="1"/>
  <c r="AJ1090" i="1"/>
  <c r="AK1090" i="1"/>
  <c r="AM1090" i="1"/>
  <c r="BF1090" i="1"/>
  <c r="BG1090" i="1"/>
  <c r="T1091" i="1"/>
  <c r="U1091" i="1"/>
  <c r="V1091" i="1"/>
  <c r="W1091" i="1"/>
  <c r="AB1091" i="1"/>
  <c r="AF1091" i="1"/>
  <c r="AC1092" i="1"/>
  <c r="AJ1091" i="1"/>
  <c r="AK1091" i="1"/>
  <c r="AM1091" i="1"/>
  <c r="BF1091" i="1"/>
  <c r="BG1091" i="1"/>
  <c r="T1092" i="1"/>
  <c r="U1092" i="1"/>
  <c r="V1092" i="1"/>
  <c r="W1092" i="1"/>
  <c r="AB1092" i="1"/>
  <c r="AF1092" i="1"/>
  <c r="K1093" i="1"/>
  <c r="AC1093" i="1"/>
  <c r="AJ1092" i="1"/>
  <c r="AK1092" i="1"/>
  <c r="AM1092" i="1"/>
  <c r="BF1092" i="1"/>
  <c r="BG1092" i="1"/>
  <c r="T1093" i="1"/>
  <c r="U1093" i="1"/>
  <c r="V1093" i="1"/>
  <c r="W1093" i="1"/>
  <c r="AB1093" i="1"/>
  <c r="AF1093" i="1"/>
  <c r="K1094" i="1"/>
  <c r="AC1094" i="1"/>
  <c r="AJ1093" i="1"/>
  <c r="AK1093" i="1"/>
  <c r="AM1093" i="1"/>
  <c r="BF1093" i="1"/>
  <c r="BG1093" i="1"/>
  <c r="T1094" i="1"/>
  <c r="U1094" i="1"/>
  <c r="V1094" i="1"/>
  <c r="W1094" i="1"/>
  <c r="AB1094" i="1"/>
  <c r="AF1094" i="1"/>
  <c r="AC1095" i="1"/>
  <c r="AJ1094" i="1"/>
  <c r="AK1094" i="1"/>
  <c r="AM1094" i="1"/>
  <c r="BF1094" i="1"/>
  <c r="BG1094" i="1"/>
  <c r="T1095" i="1"/>
  <c r="U1095" i="1"/>
  <c r="V1095" i="1"/>
  <c r="W1095" i="1"/>
  <c r="AB1095" i="1"/>
  <c r="AF1095" i="1"/>
  <c r="AC1096" i="1"/>
  <c r="AJ1095" i="1"/>
  <c r="AK1095" i="1"/>
  <c r="AM1095" i="1"/>
  <c r="BF1095" i="1"/>
  <c r="BG1095" i="1"/>
  <c r="T1096" i="1"/>
  <c r="U1096" i="1"/>
  <c r="V1096" i="1"/>
  <c r="W1096" i="1"/>
  <c r="AB1096" i="1"/>
  <c r="AF1096" i="1"/>
  <c r="K1097" i="1"/>
  <c r="AC1097" i="1"/>
  <c r="AJ1096" i="1"/>
  <c r="AK1096" i="1"/>
  <c r="AM1096" i="1"/>
  <c r="BF1096" i="1"/>
  <c r="BG1096" i="1"/>
  <c r="T1097" i="1"/>
  <c r="U1097" i="1"/>
  <c r="V1097" i="1"/>
  <c r="W1097" i="1"/>
  <c r="AB1097" i="1"/>
  <c r="AF1097" i="1"/>
  <c r="K1098" i="1"/>
  <c r="AC1098" i="1"/>
  <c r="AJ1097" i="1"/>
  <c r="AK1097" i="1"/>
  <c r="AM1097" i="1"/>
  <c r="BF1097" i="1"/>
  <c r="BG1097" i="1"/>
  <c r="T1098" i="1"/>
  <c r="U1098" i="1"/>
  <c r="V1098" i="1"/>
  <c r="W1098" i="1"/>
  <c r="AB1098" i="1"/>
  <c r="AF1098" i="1"/>
  <c r="K1099" i="1"/>
  <c r="AC1099" i="1"/>
  <c r="AJ1098" i="1"/>
  <c r="AK1098" i="1"/>
  <c r="AM1098" i="1"/>
  <c r="BF1098" i="1"/>
  <c r="BG1098" i="1"/>
  <c r="T1099" i="1"/>
  <c r="U1099" i="1"/>
  <c r="V1099" i="1"/>
  <c r="W1099" i="1"/>
  <c r="AB1099" i="1"/>
  <c r="AF1099" i="1"/>
  <c r="K1100" i="1"/>
  <c r="AC1100" i="1"/>
  <c r="AJ1099" i="1"/>
  <c r="AK1099" i="1"/>
  <c r="AM1099" i="1"/>
  <c r="BF1099" i="1"/>
  <c r="BG1099" i="1"/>
  <c r="T1100" i="1"/>
  <c r="U1100" i="1"/>
  <c r="V1100" i="1"/>
  <c r="W1100" i="1"/>
  <c r="AB1100" i="1"/>
  <c r="AF1100" i="1"/>
  <c r="AC1101" i="1"/>
  <c r="AJ1100" i="1"/>
  <c r="AK1100" i="1"/>
  <c r="AM1100" i="1"/>
  <c r="BF1100" i="1"/>
  <c r="BG1100" i="1"/>
  <c r="T1101" i="1"/>
  <c r="U1101" i="1"/>
  <c r="V1101" i="1"/>
  <c r="W1101" i="1"/>
  <c r="AB1101" i="1"/>
  <c r="AF1101" i="1"/>
  <c r="AC1102" i="1"/>
  <c r="AJ1101" i="1"/>
  <c r="AK1101" i="1"/>
  <c r="AM1101" i="1"/>
  <c r="BF1101" i="1"/>
  <c r="BG1101" i="1"/>
  <c r="T1102" i="1"/>
  <c r="U1102" i="1"/>
  <c r="V1102" i="1"/>
  <c r="W1102" i="1"/>
  <c r="AB1102" i="1"/>
  <c r="AF1102" i="1"/>
  <c r="K1103" i="1"/>
  <c r="AC1103" i="1"/>
  <c r="AJ1102" i="1"/>
  <c r="AK1102" i="1"/>
  <c r="AM1102" i="1"/>
  <c r="BF1102" i="1"/>
  <c r="BG1102" i="1"/>
  <c r="T1103" i="1"/>
  <c r="U1103" i="1"/>
  <c r="V1103" i="1"/>
  <c r="W1103" i="1"/>
  <c r="AB1103" i="1"/>
  <c r="AF1103" i="1"/>
  <c r="K1104" i="1"/>
  <c r="AC1104" i="1"/>
  <c r="AJ1103" i="1"/>
  <c r="AK1103" i="1"/>
  <c r="AM1103" i="1"/>
  <c r="BF1103" i="1"/>
  <c r="BG1103" i="1"/>
  <c r="T1104" i="1"/>
  <c r="U1104" i="1"/>
  <c r="V1104" i="1"/>
  <c r="W1104" i="1"/>
  <c r="AB1104" i="1"/>
  <c r="AF1104" i="1"/>
  <c r="K1105" i="1"/>
  <c r="AC1105" i="1"/>
  <c r="AJ1104" i="1"/>
  <c r="AK1104" i="1"/>
  <c r="AM1104" i="1"/>
  <c r="BF1104" i="1"/>
  <c r="BG1104" i="1"/>
  <c r="T1105" i="1"/>
  <c r="U1105" i="1"/>
  <c r="V1105" i="1"/>
  <c r="W1105" i="1"/>
  <c r="AB1105" i="1"/>
  <c r="AF1105" i="1"/>
  <c r="K1106" i="1"/>
  <c r="AC1106" i="1"/>
  <c r="AJ1105" i="1"/>
  <c r="AK1105" i="1"/>
  <c r="AM1105" i="1"/>
  <c r="BF1105" i="1"/>
  <c r="BG1105" i="1"/>
  <c r="T1106" i="1"/>
  <c r="U1106" i="1"/>
  <c r="V1106" i="1"/>
  <c r="W1106" i="1"/>
  <c r="AB1106" i="1"/>
  <c r="AF1106" i="1"/>
  <c r="K1107" i="1"/>
  <c r="AC1107" i="1"/>
  <c r="AJ1106" i="1"/>
  <c r="AK1106" i="1"/>
  <c r="AM1106" i="1"/>
  <c r="BF1106" i="1"/>
  <c r="BG1106" i="1"/>
  <c r="T1107" i="1"/>
  <c r="U1107" i="1"/>
  <c r="V1107" i="1"/>
  <c r="W1107" i="1"/>
  <c r="AB1107" i="1"/>
  <c r="AF1107" i="1"/>
  <c r="K1108" i="1"/>
  <c r="AC1108" i="1"/>
  <c r="AJ1107" i="1"/>
  <c r="AK1107" i="1"/>
  <c r="AM1107" i="1"/>
  <c r="BF1107" i="1"/>
  <c r="BG1107" i="1"/>
  <c r="T1108" i="1"/>
  <c r="U1108" i="1"/>
  <c r="V1108" i="1"/>
  <c r="W1108" i="1"/>
  <c r="AB1108" i="1"/>
  <c r="AF1108" i="1"/>
  <c r="K1109" i="1"/>
  <c r="AC1109" i="1"/>
  <c r="AJ1108" i="1"/>
  <c r="AK1108" i="1"/>
  <c r="AM1108" i="1"/>
  <c r="BF1108" i="1"/>
  <c r="BG1108" i="1"/>
  <c r="T1109" i="1"/>
  <c r="U1109" i="1"/>
  <c r="V1109" i="1"/>
  <c r="W1109" i="1"/>
  <c r="AB1109" i="1"/>
  <c r="AF1109" i="1"/>
  <c r="K1110" i="1"/>
  <c r="AC1110" i="1"/>
  <c r="AJ1109" i="1"/>
  <c r="AK1109" i="1"/>
  <c r="AM1109" i="1"/>
  <c r="BF1109" i="1"/>
  <c r="BG1109" i="1"/>
  <c r="T1110" i="1"/>
  <c r="U1110" i="1"/>
  <c r="V1110" i="1"/>
  <c r="W1110" i="1"/>
  <c r="AB1110" i="1"/>
  <c r="AF1110" i="1"/>
  <c r="AC1111" i="1"/>
  <c r="AJ1110" i="1"/>
  <c r="AK1110" i="1"/>
  <c r="AM1110" i="1"/>
  <c r="BF1110" i="1"/>
  <c r="BG1110" i="1"/>
  <c r="T1111" i="1"/>
  <c r="U1111" i="1"/>
  <c r="V1111" i="1"/>
  <c r="W1111" i="1"/>
  <c r="AB1111" i="1"/>
  <c r="AF1111" i="1"/>
  <c r="AC1112" i="1"/>
  <c r="AJ1111" i="1"/>
  <c r="AK1111" i="1"/>
  <c r="AM1111" i="1"/>
  <c r="BF1111" i="1"/>
  <c r="BG1111" i="1"/>
  <c r="T1112" i="1"/>
  <c r="U1112" i="1"/>
  <c r="V1112" i="1"/>
  <c r="W1112" i="1"/>
  <c r="AB1112" i="1"/>
  <c r="AF1112" i="1"/>
  <c r="K1113" i="1"/>
  <c r="AC1113" i="1"/>
  <c r="AJ1112" i="1"/>
  <c r="AK1112" i="1"/>
  <c r="AM1112" i="1"/>
  <c r="BF1112" i="1"/>
  <c r="BG1112" i="1"/>
  <c r="T1113" i="1"/>
  <c r="U1113" i="1"/>
  <c r="V1113" i="1"/>
  <c r="W1113" i="1"/>
  <c r="AB1113" i="1"/>
  <c r="AF1113" i="1"/>
  <c r="AC1114" i="1"/>
  <c r="AJ1113" i="1"/>
  <c r="AK1113" i="1"/>
  <c r="AM1113" i="1"/>
  <c r="BF1113" i="1"/>
  <c r="BG1113" i="1"/>
  <c r="T1114" i="1"/>
  <c r="U1114" i="1"/>
  <c r="V1114" i="1"/>
  <c r="W1114" i="1"/>
  <c r="AB1114" i="1"/>
  <c r="AF1114" i="1"/>
  <c r="AC1115" i="1"/>
  <c r="AJ1114" i="1"/>
  <c r="AK1114" i="1"/>
  <c r="AM1114" i="1"/>
  <c r="BF1114" i="1"/>
  <c r="BG1114" i="1"/>
  <c r="T1115" i="1"/>
  <c r="U1115" i="1"/>
  <c r="V1115" i="1"/>
  <c r="W1115" i="1"/>
  <c r="AB1115" i="1"/>
  <c r="AF1115" i="1"/>
  <c r="K1116" i="1"/>
  <c r="AC1116" i="1"/>
  <c r="AJ1115" i="1"/>
  <c r="AK1115" i="1"/>
  <c r="AM1115" i="1"/>
  <c r="BF1115" i="1"/>
  <c r="BG1115" i="1"/>
  <c r="T1116" i="1"/>
  <c r="U1116" i="1"/>
  <c r="V1116" i="1"/>
  <c r="W1116" i="1"/>
  <c r="AB1116" i="1"/>
  <c r="AF1116" i="1"/>
  <c r="AC1117" i="1"/>
  <c r="AJ1116" i="1"/>
  <c r="AK1116" i="1"/>
  <c r="AM1116" i="1"/>
  <c r="BF1116" i="1"/>
  <c r="BG1116" i="1"/>
  <c r="T1117" i="1"/>
  <c r="U1117" i="1"/>
  <c r="V1117" i="1"/>
  <c r="W1117" i="1"/>
  <c r="AB1117" i="1"/>
  <c r="AF1117" i="1"/>
  <c r="AC1118" i="1"/>
  <c r="AJ1117" i="1"/>
  <c r="AK1117" i="1"/>
  <c r="AM1117" i="1"/>
  <c r="BF1117" i="1"/>
  <c r="BG1117" i="1"/>
  <c r="T1118" i="1"/>
  <c r="U1118" i="1"/>
  <c r="V1118" i="1"/>
  <c r="W1118" i="1"/>
  <c r="AB1118" i="1"/>
  <c r="AF1118" i="1"/>
  <c r="K1119" i="1"/>
  <c r="AC1119" i="1"/>
  <c r="AJ1118" i="1"/>
  <c r="AK1118" i="1"/>
  <c r="AM1118" i="1"/>
  <c r="BF1118" i="1"/>
  <c r="BG1118" i="1"/>
  <c r="T1119" i="1"/>
  <c r="U1119" i="1"/>
  <c r="V1119" i="1"/>
  <c r="W1119" i="1"/>
  <c r="AB1119" i="1"/>
  <c r="AF1119" i="1"/>
  <c r="K1120" i="1"/>
  <c r="AC1120" i="1"/>
  <c r="AJ1119" i="1"/>
  <c r="AK1119" i="1"/>
  <c r="AM1119" i="1"/>
  <c r="BF1119" i="1"/>
  <c r="BG1119" i="1"/>
  <c r="T1120" i="1"/>
  <c r="U1120" i="1"/>
  <c r="V1120" i="1"/>
  <c r="W1120" i="1"/>
  <c r="AB1120" i="1"/>
  <c r="AF1120" i="1"/>
  <c r="AC1121" i="1"/>
  <c r="AJ1120" i="1"/>
  <c r="AK1120" i="1"/>
  <c r="AM1120" i="1"/>
  <c r="BF1120" i="1"/>
  <c r="BG1120" i="1"/>
  <c r="T1121" i="1"/>
  <c r="U1121" i="1"/>
  <c r="V1121" i="1"/>
  <c r="W1121" i="1"/>
  <c r="AB1121" i="1"/>
  <c r="AF1121" i="1"/>
  <c r="AC1122" i="1"/>
  <c r="AJ1121" i="1"/>
  <c r="AK1121" i="1"/>
  <c r="AM1121" i="1"/>
  <c r="BF1121" i="1"/>
  <c r="BG1121" i="1"/>
  <c r="T1122" i="1"/>
  <c r="U1122" i="1"/>
  <c r="V1122" i="1"/>
  <c r="W1122" i="1"/>
  <c r="AB1122" i="1"/>
  <c r="AF1122" i="1"/>
  <c r="K1123" i="1"/>
  <c r="AC1123" i="1"/>
  <c r="AJ1122" i="1"/>
  <c r="AK1122" i="1"/>
  <c r="AM1122" i="1"/>
  <c r="BF1122" i="1"/>
  <c r="BG1122" i="1"/>
  <c r="T1123" i="1"/>
  <c r="U1123" i="1"/>
  <c r="V1123" i="1"/>
  <c r="W1123" i="1"/>
  <c r="AB1123" i="1"/>
  <c r="AF1123" i="1"/>
  <c r="AC1124" i="1"/>
  <c r="AJ1123" i="1"/>
  <c r="AK1123" i="1"/>
  <c r="AM1123" i="1"/>
  <c r="BF1123" i="1"/>
  <c r="BG1123" i="1"/>
  <c r="T1124" i="1"/>
  <c r="U1124" i="1"/>
  <c r="V1124" i="1"/>
  <c r="W1124" i="1"/>
  <c r="AB1124" i="1"/>
  <c r="AF1124" i="1"/>
  <c r="AC1125" i="1"/>
  <c r="AJ1124" i="1"/>
  <c r="AK1124" i="1"/>
  <c r="AM1124" i="1"/>
  <c r="BF1124" i="1"/>
  <c r="BG1124" i="1"/>
  <c r="T1125" i="1"/>
  <c r="U1125" i="1"/>
  <c r="V1125" i="1"/>
  <c r="W1125" i="1"/>
  <c r="AB1125" i="1"/>
  <c r="AF1125" i="1"/>
  <c r="K1126" i="1"/>
  <c r="AC1126" i="1"/>
  <c r="AJ1125" i="1"/>
  <c r="AK1125" i="1"/>
  <c r="AM1125" i="1"/>
  <c r="BF1125" i="1"/>
  <c r="BG1125" i="1"/>
  <c r="T1126" i="1"/>
  <c r="U1126" i="1"/>
  <c r="V1126" i="1"/>
  <c r="W1126" i="1"/>
  <c r="AB1126" i="1"/>
  <c r="AF1126" i="1"/>
  <c r="AC1127" i="1"/>
  <c r="AJ1126" i="1"/>
  <c r="AK1126" i="1"/>
  <c r="AM1126" i="1"/>
  <c r="BF1126" i="1"/>
  <c r="BG1126" i="1"/>
  <c r="T1127" i="1"/>
  <c r="U1127" i="1"/>
  <c r="V1127" i="1"/>
  <c r="W1127" i="1"/>
  <c r="AB1127" i="1"/>
  <c r="AF1127" i="1"/>
  <c r="AC1128" i="1"/>
  <c r="AJ1127" i="1"/>
  <c r="AK1127" i="1"/>
  <c r="AM1127" i="1"/>
  <c r="BF1127" i="1"/>
  <c r="BG1127" i="1"/>
  <c r="T1128" i="1"/>
  <c r="U1128" i="1"/>
  <c r="V1128" i="1"/>
  <c r="W1128" i="1"/>
  <c r="AB1128" i="1"/>
  <c r="AF1128" i="1"/>
  <c r="K1129" i="1"/>
  <c r="AC1129" i="1"/>
  <c r="AJ1128" i="1"/>
  <c r="AK1128" i="1"/>
  <c r="AM1128" i="1"/>
  <c r="BF1128" i="1"/>
  <c r="BG1128" i="1"/>
  <c r="T1129" i="1"/>
  <c r="U1129" i="1"/>
  <c r="V1129" i="1"/>
  <c r="W1129" i="1"/>
  <c r="AB1129" i="1"/>
  <c r="AF1129" i="1"/>
  <c r="K1130" i="1"/>
  <c r="AC1130" i="1"/>
  <c r="AJ1129" i="1"/>
  <c r="AK1129" i="1"/>
  <c r="AM1129" i="1"/>
  <c r="BF1129" i="1"/>
  <c r="BG1129" i="1"/>
  <c r="T1130" i="1"/>
  <c r="U1130" i="1"/>
  <c r="V1130" i="1"/>
  <c r="W1130" i="1"/>
  <c r="AB1130" i="1"/>
  <c r="AF1130" i="1"/>
  <c r="K1131" i="1"/>
  <c r="AC1131" i="1"/>
  <c r="AJ1130" i="1"/>
  <c r="AK1130" i="1"/>
  <c r="AM1130" i="1"/>
  <c r="BF1130" i="1"/>
  <c r="BG1130" i="1"/>
  <c r="T1131" i="1"/>
  <c r="U1131" i="1"/>
  <c r="V1131" i="1"/>
  <c r="W1131" i="1"/>
  <c r="AB1131" i="1"/>
  <c r="AF1131" i="1"/>
  <c r="AC1132" i="1"/>
  <c r="AJ1131" i="1"/>
  <c r="AK1131" i="1"/>
  <c r="AM1131" i="1"/>
  <c r="BF1131" i="1"/>
  <c r="BG1131" i="1"/>
  <c r="T1132" i="1"/>
  <c r="U1132" i="1"/>
  <c r="V1132" i="1"/>
  <c r="W1132" i="1"/>
  <c r="AB1132" i="1"/>
  <c r="AF1132" i="1"/>
  <c r="AC1133" i="1"/>
  <c r="AJ1132" i="1"/>
  <c r="AK1132" i="1"/>
  <c r="AM1132" i="1"/>
  <c r="BF1132" i="1"/>
  <c r="BG1132" i="1"/>
  <c r="T1133" i="1"/>
  <c r="U1133" i="1"/>
  <c r="V1133" i="1"/>
  <c r="W1133" i="1"/>
  <c r="AB1133" i="1"/>
  <c r="AF1133" i="1"/>
  <c r="K1134" i="1"/>
  <c r="AC1134" i="1"/>
  <c r="AJ1133" i="1"/>
  <c r="AK1133" i="1"/>
  <c r="AM1133" i="1"/>
  <c r="BF1133" i="1"/>
  <c r="BG1133" i="1"/>
  <c r="T1134" i="1"/>
  <c r="U1134" i="1"/>
  <c r="V1134" i="1"/>
  <c r="W1134" i="1"/>
  <c r="AB1134" i="1"/>
  <c r="AF1134" i="1"/>
  <c r="K1135" i="1"/>
  <c r="AC1135" i="1"/>
  <c r="AJ1134" i="1"/>
  <c r="AK1134" i="1"/>
  <c r="AM1134" i="1"/>
  <c r="BF1134" i="1"/>
  <c r="BG1134" i="1"/>
  <c r="T1135" i="1"/>
  <c r="U1135" i="1"/>
  <c r="V1135" i="1"/>
  <c r="W1135" i="1"/>
  <c r="AB1135" i="1"/>
  <c r="AF1135" i="1"/>
  <c r="K1136" i="1"/>
  <c r="AC1136" i="1"/>
  <c r="AJ1135" i="1"/>
  <c r="AK1135" i="1"/>
  <c r="AM1135" i="1"/>
  <c r="BF1135" i="1"/>
  <c r="BG1135" i="1"/>
  <c r="T1136" i="1"/>
  <c r="U1136" i="1"/>
  <c r="V1136" i="1"/>
  <c r="W1136" i="1"/>
  <c r="AB1136" i="1"/>
  <c r="AF1136" i="1"/>
  <c r="K1137" i="1"/>
  <c r="AC1137" i="1"/>
  <c r="AJ1136" i="1"/>
  <c r="AK1136" i="1"/>
  <c r="AM1136" i="1"/>
  <c r="BF1136" i="1"/>
  <c r="BG1136" i="1"/>
  <c r="T1137" i="1"/>
  <c r="U1137" i="1"/>
  <c r="V1137" i="1"/>
  <c r="W1137" i="1"/>
  <c r="AB1137" i="1"/>
  <c r="AF1137" i="1"/>
  <c r="K1138" i="1"/>
  <c r="AC1138" i="1"/>
  <c r="AJ1137" i="1"/>
  <c r="AK1137" i="1"/>
  <c r="AM1137" i="1"/>
  <c r="BF1137" i="1"/>
  <c r="BG1137" i="1"/>
  <c r="T1138" i="1"/>
  <c r="U1138" i="1"/>
  <c r="V1138" i="1"/>
  <c r="W1138" i="1"/>
  <c r="AB1138" i="1"/>
  <c r="AF1138" i="1"/>
  <c r="AC1139" i="1"/>
  <c r="AJ1138" i="1"/>
  <c r="AK1138" i="1"/>
  <c r="AM1138" i="1"/>
  <c r="BF1138" i="1"/>
  <c r="BG1138" i="1"/>
  <c r="T1139" i="1"/>
  <c r="U1139" i="1"/>
  <c r="V1139" i="1"/>
  <c r="W1139" i="1"/>
  <c r="AB1139" i="1"/>
  <c r="AF1139" i="1"/>
  <c r="AC1140" i="1"/>
  <c r="AJ1139" i="1"/>
  <c r="AK1139" i="1"/>
  <c r="AM1139" i="1"/>
  <c r="BF1139" i="1"/>
  <c r="BG1139" i="1"/>
  <c r="T1140" i="1"/>
  <c r="U1140" i="1"/>
  <c r="V1140" i="1"/>
  <c r="W1140" i="1"/>
  <c r="AB1140" i="1"/>
  <c r="AF1140" i="1"/>
  <c r="K1141" i="1"/>
  <c r="AC1141" i="1"/>
  <c r="AJ1140" i="1"/>
  <c r="AK1140" i="1"/>
  <c r="AM1140" i="1"/>
  <c r="BF1140" i="1"/>
  <c r="BG1140" i="1"/>
  <c r="T1141" i="1"/>
  <c r="U1141" i="1"/>
  <c r="V1141" i="1"/>
  <c r="W1141" i="1"/>
  <c r="AB1141" i="1"/>
  <c r="AF1141" i="1"/>
  <c r="K1142" i="1"/>
  <c r="AC1142" i="1"/>
  <c r="AJ1141" i="1"/>
  <c r="AK1141" i="1"/>
  <c r="AM1141" i="1"/>
  <c r="BF1141" i="1"/>
  <c r="BG1141" i="1"/>
  <c r="T1142" i="1"/>
  <c r="U1142" i="1"/>
  <c r="V1142" i="1"/>
  <c r="W1142" i="1"/>
  <c r="AB1142" i="1"/>
  <c r="AF1142" i="1"/>
  <c r="AC1143" i="1"/>
  <c r="AJ1142" i="1"/>
  <c r="AK1142" i="1"/>
  <c r="AM1142" i="1"/>
  <c r="BF1142" i="1"/>
  <c r="BG1142" i="1"/>
  <c r="T1143" i="1"/>
  <c r="U1143" i="1"/>
  <c r="V1143" i="1"/>
  <c r="W1143" i="1"/>
  <c r="AB1143" i="1"/>
  <c r="AF1143" i="1"/>
  <c r="AC1144" i="1"/>
  <c r="AJ1143" i="1"/>
  <c r="AK1143" i="1"/>
  <c r="AM1143" i="1"/>
  <c r="BF1143" i="1"/>
  <c r="BG1143" i="1"/>
  <c r="T1144" i="1"/>
  <c r="U1144" i="1"/>
  <c r="V1144" i="1"/>
  <c r="W1144" i="1"/>
  <c r="AB1144" i="1"/>
  <c r="AF1144" i="1"/>
  <c r="K1145" i="1"/>
  <c r="AC1145" i="1"/>
  <c r="AJ1144" i="1"/>
  <c r="AK1144" i="1"/>
  <c r="AM1144" i="1"/>
  <c r="BF1144" i="1"/>
  <c r="BG1144" i="1"/>
  <c r="T1145" i="1"/>
  <c r="U1145" i="1"/>
  <c r="V1145" i="1"/>
  <c r="W1145" i="1"/>
  <c r="AB1145" i="1"/>
  <c r="AF1145" i="1"/>
  <c r="AC1146" i="1"/>
  <c r="AJ1145" i="1"/>
  <c r="AK1145" i="1"/>
  <c r="AM1145" i="1"/>
  <c r="BF1145" i="1"/>
  <c r="BG1145" i="1"/>
  <c r="T1146" i="1"/>
  <c r="U1146" i="1"/>
  <c r="V1146" i="1"/>
  <c r="W1146" i="1"/>
  <c r="AB1146" i="1"/>
  <c r="AF1146" i="1"/>
  <c r="AC1147" i="1"/>
  <c r="AJ1146" i="1"/>
  <c r="AK1146" i="1"/>
  <c r="AM1146" i="1"/>
  <c r="BF1146" i="1"/>
  <c r="BG1146" i="1"/>
  <c r="T1147" i="1"/>
  <c r="U1147" i="1"/>
  <c r="V1147" i="1"/>
  <c r="W1147" i="1"/>
  <c r="AB1147" i="1"/>
  <c r="AF1147" i="1"/>
  <c r="AC1148" i="1"/>
  <c r="AJ1147" i="1"/>
  <c r="AK1147" i="1"/>
  <c r="AM1147" i="1"/>
  <c r="BF1147" i="1"/>
  <c r="BG1147" i="1"/>
  <c r="T1148" i="1"/>
  <c r="U1148" i="1"/>
  <c r="V1148" i="1"/>
  <c r="W1148" i="1"/>
  <c r="AB1148" i="1"/>
  <c r="AF1148" i="1"/>
  <c r="K1149" i="1"/>
  <c r="AC1149" i="1"/>
  <c r="AJ1148" i="1"/>
  <c r="AK1148" i="1"/>
  <c r="AM1148" i="1"/>
  <c r="BF1148" i="1"/>
  <c r="BG1148" i="1"/>
  <c r="T1149" i="1"/>
  <c r="U1149" i="1"/>
  <c r="V1149" i="1"/>
  <c r="W1149" i="1"/>
  <c r="AB1149" i="1"/>
  <c r="AF1149" i="1"/>
  <c r="AC1150" i="1"/>
  <c r="AJ1149" i="1"/>
  <c r="AK1149" i="1"/>
  <c r="AM1149" i="1"/>
  <c r="BF1149" i="1"/>
  <c r="BG1149" i="1"/>
  <c r="T1150" i="1"/>
  <c r="U1150" i="1"/>
  <c r="V1150" i="1"/>
  <c r="W1150" i="1"/>
  <c r="AB1150" i="1"/>
  <c r="AF1150" i="1"/>
  <c r="AC1151" i="1"/>
  <c r="AJ1150" i="1"/>
  <c r="AK1150" i="1"/>
  <c r="AM1150" i="1"/>
  <c r="BF1150" i="1"/>
  <c r="BG1150" i="1"/>
  <c r="T1151" i="1"/>
  <c r="U1151" i="1"/>
  <c r="V1151" i="1"/>
  <c r="W1151" i="1"/>
  <c r="AB1151" i="1"/>
  <c r="AF1151" i="1"/>
  <c r="K1152" i="1"/>
  <c r="AC1152" i="1"/>
  <c r="AJ1151" i="1"/>
  <c r="AK1151" i="1"/>
  <c r="AM1151" i="1"/>
  <c r="BF1151" i="1"/>
  <c r="BG1151" i="1"/>
  <c r="T1152" i="1"/>
  <c r="U1152" i="1"/>
  <c r="V1152" i="1"/>
  <c r="W1152" i="1"/>
  <c r="AB1152" i="1"/>
  <c r="AF1152" i="1"/>
  <c r="AC1153" i="1"/>
  <c r="AJ1152" i="1"/>
  <c r="AK1152" i="1"/>
  <c r="AM1152" i="1"/>
  <c r="BF1152" i="1"/>
  <c r="BG1152" i="1"/>
  <c r="T1153" i="1"/>
  <c r="U1153" i="1"/>
  <c r="V1153" i="1"/>
  <c r="W1153" i="1"/>
  <c r="AB1153" i="1"/>
  <c r="AF1153" i="1"/>
  <c r="AC1154" i="1"/>
  <c r="AJ1153" i="1"/>
  <c r="AK1153" i="1"/>
  <c r="AM1153" i="1"/>
  <c r="BF1153" i="1"/>
  <c r="BG1153" i="1"/>
  <c r="T1154" i="1"/>
  <c r="U1154" i="1"/>
  <c r="V1154" i="1"/>
  <c r="W1154" i="1"/>
  <c r="AB1154" i="1"/>
  <c r="AF1154" i="1"/>
  <c r="K1155" i="1"/>
  <c r="AC1155" i="1"/>
  <c r="AJ1154" i="1"/>
  <c r="AK1154" i="1"/>
  <c r="AM1154" i="1"/>
  <c r="BF1154" i="1"/>
  <c r="BG1154" i="1"/>
  <c r="T1155" i="1"/>
  <c r="U1155" i="1"/>
  <c r="V1155" i="1"/>
  <c r="W1155" i="1"/>
  <c r="AB1155" i="1"/>
  <c r="AF1155" i="1"/>
  <c r="K1156" i="1"/>
  <c r="AC1156" i="1"/>
  <c r="AJ1155" i="1"/>
  <c r="AK1155" i="1"/>
  <c r="AM1155" i="1"/>
  <c r="BF1155" i="1"/>
  <c r="BG1155" i="1"/>
  <c r="T1156" i="1"/>
  <c r="U1156" i="1"/>
  <c r="V1156" i="1"/>
  <c r="W1156" i="1"/>
  <c r="AB1156" i="1"/>
  <c r="AF1156" i="1"/>
  <c r="K1157" i="1"/>
  <c r="AC1157" i="1"/>
  <c r="AJ1156" i="1"/>
  <c r="AK1156" i="1"/>
  <c r="AM1156" i="1"/>
  <c r="BF1156" i="1"/>
  <c r="BG1156" i="1"/>
  <c r="T1157" i="1"/>
  <c r="U1157" i="1"/>
  <c r="V1157" i="1"/>
  <c r="W1157" i="1"/>
  <c r="AB1157" i="1"/>
  <c r="AF1157" i="1"/>
  <c r="K1158" i="1"/>
  <c r="AC1158" i="1"/>
  <c r="AJ1157" i="1"/>
  <c r="AK1157" i="1"/>
  <c r="AM1157" i="1"/>
  <c r="BF1157" i="1"/>
  <c r="BG1157" i="1"/>
  <c r="T1158" i="1"/>
  <c r="U1158" i="1"/>
  <c r="V1158" i="1"/>
  <c r="W1158" i="1"/>
  <c r="AB1158" i="1"/>
  <c r="AF1158" i="1"/>
  <c r="AC1159" i="1"/>
  <c r="AJ1158" i="1"/>
  <c r="AK1158" i="1"/>
  <c r="AM1158" i="1"/>
  <c r="BF1158" i="1"/>
  <c r="BG1158" i="1"/>
  <c r="T1159" i="1"/>
  <c r="U1159" i="1"/>
  <c r="V1159" i="1"/>
  <c r="W1159" i="1"/>
  <c r="AB1159" i="1"/>
  <c r="AF1159" i="1"/>
  <c r="AC1160" i="1"/>
  <c r="AJ1159" i="1"/>
  <c r="AK1159" i="1"/>
  <c r="AM1159" i="1"/>
  <c r="BF1159" i="1"/>
  <c r="BG1159" i="1"/>
  <c r="T1160" i="1"/>
  <c r="U1160" i="1"/>
  <c r="V1160" i="1"/>
  <c r="W1160" i="1"/>
  <c r="AB1160" i="1"/>
  <c r="AF1160" i="1"/>
  <c r="K1161" i="1"/>
  <c r="AC1161" i="1"/>
  <c r="AJ1160" i="1"/>
  <c r="AK1160" i="1"/>
  <c r="AM1160" i="1"/>
  <c r="BF1160" i="1"/>
  <c r="BG1160" i="1"/>
  <c r="T1161" i="1"/>
  <c r="U1161" i="1"/>
  <c r="V1161" i="1"/>
  <c r="W1161" i="1"/>
  <c r="AB1161" i="1"/>
  <c r="AF1161" i="1"/>
  <c r="K1162" i="1"/>
  <c r="AC1162" i="1"/>
  <c r="AJ1161" i="1"/>
  <c r="AK1161" i="1"/>
  <c r="AM1161" i="1"/>
  <c r="BF1161" i="1"/>
  <c r="BG1161" i="1"/>
  <c r="T1162" i="1"/>
  <c r="U1162" i="1"/>
  <c r="V1162" i="1"/>
  <c r="W1162" i="1"/>
  <c r="AB1162" i="1"/>
  <c r="AF1162" i="1"/>
  <c r="AC1163" i="1"/>
  <c r="AJ1162" i="1"/>
  <c r="AK1162" i="1"/>
  <c r="AM1162" i="1"/>
  <c r="BF1162" i="1"/>
  <c r="BG1162" i="1"/>
  <c r="T1163" i="1"/>
  <c r="U1163" i="1"/>
  <c r="V1163" i="1"/>
  <c r="W1163" i="1"/>
  <c r="AB1163" i="1"/>
  <c r="AF1163" i="1"/>
  <c r="AC1164" i="1"/>
  <c r="AJ1163" i="1"/>
  <c r="AK1163" i="1"/>
  <c r="AM1163" i="1"/>
  <c r="BF1163" i="1"/>
  <c r="BG1163" i="1"/>
  <c r="T1164" i="1"/>
  <c r="U1164" i="1"/>
  <c r="V1164" i="1"/>
  <c r="W1164" i="1"/>
  <c r="AB1164" i="1"/>
  <c r="AF1164" i="1"/>
  <c r="K1165" i="1"/>
  <c r="AC1165" i="1"/>
  <c r="AJ1164" i="1"/>
  <c r="AK1164" i="1"/>
  <c r="AM1164" i="1"/>
  <c r="BF1164" i="1"/>
  <c r="BG1164" i="1"/>
  <c r="T1165" i="1"/>
  <c r="U1165" i="1"/>
  <c r="V1165" i="1"/>
  <c r="W1165" i="1"/>
  <c r="AB1165" i="1"/>
  <c r="AF1165" i="1"/>
  <c r="AC1166" i="1"/>
  <c r="AJ1165" i="1"/>
  <c r="AK1165" i="1"/>
  <c r="AM1165" i="1"/>
  <c r="BF1165" i="1"/>
  <c r="BG1165" i="1"/>
  <c r="T1166" i="1"/>
  <c r="U1166" i="1"/>
  <c r="V1166" i="1"/>
  <c r="W1166" i="1"/>
  <c r="AB1166" i="1"/>
  <c r="AF1166" i="1"/>
  <c r="AC1167" i="1"/>
  <c r="AJ1166" i="1"/>
  <c r="AK1166" i="1"/>
  <c r="AM1166" i="1"/>
  <c r="BF1166" i="1"/>
  <c r="BG1166" i="1"/>
  <c r="T1167" i="1"/>
  <c r="U1167" i="1"/>
  <c r="V1167" i="1"/>
  <c r="W1167" i="1"/>
  <c r="AB1167" i="1"/>
  <c r="AF1167" i="1"/>
  <c r="K1168" i="1"/>
  <c r="AC1168" i="1"/>
  <c r="AJ1167" i="1"/>
  <c r="AK1167" i="1"/>
  <c r="AM1167" i="1"/>
  <c r="BF1167" i="1"/>
  <c r="BG1167" i="1"/>
  <c r="T1168" i="1"/>
  <c r="U1168" i="1"/>
  <c r="V1168" i="1"/>
  <c r="W1168" i="1"/>
  <c r="AB1168" i="1"/>
  <c r="AF1168" i="1"/>
  <c r="AC1169" i="1"/>
  <c r="AJ1168" i="1"/>
  <c r="AK1168" i="1"/>
  <c r="AM1168" i="1"/>
  <c r="BF1168" i="1"/>
  <c r="BG1168" i="1"/>
  <c r="T1169" i="1"/>
  <c r="U1169" i="1"/>
  <c r="V1169" i="1"/>
  <c r="W1169" i="1"/>
  <c r="AB1169" i="1"/>
  <c r="AF1169" i="1"/>
  <c r="AC1170" i="1"/>
  <c r="AJ1169" i="1"/>
  <c r="AK1169" i="1"/>
  <c r="AM1169" i="1"/>
  <c r="BF1169" i="1"/>
  <c r="BG1169" i="1"/>
  <c r="T1170" i="1"/>
  <c r="U1170" i="1"/>
  <c r="V1170" i="1"/>
  <c r="W1170" i="1"/>
  <c r="AB1170" i="1"/>
  <c r="AF1170" i="1"/>
  <c r="K1171" i="1"/>
  <c r="AC1171" i="1"/>
  <c r="AJ1170" i="1"/>
  <c r="AK1170" i="1"/>
  <c r="AM1170" i="1"/>
  <c r="BF1170" i="1"/>
  <c r="BG1170" i="1"/>
  <c r="T1171" i="1"/>
  <c r="U1171" i="1"/>
  <c r="V1171" i="1"/>
  <c r="W1171" i="1"/>
  <c r="AB1171" i="1"/>
  <c r="AF1171" i="1"/>
  <c r="AC1172" i="1"/>
  <c r="AJ1171" i="1"/>
  <c r="AK1171" i="1"/>
  <c r="AM1171" i="1"/>
  <c r="BF1171" i="1"/>
  <c r="BG1171" i="1"/>
  <c r="T1172" i="1"/>
  <c r="U1172" i="1"/>
  <c r="V1172" i="1"/>
  <c r="W1172" i="1"/>
  <c r="AB1172" i="1"/>
  <c r="AF1172" i="1"/>
  <c r="AC1173" i="1"/>
  <c r="AJ1172" i="1"/>
  <c r="AK1172" i="1"/>
  <c r="AM1172" i="1"/>
  <c r="BF1172" i="1"/>
  <c r="BG1172" i="1"/>
  <c r="T1173" i="1"/>
  <c r="U1173" i="1"/>
  <c r="V1173" i="1"/>
  <c r="W1173" i="1"/>
  <c r="AB1173" i="1"/>
  <c r="AF1173" i="1"/>
  <c r="K1174" i="1"/>
  <c r="AC1174" i="1"/>
  <c r="AJ1173" i="1"/>
  <c r="AK1173" i="1"/>
  <c r="AM1173" i="1"/>
  <c r="BF1173" i="1"/>
  <c r="BG1173" i="1"/>
  <c r="T1174" i="1"/>
  <c r="U1174" i="1"/>
  <c r="V1174" i="1"/>
  <c r="W1174" i="1"/>
  <c r="AB1174" i="1"/>
  <c r="AF1174" i="1"/>
  <c r="AC1175" i="1"/>
  <c r="AJ1174" i="1"/>
  <c r="AK1174" i="1"/>
  <c r="AM1174" i="1"/>
  <c r="BF1174" i="1"/>
  <c r="BG1174" i="1"/>
  <c r="T1175" i="1"/>
  <c r="U1175" i="1"/>
  <c r="V1175" i="1"/>
  <c r="W1175" i="1"/>
  <c r="AB1175" i="1"/>
  <c r="AF1175" i="1"/>
  <c r="AC1176" i="1"/>
  <c r="AJ1175" i="1"/>
  <c r="AK1175" i="1"/>
  <c r="AM1175" i="1"/>
  <c r="BF1175" i="1"/>
  <c r="BG1175" i="1"/>
  <c r="T1176" i="1"/>
  <c r="U1176" i="1"/>
  <c r="V1176" i="1"/>
  <c r="W1176" i="1"/>
  <c r="AB1176" i="1"/>
  <c r="AF1176" i="1"/>
  <c r="K1177" i="1"/>
  <c r="AC1177" i="1"/>
  <c r="AJ1176" i="1"/>
  <c r="AK1176" i="1"/>
  <c r="AM1176" i="1"/>
  <c r="BF1176" i="1"/>
  <c r="BG1176" i="1"/>
  <c r="T1177" i="1"/>
  <c r="U1177" i="1"/>
  <c r="V1177" i="1"/>
  <c r="W1177" i="1"/>
  <c r="AB1177" i="1"/>
  <c r="AF1177" i="1"/>
  <c r="K1178" i="1"/>
  <c r="AC1178" i="1"/>
  <c r="AJ1177" i="1"/>
  <c r="AK1177" i="1"/>
  <c r="AM1177" i="1"/>
  <c r="BF1177" i="1"/>
  <c r="BG1177" i="1"/>
  <c r="T1178" i="1"/>
  <c r="U1178" i="1"/>
  <c r="V1178" i="1"/>
  <c r="W1178" i="1"/>
  <c r="AB1178" i="1"/>
  <c r="AF1178" i="1"/>
  <c r="AC1179" i="1"/>
  <c r="AJ1178" i="1"/>
  <c r="AK1178" i="1"/>
  <c r="AM1178" i="1"/>
  <c r="BF1178" i="1"/>
  <c r="BG1178" i="1"/>
  <c r="T1179" i="1"/>
  <c r="U1179" i="1"/>
  <c r="V1179" i="1"/>
  <c r="W1179" i="1"/>
  <c r="AB1179" i="1"/>
  <c r="AF1179" i="1"/>
  <c r="AC1180" i="1"/>
  <c r="AJ1179" i="1"/>
  <c r="AK1179" i="1"/>
  <c r="AM1179" i="1"/>
  <c r="BF1179" i="1"/>
  <c r="BG1179" i="1"/>
  <c r="T1180" i="1"/>
  <c r="U1180" i="1"/>
  <c r="V1180" i="1"/>
  <c r="W1180" i="1"/>
  <c r="AB1180" i="1"/>
  <c r="AF1180" i="1"/>
  <c r="K1181" i="1"/>
  <c r="AC1181" i="1"/>
  <c r="AJ1180" i="1"/>
  <c r="AK1180" i="1"/>
  <c r="AM1180" i="1"/>
  <c r="BF1180" i="1"/>
  <c r="BG1180" i="1"/>
  <c r="T1181" i="1"/>
  <c r="U1181" i="1"/>
  <c r="V1181" i="1"/>
  <c r="W1181" i="1"/>
  <c r="AB1181" i="1"/>
  <c r="AF1181" i="1"/>
  <c r="K1182" i="1"/>
  <c r="AC1182" i="1"/>
  <c r="AJ1181" i="1"/>
  <c r="AK1181" i="1"/>
  <c r="AM1181" i="1"/>
  <c r="BF1181" i="1"/>
  <c r="BG1181" i="1"/>
  <c r="T1182" i="1"/>
  <c r="U1182" i="1"/>
  <c r="V1182" i="1"/>
  <c r="W1182" i="1"/>
  <c r="AB1182" i="1"/>
  <c r="AF1182" i="1"/>
  <c r="AC1183" i="1"/>
  <c r="AJ1182" i="1"/>
  <c r="AK1182" i="1"/>
  <c r="AM1182" i="1"/>
  <c r="BF1182" i="1"/>
  <c r="BG1182" i="1"/>
  <c r="T1183" i="1"/>
  <c r="U1183" i="1"/>
  <c r="V1183" i="1"/>
  <c r="W1183" i="1"/>
  <c r="AB1183" i="1"/>
  <c r="AF1183" i="1"/>
  <c r="AC1184" i="1"/>
  <c r="AJ1183" i="1"/>
  <c r="AK1183" i="1"/>
  <c r="AM1183" i="1"/>
  <c r="BF1183" i="1"/>
  <c r="BG1183" i="1"/>
  <c r="T1184" i="1"/>
  <c r="U1184" i="1"/>
  <c r="V1184" i="1"/>
  <c r="W1184" i="1"/>
  <c r="AB1184" i="1"/>
  <c r="AF1184" i="1"/>
  <c r="K1185" i="1"/>
  <c r="AC1185" i="1"/>
  <c r="AJ1184" i="1"/>
  <c r="AK1184" i="1"/>
  <c r="AM1184" i="1"/>
  <c r="BF1184" i="1"/>
  <c r="BG1184" i="1"/>
  <c r="T1185" i="1"/>
  <c r="U1185" i="1"/>
  <c r="V1185" i="1"/>
  <c r="W1185" i="1"/>
  <c r="AB1185" i="1"/>
  <c r="AF1185" i="1"/>
  <c r="K1186" i="1"/>
  <c r="AC1186" i="1"/>
  <c r="AJ1185" i="1"/>
  <c r="AK1185" i="1"/>
  <c r="AM1185" i="1"/>
  <c r="BF1185" i="1"/>
  <c r="BG1185" i="1"/>
  <c r="T1186" i="1"/>
  <c r="U1186" i="1"/>
  <c r="V1186" i="1"/>
  <c r="W1186" i="1"/>
  <c r="AB1186" i="1"/>
  <c r="AF1186" i="1"/>
  <c r="K1187" i="1"/>
  <c r="AC1187" i="1"/>
  <c r="AJ1186" i="1"/>
  <c r="AK1186" i="1"/>
  <c r="AM1186" i="1"/>
  <c r="BF1186" i="1"/>
  <c r="BG1186" i="1"/>
  <c r="T1187" i="1"/>
  <c r="U1187" i="1"/>
  <c r="V1187" i="1"/>
  <c r="W1187" i="1"/>
  <c r="AB1187" i="1"/>
  <c r="AF1187" i="1"/>
  <c r="K1188" i="1"/>
  <c r="AC1188" i="1"/>
  <c r="AJ1187" i="1"/>
  <c r="AK1187" i="1"/>
  <c r="AM1187" i="1"/>
  <c r="BF1187" i="1"/>
  <c r="BG1187" i="1"/>
  <c r="T1188" i="1"/>
  <c r="U1188" i="1"/>
  <c r="V1188" i="1"/>
  <c r="W1188" i="1"/>
  <c r="AB1188" i="1"/>
  <c r="AF1188" i="1"/>
  <c r="K1189" i="1"/>
  <c r="AC1189" i="1"/>
  <c r="AJ1188" i="1"/>
  <c r="AK1188" i="1"/>
  <c r="AM1188" i="1"/>
  <c r="BF1188" i="1"/>
  <c r="BG1188" i="1"/>
  <c r="T1189" i="1"/>
  <c r="U1189" i="1"/>
  <c r="V1189" i="1"/>
  <c r="W1189" i="1"/>
  <c r="AB1189" i="1"/>
  <c r="AF1189" i="1"/>
  <c r="K1190" i="1"/>
  <c r="AC1190" i="1"/>
  <c r="AJ1189" i="1"/>
  <c r="AK1189" i="1"/>
  <c r="AM1189" i="1"/>
  <c r="BF1189" i="1"/>
  <c r="BG1189" i="1"/>
  <c r="T1190" i="1"/>
  <c r="U1190" i="1"/>
  <c r="V1190" i="1"/>
  <c r="W1190" i="1"/>
  <c r="AB1190" i="1"/>
  <c r="AF1190" i="1"/>
  <c r="K1191" i="1"/>
  <c r="AC1191" i="1"/>
  <c r="AJ1190" i="1"/>
  <c r="AK1190" i="1"/>
  <c r="AM1190" i="1"/>
  <c r="BF1190" i="1"/>
  <c r="BG1190" i="1"/>
  <c r="T1191" i="1"/>
  <c r="U1191" i="1"/>
  <c r="V1191" i="1"/>
  <c r="W1191" i="1"/>
  <c r="AB1191" i="1"/>
  <c r="AF1191" i="1"/>
  <c r="K1192" i="1"/>
  <c r="AC1192" i="1"/>
  <c r="AJ1191" i="1"/>
  <c r="AK1191" i="1"/>
  <c r="AM1191" i="1"/>
  <c r="BF1191" i="1"/>
  <c r="BG1191" i="1"/>
  <c r="T1192" i="1"/>
  <c r="U1192" i="1"/>
  <c r="V1192" i="1"/>
  <c r="W1192" i="1"/>
  <c r="AB1192" i="1"/>
  <c r="AF1192" i="1"/>
  <c r="K1193" i="1"/>
  <c r="AC1193" i="1"/>
  <c r="AJ1192" i="1"/>
  <c r="AK1192" i="1"/>
  <c r="AM1192" i="1"/>
  <c r="BF1192" i="1"/>
  <c r="BG1192" i="1"/>
  <c r="T1193" i="1"/>
  <c r="U1193" i="1"/>
  <c r="V1193" i="1"/>
  <c r="W1193" i="1"/>
  <c r="AB1193" i="1"/>
  <c r="AF1193" i="1"/>
  <c r="K1194" i="1"/>
  <c r="AC1194" i="1"/>
  <c r="AJ1193" i="1"/>
  <c r="AK1193" i="1"/>
  <c r="AM1193" i="1"/>
  <c r="BF1193" i="1"/>
  <c r="BG1193" i="1"/>
  <c r="T1194" i="1"/>
  <c r="U1194" i="1"/>
  <c r="V1194" i="1"/>
  <c r="W1194" i="1"/>
  <c r="AB1194" i="1"/>
  <c r="AF1194" i="1"/>
  <c r="K1195" i="1"/>
  <c r="AC1195" i="1"/>
  <c r="AJ1194" i="1"/>
  <c r="AK1194" i="1"/>
  <c r="AM1194" i="1"/>
  <c r="BF1194" i="1"/>
  <c r="BG1194" i="1"/>
  <c r="T1195" i="1"/>
  <c r="U1195" i="1"/>
  <c r="V1195" i="1"/>
  <c r="W1195" i="1"/>
  <c r="AB1195" i="1"/>
  <c r="AF1195" i="1"/>
  <c r="K1196" i="1"/>
  <c r="AC1196" i="1"/>
  <c r="AJ1195" i="1"/>
  <c r="AK1195" i="1"/>
  <c r="AM1195" i="1"/>
  <c r="BF1195" i="1"/>
  <c r="BG1195" i="1"/>
  <c r="T1196" i="1"/>
  <c r="U1196" i="1"/>
  <c r="V1196" i="1"/>
  <c r="W1196" i="1"/>
  <c r="AB1196" i="1"/>
  <c r="AF1196" i="1"/>
  <c r="K1197" i="1"/>
  <c r="AC1197" i="1"/>
  <c r="AJ1196" i="1"/>
  <c r="AK1196" i="1"/>
  <c r="AM1196" i="1"/>
  <c r="BF1196" i="1"/>
  <c r="BG1196" i="1"/>
  <c r="T1197" i="1"/>
  <c r="U1197" i="1"/>
  <c r="V1197" i="1"/>
  <c r="W1197" i="1"/>
  <c r="AB1197" i="1"/>
  <c r="AF1197" i="1"/>
  <c r="K1198" i="1"/>
  <c r="AC1198" i="1"/>
  <c r="AJ1197" i="1"/>
  <c r="AK1197" i="1"/>
  <c r="AM1197" i="1"/>
  <c r="BF1197" i="1"/>
  <c r="BG1197" i="1"/>
  <c r="T1198" i="1"/>
  <c r="U1198" i="1"/>
  <c r="V1198" i="1"/>
  <c r="W1198" i="1"/>
  <c r="AB1198" i="1"/>
  <c r="AF1198" i="1"/>
  <c r="K1199" i="1"/>
  <c r="AC1199" i="1"/>
  <c r="AJ1198" i="1"/>
  <c r="AK1198" i="1"/>
  <c r="AM1198" i="1"/>
  <c r="BF1198" i="1"/>
  <c r="BG1198" i="1"/>
  <c r="T1199" i="1"/>
  <c r="U1199" i="1"/>
  <c r="V1199" i="1"/>
  <c r="W1199" i="1"/>
  <c r="AB1199" i="1"/>
  <c r="AF1199" i="1"/>
  <c r="K1200" i="1"/>
  <c r="AC1200" i="1"/>
  <c r="AJ1199" i="1"/>
  <c r="AK1199" i="1"/>
  <c r="AM1199" i="1"/>
  <c r="BF1199" i="1"/>
  <c r="BG1199" i="1"/>
  <c r="T1200" i="1"/>
  <c r="U1200" i="1"/>
  <c r="V1200" i="1"/>
  <c r="W1200" i="1"/>
  <c r="AB1200" i="1"/>
  <c r="AF1200" i="1"/>
  <c r="K1201" i="1"/>
  <c r="AC1201" i="1"/>
  <c r="AJ1200" i="1"/>
  <c r="AK1200" i="1"/>
  <c r="AM1200" i="1"/>
  <c r="BF1200" i="1"/>
  <c r="BG1200" i="1"/>
  <c r="T1201" i="1"/>
  <c r="U1201" i="1"/>
  <c r="V1201" i="1"/>
  <c r="W1201" i="1"/>
  <c r="AB1201" i="1"/>
  <c r="AF1201" i="1"/>
  <c r="K1202" i="1"/>
  <c r="AC1202" i="1"/>
  <c r="AJ1201" i="1"/>
  <c r="AK1201" i="1"/>
  <c r="AM1201" i="1"/>
  <c r="BF1201" i="1"/>
  <c r="BG1201" i="1"/>
  <c r="T1202" i="1"/>
  <c r="U1202" i="1"/>
  <c r="V1202" i="1"/>
  <c r="W1202" i="1"/>
  <c r="AB1202" i="1"/>
  <c r="AF1202" i="1"/>
  <c r="K1203" i="1"/>
  <c r="AC1203" i="1"/>
  <c r="AJ1202" i="1"/>
  <c r="AK1202" i="1"/>
  <c r="AM1202" i="1"/>
  <c r="BF1202" i="1"/>
  <c r="BG1202" i="1"/>
  <c r="T1203" i="1"/>
  <c r="U1203" i="1"/>
  <c r="V1203" i="1"/>
  <c r="W1203" i="1"/>
  <c r="AB1203" i="1"/>
  <c r="AF1203" i="1"/>
  <c r="K1204" i="1"/>
  <c r="AC1204" i="1"/>
  <c r="AJ1203" i="1"/>
  <c r="AK1203" i="1"/>
  <c r="AM1203" i="1"/>
  <c r="BF1203" i="1"/>
  <c r="BG1203" i="1"/>
  <c r="T1204" i="1"/>
  <c r="U1204" i="1"/>
  <c r="V1204" i="1"/>
  <c r="W1204" i="1"/>
  <c r="AB1204" i="1"/>
  <c r="AF1204" i="1"/>
  <c r="K1205" i="1"/>
  <c r="AC1205" i="1"/>
  <c r="AJ1204" i="1"/>
  <c r="AK1204" i="1"/>
  <c r="AM1204" i="1"/>
  <c r="BF1204" i="1"/>
  <c r="BG1204" i="1"/>
  <c r="T1205" i="1"/>
  <c r="U1205" i="1"/>
  <c r="V1205" i="1"/>
  <c r="W1205" i="1"/>
  <c r="AB1205" i="1"/>
  <c r="AF1205" i="1"/>
  <c r="K1206" i="1"/>
  <c r="AC1206" i="1"/>
  <c r="AJ1205" i="1"/>
  <c r="AK1205" i="1"/>
  <c r="AM1205" i="1"/>
  <c r="BF1205" i="1"/>
  <c r="BG1205" i="1"/>
  <c r="T1206" i="1"/>
  <c r="U1206" i="1"/>
  <c r="V1206" i="1"/>
  <c r="W1206" i="1"/>
  <c r="AB1206" i="1"/>
  <c r="AF1206" i="1"/>
  <c r="K1207" i="1"/>
  <c r="AC1207" i="1"/>
  <c r="AJ1206" i="1"/>
  <c r="AK1206" i="1"/>
  <c r="AM1206" i="1"/>
  <c r="BF1206" i="1"/>
  <c r="BG1206" i="1"/>
  <c r="T1207" i="1"/>
  <c r="U1207" i="1"/>
  <c r="V1207" i="1"/>
  <c r="W1207" i="1"/>
  <c r="AB1207" i="1"/>
  <c r="AF1207" i="1"/>
  <c r="AC1208" i="1"/>
  <c r="AJ1207" i="1"/>
  <c r="AK1207" i="1"/>
  <c r="AM1207" i="1"/>
  <c r="BF1207" i="1"/>
  <c r="BG1207" i="1"/>
  <c r="T1208" i="1"/>
  <c r="U1208" i="1"/>
  <c r="V1208" i="1"/>
  <c r="W1208" i="1"/>
  <c r="AB1208" i="1"/>
  <c r="AF1208" i="1"/>
  <c r="AC1209" i="1"/>
  <c r="AJ1208" i="1"/>
  <c r="AK1208" i="1"/>
  <c r="AM1208" i="1"/>
  <c r="BF1208" i="1"/>
  <c r="BG1208" i="1"/>
  <c r="T1209" i="1"/>
  <c r="U1209" i="1"/>
  <c r="V1209" i="1"/>
  <c r="W1209" i="1"/>
  <c r="AB1209" i="1"/>
  <c r="AF1209" i="1"/>
  <c r="K1210" i="1"/>
  <c r="AC1210" i="1"/>
  <c r="AJ1209" i="1"/>
  <c r="AK1209" i="1"/>
  <c r="AM1209" i="1"/>
  <c r="BF1209" i="1"/>
  <c r="BG1209" i="1"/>
  <c r="T1210" i="1"/>
  <c r="U1210" i="1"/>
  <c r="V1210" i="1"/>
  <c r="W1210" i="1"/>
  <c r="AB1210" i="1"/>
  <c r="AF1210" i="1"/>
  <c r="K1211" i="1"/>
  <c r="AC1211" i="1"/>
  <c r="AJ1210" i="1"/>
  <c r="AK1210" i="1"/>
  <c r="AM1210" i="1"/>
  <c r="BF1210" i="1"/>
  <c r="BG1210" i="1"/>
  <c r="T1211" i="1"/>
  <c r="U1211" i="1"/>
  <c r="V1211" i="1"/>
  <c r="W1211" i="1"/>
  <c r="AB1211" i="1"/>
  <c r="AF1211" i="1"/>
  <c r="K1212" i="1"/>
  <c r="AC1212" i="1"/>
  <c r="AJ1211" i="1"/>
  <c r="AK1211" i="1"/>
  <c r="AM1211" i="1"/>
  <c r="BF1211" i="1"/>
  <c r="BG1211" i="1"/>
  <c r="T1212" i="1"/>
  <c r="U1212" i="1"/>
  <c r="V1212" i="1"/>
  <c r="W1212" i="1"/>
  <c r="AB1212" i="1"/>
  <c r="AF1212" i="1"/>
  <c r="K1213" i="1"/>
  <c r="AC1213" i="1"/>
  <c r="AJ1212" i="1"/>
  <c r="AK1212" i="1"/>
  <c r="AM1212" i="1"/>
  <c r="BF1212" i="1"/>
  <c r="BG1212" i="1"/>
  <c r="T1213" i="1"/>
  <c r="U1213" i="1"/>
  <c r="V1213" i="1"/>
  <c r="W1213" i="1"/>
  <c r="AB1213" i="1"/>
  <c r="AF1213" i="1"/>
  <c r="K1214" i="1"/>
  <c r="AC1214" i="1"/>
  <c r="AJ1213" i="1"/>
  <c r="AK1213" i="1"/>
  <c r="AM1213" i="1"/>
  <c r="BF1213" i="1"/>
  <c r="BG1213" i="1"/>
  <c r="T1214" i="1"/>
  <c r="U1214" i="1"/>
  <c r="V1214" i="1"/>
  <c r="W1214" i="1"/>
  <c r="AB1214" i="1"/>
  <c r="AF1214" i="1"/>
  <c r="K1215" i="1"/>
  <c r="AC1215" i="1"/>
  <c r="AJ1214" i="1"/>
  <c r="AK1214" i="1"/>
  <c r="AM1214" i="1"/>
  <c r="BF1214" i="1"/>
  <c r="BG1214" i="1"/>
  <c r="T1215" i="1"/>
  <c r="U1215" i="1"/>
  <c r="V1215" i="1"/>
  <c r="W1215" i="1"/>
  <c r="AB1215" i="1"/>
  <c r="AF1215" i="1"/>
  <c r="K1216" i="1"/>
  <c r="AC1216" i="1"/>
  <c r="AJ1215" i="1"/>
  <c r="AK1215" i="1"/>
  <c r="AM1215" i="1"/>
  <c r="BF1215" i="1"/>
  <c r="BG1215" i="1"/>
  <c r="T1216" i="1"/>
  <c r="U1216" i="1"/>
  <c r="V1216" i="1"/>
  <c r="W1216" i="1"/>
  <c r="AB1216" i="1"/>
  <c r="AF1216" i="1"/>
  <c r="AC1217" i="1"/>
  <c r="AJ1216" i="1"/>
  <c r="AK1216" i="1"/>
  <c r="AM1216" i="1"/>
  <c r="BF1216" i="1"/>
  <c r="BG1216" i="1"/>
  <c r="T1217" i="1"/>
  <c r="U1217" i="1"/>
  <c r="V1217" i="1"/>
  <c r="W1217" i="1"/>
  <c r="AB1217" i="1"/>
  <c r="AF1217" i="1"/>
  <c r="AC1218" i="1"/>
  <c r="AJ1217" i="1"/>
  <c r="AK1217" i="1"/>
  <c r="AM1217" i="1"/>
  <c r="BF1217" i="1"/>
  <c r="BG1217" i="1"/>
  <c r="T1218" i="1"/>
  <c r="U1218" i="1"/>
  <c r="V1218" i="1"/>
  <c r="W1218" i="1"/>
  <c r="AB1218" i="1"/>
  <c r="AF1218" i="1"/>
  <c r="K1219" i="1"/>
  <c r="AC1219" i="1"/>
  <c r="AJ1218" i="1"/>
  <c r="AK1218" i="1"/>
  <c r="AM1218" i="1"/>
  <c r="BF1218" i="1"/>
  <c r="BG1218" i="1"/>
  <c r="T1219" i="1"/>
  <c r="U1219" i="1"/>
  <c r="V1219" i="1"/>
  <c r="W1219" i="1"/>
  <c r="AB1219" i="1"/>
  <c r="AF1219" i="1"/>
  <c r="K1220" i="1"/>
  <c r="AC1220" i="1"/>
  <c r="AJ1219" i="1"/>
  <c r="AK1219" i="1"/>
  <c r="AM1219" i="1"/>
  <c r="BF1219" i="1"/>
  <c r="BG1219" i="1"/>
  <c r="T1220" i="1"/>
  <c r="U1220" i="1"/>
  <c r="V1220" i="1"/>
  <c r="W1220" i="1"/>
  <c r="AB1220" i="1"/>
  <c r="AF1220" i="1"/>
  <c r="K1221" i="1"/>
  <c r="AC1221" i="1"/>
  <c r="AJ1220" i="1"/>
  <c r="AK1220" i="1"/>
  <c r="AM1220" i="1"/>
  <c r="BF1220" i="1"/>
  <c r="BG1220" i="1"/>
  <c r="T1221" i="1"/>
  <c r="U1221" i="1"/>
  <c r="V1221" i="1"/>
  <c r="W1221" i="1"/>
  <c r="AB1221" i="1"/>
  <c r="AF1221" i="1"/>
  <c r="K1222" i="1"/>
  <c r="AC1222" i="1"/>
  <c r="AJ1221" i="1"/>
  <c r="AK1221" i="1"/>
  <c r="AM1221" i="1"/>
  <c r="BF1221" i="1"/>
  <c r="BG1221" i="1"/>
  <c r="T1222" i="1"/>
  <c r="U1222" i="1"/>
  <c r="V1222" i="1"/>
  <c r="W1222" i="1"/>
  <c r="AB1222" i="1"/>
  <c r="AF1222" i="1"/>
  <c r="AC1223" i="1"/>
  <c r="AJ1222" i="1"/>
  <c r="AK1222" i="1"/>
  <c r="AM1222" i="1"/>
  <c r="BF1222" i="1"/>
  <c r="BG1222" i="1"/>
  <c r="T1223" i="1"/>
  <c r="U1223" i="1"/>
  <c r="V1223" i="1"/>
  <c r="W1223" i="1"/>
  <c r="AB1223" i="1"/>
  <c r="AF1223" i="1"/>
  <c r="AC1224" i="1"/>
  <c r="AJ1223" i="1"/>
  <c r="AK1223" i="1"/>
  <c r="AM1223" i="1"/>
  <c r="BF1223" i="1"/>
  <c r="BG1223" i="1"/>
  <c r="T1224" i="1"/>
  <c r="U1224" i="1"/>
  <c r="V1224" i="1"/>
  <c r="W1224" i="1"/>
  <c r="AB1224" i="1"/>
  <c r="AF1224" i="1"/>
  <c r="K1225" i="1"/>
  <c r="AC1225" i="1"/>
  <c r="AJ1224" i="1"/>
  <c r="AK1224" i="1"/>
  <c r="AM1224" i="1"/>
  <c r="BF1224" i="1"/>
  <c r="BG1224" i="1"/>
  <c r="T1225" i="1"/>
  <c r="U1225" i="1"/>
  <c r="V1225" i="1"/>
  <c r="W1225" i="1"/>
  <c r="AB1225" i="1"/>
  <c r="AF1225" i="1"/>
  <c r="K1226" i="1"/>
  <c r="AC1226" i="1"/>
  <c r="AJ1225" i="1"/>
  <c r="AK1225" i="1"/>
  <c r="AM1225" i="1"/>
  <c r="BF1225" i="1"/>
  <c r="BG1225" i="1"/>
  <c r="T1226" i="1"/>
  <c r="U1226" i="1"/>
  <c r="V1226" i="1"/>
  <c r="W1226" i="1"/>
  <c r="AB1226" i="1"/>
  <c r="AF1226" i="1"/>
  <c r="AC1227" i="1"/>
  <c r="AJ1226" i="1"/>
  <c r="AK1226" i="1"/>
  <c r="AM1226" i="1"/>
  <c r="BF1226" i="1"/>
  <c r="BG1226" i="1"/>
  <c r="T1227" i="1"/>
  <c r="U1227" i="1"/>
  <c r="V1227" i="1"/>
  <c r="W1227" i="1"/>
  <c r="AB1227" i="1"/>
  <c r="AF1227" i="1"/>
  <c r="AC1228" i="1"/>
  <c r="AJ1227" i="1"/>
  <c r="AK1227" i="1"/>
  <c r="AM1227" i="1"/>
  <c r="BF1227" i="1"/>
  <c r="BG1227" i="1"/>
  <c r="T1228" i="1"/>
  <c r="U1228" i="1"/>
  <c r="V1228" i="1"/>
  <c r="W1228" i="1"/>
  <c r="AB1228" i="1"/>
  <c r="AF1228" i="1"/>
  <c r="K1229" i="1"/>
  <c r="AC1229" i="1"/>
  <c r="AJ1228" i="1"/>
  <c r="AK1228" i="1"/>
  <c r="AM1228" i="1"/>
  <c r="BF1228" i="1"/>
  <c r="BG1228" i="1"/>
  <c r="T1229" i="1"/>
  <c r="U1229" i="1"/>
  <c r="V1229" i="1"/>
  <c r="W1229" i="1"/>
  <c r="AB1229" i="1"/>
  <c r="AF1229" i="1"/>
  <c r="K1230" i="1"/>
  <c r="AC1230" i="1"/>
  <c r="AJ1229" i="1"/>
  <c r="AK1229" i="1"/>
  <c r="AM1229" i="1"/>
  <c r="BF1229" i="1"/>
  <c r="BG1229" i="1"/>
  <c r="T1230" i="1"/>
  <c r="U1230" i="1"/>
  <c r="V1230" i="1"/>
  <c r="W1230" i="1"/>
  <c r="AB1230" i="1"/>
  <c r="AF1230" i="1"/>
  <c r="K1231" i="1"/>
  <c r="AC1231" i="1"/>
  <c r="AJ1230" i="1"/>
  <c r="AK1230" i="1"/>
  <c r="AM1230" i="1"/>
  <c r="BF1230" i="1"/>
  <c r="BG1230" i="1"/>
  <c r="T1231" i="1"/>
  <c r="U1231" i="1"/>
  <c r="V1231" i="1"/>
  <c r="W1231" i="1"/>
  <c r="AB1231" i="1"/>
  <c r="AF1231" i="1"/>
  <c r="K1232" i="1"/>
  <c r="AC1232" i="1"/>
  <c r="AJ1231" i="1"/>
  <c r="AK1231" i="1"/>
  <c r="AM1231" i="1"/>
  <c r="BF1231" i="1"/>
  <c r="BG1231" i="1"/>
  <c r="T1232" i="1"/>
  <c r="U1232" i="1"/>
  <c r="V1232" i="1"/>
  <c r="W1232" i="1"/>
  <c r="AB1232" i="1"/>
  <c r="AF1232" i="1"/>
  <c r="K1233" i="1"/>
  <c r="AC1233" i="1"/>
  <c r="AJ1232" i="1"/>
  <c r="AK1232" i="1"/>
  <c r="AM1232" i="1"/>
  <c r="BF1232" i="1"/>
  <c r="BG1232" i="1"/>
  <c r="T1233" i="1"/>
  <c r="U1233" i="1"/>
  <c r="V1233" i="1"/>
  <c r="W1233" i="1"/>
  <c r="AB1233" i="1"/>
  <c r="AF1233" i="1"/>
  <c r="K1234" i="1"/>
  <c r="AC1234" i="1"/>
  <c r="AJ1233" i="1"/>
  <c r="AK1233" i="1"/>
  <c r="AM1233" i="1"/>
  <c r="BF1233" i="1"/>
  <c r="BG1233" i="1"/>
  <c r="T1234" i="1"/>
  <c r="U1234" i="1"/>
  <c r="V1234" i="1"/>
  <c r="W1234" i="1"/>
  <c r="AB1234" i="1"/>
  <c r="AF1234" i="1"/>
  <c r="K1235" i="1"/>
  <c r="AC1235" i="1"/>
  <c r="AJ1234" i="1"/>
  <c r="AK1234" i="1"/>
  <c r="AM1234" i="1"/>
  <c r="BF1234" i="1"/>
  <c r="BG1234" i="1"/>
  <c r="T1235" i="1"/>
  <c r="U1235" i="1"/>
  <c r="V1235" i="1"/>
  <c r="W1235" i="1"/>
  <c r="AB1235" i="1"/>
  <c r="AF1235" i="1"/>
  <c r="K1236" i="1"/>
  <c r="AC1236" i="1"/>
  <c r="AJ1235" i="1"/>
  <c r="AK1235" i="1"/>
  <c r="AM1235" i="1"/>
  <c r="BF1235" i="1"/>
  <c r="BG1235" i="1"/>
  <c r="T1236" i="1"/>
  <c r="U1236" i="1"/>
  <c r="V1236" i="1"/>
  <c r="W1236" i="1"/>
  <c r="AB1236" i="1"/>
  <c r="AF1236" i="1"/>
  <c r="K1237" i="1"/>
  <c r="AC1237" i="1"/>
  <c r="AJ1236" i="1"/>
  <c r="AK1236" i="1"/>
  <c r="AM1236" i="1"/>
  <c r="BF1236" i="1"/>
  <c r="BG1236" i="1"/>
  <c r="T1237" i="1"/>
  <c r="U1237" i="1"/>
  <c r="V1237" i="1"/>
  <c r="W1237" i="1"/>
  <c r="AB1237" i="1"/>
  <c r="AF1237" i="1"/>
  <c r="AC1238" i="1"/>
  <c r="AJ1237" i="1"/>
  <c r="AK1237" i="1"/>
  <c r="AM1237" i="1"/>
  <c r="BF1237" i="1"/>
  <c r="BG1237" i="1"/>
  <c r="T1238" i="1"/>
  <c r="U1238" i="1"/>
  <c r="V1238" i="1"/>
  <c r="W1238" i="1"/>
  <c r="AB1238" i="1"/>
  <c r="AF1238" i="1"/>
  <c r="AC1239" i="1"/>
  <c r="AJ1238" i="1"/>
  <c r="AK1238" i="1"/>
  <c r="AM1238" i="1"/>
  <c r="BF1238" i="1"/>
  <c r="BG1238" i="1"/>
  <c r="T1239" i="1"/>
  <c r="U1239" i="1"/>
  <c r="V1239" i="1"/>
  <c r="W1239" i="1"/>
  <c r="AB1239" i="1"/>
  <c r="AF1239" i="1"/>
  <c r="K1240" i="1"/>
  <c r="AC1240" i="1"/>
  <c r="AJ1239" i="1"/>
  <c r="AK1239" i="1"/>
  <c r="AM1239" i="1"/>
  <c r="BF1239" i="1"/>
  <c r="BG1239" i="1"/>
  <c r="T1240" i="1"/>
  <c r="U1240" i="1"/>
  <c r="V1240" i="1"/>
  <c r="W1240" i="1"/>
  <c r="AB1240" i="1"/>
  <c r="AF1240" i="1"/>
  <c r="AC1241" i="1"/>
  <c r="AJ1240" i="1"/>
  <c r="AK1240" i="1"/>
  <c r="AM1240" i="1"/>
  <c r="BF1240" i="1"/>
  <c r="BG1240" i="1"/>
  <c r="T1241" i="1"/>
  <c r="U1241" i="1"/>
  <c r="V1241" i="1"/>
  <c r="W1241" i="1"/>
  <c r="AB1241" i="1"/>
  <c r="AF1241" i="1"/>
  <c r="AC1242" i="1"/>
  <c r="AJ1241" i="1"/>
  <c r="AK1241" i="1"/>
  <c r="AM1241" i="1"/>
  <c r="BF1241" i="1"/>
  <c r="BG1241" i="1"/>
  <c r="T1242" i="1"/>
  <c r="U1242" i="1"/>
  <c r="V1242" i="1"/>
  <c r="W1242" i="1"/>
  <c r="AB1242" i="1"/>
  <c r="AF1242" i="1"/>
  <c r="K1243" i="1"/>
  <c r="AC1243" i="1"/>
  <c r="AJ1242" i="1"/>
  <c r="AK1242" i="1"/>
  <c r="AM1242" i="1"/>
  <c r="BF1242" i="1"/>
  <c r="BG1242" i="1"/>
  <c r="T1243" i="1"/>
  <c r="U1243" i="1"/>
  <c r="V1243" i="1"/>
  <c r="W1243" i="1"/>
  <c r="AB1243" i="1"/>
  <c r="AF1243" i="1"/>
  <c r="AC1244" i="1"/>
  <c r="AJ1243" i="1"/>
  <c r="AK1243" i="1"/>
  <c r="AM1243" i="1"/>
  <c r="BF1243" i="1"/>
  <c r="BG1243" i="1"/>
  <c r="T1244" i="1"/>
  <c r="U1244" i="1"/>
  <c r="V1244" i="1"/>
  <c r="W1244" i="1"/>
  <c r="AB1244" i="1"/>
  <c r="AF1244" i="1"/>
  <c r="AC1245" i="1"/>
  <c r="AJ1244" i="1"/>
  <c r="AK1244" i="1"/>
  <c r="AM1244" i="1"/>
  <c r="BF1244" i="1"/>
  <c r="BG1244" i="1"/>
  <c r="T1245" i="1"/>
  <c r="U1245" i="1"/>
  <c r="V1245" i="1"/>
  <c r="W1245" i="1"/>
  <c r="AB1245" i="1"/>
  <c r="AF1245" i="1"/>
  <c r="K1246" i="1"/>
  <c r="AC1246" i="1"/>
  <c r="AJ1245" i="1"/>
  <c r="AK1245" i="1"/>
  <c r="AM1245" i="1"/>
  <c r="BF1245" i="1"/>
  <c r="BG1245" i="1"/>
  <c r="T1246" i="1"/>
  <c r="U1246" i="1"/>
  <c r="V1246" i="1"/>
  <c r="W1246" i="1"/>
  <c r="AB1246" i="1"/>
  <c r="AF1246" i="1"/>
  <c r="AC1247" i="1"/>
  <c r="AJ1246" i="1"/>
  <c r="AK1246" i="1"/>
  <c r="AM1246" i="1"/>
  <c r="BF1246" i="1"/>
  <c r="BG1246" i="1"/>
  <c r="T1247" i="1"/>
  <c r="U1247" i="1"/>
  <c r="V1247" i="1"/>
  <c r="W1247" i="1"/>
  <c r="AB1247" i="1"/>
  <c r="AF1247" i="1"/>
  <c r="AC1248" i="1"/>
  <c r="AJ1247" i="1"/>
  <c r="AK1247" i="1"/>
  <c r="AM1247" i="1"/>
  <c r="BF1247" i="1"/>
  <c r="BG1247" i="1"/>
  <c r="T1248" i="1"/>
  <c r="U1248" i="1"/>
  <c r="V1248" i="1"/>
  <c r="W1248" i="1"/>
  <c r="AB1248" i="1"/>
  <c r="AF1248" i="1"/>
  <c r="K1249" i="1"/>
  <c r="AC1249" i="1"/>
  <c r="AJ1248" i="1"/>
  <c r="AK1248" i="1"/>
  <c r="AM1248" i="1"/>
  <c r="BF1248" i="1"/>
  <c r="BG1248" i="1"/>
  <c r="T1249" i="1"/>
  <c r="U1249" i="1"/>
  <c r="V1249" i="1"/>
  <c r="W1249" i="1"/>
  <c r="AB1249" i="1"/>
  <c r="AF1249" i="1"/>
  <c r="K1250" i="1"/>
  <c r="AC1250" i="1"/>
  <c r="AJ1249" i="1"/>
  <c r="AK1249" i="1"/>
  <c r="AM1249" i="1"/>
  <c r="BF1249" i="1"/>
  <c r="BG1249" i="1"/>
  <c r="T1250" i="1"/>
  <c r="U1250" i="1"/>
  <c r="V1250" i="1"/>
  <c r="W1250" i="1"/>
  <c r="AB1250" i="1"/>
  <c r="AF1250" i="1"/>
  <c r="AC1251" i="1"/>
  <c r="AJ1250" i="1"/>
  <c r="AK1250" i="1"/>
  <c r="AM1250" i="1"/>
  <c r="BF1250" i="1"/>
  <c r="BG1250" i="1"/>
  <c r="T1251" i="1"/>
  <c r="U1251" i="1"/>
  <c r="V1251" i="1"/>
  <c r="W1251" i="1"/>
  <c r="AB1251" i="1"/>
  <c r="AF1251" i="1"/>
  <c r="AC1252" i="1"/>
  <c r="AJ1251" i="1"/>
  <c r="AK1251" i="1"/>
  <c r="AM1251" i="1"/>
  <c r="BF1251" i="1"/>
  <c r="BG1251" i="1"/>
  <c r="T1252" i="1"/>
  <c r="U1252" i="1"/>
  <c r="V1252" i="1"/>
  <c r="W1252" i="1"/>
  <c r="AB1252" i="1"/>
  <c r="AF1252" i="1"/>
  <c r="K1253" i="1"/>
  <c r="AC1253" i="1"/>
  <c r="AJ1252" i="1"/>
  <c r="AK1252" i="1"/>
  <c r="AM1252" i="1"/>
  <c r="BF1252" i="1"/>
  <c r="BG1252" i="1"/>
  <c r="T1253" i="1"/>
  <c r="U1253" i="1"/>
  <c r="V1253" i="1"/>
  <c r="W1253" i="1"/>
  <c r="AB1253" i="1"/>
  <c r="AF1253" i="1"/>
  <c r="AC1254" i="1"/>
  <c r="AJ1253" i="1"/>
  <c r="AK1253" i="1"/>
  <c r="AM1253" i="1"/>
  <c r="BF1253" i="1"/>
  <c r="BG1253" i="1"/>
  <c r="T1254" i="1"/>
  <c r="U1254" i="1"/>
  <c r="V1254" i="1"/>
  <c r="W1254" i="1"/>
  <c r="AB1254" i="1"/>
  <c r="AF1254" i="1"/>
  <c r="AC1255" i="1"/>
  <c r="AJ1254" i="1"/>
  <c r="AK1254" i="1"/>
  <c r="AM1254" i="1"/>
  <c r="BF1254" i="1"/>
  <c r="BG1254" i="1"/>
  <c r="T1255" i="1"/>
  <c r="U1255" i="1"/>
  <c r="V1255" i="1"/>
  <c r="W1255" i="1"/>
  <c r="AB1255" i="1"/>
  <c r="AF1255" i="1"/>
  <c r="K1256" i="1"/>
  <c r="AC1256" i="1"/>
  <c r="AJ1255" i="1"/>
  <c r="AK1255" i="1"/>
  <c r="AM1255" i="1"/>
  <c r="BF1255" i="1"/>
  <c r="BG1255" i="1"/>
  <c r="T1256" i="1"/>
  <c r="U1256" i="1"/>
  <c r="V1256" i="1"/>
  <c r="W1256" i="1"/>
  <c r="AB1256" i="1"/>
  <c r="AF1256" i="1"/>
  <c r="AC1257" i="1"/>
  <c r="AJ1256" i="1"/>
  <c r="AK1256" i="1"/>
  <c r="AM1256" i="1"/>
  <c r="BF1256" i="1"/>
  <c r="BG1256" i="1"/>
  <c r="T1257" i="1"/>
  <c r="U1257" i="1"/>
  <c r="V1257" i="1"/>
  <c r="W1257" i="1"/>
  <c r="AB1257" i="1"/>
  <c r="AF1257" i="1"/>
  <c r="AC1258" i="1"/>
  <c r="AJ1257" i="1"/>
  <c r="AK1257" i="1"/>
  <c r="AM1257" i="1"/>
  <c r="BF1257" i="1"/>
  <c r="BG1257" i="1"/>
  <c r="T1258" i="1"/>
  <c r="U1258" i="1"/>
  <c r="V1258" i="1"/>
  <c r="W1258" i="1"/>
  <c r="AB1258" i="1"/>
  <c r="AF1258" i="1"/>
  <c r="K1259" i="1"/>
  <c r="AC1259" i="1"/>
  <c r="AJ1258" i="1"/>
  <c r="AK1258" i="1"/>
  <c r="AM1258" i="1"/>
  <c r="BF1258" i="1"/>
  <c r="BG1258" i="1"/>
  <c r="T1259" i="1"/>
  <c r="U1259" i="1"/>
  <c r="V1259" i="1"/>
  <c r="W1259" i="1"/>
  <c r="AB1259" i="1"/>
  <c r="AF1259" i="1"/>
  <c r="K1260" i="1"/>
  <c r="AC1260" i="1"/>
  <c r="AJ1259" i="1"/>
  <c r="AK1259" i="1"/>
  <c r="AM1259" i="1"/>
  <c r="BF1259" i="1"/>
  <c r="BG1259" i="1"/>
  <c r="T1260" i="1"/>
  <c r="U1260" i="1"/>
  <c r="V1260" i="1"/>
  <c r="W1260" i="1"/>
  <c r="AB1260" i="1"/>
  <c r="AF1260" i="1"/>
  <c r="K1261" i="1"/>
  <c r="AC1261" i="1"/>
  <c r="AJ1260" i="1"/>
  <c r="AK1260" i="1"/>
  <c r="AM1260" i="1"/>
  <c r="BF1260" i="1"/>
  <c r="BG1260" i="1"/>
  <c r="T1261" i="1"/>
  <c r="U1261" i="1"/>
  <c r="V1261" i="1"/>
  <c r="W1261" i="1"/>
  <c r="AB1261" i="1"/>
  <c r="AF1261" i="1"/>
  <c r="K1262" i="1"/>
  <c r="AC1262" i="1"/>
  <c r="AJ1261" i="1"/>
  <c r="AK1261" i="1"/>
  <c r="AM1261" i="1"/>
  <c r="BF1261" i="1"/>
  <c r="BG1261" i="1"/>
  <c r="T1262" i="1"/>
  <c r="U1262" i="1"/>
  <c r="V1262" i="1"/>
  <c r="W1262" i="1"/>
  <c r="AB1262" i="1"/>
  <c r="AF1262" i="1"/>
  <c r="AC1263" i="1"/>
  <c r="AJ1262" i="1"/>
  <c r="AK1262" i="1"/>
  <c r="AM1262" i="1"/>
  <c r="BF1262" i="1"/>
  <c r="BG1262" i="1"/>
  <c r="T1263" i="1"/>
  <c r="U1263" i="1"/>
  <c r="V1263" i="1"/>
  <c r="W1263" i="1"/>
  <c r="AB1263" i="1"/>
  <c r="AF1263" i="1"/>
  <c r="AC1264" i="1"/>
  <c r="AJ1263" i="1"/>
  <c r="AK1263" i="1"/>
  <c r="AM1263" i="1"/>
  <c r="BF1263" i="1"/>
  <c r="BG1263" i="1"/>
  <c r="T1264" i="1"/>
  <c r="U1264" i="1"/>
  <c r="V1264" i="1"/>
  <c r="W1264" i="1"/>
  <c r="AB1264" i="1"/>
  <c r="AF1264" i="1"/>
  <c r="K1265" i="1"/>
  <c r="AC1265" i="1"/>
  <c r="AJ1264" i="1"/>
  <c r="AK1264" i="1"/>
  <c r="AM1264" i="1"/>
  <c r="BF1264" i="1"/>
  <c r="BG1264" i="1"/>
  <c r="T1265" i="1"/>
  <c r="U1265" i="1"/>
  <c r="V1265" i="1"/>
  <c r="W1265" i="1"/>
  <c r="AB1265" i="1"/>
  <c r="AF1265" i="1"/>
  <c r="K1266" i="1"/>
  <c r="AC1266" i="1"/>
  <c r="AJ1265" i="1"/>
  <c r="AK1265" i="1"/>
  <c r="AM1265" i="1"/>
  <c r="BF1265" i="1"/>
  <c r="BG1265" i="1"/>
  <c r="T1266" i="1"/>
  <c r="U1266" i="1"/>
  <c r="V1266" i="1"/>
  <c r="W1266" i="1"/>
  <c r="AB1266" i="1"/>
  <c r="AF1266" i="1"/>
  <c r="AC1267" i="1"/>
  <c r="AJ1266" i="1"/>
  <c r="AK1266" i="1"/>
  <c r="AM1266" i="1"/>
  <c r="BF1266" i="1"/>
  <c r="BG1266" i="1"/>
  <c r="T1267" i="1"/>
  <c r="U1267" i="1"/>
  <c r="V1267" i="1"/>
  <c r="W1267" i="1"/>
  <c r="AB1267" i="1"/>
  <c r="AF1267" i="1"/>
  <c r="AC1268" i="1"/>
  <c r="AJ1267" i="1"/>
  <c r="AK1267" i="1"/>
  <c r="AM1267" i="1"/>
  <c r="BF1267" i="1"/>
  <c r="BG1267" i="1"/>
  <c r="T1268" i="1"/>
  <c r="U1268" i="1"/>
  <c r="V1268" i="1"/>
  <c r="W1268" i="1"/>
  <c r="AB1268" i="1"/>
  <c r="AF1268" i="1"/>
  <c r="K1269" i="1"/>
  <c r="AC1269" i="1"/>
  <c r="AJ1268" i="1"/>
  <c r="AK1268" i="1"/>
  <c r="AM1268" i="1"/>
  <c r="BF1268" i="1"/>
  <c r="BG1268" i="1"/>
  <c r="T1269" i="1"/>
  <c r="U1269" i="1"/>
  <c r="V1269" i="1"/>
  <c r="W1269" i="1"/>
  <c r="AB1269" i="1"/>
  <c r="AF1269" i="1"/>
  <c r="K1270" i="1"/>
  <c r="AC1270" i="1"/>
  <c r="AJ1269" i="1"/>
  <c r="AK1269" i="1"/>
  <c r="AM1269" i="1"/>
  <c r="BF1269" i="1"/>
  <c r="BG1269" i="1"/>
  <c r="T1270" i="1"/>
  <c r="U1270" i="1"/>
  <c r="V1270" i="1"/>
  <c r="W1270" i="1"/>
  <c r="AB1270" i="1"/>
  <c r="AF1270" i="1"/>
  <c r="AC1271" i="1"/>
  <c r="AJ1270" i="1"/>
  <c r="AK1270" i="1"/>
  <c r="AM1270" i="1"/>
  <c r="BF1270" i="1"/>
  <c r="BG1270" i="1"/>
  <c r="T1271" i="1"/>
  <c r="U1271" i="1"/>
  <c r="V1271" i="1"/>
  <c r="W1271" i="1"/>
  <c r="AB1271" i="1"/>
  <c r="AF1271" i="1"/>
  <c r="AC1272" i="1"/>
  <c r="AJ1271" i="1"/>
  <c r="AK1271" i="1"/>
  <c r="AM1271" i="1"/>
  <c r="BF1271" i="1"/>
  <c r="BG1271" i="1"/>
  <c r="T1272" i="1"/>
  <c r="U1272" i="1"/>
  <c r="V1272" i="1"/>
  <c r="W1272" i="1"/>
  <c r="AB1272" i="1"/>
  <c r="AF1272" i="1"/>
  <c r="K1273" i="1"/>
  <c r="AC1273" i="1"/>
  <c r="AJ1272" i="1"/>
  <c r="AK1272" i="1"/>
  <c r="AM1272" i="1"/>
  <c r="BF1272" i="1"/>
  <c r="BG1272" i="1"/>
  <c r="T1273" i="1"/>
  <c r="U1273" i="1"/>
  <c r="V1273" i="1"/>
  <c r="W1273" i="1"/>
  <c r="AB1273" i="1"/>
  <c r="AF1273" i="1"/>
  <c r="AC1274" i="1"/>
  <c r="AJ1273" i="1"/>
  <c r="AK1273" i="1"/>
  <c r="AM1273" i="1"/>
  <c r="BF1273" i="1"/>
  <c r="BG1273" i="1"/>
  <c r="T1274" i="1"/>
  <c r="U1274" i="1"/>
  <c r="V1274" i="1"/>
  <c r="W1274" i="1"/>
  <c r="AB1274" i="1"/>
  <c r="AF1274" i="1"/>
  <c r="AC1275" i="1"/>
  <c r="AJ1274" i="1"/>
  <c r="AK1274" i="1"/>
  <c r="AM1274" i="1"/>
  <c r="BF1274" i="1"/>
  <c r="BG1274" i="1"/>
  <c r="T1275" i="1"/>
  <c r="U1275" i="1"/>
  <c r="V1275" i="1"/>
  <c r="W1275" i="1"/>
  <c r="AB1275" i="1"/>
  <c r="AF1275" i="1"/>
  <c r="K1276" i="1"/>
  <c r="AC1276" i="1"/>
  <c r="AJ1275" i="1"/>
  <c r="AK1275" i="1"/>
  <c r="AM1275" i="1"/>
  <c r="BF1275" i="1"/>
  <c r="BG1275" i="1"/>
  <c r="T1276" i="1"/>
  <c r="U1276" i="1"/>
  <c r="V1276" i="1"/>
  <c r="W1276" i="1"/>
  <c r="AB1276" i="1"/>
  <c r="AF1276" i="1"/>
  <c r="K1277" i="1"/>
  <c r="AC1277" i="1"/>
  <c r="AJ1276" i="1"/>
  <c r="AK1276" i="1"/>
  <c r="AM1276" i="1"/>
  <c r="BF1276" i="1"/>
  <c r="BG1276" i="1"/>
  <c r="T1277" i="1"/>
  <c r="U1277" i="1"/>
  <c r="V1277" i="1"/>
  <c r="W1277" i="1"/>
  <c r="AB1277" i="1"/>
  <c r="AF1277" i="1"/>
  <c r="AC1278" i="1"/>
  <c r="AJ1277" i="1"/>
  <c r="AK1277" i="1"/>
  <c r="AM1277" i="1"/>
  <c r="BF1277" i="1"/>
  <c r="BG1277" i="1"/>
  <c r="T1278" i="1"/>
  <c r="U1278" i="1"/>
  <c r="V1278" i="1"/>
  <c r="W1278" i="1"/>
  <c r="AB1278" i="1"/>
  <c r="AF1278" i="1"/>
  <c r="AC1279" i="1"/>
  <c r="AJ1278" i="1"/>
  <c r="AK1278" i="1"/>
  <c r="AM1278" i="1"/>
  <c r="BF1278" i="1"/>
  <c r="BG1278" i="1"/>
  <c r="T1279" i="1"/>
  <c r="U1279" i="1"/>
  <c r="V1279" i="1"/>
  <c r="W1279" i="1"/>
  <c r="AB1279" i="1"/>
  <c r="AF1279" i="1"/>
  <c r="K1280" i="1"/>
  <c r="AC1280" i="1"/>
  <c r="AJ1279" i="1"/>
  <c r="AK1279" i="1"/>
  <c r="AM1279" i="1"/>
  <c r="BF1279" i="1"/>
  <c r="BG1279" i="1"/>
  <c r="T1280" i="1"/>
  <c r="U1280" i="1"/>
  <c r="V1280" i="1"/>
  <c r="W1280" i="1"/>
  <c r="AB1280" i="1"/>
  <c r="AF1280" i="1"/>
  <c r="K1281" i="1"/>
  <c r="AC1281" i="1"/>
  <c r="AJ1280" i="1"/>
  <c r="AK1280" i="1"/>
  <c r="AM1280" i="1"/>
  <c r="BF1280" i="1"/>
  <c r="BG1280" i="1"/>
  <c r="T1281" i="1"/>
  <c r="U1281" i="1"/>
  <c r="V1281" i="1"/>
  <c r="W1281" i="1"/>
  <c r="AB1281" i="1"/>
  <c r="AF1281" i="1"/>
  <c r="AC1282" i="1"/>
  <c r="AJ1281" i="1"/>
  <c r="AK1281" i="1"/>
  <c r="AM1281" i="1"/>
  <c r="BF1281" i="1"/>
  <c r="BG1281" i="1"/>
  <c r="T1282" i="1"/>
  <c r="U1282" i="1"/>
  <c r="V1282" i="1"/>
  <c r="W1282" i="1"/>
  <c r="AB1282" i="1"/>
  <c r="AF1282" i="1"/>
  <c r="AC1283" i="1"/>
  <c r="AJ1282" i="1"/>
  <c r="AK1282" i="1"/>
  <c r="AM1282" i="1"/>
  <c r="BF1282" i="1"/>
  <c r="BG1282" i="1"/>
  <c r="T1283" i="1"/>
  <c r="U1283" i="1"/>
  <c r="V1283" i="1"/>
  <c r="W1283" i="1"/>
  <c r="AB1283" i="1"/>
  <c r="AF1283" i="1"/>
  <c r="K1284" i="1"/>
  <c r="AC1284" i="1"/>
  <c r="AJ1283" i="1"/>
  <c r="AK1283" i="1"/>
  <c r="AM1283" i="1"/>
  <c r="BF1283" i="1"/>
  <c r="BG1283" i="1"/>
  <c r="T1284" i="1"/>
  <c r="U1284" i="1"/>
  <c r="V1284" i="1"/>
  <c r="W1284" i="1"/>
  <c r="AB1284" i="1"/>
  <c r="AF1284" i="1"/>
  <c r="K1285" i="1"/>
  <c r="AC1285" i="1"/>
  <c r="AJ1284" i="1"/>
  <c r="AK1284" i="1"/>
  <c r="AM1284" i="1"/>
  <c r="BF1284" i="1"/>
  <c r="BG1284" i="1"/>
  <c r="T1285" i="1"/>
  <c r="U1285" i="1"/>
  <c r="V1285" i="1"/>
  <c r="W1285" i="1"/>
  <c r="AB1285" i="1"/>
  <c r="AF1285" i="1"/>
  <c r="AC1286" i="1"/>
  <c r="AJ1285" i="1"/>
  <c r="AK1285" i="1"/>
  <c r="AM1285" i="1"/>
  <c r="BF1285" i="1"/>
  <c r="BG1285" i="1"/>
  <c r="T1286" i="1"/>
  <c r="U1286" i="1"/>
  <c r="V1286" i="1"/>
  <c r="W1286" i="1"/>
  <c r="AB1286" i="1"/>
  <c r="AF1286" i="1"/>
  <c r="AC1287" i="1"/>
  <c r="AJ1286" i="1"/>
  <c r="AK1286" i="1"/>
  <c r="AM1286" i="1"/>
  <c r="BF1286" i="1"/>
  <c r="BG1286" i="1"/>
  <c r="T1287" i="1"/>
  <c r="U1287" i="1"/>
  <c r="V1287" i="1"/>
  <c r="W1287" i="1"/>
  <c r="AB1287" i="1"/>
  <c r="AF1287" i="1"/>
  <c r="K1288" i="1"/>
  <c r="AC1288" i="1"/>
  <c r="AJ1287" i="1"/>
  <c r="AK1287" i="1"/>
  <c r="AM1287" i="1"/>
  <c r="BF1287" i="1"/>
  <c r="BG1287" i="1"/>
  <c r="T1288" i="1"/>
  <c r="U1288" i="1"/>
  <c r="V1288" i="1"/>
  <c r="W1288" i="1"/>
  <c r="AB1288" i="1"/>
  <c r="AF1288" i="1"/>
  <c r="K1289" i="1"/>
  <c r="AC1289" i="1"/>
  <c r="AJ1288" i="1"/>
  <c r="AK1288" i="1"/>
  <c r="AM1288" i="1"/>
  <c r="BF1288" i="1"/>
  <c r="BG1288" i="1"/>
  <c r="T1289" i="1"/>
  <c r="U1289" i="1"/>
  <c r="V1289" i="1"/>
  <c r="W1289" i="1"/>
  <c r="AB1289" i="1"/>
  <c r="AF1289" i="1"/>
  <c r="AC1290" i="1"/>
  <c r="AJ1289" i="1"/>
  <c r="AK1289" i="1"/>
  <c r="AM1289" i="1"/>
  <c r="BF1289" i="1"/>
  <c r="BG1289" i="1"/>
  <c r="T1290" i="1"/>
  <c r="U1290" i="1"/>
  <c r="V1290" i="1"/>
  <c r="W1290" i="1"/>
  <c r="AB1290" i="1"/>
  <c r="AF1290" i="1"/>
  <c r="AC1291" i="1"/>
  <c r="AJ1290" i="1"/>
  <c r="AK1290" i="1"/>
  <c r="AM1290" i="1"/>
  <c r="BF1290" i="1"/>
  <c r="BG1290" i="1"/>
  <c r="T1291" i="1"/>
  <c r="U1291" i="1"/>
  <c r="V1291" i="1"/>
  <c r="W1291" i="1"/>
  <c r="AB1291" i="1"/>
  <c r="AF1291" i="1"/>
  <c r="K1292" i="1"/>
  <c r="AC1292" i="1"/>
  <c r="AJ1291" i="1"/>
  <c r="AK1291" i="1"/>
  <c r="AM1291" i="1"/>
  <c r="BF1291" i="1"/>
  <c r="BG1291" i="1"/>
  <c r="T1292" i="1"/>
  <c r="U1292" i="1"/>
  <c r="V1292" i="1"/>
  <c r="W1292" i="1"/>
  <c r="AB1292" i="1"/>
  <c r="AF1292" i="1"/>
  <c r="AC1293" i="1"/>
  <c r="AJ1292" i="1"/>
  <c r="AK1292" i="1"/>
  <c r="AM1292" i="1"/>
  <c r="BF1292" i="1"/>
  <c r="BG1292" i="1"/>
  <c r="T1293" i="1"/>
  <c r="U1293" i="1"/>
  <c r="V1293" i="1"/>
  <c r="W1293" i="1"/>
  <c r="AB1293" i="1"/>
  <c r="AF1293" i="1"/>
  <c r="AC1294" i="1"/>
  <c r="AJ1293" i="1"/>
  <c r="AK1293" i="1"/>
  <c r="AM1293" i="1"/>
  <c r="BF1293" i="1"/>
  <c r="BG1293" i="1"/>
  <c r="T1294" i="1"/>
  <c r="U1294" i="1"/>
  <c r="V1294" i="1"/>
  <c r="W1294" i="1"/>
  <c r="AB1294" i="1"/>
  <c r="AF1294" i="1"/>
  <c r="K1295" i="1"/>
  <c r="AC1295" i="1"/>
  <c r="AJ1294" i="1"/>
  <c r="AK1294" i="1"/>
  <c r="AM1294" i="1"/>
  <c r="BF1294" i="1"/>
  <c r="BG1294" i="1"/>
  <c r="T1295" i="1"/>
  <c r="U1295" i="1"/>
  <c r="V1295" i="1"/>
  <c r="W1295" i="1"/>
  <c r="AB1295" i="1"/>
  <c r="AF1295" i="1"/>
  <c r="AC1296" i="1"/>
  <c r="AJ1295" i="1"/>
  <c r="AK1295" i="1"/>
  <c r="AM1295" i="1"/>
  <c r="BF1295" i="1"/>
  <c r="BG1295" i="1"/>
  <c r="T1296" i="1"/>
  <c r="U1296" i="1"/>
  <c r="V1296" i="1"/>
  <c r="W1296" i="1"/>
  <c r="AB1296" i="1"/>
  <c r="AF1296" i="1"/>
  <c r="AC1297" i="1"/>
  <c r="AJ1296" i="1"/>
  <c r="AK1296" i="1"/>
  <c r="AM1296" i="1"/>
  <c r="BF1296" i="1"/>
  <c r="BG1296" i="1"/>
  <c r="T1297" i="1"/>
  <c r="U1297" i="1"/>
  <c r="V1297" i="1"/>
  <c r="W1297" i="1"/>
  <c r="AB1297" i="1"/>
  <c r="AF1297" i="1"/>
  <c r="AC1298" i="1"/>
  <c r="AJ1297" i="1"/>
  <c r="AK1297" i="1"/>
  <c r="AM1297" i="1"/>
  <c r="BF1297" i="1"/>
  <c r="BG1297" i="1"/>
  <c r="T1298" i="1"/>
  <c r="U1298" i="1"/>
  <c r="V1298" i="1"/>
  <c r="W1298" i="1"/>
  <c r="AB1298" i="1"/>
  <c r="AF1298" i="1"/>
  <c r="K1299" i="1"/>
  <c r="AC1299" i="1"/>
  <c r="AJ1298" i="1"/>
  <c r="AK1298" i="1"/>
  <c r="AM1298" i="1"/>
  <c r="BF1298" i="1"/>
  <c r="BG1298" i="1"/>
  <c r="T1299" i="1"/>
  <c r="U1299" i="1"/>
  <c r="V1299" i="1"/>
  <c r="W1299" i="1"/>
  <c r="AB1299" i="1"/>
  <c r="AF1299" i="1"/>
  <c r="AC1300" i="1"/>
  <c r="AJ1299" i="1"/>
  <c r="AK1299" i="1"/>
  <c r="AM1299" i="1"/>
  <c r="BF1299" i="1"/>
  <c r="BG1299" i="1"/>
  <c r="T1300" i="1"/>
  <c r="U1300" i="1"/>
  <c r="V1300" i="1"/>
  <c r="W1300" i="1"/>
  <c r="AB1300" i="1"/>
  <c r="AF1300" i="1"/>
  <c r="AC1301" i="1"/>
  <c r="AJ1300" i="1"/>
  <c r="AK1300" i="1"/>
  <c r="AM1300" i="1"/>
  <c r="BF1300" i="1"/>
  <c r="BG1300" i="1"/>
  <c r="T1301" i="1"/>
  <c r="U1301" i="1"/>
  <c r="V1301" i="1"/>
  <c r="W1301" i="1"/>
  <c r="AB1301" i="1"/>
  <c r="AF1301" i="1"/>
  <c r="K1302" i="1"/>
  <c r="AC1302" i="1"/>
  <c r="AJ1301" i="1"/>
  <c r="AK1301" i="1"/>
  <c r="AM1301" i="1"/>
  <c r="BF1301" i="1"/>
  <c r="BG1301" i="1"/>
  <c r="T1302" i="1"/>
  <c r="U1302" i="1"/>
  <c r="V1302" i="1"/>
  <c r="W1302" i="1"/>
  <c r="AB1302" i="1"/>
  <c r="AF1302" i="1"/>
  <c r="AC1303" i="1"/>
  <c r="AJ1302" i="1"/>
  <c r="AK1302" i="1"/>
  <c r="AM1302" i="1"/>
  <c r="BF1302" i="1"/>
  <c r="BG1302" i="1"/>
  <c r="T1303" i="1"/>
  <c r="U1303" i="1"/>
  <c r="V1303" i="1"/>
  <c r="W1303" i="1"/>
  <c r="AB1303" i="1"/>
  <c r="AF1303" i="1"/>
  <c r="AC1304" i="1"/>
  <c r="AJ1303" i="1"/>
  <c r="AK1303" i="1"/>
  <c r="AM1303" i="1"/>
  <c r="BF1303" i="1"/>
  <c r="BG1303" i="1"/>
  <c r="T1304" i="1"/>
  <c r="U1304" i="1"/>
  <c r="V1304" i="1"/>
  <c r="W1304" i="1"/>
  <c r="AB1304" i="1"/>
  <c r="AF1304" i="1"/>
  <c r="K1305" i="1"/>
  <c r="AC1305" i="1"/>
  <c r="AJ1304" i="1"/>
  <c r="AK1304" i="1"/>
  <c r="AM1304" i="1"/>
  <c r="BF1304" i="1"/>
  <c r="BG1304" i="1"/>
  <c r="T1305" i="1"/>
  <c r="U1305" i="1"/>
  <c r="V1305" i="1"/>
  <c r="W1305" i="1"/>
  <c r="AB1305" i="1"/>
  <c r="AF1305" i="1"/>
  <c r="K1306" i="1"/>
  <c r="AC1306" i="1"/>
  <c r="AJ1305" i="1"/>
  <c r="AK1305" i="1"/>
  <c r="AM1305" i="1"/>
  <c r="BF1305" i="1"/>
  <c r="BG1305" i="1"/>
  <c r="T1306" i="1"/>
  <c r="U1306" i="1"/>
  <c r="V1306" i="1"/>
  <c r="W1306" i="1"/>
  <c r="AB1306" i="1"/>
  <c r="AF1306" i="1"/>
  <c r="K1307" i="1"/>
  <c r="AC1307" i="1"/>
  <c r="AJ1306" i="1"/>
  <c r="AK1306" i="1"/>
  <c r="AM1306" i="1"/>
  <c r="BF1306" i="1"/>
  <c r="BG1306" i="1"/>
  <c r="T1307" i="1"/>
  <c r="U1307" i="1"/>
  <c r="V1307" i="1"/>
  <c r="W1307" i="1"/>
  <c r="AB1307" i="1"/>
  <c r="AF1307" i="1"/>
  <c r="K1308" i="1"/>
  <c r="AC1308" i="1"/>
  <c r="AJ1307" i="1"/>
  <c r="AK1307" i="1"/>
  <c r="AM1307" i="1"/>
  <c r="BF1307" i="1"/>
  <c r="BG1307" i="1"/>
  <c r="T1308" i="1"/>
  <c r="U1308" i="1"/>
  <c r="V1308" i="1"/>
  <c r="W1308" i="1"/>
  <c r="AB1308" i="1"/>
  <c r="AF1308" i="1"/>
  <c r="AC1309" i="1"/>
  <c r="AJ1308" i="1"/>
  <c r="AK1308" i="1"/>
  <c r="AM1308" i="1"/>
  <c r="BF1308" i="1"/>
  <c r="BG1308" i="1"/>
  <c r="T1309" i="1"/>
  <c r="U1309" i="1"/>
  <c r="V1309" i="1"/>
  <c r="W1309" i="1"/>
  <c r="AB1309" i="1"/>
  <c r="AF1309" i="1"/>
  <c r="AC1310" i="1"/>
  <c r="AJ1309" i="1"/>
  <c r="AK1309" i="1"/>
  <c r="AM1309" i="1"/>
  <c r="BF1309" i="1"/>
  <c r="BG1309" i="1"/>
  <c r="T1310" i="1"/>
  <c r="U1310" i="1"/>
  <c r="V1310" i="1"/>
  <c r="W1310" i="1"/>
  <c r="AB1310" i="1"/>
  <c r="AF1310" i="1"/>
  <c r="K1311" i="1"/>
  <c r="AC1311" i="1"/>
  <c r="AJ1310" i="1"/>
  <c r="AK1310" i="1"/>
  <c r="AM1310" i="1"/>
  <c r="BF1310" i="1"/>
  <c r="BG1310" i="1"/>
  <c r="T1311" i="1"/>
  <c r="U1311" i="1"/>
  <c r="V1311" i="1"/>
  <c r="W1311" i="1"/>
  <c r="AB1311" i="1"/>
  <c r="AF1311" i="1"/>
  <c r="K1312" i="1"/>
  <c r="AC1312" i="1"/>
  <c r="AJ1311" i="1"/>
  <c r="AK1311" i="1"/>
  <c r="AM1311" i="1"/>
  <c r="BF1311" i="1"/>
  <c r="BG1311" i="1"/>
  <c r="T1312" i="1"/>
  <c r="U1312" i="1"/>
  <c r="V1312" i="1"/>
  <c r="W1312" i="1"/>
  <c r="AB1312" i="1"/>
  <c r="AF1312" i="1"/>
  <c r="AC1313" i="1"/>
  <c r="AJ1312" i="1"/>
  <c r="AK1312" i="1"/>
  <c r="AM1312" i="1"/>
  <c r="BF1312" i="1"/>
  <c r="BG1312" i="1"/>
  <c r="T1313" i="1"/>
  <c r="U1313" i="1"/>
  <c r="V1313" i="1"/>
  <c r="W1313" i="1"/>
  <c r="AB1313" i="1"/>
  <c r="AF1313" i="1"/>
  <c r="AC1314" i="1"/>
  <c r="AJ1313" i="1"/>
  <c r="AK1313" i="1"/>
  <c r="AM1313" i="1"/>
  <c r="BF1313" i="1"/>
  <c r="BG1313" i="1"/>
  <c r="T1314" i="1"/>
  <c r="U1314" i="1"/>
  <c r="V1314" i="1"/>
  <c r="W1314" i="1"/>
  <c r="AB1314" i="1"/>
  <c r="AF1314" i="1"/>
  <c r="K1315" i="1"/>
  <c r="AC1315" i="1"/>
  <c r="AJ1314" i="1"/>
  <c r="AK1314" i="1"/>
  <c r="AM1314" i="1"/>
  <c r="BF1314" i="1"/>
  <c r="BG1314" i="1"/>
  <c r="T1315" i="1"/>
  <c r="U1315" i="1"/>
  <c r="V1315" i="1"/>
  <c r="W1315" i="1"/>
  <c r="AB1315" i="1"/>
  <c r="AF1315" i="1"/>
  <c r="AC1316" i="1"/>
  <c r="AJ1315" i="1"/>
  <c r="AK1315" i="1"/>
  <c r="AM1315" i="1"/>
  <c r="BF1315" i="1"/>
  <c r="BG1315" i="1"/>
  <c r="T1316" i="1"/>
  <c r="U1316" i="1"/>
  <c r="V1316" i="1"/>
  <c r="W1316" i="1"/>
  <c r="AB1316" i="1"/>
  <c r="AF1316" i="1"/>
  <c r="AC1317" i="1"/>
  <c r="AJ1316" i="1"/>
  <c r="AK1316" i="1"/>
  <c r="AM1316" i="1"/>
  <c r="BF1316" i="1"/>
  <c r="BG1316" i="1"/>
  <c r="T1317" i="1"/>
  <c r="U1317" i="1"/>
  <c r="V1317" i="1"/>
  <c r="W1317" i="1"/>
  <c r="AB1317" i="1"/>
  <c r="AF1317" i="1"/>
  <c r="K1318" i="1"/>
  <c r="AC1318" i="1"/>
  <c r="AJ1317" i="1"/>
  <c r="AK1317" i="1"/>
  <c r="AM1317" i="1"/>
  <c r="BF1317" i="1"/>
  <c r="BG1317" i="1"/>
  <c r="T1318" i="1"/>
  <c r="U1318" i="1"/>
  <c r="V1318" i="1"/>
  <c r="W1318" i="1"/>
  <c r="AB1318" i="1"/>
  <c r="AF1318" i="1"/>
  <c r="K1319" i="1"/>
  <c r="AC1319" i="1"/>
  <c r="AJ1318" i="1"/>
  <c r="AK1318" i="1"/>
  <c r="AM1318" i="1"/>
  <c r="BF1318" i="1"/>
  <c r="BG1318" i="1"/>
  <c r="T1319" i="1"/>
  <c r="U1319" i="1"/>
  <c r="V1319" i="1"/>
  <c r="W1319" i="1"/>
  <c r="AB1319" i="1"/>
  <c r="AF1319" i="1"/>
  <c r="K1320" i="1"/>
  <c r="AC1320" i="1"/>
  <c r="AJ1319" i="1"/>
  <c r="AK1319" i="1"/>
  <c r="AM1319" i="1"/>
  <c r="BF1319" i="1"/>
  <c r="BG1319" i="1"/>
  <c r="T1320" i="1"/>
  <c r="U1320" i="1"/>
  <c r="V1320" i="1"/>
  <c r="W1320" i="1"/>
  <c r="AB1320" i="1"/>
  <c r="AF1320" i="1"/>
  <c r="K1321" i="1"/>
  <c r="AC1321" i="1"/>
  <c r="AJ1320" i="1"/>
  <c r="AK1320" i="1"/>
  <c r="AM1320" i="1"/>
  <c r="BF1320" i="1"/>
  <c r="BG1320" i="1"/>
  <c r="T1321" i="1"/>
  <c r="U1321" i="1"/>
  <c r="V1321" i="1"/>
  <c r="W1321" i="1"/>
  <c r="AB1321" i="1"/>
  <c r="AF1321" i="1"/>
  <c r="K1322" i="1"/>
  <c r="AC1322" i="1"/>
  <c r="AJ1321" i="1"/>
  <c r="AK1321" i="1"/>
  <c r="AM1321" i="1"/>
  <c r="BF1321" i="1"/>
  <c r="BG1321" i="1"/>
  <c r="T1322" i="1"/>
  <c r="U1322" i="1"/>
  <c r="V1322" i="1"/>
  <c r="W1322" i="1"/>
  <c r="AB1322" i="1"/>
  <c r="AF1322" i="1"/>
  <c r="K1323" i="1"/>
  <c r="AC1323" i="1"/>
  <c r="AJ1322" i="1"/>
  <c r="AK1322" i="1"/>
  <c r="AM1322" i="1"/>
  <c r="BF1322" i="1"/>
  <c r="BG1322" i="1"/>
  <c r="T1323" i="1"/>
  <c r="U1323" i="1"/>
  <c r="V1323" i="1"/>
  <c r="W1323" i="1"/>
  <c r="AB1323" i="1"/>
  <c r="AF1323" i="1"/>
  <c r="AC1324" i="1"/>
  <c r="AJ1323" i="1"/>
  <c r="AK1323" i="1"/>
  <c r="AM1323" i="1"/>
  <c r="BF1323" i="1"/>
  <c r="BG1323" i="1"/>
  <c r="T1324" i="1"/>
  <c r="U1324" i="1"/>
  <c r="V1324" i="1"/>
  <c r="W1324" i="1"/>
  <c r="AB1324" i="1"/>
  <c r="AF1324" i="1"/>
  <c r="AC1325" i="1"/>
  <c r="AJ1324" i="1"/>
  <c r="AK1324" i="1"/>
  <c r="AM1324" i="1"/>
  <c r="BF1324" i="1"/>
  <c r="BG1324" i="1"/>
  <c r="T1325" i="1"/>
  <c r="U1325" i="1"/>
  <c r="V1325" i="1"/>
  <c r="W1325" i="1"/>
  <c r="AB1325" i="1"/>
  <c r="AF1325" i="1"/>
  <c r="K1326" i="1"/>
  <c r="AC1326" i="1"/>
  <c r="AJ1325" i="1"/>
  <c r="AK1325" i="1"/>
  <c r="AM1325" i="1"/>
  <c r="BF1325" i="1"/>
  <c r="BG1325" i="1"/>
  <c r="T1326" i="1"/>
  <c r="U1326" i="1"/>
  <c r="V1326" i="1"/>
  <c r="W1326" i="1"/>
  <c r="AB1326" i="1"/>
  <c r="AF1326" i="1"/>
  <c r="AC1327" i="1"/>
  <c r="AJ1326" i="1"/>
  <c r="AK1326" i="1"/>
  <c r="AM1326" i="1"/>
  <c r="BF1326" i="1"/>
  <c r="BG1326" i="1"/>
  <c r="T1327" i="1"/>
  <c r="U1327" i="1"/>
  <c r="V1327" i="1"/>
  <c r="W1327" i="1"/>
  <c r="AB1327" i="1"/>
  <c r="AF1327" i="1"/>
  <c r="AC1328" i="1"/>
  <c r="AJ1327" i="1"/>
  <c r="AK1327" i="1"/>
  <c r="AM1327" i="1"/>
  <c r="BF1327" i="1"/>
  <c r="BG1327" i="1"/>
  <c r="T1328" i="1"/>
  <c r="U1328" i="1"/>
  <c r="V1328" i="1"/>
  <c r="W1328" i="1"/>
  <c r="AB1328" i="1"/>
  <c r="AF1328" i="1"/>
  <c r="K1329" i="1"/>
  <c r="AC1329" i="1"/>
  <c r="AJ1328" i="1"/>
  <c r="AK1328" i="1"/>
  <c r="AM1328" i="1"/>
  <c r="BF1328" i="1"/>
  <c r="BG1328" i="1"/>
  <c r="T1329" i="1"/>
  <c r="U1329" i="1"/>
  <c r="V1329" i="1"/>
  <c r="W1329" i="1"/>
  <c r="AB1329" i="1"/>
  <c r="AF1329" i="1"/>
  <c r="K1330" i="1"/>
  <c r="AC1330" i="1"/>
  <c r="AJ1329" i="1"/>
  <c r="AK1329" i="1"/>
  <c r="AM1329" i="1"/>
  <c r="BF1329" i="1"/>
  <c r="BG1329" i="1"/>
  <c r="T1330" i="1"/>
  <c r="U1330" i="1"/>
  <c r="V1330" i="1"/>
  <c r="W1330" i="1"/>
  <c r="AB1330" i="1"/>
  <c r="AF1330" i="1"/>
  <c r="AC1331" i="1"/>
  <c r="AJ1330" i="1"/>
  <c r="AK1330" i="1"/>
  <c r="AM1330" i="1"/>
  <c r="BF1330" i="1"/>
  <c r="BG1330" i="1"/>
  <c r="T1331" i="1"/>
  <c r="U1331" i="1"/>
  <c r="V1331" i="1"/>
  <c r="W1331" i="1"/>
  <c r="AB1331" i="1"/>
  <c r="AF1331" i="1"/>
  <c r="AC1332" i="1"/>
  <c r="AJ1331" i="1"/>
  <c r="AK1331" i="1"/>
  <c r="AM1331" i="1"/>
  <c r="BF1331" i="1"/>
  <c r="BG1331" i="1"/>
  <c r="T1332" i="1"/>
  <c r="U1332" i="1"/>
  <c r="V1332" i="1"/>
  <c r="W1332" i="1"/>
  <c r="AB1332" i="1"/>
  <c r="AF1332" i="1"/>
  <c r="K1333" i="1"/>
  <c r="AC1333" i="1"/>
  <c r="AJ1332" i="1"/>
  <c r="AK1332" i="1"/>
  <c r="AM1332" i="1"/>
  <c r="BF1332" i="1"/>
  <c r="BG1332" i="1"/>
  <c r="T1333" i="1"/>
  <c r="U1333" i="1"/>
  <c r="V1333" i="1"/>
  <c r="W1333" i="1"/>
  <c r="AB1333" i="1"/>
  <c r="AF1333" i="1"/>
  <c r="AC1334" i="1"/>
  <c r="AJ1333" i="1"/>
  <c r="AK1333" i="1"/>
  <c r="AM1333" i="1"/>
  <c r="BF1333" i="1"/>
  <c r="BG1333" i="1"/>
  <c r="T1334" i="1"/>
  <c r="U1334" i="1"/>
  <c r="V1334" i="1"/>
  <c r="W1334" i="1"/>
  <c r="AB1334" i="1"/>
  <c r="AF1334" i="1"/>
  <c r="AC1335" i="1"/>
  <c r="AJ1334" i="1"/>
  <c r="AK1334" i="1"/>
  <c r="AM1334" i="1"/>
  <c r="BF1334" i="1"/>
  <c r="BG1334" i="1"/>
  <c r="T1335" i="1"/>
  <c r="U1335" i="1"/>
  <c r="V1335" i="1"/>
  <c r="W1335" i="1"/>
  <c r="AB1335" i="1"/>
  <c r="AF1335" i="1"/>
  <c r="K1336" i="1"/>
  <c r="AC1336" i="1"/>
  <c r="AJ1335" i="1"/>
  <c r="AK1335" i="1"/>
  <c r="AM1335" i="1"/>
  <c r="BF1335" i="1"/>
  <c r="BG1335" i="1"/>
  <c r="T1336" i="1"/>
  <c r="U1336" i="1"/>
  <c r="V1336" i="1"/>
  <c r="W1336" i="1"/>
  <c r="AB1336" i="1"/>
  <c r="AF1336" i="1"/>
  <c r="AC1337" i="1"/>
  <c r="AJ1336" i="1"/>
  <c r="AK1336" i="1"/>
  <c r="AM1336" i="1"/>
  <c r="BF1336" i="1"/>
  <c r="BG1336" i="1"/>
  <c r="T1337" i="1"/>
  <c r="U1337" i="1"/>
  <c r="V1337" i="1"/>
  <c r="W1337" i="1"/>
  <c r="AB1337" i="1"/>
  <c r="AF1337" i="1"/>
  <c r="AC1338" i="1"/>
  <c r="AJ1337" i="1"/>
  <c r="AK1337" i="1"/>
  <c r="AM1337" i="1"/>
  <c r="BF1337" i="1"/>
  <c r="BG1337" i="1"/>
  <c r="T1338" i="1"/>
  <c r="U1338" i="1"/>
  <c r="V1338" i="1"/>
  <c r="W1338" i="1"/>
  <c r="AB1338" i="1"/>
  <c r="AF1338" i="1"/>
  <c r="K1339" i="1"/>
  <c r="AC1339" i="1"/>
  <c r="AJ1338" i="1"/>
  <c r="AK1338" i="1"/>
  <c r="AM1338" i="1"/>
  <c r="BF1338" i="1"/>
  <c r="BG1338" i="1"/>
  <c r="T1339" i="1"/>
  <c r="U1339" i="1"/>
  <c r="V1339" i="1"/>
  <c r="W1339" i="1"/>
  <c r="AB1339" i="1"/>
  <c r="AF1339" i="1"/>
  <c r="K1340" i="1"/>
  <c r="AC1340" i="1"/>
  <c r="AJ1339" i="1"/>
  <c r="AK1339" i="1"/>
  <c r="AM1339" i="1"/>
  <c r="BF1339" i="1"/>
  <c r="BG1339" i="1"/>
  <c r="T1340" i="1"/>
  <c r="U1340" i="1"/>
  <c r="V1340" i="1"/>
  <c r="W1340" i="1"/>
  <c r="AB1340" i="1"/>
  <c r="AF1340" i="1"/>
  <c r="K1341" i="1"/>
  <c r="AC1341" i="1"/>
  <c r="AJ1340" i="1"/>
  <c r="AK1340" i="1"/>
  <c r="AM1340" i="1"/>
  <c r="BF1340" i="1"/>
  <c r="BG1340" i="1"/>
  <c r="T1341" i="1"/>
  <c r="U1341" i="1"/>
  <c r="V1341" i="1"/>
  <c r="W1341" i="1"/>
  <c r="AB1341" i="1"/>
  <c r="AF1341" i="1"/>
  <c r="K1342" i="1"/>
  <c r="AC1342" i="1"/>
  <c r="AJ1341" i="1"/>
  <c r="AK1341" i="1"/>
  <c r="AM1341" i="1"/>
  <c r="BF1341" i="1"/>
  <c r="BG1341" i="1"/>
  <c r="T1342" i="1"/>
  <c r="U1342" i="1"/>
  <c r="V1342" i="1"/>
  <c r="W1342" i="1"/>
  <c r="AB1342" i="1"/>
  <c r="AF1342" i="1"/>
  <c r="AC1343" i="1"/>
  <c r="AJ1342" i="1"/>
  <c r="AK1342" i="1"/>
  <c r="AM1342" i="1"/>
  <c r="BF1342" i="1"/>
  <c r="BG1342" i="1"/>
  <c r="T1343" i="1"/>
  <c r="U1343" i="1"/>
  <c r="V1343" i="1"/>
  <c r="W1343" i="1"/>
  <c r="AB1343" i="1"/>
  <c r="AF1343" i="1"/>
  <c r="AC1344" i="1"/>
  <c r="AJ1343" i="1"/>
  <c r="AK1343" i="1"/>
  <c r="AM1343" i="1"/>
  <c r="BF1343" i="1"/>
  <c r="BG1343" i="1"/>
  <c r="T1344" i="1"/>
  <c r="U1344" i="1"/>
  <c r="V1344" i="1"/>
  <c r="W1344" i="1"/>
  <c r="AB1344" i="1"/>
  <c r="AF1344" i="1"/>
  <c r="K1345" i="1"/>
  <c r="AC1345" i="1"/>
  <c r="AJ1344" i="1"/>
  <c r="AK1344" i="1"/>
  <c r="AM1344" i="1"/>
  <c r="BF1344" i="1"/>
  <c r="BG1344" i="1"/>
  <c r="T1345" i="1"/>
  <c r="U1345" i="1"/>
  <c r="V1345" i="1"/>
  <c r="W1345" i="1"/>
  <c r="AB1345" i="1"/>
  <c r="AF1345" i="1"/>
  <c r="K1346" i="1"/>
  <c r="AC1346" i="1"/>
  <c r="AJ1345" i="1"/>
  <c r="AK1345" i="1"/>
  <c r="AM1345" i="1"/>
  <c r="BF1345" i="1"/>
  <c r="BG1345" i="1"/>
  <c r="T1346" i="1"/>
  <c r="U1346" i="1"/>
  <c r="V1346" i="1"/>
  <c r="W1346" i="1"/>
  <c r="AB1346" i="1"/>
  <c r="AF1346" i="1"/>
  <c r="K1347" i="1"/>
  <c r="AC1347" i="1"/>
  <c r="AJ1346" i="1"/>
  <c r="AK1346" i="1"/>
  <c r="AM1346" i="1"/>
  <c r="BF1346" i="1"/>
  <c r="BG1346" i="1"/>
  <c r="T1347" i="1"/>
  <c r="U1347" i="1"/>
  <c r="V1347" i="1"/>
  <c r="W1347" i="1"/>
  <c r="AB1347" i="1"/>
  <c r="AF1347" i="1"/>
  <c r="K1348" i="1"/>
  <c r="AC1348" i="1"/>
  <c r="AJ1347" i="1"/>
  <c r="AK1347" i="1"/>
  <c r="AM1347" i="1"/>
  <c r="BF1347" i="1"/>
  <c r="BG1347" i="1"/>
  <c r="T1348" i="1"/>
  <c r="U1348" i="1"/>
  <c r="V1348" i="1"/>
  <c r="W1348" i="1"/>
  <c r="AB1348" i="1"/>
  <c r="AF1348" i="1"/>
  <c r="AC1349" i="1"/>
  <c r="AJ1348" i="1"/>
  <c r="AK1348" i="1"/>
  <c r="AM1348" i="1"/>
  <c r="BF1348" i="1"/>
  <c r="BG1348" i="1"/>
  <c r="T1349" i="1"/>
  <c r="U1349" i="1"/>
  <c r="V1349" i="1"/>
  <c r="W1349" i="1"/>
  <c r="AB1349" i="1"/>
  <c r="AF1349" i="1"/>
  <c r="AC1350" i="1"/>
  <c r="AJ1349" i="1"/>
  <c r="AK1349" i="1"/>
  <c r="AM1349" i="1"/>
  <c r="BF1349" i="1"/>
  <c r="BG1349" i="1"/>
  <c r="T1350" i="1"/>
  <c r="U1350" i="1"/>
  <c r="V1350" i="1"/>
  <c r="W1350" i="1"/>
  <c r="AB1350" i="1"/>
  <c r="AF1350" i="1"/>
  <c r="K1351" i="1"/>
  <c r="AC1351" i="1"/>
  <c r="AJ1350" i="1"/>
  <c r="AK1350" i="1"/>
  <c r="AM1350" i="1"/>
  <c r="BF1350" i="1"/>
  <c r="BG1350" i="1"/>
  <c r="T1351" i="1"/>
  <c r="U1351" i="1"/>
  <c r="V1351" i="1"/>
  <c r="W1351" i="1"/>
  <c r="AB1351" i="1"/>
  <c r="AF1351" i="1"/>
  <c r="AC1352" i="1"/>
  <c r="AJ1351" i="1"/>
  <c r="AK1351" i="1"/>
  <c r="AM1351" i="1"/>
  <c r="BF1351" i="1"/>
  <c r="BG1351" i="1"/>
  <c r="T1352" i="1"/>
  <c r="U1352" i="1"/>
  <c r="V1352" i="1"/>
  <c r="W1352" i="1"/>
  <c r="AB1352" i="1"/>
  <c r="AF1352" i="1"/>
  <c r="AC1353" i="1"/>
  <c r="AJ1352" i="1"/>
  <c r="AK1352" i="1"/>
  <c r="AM1352" i="1"/>
  <c r="BF1352" i="1"/>
  <c r="BG1352" i="1"/>
  <c r="T1353" i="1"/>
  <c r="U1353" i="1"/>
  <c r="V1353" i="1"/>
  <c r="W1353" i="1"/>
  <c r="AB1353" i="1"/>
  <c r="AF1353" i="1"/>
  <c r="K1354" i="1"/>
  <c r="AC1354" i="1"/>
  <c r="AJ1353" i="1"/>
  <c r="AK1353" i="1"/>
  <c r="AM1353" i="1"/>
  <c r="BF1353" i="1"/>
  <c r="BG1353" i="1"/>
  <c r="T1354" i="1"/>
  <c r="U1354" i="1"/>
  <c r="V1354" i="1"/>
  <c r="W1354" i="1"/>
  <c r="AB1354" i="1"/>
  <c r="AF1354" i="1"/>
  <c r="AC1355" i="1"/>
  <c r="AJ1354" i="1"/>
  <c r="AK1354" i="1"/>
  <c r="AM1354" i="1"/>
  <c r="BF1354" i="1"/>
  <c r="BG1354" i="1"/>
  <c r="T1355" i="1"/>
  <c r="U1355" i="1"/>
  <c r="V1355" i="1"/>
  <c r="W1355" i="1"/>
  <c r="AB1355" i="1"/>
  <c r="AF1355" i="1"/>
  <c r="AC1356" i="1"/>
  <c r="AJ1355" i="1"/>
  <c r="AK1355" i="1"/>
  <c r="AM1355" i="1"/>
  <c r="BF1355" i="1"/>
  <c r="BG1355" i="1"/>
  <c r="T1356" i="1"/>
  <c r="U1356" i="1"/>
  <c r="V1356" i="1"/>
  <c r="W1356" i="1"/>
  <c r="AB1356" i="1"/>
  <c r="AF1356" i="1"/>
  <c r="K1357" i="1"/>
  <c r="AC1357" i="1"/>
  <c r="AJ1356" i="1"/>
  <c r="AK1356" i="1"/>
  <c r="AM1356" i="1"/>
  <c r="BF1356" i="1"/>
  <c r="BG1356" i="1"/>
  <c r="T1357" i="1"/>
  <c r="U1357" i="1"/>
  <c r="V1357" i="1"/>
  <c r="W1357" i="1"/>
  <c r="AB1357" i="1"/>
  <c r="AF1357" i="1"/>
  <c r="K1358" i="1"/>
  <c r="AC1358" i="1"/>
  <c r="AJ1357" i="1"/>
  <c r="AK1357" i="1"/>
  <c r="AM1357" i="1"/>
  <c r="BF1357" i="1"/>
  <c r="BG1357" i="1"/>
  <c r="T1358" i="1"/>
  <c r="U1358" i="1"/>
  <c r="V1358" i="1"/>
  <c r="W1358" i="1"/>
  <c r="AB1358" i="1"/>
  <c r="AF1358" i="1"/>
  <c r="AC1359" i="1"/>
  <c r="AJ1358" i="1"/>
  <c r="AK1358" i="1"/>
  <c r="AM1358" i="1"/>
  <c r="BF1358" i="1"/>
  <c r="BG1358" i="1"/>
  <c r="T1359" i="1"/>
  <c r="U1359" i="1"/>
  <c r="V1359" i="1"/>
  <c r="W1359" i="1"/>
  <c r="AB1359" i="1"/>
  <c r="AF1359" i="1"/>
  <c r="AC1360" i="1"/>
  <c r="AJ1359" i="1"/>
  <c r="AK1359" i="1"/>
  <c r="AM1359" i="1"/>
  <c r="BF1359" i="1"/>
  <c r="BG1359" i="1"/>
  <c r="T1360" i="1"/>
  <c r="U1360" i="1"/>
  <c r="V1360" i="1"/>
  <c r="W1360" i="1"/>
  <c r="AB1360" i="1"/>
  <c r="AF1360" i="1"/>
  <c r="K1361" i="1"/>
  <c r="AC1361" i="1"/>
  <c r="AJ1360" i="1"/>
  <c r="AK1360" i="1"/>
  <c r="AM1360" i="1"/>
  <c r="BF1360" i="1"/>
  <c r="BG1360" i="1"/>
  <c r="T1361" i="1"/>
  <c r="U1361" i="1"/>
  <c r="V1361" i="1"/>
  <c r="W1361" i="1"/>
  <c r="AB1361" i="1"/>
  <c r="AF1361" i="1"/>
  <c r="AC1362" i="1"/>
  <c r="AJ1361" i="1"/>
  <c r="AK1361" i="1"/>
  <c r="AM1361" i="1"/>
  <c r="BF1361" i="1"/>
  <c r="BG1361" i="1"/>
  <c r="T1362" i="1"/>
  <c r="U1362" i="1"/>
  <c r="V1362" i="1"/>
  <c r="W1362" i="1"/>
  <c r="AB1362" i="1"/>
  <c r="AF1362" i="1"/>
  <c r="AC1363" i="1"/>
  <c r="AJ1362" i="1"/>
  <c r="AK1362" i="1"/>
  <c r="AM1362" i="1"/>
  <c r="BF1362" i="1"/>
  <c r="BG1362" i="1"/>
  <c r="T1363" i="1"/>
  <c r="U1363" i="1"/>
  <c r="V1363" i="1"/>
  <c r="W1363" i="1"/>
  <c r="AB1363" i="1"/>
  <c r="AF1363" i="1"/>
  <c r="K1364" i="1"/>
  <c r="AC1364" i="1"/>
  <c r="AJ1363" i="1"/>
  <c r="AK1363" i="1"/>
  <c r="AM1363" i="1"/>
  <c r="BF1363" i="1"/>
  <c r="BG1363" i="1"/>
  <c r="T1364" i="1"/>
  <c r="U1364" i="1"/>
  <c r="V1364" i="1"/>
  <c r="W1364" i="1"/>
  <c r="AB1364" i="1"/>
  <c r="AF1364" i="1"/>
  <c r="AC1365" i="1"/>
  <c r="AJ1364" i="1"/>
  <c r="AK1364" i="1"/>
  <c r="AM1364" i="1"/>
  <c r="BF1364" i="1"/>
  <c r="BG1364" i="1"/>
  <c r="T1365" i="1"/>
  <c r="U1365" i="1"/>
  <c r="V1365" i="1"/>
  <c r="W1365" i="1"/>
  <c r="AB1365" i="1"/>
  <c r="AF1365" i="1"/>
  <c r="AC1366" i="1"/>
  <c r="AJ1365" i="1"/>
  <c r="AK1365" i="1"/>
  <c r="AM1365" i="1"/>
  <c r="BF1365" i="1"/>
  <c r="BG1365" i="1"/>
  <c r="T1366" i="1"/>
  <c r="U1366" i="1"/>
  <c r="V1366" i="1"/>
  <c r="W1366" i="1"/>
  <c r="AB1366" i="1"/>
  <c r="AF1366" i="1"/>
  <c r="K1367" i="1"/>
  <c r="AC1367" i="1"/>
  <c r="AJ1366" i="1"/>
  <c r="AK1366" i="1"/>
  <c r="AM1366" i="1"/>
  <c r="BF1366" i="1"/>
  <c r="BG1366" i="1"/>
  <c r="T1367" i="1"/>
  <c r="U1367" i="1"/>
  <c r="V1367" i="1"/>
  <c r="W1367" i="1"/>
  <c r="AB1367" i="1"/>
  <c r="AF1367" i="1"/>
  <c r="AC1368" i="1"/>
  <c r="AJ1367" i="1"/>
  <c r="AK1367" i="1"/>
  <c r="AM1367" i="1"/>
  <c r="BF1367" i="1"/>
  <c r="BG1367" i="1"/>
  <c r="T1368" i="1"/>
  <c r="U1368" i="1"/>
  <c r="V1368" i="1"/>
  <c r="W1368" i="1"/>
  <c r="AB1368" i="1"/>
  <c r="AF1368" i="1"/>
  <c r="AC1369" i="1"/>
  <c r="AJ1368" i="1"/>
  <c r="AK1368" i="1"/>
  <c r="AM1368" i="1"/>
  <c r="BF1368" i="1"/>
  <c r="BG1368" i="1"/>
  <c r="T1369" i="1"/>
  <c r="U1369" i="1"/>
  <c r="V1369" i="1"/>
  <c r="W1369" i="1"/>
  <c r="AB1369" i="1"/>
  <c r="AF1369" i="1"/>
  <c r="K1370" i="1"/>
  <c r="AC1370" i="1"/>
  <c r="AJ1369" i="1"/>
  <c r="AK1369" i="1"/>
  <c r="AM1369" i="1"/>
  <c r="BF1369" i="1"/>
  <c r="BG1369" i="1"/>
  <c r="T1370" i="1"/>
  <c r="U1370" i="1"/>
  <c r="V1370" i="1"/>
  <c r="W1370" i="1"/>
  <c r="AB1370" i="1"/>
  <c r="AF1370" i="1"/>
  <c r="K1371" i="1"/>
  <c r="AC1371" i="1"/>
  <c r="AJ1370" i="1"/>
  <c r="AK1370" i="1"/>
  <c r="AM1370" i="1"/>
  <c r="BF1370" i="1"/>
  <c r="BG1370" i="1"/>
  <c r="T1371" i="1"/>
  <c r="U1371" i="1"/>
  <c r="V1371" i="1"/>
  <c r="W1371" i="1"/>
  <c r="AB1371" i="1"/>
  <c r="AF1371" i="1"/>
  <c r="K1372" i="1"/>
  <c r="AC1372" i="1"/>
  <c r="AJ1371" i="1"/>
  <c r="AK1371" i="1"/>
  <c r="AM1371" i="1"/>
  <c r="BF1371" i="1"/>
  <c r="BG1371" i="1"/>
  <c r="T1372" i="1"/>
  <c r="U1372" i="1"/>
  <c r="V1372" i="1"/>
  <c r="W1372" i="1"/>
  <c r="AB1372" i="1"/>
  <c r="AF1372" i="1"/>
  <c r="K1373" i="1"/>
  <c r="AC1373" i="1"/>
  <c r="AJ1372" i="1"/>
  <c r="AK1372" i="1"/>
  <c r="AM1372" i="1"/>
  <c r="BF1372" i="1"/>
  <c r="BG1372" i="1"/>
  <c r="T1373" i="1"/>
  <c r="U1373" i="1"/>
  <c r="V1373" i="1"/>
  <c r="W1373" i="1"/>
  <c r="AB1373" i="1"/>
  <c r="AF1373" i="1"/>
  <c r="K1374" i="1"/>
  <c r="AC1374" i="1"/>
  <c r="AJ1373" i="1"/>
  <c r="AK1373" i="1"/>
  <c r="AM1373" i="1"/>
  <c r="BF1373" i="1"/>
  <c r="BG1373" i="1"/>
  <c r="T1374" i="1"/>
  <c r="U1374" i="1"/>
  <c r="V1374" i="1"/>
  <c r="W1374" i="1"/>
  <c r="AB1374" i="1"/>
  <c r="AF1374" i="1"/>
  <c r="K1375" i="1"/>
  <c r="AC1375" i="1"/>
  <c r="AJ1374" i="1"/>
  <c r="AK1374" i="1"/>
  <c r="AM1374" i="1"/>
  <c r="BF1374" i="1"/>
  <c r="BG1374" i="1"/>
  <c r="T1375" i="1"/>
  <c r="U1375" i="1"/>
  <c r="V1375" i="1"/>
  <c r="W1375" i="1"/>
  <c r="AB1375" i="1"/>
  <c r="AF1375" i="1"/>
  <c r="AC1376" i="1"/>
  <c r="AJ1375" i="1"/>
  <c r="AK1375" i="1"/>
  <c r="AM1375" i="1"/>
  <c r="BF1375" i="1"/>
  <c r="BG1375" i="1"/>
  <c r="T1376" i="1"/>
  <c r="U1376" i="1"/>
  <c r="V1376" i="1"/>
  <c r="W1376" i="1"/>
  <c r="AB1376" i="1"/>
  <c r="AF1376" i="1"/>
  <c r="AC1377" i="1"/>
  <c r="AJ1376" i="1"/>
  <c r="AK1376" i="1"/>
  <c r="AM1376" i="1"/>
  <c r="BF1376" i="1"/>
  <c r="BG1376" i="1"/>
  <c r="T1377" i="1"/>
  <c r="U1377" i="1"/>
  <c r="V1377" i="1"/>
  <c r="W1377" i="1"/>
  <c r="AB1377" i="1"/>
  <c r="AF1377" i="1"/>
  <c r="K1378" i="1"/>
  <c r="AC1378" i="1"/>
  <c r="AJ1377" i="1"/>
  <c r="AK1377" i="1"/>
  <c r="AM1377" i="1"/>
  <c r="BF1377" i="1"/>
  <c r="BG1377" i="1"/>
  <c r="T1378" i="1"/>
  <c r="U1378" i="1"/>
  <c r="V1378" i="1"/>
  <c r="W1378" i="1"/>
  <c r="AB1378" i="1"/>
  <c r="AF1378" i="1"/>
  <c r="K1379" i="1"/>
  <c r="AC1379" i="1"/>
  <c r="AJ1378" i="1"/>
  <c r="AK1378" i="1"/>
  <c r="AM1378" i="1"/>
  <c r="BF1378" i="1"/>
  <c r="BG1378" i="1"/>
  <c r="T1379" i="1"/>
  <c r="U1379" i="1"/>
  <c r="V1379" i="1"/>
  <c r="W1379" i="1"/>
  <c r="AB1379" i="1"/>
  <c r="AF1379" i="1"/>
  <c r="K1380" i="1"/>
  <c r="AC1380" i="1"/>
  <c r="AJ1379" i="1"/>
  <c r="AK1379" i="1"/>
  <c r="AM1379" i="1"/>
  <c r="BF1379" i="1"/>
  <c r="BG1379" i="1"/>
  <c r="T1380" i="1"/>
  <c r="U1380" i="1"/>
  <c r="V1380" i="1"/>
  <c r="W1380" i="1"/>
  <c r="AB1380" i="1"/>
  <c r="AF1380" i="1"/>
  <c r="AC1381" i="1"/>
  <c r="AJ1380" i="1"/>
  <c r="AK1380" i="1"/>
  <c r="AM1380" i="1"/>
  <c r="BF1380" i="1"/>
  <c r="BG1380" i="1"/>
  <c r="T1381" i="1"/>
  <c r="U1381" i="1"/>
  <c r="V1381" i="1"/>
  <c r="W1381" i="1"/>
  <c r="AB1381" i="1"/>
  <c r="AF1381" i="1"/>
  <c r="AC1382" i="1"/>
  <c r="AJ1381" i="1"/>
  <c r="AK1381" i="1"/>
  <c r="AM1381" i="1"/>
  <c r="BF1381" i="1"/>
  <c r="BG1381" i="1"/>
  <c r="T1382" i="1"/>
  <c r="U1382" i="1"/>
  <c r="V1382" i="1"/>
  <c r="W1382" i="1"/>
  <c r="AB1382" i="1"/>
  <c r="AF1382" i="1"/>
  <c r="K1383" i="1"/>
  <c r="AC1383" i="1"/>
  <c r="AJ1382" i="1"/>
  <c r="AK1382" i="1"/>
  <c r="AM1382" i="1"/>
  <c r="BF1382" i="1"/>
  <c r="BG1382" i="1"/>
  <c r="T1383" i="1"/>
  <c r="U1383" i="1"/>
  <c r="V1383" i="1"/>
  <c r="W1383" i="1"/>
  <c r="AB1383" i="1"/>
  <c r="AF1383" i="1"/>
  <c r="AC1384" i="1"/>
  <c r="AJ1383" i="1"/>
  <c r="AK1383" i="1"/>
  <c r="AM1383" i="1"/>
  <c r="BF1383" i="1"/>
  <c r="BG1383" i="1"/>
  <c r="T1384" i="1"/>
  <c r="U1384" i="1"/>
  <c r="V1384" i="1"/>
  <c r="W1384" i="1"/>
  <c r="AB1384" i="1"/>
  <c r="AF1384" i="1"/>
  <c r="AC1385" i="1"/>
  <c r="AJ1384" i="1"/>
  <c r="AK1384" i="1"/>
  <c r="AM1384" i="1"/>
  <c r="BF1384" i="1"/>
  <c r="BG1384" i="1"/>
  <c r="T1385" i="1"/>
  <c r="U1385" i="1"/>
  <c r="V1385" i="1"/>
  <c r="W1385" i="1"/>
  <c r="AB1385" i="1"/>
  <c r="AF1385" i="1"/>
  <c r="K1386" i="1"/>
  <c r="AC1386" i="1"/>
  <c r="AJ1385" i="1"/>
  <c r="AK1385" i="1"/>
  <c r="AM1385" i="1"/>
  <c r="BF1385" i="1"/>
  <c r="BG1385" i="1"/>
  <c r="T1386" i="1"/>
  <c r="U1386" i="1"/>
  <c r="V1386" i="1"/>
  <c r="W1386" i="1"/>
  <c r="AB1386" i="1"/>
  <c r="AF1386" i="1"/>
  <c r="K1387" i="1"/>
  <c r="AC1387" i="1"/>
  <c r="AJ1386" i="1"/>
  <c r="AK1386" i="1"/>
  <c r="AM1386" i="1"/>
  <c r="BF1386" i="1"/>
  <c r="BG1386" i="1"/>
  <c r="T1387" i="1"/>
  <c r="U1387" i="1"/>
  <c r="V1387" i="1"/>
  <c r="W1387" i="1"/>
  <c r="AB1387" i="1"/>
  <c r="AF1387" i="1"/>
  <c r="K1388" i="1"/>
  <c r="AC1388" i="1"/>
  <c r="AJ1387" i="1"/>
  <c r="AK1387" i="1"/>
  <c r="AM1387" i="1"/>
  <c r="BF1387" i="1"/>
  <c r="BG1387" i="1"/>
  <c r="T1388" i="1"/>
  <c r="U1388" i="1"/>
  <c r="V1388" i="1"/>
  <c r="W1388" i="1"/>
  <c r="AB1388" i="1"/>
  <c r="AF1388" i="1"/>
  <c r="AC1389" i="1"/>
  <c r="AJ1388" i="1"/>
  <c r="AK1388" i="1"/>
  <c r="AM1388" i="1"/>
  <c r="BF1388" i="1"/>
  <c r="BG1388" i="1"/>
  <c r="T1389" i="1"/>
  <c r="U1389" i="1"/>
  <c r="V1389" i="1"/>
  <c r="W1389" i="1"/>
  <c r="AB1389" i="1"/>
  <c r="AF1389" i="1"/>
  <c r="AC1390" i="1"/>
  <c r="AJ1389" i="1"/>
  <c r="AK1389" i="1"/>
  <c r="AM1389" i="1"/>
  <c r="BF1389" i="1"/>
  <c r="BG1389" i="1"/>
  <c r="T1390" i="1"/>
  <c r="U1390" i="1"/>
  <c r="V1390" i="1"/>
  <c r="W1390" i="1"/>
  <c r="AB1390" i="1"/>
  <c r="AF1390" i="1"/>
  <c r="K1391" i="1"/>
  <c r="AC1391" i="1"/>
  <c r="AJ1390" i="1"/>
  <c r="AK1390" i="1"/>
  <c r="AM1390" i="1"/>
  <c r="BF1390" i="1"/>
  <c r="BG1390" i="1"/>
  <c r="T1391" i="1"/>
  <c r="U1391" i="1"/>
  <c r="V1391" i="1"/>
  <c r="W1391" i="1"/>
  <c r="AB1391" i="1"/>
  <c r="AF1391" i="1"/>
  <c r="K1392" i="1"/>
  <c r="AC1392" i="1"/>
  <c r="AJ1391" i="1"/>
  <c r="AK1391" i="1"/>
  <c r="AM1391" i="1"/>
  <c r="BF1391" i="1"/>
  <c r="BG1391" i="1"/>
  <c r="T1392" i="1"/>
  <c r="U1392" i="1"/>
  <c r="V1392" i="1"/>
  <c r="W1392" i="1"/>
  <c r="AB1392" i="1"/>
  <c r="AF1392" i="1"/>
  <c r="K1393" i="1"/>
  <c r="AC1393" i="1"/>
  <c r="AJ1392" i="1"/>
  <c r="AK1392" i="1"/>
  <c r="AM1392" i="1"/>
  <c r="BF1392" i="1"/>
  <c r="BG1392" i="1"/>
  <c r="T1393" i="1"/>
  <c r="U1393" i="1"/>
  <c r="V1393" i="1"/>
  <c r="W1393" i="1"/>
  <c r="AB1393" i="1"/>
  <c r="AF1393" i="1"/>
  <c r="K1394" i="1"/>
  <c r="AC1394" i="1"/>
  <c r="AJ1393" i="1"/>
  <c r="AK1393" i="1"/>
  <c r="AM1393" i="1"/>
  <c r="BF1393" i="1"/>
  <c r="BG1393" i="1"/>
  <c r="T1394" i="1"/>
  <c r="U1394" i="1"/>
  <c r="V1394" i="1"/>
  <c r="W1394" i="1"/>
  <c r="AB1394" i="1"/>
  <c r="AF1394" i="1"/>
  <c r="K1395" i="1"/>
  <c r="AC1395" i="1"/>
  <c r="AJ1394" i="1"/>
  <c r="AK1394" i="1"/>
  <c r="AM1394" i="1"/>
  <c r="BF1394" i="1"/>
  <c r="BG1394" i="1"/>
  <c r="T1395" i="1"/>
  <c r="U1395" i="1"/>
  <c r="V1395" i="1"/>
  <c r="W1395" i="1"/>
  <c r="AB1395" i="1"/>
  <c r="AF1395" i="1"/>
  <c r="AC1396" i="1"/>
  <c r="AJ1395" i="1"/>
  <c r="AK1395" i="1"/>
  <c r="AM1395" i="1"/>
  <c r="BF1395" i="1"/>
  <c r="BG1395" i="1"/>
  <c r="T1396" i="1"/>
  <c r="U1396" i="1"/>
  <c r="V1396" i="1"/>
  <c r="W1396" i="1"/>
  <c r="AB1396" i="1"/>
  <c r="AF1396" i="1"/>
  <c r="AC1397" i="1"/>
  <c r="AJ1396" i="1"/>
  <c r="AK1396" i="1"/>
  <c r="AM1396" i="1"/>
  <c r="BF1396" i="1"/>
  <c r="BG1396" i="1"/>
  <c r="T1397" i="1"/>
  <c r="U1397" i="1"/>
  <c r="V1397" i="1"/>
  <c r="W1397" i="1"/>
  <c r="AB1397" i="1"/>
  <c r="AF1397" i="1"/>
  <c r="K1398" i="1"/>
  <c r="AC1398" i="1"/>
  <c r="AJ1397" i="1"/>
  <c r="AK1397" i="1"/>
  <c r="AM1397" i="1"/>
  <c r="BF1397" i="1"/>
  <c r="BG1397" i="1"/>
  <c r="T1398" i="1"/>
  <c r="U1398" i="1"/>
  <c r="V1398" i="1"/>
  <c r="W1398" i="1"/>
  <c r="AB1398" i="1"/>
  <c r="AF1398" i="1"/>
  <c r="K1399" i="1"/>
  <c r="AC1399" i="1"/>
  <c r="AJ1398" i="1"/>
  <c r="AK1398" i="1"/>
  <c r="AM1398" i="1"/>
  <c r="BF1398" i="1"/>
  <c r="BG1398" i="1"/>
  <c r="T1399" i="1"/>
  <c r="U1399" i="1"/>
  <c r="V1399" i="1"/>
  <c r="W1399" i="1"/>
  <c r="AB1399" i="1"/>
  <c r="AF1399" i="1"/>
  <c r="K1400" i="1"/>
  <c r="AC1400" i="1"/>
  <c r="AJ1399" i="1"/>
  <c r="AK1399" i="1"/>
  <c r="AM1399" i="1"/>
  <c r="BF1399" i="1"/>
  <c r="BG1399" i="1"/>
  <c r="T1400" i="1"/>
  <c r="U1400" i="1"/>
  <c r="V1400" i="1"/>
  <c r="W1400" i="1"/>
  <c r="AB1400" i="1"/>
  <c r="AF1400" i="1"/>
  <c r="AC1401" i="1"/>
  <c r="AJ1400" i="1"/>
  <c r="AK1400" i="1"/>
  <c r="AM1400" i="1"/>
  <c r="BF1400" i="1"/>
  <c r="BG1400" i="1"/>
  <c r="T1401" i="1"/>
  <c r="U1401" i="1"/>
  <c r="V1401" i="1"/>
  <c r="W1401" i="1"/>
  <c r="AB1401" i="1"/>
  <c r="AF1401" i="1"/>
  <c r="AC1402" i="1"/>
  <c r="AJ1401" i="1"/>
  <c r="AK1401" i="1"/>
  <c r="AM1401" i="1"/>
  <c r="BF1401" i="1"/>
  <c r="BG1401" i="1"/>
  <c r="T1402" i="1"/>
  <c r="U1402" i="1"/>
  <c r="V1402" i="1"/>
  <c r="W1402" i="1"/>
  <c r="AB1402" i="1"/>
  <c r="AF1402" i="1"/>
  <c r="K1403" i="1"/>
  <c r="AC1403" i="1"/>
  <c r="AJ1402" i="1"/>
  <c r="AK1402" i="1"/>
  <c r="AM1402" i="1"/>
  <c r="BF1402" i="1"/>
  <c r="BG1402" i="1"/>
  <c r="T1403" i="1"/>
  <c r="U1403" i="1"/>
  <c r="V1403" i="1"/>
  <c r="W1403" i="1"/>
  <c r="AB1403" i="1"/>
  <c r="AF1403" i="1"/>
  <c r="AC1404" i="1"/>
  <c r="AJ1403" i="1"/>
  <c r="AK1403" i="1"/>
  <c r="AM1403" i="1"/>
  <c r="BF1403" i="1"/>
  <c r="BG1403" i="1"/>
  <c r="T1404" i="1"/>
  <c r="U1404" i="1"/>
  <c r="V1404" i="1"/>
  <c r="W1404" i="1"/>
  <c r="AB1404" i="1"/>
  <c r="AF1404" i="1"/>
  <c r="AC1405" i="1"/>
  <c r="AJ1404" i="1"/>
  <c r="AK1404" i="1"/>
  <c r="AM1404" i="1"/>
  <c r="BF1404" i="1"/>
  <c r="BG1404" i="1"/>
  <c r="T1405" i="1"/>
  <c r="U1405" i="1"/>
  <c r="V1405" i="1"/>
  <c r="W1405" i="1"/>
  <c r="AB1405" i="1"/>
  <c r="AF1405" i="1"/>
  <c r="K1406" i="1"/>
  <c r="AC1406" i="1"/>
  <c r="AJ1405" i="1"/>
  <c r="AK1405" i="1"/>
  <c r="AM1405" i="1"/>
  <c r="BF1405" i="1"/>
  <c r="BG1405" i="1"/>
  <c r="T1406" i="1"/>
  <c r="U1406" i="1"/>
  <c r="V1406" i="1"/>
  <c r="W1406" i="1"/>
  <c r="AB1406" i="1"/>
  <c r="AF1406" i="1"/>
  <c r="K1407" i="1"/>
  <c r="AC1407" i="1"/>
  <c r="AJ1406" i="1"/>
  <c r="AK1406" i="1"/>
  <c r="AM1406" i="1"/>
  <c r="BF1406" i="1"/>
  <c r="BG1406" i="1"/>
  <c r="T1407" i="1"/>
  <c r="U1407" i="1"/>
  <c r="V1407" i="1"/>
  <c r="W1407" i="1"/>
  <c r="AB1407" i="1"/>
  <c r="AF1407" i="1"/>
  <c r="K1408" i="1"/>
  <c r="AC1408" i="1"/>
  <c r="AJ1407" i="1"/>
  <c r="AK1407" i="1"/>
  <c r="AM1407" i="1"/>
  <c r="BF1407" i="1"/>
  <c r="BG1407" i="1"/>
  <c r="T1408" i="1"/>
  <c r="U1408" i="1"/>
  <c r="V1408" i="1"/>
  <c r="W1408" i="1"/>
  <c r="AB1408" i="1"/>
  <c r="AF1408" i="1"/>
  <c r="K1409" i="1"/>
  <c r="AC1409" i="1"/>
  <c r="AJ1408" i="1"/>
  <c r="AK1408" i="1"/>
  <c r="AM1408" i="1"/>
  <c r="BF1408" i="1"/>
  <c r="BG1408" i="1"/>
  <c r="T1409" i="1"/>
  <c r="U1409" i="1"/>
  <c r="V1409" i="1"/>
  <c r="W1409" i="1"/>
  <c r="AB1409" i="1"/>
  <c r="AF1409" i="1"/>
  <c r="K1410" i="1"/>
  <c r="AC1410" i="1"/>
  <c r="AJ1409" i="1"/>
  <c r="AK1409" i="1"/>
  <c r="AM1409" i="1"/>
  <c r="BF1409" i="1"/>
  <c r="BG1409" i="1"/>
  <c r="T1410" i="1"/>
  <c r="U1410" i="1"/>
  <c r="V1410" i="1"/>
  <c r="W1410" i="1"/>
  <c r="AB1410" i="1"/>
  <c r="AF1410" i="1"/>
  <c r="K1411" i="1"/>
  <c r="AC1411" i="1"/>
  <c r="AJ1410" i="1"/>
  <c r="AK1410" i="1"/>
  <c r="AM1410" i="1"/>
  <c r="BF1410" i="1"/>
  <c r="BG1410" i="1"/>
  <c r="T1411" i="1"/>
  <c r="U1411" i="1"/>
  <c r="V1411" i="1"/>
  <c r="W1411" i="1"/>
  <c r="AB1411" i="1"/>
  <c r="AF1411" i="1"/>
  <c r="K1412" i="1"/>
  <c r="AC1412" i="1"/>
  <c r="AJ1411" i="1"/>
  <c r="AK1411" i="1"/>
  <c r="AM1411" i="1"/>
  <c r="BF1411" i="1"/>
  <c r="BG1411" i="1"/>
  <c r="T1412" i="1"/>
  <c r="U1412" i="1"/>
  <c r="V1412" i="1"/>
  <c r="W1412" i="1"/>
  <c r="AB1412" i="1"/>
  <c r="AF1412" i="1"/>
  <c r="AC1413" i="1"/>
  <c r="AJ1412" i="1"/>
  <c r="AK1412" i="1"/>
  <c r="AM1412" i="1"/>
  <c r="BF1412" i="1"/>
  <c r="BG1412" i="1"/>
  <c r="T1413" i="1"/>
  <c r="U1413" i="1"/>
  <c r="V1413" i="1"/>
  <c r="W1413" i="1"/>
  <c r="AB1413" i="1"/>
  <c r="AF1413" i="1"/>
  <c r="AC1414" i="1"/>
  <c r="AJ1413" i="1"/>
  <c r="AK1413" i="1"/>
  <c r="AM1413" i="1"/>
  <c r="BF1413" i="1"/>
  <c r="BG1413" i="1"/>
  <c r="T1414" i="1"/>
  <c r="U1414" i="1"/>
  <c r="V1414" i="1"/>
  <c r="W1414" i="1"/>
  <c r="AB1414" i="1"/>
  <c r="AF1414" i="1"/>
  <c r="K1415" i="1"/>
  <c r="AC1415" i="1"/>
  <c r="AJ1414" i="1"/>
  <c r="AK1414" i="1"/>
  <c r="AM1414" i="1"/>
  <c r="BF1414" i="1"/>
  <c r="BG1414" i="1"/>
  <c r="T1415" i="1"/>
  <c r="U1415" i="1"/>
  <c r="V1415" i="1"/>
  <c r="W1415" i="1"/>
  <c r="AB1415" i="1"/>
  <c r="AF1415" i="1"/>
  <c r="K1416" i="1"/>
  <c r="AC1416" i="1"/>
  <c r="AJ1415" i="1"/>
  <c r="AK1415" i="1"/>
  <c r="AM1415" i="1"/>
  <c r="BF1415" i="1"/>
  <c r="BG1415" i="1"/>
  <c r="T1416" i="1"/>
  <c r="U1416" i="1"/>
  <c r="V1416" i="1"/>
  <c r="W1416" i="1"/>
  <c r="AB1416" i="1"/>
  <c r="AF1416" i="1"/>
  <c r="AC1417" i="1"/>
  <c r="AJ1416" i="1"/>
  <c r="AK1416" i="1"/>
  <c r="AM1416" i="1"/>
  <c r="BF1416" i="1"/>
  <c r="BG1416" i="1"/>
  <c r="T1417" i="1"/>
  <c r="U1417" i="1"/>
  <c r="V1417" i="1"/>
  <c r="W1417" i="1"/>
  <c r="AB1417" i="1"/>
  <c r="AF1417" i="1"/>
  <c r="AC1418" i="1"/>
  <c r="AJ1417" i="1"/>
  <c r="AK1417" i="1"/>
  <c r="AM1417" i="1"/>
  <c r="BF1417" i="1"/>
  <c r="BG1417" i="1"/>
  <c r="T1418" i="1"/>
  <c r="U1418" i="1"/>
  <c r="V1418" i="1"/>
  <c r="W1418" i="1"/>
  <c r="AB1418" i="1"/>
  <c r="AF1418" i="1"/>
  <c r="K1419" i="1"/>
  <c r="AC1419" i="1"/>
  <c r="AJ1418" i="1"/>
  <c r="AK1418" i="1"/>
  <c r="AM1418" i="1"/>
  <c r="BF1418" i="1"/>
  <c r="BG1418" i="1"/>
  <c r="T1419" i="1"/>
  <c r="U1419" i="1"/>
  <c r="V1419" i="1"/>
  <c r="W1419" i="1"/>
  <c r="AB1419" i="1"/>
  <c r="AF1419" i="1"/>
  <c r="K1420" i="1"/>
  <c r="AC1420" i="1"/>
  <c r="AJ1419" i="1"/>
  <c r="AK1419" i="1"/>
  <c r="AM1419" i="1"/>
  <c r="BF1419" i="1"/>
  <c r="BG1419" i="1"/>
  <c r="T1420" i="1"/>
  <c r="U1420" i="1"/>
  <c r="V1420" i="1"/>
  <c r="W1420" i="1"/>
  <c r="AB1420" i="1"/>
  <c r="AF1420" i="1"/>
  <c r="K1421" i="1"/>
  <c r="AC1421" i="1"/>
  <c r="AJ1420" i="1"/>
  <c r="AK1420" i="1"/>
  <c r="AM1420" i="1"/>
  <c r="BF1420" i="1"/>
  <c r="BG1420" i="1"/>
  <c r="T1421" i="1"/>
  <c r="U1421" i="1"/>
  <c r="V1421" i="1"/>
  <c r="W1421" i="1"/>
  <c r="AB1421" i="1"/>
  <c r="AF1421" i="1"/>
  <c r="K1422" i="1"/>
  <c r="AC1422" i="1"/>
  <c r="AJ1421" i="1"/>
  <c r="AK1421" i="1"/>
  <c r="AM1421" i="1"/>
  <c r="BF1421" i="1"/>
  <c r="BG1421" i="1"/>
  <c r="T1422" i="1"/>
  <c r="U1422" i="1"/>
  <c r="V1422" i="1"/>
  <c r="W1422" i="1"/>
  <c r="AB1422" i="1"/>
  <c r="AF1422" i="1"/>
  <c r="K1423" i="1"/>
  <c r="AC1423" i="1"/>
  <c r="AJ1422" i="1"/>
  <c r="AK1422" i="1"/>
  <c r="AM1422" i="1"/>
  <c r="BF1422" i="1"/>
  <c r="BG1422" i="1"/>
  <c r="T1423" i="1"/>
  <c r="U1423" i="1"/>
  <c r="V1423" i="1"/>
  <c r="W1423" i="1"/>
  <c r="AB1423" i="1"/>
  <c r="AF1423" i="1"/>
  <c r="K1424" i="1"/>
  <c r="AC1424" i="1"/>
  <c r="AJ1423" i="1"/>
  <c r="AK1423" i="1"/>
  <c r="AM1423" i="1"/>
  <c r="BF1423" i="1"/>
  <c r="BG1423" i="1"/>
  <c r="T1424" i="1"/>
  <c r="U1424" i="1"/>
  <c r="V1424" i="1"/>
  <c r="W1424" i="1"/>
  <c r="AB1424" i="1"/>
  <c r="AF1424" i="1"/>
  <c r="K1425" i="1"/>
  <c r="AC1425" i="1"/>
  <c r="AJ1424" i="1"/>
  <c r="AK1424" i="1"/>
  <c r="AM1424" i="1"/>
  <c r="BF1424" i="1"/>
  <c r="BG1424" i="1"/>
  <c r="T1425" i="1"/>
  <c r="U1425" i="1"/>
  <c r="V1425" i="1"/>
  <c r="W1425" i="1"/>
  <c r="AB1425" i="1"/>
  <c r="AF1425" i="1"/>
  <c r="K1426" i="1"/>
  <c r="AC1426" i="1"/>
  <c r="AJ1425" i="1"/>
  <c r="AK1425" i="1"/>
  <c r="AM1425" i="1"/>
  <c r="BF1425" i="1"/>
  <c r="BG1425" i="1"/>
  <c r="T1426" i="1"/>
  <c r="U1426" i="1"/>
  <c r="V1426" i="1"/>
  <c r="W1426" i="1"/>
  <c r="AB1426" i="1"/>
  <c r="AF1426" i="1"/>
  <c r="AC1427" i="1"/>
  <c r="AJ1426" i="1"/>
  <c r="AK1426" i="1"/>
  <c r="AM1426" i="1"/>
  <c r="BF1426" i="1"/>
  <c r="BG1426" i="1"/>
  <c r="T1427" i="1"/>
  <c r="U1427" i="1"/>
  <c r="V1427" i="1"/>
  <c r="W1427" i="1"/>
  <c r="AB1427" i="1"/>
  <c r="AF1427" i="1"/>
  <c r="AC1428" i="1"/>
  <c r="AJ1427" i="1"/>
  <c r="AK1427" i="1"/>
  <c r="AM1427" i="1"/>
  <c r="BF1427" i="1"/>
  <c r="BG1427" i="1"/>
  <c r="T1428" i="1"/>
  <c r="U1428" i="1"/>
  <c r="V1428" i="1"/>
  <c r="W1428" i="1"/>
  <c r="AB1428" i="1"/>
  <c r="AF1428" i="1"/>
  <c r="K1429" i="1"/>
  <c r="AC1429" i="1"/>
  <c r="AJ1428" i="1"/>
  <c r="AK1428" i="1"/>
  <c r="AM1428" i="1"/>
  <c r="BF1428" i="1"/>
  <c r="BG1428" i="1"/>
  <c r="T1429" i="1"/>
  <c r="U1429" i="1"/>
  <c r="V1429" i="1"/>
  <c r="W1429" i="1"/>
  <c r="AB1429" i="1"/>
  <c r="AF1429" i="1"/>
  <c r="K1430" i="1"/>
  <c r="AC1430" i="1"/>
  <c r="AJ1429" i="1"/>
  <c r="AK1429" i="1"/>
  <c r="AM1429" i="1"/>
  <c r="BF1429" i="1"/>
  <c r="BG1429" i="1"/>
  <c r="T1430" i="1"/>
  <c r="U1430" i="1"/>
  <c r="V1430" i="1"/>
  <c r="W1430" i="1"/>
  <c r="AB1430" i="1"/>
  <c r="AF1430" i="1"/>
  <c r="K1431" i="1"/>
  <c r="AC1431" i="1"/>
  <c r="AJ1430" i="1"/>
  <c r="AK1430" i="1"/>
  <c r="AM1430" i="1"/>
  <c r="BF1430" i="1"/>
  <c r="BG1430" i="1"/>
  <c r="T1431" i="1"/>
  <c r="U1431" i="1"/>
  <c r="V1431" i="1"/>
  <c r="W1431" i="1"/>
  <c r="AB1431" i="1"/>
  <c r="AF1431" i="1"/>
  <c r="K1432" i="1"/>
  <c r="AC1432" i="1"/>
  <c r="AJ1431" i="1"/>
  <c r="AK1431" i="1"/>
  <c r="AM1431" i="1"/>
  <c r="BF1431" i="1"/>
  <c r="BG1431" i="1"/>
  <c r="T1432" i="1"/>
  <c r="U1432" i="1"/>
  <c r="V1432" i="1"/>
  <c r="W1432" i="1"/>
  <c r="AB1432" i="1"/>
  <c r="AF1432" i="1"/>
  <c r="K1433" i="1"/>
  <c r="AC1433" i="1"/>
  <c r="AJ1432" i="1"/>
  <c r="AK1432" i="1"/>
  <c r="AM1432" i="1"/>
  <c r="BF1432" i="1"/>
  <c r="BG1432" i="1"/>
  <c r="T1433" i="1"/>
  <c r="U1433" i="1"/>
  <c r="V1433" i="1"/>
  <c r="W1433" i="1"/>
  <c r="AB1433" i="1"/>
  <c r="AF1433" i="1"/>
  <c r="K1434" i="1"/>
  <c r="AC1434" i="1"/>
  <c r="AJ1433" i="1"/>
  <c r="AK1433" i="1"/>
  <c r="AM1433" i="1"/>
  <c r="BF1433" i="1"/>
  <c r="BG1433" i="1"/>
  <c r="T1434" i="1"/>
  <c r="U1434" i="1"/>
  <c r="V1434" i="1"/>
  <c r="W1434" i="1"/>
  <c r="AB1434" i="1"/>
  <c r="AF1434" i="1"/>
  <c r="K1435" i="1"/>
  <c r="AC1435" i="1"/>
  <c r="AJ1434" i="1"/>
  <c r="AK1434" i="1"/>
  <c r="AM1434" i="1"/>
  <c r="BF1434" i="1"/>
  <c r="BG1434" i="1"/>
  <c r="T1435" i="1"/>
  <c r="U1435" i="1"/>
  <c r="V1435" i="1"/>
  <c r="W1435" i="1"/>
  <c r="AB1435" i="1"/>
  <c r="AF1435" i="1"/>
  <c r="K1436" i="1"/>
  <c r="AC1436" i="1"/>
  <c r="AJ1435" i="1"/>
  <c r="AK1435" i="1"/>
  <c r="AM1435" i="1"/>
  <c r="BF1435" i="1"/>
  <c r="BG1435" i="1"/>
  <c r="T1436" i="1"/>
  <c r="U1436" i="1"/>
  <c r="V1436" i="1"/>
  <c r="W1436" i="1"/>
  <c r="AB1436" i="1"/>
  <c r="AF1436" i="1"/>
  <c r="K1437" i="1"/>
  <c r="AC1437" i="1"/>
  <c r="AJ1436" i="1"/>
  <c r="AK1436" i="1"/>
  <c r="AM1436" i="1"/>
  <c r="BF1436" i="1"/>
  <c r="BG1436" i="1"/>
  <c r="T1437" i="1"/>
  <c r="U1437" i="1"/>
  <c r="V1437" i="1"/>
  <c r="W1437" i="1"/>
  <c r="AB1437" i="1"/>
  <c r="AF1437" i="1"/>
  <c r="AC1438" i="1"/>
  <c r="AJ1437" i="1"/>
  <c r="AK1437" i="1"/>
  <c r="AM1437" i="1"/>
  <c r="BF1437" i="1"/>
  <c r="BG1437" i="1"/>
  <c r="T1438" i="1"/>
  <c r="U1438" i="1"/>
  <c r="V1438" i="1"/>
  <c r="W1438" i="1"/>
  <c r="AB1438" i="1"/>
  <c r="AF1438" i="1"/>
  <c r="AC1439" i="1"/>
  <c r="AJ1438" i="1"/>
  <c r="AK1438" i="1"/>
  <c r="AM1438" i="1"/>
  <c r="BF1438" i="1"/>
  <c r="BG1438" i="1"/>
  <c r="T1439" i="1"/>
  <c r="U1439" i="1"/>
  <c r="V1439" i="1"/>
  <c r="W1439" i="1"/>
  <c r="AB1439" i="1"/>
  <c r="AF1439" i="1"/>
  <c r="K1440" i="1"/>
  <c r="AC1440" i="1"/>
  <c r="AJ1439" i="1"/>
  <c r="AK1439" i="1"/>
  <c r="AM1439" i="1"/>
  <c r="BF1439" i="1"/>
  <c r="BG1439" i="1"/>
  <c r="T1440" i="1"/>
  <c r="U1440" i="1"/>
  <c r="V1440" i="1"/>
  <c r="W1440" i="1"/>
  <c r="AB1440" i="1"/>
  <c r="AF1440" i="1"/>
  <c r="K1441" i="1"/>
  <c r="AC1441" i="1"/>
  <c r="AJ1440" i="1"/>
  <c r="AK1440" i="1"/>
  <c r="AM1440" i="1"/>
  <c r="BF1440" i="1"/>
  <c r="BG1440" i="1"/>
  <c r="T1441" i="1"/>
  <c r="U1441" i="1"/>
  <c r="V1441" i="1"/>
  <c r="W1441" i="1"/>
  <c r="AB1441" i="1"/>
  <c r="AF1441" i="1"/>
  <c r="AC1442" i="1"/>
  <c r="AJ1441" i="1"/>
  <c r="AK1441" i="1"/>
  <c r="AM1441" i="1"/>
  <c r="BF1441" i="1"/>
  <c r="BG1441" i="1"/>
  <c r="T1442" i="1"/>
  <c r="U1442" i="1"/>
  <c r="V1442" i="1"/>
  <c r="W1442" i="1"/>
  <c r="AB1442" i="1"/>
  <c r="AF1442" i="1"/>
  <c r="AC1443" i="1"/>
  <c r="AJ1442" i="1"/>
  <c r="AK1442" i="1"/>
  <c r="AM1442" i="1"/>
  <c r="BF1442" i="1"/>
  <c r="BG1442" i="1"/>
  <c r="T1443" i="1"/>
  <c r="U1443" i="1"/>
  <c r="V1443" i="1"/>
  <c r="W1443" i="1"/>
  <c r="AB1443" i="1"/>
  <c r="AF1443" i="1"/>
  <c r="K1444" i="1"/>
  <c r="AC1444" i="1"/>
  <c r="AJ1443" i="1"/>
  <c r="AK1443" i="1"/>
  <c r="AM1443" i="1"/>
  <c r="BF1443" i="1"/>
  <c r="BG1443" i="1"/>
  <c r="T1444" i="1"/>
  <c r="U1444" i="1"/>
  <c r="V1444" i="1"/>
  <c r="W1444" i="1"/>
  <c r="AB1444" i="1"/>
  <c r="AF1444" i="1"/>
  <c r="K1445" i="1"/>
  <c r="AC1445" i="1"/>
  <c r="AJ1444" i="1"/>
  <c r="AK1444" i="1"/>
  <c r="AM1444" i="1"/>
  <c r="BF1444" i="1"/>
  <c r="BG1444" i="1"/>
  <c r="T1445" i="1"/>
  <c r="U1445" i="1"/>
  <c r="V1445" i="1"/>
  <c r="W1445" i="1"/>
  <c r="AB1445" i="1"/>
  <c r="AF1445" i="1"/>
  <c r="K1446" i="1"/>
  <c r="AC1446" i="1"/>
  <c r="AJ1445" i="1"/>
  <c r="AK1445" i="1"/>
  <c r="AM1445" i="1"/>
  <c r="BF1445" i="1"/>
  <c r="BG1445" i="1"/>
  <c r="T1446" i="1"/>
  <c r="U1446" i="1"/>
  <c r="V1446" i="1"/>
  <c r="W1446" i="1"/>
  <c r="AB1446" i="1"/>
  <c r="AF1446" i="1"/>
  <c r="AC1447" i="1"/>
  <c r="AJ1446" i="1"/>
  <c r="AK1446" i="1"/>
  <c r="AM1446" i="1"/>
  <c r="BF1446" i="1"/>
  <c r="BG1446" i="1"/>
  <c r="T1447" i="1"/>
  <c r="U1447" i="1"/>
  <c r="V1447" i="1"/>
  <c r="W1447" i="1"/>
  <c r="AB1447" i="1"/>
  <c r="AF1447" i="1"/>
  <c r="AC1448" i="1"/>
  <c r="AJ1447" i="1"/>
  <c r="AK1447" i="1"/>
  <c r="AM1447" i="1"/>
  <c r="BF1447" i="1"/>
  <c r="BG1447" i="1"/>
  <c r="T1448" i="1"/>
  <c r="U1448" i="1"/>
  <c r="V1448" i="1"/>
  <c r="W1448" i="1"/>
  <c r="AB1448" i="1"/>
  <c r="AF1448" i="1"/>
  <c r="K1449" i="1"/>
  <c r="AC1449" i="1"/>
  <c r="AJ1448" i="1"/>
  <c r="AK1448" i="1"/>
  <c r="AM1448" i="1"/>
  <c r="BF1448" i="1"/>
  <c r="BG1448" i="1"/>
  <c r="T1449" i="1"/>
  <c r="U1449" i="1"/>
  <c r="V1449" i="1"/>
  <c r="W1449" i="1"/>
  <c r="AB1449" i="1"/>
  <c r="AF1449" i="1"/>
  <c r="AC1450" i="1"/>
  <c r="AJ1449" i="1"/>
  <c r="AK1449" i="1"/>
  <c r="AM1449" i="1"/>
  <c r="BF1449" i="1"/>
  <c r="BG1449" i="1"/>
  <c r="T1450" i="1"/>
  <c r="U1450" i="1"/>
  <c r="V1450" i="1"/>
  <c r="W1450" i="1"/>
  <c r="AB1450" i="1"/>
  <c r="AF1450" i="1"/>
  <c r="AC1451" i="1"/>
  <c r="AJ1450" i="1"/>
  <c r="AK1450" i="1"/>
  <c r="AM1450" i="1"/>
  <c r="BF1450" i="1"/>
  <c r="BG1450" i="1"/>
  <c r="T1451" i="1"/>
  <c r="U1451" i="1"/>
  <c r="V1451" i="1"/>
  <c r="W1451" i="1"/>
  <c r="AB1451" i="1"/>
  <c r="AF1451" i="1"/>
  <c r="K1452" i="1"/>
  <c r="AC1452" i="1"/>
  <c r="AJ1451" i="1"/>
  <c r="AK1451" i="1"/>
  <c r="AM1451" i="1"/>
  <c r="BF1451" i="1"/>
  <c r="BG1451" i="1"/>
  <c r="T1452" i="1"/>
  <c r="U1452" i="1"/>
  <c r="V1452" i="1"/>
  <c r="W1452" i="1"/>
  <c r="AB1452" i="1"/>
  <c r="AF1452" i="1"/>
  <c r="K1453" i="1"/>
  <c r="AC1453" i="1"/>
  <c r="AJ1452" i="1"/>
  <c r="AK1452" i="1"/>
  <c r="AM1452" i="1"/>
  <c r="BF1452" i="1"/>
  <c r="BG1452" i="1"/>
  <c r="T1453" i="1"/>
  <c r="U1453" i="1"/>
  <c r="V1453" i="1"/>
  <c r="W1453" i="1"/>
  <c r="AB1453" i="1"/>
  <c r="AF1453" i="1"/>
  <c r="K1454" i="1"/>
  <c r="AC1454" i="1"/>
  <c r="AJ1453" i="1"/>
  <c r="AK1453" i="1"/>
  <c r="AM1453" i="1"/>
  <c r="BF1453" i="1"/>
  <c r="BG1453" i="1"/>
  <c r="T1454" i="1"/>
  <c r="U1454" i="1"/>
  <c r="V1454" i="1"/>
  <c r="W1454" i="1"/>
  <c r="AB1454" i="1"/>
  <c r="AF1454" i="1"/>
  <c r="AC1455" i="1"/>
  <c r="AJ1454" i="1"/>
  <c r="AK1454" i="1"/>
  <c r="AM1454" i="1"/>
  <c r="BF1454" i="1"/>
  <c r="BG1454" i="1"/>
  <c r="T1455" i="1"/>
  <c r="U1455" i="1"/>
  <c r="V1455" i="1"/>
  <c r="W1455" i="1"/>
  <c r="AB1455" i="1"/>
  <c r="AF1455" i="1"/>
  <c r="AC1456" i="1"/>
  <c r="AJ1455" i="1"/>
  <c r="AK1455" i="1"/>
  <c r="AM1455" i="1"/>
  <c r="BF1455" i="1"/>
  <c r="BG1455" i="1"/>
  <c r="T1456" i="1"/>
  <c r="U1456" i="1"/>
  <c r="V1456" i="1"/>
  <c r="W1456" i="1"/>
  <c r="AB1456" i="1"/>
  <c r="AF1456" i="1"/>
  <c r="K1457" i="1"/>
  <c r="AC1457" i="1"/>
  <c r="AJ1456" i="1"/>
  <c r="AK1456" i="1"/>
  <c r="AM1456" i="1"/>
  <c r="BF1456" i="1"/>
  <c r="BG1456" i="1"/>
  <c r="T1457" i="1"/>
  <c r="U1457" i="1"/>
  <c r="V1457" i="1"/>
  <c r="W1457" i="1"/>
  <c r="AB1457" i="1"/>
  <c r="AF1457" i="1"/>
  <c r="AC1458" i="1"/>
  <c r="AJ1457" i="1"/>
  <c r="AK1457" i="1"/>
  <c r="AM1457" i="1"/>
  <c r="BF1457" i="1"/>
  <c r="BG1457" i="1"/>
  <c r="T1458" i="1"/>
  <c r="U1458" i="1"/>
  <c r="V1458" i="1"/>
  <c r="W1458" i="1"/>
  <c r="AB1458" i="1"/>
  <c r="AF1458" i="1"/>
  <c r="AC1459" i="1"/>
  <c r="AJ1458" i="1"/>
  <c r="AK1458" i="1"/>
  <c r="AM1458" i="1"/>
  <c r="BF1458" i="1"/>
  <c r="BG1458" i="1"/>
  <c r="T1459" i="1"/>
  <c r="U1459" i="1"/>
  <c r="V1459" i="1"/>
  <c r="W1459" i="1"/>
  <c r="AB1459" i="1"/>
  <c r="AF1459" i="1"/>
  <c r="K1460" i="1"/>
  <c r="AC1460" i="1"/>
  <c r="AJ1459" i="1"/>
  <c r="AK1459" i="1"/>
  <c r="AM1459" i="1"/>
  <c r="BF1459" i="1"/>
  <c r="BG1459" i="1"/>
  <c r="T1460" i="1"/>
  <c r="U1460" i="1"/>
  <c r="V1460" i="1"/>
  <c r="W1460" i="1"/>
  <c r="AB1460" i="1"/>
  <c r="AF1460" i="1"/>
  <c r="AC1461" i="1"/>
  <c r="AJ1460" i="1"/>
  <c r="AK1460" i="1"/>
  <c r="AM1460" i="1"/>
  <c r="BF1460" i="1"/>
  <c r="BG1460" i="1"/>
  <c r="T1461" i="1"/>
  <c r="U1461" i="1"/>
  <c r="V1461" i="1"/>
  <c r="W1461" i="1"/>
  <c r="AB1461" i="1"/>
  <c r="AF1461" i="1"/>
  <c r="AC1462" i="1"/>
  <c r="AJ1461" i="1"/>
  <c r="AK1461" i="1"/>
  <c r="AM1461" i="1"/>
  <c r="BF1461" i="1"/>
  <c r="BG1461" i="1"/>
  <c r="T1462" i="1"/>
  <c r="U1462" i="1"/>
  <c r="V1462" i="1"/>
  <c r="W1462" i="1"/>
  <c r="AB1462" i="1"/>
  <c r="AF1462" i="1"/>
  <c r="K1463" i="1"/>
  <c r="AC1463" i="1"/>
  <c r="AJ1462" i="1"/>
  <c r="AK1462" i="1"/>
  <c r="AM1462" i="1"/>
  <c r="BF1462" i="1"/>
  <c r="BG1462" i="1"/>
  <c r="T1463" i="1"/>
  <c r="U1463" i="1"/>
  <c r="V1463" i="1"/>
  <c r="W1463" i="1"/>
  <c r="AB1463" i="1"/>
  <c r="AF1463" i="1"/>
  <c r="AC1464" i="1"/>
  <c r="AJ1463" i="1"/>
  <c r="AK1463" i="1"/>
  <c r="AM1463" i="1"/>
  <c r="BF1463" i="1"/>
  <c r="BG1463" i="1"/>
  <c r="T1464" i="1"/>
  <c r="U1464" i="1"/>
  <c r="V1464" i="1"/>
  <c r="W1464" i="1"/>
  <c r="AB1464" i="1"/>
  <c r="AF1464" i="1"/>
  <c r="AC1465" i="1"/>
  <c r="AJ1464" i="1"/>
  <c r="AK1464" i="1"/>
  <c r="AM1464" i="1"/>
  <c r="BF1464" i="1"/>
  <c r="BG1464" i="1"/>
  <c r="T1465" i="1"/>
  <c r="U1465" i="1"/>
  <c r="V1465" i="1"/>
  <c r="W1465" i="1"/>
  <c r="AB1465" i="1"/>
  <c r="AF1465" i="1"/>
  <c r="K1466" i="1"/>
  <c r="AC1466" i="1"/>
  <c r="AJ1465" i="1"/>
  <c r="AK1465" i="1"/>
  <c r="AM1465" i="1"/>
  <c r="BF1465" i="1"/>
  <c r="BG1465" i="1"/>
  <c r="T1466" i="1"/>
  <c r="U1466" i="1"/>
  <c r="V1466" i="1"/>
  <c r="W1466" i="1"/>
  <c r="AB1466" i="1"/>
  <c r="AF1466" i="1"/>
  <c r="K1467" i="1"/>
  <c r="AC1467" i="1"/>
  <c r="AJ1466" i="1"/>
  <c r="AK1466" i="1"/>
  <c r="AM1466" i="1"/>
  <c r="BF1466" i="1"/>
  <c r="BG1466" i="1"/>
  <c r="T1467" i="1"/>
  <c r="U1467" i="1"/>
  <c r="V1467" i="1"/>
  <c r="W1467" i="1"/>
  <c r="AB1467" i="1"/>
  <c r="AF1467" i="1"/>
  <c r="K1468" i="1"/>
  <c r="AC1468" i="1"/>
  <c r="AJ1467" i="1"/>
  <c r="AK1467" i="1"/>
  <c r="AM1467" i="1"/>
  <c r="BF1467" i="1"/>
  <c r="BG1467" i="1"/>
  <c r="T1468" i="1"/>
  <c r="U1468" i="1"/>
  <c r="V1468" i="1"/>
  <c r="W1468" i="1"/>
  <c r="AB1468" i="1"/>
  <c r="AF1468" i="1"/>
  <c r="AC1469" i="1"/>
  <c r="AJ1468" i="1"/>
  <c r="AK1468" i="1"/>
  <c r="AM1468" i="1"/>
  <c r="BF1468" i="1"/>
  <c r="BG1468" i="1"/>
  <c r="T1469" i="1"/>
  <c r="U1469" i="1"/>
  <c r="V1469" i="1"/>
  <c r="W1469" i="1"/>
  <c r="AB1469" i="1"/>
  <c r="AF1469" i="1"/>
  <c r="AC1470" i="1"/>
  <c r="AJ1469" i="1"/>
  <c r="AK1469" i="1"/>
  <c r="AM1469" i="1"/>
  <c r="BF1469" i="1"/>
  <c r="BG1469" i="1"/>
  <c r="T1470" i="1"/>
  <c r="U1470" i="1"/>
  <c r="V1470" i="1"/>
  <c r="W1470" i="1"/>
  <c r="AB1470" i="1"/>
  <c r="AF1470" i="1"/>
  <c r="K1471" i="1"/>
  <c r="AC1471" i="1"/>
  <c r="AJ1470" i="1"/>
  <c r="AK1470" i="1"/>
  <c r="AM1470" i="1"/>
  <c r="BF1470" i="1"/>
  <c r="BG1470" i="1"/>
  <c r="T1471" i="1"/>
  <c r="U1471" i="1"/>
  <c r="V1471" i="1"/>
  <c r="W1471" i="1"/>
  <c r="AB1471" i="1"/>
  <c r="AF1471" i="1"/>
  <c r="AC1472" i="1"/>
  <c r="AJ1471" i="1"/>
  <c r="AK1471" i="1"/>
  <c r="AM1471" i="1"/>
  <c r="BF1471" i="1"/>
  <c r="BG1471" i="1"/>
  <c r="T1472" i="1"/>
  <c r="U1472" i="1"/>
  <c r="V1472" i="1"/>
  <c r="W1472" i="1"/>
  <c r="AB1472" i="1"/>
  <c r="AF1472" i="1"/>
  <c r="AC1473" i="1"/>
  <c r="AJ1472" i="1"/>
  <c r="AK1472" i="1"/>
  <c r="AM1472" i="1"/>
  <c r="BF1472" i="1"/>
  <c r="BG1472" i="1"/>
  <c r="T1473" i="1"/>
  <c r="U1473" i="1"/>
  <c r="V1473" i="1"/>
  <c r="W1473" i="1"/>
  <c r="AB1473" i="1"/>
  <c r="AF1473" i="1"/>
  <c r="AC1474" i="1"/>
  <c r="AJ1473" i="1"/>
  <c r="AK1473" i="1"/>
  <c r="AM1473" i="1"/>
  <c r="BF1473" i="1"/>
  <c r="BG1473" i="1"/>
  <c r="T1474" i="1"/>
  <c r="U1474" i="1"/>
  <c r="V1474" i="1"/>
  <c r="W1474" i="1"/>
  <c r="AB1474" i="1"/>
  <c r="AF1474" i="1"/>
  <c r="K1475" i="1"/>
  <c r="AC1475" i="1"/>
  <c r="AJ1474" i="1"/>
  <c r="AK1474" i="1"/>
  <c r="AM1474" i="1"/>
  <c r="BF1474" i="1"/>
  <c r="BG1474" i="1"/>
  <c r="T1475" i="1"/>
  <c r="U1475" i="1"/>
  <c r="V1475" i="1"/>
  <c r="W1475" i="1"/>
  <c r="AB1475" i="1"/>
  <c r="AF1475" i="1"/>
  <c r="K1476" i="1"/>
  <c r="AC1476" i="1"/>
  <c r="AJ1475" i="1"/>
  <c r="AK1475" i="1"/>
  <c r="AM1475" i="1"/>
  <c r="BF1475" i="1"/>
  <c r="BG1475" i="1"/>
  <c r="T1476" i="1"/>
  <c r="U1476" i="1"/>
  <c r="V1476" i="1"/>
  <c r="W1476" i="1"/>
  <c r="AB1476" i="1"/>
  <c r="AF1476" i="1"/>
  <c r="K1477" i="1"/>
  <c r="AC1477" i="1"/>
  <c r="AJ1476" i="1"/>
  <c r="AK1476" i="1"/>
  <c r="AM1476" i="1"/>
  <c r="BF1476" i="1"/>
  <c r="BG1476" i="1"/>
  <c r="T1477" i="1"/>
  <c r="U1477" i="1"/>
  <c r="V1477" i="1"/>
  <c r="W1477" i="1"/>
  <c r="AB1477" i="1"/>
  <c r="AF1477" i="1"/>
  <c r="AC1478" i="1"/>
  <c r="AJ1477" i="1"/>
  <c r="AK1477" i="1"/>
  <c r="AM1477" i="1"/>
  <c r="BF1477" i="1"/>
  <c r="BG1477" i="1"/>
  <c r="T1478" i="1"/>
  <c r="U1478" i="1"/>
  <c r="V1478" i="1"/>
  <c r="W1478" i="1"/>
  <c r="AB1478" i="1"/>
  <c r="AF1478" i="1"/>
  <c r="AC1479" i="1"/>
  <c r="AJ1478" i="1"/>
  <c r="AK1478" i="1"/>
  <c r="AM1478" i="1"/>
  <c r="BF1478" i="1"/>
  <c r="BG1478" i="1"/>
  <c r="T1479" i="1"/>
  <c r="U1479" i="1"/>
  <c r="V1479" i="1"/>
  <c r="W1479" i="1"/>
  <c r="AB1479" i="1"/>
  <c r="AF1479" i="1"/>
  <c r="K1480" i="1"/>
  <c r="AC1480" i="1"/>
  <c r="AJ1479" i="1"/>
  <c r="AK1479" i="1"/>
  <c r="AM1479" i="1"/>
  <c r="BF1479" i="1"/>
  <c r="BG1479" i="1"/>
  <c r="T1480" i="1"/>
  <c r="U1480" i="1"/>
  <c r="V1480" i="1"/>
  <c r="W1480" i="1"/>
  <c r="AB1480" i="1"/>
  <c r="AF1480" i="1"/>
  <c r="AC1481" i="1"/>
  <c r="AJ1480" i="1"/>
  <c r="AK1480" i="1"/>
  <c r="AM1480" i="1"/>
  <c r="BF1480" i="1"/>
  <c r="BG1480" i="1"/>
  <c r="T1481" i="1"/>
  <c r="U1481" i="1"/>
  <c r="V1481" i="1"/>
  <c r="W1481" i="1"/>
  <c r="AB1481" i="1"/>
  <c r="AF1481" i="1"/>
  <c r="AC1482" i="1"/>
  <c r="AJ1481" i="1"/>
  <c r="AK1481" i="1"/>
  <c r="AM1481" i="1"/>
  <c r="BF1481" i="1"/>
  <c r="BG1481" i="1"/>
  <c r="T1482" i="1"/>
  <c r="U1482" i="1"/>
  <c r="V1482" i="1"/>
  <c r="W1482" i="1"/>
  <c r="AB1482" i="1"/>
  <c r="AF1482" i="1"/>
  <c r="K1483" i="1"/>
  <c r="AC1483" i="1"/>
  <c r="AJ1482" i="1"/>
  <c r="AK1482" i="1"/>
  <c r="AM1482" i="1"/>
  <c r="BF1482" i="1"/>
  <c r="BG1482" i="1"/>
  <c r="T1483" i="1"/>
  <c r="U1483" i="1"/>
  <c r="V1483" i="1"/>
  <c r="W1483" i="1"/>
  <c r="AB1483" i="1"/>
  <c r="AF1483" i="1"/>
  <c r="AC1484" i="1"/>
  <c r="AJ1483" i="1"/>
  <c r="AK1483" i="1"/>
  <c r="AM1483" i="1"/>
  <c r="BF1483" i="1"/>
  <c r="BG1483" i="1"/>
  <c r="T1484" i="1"/>
  <c r="U1484" i="1"/>
  <c r="V1484" i="1"/>
  <c r="W1484" i="1"/>
  <c r="AB1484" i="1"/>
  <c r="AF1484" i="1"/>
  <c r="AC1485" i="1"/>
  <c r="AJ1484" i="1"/>
  <c r="AK1484" i="1"/>
  <c r="AM1484" i="1"/>
  <c r="BF1484" i="1"/>
  <c r="BG1484" i="1"/>
  <c r="T1485" i="1"/>
  <c r="U1485" i="1"/>
  <c r="V1485" i="1"/>
  <c r="W1485" i="1"/>
  <c r="AB1485" i="1"/>
  <c r="AF1485" i="1"/>
  <c r="K1486" i="1"/>
  <c r="AC1486" i="1"/>
  <c r="AJ1485" i="1"/>
  <c r="AK1485" i="1"/>
  <c r="AM1485" i="1"/>
  <c r="BF1485" i="1"/>
  <c r="BG1485" i="1"/>
  <c r="T1486" i="1"/>
  <c r="U1486" i="1"/>
  <c r="V1486" i="1"/>
  <c r="W1486" i="1"/>
  <c r="AB1486" i="1"/>
  <c r="AF1486" i="1"/>
  <c r="AC1487" i="1"/>
  <c r="AJ1486" i="1"/>
  <c r="AK1486" i="1"/>
  <c r="AM1486" i="1"/>
  <c r="BF1486" i="1"/>
  <c r="BG1486" i="1"/>
  <c r="T1487" i="1"/>
  <c r="U1487" i="1"/>
  <c r="V1487" i="1"/>
  <c r="W1487" i="1"/>
  <c r="AB1487" i="1"/>
  <c r="AF1487" i="1"/>
  <c r="AC1488" i="1"/>
  <c r="AJ1487" i="1"/>
  <c r="AK1487" i="1"/>
  <c r="AM1487" i="1"/>
  <c r="BF1487" i="1"/>
  <c r="BG1487" i="1"/>
  <c r="T1488" i="1"/>
  <c r="U1488" i="1"/>
  <c r="V1488" i="1"/>
  <c r="W1488" i="1"/>
  <c r="AB1488" i="1"/>
  <c r="AF1488" i="1"/>
  <c r="K1489" i="1"/>
  <c r="AC1489" i="1"/>
  <c r="AJ1488" i="1"/>
  <c r="AK1488" i="1"/>
  <c r="AM1488" i="1"/>
  <c r="BF1488" i="1"/>
  <c r="BG1488" i="1"/>
  <c r="T1489" i="1"/>
  <c r="U1489" i="1"/>
  <c r="V1489" i="1"/>
  <c r="W1489" i="1"/>
  <c r="AB1489" i="1"/>
  <c r="AF1489" i="1"/>
  <c r="AC1490" i="1"/>
  <c r="AJ1489" i="1"/>
  <c r="AK1489" i="1"/>
  <c r="AM1489" i="1"/>
  <c r="BF1489" i="1"/>
  <c r="BG1489" i="1"/>
  <c r="T1490" i="1"/>
  <c r="U1490" i="1"/>
  <c r="V1490" i="1"/>
  <c r="W1490" i="1"/>
  <c r="AB1490" i="1"/>
  <c r="AF1490" i="1"/>
  <c r="AC1491" i="1"/>
  <c r="AJ1490" i="1"/>
  <c r="AK1490" i="1"/>
  <c r="AM1490" i="1"/>
  <c r="BF1490" i="1"/>
  <c r="BG1490" i="1"/>
  <c r="T1491" i="1"/>
  <c r="U1491" i="1"/>
  <c r="V1491" i="1"/>
  <c r="W1491" i="1"/>
  <c r="AB1491" i="1"/>
  <c r="AF1491" i="1"/>
  <c r="K1492" i="1"/>
  <c r="AC1492" i="1"/>
  <c r="AJ1491" i="1"/>
  <c r="AK1491" i="1"/>
  <c r="AM1491" i="1"/>
  <c r="BF1491" i="1"/>
  <c r="BG1491" i="1"/>
  <c r="T1492" i="1"/>
  <c r="U1492" i="1"/>
  <c r="V1492" i="1"/>
  <c r="W1492" i="1"/>
  <c r="AB1492" i="1"/>
  <c r="AF1492" i="1"/>
  <c r="K1493" i="1"/>
  <c r="AC1493" i="1"/>
  <c r="AJ1492" i="1"/>
  <c r="AK1492" i="1"/>
  <c r="AM1492" i="1"/>
  <c r="BF1492" i="1"/>
  <c r="BG1492" i="1"/>
  <c r="T1493" i="1"/>
  <c r="U1493" i="1"/>
  <c r="V1493" i="1"/>
  <c r="W1493" i="1"/>
  <c r="AB1493" i="1"/>
  <c r="AF1493" i="1"/>
  <c r="AC1494" i="1"/>
  <c r="AJ1493" i="1"/>
  <c r="AK1493" i="1"/>
  <c r="AM1493" i="1"/>
  <c r="BF1493" i="1"/>
  <c r="BG1493" i="1"/>
  <c r="T1494" i="1"/>
  <c r="U1494" i="1"/>
  <c r="V1494" i="1"/>
  <c r="W1494" i="1"/>
  <c r="AB1494" i="1"/>
  <c r="AF1494" i="1"/>
  <c r="AC1495" i="1"/>
  <c r="AJ1494" i="1"/>
  <c r="AK1494" i="1"/>
  <c r="AM1494" i="1"/>
  <c r="BF1494" i="1"/>
  <c r="BG1494" i="1"/>
  <c r="T1495" i="1"/>
  <c r="U1495" i="1"/>
  <c r="V1495" i="1"/>
  <c r="W1495" i="1"/>
  <c r="AB1495" i="1"/>
  <c r="AF1495" i="1"/>
  <c r="K1496" i="1"/>
  <c r="AC1496" i="1"/>
  <c r="AJ1495" i="1"/>
  <c r="AK1495" i="1"/>
  <c r="AM1495" i="1"/>
  <c r="BF1495" i="1"/>
  <c r="BG1495" i="1"/>
  <c r="T1496" i="1"/>
  <c r="U1496" i="1"/>
  <c r="V1496" i="1"/>
  <c r="W1496" i="1"/>
  <c r="AB1496" i="1"/>
  <c r="AF1496" i="1"/>
  <c r="AC1497" i="1"/>
  <c r="AJ1496" i="1"/>
  <c r="AK1496" i="1"/>
  <c r="AM1496" i="1"/>
  <c r="BF1496" i="1"/>
  <c r="BG1496" i="1"/>
  <c r="T1497" i="1"/>
  <c r="U1497" i="1"/>
  <c r="V1497" i="1"/>
  <c r="W1497" i="1"/>
  <c r="AB1497" i="1"/>
  <c r="AF1497" i="1"/>
  <c r="AC1498" i="1"/>
  <c r="AJ1497" i="1"/>
  <c r="AK1497" i="1"/>
  <c r="AM1497" i="1"/>
  <c r="BF1497" i="1"/>
  <c r="BG1497" i="1"/>
  <c r="T1498" i="1"/>
  <c r="U1498" i="1"/>
  <c r="V1498" i="1"/>
  <c r="W1498" i="1"/>
  <c r="AB1498" i="1"/>
  <c r="AF1498" i="1"/>
  <c r="K1499" i="1"/>
  <c r="AC1499" i="1"/>
  <c r="AJ1498" i="1"/>
  <c r="AK1498" i="1"/>
  <c r="AM1498" i="1"/>
  <c r="BF1498" i="1"/>
  <c r="BG1498" i="1"/>
  <c r="T1499" i="1"/>
  <c r="U1499" i="1"/>
  <c r="V1499" i="1"/>
  <c r="W1499" i="1"/>
  <c r="AB1499" i="1"/>
  <c r="AF1499" i="1"/>
  <c r="AC1500" i="1"/>
  <c r="AJ1499" i="1"/>
  <c r="AK1499" i="1"/>
  <c r="AM1499" i="1"/>
  <c r="BF1499" i="1"/>
  <c r="BG1499" i="1"/>
  <c r="T1500" i="1"/>
  <c r="U1500" i="1"/>
  <c r="V1500" i="1"/>
  <c r="W1500" i="1"/>
  <c r="AB1500" i="1"/>
  <c r="AF1500" i="1"/>
  <c r="AC1501" i="1"/>
  <c r="AJ1500" i="1"/>
  <c r="AK1500" i="1"/>
  <c r="AM1500" i="1"/>
  <c r="BF1500" i="1"/>
  <c r="BG1500" i="1"/>
  <c r="T1501" i="1"/>
  <c r="U1501" i="1"/>
  <c r="V1501" i="1"/>
  <c r="W1501" i="1"/>
  <c r="AB1501" i="1"/>
  <c r="AF1501" i="1"/>
  <c r="K1502" i="1"/>
  <c r="AC1502" i="1"/>
  <c r="AJ1501" i="1"/>
  <c r="AK1501" i="1"/>
  <c r="AM1501" i="1"/>
  <c r="BF1501" i="1"/>
  <c r="BG1501" i="1"/>
  <c r="T1502" i="1"/>
  <c r="U1502" i="1"/>
  <c r="V1502" i="1"/>
  <c r="W1502" i="1"/>
  <c r="AB1502" i="1"/>
  <c r="AF1502" i="1"/>
  <c r="AC1503" i="1"/>
  <c r="AJ1502" i="1"/>
  <c r="AK1502" i="1"/>
  <c r="AM1502" i="1"/>
  <c r="BF1502" i="1"/>
  <c r="BG1502" i="1"/>
  <c r="T1503" i="1"/>
  <c r="U1503" i="1"/>
  <c r="V1503" i="1"/>
  <c r="W1503" i="1"/>
  <c r="AB1503" i="1"/>
  <c r="AF1503" i="1"/>
  <c r="AC1504" i="1"/>
  <c r="AJ1503" i="1"/>
  <c r="AK1503" i="1"/>
  <c r="AM1503" i="1"/>
  <c r="BF1503" i="1"/>
  <c r="BG1503" i="1"/>
  <c r="T1504" i="1"/>
  <c r="U1504" i="1"/>
  <c r="V1504" i="1"/>
  <c r="W1504" i="1"/>
  <c r="AB1504" i="1"/>
  <c r="AF1504" i="1"/>
  <c r="K1505" i="1"/>
  <c r="AC1505" i="1"/>
  <c r="AJ1504" i="1"/>
  <c r="AK1504" i="1"/>
  <c r="AM1504" i="1"/>
  <c r="BF1504" i="1"/>
  <c r="BG1504" i="1"/>
  <c r="T1505" i="1"/>
  <c r="U1505" i="1"/>
  <c r="V1505" i="1"/>
  <c r="W1505" i="1"/>
  <c r="AB1505" i="1"/>
  <c r="AF1505" i="1"/>
  <c r="AC1506" i="1"/>
  <c r="AJ1505" i="1"/>
  <c r="AK1505" i="1"/>
  <c r="AM1505" i="1"/>
  <c r="BF1505" i="1"/>
  <c r="BG1505" i="1"/>
  <c r="T1506" i="1"/>
  <c r="U1506" i="1"/>
  <c r="V1506" i="1"/>
  <c r="W1506" i="1"/>
  <c r="AB1506" i="1"/>
  <c r="AF1506" i="1"/>
  <c r="AC1507" i="1"/>
  <c r="AJ1506" i="1"/>
  <c r="AK1506" i="1"/>
  <c r="AM1506" i="1"/>
  <c r="BF1506" i="1"/>
  <c r="BG1506" i="1"/>
  <c r="T1507" i="1"/>
  <c r="U1507" i="1"/>
  <c r="V1507" i="1"/>
  <c r="W1507" i="1"/>
  <c r="AB1507" i="1"/>
  <c r="AF1507" i="1"/>
  <c r="K1508" i="1"/>
  <c r="AC1508" i="1"/>
  <c r="AJ1507" i="1"/>
  <c r="AK1507" i="1"/>
  <c r="AM1507" i="1"/>
  <c r="BF1507" i="1"/>
  <c r="BG1507" i="1"/>
  <c r="T1508" i="1"/>
  <c r="U1508" i="1"/>
  <c r="V1508" i="1"/>
  <c r="W1508" i="1"/>
  <c r="AB1508" i="1"/>
  <c r="AF1508" i="1"/>
  <c r="AC1509" i="1"/>
  <c r="AJ1508" i="1"/>
  <c r="AK1508" i="1"/>
  <c r="AM1508" i="1"/>
  <c r="BF1508" i="1"/>
  <c r="BG1508" i="1"/>
  <c r="T1509" i="1"/>
  <c r="U1509" i="1"/>
  <c r="V1509" i="1"/>
  <c r="W1509" i="1"/>
  <c r="AB1509" i="1"/>
  <c r="AF1509" i="1"/>
  <c r="AC1510" i="1"/>
  <c r="AJ1509" i="1"/>
  <c r="AK1509" i="1"/>
  <c r="AM1509" i="1"/>
  <c r="BF1509" i="1"/>
  <c r="BG1509" i="1"/>
  <c r="T1510" i="1"/>
  <c r="U1510" i="1"/>
  <c r="V1510" i="1"/>
  <c r="W1510" i="1"/>
  <c r="AB1510" i="1"/>
  <c r="AF1510" i="1"/>
  <c r="K1511" i="1"/>
  <c r="AC1511" i="1"/>
  <c r="AJ1510" i="1"/>
  <c r="AK1510" i="1"/>
  <c r="AM1510" i="1"/>
  <c r="BF1510" i="1"/>
  <c r="BG1510" i="1"/>
  <c r="T1511" i="1"/>
  <c r="U1511" i="1"/>
  <c r="V1511" i="1"/>
  <c r="W1511" i="1"/>
  <c r="AB1511" i="1"/>
  <c r="AF1511" i="1"/>
  <c r="K1512" i="1"/>
  <c r="AC1512" i="1"/>
  <c r="AJ1511" i="1"/>
  <c r="AK1511" i="1"/>
  <c r="AM1511" i="1"/>
  <c r="BF1511" i="1"/>
  <c r="BG1511" i="1"/>
  <c r="T1512" i="1"/>
  <c r="U1512" i="1"/>
  <c r="V1512" i="1"/>
  <c r="W1512" i="1"/>
  <c r="AB1512" i="1"/>
  <c r="AF1512" i="1"/>
  <c r="K1513" i="1"/>
  <c r="AC1513" i="1"/>
  <c r="AJ1512" i="1"/>
  <c r="AK1512" i="1"/>
  <c r="AM1512" i="1"/>
  <c r="BF1512" i="1"/>
  <c r="BG1512" i="1"/>
  <c r="T1513" i="1"/>
  <c r="U1513" i="1"/>
  <c r="V1513" i="1"/>
  <c r="W1513" i="1"/>
  <c r="AB1513" i="1"/>
  <c r="AF1513" i="1"/>
  <c r="K1514" i="1"/>
  <c r="AC1514" i="1"/>
  <c r="AJ1513" i="1"/>
  <c r="AK1513" i="1"/>
  <c r="AM1513" i="1"/>
  <c r="BF1513" i="1"/>
  <c r="BG1513" i="1"/>
  <c r="T1514" i="1"/>
  <c r="U1514" i="1"/>
  <c r="V1514" i="1"/>
  <c r="W1514" i="1"/>
  <c r="AB1514" i="1"/>
  <c r="AF1514" i="1"/>
  <c r="K1515" i="1"/>
  <c r="AC1515" i="1"/>
  <c r="AJ1514" i="1"/>
  <c r="AK1514" i="1"/>
  <c r="AM1514" i="1"/>
  <c r="BF1514" i="1"/>
  <c r="BG1514" i="1"/>
  <c r="T1515" i="1"/>
  <c r="U1515" i="1"/>
  <c r="V1515" i="1"/>
  <c r="W1515" i="1"/>
  <c r="AB1515" i="1"/>
  <c r="AF1515" i="1"/>
  <c r="AC1516" i="1"/>
  <c r="AJ1515" i="1"/>
  <c r="AK1515" i="1"/>
  <c r="AM1515" i="1"/>
  <c r="BF1515" i="1"/>
  <c r="BG1515" i="1"/>
  <c r="T1516" i="1"/>
  <c r="U1516" i="1"/>
  <c r="V1516" i="1"/>
  <c r="W1516" i="1"/>
  <c r="AB1516" i="1"/>
  <c r="AF1516" i="1"/>
  <c r="AC1517" i="1"/>
  <c r="AJ1516" i="1"/>
  <c r="AK1516" i="1"/>
  <c r="AM1516" i="1"/>
  <c r="BF1516" i="1"/>
  <c r="BG1516" i="1"/>
  <c r="T1517" i="1"/>
  <c r="U1517" i="1"/>
  <c r="V1517" i="1"/>
  <c r="W1517" i="1"/>
  <c r="AB1517" i="1"/>
  <c r="AF1517" i="1"/>
  <c r="K1518" i="1"/>
  <c r="AC1518" i="1"/>
  <c r="AJ1517" i="1"/>
  <c r="AK1517" i="1"/>
  <c r="AM1517" i="1"/>
  <c r="BF1517" i="1"/>
  <c r="BG1517" i="1"/>
  <c r="T1518" i="1"/>
  <c r="U1518" i="1"/>
  <c r="V1518" i="1"/>
  <c r="W1518" i="1"/>
  <c r="AB1518" i="1"/>
  <c r="AF1518" i="1"/>
  <c r="K1519" i="1"/>
  <c r="AC1519" i="1"/>
  <c r="AJ1518" i="1"/>
  <c r="AK1518" i="1"/>
  <c r="AM1518" i="1"/>
  <c r="BF1518" i="1"/>
  <c r="BG1518" i="1"/>
  <c r="T1519" i="1"/>
  <c r="U1519" i="1"/>
  <c r="V1519" i="1"/>
  <c r="W1519" i="1"/>
  <c r="AB1519" i="1"/>
  <c r="AF1519" i="1"/>
  <c r="AC1520" i="1"/>
  <c r="AJ1519" i="1"/>
  <c r="AK1519" i="1"/>
  <c r="AM1519" i="1"/>
  <c r="BF1519" i="1"/>
  <c r="BG1519" i="1"/>
  <c r="T1520" i="1"/>
  <c r="U1520" i="1"/>
  <c r="V1520" i="1"/>
  <c r="W1520" i="1"/>
  <c r="AB1520" i="1"/>
  <c r="AF1520" i="1"/>
  <c r="AC1521" i="1"/>
  <c r="AJ1520" i="1"/>
  <c r="AK1520" i="1"/>
  <c r="AM1520" i="1"/>
  <c r="BF1520" i="1"/>
  <c r="BG1520" i="1"/>
  <c r="T1521" i="1"/>
  <c r="U1521" i="1"/>
  <c r="V1521" i="1"/>
  <c r="W1521" i="1"/>
  <c r="AB1521" i="1"/>
  <c r="AF1521" i="1"/>
  <c r="K1522" i="1"/>
  <c r="AC1522" i="1"/>
  <c r="AJ1521" i="1"/>
  <c r="AK1521" i="1"/>
  <c r="AM1521" i="1"/>
  <c r="BF1521" i="1"/>
  <c r="BG1521" i="1"/>
  <c r="T1522" i="1"/>
  <c r="U1522" i="1"/>
  <c r="V1522" i="1"/>
  <c r="W1522" i="1"/>
  <c r="AB1522" i="1"/>
  <c r="AF1522" i="1"/>
  <c r="K1523" i="1"/>
  <c r="AC1523" i="1"/>
  <c r="AJ1522" i="1"/>
  <c r="AK1522" i="1"/>
  <c r="AM1522" i="1"/>
  <c r="BF1522" i="1"/>
  <c r="BG1522" i="1"/>
  <c r="T1523" i="1"/>
  <c r="U1523" i="1"/>
  <c r="V1523" i="1"/>
  <c r="W1523" i="1"/>
  <c r="AB1523" i="1"/>
  <c r="AF1523" i="1"/>
  <c r="K1524" i="1"/>
  <c r="AC1524" i="1"/>
  <c r="AJ1523" i="1"/>
  <c r="AK1523" i="1"/>
  <c r="AM1523" i="1"/>
  <c r="BF1523" i="1"/>
  <c r="BG1523" i="1"/>
  <c r="T1524" i="1"/>
  <c r="U1524" i="1"/>
  <c r="V1524" i="1"/>
  <c r="W1524" i="1"/>
  <c r="AB1524" i="1"/>
  <c r="AF1524" i="1"/>
  <c r="K1525" i="1"/>
  <c r="AC1525" i="1"/>
  <c r="AJ1524" i="1"/>
  <c r="AK1524" i="1"/>
  <c r="AM1524" i="1"/>
  <c r="BF1524" i="1"/>
  <c r="BG1524" i="1"/>
  <c r="T1525" i="1"/>
  <c r="U1525" i="1"/>
  <c r="V1525" i="1"/>
  <c r="W1525" i="1"/>
  <c r="AB1525" i="1"/>
  <c r="AF1525" i="1"/>
  <c r="K1526" i="1"/>
  <c r="AC1526" i="1"/>
  <c r="AJ1525" i="1"/>
  <c r="AK1525" i="1"/>
  <c r="AM1525" i="1"/>
  <c r="BF1525" i="1"/>
  <c r="BG1525" i="1"/>
  <c r="T1526" i="1"/>
  <c r="U1526" i="1"/>
  <c r="V1526" i="1"/>
  <c r="W1526" i="1"/>
  <c r="AB1526" i="1"/>
  <c r="AF1526" i="1"/>
  <c r="K1527" i="1"/>
  <c r="AC1527" i="1"/>
  <c r="AJ1526" i="1"/>
  <c r="AK1526" i="1"/>
  <c r="AM1526" i="1"/>
  <c r="BF1526" i="1"/>
  <c r="BG1526" i="1"/>
  <c r="T1527" i="1"/>
  <c r="U1527" i="1"/>
  <c r="V1527" i="1"/>
  <c r="W1527" i="1"/>
  <c r="AB1527" i="1"/>
  <c r="AF1527" i="1"/>
  <c r="AC1528" i="1"/>
  <c r="AJ1527" i="1"/>
  <c r="AK1527" i="1"/>
  <c r="AM1527" i="1"/>
  <c r="BF1527" i="1"/>
  <c r="BG1527" i="1"/>
  <c r="T1528" i="1"/>
  <c r="U1528" i="1"/>
  <c r="V1528" i="1"/>
  <c r="W1528" i="1"/>
  <c r="AB1528" i="1"/>
  <c r="AF1528" i="1"/>
  <c r="AC1529" i="1"/>
  <c r="AJ1528" i="1"/>
  <c r="AK1528" i="1"/>
  <c r="AM1528" i="1"/>
  <c r="BF1528" i="1"/>
  <c r="BG1528" i="1"/>
  <c r="T1529" i="1"/>
  <c r="U1529" i="1"/>
  <c r="V1529" i="1"/>
  <c r="W1529" i="1"/>
  <c r="AB1529" i="1"/>
  <c r="AF1529" i="1"/>
  <c r="K1530" i="1"/>
  <c r="AC1530" i="1"/>
  <c r="AJ1529" i="1"/>
  <c r="AK1529" i="1"/>
  <c r="AM1529" i="1"/>
  <c r="BF1529" i="1"/>
  <c r="BG1529" i="1"/>
  <c r="T1530" i="1"/>
  <c r="U1530" i="1"/>
  <c r="V1530" i="1"/>
  <c r="W1530" i="1"/>
  <c r="AB1530" i="1"/>
  <c r="AF1530" i="1"/>
  <c r="AC1531" i="1"/>
  <c r="AJ1530" i="1"/>
  <c r="AK1530" i="1"/>
  <c r="AM1530" i="1"/>
  <c r="BF1530" i="1"/>
  <c r="BG1530" i="1"/>
  <c r="T1531" i="1"/>
  <c r="U1531" i="1"/>
  <c r="V1531" i="1"/>
  <c r="W1531" i="1"/>
  <c r="AB1531" i="1"/>
  <c r="AF1531" i="1"/>
  <c r="AC1532" i="1"/>
  <c r="AJ1531" i="1"/>
  <c r="AK1531" i="1"/>
  <c r="AM1531" i="1"/>
  <c r="BF1531" i="1"/>
  <c r="BG1531" i="1"/>
  <c r="T1532" i="1"/>
  <c r="U1532" i="1"/>
  <c r="V1532" i="1"/>
  <c r="W1532" i="1"/>
  <c r="AB1532" i="1"/>
  <c r="AF1532" i="1"/>
  <c r="K1533" i="1"/>
  <c r="AC1533" i="1"/>
  <c r="AJ1532" i="1"/>
  <c r="AK1532" i="1"/>
  <c r="AM1532" i="1"/>
  <c r="BF1532" i="1"/>
  <c r="BG1532" i="1"/>
  <c r="T1533" i="1"/>
  <c r="U1533" i="1"/>
  <c r="V1533" i="1"/>
  <c r="W1533" i="1"/>
  <c r="AB1533" i="1"/>
  <c r="AF1533" i="1"/>
  <c r="K1534" i="1"/>
  <c r="AC1534" i="1"/>
  <c r="AJ1533" i="1"/>
  <c r="AK1533" i="1"/>
  <c r="AM1533" i="1"/>
  <c r="BF1533" i="1"/>
  <c r="BG1533" i="1"/>
  <c r="T1534" i="1"/>
  <c r="U1534" i="1"/>
  <c r="V1534" i="1"/>
  <c r="W1534" i="1"/>
  <c r="AB1534" i="1"/>
  <c r="AF1534" i="1"/>
  <c r="K1535" i="1"/>
  <c r="AC1535" i="1"/>
  <c r="AJ1534" i="1"/>
  <c r="AK1534" i="1"/>
  <c r="AM1534" i="1"/>
  <c r="BF1534" i="1"/>
  <c r="BG1534" i="1"/>
  <c r="T1535" i="1"/>
  <c r="U1535" i="1"/>
  <c r="V1535" i="1"/>
  <c r="W1535" i="1"/>
  <c r="AB1535" i="1"/>
  <c r="AF1535" i="1"/>
  <c r="K1536" i="1"/>
  <c r="AC1536" i="1"/>
  <c r="AJ1535" i="1"/>
  <c r="AK1535" i="1"/>
  <c r="AM1535" i="1"/>
  <c r="BF1535" i="1"/>
  <c r="BG1535" i="1"/>
  <c r="T1536" i="1"/>
  <c r="U1536" i="1"/>
  <c r="V1536" i="1"/>
  <c r="W1536" i="1"/>
  <c r="AB1536" i="1"/>
  <c r="AF1536" i="1"/>
  <c r="K1537" i="1"/>
  <c r="AC1537" i="1"/>
  <c r="AJ1536" i="1"/>
  <c r="AK1536" i="1"/>
  <c r="AM1536" i="1"/>
  <c r="BF1536" i="1"/>
  <c r="BG1536" i="1"/>
  <c r="T1537" i="1"/>
  <c r="U1537" i="1"/>
  <c r="V1537" i="1"/>
  <c r="W1537" i="1"/>
  <c r="AB1537" i="1"/>
  <c r="AF1537" i="1"/>
  <c r="K1538" i="1"/>
  <c r="AC1538" i="1"/>
  <c r="AJ1537" i="1"/>
  <c r="AK1537" i="1"/>
  <c r="AM1537" i="1"/>
  <c r="BF1537" i="1"/>
  <c r="BG1537" i="1"/>
  <c r="T1538" i="1"/>
  <c r="U1538" i="1"/>
  <c r="V1538" i="1"/>
  <c r="W1538" i="1"/>
  <c r="AB1538" i="1"/>
  <c r="AF1538" i="1"/>
  <c r="K1539" i="1"/>
  <c r="AC1539" i="1"/>
  <c r="AJ1538" i="1"/>
  <c r="AK1538" i="1"/>
  <c r="AM1538" i="1"/>
  <c r="BF1538" i="1"/>
  <c r="BG1538" i="1"/>
  <c r="T1539" i="1"/>
  <c r="U1539" i="1"/>
  <c r="V1539" i="1"/>
  <c r="W1539" i="1"/>
  <c r="AB1539" i="1"/>
  <c r="AF1539" i="1"/>
  <c r="K1540" i="1"/>
  <c r="AC1540" i="1"/>
  <c r="AJ1539" i="1"/>
  <c r="AK1539" i="1"/>
  <c r="AM1539" i="1"/>
  <c r="BF1539" i="1"/>
  <c r="BG1539" i="1"/>
  <c r="T1540" i="1"/>
  <c r="U1540" i="1"/>
  <c r="V1540" i="1"/>
  <c r="W1540" i="1"/>
  <c r="AB1540" i="1"/>
  <c r="AF1540" i="1"/>
  <c r="K1541" i="1"/>
  <c r="AC1541" i="1"/>
  <c r="AJ1540" i="1"/>
  <c r="AK1540" i="1"/>
  <c r="AM1540" i="1"/>
  <c r="BF1540" i="1"/>
  <c r="BG1540" i="1"/>
  <c r="T1541" i="1"/>
  <c r="U1541" i="1"/>
  <c r="V1541" i="1"/>
  <c r="W1541" i="1"/>
  <c r="AB1541" i="1"/>
  <c r="AF1541" i="1"/>
  <c r="AC1542" i="1"/>
  <c r="AJ1541" i="1"/>
  <c r="AK1541" i="1"/>
  <c r="AM1541" i="1"/>
  <c r="BF1541" i="1"/>
  <c r="BG1541" i="1"/>
  <c r="T1542" i="1"/>
  <c r="U1542" i="1"/>
  <c r="V1542" i="1"/>
  <c r="W1542" i="1"/>
  <c r="AB1542" i="1"/>
  <c r="AF1542" i="1"/>
  <c r="AC1543" i="1"/>
  <c r="AJ1542" i="1"/>
  <c r="AK1542" i="1"/>
  <c r="AM1542" i="1"/>
  <c r="BF1542" i="1"/>
  <c r="BG1542" i="1"/>
  <c r="T1543" i="1"/>
  <c r="U1543" i="1"/>
  <c r="V1543" i="1"/>
  <c r="W1543" i="1"/>
  <c r="AB1543" i="1"/>
  <c r="AF1543" i="1"/>
  <c r="K1544" i="1"/>
  <c r="AC1544" i="1"/>
  <c r="AJ1543" i="1"/>
  <c r="AK1543" i="1"/>
  <c r="AM1543" i="1"/>
  <c r="BF1543" i="1"/>
  <c r="BG1543" i="1"/>
  <c r="T1544" i="1"/>
  <c r="U1544" i="1"/>
  <c r="V1544" i="1"/>
  <c r="W1544" i="1"/>
  <c r="AB1544" i="1"/>
  <c r="AF1544" i="1"/>
  <c r="K1545" i="1"/>
  <c r="AC1545" i="1"/>
  <c r="AJ1544" i="1"/>
  <c r="AK1544" i="1"/>
  <c r="AM1544" i="1"/>
  <c r="BF1544" i="1"/>
  <c r="BG1544" i="1"/>
  <c r="T1545" i="1"/>
  <c r="U1545" i="1"/>
  <c r="V1545" i="1"/>
  <c r="W1545" i="1"/>
  <c r="AB1545" i="1"/>
  <c r="AF1545" i="1"/>
  <c r="K1546" i="1"/>
  <c r="AC1546" i="1"/>
  <c r="AJ1545" i="1"/>
  <c r="AK1545" i="1"/>
  <c r="AM1545" i="1"/>
  <c r="BF1545" i="1"/>
  <c r="BG1545" i="1"/>
  <c r="T1546" i="1"/>
  <c r="U1546" i="1"/>
  <c r="V1546" i="1"/>
  <c r="W1546" i="1"/>
  <c r="AB1546" i="1"/>
  <c r="AF1546" i="1"/>
  <c r="AC1547" i="1"/>
  <c r="AJ1546" i="1"/>
  <c r="AK1546" i="1"/>
  <c r="AM1546" i="1"/>
  <c r="BF1546" i="1"/>
  <c r="BG1546" i="1"/>
  <c r="T1547" i="1"/>
  <c r="U1547" i="1"/>
  <c r="V1547" i="1"/>
  <c r="W1547" i="1"/>
  <c r="AB1547" i="1"/>
  <c r="AF1547" i="1"/>
  <c r="AC1548" i="1"/>
  <c r="AJ1547" i="1"/>
  <c r="AK1547" i="1"/>
  <c r="AM1547" i="1"/>
  <c r="BF1547" i="1"/>
  <c r="BG1547" i="1"/>
  <c r="T1548" i="1"/>
  <c r="U1548" i="1"/>
  <c r="V1548" i="1"/>
  <c r="W1548" i="1"/>
  <c r="AB1548" i="1"/>
  <c r="AF1548" i="1"/>
  <c r="K1549" i="1"/>
  <c r="AC1549" i="1"/>
  <c r="AJ1548" i="1"/>
  <c r="AK1548" i="1"/>
  <c r="AM1548" i="1"/>
  <c r="BF1548" i="1"/>
  <c r="BG1548" i="1"/>
  <c r="T1549" i="1"/>
  <c r="U1549" i="1"/>
  <c r="V1549" i="1"/>
  <c r="W1549" i="1"/>
  <c r="AB1549" i="1"/>
  <c r="AF1549" i="1"/>
  <c r="AC1550" i="1"/>
  <c r="AJ1549" i="1"/>
  <c r="AK1549" i="1"/>
  <c r="AM1549" i="1"/>
  <c r="BF1549" i="1"/>
  <c r="BG1549" i="1"/>
  <c r="T1550" i="1"/>
  <c r="U1550" i="1"/>
  <c r="V1550" i="1"/>
  <c r="W1550" i="1"/>
  <c r="AB1550" i="1"/>
  <c r="AF1550" i="1"/>
  <c r="AC1551" i="1"/>
  <c r="AJ1550" i="1"/>
  <c r="AK1550" i="1"/>
  <c r="AM1550" i="1"/>
  <c r="BF1550" i="1"/>
  <c r="BG1550" i="1"/>
  <c r="T1551" i="1"/>
  <c r="U1551" i="1"/>
  <c r="V1551" i="1"/>
  <c r="W1551" i="1"/>
  <c r="AB1551" i="1"/>
  <c r="AF1551" i="1"/>
  <c r="K1552" i="1"/>
  <c r="AC1552" i="1"/>
  <c r="AJ1551" i="1"/>
  <c r="AK1551" i="1"/>
  <c r="AM1551" i="1"/>
  <c r="BF1551" i="1"/>
  <c r="BG1551" i="1"/>
  <c r="T1552" i="1"/>
  <c r="U1552" i="1"/>
  <c r="V1552" i="1"/>
  <c r="W1552" i="1"/>
  <c r="AB1552" i="1"/>
  <c r="AF1552" i="1"/>
  <c r="AC1553" i="1"/>
  <c r="AJ1552" i="1"/>
  <c r="AK1552" i="1"/>
  <c r="AM1552" i="1"/>
  <c r="BF1552" i="1"/>
  <c r="BG1552" i="1"/>
  <c r="T1553" i="1"/>
  <c r="U1553" i="1"/>
  <c r="V1553" i="1"/>
  <c r="W1553" i="1"/>
  <c r="AB1553" i="1"/>
  <c r="AF1553" i="1"/>
  <c r="AC1554" i="1"/>
  <c r="AJ1553" i="1"/>
  <c r="AK1553" i="1"/>
  <c r="AM1553" i="1"/>
  <c r="BF1553" i="1"/>
  <c r="BG1553" i="1"/>
  <c r="T1554" i="1"/>
  <c r="U1554" i="1"/>
  <c r="V1554" i="1"/>
  <c r="W1554" i="1"/>
  <c r="AB1554" i="1"/>
  <c r="AF1554" i="1"/>
  <c r="K1555" i="1"/>
  <c r="AC1555" i="1"/>
  <c r="AJ1554" i="1"/>
  <c r="AK1554" i="1"/>
  <c r="AM1554" i="1"/>
  <c r="BF1554" i="1"/>
  <c r="BG1554" i="1"/>
  <c r="T1555" i="1"/>
  <c r="U1555" i="1"/>
  <c r="V1555" i="1"/>
  <c r="W1555" i="1"/>
  <c r="AB1555" i="1"/>
  <c r="AF1555" i="1"/>
  <c r="K1556" i="1"/>
  <c r="AC1556" i="1"/>
  <c r="AJ1555" i="1"/>
  <c r="AK1555" i="1"/>
  <c r="AM1555" i="1"/>
  <c r="BF1555" i="1"/>
  <c r="BG1555" i="1"/>
  <c r="T1556" i="1"/>
  <c r="U1556" i="1"/>
  <c r="V1556" i="1"/>
  <c r="W1556" i="1"/>
  <c r="AB1556" i="1"/>
  <c r="AF1556" i="1"/>
  <c r="AC1557" i="1"/>
  <c r="AJ1556" i="1"/>
  <c r="AK1556" i="1"/>
  <c r="AM1556" i="1"/>
  <c r="BF1556" i="1"/>
  <c r="BG1556" i="1"/>
  <c r="T1557" i="1"/>
  <c r="U1557" i="1"/>
  <c r="V1557" i="1"/>
  <c r="W1557" i="1"/>
  <c r="AB1557" i="1"/>
  <c r="AF1557" i="1"/>
  <c r="AC1558" i="1"/>
  <c r="AJ1557" i="1"/>
  <c r="AK1557" i="1"/>
  <c r="AM1557" i="1"/>
  <c r="BF1557" i="1"/>
  <c r="BG1557" i="1"/>
  <c r="T1558" i="1"/>
  <c r="U1558" i="1"/>
  <c r="V1558" i="1"/>
  <c r="W1558" i="1"/>
  <c r="AB1558" i="1"/>
  <c r="AF1558" i="1"/>
  <c r="K1559" i="1"/>
  <c r="AC1559" i="1"/>
  <c r="AJ1558" i="1"/>
  <c r="AK1558" i="1"/>
  <c r="AM1558" i="1"/>
  <c r="BF1558" i="1"/>
  <c r="BG1558" i="1"/>
  <c r="T1559" i="1"/>
  <c r="U1559" i="1"/>
  <c r="V1559" i="1"/>
  <c r="W1559" i="1"/>
  <c r="AB1559" i="1"/>
  <c r="AF1559" i="1"/>
  <c r="AC1560" i="1"/>
  <c r="AJ1559" i="1"/>
  <c r="AK1559" i="1"/>
  <c r="AM1559" i="1"/>
  <c r="BF1559" i="1"/>
  <c r="BG1559" i="1"/>
  <c r="T1560" i="1"/>
  <c r="U1560" i="1"/>
  <c r="V1560" i="1"/>
  <c r="W1560" i="1"/>
  <c r="AB1560" i="1"/>
  <c r="AF1560" i="1"/>
  <c r="AC1561" i="1"/>
  <c r="AJ1560" i="1"/>
  <c r="AK1560" i="1"/>
  <c r="AM1560" i="1"/>
  <c r="BF1560" i="1"/>
  <c r="BG1560" i="1"/>
  <c r="T1561" i="1"/>
  <c r="U1561" i="1"/>
  <c r="V1561" i="1"/>
  <c r="W1561" i="1"/>
  <c r="AB1561" i="1"/>
  <c r="AF1561" i="1"/>
  <c r="K1562" i="1"/>
  <c r="AC1562" i="1"/>
  <c r="AJ1561" i="1"/>
  <c r="AK1561" i="1"/>
  <c r="AM1561" i="1"/>
  <c r="BF1561" i="1"/>
  <c r="BG1561" i="1"/>
  <c r="T1562" i="1"/>
  <c r="U1562" i="1"/>
  <c r="V1562" i="1"/>
  <c r="W1562" i="1"/>
  <c r="AB1562" i="1"/>
  <c r="AF1562" i="1"/>
  <c r="AC1563" i="1"/>
  <c r="AJ1562" i="1"/>
  <c r="AK1562" i="1"/>
  <c r="AM1562" i="1"/>
  <c r="BF1562" i="1"/>
  <c r="BG1562" i="1"/>
  <c r="T1563" i="1"/>
  <c r="U1563" i="1"/>
  <c r="V1563" i="1"/>
  <c r="W1563" i="1"/>
  <c r="AB1563" i="1"/>
  <c r="AF1563" i="1"/>
  <c r="AC1564" i="1"/>
  <c r="AJ1563" i="1"/>
  <c r="AK1563" i="1"/>
  <c r="AM1563" i="1"/>
  <c r="BF1563" i="1"/>
  <c r="BG1563" i="1"/>
  <c r="T1564" i="1"/>
  <c r="U1564" i="1"/>
  <c r="V1564" i="1"/>
  <c r="W1564" i="1"/>
  <c r="AB1564" i="1"/>
  <c r="AF1564" i="1"/>
  <c r="K1565" i="1"/>
  <c r="AC1565" i="1"/>
  <c r="AJ1564" i="1"/>
  <c r="AK1564" i="1"/>
  <c r="AM1564" i="1"/>
  <c r="BF1564" i="1"/>
  <c r="BG1564" i="1"/>
  <c r="T1565" i="1"/>
  <c r="U1565" i="1"/>
  <c r="V1565" i="1"/>
  <c r="W1565" i="1"/>
  <c r="AB1565" i="1"/>
  <c r="AF1565" i="1"/>
  <c r="AC1566" i="1"/>
  <c r="AJ1565" i="1"/>
  <c r="AK1565" i="1"/>
  <c r="AM1565" i="1"/>
  <c r="BF1565" i="1"/>
  <c r="BG1565" i="1"/>
  <c r="T1566" i="1"/>
  <c r="U1566" i="1"/>
  <c r="V1566" i="1"/>
  <c r="W1566" i="1"/>
  <c r="AB1566" i="1"/>
  <c r="AF1566" i="1"/>
  <c r="AC1567" i="1"/>
  <c r="AJ1566" i="1"/>
  <c r="AK1566" i="1"/>
  <c r="AM1566" i="1"/>
  <c r="BF1566" i="1"/>
  <c r="BG1566" i="1"/>
  <c r="T1567" i="1"/>
  <c r="U1567" i="1"/>
  <c r="V1567" i="1"/>
  <c r="W1567" i="1"/>
  <c r="AB1567" i="1"/>
  <c r="AF1567" i="1"/>
  <c r="K1568" i="1"/>
  <c r="AC1568" i="1"/>
  <c r="AJ1567" i="1"/>
  <c r="AK1567" i="1"/>
  <c r="AM1567" i="1"/>
  <c r="BF1567" i="1"/>
  <c r="BG1567" i="1"/>
  <c r="T1568" i="1"/>
  <c r="U1568" i="1"/>
  <c r="V1568" i="1"/>
  <c r="W1568" i="1"/>
  <c r="AB1568" i="1"/>
  <c r="AF1568" i="1"/>
  <c r="AC1569" i="1"/>
  <c r="AJ1568" i="1"/>
  <c r="AK1568" i="1"/>
  <c r="AM1568" i="1"/>
  <c r="BF1568" i="1"/>
  <c r="BG1568" i="1"/>
  <c r="T1569" i="1"/>
  <c r="U1569" i="1"/>
  <c r="V1569" i="1"/>
  <c r="W1569" i="1"/>
  <c r="AB1569" i="1"/>
  <c r="AF1569" i="1"/>
  <c r="AC1570" i="1"/>
  <c r="AJ1569" i="1"/>
  <c r="AK1569" i="1"/>
  <c r="AM1569" i="1"/>
  <c r="BF1569" i="1"/>
  <c r="BG1569" i="1"/>
  <c r="T1570" i="1"/>
  <c r="U1570" i="1"/>
  <c r="V1570" i="1"/>
  <c r="W1570" i="1"/>
  <c r="AB1570" i="1"/>
  <c r="AF1570" i="1"/>
  <c r="K1571" i="1"/>
  <c r="AC1571" i="1"/>
  <c r="AJ1570" i="1"/>
  <c r="AK1570" i="1"/>
  <c r="AM1570" i="1"/>
  <c r="BF1570" i="1"/>
  <c r="BG1570" i="1"/>
  <c r="T1571" i="1"/>
  <c r="U1571" i="1"/>
  <c r="V1571" i="1"/>
  <c r="W1571" i="1"/>
  <c r="AB1571" i="1"/>
  <c r="AF1571" i="1"/>
  <c r="K1572" i="1"/>
  <c r="AC1572" i="1"/>
  <c r="AJ1571" i="1"/>
  <c r="AK1571" i="1"/>
  <c r="AM1571" i="1"/>
  <c r="BF1571" i="1"/>
  <c r="BG1571" i="1"/>
  <c r="T1572" i="1"/>
  <c r="U1572" i="1"/>
  <c r="V1572" i="1"/>
  <c r="W1572" i="1"/>
  <c r="AB1572" i="1"/>
  <c r="AF1572" i="1"/>
  <c r="AC1573" i="1"/>
  <c r="AJ1572" i="1"/>
  <c r="AK1572" i="1"/>
  <c r="AM1572" i="1"/>
  <c r="BF1572" i="1"/>
  <c r="BG1572" i="1"/>
  <c r="T1573" i="1"/>
  <c r="U1573" i="1"/>
  <c r="V1573" i="1"/>
  <c r="W1573" i="1"/>
  <c r="AB1573" i="1"/>
  <c r="AF1573" i="1"/>
  <c r="AC1574" i="1"/>
  <c r="AJ1573" i="1"/>
  <c r="AK1573" i="1"/>
  <c r="AM1573" i="1"/>
  <c r="BF1573" i="1"/>
  <c r="BG1573" i="1"/>
  <c r="T1574" i="1"/>
  <c r="U1574" i="1"/>
  <c r="V1574" i="1"/>
  <c r="W1574" i="1"/>
  <c r="AB1574" i="1"/>
  <c r="AF1574" i="1"/>
  <c r="K1575" i="1"/>
  <c r="AC1575" i="1"/>
  <c r="AJ1574" i="1"/>
  <c r="AK1574" i="1"/>
  <c r="AM1574" i="1"/>
  <c r="BF1574" i="1"/>
  <c r="BG1574" i="1"/>
  <c r="T1575" i="1"/>
  <c r="U1575" i="1"/>
  <c r="V1575" i="1"/>
  <c r="W1575" i="1"/>
  <c r="AB1575" i="1"/>
  <c r="AF1575" i="1"/>
  <c r="AC1576" i="1"/>
  <c r="AJ1575" i="1"/>
  <c r="AK1575" i="1"/>
  <c r="AM1575" i="1"/>
  <c r="BF1575" i="1"/>
  <c r="BG1575" i="1"/>
  <c r="T1576" i="1"/>
  <c r="U1576" i="1"/>
  <c r="V1576" i="1"/>
  <c r="W1576" i="1"/>
  <c r="AB1576" i="1"/>
  <c r="AF1576" i="1"/>
  <c r="AC1577" i="1"/>
  <c r="AJ1576" i="1"/>
  <c r="AK1576" i="1"/>
  <c r="AM1576" i="1"/>
  <c r="BF1576" i="1"/>
  <c r="BG1576" i="1"/>
  <c r="T1577" i="1"/>
  <c r="U1577" i="1"/>
  <c r="V1577" i="1"/>
  <c r="W1577" i="1"/>
  <c r="AB1577" i="1"/>
  <c r="AF1577" i="1"/>
  <c r="K1578" i="1"/>
  <c r="AC1578" i="1"/>
  <c r="AJ1577" i="1"/>
  <c r="AK1577" i="1"/>
  <c r="AM1577" i="1"/>
  <c r="BF1577" i="1"/>
  <c r="BG1577" i="1"/>
  <c r="T1578" i="1"/>
  <c r="U1578" i="1"/>
  <c r="V1578" i="1"/>
  <c r="W1578" i="1"/>
  <c r="AB1578" i="1"/>
  <c r="AF1578" i="1"/>
  <c r="K1579" i="1"/>
  <c r="AC1579" i="1"/>
  <c r="AJ1578" i="1"/>
  <c r="AK1578" i="1"/>
  <c r="AM1578" i="1"/>
  <c r="BF1578" i="1"/>
  <c r="BG1578" i="1"/>
  <c r="T1579" i="1"/>
  <c r="U1579" i="1"/>
  <c r="V1579" i="1"/>
  <c r="W1579" i="1"/>
  <c r="AB1579" i="1"/>
  <c r="AF1579" i="1"/>
  <c r="K1580" i="1"/>
  <c r="AC1580" i="1"/>
  <c r="AJ1579" i="1"/>
  <c r="AK1579" i="1"/>
  <c r="AM1579" i="1"/>
  <c r="BF1579" i="1"/>
  <c r="BG1579" i="1"/>
  <c r="T1580" i="1"/>
  <c r="U1580" i="1"/>
  <c r="V1580" i="1"/>
  <c r="W1580" i="1"/>
  <c r="AB1580" i="1"/>
  <c r="AF1580" i="1"/>
  <c r="K1581" i="1"/>
  <c r="AC1581" i="1"/>
  <c r="AJ1580" i="1"/>
  <c r="AK1580" i="1"/>
  <c r="AM1580" i="1"/>
  <c r="BF1580" i="1"/>
  <c r="BG1580" i="1"/>
  <c r="T1581" i="1"/>
  <c r="U1581" i="1"/>
  <c r="V1581" i="1"/>
  <c r="W1581" i="1"/>
  <c r="AB1581" i="1"/>
  <c r="AF1581" i="1"/>
  <c r="AC1582" i="1"/>
  <c r="AJ1581" i="1"/>
  <c r="AK1581" i="1"/>
  <c r="AM1581" i="1"/>
  <c r="BF1581" i="1"/>
  <c r="BG1581" i="1"/>
  <c r="T1582" i="1"/>
  <c r="U1582" i="1"/>
  <c r="V1582" i="1"/>
  <c r="W1582" i="1"/>
  <c r="AB1582" i="1"/>
  <c r="AF1582" i="1"/>
  <c r="AC1583" i="1"/>
  <c r="AJ1582" i="1"/>
  <c r="AK1582" i="1"/>
  <c r="AM1582" i="1"/>
  <c r="BF1582" i="1"/>
  <c r="BG1582" i="1"/>
  <c r="T1583" i="1"/>
  <c r="U1583" i="1"/>
  <c r="V1583" i="1"/>
  <c r="W1583" i="1"/>
  <c r="AB1583" i="1"/>
  <c r="AF1583" i="1"/>
  <c r="K1584" i="1"/>
  <c r="AC1584" i="1"/>
  <c r="AJ1583" i="1"/>
  <c r="AK1583" i="1"/>
  <c r="AM1583" i="1"/>
  <c r="BF1583" i="1"/>
  <c r="BG1583" i="1"/>
  <c r="T1584" i="1"/>
  <c r="U1584" i="1"/>
  <c r="V1584" i="1"/>
  <c r="W1584" i="1"/>
  <c r="AB1584" i="1"/>
  <c r="AF1584" i="1"/>
  <c r="K1585" i="1"/>
  <c r="AC1585" i="1"/>
  <c r="AJ1584" i="1"/>
  <c r="AK1584" i="1"/>
  <c r="AM1584" i="1"/>
  <c r="BF1584" i="1"/>
  <c r="BG1584" i="1"/>
  <c r="T1585" i="1"/>
  <c r="U1585" i="1"/>
  <c r="V1585" i="1"/>
  <c r="W1585" i="1"/>
  <c r="AB1585" i="1"/>
  <c r="AF1585" i="1"/>
  <c r="AC1586" i="1"/>
  <c r="AJ1585" i="1"/>
  <c r="AK1585" i="1"/>
  <c r="AM1585" i="1"/>
  <c r="BF1585" i="1"/>
  <c r="BG1585" i="1"/>
  <c r="T1586" i="1"/>
  <c r="U1586" i="1"/>
  <c r="V1586" i="1"/>
  <c r="W1586" i="1"/>
  <c r="AB1586" i="1"/>
  <c r="AF1586" i="1"/>
  <c r="AC1587" i="1"/>
  <c r="AJ1586" i="1"/>
  <c r="AK1586" i="1"/>
  <c r="AM1586" i="1"/>
  <c r="BF1586" i="1"/>
  <c r="BG1586" i="1"/>
  <c r="T1587" i="1"/>
  <c r="U1587" i="1"/>
  <c r="V1587" i="1"/>
  <c r="W1587" i="1"/>
  <c r="AB1587" i="1"/>
  <c r="AF1587" i="1"/>
  <c r="K1588" i="1"/>
  <c r="AC1588" i="1"/>
  <c r="AJ1587" i="1"/>
  <c r="AK1587" i="1"/>
  <c r="AM1587" i="1"/>
  <c r="BF1587" i="1"/>
  <c r="BG1587" i="1"/>
  <c r="T1588" i="1"/>
  <c r="U1588" i="1"/>
  <c r="V1588" i="1"/>
  <c r="W1588" i="1"/>
  <c r="AB1588" i="1"/>
  <c r="AF1588" i="1"/>
  <c r="K1589" i="1"/>
  <c r="AC1589" i="1"/>
  <c r="AJ1588" i="1"/>
  <c r="AK1588" i="1"/>
  <c r="AM1588" i="1"/>
  <c r="BF1588" i="1"/>
  <c r="BG1588" i="1"/>
  <c r="T1589" i="1"/>
  <c r="U1589" i="1"/>
  <c r="V1589" i="1"/>
  <c r="W1589" i="1"/>
  <c r="AB1589" i="1"/>
  <c r="AF1589" i="1"/>
  <c r="AC1590" i="1"/>
  <c r="AJ1589" i="1"/>
  <c r="AK1589" i="1"/>
  <c r="AM1589" i="1"/>
  <c r="BF1589" i="1"/>
  <c r="BG1589" i="1"/>
  <c r="T1590" i="1"/>
  <c r="U1590" i="1"/>
  <c r="V1590" i="1"/>
  <c r="W1590" i="1"/>
  <c r="AB1590" i="1"/>
  <c r="AF1590" i="1"/>
  <c r="AC1591" i="1"/>
  <c r="AJ1590" i="1"/>
  <c r="AK1590" i="1"/>
  <c r="AM1590" i="1"/>
  <c r="BF1590" i="1"/>
  <c r="BG1590" i="1"/>
  <c r="T1591" i="1"/>
  <c r="U1591" i="1"/>
  <c r="V1591" i="1"/>
  <c r="W1591" i="1"/>
  <c r="AB1591" i="1"/>
  <c r="AF1591" i="1"/>
  <c r="K1592" i="1"/>
  <c r="AC1592" i="1"/>
  <c r="AJ1591" i="1"/>
  <c r="AK1591" i="1"/>
  <c r="AM1591" i="1"/>
  <c r="BF1591" i="1"/>
  <c r="BG1591" i="1"/>
  <c r="T1592" i="1"/>
  <c r="U1592" i="1"/>
  <c r="V1592" i="1"/>
  <c r="W1592" i="1"/>
  <c r="AB1592" i="1"/>
  <c r="AF1592" i="1"/>
  <c r="AC1593" i="1"/>
  <c r="AJ1592" i="1"/>
  <c r="AK1592" i="1"/>
  <c r="AM1592" i="1"/>
  <c r="BF1592" i="1"/>
  <c r="BG1592" i="1"/>
  <c r="T1593" i="1"/>
  <c r="U1593" i="1"/>
  <c r="V1593" i="1"/>
  <c r="W1593" i="1"/>
  <c r="AB1593" i="1"/>
  <c r="AF1593" i="1"/>
  <c r="AC1594" i="1"/>
  <c r="AJ1593" i="1"/>
  <c r="AK1593" i="1"/>
  <c r="AM1593" i="1"/>
  <c r="BF1593" i="1"/>
  <c r="BG1593" i="1"/>
  <c r="T1594" i="1"/>
  <c r="U1594" i="1"/>
  <c r="V1594" i="1"/>
  <c r="W1594" i="1"/>
  <c r="AB1594" i="1"/>
  <c r="AF1594" i="1"/>
  <c r="K1595" i="1"/>
  <c r="AC1595" i="1"/>
  <c r="AJ1594" i="1"/>
  <c r="AK1594" i="1"/>
  <c r="AM1594" i="1"/>
  <c r="BF1594" i="1"/>
  <c r="BG1594" i="1"/>
  <c r="T1595" i="1"/>
  <c r="U1595" i="1"/>
  <c r="V1595" i="1"/>
  <c r="W1595" i="1"/>
  <c r="AB1595" i="1"/>
  <c r="AF1595" i="1"/>
  <c r="K1596" i="1"/>
  <c r="AC1596" i="1"/>
  <c r="AJ1595" i="1"/>
  <c r="AK1595" i="1"/>
  <c r="AM1595" i="1"/>
  <c r="BF1595" i="1"/>
  <c r="BG1595" i="1"/>
  <c r="T1596" i="1"/>
  <c r="U1596" i="1"/>
  <c r="V1596" i="1"/>
  <c r="W1596" i="1"/>
  <c r="AB1596" i="1"/>
  <c r="AF1596" i="1"/>
  <c r="K1597" i="1"/>
  <c r="AC1597" i="1"/>
  <c r="AJ1596" i="1"/>
  <c r="AK1596" i="1"/>
  <c r="AM1596" i="1"/>
  <c r="BF1596" i="1"/>
  <c r="BG1596" i="1"/>
  <c r="T1597" i="1"/>
  <c r="U1597" i="1"/>
  <c r="V1597" i="1"/>
  <c r="W1597" i="1"/>
  <c r="AB1597" i="1"/>
  <c r="AF1597" i="1"/>
  <c r="K1598" i="1"/>
  <c r="AC1598" i="1"/>
  <c r="AJ1597" i="1"/>
  <c r="AK1597" i="1"/>
  <c r="AM1597" i="1"/>
  <c r="BF1597" i="1"/>
  <c r="BG1597" i="1"/>
  <c r="T1598" i="1"/>
  <c r="U1598" i="1"/>
  <c r="V1598" i="1"/>
  <c r="W1598" i="1"/>
  <c r="AB1598" i="1"/>
  <c r="AF1598" i="1"/>
  <c r="K1599" i="1"/>
  <c r="AC1599" i="1"/>
  <c r="AJ1598" i="1"/>
  <c r="AK1598" i="1"/>
  <c r="AM1598" i="1"/>
  <c r="BF1598" i="1"/>
  <c r="BG1598" i="1"/>
  <c r="T1599" i="1"/>
  <c r="U1599" i="1"/>
  <c r="V1599" i="1"/>
  <c r="W1599" i="1"/>
  <c r="AB1599" i="1"/>
  <c r="AF1599" i="1"/>
  <c r="K1600" i="1"/>
  <c r="AC1600" i="1"/>
  <c r="AJ1599" i="1"/>
  <c r="AK1599" i="1"/>
  <c r="AM1599" i="1"/>
  <c r="BF1599" i="1"/>
  <c r="BG1599" i="1"/>
  <c r="T1600" i="1"/>
  <c r="U1600" i="1"/>
  <c r="V1600" i="1"/>
  <c r="W1600" i="1"/>
  <c r="AB1600" i="1"/>
  <c r="AF1600" i="1"/>
  <c r="K1601" i="1"/>
  <c r="AC1601" i="1"/>
  <c r="AJ1600" i="1"/>
  <c r="AK1600" i="1"/>
  <c r="AM1600" i="1"/>
  <c r="BF1600" i="1"/>
  <c r="BG1600" i="1"/>
  <c r="T1601" i="1"/>
  <c r="U1601" i="1"/>
  <c r="V1601" i="1"/>
  <c r="W1601" i="1"/>
  <c r="AB1601" i="1"/>
  <c r="AF1601" i="1"/>
  <c r="AC1602" i="1"/>
  <c r="AJ1601" i="1"/>
  <c r="AK1601" i="1"/>
  <c r="AM1601" i="1"/>
  <c r="BF1601" i="1"/>
  <c r="BG1601" i="1"/>
  <c r="T1602" i="1"/>
  <c r="U1602" i="1"/>
  <c r="V1602" i="1"/>
  <c r="W1602" i="1"/>
  <c r="AB1602" i="1"/>
  <c r="AF1602" i="1"/>
  <c r="AC1603" i="1"/>
  <c r="AJ1602" i="1"/>
  <c r="AK1602" i="1"/>
  <c r="AM1602" i="1"/>
  <c r="BF1602" i="1"/>
  <c r="BG1602" i="1"/>
  <c r="T1603" i="1"/>
  <c r="U1603" i="1"/>
  <c r="V1603" i="1"/>
  <c r="W1603" i="1"/>
  <c r="AB1603" i="1"/>
  <c r="AF1603" i="1"/>
  <c r="K1604" i="1"/>
  <c r="AC1604" i="1"/>
  <c r="AJ1603" i="1"/>
  <c r="AK1603" i="1"/>
  <c r="AM1603" i="1"/>
  <c r="BF1603" i="1"/>
  <c r="BG1603" i="1"/>
  <c r="T1604" i="1"/>
  <c r="U1604" i="1"/>
  <c r="V1604" i="1"/>
  <c r="W1604" i="1"/>
  <c r="AB1604" i="1"/>
  <c r="AF1604" i="1"/>
  <c r="K1605" i="1"/>
  <c r="AC1605" i="1"/>
  <c r="AJ1604" i="1"/>
  <c r="AK1604" i="1"/>
  <c r="AM1604" i="1"/>
  <c r="BF1604" i="1"/>
  <c r="BG1604" i="1"/>
  <c r="T1605" i="1"/>
  <c r="U1605" i="1"/>
  <c r="V1605" i="1"/>
  <c r="W1605" i="1"/>
  <c r="AB1605" i="1"/>
  <c r="AF1605" i="1"/>
  <c r="K1606" i="1"/>
  <c r="AC1606" i="1"/>
  <c r="AJ1605" i="1"/>
  <c r="AK1605" i="1"/>
  <c r="AM1605" i="1"/>
  <c r="BF1605" i="1"/>
  <c r="BG1605" i="1"/>
  <c r="T1606" i="1"/>
  <c r="U1606" i="1"/>
  <c r="V1606" i="1"/>
  <c r="W1606" i="1"/>
  <c r="AB1606" i="1"/>
  <c r="AF1606" i="1"/>
  <c r="AC1607" i="1"/>
  <c r="AJ1606" i="1"/>
  <c r="AK1606" i="1"/>
  <c r="AM1606" i="1"/>
  <c r="BF1606" i="1"/>
  <c r="BG1606" i="1"/>
  <c r="T1607" i="1"/>
  <c r="U1607" i="1"/>
  <c r="V1607" i="1"/>
  <c r="W1607" i="1"/>
  <c r="AB1607" i="1"/>
  <c r="AF1607" i="1"/>
  <c r="AC1608" i="1"/>
  <c r="AJ1607" i="1"/>
  <c r="AK1607" i="1"/>
  <c r="AM1607" i="1"/>
  <c r="BF1607" i="1"/>
  <c r="BG1607" i="1"/>
  <c r="T1608" i="1"/>
  <c r="U1608" i="1"/>
  <c r="V1608" i="1"/>
  <c r="W1608" i="1"/>
  <c r="AB1608" i="1"/>
  <c r="AF1608" i="1"/>
  <c r="K1609" i="1"/>
  <c r="AC1609" i="1"/>
  <c r="AJ1608" i="1"/>
  <c r="AK1608" i="1"/>
  <c r="AM1608" i="1"/>
  <c r="BF1608" i="1"/>
  <c r="BG1608" i="1"/>
  <c r="T1609" i="1"/>
  <c r="U1609" i="1"/>
  <c r="V1609" i="1"/>
  <c r="W1609" i="1"/>
  <c r="AB1609" i="1"/>
  <c r="AF1609" i="1"/>
  <c r="K1610" i="1"/>
  <c r="AC1610" i="1"/>
  <c r="AJ1609" i="1"/>
  <c r="AK1609" i="1"/>
  <c r="AM1609" i="1"/>
  <c r="BF1609" i="1"/>
  <c r="BG1609" i="1"/>
  <c r="T1610" i="1"/>
  <c r="U1610" i="1"/>
  <c r="V1610" i="1"/>
  <c r="W1610" i="1"/>
  <c r="AB1610" i="1"/>
  <c r="AF1610" i="1"/>
  <c r="K1611" i="1"/>
  <c r="AC1611" i="1"/>
  <c r="AJ1610" i="1"/>
  <c r="AK1610" i="1"/>
  <c r="AM1610" i="1"/>
  <c r="BF1610" i="1"/>
  <c r="BG1610" i="1"/>
  <c r="T1611" i="1"/>
  <c r="U1611" i="1"/>
  <c r="V1611" i="1"/>
  <c r="W1611" i="1"/>
  <c r="AB1611" i="1"/>
  <c r="AF1611" i="1"/>
  <c r="AC1612" i="1"/>
  <c r="AJ1611" i="1"/>
  <c r="AK1611" i="1"/>
  <c r="AM1611" i="1"/>
  <c r="BF1611" i="1"/>
  <c r="BG1611" i="1"/>
  <c r="T1612" i="1"/>
  <c r="U1612" i="1"/>
  <c r="V1612" i="1"/>
  <c r="W1612" i="1"/>
  <c r="AB1612" i="1"/>
  <c r="AF1612" i="1"/>
  <c r="AC1613" i="1"/>
  <c r="AJ1612" i="1"/>
  <c r="AK1612" i="1"/>
  <c r="AM1612" i="1"/>
  <c r="BF1612" i="1"/>
  <c r="BG1612" i="1"/>
  <c r="T1613" i="1"/>
  <c r="U1613" i="1"/>
  <c r="V1613" i="1"/>
  <c r="W1613" i="1"/>
  <c r="AB1613" i="1"/>
  <c r="AF1613" i="1"/>
  <c r="K1614" i="1"/>
  <c r="AC1614" i="1"/>
  <c r="AJ1613" i="1"/>
  <c r="AK1613" i="1"/>
  <c r="AM1613" i="1"/>
  <c r="BF1613" i="1"/>
  <c r="BG1613" i="1"/>
  <c r="T1614" i="1"/>
  <c r="U1614" i="1"/>
  <c r="V1614" i="1"/>
  <c r="W1614" i="1"/>
  <c r="AB1614" i="1"/>
  <c r="AF1614" i="1"/>
  <c r="AC1615" i="1"/>
  <c r="AJ1614" i="1"/>
  <c r="AK1614" i="1"/>
  <c r="AM1614" i="1"/>
  <c r="BF1614" i="1"/>
  <c r="BG1614" i="1"/>
  <c r="T1615" i="1"/>
  <c r="U1615" i="1"/>
  <c r="V1615" i="1"/>
  <c r="W1615" i="1"/>
  <c r="AB1615" i="1"/>
  <c r="AF1615" i="1"/>
  <c r="AC1616" i="1"/>
  <c r="AJ1615" i="1"/>
  <c r="AK1615" i="1"/>
  <c r="AM1615" i="1"/>
  <c r="BF1615" i="1"/>
  <c r="BG1615" i="1"/>
  <c r="T1616" i="1"/>
  <c r="U1616" i="1"/>
  <c r="V1616" i="1"/>
  <c r="W1616" i="1"/>
  <c r="AB1616" i="1"/>
  <c r="AF1616" i="1"/>
  <c r="K1617" i="1"/>
  <c r="AC1617" i="1"/>
  <c r="AJ1616" i="1"/>
  <c r="AK1616" i="1"/>
  <c r="AM1616" i="1"/>
  <c r="BF1616" i="1"/>
  <c r="BG1616" i="1"/>
  <c r="T1617" i="1"/>
  <c r="U1617" i="1"/>
  <c r="V1617" i="1"/>
  <c r="W1617" i="1"/>
  <c r="AB1617" i="1"/>
  <c r="AF1617" i="1"/>
  <c r="AC1618" i="1"/>
  <c r="AJ1617" i="1"/>
  <c r="AK1617" i="1"/>
  <c r="AM1617" i="1"/>
  <c r="BF1617" i="1"/>
  <c r="BG1617" i="1"/>
  <c r="T1618" i="1"/>
  <c r="U1618" i="1"/>
  <c r="V1618" i="1"/>
  <c r="W1618" i="1"/>
  <c r="AB1618" i="1"/>
  <c r="AF1618" i="1"/>
  <c r="AC1619" i="1"/>
  <c r="AJ1618" i="1"/>
  <c r="AK1618" i="1"/>
  <c r="AM1618" i="1"/>
  <c r="BF1618" i="1"/>
  <c r="BG1618" i="1"/>
  <c r="T1619" i="1"/>
  <c r="U1619" i="1"/>
  <c r="V1619" i="1"/>
  <c r="W1619" i="1"/>
  <c r="AB1619" i="1"/>
  <c r="AF1619" i="1"/>
  <c r="K1620" i="1"/>
  <c r="AC1620" i="1"/>
  <c r="AJ1619" i="1"/>
  <c r="AK1619" i="1"/>
  <c r="AM1619" i="1"/>
  <c r="BF1619" i="1"/>
  <c r="BG1619" i="1"/>
  <c r="T1620" i="1"/>
  <c r="U1620" i="1"/>
  <c r="V1620" i="1"/>
  <c r="W1620" i="1"/>
  <c r="AB1620" i="1"/>
  <c r="AF1620" i="1"/>
  <c r="AC1621" i="1"/>
  <c r="AJ1620" i="1"/>
  <c r="AK1620" i="1"/>
  <c r="AM1620" i="1"/>
  <c r="BF1620" i="1"/>
  <c r="BG1620" i="1"/>
  <c r="T1621" i="1"/>
  <c r="U1621" i="1"/>
  <c r="V1621" i="1"/>
  <c r="W1621" i="1"/>
  <c r="AB1621" i="1"/>
  <c r="AF1621" i="1"/>
  <c r="AC1622" i="1"/>
  <c r="AJ1621" i="1"/>
  <c r="AK1621" i="1"/>
  <c r="AM1621" i="1"/>
  <c r="BF1621" i="1"/>
  <c r="BG1621" i="1"/>
  <c r="T1622" i="1"/>
  <c r="U1622" i="1"/>
  <c r="V1622" i="1"/>
  <c r="W1622" i="1"/>
  <c r="AB1622" i="1"/>
  <c r="AF1622" i="1"/>
  <c r="K1623" i="1"/>
  <c r="AC1623" i="1"/>
  <c r="AJ1622" i="1"/>
  <c r="AK1622" i="1"/>
  <c r="AM1622" i="1"/>
  <c r="BF1622" i="1"/>
  <c r="BG1622" i="1"/>
  <c r="T1623" i="1"/>
  <c r="U1623" i="1"/>
  <c r="V1623" i="1"/>
  <c r="W1623" i="1"/>
  <c r="AB1623" i="1"/>
  <c r="AF1623" i="1"/>
  <c r="K1624" i="1"/>
  <c r="AC1624" i="1"/>
  <c r="AJ1623" i="1"/>
  <c r="AK1623" i="1"/>
  <c r="AM1623" i="1"/>
  <c r="BF1623" i="1"/>
  <c r="BG1623" i="1"/>
  <c r="T1624" i="1"/>
  <c r="U1624" i="1"/>
  <c r="V1624" i="1"/>
  <c r="W1624" i="1"/>
  <c r="AB1624" i="1"/>
  <c r="AF1624" i="1"/>
  <c r="AC1625" i="1"/>
  <c r="AJ1624" i="1"/>
  <c r="AK1624" i="1"/>
  <c r="AM1624" i="1"/>
  <c r="BF1624" i="1"/>
  <c r="BG1624" i="1"/>
  <c r="T1625" i="1"/>
  <c r="U1625" i="1"/>
  <c r="V1625" i="1"/>
  <c r="W1625" i="1"/>
  <c r="AB1625" i="1"/>
  <c r="AF1625" i="1"/>
  <c r="AC1626" i="1"/>
  <c r="AJ1625" i="1"/>
  <c r="AK1625" i="1"/>
  <c r="AM1625" i="1"/>
  <c r="BF1625" i="1"/>
  <c r="BG1625" i="1"/>
  <c r="T1626" i="1"/>
  <c r="U1626" i="1"/>
  <c r="V1626" i="1"/>
  <c r="W1626" i="1"/>
  <c r="AB1626" i="1"/>
  <c r="AF1626" i="1"/>
  <c r="K1627" i="1"/>
  <c r="AC1627" i="1"/>
  <c r="AJ1626" i="1"/>
  <c r="AK1626" i="1"/>
  <c r="AM1626" i="1"/>
  <c r="BF1626" i="1"/>
  <c r="BG1626" i="1"/>
  <c r="T1627" i="1"/>
  <c r="U1627" i="1"/>
  <c r="V1627" i="1"/>
  <c r="W1627" i="1"/>
  <c r="AB1627" i="1"/>
  <c r="AF1627" i="1"/>
  <c r="AC1628" i="1"/>
  <c r="AJ1627" i="1"/>
  <c r="AK1627" i="1"/>
  <c r="AM1627" i="1"/>
  <c r="BF1627" i="1"/>
  <c r="BG1627" i="1"/>
  <c r="T1628" i="1"/>
  <c r="U1628" i="1"/>
  <c r="V1628" i="1"/>
  <c r="W1628" i="1"/>
  <c r="AB1628" i="1"/>
  <c r="AF1628" i="1"/>
  <c r="AC1629" i="1"/>
  <c r="AJ1628" i="1"/>
  <c r="AK1628" i="1"/>
  <c r="AM1628" i="1"/>
  <c r="BF1628" i="1"/>
  <c r="BG1628" i="1"/>
  <c r="T1629" i="1"/>
  <c r="U1629" i="1"/>
  <c r="V1629" i="1"/>
  <c r="W1629" i="1"/>
  <c r="AB1629" i="1"/>
  <c r="AF1629" i="1"/>
  <c r="K1630" i="1"/>
  <c r="AC1630" i="1"/>
  <c r="AJ1629" i="1"/>
  <c r="AK1629" i="1"/>
  <c r="AM1629" i="1"/>
  <c r="BF1629" i="1"/>
  <c r="BG1629" i="1"/>
  <c r="T1630" i="1"/>
  <c r="U1630" i="1"/>
  <c r="V1630" i="1"/>
  <c r="W1630" i="1"/>
  <c r="AB1630" i="1"/>
  <c r="AF1630" i="1"/>
  <c r="K1631" i="1"/>
  <c r="AC1631" i="1"/>
  <c r="AJ1630" i="1"/>
  <c r="AK1630" i="1"/>
  <c r="AM1630" i="1"/>
  <c r="BF1630" i="1"/>
  <c r="BG1630" i="1"/>
  <c r="T1631" i="1"/>
  <c r="U1631" i="1"/>
  <c r="V1631" i="1"/>
  <c r="W1631" i="1"/>
  <c r="AB1631" i="1"/>
  <c r="AF1631" i="1"/>
  <c r="K1632" i="1"/>
  <c r="AC1632" i="1"/>
  <c r="AJ1631" i="1"/>
  <c r="AK1631" i="1"/>
  <c r="AM1631" i="1"/>
  <c r="BF1631" i="1"/>
  <c r="BG1631" i="1"/>
  <c r="T1632" i="1"/>
  <c r="U1632" i="1"/>
  <c r="V1632" i="1"/>
  <c r="W1632" i="1"/>
  <c r="AB1632" i="1"/>
  <c r="AF1632" i="1"/>
  <c r="AC1633" i="1"/>
  <c r="AJ1632" i="1"/>
  <c r="AK1632" i="1"/>
  <c r="AM1632" i="1"/>
  <c r="BF1632" i="1"/>
  <c r="BG1632" i="1"/>
  <c r="T1633" i="1"/>
  <c r="U1633" i="1"/>
  <c r="V1633" i="1"/>
  <c r="W1633" i="1"/>
  <c r="AB1633" i="1"/>
  <c r="AF1633" i="1"/>
  <c r="AC1634" i="1"/>
  <c r="AJ1633" i="1"/>
  <c r="AK1633" i="1"/>
  <c r="AM1633" i="1"/>
  <c r="BF1633" i="1"/>
  <c r="BG1633" i="1"/>
  <c r="T1634" i="1"/>
  <c r="U1634" i="1"/>
  <c r="V1634" i="1"/>
  <c r="W1634" i="1"/>
  <c r="AB1634" i="1"/>
  <c r="AF1634" i="1"/>
  <c r="K1635" i="1"/>
  <c r="AC1635" i="1"/>
  <c r="AJ1634" i="1"/>
  <c r="AK1634" i="1"/>
  <c r="AM1634" i="1"/>
  <c r="BF1634" i="1"/>
  <c r="BG1634" i="1"/>
  <c r="T1635" i="1"/>
  <c r="U1635" i="1"/>
  <c r="V1635" i="1"/>
  <c r="W1635" i="1"/>
  <c r="AB1635" i="1"/>
  <c r="AF1635" i="1"/>
  <c r="AC1636" i="1"/>
  <c r="AJ1635" i="1"/>
  <c r="AK1635" i="1"/>
  <c r="AM1635" i="1"/>
  <c r="BF1635" i="1"/>
  <c r="BG1635" i="1"/>
  <c r="T1636" i="1"/>
  <c r="U1636" i="1"/>
  <c r="V1636" i="1"/>
  <c r="W1636" i="1"/>
  <c r="AB1636" i="1"/>
  <c r="AF1636" i="1"/>
  <c r="AC1637" i="1"/>
  <c r="AJ1636" i="1"/>
  <c r="AK1636" i="1"/>
  <c r="AM1636" i="1"/>
  <c r="BF1636" i="1"/>
  <c r="BG1636" i="1"/>
  <c r="T1637" i="1"/>
  <c r="U1637" i="1"/>
  <c r="V1637" i="1"/>
  <c r="W1637" i="1"/>
  <c r="AB1637" i="1"/>
  <c r="AF1637" i="1"/>
  <c r="K1638" i="1"/>
  <c r="AC1638" i="1"/>
  <c r="AJ1637" i="1"/>
  <c r="AK1637" i="1"/>
  <c r="AM1637" i="1"/>
  <c r="BF1637" i="1"/>
  <c r="BG1637" i="1"/>
  <c r="T1638" i="1"/>
  <c r="U1638" i="1"/>
  <c r="V1638" i="1"/>
  <c r="W1638" i="1"/>
  <c r="AB1638" i="1"/>
  <c r="AF1638" i="1"/>
  <c r="K1639" i="1"/>
  <c r="AC1639" i="1"/>
  <c r="AJ1638" i="1"/>
  <c r="AK1638" i="1"/>
  <c r="AM1638" i="1"/>
  <c r="BF1638" i="1"/>
  <c r="BG1638" i="1"/>
  <c r="T1639" i="1"/>
  <c r="U1639" i="1"/>
  <c r="V1639" i="1"/>
  <c r="W1639" i="1"/>
  <c r="AB1639" i="1"/>
  <c r="AF1639" i="1"/>
  <c r="K1640" i="1"/>
  <c r="AC1640" i="1"/>
  <c r="AJ1639" i="1"/>
  <c r="AK1639" i="1"/>
  <c r="AM1639" i="1"/>
  <c r="BF1639" i="1"/>
  <c r="BG1639" i="1"/>
  <c r="T1640" i="1"/>
  <c r="U1640" i="1"/>
  <c r="V1640" i="1"/>
  <c r="W1640" i="1"/>
  <c r="AB1640" i="1"/>
  <c r="AF1640" i="1"/>
  <c r="K1641" i="1"/>
  <c r="AC1641" i="1"/>
  <c r="AJ1640" i="1"/>
  <c r="AK1640" i="1"/>
  <c r="AM1640" i="1"/>
  <c r="BF1640" i="1"/>
  <c r="BG1640" i="1"/>
  <c r="T1641" i="1"/>
  <c r="U1641" i="1"/>
  <c r="V1641" i="1"/>
  <c r="W1641" i="1"/>
  <c r="AB1641" i="1"/>
  <c r="AF1641" i="1"/>
  <c r="K1642" i="1"/>
  <c r="AC1642" i="1"/>
  <c r="AJ1641" i="1"/>
  <c r="AK1641" i="1"/>
  <c r="AM1641" i="1"/>
  <c r="BF1641" i="1"/>
  <c r="BG1641" i="1"/>
  <c r="T1642" i="1"/>
  <c r="U1642" i="1"/>
  <c r="V1642" i="1"/>
  <c r="W1642" i="1"/>
  <c r="AB1642" i="1"/>
  <c r="AF1642" i="1"/>
  <c r="K1643" i="1"/>
  <c r="AC1643" i="1"/>
  <c r="AJ1642" i="1"/>
  <c r="AK1642" i="1"/>
  <c r="AM1642" i="1"/>
  <c r="BF1642" i="1"/>
  <c r="BG1642" i="1"/>
  <c r="T1643" i="1"/>
  <c r="U1643" i="1"/>
  <c r="V1643" i="1"/>
  <c r="W1643" i="1"/>
  <c r="AB1643" i="1"/>
  <c r="AF1643" i="1"/>
  <c r="K1644" i="1"/>
  <c r="AC1644" i="1"/>
  <c r="AJ1643" i="1"/>
  <c r="AK1643" i="1"/>
  <c r="AM1643" i="1"/>
  <c r="BF1643" i="1"/>
  <c r="BG1643" i="1"/>
  <c r="T1644" i="1"/>
  <c r="U1644" i="1"/>
  <c r="V1644" i="1"/>
  <c r="W1644" i="1"/>
  <c r="AB1644" i="1"/>
  <c r="AF1644" i="1"/>
  <c r="K1645" i="1"/>
  <c r="AC1645" i="1"/>
  <c r="AJ1644" i="1"/>
  <c r="AK1644" i="1"/>
  <c r="AM1644" i="1"/>
  <c r="BF1644" i="1"/>
  <c r="BG1644" i="1"/>
  <c r="T1645" i="1"/>
  <c r="U1645" i="1"/>
  <c r="V1645" i="1"/>
  <c r="W1645" i="1"/>
  <c r="AB1645" i="1"/>
  <c r="AF1645" i="1"/>
  <c r="AC1646" i="1"/>
  <c r="AJ1645" i="1"/>
  <c r="AK1645" i="1"/>
  <c r="AM1645" i="1"/>
  <c r="BF1645" i="1"/>
  <c r="BG1645" i="1"/>
  <c r="T1646" i="1"/>
  <c r="U1646" i="1"/>
  <c r="V1646" i="1"/>
  <c r="W1646" i="1"/>
  <c r="AB1646" i="1"/>
  <c r="AF1646" i="1"/>
  <c r="AC1647" i="1"/>
  <c r="AJ1646" i="1"/>
  <c r="AK1646" i="1"/>
  <c r="AM1646" i="1"/>
  <c r="BF1646" i="1"/>
  <c r="BG1646" i="1"/>
  <c r="T1647" i="1"/>
  <c r="U1647" i="1"/>
  <c r="V1647" i="1"/>
  <c r="W1647" i="1"/>
  <c r="AB1647" i="1"/>
  <c r="AF1647" i="1"/>
  <c r="K1648" i="1"/>
  <c r="AC1648" i="1"/>
  <c r="AJ1647" i="1"/>
  <c r="AK1647" i="1"/>
  <c r="AM1647" i="1"/>
  <c r="BF1647" i="1"/>
  <c r="BG1647" i="1"/>
  <c r="T1648" i="1"/>
  <c r="U1648" i="1"/>
  <c r="V1648" i="1"/>
  <c r="W1648" i="1"/>
  <c r="AB1648" i="1"/>
  <c r="AF1648" i="1"/>
  <c r="K1649" i="1"/>
  <c r="AC1649" i="1"/>
  <c r="AJ1648" i="1"/>
  <c r="AK1648" i="1"/>
  <c r="AM1648" i="1"/>
  <c r="BF1648" i="1"/>
  <c r="BG1648" i="1"/>
  <c r="T1649" i="1"/>
  <c r="U1649" i="1"/>
  <c r="V1649" i="1"/>
  <c r="W1649" i="1"/>
  <c r="AB1649" i="1"/>
  <c r="AF1649" i="1"/>
  <c r="K1650" i="1"/>
  <c r="AC1650" i="1"/>
  <c r="AJ1649" i="1"/>
  <c r="AK1649" i="1"/>
  <c r="AM1649" i="1"/>
  <c r="BF1649" i="1"/>
  <c r="BG1649" i="1"/>
  <c r="T1650" i="1"/>
  <c r="U1650" i="1"/>
  <c r="V1650" i="1"/>
  <c r="W1650" i="1"/>
  <c r="AB1650" i="1"/>
  <c r="AF1650" i="1"/>
  <c r="K1651" i="1"/>
  <c r="AC1651" i="1"/>
  <c r="AJ1650" i="1"/>
  <c r="AK1650" i="1"/>
  <c r="AM1650" i="1"/>
  <c r="BF1650" i="1"/>
  <c r="BG1650" i="1"/>
  <c r="T1651" i="1"/>
  <c r="U1651" i="1"/>
  <c r="V1651" i="1"/>
  <c r="W1651" i="1"/>
  <c r="AB1651" i="1"/>
  <c r="AF1651" i="1"/>
  <c r="AC1652" i="1"/>
  <c r="AJ1651" i="1"/>
  <c r="AK1651" i="1"/>
  <c r="AM1651" i="1"/>
  <c r="BF1651" i="1"/>
  <c r="BG1651" i="1"/>
  <c r="T1652" i="1"/>
  <c r="U1652" i="1"/>
  <c r="V1652" i="1"/>
  <c r="W1652" i="1"/>
  <c r="AB1652" i="1"/>
  <c r="AF1652" i="1"/>
  <c r="AC1653" i="1"/>
  <c r="AJ1652" i="1"/>
  <c r="AK1652" i="1"/>
  <c r="AM1652" i="1"/>
  <c r="BF1652" i="1"/>
  <c r="BG1652" i="1"/>
  <c r="T1653" i="1"/>
  <c r="U1653" i="1"/>
  <c r="V1653" i="1"/>
  <c r="W1653" i="1"/>
  <c r="AB1653" i="1"/>
  <c r="AF1653" i="1"/>
  <c r="K1654" i="1"/>
  <c r="AC1654" i="1"/>
  <c r="AJ1653" i="1"/>
  <c r="AK1653" i="1"/>
  <c r="AM1653" i="1"/>
  <c r="BF1653" i="1"/>
  <c r="BG1653" i="1"/>
  <c r="T1654" i="1"/>
  <c r="U1654" i="1"/>
  <c r="V1654" i="1"/>
  <c r="W1654" i="1"/>
  <c r="AB1654" i="1"/>
  <c r="AF1654" i="1"/>
  <c r="K1655" i="1"/>
  <c r="AC1655" i="1"/>
  <c r="AJ1654" i="1"/>
  <c r="AK1654" i="1"/>
  <c r="AM1654" i="1"/>
  <c r="BF1654" i="1"/>
  <c r="BG1654" i="1"/>
  <c r="T1655" i="1"/>
  <c r="U1655" i="1"/>
  <c r="V1655" i="1"/>
  <c r="W1655" i="1"/>
  <c r="AB1655" i="1"/>
  <c r="AF1655" i="1"/>
  <c r="AC1656" i="1"/>
  <c r="AJ1655" i="1"/>
  <c r="AK1655" i="1"/>
  <c r="AM1655" i="1"/>
  <c r="BF1655" i="1"/>
  <c r="BG1655" i="1"/>
  <c r="T1656" i="1"/>
  <c r="U1656" i="1"/>
  <c r="V1656" i="1"/>
  <c r="W1656" i="1"/>
  <c r="AB1656" i="1"/>
  <c r="AF1656" i="1"/>
  <c r="AC1657" i="1"/>
  <c r="AJ1656" i="1"/>
  <c r="AK1656" i="1"/>
  <c r="AM1656" i="1"/>
  <c r="BF1656" i="1"/>
  <c r="BG1656" i="1"/>
  <c r="T1657" i="1"/>
  <c r="U1657" i="1"/>
  <c r="V1657" i="1"/>
  <c r="W1657" i="1"/>
  <c r="AB1657" i="1"/>
  <c r="AF1657" i="1"/>
  <c r="K1658" i="1"/>
  <c r="AC1658" i="1"/>
  <c r="AJ1657" i="1"/>
  <c r="AK1657" i="1"/>
  <c r="AM1657" i="1"/>
  <c r="BF1657" i="1"/>
  <c r="BG1657" i="1"/>
  <c r="T1658" i="1"/>
  <c r="U1658" i="1"/>
  <c r="V1658" i="1"/>
  <c r="W1658" i="1"/>
  <c r="AB1658" i="1"/>
  <c r="AF1658" i="1"/>
  <c r="AC1659" i="1"/>
  <c r="AJ1658" i="1"/>
  <c r="AK1658" i="1"/>
  <c r="AM1658" i="1"/>
  <c r="BF1658" i="1"/>
  <c r="BG1658" i="1"/>
  <c r="T1659" i="1"/>
  <c r="U1659" i="1"/>
  <c r="V1659" i="1"/>
  <c r="W1659" i="1"/>
  <c r="AB1659" i="1"/>
  <c r="AF1659" i="1"/>
  <c r="K1660" i="1"/>
  <c r="AC1660" i="1"/>
  <c r="AJ1659" i="1"/>
  <c r="AK1659" i="1"/>
  <c r="AM1659" i="1"/>
  <c r="BF1659" i="1"/>
  <c r="BG1659" i="1"/>
  <c r="T1660" i="1"/>
  <c r="U1660" i="1"/>
  <c r="V1660" i="1"/>
  <c r="W1660" i="1"/>
  <c r="AB1660" i="1"/>
  <c r="AF1660" i="1"/>
  <c r="K1661" i="1"/>
  <c r="AC1661" i="1"/>
  <c r="AJ1660" i="1"/>
  <c r="AK1660" i="1"/>
  <c r="AM1660" i="1"/>
  <c r="BF1660" i="1"/>
  <c r="BG1660" i="1"/>
  <c r="T1661" i="1"/>
  <c r="U1661" i="1"/>
  <c r="V1661" i="1"/>
  <c r="W1661" i="1"/>
  <c r="AB1661" i="1"/>
  <c r="AF1661" i="1"/>
  <c r="K1662" i="1"/>
  <c r="AC1662" i="1"/>
  <c r="AJ1661" i="1"/>
  <c r="AK1661" i="1"/>
  <c r="AM1661" i="1"/>
  <c r="BF1661" i="1"/>
  <c r="BG1661" i="1"/>
  <c r="T1662" i="1"/>
  <c r="U1662" i="1"/>
  <c r="V1662" i="1"/>
  <c r="W1662" i="1"/>
  <c r="AB1662" i="1"/>
  <c r="AF1662" i="1"/>
  <c r="AC1663" i="1"/>
  <c r="AJ1662" i="1"/>
  <c r="AK1662" i="1"/>
  <c r="AM1662" i="1"/>
  <c r="BF1662" i="1"/>
  <c r="BG1662" i="1"/>
  <c r="T1663" i="1"/>
  <c r="U1663" i="1"/>
  <c r="V1663" i="1"/>
  <c r="W1663" i="1"/>
  <c r="AB1663" i="1"/>
  <c r="AF1663" i="1"/>
  <c r="AC1664" i="1"/>
  <c r="AJ1663" i="1"/>
  <c r="AK1663" i="1"/>
  <c r="AM1663" i="1"/>
  <c r="BF1663" i="1"/>
  <c r="BG1663" i="1"/>
  <c r="T1664" i="1"/>
  <c r="U1664" i="1"/>
  <c r="V1664" i="1"/>
  <c r="W1664" i="1"/>
  <c r="AB1664" i="1"/>
  <c r="AF1664" i="1"/>
  <c r="K1665" i="1"/>
  <c r="AC1665" i="1"/>
  <c r="AJ1664" i="1"/>
  <c r="AK1664" i="1"/>
  <c r="AM1664" i="1"/>
  <c r="BF1664" i="1"/>
  <c r="BG1664" i="1"/>
  <c r="T1665" i="1"/>
  <c r="U1665" i="1"/>
  <c r="V1665" i="1"/>
  <c r="W1665" i="1"/>
  <c r="AB1665" i="1"/>
  <c r="AF1665" i="1"/>
  <c r="K1666" i="1"/>
  <c r="AC1666" i="1"/>
  <c r="AJ1665" i="1"/>
  <c r="AK1665" i="1"/>
  <c r="AM1665" i="1"/>
  <c r="BF1665" i="1"/>
  <c r="BG1665" i="1"/>
  <c r="T1666" i="1"/>
  <c r="U1666" i="1"/>
  <c r="V1666" i="1"/>
  <c r="W1666" i="1"/>
  <c r="AB1666" i="1"/>
  <c r="AF1666" i="1"/>
  <c r="K1667" i="1"/>
  <c r="AC1667" i="1"/>
  <c r="AJ1666" i="1"/>
  <c r="AK1666" i="1"/>
  <c r="AM1666" i="1"/>
  <c r="BF1666" i="1"/>
  <c r="BG1666" i="1"/>
  <c r="T1667" i="1"/>
  <c r="U1667" i="1"/>
  <c r="V1667" i="1"/>
  <c r="W1667" i="1"/>
  <c r="AB1667" i="1"/>
  <c r="AF1667" i="1"/>
  <c r="K1668" i="1"/>
  <c r="AC1668" i="1"/>
  <c r="AJ1667" i="1"/>
  <c r="AK1667" i="1"/>
  <c r="AM1667" i="1"/>
  <c r="BF1667" i="1"/>
  <c r="BG1667" i="1"/>
  <c r="T1668" i="1"/>
  <c r="U1668" i="1"/>
  <c r="V1668" i="1"/>
  <c r="W1668" i="1"/>
  <c r="AB1668" i="1"/>
  <c r="AF1668" i="1"/>
  <c r="K1669" i="1"/>
  <c r="AC1669" i="1"/>
  <c r="AJ1668" i="1"/>
  <c r="AK1668" i="1"/>
  <c r="AM1668" i="1"/>
  <c r="BF1668" i="1"/>
  <c r="BG1668" i="1"/>
  <c r="T1669" i="1"/>
  <c r="U1669" i="1"/>
  <c r="V1669" i="1"/>
  <c r="W1669" i="1"/>
  <c r="AB1669" i="1"/>
  <c r="AF1669" i="1"/>
  <c r="K1670" i="1"/>
  <c r="AC1670" i="1"/>
  <c r="AJ1669" i="1"/>
  <c r="AK1669" i="1"/>
  <c r="AM1669" i="1"/>
  <c r="BF1669" i="1"/>
  <c r="BG1669" i="1"/>
  <c r="T1670" i="1"/>
  <c r="U1670" i="1"/>
  <c r="V1670" i="1"/>
  <c r="W1670" i="1"/>
  <c r="AB1670" i="1"/>
  <c r="AF1670" i="1"/>
  <c r="K1671" i="1"/>
  <c r="AC1671" i="1"/>
  <c r="AJ1670" i="1"/>
  <c r="AK1670" i="1"/>
  <c r="AM1670" i="1"/>
  <c r="BF1670" i="1"/>
  <c r="BG1670" i="1"/>
  <c r="T1671" i="1"/>
  <c r="U1671" i="1"/>
  <c r="V1671" i="1"/>
  <c r="W1671" i="1"/>
  <c r="AB1671" i="1"/>
  <c r="AF1671" i="1"/>
  <c r="K1672" i="1"/>
  <c r="AC1672" i="1"/>
  <c r="AJ1671" i="1"/>
  <c r="AK1671" i="1"/>
  <c r="AM1671" i="1"/>
  <c r="BF1671" i="1"/>
  <c r="BG1671" i="1"/>
  <c r="T1672" i="1"/>
  <c r="U1672" i="1"/>
  <c r="V1672" i="1"/>
  <c r="W1672" i="1"/>
  <c r="AB1672" i="1"/>
  <c r="AF1672" i="1"/>
  <c r="K1673" i="1"/>
  <c r="AC1673" i="1"/>
  <c r="AJ1672" i="1"/>
  <c r="AK1672" i="1"/>
  <c r="AM1672" i="1"/>
  <c r="BF1672" i="1"/>
  <c r="BG1672" i="1"/>
  <c r="T1673" i="1"/>
  <c r="U1673" i="1"/>
  <c r="V1673" i="1"/>
  <c r="W1673" i="1"/>
  <c r="AB1673" i="1"/>
  <c r="AF1673" i="1"/>
  <c r="K1674" i="1"/>
  <c r="AC1674" i="1"/>
  <c r="AJ1673" i="1"/>
  <c r="AK1673" i="1"/>
  <c r="AM1673" i="1"/>
  <c r="BF1673" i="1"/>
  <c r="BG1673" i="1"/>
  <c r="T1674" i="1"/>
  <c r="U1674" i="1"/>
  <c r="V1674" i="1"/>
  <c r="W1674" i="1"/>
  <c r="AB1674" i="1"/>
  <c r="AF1674" i="1"/>
  <c r="K1675" i="1"/>
  <c r="AC1675" i="1"/>
  <c r="AJ1674" i="1"/>
  <c r="AK1674" i="1"/>
  <c r="AM1674" i="1"/>
  <c r="BF1674" i="1"/>
  <c r="BG1674" i="1"/>
  <c r="T1675" i="1"/>
  <c r="U1675" i="1"/>
  <c r="V1675" i="1"/>
  <c r="W1675" i="1"/>
  <c r="AB1675" i="1"/>
  <c r="AF1675" i="1"/>
  <c r="K1676" i="1"/>
  <c r="AC1676" i="1"/>
  <c r="AJ1675" i="1"/>
  <c r="AK1675" i="1"/>
  <c r="AM1675" i="1"/>
  <c r="BF1675" i="1"/>
  <c r="BG1675" i="1"/>
  <c r="T1676" i="1"/>
  <c r="U1676" i="1"/>
  <c r="V1676" i="1"/>
  <c r="W1676" i="1"/>
  <c r="AB1676" i="1"/>
  <c r="AF1676" i="1"/>
  <c r="K1677" i="1"/>
  <c r="AC1677" i="1"/>
  <c r="AJ1676" i="1"/>
  <c r="AK1676" i="1"/>
  <c r="AM1676" i="1"/>
  <c r="BF1676" i="1"/>
  <c r="BG1676" i="1"/>
  <c r="T1677" i="1"/>
  <c r="U1677" i="1"/>
  <c r="V1677" i="1"/>
  <c r="W1677" i="1"/>
  <c r="AB1677" i="1"/>
  <c r="AF1677" i="1"/>
  <c r="K1678" i="1"/>
  <c r="AC1678" i="1"/>
  <c r="AJ1677" i="1"/>
  <c r="AK1677" i="1"/>
  <c r="AM1677" i="1"/>
  <c r="BF1677" i="1"/>
  <c r="BG1677" i="1"/>
  <c r="T1678" i="1"/>
  <c r="U1678" i="1"/>
  <c r="V1678" i="1"/>
  <c r="W1678" i="1"/>
  <c r="AB1678" i="1"/>
  <c r="AF1678" i="1"/>
  <c r="K1679" i="1"/>
  <c r="AC1679" i="1"/>
  <c r="AJ1678" i="1"/>
  <c r="AK1678" i="1"/>
  <c r="AM1678" i="1"/>
  <c r="BF1678" i="1"/>
  <c r="BG1678" i="1"/>
  <c r="T1679" i="1"/>
  <c r="U1679" i="1"/>
  <c r="V1679" i="1"/>
  <c r="W1679" i="1"/>
  <c r="AB1679" i="1"/>
  <c r="AF1679" i="1"/>
  <c r="K1680" i="1"/>
  <c r="AC1680" i="1"/>
  <c r="AJ1679" i="1"/>
  <c r="AK1679" i="1"/>
  <c r="AM1679" i="1"/>
  <c r="BF1679" i="1"/>
  <c r="BG1679" i="1"/>
  <c r="T1680" i="1"/>
  <c r="U1680" i="1"/>
  <c r="V1680" i="1"/>
  <c r="W1680" i="1"/>
  <c r="AB1680" i="1"/>
  <c r="AF1680" i="1"/>
  <c r="K1681" i="1"/>
  <c r="AC1681" i="1"/>
  <c r="AJ1680" i="1"/>
  <c r="AK1680" i="1"/>
  <c r="AM1680" i="1"/>
  <c r="BF1680" i="1"/>
  <c r="BG1680" i="1"/>
  <c r="T1681" i="1"/>
  <c r="U1681" i="1"/>
  <c r="V1681" i="1"/>
  <c r="W1681" i="1"/>
  <c r="AB1681" i="1"/>
  <c r="AF1681" i="1"/>
  <c r="AC1682" i="1"/>
  <c r="AJ1681" i="1"/>
  <c r="AK1681" i="1"/>
  <c r="AM1681" i="1"/>
  <c r="BF1681" i="1"/>
  <c r="BG1681" i="1"/>
  <c r="T1682" i="1"/>
  <c r="U1682" i="1"/>
  <c r="V1682" i="1"/>
  <c r="W1682" i="1"/>
  <c r="AB1682" i="1"/>
  <c r="AF1682" i="1"/>
  <c r="AC1683" i="1"/>
  <c r="AJ1682" i="1"/>
  <c r="AK1682" i="1"/>
  <c r="AM1682" i="1"/>
  <c r="BF1682" i="1"/>
  <c r="BG1682" i="1"/>
  <c r="T1683" i="1"/>
  <c r="U1683" i="1"/>
  <c r="V1683" i="1"/>
  <c r="W1683" i="1"/>
  <c r="AB1683" i="1"/>
  <c r="AF1683" i="1"/>
  <c r="K1684" i="1"/>
  <c r="AC1684" i="1"/>
  <c r="AJ1683" i="1"/>
  <c r="AK1683" i="1"/>
  <c r="AM1683" i="1"/>
  <c r="BF1683" i="1"/>
  <c r="BG1683" i="1"/>
  <c r="T1684" i="1"/>
  <c r="U1684" i="1"/>
  <c r="V1684" i="1"/>
  <c r="W1684" i="1"/>
  <c r="AB1684" i="1"/>
  <c r="AF1684" i="1"/>
  <c r="AC1685" i="1"/>
  <c r="AJ1684" i="1"/>
  <c r="AK1684" i="1"/>
  <c r="AM1684" i="1"/>
  <c r="BF1684" i="1"/>
  <c r="BG1684" i="1"/>
  <c r="T1685" i="1"/>
  <c r="U1685" i="1"/>
  <c r="V1685" i="1"/>
  <c r="W1685" i="1"/>
  <c r="AB1685" i="1"/>
  <c r="AF1685" i="1"/>
  <c r="AC1686" i="1"/>
  <c r="AJ1685" i="1"/>
  <c r="AK1685" i="1"/>
  <c r="AM1685" i="1"/>
  <c r="BF1685" i="1"/>
  <c r="BG1685" i="1"/>
  <c r="T1686" i="1"/>
  <c r="U1686" i="1"/>
  <c r="V1686" i="1"/>
  <c r="W1686" i="1"/>
  <c r="AB1686" i="1"/>
  <c r="AF1686" i="1"/>
  <c r="K1687" i="1"/>
  <c r="AC1687" i="1"/>
  <c r="AJ1686" i="1"/>
  <c r="AK1686" i="1"/>
  <c r="AM1686" i="1"/>
  <c r="BF1686" i="1"/>
  <c r="BG1686" i="1"/>
  <c r="T1687" i="1"/>
  <c r="U1687" i="1"/>
  <c r="V1687" i="1"/>
  <c r="W1687" i="1"/>
  <c r="AB1687" i="1"/>
  <c r="AF1687" i="1"/>
  <c r="K1688" i="1"/>
  <c r="AC1688" i="1"/>
  <c r="AJ1687" i="1"/>
  <c r="AK1687" i="1"/>
  <c r="AM1687" i="1"/>
  <c r="BF1687" i="1"/>
  <c r="BG1687" i="1"/>
  <c r="T1688" i="1"/>
  <c r="U1688" i="1"/>
  <c r="V1688" i="1"/>
  <c r="W1688" i="1"/>
  <c r="AB1688" i="1"/>
  <c r="AF1688" i="1"/>
  <c r="AC1689" i="1"/>
  <c r="AJ1688" i="1"/>
  <c r="AK1688" i="1"/>
  <c r="AM1688" i="1"/>
  <c r="BF1688" i="1"/>
  <c r="BG1688" i="1"/>
  <c r="T1689" i="1"/>
  <c r="U1689" i="1"/>
  <c r="V1689" i="1"/>
  <c r="W1689" i="1"/>
  <c r="AB1689" i="1"/>
  <c r="AF1689" i="1"/>
  <c r="AC1690" i="1"/>
  <c r="AJ1689" i="1"/>
  <c r="AK1689" i="1"/>
  <c r="AM1689" i="1"/>
  <c r="BF1689" i="1"/>
  <c r="BG1689" i="1"/>
  <c r="T1690" i="1"/>
  <c r="U1690" i="1"/>
  <c r="V1690" i="1"/>
  <c r="W1690" i="1"/>
  <c r="AB1690" i="1"/>
  <c r="AF1690" i="1"/>
  <c r="K1691" i="1"/>
  <c r="AC1691" i="1"/>
  <c r="AJ1690" i="1"/>
  <c r="AK1690" i="1"/>
  <c r="AM1690" i="1"/>
  <c r="BF1690" i="1"/>
  <c r="BG1690" i="1"/>
  <c r="T1691" i="1"/>
  <c r="U1691" i="1"/>
  <c r="V1691" i="1"/>
  <c r="W1691" i="1"/>
  <c r="AB1691" i="1"/>
  <c r="AF1691" i="1"/>
  <c r="K1692" i="1"/>
  <c r="AC1692" i="1"/>
  <c r="AJ1691" i="1"/>
  <c r="AK1691" i="1"/>
  <c r="AM1691" i="1"/>
  <c r="BF1691" i="1"/>
  <c r="BG1691" i="1"/>
  <c r="T1692" i="1"/>
  <c r="U1692" i="1"/>
  <c r="V1692" i="1"/>
  <c r="W1692" i="1"/>
  <c r="AB1692" i="1"/>
  <c r="AF1692" i="1"/>
  <c r="K1693" i="1"/>
  <c r="AC1693" i="1"/>
  <c r="AJ1692" i="1"/>
  <c r="AK1692" i="1"/>
  <c r="AM1692" i="1"/>
  <c r="BF1692" i="1"/>
  <c r="BG1692" i="1"/>
  <c r="T1693" i="1"/>
  <c r="U1693" i="1"/>
  <c r="V1693" i="1"/>
  <c r="W1693" i="1"/>
  <c r="AB1693" i="1"/>
  <c r="AF1693" i="1"/>
  <c r="K1694" i="1"/>
  <c r="AC1694" i="1"/>
  <c r="AJ1693" i="1"/>
  <c r="AK1693" i="1"/>
  <c r="AM1693" i="1"/>
  <c r="BF1693" i="1"/>
  <c r="BG1693" i="1"/>
  <c r="T1694" i="1"/>
  <c r="U1694" i="1"/>
  <c r="V1694" i="1"/>
  <c r="W1694" i="1"/>
  <c r="AB1694" i="1"/>
  <c r="AF1694" i="1"/>
  <c r="K1695" i="1"/>
  <c r="AC1695" i="1"/>
  <c r="AJ1694" i="1"/>
  <c r="AK1694" i="1"/>
  <c r="AM1694" i="1"/>
  <c r="BF1694" i="1"/>
  <c r="BG1694" i="1"/>
  <c r="T1695" i="1"/>
  <c r="U1695" i="1"/>
  <c r="V1695" i="1"/>
  <c r="W1695" i="1"/>
  <c r="AB1695" i="1"/>
  <c r="AF1695" i="1"/>
  <c r="K1696" i="1"/>
  <c r="AC1696" i="1"/>
  <c r="AJ1695" i="1"/>
  <c r="AK1695" i="1"/>
  <c r="AM1695" i="1"/>
  <c r="BF1695" i="1"/>
  <c r="BG1695" i="1"/>
  <c r="T1696" i="1"/>
  <c r="U1696" i="1"/>
  <c r="V1696" i="1"/>
  <c r="W1696" i="1"/>
  <c r="AB1696" i="1"/>
  <c r="AF1696" i="1"/>
  <c r="K1697" i="1"/>
  <c r="AC1697" i="1"/>
  <c r="AJ1696" i="1"/>
  <c r="AK1696" i="1"/>
  <c r="AM1696" i="1"/>
  <c r="BF1696" i="1"/>
  <c r="BG1696" i="1"/>
  <c r="T1697" i="1"/>
  <c r="U1697" i="1"/>
  <c r="V1697" i="1"/>
  <c r="W1697" i="1"/>
  <c r="AB1697" i="1"/>
  <c r="AF1697" i="1"/>
  <c r="AC1698" i="1"/>
  <c r="AJ1697" i="1"/>
  <c r="AK1697" i="1"/>
  <c r="AM1697" i="1"/>
  <c r="BF1697" i="1"/>
  <c r="BG1697" i="1"/>
  <c r="T1698" i="1"/>
  <c r="U1698" i="1"/>
  <c r="V1698" i="1"/>
  <c r="W1698" i="1"/>
  <c r="AB1698" i="1"/>
  <c r="AF1698" i="1"/>
  <c r="AC1699" i="1"/>
  <c r="AJ1698" i="1"/>
  <c r="AK1698" i="1"/>
  <c r="AM1698" i="1"/>
  <c r="BF1698" i="1"/>
  <c r="BG1698" i="1"/>
  <c r="T1699" i="1"/>
  <c r="U1699" i="1"/>
  <c r="V1699" i="1"/>
  <c r="W1699" i="1"/>
  <c r="AB1699" i="1"/>
  <c r="AF1699" i="1"/>
  <c r="K1700" i="1"/>
  <c r="AC1700" i="1"/>
  <c r="AJ1699" i="1"/>
  <c r="AK1699" i="1"/>
  <c r="AM1699" i="1"/>
  <c r="BF1699" i="1"/>
  <c r="BG1699" i="1"/>
  <c r="T1700" i="1"/>
  <c r="U1700" i="1"/>
  <c r="V1700" i="1"/>
  <c r="W1700" i="1"/>
  <c r="AB1700" i="1"/>
  <c r="AF1700" i="1"/>
  <c r="K1701" i="1"/>
  <c r="AC1701" i="1"/>
  <c r="AJ1700" i="1"/>
  <c r="AK1700" i="1"/>
  <c r="AM1700" i="1"/>
  <c r="BF1700" i="1"/>
  <c r="BG1700" i="1"/>
  <c r="T1701" i="1"/>
  <c r="U1701" i="1"/>
  <c r="V1701" i="1"/>
  <c r="W1701" i="1"/>
  <c r="AB1701" i="1"/>
  <c r="AF1701" i="1"/>
  <c r="AC1702" i="1"/>
  <c r="AJ1701" i="1"/>
  <c r="AK1701" i="1"/>
  <c r="AM1701" i="1"/>
  <c r="BF1701" i="1"/>
  <c r="BG1701" i="1"/>
  <c r="T1702" i="1"/>
  <c r="U1702" i="1"/>
  <c r="V1702" i="1"/>
  <c r="W1702" i="1"/>
  <c r="AB1702" i="1"/>
  <c r="AF1702" i="1"/>
  <c r="AC1703" i="1"/>
  <c r="AJ1702" i="1"/>
  <c r="AK1702" i="1"/>
  <c r="AM1702" i="1"/>
  <c r="BF1702" i="1"/>
  <c r="BG1702" i="1"/>
  <c r="T1703" i="1"/>
  <c r="U1703" i="1"/>
  <c r="V1703" i="1"/>
  <c r="W1703" i="1"/>
  <c r="AB1703" i="1"/>
  <c r="AF1703" i="1"/>
  <c r="K1704" i="1"/>
  <c r="AC1704" i="1"/>
  <c r="AJ1703" i="1"/>
  <c r="AK1703" i="1"/>
  <c r="AM1703" i="1"/>
  <c r="BF1703" i="1"/>
  <c r="BG1703" i="1"/>
  <c r="T1704" i="1"/>
  <c r="U1704" i="1"/>
  <c r="V1704" i="1"/>
  <c r="W1704" i="1"/>
  <c r="AB1704" i="1"/>
  <c r="AF1704" i="1"/>
  <c r="K1705" i="1"/>
  <c r="AC1705" i="1"/>
  <c r="AJ1704" i="1"/>
  <c r="AK1704" i="1"/>
  <c r="AM1704" i="1"/>
  <c r="BF1704" i="1"/>
  <c r="BG1704" i="1"/>
  <c r="T1705" i="1"/>
  <c r="U1705" i="1"/>
  <c r="V1705" i="1"/>
  <c r="W1705" i="1"/>
  <c r="AB1705" i="1"/>
  <c r="AF1705" i="1"/>
  <c r="AC1706" i="1"/>
  <c r="AJ1705" i="1"/>
  <c r="AK1705" i="1"/>
  <c r="AM1705" i="1"/>
  <c r="BF1705" i="1"/>
  <c r="BG1705" i="1"/>
  <c r="T1706" i="1"/>
  <c r="U1706" i="1"/>
  <c r="V1706" i="1"/>
  <c r="W1706" i="1"/>
  <c r="AB1706" i="1"/>
  <c r="AF1706" i="1"/>
  <c r="AC1707" i="1"/>
  <c r="AJ1706" i="1"/>
  <c r="AK1706" i="1"/>
  <c r="AM1706" i="1"/>
  <c r="BF1706" i="1"/>
  <c r="BG1706" i="1"/>
  <c r="T1707" i="1"/>
  <c r="U1707" i="1"/>
  <c r="V1707" i="1"/>
  <c r="W1707" i="1"/>
  <c r="AB1707" i="1"/>
  <c r="AF1707" i="1"/>
  <c r="K1708" i="1"/>
  <c r="AC1708" i="1"/>
  <c r="AJ1707" i="1"/>
  <c r="AK1707" i="1"/>
  <c r="AM1707" i="1"/>
  <c r="BF1707" i="1"/>
  <c r="BG1707" i="1"/>
  <c r="T1708" i="1"/>
  <c r="U1708" i="1"/>
  <c r="V1708" i="1"/>
  <c r="W1708" i="1"/>
  <c r="AB1708" i="1"/>
  <c r="AF1708" i="1"/>
  <c r="AC1709" i="1"/>
  <c r="AJ1708" i="1"/>
  <c r="AK1708" i="1"/>
  <c r="AM1708" i="1"/>
  <c r="BF1708" i="1"/>
  <c r="BG1708" i="1"/>
  <c r="T1709" i="1"/>
  <c r="U1709" i="1"/>
  <c r="V1709" i="1"/>
  <c r="W1709" i="1"/>
  <c r="AB1709" i="1"/>
  <c r="AF1709" i="1"/>
  <c r="AC1710" i="1"/>
  <c r="AJ1709" i="1"/>
  <c r="AK1709" i="1"/>
  <c r="AM1709" i="1"/>
  <c r="BF1709" i="1"/>
  <c r="BG1709" i="1"/>
  <c r="T1710" i="1"/>
  <c r="U1710" i="1"/>
  <c r="V1710" i="1"/>
  <c r="W1710" i="1"/>
  <c r="AB1710" i="1"/>
  <c r="AF1710" i="1"/>
  <c r="K1711" i="1"/>
  <c r="AC1711" i="1"/>
  <c r="AJ1710" i="1"/>
  <c r="AK1710" i="1"/>
  <c r="AM1710" i="1"/>
  <c r="BF1710" i="1"/>
  <c r="BG1710" i="1"/>
  <c r="T1711" i="1"/>
  <c r="U1711" i="1"/>
  <c r="V1711" i="1"/>
  <c r="W1711" i="1"/>
  <c r="AB1711" i="1"/>
  <c r="AF1711" i="1"/>
  <c r="AC1712" i="1"/>
  <c r="AJ1711" i="1"/>
  <c r="AK1711" i="1"/>
  <c r="AM1711" i="1"/>
  <c r="BF1711" i="1"/>
  <c r="BG1711" i="1"/>
  <c r="T1712" i="1"/>
  <c r="U1712" i="1"/>
  <c r="V1712" i="1"/>
  <c r="W1712" i="1"/>
  <c r="AB1712" i="1"/>
  <c r="AF1712" i="1"/>
  <c r="AC1713" i="1"/>
  <c r="AJ1712" i="1"/>
  <c r="AK1712" i="1"/>
  <c r="AM1712" i="1"/>
  <c r="BF1712" i="1"/>
  <c r="BG1712" i="1"/>
  <c r="T1713" i="1"/>
  <c r="U1713" i="1"/>
  <c r="V1713" i="1"/>
  <c r="W1713" i="1"/>
  <c r="AB1713" i="1"/>
  <c r="AF1713" i="1"/>
  <c r="K1714" i="1"/>
  <c r="AC1714" i="1"/>
  <c r="AJ1713" i="1"/>
  <c r="AK1713" i="1"/>
  <c r="AM1713" i="1"/>
  <c r="BF1713" i="1"/>
  <c r="BG1713" i="1"/>
  <c r="T1714" i="1"/>
  <c r="U1714" i="1"/>
  <c r="V1714" i="1"/>
  <c r="W1714" i="1"/>
  <c r="AB1714" i="1"/>
  <c r="AF1714" i="1"/>
  <c r="K1715" i="1"/>
  <c r="AC1715" i="1"/>
  <c r="AJ1714" i="1"/>
  <c r="AK1714" i="1"/>
  <c r="AM1714" i="1"/>
  <c r="BF1714" i="1"/>
  <c r="BG1714" i="1"/>
  <c r="T1715" i="1"/>
  <c r="U1715" i="1"/>
  <c r="V1715" i="1"/>
  <c r="W1715" i="1"/>
  <c r="AB1715" i="1"/>
  <c r="AF1715" i="1"/>
  <c r="K1716" i="1"/>
  <c r="AC1716" i="1"/>
  <c r="AJ1715" i="1"/>
  <c r="AK1715" i="1"/>
  <c r="AM1715" i="1"/>
  <c r="BF1715" i="1"/>
  <c r="BG1715" i="1"/>
  <c r="T1716" i="1"/>
  <c r="U1716" i="1"/>
  <c r="V1716" i="1"/>
  <c r="W1716" i="1"/>
  <c r="AB1716" i="1"/>
  <c r="AF1716" i="1"/>
  <c r="K1717" i="1"/>
  <c r="AC1717" i="1"/>
  <c r="AJ1716" i="1"/>
  <c r="AK1716" i="1"/>
  <c r="AM1716" i="1"/>
  <c r="BF1716" i="1"/>
  <c r="BG1716" i="1"/>
  <c r="T1717" i="1"/>
  <c r="U1717" i="1"/>
  <c r="V1717" i="1"/>
  <c r="W1717" i="1"/>
  <c r="AB1717" i="1"/>
  <c r="AF1717" i="1"/>
  <c r="AC1718" i="1"/>
  <c r="AJ1717" i="1"/>
  <c r="AK1717" i="1"/>
  <c r="AM1717" i="1"/>
  <c r="BF1717" i="1"/>
  <c r="BG1717" i="1"/>
  <c r="T1718" i="1"/>
  <c r="U1718" i="1"/>
  <c r="V1718" i="1"/>
  <c r="W1718" i="1"/>
  <c r="AB1718" i="1"/>
  <c r="AF1718" i="1"/>
  <c r="AC1719" i="1"/>
  <c r="AJ1718" i="1"/>
  <c r="AK1718" i="1"/>
  <c r="AM1718" i="1"/>
  <c r="BF1718" i="1"/>
  <c r="BG1718" i="1"/>
  <c r="T1719" i="1"/>
  <c r="U1719" i="1"/>
  <c r="V1719" i="1"/>
  <c r="W1719" i="1"/>
  <c r="AB1719" i="1"/>
  <c r="AF1719" i="1"/>
  <c r="K1720" i="1"/>
  <c r="AC1720" i="1"/>
  <c r="AJ1719" i="1"/>
  <c r="AK1719" i="1"/>
  <c r="AM1719" i="1"/>
  <c r="BF1719" i="1"/>
  <c r="BG1719" i="1"/>
  <c r="T1720" i="1"/>
  <c r="U1720" i="1"/>
  <c r="V1720" i="1"/>
  <c r="W1720" i="1"/>
  <c r="AB1720" i="1"/>
  <c r="AF1720" i="1"/>
  <c r="K1721" i="1"/>
  <c r="AC1721" i="1"/>
  <c r="AJ1720" i="1"/>
  <c r="AK1720" i="1"/>
  <c r="AM1720" i="1"/>
  <c r="BF1720" i="1"/>
  <c r="BG1720" i="1"/>
  <c r="T1721" i="1"/>
  <c r="U1721" i="1"/>
  <c r="V1721" i="1"/>
  <c r="W1721" i="1"/>
  <c r="AB1721" i="1"/>
  <c r="AF1721" i="1"/>
  <c r="K1722" i="1"/>
  <c r="AC1722" i="1"/>
  <c r="AJ1721" i="1"/>
  <c r="AK1721" i="1"/>
  <c r="AM1721" i="1"/>
  <c r="BF1721" i="1"/>
  <c r="BG1721" i="1"/>
  <c r="T1722" i="1"/>
  <c r="U1722" i="1"/>
  <c r="V1722" i="1"/>
  <c r="W1722" i="1"/>
  <c r="AB1722" i="1"/>
  <c r="AF1722" i="1"/>
  <c r="AC1723" i="1"/>
  <c r="AJ1722" i="1"/>
  <c r="AK1722" i="1"/>
  <c r="AM1722" i="1"/>
  <c r="BF1722" i="1"/>
  <c r="BG1722" i="1"/>
  <c r="T1723" i="1"/>
  <c r="U1723" i="1"/>
  <c r="V1723" i="1"/>
  <c r="W1723" i="1"/>
  <c r="AB1723" i="1"/>
  <c r="AF1723" i="1"/>
  <c r="AC1724" i="1"/>
  <c r="AJ1723" i="1"/>
  <c r="AK1723" i="1"/>
  <c r="AM1723" i="1"/>
  <c r="BF1723" i="1"/>
  <c r="BG1723" i="1"/>
  <c r="T1724" i="1"/>
  <c r="U1724" i="1"/>
  <c r="V1724" i="1"/>
  <c r="W1724" i="1"/>
  <c r="AB1724" i="1"/>
  <c r="AF1724" i="1"/>
  <c r="K1725" i="1"/>
  <c r="AC1725" i="1"/>
  <c r="AJ1724" i="1"/>
  <c r="AK1724" i="1"/>
  <c r="AM1724" i="1"/>
  <c r="BF1724" i="1"/>
  <c r="BG1724" i="1"/>
  <c r="T1725" i="1"/>
  <c r="U1725" i="1"/>
  <c r="V1725" i="1"/>
  <c r="W1725" i="1"/>
  <c r="AB1725" i="1"/>
  <c r="AF1725" i="1"/>
  <c r="K1726" i="1"/>
  <c r="AC1726" i="1"/>
  <c r="AJ1725" i="1"/>
  <c r="AK1725" i="1"/>
  <c r="AM1725" i="1"/>
  <c r="BF1725" i="1"/>
  <c r="BG1725" i="1"/>
  <c r="T1726" i="1"/>
  <c r="U1726" i="1"/>
  <c r="V1726" i="1"/>
  <c r="W1726" i="1"/>
  <c r="AB1726" i="1"/>
  <c r="AF1726" i="1"/>
  <c r="AC1727" i="1"/>
  <c r="AJ1726" i="1"/>
  <c r="AK1726" i="1"/>
  <c r="AM1726" i="1"/>
  <c r="BF1726" i="1"/>
  <c r="BG1726" i="1"/>
  <c r="T1727" i="1"/>
  <c r="U1727" i="1"/>
  <c r="V1727" i="1"/>
  <c r="W1727" i="1"/>
  <c r="AB1727" i="1"/>
  <c r="AF1727" i="1"/>
  <c r="AC1728" i="1"/>
  <c r="AJ1727" i="1"/>
  <c r="AK1727" i="1"/>
  <c r="AM1727" i="1"/>
  <c r="BF1727" i="1"/>
  <c r="BG1727" i="1"/>
  <c r="T1728" i="1"/>
  <c r="U1728" i="1"/>
  <c r="V1728" i="1"/>
  <c r="W1728" i="1"/>
  <c r="AB1728" i="1"/>
  <c r="AF1728" i="1"/>
  <c r="K1729" i="1"/>
  <c r="AC1729" i="1"/>
  <c r="AJ1728" i="1"/>
  <c r="AK1728" i="1"/>
  <c r="AM1728" i="1"/>
  <c r="BF1728" i="1"/>
  <c r="BG1728" i="1"/>
  <c r="T1729" i="1"/>
  <c r="U1729" i="1"/>
  <c r="V1729" i="1"/>
  <c r="W1729" i="1"/>
  <c r="AB1729" i="1"/>
  <c r="AF1729" i="1"/>
  <c r="K1730" i="1"/>
  <c r="AC1730" i="1"/>
  <c r="AJ1729" i="1"/>
  <c r="AK1729" i="1"/>
  <c r="AM1729" i="1"/>
  <c r="BF1729" i="1"/>
  <c r="BG1729" i="1"/>
  <c r="T1730" i="1"/>
  <c r="U1730" i="1"/>
  <c r="V1730" i="1"/>
  <c r="W1730" i="1"/>
  <c r="AB1730" i="1"/>
  <c r="AF1730" i="1"/>
  <c r="K1731" i="1"/>
  <c r="AC1731" i="1"/>
  <c r="AJ1730" i="1"/>
  <c r="AK1730" i="1"/>
  <c r="AM1730" i="1"/>
  <c r="BF1730" i="1"/>
  <c r="BG1730" i="1"/>
  <c r="T1731" i="1"/>
  <c r="U1731" i="1"/>
  <c r="V1731" i="1"/>
  <c r="W1731" i="1"/>
  <c r="AB1731" i="1"/>
  <c r="AF1731" i="1"/>
  <c r="AC1732" i="1"/>
  <c r="AJ1731" i="1"/>
  <c r="AK1731" i="1"/>
  <c r="AM1731" i="1"/>
  <c r="BF1731" i="1"/>
  <c r="BG1731" i="1"/>
  <c r="T1732" i="1"/>
  <c r="U1732" i="1"/>
  <c r="V1732" i="1"/>
  <c r="W1732" i="1"/>
  <c r="AB1732" i="1"/>
  <c r="AF1732" i="1"/>
  <c r="AC1733" i="1"/>
  <c r="AJ1732" i="1"/>
  <c r="AK1732" i="1"/>
  <c r="AM1732" i="1"/>
  <c r="BF1732" i="1"/>
  <c r="BG1732" i="1"/>
  <c r="T1733" i="1"/>
  <c r="U1733" i="1"/>
  <c r="V1733" i="1"/>
  <c r="W1733" i="1"/>
  <c r="AB1733" i="1"/>
  <c r="AF1733" i="1"/>
  <c r="K1734" i="1"/>
  <c r="AC1734" i="1"/>
  <c r="AJ1733" i="1"/>
  <c r="AK1733" i="1"/>
  <c r="AM1733" i="1"/>
  <c r="BF1733" i="1"/>
  <c r="BG1733" i="1"/>
  <c r="T1734" i="1"/>
  <c r="U1734" i="1"/>
  <c r="V1734" i="1"/>
  <c r="W1734" i="1"/>
  <c r="AB1734" i="1"/>
  <c r="AF1734" i="1"/>
  <c r="AC1735" i="1"/>
  <c r="AJ1734" i="1"/>
  <c r="AK1734" i="1"/>
  <c r="AM1734" i="1"/>
  <c r="BF1734" i="1"/>
  <c r="BG1734" i="1"/>
  <c r="T1735" i="1"/>
  <c r="U1735" i="1"/>
  <c r="V1735" i="1"/>
  <c r="W1735" i="1"/>
  <c r="AB1735" i="1"/>
  <c r="AF1735" i="1"/>
  <c r="AC1736" i="1"/>
  <c r="AJ1735" i="1"/>
  <c r="AK1735" i="1"/>
  <c r="AM1735" i="1"/>
  <c r="BF1735" i="1"/>
  <c r="BG1735" i="1"/>
  <c r="T1736" i="1"/>
  <c r="U1736" i="1"/>
  <c r="V1736" i="1"/>
  <c r="W1736" i="1"/>
  <c r="AB1736" i="1"/>
  <c r="AF1736" i="1"/>
  <c r="K1737" i="1"/>
  <c r="AC1737" i="1"/>
  <c r="AJ1736" i="1"/>
  <c r="AK1736" i="1"/>
  <c r="AM1736" i="1"/>
  <c r="BF1736" i="1"/>
  <c r="BG1736" i="1"/>
  <c r="T1737" i="1"/>
  <c r="U1737" i="1"/>
  <c r="V1737" i="1"/>
  <c r="W1737" i="1"/>
  <c r="AB1737" i="1"/>
  <c r="AF1737" i="1"/>
  <c r="AC1738" i="1"/>
  <c r="AJ1737" i="1"/>
  <c r="AK1737" i="1"/>
  <c r="AM1737" i="1"/>
  <c r="BF1737" i="1"/>
  <c r="BG1737" i="1"/>
  <c r="T1738" i="1"/>
  <c r="U1738" i="1"/>
  <c r="V1738" i="1"/>
  <c r="W1738" i="1"/>
  <c r="AB1738" i="1"/>
  <c r="AF1738" i="1"/>
  <c r="AC1739" i="1"/>
  <c r="AJ1738" i="1"/>
  <c r="AK1738" i="1"/>
  <c r="AM1738" i="1"/>
  <c r="BF1738" i="1"/>
  <c r="BG1738" i="1"/>
  <c r="T1739" i="1"/>
  <c r="U1739" i="1"/>
  <c r="V1739" i="1"/>
  <c r="W1739" i="1"/>
  <c r="AB1739" i="1"/>
  <c r="AF1739" i="1"/>
  <c r="K1740" i="1"/>
  <c r="AC1740" i="1"/>
  <c r="AJ1739" i="1"/>
  <c r="AK1739" i="1"/>
  <c r="AM1739" i="1"/>
  <c r="BF1739" i="1"/>
  <c r="BG1739" i="1"/>
  <c r="T1740" i="1"/>
  <c r="U1740" i="1"/>
  <c r="V1740" i="1"/>
  <c r="W1740" i="1"/>
  <c r="AB1740" i="1"/>
  <c r="AF1740" i="1"/>
  <c r="AC1741" i="1"/>
  <c r="AJ1740" i="1"/>
  <c r="AK1740" i="1"/>
  <c r="AM1740" i="1"/>
  <c r="BF1740" i="1"/>
  <c r="BG1740" i="1"/>
  <c r="T1741" i="1"/>
  <c r="U1741" i="1"/>
  <c r="V1741" i="1"/>
  <c r="W1741" i="1"/>
  <c r="AB1741" i="1"/>
  <c r="AF1741" i="1"/>
  <c r="AC1742" i="1"/>
  <c r="AJ1741" i="1"/>
  <c r="AK1741" i="1"/>
  <c r="AM1741" i="1"/>
  <c r="BF1741" i="1"/>
  <c r="BG1741" i="1"/>
  <c r="T1742" i="1"/>
  <c r="U1742" i="1"/>
  <c r="V1742" i="1"/>
  <c r="W1742" i="1"/>
  <c r="AB1742" i="1"/>
  <c r="AF1742" i="1"/>
  <c r="K1743" i="1"/>
  <c r="AC1743" i="1"/>
  <c r="AJ1742" i="1"/>
  <c r="AK1742" i="1"/>
  <c r="AM1742" i="1"/>
  <c r="BF1742" i="1"/>
  <c r="BG1742" i="1"/>
  <c r="T1743" i="1"/>
  <c r="U1743" i="1"/>
  <c r="V1743" i="1"/>
  <c r="W1743" i="1"/>
  <c r="AB1743" i="1"/>
  <c r="AF1743" i="1"/>
  <c r="K1744" i="1"/>
  <c r="AC1744" i="1"/>
  <c r="AJ1743" i="1"/>
  <c r="AK1743" i="1"/>
  <c r="AM1743" i="1"/>
  <c r="BF1743" i="1"/>
  <c r="BG1743" i="1"/>
  <c r="T1744" i="1"/>
  <c r="U1744" i="1"/>
  <c r="V1744" i="1"/>
  <c r="W1744" i="1"/>
  <c r="AB1744" i="1"/>
  <c r="AF1744" i="1"/>
  <c r="AC1745" i="1"/>
  <c r="AJ1744" i="1"/>
  <c r="AK1744" i="1"/>
  <c r="AM1744" i="1"/>
  <c r="BF1744" i="1"/>
  <c r="BG1744" i="1"/>
  <c r="T1745" i="1"/>
  <c r="U1745" i="1"/>
  <c r="V1745" i="1"/>
  <c r="W1745" i="1"/>
  <c r="AB1745" i="1"/>
  <c r="AF1745" i="1"/>
  <c r="AC1746" i="1"/>
  <c r="AJ1745" i="1"/>
  <c r="AK1745" i="1"/>
  <c r="AM1745" i="1"/>
  <c r="BF1745" i="1"/>
  <c r="BG1745" i="1"/>
  <c r="T1746" i="1"/>
  <c r="U1746" i="1"/>
  <c r="V1746" i="1"/>
  <c r="W1746" i="1"/>
  <c r="AB1746" i="1"/>
  <c r="AF1746" i="1"/>
  <c r="K1747" i="1"/>
  <c r="AC1747" i="1"/>
  <c r="AJ1746" i="1"/>
  <c r="AK1746" i="1"/>
  <c r="AM1746" i="1"/>
  <c r="BF1746" i="1"/>
  <c r="BG1746" i="1"/>
  <c r="T1747" i="1"/>
  <c r="U1747" i="1"/>
  <c r="V1747" i="1"/>
  <c r="W1747" i="1"/>
  <c r="AB1747" i="1"/>
  <c r="AF1747" i="1"/>
  <c r="AC1748" i="1"/>
  <c r="AJ1747" i="1"/>
  <c r="AK1747" i="1"/>
  <c r="AM1747" i="1"/>
  <c r="BF1747" i="1"/>
  <c r="BG1747" i="1"/>
  <c r="T1748" i="1"/>
  <c r="U1748" i="1"/>
  <c r="V1748" i="1"/>
  <c r="W1748" i="1"/>
  <c r="AB1748" i="1"/>
  <c r="AF1748" i="1"/>
  <c r="AC1749" i="1"/>
  <c r="AJ1748" i="1"/>
  <c r="AK1748" i="1"/>
  <c r="AM1748" i="1"/>
  <c r="BF1748" i="1"/>
  <c r="BG1748" i="1"/>
  <c r="T1749" i="1"/>
  <c r="U1749" i="1"/>
  <c r="V1749" i="1"/>
  <c r="W1749" i="1"/>
  <c r="AB1749" i="1"/>
  <c r="AF1749" i="1"/>
  <c r="K1750" i="1"/>
  <c r="AC1750" i="1"/>
  <c r="AJ1749" i="1"/>
  <c r="AK1749" i="1"/>
  <c r="AM1749" i="1"/>
  <c r="BF1749" i="1"/>
  <c r="BG1749" i="1"/>
  <c r="T1750" i="1"/>
  <c r="U1750" i="1"/>
  <c r="V1750" i="1"/>
  <c r="W1750" i="1"/>
  <c r="AB1750" i="1"/>
  <c r="AF1750" i="1"/>
  <c r="AC1751" i="1"/>
  <c r="AJ1750" i="1"/>
  <c r="AK1750" i="1"/>
  <c r="AM1750" i="1"/>
  <c r="BF1750" i="1"/>
  <c r="BG1750" i="1"/>
  <c r="T1751" i="1"/>
  <c r="U1751" i="1"/>
  <c r="V1751" i="1"/>
  <c r="W1751" i="1"/>
  <c r="AB1751" i="1"/>
  <c r="AF1751" i="1"/>
  <c r="AC1752" i="1"/>
  <c r="AJ1751" i="1"/>
  <c r="AK1751" i="1"/>
  <c r="AM1751" i="1"/>
  <c r="BF1751" i="1"/>
  <c r="BG1751" i="1"/>
  <c r="T1752" i="1"/>
  <c r="U1752" i="1"/>
  <c r="V1752" i="1"/>
  <c r="W1752" i="1"/>
  <c r="AB1752" i="1"/>
  <c r="AF1752" i="1"/>
  <c r="K1753" i="1"/>
  <c r="AC1753" i="1"/>
  <c r="AJ1752" i="1"/>
  <c r="AK1752" i="1"/>
  <c r="AM1752" i="1"/>
  <c r="BF1752" i="1"/>
  <c r="BG1752" i="1"/>
  <c r="T1753" i="1"/>
  <c r="U1753" i="1"/>
  <c r="V1753" i="1"/>
  <c r="W1753" i="1"/>
  <c r="AB1753" i="1"/>
  <c r="AF1753" i="1"/>
  <c r="K1754" i="1"/>
  <c r="AC1754" i="1"/>
  <c r="AJ1753" i="1"/>
  <c r="AK1753" i="1"/>
  <c r="AM1753" i="1"/>
  <c r="BF1753" i="1"/>
  <c r="BG1753" i="1"/>
  <c r="T1754" i="1"/>
  <c r="U1754" i="1"/>
  <c r="V1754" i="1"/>
  <c r="W1754" i="1"/>
  <c r="AB1754" i="1"/>
  <c r="AF1754" i="1"/>
  <c r="K1755" i="1"/>
  <c r="AC1755" i="1"/>
  <c r="AJ1754" i="1"/>
  <c r="AK1754" i="1"/>
  <c r="AM1754" i="1"/>
  <c r="BF1754" i="1"/>
  <c r="BG1754" i="1"/>
  <c r="T1755" i="1"/>
  <c r="U1755" i="1"/>
  <c r="V1755" i="1"/>
  <c r="W1755" i="1"/>
  <c r="AB1755" i="1"/>
  <c r="AF1755" i="1"/>
  <c r="K1756" i="1"/>
  <c r="AC1756" i="1"/>
  <c r="AJ1755" i="1"/>
  <c r="AK1755" i="1"/>
  <c r="AM1755" i="1"/>
  <c r="BF1755" i="1"/>
  <c r="BG1755" i="1"/>
  <c r="T1756" i="1"/>
  <c r="U1756" i="1"/>
  <c r="V1756" i="1"/>
  <c r="W1756" i="1"/>
  <c r="AB1756" i="1"/>
  <c r="AF1756" i="1"/>
  <c r="K1757" i="1"/>
  <c r="AC1757" i="1"/>
  <c r="AJ1756" i="1"/>
  <c r="AK1756" i="1"/>
  <c r="AM1756" i="1"/>
  <c r="BF1756" i="1"/>
  <c r="BG1756" i="1"/>
  <c r="T1757" i="1"/>
  <c r="U1757" i="1"/>
  <c r="V1757" i="1"/>
  <c r="W1757" i="1"/>
  <c r="AB1757" i="1"/>
  <c r="AF1757" i="1"/>
  <c r="AC1758" i="1"/>
  <c r="AJ1757" i="1"/>
  <c r="AK1757" i="1"/>
  <c r="AM1757" i="1"/>
  <c r="BF1757" i="1"/>
  <c r="BG1757" i="1"/>
  <c r="T1758" i="1"/>
  <c r="U1758" i="1"/>
  <c r="V1758" i="1"/>
  <c r="W1758" i="1"/>
  <c r="AB1758" i="1"/>
  <c r="AF1758" i="1"/>
  <c r="AC1759" i="1"/>
  <c r="AJ1758" i="1"/>
  <c r="AK1758" i="1"/>
  <c r="AM1758" i="1"/>
  <c r="BF1758" i="1"/>
  <c r="BG1758" i="1"/>
  <c r="T1759" i="1"/>
  <c r="U1759" i="1"/>
  <c r="V1759" i="1"/>
  <c r="W1759" i="1"/>
  <c r="AB1759" i="1"/>
  <c r="AF1759" i="1"/>
  <c r="K1760" i="1"/>
  <c r="AC1760" i="1"/>
  <c r="AJ1759" i="1"/>
  <c r="AK1759" i="1"/>
  <c r="AM1759" i="1"/>
  <c r="BF1759" i="1"/>
  <c r="BG1759" i="1"/>
  <c r="T1760" i="1"/>
  <c r="U1760" i="1"/>
  <c r="V1760" i="1"/>
  <c r="W1760" i="1"/>
  <c r="AB1760" i="1"/>
  <c r="AF1760" i="1"/>
  <c r="K1761" i="1"/>
  <c r="AC1761" i="1"/>
  <c r="AJ1760" i="1"/>
  <c r="AK1760" i="1"/>
  <c r="AM1760" i="1"/>
  <c r="BF1760" i="1"/>
  <c r="BG1760" i="1"/>
  <c r="T1761" i="1"/>
  <c r="U1761" i="1"/>
  <c r="V1761" i="1"/>
  <c r="W1761" i="1"/>
  <c r="AB1761" i="1"/>
  <c r="AF1761" i="1"/>
  <c r="AC1762" i="1"/>
  <c r="AJ1761" i="1"/>
  <c r="AK1761" i="1"/>
  <c r="AM1761" i="1"/>
  <c r="BF1761" i="1"/>
  <c r="BG1761" i="1"/>
  <c r="T1762" i="1"/>
  <c r="U1762" i="1"/>
  <c r="V1762" i="1"/>
  <c r="W1762" i="1"/>
  <c r="AB1762" i="1"/>
  <c r="AF1762" i="1"/>
  <c r="AC1763" i="1"/>
  <c r="AJ1762" i="1"/>
  <c r="AK1762" i="1"/>
  <c r="AM1762" i="1"/>
  <c r="BF1762" i="1"/>
  <c r="BG1762" i="1"/>
  <c r="T1763" i="1"/>
  <c r="U1763" i="1"/>
  <c r="V1763" i="1"/>
  <c r="W1763" i="1"/>
  <c r="AB1763" i="1"/>
  <c r="AF1763" i="1"/>
  <c r="K1764" i="1"/>
  <c r="AC1764" i="1"/>
  <c r="AJ1763" i="1"/>
  <c r="AK1763" i="1"/>
  <c r="AM1763" i="1"/>
  <c r="BF1763" i="1"/>
  <c r="BG1763" i="1"/>
  <c r="T1764" i="1"/>
  <c r="U1764" i="1"/>
  <c r="V1764" i="1"/>
  <c r="W1764" i="1"/>
  <c r="AB1764" i="1"/>
  <c r="AF1764" i="1"/>
  <c r="K1765" i="1"/>
  <c r="AC1765" i="1"/>
  <c r="AJ1764" i="1"/>
  <c r="AK1764" i="1"/>
  <c r="AM1764" i="1"/>
  <c r="BF1764" i="1"/>
  <c r="BG1764" i="1"/>
  <c r="T1765" i="1"/>
  <c r="U1765" i="1"/>
  <c r="V1765" i="1"/>
  <c r="W1765" i="1"/>
  <c r="AB1765" i="1"/>
  <c r="AF1765" i="1"/>
  <c r="K1766" i="1"/>
  <c r="AC1766" i="1"/>
  <c r="AJ1765" i="1"/>
  <c r="AK1765" i="1"/>
  <c r="AM1765" i="1"/>
  <c r="BF1765" i="1"/>
  <c r="BG1765" i="1"/>
  <c r="T1766" i="1"/>
  <c r="U1766" i="1"/>
  <c r="V1766" i="1"/>
  <c r="W1766" i="1"/>
  <c r="AB1766" i="1"/>
  <c r="AF1766" i="1"/>
  <c r="AC1767" i="1"/>
  <c r="AJ1766" i="1"/>
  <c r="AK1766" i="1"/>
  <c r="AM1766" i="1"/>
  <c r="BF1766" i="1"/>
  <c r="BG1766" i="1"/>
  <c r="T1767" i="1"/>
  <c r="U1767" i="1"/>
  <c r="V1767" i="1"/>
  <c r="W1767" i="1"/>
  <c r="AB1767" i="1"/>
  <c r="AF1767" i="1"/>
  <c r="AC1768" i="1"/>
  <c r="AJ1767" i="1"/>
  <c r="AK1767" i="1"/>
  <c r="AM1767" i="1"/>
  <c r="BF1767" i="1"/>
  <c r="BG1767" i="1"/>
  <c r="T1768" i="1"/>
  <c r="U1768" i="1"/>
  <c r="V1768" i="1"/>
  <c r="W1768" i="1"/>
  <c r="AB1768" i="1"/>
  <c r="AF1768" i="1"/>
  <c r="AC1769" i="1"/>
  <c r="AJ1768" i="1"/>
  <c r="AK1768" i="1"/>
  <c r="AM1768" i="1"/>
  <c r="BF1768" i="1"/>
  <c r="BG1768" i="1"/>
  <c r="T1769" i="1"/>
  <c r="U1769" i="1"/>
  <c r="V1769" i="1"/>
  <c r="W1769" i="1"/>
  <c r="AB1769" i="1"/>
  <c r="AF1769" i="1"/>
  <c r="K1770" i="1"/>
  <c r="AC1770" i="1"/>
  <c r="AJ1769" i="1"/>
  <c r="AK1769" i="1"/>
  <c r="AM1769" i="1"/>
  <c r="BF1769" i="1"/>
  <c r="BG1769" i="1"/>
  <c r="T1770" i="1"/>
  <c r="U1770" i="1"/>
  <c r="V1770" i="1"/>
  <c r="W1770" i="1"/>
  <c r="AB1770" i="1"/>
  <c r="AF1770" i="1"/>
  <c r="AC1771" i="1"/>
  <c r="AJ1770" i="1"/>
  <c r="AK1770" i="1"/>
  <c r="AM1770" i="1"/>
  <c r="BF1770" i="1"/>
  <c r="BG1770" i="1"/>
  <c r="T1771" i="1"/>
  <c r="U1771" i="1"/>
  <c r="V1771" i="1"/>
  <c r="W1771" i="1"/>
  <c r="AB1771" i="1"/>
  <c r="AF1771" i="1"/>
  <c r="AC1772" i="1"/>
  <c r="AJ1771" i="1"/>
  <c r="AK1771" i="1"/>
  <c r="AM1771" i="1"/>
  <c r="BF1771" i="1"/>
  <c r="BG1771" i="1"/>
  <c r="T1772" i="1"/>
  <c r="U1772" i="1"/>
  <c r="V1772" i="1"/>
  <c r="W1772" i="1"/>
  <c r="AB1772" i="1"/>
  <c r="AF1772" i="1"/>
  <c r="K1773" i="1"/>
  <c r="AC1773" i="1"/>
  <c r="AJ1772" i="1"/>
  <c r="AK1772" i="1"/>
  <c r="AM1772" i="1"/>
  <c r="BF1772" i="1"/>
  <c r="BG1772" i="1"/>
  <c r="T1773" i="1"/>
  <c r="U1773" i="1"/>
  <c r="V1773" i="1"/>
  <c r="W1773" i="1"/>
  <c r="AB1773" i="1"/>
  <c r="AF1773" i="1"/>
  <c r="AC1774" i="1"/>
  <c r="AJ1773" i="1"/>
  <c r="AK1773" i="1"/>
  <c r="AM1773" i="1"/>
  <c r="BF1773" i="1"/>
  <c r="BG1773" i="1"/>
  <c r="T1774" i="1"/>
  <c r="U1774" i="1"/>
  <c r="V1774" i="1"/>
  <c r="W1774" i="1"/>
  <c r="AB1774" i="1"/>
  <c r="AF1774" i="1"/>
  <c r="AC1775" i="1"/>
  <c r="AJ1774" i="1"/>
  <c r="AK1774" i="1"/>
  <c r="AM1774" i="1"/>
  <c r="BF1774" i="1"/>
  <c r="BG1774" i="1"/>
  <c r="T1775" i="1"/>
  <c r="U1775" i="1"/>
  <c r="V1775" i="1"/>
  <c r="W1775" i="1"/>
  <c r="AB1775" i="1"/>
  <c r="AF1775" i="1"/>
  <c r="K1776" i="1"/>
  <c r="AC1776" i="1"/>
  <c r="AJ1775" i="1"/>
  <c r="AK1775" i="1"/>
  <c r="AM1775" i="1"/>
  <c r="BF1775" i="1"/>
  <c r="BG1775" i="1"/>
  <c r="T1776" i="1"/>
  <c r="U1776" i="1"/>
  <c r="V1776" i="1"/>
  <c r="W1776" i="1"/>
  <c r="AB1776" i="1"/>
  <c r="AF1776" i="1"/>
  <c r="K1777" i="1"/>
  <c r="AC1777" i="1"/>
  <c r="AJ1776" i="1"/>
  <c r="AK1776" i="1"/>
  <c r="AM1776" i="1"/>
  <c r="BF1776" i="1"/>
  <c r="BG1776" i="1"/>
  <c r="T1777" i="1"/>
  <c r="U1777" i="1"/>
  <c r="V1777" i="1"/>
  <c r="W1777" i="1"/>
  <c r="AB1777" i="1"/>
  <c r="AF1777" i="1"/>
  <c r="K1778" i="1"/>
  <c r="AC1778" i="1"/>
  <c r="AJ1777" i="1"/>
  <c r="AK1777" i="1"/>
  <c r="AM1777" i="1"/>
  <c r="BF1777" i="1"/>
  <c r="BG1777" i="1"/>
  <c r="T1778" i="1"/>
  <c r="U1778" i="1"/>
  <c r="V1778" i="1"/>
  <c r="W1778" i="1"/>
  <c r="AB1778" i="1"/>
  <c r="AF1778" i="1"/>
  <c r="K1779" i="1"/>
  <c r="AC1779" i="1"/>
  <c r="AJ1778" i="1"/>
  <c r="AK1778" i="1"/>
  <c r="AM1778" i="1"/>
  <c r="BF1778" i="1"/>
  <c r="BG1778" i="1"/>
  <c r="T1779" i="1"/>
  <c r="U1779" i="1"/>
  <c r="V1779" i="1"/>
  <c r="W1779" i="1"/>
  <c r="AB1779" i="1"/>
  <c r="AF1779" i="1"/>
  <c r="AC1780" i="1"/>
  <c r="AJ1779" i="1"/>
  <c r="AK1779" i="1"/>
  <c r="AM1779" i="1"/>
  <c r="BF1779" i="1"/>
  <c r="BG1779" i="1"/>
  <c r="T1780" i="1"/>
  <c r="U1780" i="1"/>
  <c r="V1780" i="1"/>
  <c r="W1780" i="1"/>
  <c r="AB1780" i="1"/>
  <c r="AF1780" i="1"/>
  <c r="AC1781" i="1"/>
  <c r="AJ1780" i="1"/>
  <c r="AK1780" i="1"/>
  <c r="AM1780" i="1"/>
  <c r="BF1780" i="1"/>
  <c r="BG1780" i="1"/>
  <c r="T1781" i="1"/>
  <c r="U1781" i="1"/>
  <c r="V1781" i="1"/>
  <c r="W1781" i="1"/>
  <c r="AB1781" i="1"/>
  <c r="AF1781" i="1"/>
  <c r="K1782" i="1"/>
  <c r="AC1782" i="1"/>
  <c r="AJ1781" i="1"/>
  <c r="AK1781" i="1"/>
  <c r="AM1781" i="1"/>
  <c r="BF1781" i="1"/>
  <c r="BG1781" i="1"/>
  <c r="T1782" i="1"/>
  <c r="U1782" i="1"/>
  <c r="V1782" i="1"/>
  <c r="W1782" i="1"/>
  <c r="AB1782" i="1"/>
  <c r="AF1782" i="1"/>
  <c r="K1783" i="1"/>
  <c r="AC1783" i="1"/>
  <c r="AJ1782" i="1"/>
  <c r="AK1782" i="1"/>
  <c r="AM1782" i="1"/>
  <c r="BF1782" i="1"/>
  <c r="BG1782" i="1"/>
  <c r="T1783" i="1"/>
  <c r="U1783" i="1"/>
  <c r="V1783" i="1"/>
  <c r="W1783" i="1"/>
  <c r="AB1783" i="1"/>
  <c r="AF1783" i="1"/>
  <c r="K1784" i="1"/>
  <c r="AC1784" i="1"/>
  <c r="AJ1783" i="1"/>
  <c r="AK1783" i="1"/>
  <c r="AM1783" i="1"/>
  <c r="BF1783" i="1"/>
  <c r="BG1783" i="1"/>
  <c r="T1784" i="1"/>
  <c r="U1784" i="1"/>
  <c r="V1784" i="1"/>
  <c r="W1784" i="1"/>
  <c r="AB1784" i="1"/>
  <c r="AF1784" i="1"/>
  <c r="AC1785" i="1"/>
  <c r="AJ1784" i="1"/>
  <c r="AK1784" i="1"/>
  <c r="AM1784" i="1"/>
  <c r="BF1784" i="1"/>
  <c r="BG1784" i="1"/>
  <c r="T1785" i="1"/>
  <c r="U1785" i="1"/>
  <c r="V1785" i="1"/>
  <c r="W1785" i="1"/>
  <c r="AB1785" i="1"/>
  <c r="AF1785" i="1"/>
  <c r="AC1786" i="1"/>
  <c r="AJ1785" i="1"/>
  <c r="AK1785" i="1"/>
  <c r="AM1785" i="1"/>
  <c r="BF1785" i="1"/>
  <c r="BG1785" i="1"/>
  <c r="T1786" i="1"/>
  <c r="U1786" i="1"/>
  <c r="V1786" i="1"/>
  <c r="W1786" i="1"/>
  <c r="AB1786" i="1"/>
  <c r="AF1786" i="1"/>
  <c r="K1787" i="1"/>
  <c r="AC1787" i="1"/>
  <c r="AJ1786" i="1"/>
  <c r="AK1786" i="1"/>
  <c r="AM1786" i="1"/>
  <c r="BF1786" i="1"/>
  <c r="BG1786" i="1"/>
  <c r="T1787" i="1"/>
  <c r="U1787" i="1"/>
  <c r="V1787" i="1"/>
  <c r="W1787" i="1"/>
  <c r="AB1787" i="1"/>
  <c r="AF1787" i="1"/>
  <c r="K1788" i="1"/>
  <c r="AC1788" i="1"/>
  <c r="AJ1787" i="1"/>
  <c r="AK1787" i="1"/>
  <c r="AM1787" i="1"/>
  <c r="BF1787" i="1"/>
  <c r="BG1787" i="1"/>
  <c r="T1788" i="1"/>
  <c r="U1788" i="1"/>
  <c r="V1788" i="1"/>
  <c r="W1788" i="1"/>
  <c r="AB1788" i="1"/>
  <c r="AF1788" i="1"/>
  <c r="K1789" i="1"/>
  <c r="AC1789" i="1"/>
  <c r="AJ1788" i="1"/>
  <c r="AK1788" i="1"/>
  <c r="AM1788" i="1"/>
  <c r="BF1788" i="1"/>
  <c r="BG1788" i="1"/>
  <c r="T1789" i="1"/>
  <c r="U1789" i="1"/>
  <c r="V1789" i="1"/>
  <c r="W1789" i="1"/>
  <c r="AB1789" i="1"/>
  <c r="AF1789" i="1"/>
  <c r="AC1790" i="1"/>
  <c r="AJ1789" i="1"/>
  <c r="AK1789" i="1"/>
  <c r="AM1789" i="1"/>
  <c r="BF1789" i="1"/>
  <c r="BG1789" i="1"/>
  <c r="T1790" i="1"/>
  <c r="U1790" i="1"/>
  <c r="V1790" i="1"/>
  <c r="W1790" i="1"/>
  <c r="AB1790" i="1"/>
  <c r="AF1790" i="1"/>
  <c r="AC1791" i="1"/>
  <c r="AJ1790" i="1"/>
  <c r="AK1790" i="1"/>
  <c r="AM1790" i="1"/>
  <c r="BF1790" i="1"/>
  <c r="BG1790" i="1"/>
  <c r="T1791" i="1"/>
  <c r="U1791" i="1"/>
  <c r="V1791" i="1"/>
  <c r="W1791" i="1"/>
  <c r="AB1791" i="1"/>
  <c r="AF1791" i="1"/>
  <c r="K1792" i="1"/>
  <c r="AC1792" i="1"/>
  <c r="AJ1791" i="1"/>
  <c r="AK1791" i="1"/>
  <c r="AM1791" i="1"/>
  <c r="BF1791" i="1"/>
  <c r="BG1791" i="1"/>
  <c r="T1792" i="1"/>
  <c r="U1792" i="1"/>
  <c r="V1792" i="1"/>
  <c r="W1792" i="1"/>
  <c r="AB1792" i="1"/>
  <c r="AF1792" i="1"/>
  <c r="K1793" i="1"/>
  <c r="AC1793" i="1"/>
  <c r="AJ1792" i="1"/>
  <c r="AK1792" i="1"/>
  <c r="AM1792" i="1"/>
  <c r="BF1792" i="1"/>
  <c r="BG1792" i="1"/>
  <c r="T1793" i="1"/>
  <c r="U1793" i="1"/>
  <c r="V1793" i="1"/>
  <c r="W1793" i="1"/>
  <c r="AB1793" i="1"/>
  <c r="AF1793" i="1"/>
  <c r="AC1794" i="1"/>
  <c r="AJ1793" i="1"/>
  <c r="AK1793" i="1"/>
  <c r="AM1793" i="1"/>
  <c r="BF1793" i="1"/>
  <c r="BG1793" i="1"/>
  <c r="T1794" i="1"/>
  <c r="U1794" i="1"/>
  <c r="V1794" i="1"/>
  <c r="W1794" i="1"/>
  <c r="AB1794" i="1"/>
  <c r="AF1794" i="1"/>
  <c r="AC1795" i="1"/>
  <c r="AJ1794" i="1"/>
  <c r="AK1794" i="1"/>
  <c r="AM1794" i="1"/>
  <c r="BF1794" i="1"/>
  <c r="BG1794" i="1"/>
  <c r="T1795" i="1"/>
  <c r="U1795" i="1"/>
  <c r="V1795" i="1"/>
  <c r="W1795" i="1"/>
  <c r="AB1795" i="1"/>
  <c r="AF1795" i="1"/>
  <c r="K1796" i="1"/>
  <c r="AC1796" i="1"/>
  <c r="AJ1795" i="1"/>
  <c r="AK1795" i="1"/>
  <c r="AM1795" i="1"/>
  <c r="BF1795" i="1"/>
  <c r="BG1795" i="1"/>
  <c r="T1796" i="1"/>
  <c r="U1796" i="1"/>
  <c r="V1796" i="1"/>
  <c r="W1796" i="1"/>
  <c r="AB1796" i="1"/>
  <c r="AF1796" i="1"/>
  <c r="AC1797" i="1"/>
  <c r="AJ1796" i="1"/>
  <c r="AK1796" i="1"/>
  <c r="AM1796" i="1"/>
  <c r="BF1796" i="1"/>
  <c r="BG1796" i="1"/>
  <c r="T1797" i="1"/>
  <c r="U1797" i="1"/>
  <c r="V1797" i="1"/>
  <c r="W1797" i="1"/>
  <c r="AB1797" i="1"/>
  <c r="AF1797" i="1"/>
  <c r="AC1798" i="1"/>
  <c r="AJ1797" i="1"/>
  <c r="AK1797" i="1"/>
  <c r="AM1797" i="1"/>
  <c r="BF1797" i="1"/>
  <c r="BG1797" i="1"/>
  <c r="T1798" i="1"/>
  <c r="U1798" i="1"/>
  <c r="V1798" i="1"/>
  <c r="W1798" i="1"/>
  <c r="AB1798" i="1"/>
  <c r="AF1798" i="1"/>
  <c r="K1799" i="1"/>
  <c r="AC1799" i="1"/>
  <c r="AJ1798" i="1"/>
  <c r="AK1798" i="1"/>
  <c r="AM1798" i="1"/>
  <c r="BF1798" i="1"/>
  <c r="BG1798" i="1"/>
  <c r="T1799" i="1"/>
  <c r="U1799" i="1"/>
  <c r="V1799" i="1"/>
  <c r="W1799" i="1"/>
  <c r="AB1799" i="1"/>
  <c r="AF1799" i="1"/>
  <c r="AC1800" i="1"/>
  <c r="AJ1799" i="1"/>
  <c r="AK1799" i="1"/>
  <c r="AM1799" i="1"/>
  <c r="BF1799" i="1"/>
  <c r="BG1799" i="1"/>
  <c r="T1800" i="1"/>
  <c r="U1800" i="1"/>
  <c r="V1800" i="1"/>
  <c r="W1800" i="1"/>
  <c r="AB1800" i="1"/>
  <c r="AF1800" i="1"/>
  <c r="AC1801" i="1"/>
  <c r="AJ1800" i="1"/>
  <c r="AK1800" i="1"/>
  <c r="AM1800" i="1"/>
  <c r="BF1800" i="1"/>
  <c r="BG1800" i="1"/>
  <c r="T1801" i="1"/>
  <c r="U1801" i="1"/>
  <c r="V1801" i="1"/>
  <c r="W1801" i="1"/>
  <c r="AB1801" i="1"/>
  <c r="AF1801" i="1"/>
  <c r="K1802" i="1"/>
  <c r="AC1802" i="1"/>
  <c r="AJ1801" i="1"/>
  <c r="AK1801" i="1"/>
  <c r="AM1801" i="1"/>
  <c r="BF1801" i="1"/>
  <c r="BG1801" i="1"/>
  <c r="T1802" i="1"/>
  <c r="U1802" i="1"/>
  <c r="V1802" i="1"/>
  <c r="W1802" i="1"/>
  <c r="AB1802" i="1"/>
  <c r="AF1802" i="1"/>
  <c r="K1803" i="1"/>
  <c r="AC1803" i="1"/>
  <c r="AJ1802" i="1"/>
  <c r="AK1802" i="1"/>
  <c r="AM1802" i="1"/>
  <c r="BF1802" i="1"/>
  <c r="BG1802" i="1"/>
  <c r="T1803" i="1"/>
  <c r="U1803" i="1"/>
  <c r="V1803" i="1"/>
  <c r="W1803" i="1"/>
  <c r="AB1803" i="1"/>
  <c r="AF1803" i="1"/>
  <c r="K1804" i="1"/>
  <c r="AC1804" i="1"/>
  <c r="AJ1803" i="1"/>
  <c r="AK1803" i="1"/>
  <c r="AM1803" i="1"/>
  <c r="BF1803" i="1"/>
  <c r="BG1803" i="1"/>
  <c r="T1804" i="1"/>
  <c r="U1804" i="1"/>
  <c r="V1804" i="1"/>
  <c r="W1804" i="1"/>
  <c r="AB1804" i="1"/>
  <c r="AF1804" i="1"/>
  <c r="AC1805" i="1"/>
  <c r="AJ1804" i="1"/>
  <c r="AK1804" i="1"/>
  <c r="AM1804" i="1"/>
  <c r="BF1804" i="1"/>
  <c r="BG1804" i="1"/>
  <c r="T1805" i="1"/>
  <c r="U1805" i="1"/>
  <c r="V1805" i="1"/>
  <c r="W1805" i="1"/>
  <c r="AB1805" i="1"/>
  <c r="AF1805" i="1"/>
  <c r="AC1806" i="1"/>
  <c r="AJ1805" i="1"/>
  <c r="AK1805" i="1"/>
  <c r="AM1805" i="1"/>
  <c r="BF1805" i="1"/>
  <c r="BG1805" i="1"/>
  <c r="T1806" i="1"/>
  <c r="U1806" i="1"/>
  <c r="V1806" i="1"/>
  <c r="W1806" i="1"/>
  <c r="AB1806" i="1"/>
  <c r="AF1806" i="1"/>
  <c r="K1807" i="1"/>
  <c r="AC1807" i="1"/>
  <c r="AJ1806" i="1"/>
  <c r="AK1806" i="1"/>
  <c r="AM1806" i="1"/>
  <c r="BF1806" i="1"/>
  <c r="BG1806" i="1"/>
  <c r="T1807" i="1"/>
  <c r="U1807" i="1"/>
  <c r="V1807" i="1"/>
  <c r="W1807" i="1"/>
  <c r="AB1807" i="1"/>
  <c r="AF1807" i="1"/>
  <c r="AC1808" i="1"/>
  <c r="AJ1807" i="1"/>
  <c r="AK1807" i="1"/>
  <c r="AM1807" i="1"/>
  <c r="BF1807" i="1"/>
  <c r="BG1807" i="1"/>
  <c r="T1808" i="1"/>
  <c r="U1808" i="1"/>
  <c r="V1808" i="1"/>
  <c r="W1808" i="1"/>
  <c r="AB1808" i="1"/>
  <c r="AF1808" i="1"/>
  <c r="AC1809" i="1"/>
  <c r="AJ1808" i="1"/>
  <c r="AK1808" i="1"/>
  <c r="AM1808" i="1"/>
  <c r="BF1808" i="1"/>
  <c r="BG1808" i="1"/>
  <c r="T1809" i="1"/>
  <c r="U1809" i="1"/>
  <c r="V1809" i="1"/>
  <c r="W1809" i="1"/>
  <c r="AB1809" i="1"/>
  <c r="AF1809" i="1"/>
  <c r="K1810" i="1"/>
  <c r="AC1810" i="1"/>
  <c r="AJ1809" i="1"/>
  <c r="AK1809" i="1"/>
  <c r="AM1809" i="1"/>
  <c r="BF1809" i="1"/>
  <c r="BG1809" i="1"/>
  <c r="T1810" i="1"/>
  <c r="U1810" i="1"/>
  <c r="V1810" i="1"/>
  <c r="W1810" i="1"/>
  <c r="AB1810" i="1"/>
  <c r="AF1810" i="1"/>
  <c r="AC1811" i="1"/>
  <c r="AJ1810" i="1"/>
  <c r="AK1810" i="1"/>
  <c r="AM1810" i="1"/>
  <c r="BF1810" i="1"/>
  <c r="BG1810" i="1"/>
  <c r="T1811" i="1"/>
  <c r="U1811" i="1"/>
  <c r="V1811" i="1"/>
  <c r="W1811" i="1"/>
  <c r="AB1811" i="1"/>
  <c r="AF1811" i="1"/>
  <c r="AC1812" i="1"/>
  <c r="AJ1811" i="1"/>
  <c r="AK1811" i="1"/>
  <c r="AM1811" i="1"/>
  <c r="BF1811" i="1"/>
  <c r="BG1811" i="1"/>
  <c r="T1812" i="1"/>
  <c r="U1812" i="1"/>
  <c r="V1812" i="1"/>
  <c r="W1812" i="1"/>
  <c r="AB1812" i="1"/>
  <c r="AF1812" i="1"/>
  <c r="K1813" i="1"/>
  <c r="AC1813" i="1"/>
  <c r="AJ1812" i="1"/>
  <c r="AK1812" i="1"/>
  <c r="AM1812" i="1"/>
  <c r="BF1812" i="1"/>
  <c r="BG1812" i="1"/>
  <c r="T1813" i="1"/>
  <c r="U1813" i="1"/>
  <c r="V1813" i="1"/>
  <c r="W1813" i="1"/>
  <c r="AB1813" i="1"/>
  <c r="AF1813" i="1"/>
  <c r="K1814" i="1"/>
  <c r="AC1814" i="1"/>
  <c r="AJ1813" i="1"/>
  <c r="AK1813" i="1"/>
  <c r="AM1813" i="1"/>
  <c r="BF1813" i="1"/>
  <c r="BG1813" i="1"/>
  <c r="T1814" i="1"/>
  <c r="U1814" i="1"/>
  <c r="V1814" i="1"/>
  <c r="W1814" i="1"/>
  <c r="AB1814" i="1"/>
  <c r="AF1814" i="1"/>
  <c r="K1815" i="1"/>
  <c r="AC1815" i="1"/>
  <c r="AJ1814" i="1"/>
  <c r="AK1814" i="1"/>
  <c r="AM1814" i="1"/>
  <c r="BF1814" i="1"/>
  <c r="BG1814" i="1"/>
  <c r="T1815" i="1"/>
  <c r="U1815" i="1"/>
  <c r="V1815" i="1"/>
  <c r="W1815" i="1"/>
  <c r="AB1815" i="1"/>
  <c r="AF1815" i="1"/>
  <c r="K1816" i="1"/>
  <c r="AC1816" i="1"/>
  <c r="AJ1815" i="1"/>
  <c r="AK1815" i="1"/>
  <c r="AM1815" i="1"/>
  <c r="BF1815" i="1"/>
  <c r="BG1815" i="1"/>
  <c r="T1816" i="1"/>
  <c r="U1816" i="1"/>
  <c r="V1816" i="1"/>
  <c r="W1816" i="1"/>
  <c r="AB1816" i="1"/>
  <c r="AF1816" i="1"/>
  <c r="AC1817" i="1"/>
  <c r="AJ1816" i="1"/>
  <c r="AK1816" i="1"/>
  <c r="AM1816" i="1"/>
  <c r="BF1816" i="1"/>
  <c r="BG1816" i="1"/>
  <c r="T1817" i="1"/>
  <c r="U1817" i="1"/>
  <c r="V1817" i="1"/>
  <c r="W1817" i="1"/>
  <c r="AB1817" i="1"/>
  <c r="AF1817" i="1"/>
  <c r="AC1818" i="1"/>
  <c r="AJ1817" i="1"/>
  <c r="AK1817" i="1"/>
  <c r="AM1817" i="1"/>
  <c r="BF1817" i="1"/>
  <c r="BG1817" i="1"/>
  <c r="T1818" i="1"/>
  <c r="U1818" i="1"/>
  <c r="V1818" i="1"/>
  <c r="W1818" i="1"/>
  <c r="AB1818" i="1"/>
  <c r="AF1818" i="1"/>
  <c r="K1819" i="1"/>
  <c r="AC1819" i="1"/>
  <c r="AJ1818" i="1"/>
  <c r="AK1818" i="1"/>
  <c r="AM1818" i="1"/>
  <c r="BF1818" i="1"/>
  <c r="BG1818" i="1"/>
  <c r="T1819" i="1"/>
  <c r="U1819" i="1"/>
  <c r="V1819" i="1"/>
  <c r="W1819" i="1"/>
  <c r="AB1819" i="1"/>
  <c r="AF1819" i="1"/>
  <c r="K1820" i="1"/>
  <c r="AC1820" i="1"/>
  <c r="AJ1819" i="1"/>
  <c r="AK1819" i="1"/>
  <c r="AM1819" i="1"/>
  <c r="BF1819" i="1"/>
  <c r="BG1819" i="1"/>
  <c r="T1820" i="1"/>
  <c r="U1820" i="1"/>
  <c r="V1820" i="1"/>
  <c r="W1820" i="1"/>
  <c r="AB1820" i="1"/>
  <c r="AF1820" i="1"/>
  <c r="K1821" i="1"/>
  <c r="AC1821" i="1"/>
  <c r="AJ1820" i="1"/>
  <c r="AK1820" i="1"/>
  <c r="AM1820" i="1"/>
  <c r="BF1820" i="1"/>
  <c r="BG1820" i="1"/>
  <c r="T1821" i="1"/>
  <c r="U1821" i="1"/>
  <c r="V1821" i="1"/>
  <c r="W1821" i="1"/>
  <c r="AB1821" i="1"/>
  <c r="AF1821" i="1"/>
  <c r="AC1822" i="1"/>
  <c r="AJ1821" i="1"/>
  <c r="AK1821" i="1"/>
  <c r="AM1821" i="1"/>
  <c r="BF1821" i="1"/>
  <c r="BG1821" i="1"/>
  <c r="T1822" i="1"/>
  <c r="U1822" i="1"/>
  <c r="V1822" i="1"/>
  <c r="W1822" i="1"/>
  <c r="AB1822" i="1"/>
  <c r="AF1822" i="1"/>
  <c r="AC1823" i="1"/>
  <c r="AJ1822" i="1"/>
  <c r="AK1822" i="1"/>
  <c r="AM1822" i="1"/>
  <c r="BF1822" i="1"/>
  <c r="BG1822" i="1"/>
  <c r="T1823" i="1"/>
  <c r="U1823" i="1"/>
  <c r="V1823" i="1"/>
  <c r="W1823" i="1"/>
  <c r="AB1823" i="1"/>
  <c r="AF1823" i="1"/>
  <c r="K1824" i="1"/>
  <c r="AC1824" i="1"/>
  <c r="AJ1823" i="1"/>
  <c r="AK1823" i="1"/>
  <c r="AM1823" i="1"/>
  <c r="BF1823" i="1"/>
  <c r="BG1823" i="1"/>
  <c r="T1824" i="1"/>
  <c r="U1824" i="1"/>
  <c r="V1824" i="1"/>
  <c r="W1824" i="1"/>
  <c r="AB1824" i="1"/>
  <c r="AF1824" i="1"/>
  <c r="AC1825" i="1"/>
  <c r="AJ1824" i="1"/>
  <c r="AK1824" i="1"/>
  <c r="AM1824" i="1"/>
  <c r="BF1824" i="1"/>
  <c r="BG1824" i="1"/>
  <c r="T1825" i="1"/>
  <c r="U1825" i="1"/>
  <c r="V1825" i="1"/>
  <c r="W1825" i="1"/>
  <c r="AB1825" i="1"/>
  <c r="AF1825" i="1"/>
  <c r="AC1826" i="1"/>
  <c r="AJ1825" i="1"/>
  <c r="AK1825" i="1"/>
  <c r="AM1825" i="1"/>
  <c r="BF1825" i="1"/>
  <c r="BG1825" i="1"/>
  <c r="T1826" i="1"/>
  <c r="U1826" i="1"/>
  <c r="V1826" i="1"/>
  <c r="W1826" i="1"/>
  <c r="AB1826" i="1"/>
  <c r="AF1826" i="1"/>
  <c r="K1827" i="1"/>
  <c r="AC1827" i="1"/>
  <c r="AJ1826" i="1"/>
  <c r="AK1826" i="1"/>
  <c r="AM1826" i="1"/>
  <c r="BF1826" i="1"/>
  <c r="BG1826" i="1"/>
  <c r="T1827" i="1"/>
  <c r="U1827" i="1"/>
  <c r="V1827" i="1"/>
  <c r="W1827" i="1"/>
  <c r="AB1827" i="1"/>
  <c r="AF1827" i="1"/>
  <c r="K1828" i="1"/>
  <c r="AC1828" i="1"/>
  <c r="AJ1827" i="1"/>
  <c r="AK1827" i="1"/>
  <c r="AM1827" i="1"/>
  <c r="BF1827" i="1"/>
  <c r="BG1827" i="1"/>
  <c r="T1828" i="1"/>
  <c r="U1828" i="1"/>
  <c r="V1828" i="1"/>
  <c r="W1828" i="1"/>
  <c r="AB1828" i="1"/>
  <c r="AF1828" i="1"/>
  <c r="K1829" i="1"/>
  <c r="AC1829" i="1"/>
  <c r="AJ1828" i="1"/>
  <c r="AK1828" i="1"/>
  <c r="AM1828" i="1"/>
  <c r="BF1828" i="1"/>
  <c r="BG1828" i="1"/>
  <c r="T1829" i="1"/>
  <c r="U1829" i="1"/>
  <c r="V1829" i="1"/>
  <c r="W1829" i="1"/>
  <c r="AB1829" i="1"/>
  <c r="AF1829" i="1"/>
  <c r="K1830" i="1"/>
  <c r="AC1830" i="1"/>
  <c r="AJ1829" i="1"/>
  <c r="AK1829" i="1"/>
  <c r="AM1829" i="1"/>
  <c r="BF1829" i="1"/>
  <c r="BG1829" i="1"/>
  <c r="T1830" i="1"/>
  <c r="U1830" i="1"/>
  <c r="V1830" i="1"/>
  <c r="W1830" i="1"/>
  <c r="AB1830" i="1"/>
  <c r="AF1830" i="1"/>
  <c r="K1831" i="1"/>
  <c r="AC1831" i="1"/>
  <c r="AJ1830" i="1"/>
  <c r="AK1830" i="1"/>
  <c r="AM1830" i="1"/>
  <c r="BF1830" i="1"/>
  <c r="BG1830" i="1"/>
  <c r="T1831" i="1"/>
  <c r="U1831" i="1"/>
  <c r="V1831" i="1"/>
  <c r="W1831" i="1"/>
  <c r="AB1831" i="1"/>
  <c r="AF1831" i="1"/>
  <c r="AC1832" i="1"/>
  <c r="AJ1831" i="1"/>
  <c r="AK1831" i="1"/>
  <c r="AM1831" i="1"/>
  <c r="BF1831" i="1"/>
  <c r="BG1831" i="1"/>
  <c r="T1832" i="1"/>
  <c r="U1832" i="1"/>
  <c r="V1832" i="1"/>
  <c r="W1832" i="1"/>
  <c r="AB1832" i="1"/>
  <c r="AF1832" i="1"/>
  <c r="AC1833" i="1"/>
  <c r="AJ1832" i="1"/>
  <c r="AK1832" i="1"/>
  <c r="AM1832" i="1"/>
  <c r="BF1832" i="1"/>
  <c r="BG1832" i="1"/>
  <c r="T1833" i="1"/>
  <c r="U1833" i="1"/>
  <c r="V1833" i="1"/>
  <c r="W1833" i="1"/>
  <c r="AB1833" i="1"/>
  <c r="AF1833" i="1"/>
  <c r="K1834" i="1"/>
  <c r="AC1834" i="1"/>
  <c r="AJ1833" i="1"/>
  <c r="AK1833" i="1"/>
  <c r="AM1833" i="1"/>
  <c r="BF1833" i="1"/>
  <c r="BG1833" i="1"/>
  <c r="T1834" i="1"/>
  <c r="U1834" i="1"/>
  <c r="V1834" i="1"/>
  <c r="W1834" i="1"/>
  <c r="AB1834" i="1"/>
  <c r="AF1834" i="1"/>
  <c r="K1835" i="1"/>
  <c r="AC1835" i="1"/>
  <c r="AJ1834" i="1"/>
  <c r="AK1834" i="1"/>
  <c r="AM1834" i="1"/>
  <c r="BF1834" i="1"/>
  <c r="BG1834" i="1"/>
  <c r="T1835" i="1"/>
  <c r="U1835" i="1"/>
  <c r="V1835" i="1"/>
  <c r="W1835" i="1"/>
  <c r="AB1835" i="1"/>
  <c r="AF1835" i="1"/>
  <c r="K1836" i="1"/>
  <c r="AC1836" i="1"/>
  <c r="AJ1835" i="1"/>
  <c r="AK1835" i="1"/>
  <c r="AM1835" i="1"/>
  <c r="BF1835" i="1"/>
  <c r="BG1835" i="1"/>
  <c r="T1836" i="1"/>
  <c r="U1836" i="1"/>
  <c r="V1836" i="1"/>
  <c r="W1836" i="1"/>
  <c r="AB1836" i="1"/>
  <c r="AF1836" i="1"/>
  <c r="K1837" i="1"/>
  <c r="AC1837" i="1"/>
  <c r="AJ1836" i="1"/>
  <c r="AK1836" i="1"/>
  <c r="AM1836" i="1"/>
  <c r="BF1836" i="1"/>
  <c r="BG1836" i="1"/>
  <c r="T1837" i="1"/>
  <c r="U1837" i="1"/>
  <c r="V1837" i="1"/>
  <c r="W1837" i="1"/>
  <c r="AB1837" i="1"/>
  <c r="AF1837" i="1"/>
  <c r="AC1838" i="1"/>
  <c r="AJ1837" i="1"/>
  <c r="AK1837" i="1"/>
  <c r="AM1837" i="1"/>
  <c r="BF1837" i="1"/>
  <c r="BG1837" i="1"/>
  <c r="T1838" i="1"/>
  <c r="U1838" i="1"/>
  <c r="V1838" i="1"/>
  <c r="W1838" i="1"/>
  <c r="AB1838" i="1"/>
  <c r="AF1838" i="1"/>
  <c r="AC1839" i="1"/>
  <c r="AJ1838" i="1"/>
  <c r="AK1838" i="1"/>
  <c r="AM1838" i="1"/>
  <c r="BF1838" i="1"/>
  <c r="BG1838" i="1"/>
  <c r="T1839" i="1"/>
  <c r="U1839" i="1"/>
  <c r="V1839" i="1"/>
  <c r="W1839" i="1"/>
  <c r="AB1839" i="1"/>
  <c r="AF1839" i="1"/>
  <c r="K1840" i="1"/>
  <c r="AC1840" i="1"/>
  <c r="AJ1839" i="1"/>
  <c r="AK1839" i="1"/>
  <c r="AM1839" i="1"/>
  <c r="BF1839" i="1"/>
  <c r="BG1839" i="1"/>
  <c r="T1840" i="1"/>
  <c r="U1840" i="1"/>
  <c r="V1840" i="1"/>
  <c r="W1840" i="1"/>
  <c r="AB1840" i="1"/>
  <c r="AF1840" i="1"/>
  <c r="AC1841" i="1"/>
  <c r="AJ1840" i="1"/>
  <c r="AK1840" i="1"/>
  <c r="AM1840" i="1"/>
  <c r="BF1840" i="1"/>
  <c r="BG1840" i="1"/>
  <c r="T1841" i="1"/>
  <c r="U1841" i="1"/>
  <c r="V1841" i="1"/>
  <c r="W1841" i="1"/>
  <c r="AB1841" i="1"/>
  <c r="AF1841" i="1"/>
  <c r="AC1842" i="1"/>
  <c r="AJ1841" i="1"/>
  <c r="AK1841" i="1"/>
  <c r="AM1841" i="1"/>
  <c r="BF1841" i="1"/>
  <c r="BG1841" i="1"/>
  <c r="T1842" i="1"/>
  <c r="U1842" i="1"/>
  <c r="V1842" i="1"/>
  <c r="W1842" i="1"/>
  <c r="AB1842" i="1"/>
  <c r="AF1842" i="1"/>
  <c r="K1843" i="1"/>
  <c r="AC1843" i="1"/>
  <c r="AJ1842" i="1"/>
  <c r="AK1842" i="1"/>
  <c r="AM1842" i="1"/>
  <c r="BF1842" i="1"/>
  <c r="BG1842" i="1"/>
  <c r="T1843" i="1"/>
  <c r="U1843" i="1"/>
  <c r="V1843" i="1"/>
  <c r="W1843" i="1"/>
  <c r="AB1843" i="1"/>
  <c r="AF1843" i="1"/>
  <c r="AC1844" i="1"/>
  <c r="AJ1843" i="1"/>
  <c r="AK1843" i="1"/>
  <c r="AM1843" i="1"/>
  <c r="BF1843" i="1"/>
  <c r="BG1843" i="1"/>
  <c r="T1844" i="1"/>
  <c r="U1844" i="1"/>
  <c r="V1844" i="1"/>
  <c r="W1844" i="1"/>
  <c r="AB1844" i="1"/>
  <c r="AF1844" i="1"/>
  <c r="AC1845" i="1"/>
  <c r="AJ1844" i="1"/>
  <c r="AK1844" i="1"/>
  <c r="AM1844" i="1"/>
  <c r="BF1844" i="1"/>
  <c r="BG1844" i="1"/>
  <c r="T1845" i="1"/>
  <c r="U1845" i="1"/>
  <c r="V1845" i="1"/>
  <c r="W1845" i="1"/>
  <c r="AB1845" i="1"/>
  <c r="AF1845" i="1"/>
  <c r="K1846" i="1"/>
  <c r="AC1846" i="1"/>
  <c r="AJ1845" i="1"/>
  <c r="AK1845" i="1"/>
  <c r="AM1845" i="1"/>
  <c r="BF1845" i="1"/>
  <c r="BG1845" i="1"/>
  <c r="T1846" i="1"/>
  <c r="U1846" i="1"/>
  <c r="V1846" i="1"/>
  <c r="W1846" i="1"/>
  <c r="AB1846" i="1"/>
  <c r="AF1846" i="1"/>
  <c r="AC1847" i="1"/>
  <c r="AJ1846" i="1"/>
  <c r="AK1846" i="1"/>
  <c r="AM1846" i="1"/>
  <c r="BF1846" i="1"/>
  <c r="BG1846" i="1"/>
  <c r="T1847" i="1"/>
  <c r="U1847" i="1"/>
  <c r="V1847" i="1"/>
  <c r="W1847" i="1"/>
  <c r="AB1847" i="1"/>
  <c r="AF1847" i="1"/>
  <c r="AC1848" i="1"/>
  <c r="AJ1847" i="1"/>
  <c r="AK1847" i="1"/>
  <c r="AM1847" i="1"/>
  <c r="BF1847" i="1"/>
  <c r="BG1847" i="1"/>
  <c r="T1848" i="1"/>
  <c r="U1848" i="1"/>
  <c r="V1848" i="1"/>
  <c r="W1848" i="1"/>
  <c r="AB1848" i="1"/>
  <c r="AF1848" i="1"/>
  <c r="K1849" i="1"/>
  <c r="AC1849" i="1"/>
  <c r="AJ1848" i="1"/>
  <c r="AK1848" i="1"/>
  <c r="AM1848" i="1"/>
  <c r="BF1848" i="1"/>
  <c r="BG1848" i="1"/>
  <c r="T1849" i="1"/>
  <c r="U1849" i="1"/>
  <c r="V1849" i="1"/>
  <c r="W1849" i="1"/>
  <c r="AB1849" i="1"/>
  <c r="AF1849" i="1"/>
  <c r="AC1850" i="1"/>
  <c r="AJ1849" i="1"/>
  <c r="AK1849" i="1"/>
  <c r="AM1849" i="1"/>
  <c r="BF1849" i="1"/>
  <c r="BG1849" i="1"/>
  <c r="T1850" i="1"/>
  <c r="U1850" i="1"/>
  <c r="V1850" i="1"/>
  <c r="W1850" i="1"/>
  <c r="AB1850" i="1"/>
  <c r="AF1850" i="1"/>
  <c r="AC1851" i="1"/>
  <c r="AJ1850" i="1"/>
  <c r="AK1850" i="1"/>
  <c r="AM1850" i="1"/>
  <c r="BF1850" i="1"/>
  <c r="BG1850" i="1"/>
  <c r="T1851" i="1"/>
  <c r="U1851" i="1"/>
  <c r="V1851" i="1"/>
  <c r="W1851" i="1"/>
  <c r="AB1851" i="1"/>
  <c r="AF1851" i="1"/>
  <c r="K1852" i="1"/>
  <c r="AC1852" i="1"/>
  <c r="AJ1851" i="1"/>
  <c r="AK1851" i="1"/>
  <c r="AM1851" i="1"/>
  <c r="BF1851" i="1"/>
  <c r="BG1851" i="1"/>
  <c r="T1852" i="1"/>
  <c r="U1852" i="1"/>
  <c r="V1852" i="1"/>
  <c r="W1852" i="1"/>
  <c r="AB1852" i="1"/>
  <c r="AF1852" i="1"/>
  <c r="K1853" i="1"/>
  <c r="AC1853" i="1"/>
  <c r="AJ1852" i="1"/>
  <c r="AK1852" i="1"/>
  <c r="AM1852" i="1"/>
  <c r="BF1852" i="1"/>
  <c r="BG1852" i="1"/>
  <c r="T1853" i="1"/>
  <c r="U1853" i="1"/>
  <c r="V1853" i="1"/>
  <c r="W1853" i="1"/>
  <c r="AB1853" i="1"/>
  <c r="AF1853" i="1"/>
  <c r="K1854" i="1"/>
  <c r="AC1854" i="1"/>
  <c r="AJ1853" i="1"/>
  <c r="AK1853" i="1"/>
  <c r="AM1853" i="1"/>
  <c r="BF1853" i="1"/>
  <c r="BG1853" i="1"/>
  <c r="T1854" i="1"/>
  <c r="U1854" i="1"/>
  <c r="V1854" i="1"/>
  <c r="W1854" i="1"/>
  <c r="AB1854" i="1"/>
  <c r="AF1854" i="1"/>
  <c r="AC1855" i="1"/>
  <c r="AJ1854" i="1"/>
  <c r="AK1854" i="1"/>
  <c r="AM1854" i="1"/>
  <c r="BF1854" i="1"/>
  <c r="BG1854" i="1"/>
  <c r="T1855" i="1"/>
  <c r="U1855" i="1"/>
  <c r="V1855" i="1"/>
  <c r="W1855" i="1"/>
  <c r="AB1855" i="1"/>
  <c r="AF1855" i="1"/>
  <c r="AC1856" i="1"/>
  <c r="AJ1855" i="1"/>
  <c r="AK1855" i="1"/>
  <c r="AM1855" i="1"/>
  <c r="BF1855" i="1"/>
  <c r="BG1855" i="1"/>
  <c r="T1856" i="1"/>
  <c r="U1856" i="1"/>
  <c r="V1856" i="1"/>
  <c r="W1856" i="1"/>
  <c r="AB1856" i="1"/>
  <c r="AF1856" i="1"/>
  <c r="K1857" i="1"/>
  <c r="AC1857" i="1"/>
  <c r="AJ1856" i="1"/>
  <c r="AK1856" i="1"/>
  <c r="AM1856" i="1"/>
  <c r="BF1856" i="1"/>
  <c r="BG1856" i="1"/>
  <c r="T1857" i="1"/>
  <c r="U1857" i="1"/>
  <c r="V1857" i="1"/>
  <c r="W1857" i="1"/>
  <c r="AB1857" i="1"/>
  <c r="AF1857" i="1"/>
  <c r="AC1858" i="1"/>
  <c r="AJ1857" i="1"/>
  <c r="AK1857" i="1"/>
  <c r="AM1857" i="1"/>
  <c r="BF1857" i="1"/>
  <c r="BG1857" i="1"/>
  <c r="T1858" i="1"/>
  <c r="U1858" i="1"/>
  <c r="V1858" i="1"/>
  <c r="W1858" i="1"/>
  <c r="AB1858" i="1"/>
  <c r="AF1858" i="1"/>
  <c r="AC1859" i="1"/>
  <c r="AJ1858" i="1"/>
  <c r="AK1858" i="1"/>
  <c r="AM1858" i="1"/>
  <c r="BF1858" i="1"/>
  <c r="BG1858" i="1"/>
  <c r="T1859" i="1"/>
  <c r="U1859" i="1"/>
  <c r="V1859" i="1"/>
  <c r="W1859" i="1"/>
  <c r="AB1859" i="1"/>
  <c r="AF1859" i="1"/>
  <c r="K1860" i="1"/>
  <c r="AC1860" i="1"/>
  <c r="AJ1859" i="1"/>
  <c r="AK1859" i="1"/>
  <c r="AM1859" i="1"/>
  <c r="BF1859" i="1"/>
  <c r="BG1859" i="1"/>
  <c r="T1860" i="1"/>
  <c r="U1860" i="1"/>
  <c r="V1860" i="1"/>
  <c r="W1860" i="1"/>
  <c r="AB1860" i="1"/>
  <c r="AF1860" i="1"/>
  <c r="AC1861" i="1"/>
  <c r="AJ1860" i="1"/>
  <c r="AK1860" i="1"/>
  <c r="AM1860" i="1"/>
  <c r="BF1860" i="1"/>
  <c r="BG1860" i="1"/>
  <c r="T1861" i="1"/>
  <c r="U1861" i="1"/>
  <c r="V1861" i="1"/>
  <c r="W1861" i="1"/>
  <c r="AB1861" i="1"/>
  <c r="AF1861" i="1"/>
  <c r="AC1862" i="1"/>
  <c r="AJ1861" i="1"/>
  <c r="AK1861" i="1"/>
  <c r="AM1861" i="1"/>
  <c r="BF1861" i="1"/>
  <c r="BG1861" i="1"/>
  <c r="T1862" i="1"/>
  <c r="U1862" i="1"/>
  <c r="V1862" i="1"/>
  <c r="W1862" i="1"/>
  <c r="AB1862" i="1"/>
  <c r="AF1862" i="1"/>
  <c r="K1863" i="1"/>
  <c r="AC1863" i="1"/>
  <c r="AJ1862" i="1"/>
  <c r="AK1862" i="1"/>
  <c r="AM1862" i="1"/>
  <c r="BF1862" i="1"/>
  <c r="BG1862" i="1"/>
  <c r="T1863" i="1"/>
  <c r="U1863" i="1"/>
  <c r="V1863" i="1"/>
  <c r="W1863" i="1"/>
  <c r="AB1863" i="1"/>
  <c r="AF1863" i="1"/>
  <c r="AC1864" i="1"/>
  <c r="AJ1863" i="1"/>
  <c r="AK1863" i="1"/>
  <c r="AM1863" i="1"/>
  <c r="BF1863" i="1"/>
  <c r="BG1863" i="1"/>
  <c r="T1864" i="1"/>
  <c r="U1864" i="1"/>
  <c r="V1864" i="1"/>
  <c r="W1864" i="1"/>
  <c r="AB1864" i="1"/>
  <c r="AF1864" i="1"/>
  <c r="AC1865" i="1"/>
  <c r="AJ1864" i="1"/>
  <c r="AK1864" i="1"/>
  <c r="AM1864" i="1"/>
  <c r="BF1864" i="1"/>
  <c r="BG1864" i="1"/>
  <c r="T1865" i="1"/>
  <c r="U1865" i="1"/>
  <c r="V1865" i="1"/>
  <c r="W1865" i="1"/>
  <c r="AB1865" i="1"/>
  <c r="AF1865" i="1"/>
  <c r="K1866" i="1"/>
  <c r="AC1866" i="1"/>
  <c r="AJ1865" i="1"/>
  <c r="AK1865" i="1"/>
  <c r="AM1865" i="1"/>
  <c r="BF1865" i="1"/>
  <c r="BG1865" i="1"/>
  <c r="T1866" i="1"/>
  <c r="U1866" i="1"/>
  <c r="V1866" i="1"/>
  <c r="W1866" i="1"/>
  <c r="AB1866" i="1"/>
  <c r="AF1866" i="1"/>
  <c r="AC1867" i="1"/>
  <c r="AJ1866" i="1"/>
  <c r="AK1866" i="1"/>
  <c r="AM1866" i="1"/>
  <c r="BF1866" i="1"/>
  <c r="BG1866" i="1"/>
  <c r="T1867" i="1"/>
  <c r="U1867" i="1"/>
  <c r="V1867" i="1"/>
  <c r="W1867" i="1"/>
  <c r="AB1867" i="1"/>
  <c r="AF1867" i="1"/>
  <c r="AC1868" i="1"/>
  <c r="AJ1867" i="1"/>
  <c r="AK1867" i="1"/>
  <c r="AM1867" i="1"/>
  <c r="BF1867" i="1"/>
  <c r="BG1867" i="1"/>
  <c r="T1868" i="1"/>
  <c r="U1868" i="1"/>
  <c r="V1868" i="1"/>
  <c r="W1868" i="1"/>
  <c r="AB1868" i="1"/>
  <c r="AF1868" i="1"/>
  <c r="K1869" i="1"/>
  <c r="AC1869" i="1"/>
  <c r="AJ1868" i="1"/>
  <c r="AK1868" i="1"/>
  <c r="AM1868" i="1"/>
  <c r="BF1868" i="1"/>
  <c r="BG1868" i="1"/>
  <c r="T1869" i="1"/>
  <c r="U1869" i="1"/>
  <c r="V1869" i="1"/>
  <c r="W1869" i="1"/>
  <c r="AB1869" i="1"/>
  <c r="AF1869" i="1"/>
  <c r="AC1870" i="1"/>
  <c r="AJ1869" i="1"/>
  <c r="AK1869" i="1"/>
  <c r="AM1869" i="1"/>
  <c r="BF1869" i="1"/>
  <c r="BG1869" i="1"/>
  <c r="T1870" i="1"/>
  <c r="U1870" i="1"/>
  <c r="V1870" i="1"/>
  <c r="W1870" i="1"/>
  <c r="AB1870" i="1"/>
  <c r="AF1870" i="1"/>
  <c r="AC1871" i="1"/>
  <c r="AJ1870" i="1"/>
  <c r="AK1870" i="1"/>
  <c r="AM1870" i="1"/>
  <c r="BF1870" i="1"/>
  <c r="BG1870" i="1"/>
  <c r="T1871" i="1"/>
  <c r="U1871" i="1"/>
  <c r="V1871" i="1"/>
  <c r="W1871" i="1"/>
  <c r="AB1871" i="1"/>
  <c r="AF1871" i="1"/>
  <c r="K1872" i="1"/>
  <c r="AC1872" i="1"/>
  <c r="AJ1871" i="1"/>
  <c r="AK1871" i="1"/>
  <c r="AM1871" i="1"/>
  <c r="BF1871" i="1"/>
  <c r="BG1871" i="1"/>
  <c r="T1872" i="1"/>
  <c r="U1872" i="1"/>
  <c r="V1872" i="1"/>
  <c r="W1872" i="1"/>
  <c r="AB1872" i="1"/>
  <c r="AF1872" i="1"/>
  <c r="AC1873" i="1"/>
  <c r="AJ1872" i="1"/>
  <c r="AK1872" i="1"/>
  <c r="AM1872" i="1"/>
  <c r="BF1872" i="1"/>
  <c r="BG1872" i="1"/>
  <c r="T1873" i="1"/>
  <c r="U1873" i="1"/>
  <c r="V1873" i="1"/>
  <c r="W1873" i="1"/>
  <c r="AB1873" i="1"/>
  <c r="AF1873" i="1"/>
  <c r="AC1874" i="1"/>
  <c r="AJ1873" i="1"/>
  <c r="AK1873" i="1"/>
  <c r="AM1873" i="1"/>
  <c r="BF1873" i="1"/>
  <c r="BG1873" i="1"/>
  <c r="T1874" i="1"/>
  <c r="U1874" i="1"/>
  <c r="V1874" i="1"/>
  <c r="W1874" i="1"/>
  <c r="AB1874" i="1"/>
  <c r="AF1874" i="1"/>
  <c r="K1875" i="1"/>
  <c r="AC1875" i="1"/>
  <c r="AJ1874" i="1"/>
  <c r="AK1874" i="1"/>
  <c r="AM1874" i="1"/>
  <c r="BF1874" i="1"/>
  <c r="BG1874" i="1"/>
  <c r="T1875" i="1"/>
  <c r="U1875" i="1"/>
  <c r="V1875" i="1"/>
  <c r="W1875" i="1"/>
  <c r="AB1875" i="1"/>
  <c r="AF1875" i="1"/>
  <c r="AC1876" i="1"/>
  <c r="AJ1875" i="1"/>
  <c r="AK1875" i="1"/>
  <c r="AM1875" i="1"/>
  <c r="BF1875" i="1"/>
  <c r="BG1875" i="1"/>
  <c r="T1876" i="1"/>
  <c r="U1876" i="1"/>
  <c r="V1876" i="1"/>
  <c r="W1876" i="1"/>
  <c r="AB1876" i="1"/>
  <c r="AF1876" i="1"/>
  <c r="AC1877" i="1"/>
  <c r="AJ1876" i="1"/>
  <c r="AK1876" i="1"/>
  <c r="AM1876" i="1"/>
  <c r="BF1876" i="1"/>
  <c r="BG1876" i="1"/>
  <c r="T1877" i="1"/>
  <c r="U1877" i="1"/>
  <c r="V1877" i="1"/>
  <c r="W1877" i="1"/>
  <c r="AB1877" i="1"/>
  <c r="AF1877" i="1"/>
  <c r="K1878" i="1"/>
  <c r="AC1878" i="1"/>
  <c r="AJ1877" i="1"/>
  <c r="AK1877" i="1"/>
  <c r="AM1877" i="1"/>
  <c r="BF1877" i="1"/>
  <c r="BG1877" i="1"/>
  <c r="T1878" i="1"/>
  <c r="U1878" i="1"/>
  <c r="V1878" i="1"/>
  <c r="W1878" i="1"/>
  <c r="AB1878" i="1"/>
  <c r="AF1878" i="1"/>
  <c r="K1879" i="1"/>
  <c r="AC1879" i="1"/>
  <c r="AJ1878" i="1"/>
  <c r="AK1878" i="1"/>
  <c r="AM1878" i="1"/>
  <c r="BF1878" i="1"/>
  <c r="BG1878" i="1"/>
  <c r="T1879" i="1"/>
  <c r="U1879" i="1"/>
  <c r="V1879" i="1"/>
  <c r="W1879" i="1"/>
  <c r="AB1879" i="1"/>
  <c r="AF1879" i="1"/>
  <c r="K1880" i="1"/>
  <c r="AC1880" i="1"/>
  <c r="AJ1879" i="1"/>
  <c r="AK1879" i="1"/>
  <c r="AM1879" i="1"/>
  <c r="BF1879" i="1"/>
  <c r="BG1879" i="1"/>
  <c r="T1880" i="1"/>
  <c r="U1880" i="1"/>
  <c r="V1880" i="1"/>
  <c r="W1880" i="1"/>
  <c r="AB1880" i="1"/>
  <c r="AF1880" i="1"/>
  <c r="K1881" i="1"/>
  <c r="AC1881" i="1"/>
  <c r="AJ1880" i="1"/>
  <c r="AK1880" i="1"/>
  <c r="AM1880" i="1"/>
  <c r="BF1880" i="1"/>
  <c r="BG1880" i="1"/>
  <c r="T1881" i="1"/>
  <c r="U1881" i="1"/>
  <c r="V1881" i="1"/>
  <c r="W1881" i="1"/>
  <c r="AB1881" i="1"/>
  <c r="AF1881" i="1"/>
  <c r="K1882" i="1"/>
  <c r="AC1882" i="1"/>
  <c r="AJ1881" i="1"/>
  <c r="AK1881" i="1"/>
  <c r="AM1881" i="1"/>
  <c r="BF1881" i="1"/>
  <c r="BG1881" i="1"/>
  <c r="T1882" i="1"/>
  <c r="U1882" i="1"/>
  <c r="V1882" i="1"/>
  <c r="W1882" i="1"/>
  <c r="AB1882" i="1"/>
  <c r="AF1882" i="1"/>
  <c r="K1883" i="1"/>
  <c r="AC1883" i="1"/>
  <c r="AJ1882" i="1"/>
  <c r="AK1882" i="1"/>
  <c r="AM1882" i="1"/>
  <c r="BF1882" i="1"/>
  <c r="BG1882" i="1"/>
  <c r="T1883" i="1"/>
  <c r="U1883" i="1"/>
  <c r="V1883" i="1"/>
  <c r="W1883" i="1"/>
  <c r="AB1883" i="1"/>
  <c r="AF1883" i="1"/>
  <c r="AC1884" i="1"/>
  <c r="AJ1883" i="1"/>
  <c r="AK1883" i="1"/>
  <c r="AM1883" i="1"/>
  <c r="BF1883" i="1"/>
  <c r="BG1883" i="1"/>
  <c r="T1884" i="1"/>
  <c r="U1884" i="1"/>
  <c r="V1884" i="1"/>
  <c r="W1884" i="1"/>
  <c r="AB1884" i="1"/>
  <c r="AF1884" i="1"/>
  <c r="AC1885" i="1"/>
  <c r="AJ1884" i="1"/>
  <c r="AK1884" i="1"/>
  <c r="AM1884" i="1"/>
  <c r="BF1884" i="1"/>
  <c r="BG1884" i="1"/>
  <c r="T1885" i="1"/>
  <c r="U1885" i="1"/>
  <c r="V1885" i="1"/>
  <c r="W1885" i="1"/>
  <c r="AB1885" i="1"/>
  <c r="AF1885" i="1"/>
  <c r="K1886" i="1"/>
  <c r="AC1886" i="1"/>
  <c r="AJ1885" i="1"/>
  <c r="AK1885" i="1"/>
  <c r="AM1885" i="1"/>
  <c r="BF1885" i="1"/>
  <c r="BG1885" i="1"/>
  <c r="T1886" i="1"/>
  <c r="U1886" i="1"/>
  <c r="V1886" i="1"/>
  <c r="W1886" i="1"/>
  <c r="AB1886" i="1"/>
  <c r="AF1886" i="1"/>
  <c r="K1887" i="1"/>
  <c r="AC1887" i="1"/>
  <c r="AJ1886" i="1"/>
  <c r="AK1886" i="1"/>
  <c r="AM1886" i="1"/>
  <c r="BF1886" i="1"/>
  <c r="BG1886" i="1"/>
  <c r="T1887" i="1"/>
  <c r="U1887" i="1"/>
  <c r="V1887" i="1"/>
  <c r="W1887" i="1"/>
  <c r="AB1887" i="1"/>
  <c r="AF1887" i="1"/>
  <c r="K1888" i="1"/>
  <c r="AC1888" i="1"/>
  <c r="AJ1887" i="1"/>
  <c r="AK1887" i="1"/>
  <c r="AM1887" i="1"/>
  <c r="BF1887" i="1"/>
  <c r="BG1887" i="1"/>
  <c r="T1888" i="1"/>
  <c r="U1888" i="1"/>
  <c r="V1888" i="1"/>
  <c r="W1888" i="1"/>
  <c r="AB1888" i="1"/>
  <c r="AF1888" i="1"/>
  <c r="AC1889" i="1"/>
  <c r="AJ1888" i="1"/>
  <c r="AK1888" i="1"/>
  <c r="AM1888" i="1"/>
  <c r="BF1888" i="1"/>
  <c r="BG1888" i="1"/>
  <c r="T1889" i="1"/>
  <c r="U1889" i="1"/>
  <c r="V1889" i="1"/>
  <c r="W1889" i="1"/>
  <c r="AB1889" i="1"/>
  <c r="AF1889" i="1"/>
  <c r="AC1890" i="1"/>
  <c r="AJ1889" i="1"/>
  <c r="AK1889" i="1"/>
  <c r="AM1889" i="1"/>
  <c r="BF1889" i="1"/>
  <c r="BG1889" i="1"/>
  <c r="T1890" i="1"/>
  <c r="U1890" i="1"/>
  <c r="V1890" i="1"/>
  <c r="W1890" i="1"/>
  <c r="AB1890" i="1"/>
  <c r="AF1890" i="1"/>
  <c r="K1891" i="1"/>
  <c r="AC1891" i="1"/>
  <c r="AJ1890" i="1"/>
  <c r="AK1890" i="1"/>
  <c r="AM1890" i="1"/>
  <c r="BF1890" i="1"/>
  <c r="BG1890" i="1"/>
  <c r="T1891" i="1"/>
  <c r="U1891" i="1"/>
  <c r="V1891" i="1"/>
  <c r="W1891" i="1"/>
  <c r="AB1891" i="1"/>
  <c r="AF1891" i="1"/>
  <c r="AC1892" i="1"/>
  <c r="AJ1891" i="1"/>
  <c r="AK1891" i="1"/>
  <c r="AM1891" i="1"/>
  <c r="BF1891" i="1"/>
  <c r="BG1891" i="1"/>
  <c r="T1892" i="1"/>
  <c r="U1892" i="1"/>
  <c r="V1892" i="1"/>
  <c r="W1892" i="1"/>
  <c r="AB1892" i="1"/>
  <c r="AF1892" i="1"/>
  <c r="AC1893" i="1"/>
  <c r="AJ1892" i="1"/>
  <c r="AK1892" i="1"/>
  <c r="AM1892" i="1"/>
  <c r="BF1892" i="1"/>
  <c r="BG1892" i="1"/>
  <c r="T1893" i="1"/>
  <c r="U1893" i="1"/>
  <c r="V1893" i="1"/>
  <c r="W1893" i="1"/>
  <c r="AB1893" i="1"/>
  <c r="AF1893" i="1"/>
  <c r="K1894" i="1"/>
  <c r="AC1894" i="1"/>
  <c r="AJ1893" i="1"/>
  <c r="AK1893" i="1"/>
  <c r="AM1893" i="1"/>
  <c r="BF1893" i="1"/>
  <c r="BG1893" i="1"/>
  <c r="T1894" i="1"/>
  <c r="U1894" i="1"/>
  <c r="V1894" i="1"/>
  <c r="W1894" i="1"/>
  <c r="AB1894" i="1"/>
  <c r="AF1894" i="1"/>
  <c r="K1895" i="1"/>
  <c r="AC1895" i="1"/>
  <c r="AJ1894" i="1"/>
  <c r="AK1894" i="1"/>
  <c r="AM1894" i="1"/>
  <c r="BF1894" i="1"/>
  <c r="BG1894" i="1"/>
  <c r="T1895" i="1"/>
  <c r="U1895" i="1"/>
  <c r="V1895" i="1"/>
  <c r="W1895" i="1"/>
  <c r="AB1895" i="1"/>
  <c r="AF1895" i="1"/>
  <c r="AC1896" i="1"/>
  <c r="AJ1895" i="1"/>
  <c r="AK1895" i="1"/>
  <c r="AM1895" i="1"/>
  <c r="BF1895" i="1"/>
  <c r="BG1895" i="1"/>
  <c r="T1896" i="1"/>
  <c r="U1896" i="1"/>
  <c r="V1896" i="1"/>
  <c r="W1896" i="1"/>
  <c r="AB1896" i="1"/>
  <c r="AF1896" i="1"/>
  <c r="AC1897" i="1"/>
  <c r="AJ1896" i="1"/>
  <c r="AK1896" i="1"/>
  <c r="AM1896" i="1"/>
  <c r="BF1896" i="1"/>
  <c r="BG1896" i="1"/>
  <c r="T1897" i="1"/>
  <c r="U1897" i="1"/>
  <c r="V1897" i="1"/>
  <c r="W1897" i="1"/>
  <c r="AB1897" i="1"/>
  <c r="AF1897" i="1"/>
  <c r="K1898" i="1"/>
  <c r="AC1898" i="1"/>
  <c r="AJ1897" i="1"/>
  <c r="AK1897" i="1"/>
  <c r="AM1897" i="1"/>
  <c r="BF1897" i="1"/>
  <c r="BG1897" i="1"/>
  <c r="T1898" i="1"/>
  <c r="U1898" i="1"/>
  <c r="V1898" i="1"/>
  <c r="W1898" i="1"/>
  <c r="AB1898" i="1"/>
  <c r="AF1898" i="1"/>
  <c r="K1899" i="1"/>
  <c r="AC1899" i="1"/>
  <c r="AJ1898" i="1"/>
  <c r="AK1898" i="1"/>
  <c r="AM1898" i="1"/>
  <c r="BF1898" i="1"/>
  <c r="BG1898" i="1"/>
  <c r="T1899" i="1"/>
  <c r="U1899" i="1"/>
  <c r="V1899" i="1"/>
  <c r="W1899" i="1"/>
  <c r="AB1899" i="1"/>
  <c r="AF1899" i="1"/>
  <c r="AC1900" i="1"/>
  <c r="AJ1899" i="1"/>
  <c r="AK1899" i="1"/>
  <c r="AM1899" i="1"/>
  <c r="BF1899" i="1"/>
  <c r="BG1899" i="1"/>
  <c r="T1900" i="1"/>
  <c r="U1900" i="1"/>
  <c r="V1900" i="1"/>
  <c r="W1900" i="1"/>
  <c r="AB1900" i="1"/>
  <c r="AF1900" i="1"/>
  <c r="AC1901" i="1"/>
  <c r="AJ1900" i="1"/>
  <c r="AK1900" i="1"/>
  <c r="AM1900" i="1"/>
  <c r="BF1900" i="1"/>
  <c r="BG1900" i="1"/>
  <c r="T1901" i="1"/>
  <c r="U1901" i="1"/>
  <c r="V1901" i="1"/>
  <c r="W1901" i="1"/>
  <c r="AB1901" i="1"/>
  <c r="AF1901" i="1"/>
  <c r="K1902" i="1"/>
  <c r="AC1902" i="1"/>
  <c r="AJ1901" i="1"/>
  <c r="AK1901" i="1"/>
  <c r="AM1901" i="1"/>
  <c r="BF1901" i="1"/>
  <c r="BG1901" i="1"/>
  <c r="T1902" i="1"/>
  <c r="U1902" i="1"/>
  <c r="V1902" i="1"/>
  <c r="W1902" i="1"/>
  <c r="AB1902" i="1"/>
  <c r="AF1902" i="1"/>
  <c r="K1903" i="1"/>
  <c r="AC1903" i="1"/>
  <c r="AJ1902" i="1"/>
  <c r="AK1902" i="1"/>
  <c r="AM1902" i="1"/>
  <c r="BF1902" i="1"/>
  <c r="BG1902" i="1"/>
  <c r="T1903" i="1"/>
  <c r="U1903" i="1"/>
  <c r="V1903" i="1"/>
  <c r="W1903" i="1"/>
  <c r="AB1903" i="1"/>
  <c r="AF1903" i="1"/>
  <c r="AC1904" i="1"/>
  <c r="AJ1903" i="1"/>
  <c r="AK1903" i="1"/>
  <c r="AM1903" i="1"/>
  <c r="BF1903" i="1"/>
  <c r="BG1903" i="1"/>
  <c r="T1904" i="1"/>
  <c r="U1904" i="1"/>
  <c r="V1904" i="1"/>
  <c r="W1904" i="1"/>
  <c r="AB1904" i="1"/>
  <c r="AF1904" i="1"/>
  <c r="AC1905" i="1"/>
  <c r="AJ1904" i="1"/>
  <c r="AK1904" i="1"/>
  <c r="AM1904" i="1"/>
  <c r="BF1904" i="1"/>
  <c r="BG1904" i="1"/>
  <c r="T1905" i="1"/>
  <c r="U1905" i="1"/>
  <c r="V1905" i="1"/>
  <c r="W1905" i="1"/>
  <c r="AB1905" i="1"/>
  <c r="AF1905" i="1"/>
  <c r="K1906" i="1"/>
  <c r="AC1906" i="1"/>
  <c r="AJ1905" i="1"/>
  <c r="AK1905" i="1"/>
  <c r="AM1905" i="1"/>
  <c r="BF1905" i="1"/>
  <c r="BG1905" i="1"/>
  <c r="T1906" i="1"/>
  <c r="U1906" i="1"/>
  <c r="V1906" i="1"/>
  <c r="W1906" i="1"/>
  <c r="AB1906" i="1"/>
  <c r="AF1906" i="1"/>
  <c r="AC1907" i="1"/>
  <c r="AJ1906" i="1"/>
  <c r="AK1906" i="1"/>
  <c r="AM1906" i="1"/>
  <c r="BF1906" i="1"/>
  <c r="BG1906" i="1"/>
  <c r="T1907" i="1"/>
  <c r="U1907" i="1"/>
  <c r="V1907" i="1"/>
  <c r="W1907" i="1"/>
  <c r="AB1907" i="1"/>
  <c r="AF1907" i="1"/>
  <c r="AC1908" i="1"/>
  <c r="AJ1907" i="1"/>
  <c r="AK1907" i="1"/>
  <c r="AM1907" i="1"/>
  <c r="BF1907" i="1"/>
  <c r="BG1907" i="1"/>
  <c r="T1908" i="1"/>
  <c r="U1908" i="1"/>
  <c r="V1908" i="1"/>
  <c r="W1908" i="1"/>
  <c r="AB1908" i="1"/>
  <c r="AF1908" i="1"/>
  <c r="AC1909" i="1"/>
  <c r="AJ1908" i="1"/>
  <c r="AK1908" i="1"/>
  <c r="AM1908" i="1"/>
  <c r="BF1908" i="1"/>
  <c r="BG1908" i="1"/>
  <c r="T1909" i="1"/>
  <c r="U1909" i="1"/>
  <c r="V1909" i="1"/>
  <c r="W1909" i="1"/>
  <c r="AB1909" i="1"/>
  <c r="AF1909" i="1"/>
  <c r="K1910" i="1"/>
  <c r="AC1910" i="1"/>
  <c r="AJ1909" i="1"/>
  <c r="AK1909" i="1"/>
  <c r="AM1909" i="1"/>
  <c r="BF1909" i="1"/>
  <c r="BG1909" i="1"/>
  <c r="T1910" i="1"/>
  <c r="U1910" i="1"/>
  <c r="V1910" i="1"/>
  <c r="W1910" i="1"/>
  <c r="AB1910" i="1"/>
  <c r="AF1910" i="1"/>
  <c r="AC1911" i="1"/>
  <c r="AJ1910" i="1"/>
  <c r="AK1910" i="1"/>
  <c r="AM1910" i="1"/>
  <c r="BF1910" i="1"/>
  <c r="BG1910" i="1"/>
  <c r="T1911" i="1"/>
  <c r="U1911" i="1"/>
  <c r="V1911" i="1"/>
  <c r="W1911" i="1"/>
  <c r="AB1911" i="1"/>
  <c r="AF1911" i="1"/>
  <c r="AC1912" i="1"/>
  <c r="AJ1911" i="1"/>
  <c r="AK1911" i="1"/>
  <c r="AM1911" i="1"/>
  <c r="BF1911" i="1"/>
  <c r="BG1911" i="1"/>
  <c r="T1912" i="1"/>
  <c r="U1912" i="1"/>
  <c r="V1912" i="1"/>
  <c r="W1912" i="1"/>
  <c r="AB1912" i="1"/>
  <c r="AF1912" i="1"/>
  <c r="K1913" i="1"/>
  <c r="AC1913" i="1"/>
  <c r="AJ1912" i="1"/>
  <c r="AK1912" i="1"/>
  <c r="AM1912" i="1"/>
  <c r="BF1912" i="1"/>
  <c r="BG1912" i="1"/>
  <c r="T1913" i="1"/>
  <c r="U1913" i="1"/>
  <c r="V1913" i="1"/>
  <c r="W1913" i="1"/>
  <c r="AB1913" i="1"/>
  <c r="AF1913" i="1"/>
  <c r="AC1914" i="1"/>
  <c r="AJ1913" i="1"/>
  <c r="AK1913" i="1"/>
  <c r="AM1913" i="1"/>
  <c r="BF1913" i="1"/>
  <c r="BG1913" i="1"/>
  <c r="T1914" i="1"/>
  <c r="U1914" i="1"/>
  <c r="V1914" i="1"/>
  <c r="W1914" i="1"/>
  <c r="AB1914" i="1"/>
  <c r="AF1914" i="1"/>
  <c r="AC1915" i="1"/>
  <c r="AJ1914" i="1"/>
  <c r="AK1914" i="1"/>
  <c r="AM1914" i="1"/>
  <c r="BF1914" i="1"/>
  <c r="BG1914" i="1"/>
  <c r="T1915" i="1"/>
  <c r="U1915" i="1"/>
  <c r="V1915" i="1"/>
  <c r="W1915" i="1"/>
  <c r="AB1915" i="1"/>
  <c r="AF1915" i="1"/>
  <c r="K1916" i="1"/>
  <c r="AC1916" i="1"/>
  <c r="AJ1915" i="1"/>
  <c r="AK1915" i="1"/>
  <c r="AM1915" i="1"/>
  <c r="BF1915" i="1"/>
  <c r="BG1915" i="1"/>
  <c r="T1916" i="1"/>
  <c r="U1916" i="1"/>
  <c r="V1916" i="1"/>
  <c r="W1916" i="1"/>
  <c r="AB1916" i="1"/>
  <c r="AF1916" i="1"/>
  <c r="AC1917" i="1"/>
  <c r="AJ1916" i="1"/>
  <c r="AK1916" i="1"/>
  <c r="AM1916" i="1"/>
  <c r="BF1916" i="1"/>
  <c r="BG1916" i="1"/>
  <c r="T1917" i="1"/>
  <c r="U1917" i="1"/>
  <c r="V1917" i="1"/>
  <c r="W1917" i="1"/>
  <c r="AB1917" i="1"/>
  <c r="AF1917" i="1"/>
  <c r="AC1918" i="1"/>
  <c r="AJ1917" i="1"/>
  <c r="AK1917" i="1"/>
  <c r="AM1917" i="1"/>
  <c r="BF1917" i="1"/>
  <c r="BG1917" i="1"/>
  <c r="T1918" i="1"/>
  <c r="U1918" i="1"/>
  <c r="V1918" i="1"/>
  <c r="W1918" i="1"/>
  <c r="AB1918" i="1"/>
  <c r="AF1918" i="1"/>
  <c r="K1919" i="1"/>
  <c r="AC1919" i="1"/>
  <c r="AJ1918" i="1"/>
  <c r="AK1918" i="1"/>
  <c r="AM1918" i="1"/>
  <c r="BF1918" i="1"/>
  <c r="BG1918" i="1"/>
  <c r="T1919" i="1"/>
  <c r="U1919" i="1"/>
  <c r="V1919" i="1"/>
  <c r="W1919" i="1"/>
  <c r="AB1919" i="1"/>
  <c r="AF1919" i="1"/>
  <c r="AC1920" i="1"/>
  <c r="AJ1919" i="1"/>
  <c r="AK1919" i="1"/>
  <c r="AM1919" i="1"/>
  <c r="BF1919" i="1"/>
  <c r="BG1919" i="1"/>
  <c r="T1920" i="1"/>
  <c r="U1920" i="1"/>
  <c r="V1920" i="1"/>
  <c r="W1920" i="1"/>
  <c r="AB1920" i="1"/>
  <c r="AF1920" i="1"/>
  <c r="AC1921" i="1"/>
  <c r="AJ1920" i="1"/>
  <c r="AK1920" i="1"/>
  <c r="AM1920" i="1"/>
  <c r="BF1920" i="1"/>
  <c r="BG1920" i="1"/>
  <c r="T1921" i="1"/>
  <c r="U1921" i="1"/>
  <c r="V1921" i="1"/>
  <c r="W1921" i="1"/>
  <c r="AB1921" i="1"/>
  <c r="AF1921" i="1"/>
  <c r="K1922" i="1"/>
  <c r="AC1922" i="1"/>
  <c r="AJ1921" i="1"/>
  <c r="AK1921" i="1"/>
  <c r="AM1921" i="1"/>
  <c r="BF1921" i="1"/>
  <c r="BG1921" i="1"/>
  <c r="T1922" i="1"/>
  <c r="U1922" i="1"/>
  <c r="V1922" i="1"/>
  <c r="W1922" i="1"/>
  <c r="AB1922" i="1"/>
  <c r="AF1922" i="1"/>
  <c r="AC1923" i="1"/>
  <c r="AJ1922" i="1"/>
  <c r="AK1922" i="1"/>
  <c r="AM1922" i="1"/>
  <c r="BF1922" i="1"/>
  <c r="BG1922" i="1"/>
  <c r="T1923" i="1"/>
  <c r="U1923" i="1"/>
  <c r="V1923" i="1"/>
  <c r="W1923" i="1"/>
  <c r="AB1923" i="1"/>
  <c r="AF1923" i="1"/>
  <c r="AC1924" i="1"/>
  <c r="AJ1923" i="1"/>
  <c r="AK1923" i="1"/>
  <c r="AM1923" i="1"/>
  <c r="BF1923" i="1"/>
  <c r="BG1923" i="1"/>
  <c r="T1924" i="1"/>
  <c r="U1924" i="1"/>
  <c r="V1924" i="1"/>
  <c r="W1924" i="1"/>
  <c r="AB1924" i="1"/>
  <c r="AF1924" i="1"/>
  <c r="K1925" i="1"/>
  <c r="AC1925" i="1"/>
  <c r="AJ1924" i="1"/>
  <c r="AK1924" i="1"/>
  <c r="AM1924" i="1"/>
  <c r="BF1924" i="1"/>
  <c r="BG1924" i="1"/>
  <c r="T1925" i="1"/>
  <c r="U1925" i="1"/>
  <c r="V1925" i="1"/>
  <c r="W1925" i="1"/>
  <c r="AB1925" i="1"/>
  <c r="AF1925" i="1"/>
  <c r="K1926" i="1"/>
  <c r="AC1926" i="1"/>
  <c r="AJ1925" i="1"/>
  <c r="AK1925" i="1"/>
  <c r="AM1925" i="1"/>
  <c r="BF1925" i="1"/>
  <c r="BG1925" i="1"/>
  <c r="T1926" i="1"/>
  <c r="U1926" i="1"/>
  <c r="V1926" i="1"/>
  <c r="W1926" i="1"/>
  <c r="AB1926" i="1"/>
  <c r="AF1926" i="1"/>
  <c r="AC1927" i="1"/>
  <c r="AJ1926" i="1"/>
  <c r="AK1926" i="1"/>
  <c r="AM1926" i="1"/>
  <c r="BF1926" i="1"/>
  <c r="BG1926" i="1"/>
  <c r="T1927" i="1"/>
  <c r="U1927" i="1"/>
  <c r="V1927" i="1"/>
  <c r="W1927" i="1"/>
  <c r="AB1927" i="1"/>
  <c r="AF1927" i="1"/>
  <c r="AC1928" i="1"/>
  <c r="AJ1927" i="1"/>
  <c r="AK1927" i="1"/>
  <c r="AM1927" i="1"/>
  <c r="BF1927" i="1"/>
  <c r="BG1927" i="1"/>
  <c r="T1928" i="1"/>
  <c r="U1928" i="1"/>
  <c r="V1928" i="1"/>
  <c r="W1928" i="1"/>
  <c r="AB1928" i="1"/>
  <c r="AF1928" i="1"/>
  <c r="K1929" i="1"/>
  <c r="AC1929" i="1"/>
  <c r="AJ1928" i="1"/>
  <c r="AK1928" i="1"/>
  <c r="AM1928" i="1"/>
  <c r="BF1928" i="1"/>
  <c r="BG1928" i="1"/>
  <c r="T1929" i="1"/>
  <c r="U1929" i="1"/>
  <c r="V1929" i="1"/>
  <c r="W1929" i="1"/>
  <c r="AB1929" i="1"/>
  <c r="AF1929" i="1"/>
  <c r="AC1930" i="1"/>
  <c r="AJ1929" i="1"/>
  <c r="AK1929" i="1"/>
  <c r="AM1929" i="1"/>
  <c r="BF1929" i="1"/>
  <c r="BG1929" i="1"/>
  <c r="T1930" i="1"/>
  <c r="U1930" i="1"/>
  <c r="V1930" i="1"/>
  <c r="W1930" i="1"/>
  <c r="AB1930" i="1"/>
  <c r="AF1930" i="1"/>
  <c r="AC1931" i="1"/>
  <c r="AJ1930" i="1"/>
  <c r="AK1930" i="1"/>
  <c r="AM1930" i="1"/>
  <c r="BF1930" i="1"/>
  <c r="BG1930" i="1"/>
  <c r="T1931" i="1"/>
  <c r="U1931" i="1"/>
  <c r="V1931" i="1"/>
  <c r="W1931" i="1"/>
  <c r="AB1931" i="1"/>
  <c r="AF1931" i="1"/>
  <c r="K1932" i="1"/>
  <c r="AC1932" i="1"/>
  <c r="AJ1931" i="1"/>
  <c r="AK1931" i="1"/>
  <c r="AM1931" i="1"/>
  <c r="BF1931" i="1"/>
  <c r="BG1931" i="1"/>
  <c r="T1932" i="1"/>
  <c r="U1932" i="1"/>
  <c r="V1932" i="1"/>
  <c r="W1932" i="1"/>
  <c r="AB1932" i="1"/>
  <c r="AF1932" i="1"/>
  <c r="AC1933" i="1"/>
  <c r="AJ1932" i="1"/>
  <c r="AK1932" i="1"/>
  <c r="AM1932" i="1"/>
  <c r="BF1932" i="1"/>
  <c r="BG1932" i="1"/>
  <c r="T1933" i="1"/>
  <c r="U1933" i="1"/>
  <c r="V1933" i="1"/>
  <c r="W1933" i="1"/>
  <c r="AB1933" i="1"/>
  <c r="AF1933" i="1"/>
  <c r="AC1934" i="1"/>
  <c r="AJ1933" i="1"/>
  <c r="AK1933" i="1"/>
  <c r="AM1933" i="1"/>
  <c r="BF1933" i="1"/>
  <c r="BG1933" i="1"/>
  <c r="T1934" i="1"/>
  <c r="U1934" i="1"/>
  <c r="V1934" i="1"/>
  <c r="W1934" i="1"/>
  <c r="AB1934" i="1"/>
  <c r="AF1934" i="1"/>
  <c r="K1935" i="1"/>
  <c r="AC1935" i="1"/>
  <c r="AJ1934" i="1"/>
  <c r="AK1934" i="1"/>
  <c r="AM1934" i="1"/>
  <c r="BF1934" i="1"/>
  <c r="BG1934" i="1"/>
  <c r="T1935" i="1"/>
  <c r="U1935" i="1"/>
  <c r="V1935" i="1"/>
  <c r="W1935" i="1"/>
  <c r="AB1935" i="1"/>
  <c r="AF1935" i="1"/>
  <c r="AC1936" i="1"/>
  <c r="AJ1935" i="1"/>
  <c r="AK1935" i="1"/>
  <c r="AM1935" i="1"/>
  <c r="BF1935" i="1"/>
  <c r="BG1935" i="1"/>
  <c r="T1936" i="1"/>
  <c r="U1936" i="1"/>
  <c r="V1936" i="1"/>
  <c r="W1936" i="1"/>
  <c r="AB1936" i="1"/>
  <c r="AF1936" i="1"/>
  <c r="AC1937" i="1"/>
  <c r="AJ1936" i="1"/>
  <c r="AK1936" i="1"/>
  <c r="AM1936" i="1"/>
  <c r="BF1936" i="1"/>
  <c r="BG1936" i="1"/>
  <c r="T1937" i="1"/>
  <c r="U1937" i="1"/>
  <c r="V1937" i="1"/>
  <c r="W1937" i="1"/>
  <c r="AB1937" i="1"/>
  <c r="AF1937" i="1"/>
  <c r="K1938" i="1"/>
  <c r="AC1938" i="1"/>
  <c r="AJ1937" i="1"/>
  <c r="AK1937" i="1"/>
  <c r="AM1937" i="1"/>
  <c r="BF1937" i="1"/>
  <c r="BG1937" i="1"/>
  <c r="T1938" i="1"/>
  <c r="U1938" i="1"/>
  <c r="V1938" i="1"/>
  <c r="W1938" i="1"/>
  <c r="AB1938" i="1"/>
  <c r="AF1938" i="1"/>
  <c r="AC1939" i="1"/>
  <c r="AJ1938" i="1"/>
  <c r="AK1938" i="1"/>
  <c r="AM1938" i="1"/>
  <c r="BF1938" i="1"/>
  <c r="BG1938" i="1"/>
  <c r="T1939" i="1"/>
  <c r="U1939" i="1"/>
  <c r="V1939" i="1"/>
  <c r="W1939" i="1"/>
  <c r="AB1939" i="1"/>
  <c r="AF1939" i="1"/>
  <c r="AC1940" i="1"/>
  <c r="AJ1939" i="1"/>
  <c r="AK1939" i="1"/>
  <c r="AM1939" i="1"/>
  <c r="BF1939" i="1"/>
  <c r="BG1939" i="1"/>
  <c r="T1940" i="1"/>
  <c r="U1940" i="1"/>
  <c r="V1940" i="1"/>
  <c r="W1940" i="1"/>
  <c r="AB1940" i="1"/>
  <c r="AF1940" i="1"/>
  <c r="K1941" i="1"/>
  <c r="AC1941" i="1"/>
  <c r="AJ1940" i="1"/>
  <c r="AK1940" i="1"/>
  <c r="AM1940" i="1"/>
  <c r="BF1940" i="1"/>
  <c r="BG1940" i="1"/>
  <c r="T1941" i="1"/>
  <c r="U1941" i="1"/>
  <c r="V1941" i="1"/>
  <c r="W1941" i="1"/>
  <c r="AB1941" i="1"/>
  <c r="AF1941" i="1"/>
  <c r="K1942" i="1"/>
  <c r="AC1942" i="1"/>
  <c r="AJ1941" i="1"/>
  <c r="AK1941" i="1"/>
  <c r="AM1941" i="1"/>
  <c r="BF1941" i="1"/>
  <c r="BG1941" i="1"/>
  <c r="T1942" i="1"/>
  <c r="U1942" i="1"/>
  <c r="V1942" i="1"/>
  <c r="W1942" i="1"/>
  <c r="AB1942" i="1"/>
  <c r="AF1942" i="1"/>
  <c r="AC1943" i="1"/>
  <c r="AJ1942" i="1"/>
  <c r="AK1942" i="1"/>
  <c r="AM1942" i="1"/>
  <c r="BF1942" i="1"/>
  <c r="BG1942" i="1"/>
  <c r="T1943" i="1"/>
  <c r="U1943" i="1"/>
  <c r="V1943" i="1"/>
  <c r="W1943" i="1"/>
  <c r="AB1943" i="1"/>
  <c r="AF1943" i="1"/>
  <c r="AC1944" i="1"/>
  <c r="AJ1943" i="1"/>
  <c r="AK1943" i="1"/>
  <c r="AM1943" i="1"/>
  <c r="BF1943" i="1"/>
  <c r="BG1943" i="1"/>
  <c r="T1944" i="1"/>
  <c r="U1944" i="1"/>
  <c r="V1944" i="1"/>
  <c r="W1944" i="1"/>
  <c r="AB1944" i="1"/>
  <c r="AF1944" i="1"/>
  <c r="K1945" i="1"/>
  <c r="AC1945" i="1"/>
  <c r="AJ1944" i="1"/>
  <c r="AK1944" i="1"/>
  <c r="AM1944" i="1"/>
  <c r="BF1944" i="1"/>
  <c r="BG1944" i="1"/>
  <c r="T1945" i="1"/>
  <c r="U1945" i="1"/>
  <c r="V1945" i="1"/>
  <c r="W1945" i="1"/>
  <c r="AB1945" i="1"/>
  <c r="AF1945" i="1"/>
  <c r="K1946" i="1"/>
  <c r="AC1946" i="1"/>
  <c r="AJ1945" i="1"/>
  <c r="AK1945" i="1"/>
  <c r="AM1945" i="1"/>
  <c r="BF1945" i="1"/>
  <c r="BG1945" i="1"/>
  <c r="T1946" i="1"/>
  <c r="U1946" i="1"/>
  <c r="V1946" i="1"/>
  <c r="W1946" i="1"/>
  <c r="AB1946" i="1"/>
  <c r="AF1946" i="1"/>
  <c r="K1947" i="1"/>
  <c r="AC1947" i="1"/>
  <c r="AJ1946" i="1"/>
  <c r="AK1946" i="1"/>
  <c r="AM1946" i="1"/>
  <c r="BF1946" i="1"/>
  <c r="BG1946" i="1"/>
  <c r="T1947" i="1"/>
  <c r="U1947" i="1"/>
  <c r="V1947" i="1"/>
  <c r="W1947" i="1"/>
  <c r="AB1947" i="1"/>
  <c r="AF1947" i="1"/>
  <c r="K1948" i="1"/>
  <c r="AC1948" i="1"/>
  <c r="AJ1947" i="1"/>
  <c r="AK1947" i="1"/>
  <c r="AM1947" i="1"/>
  <c r="BF1947" i="1"/>
  <c r="BG1947" i="1"/>
  <c r="T1948" i="1"/>
  <c r="U1948" i="1"/>
  <c r="V1948" i="1"/>
  <c r="W1948" i="1"/>
  <c r="AB1948" i="1"/>
  <c r="AF1948" i="1"/>
  <c r="K1949" i="1"/>
  <c r="AC1949" i="1"/>
  <c r="AJ1948" i="1"/>
  <c r="AK1948" i="1"/>
  <c r="AM1948" i="1"/>
  <c r="BF1948" i="1"/>
  <c r="BG1948" i="1"/>
  <c r="T1949" i="1"/>
  <c r="U1949" i="1"/>
  <c r="V1949" i="1"/>
  <c r="W1949" i="1"/>
  <c r="AB1949" i="1"/>
  <c r="AF1949" i="1"/>
  <c r="AC1950" i="1"/>
  <c r="AJ1949" i="1"/>
  <c r="AK1949" i="1"/>
  <c r="AM1949" i="1"/>
  <c r="BF1949" i="1"/>
  <c r="BG1949" i="1"/>
  <c r="T1950" i="1"/>
  <c r="U1950" i="1"/>
  <c r="V1950" i="1"/>
  <c r="W1950" i="1"/>
  <c r="AB1950" i="1"/>
  <c r="AF1950" i="1"/>
  <c r="AC1951" i="1"/>
  <c r="AJ1950" i="1"/>
  <c r="AK1950" i="1"/>
  <c r="AM1950" i="1"/>
  <c r="BF1950" i="1"/>
  <c r="BG1950" i="1"/>
  <c r="T1951" i="1"/>
  <c r="U1951" i="1"/>
  <c r="V1951" i="1"/>
  <c r="W1951" i="1"/>
  <c r="AB1951" i="1"/>
  <c r="AF1951" i="1"/>
  <c r="K1952" i="1"/>
  <c r="AC1952" i="1"/>
  <c r="AJ1951" i="1"/>
  <c r="AK1951" i="1"/>
  <c r="AM1951" i="1"/>
  <c r="BF1951" i="1"/>
  <c r="BG1951" i="1"/>
  <c r="T1952" i="1"/>
  <c r="U1952" i="1"/>
  <c r="V1952" i="1"/>
  <c r="W1952" i="1"/>
  <c r="AB1952" i="1"/>
  <c r="AF1952" i="1"/>
  <c r="AC1953" i="1"/>
  <c r="AJ1952" i="1"/>
  <c r="AK1952" i="1"/>
  <c r="AM1952" i="1"/>
  <c r="BF1952" i="1"/>
  <c r="BG1952" i="1"/>
  <c r="T1953" i="1"/>
  <c r="U1953" i="1"/>
  <c r="V1953" i="1"/>
  <c r="W1953" i="1"/>
  <c r="AB1953" i="1"/>
  <c r="AF1953" i="1"/>
  <c r="AC1954" i="1"/>
  <c r="AJ1953" i="1"/>
  <c r="AK1953" i="1"/>
  <c r="AM1953" i="1"/>
  <c r="BF1953" i="1"/>
  <c r="BG1953" i="1"/>
  <c r="T1954" i="1"/>
  <c r="U1954" i="1"/>
  <c r="V1954" i="1"/>
  <c r="W1954" i="1"/>
  <c r="AB1954" i="1"/>
  <c r="AF1954" i="1"/>
  <c r="K1955" i="1"/>
  <c r="AC1955" i="1"/>
  <c r="AJ1954" i="1"/>
  <c r="AK1954" i="1"/>
  <c r="AM1954" i="1"/>
  <c r="BF1954" i="1"/>
  <c r="BG1954" i="1"/>
  <c r="T1955" i="1"/>
  <c r="U1955" i="1"/>
  <c r="V1955" i="1"/>
  <c r="W1955" i="1"/>
  <c r="AB1955" i="1"/>
  <c r="AF1955" i="1"/>
  <c r="AC1956" i="1"/>
  <c r="AJ1955" i="1"/>
  <c r="AK1955" i="1"/>
  <c r="AM1955" i="1"/>
  <c r="BF1955" i="1"/>
  <c r="BG1955" i="1"/>
  <c r="T1956" i="1"/>
  <c r="U1956" i="1"/>
  <c r="V1956" i="1"/>
  <c r="W1956" i="1"/>
  <c r="AB1956" i="1"/>
  <c r="AF1956" i="1"/>
  <c r="AC1957" i="1"/>
  <c r="AJ1956" i="1"/>
  <c r="AK1956" i="1"/>
  <c r="AM1956" i="1"/>
  <c r="BF1956" i="1"/>
  <c r="BG1956" i="1"/>
  <c r="T1957" i="1"/>
  <c r="U1957" i="1"/>
  <c r="V1957" i="1"/>
  <c r="W1957" i="1"/>
  <c r="AB1957" i="1"/>
  <c r="AF1957" i="1"/>
  <c r="K1958" i="1"/>
  <c r="AC1958" i="1"/>
  <c r="AJ1957" i="1"/>
  <c r="AK1957" i="1"/>
  <c r="AM1957" i="1"/>
  <c r="BF1957" i="1"/>
  <c r="BG1957" i="1"/>
  <c r="T1958" i="1"/>
  <c r="U1958" i="1"/>
  <c r="V1958" i="1"/>
  <c r="W1958" i="1"/>
  <c r="AB1958" i="1"/>
  <c r="AF1958" i="1"/>
  <c r="AC1959" i="1"/>
  <c r="AJ1958" i="1"/>
  <c r="AK1958" i="1"/>
  <c r="AM1958" i="1"/>
  <c r="BF1958" i="1"/>
  <c r="BG1958" i="1"/>
  <c r="T1959" i="1"/>
  <c r="U1959" i="1"/>
  <c r="V1959" i="1"/>
  <c r="W1959" i="1"/>
  <c r="AB1959" i="1"/>
  <c r="AF1959" i="1"/>
  <c r="AC1960" i="1"/>
  <c r="AJ1959" i="1"/>
  <c r="AK1959" i="1"/>
  <c r="AM1959" i="1"/>
  <c r="BF1959" i="1"/>
  <c r="BG1959" i="1"/>
  <c r="T1960" i="1"/>
  <c r="U1960" i="1"/>
  <c r="V1960" i="1"/>
  <c r="W1960" i="1"/>
  <c r="AB1960" i="1"/>
  <c r="AF1960" i="1"/>
  <c r="AC1961" i="1"/>
  <c r="AJ1960" i="1"/>
  <c r="AK1960" i="1"/>
  <c r="AM1960" i="1"/>
  <c r="BF1960" i="1"/>
  <c r="BG1960" i="1"/>
  <c r="T1961" i="1"/>
  <c r="U1961" i="1"/>
  <c r="V1961" i="1"/>
  <c r="W1961" i="1"/>
  <c r="AB1961" i="1"/>
  <c r="AF1961" i="1"/>
  <c r="K1962" i="1"/>
  <c r="AC1962" i="1"/>
  <c r="AJ1961" i="1"/>
  <c r="AK1961" i="1"/>
  <c r="AM1961" i="1"/>
  <c r="BF1961" i="1"/>
  <c r="BG1961" i="1"/>
  <c r="T1962" i="1"/>
  <c r="U1962" i="1"/>
  <c r="V1962" i="1"/>
  <c r="W1962" i="1"/>
  <c r="AB1962" i="1"/>
  <c r="AF1962" i="1"/>
  <c r="AC1963" i="1"/>
  <c r="AJ1962" i="1"/>
  <c r="AK1962" i="1"/>
  <c r="AM1962" i="1"/>
  <c r="BF1962" i="1"/>
  <c r="BG1962" i="1"/>
  <c r="T1963" i="1"/>
  <c r="U1963" i="1"/>
  <c r="V1963" i="1"/>
  <c r="W1963" i="1"/>
  <c r="AB1963" i="1"/>
  <c r="AF1963" i="1"/>
  <c r="AC1964" i="1"/>
  <c r="AJ1963" i="1"/>
  <c r="AK1963" i="1"/>
  <c r="AM1963" i="1"/>
  <c r="BF1963" i="1"/>
  <c r="BG1963" i="1"/>
  <c r="T1964" i="1"/>
  <c r="U1964" i="1"/>
  <c r="V1964" i="1"/>
  <c r="W1964" i="1"/>
  <c r="AB1964" i="1"/>
  <c r="AF1964" i="1"/>
  <c r="K1965" i="1"/>
  <c r="AC1965" i="1"/>
  <c r="AJ1964" i="1"/>
  <c r="AK1964" i="1"/>
  <c r="AM1964" i="1"/>
  <c r="BF1964" i="1"/>
  <c r="BG1964" i="1"/>
  <c r="T1965" i="1"/>
  <c r="U1965" i="1"/>
  <c r="V1965" i="1"/>
  <c r="W1965" i="1"/>
  <c r="AB1965" i="1"/>
  <c r="AF1965" i="1"/>
  <c r="K1966" i="1"/>
  <c r="AC1966" i="1"/>
  <c r="AJ1965" i="1"/>
  <c r="AK1965" i="1"/>
  <c r="AM1965" i="1"/>
  <c r="BF1965" i="1"/>
  <c r="BG1965" i="1"/>
  <c r="T1966" i="1"/>
  <c r="U1966" i="1"/>
  <c r="V1966" i="1"/>
  <c r="W1966" i="1"/>
  <c r="AB1966" i="1"/>
  <c r="AF1966" i="1"/>
  <c r="AC1967" i="1"/>
  <c r="AJ1966" i="1"/>
  <c r="AK1966" i="1"/>
  <c r="AM1966" i="1"/>
  <c r="BF1966" i="1"/>
  <c r="BG1966" i="1"/>
  <c r="T1967" i="1"/>
  <c r="U1967" i="1"/>
  <c r="V1967" i="1"/>
  <c r="W1967" i="1"/>
  <c r="AB1967" i="1"/>
  <c r="AF1967" i="1"/>
  <c r="AC1968" i="1"/>
  <c r="AJ1967" i="1"/>
  <c r="AK1967" i="1"/>
  <c r="AM1967" i="1"/>
  <c r="BF1967" i="1"/>
  <c r="BG1967" i="1"/>
  <c r="T1968" i="1"/>
  <c r="U1968" i="1"/>
  <c r="V1968" i="1"/>
  <c r="W1968" i="1"/>
  <c r="AB1968" i="1"/>
  <c r="AF1968" i="1"/>
  <c r="K1969" i="1"/>
  <c r="AC1969" i="1"/>
  <c r="AJ1968" i="1"/>
  <c r="AK1968" i="1"/>
  <c r="AM1968" i="1"/>
  <c r="BF1968" i="1"/>
  <c r="BG1968" i="1"/>
  <c r="T1969" i="1"/>
  <c r="U1969" i="1"/>
  <c r="V1969" i="1"/>
  <c r="W1969" i="1"/>
  <c r="AB1969" i="1"/>
  <c r="AF1969" i="1"/>
  <c r="K1970" i="1"/>
  <c r="AC1970" i="1"/>
  <c r="AJ1969" i="1"/>
  <c r="AK1969" i="1"/>
  <c r="AM1969" i="1"/>
  <c r="BF1969" i="1"/>
  <c r="BG1969" i="1"/>
  <c r="T1970" i="1"/>
  <c r="U1970" i="1"/>
  <c r="V1970" i="1"/>
  <c r="W1970" i="1"/>
  <c r="AB1970" i="1"/>
  <c r="AF1970" i="1"/>
  <c r="K1971" i="1"/>
  <c r="AC1971" i="1"/>
  <c r="AJ1970" i="1"/>
  <c r="AK1970" i="1"/>
  <c r="AM1970" i="1"/>
  <c r="BF1970" i="1"/>
  <c r="BG1970" i="1"/>
  <c r="T1971" i="1"/>
  <c r="U1971" i="1"/>
  <c r="V1971" i="1"/>
  <c r="W1971" i="1"/>
  <c r="AB1971" i="1"/>
  <c r="AF1971" i="1"/>
  <c r="K1972" i="1"/>
  <c r="AC1972" i="1"/>
  <c r="AJ1971" i="1"/>
  <c r="AK1971" i="1"/>
  <c r="AM1971" i="1"/>
  <c r="BF1971" i="1"/>
  <c r="BG1971" i="1"/>
  <c r="T1972" i="1"/>
  <c r="U1972" i="1"/>
  <c r="V1972" i="1"/>
  <c r="W1972" i="1"/>
  <c r="AB1972" i="1"/>
  <c r="AF1972" i="1"/>
  <c r="K1973" i="1"/>
  <c r="AC1973" i="1"/>
  <c r="AJ1972" i="1"/>
  <c r="AK1972" i="1"/>
  <c r="AM1972" i="1"/>
  <c r="BF1972" i="1"/>
  <c r="BG1972" i="1"/>
  <c r="T1973" i="1"/>
  <c r="U1973" i="1"/>
  <c r="V1973" i="1"/>
  <c r="W1973" i="1"/>
  <c r="AB1973" i="1"/>
  <c r="AF1973" i="1"/>
  <c r="K1974" i="1"/>
  <c r="AC1974" i="1"/>
  <c r="AJ1973" i="1"/>
  <c r="AK1973" i="1"/>
  <c r="AM1973" i="1"/>
  <c r="BF1973" i="1"/>
  <c r="BG1973" i="1"/>
  <c r="T1974" i="1"/>
  <c r="U1974" i="1"/>
  <c r="V1974" i="1"/>
  <c r="W1974" i="1"/>
  <c r="AB1974" i="1"/>
  <c r="AF1974" i="1"/>
  <c r="AC1975" i="1"/>
  <c r="AJ1974" i="1"/>
  <c r="AK1974" i="1"/>
  <c r="AM1974" i="1"/>
  <c r="BF1974" i="1"/>
  <c r="BG1974" i="1"/>
  <c r="T1975" i="1"/>
  <c r="U1975" i="1"/>
  <c r="V1975" i="1"/>
  <c r="W1975" i="1"/>
  <c r="AB1975" i="1"/>
  <c r="AF1975" i="1"/>
  <c r="AC1976" i="1"/>
  <c r="AJ1975" i="1"/>
  <c r="AK1975" i="1"/>
  <c r="AM1975" i="1"/>
  <c r="BF1975" i="1"/>
  <c r="BG1975" i="1"/>
  <c r="T1976" i="1"/>
  <c r="U1976" i="1"/>
  <c r="V1976" i="1"/>
  <c r="W1976" i="1"/>
  <c r="AB1976" i="1"/>
  <c r="AF1976" i="1"/>
  <c r="K1977" i="1"/>
  <c r="AC1977" i="1"/>
  <c r="AJ1976" i="1"/>
  <c r="AK1976" i="1"/>
  <c r="AM1976" i="1"/>
  <c r="BF1976" i="1"/>
  <c r="BG1976" i="1"/>
  <c r="T1977" i="1"/>
  <c r="U1977" i="1"/>
  <c r="V1977" i="1"/>
  <c r="W1977" i="1"/>
  <c r="AB1977" i="1"/>
  <c r="AF1977" i="1"/>
  <c r="AC1978" i="1"/>
  <c r="AJ1977" i="1"/>
  <c r="AK1977" i="1"/>
  <c r="AM1977" i="1"/>
  <c r="BF1977" i="1"/>
  <c r="BG1977" i="1"/>
  <c r="T1978" i="1"/>
  <c r="U1978" i="1"/>
  <c r="V1978" i="1"/>
  <c r="W1978" i="1"/>
  <c r="AB1978" i="1"/>
  <c r="AF1978" i="1"/>
  <c r="AC1979" i="1"/>
  <c r="AJ1978" i="1"/>
  <c r="AK1978" i="1"/>
  <c r="AM1978" i="1"/>
  <c r="BF1978" i="1"/>
  <c r="BG1978" i="1"/>
  <c r="T1979" i="1"/>
  <c r="U1979" i="1"/>
  <c r="V1979" i="1"/>
  <c r="W1979" i="1"/>
  <c r="AB1979" i="1"/>
  <c r="AF1979" i="1"/>
  <c r="K1980" i="1"/>
  <c r="AC1980" i="1"/>
  <c r="AJ1979" i="1"/>
  <c r="AK1979" i="1"/>
  <c r="AM1979" i="1"/>
  <c r="BF1979" i="1"/>
  <c r="BG1979" i="1"/>
  <c r="T1980" i="1"/>
  <c r="U1980" i="1"/>
  <c r="V1980" i="1"/>
  <c r="W1980" i="1"/>
  <c r="AB1980" i="1"/>
  <c r="AF1980" i="1"/>
  <c r="AC1981" i="1"/>
  <c r="AJ1980" i="1"/>
  <c r="AK1980" i="1"/>
  <c r="AM1980" i="1"/>
  <c r="BF1980" i="1"/>
  <c r="BG1980" i="1"/>
  <c r="T1981" i="1"/>
  <c r="U1981" i="1"/>
  <c r="V1981" i="1"/>
  <c r="W1981" i="1"/>
  <c r="AB1981" i="1"/>
  <c r="AF1981" i="1"/>
  <c r="AC1982" i="1"/>
  <c r="AJ1981" i="1"/>
  <c r="AK1981" i="1"/>
  <c r="AM1981" i="1"/>
  <c r="BF1981" i="1"/>
  <c r="BG1981" i="1"/>
  <c r="T1982" i="1"/>
  <c r="U1982" i="1"/>
  <c r="V1982" i="1"/>
  <c r="W1982" i="1"/>
  <c r="AB1982" i="1"/>
  <c r="AF1982" i="1"/>
  <c r="K1983" i="1"/>
  <c r="AC1983" i="1"/>
  <c r="AJ1982" i="1"/>
  <c r="AK1982" i="1"/>
  <c r="AM1982" i="1"/>
  <c r="BF1982" i="1"/>
  <c r="BG1982" i="1"/>
  <c r="T1983" i="1"/>
  <c r="U1983" i="1"/>
  <c r="V1983" i="1"/>
  <c r="W1983" i="1"/>
  <c r="AB1983" i="1"/>
  <c r="AF1983" i="1"/>
  <c r="K1984" i="1"/>
  <c r="AC1984" i="1"/>
  <c r="AJ1983" i="1"/>
  <c r="AK1983" i="1"/>
  <c r="AM1983" i="1"/>
  <c r="BF1983" i="1"/>
  <c r="BG1983" i="1"/>
  <c r="T1984" i="1"/>
  <c r="U1984" i="1"/>
  <c r="V1984" i="1"/>
  <c r="W1984" i="1"/>
  <c r="AB1984" i="1"/>
  <c r="AF1984" i="1"/>
  <c r="AC1985" i="1"/>
  <c r="AJ1984" i="1"/>
  <c r="AK1984" i="1"/>
  <c r="AM1984" i="1"/>
  <c r="BF1984" i="1"/>
  <c r="BG1984" i="1"/>
  <c r="T1985" i="1"/>
  <c r="U1985" i="1"/>
  <c r="V1985" i="1"/>
  <c r="W1985" i="1"/>
  <c r="AB1985" i="1"/>
  <c r="AF1985" i="1"/>
  <c r="AC1986" i="1"/>
  <c r="AJ1985" i="1"/>
  <c r="AK1985" i="1"/>
  <c r="AM1985" i="1"/>
  <c r="BF1985" i="1"/>
  <c r="BG1985" i="1"/>
  <c r="T1986" i="1"/>
  <c r="U1986" i="1"/>
  <c r="V1986" i="1"/>
  <c r="W1986" i="1"/>
  <c r="AB1986" i="1"/>
  <c r="AF1986" i="1"/>
  <c r="K1987" i="1"/>
  <c r="AC1987" i="1"/>
  <c r="AJ1986" i="1"/>
  <c r="AK1986" i="1"/>
  <c r="AM1986" i="1"/>
  <c r="BF1986" i="1"/>
  <c r="BG1986" i="1"/>
  <c r="T1987" i="1"/>
  <c r="U1987" i="1"/>
  <c r="V1987" i="1"/>
  <c r="W1987" i="1"/>
  <c r="AB1987" i="1"/>
  <c r="AF1987" i="1"/>
  <c r="K1988" i="1"/>
  <c r="AC1988" i="1"/>
  <c r="AJ1987" i="1"/>
  <c r="AK1987" i="1"/>
  <c r="AM1987" i="1"/>
  <c r="BF1987" i="1"/>
  <c r="BG1987" i="1"/>
  <c r="T1988" i="1"/>
  <c r="U1988" i="1"/>
  <c r="V1988" i="1"/>
  <c r="W1988" i="1"/>
  <c r="AB1988" i="1"/>
  <c r="AF1988" i="1"/>
  <c r="AC1989" i="1"/>
  <c r="AJ1988" i="1"/>
  <c r="AK1988" i="1"/>
  <c r="AM1988" i="1"/>
  <c r="BF1988" i="1"/>
  <c r="BG1988" i="1"/>
  <c r="T1989" i="1"/>
  <c r="U1989" i="1"/>
  <c r="V1989" i="1"/>
  <c r="W1989" i="1"/>
  <c r="AB1989" i="1"/>
  <c r="AF1989" i="1"/>
  <c r="AC1990" i="1"/>
  <c r="AJ1989" i="1"/>
  <c r="AK1989" i="1"/>
  <c r="AM1989" i="1"/>
  <c r="BF1989" i="1"/>
  <c r="BG1989" i="1"/>
  <c r="T1990" i="1"/>
  <c r="U1990" i="1"/>
  <c r="V1990" i="1"/>
  <c r="W1990" i="1"/>
  <c r="AB1990" i="1"/>
  <c r="AF1990" i="1"/>
  <c r="K1991" i="1"/>
  <c r="AC1991" i="1"/>
  <c r="AJ1990" i="1"/>
  <c r="AK1990" i="1"/>
  <c r="AM1990" i="1"/>
  <c r="BF1990" i="1"/>
  <c r="BG1990" i="1"/>
  <c r="T1991" i="1"/>
  <c r="U1991" i="1"/>
  <c r="V1991" i="1"/>
  <c r="W1991" i="1"/>
  <c r="AB1991" i="1"/>
  <c r="AF1991" i="1"/>
  <c r="K1992" i="1"/>
  <c r="AC1992" i="1"/>
  <c r="AJ1991" i="1"/>
  <c r="AK1991" i="1"/>
  <c r="AM1991" i="1"/>
  <c r="BF1991" i="1"/>
  <c r="BG1991" i="1"/>
  <c r="T1992" i="1"/>
  <c r="U1992" i="1"/>
  <c r="V1992" i="1"/>
  <c r="W1992" i="1"/>
  <c r="AB1992" i="1"/>
  <c r="AF1992" i="1"/>
  <c r="AC1993" i="1"/>
  <c r="AJ1992" i="1"/>
  <c r="AK1992" i="1"/>
  <c r="AM1992" i="1"/>
  <c r="BF1992" i="1"/>
  <c r="BG1992" i="1"/>
  <c r="T1993" i="1"/>
  <c r="U1993" i="1"/>
  <c r="V1993" i="1"/>
  <c r="W1993" i="1"/>
  <c r="AB1993" i="1"/>
  <c r="AF1993" i="1"/>
  <c r="AC1994" i="1"/>
  <c r="AJ1993" i="1"/>
  <c r="AK1993" i="1"/>
  <c r="AM1993" i="1"/>
  <c r="BF1993" i="1"/>
  <c r="BG1993" i="1"/>
  <c r="T1994" i="1"/>
  <c r="U1994" i="1"/>
  <c r="V1994" i="1"/>
  <c r="W1994" i="1"/>
  <c r="AB1994" i="1"/>
  <c r="AF1994" i="1"/>
  <c r="K1995" i="1"/>
  <c r="AC1995" i="1"/>
  <c r="AJ1994" i="1"/>
  <c r="AK1994" i="1"/>
  <c r="AM1994" i="1"/>
  <c r="BF1994" i="1"/>
  <c r="BG1994" i="1"/>
  <c r="T1995" i="1"/>
  <c r="U1995" i="1"/>
  <c r="V1995" i="1"/>
  <c r="W1995" i="1"/>
  <c r="AB1995" i="1"/>
  <c r="AF1995" i="1"/>
  <c r="K1996" i="1"/>
  <c r="AC1996" i="1"/>
  <c r="AJ1995" i="1"/>
  <c r="AK1995" i="1"/>
  <c r="AM1995" i="1"/>
  <c r="BF1995" i="1"/>
  <c r="BG1995" i="1"/>
  <c r="T1996" i="1"/>
  <c r="U1996" i="1"/>
  <c r="V1996" i="1"/>
  <c r="W1996" i="1"/>
  <c r="AB1996" i="1"/>
  <c r="AF1996" i="1"/>
  <c r="AC1997" i="1"/>
  <c r="AJ1996" i="1"/>
  <c r="AK1996" i="1"/>
  <c r="AM1996" i="1"/>
  <c r="BF1996" i="1"/>
  <c r="BG1996" i="1"/>
  <c r="T1997" i="1"/>
  <c r="U1997" i="1"/>
  <c r="V1997" i="1"/>
  <c r="W1997" i="1"/>
  <c r="AB1997" i="1"/>
  <c r="AF1997" i="1"/>
  <c r="AC1998" i="1"/>
  <c r="AJ1997" i="1"/>
  <c r="AK1997" i="1"/>
  <c r="AM1997" i="1"/>
  <c r="BF1997" i="1"/>
  <c r="BG1997" i="1"/>
  <c r="T1998" i="1"/>
  <c r="U1998" i="1"/>
  <c r="V1998" i="1"/>
  <c r="W1998" i="1"/>
  <c r="AB1998" i="1"/>
  <c r="AF1998" i="1"/>
  <c r="K1999" i="1"/>
  <c r="AC1999" i="1"/>
  <c r="AJ1998" i="1"/>
  <c r="AK1998" i="1"/>
  <c r="AM1998" i="1"/>
  <c r="BF1998" i="1"/>
  <c r="BG1998" i="1"/>
  <c r="T1999" i="1"/>
  <c r="U1999" i="1"/>
  <c r="V1999" i="1"/>
  <c r="W1999" i="1"/>
  <c r="AB1999" i="1"/>
  <c r="AF1999" i="1"/>
  <c r="AC2000" i="1"/>
  <c r="AJ1999" i="1"/>
  <c r="AK1999" i="1"/>
  <c r="AM1999" i="1"/>
  <c r="BF1999" i="1"/>
  <c r="BG1999" i="1"/>
  <c r="T2000" i="1"/>
  <c r="U2000" i="1"/>
  <c r="V2000" i="1"/>
  <c r="W2000" i="1"/>
  <c r="AB2000" i="1"/>
  <c r="AF2000" i="1"/>
  <c r="AC2001" i="1"/>
  <c r="AJ2000" i="1"/>
  <c r="AK2000" i="1"/>
  <c r="AM2000" i="1"/>
  <c r="BF2000" i="1"/>
  <c r="BG2000" i="1"/>
  <c r="T2001" i="1"/>
  <c r="U2001" i="1"/>
  <c r="V2001" i="1"/>
  <c r="W2001" i="1"/>
  <c r="AB2001" i="1"/>
  <c r="AF2001" i="1"/>
  <c r="K2002" i="1"/>
  <c r="AC2002" i="1"/>
  <c r="AJ2001" i="1"/>
  <c r="AK2001" i="1"/>
  <c r="AM2001" i="1"/>
  <c r="BF2001" i="1"/>
  <c r="BG2001" i="1"/>
  <c r="T2002" i="1"/>
  <c r="U2002" i="1"/>
  <c r="V2002" i="1"/>
  <c r="W2002" i="1"/>
  <c r="AB2002" i="1"/>
  <c r="AF2002" i="1"/>
  <c r="AC2003" i="1"/>
  <c r="AJ2002" i="1"/>
  <c r="AK2002" i="1"/>
  <c r="AM2002" i="1"/>
  <c r="BF2002" i="1"/>
  <c r="BG2002" i="1"/>
  <c r="T2003" i="1"/>
  <c r="U2003" i="1"/>
  <c r="V2003" i="1"/>
  <c r="W2003" i="1"/>
  <c r="AB2003" i="1"/>
  <c r="AF2003" i="1"/>
  <c r="AC2004" i="1"/>
  <c r="AJ2003" i="1"/>
  <c r="AK2003" i="1"/>
  <c r="AM2003" i="1"/>
  <c r="BF2003" i="1"/>
  <c r="BG2003" i="1"/>
  <c r="T2004" i="1"/>
  <c r="U2004" i="1"/>
  <c r="V2004" i="1"/>
  <c r="W2004" i="1"/>
  <c r="AB2004" i="1"/>
  <c r="AF2004" i="1"/>
  <c r="K2005" i="1"/>
  <c r="AC2005" i="1"/>
  <c r="AJ2004" i="1"/>
  <c r="AK2004" i="1"/>
  <c r="AM2004" i="1"/>
  <c r="BF2004" i="1"/>
  <c r="BG2004" i="1"/>
  <c r="T2005" i="1"/>
  <c r="U2005" i="1"/>
  <c r="V2005" i="1"/>
  <c r="W2005" i="1"/>
  <c r="AB2005" i="1"/>
  <c r="AF2005" i="1"/>
  <c r="K2006" i="1"/>
  <c r="AC2006" i="1"/>
  <c r="AJ2005" i="1"/>
  <c r="AK2005" i="1"/>
  <c r="AM2005" i="1"/>
  <c r="BF2005" i="1"/>
  <c r="BG2005" i="1"/>
  <c r="T2006" i="1"/>
  <c r="U2006" i="1"/>
  <c r="V2006" i="1"/>
  <c r="W2006" i="1"/>
  <c r="AB2006" i="1"/>
  <c r="AF2006" i="1"/>
  <c r="K2007" i="1"/>
  <c r="AC2007" i="1"/>
  <c r="AJ2006" i="1"/>
  <c r="AK2006" i="1"/>
  <c r="AM2006" i="1"/>
  <c r="BF2006" i="1"/>
  <c r="BG2006" i="1"/>
  <c r="T2007" i="1"/>
  <c r="U2007" i="1"/>
  <c r="V2007" i="1"/>
  <c r="W2007" i="1"/>
  <c r="AB2007" i="1"/>
  <c r="AF2007" i="1"/>
  <c r="K2008" i="1"/>
  <c r="AC2008" i="1"/>
  <c r="AJ2007" i="1"/>
  <c r="AK2007" i="1"/>
  <c r="AM2007" i="1"/>
  <c r="BF2007" i="1"/>
  <c r="BG2007" i="1"/>
  <c r="T2008" i="1"/>
  <c r="U2008" i="1"/>
  <c r="V2008" i="1"/>
  <c r="W2008" i="1"/>
  <c r="AB2008" i="1"/>
  <c r="AF2008" i="1"/>
  <c r="AC2009" i="1"/>
  <c r="AJ2008" i="1"/>
  <c r="AK2008" i="1"/>
  <c r="AM2008" i="1"/>
  <c r="BF2008" i="1"/>
  <c r="BG2008" i="1"/>
  <c r="T2009" i="1"/>
  <c r="U2009" i="1"/>
  <c r="V2009" i="1"/>
  <c r="W2009" i="1"/>
  <c r="AB2009" i="1"/>
  <c r="AF2009" i="1"/>
  <c r="AC2010" i="1"/>
  <c r="AJ2009" i="1"/>
  <c r="AK2009" i="1"/>
  <c r="AM2009" i="1"/>
  <c r="BF2009" i="1"/>
  <c r="BG2009" i="1"/>
  <c r="T2010" i="1"/>
  <c r="U2010" i="1"/>
  <c r="V2010" i="1"/>
  <c r="W2010" i="1"/>
  <c r="AB2010" i="1"/>
  <c r="AF2010" i="1"/>
  <c r="K2011" i="1"/>
  <c r="AC2011" i="1"/>
  <c r="AJ2010" i="1"/>
  <c r="AK2010" i="1"/>
  <c r="AM2010" i="1"/>
  <c r="BF2010" i="1"/>
  <c r="BG2010" i="1"/>
  <c r="T2011" i="1"/>
  <c r="U2011" i="1"/>
  <c r="V2011" i="1"/>
  <c r="W2011" i="1"/>
  <c r="AB2011" i="1"/>
  <c r="AF2011" i="1"/>
  <c r="AC2012" i="1"/>
  <c r="AJ2011" i="1"/>
  <c r="AK2011" i="1"/>
  <c r="AM2011" i="1"/>
  <c r="BF2011" i="1"/>
  <c r="BG2011" i="1"/>
  <c r="T2012" i="1"/>
  <c r="U2012" i="1"/>
  <c r="V2012" i="1"/>
  <c r="W2012" i="1"/>
  <c r="AB2012" i="1"/>
  <c r="AF2012" i="1"/>
  <c r="AC2013" i="1"/>
  <c r="AJ2012" i="1"/>
  <c r="AK2012" i="1"/>
  <c r="AM2012" i="1"/>
  <c r="BF2012" i="1"/>
  <c r="BG2012" i="1"/>
  <c r="T2013" i="1"/>
  <c r="U2013" i="1"/>
  <c r="V2013" i="1"/>
  <c r="W2013" i="1"/>
  <c r="AB2013" i="1"/>
  <c r="AF2013" i="1"/>
  <c r="K2014" i="1"/>
  <c r="AC2014" i="1"/>
  <c r="AJ2013" i="1"/>
  <c r="AK2013" i="1"/>
  <c r="AM2013" i="1"/>
  <c r="BF2013" i="1"/>
  <c r="BG2013" i="1"/>
  <c r="T2014" i="1"/>
  <c r="U2014" i="1"/>
  <c r="V2014" i="1"/>
  <c r="W2014" i="1"/>
  <c r="AB2014" i="1"/>
  <c r="AF2014" i="1"/>
  <c r="AC2015" i="1"/>
  <c r="AJ2014" i="1"/>
  <c r="AK2014" i="1"/>
  <c r="AM2014" i="1"/>
  <c r="BF2014" i="1"/>
  <c r="BG2014" i="1"/>
  <c r="T2015" i="1"/>
  <c r="U2015" i="1"/>
  <c r="V2015" i="1"/>
  <c r="W2015" i="1"/>
  <c r="AB2015" i="1"/>
  <c r="AF2015" i="1"/>
  <c r="AC2016" i="1"/>
  <c r="AJ2015" i="1"/>
  <c r="AK2015" i="1"/>
  <c r="AM2015" i="1"/>
  <c r="BF2015" i="1"/>
  <c r="BG2015" i="1"/>
  <c r="T2016" i="1"/>
  <c r="U2016" i="1"/>
  <c r="V2016" i="1"/>
  <c r="W2016" i="1"/>
  <c r="AB2016" i="1"/>
  <c r="AF2016" i="1"/>
  <c r="K2017" i="1"/>
  <c r="AC2017" i="1"/>
  <c r="AJ2016" i="1"/>
  <c r="AK2016" i="1"/>
  <c r="AM2016" i="1"/>
  <c r="BF2016" i="1"/>
  <c r="BG2016" i="1"/>
  <c r="T2017" i="1"/>
  <c r="U2017" i="1"/>
  <c r="V2017" i="1"/>
  <c r="W2017" i="1"/>
  <c r="AB2017" i="1"/>
  <c r="AF2017" i="1"/>
  <c r="AC2018" i="1"/>
  <c r="AJ2017" i="1"/>
  <c r="AK2017" i="1"/>
  <c r="AM2017" i="1"/>
  <c r="BF2017" i="1"/>
  <c r="BG2017" i="1"/>
  <c r="T2018" i="1"/>
  <c r="U2018" i="1"/>
  <c r="V2018" i="1"/>
  <c r="W2018" i="1"/>
  <c r="AB2018" i="1"/>
  <c r="AF2018" i="1"/>
  <c r="AC2019" i="1"/>
  <c r="AJ2018" i="1"/>
  <c r="AK2018" i="1"/>
  <c r="AM2018" i="1"/>
  <c r="BF2018" i="1"/>
  <c r="BG2018" i="1"/>
  <c r="T2019" i="1"/>
  <c r="U2019" i="1"/>
  <c r="V2019" i="1"/>
  <c r="W2019" i="1"/>
  <c r="AB2019" i="1"/>
  <c r="AF2019" i="1"/>
  <c r="K2020" i="1"/>
  <c r="AC2020" i="1"/>
  <c r="AJ2019" i="1"/>
  <c r="AK2019" i="1"/>
  <c r="AM2019" i="1"/>
  <c r="BF2019" i="1"/>
  <c r="BG2019" i="1"/>
  <c r="T2020" i="1"/>
  <c r="U2020" i="1"/>
  <c r="V2020" i="1"/>
  <c r="W2020" i="1"/>
  <c r="AB2020" i="1"/>
  <c r="AF2020" i="1"/>
  <c r="AC2021" i="1"/>
  <c r="AJ2020" i="1"/>
  <c r="AK2020" i="1"/>
  <c r="AM2020" i="1"/>
  <c r="BF2020" i="1"/>
  <c r="BG2020" i="1"/>
  <c r="T2021" i="1"/>
  <c r="U2021" i="1"/>
  <c r="V2021" i="1"/>
  <c r="W2021" i="1"/>
  <c r="AB2021" i="1"/>
  <c r="AF2021" i="1"/>
  <c r="AC2022" i="1"/>
  <c r="AJ2021" i="1"/>
  <c r="AK2021" i="1"/>
  <c r="AM2021" i="1"/>
  <c r="BF2021" i="1"/>
  <c r="BG2021" i="1"/>
  <c r="T2022" i="1"/>
  <c r="U2022" i="1"/>
  <c r="V2022" i="1"/>
  <c r="W2022" i="1"/>
  <c r="AB2022" i="1"/>
  <c r="AF2022" i="1"/>
  <c r="K2023" i="1"/>
  <c r="AC2023" i="1"/>
  <c r="AJ2022" i="1"/>
  <c r="AK2022" i="1"/>
  <c r="AM2022" i="1"/>
  <c r="BF2022" i="1"/>
  <c r="BG2022" i="1"/>
  <c r="T2023" i="1"/>
  <c r="U2023" i="1"/>
  <c r="V2023" i="1"/>
  <c r="W2023" i="1"/>
  <c r="AB2023" i="1"/>
  <c r="AF2023" i="1"/>
  <c r="AC2024" i="1"/>
  <c r="AJ2023" i="1"/>
  <c r="AK2023" i="1"/>
  <c r="AM2023" i="1"/>
  <c r="BF2023" i="1"/>
  <c r="BG2023" i="1"/>
  <c r="T2024" i="1"/>
  <c r="U2024" i="1"/>
  <c r="V2024" i="1"/>
  <c r="W2024" i="1"/>
  <c r="AB2024" i="1"/>
  <c r="AF2024" i="1"/>
  <c r="AC2025" i="1"/>
  <c r="AJ2024" i="1"/>
  <c r="AK2024" i="1"/>
  <c r="AM2024" i="1"/>
  <c r="BF2024" i="1"/>
  <c r="BG2024" i="1"/>
  <c r="T2025" i="1"/>
  <c r="U2025" i="1"/>
  <c r="V2025" i="1"/>
  <c r="W2025" i="1"/>
  <c r="AB2025" i="1"/>
  <c r="AF2025" i="1"/>
  <c r="K2026" i="1"/>
  <c r="AC2026" i="1"/>
  <c r="AJ2025" i="1"/>
  <c r="AK2025" i="1"/>
  <c r="AM2025" i="1"/>
  <c r="BF2025" i="1"/>
  <c r="BG2025" i="1"/>
  <c r="T2026" i="1"/>
  <c r="U2026" i="1"/>
  <c r="V2026" i="1"/>
  <c r="W2026" i="1"/>
  <c r="AB2026" i="1"/>
  <c r="AF2026" i="1"/>
  <c r="K2027" i="1"/>
  <c r="AC2027" i="1"/>
  <c r="AJ2026" i="1"/>
  <c r="AK2026" i="1"/>
  <c r="AM2026" i="1"/>
  <c r="BF2026" i="1"/>
  <c r="BG2026" i="1"/>
  <c r="T2027" i="1"/>
  <c r="U2027" i="1"/>
  <c r="V2027" i="1"/>
  <c r="W2027" i="1"/>
  <c r="AB2027" i="1"/>
  <c r="AF2027" i="1"/>
  <c r="AC2028" i="1"/>
  <c r="AJ2027" i="1"/>
  <c r="AK2027" i="1"/>
  <c r="AM2027" i="1"/>
  <c r="BF2027" i="1"/>
  <c r="BG2027" i="1"/>
  <c r="T2028" i="1"/>
  <c r="U2028" i="1"/>
  <c r="V2028" i="1"/>
  <c r="W2028" i="1"/>
  <c r="AB2028" i="1"/>
  <c r="AF2028" i="1"/>
  <c r="AC2029" i="1"/>
  <c r="AJ2028" i="1"/>
  <c r="AK2028" i="1"/>
  <c r="AM2028" i="1"/>
  <c r="BF2028" i="1"/>
  <c r="BG2028" i="1"/>
  <c r="T2029" i="1"/>
  <c r="U2029" i="1"/>
  <c r="V2029" i="1"/>
  <c r="W2029" i="1"/>
  <c r="AB2029" i="1"/>
  <c r="AF2029" i="1"/>
  <c r="K2030" i="1"/>
  <c r="AC2030" i="1"/>
  <c r="AJ2029" i="1"/>
  <c r="AK2029" i="1"/>
  <c r="AM2029" i="1"/>
  <c r="BF2029" i="1"/>
  <c r="BG2029" i="1"/>
  <c r="T2030" i="1"/>
  <c r="U2030" i="1"/>
  <c r="V2030" i="1"/>
  <c r="W2030" i="1"/>
  <c r="AB2030" i="1"/>
  <c r="AF2030" i="1"/>
  <c r="AC2031" i="1"/>
  <c r="AJ2030" i="1"/>
  <c r="AK2030" i="1"/>
  <c r="AM2030" i="1"/>
  <c r="BF2030" i="1"/>
  <c r="BG2030" i="1"/>
  <c r="T2031" i="1"/>
  <c r="U2031" i="1"/>
  <c r="V2031" i="1"/>
  <c r="W2031" i="1"/>
  <c r="AB2031" i="1"/>
  <c r="AF2031" i="1"/>
  <c r="AC2032" i="1"/>
  <c r="AJ2031" i="1"/>
  <c r="AK2031" i="1"/>
  <c r="AM2031" i="1"/>
  <c r="BF2031" i="1"/>
  <c r="BG2031" i="1"/>
  <c r="T2032" i="1"/>
  <c r="U2032" i="1"/>
  <c r="V2032" i="1"/>
  <c r="W2032" i="1"/>
  <c r="AB2032" i="1"/>
  <c r="AF2032" i="1"/>
  <c r="K2033" i="1"/>
  <c r="AC2033" i="1"/>
  <c r="AJ2032" i="1"/>
  <c r="AK2032" i="1"/>
  <c r="AM2032" i="1"/>
  <c r="BF2032" i="1"/>
  <c r="BG2032" i="1"/>
  <c r="T2033" i="1"/>
  <c r="U2033" i="1"/>
  <c r="V2033" i="1"/>
  <c r="W2033" i="1"/>
  <c r="AB2033" i="1"/>
  <c r="AF2033" i="1"/>
  <c r="K2034" i="1"/>
  <c r="AC2034" i="1"/>
  <c r="AJ2033" i="1"/>
  <c r="AK2033" i="1"/>
  <c r="AM2033" i="1"/>
  <c r="BF2033" i="1"/>
  <c r="BG2033" i="1"/>
  <c r="T2034" i="1"/>
  <c r="U2034" i="1"/>
  <c r="V2034" i="1"/>
  <c r="W2034" i="1"/>
  <c r="AB2034" i="1"/>
  <c r="AF2034" i="1"/>
  <c r="K2035" i="1"/>
  <c r="AC2035" i="1"/>
  <c r="AJ2034" i="1"/>
  <c r="AK2034" i="1"/>
  <c r="AM2034" i="1"/>
  <c r="BF2034" i="1"/>
  <c r="BG2034" i="1"/>
  <c r="T2035" i="1"/>
  <c r="U2035" i="1"/>
  <c r="V2035" i="1"/>
  <c r="W2035" i="1"/>
  <c r="AB2035" i="1"/>
  <c r="AF2035" i="1"/>
  <c r="AC2036" i="1"/>
  <c r="AJ2035" i="1"/>
  <c r="AK2035" i="1"/>
  <c r="AM2035" i="1"/>
  <c r="BF2035" i="1"/>
  <c r="BG2035" i="1"/>
  <c r="T2036" i="1"/>
  <c r="U2036" i="1"/>
  <c r="V2036" i="1"/>
  <c r="W2036" i="1"/>
  <c r="AB2036" i="1"/>
  <c r="AF2036" i="1"/>
  <c r="AC2037" i="1"/>
  <c r="AJ2036" i="1"/>
  <c r="AK2036" i="1"/>
  <c r="AM2036" i="1"/>
  <c r="BF2036" i="1"/>
  <c r="BG2036" i="1"/>
  <c r="T2037" i="1"/>
  <c r="U2037" i="1"/>
  <c r="V2037" i="1"/>
  <c r="W2037" i="1"/>
  <c r="AB2037" i="1"/>
  <c r="AF2037" i="1"/>
  <c r="K2038" i="1"/>
  <c r="AC2038" i="1"/>
  <c r="AJ2037" i="1"/>
  <c r="AK2037" i="1"/>
  <c r="AM2037" i="1"/>
  <c r="BF2037" i="1"/>
  <c r="BG2037" i="1"/>
  <c r="T2038" i="1"/>
  <c r="U2038" i="1"/>
  <c r="V2038" i="1"/>
  <c r="W2038" i="1"/>
  <c r="AB2038" i="1"/>
  <c r="AF2038" i="1"/>
  <c r="AC2039" i="1"/>
  <c r="AJ2038" i="1"/>
  <c r="AK2038" i="1"/>
  <c r="AM2038" i="1"/>
  <c r="BF2038" i="1"/>
  <c r="BG2038" i="1"/>
  <c r="T2039" i="1"/>
  <c r="U2039" i="1"/>
  <c r="V2039" i="1"/>
  <c r="W2039" i="1"/>
  <c r="AB2039" i="1"/>
  <c r="AF2039" i="1"/>
  <c r="AC2040" i="1"/>
  <c r="AJ2039" i="1"/>
  <c r="AK2039" i="1"/>
  <c r="AM2039" i="1"/>
  <c r="BF2039" i="1"/>
  <c r="BG2039" i="1"/>
  <c r="T2040" i="1"/>
  <c r="U2040" i="1"/>
  <c r="V2040" i="1"/>
  <c r="W2040" i="1"/>
  <c r="AB2040" i="1"/>
  <c r="AF2040" i="1"/>
  <c r="K2041" i="1"/>
  <c r="AC2041" i="1"/>
  <c r="AJ2040" i="1"/>
  <c r="AK2040" i="1"/>
  <c r="AM2040" i="1"/>
  <c r="BF2040" i="1"/>
  <c r="BG2040" i="1"/>
  <c r="T2041" i="1"/>
  <c r="U2041" i="1"/>
  <c r="V2041" i="1"/>
  <c r="W2041" i="1"/>
  <c r="AB2041" i="1"/>
  <c r="AF2041" i="1"/>
  <c r="AC2042" i="1"/>
  <c r="AJ2041" i="1"/>
  <c r="AK2041" i="1"/>
  <c r="AM2041" i="1"/>
  <c r="BF2041" i="1"/>
  <c r="BG2041" i="1"/>
  <c r="T2042" i="1"/>
  <c r="U2042" i="1"/>
  <c r="V2042" i="1"/>
  <c r="W2042" i="1"/>
  <c r="AB2042" i="1"/>
  <c r="AF2042" i="1"/>
  <c r="AC2043" i="1"/>
  <c r="AJ2042" i="1"/>
  <c r="AK2042" i="1"/>
  <c r="AM2042" i="1"/>
  <c r="BF2042" i="1"/>
  <c r="BG2042" i="1"/>
  <c r="T2043" i="1"/>
  <c r="U2043" i="1"/>
  <c r="V2043" i="1"/>
  <c r="W2043" i="1"/>
  <c r="AB2043" i="1"/>
  <c r="AF2043" i="1"/>
  <c r="AC2044" i="1"/>
  <c r="AJ2043" i="1"/>
  <c r="AK2043" i="1"/>
  <c r="AM2043" i="1"/>
  <c r="BF2043" i="1"/>
  <c r="BG2043" i="1"/>
  <c r="T2044" i="1"/>
  <c r="U2044" i="1"/>
  <c r="V2044" i="1"/>
  <c r="W2044" i="1"/>
  <c r="AB2044" i="1"/>
  <c r="AF2044" i="1"/>
  <c r="K2045" i="1"/>
  <c r="AC2045" i="1"/>
  <c r="AJ2044" i="1"/>
  <c r="AK2044" i="1"/>
  <c r="AM2044" i="1"/>
  <c r="BF2044" i="1"/>
  <c r="BG2044" i="1"/>
  <c r="T2045" i="1"/>
  <c r="U2045" i="1"/>
  <c r="V2045" i="1"/>
  <c r="W2045" i="1"/>
  <c r="AB2045" i="1"/>
  <c r="AF2045" i="1"/>
  <c r="K2046" i="1"/>
  <c r="AC2046" i="1"/>
  <c r="AJ2045" i="1"/>
  <c r="AK2045" i="1"/>
  <c r="AM2045" i="1"/>
  <c r="BF2045" i="1"/>
  <c r="BG2045" i="1"/>
  <c r="T2046" i="1"/>
  <c r="U2046" i="1"/>
  <c r="V2046" i="1"/>
  <c r="W2046" i="1"/>
  <c r="AB2046" i="1"/>
  <c r="AF2046" i="1"/>
  <c r="K2047" i="1"/>
  <c r="AC2047" i="1"/>
  <c r="AJ2046" i="1"/>
  <c r="AK2046" i="1"/>
  <c r="AM2046" i="1"/>
  <c r="BF2046" i="1"/>
  <c r="BG2046" i="1"/>
  <c r="T2047" i="1"/>
  <c r="U2047" i="1"/>
  <c r="V2047" i="1"/>
  <c r="W2047" i="1"/>
  <c r="AB2047" i="1"/>
  <c r="AF2047" i="1"/>
  <c r="AC2048" i="1"/>
  <c r="AJ2047" i="1"/>
  <c r="AK2047" i="1"/>
  <c r="AM2047" i="1"/>
  <c r="BF2047" i="1"/>
  <c r="BG2047" i="1"/>
  <c r="T2048" i="1"/>
  <c r="U2048" i="1"/>
  <c r="V2048" i="1"/>
  <c r="W2048" i="1"/>
  <c r="AB2048" i="1"/>
  <c r="AF2048" i="1"/>
  <c r="AC2049" i="1"/>
  <c r="AJ2048" i="1"/>
  <c r="AK2048" i="1"/>
  <c r="AM2048" i="1"/>
  <c r="BF2048" i="1"/>
  <c r="BG2048" i="1"/>
  <c r="T2049" i="1"/>
  <c r="U2049" i="1"/>
  <c r="V2049" i="1"/>
  <c r="W2049" i="1"/>
  <c r="AB2049" i="1"/>
  <c r="AF2049" i="1"/>
  <c r="K2050" i="1"/>
  <c r="AC2050" i="1"/>
  <c r="AJ2049" i="1"/>
  <c r="AK2049" i="1"/>
  <c r="AM2049" i="1"/>
  <c r="BF2049" i="1"/>
  <c r="BG2049" i="1"/>
  <c r="T2050" i="1"/>
  <c r="U2050" i="1"/>
  <c r="V2050" i="1"/>
  <c r="W2050" i="1"/>
  <c r="AB2050" i="1"/>
  <c r="AF2050" i="1"/>
  <c r="K2051" i="1"/>
  <c r="AC2051" i="1"/>
  <c r="AJ2050" i="1"/>
  <c r="AK2050" i="1"/>
  <c r="AM2050" i="1"/>
  <c r="BF2050" i="1"/>
  <c r="BG2050" i="1"/>
  <c r="T2051" i="1"/>
  <c r="U2051" i="1"/>
  <c r="V2051" i="1"/>
  <c r="W2051" i="1"/>
  <c r="AB2051" i="1"/>
  <c r="AF2051" i="1"/>
  <c r="K2052" i="1"/>
  <c r="AC2052" i="1"/>
  <c r="AJ2051" i="1"/>
  <c r="AK2051" i="1"/>
  <c r="AM2051" i="1"/>
  <c r="BF2051" i="1"/>
  <c r="BG2051" i="1"/>
  <c r="T2052" i="1"/>
  <c r="U2052" i="1"/>
  <c r="V2052" i="1"/>
  <c r="W2052" i="1"/>
  <c r="AB2052" i="1"/>
  <c r="AF2052" i="1"/>
  <c r="K2053" i="1"/>
  <c r="AC2053" i="1"/>
  <c r="AJ2052" i="1"/>
  <c r="AK2052" i="1"/>
  <c r="AM2052" i="1"/>
  <c r="BF2052" i="1"/>
  <c r="BG2052" i="1"/>
  <c r="T2053" i="1"/>
  <c r="U2053" i="1"/>
  <c r="V2053" i="1"/>
  <c r="W2053" i="1"/>
  <c r="AB2053" i="1"/>
  <c r="AF2053" i="1"/>
  <c r="K2054" i="1"/>
  <c r="AC2054" i="1"/>
  <c r="AJ2053" i="1"/>
  <c r="AK2053" i="1"/>
  <c r="AM2053" i="1"/>
  <c r="BF2053" i="1"/>
  <c r="BG2053" i="1"/>
  <c r="T2054" i="1"/>
  <c r="U2054" i="1"/>
  <c r="V2054" i="1"/>
  <c r="W2054" i="1"/>
  <c r="AB2054" i="1"/>
  <c r="AF2054" i="1"/>
  <c r="K2055" i="1"/>
  <c r="AC2055" i="1"/>
  <c r="AJ2054" i="1"/>
  <c r="AK2054" i="1"/>
  <c r="AM2054" i="1"/>
  <c r="BF2054" i="1"/>
  <c r="BG2054" i="1"/>
  <c r="T2055" i="1"/>
  <c r="U2055" i="1"/>
  <c r="V2055" i="1"/>
  <c r="W2055" i="1"/>
  <c r="AB2055" i="1"/>
  <c r="AF2055" i="1"/>
  <c r="K2056" i="1"/>
  <c r="AC2056" i="1"/>
  <c r="AJ2055" i="1"/>
  <c r="AK2055" i="1"/>
  <c r="AM2055" i="1"/>
  <c r="BF2055" i="1"/>
  <c r="BG2055" i="1"/>
  <c r="T2056" i="1"/>
  <c r="U2056" i="1"/>
  <c r="V2056" i="1"/>
  <c r="W2056" i="1"/>
  <c r="AB2056" i="1"/>
  <c r="AF2056" i="1"/>
  <c r="K2057" i="1"/>
  <c r="AC2057" i="1"/>
  <c r="AJ2056" i="1"/>
  <c r="AK2056" i="1"/>
  <c r="AM2056" i="1"/>
  <c r="BF2056" i="1"/>
  <c r="BG2056" i="1"/>
  <c r="T2057" i="1"/>
  <c r="U2057" i="1"/>
  <c r="V2057" i="1"/>
  <c r="W2057" i="1"/>
  <c r="AB2057" i="1"/>
  <c r="AF2057" i="1"/>
  <c r="K2058" i="1"/>
  <c r="AC2058" i="1"/>
  <c r="AJ2057" i="1"/>
  <c r="AK2057" i="1"/>
  <c r="AM2057" i="1"/>
  <c r="BF2057" i="1"/>
  <c r="BG2057" i="1"/>
  <c r="T2058" i="1"/>
  <c r="U2058" i="1"/>
  <c r="V2058" i="1"/>
  <c r="W2058" i="1"/>
  <c r="AB2058" i="1"/>
  <c r="AF2058" i="1"/>
  <c r="AC2059" i="1"/>
  <c r="AJ2058" i="1"/>
  <c r="AK2058" i="1"/>
  <c r="AM2058" i="1"/>
  <c r="BF2058" i="1"/>
  <c r="BG2058" i="1"/>
  <c r="T2059" i="1"/>
  <c r="U2059" i="1"/>
  <c r="V2059" i="1"/>
  <c r="W2059" i="1"/>
  <c r="AB2059" i="1"/>
  <c r="AF2059" i="1"/>
  <c r="AC2060" i="1"/>
  <c r="AJ2059" i="1"/>
  <c r="AK2059" i="1"/>
  <c r="AM2059" i="1"/>
  <c r="BF2059" i="1"/>
  <c r="BG2059" i="1"/>
  <c r="T2060" i="1"/>
  <c r="U2060" i="1"/>
  <c r="V2060" i="1"/>
  <c r="W2060" i="1"/>
  <c r="AB2060" i="1"/>
  <c r="AF2060" i="1"/>
  <c r="K2061" i="1"/>
  <c r="AC2061" i="1"/>
  <c r="AJ2060" i="1"/>
  <c r="AK2060" i="1"/>
  <c r="AM2060" i="1"/>
  <c r="BF2060" i="1"/>
  <c r="BG2060" i="1"/>
  <c r="T2061" i="1"/>
  <c r="U2061" i="1"/>
  <c r="V2061" i="1"/>
  <c r="W2061" i="1"/>
  <c r="AB2061" i="1"/>
  <c r="AF2061" i="1"/>
  <c r="K2062" i="1"/>
  <c r="AC2062" i="1"/>
  <c r="AJ2061" i="1"/>
  <c r="AK2061" i="1"/>
  <c r="AM2061" i="1"/>
  <c r="BF2061" i="1"/>
  <c r="BG2061" i="1"/>
  <c r="T2062" i="1"/>
  <c r="U2062" i="1"/>
  <c r="V2062" i="1"/>
  <c r="W2062" i="1"/>
  <c r="AB2062" i="1"/>
  <c r="AF2062" i="1"/>
  <c r="AC2063" i="1"/>
  <c r="AJ2062" i="1"/>
  <c r="AK2062" i="1"/>
  <c r="AM2062" i="1"/>
  <c r="BF2062" i="1"/>
  <c r="BG2062" i="1"/>
  <c r="T2063" i="1"/>
  <c r="U2063" i="1"/>
  <c r="V2063" i="1"/>
  <c r="W2063" i="1"/>
  <c r="AB2063" i="1"/>
  <c r="AF2063" i="1"/>
  <c r="AC2064" i="1"/>
  <c r="AJ2063" i="1"/>
  <c r="AK2063" i="1"/>
  <c r="AM2063" i="1"/>
  <c r="BF2063" i="1"/>
  <c r="BG2063" i="1"/>
  <c r="T2064" i="1"/>
  <c r="U2064" i="1"/>
  <c r="V2064" i="1"/>
  <c r="W2064" i="1"/>
  <c r="AB2064" i="1"/>
  <c r="AF2064" i="1"/>
  <c r="K2065" i="1"/>
  <c r="AC2065" i="1"/>
  <c r="AJ2064" i="1"/>
  <c r="AK2064" i="1"/>
  <c r="AM2064" i="1"/>
  <c r="BF2064" i="1"/>
  <c r="BG2064" i="1"/>
  <c r="T2065" i="1"/>
  <c r="U2065" i="1"/>
  <c r="V2065" i="1"/>
  <c r="W2065" i="1"/>
  <c r="AB2065" i="1"/>
  <c r="AF2065" i="1"/>
  <c r="K2066" i="1"/>
  <c r="AC2066" i="1"/>
  <c r="AJ2065" i="1"/>
  <c r="AK2065" i="1"/>
  <c r="AM2065" i="1"/>
  <c r="BF2065" i="1"/>
  <c r="BG2065" i="1"/>
  <c r="T2066" i="1"/>
  <c r="U2066" i="1"/>
  <c r="V2066" i="1"/>
  <c r="W2066" i="1"/>
  <c r="AB2066" i="1"/>
  <c r="AF2066" i="1"/>
  <c r="K2067" i="1"/>
  <c r="AC2067" i="1"/>
  <c r="AJ2066" i="1"/>
  <c r="AK2066" i="1"/>
  <c r="AM2066" i="1"/>
  <c r="BF2066" i="1"/>
  <c r="BG2066" i="1"/>
  <c r="T2067" i="1"/>
  <c r="U2067" i="1"/>
  <c r="V2067" i="1"/>
  <c r="W2067" i="1"/>
  <c r="AB2067" i="1"/>
  <c r="AF2067" i="1"/>
  <c r="K2068" i="1"/>
  <c r="AC2068" i="1"/>
  <c r="AJ2067" i="1"/>
  <c r="AK2067" i="1"/>
  <c r="AM2067" i="1"/>
  <c r="BF2067" i="1"/>
  <c r="BG2067" i="1"/>
  <c r="T2068" i="1"/>
  <c r="U2068" i="1"/>
  <c r="V2068" i="1"/>
  <c r="W2068" i="1"/>
  <c r="AB2068" i="1"/>
  <c r="AF2068" i="1"/>
  <c r="AC2069" i="1"/>
  <c r="AJ2068" i="1"/>
  <c r="AK2068" i="1"/>
  <c r="AM2068" i="1"/>
  <c r="BF2068" i="1"/>
  <c r="BG2068" i="1"/>
  <c r="T2069" i="1"/>
  <c r="U2069" i="1"/>
  <c r="V2069" i="1"/>
  <c r="W2069" i="1"/>
  <c r="AB2069" i="1"/>
  <c r="AF2069" i="1"/>
  <c r="AC2070" i="1"/>
  <c r="AJ2069" i="1"/>
  <c r="AK2069" i="1"/>
  <c r="AM2069" i="1"/>
  <c r="BF2069" i="1"/>
  <c r="BG2069" i="1"/>
  <c r="T2070" i="1"/>
  <c r="U2070" i="1"/>
  <c r="V2070" i="1"/>
  <c r="W2070" i="1"/>
  <c r="AB2070" i="1"/>
  <c r="AF2070" i="1"/>
  <c r="K2071" i="1"/>
  <c r="AC2071" i="1"/>
  <c r="AJ2070" i="1"/>
  <c r="AK2070" i="1"/>
  <c r="AM2070" i="1"/>
  <c r="BF2070" i="1"/>
  <c r="BG2070" i="1"/>
  <c r="T2071" i="1"/>
  <c r="U2071" i="1"/>
  <c r="V2071" i="1"/>
  <c r="W2071" i="1"/>
  <c r="AB2071" i="1"/>
  <c r="AF2071" i="1"/>
  <c r="AC2072" i="1"/>
  <c r="AJ2071" i="1"/>
  <c r="AK2071" i="1"/>
  <c r="AM2071" i="1"/>
  <c r="BF2071" i="1"/>
  <c r="BG2071" i="1"/>
  <c r="T2072" i="1"/>
  <c r="U2072" i="1"/>
  <c r="V2072" i="1"/>
  <c r="W2072" i="1"/>
  <c r="AB2072" i="1"/>
  <c r="AF2072" i="1"/>
  <c r="AC2073" i="1"/>
  <c r="AJ2072" i="1"/>
  <c r="AK2072" i="1"/>
  <c r="AM2072" i="1"/>
  <c r="BF2072" i="1"/>
  <c r="BG2072" i="1"/>
  <c r="T2073" i="1"/>
  <c r="U2073" i="1"/>
  <c r="V2073" i="1"/>
  <c r="W2073" i="1"/>
  <c r="AB2073" i="1"/>
  <c r="AF2073" i="1"/>
  <c r="K2074" i="1"/>
  <c r="AC2074" i="1"/>
  <c r="AJ2073" i="1"/>
  <c r="AK2073" i="1"/>
  <c r="AM2073" i="1"/>
  <c r="BF2073" i="1"/>
  <c r="BG2073" i="1"/>
  <c r="T2074" i="1"/>
  <c r="U2074" i="1"/>
  <c r="V2074" i="1"/>
  <c r="W2074" i="1"/>
  <c r="AB2074" i="1"/>
  <c r="AF2074" i="1"/>
  <c r="K2075" i="1"/>
  <c r="AC2075" i="1"/>
  <c r="AJ2074" i="1"/>
  <c r="AK2074" i="1"/>
  <c r="AM2074" i="1"/>
  <c r="BF2074" i="1"/>
  <c r="BG2074" i="1"/>
  <c r="T2075" i="1"/>
  <c r="U2075" i="1"/>
  <c r="V2075" i="1"/>
  <c r="W2075" i="1"/>
  <c r="AB2075" i="1"/>
  <c r="AF2075" i="1"/>
  <c r="K2076" i="1"/>
  <c r="AC2076" i="1"/>
  <c r="AJ2075" i="1"/>
  <c r="AK2075" i="1"/>
  <c r="AM2075" i="1"/>
  <c r="BF2075" i="1"/>
  <c r="BG2075" i="1"/>
  <c r="T2076" i="1"/>
  <c r="U2076" i="1"/>
  <c r="V2076" i="1"/>
  <c r="W2076" i="1"/>
  <c r="AB2076" i="1"/>
  <c r="AF2076" i="1"/>
  <c r="AC2077" i="1"/>
  <c r="AJ2076" i="1"/>
  <c r="AK2076" i="1"/>
  <c r="AM2076" i="1"/>
  <c r="BF2076" i="1"/>
  <c r="BG2076" i="1"/>
  <c r="T2077" i="1"/>
  <c r="U2077" i="1"/>
  <c r="V2077" i="1"/>
  <c r="W2077" i="1"/>
  <c r="AB2077" i="1"/>
  <c r="AF2077" i="1"/>
  <c r="AC2078" i="1"/>
  <c r="AJ2077" i="1"/>
  <c r="AK2077" i="1"/>
  <c r="AM2077" i="1"/>
  <c r="BF2077" i="1"/>
  <c r="BG2077" i="1"/>
  <c r="T2078" i="1"/>
  <c r="U2078" i="1"/>
  <c r="V2078" i="1"/>
  <c r="W2078" i="1"/>
  <c r="AB2078" i="1"/>
  <c r="AF2078" i="1"/>
  <c r="K2079" i="1"/>
  <c r="AC2079" i="1"/>
  <c r="AJ2078" i="1"/>
  <c r="AK2078" i="1"/>
  <c r="AM2078" i="1"/>
  <c r="BF2078" i="1"/>
  <c r="BG2078" i="1"/>
  <c r="T2079" i="1"/>
  <c r="U2079" i="1"/>
  <c r="V2079" i="1"/>
  <c r="W2079" i="1"/>
  <c r="AB2079" i="1"/>
  <c r="AF2079" i="1"/>
  <c r="K2080" i="1"/>
  <c r="AC2080" i="1"/>
  <c r="AJ2079" i="1"/>
  <c r="AK2079" i="1"/>
  <c r="AM2079" i="1"/>
  <c r="BF2079" i="1"/>
  <c r="BG2079" i="1"/>
  <c r="T2080" i="1"/>
  <c r="U2080" i="1"/>
  <c r="V2080" i="1"/>
  <c r="W2080" i="1"/>
  <c r="AB2080" i="1"/>
  <c r="AF2080" i="1"/>
  <c r="K2081" i="1"/>
  <c r="AC2081" i="1"/>
  <c r="AJ2080" i="1"/>
  <c r="AK2080" i="1"/>
  <c r="AM2080" i="1"/>
  <c r="BF2080" i="1"/>
  <c r="BG2080" i="1"/>
  <c r="T2081" i="1"/>
  <c r="U2081" i="1"/>
  <c r="V2081" i="1"/>
  <c r="W2081" i="1"/>
  <c r="AB2081" i="1"/>
  <c r="AF2081" i="1"/>
  <c r="K2082" i="1"/>
  <c r="AC2082" i="1"/>
  <c r="AJ2081" i="1"/>
  <c r="AK2081" i="1"/>
  <c r="AM2081" i="1"/>
  <c r="BF2081" i="1"/>
  <c r="BG2081" i="1"/>
  <c r="T2082" i="1"/>
  <c r="U2082" i="1"/>
  <c r="V2082" i="1"/>
  <c r="W2082" i="1"/>
  <c r="AB2082" i="1"/>
  <c r="AF2082" i="1"/>
  <c r="AC2083" i="1"/>
  <c r="AJ2082" i="1"/>
  <c r="AK2082" i="1"/>
  <c r="AM2082" i="1"/>
  <c r="BF2082" i="1"/>
  <c r="BG2082" i="1"/>
  <c r="T2083" i="1"/>
  <c r="U2083" i="1"/>
  <c r="V2083" i="1"/>
  <c r="W2083" i="1"/>
  <c r="AB2083" i="1"/>
  <c r="AF2083" i="1"/>
  <c r="AC2084" i="1"/>
  <c r="AJ2083" i="1"/>
  <c r="AK2083" i="1"/>
  <c r="AM2083" i="1"/>
  <c r="BF2083" i="1"/>
  <c r="BG2083" i="1"/>
  <c r="T2084" i="1"/>
  <c r="U2084" i="1"/>
  <c r="V2084" i="1"/>
  <c r="W2084" i="1"/>
  <c r="AB2084" i="1"/>
  <c r="AF2084" i="1"/>
  <c r="K2085" i="1"/>
  <c r="AC2085" i="1"/>
  <c r="AJ2084" i="1"/>
  <c r="AK2084" i="1"/>
  <c r="AM2084" i="1"/>
  <c r="BF2084" i="1"/>
  <c r="BG2084" i="1"/>
  <c r="T2085" i="1"/>
  <c r="U2085" i="1"/>
  <c r="V2085" i="1"/>
  <c r="W2085" i="1"/>
  <c r="AB2085" i="1"/>
  <c r="AF2085" i="1"/>
  <c r="AC2086" i="1"/>
  <c r="AJ2085" i="1"/>
  <c r="AK2085" i="1"/>
  <c r="AM2085" i="1"/>
  <c r="BF2085" i="1"/>
  <c r="BG2085" i="1"/>
  <c r="T2086" i="1"/>
  <c r="U2086" i="1"/>
  <c r="V2086" i="1"/>
  <c r="W2086" i="1"/>
  <c r="AB2086" i="1"/>
  <c r="AF2086" i="1"/>
  <c r="AC2087" i="1"/>
  <c r="AJ2086" i="1"/>
  <c r="AK2086" i="1"/>
  <c r="AM2086" i="1"/>
  <c r="BF2086" i="1"/>
  <c r="BG2086" i="1"/>
  <c r="T2087" i="1"/>
  <c r="U2087" i="1"/>
  <c r="V2087" i="1"/>
  <c r="W2087" i="1"/>
  <c r="AB2087" i="1"/>
  <c r="AF2087" i="1"/>
  <c r="K2088" i="1"/>
  <c r="AC2088" i="1"/>
  <c r="AJ2087" i="1"/>
  <c r="AK2087" i="1"/>
  <c r="AM2087" i="1"/>
  <c r="BF2087" i="1"/>
  <c r="BG2087" i="1"/>
  <c r="T2088" i="1"/>
  <c r="U2088" i="1"/>
  <c r="V2088" i="1"/>
  <c r="W2088" i="1"/>
  <c r="AB2088" i="1"/>
  <c r="AF2088" i="1"/>
  <c r="AC2089" i="1"/>
  <c r="AJ2088" i="1"/>
  <c r="AK2088" i="1"/>
  <c r="AM2088" i="1"/>
  <c r="BF2088" i="1"/>
  <c r="BG2088" i="1"/>
  <c r="T2089" i="1"/>
  <c r="U2089" i="1"/>
  <c r="V2089" i="1"/>
  <c r="W2089" i="1"/>
  <c r="AB2089" i="1"/>
  <c r="AF2089" i="1"/>
  <c r="AC2090" i="1"/>
  <c r="AJ2089" i="1"/>
  <c r="AK2089" i="1"/>
  <c r="AM2089" i="1"/>
  <c r="BF2089" i="1"/>
  <c r="BG2089" i="1"/>
  <c r="T2090" i="1"/>
  <c r="U2090" i="1"/>
  <c r="V2090" i="1"/>
  <c r="W2090" i="1"/>
  <c r="AB2090" i="1"/>
  <c r="AF2090" i="1"/>
  <c r="K2091" i="1"/>
  <c r="AC2091" i="1"/>
  <c r="AJ2090" i="1"/>
  <c r="AK2090" i="1"/>
  <c r="AM2090" i="1"/>
  <c r="BF2090" i="1"/>
  <c r="BG2090" i="1"/>
  <c r="T2091" i="1"/>
  <c r="U2091" i="1"/>
  <c r="V2091" i="1"/>
  <c r="W2091" i="1"/>
  <c r="AB2091" i="1"/>
  <c r="AF2091" i="1"/>
  <c r="K2092" i="1"/>
  <c r="AC2092" i="1"/>
  <c r="AJ2091" i="1"/>
  <c r="AK2091" i="1"/>
  <c r="AM2091" i="1"/>
  <c r="BF2091" i="1"/>
  <c r="BG2091" i="1"/>
  <c r="T2092" i="1"/>
  <c r="U2092" i="1"/>
  <c r="V2092" i="1"/>
  <c r="W2092" i="1"/>
  <c r="AB2092" i="1"/>
  <c r="AF2092" i="1"/>
  <c r="K2093" i="1"/>
  <c r="AC2093" i="1"/>
  <c r="AJ2092" i="1"/>
  <c r="AK2092" i="1"/>
  <c r="AM2092" i="1"/>
  <c r="BF2092" i="1"/>
  <c r="BG2092" i="1"/>
  <c r="T2093" i="1"/>
  <c r="U2093" i="1"/>
  <c r="V2093" i="1"/>
  <c r="W2093" i="1"/>
  <c r="AB2093" i="1"/>
  <c r="AF2093" i="1"/>
  <c r="AC2094" i="1"/>
  <c r="AJ2093" i="1"/>
  <c r="AK2093" i="1"/>
  <c r="AM2093" i="1"/>
  <c r="BF2093" i="1"/>
  <c r="BG2093" i="1"/>
  <c r="T2094" i="1"/>
  <c r="U2094" i="1"/>
  <c r="V2094" i="1"/>
  <c r="W2094" i="1"/>
  <c r="AB2094" i="1"/>
  <c r="AF2094" i="1"/>
  <c r="AC2095" i="1"/>
  <c r="AJ2094" i="1"/>
  <c r="AK2094" i="1"/>
  <c r="AM2094" i="1"/>
  <c r="BF2094" i="1"/>
  <c r="BG2094" i="1"/>
  <c r="T2095" i="1"/>
  <c r="U2095" i="1"/>
  <c r="V2095" i="1"/>
  <c r="W2095" i="1"/>
  <c r="AB2095" i="1"/>
  <c r="AF2095" i="1"/>
  <c r="K2096" i="1"/>
  <c r="AC2096" i="1"/>
  <c r="AJ2095" i="1"/>
  <c r="AK2095" i="1"/>
  <c r="AM2095" i="1"/>
  <c r="BF2095" i="1"/>
  <c r="BG2095" i="1"/>
  <c r="T2096" i="1"/>
  <c r="U2096" i="1"/>
  <c r="V2096" i="1"/>
  <c r="W2096" i="1"/>
  <c r="AB2096" i="1"/>
  <c r="AF2096" i="1"/>
  <c r="K2097" i="1"/>
  <c r="AC2097" i="1"/>
  <c r="AJ2096" i="1"/>
  <c r="AK2096" i="1"/>
  <c r="AM2096" i="1"/>
  <c r="BF2096" i="1"/>
  <c r="BG2096" i="1"/>
  <c r="T2097" i="1"/>
  <c r="U2097" i="1"/>
  <c r="V2097" i="1"/>
  <c r="W2097" i="1"/>
  <c r="AB2097" i="1"/>
  <c r="AF2097" i="1"/>
  <c r="AC2098" i="1"/>
  <c r="AJ2097" i="1"/>
  <c r="AK2097" i="1"/>
  <c r="AM2097" i="1"/>
  <c r="BF2097" i="1"/>
  <c r="BG2097" i="1"/>
  <c r="T2098" i="1"/>
  <c r="U2098" i="1"/>
  <c r="V2098" i="1"/>
  <c r="W2098" i="1"/>
  <c r="AB2098" i="1"/>
  <c r="AF2098" i="1"/>
  <c r="AC2099" i="1"/>
  <c r="AJ2098" i="1"/>
  <c r="AK2098" i="1"/>
  <c r="AM2098" i="1"/>
  <c r="BF2098" i="1"/>
  <c r="BG2098" i="1"/>
  <c r="T2099" i="1"/>
  <c r="U2099" i="1"/>
  <c r="V2099" i="1"/>
  <c r="W2099" i="1"/>
  <c r="AB2099" i="1"/>
  <c r="AF2099" i="1"/>
  <c r="K2100" i="1"/>
  <c r="AC2100" i="1"/>
  <c r="AJ2099" i="1"/>
  <c r="AK2099" i="1"/>
  <c r="AM2099" i="1"/>
  <c r="BF2099" i="1"/>
  <c r="BG2099" i="1"/>
  <c r="T2100" i="1"/>
  <c r="U2100" i="1"/>
  <c r="V2100" i="1"/>
  <c r="W2100" i="1"/>
  <c r="AB2100" i="1"/>
  <c r="AF2100" i="1"/>
  <c r="AC2101" i="1"/>
  <c r="AJ2100" i="1"/>
  <c r="AK2100" i="1"/>
  <c r="AM2100" i="1"/>
  <c r="BF2100" i="1"/>
  <c r="BG2100" i="1"/>
  <c r="T2101" i="1"/>
  <c r="U2101" i="1"/>
  <c r="V2101" i="1"/>
  <c r="W2101" i="1"/>
  <c r="AB2101" i="1"/>
  <c r="AF2101" i="1"/>
  <c r="AC2102" i="1"/>
  <c r="AJ2101" i="1"/>
  <c r="AK2101" i="1"/>
  <c r="AM2101" i="1"/>
  <c r="BF2101" i="1"/>
  <c r="BG2101" i="1"/>
  <c r="T2102" i="1"/>
  <c r="U2102" i="1"/>
  <c r="V2102" i="1"/>
  <c r="W2102" i="1"/>
  <c r="AB2102" i="1"/>
  <c r="AF2102" i="1"/>
  <c r="K2103" i="1"/>
  <c r="AC2103" i="1"/>
  <c r="AJ2102" i="1"/>
  <c r="AK2102" i="1"/>
  <c r="AM2102" i="1"/>
  <c r="BF2102" i="1"/>
  <c r="BG2102" i="1"/>
  <c r="T2103" i="1"/>
  <c r="U2103" i="1"/>
  <c r="V2103" i="1"/>
  <c r="W2103" i="1"/>
  <c r="AB2103" i="1"/>
  <c r="AF2103" i="1"/>
  <c r="AC2104" i="1"/>
  <c r="AJ2103" i="1"/>
  <c r="AK2103" i="1"/>
  <c r="AM2103" i="1"/>
  <c r="BF2103" i="1"/>
  <c r="BG2103" i="1"/>
  <c r="T2104" i="1"/>
  <c r="U2104" i="1"/>
  <c r="V2104" i="1"/>
  <c r="W2104" i="1"/>
  <c r="AB2104" i="1"/>
  <c r="AF2104" i="1"/>
  <c r="AC2105" i="1"/>
  <c r="AJ2104" i="1"/>
  <c r="AK2104" i="1"/>
  <c r="AM2104" i="1"/>
  <c r="BF2104" i="1"/>
  <c r="BG2104" i="1"/>
  <c r="T2105" i="1"/>
  <c r="U2105" i="1"/>
  <c r="V2105" i="1"/>
  <c r="W2105" i="1"/>
  <c r="AB2105" i="1"/>
  <c r="AF2105" i="1"/>
  <c r="K2106" i="1"/>
  <c r="AC2106" i="1"/>
  <c r="AJ2105" i="1"/>
  <c r="AK2105" i="1"/>
  <c r="AM2105" i="1"/>
  <c r="BF2105" i="1"/>
  <c r="BG2105" i="1"/>
  <c r="T2106" i="1"/>
  <c r="U2106" i="1"/>
  <c r="V2106" i="1"/>
  <c r="W2106" i="1"/>
  <c r="AB2106" i="1"/>
  <c r="AF2106" i="1"/>
  <c r="K2107" i="1"/>
  <c r="AC2107" i="1"/>
  <c r="AJ2106" i="1"/>
  <c r="AK2106" i="1"/>
  <c r="AM2106" i="1"/>
  <c r="BF2106" i="1"/>
  <c r="BG2106" i="1"/>
  <c r="T2107" i="1"/>
  <c r="U2107" i="1"/>
  <c r="V2107" i="1"/>
  <c r="W2107" i="1"/>
  <c r="AB2107" i="1"/>
  <c r="AF2107" i="1"/>
  <c r="AC2108" i="1"/>
  <c r="AJ2107" i="1"/>
  <c r="AK2107" i="1"/>
  <c r="AM2107" i="1"/>
  <c r="BF2107" i="1"/>
  <c r="BG2107" i="1"/>
  <c r="T2108" i="1"/>
  <c r="U2108" i="1"/>
  <c r="V2108" i="1"/>
  <c r="W2108" i="1"/>
  <c r="AB2108" i="1"/>
  <c r="AF2108" i="1"/>
  <c r="AC2109" i="1"/>
  <c r="AJ2108" i="1"/>
  <c r="AK2108" i="1"/>
  <c r="AM2108" i="1"/>
  <c r="BF2108" i="1"/>
  <c r="BG2108" i="1"/>
  <c r="T2109" i="1"/>
  <c r="U2109" i="1"/>
  <c r="V2109" i="1"/>
  <c r="W2109" i="1"/>
  <c r="AB2109" i="1"/>
  <c r="AF2109" i="1"/>
  <c r="K2110" i="1"/>
  <c r="AC2110" i="1"/>
  <c r="AJ2109" i="1"/>
  <c r="AK2109" i="1"/>
  <c r="AM2109" i="1"/>
  <c r="BF2109" i="1"/>
  <c r="BG2109" i="1"/>
  <c r="T2110" i="1"/>
  <c r="U2110" i="1"/>
  <c r="V2110" i="1"/>
  <c r="W2110" i="1"/>
  <c r="AB2110" i="1"/>
  <c r="AF2110" i="1"/>
  <c r="K2111" i="1"/>
  <c r="AC2111" i="1"/>
  <c r="AJ2110" i="1"/>
  <c r="AK2110" i="1"/>
  <c r="AM2110" i="1"/>
  <c r="BF2110" i="1"/>
  <c r="BG2110" i="1"/>
  <c r="T2111" i="1"/>
  <c r="U2111" i="1"/>
  <c r="V2111" i="1"/>
  <c r="W2111" i="1"/>
  <c r="AB2111" i="1"/>
  <c r="AF2111" i="1"/>
  <c r="K2112" i="1"/>
  <c r="AC2112" i="1"/>
  <c r="AJ2111" i="1"/>
  <c r="AK2111" i="1"/>
  <c r="AM2111" i="1"/>
  <c r="BF2111" i="1"/>
  <c r="BG2111" i="1"/>
  <c r="T2112" i="1"/>
  <c r="U2112" i="1"/>
  <c r="V2112" i="1"/>
  <c r="W2112" i="1"/>
  <c r="AB2112" i="1"/>
  <c r="AF2112" i="1"/>
  <c r="K2113" i="1"/>
  <c r="AC2113" i="1"/>
  <c r="AJ2112" i="1"/>
  <c r="AK2112" i="1"/>
  <c r="AM2112" i="1"/>
  <c r="BF2112" i="1"/>
  <c r="BG2112" i="1"/>
  <c r="T2113" i="1"/>
  <c r="U2113" i="1"/>
  <c r="V2113" i="1"/>
  <c r="W2113" i="1"/>
  <c r="AB2113" i="1"/>
  <c r="AF2113" i="1"/>
  <c r="K2114" i="1"/>
  <c r="AC2114" i="1"/>
  <c r="AJ2113" i="1"/>
  <c r="AK2113" i="1"/>
  <c r="AM2113" i="1"/>
  <c r="BF2113" i="1"/>
  <c r="BG2113" i="1"/>
  <c r="T2114" i="1"/>
  <c r="U2114" i="1"/>
  <c r="V2114" i="1"/>
  <c r="W2114" i="1"/>
  <c r="AB2114" i="1"/>
  <c r="AF2114" i="1"/>
  <c r="K2115" i="1"/>
  <c r="AC2115" i="1"/>
  <c r="AJ2114" i="1"/>
  <c r="AK2114" i="1"/>
  <c r="AM2114" i="1"/>
  <c r="BF2114" i="1"/>
  <c r="BG2114" i="1"/>
  <c r="T2115" i="1"/>
  <c r="U2115" i="1"/>
  <c r="V2115" i="1"/>
  <c r="W2115" i="1"/>
  <c r="AB2115" i="1"/>
  <c r="AF2115" i="1"/>
  <c r="AC2116" i="1"/>
  <c r="AJ2115" i="1"/>
  <c r="AK2115" i="1"/>
  <c r="AM2115" i="1"/>
  <c r="BF2115" i="1"/>
  <c r="BG2115" i="1"/>
  <c r="T2116" i="1"/>
  <c r="U2116" i="1"/>
  <c r="V2116" i="1"/>
  <c r="W2116" i="1"/>
  <c r="AB2116" i="1"/>
  <c r="AF2116" i="1"/>
  <c r="AC2117" i="1"/>
  <c r="AJ2116" i="1"/>
  <c r="AK2116" i="1"/>
  <c r="AM2116" i="1"/>
  <c r="BF2116" i="1"/>
  <c r="BG2116" i="1"/>
  <c r="T2117" i="1"/>
  <c r="U2117" i="1"/>
  <c r="V2117" i="1"/>
  <c r="W2117" i="1"/>
  <c r="AB2117" i="1"/>
  <c r="AF2117" i="1"/>
  <c r="K2118" i="1"/>
  <c r="AC2118" i="1"/>
  <c r="AJ2117" i="1"/>
  <c r="AK2117" i="1"/>
  <c r="AM2117" i="1"/>
  <c r="BF2117" i="1"/>
  <c r="BG2117" i="1"/>
  <c r="T2118" i="1"/>
  <c r="U2118" i="1"/>
  <c r="V2118" i="1"/>
  <c r="W2118" i="1"/>
  <c r="AB2118" i="1"/>
  <c r="AF2118" i="1"/>
  <c r="AC2119" i="1"/>
  <c r="AJ2118" i="1"/>
  <c r="AK2118" i="1"/>
  <c r="AM2118" i="1"/>
  <c r="BF2118" i="1"/>
  <c r="BG2118" i="1"/>
  <c r="T2119" i="1"/>
  <c r="U2119" i="1"/>
  <c r="V2119" i="1"/>
  <c r="W2119" i="1"/>
  <c r="AB2119" i="1"/>
  <c r="AF2119" i="1"/>
  <c r="AC2120" i="1"/>
  <c r="AJ2119" i="1"/>
  <c r="AK2119" i="1"/>
  <c r="AM2119" i="1"/>
  <c r="BF2119" i="1"/>
  <c r="BG2119" i="1"/>
  <c r="T2120" i="1"/>
  <c r="U2120" i="1"/>
  <c r="V2120" i="1"/>
  <c r="W2120" i="1"/>
  <c r="AB2120" i="1"/>
  <c r="AF2120" i="1"/>
  <c r="K2121" i="1"/>
  <c r="AC2121" i="1"/>
  <c r="AJ2120" i="1"/>
  <c r="AK2120" i="1"/>
  <c r="AM2120" i="1"/>
  <c r="BF2120" i="1"/>
  <c r="BG2120" i="1"/>
  <c r="T2121" i="1"/>
  <c r="U2121" i="1"/>
  <c r="V2121" i="1"/>
  <c r="W2121" i="1"/>
  <c r="AB2121" i="1"/>
  <c r="AF2121" i="1"/>
  <c r="K2122" i="1"/>
  <c r="AC2122" i="1"/>
  <c r="AJ2121" i="1"/>
  <c r="AK2121" i="1"/>
  <c r="AM2121" i="1"/>
  <c r="BF2121" i="1"/>
  <c r="BG2121" i="1"/>
  <c r="T2122" i="1"/>
  <c r="U2122" i="1"/>
  <c r="V2122" i="1"/>
  <c r="W2122" i="1"/>
  <c r="AB2122" i="1"/>
  <c r="AF2122" i="1"/>
  <c r="K2123" i="1"/>
  <c r="AC2123" i="1"/>
  <c r="AJ2122" i="1"/>
  <c r="AK2122" i="1"/>
  <c r="AM2122" i="1"/>
  <c r="BF2122" i="1"/>
  <c r="BG2122" i="1"/>
  <c r="T2123" i="1"/>
  <c r="U2123" i="1"/>
  <c r="V2123" i="1"/>
  <c r="W2123" i="1"/>
  <c r="AB2123" i="1"/>
  <c r="AF2123" i="1"/>
  <c r="K2124" i="1"/>
  <c r="AC2124" i="1"/>
  <c r="AJ2123" i="1"/>
  <c r="AK2123" i="1"/>
  <c r="AM2123" i="1"/>
  <c r="BF2123" i="1"/>
  <c r="BG2123" i="1"/>
  <c r="T2124" i="1"/>
  <c r="U2124" i="1"/>
  <c r="V2124" i="1"/>
  <c r="W2124" i="1"/>
  <c r="AB2124" i="1"/>
  <c r="AF2124" i="1"/>
  <c r="K2125" i="1"/>
  <c r="AC2125" i="1"/>
  <c r="AJ2124" i="1"/>
  <c r="AK2124" i="1"/>
  <c r="AM2124" i="1"/>
  <c r="BF2124" i="1"/>
  <c r="BG2124" i="1"/>
  <c r="T2125" i="1"/>
  <c r="U2125" i="1"/>
  <c r="V2125" i="1"/>
  <c r="W2125" i="1"/>
  <c r="AB2125" i="1"/>
  <c r="AF2125" i="1"/>
  <c r="AC2126" i="1"/>
  <c r="AJ2125" i="1"/>
  <c r="AK2125" i="1"/>
  <c r="AM2125" i="1"/>
  <c r="BF2125" i="1"/>
  <c r="BG2125" i="1"/>
  <c r="T2126" i="1"/>
  <c r="U2126" i="1"/>
  <c r="V2126" i="1"/>
  <c r="W2126" i="1"/>
  <c r="AB2126" i="1"/>
  <c r="AF2126" i="1"/>
  <c r="AC2127" i="1"/>
  <c r="AJ2126" i="1"/>
  <c r="AK2126" i="1"/>
  <c r="AM2126" i="1"/>
  <c r="BF2126" i="1"/>
  <c r="BG2126" i="1"/>
  <c r="T2127" i="1"/>
  <c r="U2127" i="1"/>
  <c r="V2127" i="1"/>
  <c r="W2127" i="1"/>
  <c r="AB2127" i="1"/>
  <c r="AF2127" i="1"/>
  <c r="AC2128" i="1"/>
  <c r="AJ2127" i="1"/>
  <c r="AK2127" i="1"/>
  <c r="AM2127" i="1"/>
  <c r="BF2127" i="1"/>
  <c r="BG2127" i="1"/>
  <c r="T2128" i="1"/>
  <c r="U2128" i="1"/>
  <c r="V2128" i="1"/>
  <c r="W2128" i="1"/>
  <c r="AB2128" i="1"/>
  <c r="AF2128" i="1"/>
  <c r="K2129" i="1"/>
  <c r="AC2129" i="1"/>
  <c r="AJ2128" i="1"/>
  <c r="AK2128" i="1"/>
  <c r="AM2128" i="1"/>
  <c r="BF2128" i="1"/>
  <c r="BG2128" i="1"/>
  <c r="T2129" i="1"/>
  <c r="U2129" i="1"/>
  <c r="V2129" i="1"/>
  <c r="W2129" i="1"/>
  <c r="AB2129" i="1"/>
  <c r="AF2129" i="1"/>
  <c r="K2130" i="1"/>
  <c r="AC2130" i="1"/>
  <c r="AJ2129" i="1"/>
  <c r="AK2129" i="1"/>
  <c r="AM2129" i="1"/>
  <c r="BF2129" i="1"/>
  <c r="BG2129" i="1"/>
  <c r="T2130" i="1"/>
  <c r="U2130" i="1"/>
  <c r="V2130" i="1"/>
  <c r="W2130" i="1"/>
  <c r="AB2130" i="1"/>
  <c r="AF2130" i="1"/>
  <c r="K2131" i="1"/>
  <c r="AC2131" i="1"/>
  <c r="AJ2130" i="1"/>
  <c r="AK2130" i="1"/>
  <c r="AM2130" i="1"/>
  <c r="BF2130" i="1"/>
  <c r="BG2130" i="1"/>
  <c r="T2131" i="1"/>
  <c r="U2131" i="1"/>
  <c r="V2131" i="1"/>
  <c r="W2131" i="1"/>
  <c r="AB2131" i="1"/>
  <c r="AF2131" i="1"/>
  <c r="AC2132" i="1"/>
  <c r="AJ2131" i="1"/>
  <c r="AK2131" i="1"/>
  <c r="AM2131" i="1"/>
  <c r="BF2131" i="1"/>
  <c r="BG2131" i="1"/>
  <c r="T2132" i="1"/>
  <c r="U2132" i="1"/>
  <c r="V2132" i="1"/>
  <c r="W2132" i="1"/>
  <c r="AB2132" i="1"/>
  <c r="AF2132" i="1"/>
  <c r="AC2133" i="1"/>
  <c r="AJ2132" i="1"/>
  <c r="AK2132" i="1"/>
  <c r="AM2132" i="1"/>
  <c r="BF2132" i="1"/>
  <c r="BG2132" i="1"/>
  <c r="T2133" i="1"/>
  <c r="U2133" i="1"/>
  <c r="V2133" i="1"/>
  <c r="W2133" i="1"/>
  <c r="AB2133" i="1"/>
  <c r="AF2133" i="1"/>
  <c r="K2134" i="1"/>
  <c r="AC2134" i="1"/>
  <c r="AJ2133" i="1"/>
  <c r="AK2133" i="1"/>
  <c r="AM2133" i="1"/>
  <c r="BF2133" i="1"/>
  <c r="BG2133" i="1"/>
  <c r="T2134" i="1"/>
  <c r="U2134" i="1"/>
  <c r="V2134" i="1"/>
  <c r="W2134" i="1"/>
  <c r="AB2134" i="1"/>
  <c r="AF2134" i="1"/>
  <c r="AC2135" i="1"/>
  <c r="AJ2134" i="1"/>
  <c r="AK2134" i="1"/>
  <c r="AM2134" i="1"/>
  <c r="BF2134" i="1"/>
  <c r="BG2134" i="1"/>
  <c r="T2135" i="1"/>
  <c r="U2135" i="1"/>
  <c r="V2135" i="1"/>
  <c r="W2135" i="1"/>
  <c r="AB2135" i="1"/>
  <c r="AF2135" i="1"/>
  <c r="AC2136" i="1"/>
  <c r="AJ2135" i="1"/>
  <c r="AK2135" i="1"/>
  <c r="AM2135" i="1"/>
  <c r="BF2135" i="1"/>
  <c r="BG2135" i="1"/>
  <c r="T2136" i="1"/>
  <c r="U2136" i="1"/>
  <c r="V2136" i="1"/>
  <c r="W2136" i="1"/>
  <c r="AB2136" i="1"/>
  <c r="AF2136" i="1"/>
  <c r="K2137" i="1"/>
  <c r="AC2137" i="1"/>
  <c r="AJ2136" i="1"/>
  <c r="AK2136" i="1"/>
  <c r="AM2136" i="1"/>
  <c r="BF2136" i="1"/>
  <c r="BG2136" i="1"/>
  <c r="T2137" i="1"/>
  <c r="U2137" i="1"/>
  <c r="V2137" i="1"/>
  <c r="W2137" i="1"/>
  <c r="AB2137" i="1"/>
  <c r="AF2137" i="1"/>
  <c r="K2138" i="1"/>
  <c r="AC2138" i="1"/>
  <c r="AJ2137" i="1"/>
  <c r="AK2137" i="1"/>
  <c r="AM2137" i="1"/>
  <c r="BF2137" i="1"/>
  <c r="BG2137" i="1"/>
  <c r="T2138" i="1"/>
  <c r="U2138" i="1"/>
  <c r="V2138" i="1"/>
  <c r="W2138" i="1"/>
  <c r="AB2138" i="1"/>
  <c r="AF2138" i="1"/>
  <c r="AC2139" i="1"/>
  <c r="AJ2138" i="1"/>
  <c r="AK2138" i="1"/>
  <c r="AM2138" i="1"/>
  <c r="BF2138" i="1"/>
  <c r="BG2138" i="1"/>
  <c r="T2139" i="1"/>
  <c r="U2139" i="1"/>
  <c r="V2139" i="1"/>
  <c r="W2139" i="1"/>
  <c r="AB2139" i="1"/>
  <c r="AF2139" i="1"/>
  <c r="AC2140" i="1"/>
  <c r="AJ2139" i="1"/>
  <c r="AK2139" i="1"/>
  <c r="AM2139" i="1"/>
  <c r="BF2139" i="1"/>
  <c r="BG2139" i="1"/>
  <c r="T2140" i="1"/>
  <c r="U2140" i="1"/>
  <c r="V2140" i="1"/>
  <c r="W2140" i="1"/>
  <c r="AB2140" i="1"/>
  <c r="AF2140" i="1"/>
  <c r="K2141" i="1"/>
  <c r="AC2141" i="1"/>
  <c r="AJ2140" i="1"/>
  <c r="AK2140" i="1"/>
  <c r="AM2140" i="1"/>
  <c r="BF2140" i="1"/>
  <c r="BG2140" i="1"/>
  <c r="T2141" i="1"/>
  <c r="U2141" i="1"/>
  <c r="V2141" i="1"/>
  <c r="W2141" i="1"/>
  <c r="AB2141" i="1"/>
  <c r="AF2141" i="1"/>
  <c r="K2142" i="1"/>
  <c r="AC2142" i="1"/>
  <c r="AJ2141" i="1"/>
  <c r="AK2141" i="1"/>
  <c r="AM2141" i="1"/>
  <c r="BF2141" i="1"/>
  <c r="BG2141" i="1"/>
  <c r="T2142" i="1"/>
  <c r="U2142" i="1"/>
  <c r="V2142" i="1"/>
  <c r="W2142" i="1"/>
  <c r="AB2142" i="1"/>
  <c r="AF2142" i="1"/>
  <c r="AC2143" i="1"/>
  <c r="AJ2142" i="1"/>
  <c r="AK2142" i="1"/>
  <c r="AM2142" i="1"/>
  <c r="BF2142" i="1"/>
  <c r="BG2142" i="1"/>
  <c r="T2143" i="1"/>
  <c r="U2143" i="1"/>
  <c r="V2143" i="1"/>
  <c r="W2143" i="1"/>
  <c r="AB2143" i="1"/>
  <c r="AF2143" i="1"/>
  <c r="AC2144" i="1"/>
  <c r="AJ2143" i="1"/>
  <c r="AK2143" i="1"/>
  <c r="AM2143" i="1"/>
  <c r="BF2143" i="1"/>
  <c r="BG2143" i="1"/>
  <c r="T2144" i="1"/>
  <c r="U2144" i="1"/>
  <c r="V2144" i="1"/>
  <c r="W2144" i="1"/>
  <c r="AB2144" i="1"/>
  <c r="AF2144" i="1"/>
  <c r="K2145" i="1"/>
  <c r="AC2145" i="1"/>
  <c r="AJ2144" i="1"/>
  <c r="AK2144" i="1"/>
  <c r="AM2144" i="1"/>
  <c r="BF2144" i="1"/>
  <c r="BG2144" i="1"/>
  <c r="T2145" i="1"/>
  <c r="U2145" i="1"/>
  <c r="V2145" i="1"/>
  <c r="W2145" i="1"/>
  <c r="AB2145" i="1"/>
  <c r="AF2145" i="1"/>
  <c r="K2146" i="1"/>
  <c r="AC2146" i="1"/>
  <c r="AJ2145" i="1"/>
  <c r="AK2145" i="1"/>
  <c r="AM2145" i="1"/>
  <c r="BF2145" i="1"/>
  <c r="BG2145" i="1"/>
  <c r="T2146" i="1"/>
  <c r="U2146" i="1"/>
  <c r="V2146" i="1"/>
  <c r="W2146" i="1"/>
  <c r="AB2146" i="1"/>
  <c r="AF2146" i="1"/>
  <c r="K2147" i="1"/>
  <c r="AC2147" i="1"/>
  <c r="AJ2146" i="1"/>
  <c r="AK2146" i="1"/>
  <c r="AM2146" i="1"/>
  <c r="BF2146" i="1"/>
  <c r="BG2146" i="1"/>
  <c r="T2147" i="1"/>
  <c r="U2147" i="1"/>
  <c r="V2147" i="1"/>
  <c r="W2147" i="1"/>
  <c r="AB2147" i="1"/>
  <c r="AF2147" i="1"/>
  <c r="AC2148" i="1"/>
  <c r="AJ2147" i="1"/>
  <c r="AK2147" i="1"/>
  <c r="AM2147" i="1"/>
  <c r="BF2147" i="1"/>
  <c r="BG2147" i="1"/>
  <c r="T2148" i="1"/>
  <c r="U2148" i="1"/>
  <c r="V2148" i="1"/>
  <c r="W2148" i="1"/>
  <c r="AB2148" i="1"/>
  <c r="AF2148" i="1"/>
  <c r="AC2149" i="1"/>
  <c r="AJ2148" i="1"/>
  <c r="AK2148" i="1"/>
  <c r="AM2148" i="1"/>
  <c r="BF2148" i="1"/>
  <c r="BG2148" i="1"/>
  <c r="T2149" i="1"/>
  <c r="U2149" i="1"/>
  <c r="V2149" i="1"/>
  <c r="W2149" i="1"/>
  <c r="AB2149" i="1"/>
  <c r="AF2149" i="1"/>
  <c r="K2150" i="1"/>
  <c r="AC2150" i="1"/>
  <c r="AJ2149" i="1"/>
  <c r="AK2149" i="1"/>
  <c r="AM2149" i="1"/>
  <c r="BF2149" i="1"/>
  <c r="BG2149" i="1"/>
  <c r="T2150" i="1"/>
  <c r="U2150" i="1"/>
  <c r="V2150" i="1"/>
  <c r="W2150" i="1"/>
  <c r="AB2150" i="1"/>
  <c r="AF2150" i="1"/>
  <c r="AC2151" i="1"/>
  <c r="AJ2150" i="1"/>
  <c r="AK2150" i="1"/>
  <c r="AM2150" i="1"/>
  <c r="BF2150" i="1"/>
  <c r="BG2150" i="1"/>
  <c r="T2151" i="1"/>
  <c r="U2151" i="1"/>
  <c r="V2151" i="1"/>
  <c r="W2151" i="1"/>
  <c r="AB2151" i="1"/>
  <c r="AF2151" i="1"/>
  <c r="AC2152" i="1"/>
  <c r="AJ2151" i="1"/>
  <c r="AK2151" i="1"/>
  <c r="AM2151" i="1"/>
  <c r="BF2151" i="1"/>
  <c r="BG2151" i="1"/>
  <c r="T2152" i="1"/>
  <c r="U2152" i="1"/>
  <c r="V2152" i="1"/>
  <c r="W2152" i="1"/>
  <c r="AB2152" i="1"/>
  <c r="AF2152" i="1"/>
  <c r="K2153" i="1"/>
  <c r="AC2153" i="1"/>
  <c r="AJ2152" i="1"/>
  <c r="AK2152" i="1"/>
  <c r="AM2152" i="1"/>
  <c r="BF2152" i="1"/>
  <c r="BG2152" i="1"/>
  <c r="T2153" i="1"/>
  <c r="U2153" i="1"/>
  <c r="V2153" i="1"/>
  <c r="W2153" i="1"/>
  <c r="AB2153" i="1"/>
  <c r="AF2153" i="1"/>
  <c r="K2154" i="1"/>
  <c r="AC2154" i="1"/>
  <c r="AJ2153" i="1"/>
  <c r="AK2153" i="1"/>
  <c r="AM2153" i="1"/>
  <c r="BF2153" i="1"/>
  <c r="BG2153" i="1"/>
  <c r="T2154" i="1"/>
  <c r="U2154" i="1"/>
  <c r="V2154" i="1"/>
  <c r="W2154" i="1"/>
  <c r="AB2154" i="1"/>
  <c r="AF2154" i="1"/>
  <c r="K2155" i="1"/>
  <c r="AC2155" i="1"/>
  <c r="AJ2154" i="1"/>
  <c r="AK2154" i="1"/>
  <c r="AM2154" i="1"/>
  <c r="BF2154" i="1"/>
  <c r="BG2154" i="1"/>
  <c r="T2155" i="1"/>
  <c r="U2155" i="1"/>
  <c r="V2155" i="1"/>
  <c r="W2155" i="1"/>
  <c r="AB2155" i="1"/>
  <c r="AF2155" i="1"/>
  <c r="AC2156" i="1"/>
  <c r="AJ2155" i="1"/>
  <c r="AK2155" i="1"/>
  <c r="AM2155" i="1"/>
  <c r="BF2155" i="1"/>
  <c r="BG2155" i="1"/>
  <c r="T2156" i="1"/>
  <c r="U2156" i="1"/>
  <c r="V2156" i="1"/>
  <c r="W2156" i="1"/>
  <c r="AB2156" i="1"/>
  <c r="AF2156" i="1"/>
  <c r="AC2157" i="1"/>
  <c r="AJ2156" i="1"/>
  <c r="AK2156" i="1"/>
  <c r="AM2156" i="1"/>
  <c r="BF2156" i="1"/>
  <c r="BG2156" i="1"/>
  <c r="T2157" i="1"/>
  <c r="U2157" i="1"/>
  <c r="V2157" i="1"/>
  <c r="W2157" i="1"/>
  <c r="AB2157" i="1"/>
  <c r="AF2157" i="1"/>
  <c r="K2158" i="1"/>
  <c r="AC2158" i="1"/>
  <c r="AJ2157" i="1"/>
  <c r="AK2157" i="1"/>
  <c r="AM2157" i="1"/>
  <c r="BF2157" i="1"/>
  <c r="BG2157" i="1"/>
  <c r="T2158" i="1"/>
  <c r="U2158" i="1"/>
  <c r="V2158" i="1"/>
  <c r="W2158" i="1"/>
  <c r="AB2158" i="1"/>
  <c r="AF2158" i="1"/>
  <c r="K2159" i="1"/>
  <c r="AC2159" i="1"/>
  <c r="AJ2158" i="1"/>
  <c r="AK2158" i="1"/>
  <c r="AM2158" i="1"/>
  <c r="BF2158" i="1"/>
  <c r="BG2158" i="1"/>
  <c r="T2159" i="1"/>
  <c r="U2159" i="1"/>
  <c r="V2159" i="1"/>
  <c r="W2159" i="1"/>
  <c r="AB2159" i="1"/>
  <c r="AF2159" i="1"/>
  <c r="AC2160" i="1"/>
  <c r="AJ2159" i="1"/>
  <c r="AK2159" i="1"/>
  <c r="AM2159" i="1"/>
  <c r="BF2159" i="1"/>
  <c r="BG2159" i="1"/>
  <c r="T2160" i="1"/>
  <c r="U2160" i="1"/>
  <c r="V2160" i="1"/>
  <c r="W2160" i="1"/>
  <c r="AB2160" i="1"/>
  <c r="AF2160" i="1"/>
  <c r="AC2161" i="1"/>
  <c r="AJ2160" i="1"/>
  <c r="AK2160" i="1"/>
  <c r="AM2160" i="1"/>
  <c r="BF2160" i="1"/>
  <c r="BG2160" i="1"/>
  <c r="T2161" i="1"/>
  <c r="U2161" i="1"/>
  <c r="V2161" i="1"/>
  <c r="W2161" i="1"/>
  <c r="AB2161" i="1"/>
  <c r="AF2161" i="1"/>
  <c r="K2162" i="1"/>
  <c r="AC2162" i="1"/>
  <c r="AJ2161" i="1"/>
  <c r="AK2161" i="1"/>
  <c r="AM2161" i="1"/>
  <c r="BF2161" i="1"/>
  <c r="BG2161" i="1"/>
  <c r="T2162" i="1"/>
  <c r="U2162" i="1"/>
  <c r="V2162" i="1"/>
  <c r="W2162" i="1"/>
  <c r="AB2162" i="1"/>
  <c r="AF2162" i="1"/>
  <c r="K2163" i="1"/>
  <c r="AC2163" i="1"/>
  <c r="AJ2162" i="1"/>
  <c r="AK2162" i="1"/>
  <c r="AM2162" i="1"/>
  <c r="BF2162" i="1"/>
  <c r="BG2162" i="1"/>
  <c r="T2163" i="1"/>
  <c r="U2163" i="1"/>
  <c r="V2163" i="1"/>
  <c r="W2163" i="1"/>
  <c r="AB2163" i="1"/>
  <c r="AF2163" i="1"/>
  <c r="K2164" i="1"/>
  <c r="AC2164" i="1"/>
  <c r="AJ2163" i="1"/>
  <c r="AK2163" i="1"/>
  <c r="AM2163" i="1"/>
  <c r="BF2163" i="1"/>
  <c r="BG2163" i="1"/>
  <c r="T2164" i="1"/>
  <c r="U2164" i="1"/>
  <c r="V2164" i="1"/>
  <c r="W2164" i="1"/>
  <c r="AB2164" i="1"/>
  <c r="AF2164" i="1"/>
  <c r="AC2165" i="1"/>
  <c r="AJ2164" i="1"/>
  <c r="AK2164" i="1"/>
  <c r="AM2164" i="1"/>
  <c r="BF2164" i="1"/>
  <c r="BG2164" i="1"/>
  <c r="T2165" i="1"/>
  <c r="U2165" i="1"/>
  <c r="V2165" i="1"/>
  <c r="W2165" i="1"/>
  <c r="AB2165" i="1"/>
  <c r="AF2165" i="1"/>
  <c r="AC2166" i="1"/>
  <c r="AJ2165" i="1"/>
  <c r="AK2165" i="1"/>
  <c r="AM2165" i="1"/>
  <c r="BF2165" i="1"/>
  <c r="BG2165" i="1"/>
  <c r="T2166" i="1"/>
  <c r="U2166" i="1"/>
  <c r="V2166" i="1"/>
  <c r="W2166" i="1"/>
  <c r="AB2166" i="1"/>
  <c r="AF2166" i="1"/>
  <c r="K2167" i="1"/>
  <c r="AC2167" i="1"/>
  <c r="AJ2166" i="1"/>
  <c r="AK2166" i="1"/>
  <c r="AM2166" i="1"/>
  <c r="BF2166" i="1"/>
  <c r="BG2166" i="1"/>
  <c r="T2167" i="1"/>
  <c r="U2167" i="1"/>
  <c r="V2167" i="1"/>
  <c r="W2167" i="1"/>
  <c r="AB2167" i="1"/>
  <c r="AF2167" i="1"/>
  <c r="AC2168" i="1"/>
  <c r="AJ2167" i="1"/>
  <c r="AK2167" i="1"/>
  <c r="AM2167" i="1"/>
  <c r="BF2167" i="1"/>
  <c r="BG2167" i="1"/>
  <c r="T2168" i="1"/>
  <c r="U2168" i="1"/>
  <c r="V2168" i="1"/>
  <c r="W2168" i="1"/>
  <c r="AB2168" i="1"/>
  <c r="AF2168" i="1"/>
  <c r="AC2169" i="1"/>
  <c r="AJ2168" i="1"/>
  <c r="AK2168" i="1"/>
  <c r="AM2168" i="1"/>
  <c r="BF2168" i="1"/>
  <c r="BG2168" i="1"/>
  <c r="T2169" i="1"/>
  <c r="U2169" i="1"/>
  <c r="V2169" i="1"/>
  <c r="W2169" i="1"/>
  <c r="AB2169" i="1"/>
  <c r="AF2169" i="1"/>
  <c r="K2170" i="1"/>
  <c r="AC2170" i="1"/>
  <c r="AJ2169" i="1"/>
  <c r="AK2169" i="1"/>
  <c r="AM2169" i="1"/>
  <c r="BF2169" i="1"/>
  <c r="BG2169" i="1"/>
  <c r="T2170" i="1"/>
  <c r="U2170" i="1"/>
  <c r="V2170" i="1"/>
  <c r="W2170" i="1"/>
  <c r="AB2170" i="1"/>
  <c r="AF2170" i="1"/>
  <c r="AC2171" i="1"/>
  <c r="AJ2170" i="1"/>
  <c r="AK2170" i="1"/>
  <c r="AM2170" i="1"/>
  <c r="BF2170" i="1"/>
  <c r="BG2170" i="1"/>
  <c r="T2171" i="1"/>
  <c r="U2171" i="1"/>
  <c r="V2171" i="1"/>
  <c r="W2171" i="1"/>
  <c r="AB2171" i="1"/>
  <c r="AF2171" i="1"/>
  <c r="AC2172" i="1"/>
  <c r="AJ2171" i="1"/>
  <c r="AK2171" i="1"/>
  <c r="AM2171" i="1"/>
  <c r="BF2171" i="1"/>
  <c r="BG2171" i="1"/>
  <c r="T2172" i="1"/>
  <c r="U2172" i="1"/>
  <c r="V2172" i="1"/>
  <c r="W2172" i="1"/>
  <c r="AB2172" i="1"/>
  <c r="AF2172" i="1"/>
  <c r="K2173" i="1"/>
  <c r="AC2173" i="1"/>
  <c r="AJ2172" i="1"/>
  <c r="AK2172" i="1"/>
  <c r="AM2172" i="1"/>
  <c r="BF2172" i="1"/>
  <c r="BG2172" i="1"/>
  <c r="T2173" i="1"/>
  <c r="U2173" i="1"/>
  <c r="V2173" i="1"/>
  <c r="W2173" i="1"/>
  <c r="AB2173" i="1"/>
  <c r="AF2173" i="1"/>
  <c r="AC2174" i="1"/>
  <c r="AJ2173" i="1"/>
  <c r="AK2173" i="1"/>
  <c r="AM2173" i="1"/>
  <c r="BF2173" i="1"/>
  <c r="BG2173" i="1"/>
  <c r="T2174" i="1"/>
  <c r="U2174" i="1"/>
  <c r="V2174" i="1"/>
  <c r="W2174" i="1"/>
  <c r="AB2174" i="1"/>
  <c r="AF2174" i="1"/>
  <c r="AC2175" i="1"/>
  <c r="AJ2174" i="1"/>
  <c r="AK2174" i="1"/>
  <c r="AM2174" i="1"/>
  <c r="BF2174" i="1"/>
  <c r="BG2174" i="1"/>
  <c r="T2175" i="1"/>
  <c r="U2175" i="1"/>
  <c r="V2175" i="1"/>
  <c r="W2175" i="1"/>
  <c r="AB2175" i="1"/>
  <c r="AF2175" i="1"/>
  <c r="K2176" i="1"/>
  <c r="AC2176" i="1"/>
  <c r="AJ2175" i="1"/>
  <c r="AK2175" i="1"/>
  <c r="AM2175" i="1"/>
  <c r="BF2175" i="1"/>
  <c r="BG2175" i="1"/>
  <c r="T2176" i="1"/>
  <c r="U2176" i="1"/>
  <c r="V2176" i="1"/>
  <c r="W2176" i="1"/>
  <c r="AB2176" i="1"/>
  <c r="AF2176" i="1"/>
  <c r="K2177" i="1"/>
  <c r="AC2177" i="1"/>
  <c r="AJ2176" i="1"/>
  <c r="AK2176" i="1"/>
  <c r="AM2176" i="1"/>
  <c r="BF2176" i="1"/>
  <c r="BG2176" i="1"/>
  <c r="T2177" i="1"/>
  <c r="U2177" i="1"/>
  <c r="V2177" i="1"/>
  <c r="W2177" i="1"/>
  <c r="AB2177" i="1"/>
  <c r="AF2177" i="1"/>
  <c r="K2178" i="1"/>
  <c r="AC2178" i="1"/>
  <c r="AJ2177" i="1"/>
  <c r="AK2177" i="1"/>
  <c r="AM2177" i="1"/>
  <c r="BF2177" i="1"/>
  <c r="BG2177" i="1"/>
  <c r="T2178" i="1"/>
  <c r="U2178" i="1"/>
  <c r="V2178" i="1"/>
  <c r="W2178" i="1"/>
  <c r="AB2178" i="1"/>
  <c r="AF2178" i="1"/>
  <c r="AC2179" i="1"/>
  <c r="AJ2178" i="1"/>
  <c r="AK2178" i="1"/>
  <c r="AM2178" i="1"/>
  <c r="BF2178" i="1"/>
  <c r="BG2178" i="1"/>
  <c r="T2179" i="1"/>
  <c r="U2179" i="1"/>
  <c r="V2179" i="1"/>
  <c r="W2179" i="1"/>
  <c r="AB2179" i="1"/>
  <c r="AF2179" i="1"/>
  <c r="AC2180" i="1"/>
  <c r="AJ2179" i="1"/>
  <c r="AK2179" i="1"/>
  <c r="AM2179" i="1"/>
  <c r="BF2179" i="1"/>
  <c r="BG2179" i="1"/>
  <c r="T2180" i="1"/>
  <c r="U2180" i="1"/>
  <c r="V2180" i="1"/>
  <c r="W2180" i="1"/>
  <c r="AB2180" i="1"/>
  <c r="AF2180" i="1"/>
  <c r="K2181" i="1"/>
  <c r="AC2181" i="1"/>
  <c r="AJ2180" i="1"/>
  <c r="AK2180" i="1"/>
  <c r="AM2180" i="1"/>
  <c r="BF2180" i="1"/>
  <c r="BG2180" i="1"/>
  <c r="T2181" i="1"/>
  <c r="U2181" i="1"/>
  <c r="V2181" i="1"/>
  <c r="W2181" i="1"/>
  <c r="AB2181" i="1"/>
  <c r="AF2181" i="1"/>
  <c r="AC2182" i="1"/>
  <c r="AJ2181" i="1"/>
  <c r="AK2181" i="1"/>
  <c r="AM2181" i="1"/>
  <c r="BF2181" i="1"/>
  <c r="BG2181" i="1"/>
  <c r="T2182" i="1"/>
  <c r="U2182" i="1"/>
  <c r="V2182" i="1"/>
  <c r="W2182" i="1"/>
  <c r="AB2182" i="1"/>
  <c r="AF2182" i="1"/>
  <c r="AC2183" i="1"/>
  <c r="AJ2182" i="1"/>
  <c r="AK2182" i="1"/>
  <c r="AM2182" i="1"/>
  <c r="BF2182" i="1"/>
  <c r="BG2182" i="1"/>
  <c r="T2183" i="1"/>
  <c r="U2183" i="1"/>
  <c r="V2183" i="1"/>
  <c r="W2183" i="1"/>
  <c r="AB2183" i="1"/>
  <c r="AF2183" i="1"/>
  <c r="K2184" i="1"/>
  <c r="AC2184" i="1"/>
  <c r="AJ2183" i="1"/>
  <c r="AK2183" i="1"/>
  <c r="AM2183" i="1"/>
  <c r="BF2183" i="1"/>
  <c r="BG2183" i="1"/>
  <c r="T2184" i="1"/>
  <c r="U2184" i="1"/>
  <c r="V2184" i="1"/>
  <c r="W2184" i="1"/>
  <c r="AB2184" i="1"/>
  <c r="AF2184" i="1"/>
  <c r="AC2185" i="1"/>
  <c r="AJ2184" i="1"/>
  <c r="AK2184" i="1"/>
  <c r="AM2184" i="1"/>
  <c r="BF2184" i="1"/>
  <c r="BG2184" i="1"/>
  <c r="T2185" i="1"/>
  <c r="U2185" i="1"/>
  <c r="V2185" i="1"/>
  <c r="W2185" i="1"/>
  <c r="AB2185" i="1"/>
  <c r="AF2185" i="1"/>
  <c r="AC2186" i="1"/>
  <c r="AJ2185" i="1"/>
  <c r="AK2185" i="1"/>
  <c r="AM2185" i="1"/>
  <c r="BF2185" i="1"/>
  <c r="BG2185" i="1"/>
  <c r="T2186" i="1"/>
  <c r="U2186" i="1"/>
  <c r="V2186" i="1"/>
  <c r="W2186" i="1"/>
  <c r="AB2186" i="1"/>
  <c r="AF2186" i="1"/>
  <c r="K2187" i="1"/>
  <c r="AC2187" i="1"/>
  <c r="AJ2186" i="1"/>
  <c r="AK2186" i="1"/>
  <c r="AM2186" i="1"/>
  <c r="BF2186" i="1"/>
  <c r="BG2186" i="1"/>
  <c r="T2187" i="1"/>
  <c r="U2187" i="1"/>
  <c r="V2187" i="1"/>
  <c r="W2187" i="1"/>
  <c r="AB2187" i="1"/>
  <c r="AF2187" i="1"/>
  <c r="AC2188" i="1"/>
  <c r="AJ2187" i="1"/>
  <c r="AK2187" i="1"/>
  <c r="AM2187" i="1"/>
  <c r="BF2187" i="1"/>
  <c r="BG2187" i="1"/>
  <c r="T2188" i="1"/>
  <c r="U2188" i="1"/>
  <c r="V2188" i="1"/>
  <c r="W2188" i="1"/>
  <c r="AB2188" i="1"/>
  <c r="AF2188" i="1"/>
  <c r="AC2189" i="1"/>
  <c r="AJ2188" i="1"/>
  <c r="AK2188" i="1"/>
  <c r="AM2188" i="1"/>
  <c r="BF2188" i="1"/>
  <c r="BG2188" i="1"/>
  <c r="T2189" i="1"/>
  <c r="U2189" i="1"/>
  <c r="V2189" i="1"/>
  <c r="W2189" i="1"/>
  <c r="AB2189" i="1"/>
  <c r="AF2189" i="1"/>
  <c r="K2190" i="1"/>
  <c r="AC2190" i="1"/>
  <c r="AJ2189" i="1"/>
  <c r="AK2189" i="1"/>
  <c r="AM2189" i="1"/>
  <c r="BF2189" i="1"/>
  <c r="BG2189" i="1"/>
  <c r="T2190" i="1"/>
  <c r="U2190" i="1"/>
  <c r="V2190" i="1"/>
  <c r="W2190" i="1"/>
  <c r="AB2190" i="1"/>
  <c r="AF2190" i="1"/>
  <c r="K2191" i="1"/>
  <c r="AC2191" i="1"/>
  <c r="AJ2190" i="1"/>
  <c r="AK2190" i="1"/>
  <c r="AM2190" i="1"/>
  <c r="BF2190" i="1"/>
  <c r="BG2190" i="1"/>
  <c r="T2191" i="1"/>
  <c r="U2191" i="1"/>
  <c r="V2191" i="1"/>
  <c r="W2191" i="1"/>
  <c r="AB2191" i="1"/>
  <c r="AF2191" i="1"/>
  <c r="K2192" i="1"/>
  <c r="AC2192" i="1"/>
  <c r="AJ2191" i="1"/>
  <c r="AK2191" i="1"/>
  <c r="AM2191" i="1"/>
  <c r="BF2191" i="1"/>
  <c r="BG2191" i="1"/>
  <c r="T2192" i="1"/>
  <c r="U2192" i="1"/>
  <c r="V2192" i="1"/>
  <c r="W2192" i="1"/>
  <c r="AB2192" i="1"/>
  <c r="AF2192" i="1"/>
  <c r="K2193" i="1"/>
  <c r="AC2193" i="1"/>
  <c r="AJ2192" i="1"/>
  <c r="AK2192" i="1"/>
  <c r="AM2192" i="1"/>
  <c r="BF2192" i="1"/>
  <c r="BG2192" i="1"/>
  <c r="T2193" i="1"/>
  <c r="U2193" i="1"/>
  <c r="V2193" i="1"/>
  <c r="W2193" i="1"/>
  <c r="AB2193" i="1"/>
  <c r="AF2193" i="1"/>
  <c r="K2194" i="1"/>
  <c r="AC2194" i="1"/>
  <c r="AJ2193" i="1"/>
  <c r="AK2193" i="1"/>
  <c r="AM2193" i="1"/>
  <c r="BF2193" i="1"/>
  <c r="BG2193" i="1"/>
  <c r="T2194" i="1"/>
  <c r="U2194" i="1"/>
  <c r="V2194" i="1"/>
  <c r="W2194" i="1"/>
  <c r="AB2194" i="1"/>
  <c r="AF2194" i="1"/>
  <c r="AC2195" i="1"/>
  <c r="AJ2194" i="1"/>
  <c r="AK2194" i="1"/>
  <c r="AM2194" i="1"/>
  <c r="BF2194" i="1"/>
  <c r="BG2194" i="1"/>
  <c r="T2195" i="1"/>
  <c r="U2195" i="1"/>
  <c r="V2195" i="1"/>
  <c r="W2195" i="1"/>
  <c r="AB2195" i="1"/>
  <c r="AF2195" i="1"/>
  <c r="AC2196" i="1"/>
  <c r="AJ2195" i="1"/>
  <c r="AK2195" i="1"/>
  <c r="AM2195" i="1"/>
  <c r="BF2195" i="1"/>
  <c r="BG2195" i="1"/>
  <c r="T2196" i="1"/>
  <c r="U2196" i="1"/>
  <c r="V2196" i="1"/>
  <c r="W2196" i="1"/>
  <c r="AB2196" i="1"/>
  <c r="AF2196" i="1"/>
  <c r="K2197" i="1"/>
  <c r="AC2197" i="1"/>
  <c r="AJ2196" i="1"/>
  <c r="AK2196" i="1"/>
  <c r="AM2196" i="1"/>
  <c r="BF2196" i="1"/>
  <c r="BG2196" i="1"/>
  <c r="T2197" i="1"/>
  <c r="U2197" i="1"/>
  <c r="V2197" i="1"/>
  <c r="W2197" i="1"/>
  <c r="AB2197" i="1"/>
  <c r="AF2197" i="1"/>
  <c r="K2198" i="1"/>
  <c r="AC2198" i="1"/>
  <c r="AJ2197" i="1"/>
  <c r="AK2197" i="1"/>
  <c r="AM2197" i="1"/>
  <c r="BF2197" i="1"/>
  <c r="BG2197" i="1"/>
  <c r="T2198" i="1"/>
  <c r="U2198" i="1"/>
  <c r="V2198" i="1"/>
  <c r="W2198" i="1"/>
  <c r="AB2198" i="1"/>
  <c r="AF2198" i="1"/>
  <c r="K2199" i="1"/>
  <c r="AC2199" i="1"/>
  <c r="AJ2198" i="1"/>
  <c r="AK2198" i="1"/>
  <c r="AM2198" i="1"/>
  <c r="BF2198" i="1"/>
  <c r="BG2198" i="1"/>
  <c r="T2199" i="1"/>
  <c r="U2199" i="1"/>
  <c r="V2199" i="1"/>
  <c r="W2199" i="1"/>
  <c r="AB2199" i="1"/>
  <c r="AF2199" i="1"/>
  <c r="K2200" i="1"/>
  <c r="AC2200" i="1"/>
  <c r="AJ2199" i="1"/>
  <c r="AK2199" i="1"/>
  <c r="AM2199" i="1"/>
  <c r="BF2199" i="1"/>
  <c r="BG2199" i="1"/>
  <c r="T2200" i="1"/>
  <c r="U2200" i="1"/>
  <c r="V2200" i="1"/>
  <c r="W2200" i="1"/>
  <c r="AB2200" i="1"/>
  <c r="AF2200" i="1"/>
  <c r="K2201" i="1"/>
  <c r="AC2201" i="1"/>
  <c r="AJ2200" i="1"/>
  <c r="AK2200" i="1"/>
  <c r="AM2200" i="1"/>
  <c r="BF2200" i="1"/>
  <c r="BG2200" i="1"/>
  <c r="T2201" i="1"/>
  <c r="U2201" i="1"/>
  <c r="V2201" i="1"/>
  <c r="W2201" i="1"/>
  <c r="AB2201" i="1"/>
  <c r="AF2201" i="1"/>
  <c r="K2202" i="1"/>
  <c r="AC2202" i="1"/>
  <c r="AJ2201" i="1"/>
  <c r="AK2201" i="1"/>
  <c r="AM2201" i="1"/>
  <c r="BF2201" i="1"/>
  <c r="BG2201" i="1"/>
  <c r="T2202" i="1"/>
  <c r="U2202" i="1"/>
  <c r="V2202" i="1"/>
  <c r="W2202" i="1"/>
  <c r="AB2202" i="1"/>
  <c r="AF2202" i="1"/>
  <c r="K2203" i="1"/>
  <c r="AC2203" i="1"/>
  <c r="AJ2202" i="1"/>
  <c r="AK2202" i="1"/>
  <c r="AM2202" i="1"/>
  <c r="BF2202" i="1"/>
  <c r="BG2202" i="1"/>
  <c r="T2203" i="1"/>
  <c r="U2203" i="1"/>
  <c r="V2203" i="1"/>
  <c r="W2203" i="1"/>
  <c r="AB2203" i="1"/>
  <c r="AF2203" i="1"/>
  <c r="AC2204" i="1"/>
  <c r="AJ2203" i="1"/>
  <c r="AK2203" i="1"/>
  <c r="AM2203" i="1"/>
  <c r="BF2203" i="1"/>
  <c r="BG2203" i="1"/>
  <c r="T2204" i="1"/>
  <c r="U2204" i="1"/>
  <c r="V2204" i="1"/>
  <c r="W2204" i="1"/>
  <c r="AB2204" i="1"/>
  <c r="AF2204" i="1"/>
  <c r="AC2205" i="1"/>
  <c r="AJ2204" i="1"/>
  <c r="AK2204" i="1"/>
  <c r="AM2204" i="1"/>
  <c r="BF2204" i="1"/>
  <c r="BG2204" i="1"/>
  <c r="T2205" i="1"/>
  <c r="U2205" i="1"/>
  <c r="V2205" i="1"/>
  <c r="W2205" i="1"/>
  <c r="AB2205" i="1"/>
  <c r="AF2205" i="1"/>
  <c r="K2206" i="1"/>
  <c r="AC2206" i="1"/>
  <c r="AJ2205" i="1"/>
  <c r="AK2205" i="1"/>
  <c r="AM2205" i="1"/>
  <c r="BF2205" i="1"/>
  <c r="BG2205" i="1"/>
  <c r="T2206" i="1"/>
  <c r="U2206" i="1"/>
  <c r="V2206" i="1"/>
  <c r="W2206" i="1"/>
  <c r="AB2206" i="1"/>
  <c r="AF2206" i="1"/>
  <c r="K2207" i="1"/>
  <c r="AC2207" i="1"/>
  <c r="AJ2206" i="1"/>
  <c r="AK2206" i="1"/>
  <c r="AM2206" i="1"/>
  <c r="BF2206" i="1"/>
  <c r="BG2206" i="1"/>
  <c r="T2207" i="1"/>
  <c r="U2207" i="1"/>
  <c r="V2207" i="1"/>
  <c r="W2207" i="1"/>
  <c r="AB2207" i="1"/>
  <c r="AF2207" i="1"/>
  <c r="K2208" i="1"/>
  <c r="AC2208" i="1"/>
  <c r="AJ2207" i="1"/>
  <c r="AK2207" i="1"/>
  <c r="AM2207" i="1"/>
  <c r="BF2207" i="1"/>
  <c r="BG2207" i="1"/>
  <c r="T2208" i="1"/>
  <c r="U2208" i="1"/>
  <c r="V2208" i="1"/>
  <c r="W2208" i="1"/>
  <c r="AB2208" i="1"/>
  <c r="AF2208" i="1"/>
  <c r="K2209" i="1"/>
  <c r="AC2209" i="1"/>
  <c r="AJ2208" i="1"/>
  <c r="AK2208" i="1"/>
  <c r="AM2208" i="1"/>
  <c r="BF2208" i="1"/>
  <c r="BG2208" i="1"/>
  <c r="T2209" i="1"/>
  <c r="U2209" i="1"/>
  <c r="V2209" i="1"/>
  <c r="W2209" i="1"/>
  <c r="AB2209" i="1"/>
  <c r="AF2209" i="1"/>
  <c r="K2210" i="1"/>
  <c r="AC2210" i="1"/>
  <c r="AJ2209" i="1"/>
  <c r="AK2209" i="1"/>
  <c r="AM2209" i="1"/>
  <c r="BF2209" i="1"/>
  <c r="BG2209" i="1"/>
  <c r="T2210" i="1"/>
  <c r="U2210" i="1"/>
  <c r="V2210" i="1"/>
  <c r="W2210" i="1"/>
  <c r="AB2210" i="1"/>
  <c r="AF2210" i="1"/>
  <c r="AC2211" i="1"/>
  <c r="AJ2210" i="1"/>
  <c r="AK2210" i="1"/>
  <c r="AM2210" i="1"/>
  <c r="BF2210" i="1"/>
  <c r="BG2210" i="1"/>
  <c r="T2211" i="1"/>
  <c r="U2211" i="1"/>
  <c r="V2211" i="1"/>
  <c r="W2211" i="1"/>
  <c r="AB2211" i="1"/>
  <c r="AF2211" i="1"/>
  <c r="AC2212" i="1"/>
  <c r="AJ2211" i="1"/>
  <c r="AK2211" i="1"/>
  <c r="AM2211" i="1"/>
  <c r="BF2211" i="1"/>
  <c r="BG2211" i="1"/>
  <c r="T2212" i="1"/>
  <c r="U2212" i="1"/>
  <c r="V2212" i="1"/>
  <c r="W2212" i="1"/>
  <c r="AB2212" i="1"/>
  <c r="AF2212" i="1"/>
  <c r="K2213" i="1"/>
  <c r="AC2213" i="1"/>
  <c r="AJ2212" i="1"/>
  <c r="AK2212" i="1"/>
  <c r="AM2212" i="1"/>
  <c r="BF2212" i="1"/>
  <c r="BG2212" i="1"/>
  <c r="T2213" i="1"/>
  <c r="U2213" i="1"/>
  <c r="V2213" i="1"/>
  <c r="W2213" i="1"/>
  <c r="AB2213" i="1"/>
  <c r="AF2213" i="1"/>
  <c r="K2214" i="1"/>
  <c r="AC2214" i="1"/>
  <c r="AJ2213" i="1"/>
  <c r="AK2213" i="1"/>
  <c r="AM2213" i="1"/>
  <c r="BF2213" i="1"/>
  <c r="BG2213" i="1"/>
  <c r="T2214" i="1"/>
  <c r="U2214" i="1"/>
  <c r="V2214" i="1"/>
  <c r="W2214" i="1"/>
  <c r="AB2214" i="1"/>
  <c r="AF2214" i="1"/>
  <c r="K2215" i="1"/>
  <c r="AC2215" i="1"/>
  <c r="AJ2214" i="1"/>
  <c r="AK2214" i="1"/>
  <c r="AM2214" i="1"/>
  <c r="BF2214" i="1"/>
  <c r="BG2214" i="1"/>
  <c r="T2215" i="1"/>
  <c r="U2215" i="1"/>
  <c r="V2215" i="1"/>
  <c r="W2215" i="1"/>
  <c r="AB2215" i="1"/>
  <c r="AF2215" i="1"/>
  <c r="K2216" i="1"/>
  <c r="AC2216" i="1"/>
  <c r="AJ2215" i="1"/>
  <c r="AK2215" i="1"/>
  <c r="AM2215" i="1"/>
  <c r="BF2215" i="1"/>
  <c r="BG2215" i="1"/>
  <c r="T2216" i="1"/>
  <c r="U2216" i="1"/>
  <c r="V2216" i="1"/>
  <c r="W2216" i="1"/>
  <c r="AB2216" i="1"/>
  <c r="AF2216" i="1"/>
  <c r="AC2217" i="1"/>
  <c r="AJ2216" i="1"/>
  <c r="AK2216" i="1"/>
  <c r="AM2216" i="1"/>
  <c r="BF2216" i="1"/>
  <c r="BG2216" i="1"/>
  <c r="T2217" i="1"/>
  <c r="U2217" i="1"/>
  <c r="V2217" i="1"/>
  <c r="W2217" i="1"/>
  <c r="AB2217" i="1"/>
  <c r="AF2217" i="1"/>
  <c r="AC2218" i="1"/>
  <c r="AJ2217" i="1"/>
  <c r="AK2217" i="1"/>
  <c r="AM2217" i="1"/>
  <c r="BF2217" i="1"/>
  <c r="BG2217" i="1"/>
  <c r="T2218" i="1"/>
  <c r="U2218" i="1"/>
  <c r="V2218" i="1"/>
  <c r="W2218" i="1"/>
  <c r="AB2218" i="1"/>
  <c r="AF2218" i="1"/>
  <c r="K2219" i="1"/>
  <c r="AC2219" i="1"/>
  <c r="AJ2218" i="1"/>
  <c r="AK2218" i="1"/>
  <c r="AM2218" i="1"/>
  <c r="BF2218" i="1"/>
  <c r="BG2218" i="1"/>
  <c r="T2219" i="1"/>
  <c r="U2219" i="1"/>
  <c r="V2219" i="1"/>
  <c r="W2219" i="1"/>
  <c r="AB2219" i="1"/>
  <c r="AF2219" i="1"/>
  <c r="K2220" i="1"/>
  <c r="AC2220" i="1"/>
  <c r="AJ2219" i="1"/>
  <c r="AK2219" i="1"/>
  <c r="AM2219" i="1"/>
  <c r="BF2219" i="1"/>
  <c r="BG2219" i="1"/>
  <c r="T2220" i="1"/>
  <c r="U2220" i="1"/>
  <c r="V2220" i="1"/>
  <c r="W2220" i="1"/>
  <c r="AB2220" i="1"/>
  <c r="AF2220" i="1"/>
  <c r="AC2221" i="1"/>
  <c r="AJ2220" i="1"/>
  <c r="AK2220" i="1"/>
  <c r="AM2220" i="1"/>
  <c r="BF2220" i="1"/>
  <c r="BG2220" i="1"/>
  <c r="T2221" i="1"/>
  <c r="U2221" i="1"/>
  <c r="V2221" i="1"/>
  <c r="W2221" i="1"/>
  <c r="AB2221" i="1"/>
  <c r="AF2221" i="1"/>
  <c r="AC2222" i="1"/>
  <c r="AJ2221" i="1"/>
  <c r="AK2221" i="1"/>
  <c r="AM2221" i="1"/>
  <c r="BF2221" i="1"/>
  <c r="BG2221" i="1"/>
  <c r="T2222" i="1"/>
  <c r="U2222" i="1"/>
  <c r="V2222" i="1"/>
  <c r="W2222" i="1"/>
  <c r="AB2222" i="1"/>
  <c r="AF2222" i="1"/>
  <c r="K2223" i="1"/>
  <c r="AC2223" i="1"/>
  <c r="AJ2222" i="1"/>
  <c r="AK2222" i="1"/>
  <c r="AM2222" i="1"/>
  <c r="BF2222" i="1"/>
  <c r="BG2222" i="1"/>
  <c r="T2223" i="1"/>
  <c r="U2223" i="1"/>
  <c r="V2223" i="1"/>
  <c r="W2223" i="1"/>
  <c r="AB2223" i="1"/>
  <c r="AF2223" i="1"/>
  <c r="K2224" i="1"/>
  <c r="AC2224" i="1"/>
  <c r="AJ2223" i="1"/>
  <c r="AK2223" i="1"/>
  <c r="AM2223" i="1"/>
  <c r="BF2223" i="1"/>
  <c r="BG2223" i="1"/>
  <c r="T2224" i="1"/>
  <c r="U2224" i="1"/>
  <c r="V2224" i="1"/>
  <c r="W2224" i="1"/>
  <c r="AB2224" i="1"/>
  <c r="AF2224" i="1"/>
  <c r="AC2225" i="1"/>
  <c r="AJ2224" i="1"/>
  <c r="AK2224" i="1"/>
  <c r="AM2224" i="1"/>
  <c r="BF2224" i="1"/>
  <c r="BG2224" i="1"/>
  <c r="T2225" i="1"/>
  <c r="U2225" i="1"/>
  <c r="V2225" i="1"/>
  <c r="W2225" i="1"/>
  <c r="AB2225" i="1"/>
  <c r="AF2225" i="1"/>
  <c r="AC2226" i="1"/>
  <c r="AJ2225" i="1"/>
  <c r="AK2225" i="1"/>
  <c r="AM2225" i="1"/>
  <c r="BF2225" i="1"/>
  <c r="BG2225" i="1"/>
  <c r="T2226" i="1"/>
  <c r="U2226" i="1"/>
  <c r="V2226" i="1"/>
  <c r="W2226" i="1"/>
  <c r="AB2226" i="1"/>
  <c r="AF2226" i="1"/>
  <c r="K2227" i="1"/>
  <c r="AC2227" i="1"/>
  <c r="AJ2226" i="1"/>
  <c r="AK2226" i="1"/>
  <c r="AM2226" i="1"/>
  <c r="BF2226" i="1"/>
  <c r="BG2226" i="1"/>
  <c r="T2227" i="1"/>
  <c r="U2227" i="1"/>
  <c r="V2227" i="1"/>
  <c r="W2227" i="1"/>
  <c r="AB2227" i="1"/>
  <c r="AF2227" i="1"/>
  <c r="K2228" i="1"/>
  <c r="AC2228" i="1"/>
  <c r="AJ2227" i="1"/>
  <c r="AK2227" i="1"/>
  <c r="AM2227" i="1"/>
  <c r="BF2227" i="1"/>
  <c r="BG2227" i="1"/>
  <c r="T2228" i="1"/>
  <c r="U2228" i="1"/>
  <c r="V2228" i="1"/>
  <c r="W2228" i="1"/>
  <c r="AB2228" i="1"/>
  <c r="AF2228" i="1"/>
  <c r="K2229" i="1"/>
  <c r="AC2229" i="1"/>
  <c r="AJ2228" i="1"/>
  <c r="AK2228" i="1"/>
  <c r="AM2228" i="1"/>
  <c r="BF2228" i="1"/>
  <c r="BG2228" i="1"/>
  <c r="T2229" i="1"/>
  <c r="U2229" i="1"/>
  <c r="V2229" i="1"/>
  <c r="W2229" i="1"/>
  <c r="AB2229" i="1"/>
  <c r="AF2229" i="1"/>
  <c r="K2230" i="1"/>
  <c r="AC2230" i="1"/>
  <c r="AJ2229" i="1"/>
  <c r="AK2229" i="1"/>
  <c r="AM2229" i="1"/>
  <c r="BF2229" i="1"/>
  <c r="BG2229" i="1"/>
  <c r="T2230" i="1"/>
  <c r="U2230" i="1"/>
  <c r="V2230" i="1"/>
  <c r="W2230" i="1"/>
  <c r="AB2230" i="1"/>
  <c r="AF2230" i="1"/>
  <c r="K2231" i="1"/>
  <c r="AC2231" i="1"/>
  <c r="AJ2230" i="1"/>
  <c r="AK2230" i="1"/>
  <c r="AM2230" i="1"/>
  <c r="BF2230" i="1"/>
  <c r="BG2230" i="1"/>
  <c r="T2231" i="1"/>
  <c r="U2231" i="1"/>
  <c r="V2231" i="1"/>
  <c r="W2231" i="1"/>
  <c r="AB2231" i="1"/>
  <c r="AF2231" i="1"/>
  <c r="K2232" i="1"/>
  <c r="AC2232" i="1"/>
  <c r="AJ2231" i="1"/>
  <c r="AK2231" i="1"/>
  <c r="AM2231" i="1"/>
  <c r="BF2231" i="1"/>
  <c r="BG2231" i="1"/>
  <c r="T2232" i="1"/>
  <c r="U2232" i="1"/>
  <c r="V2232" i="1"/>
  <c r="W2232" i="1"/>
  <c r="AB2232" i="1"/>
  <c r="AF2232" i="1"/>
  <c r="K2233" i="1"/>
  <c r="AC2233" i="1"/>
  <c r="AJ2232" i="1"/>
  <c r="AK2232" i="1"/>
  <c r="AM2232" i="1"/>
  <c r="BF2232" i="1"/>
  <c r="BG2232" i="1"/>
  <c r="T2233" i="1"/>
  <c r="U2233" i="1"/>
  <c r="V2233" i="1"/>
  <c r="W2233" i="1"/>
  <c r="AB2233" i="1"/>
  <c r="AF2233" i="1"/>
  <c r="K2234" i="1"/>
  <c r="AC2234" i="1"/>
  <c r="AJ2233" i="1"/>
  <c r="AK2233" i="1"/>
  <c r="AM2233" i="1"/>
  <c r="BF2233" i="1"/>
  <c r="BG2233" i="1"/>
  <c r="T2234" i="1"/>
  <c r="U2234" i="1"/>
  <c r="V2234" i="1"/>
  <c r="W2234" i="1"/>
  <c r="AB2234" i="1"/>
  <c r="AF2234" i="1"/>
  <c r="K2235" i="1"/>
  <c r="AC2235" i="1"/>
  <c r="AJ2234" i="1"/>
  <c r="AK2234" i="1"/>
  <c r="AM2234" i="1"/>
  <c r="BF2234" i="1"/>
  <c r="BG2234" i="1"/>
  <c r="T2235" i="1"/>
  <c r="U2235" i="1"/>
  <c r="V2235" i="1"/>
  <c r="W2235" i="1"/>
  <c r="AB2235" i="1"/>
  <c r="AF2235" i="1"/>
  <c r="K2236" i="1"/>
  <c r="AC2236" i="1"/>
  <c r="AJ2235" i="1"/>
  <c r="AK2235" i="1"/>
  <c r="AM2235" i="1"/>
  <c r="BF2235" i="1"/>
  <c r="BG2235" i="1"/>
  <c r="T2236" i="1"/>
  <c r="U2236" i="1"/>
  <c r="V2236" i="1"/>
  <c r="W2236" i="1"/>
  <c r="AB2236" i="1"/>
  <c r="AF2236" i="1"/>
  <c r="AC2237" i="1"/>
  <c r="AJ2236" i="1"/>
  <c r="AK2236" i="1"/>
  <c r="AM2236" i="1"/>
  <c r="BF2236" i="1"/>
  <c r="BG2236" i="1"/>
  <c r="T2237" i="1"/>
  <c r="U2237" i="1"/>
  <c r="V2237" i="1"/>
  <c r="W2237" i="1"/>
  <c r="AB2237" i="1"/>
  <c r="AF2237" i="1"/>
  <c r="AC2238" i="1"/>
  <c r="AJ2237" i="1"/>
  <c r="AK2237" i="1"/>
  <c r="AM2237" i="1"/>
  <c r="BF2237" i="1"/>
  <c r="BG2237" i="1"/>
  <c r="T2238" i="1"/>
  <c r="U2238" i="1"/>
  <c r="V2238" i="1"/>
  <c r="W2238" i="1"/>
  <c r="AB2238" i="1"/>
  <c r="AF2238" i="1"/>
  <c r="K2239" i="1"/>
  <c r="AC2239" i="1"/>
  <c r="AJ2238" i="1"/>
  <c r="AK2238" i="1"/>
  <c r="AM2238" i="1"/>
  <c r="BF2238" i="1"/>
  <c r="BG2238" i="1"/>
  <c r="T2239" i="1"/>
  <c r="U2239" i="1"/>
  <c r="V2239" i="1"/>
  <c r="W2239" i="1"/>
  <c r="AB2239" i="1"/>
  <c r="AF2239" i="1"/>
  <c r="AC2240" i="1"/>
  <c r="AJ2239" i="1"/>
  <c r="AK2239" i="1"/>
  <c r="AM2239" i="1"/>
  <c r="BF2239" i="1"/>
  <c r="BG2239" i="1"/>
  <c r="T2240" i="1"/>
  <c r="U2240" i="1"/>
  <c r="V2240" i="1"/>
  <c r="W2240" i="1"/>
  <c r="AB2240" i="1"/>
  <c r="AF2240" i="1"/>
  <c r="AC2241" i="1"/>
  <c r="AJ2240" i="1"/>
  <c r="AK2240" i="1"/>
  <c r="AM2240" i="1"/>
  <c r="BF2240" i="1"/>
  <c r="BG2240" i="1"/>
  <c r="T2241" i="1"/>
  <c r="U2241" i="1"/>
  <c r="V2241" i="1"/>
  <c r="W2241" i="1"/>
  <c r="AB2241" i="1"/>
  <c r="AF2241" i="1"/>
  <c r="K2242" i="1"/>
  <c r="AC2242" i="1"/>
  <c r="AJ2241" i="1"/>
  <c r="AK2241" i="1"/>
  <c r="AM2241" i="1"/>
  <c r="BF2241" i="1"/>
  <c r="BG2241" i="1"/>
  <c r="T2242" i="1"/>
  <c r="U2242" i="1"/>
  <c r="V2242" i="1"/>
  <c r="W2242" i="1"/>
  <c r="AB2242" i="1"/>
  <c r="AF2242" i="1"/>
  <c r="K2243" i="1"/>
  <c r="AC2243" i="1"/>
  <c r="AJ2242" i="1"/>
  <c r="AK2242" i="1"/>
  <c r="AM2242" i="1"/>
  <c r="BF2242" i="1"/>
  <c r="BG2242" i="1"/>
  <c r="T2243" i="1"/>
  <c r="U2243" i="1"/>
  <c r="V2243" i="1"/>
  <c r="W2243" i="1"/>
  <c r="AB2243" i="1"/>
  <c r="AF2243" i="1"/>
  <c r="K2244" i="1"/>
  <c r="AC2244" i="1"/>
  <c r="AJ2243" i="1"/>
  <c r="AK2243" i="1"/>
  <c r="AM2243" i="1"/>
  <c r="BF2243" i="1"/>
  <c r="BG2243" i="1"/>
  <c r="T2244" i="1"/>
  <c r="U2244" i="1"/>
  <c r="V2244" i="1"/>
  <c r="W2244" i="1"/>
  <c r="AB2244" i="1"/>
  <c r="AF2244" i="1"/>
  <c r="AC2245" i="1"/>
  <c r="AJ2244" i="1"/>
  <c r="AK2244" i="1"/>
  <c r="AM2244" i="1"/>
  <c r="BF2244" i="1"/>
  <c r="BG2244" i="1"/>
  <c r="T2245" i="1"/>
  <c r="U2245" i="1"/>
  <c r="V2245" i="1"/>
  <c r="W2245" i="1"/>
  <c r="AB2245" i="1"/>
  <c r="AF2245" i="1"/>
  <c r="AC2246" i="1"/>
  <c r="AJ2245" i="1"/>
  <c r="AK2245" i="1"/>
  <c r="AM2245" i="1"/>
  <c r="BF2245" i="1"/>
  <c r="BG2245" i="1"/>
  <c r="T2246" i="1"/>
  <c r="U2246" i="1"/>
  <c r="V2246" i="1"/>
  <c r="W2246" i="1"/>
  <c r="AB2246" i="1"/>
  <c r="AF2246" i="1"/>
  <c r="K2247" i="1"/>
  <c r="AC2247" i="1"/>
  <c r="AJ2246" i="1"/>
  <c r="AK2246" i="1"/>
  <c r="AM2246" i="1"/>
  <c r="BF2246" i="1"/>
  <c r="BG2246" i="1"/>
  <c r="T2247" i="1"/>
  <c r="U2247" i="1"/>
  <c r="V2247" i="1"/>
  <c r="W2247" i="1"/>
  <c r="AB2247" i="1"/>
  <c r="AF2247" i="1"/>
  <c r="K2248" i="1"/>
  <c r="AC2248" i="1"/>
  <c r="AJ2247" i="1"/>
  <c r="AK2247" i="1"/>
  <c r="AM2247" i="1"/>
  <c r="BF2247" i="1"/>
  <c r="BG2247" i="1"/>
  <c r="T2248" i="1"/>
  <c r="U2248" i="1"/>
  <c r="V2248" i="1"/>
  <c r="W2248" i="1"/>
  <c r="AB2248" i="1"/>
  <c r="AF2248" i="1"/>
  <c r="AC2249" i="1"/>
  <c r="AJ2248" i="1"/>
  <c r="AK2248" i="1"/>
  <c r="AM2248" i="1"/>
  <c r="BF2248" i="1"/>
  <c r="BG2248" i="1"/>
  <c r="T2249" i="1"/>
  <c r="U2249" i="1"/>
  <c r="V2249" i="1"/>
  <c r="W2249" i="1"/>
  <c r="AB2249" i="1"/>
  <c r="AF2249" i="1"/>
  <c r="AC2250" i="1"/>
  <c r="AJ2249" i="1"/>
  <c r="AK2249" i="1"/>
  <c r="AM2249" i="1"/>
  <c r="BF2249" i="1"/>
  <c r="BG2249" i="1"/>
  <c r="T2250" i="1"/>
  <c r="U2250" i="1"/>
  <c r="V2250" i="1"/>
  <c r="W2250" i="1"/>
  <c r="AB2250" i="1"/>
  <c r="AF2250" i="1"/>
  <c r="K2251" i="1"/>
  <c r="AC2251" i="1"/>
  <c r="AJ2250" i="1"/>
  <c r="AK2250" i="1"/>
  <c r="AM2250" i="1"/>
  <c r="BF2250" i="1"/>
  <c r="BG2250" i="1"/>
  <c r="T2251" i="1"/>
  <c r="U2251" i="1"/>
  <c r="V2251" i="1"/>
  <c r="W2251" i="1"/>
  <c r="AB2251" i="1"/>
  <c r="AF2251" i="1"/>
  <c r="K2252" i="1"/>
  <c r="AC2252" i="1"/>
  <c r="AJ2251" i="1"/>
  <c r="AK2251" i="1"/>
  <c r="AM2251" i="1"/>
  <c r="BF2251" i="1"/>
  <c r="BG2251" i="1"/>
  <c r="T2252" i="1"/>
  <c r="U2252" i="1"/>
  <c r="V2252" i="1"/>
  <c r="W2252" i="1"/>
  <c r="AB2252" i="1"/>
  <c r="AF2252" i="1"/>
  <c r="K2253" i="1"/>
  <c r="AC2253" i="1"/>
  <c r="AJ2252" i="1"/>
  <c r="AK2252" i="1"/>
  <c r="AM2252" i="1"/>
  <c r="BF2252" i="1"/>
  <c r="BG2252" i="1"/>
  <c r="T2253" i="1"/>
  <c r="U2253" i="1"/>
  <c r="V2253" i="1"/>
  <c r="W2253" i="1"/>
  <c r="AB2253" i="1"/>
  <c r="AF2253" i="1"/>
  <c r="K2254" i="1"/>
  <c r="AC2254" i="1"/>
  <c r="AJ2253" i="1"/>
  <c r="AK2253" i="1"/>
  <c r="AM2253" i="1"/>
  <c r="BF2253" i="1"/>
  <c r="BG2253" i="1"/>
  <c r="T2254" i="1"/>
  <c r="U2254" i="1"/>
  <c r="V2254" i="1"/>
  <c r="W2254" i="1"/>
  <c r="AB2254" i="1"/>
  <c r="AF2254" i="1"/>
  <c r="AC2255" i="1"/>
  <c r="AJ2254" i="1"/>
  <c r="AK2254" i="1"/>
  <c r="AM2254" i="1"/>
  <c r="BF2254" i="1"/>
  <c r="BG2254" i="1"/>
  <c r="T2255" i="1"/>
  <c r="U2255" i="1"/>
  <c r="V2255" i="1"/>
  <c r="W2255" i="1"/>
  <c r="AB2255" i="1"/>
  <c r="AF2255" i="1"/>
  <c r="AC2256" i="1"/>
  <c r="AJ2255" i="1"/>
  <c r="AK2255" i="1"/>
  <c r="AM2255" i="1"/>
  <c r="BF2255" i="1"/>
  <c r="BG2255" i="1"/>
  <c r="T2256" i="1"/>
  <c r="U2256" i="1"/>
  <c r="V2256" i="1"/>
  <c r="W2256" i="1"/>
  <c r="AB2256" i="1"/>
  <c r="AF2256" i="1"/>
  <c r="K2257" i="1"/>
  <c r="AC2257" i="1"/>
  <c r="AJ2256" i="1"/>
  <c r="AK2256" i="1"/>
  <c r="AM2256" i="1"/>
  <c r="BF2256" i="1"/>
  <c r="BG2256" i="1"/>
  <c r="T2257" i="1"/>
  <c r="U2257" i="1"/>
  <c r="V2257" i="1"/>
  <c r="W2257" i="1"/>
  <c r="AB2257" i="1"/>
  <c r="AF2257" i="1"/>
  <c r="AC2258" i="1"/>
  <c r="AJ2257" i="1"/>
  <c r="AK2257" i="1"/>
  <c r="AM2257" i="1"/>
  <c r="BF2257" i="1"/>
  <c r="BG2257" i="1"/>
  <c r="T2258" i="1"/>
  <c r="U2258" i="1"/>
  <c r="V2258" i="1"/>
  <c r="W2258" i="1"/>
  <c r="AB2258" i="1"/>
  <c r="AF2258" i="1"/>
  <c r="AC2259" i="1"/>
  <c r="AJ2258" i="1"/>
  <c r="AK2258" i="1"/>
  <c r="AM2258" i="1"/>
  <c r="BF2258" i="1"/>
  <c r="BG2258" i="1"/>
  <c r="T2259" i="1"/>
  <c r="U2259" i="1"/>
  <c r="V2259" i="1"/>
  <c r="W2259" i="1"/>
  <c r="AB2259" i="1"/>
  <c r="AF2259" i="1"/>
  <c r="K2260" i="1"/>
  <c r="AC2260" i="1"/>
  <c r="AJ2259" i="1"/>
  <c r="AK2259" i="1"/>
  <c r="AM2259" i="1"/>
  <c r="BF2259" i="1"/>
  <c r="BG2259" i="1"/>
  <c r="T2260" i="1"/>
  <c r="U2260" i="1"/>
  <c r="V2260" i="1"/>
  <c r="W2260" i="1"/>
  <c r="AB2260" i="1"/>
  <c r="AF2260" i="1"/>
  <c r="K2261" i="1"/>
  <c r="AC2261" i="1"/>
  <c r="AJ2260" i="1"/>
  <c r="AK2260" i="1"/>
  <c r="AM2260" i="1"/>
  <c r="BF2260" i="1"/>
  <c r="BG2260" i="1"/>
  <c r="T2261" i="1"/>
  <c r="U2261" i="1"/>
  <c r="V2261" i="1"/>
  <c r="W2261" i="1"/>
  <c r="AB2261" i="1"/>
  <c r="AF2261" i="1"/>
  <c r="K2262" i="1"/>
  <c r="AC2262" i="1"/>
  <c r="AJ2261" i="1"/>
  <c r="AK2261" i="1"/>
  <c r="AM2261" i="1"/>
  <c r="BF2261" i="1"/>
  <c r="BG2261" i="1"/>
  <c r="T2262" i="1"/>
  <c r="U2262" i="1"/>
  <c r="V2262" i="1"/>
  <c r="W2262" i="1"/>
  <c r="AB2262" i="1"/>
  <c r="AF2262" i="1"/>
  <c r="AC2263" i="1"/>
  <c r="AJ2262" i="1"/>
  <c r="AK2262" i="1"/>
  <c r="AM2262" i="1"/>
  <c r="BF2262" i="1"/>
  <c r="BG2262" i="1"/>
  <c r="T2263" i="1"/>
  <c r="U2263" i="1"/>
  <c r="V2263" i="1"/>
  <c r="W2263" i="1"/>
  <c r="AB2263" i="1"/>
  <c r="AF2263" i="1"/>
  <c r="AC2264" i="1"/>
  <c r="AJ2263" i="1"/>
  <c r="AK2263" i="1"/>
  <c r="AM2263" i="1"/>
  <c r="BF2263" i="1"/>
  <c r="BG2263" i="1"/>
  <c r="T2264" i="1"/>
  <c r="U2264" i="1"/>
  <c r="V2264" i="1"/>
  <c r="W2264" i="1"/>
  <c r="AB2264" i="1"/>
  <c r="AF2264" i="1"/>
  <c r="K2265" i="1"/>
  <c r="AC2265" i="1"/>
  <c r="AJ2264" i="1"/>
  <c r="AK2264" i="1"/>
  <c r="AM2264" i="1"/>
  <c r="BF2264" i="1"/>
  <c r="BG2264" i="1"/>
  <c r="T2265" i="1"/>
  <c r="U2265" i="1"/>
  <c r="V2265" i="1"/>
  <c r="W2265" i="1"/>
  <c r="AB2265" i="1"/>
  <c r="AF2265" i="1"/>
  <c r="K2266" i="1"/>
  <c r="AC2266" i="1"/>
  <c r="AJ2265" i="1"/>
  <c r="AK2265" i="1"/>
  <c r="AM2265" i="1"/>
  <c r="BF2265" i="1"/>
  <c r="BG2265" i="1"/>
  <c r="T2266" i="1"/>
  <c r="U2266" i="1"/>
  <c r="V2266" i="1"/>
  <c r="W2266" i="1"/>
  <c r="AB2266" i="1"/>
  <c r="AF2266" i="1"/>
  <c r="K2267" i="1"/>
  <c r="AC2267" i="1"/>
  <c r="AJ2266" i="1"/>
  <c r="AK2266" i="1"/>
  <c r="AM2266" i="1"/>
  <c r="BF2266" i="1"/>
  <c r="BG2266" i="1"/>
  <c r="T2267" i="1"/>
  <c r="U2267" i="1"/>
  <c r="V2267" i="1"/>
  <c r="W2267" i="1"/>
  <c r="AB2267" i="1"/>
  <c r="AF2267" i="1"/>
  <c r="K2268" i="1"/>
  <c r="AC2268" i="1"/>
  <c r="AJ2267" i="1"/>
  <c r="AK2267" i="1"/>
  <c r="AM2267" i="1"/>
  <c r="BF2267" i="1"/>
  <c r="BG2267" i="1"/>
  <c r="T2268" i="1"/>
  <c r="U2268" i="1"/>
  <c r="V2268" i="1"/>
  <c r="W2268" i="1"/>
  <c r="AB2268" i="1"/>
  <c r="AF2268" i="1"/>
  <c r="K2269" i="1"/>
  <c r="AC2269" i="1"/>
  <c r="AJ2268" i="1"/>
  <c r="AK2268" i="1"/>
  <c r="AM2268" i="1"/>
  <c r="BF2268" i="1"/>
  <c r="BG2268" i="1"/>
  <c r="T2269" i="1"/>
  <c r="U2269" i="1"/>
  <c r="V2269" i="1"/>
  <c r="W2269" i="1"/>
  <c r="AB2269" i="1"/>
  <c r="AF2269" i="1"/>
  <c r="K2270" i="1"/>
  <c r="AC2270" i="1"/>
  <c r="AJ2269" i="1"/>
  <c r="AK2269" i="1"/>
  <c r="AM2269" i="1"/>
  <c r="BF2269" i="1"/>
  <c r="BG2269" i="1"/>
  <c r="T2270" i="1"/>
  <c r="U2270" i="1"/>
  <c r="V2270" i="1"/>
  <c r="W2270" i="1"/>
  <c r="AB2270" i="1"/>
  <c r="AF2270" i="1"/>
  <c r="K2271" i="1"/>
  <c r="AC2271" i="1"/>
  <c r="AJ2270" i="1"/>
  <c r="AK2270" i="1"/>
  <c r="AM2270" i="1"/>
  <c r="BF2270" i="1"/>
  <c r="BG2270" i="1"/>
  <c r="T2271" i="1"/>
  <c r="U2271" i="1"/>
  <c r="V2271" i="1"/>
  <c r="W2271" i="1"/>
  <c r="AB2271" i="1"/>
  <c r="AF2271" i="1"/>
  <c r="AC2272" i="1"/>
  <c r="AJ2271" i="1"/>
  <c r="AK2271" i="1"/>
  <c r="AM2271" i="1"/>
  <c r="BF2271" i="1"/>
  <c r="BG2271" i="1"/>
  <c r="T2272" i="1"/>
  <c r="U2272" i="1"/>
  <c r="V2272" i="1"/>
  <c r="W2272" i="1"/>
  <c r="AB2272" i="1"/>
  <c r="AF2272" i="1"/>
  <c r="AC2273" i="1"/>
  <c r="AJ2272" i="1"/>
  <c r="AK2272" i="1"/>
  <c r="AM2272" i="1"/>
  <c r="BF2272" i="1"/>
  <c r="BG2272" i="1"/>
  <c r="T2273" i="1"/>
  <c r="U2273" i="1"/>
  <c r="V2273" i="1"/>
  <c r="W2273" i="1"/>
  <c r="AB2273" i="1"/>
  <c r="AF2273" i="1"/>
  <c r="K2274" i="1"/>
  <c r="AC2274" i="1"/>
  <c r="AJ2273" i="1"/>
  <c r="AK2273" i="1"/>
  <c r="AM2273" i="1"/>
  <c r="BF2273" i="1"/>
  <c r="BG2273" i="1"/>
  <c r="T2274" i="1"/>
  <c r="U2274" i="1"/>
  <c r="V2274" i="1"/>
  <c r="W2274" i="1"/>
  <c r="AB2274" i="1"/>
  <c r="AF2274" i="1"/>
  <c r="AC2275" i="1"/>
  <c r="AJ2274" i="1"/>
  <c r="AK2274" i="1"/>
  <c r="AM2274" i="1"/>
  <c r="BF2274" i="1"/>
  <c r="BG2274" i="1"/>
  <c r="T2275" i="1"/>
  <c r="U2275" i="1"/>
  <c r="V2275" i="1"/>
  <c r="W2275" i="1"/>
  <c r="AB2275" i="1"/>
  <c r="AF2275" i="1"/>
  <c r="AC2276" i="1"/>
  <c r="AJ2275" i="1"/>
  <c r="AK2275" i="1"/>
  <c r="AM2275" i="1"/>
  <c r="BF2275" i="1"/>
  <c r="BG2275" i="1"/>
  <c r="T2276" i="1"/>
  <c r="U2276" i="1"/>
  <c r="V2276" i="1"/>
  <c r="W2276" i="1"/>
  <c r="AB2276" i="1"/>
  <c r="AF2276" i="1"/>
  <c r="K2277" i="1"/>
  <c r="AC2277" i="1"/>
  <c r="AJ2276" i="1"/>
  <c r="AK2276" i="1"/>
  <c r="AM2276" i="1"/>
  <c r="BF2276" i="1"/>
  <c r="BG2276" i="1"/>
  <c r="T2277" i="1"/>
  <c r="U2277" i="1"/>
  <c r="V2277" i="1"/>
  <c r="W2277" i="1"/>
  <c r="AB2277" i="1"/>
  <c r="AF2277" i="1"/>
  <c r="AC2278" i="1"/>
  <c r="AJ2277" i="1"/>
  <c r="AK2277" i="1"/>
  <c r="AM2277" i="1"/>
  <c r="BF2277" i="1"/>
  <c r="BG2277" i="1"/>
  <c r="T2278" i="1"/>
  <c r="U2278" i="1"/>
  <c r="V2278" i="1"/>
  <c r="W2278" i="1"/>
  <c r="AB2278" i="1"/>
  <c r="AF2278" i="1"/>
  <c r="AC2279" i="1"/>
  <c r="AJ2278" i="1"/>
  <c r="AK2278" i="1"/>
  <c r="AM2278" i="1"/>
  <c r="BF2278" i="1"/>
  <c r="BG2278" i="1"/>
  <c r="T2279" i="1"/>
  <c r="U2279" i="1"/>
  <c r="V2279" i="1"/>
  <c r="W2279" i="1"/>
  <c r="AB2279" i="1"/>
  <c r="AF2279" i="1"/>
  <c r="K2280" i="1"/>
  <c r="AC2280" i="1"/>
  <c r="AJ2279" i="1"/>
  <c r="AK2279" i="1"/>
  <c r="AM2279" i="1"/>
  <c r="BF2279" i="1"/>
  <c r="BG2279" i="1"/>
  <c r="T2280" i="1"/>
  <c r="U2280" i="1"/>
  <c r="V2280" i="1"/>
  <c r="W2280" i="1"/>
  <c r="AB2280" i="1"/>
  <c r="AF2280" i="1"/>
  <c r="AC2281" i="1"/>
  <c r="AJ2280" i="1"/>
  <c r="AK2280" i="1"/>
  <c r="AM2280" i="1"/>
  <c r="BF2280" i="1"/>
  <c r="BG2280" i="1"/>
  <c r="T2281" i="1"/>
  <c r="U2281" i="1"/>
  <c r="V2281" i="1"/>
  <c r="W2281" i="1"/>
  <c r="AB2281" i="1"/>
  <c r="AF2281" i="1"/>
  <c r="AC2282" i="1"/>
  <c r="AJ2281" i="1"/>
  <c r="AK2281" i="1"/>
  <c r="AM2281" i="1"/>
  <c r="BF2281" i="1"/>
  <c r="BG2281" i="1"/>
  <c r="T2282" i="1"/>
  <c r="U2282" i="1"/>
  <c r="V2282" i="1"/>
  <c r="W2282" i="1"/>
  <c r="AB2282" i="1"/>
  <c r="AF2282" i="1"/>
  <c r="K2283" i="1"/>
  <c r="AC2283" i="1"/>
  <c r="AJ2282" i="1"/>
  <c r="AK2282" i="1"/>
  <c r="AM2282" i="1"/>
  <c r="BF2282" i="1"/>
  <c r="BG2282" i="1"/>
  <c r="T2283" i="1"/>
  <c r="U2283" i="1"/>
  <c r="V2283" i="1"/>
  <c r="W2283" i="1"/>
  <c r="AB2283" i="1"/>
  <c r="AF2283" i="1"/>
  <c r="K2284" i="1"/>
  <c r="AC2284" i="1"/>
  <c r="AJ2283" i="1"/>
  <c r="AK2283" i="1"/>
  <c r="AM2283" i="1"/>
  <c r="BF2283" i="1"/>
  <c r="BG2283" i="1"/>
  <c r="T2284" i="1"/>
  <c r="U2284" i="1"/>
  <c r="V2284" i="1"/>
  <c r="W2284" i="1"/>
  <c r="AB2284" i="1"/>
  <c r="AF2284" i="1"/>
  <c r="AC2285" i="1"/>
  <c r="AJ2284" i="1"/>
  <c r="AK2284" i="1"/>
  <c r="AM2284" i="1"/>
  <c r="BF2284" i="1"/>
  <c r="BG2284" i="1"/>
  <c r="T2285" i="1"/>
  <c r="U2285" i="1"/>
  <c r="V2285" i="1"/>
  <c r="W2285" i="1"/>
  <c r="AB2285" i="1"/>
  <c r="AF2285" i="1"/>
  <c r="AC2286" i="1"/>
  <c r="AJ2285" i="1"/>
  <c r="AK2285" i="1"/>
  <c r="AM2285" i="1"/>
  <c r="BF2285" i="1"/>
  <c r="BG2285" i="1"/>
  <c r="T2286" i="1"/>
  <c r="U2286" i="1"/>
  <c r="V2286" i="1"/>
  <c r="W2286" i="1"/>
  <c r="AB2286" i="1"/>
  <c r="AF2286" i="1"/>
  <c r="K2287" i="1"/>
  <c r="AC2287" i="1"/>
  <c r="AJ2286" i="1"/>
  <c r="AK2286" i="1"/>
  <c r="AM2286" i="1"/>
  <c r="BF2286" i="1"/>
  <c r="BG2286" i="1"/>
  <c r="T2287" i="1"/>
  <c r="U2287" i="1"/>
  <c r="V2287" i="1"/>
  <c r="W2287" i="1"/>
  <c r="AB2287" i="1"/>
  <c r="AF2287" i="1"/>
  <c r="AC2288" i="1"/>
  <c r="AJ2287" i="1"/>
  <c r="AK2287" i="1"/>
  <c r="AM2287" i="1"/>
  <c r="BF2287" i="1"/>
  <c r="BG2287" i="1"/>
  <c r="T2288" i="1"/>
  <c r="U2288" i="1"/>
  <c r="V2288" i="1"/>
  <c r="W2288" i="1"/>
  <c r="AB2288" i="1"/>
  <c r="AF2288" i="1"/>
  <c r="AC2289" i="1"/>
  <c r="AJ2288" i="1"/>
  <c r="AK2288" i="1"/>
  <c r="AM2288" i="1"/>
  <c r="BF2288" i="1"/>
  <c r="BG2288" i="1"/>
  <c r="T2289" i="1"/>
  <c r="U2289" i="1"/>
  <c r="V2289" i="1"/>
  <c r="W2289" i="1"/>
  <c r="AB2289" i="1"/>
  <c r="AF2289" i="1"/>
  <c r="K2290" i="1"/>
  <c r="AC2290" i="1"/>
  <c r="AJ2289" i="1"/>
  <c r="AK2289" i="1"/>
  <c r="AM2289" i="1"/>
  <c r="BF2289" i="1"/>
  <c r="BG2289" i="1"/>
  <c r="T2290" i="1"/>
  <c r="U2290" i="1"/>
  <c r="V2290" i="1"/>
  <c r="W2290" i="1"/>
  <c r="AB2290" i="1"/>
  <c r="AF2290" i="1"/>
  <c r="AC2291" i="1"/>
  <c r="AJ2290" i="1"/>
  <c r="AK2290" i="1"/>
  <c r="AM2290" i="1"/>
  <c r="BF2290" i="1"/>
  <c r="BG2290" i="1"/>
  <c r="T2291" i="1"/>
  <c r="U2291" i="1"/>
  <c r="V2291" i="1"/>
  <c r="W2291" i="1"/>
  <c r="AB2291" i="1"/>
  <c r="AF2291" i="1"/>
  <c r="AC2292" i="1"/>
  <c r="AJ2291" i="1"/>
  <c r="AK2291" i="1"/>
  <c r="AM2291" i="1"/>
  <c r="BF2291" i="1"/>
  <c r="BG2291" i="1"/>
  <c r="T2292" i="1"/>
  <c r="U2292" i="1"/>
  <c r="V2292" i="1"/>
  <c r="W2292" i="1"/>
  <c r="AB2292" i="1"/>
  <c r="AF2292" i="1"/>
  <c r="K2293" i="1"/>
  <c r="AC2293" i="1"/>
  <c r="AJ2292" i="1"/>
  <c r="AK2292" i="1"/>
  <c r="AM2292" i="1"/>
  <c r="BF2292" i="1"/>
  <c r="BG2292" i="1"/>
  <c r="T2293" i="1"/>
  <c r="U2293" i="1"/>
  <c r="V2293" i="1"/>
  <c r="W2293" i="1"/>
  <c r="AB2293" i="1"/>
  <c r="AF2293" i="1"/>
  <c r="K2294" i="1"/>
  <c r="AC2294" i="1"/>
  <c r="AJ2293" i="1"/>
  <c r="AK2293" i="1"/>
  <c r="AM2293" i="1"/>
  <c r="BF2293" i="1"/>
  <c r="BG2293" i="1"/>
  <c r="T2294" i="1"/>
  <c r="U2294" i="1"/>
  <c r="V2294" i="1"/>
  <c r="W2294" i="1"/>
  <c r="AB2294" i="1"/>
  <c r="AF2294" i="1"/>
  <c r="K2295" i="1"/>
  <c r="AC2295" i="1"/>
  <c r="AJ2294" i="1"/>
  <c r="AK2294" i="1"/>
  <c r="AM2294" i="1"/>
  <c r="BF2294" i="1"/>
  <c r="BG2294" i="1"/>
  <c r="T2295" i="1"/>
  <c r="U2295" i="1"/>
  <c r="V2295" i="1"/>
  <c r="W2295" i="1"/>
  <c r="AB2295" i="1"/>
  <c r="AF2295" i="1"/>
  <c r="AC2296" i="1"/>
  <c r="AJ2295" i="1"/>
  <c r="AK2295" i="1"/>
  <c r="AM2295" i="1"/>
  <c r="BF2295" i="1"/>
  <c r="BG2295" i="1"/>
  <c r="T2296" i="1"/>
  <c r="U2296" i="1"/>
  <c r="V2296" i="1"/>
  <c r="W2296" i="1"/>
  <c r="AB2296" i="1"/>
  <c r="AF2296" i="1"/>
  <c r="AC2297" i="1"/>
  <c r="AJ2296" i="1"/>
  <c r="AK2296" i="1"/>
  <c r="AM2296" i="1"/>
  <c r="BF2296" i="1"/>
  <c r="BG2296" i="1"/>
  <c r="T2297" i="1"/>
  <c r="U2297" i="1"/>
  <c r="V2297" i="1"/>
  <c r="W2297" i="1"/>
  <c r="AB2297" i="1"/>
  <c r="AF2297" i="1"/>
  <c r="K2298" i="1"/>
  <c r="AC2298" i="1"/>
  <c r="AJ2297" i="1"/>
  <c r="AK2297" i="1"/>
  <c r="AM2297" i="1"/>
  <c r="BF2297" i="1"/>
  <c r="BG2297" i="1"/>
  <c r="T2298" i="1"/>
  <c r="U2298" i="1"/>
  <c r="V2298" i="1"/>
  <c r="W2298" i="1"/>
  <c r="AB2298" i="1"/>
  <c r="AF2298" i="1"/>
  <c r="K2299" i="1"/>
  <c r="AC2299" i="1"/>
  <c r="AJ2298" i="1"/>
  <c r="AK2298" i="1"/>
  <c r="AM2298" i="1"/>
  <c r="BF2298" i="1"/>
  <c r="BG2298" i="1"/>
  <c r="T2299" i="1"/>
  <c r="U2299" i="1"/>
  <c r="V2299" i="1"/>
  <c r="W2299" i="1"/>
  <c r="AB2299" i="1"/>
  <c r="AF2299" i="1"/>
  <c r="AC2300" i="1"/>
  <c r="AJ2299" i="1"/>
  <c r="AK2299" i="1"/>
  <c r="AM2299" i="1"/>
  <c r="BF2299" i="1"/>
  <c r="BG2299" i="1"/>
  <c r="T2300" i="1"/>
  <c r="U2300" i="1"/>
  <c r="V2300" i="1"/>
  <c r="W2300" i="1"/>
  <c r="AB2300" i="1"/>
  <c r="AF2300" i="1"/>
  <c r="AC2301" i="1"/>
  <c r="AJ2300" i="1"/>
  <c r="AK2300" i="1"/>
  <c r="AM2300" i="1"/>
  <c r="BF2300" i="1"/>
  <c r="BG2300" i="1"/>
  <c r="T2301" i="1"/>
  <c r="U2301" i="1"/>
  <c r="V2301" i="1"/>
  <c r="W2301" i="1"/>
  <c r="AB2301" i="1"/>
  <c r="AF2301" i="1"/>
  <c r="K2302" i="1"/>
  <c r="AC2302" i="1"/>
  <c r="AJ2301" i="1"/>
  <c r="AK2301" i="1"/>
  <c r="AM2301" i="1"/>
  <c r="BF2301" i="1"/>
  <c r="BG2301" i="1"/>
  <c r="T2302" i="1"/>
  <c r="U2302" i="1"/>
  <c r="V2302" i="1"/>
  <c r="W2302" i="1"/>
  <c r="AB2302" i="1"/>
  <c r="AF2302" i="1"/>
  <c r="K2303" i="1"/>
  <c r="AC2303" i="1"/>
  <c r="AJ2302" i="1"/>
  <c r="AK2302" i="1"/>
  <c r="AM2302" i="1"/>
  <c r="BF2302" i="1"/>
  <c r="BG2302" i="1"/>
  <c r="T2303" i="1"/>
  <c r="U2303" i="1"/>
  <c r="V2303" i="1"/>
  <c r="W2303" i="1"/>
  <c r="AB2303" i="1"/>
  <c r="AF2303" i="1"/>
  <c r="AC2304" i="1"/>
  <c r="AJ2303" i="1"/>
  <c r="AK2303" i="1"/>
  <c r="AM2303" i="1"/>
  <c r="BF2303" i="1"/>
  <c r="BG2303" i="1"/>
  <c r="T2304" i="1"/>
  <c r="U2304" i="1"/>
  <c r="V2304" i="1"/>
  <c r="W2304" i="1"/>
  <c r="AB2304" i="1"/>
  <c r="AF2304" i="1"/>
  <c r="AC2305" i="1"/>
  <c r="AJ2304" i="1"/>
  <c r="AK2304" i="1"/>
  <c r="AM2304" i="1"/>
  <c r="BF2304" i="1"/>
  <c r="BG2304" i="1"/>
  <c r="T2305" i="1"/>
  <c r="U2305" i="1"/>
  <c r="V2305" i="1"/>
  <c r="W2305" i="1"/>
  <c r="AB2305" i="1"/>
  <c r="AF2305" i="1"/>
  <c r="K2306" i="1"/>
  <c r="AC2306" i="1"/>
  <c r="AJ2305" i="1"/>
  <c r="AK2305" i="1"/>
  <c r="AM2305" i="1"/>
  <c r="BF2305" i="1"/>
  <c r="BG2305" i="1"/>
  <c r="T2306" i="1"/>
  <c r="U2306" i="1"/>
  <c r="V2306" i="1"/>
  <c r="W2306" i="1"/>
  <c r="AB2306" i="1"/>
  <c r="AF2306" i="1"/>
  <c r="K2307" i="1"/>
  <c r="AC2307" i="1"/>
  <c r="AJ2306" i="1"/>
  <c r="AK2306" i="1"/>
  <c r="AM2306" i="1"/>
  <c r="BF2306" i="1"/>
  <c r="BG2306" i="1"/>
  <c r="T2307" i="1"/>
  <c r="U2307" i="1"/>
  <c r="V2307" i="1"/>
  <c r="W2307" i="1"/>
  <c r="AB2307" i="1"/>
  <c r="AF2307" i="1"/>
  <c r="AC2308" i="1"/>
  <c r="AJ2307" i="1"/>
  <c r="AK2307" i="1"/>
  <c r="AM2307" i="1"/>
  <c r="BF2307" i="1"/>
  <c r="BG2307" i="1"/>
  <c r="T2308" i="1"/>
  <c r="U2308" i="1"/>
  <c r="V2308" i="1"/>
  <c r="W2308" i="1"/>
  <c r="AB2308" i="1"/>
  <c r="AF2308" i="1"/>
  <c r="AC2309" i="1"/>
  <c r="AJ2308" i="1"/>
  <c r="AK2308" i="1"/>
  <c r="AM2308" i="1"/>
  <c r="BF2308" i="1"/>
  <c r="BG2308" i="1"/>
  <c r="T2309" i="1"/>
  <c r="U2309" i="1"/>
  <c r="V2309" i="1"/>
  <c r="W2309" i="1"/>
  <c r="AB2309" i="1"/>
  <c r="AF2309" i="1"/>
  <c r="K2310" i="1"/>
  <c r="AC2310" i="1"/>
  <c r="AJ2309" i="1"/>
  <c r="AK2309" i="1"/>
  <c r="AM2309" i="1"/>
  <c r="BF2309" i="1"/>
  <c r="BG2309" i="1"/>
  <c r="T2310" i="1"/>
  <c r="U2310" i="1"/>
  <c r="V2310" i="1"/>
  <c r="W2310" i="1"/>
  <c r="AB2310" i="1"/>
  <c r="AF2310" i="1"/>
  <c r="K2311" i="1"/>
  <c r="AC2311" i="1"/>
  <c r="AJ2310" i="1"/>
  <c r="AK2310" i="1"/>
  <c r="AM2310" i="1"/>
  <c r="BF2310" i="1"/>
  <c r="BG2310" i="1"/>
  <c r="T2311" i="1"/>
  <c r="U2311" i="1"/>
  <c r="V2311" i="1"/>
  <c r="W2311" i="1"/>
  <c r="AB2311" i="1"/>
  <c r="AF2311" i="1"/>
  <c r="AC2312" i="1"/>
  <c r="AJ2311" i="1"/>
  <c r="AK2311" i="1"/>
  <c r="AM2311" i="1"/>
  <c r="BF2311" i="1"/>
  <c r="BG2311" i="1"/>
  <c r="T2312" i="1"/>
  <c r="U2312" i="1"/>
  <c r="V2312" i="1"/>
  <c r="W2312" i="1"/>
  <c r="AB2312" i="1"/>
  <c r="AF2312" i="1"/>
  <c r="AC2313" i="1"/>
  <c r="AJ2312" i="1"/>
  <c r="AK2312" i="1"/>
  <c r="AM2312" i="1"/>
  <c r="BF2312" i="1"/>
  <c r="BG2312" i="1"/>
  <c r="T2313" i="1"/>
  <c r="U2313" i="1"/>
  <c r="V2313" i="1"/>
  <c r="W2313" i="1"/>
  <c r="AB2313" i="1"/>
  <c r="AF2313" i="1"/>
  <c r="K2314" i="1"/>
  <c r="AC2314" i="1"/>
  <c r="AJ2313" i="1"/>
  <c r="AK2313" i="1"/>
  <c r="AM2313" i="1"/>
  <c r="BF2313" i="1"/>
  <c r="BG2313" i="1"/>
  <c r="T2314" i="1"/>
  <c r="U2314" i="1"/>
  <c r="V2314" i="1"/>
  <c r="W2314" i="1"/>
  <c r="AB2314" i="1"/>
  <c r="AF2314" i="1"/>
  <c r="K2315" i="1"/>
  <c r="AC2315" i="1"/>
  <c r="AJ2314" i="1"/>
  <c r="AK2314" i="1"/>
  <c r="AM2314" i="1"/>
  <c r="BF2314" i="1"/>
  <c r="BG2314" i="1"/>
  <c r="T2315" i="1"/>
  <c r="U2315" i="1"/>
  <c r="V2315" i="1"/>
  <c r="W2315" i="1"/>
  <c r="AB2315" i="1"/>
  <c r="AF2315" i="1"/>
  <c r="K2316" i="1"/>
  <c r="AC2316" i="1"/>
  <c r="AJ2315" i="1"/>
  <c r="AK2315" i="1"/>
  <c r="AM2315" i="1"/>
  <c r="BF2315" i="1"/>
  <c r="BG2315" i="1"/>
  <c r="T2316" i="1"/>
  <c r="U2316" i="1"/>
  <c r="V2316" i="1"/>
  <c r="W2316" i="1"/>
  <c r="AB2316" i="1"/>
  <c r="AF2316" i="1"/>
  <c r="K2317" i="1"/>
  <c r="AC2317" i="1"/>
  <c r="AJ2316" i="1"/>
  <c r="AK2316" i="1"/>
  <c r="AM2316" i="1"/>
  <c r="BF2316" i="1"/>
  <c r="BG2316" i="1"/>
  <c r="T2317" i="1"/>
  <c r="U2317" i="1"/>
  <c r="V2317" i="1"/>
  <c r="W2317" i="1"/>
  <c r="AB2317" i="1"/>
  <c r="AF2317" i="1"/>
  <c r="AC2318" i="1"/>
  <c r="AJ2317" i="1"/>
  <c r="AK2317" i="1"/>
  <c r="AM2317" i="1"/>
  <c r="BF2317" i="1"/>
  <c r="BG2317" i="1"/>
  <c r="T2318" i="1"/>
  <c r="U2318" i="1"/>
  <c r="V2318" i="1"/>
  <c r="W2318" i="1"/>
  <c r="AB2318" i="1"/>
  <c r="AF2318" i="1"/>
  <c r="AC2319" i="1"/>
  <c r="AJ2318" i="1"/>
  <c r="AK2318" i="1"/>
  <c r="AM2318" i="1"/>
  <c r="BF2318" i="1"/>
  <c r="BG2318" i="1"/>
  <c r="T2319" i="1"/>
  <c r="U2319" i="1"/>
  <c r="V2319" i="1"/>
  <c r="W2319" i="1"/>
  <c r="AB2319" i="1"/>
  <c r="AF2319" i="1"/>
  <c r="K2320" i="1"/>
  <c r="AC2320" i="1"/>
  <c r="AJ2319" i="1"/>
  <c r="AK2319" i="1"/>
  <c r="AM2319" i="1"/>
  <c r="BF2319" i="1"/>
  <c r="BG2319" i="1"/>
  <c r="T2320" i="1"/>
  <c r="U2320" i="1"/>
  <c r="V2320" i="1"/>
  <c r="W2320" i="1"/>
  <c r="AB2320" i="1"/>
  <c r="AF2320" i="1"/>
  <c r="K2321" i="1"/>
  <c r="AC2321" i="1"/>
  <c r="AJ2320" i="1"/>
  <c r="AK2320" i="1"/>
  <c r="AM2320" i="1"/>
  <c r="BF2320" i="1"/>
  <c r="BG2320" i="1"/>
  <c r="T2321" i="1"/>
  <c r="U2321" i="1"/>
  <c r="V2321" i="1"/>
  <c r="W2321" i="1"/>
  <c r="AB2321" i="1"/>
  <c r="AF2321" i="1"/>
  <c r="AC2322" i="1"/>
  <c r="AJ2321" i="1"/>
  <c r="AK2321" i="1"/>
  <c r="AM2321" i="1"/>
  <c r="BF2321" i="1"/>
  <c r="BG2321" i="1"/>
  <c r="T2322" i="1"/>
  <c r="U2322" i="1"/>
  <c r="V2322" i="1"/>
  <c r="W2322" i="1"/>
  <c r="AB2322" i="1"/>
  <c r="AF2322" i="1"/>
  <c r="AC2323" i="1"/>
  <c r="AJ2322" i="1"/>
  <c r="AK2322" i="1"/>
  <c r="AM2322" i="1"/>
  <c r="BF2322" i="1"/>
  <c r="BG2322" i="1"/>
  <c r="T2323" i="1"/>
  <c r="U2323" i="1"/>
  <c r="V2323" i="1"/>
  <c r="W2323" i="1"/>
  <c r="AB2323" i="1"/>
  <c r="AF2323" i="1"/>
  <c r="K2324" i="1"/>
  <c r="AC2324" i="1"/>
  <c r="AJ2323" i="1"/>
  <c r="AK2323" i="1"/>
  <c r="AM2323" i="1"/>
  <c r="BF2323" i="1"/>
  <c r="BG2323" i="1"/>
  <c r="T2324" i="1"/>
  <c r="U2324" i="1"/>
  <c r="V2324" i="1"/>
  <c r="W2324" i="1"/>
  <c r="AB2324" i="1"/>
  <c r="AF2324" i="1"/>
  <c r="K2325" i="1"/>
  <c r="AC2325" i="1"/>
  <c r="AJ2324" i="1"/>
  <c r="AK2324" i="1"/>
  <c r="AM2324" i="1"/>
  <c r="BF2324" i="1"/>
  <c r="BG2324" i="1"/>
  <c r="T2325" i="1"/>
  <c r="U2325" i="1"/>
  <c r="V2325" i="1"/>
  <c r="W2325" i="1"/>
  <c r="AB2325" i="1"/>
  <c r="AF2325" i="1"/>
  <c r="AC2326" i="1"/>
  <c r="AJ2325" i="1"/>
  <c r="AK2325" i="1"/>
  <c r="AM2325" i="1"/>
  <c r="BF2325" i="1"/>
  <c r="BG2325" i="1"/>
  <c r="T2326" i="1"/>
  <c r="U2326" i="1"/>
  <c r="V2326" i="1"/>
  <c r="W2326" i="1"/>
  <c r="AB2326" i="1"/>
  <c r="AF2326" i="1"/>
  <c r="AC2327" i="1"/>
  <c r="AJ2326" i="1"/>
  <c r="AK2326" i="1"/>
  <c r="AM2326" i="1"/>
  <c r="BF2326" i="1"/>
  <c r="BG2326" i="1"/>
  <c r="T2327" i="1"/>
  <c r="U2327" i="1"/>
  <c r="V2327" i="1"/>
  <c r="W2327" i="1"/>
  <c r="AB2327" i="1"/>
  <c r="AF2327" i="1"/>
  <c r="K2328" i="1"/>
  <c r="AC2328" i="1"/>
  <c r="AJ2327" i="1"/>
  <c r="AK2327" i="1"/>
  <c r="AM2327" i="1"/>
  <c r="BF2327" i="1"/>
  <c r="BG2327" i="1"/>
  <c r="T2328" i="1"/>
  <c r="U2328" i="1"/>
  <c r="V2328" i="1"/>
  <c r="W2328" i="1"/>
  <c r="AB2328" i="1"/>
  <c r="AF2328" i="1"/>
  <c r="AC2329" i="1"/>
  <c r="AJ2328" i="1"/>
  <c r="AK2328" i="1"/>
  <c r="AM2328" i="1"/>
  <c r="BF2328" i="1"/>
  <c r="BG2328" i="1"/>
  <c r="T2329" i="1"/>
  <c r="U2329" i="1"/>
  <c r="V2329" i="1"/>
  <c r="W2329" i="1"/>
  <c r="AB2329" i="1"/>
  <c r="AF2329" i="1"/>
  <c r="AC2330" i="1"/>
  <c r="AJ2329" i="1"/>
  <c r="AK2329" i="1"/>
  <c r="AM2329" i="1"/>
  <c r="BF2329" i="1"/>
  <c r="BG2329" i="1"/>
  <c r="T2330" i="1"/>
  <c r="U2330" i="1"/>
  <c r="V2330" i="1"/>
  <c r="W2330" i="1"/>
  <c r="AB2330" i="1"/>
  <c r="AF2330" i="1"/>
  <c r="K2331" i="1"/>
  <c r="AC2331" i="1"/>
  <c r="AJ2330" i="1"/>
  <c r="AK2330" i="1"/>
  <c r="AM2330" i="1"/>
  <c r="BF2330" i="1"/>
  <c r="BG2330" i="1"/>
  <c r="T2331" i="1"/>
  <c r="U2331" i="1"/>
  <c r="V2331" i="1"/>
  <c r="W2331" i="1"/>
  <c r="AB2331" i="1"/>
  <c r="AF2331" i="1"/>
  <c r="K2332" i="1"/>
  <c r="AC2332" i="1"/>
  <c r="AJ2331" i="1"/>
  <c r="AK2331" i="1"/>
  <c r="AM2331" i="1"/>
  <c r="BF2331" i="1"/>
  <c r="BG2331" i="1"/>
  <c r="T2332" i="1"/>
  <c r="U2332" i="1"/>
  <c r="V2332" i="1"/>
  <c r="W2332" i="1"/>
  <c r="AB2332" i="1"/>
  <c r="AF2332" i="1"/>
  <c r="K2333" i="1"/>
  <c r="AC2333" i="1"/>
  <c r="AJ2332" i="1"/>
  <c r="AK2332" i="1"/>
  <c r="AM2332" i="1"/>
  <c r="BF2332" i="1"/>
  <c r="BG2332" i="1"/>
  <c r="T2333" i="1"/>
  <c r="U2333" i="1"/>
  <c r="V2333" i="1"/>
  <c r="W2333" i="1"/>
  <c r="AB2333" i="1"/>
  <c r="AF2333" i="1"/>
  <c r="AC2334" i="1"/>
  <c r="AJ2333" i="1"/>
  <c r="AK2333" i="1"/>
  <c r="AM2333" i="1"/>
  <c r="BF2333" i="1"/>
  <c r="BG2333" i="1"/>
  <c r="T2334" i="1"/>
  <c r="U2334" i="1"/>
  <c r="V2334" i="1"/>
  <c r="W2334" i="1"/>
  <c r="AB2334" i="1"/>
  <c r="AF2334" i="1"/>
  <c r="AC2335" i="1"/>
  <c r="AJ2334" i="1"/>
  <c r="AK2334" i="1"/>
  <c r="AM2334" i="1"/>
  <c r="BF2334" i="1"/>
  <c r="BG2334" i="1"/>
  <c r="T2335" i="1"/>
  <c r="U2335" i="1"/>
  <c r="V2335" i="1"/>
  <c r="W2335" i="1"/>
  <c r="AB2335" i="1"/>
  <c r="AF2335" i="1"/>
  <c r="K2336" i="1"/>
  <c r="AC2336" i="1"/>
  <c r="AJ2335" i="1"/>
  <c r="AK2335" i="1"/>
  <c r="AM2335" i="1"/>
  <c r="BF2335" i="1"/>
  <c r="BG2335" i="1"/>
  <c r="T2336" i="1"/>
  <c r="U2336" i="1"/>
  <c r="V2336" i="1"/>
  <c r="W2336" i="1"/>
  <c r="AB2336" i="1"/>
  <c r="AF2336" i="1"/>
  <c r="AC2337" i="1"/>
  <c r="AJ2336" i="1"/>
  <c r="AK2336" i="1"/>
  <c r="AM2336" i="1"/>
  <c r="BF2336" i="1"/>
  <c r="BG2336" i="1"/>
  <c r="T2337" i="1"/>
  <c r="U2337" i="1"/>
  <c r="V2337" i="1"/>
  <c r="W2337" i="1"/>
  <c r="AB2337" i="1"/>
  <c r="AF2337" i="1"/>
  <c r="AC2338" i="1"/>
  <c r="AJ2337" i="1"/>
  <c r="AK2337" i="1"/>
  <c r="AM2337" i="1"/>
  <c r="BF2337" i="1"/>
  <c r="BG2337" i="1"/>
  <c r="T2338" i="1"/>
  <c r="U2338" i="1"/>
  <c r="V2338" i="1"/>
  <c r="W2338" i="1"/>
  <c r="AB2338" i="1"/>
  <c r="AF2338" i="1"/>
  <c r="K2339" i="1"/>
  <c r="AC2339" i="1"/>
  <c r="AJ2338" i="1"/>
  <c r="AK2338" i="1"/>
  <c r="AM2338" i="1"/>
  <c r="BF2338" i="1"/>
  <c r="BG2338" i="1"/>
  <c r="T2339" i="1"/>
  <c r="U2339" i="1"/>
  <c r="V2339" i="1"/>
  <c r="W2339" i="1"/>
  <c r="AB2339" i="1"/>
  <c r="AF2339" i="1"/>
  <c r="K2340" i="1"/>
  <c r="AC2340" i="1"/>
  <c r="AJ2339" i="1"/>
  <c r="AK2339" i="1"/>
  <c r="AM2339" i="1"/>
  <c r="BF2339" i="1"/>
  <c r="BG2339" i="1"/>
  <c r="T2340" i="1"/>
  <c r="U2340" i="1"/>
  <c r="V2340" i="1"/>
  <c r="W2340" i="1"/>
  <c r="AB2340" i="1"/>
  <c r="AF2340" i="1"/>
  <c r="AC2341" i="1"/>
  <c r="AJ2340" i="1"/>
  <c r="AK2340" i="1"/>
  <c r="AM2340" i="1"/>
  <c r="BF2340" i="1"/>
  <c r="BG2340" i="1"/>
  <c r="T2341" i="1"/>
  <c r="U2341" i="1"/>
  <c r="V2341" i="1"/>
  <c r="W2341" i="1"/>
  <c r="AB2341" i="1"/>
  <c r="AF2341" i="1"/>
  <c r="AC2342" i="1"/>
  <c r="AJ2341" i="1"/>
  <c r="AK2341" i="1"/>
  <c r="AM2341" i="1"/>
  <c r="BF2341" i="1"/>
  <c r="BG2341" i="1"/>
  <c r="T2342" i="1"/>
  <c r="U2342" i="1"/>
  <c r="V2342" i="1"/>
  <c r="W2342" i="1"/>
  <c r="AB2342" i="1"/>
  <c r="AF2342" i="1"/>
  <c r="K2343" i="1"/>
  <c r="AC2343" i="1"/>
  <c r="AJ2342" i="1"/>
  <c r="AK2342" i="1"/>
  <c r="AM2342" i="1"/>
  <c r="BF2342" i="1"/>
  <c r="BG2342" i="1"/>
  <c r="T2343" i="1"/>
  <c r="U2343" i="1"/>
  <c r="V2343" i="1"/>
  <c r="W2343" i="1"/>
  <c r="AB2343" i="1"/>
  <c r="AF2343" i="1"/>
  <c r="K2344" i="1"/>
  <c r="AC2344" i="1"/>
  <c r="AJ2343" i="1"/>
  <c r="AK2343" i="1"/>
  <c r="AM2343" i="1"/>
  <c r="BF2343" i="1"/>
  <c r="BG2343" i="1"/>
  <c r="T2344" i="1"/>
  <c r="U2344" i="1"/>
  <c r="V2344" i="1"/>
  <c r="W2344" i="1"/>
  <c r="AB2344" i="1"/>
  <c r="AF2344" i="1"/>
  <c r="K2345" i="1"/>
  <c r="AC2345" i="1"/>
  <c r="AJ2344" i="1"/>
  <c r="AK2344" i="1"/>
  <c r="AM2344" i="1"/>
  <c r="BF2344" i="1"/>
  <c r="BG2344" i="1"/>
  <c r="T2345" i="1"/>
  <c r="U2345" i="1"/>
  <c r="V2345" i="1"/>
  <c r="W2345" i="1"/>
  <c r="AB2345" i="1"/>
  <c r="AF2345" i="1"/>
  <c r="K2346" i="1"/>
  <c r="AC2346" i="1"/>
  <c r="AJ2345" i="1"/>
  <c r="AK2345" i="1"/>
  <c r="AM2345" i="1"/>
  <c r="BF2345" i="1"/>
  <c r="BG2345" i="1"/>
  <c r="T2346" i="1"/>
  <c r="U2346" i="1"/>
  <c r="V2346" i="1"/>
  <c r="W2346" i="1"/>
  <c r="AB2346" i="1"/>
  <c r="AF2346" i="1"/>
  <c r="AC2347" i="1"/>
  <c r="AJ2346" i="1"/>
  <c r="AK2346" i="1"/>
  <c r="AM2346" i="1"/>
  <c r="BF2346" i="1"/>
  <c r="BG2346" i="1"/>
  <c r="T2347" i="1"/>
  <c r="U2347" i="1"/>
  <c r="V2347" i="1"/>
  <c r="W2347" i="1"/>
  <c r="AB2347" i="1"/>
  <c r="AF2347" i="1"/>
  <c r="AC2348" i="1"/>
  <c r="AJ2347" i="1"/>
  <c r="AK2347" i="1"/>
  <c r="AM2347" i="1"/>
  <c r="BF2347" i="1"/>
  <c r="BG2347" i="1"/>
  <c r="T2348" i="1"/>
  <c r="U2348" i="1"/>
  <c r="V2348" i="1"/>
  <c r="W2348" i="1"/>
  <c r="AB2348" i="1"/>
  <c r="AF2348" i="1"/>
  <c r="AC2349" i="1"/>
  <c r="AJ2348" i="1"/>
  <c r="AK2348" i="1"/>
  <c r="AM2348" i="1"/>
  <c r="BF2348" i="1"/>
  <c r="BG2348" i="1"/>
  <c r="T2349" i="1"/>
  <c r="U2349" i="1"/>
  <c r="V2349" i="1"/>
  <c r="W2349" i="1"/>
  <c r="AB2349" i="1"/>
  <c r="AF2349" i="1"/>
  <c r="K2350" i="1"/>
  <c r="AC2350" i="1"/>
  <c r="AJ2349" i="1"/>
  <c r="AK2349" i="1"/>
  <c r="AM2349" i="1"/>
  <c r="BF2349" i="1"/>
  <c r="BG2349" i="1"/>
  <c r="T2350" i="1"/>
  <c r="U2350" i="1"/>
  <c r="V2350" i="1"/>
  <c r="W2350" i="1"/>
  <c r="AB2350" i="1"/>
  <c r="AF2350" i="1"/>
  <c r="AC2351" i="1"/>
  <c r="AJ2350" i="1"/>
  <c r="AK2350" i="1"/>
  <c r="AM2350" i="1"/>
  <c r="BF2350" i="1"/>
  <c r="BG2350" i="1"/>
  <c r="T2351" i="1"/>
  <c r="U2351" i="1"/>
  <c r="V2351" i="1"/>
  <c r="W2351" i="1"/>
  <c r="AB2351" i="1"/>
  <c r="AF2351" i="1"/>
  <c r="AC2352" i="1"/>
  <c r="AJ2351" i="1"/>
  <c r="AK2351" i="1"/>
  <c r="AM2351" i="1"/>
  <c r="BF2351" i="1"/>
  <c r="BG2351" i="1"/>
  <c r="T2352" i="1"/>
  <c r="U2352" i="1"/>
  <c r="V2352" i="1"/>
  <c r="W2352" i="1"/>
  <c r="AB2352" i="1"/>
  <c r="AF2352" i="1"/>
  <c r="K2353" i="1"/>
  <c r="AC2353" i="1"/>
  <c r="AJ2352" i="1"/>
  <c r="AK2352" i="1"/>
  <c r="AM2352" i="1"/>
  <c r="BF2352" i="1"/>
  <c r="BG2352" i="1"/>
  <c r="T2353" i="1"/>
  <c r="U2353" i="1"/>
  <c r="V2353" i="1"/>
  <c r="W2353" i="1"/>
  <c r="AB2353" i="1"/>
  <c r="AF2353" i="1"/>
  <c r="AC2354" i="1"/>
  <c r="AJ2353" i="1"/>
  <c r="AK2353" i="1"/>
  <c r="AM2353" i="1"/>
  <c r="BF2353" i="1"/>
  <c r="BG2353" i="1"/>
  <c r="T2354" i="1"/>
  <c r="U2354" i="1"/>
  <c r="V2354" i="1"/>
  <c r="W2354" i="1"/>
  <c r="AB2354" i="1"/>
  <c r="AF2354" i="1"/>
  <c r="AC2355" i="1"/>
  <c r="AJ2354" i="1"/>
  <c r="AK2354" i="1"/>
  <c r="AM2354" i="1"/>
  <c r="BF2354" i="1"/>
  <c r="BG2354" i="1"/>
  <c r="T2355" i="1"/>
  <c r="U2355" i="1"/>
  <c r="V2355" i="1"/>
  <c r="W2355" i="1"/>
  <c r="AB2355" i="1"/>
  <c r="AF2355" i="1"/>
  <c r="K2356" i="1"/>
  <c r="AC2356" i="1"/>
  <c r="AJ2355" i="1"/>
  <c r="AK2355" i="1"/>
  <c r="AM2355" i="1"/>
  <c r="BF2355" i="1"/>
  <c r="BG2355" i="1"/>
  <c r="T2356" i="1"/>
  <c r="U2356" i="1"/>
  <c r="V2356" i="1"/>
  <c r="W2356" i="1"/>
  <c r="AB2356" i="1"/>
  <c r="AF2356" i="1"/>
  <c r="K2357" i="1"/>
  <c r="AC2357" i="1"/>
  <c r="AJ2356" i="1"/>
  <c r="AK2356" i="1"/>
  <c r="AM2356" i="1"/>
  <c r="BF2356" i="1"/>
  <c r="BG2356" i="1"/>
  <c r="T2357" i="1"/>
  <c r="U2357" i="1"/>
  <c r="V2357" i="1"/>
  <c r="W2357" i="1"/>
  <c r="AB2357" i="1"/>
  <c r="AF2357" i="1"/>
  <c r="AC2358" i="1"/>
  <c r="AJ2357" i="1"/>
  <c r="AK2357" i="1"/>
  <c r="AM2357" i="1"/>
  <c r="BF2357" i="1"/>
  <c r="BG2357" i="1"/>
  <c r="T2358" i="1"/>
  <c r="U2358" i="1"/>
  <c r="V2358" i="1"/>
  <c r="W2358" i="1"/>
  <c r="AB2358" i="1"/>
  <c r="AF2358" i="1"/>
  <c r="AC2359" i="1"/>
  <c r="AJ2358" i="1"/>
  <c r="AK2358" i="1"/>
  <c r="AM2358" i="1"/>
  <c r="BF2358" i="1"/>
  <c r="BG2358" i="1"/>
  <c r="T2359" i="1"/>
  <c r="U2359" i="1"/>
  <c r="V2359" i="1"/>
  <c r="W2359" i="1"/>
  <c r="AB2359" i="1"/>
  <c r="AF2359" i="1"/>
  <c r="K2360" i="1"/>
  <c r="AC2360" i="1"/>
  <c r="AJ2359" i="1"/>
  <c r="AK2359" i="1"/>
  <c r="AM2359" i="1"/>
  <c r="BF2359" i="1"/>
  <c r="BG2359" i="1"/>
  <c r="T2360" i="1"/>
  <c r="U2360" i="1"/>
  <c r="V2360" i="1"/>
  <c r="W2360" i="1"/>
  <c r="AB2360" i="1"/>
  <c r="AF2360" i="1"/>
  <c r="K2361" i="1"/>
  <c r="AC2361" i="1"/>
  <c r="AJ2360" i="1"/>
  <c r="AK2360" i="1"/>
  <c r="AM2360" i="1"/>
  <c r="BF2360" i="1"/>
  <c r="BG2360" i="1"/>
  <c r="T2361" i="1"/>
  <c r="U2361" i="1"/>
  <c r="V2361" i="1"/>
  <c r="W2361" i="1"/>
  <c r="AB2361" i="1"/>
  <c r="AF2361" i="1"/>
  <c r="AC2362" i="1"/>
  <c r="AJ2361" i="1"/>
  <c r="AK2361" i="1"/>
  <c r="AM2361" i="1"/>
  <c r="BF2361" i="1"/>
  <c r="BG2361" i="1"/>
  <c r="T2362" i="1"/>
  <c r="U2362" i="1"/>
  <c r="V2362" i="1"/>
  <c r="W2362" i="1"/>
  <c r="AB2362" i="1"/>
  <c r="AF2362" i="1"/>
  <c r="AC2363" i="1"/>
  <c r="AJ2362" i="1"/>
  <c r="AK2362" i="1"/>
  <c r="AM2362" i="1"/>
  <c r="BF2362" i="1"/>
  <c r="BG2362" i="1"/>
  <c r="T2363" i="1"/>
  <c r="U2363" i="1"/>
  <c r="V2363" i="1"/>
  <c r="W2363" i="1"/>
  <c r="AB2363" i="1"/>
  <c r="AF2363" i="1"/>
  <c r="K2364" i="1"/>
  <c r="AC2364" i="1"/>
  <c r="AJ2363" i="1"/>
  <c r="AK2363" i="1"/>
  <c r="AM2363" i="1"/>
  <c r="BF2363" i="1"/>
  <c r="BG2363" i="1"/>
  <c r="T2364" i="1"/>
  <c r="U2364" i="1"/>
  <c r="V2364" i="1"/>
  <c r="W2364" i="1"/>
  <c r="AB2364" i="1"/>
  <c r="AF2364" i="1"/>
  <c r="AC2365" i="1"/>
  <c r="AJ2364" i="1"/>
  <c r="AK2364" i="1"/>
  <c r="AM2364" i="1"/>
  <c r="BF2364" i="1"/>
  <c r="BG2364" i="1"/>
  <c r="T2365" i="1"/>
  <c r="U2365" i="1"/>
  <c r="V2365" i="1"/>
  <c r="W2365" i="1"/>
  <c r="AB2365" i="1"/>
  <c r="AF2365" i="1"/>
  <c r="AC2366" i="1"/>
  <c r="AJ2365" i="1"/>
  <c r="AK2365" i="1"/>
  <c r="AM2365" i="1"/>
  <c r="BF2365" i="1"/>
  <c r="BG2365" i="1"/>
  <c r="T2366" i="1"/>
  <c r="U2366" i="1"/>
  <c r="V2366" i="1"/>
  <c r="W2366" i="1"/>
  <c r="AB2366" i="1"/>
  <c r="AF2366" i="1"/>
  <c r="K2367" i="1"/>
  <c r="AC2367" i="1"/>
  <c r="AJ2366" i="1"/>
  <c r="AK2366" i="1"/>
  <c r="AM2366" i="1"/>
  <c r="BF2366" i="1"/>
  <c r="BG2366" i="1"/>
  <c r="T2367" i="1"/>
  <c r="U2367" i="1"/>
  <c r="V2367" i="1"/>
  <c r="W2367" i="1"/>
  <c r="AB2367" i="1"/>
  <c r="AF2367" i="1"/>
  <c r="AC2368" i="1"/>
  <c r="AJ2367" i="1"/>
  <c r="AK2367" i="1"/>
  <c r="AM2367" i="1"/>
  <c r="BF2367" i="1"/>
  <c r="BG2367" i="1"/>
  <c r="T2368" i="1"/>
  <c r="U2368" i="1"/>
  <c r="V2368" i="1"/>
  <c r="W2368" i="1"/>
  <c r="AB2368" i="1"/>
  <c r="AF2368" i="1"/>
  <c r="AC2369" i="1"/>
  <c r="AJ2368" i="1"/>
  <c r="AK2368" i="1"/>
  <c r="AM2368" i="1"/>
  <c r="BF2368" i="1"/>
  <c r="BG2368" i="1"/>
  <c r="T2369" i="1"/>
  <c r="U2369" i="1"/>
  <c r="V2369" i="1"/>
  <c r="W2369" i="1"/>
  <c r="AB2369" i="1"/>
  <c r="AF2369" i="1"/>
  <c r="K2370" i="1"/>
  <c r="AC2370" i="1"/>
  <c r="AJ2369" i="1"/>
  <c r="AK2369" i="1"/>
  <c r="AM2369" i="1"/>
  <c r="BF2369" i="1"/>
  <c r="BG2369" i="1"/>
  <c r="T2370" i="1"/>
  <c r="U2370" i="1"/>
  <c r="V2370" i="1"/>
  <c r="W2370" i="1"/>
  <c r="AB2370" i="1"/>
  <c r="AF2370" i="1"/>
  <c r="K2371" i="1"/>
  <c r="AC2371" i="1"/>
  <c r="AJ2370" i="1"/>
  <c r="AK2370" i="1"/>
  <c r="AM2370" i="1"/>
  <c r="BF2370" i="1"/>
  <c r="BG2370" i="1"/>
  <c r="T2371" i="1"/>
  <c r="U2371" i="1"/>
  <c r="V2371" i="1"/>
  <c r="W2371" i="1"/>
  <c r="AB2371" i="1"/>
  <c r="AF2371" i="1"/>
  <c r="AC2372" i="1"/>
  <c r="AJ2371" i="1"/>
  <c r="AK2371" i="1"/>
  <c r="AM2371" i="1"/>
  <c r="BF2371" i="1"/>
  <c r="BG2371" i="1"/>
  <c r="T2372" i="1"/>
  <c r="U2372" i="1"/>
  <c r="V2372" i="1"/>
  <c r="W2372" i="1"/>
  <c r="AB2372" i="1"/>
  <c r="AF2372" i="1"/>
  <c r="AC2373" i="1"/>
  <c r="AJ2372" i="1"/>
  <c r="AK2372" i="1"/>
  <c r="AM2372" i="1"/>
  <c r="BF2372" i="1"/>
  <c r="BG2372" i="1"/>
  <c r="T2373" i="1"/>
  <c r="U2373" i="1"/>
  <c r="V2373" i="1"/>
  <c r="W2373" i="1"/>
  <c r="AB2373" i="1"/>
  <c r="AF2373" i="1"/>
  <c r="K2374" i="1"/>
  <c r="AC2374" i="1"/>
  <c r="AJ2373" i="1"/>
  <c r="AK2373" i="1"/>
  <c r="AM2373" i="1"/>
  <c r="BF2373" i="1"/>
  <c r="BG2373" i="1"/>
  <c r="T2374" i="1"/>
  <c r="U2374" i="1"/>
  <c r="V2374" i="1"/>
  <c r="W2374" i="1"/>
  <c r="AB2374" i="1"/>
  <c r="AF2374" i="1"/>
  <c r="AC2375" i="1"/>
  <c r="AJ2374" i="1"/>
  <c r="AK2374" i="1"/>
  <c r="AM2374" i="1"/>
  <c r="BF2374" i="1"/>
  <c r="BG2374" i="1"/>
  <c r="T2375" i="1"/>
  <c r="U2375" i="1"/>
  <c r="V2375" i="1"/>
  <c r="W2375" i="1"/>
  <c r="AB2375" i="1"/>
  <c r="AF2375" i="1"/>
  <c r="AC2376" i="1"/>
  <c r="AJ2375" i="1"/>
  <c r="AK2375" i="1"/>
  <c r="AM2375" i="1"/>
  <c r="BF2375" i="1"/>
  <c r="BG2375" i="1"/>
  <c r="T2376" i="1"/>
  <c r="U2376" i="1"/>
  <c r="V2376" i="1"/>
  <c r="W2376" i="1"/>
  <c r="AB2376" i="1"/>
  <c r="AF2376" i="1"/>
  <c r="K2377" i="1"/>
  <c r="AC2377" i="1"/>
  <c r="AJ2376" i="1"/>
  <c r="AK2376" i="1"/>
  <c r="AM2376" i="1"/>
  <c r="BF2376" i="1"/>
  <c r="BG2376" i="1"/>
  <c r="T2377" i="1"/>
  <c r="U2377" i="1"/>
  <c r="V2377" i="1"/>
  <c r="W2377" i="1"/>
  <c r="AB2377" i="1"/>
  <c r="AF2377" i="1"/>
  <c r="K2378" i="1"/>
  <c r="AC2378" i="1"/>
  <c r="AJ2377" i="1"/>
  <c r="AK2377" i="1"/>
  <c r="AM2377" i="1"/>
  <c r="BF2377" i="1"/>
  <c r="BG2377" i="1"/>
  <c r="T2378" i="1"/>
  <c r="U2378" i="1"/>
  <c r="V2378" i="1"/>
  <c r="W2378" i="1"/>
  <c r="AB2378" i="1"/>
  <c r="AF2378" i="1"/>
  <c r="K2379" i="1"/>
  <c r="AC2379" i="1"/>
  <c r="AJ2378" i="1"/>
  <c r="AK2378" i="1"/>
  <c r="AM2378" i="1"/>
  <c r="BF2378" i="1"/>
  <c r="BG2378" i="1"/>
  <c r="T2379" i="1"/>
  <c r="U2379" i="1"/>
  <c r="V2379" i="1"/>
  <c r="W2379" i="1"/>
  <c r="AB2379" i="1"/>
  <c r="AF2379" i="1"/>
  <c r="K2380" i="1"/>
  <c r="AC2380" i="1"/>
  <c r="AJ2379" i="1"/>
  <c r="AK2379" i="1"/>
  <c r="AM2379" i="1"/>
  <c r="BF2379" i="1"/>
  <c r="BG2379" i="1"/>
  <c r="T2380" i="1"/>
  <c r="U2380" i="1"/>
  <c r="V2380" i="1"/>
  <c r="W2380" i="1"/>
  <c r="AB2380" i="1"/>
  <c r="AF2380" i="1"/>
  <c r="K2381" i="1"/>
  <c r="AC2381" i="1"/>
  <c r="AJ2380" i="1"/>
  <c r="AK2380" i="1"/>
  <c r="AM2380" i="1"/>
  <c r="BF2380" i="1"/>
  <c r="BG2380" i="1"/>
  <c r="T2381" i="1"/>
  <c r="U2381" i="1"/>
  <c r="V2381" i="1"/>
  <c r="W2381" i="1"/>
  <c r="AB2381" i="1"/>
  <c r="AF2381" i="1"/>
  <c r="AC2382" i="1"/>
  <c r="AJ2381" i="1"/>
  <c r="AK2381" i="1"/>
  <c r="AM2381" i="1"/>
  <c r="BF2381" i="1"/>
  <c r="BG2381" i="1"/>
  <c r="T2382" i="1"/>
  <c r="U2382" i="1"/>
  <c r="V2382" i="1"/>
  <c r="W2382" i="1"/>
  <c r="AB2382" i="1"/>
  <c r="AF2382" i="1"/>
  <c r="AC2383" i="1"/>
  <c r="AJ2382" i="1"/>
  <c r="AK2382" i="1"/>
  <c r="AM2382" i="1"/>
  <c r="BF2382" i="1"/>
  <c r="BG2382" i="1"/>
  <c r="T2383" i="1"/>
  <c r="U2383" i="1"/>
  <c r="V2383" i="1"/>
  <c r="W2383" i="1"/>
  <c r="AB2383" i="1"/>
  <c r="AF2383" i="1"/>
  <c r="K2384" i="1"/>
  <c r="AC2384" i="1"/>
  <c r="AJ2383" i="1"/>
  <c r="AK2383" i="1"/>
  <c r="AM2383" i="1"/>
  <c r="BF2383" i="1"/>
  <c r="BG2383" i="1"/>
  <c r="T2384" i="1"/>
  <c r="U2384" i="1"/>
  <c r="V2384" i="1"/>
  <c r="W2384" i="1"/>
  <c r="AB2384" i="1"/>
  <c r="AF2384" i="1"/>
  <c r="K2385" i="1"/>
  <c r="AC2385" i="1"/>
  <c r="AJ2384" i="1"/>
  <c r="AK2384" i="1"/>
  <c r="AM2384" i="1"/>
  <c r="BF2384" i="1"/>
  <c r="BG2384" i="1"/>
  <c r="T2385" i="1"/>
  <c r="U2385" i="1"/>
  <c r="V2385" i="1"/>
  <c r="W2385" i="1"/>
  <c r="AB2385" i="1"/>
  <c r="AF2385" i="1"/>
  <c r="AC2386" i="1"/>
  <c r="AJ2385" i="1"/>
  <c r="AK2385" i="1"/>
  <c r="AM2385" i="1"/>
  <c r="BF2385" i="1"/>
  <c r="BG2385" i="1"/>
  <c r="T2386" i="1"/>
  <c r="U2386" i="1"/>
  <c r="V2386" i="1"/>
  <c r="W2386" i="1"/>
  <c r="AB2386" i="1"/>
  <c r="AF2386" i="1"/>
  <c r="AC2387" i="1"/>
  <c r="AJ2386" i="1"/>
  <c r="AK2386" i="1"/>
  <c r="AM2386" i="1"/>
  <c r="BF2386" i="1"/>
  <c r="BG2386" i="1"/>
  <c r="T2387" i="1"/>
  <c r="U2387" i="1"/>
  <c r="V2387" i="1"/>
  <c r="W2387" i="1"/>
  <c r="AB2387" i="1"/>
  <c r="AF2387" i="1"/>
  <c r="K2388" i="1"/>
  <c r="AC2388" i="1"/>
  <c r="AJ2387" i="1"/>
  <c r="AK2387" i="1"/>
  <c r="AM2387" i="1"/>
  <c r="BF2387" i="1"/>
  <c r="BG2387" i="1"/>
  <c r="T2388" i="1"/>
  <c r="U2388" i="1"/>
  <c r="V2388" i="1"/>
  <c r="W2388" i="1"/>
  <c r="AB2388" i="1"/>
  <c r="AF2388" i="1"/>
  <c r="AC2389" i="1"/>
  <c r="AJ2388" i="1"/>
  <c r="AK2388" i="1"/>
  <c r="AM2388" i="1"/>
  <c r="BF2388" i="1"/>
  <c r="BG2388" i="1"/>
  <c r="T2389" i="1"/>
  <c r="U2389" i="1"/>
  <c r="V2389" i="1"/>
  <c r="W2389" i="1"/>
  <c r="AB2389" i="1"/>
  <c r="AF2389" i="1"/>
  <c r="AC2390" i="1"/>
  <c r="AJ2389" i="1"/>
  <c r="AK2389" i="1"/>
  <c r="AM2389" i="1"/>
  <c r="BF2389" i="1"/>
  <c r="BG2389" i="1"/>
  <c r="T2390" i="1"/>
  <c r="U2390" i="1"/>
  <c r="V2390" i="1"/>
  <c r="W2390" i="1"/>
  <c r="AB2390" i="1"/>
  <c r="AF2390" i="1"/>
  <c r="K2391" i="1"/>
  <c r="AC2391" i="1"/>
  <c r="AJ2390" i="1"/>
  <c r="AK2390" i="1"/>
  <c r="AM2390" i="1"/>
  <c r="BF2390" i="1"/>
  <c r="BG2390" i="1"/>
  <c r="T2391" i="1"/>
  <c r="U2391" i="1"/>
  <c r="V2391" i="1"/>
  <c r="W2391" i="1"/>
  <c r="AB2391" i="1"/>
  <c r="AF2391" i="1"/>
  <c r="AC2392" i="1"/>
  <c r="AJ2391" i="1"/>
  <c r="AK2391" i="1"/>
  <c r="AM2391" i="1"/>
  <c r="BF2391" i="1"/>
  <c r="BG2391" i="1"/>
  <c r="T2392" i="1"/>
  <c r="U2392" i="1"/>
  <c r="V2392" i="1"/>
  <c r="W2392" i="1"/>
  <c r="AB2392" i="1"/>
  <c r="AF2392" i="1"/>
  <c r="AC2393" i="1"/>
  <c r="AJ2392" i="1"/>
  <c r="AK2392" i="1"/>
  <c r="AM2392" i="1"/>
  <c r="BF2392" i="1"/>
  <c r="BG2392" i="1"/>
  <c r="T2393" i="1"/>
  <c r="U2393" i="1"/>
  <c r="V2393" i="1"/>
  <c r="W2393" i="1"/>
  <c r="AB2393" i="1"/>
  <c r="AF2393" i="1"/>
  <c r="K2394" i="1"/>
  <c r="AC2394" i="1"/>
  <c r="AJ2393" i="1"/>
  <c r="AK2393" i="1"/>
  <c r="AM2393" i="1"/>
  <c r="BF2393" i="1"/>
  <c r="BG2393" i="1"/>
  <c r="T2394" i="1"/>
  <c r="U2394" i="1"/>
  <c r="V2394" i="1"/>
  <c r="W2394" i="1"/>
  <c r="AB2394" i="1"/>
  <c r="AF2394" i="1"/>
  <c r="AC2395" i="1"/>
  <c r="AJ2394" i="1"/>
  <c r="AK2394" i="1"/>
  <c r="AM2394" i="1"/>
  <c r="BF2394" i="1"/>
  <c r="BG2394" i="1"/>
  <c r="T2395" i="1"/>
  <c r="U2395" i="1"/>
  <c r="V2395" i="1"/>
  <c r="W2395" i="1"/>
  <c r="AB2395" i="1"/>
  <c r="AF2395" i="1"/>
  <c r="AC2396" i="1"/>
  <c r="AJ2395" i="1"/>
  <c r="AK2395" i="1"/>
  <c r="AM2395" i="1"/>
  <c r="BF2395" i="1"/>
  <c r="BG2395" i="1"/>
  <c r="T2396" i="1"/>
  <c r="U2396" i="1"/>
  <c r="V2396" i="1"/>
  <c r="W2396" i="1"/>
  <c r="AB2396" i="1"/>
  <c r="AF2396" i="1"/>
  <c r="K2397" i="1"/>
  <c r="AC2397" i="1"/>
  <c r="AJ2396" i="1"/>
  <c r="AK2396" i="1"/>
  <c r="AM2396" i="1"/>
  <c r="BF2396" i="1"/>
  <c r="BG2396" i="1"/>
  <c r="T2397" i="1"/>
  <c r="U2397" i="1"/>
  <c r="V2397" i="1"/>
  <c r="W2397" i="1"/>
  <c r="AB2397" i="1"/>
  <c r="AF2397" i="1"/>
  <c r="K2398" i="1"/>
  <c r="AC2398" i="1"/>
  <c r="AJ2397" i="1"/>
  <c r="AK2397" i="1"/>
  <c r="AM2397" i="1"/>
  <c r="BF2397" i="1"/>
  <c r="BG2397" i="1"/>
  <c r="T2398" i="1"/>
  <c r="U2398" i="1"/>
  <c r="V2398" i="1"/>
  <c r="W2398" i="1"/>
  <c r="AB2398" i="1"/>
  <c r="AF2398" i="1"/>
  <c r="AC2399" i="1"/>
  <c r="AJ2398" i="1"/>
  <c r="AK2398" i="1"/>
  <c r="AM2398" i="1"/>
  <c r="BF2398" i="1"/>
  <c r="BG2398" i="1"/>
  <c r="T2399" i="1"/>
  <c r="U2399" i="1"/>
  <c r="V2399" i="1"/>
  <c r="W2399" i="1"/>
  <c r="AB2399" i="1"/>
  <c r="AF2399" i="1"/>
  <c r="AC2400" i="1"/>
  <c r="AJ2399" i="1"/>
  <c r="AK2399" i="1"/>
  <c r="AM2399" i="1"/>
  <c r="BF2399" i="1"/>
  <c r="BG2399" i="1"/>
  <c r="T2400" i="1"/>
  <c r="U2400" i="1"/>
  <c r="V2400" i="1"/>
  <c r="W2400" i="1"/>
  <c r="AB2400" i="1"/>
  <c r="AF2400" i="1"/>
  <c r="K2401" i="1"/>
  <c r="AC2401" i="1"/>
  <c r="AJ2400" i="1"/>
  <c r="AK2400" i="1"/>
  <c r="AM2400" i="1"/>
  <c r="BF2400" i="1"/>
  <c r="BG2400" i="1"/>
  <c r="T2401" i="1"/>
  <c r="U2401" i="1"/>
  <c r="V2401" i="1"/>
  <c r="W2401" i="1"/>
  <c r="AB2401" i="1"/>
  <c r="AF2401" i="1"/>
  <c r="K2402" i="1"/>
  <c r="AC2402" i="1"/>
  <c r="AJ2401" i="1"/>
  <c r="AK2401" i="1"/>
  <c r="AM2401" i="1"/>
  <c r="BF2401" i="1"/>
  <c r="BG2401" i="1"/>
  <c r="T2402" i="1"/>
  <c r="U2402" i="1"/>
  <c r="V2402" i="1"/>
  <c r="W2402" i="1"/>
  <c r="AB2402" i="1"/>
  <c r="AF2402" i="1"/>
  <c r="AC2403" i="1"/>
  <c r="AJ2402" i="1"/>
  <c r="AK2402" i="1"/>
  <c r="AM2402" i="1"/>
  <c r="BF2402" i="1"/>
  <c r="BG2402" i="1"/>
  <c r="T2403" i="1"/>
  <c r="U2403" i="1"/>
  <c r="V2403" i="1"/>
  <c r="W2403" i="1"/>
  <c r="AB2403" i="1"/>
  <c r="AF2403" i="1"/>
  <c r="AC2404" i="1"/>
  <c r="AJ2403" i="1"/>
  <c r="AK2403" i="1"/>
  <c r="AM2403" i="1"/>
  <c r="BF2403" i="1"/>
  <c r="BG2403" i="1"/>
  <c r="T2404" i="1"/>
  <c r="U2404" i="1"/>
  <c r="V2404" i="1"/>
  <c r="W2404" i="1"/>
  <c r="AB2404" i="1"/>
  <c r="AF2404" i="1"/>
  <c r="K2405" i="1"/>
  <c r="AC2405" i="1"/>
  <c r="AJ2404" i="1"/>
  <c r="AK2404" i="1"/>
  <c r="AM2404" i="1"/>
  <c r="BF2404" i="1"/>
  <c r="BG2404" i="1"/>
  <c r="T2405" i="1"/>
  <c r="U2405" i="1"/>
  <c r="V2405" i="1"/>
  <c r="W2405" i="1"/>
  <c r="AB2405" i="1"/>
  <c r="AF2405" i="1"/>
  <c r="K2406" i="1"/>
  <c r="AC2406" i="1"/>
  <c r="AJ2405" i="1"/>
  <c r="AK2405" i="1"/>
  <c r="AM2405" i="1"/>
  <c r="BF2405" i="1"/>
  <c r="BG2405" i="1"/>
  <c r="T2406" i="1"/>
  <c r="U2406" i="1"/>
  <c r="V2406" i="1"/>
  <c r="W2406" i="1"/>
  <c r="AB2406" i="1"/>
  <c r="AF2406" i="1"/>
  <c r="K2407" i="1"/>
  <c r="AC2407" i="1"/>
  <c r="AJ2406" i="1"/>
  <c r="AK2406" i="1"/>
  <c r="AM2406" i="1"/>
  <c r="BF2406" i="1"/>
  <c r="BG2406" i="1"/>
  <c r="T2407" i="1"/>
  <c r="U2407" i="1"/>
  <c r="V2407" i="1"/>
  <c r="W2407" i="1"/>
  <c r="AB2407" i="1"/>
  <c r="AF2407" i="1"/>
  <c r="AC2408" i="1"/>
  <c r="AJ2407" i="1"/>
  <c r="AK2407" i="1"/>
  <c r="AM2407" i="1"/>
  <c r="BF2407" i="1"/>
  <c r="BG2407" i="1"/>
  <c r="T2408" i="1"/>
  <c r="U2408" i="1"/>
  <c r="V2408" i="1"/>
  <c r="W2408" i="1"/>
  <c r="AB2408" i="1"/>
  <c r="AF2408" i="1"/>
  <c r="AC2409" i="1"/>
  <c r="AJ2408" i="1"/>
  <c r="AK2408" i="1"/>
  <c r="AM2408" i="1"/>
  <c r="BF2408" i="1"/>
  <c r="BG2408" i="1"/>
  <c r="T2409" i="1"/>
  <c r="U2409" i="1"/>
  <c r="V2409" i="1"/>
  <c r="W2409" i="1"/>
  <c r="AB2409" i="1"/>
  <c r="AF2409" i="1"/>
  <c r="K2410" i="1"/>
  <c r="AC2410" i="1"/>
  <c r="AJ2409" i="1"/>
  <c r="AK2409" i="1"/>
  <c r="AM2409" i="1"/>
  <c r="BF2409" i="1"/>
  <c r="BG2409" i="1"/>
  <c r="T2410" i="1"/>
  <c r="U2410" i="1"/>
  <c r="V2410" i="1"/>
  <c r="W2410" i="1"/>
  <c r="AB2410" i="1"/>
  <c r="AF2410" i="1"/>
  <c r="AC2411" i="1"/>
  <c r="AJ2410" i="1"/>
  <c r="AK2410" i="1"/>
  <c r="AM2410" i="1"/>
  <c r="BF2410" i="1"/>
  <c r="BG2410" i="1"/>
  <c r="T2411" i="1"/>
  <c r="U2411" i="1"/>
  <c r="V2411" i="1"/>
  <c r="W2411" i="1"/>
  <c r="AB2411" i="1"/>
  <c r="AF2411" i="1"/>
  <c r="AC2412" i="1"/>
  <c r="AJ2411" i="1"/>
  <c r="AK2411" i="1"/>
  <c r="AM2411" i="1"/>
  <c r="BF2411" i="1"/>
  <c r="BG2411" i="1"/>
  <c r="T2412" i="1"/>
  <c r="U2412" i="1"/>
  <c r="V2412" i="1"/>
  <c r="W2412" i="1"/>
  <c r="AB2412" i="1"/>
  <c r="AF2412" i="1"/>
  <c r="K2413" i="1"/>
  <c r="AC2413" i="1"/>
  <c r="AJ2412" i="1"/>
  <c r="AK2412" i="1"/>
  <c r="AM2412" i="1"/>
  <c r="BF2412" i="1"/>
  <c r="BG2412" i="1"/>
  <c r="T2413" i="1"/>
  <c r="U2413" i="1"/>
  <c r="V2413" i="1"/>
  <c r="W2413" i="1"/>
  <c r="AB2413" i="1"/>
  <c r="AF2413" i="1"/>
  <c r="AC2414" i="1"/>
  <c r="AJ2413" i="1"/>
  <c r="AK2413" i="1"/>
  <c r="AM2413" i="1"/>
  <c r="BF2413" i="1"/>
  <c r="BG2413" i="1"/>
  <c r="T2414" i="1"/>
  <c r="U2414" i="1"/>
  <c r="V2414" i="1"/>
  <c r="W2414" i="1"/>
  <c r="AB2414" i="1"/>
  <c r="AF2414" i="1"/>
  <c r="AC2415" i="1"/>
  <c r="AJ2414" i="1"/>
  <c r="AK2414" i="1"/>
  <c r="AM2414" i="1"/>
  <c r="BF2414" i="1"/>
  <c r="BG2414" i="1"/>
  <c r="T2415" i="1"/>
  <c r="U2415" i="1"/>
  <c r="V2415" i="1"/>
  <c r="W2415" i="1"/>
  <c r="AB2415" i="1"/>
  <c r="AF2415" i="1"/>
  <c r="K2416" i="1"/>
  <c r="AC2416" i="1"/>
  <c r="AJ2415" i="1"/>
  <c r="AK2415" i="1"/>
  <c r="AM2415" i="1"/>
  <c r="BF2415" i="1"/>
  <c r="BG2415" i="1"/>
  <c r="T2416" i="1"/>
  <c r="U2416" i="1"/>
  <c r="V2416" i="1"/>
  <c r="W2416" i="1"/>
  <c r="AB2416" i="1"/>
  <c r="AF2416" i="1"/>
  <c r="AC2417" i="1"/>
  <c r="AJ2416" i="1"/>
  <c r="AK2416" i="1"/>
  <c r="AM2416" i="1"/>
  <c r="BF2416" i="1"/>
  <c r="BG2416" i="1"/>
  <c r="T2417" i="1"/>
  <c r="U2417" i="1"/>
  <c r="V2417" i="1"/>
  <c r="W2417" i="1"/>
  <c r="AB2417" i="1"/>
  <c r="AF2417" i="1"/>
  <c r="AC2418" i="1"/>
  <c r="AJ2417" i="1"/>
  <c r="AK2417" i="1"/>
  <c r="AM2417" i="1"/>
  <c r="BF2417" i="1"/>
  <c r="BG2417" i="1"/>
  <c r="T2418" i="1"/>
  <c r="U2418" i="1"/>
  <c r="V2418" i="1"/>
  <c r="W2418" i="1"/>
  <c r="AB2418" i="1"/>
  <c r="AF2418" i="1"/>
  <c r="K2419" i="1"/>
  <c r="AC2419" i="1"/>
  <c r="AJ2418" i="1"/>
  <c r="AK2418" i="1"/>
  <c r="AM2418" i="1"/>
  <c r="BF2418" i="1"/>
  <c r="BG2418" i="1"/>
  <c r="T2419" i="1"/>
  <c r="U2419" i="1"/>
  <c r="V2419" i="1"/>
  <c r="W2419" i="1"/>
  <c r="AB2419" i="1"/>
  <c r="AF2419" i="1"/>
  <c r="AC2420" i="1"/>
  <c r="AJ2419" i="1"/>
  <c r="AK2419" i="1"/>
  <c r="AM2419" i="1"/>
  <c r="BF2419" i="1"/>
  <c r="BG2419" i="1"/>
  <c r="T2420" i="1"/>
  <c r="U2420" i="1"/>
  <c r="V2420" i="1"/>
  <c r="W2420" i="1"/>
  <c r="AB2420" i="1"/>
  <c r="AF2420" i="1"/>
  <c r="AC2421" i="1"/>
  <c r="AJ2420" i="1"/>
  <c r="AK2420" i="1"/>
  <c r="AM2420" i="1"/>
  <c r="BF2420" i="1"/>
  <c r="BG2420" i="1"/>
  <c r="T2421" i="1"/>
  <c r="U2421" i="1"/>
  <c r="V2421" i="1"/>
  <c r="W2421" i="1"/>
  <c r="AB2421" i="1"/>
  <c r="AF2421" i="1"/>
  <c r="K2422" i="1"/>
  <c r="AC2422" i="1"/>
  <c r="AJ2421" i="1"/>
  <c r="AK2421" i="1"/>
  <c r="AM2421" i="1"/>
  <c r="BF2421" i="1"/>
  <c r="BG2421" i="1"/>
  <c r="T2422" i="1"/>
  <c r="U2422" i="1"/>
  <c r="V2422" i="1"/>
  <c r="W2422" i="1"/>
  <c r="AB2422" i="1"/>
  <c r="AF2422" i="1"/>
  <c r="AC2423" i="1"/>
  <c r="AJ2422" i="1"/>
  <c r="AK2422" i="1"/>
  <c r="AM2422" i="1"/>
  <c r="BF2422" i="1"/>
  <c r="BG2422" i="1"/>
  <c r="T2423" i="1"/>
  <c r="U2423" i="1"/>
  <c r="V2423" i="1"/>
  <c r="W2423" i="1"/>
  <c r="AB2423" i="1"/>
  <c r="AF2423" i="1"/>
  <c r="AC2424" i="1"/>
  <c r="AJ2423" i="1"/>
  <c r="AK2423" i="1"/>
  <c r="AM2423" i="1"/>
  <c r="BF2423" i="1"/>
  <c r="BG2423" i="1"/>
  <c r="T2424" i="1"/>
  <c r="U2424" i="1"/>
  <c r="V2424" i="1"/>
  <c r="W2424" i="1"/>
  <c r="AB2424" i="1"/>
  <c r="AF2424" i="1"/>
  <c r="K2425" i="1"/>
  <c r="AC2425" i="1"/>
  <c r="AJ2424" i="1"/>
  <c r="AK2424" i="1"/>
  <c r="AM2424" i="1"/>
  <c r="BF2424" i="1"/>
  <c r="BG2424" i="1"/>
  <c r="T2425" i="1"/>
  <c r="U2425" i="1"/>
  <c r="V2425" i="1"/>
  <c r="W2425" i="1"/>
  <c r="AB2425" i="1"/>
  <c r="AF2425" i="1"/>
  <c r="AC2426" i="1"/>
  <c r="AJ2425" i="1"/>
  <c r="AK2425" i="1"/>
  <c r="AM2425" i="1"/>
  <c r="BF2425" i="1"/>
  <c r="BG2425" i="1"/>
  <c r="T2426" i="1"/>
  <c r="U2426" i="1"/>
  <c r="V2426" i="1"/>
  <c r="W2426" i="1"/>
  <c r="AB2426" i="1"/>
  <c r="AF2426" i="1"/>
  <c r="AC2427" i="1"/>
  <c r="AJ2426" i="1"/>
  <c r="AK2426" i="1"/>
  <c r="AM2426" i="1"/>
  <c r="BF2426" i="1"/>
  <c r="BG2426" i="1"/>
  <c r="T2427" i="1"/>
  <c r="U2427" i="1"/>
  <c r="V2427" i="1"/>
  <c r="W2427" i="1"/>
  <c r="AB2427" i="1"/>
  <c r="AF2427" i="1"/>
  <c r="K2428" i="1"/>
  <c r="AC2428" i="1"/>
  <c r="AJ2427" i="1"/>
  <c r="AK2427" i="1"/>
  <c r="AM2427" i="1"/>
  <c r="BF2427" i="1"/>
  <c r="BG2427" i="1"/>
  <c r="T2428" i="1"/>
  <c r="U2428" i="1"/>
  <c r="V2428" i="1"/>
  <c r="W2428" i="1"/>
  <c r="AB2428" i="1"/>
  <c r="AF2428" i="1"/>
  <c r="AC2429" i="1"/>
  <c r="AJ2428" i="1"/>
  <c r="AK2428" i="1"/>
  <c r="AM2428" i="1"/>
  <c r="BF2428" i="1"/>
  <c r="BG2428" i="1"/>
  <c r="T2429" i="1"/>
  <c r="U2429" i="1"/>
  <c r="V2429" i="1"/>
  <c r="W2429" i="1"/>
  <c r="AB2429" i="1"/>
  <c r="AF2429" i="1"/>
  <c r="AC2430" i="1"/>
  <c r="AJ2429" i="1"/>
  <c r="AK2429" i="1"/>
  <c r="AM2429" i="1"/>
  <c r="BF2429" i="1"/>
  <c r="BG2429" i="1"/>
  <c r="T2430" i="1"/>
  <c r="U2430" i="1"/>
  <c r="V2430" i="1"/>
  <c r="W2430" i="1"/>
  <c r="AB2430" i="1"/>
  <c r="AF2430" i="1"/>
  <c r="K2431" i="1"/>
  <c r="AC2431" i="1"/>
  <c r="AJ2430" i="1"/>
  <c r="AK2430" i="1"/>
  <c r="AM2430" i="1"/>
  <c r="BF2430" i="1"/>
  <c r="BG2430" i="1"/>
  <c r="T2431" i="1"/>
  <c r="U2431" i="1"/>
  <c r="V2431" i="1"/>
  <c r="W2431" i="1"/>
  <c r="AB2431" i="1"/>
  <c r="AF2431" i="1"/>
  <c r="K2432" i="1"/>
  <c r="AC2432" i="1"/>
  <c r="AJ2431" i="1"/>
  <c r="AK2431" i="1"/>
  <c r="AM2431" i="1"/>
  <c r="BF2431" i="1"/>
  <c r="BG2431" i="1"/>
  <c r="T2432" i="1"/>
  <c r="U2432" i="1"/>
  <c r="V2432" i="1"/>
  <c r="W2432" i="1"/>
  <c r="AB2432" i="1"/>
  <c r="AF2432" i="1"/>
  <c r="AC2433" i="1"/>
  <c r="AJ2432" i="1"/>
  <c r="AK2432" i="1"/>
  <c r="AM2432" i="1"/>
  <c r="BF2432" i="1"/>
  <c r="BG2432" i="1"/>
  <c r="T2433" i="1"/>
  <c r="U2433" i="1"/>
  <c r="V2433" i="1"/>
  <c r="W2433" i="1"/>
  <c r="AB2433" i="1"/>
  <c r="AF2433" i="1"/>
  <c r="AC2434" i="1"/>
  <c r="AJ2433" i="1"/>
  <c r="AK2433" i="1"/>
  <c r="AM2433" i="1"/>
  <c r="BF2433" i="1"/>
  <c r="BG2433" i="1"/>
  <c r="T2434" i="1"/>
  <c r="U2434" i="1"/>
  <c r="V2434" i="1"/>
  <c r="W2434" i="1"/>
  <c r="AB2434" i="1"/>
  <c r="AF2434" i="1"/>
  <c r="K2435" i="1"/>
  <c r="AC2435" i="1"/>
  <c r="AJ2434" i="1"/>
  <c r="AK2434" i="1"/>
  <c r="AM2434" i="1"/>
  <c r="BF2434" i="1"/>
  <c r="BG2434" i="1"/>
  <c r="T2435" i="1"/>
  <c r="U2435" i="1"/>
  <c r="V2435" i="1"/>
  <c r="W2435" i="1"/>
  <c r="AB2435" i="1"/>
  <c r="AF2435" i="1"/>
  <c r="K2436" i="1"/>
  <c r="AC2436" i="1"/>
  <c r="AJ2435" i="1"/>
  <c r="AK2435" i="1"/>
  <c r="AM2435" i="1"/>
  <c r="BF2435" i="1"/>
  <c r="BG2435" i="1"/>
  <c r="T2436" i="1"/>
  <c r="U2436" i="1"/>
  <c r="V2436" i="1"/>
  <c r="W2436" i="1"/>
  <c r="AB2436" i="1"/>
  <c r="AF2436" i="1"/>
  <c r="K2437" i="1"/>
  <c r="AC2437" i="1"/>
  <c r="AJ2436" i="1"/>
  <c r="AK2436" i="1"/>
  <c r="AM2436" i="1"/>
  <c r="BF2436" i="1"/>
  <c r="BG2436" i="1"/>
  <c r="T2437" i="1"/>
  <c r="U2437" i="1"/>
  <c r="V2437" i="1"/>
  <c r="W2437" i="1"/>
  <c r="AB2437" i="1"/>
  <c r="AF2437" i="1"/>
  <c r="K2438" i="1"/>
  <c r="AC2438" i="1"/>
  <c r="AJ2437" i="1"/>
  <c r="AK2437" i="1"/>
  <c r="AM2437" i="1"/>
  <c r="BF2437" i="1"/>
  <c r="BG2437" i="1"/>
  <c r="T2438" i="1"/>
  <c r="U2438" i="1"/>
  <c r="V2438" i="1"/>
  <c r="W2438" i="1"/>
  <c r="AB2438" i="1"/>
  <c r="AF2438" i="1"/>
  <c r="AC2439" i="1"/>
  <c r="AJ2438" i="1"/>
  <c r="AK2438" i="1"/>
  <c r="AM2438" i="1"/>
  <c r="BF2438" i="1"/>
  <c r="BG2438" i="1"/>
  <c r="T2439" i="1"/>
  <c r="U2439" i="1"/>
  <c r="V2439" i="1"/>
  <c r="W2439" i="1"/>
  <c r="AB2439" i="1"/>
  <c r="AF2439" i="1"/>
  <c r="AC2440" i="1"/>
  <c r="AJ2439" i="1"/>
  <c r="AK2439" i="1"/>
  <c r="AM2439" i="1"/>
  <c r="BF2439" i="1"/>
  <c r="BG2439" i="1"/>
  <c r="T2440" i="1"/>
  <c r="U2440" i="1"/>
  <c r="V2440" i="1"/>
  <c r="W2440" i="1"/>
  <c r="AB2440" i="1"/>
  <c r="AF2440" i="1"/>
  <c r="K2441" i="1"/>
  <c r="AC2441" i="1"/>
  <c r="AJ2440" i="1"/>
  <c r="AK2440" i="1"/>
  <c r="AM2440" i="1"/>
  <c r="BF2440" i="1"/>
  <c r="BG2440" i="1"/>
  <c r="T2441" i="1"/>
  <c r="U2441" i="1"/>
  <c r="V2441" i="1"/>
  <c r="W2441" i="1"/>
  <c r="AB2441" i="1"/>
  <c r="AF2441" i="1"/>
  <c r="AC2442" i="1"/>
  <c r="AJ2441" i="1"/>
  <c r="AK2441" i="1"/>
  <c r="AM2441" i="1"/>
  <c r="BF2441" i="1"/>
  <c r="BG2441" i="1"/>
  <c r="T2442" i="1"/>
  <c r="U2442" i="1"/>
  <c r="V2442" i="1"/>
  <c r="W2442" i="1"/>
  <c r="AB2442" i="1"/>
  <c r="AF2442" i="1"/>
  <c r="AC2443" i="1"/>
  <c r="AJ2442" i="1"/>
  <c r="AK2442" i="1"/>
  <c r="AM2442" i="1"/>
  <c r="BF2442" i="1"/>
  <c r="BG2442" i="1"/>
  <c r="T2443" i="1"/>
  <c r="U2443" i="1"/>
  <c r="V2443" i="1"/>
  <c r="W2443" i="1"/>
  <c r="AB2443" i="1"/>
  <c r="AF2443" i="1"/>
  <c r="K2444" i="1"/>
  <c r="AC2444" i="1"/>
  <c r="AJ2443" i="1"/>
  <c r="AK2443" i="1"/>
  <c r="AM2443" i="1"/>
  <c r="BF2443" i="1"/>
  <c r="BG2443" i="1"/>
  <c r="T2444" i="1"/>
  <c r="U2444" i="1"/>
  <c r="V2444" i="1"/>
  <c r="W2444" i="1"/>
  <c r="AB2444" i="1"/>
  <c r="AF2444" i="1"/>
  <c r="K2445" i="1"/>
  <c r="AC2445" i="1"/>
  <c r="AJ2444" i="1"/>
  <c r="AK2444" i="1"/>
  <c r="AM2444" i="1"/>
  <c r="BF2444" i="1"/>
  <c r="BG2444" i="1"/>
  <c r="T2445" i="1"/>
  <c r="U2445" i="1"/>
  <c r="V2445" i="1"/>
  <c r="W2445" i="1"/>
  <c r="AB2445" i="1"/>
  <c r="AF2445" i="1"/>
  <c r="K2446" i="1"/>
  <c r="AC2446" i="1"/>
  <c r="AJ2445" i="1"/>
  <c r="AK2445" i="1"/>
  <c r="AM2445" i="1"/>
  <c r="BF2445" i="1"/>
  <c r="BG2445" i="1"/>
  <c r="T2446" i="1"/>
  <c r="U2446" i="1"/>
  <c r="V2446" i="1"/>
  <c r="W2446" i="1"/>
  <c r="AB2446" i="1"/>
  <c r="AF2446" i="1"/>
  <c r="AC2447" i="1"/>
  <c r="AJ2446" i="1"/>
  <c r="AK2446" i="1"/>
  <c r="AM2446" i="1"/>
  <c r="BF2446" i="1"/>
  <c r="BG2446" i="1"/>
  <c r="T2447" i="1"/>
  <c r="U2447" i="1"/>
  <c r="V2447" i="1"/>
  <c r="W2447" i="1"/>
  <c r="AB2447" i="1"/>
  <c r="AF2447" i="1"/>
  <c r="AC2448" i="1"/>
  <c r="AJ2447" i="1"/>
  <c r="AK2447" i="1"/>
  <c r="AM2447" i="1"/>
  <c r="BF2447" i="1"/>
  <c r="BG2447" i="1"/>
  <c r="T2448" i="1"/>
  <c r="U2448" i="1"/>
  <c r="V2448" i="1"/>
  <c r="W2448" i="1"/>
  <c r="AB2448" i="1"/>
  <c r="AF2448" i="1"/>
  <c r="K2449" i="1"/>
  <c r="AC2449" i="1"/>
  <c r="AJ2448" i="1"/>
  <c r="AK2448" i="1"/>
  <c r="AM2448" i="1"/>
  <c r="BF2448" i="1"/>
  <c r="BG2448" i="1"/>
  <c r="T2449" i="1"/>
  <c r="U2449" i="1"/>
  <c r="V2449" i="1"/>
  <c r="W2449" i="1"/>
  <c r="AB2449" i="1"/>
  <c r="AF2449" i="1"/>
  <c r="K2450" i="1"/>
  <c r="AC2450" i="1"/>
  <c r="AJ2449" i="1"/>
  <c r="AK2449" i="1"/>
  <c r="AM2449" i="1"/>
  <c r="BF2449" i="1"/>
  <c r="BG2449" i="1"/>
  <c r="T2450" i="1"/>
  <c r="U2450" i="1"/>
  <c r="V2450" i="1"/>
  <c r="W2450" i="1"/>
  <c r="AB2450" i="1"/>
  <c r="AF2450" i="1"/>
  <c r="AC2451" i="1"/>
  <c r="AJ2450" i="1"/>
  <c r="AK2450" i="1"/>
  <c r="AM2450" i="1"/>
  <c r="BF2450" i="1"/>
  <c r="BG2450" i="1"/>
  <c r="T2451" i="1"/>
  <c r="U2451" i="1"/>
  <c r="V2451" i="1"/>
  <c r="W2451" i="1"/>
  <c r="AB2451" i="1"/>
  <c r="AF2451" i="1"/>
  <c r="AC2452" i="1"/>
  <c r="AJ2451" i="1"/>
  <c r="AK2451" i="1"/>
  <c r="AM2451" i="1"/>
  <c r="BF2451" i="1"/>
  <c r="BG2451" i="1"/>
  <c r="T2452" i="1"/>
  <c r="U2452" i="1"/>
  <c r="V2452" i="1"/>
  <c r="W2452" i="1"/>
  <c r="AB2452" i="1"/>
  <c r="AF2452" i="1"/>
  <c r="K2453" i="1"/>
  <c r="AC2453" i="1"/>
  <c r="AJ2452" i="1"/>
  <c r="AK2452" i="1"/>
  <c r="AM2452" i="1"/>
  <c r="BF2452" i="1"/>
  <c r="BG2452" i="1"/>
  <c r="T2453" i="1"/>
  <c r="U2453" i="1"/>
  <c r="V2453" i="1"/>
  <c r="W2453" i="1"/>
  <c r="AB2453" i="1"/>
  <c r="AF2453" i="1"/>
  <c r="AC2454" i="1"/>
  <c r="AJ2453" i="1"/>
  <c r="AK2453" i="1"/>
  <c r="AM2453" i="1"/>
  <c r="BF2453" i="1"/>
  <c r="BG2453" i="1"/>
  <c r="T2454" i="1"/>
  <c r="U2454" i="1"/>
  <c r="V2454" i="1"/>
  <c r="W2454" i="1"/>
  <c r="AB2454" i="1"/>
  <c r="AF2454" i="1"/>
  <c r="AC2455" i="1"/>
  <c r="AJ2454" i="1"/>
  <c r="AK2454" i="1"/>
  <c r="AM2454" i="1"/>
  <c r="BF2454" i="1"/>
  <c r="BG2454" i="1"/>
  <c r="T2455" i="1"/>
  <c r="U2455" i="1"/>
  <c r="V2455" i="1"/>
  <c r="W2455" i="1"/>
  <c r="AB2455" i="1"/>
  <c r="AF2455" i="1"/>
  <c r="K2456" i="1"/>
  <c r="AC2456" i="1"/>
  <c r="AJ2455" i="1"/>
  <c r="AK2455" i="1"/>
  <c r="AM2455" i="1"/>
  <c r="BF2455" i="1"/>
  <c r="BG2455" i="1"/>
  <c r="T2456" i="1"/>
  <c r="U2456" i="1"/>
  <c r="V2456" i="1"/>
  <c r="W2456" i="1"/>
  <c r="AB2456" i="1"/>
  <c r="AF2456" i="1"/>
  <c r="K2457" i="1"/>
  <c r="AC2457" i="1"/>
  <c r="AJ2456" i="1"/>
  <c r="AK2456" i="1"/>
  <c r="AM2456" i="1"/>
  <c r="BF2456" i="1"/>
  <c r="BG2456" i="1"/>
  <c r="T2457" i="1"/>
  <c r="U2457" i="1"/>
  <c r="V2457" i="1"/>
  <c r="W2457" i="1"/>
  <c r="AB2457" i="1"/>
  <c r="AF2457" i="1"/>
  <c r="K2458" i="1"/>
  <c r="AC2458" i="1"/>
  <c r="AJ2457" i="1"/>
  <c r="AK2457" i="1"/>
  <c r="AM2457" i="1"/>
  <c r="BF2457" i="1"/>
  <c r="BG2457" i="1"/>
  <c r="T2458" i="1"/>
  <c r="U2458" i="1"/>
  <c r="V2458" i="1"/>
  <c r="W2458" i="1"/>
  <c r="AB2458" i="1"/>
  <c r="AF2458" i="1"/>
  <c r="K2459" i="1"/>
  <c r="AC2459" i="1"/>
  <c r="AJ2458" i="1"/>
  <c r="AK2458" i="1"/>
  <c r="AM2458" i="1"/>
  <c r="BF2458" i="1"/>
  <c r="BG2458" i="1"/>
  <c r="T2459" i="1"/>
  <c r="U2459" i="1"/>
  <c r="V2459" i="1"/>
  <c r="W2459" i="1"/>
  <c r="AB2459" i="1"/>
  <c r="AF2459" i="1"/>
  <c r="K2460" i="1"/>
  <c r="AC2460" i="1"/>
  <c r="AJ2459" i="1"/>
  <c r="AK2459" i="1"/>
  <c r="AM2459" i="1"/>
  <c r="BF2459" i="1"/>
  <c r="BG2459" i="1"/>
  <c r="T2460" i="1"/>
  <c r="U2460" i="1"/>
  <c r="V2460" i="1"/>
  <c r="W2460" i="1"/>
  <c r="AB2460" i="1"/>
  <c r="AF2460" i="1"/>
  <c r="K2461" i="1"/>
  <c r="AC2461" i="1"/>
  <c r="AJ2460" i="1"/>
  <c r="AK2460" i="1"/>
  <c r="AM2460" i="1"/>
  <c r="BF2460" i="1"/>
  <c r="BG2460" i="1"/>
  <c r="T2461" i="1"/>
  <c r="U2461" i="1"/>
  <c r="V2461" i="1"/>
  <c r="W2461" i="1"/>
  <c r="AB2461" i="1"/>
  <c r="AF2461" i="1"/>
  <c r="K2462" i="1"/>
  <c r="AC2462" i="1"/>
  <c r="AJ2461" i="1"/>
  <c r="AK2461" i="1"/>
  <c r="AM2461" i="1"/>
  <c r="BF2461" i="1"/>
  <c r="BG2461" i="1"/>
  <c r="T2462" i="1"/>
  <c r="U2462" i="1"/>
  <c r="V2462" i="1"/>
  <c r="W2462" i="1"/>
  <c r="AB2462" i="1"/>
  <c r="AF2462" i="1"/>
  <c r="K2463" i="1"/>
  <c r="AC2463" i="1"/>
  <c r="AJ2462" i="1"/>
  <c r="AK2462" i="1"/>
  <c r="AM2462" i="1"/>
  <c r="BF2462" i="1"/>
  <c r="BG2462" i="1"/>
  <c r="T2463" i="1"/>
  <c r="U2463" i="1"/>
  <c r="V2463" i="1"/>
  <c r="W2463" i="1"/>
  <c r="AB2463" i="1"/>
  <c r="AF2463" i="1"/>
  <c r="K2464" i="1"/>
  <c r="AC2464" i="1"/>
  <c r="AJ2463" i="1"/>
  <c r="AK2463" i="1"/>
  <c r="AM2463" i="1"/>
  <c r="BF2463" i="1"/>
  <c r="BG2463" i="1"/>
  <c r="T2464" i="1"/>
  <c r="U2464" i="1"/>
  <c r="V2464" i="1"/>
  <c r="W2464" i="1"/>
  <c r="AB2464" i="1"/>
  <c r="AF2464" i="1"/>
  <c r="AC2465" i="1"/>
  <c r="AJ2464" i="1"/>
  <c r="AK2464" i="1"/>
  <c r="AM2464" i="1"/>
  <c r="BF2464" i="1"/>
  <c r="BG2464" i="1"/>
  <c r="T2465" i="1"/>
  <c r="U2465" i="1"/>
  <c r="V2465" i="1"/>
  <c r="W2465" i="1"/>
  <c r="AB2465" i="1"/>
  <c r="AF2465" i="1"/>
  <c r="AC2466" i="1"/>
  <c r="AJ2465" i="1"/>
  <c r="AK2465" i="1"/>
  <c r="AM2465" i="1"/>
  <c r="BF2465" i="1"/>
  <c r="BG2465" i="1"/>
  <c r="T2466" i="1"/>
  <c r="U2466" i="1"/>
  <c r="V2466" i="1"/>
  <c r="W2466" i="1"/>
  <c r="AB2466" i="1"/>
  <c r="AF2466" i="1"/>
  <c r="K2467" i="1"/>
  <c r="AC2467" i="1"/>
  <c r="AJ2466" i="1"/>
  <c r="AK2466" i="1"/>
  <c r="AM2466" i="1"/>
  <c r="BF2466" i="1"/>
  <c r="BG2466" i="1"/>
  <c r="T2467" i="1"/>
  <c r="U2467" i="1"/>
  <c r="V2467" i="1"/>
  <c r="W2467" i="1"/>
  <c r="AB2467" i="1"/>
  <c r="AF2467" i="1"/>
  <c r="K2468" i="1"/>
  <c r="AC2468" i="1"/>
  <c r="AJ2467" i="1"/>
  <c r="AK2467" i="1"/>
  <c r="AM2467" i="1"/>
  <c r="BF2467" i="1"/>
  <c r="BG2467" i="1"/>
  <c r="T2468" i="1"/>
  <c r="U2468" i="1"/>
  <c r="V2468" i="1"/>
  <c r="W2468" i="1"/>
  <c r="AB2468" i="1"/>
  <c r="AF2468" i="1"/>
  <c r="AC2469" i="1"/>
  <c r="AJ2468" i="1"/>
  <c r="AK2468" i="1"/>
  <c r="AM2468" i="1"/>
  <c r="BF2468" i="1"/>
  <c r="BG2468" i="1"/>
  <c r="T2469" i="1"/>
  <c r="U2469" i="1"/>
  <c r="V2469" i="1"/>
  <c r="W2469" i="1"/>
  <c r="AB2469" i="1"/>
  <c r="AF2469" i="1"/>
  <c r="AC2470" i="1"/>
  <c r="AJ2469" i="1"/>
  <c r="AK2469" i="1"/>
  <c r="AM2469" i="1"/>
  <c r="BF2469" i="1"/>
  <c r="BG2469" i="1"/>
  <c r="T2470" i="1"/>
  <c r="U2470" i="1"/>
  <c r="V2470" i="1"/>
  <c r="W2470" i="1"/>
  <c r="AB2470" i="1"/>
  <c r="AF2470" i="1"/>
  <c r="K2471" i="1"/>
  <c r="AC2471" i="1"/>
  <c r="AJ2470" i="1"/>
  <c r="AK2470" i="1"/>
  <c r="AM2470" i="1"/>
  <c r="BF2470" i="1"/>
  <c r="BG2470" i="1"/>
  <c r="T2471" i="1"/>
  <c r="U2471" i="1"/>
  <c r="V2471" i="1"/>
  <c r="W2471" i="1"/>
  <c r="AB2471" i="1"/>
  <c r="AF2471" i="1"/>
  <c r="AC2472" i="1"/>
  <c r="AJ2471" i="1"/>
  <c r="AK2471" i="1"/>
  <c r="AM2471" i="1"/>
  <c r="BF2471" i="1"/>
  <c r="BG2471" i="1"/>
  <c r="T2472" i="1"/>
  <c r="U2472" i="1"/>
  <c r="V2472" i="1"/>
  <c r="W2472" i="1"/>
  <c r="AB2472" i="1"/>
  <c r="AF2472" i="1"/>
  <c r="AC2473" i="1"/>
  <c r="AJ2472" i="1"/>
  <c r="AK2472" i="1"/>
  <c r="AM2472" i="1"/>
  <c r="BF2472" i="1"/>
  <c r="BG2472" i="1"/>
  <c r="T2473" i="1"/>
  <c r="U2473" i="1"/>
  <c r="V2473" i="1"/>
  <c r="W2473" i="1"/>
  <c r="AB2473" i="1"/>
  <c r="AF2473" i="1"/>
  <c r="K2474" i="1"/>
  <c r="AC2474" i="1"/>
  <c r="AJ2473" i="1"/>
  <c r="AK2473" i="1"/>
  <c r="AM2473" i="1"/>
  <c r="BF2473" i="1"/>
  <c r="BG2473" i="1"/>
  <c r="T2474" i="1"/>
  <c r="U2474" i="1"/>
  <c r="V2474" i="1"/>
  <c r="W2474" i="1"/>
  <c r="AB2474" i="1"/>
  <c r="AF2474" i="1"/>
  <c r="AC2475" i="1"/>
  <c r="AJ2474" i="1"/>
  <c r="AK2474" i="1"/>
  <c r="AM2474" i="1"/>
  <c r="BF2474" i="1"/>
  <c r="BG2474" i="1"/>
  <c r="T2475" i="1"/>
  <c r="U2475" i="1"/>
  <c r="V2475" i="1"/>
  <c r="W2475" i="1"/>
  <c r="AB2475" i="1"/>
  <c r="AF2475" i="1"/>
  <c r="AC2476" i="1"/>
  <c r="AJ2475" i="1"/>
  <c r="AK2475" i="1"/>
  <c r="AM2475" i="1"/>
  <c r="BF2475" i="1"/>
  <c r="BG2475" i="1"/>
  <c r="T2476" i="1"/>
  <c r="U2476" i="1"/>
  <c r="V2476" i="1"/>
  <c r="W2476" i="1"/>
  <c r="AB2476" i="1"/>
  <c r="AF2476" i="1"/>
  <c r="K2477" i="1"/>
  <c r="AC2477" i="1"/>
  <c r="AJ2476" i="1"/>
  <c r="AK2476" i="1"/>
  <c r="AM2476" i="1"/>
  <c r="BF2476" i="1"/>
  <c r="BG2476" i="1"/>
  <c r="T2477" i="1"/>
  <c r="U2477" i="1"/>
  <c r="V2477" i="1"/>
  <c r="W2477" i="1"/>
  <c r="AB2477" i="1"/>
  <c r="AF2477" i="1"/>
  <c r="AC2478" i="1"/>
  <c r="AJ2477" i="1"/>
  <c r="AK2477" i="1"/>
  <c r="AM2477" i="1"/>
  <c r="BF2477" i="1"/>
  <c r="BG2477" i="1"/>
  <c r="T2478" i="1"/>
  <c r="U2478" i="1"/>
  <c r="V2478" i="1"/>
  <c r="W2478" i="1"/>
  <c r="AB2478" i="1"/>
  <c r="AF2478" i="1"/>
  <c r="AC2479" i="1"/>
  <c r="AJ2478" i="1"/>
  <c r="AK2478" i="1"/>
  <c r="AM2478" i="1"/>
  <c r="BF2478" i="1"/>
  <c r="BG2478" i="1"/>
  <c r="T2479" i="1"/>
  <c r="U2479" i="1"/>
  <c r="V2479" i="1"/>
  <c r="W2479" i="1"/>
  <c r="AB2479" i="1"/>
  <c r="AF2479" i="1"/>
  <c r="K2480" i="1"/>
  <c r="AC2480" i="1"/>
  <c r="AJ2479" i="1"/>
  <c r="AK2479" i="1"/>
  <c r="AM2479" i="1"/>
  <c r="BF2479" i="1"/>
  <c r="BG2479" i="1"/>
  <c r="T2480" i="1"/>
  <c r="U2480" i="1"/>
  <c r="V2480" i="1"/>
  <c r="W2480" i="1"/>
  <c r="AB2480" i="1"/>
  <c r="AF2480" i="1"/>
  <c r="AC2481" i="1"/>
  <c r="AJ2480" i="1"/>
  <c r="AK2480" i="1"/>
  <c r="AM2480" i="1"/>
  <c r="BF2480" i="1"/>
  <c r="BG2480" i="1"/>
  <c r="T2481" i="1"/>
  <c r="U2481" i="1"/>
  <c r="V2481" i="1"/>
  <c r="W2481" i="1"/>
  <c r="AB2481" i="1"/>
  <c r="AF2481" i="1"/>
  <c r="AC2482" i="1"/>
  <c r="AJ2481" i="1"/>
  <c r="AK2481" i="1"/>
  <c r="AM2481" i="1"/>
  <c r="BF2481" i="1"/>
  <c r="BG2481" i="1"/>
  <c r="T2482" i="1"/>
  <c r="U2482" i="1"/>
  <c r="V2482" i="1"/>
  <c r="W2482" i="1"/>
  <c r="AB2482" i="1"/>
  <c r="AF2482" i="1"/>
  <c r="K2483" i="1"/>
  <c r="AC2483" i="1"/>
  <c r="AJ2482" i="1"/>
  <c r="AK2482" i="1"/>
  <c r="AM2482" i="1"/>
  <c r="BF2482" i="1"/>
  <c r="BG2482" i="1"/>
  <c r="T2483" i="1"/>
  <c r="U2483" i="1"/>
  <c r="V2483" i="1"/>
  <c r="W2483" i="1"/>
  <c r="AB2483" i="1"/>
  <c r="AF2483" i="1"/>
  <c r="K2484" i="1"/>
  <c r="AC2484" i="1"/>
  <c r="AJ2483" i="1"/>
  <c r="AK2483" i="1"/>
  <c r="AM2483" i="1"/>
  <c r="BF2483" i="1"/>
  <c r="BG2483" i="1"/>
  <c r="T2484" i="1"/>
  <c r="U2484" i="1"/>
  <c r="V2484" i="1"/>
  <c r="W2484" i="1"/>
  <c r="AB2484" i="1"/>
  <c r="AF2484" i="1"/>
  <c r="K2485" i="1"/>
  <c r="AC2485" i="1"/>
  <c r="AJ2484" i="1"/>
  <c r="AK2484" i="1"/>
  <c r="AM2484" i="1"/>
  <c r="BF2484" i="1"/>
  <c r="BG2484" i="1"/>
  <c r="T2485" i="1"/>
  <c r="U2485" i="1"/>
  <c r="V2485" i="1"/>
  <c r="W2485" i="1"/>
  <c r="AB2485" i="1"/>
  <c r="AF2485" i="1"/>
  <c r="K2486" i="1"/>
  <c r="AC2486" i="1"/>
  <c r="AJ2485" i="1"/>
  <c r="AK2485" i="1"/>
  <c r="AM2485" i="1"/>
  <c r="BF2485" i="1"/>
  <c r="BG2485" i="1"/>
  <c r="T2486" i="1"/>
  <c r="U2486" i="1"/>
  <c r="V2486" i="1"/>
  <c r="W2486" i="1"/>
  <c r="AB2486" i="1"/>
  <c r="AF2486" i="1"/>
  <c r="K2487" i="1"/>
  <c r="AC2487" i="1"/>
  <c r="AJ2486" i="1"/>
  <c r="AK2486" i="1"/>
  <c r="AM2486" i="1"/>
  <c r="BF2486" i="1"/>
  <c r="BG2486" i="1"/>
  <c r="T2487" i="1"/>
  <c r="U2487" i="1"/>
  <c r="V2487" i="1"/>
  <c r="W2487" i="1"/>
  <c r="AB2487" i="1"/>
  <c r="AF2487" i="1"/>
  <c r="AC2488" i="1"/>
  <c r="AJ2487" i="1"/>
  <c r="AK2487" i="1"/>
  <c r="AM2487" i="1"/>
  <c r="BF2487" i="1"/>
  <c r="BG2487" i="1"/>
  <c r="T2488" i="1"/>
  <c r="U2488" i="1"/>
  <c r="V2488" i="1"/>
  <c r="W2488" i="1"/>
  <c r="AB2488" i="1"/>
  <c r="AF2488" i="1"/>
  <c r="AC2489" i="1"/>
  <c r="AJ2488" i="1"/>
  <c r="AK2488" i="1"/>
  <c r="AM2488" i="1"/>
  <c r="BF2488" i="1"/>
  <c r="BG2488" i="1"/>
  <c r="T2489" i="1"/>
  <c r="U2489" i="1"/>
  <c r="V2489" i="1"/>
  <c r="W2489" i="1"/>
  <c r="AB2489" i="1"/>
  <c r="AF2489" i="1"/>
  <c r="K2490" i="1"/>
  <c r="AC2490" i="1"/>
  <c r="AJ2489" i="1"/>
  <c r="AK2489" i="1"/>
  <c r="AM2489" i="1"/>
  <c r="BF2489" i="1"/>
  <c r="BG2489" i="1"/>
  <c r="T2490" i="1"/>
  <c r="U2490" i="1"/>
  <c r="V2490" i="1"/>
  <c r="W2490" i="1"/>
  <c r="AB2490" i="1"/>
  <c r="AF2490" i="1"/>
  <c r="AC2491" i="1"/>
  <c r="AJ2490" i="1"/>
  <c r="AK2490" i="1"/>
  <c r="AM2490" i="1"/>
  <c r="BF2490" i="1"/>
  <c r="BG2490" i="1"/>
  <c r="T2491" i="1"/>
  <c r="U2491" i="1"/>
  <c r="V2491" i="1"/>
  <c r="W2491" i="1"/>
  <c r="AB2491" i="1"/>
  <c r="AF2491" i="1"/>
  <c r="AC2492" i="1"/>
  <c r="AJ2491" i="1"/>
  <c r="AK2491" i="1"/>
  <c r="AM2491" i="1"/>
  <c r="BF2491" i="1"/>
  <c r="BG2491" i="1"/>
  <c r="T2492" i="1"/>
  <c r="U2492" i="1"/>
  <c r="V2492" i="1"/>
  <c r="W2492" i="1"/>
  <c r="AB2492" i="1"/>
  <c r="AF2492" i="1"/>
  <c r="K2493" i="1"/>
  <c r="AC2493" i="1"/>
  <c r="AJ2492" i="1"/>
  <c r="AK2492" i="1"/>
  <c r="AM2492" i="1"/>
  <c r="BF2492" i="1"/>
  <c r="BG2492" i="1"/>
  <c r="T2493" i="1"/>
  <c r="U2493" i="1"/>
  <c r="V2493" i="1"/>
  <c r="W2493" i="1"/>
  <c r="AB2493" i="1"/>
  <c r="AF2493" i="1"/>
  <c r="K2494" i="1"/>
  <c r="AC2494" i="1"/>
  <c r="AJ2493" i="1"/>
  <c r="AK2493" i="1"/>
  <c r="AM2493" i="1"/>
  <c r="BF2493" i="1"/>
  <c r="BG2493" i="1"/>
  <c r="T2494" i="1"/>
  <c r="U2494" i="1"/>
  <c r="V2494" i="1"/>
  <c r="W2494" i="1"/>
  <c r="AB2494" i="1"/>
  <c r="AF2494" i="1"/>
  <c r="K2495" i="1"/>
  <c r="AC2495" i="1"/>
  <c r="AJ2494" i="1"/>
  <c r="AK2494" i="1"/>
  <c r="AM2494" i="1"/>
  <c r="BF2494" i="1"/>
  <c r="BG2494" i="1"/>
  <c r="T2495" i="1"/>
  <c r="U2495" i="1"/>
  <c r="V2495" i="1"/>
  <c r="W2495" i="1"/>
  <c r="AB2495" i="1"/>
  <c r="AF2495" i="1"/>
  <c r="K2496" i="1"/>
  <c r="AC2496" i="1"/>
  <c r="AJ2495" i="1"/>
  <c r="AK2495" i="1"/>
  <c r="AM2495" i="1"/>
  <c r="BF2495" i="1"/>
  <c r="BG2495" i="1"/>
  <c r="T2496" i="1"/>
  <c r="U2496" i="1"/>
  <c r="V2496" i="1"/>
  <c r="W2496" i="1"/>
  <c r="AB2496" i="1"/>
  <c r="AF2496" i="1"/>
  <c r="K2497" i="1"/>
  <c r="AC2497" i="1"/>
  <c r="AJ2496" i="1"/>
  <c r="AK2496" i="1"/>
  <c r="AM2496" i="1"/>
  <c r="BF2496" i="1"/>
  <c r="BG2496" i="1"/>
  <c r="T2497" i="1"/>
  <c r="U2497" i="1"/>
  <c r="V2497" i="1"/>
  <c r="W2497" i="1"/>
  <c r="AB2497" i="1"/>
  <c r="AF2497" i="1"/>
  <c r="AC2498" i="1"/>
  <c r="AJ2497" i="1"/>
  <c r="AK2497" i="1"/>
  <c r="AM2497" i="1"/>
  <c r="BF2497" i="1"/>
  <c r="BG2497" i="1"/>
  <c r="T2498" i="1"/>
  <c r="U2498" i="1"/>
  <c r="V2498" i="1"/>
  <c r="W2498" i="1"/>
  <c r="AB2498" i="1"/>
  <c r="AF2498" i="1"/>
  <c r="AC2499" i="1"/>
  <c r="AJ2498" i="1"/>
  <c r="AK2498" i="1"/>
  <c r="AM2498" i="1"/>
  <c r="BF2498" i="1"/>
  <c r="BG2498" i="1"/>
  <c r="T2499" i="1"/>
  <c r="U2499" i="1"/>
  <c r="V2499" i="1"/>
  <c r="W2499" i="1"/>
  <c r="AB2499" i="1"/>
  <c r="AF2499" i="1"/>
  <c r="K2500" i="1"/>
  <c r="AC2500" i="1"/>
  <c r="AJ2499" i="1"/>
  <c r="AK2499" i="1"/>
  <c r="AM2499" i="1"/>
  <c r="BF2499" i="1"/>
  <c r="BG2499" i="1"/>
  <c r="T2500" i="1"/>
  <c r="U2500" i="1"/>
  <c r="V2500" i="1"/>
  <c r="W2500" i="1"/>
  <c r="AB2500" i="1"/>
  <c r="AF2500" i="1"/>
  <c r="AC2501" i="1"/>
  <c r="AJ2500" i="1"/>
  <c r="AK2500" i="1"/>
  <c r="AM2500" i="1"/>
  <c r="BF2500" i="1"/>
  <c r="BG2500" i="1"/>
  <c r="T2501" i="1"/>
  <c r="U2501" i="1"/>
  <c r="V2501" i="1"/>
  <c r="W2501" i="1"/>
  <c r="AB2501" i="1"/>
  <c r="AF2501" i="1"/>
  <c r="AC2502" i="1"/>
  <c r="AJ2501" i="1"/>
  <c r="AK2501" i="1"/>
  <c r="AM2501" i="1"/>
  <c r="BF2501" i="1"/>
  <c r="BG2501" i="1"/>
  <c r="T2502" i="1"/>
  <c r="U2502" i="1"/>
  <c r="V2502" i="1"/>
  <c r="W2502" i="1"/>
  <c r="AB2502" i="1"/>
  <c r="AF2502" i="1"/>
  <c r="K2503" i="1"/>
  <c r="AC2503" i="1"/>
  <c r="AJ2502" i="1"/>
  <c r="AK2502" i="1"/>
  <c r="AM2502" i="1"/>
  <c r="BF2502" i="1"/>
  <c r="BG2502" i="1"/>
  <c r="T2503" i="1"/>
  <c r="U2503" i="1"/>
  <c r="V2503" i="1"/>
  <c r="W2503" i="1"/>
  <c r="AB2503" i="1"/>
  <c r="AF2503" i="1"/>
  <c r="K2504" i="1"/>
  <c r="AC2504" i="1"/>
  <c r="AJ2503" i="1"/>
  <c r="AK2503" i="1"/>
  <c r="AM2503" i="1"/>
  <c r="BF2503" i="1"/>
  <c r="BG2503" i="1"/>
  <c r="T2504" i="1"/>
  <c r="U2504" i="1"/>
  <c r="V2504" i="1"/>
  <c r="W2504" i="1"/>
  <c r="AB2504" i="1"/>
  <c r="AF2504" i="1"/>
  <c r="AC2505" i="1"/>
  <c r="AJ2504" i="1"/>
  <c r="AK2504" i="1"/>
  <c r="AM2504" i="1"/>
  <c r="BF2504" i="1"/>
  <c r="BG2504" i="1"/>
  <c r="T2505" i="1"/>
  <c r="U2505" i="1"/>
  <c r="V2505" i="1"/>
  <c r="W2505" i="1"/>
  <c r="AB2505" i="1"/>
  <c r="AF2505" i="1"/>
  <c r="AC2506" i="1"/>
  <c r="AJ2505" i="1"/>
  <c r="AK2505" i="1"/>
  <c r="AM2505" i="1"/>
  <c r="BF2505" i="1"/>
  <c r="BG2505" i="1"/>
  <c r="T2506" i="1"/>
  <c r="U2506" i="1"/>
  <c r="V2506" i="1"/>
  <c r="W2506" i="1"/>
  <c r="AB2506" i="1"/>
  <c r="AF2506" i="1"/>
  <c r="K2507" i="1"/>
  <c r="AC2507" i="1"/>
  <c r="AJ2506" i="1"/>
  <c r="AK2506" i="1"/>
  <c r="AM2506" i="1"/>
  <c r="BF2506" i="1"/>
  <c r="BG2506" i="1"/>
  <c r="T2507" i="1"/>
  <c r="U2507" i="1"/>
  <c r="V2507" i="1"/>
  <c r="W2507" i="1"/>
  <c r="AB2507" i="1"/>
  <c r="AF2507" i="1"/>
  <c r="K2508" i="1"/>
  <c r="AC2508" i="1"/>
  <c r="AJ2507" i="1"/>
  <c r="AK2507" i="1"/>
  <c r="AM2507" i="1"/>
  <c r="BF2507" i="1"/>
  <c r="BG2507" i="1"/>
  <c r="T2508" i="1"/>
  <c r="U2508" i="1"/>
  <c r="V2508" i="1"/>
  <c r="W2508" i="1"/>
  <c r="AB2508" i="1"/>
  <c r="AF2508" i="1"/>
  <c r="AC2509" i="1"/>
  <c r="AJ2508" i="1"/>
  <c r="AK2508" i="1"/>
  <c r="AM2508" i="1"/>
  <c r="BF2508" i="1"/>
  <c r="BG2508" i="1"/>
  <c r="T2509" i="1"/>
  <c r="U2509" i="1"/>
  <c r="V2509" i="1"/>
  <c r="W2509" i="1"/>
  <c r="AB2509" i="1"/>
  <c r="AF2509" i="1"/>
  <c r="AC2510" i="1"/>
  <c r="AJ2509" i="1"/>
  <c r="AK2509" i="1"/>
  <c r="AM2509" i="1"/>
  <c r="BF2509" i="1"/>
  <c r="BG2509" i="1"/>
  <c r="T2510" i="1"/>
  <c r="U2510" i="1"/>
  <c r="V2510" i="1"/>
  <c r="W2510" i="1"/>
  <c r="AB2510" i="1"/>
  <c r="AF2510" i="1"/>
  <c r="K2511" i="1"/>
  <c r="AC2511" i="1"/>
  <c r="AJ2510" i="1"/>
  <c r="AK2510" i="1"/>
  <c r="AM2510" i="1"/>
  <c r="BF2510" i="1"/>
  <c r="BG2510" i="1"/>
  <c r="T2511" i="1"/>
  <c r="U2511" i="1"/>
  <c r="V2511" i="1"/>
  <c r="W2511" i="1"/>
  <c r="AB2511" i="1"/>
  <c r="AF2511" i="1"/>
  <c r="AC2512" i="1"/>
  <c r="AJ2511" i="1"/>
  <c r="AK2511" i="1"/>
  <c r="AM2511" i="1"/>
  <c r="BF2511" i="1"/>
  <c r="BG2511" i="1"/>
  <c r="T2512" i="1"/>
  <c r="U2512" i="1"/>
  <c r="V2512" i="1"/>
  <c r="W2512" i="1"/>
  <c r="AB2512" i="1"/>
  <c r="AF2512" i="1"/>
  <c r="AC2513" i="1"/>
  <c r="AJ2512" i="1"/>
  <c r="AK2512" i="1"/>
  <c r="AM2512" i="1"/>
  <c r="BF2512" i="1"/>
  <c r="BG2512" i="1"/>
  <c r="T2513" i="1"/>
  <c r="U2513" i="1"/>
  <c r="V2513" i="1"/>
  <c r="W2513" i="1"/>
  <c r="AB2513" i="1"/>
  <c r="AF2513" i="1"/>
  <c r="K2514" i="1"/>
  <c r="AC2514" i="1"/>
  <c r="AJ2513" i="1"/>
  <c r="AK2513" i="1"/>
  <c r="AM2513" i="1"/>
  <c r="BF2513" i="1"/>
  <c r="BG2513" i="1"/>
  <c r="T2514" i="1"/>
  <c r="U2514" i="1"/>
  <c r="V2514" i="1"/>
  <c r="W2514" i="1"/>
  <c r="AB2514" i="1"/>
  <c r="AF2514" i="1"/>
  <c r="AC2515" i="1"/>
  <c r="AJ2514" i="1"/>
  <c r="AK2514" i="1"/>
  <c r="AM2514" i="1"/>
  <c r="BF2514" i="1"/>
  <c r="BG2514" i="1"/>
  <c r="T2515" i="1"/>
  <c r="U2515" i="1"/>
  <c r="V2515" i="1"/>
  <c r="W2515" i="1"/>
  <c r="AB2515" i="1"/>
  <c r="AF2515" i="1"/>
  <c r="AC2516" i="1"/>
  <c r="AJ2515" i="1"/>
  <c r="AK2515" i="1"/>
  <c r="AM2515" i="1"/>
  <c r="BF2515" i="1"/>
  <c r="BG2515" i="1"/>
  <c r="T2516" i="1"/>
  <c r="U2516" i="1"/>
  <c r="V2516" i="1"/>
  <c r="W2516" i="1"/>
  <c r="AB2516" i="1"/>
  <c r="AF2516" i="1"/>
  <c r="K2517" i="1"/>
  <c r="AC2517" i="1"/>
  <c r="AJ2516" i="1"/>
  <c r="AK2516" i="1"/>
  <c r="AM2516" i="1"/>
  <c r="BF2516" i="1"/>
  <c r="BG2516" i="1"/>
  <c r="T2517" i="1"/>
  <c r="U2517" i="1"/>
  <c r="V2517" i="1"/>
  <c r="W2517" i="1"/>
  <c r="AB2517" i="1"/>
  <c r="AF2517" i="1"/>
  <c r="K2518" i="1"/>
  <c r="AC2518" i="1"/>
  <c r="AJ2517" i="1"/>
  <c r="AK2517" i="1"/>
  <c r="AM2517" i="1"/>
  <c r="BF2517" i="1"/>
  <c r="BG2517" i="1"/>
  <c r="T2518" i="1"/>
  <c r="U2518" i="1"/>
  <c r="V2518" i="1"/>
  <c r="W2518" i="1"/>
  <c r="AB2518" i="1"/>
  <c r="AF2518" i="1"/>
  <c r="K2519" i="1"/>
  <c r="AC2519" i="1"/>
  <c r="AJ2518" i="1"/>
  <c r="AK2518" i="1"/>
  <c r="AM2518" i="1"/>
  <c r="BF2518" i="1"/>
  <c r="BG2518" i="1"/>
  <c r="T2519" i="1"/>
  <c r="U2519" i="1"/>
  <c r="V2519" i="1"/>
  <c r="W2519" i="1"/>
  <c r="AB2519" i="1"/>
  <c r="AF2519" i="1"/>
  <c r="K2520" i="1"/>
  <c r="AC2520" i="1"/>
  <c r="AJ2519" i="1"/>
  <c r="AK2519" i="1"/>
  <c r="AM2519" i="1"/>
  <c r="BF2519" i="1"/>
  <c r="BG2519" i="1"/>
  <c r="T2520" i="1"/>
  <c r="U2520" i="1"/>
  <c r="V2520" i="1"/>
  <c r="W2520" i="1"/>
  <c r="AB2520" i="1"/>
  <c r="AF2520" i="1"/>
  <c r="K2521" i="1"/>
  <c r="AC2521" i="1"/>
  <c r="AJ2520" i="1"/>
  <c r="AK2520" i="1"/>
  <c r="AM2520" i="1"/>
  <c r="BF2520" i="1"/>
  <c r="BG2520" i="1"/>
  <c r="T2521" i="1"/>
  <c r="U2521" i="1"/>
  <c r="V2521" i="1"/>
  <c r="W2521" i="1"/>
  <c r="AB2521" i="1"/>
  <c r="AF2521" i="1"/>
  <c r="K2522" i="1"/>
  <c r="AC2522" i="1"/>
  <c r="AJ2521" i="1"/>
  <c r="AK2521" i="1"/>
  <c r="AM2521" i="1"/>
  <c r="BF2521" i="1"/>
  <c r="BG2521" i="1"/>
  <c r="T2522" i="1"/>
  <c r="U2522" i="1"/>
  <c r="V2522" i="1"/>
  <c r="W2522" i="1"/>
  <c r="AB2522" i="1"/>
  <c r="AF2522" i="1"/>
  <c r="AC2523" i="1"/>
  <c r="AJ2522" i="1"/>
  <c r="AK2522" i="1"/>
  <c r="AM2522" i="1"/>
  <c r="BF2522" i="1"/>
  <c r="BG2522" i="1"/>
  <c r="T2523" i="1"/>
  <c r="U2523" i="1"/>
  <c r="V2523" i="1"/>
  <c r="W2523" i="1"/>
  <c r="AB2523" i="1"/>
  <c r="AF2523" i="1"/>
  <c r="AC2524" i="1"/>
  <c r="AJ2523" i="1"/>
  <c r="AK2523" i="1"/>
  <c r="AM2523" i="1"/>
  <c r="BF2523" i="1"/>
  <c r="BG2523" i="1"/>
  <c r="T2524" i="1"/>
  <c r="U2524" i="1"/>
  <c r="V2524" i="1"/>
  <c r="W2524" i="1"/>
  <c r="AB2524" i="1"/>
  <c r="AF2524" i="1"/>
  <c r="K2525" i="1"/>
  <c r="AC2525" i="1"/>
  <c r="AJ2524" i="1"/>
  <c r="AK2524" i="1"/>
  <c r="AM2524" i="1"/>
  <c r="BF2524" i="1"/>
  <c r="BG2524" i="1"/>
  <c r="T2525" i="1"/>
  <c r="U2525" i="1"/>
  <c r="V2525" i="1"/>
  <c r="W2525" i="1"/>
  <c r="AB2525" i="1"/>
  <c r="AF2525" i="1"/>
  <c r="AC2526" i="1"/>
  <c r="AJ2525" i="1"/>
  <c r="AK2525" i="1"/>
  <c r="AM2525" i="1"/>
  <c r="BF2525" i="1"/>
  <c r="BG2525" i="1"/>
  <c r="T2526" i="1"/>
  <c r="U2526" i="1"/>
  <c r="V2526" i="1"/>
  <c r="W2526" i="1"/>
  <c r="AB2526" i="1"/>
  <c r="AF2526" i="1"/>
  <c r="AC2527" i="1"/>
  <c r="AJ2526" i="1"/>
  <c r="AK2526" i="1"/>
  <c r="AM2526" i="1"/>
  <c r="BF2526" i="1"/>
  <c r="BG2526" i="1"/>
  <c r="T2527" i="1"/>
  <c r="U2527" i="1"/>
  <c r="V2527" i="1"/>
  <c r="W2527" i="1"/>
  <c r="AB2527" i="1"/>
  <c r="AF2527" i="1"/>
  <c r="K2528" i="1"/>
  <c r="AC2528" i="1"/>
  <c r="AJ2527" i="1"/>
  <c r="AK2527" i="1"/>
  <c r="AM2527" i="1"/>
  <c r="BF2527" i="1"/>
  <c r="BG2527" i="1"/>
  <c r="T2528" i="1"/>
  <c r="U2528" i="1"/>
  <c r="V2528" i="1"/>
  <c r="W2528" i="1"/>
  <c r="AB2528" i="1"/>
  <c r="AF2528" i="1"/>
  <c r="AC2529" i="1"/>
  <c r="AJ2528" i="1"/>
  <c r="AK2528" i="1"/>
  <c r="AM2528" i="1"/>
  <c r="BF2528" i="1"/>
  <c r="BG2528" i="1"/>
  <c r="T2529" i="1"/>
  <c r="U2529" i="1"/>
  <c r="V2529" i="1"/>
  <c r="W2529" i="1"/>
  <c r="AB2529" i="1"/>
  <c r="AF2529" i="1"/>
  <c r="AC2530" i="1"/>
  <c r="AJ2529" i="1"/>
  <c r="AK2529" i="1"/>
  <c r="AM2529" i="1"/>
  <c r="BF2529" i="1"/>
  <c r="BG2529" i="1"/>
  <c r="T2530" i="1"/>
  <c r="U2530" i="1"/>
  <c r="V2530" i="1"/>
  <c r="W2530" i="1"/>
  <c r="AB2530" i="1"/>
  <c r="AF2530" i="1"/>
  <c r="K2531" i="1"/>
  <c r="AC2531" i="1"/>
  <c r="AJ2530" i="1"/>
  <c r="AK2530" i="1"/>
  <c r="AM2530" i="1"/>
  <c r="BF2530" i="1"/>
  <c r="BG2530" i="1"/>
  <c r="T2531" i="1"/>
  <c r="U2531" i="1"/>
  <c r="V2531" i="1"/>
  <c r="W2531" i="1"/>
  <c r="AB2531" i="1"/>
  <c r="AF2531" i="1"/>
  <c r="K2532" i="1"/>
  <c r="AC2532" i="1"/>
  <c r="AJ2531" i="1"/>
  <c r="AK2531" i="1"/>
  <c r="AM2531" i="1"/>
  <c r="BF2531" i="1"/>
  <c r="BG2531" i="1"/>
  <c r="T2532" i="1"/>
  <c r="U2532" i="1"/>
  <c r="V2532" i="1"/>
  <c r="W2532" i="1"/>
  <c r="AB2532" i="1"/>
  <c r="AF2532" i="1"/>
  <c r="K2533" i="1"/>
  <c r="AC2533" i="1"/>
  <c r="AJ2532" i="1"/>
  <c r="AK2532" i="1"/>
  <c r="AM2532" i="1"/>
  <c r="BF2532" i="1"/>
  <c r="BG2532" i="1"/>
  <c r="T2533" i="1"/>
  <c r="U2533" i="1"/>
  <c r="V2533" i="1"/>
  <c r="W2533" i="1"/>
  <c r="AB2533" i="1"/>
  <c r="AF2533" i="1"/>
  <c r="K2534" i="1"/>
  <c r="AC2534" i="1"/>
  <c r="AJ2533" i="1"/>
  <c r="AK2533" i="1"/>
  <c r="AM2533" i="1"/>
  <c r="BF2533" i="1"/>
  <c r="BG2533" i="1"/>
  <c r="T2534" i="1"/>
  <c r="U2534" i="1"/>
  <c r="V2534" i="1"/>
  <c r="W2534" i="1"/>
  <c r="AB2534" i="1"/>
  <c r="AF2534" i="1"/>
  <c r="K2535" i="1"/>
  <c r="AC2535" i="1"/>
  <c r="AJ2534" i="1"/>
  <c r="AK2534" i="1"/>
  <c r="AM2534" i="1"/>
  <c r="BF2534" i="1"/>
  <c r="BG2534" i="1"/>
  <c r="T2535" i="1"/>
  <c r="U2535" i="1"/>
  <c r="V2535" i="1"/>
  <c r="W2535" i="1"/>
  <c r="AB2535" i="1"/>
  <c r="AF2535" i="1"/>
  <c r="K2536" i="1"/>
  <c r="AC2536" i="1"/>
  <c r="AJ2535" i="1"/>
  <c r="AK2535" i="1"/>
  <c r="AM2535" i="1"/>
  <c r="BF2535" i="1"/>
  <c r="BG2535" i="1"/>
  <c r="T2536" i="1"/>
  <c r="U2536" i="1"/>
  <c r="V2536" i="1"/>
  <c r="W2536" i="1"/>
  <c r="AB2536" i="1"/>
  <c r="AF2536" i="1"/>
  <c r="K2537" i="1"/>
  <c r="AC2537" i="1"/>
  <c r="AJ2536" i="1"/>
  <c r="AK2536" i="1"/>
  <c r="AM2536" i="1"/>
  <c r="BF2536" i="1"/>
  <c r="BG2536" i="1"/>
  <c r="T2537" i="1"/>
  <c r="U2537" i="1"/>
  <c r="V2537" i="1"/>
  <c r="W2537" i="1"/>
  <c r="AB2537" i="1"/>
  <c r="AF2537" i="1"/>
  <c r="K2538" i="1"/>
  <c r="AC2538" i="1"/>
  <c r="AJ2537" i="1"/>
  <c r="AK2537" i="1"/>
  <c r="AM2537" i="1"/>
  <c r="BF2537" i="1"/>
  <c r="BG2537" i="1"/>
  <c r="T2538" i="1"/>
  <c r="U2538" i="1"/>
  <c r="V2538" i="1"/>
  <c r="W2538" i="1"/>
  <c r="AB2538" i="1"/>
  <c r="AF2538" i="1"/>
  <c r="AC2539" i="1"/>
  <c r="AJ2538" i="1"/>
  <c r="AK2538" i="1"/>
  <c r="AM2538" i="1"/>
  <c r="BF2538" i="1"/>
  <c r="BG2538" i="1"/>
  <c r="T2539" i="1"/>
  <c r="U2539" i="1"/>
  <c r="V2539" i="1"/>
  <c r="W2539" i="1"/>
  <c r="AB2539" i="1"/>
  <c r="AF2539" i="1"/>
  <c r="AC2540" i="1"/>
  <c r="AJ2539" i="1"/>
  <c r="AK2539" i="1"/>
  <c r="AM2539" i="1"/>
  <c r="BF2539" i="1"/>
  <c r="BG2539" i="1"/>
  <c r="T2540" i="1"/>
  <c r="U2540" i="1"/>
  <c r="V2540" i="1"/>
  <c r="W2540" i="1"/>
  <c r="AB2540" i="1"/>
  <c r="AF2540" i="1"/>
  <c r="K2541" i="1"/>
  <c r="AC2541" i="1"/>
  <c r="AJ2540" i="1"/>
  <c r="AK2540" i="1"/>
  <c r="AM2540" i="1"/>
  <c r="BF2540" i="1"/>
  <c r="BG2540" i="1"/>
  <c r="T2541" i="1"/>
  <c r="U2541" i="1"/>
  <c r="V2541" i="1"/>
  <c r="W2541" i="1"/>
  <c r="AB2541" i="1"/>
  <c r="AF2541" i="1"/>
  <c r="AC2542" i="1"/>
  <c r="AJ2541" i="1"/>
  <c r="AK2541" i="1"/>
  <c r="AM2541" i="1"/>
  <c r="BF2541" i="1"/>
  <c r="BG2541" i="1"/>
  <c r="T2542" i="1"/>
  <c r="U2542" i="1"/>
  <c r="V2542" i="1"/>
  <c r="W2542" i="1"/>
  <c r="AB2542" i="1"/>
  <c r="AF2542" i="1"/>
  <c r="AC2543" i="1"/>
  <c r="AJ2542" i="1"/>
  <c r="AK2542" i="1"/>
  <c r="AM2542" i="1"/>
  <c r="BF2542" i="1"/>
  <c r="BG2542" i="1"/>
  <c r="T2543" i="1"/>
  <c r="U2543" i="1"/>
  <c r="V2543" i="1"/>
  <c r="W2543" i="1"/>
  <c r="AB2543" i="1"/>
  <c r="AF2543" i="1"/>
  <c r="AC2544" i="1"/>
  <c r="AJ2543" i="1"/>
  <c r="AK2543" i="1"/>
  <c r="AM2543" i="1"/>
  <c r="BF2543" i="1"/>
  <c r="BG2543" i="1"/>
  <c r="T2544" i="1"/>
  <c r="U2544" i="1"/>
  <c r="V2544" i="1"/>
  <c r="W2544" i="1"/>
  <c r="AB2544" i="1"/>
  <c r="AF2544" i="1"/>
  <c r="K2545" i="1"/>
  <c r="AC2545" i="1"/>
  <c r="AJ2544" i="1"/>
  <c r="AK2544" i="1"/>
  <c r="AM2544" i="1"/>
  <c r="BF2544" i="1"/>
  <c r="BG2544" i="1"/>
  <c r="T2545" i="1"/>
  <c r="U2545" i="1"/>
  <c r="V2545" i="1"/>
  <c r="W2545" i="1"/>
  <c r="AB2545" i="1"/>
  <c r="AF2545" i="1"/>
  <c r="K2546" i="1"/>
  <c r="AC2546" i="1"/>
  <c r="AJ2545" i="1"/>
  <c r="AK2545" i="1"/>
  <c r="AM2545" i="1"/>
  <c r="BF2545" i="1"/>
  <c r="BG2545" i="1"/>
  <c r="T2546" i="1"/>
  <c r="U2546" i="1"/>
  <c r="V2546" i="1"/>
  <c r="W2546" i="1"/>
  <c r="AB2546" i="1"/>
  <c r="AF2546" i="1"/>
  <c r="AC2547" i="1"/>
  <c r="AJ2546" i="1"/>
  <c r="AK2546" i="1"/>
  <c r="AM2546" i="1"/>
  <c r="BF2546" i="1"/>
  <c r="BG2546" i="1"/>
  <c r="T2547" i="1"/>
  <c r="U2547" i="1"/>
  <c r="V2547" i="1"/>
  <c r="W2547" i="1"/>
  <c r="AB2547" i="1"/>
  <c r="AF2547" i="1"/>
  <c r="AC2548" i="1"/>
  <c r="AJ2547" i="1"/>
  <c r="AK2547" i="1"/>
  <c r="AM2547" i="1"/>
  <c r="BF2547" i="1"/>
  <c r="BG2547" i="1"/>
  <c r="T2548" i="1"/>
  <c r="U2548" i="1"/>
  <c r="V2548" i="1"/>
  <c r="W2548" i="1"/>
  <c r="AB2548" i="1"/>
  <c r="AF2548" i="1"/>
  <c r="K2549" i="1"/>
  <c r="AC2549" i="1"/>
  <c r="AJ2548" i="1"/>
  <c r="AK2548" i="1"/>
  <c r="AM2548" i="1"/>
  <c r="BF2548" i="1"/>
  <c r="BG2548" i="1"/>
  <c r="T2549" i="1"/>
  <c r="U2549" i="1"/>
  <c r="V2549" i="1"/>
  <c r="W2549" i="1"/>
  <c r="AB2549" i="1"/>
  <c r="AF2549" i="1"/>
  <c r="AC2550" i="1"/>
  <c r="AJ2549" i="1"/>
  <c r="AK2549" i="1"/>
  <c r="AM2549" i="1"/>
  <c r="BF2549" i="1"/>
  <c r="BG2549" i="1"/>
  <c r="T2550" i="1"/>
  <c r="U2550" i="1"/>
  <c r="V2550" i="1"/>
  <c r="W2550" i="1"/>
  <c r="AB2550" i="1"/>
  <c r="AF2550" i="1"/>
  <c r="AC2551" i="1"/>
  <c r="AJ2550" i="1"/>
  <c r="AK2550" i="1"/>
  <c r="AM2550" i="1"/>
  <c r="BF2550" i="1"/>
  <c r="BG2550" i="1"/>
  <c r="T2551" i="1"/>
  <c r="U2551" i="1"/>
  <c r="V2551" i="1"/>
  <c r="W2551" i="1"/>
  <c r="AB2551" i="1"/>
  <c r="AF2551" i="1"/>
  <c r="K2552" i="1"/>
  <c r="AC2552" i="1"/>
  <c r="AJ2551" i="1"/>
  <c r="AK2551" i="1"/>
  <c r="AM2551" i="1"/>
  <c r="BF2551" i="1"/>
  <c r="BG2551" i="1"/>
  <c r="T2552" i="1"/>
  <c r="U2552" i="1"/>
  <c r="V2552" i="1"/>
  <c r="W2552" i="1"/>
  <c r="AB2552" i="1"/>
  <c r="AF2552" i="1"/>
  <c r="K2553" i="1"/>
  <c r="AC2553" i="1"/>
  <c r="AJ2552" i="1"/>
  <c r="AK2552" i="1"/>
  <c r="AM2552" i="1"/>
  <c r="BF2552" i="1"/>
  <c r="BG2552" i="1"/>
  <c r="T2553" i="1"/>
  <c r="U2553" i="1"/>
  <c r="V2553" i="1"/>
  <c r="W2553" i="1"/>
  <c r="AB2553" i="1"/>
  <c r="AF2553" i="1"/>
  <c r="K2554" i="1"/>
  <c r="AC2554" i="1"/>
  <c r="AJ2553" i="1"/>
  <c r="AK2553" i="1"/>
  <c r="AM2553" i="1"/>
  <c r="BF2553" i="1"/>
  <c r="BG2553" i="1"/>
  <c r="T2554" i="1"/>
  <c r="U2554" i="1"/>
  <c r="V2554" i="1"/>
  <c r="W2554" i="1"/>
  <c r="AB2554" i="1"/>
  <c r="AF2554" i="1"/>
  <c r="K2555" i="1"/>
  <c r="AC2555" i="1"/>
  <c r="AJ2554" i="1"/>
  <c r="AK2554" i="1"/>
  <c r="AM2554" i="1"/>
  <c r="BF2554" i="1"/>
  <c r="BG2554" i="1"/>
  <c r="T2555" i="1"/>
  <c r="U2555" i="1"/>
  <c r="V2555" i="1"/>
  <c r="W2555" i="1"/>
  <c r="AB2555" i="1"/>
  <c r="AF2555" i="1"/>
  <c r="AC2556" i="1"/>
  <c r="AJ2555" i="1"/>
  <c r="AK2555" i="1"/>
  <c r="AM2555" i="1"/>
  <c r="BF2555" i="1"/>
  <c r="BG2555" i="1"/>
  <c r="T2556" i="1"/>
  <c r="U2556" i="1"/>
  <c r="V2556" i="1"/>
  <c r="W2556" i="1"/>
  <c r="AB2556" i="1"/>
  <c r="AF2556" i="1"/>
  <c r="AC2557" i="1"/>
  <c r="AJ2556" i="1"/>
  <c r="AK2556" i="1"/>
  <c r="AM2556" i="1"/>
  <c r="BF2556" i="1"/>
  <c r="BG2556" i="1"/>
  <c r="T2557" i="1"/>
  <c r="U2557" i="1"/>
  <c r="V2557" i="1"/>
  <c r="W2557" i="1"/>
  <c r="AB2557" i="1"/>
  <c r="AF2557" i="1"/>
  <c r="K2558" i="1"/>
  <c r="AC2558" i="1"/>
  <c r="AJ2557" i="1"/>
  <c r="AK2557" i="1"/>
  <c r="AM2557" i="1"/>
  <c r="BF2557" i="1"/>
  <c r="BG2557" i="1"/>
  <c r="T2558" i="1"/>
  <c r="U2558" i="1"/>
  <c r="V2558" i="1"/>
  <c r="W2558" i="1"/>
  <c r="AB2558" i="1"/>
  <c r="AF2558" i="1"/>
  <c r="K2559" i="1"/>
  <c r="AC2559" i="1"/>
  <c r="AJ2558" i="1"/>
  <c r="AK2558" i="1"/>
  <c r="AM2558" i="1"/>
  <c r="BF2558" i="1"/>
  <c r="BG2558" i="1"/>
  <c r="T2559" i="1"/>
  <c r="U2559" i="1"/>
  <c r="V2559" i="1"/>
  <c r="W2559" i="1"/>
  <c r="AB2559" i="1"/>
  <c r="AF2559" i="1"/>
  <c r="AC2560" i="1"/>
  <c r="AJ2559" i="1"/>
  <c r="AK2559" i="1"/>
  <c r="AM2559" i="1"/>
  <c r="BF2559" i="1"/>
  <c r="BG2559" i="1"/>
  <c r="T2560" i="1"/>
  <c r="U2560" i="1"/>
  <c r="V2560" i="1"/>
  <c r="W2560" i="1"/>
  <c r="AB2560" i="1"/>
  <c r="AF2560" i="1"/>
  <c r="AC2561" i="1"/>
  <c r="AJ2560" i="1"/>
  <c r="AK2560" i="1"/>
  <c r="AM2560" i="1"/>
  <c r="BF2560" i="1"/>
  <c r="BG2560" i="1"/>
  <c r="T2561" i="1"/>
  <c r="U2561" i="1"/>
  <c r="V2561" i="1"/>
  <c r="W2561" i="1"/>
  <c r="AB2561" i="1"/>
  <c r="AF2561" i="1"/>
  <c r="K2562" i="1"/>
  <c r="AC2562" i="1"/>
  <c r="AJ2561" i="1"/>
  <c r="AK2561" i="1"/>
  <c r="AM2561" i="1"/>
  <c r="BF2561" i="1"/>
  <c r="BG2561" i="1"/>
  <c r="T2562" i="1"/>
  <c r="U2562" i="1"/>
  <c r="V2562" i="1"/>
  <c r="W2562" i="1"/>
  <c r="AB2562" i="1"/>
  <c r="AF2562" i="1"/>
  <c r="K2563" i="1"/>
  <c r="AC2563" i="1"/>
  <c r="AJ2562" i="1"/>
  <c r="AK2562" i="1"/>
  <c r="AM2562" i="1"/>
  <c r="BF2562" i="1"/>
  <c r="BG2562" i="1"/>
  <c r="T2563" i="1"/>
  <c r="U2563" i="1"/>
  <c r="V2563" i="1"/>
  <c r="W2563" i="1"/>
  <c r="AB2563" i="1"/>
  <c r="AF2563" i="1"/>
  <c r="K2564" i="1"/>
  <c r="AC2564" i="1"/>
  <c r="AJ2563" i="1"/>
  <c r="AK2563" i="1"/>
  <c r="AM2563" i="1"/>
  <c r="BF2563" i="1"/>
  <c r="BG2563" i="1"/>
  <c r="T2564" i="1"/>
  <c r="U2564" i="1"/>
  <c r="V2564" i="1"/>
  <c r="W2564" i="1"/>
  <c r="AB2564" i="1"/>
  <c r="AF2564" i="1"/>
  <c r="K2565" i="1"/>
  <c r="AC2565" i="1"/>
  <c r="AJ2564" i="1"/>
  <c r="AK2564" i="1"/>
  <c r="AM2564" i="1"/>
  <c r="BF2564" i="1"/>
  <c r="BG2564" i="1"/>
  <c r="T2565" i="1"/>
  <c r="U2565" i="1"/>
  <c r="V2565" i="1"/>
  <c r="W2565" i="1"/>
  <c r="AB2565" i="1"/>
  <c r="AF2565" i="1"/>
  <c r="K2566" i="1"/>
  <c r="AC2566" i="1"/>
  <c r="AJ2565" i="1"/>
  <c r="AK2565" i="1"/>
  <c r="AM2565" i="1"/>
  <c r="BF2565" i="1"/>
  <c r="BG2565" i="1"/>
  <c r="T2566" i="1"/>
  <c r="U2566" i="1"/>
  <c r="V2566" i="1"/>
  <c r="W2566" i="1"/>
  <c r="AB2566" i="1"/>
  <c r="AF2566" i="1"/>
  <c r="AC2567" i="1"/>
  <c r="AJ2566" i="1"/>
  <c r="AK2566" i="1"/>
  <c r="AM2566" i="1"/>
  <c r="BF2566" i="1"/>
  <c r="BG2566" i="1"/>
  <c r="T2567" i="1"/>
  <c r="U2567" i="1"/>
  <c r="V2567" i="1"/>
  <c r="W2567" i="1"/>
  <c r="AB2567" i="1"/>
  <c r="AF2567" i="1"/>
  <c r="AC2568" i="1"/>
  <c r="AJ2567" i="1"/>
  <c r="AK2567" i="1"/>
  <c r="AM2567" i="1"/>
  <c r="BF2567" i="1"/>
  <c r="BG2567" i="1"/>
  <c r="T2568" i="1"/>
  <c r="U2568" i="1"/>
  <c r="V2568" i="1"/>
  <c r="W2568" i="1"/>
  <c r="AB2568" i="1"/>
  <c r="AF2568" i="1"/>
  <c r="K2569" i="1"/>
  <c r="AC2569" i="1"/>
  <c r="AJ2568" i="1"/>
  <c r="AK2568" i="1"/>
  <c r="AM2568" i="1"/>
  <c r="BF2568" i="1"/>
  <c r="BG2568" i="1"/>
  <c r="T2569" i="1"/>
  <c r="U2569" i="1"/>
  <c r="V2569" i="1"/>
  <c r="W2569" i="1"/>
  <c r="AB2569" i="1"/>
  <c r="AF2569" i="1"/>
  <c r="K2570" i="1"/>
  <c r="AC2570" i="1"/>
  <c r="AJ2569" i="1"/>
  <c r="AK2569" i="1"/>
  <c r="AM2569" i="1"/>
  <c r="BF2569" i="1"/>
  <c r="BG2569" i="1"/>
  <c r="T2570" i="1"/>
  <c r="U2570" i="1"/>
  <c r="V2570" i="1"/>
  <c r="W2570" i="1"/>
  <c r="AB2570" i="1"/>
  <c r="AF2570" i="1"/>
  <c r="K2571" i="1"/>
  <c r="AC2571" i="1"/>
  <c r="AJ2570" i="1"/>
  <c r="AK2570" i="1"/>
  <c r="AM2570" i="1"/>
  <c r="BF2570" i="1"/>
  <c r="BG2570" i="1"/>
  <c r="T2571" i="1"/>
  <c r="U2571" i="1"/>
  <c r="V2571" i="1"/>
  <c r="W2571" i="1"/>
  <c r="AB2571" i="1"/>
  <c r="AF2571" i="1"/>
  <c r="K2572" i="1"/>
  <c r="AC2572" i="1"/>
  <c r="AJ2571" i="1"/>
  <c r="AK2571" i="1"/>
  <c r="AM2571" i="1"/>
  <c r="BF2571" i="1"/>
  <c r="BG2571" i="1"/>
  <c r="T2572" i="1"/>
  <c r="U2572" i="1"/>
  <c r="V2572" i="1"/>
  <c r="W2572" i="1"/>
  <c r="AB2572" i="1"/>
  <c r="AF2572" i="1"/>
  <c r="AC2573" i="1"/>
  <c r="AJ2572" i="1"/>
  <c r="AK2572" i="1"/>
  <c r="AM2572" i="1"/>
  <c r="BF2572" i="1"/>
  <c r="BG2572" i="1"/>
  <c r="T2573" i="1"/>
  <c r="U2573" i="1"/>
  <c r="V2573" i="1"/>
  <c r="W2573" i="1"/>
  <c r="AB2573" i="1"/>
  <c r="AF2573" i="1"/>
  <c r="AC2574" i="1"/>
  <c r="AJ2573" i="1"/>
  <c r="AK2573" i="1"/>
  <c r="AM2573" i="1"/>
  <c r="BF2573" i="1"/>
  <c r="BG2573" i="1"/>
  <c r="T2574" i="1"/>
  <c r="U2574" i="1"/>
  <c r="V2574" i="1"/>
  <c r="W2574" i="1"/>
  <c r="AB2574" i="1"/>
  <c r="AF2574" i="1"/>
  <c r="K2575" i="1"/>
  <c r="AC2575" i="1"/>
  <c r="AJ2574" i="1"/>
  <c r="AK2574" i="1"/>
  <c r="AM2574" i="1"/>
  <c r="BF2574" i="1"/>
  <c r="BG2574" i="1"/>
  <c r="T2575" i="1"/>
  <c r="U2575" i="1"/>
  <c r="V2575" i="1"/>
  <c r="W2575" i="1"/>
  <c r="AB2575" i="1"/>
  <c r="AF2575" i="1"/>
  <c r="AC2576" i="1"/>
  <c r="AJ2575" i="1"/>
  <c r="AK2575" i="1"/>
  <c r="AM2575" i="1"/>
  <c r="BF2575" i="1"/>
  <c r="BG2575" i="1"/>
  <c r="T2576" i="1"/>
  <c r="U2576" i="1"/>
  <c r="V2576" i="1"/>
  <c r="W2576" i="1"/>
  <c r="AB2576" i="1"/>
  <c r="AF2576" i="1"/>
  <c r="AC2577" i="1"/>
  <c r="AJ2576" i="1"/>
  <c r="AK2576" i="1"/>
  <c r="AM2576" i="1"/>
  <c r="BF2576" i="1"/>
  <c r="BG2576" i="1"/>
  <c r="T2577" i="1"/>
  <c r="U2577" i="1"/>
  <c r="V2577" i="1"/>
  <c r="W2577" i="1"/>
  <c r="AB2577" i="1"/>
  <c r="AF2577" i="1"/>
  <c r="K2578" i="1"/>
  <c r="AC2578" i="1"/>
  <c r="AJ2577" i="1"/>
  <c r="AK2577" i="1"/>
  <c r="AM2577" i="1"/>
  <c r="BF2577" i="1"/>
  <c r="BG2577" i="1"/>
  <c r="T2578" i="1"/>
  <c r="U2578" i="1"/>
  <c r="V2578" i="1"/>
  <c r="W2578" i="1"/>
  <c r="AB2578" i="1"/>
  <c r="AF2578" i="1"/>
  <c r="K2579" i="1"/>
  <c r="AC2579" i="1"/>
  <c r="AJ2578" i="1"/>
  <c r="AK2578" i="1"/>
  <c r="AM2578" i="1"/>
  <c r="BF2578" i="1"/>
  <c r="BG2578" i="1"/>
  <c r="T2579" i="1"/>
  <c r="U2579" i="1"/>
  <c r="V2579" i="1"/>
  <c r="W2579" i="1"/>
  <c r="AB2579" i="1"/>
  <c r="AF2579" i="1"/>
  <c r="K2580" i="1"/>
  <c r="AC2580" i="1"/>
  <c r="AJ2579" i="1"/>
  <c r="AK2579" i="1"/>
  <c r="AM2579" i="1"/>
  <c r="BF2579" i="1"/>
  <c r="BG2579" i="1"/>
  <c r="T2580" i="1"/>
  <c r="U2580" i="1"/>
  <c r="V2580" i="1"/>
  <c r="W2580" i="1"/>
  <c r="AB2580" i="1"/>
  <c r="AF2580" i="1"/>
  <c r="K2581" i="1"/>
  <c r="AC2581" i="1"/>
  <c r="AJ2580" i="1"/>
  <c r="AK2580" i="1"/>
  <c r="AM2580" i="1"/>
  <c r="BF2580" i="1"/>
  <c r="BG2580" i="1"/>
  <c r="T2581" i="1"/>
  <c r="U2581" i="1"/>
  <c r="V2581" i="1"/>
  <c r="W2581" i="1"/>
  <c r="AB2581" i="1"/>
  <c r="AF2581" i="1"/>
  <c r="K2582" i="1"/>
  <c r="AC2582" i="1"/>
  <c r="AJ2581" i="1"/>
  <c r="AK2581" i="1"/>
  <c r="AM2581" i="1"/>
  <c r="BF2581" i="1"/>
  <c r="BG2581" i="1"/>
  <c r="T2582" i="1"/>
  <c r="U2582" i="1"/>
  <c r="V2582" i="1"/>
  <c r="W2582" i="1"/>
  <c r="AB2582" i="1"/>
  <c r="AF2582" i="1"/>
  <c r="K2583" i="1"/>
  <c r="AC2583" i="1"/>
  <c r="AJ2582" i="1"/>
  <c r="AK2582" i="1"/>
  <c r="AM2582" i="1"/>
  <c r="BF2582" i="1"/>
  <c r="BG2582" i="1"/>
  <c r="T2583" i="1"/>
  <c r="U2583" i="1"/>
  <c r="V2583" i="1"/>
  <c r="W2583" i="1"/>
  <c r="AB2583" i="1"/>
  <c r="AF2583" i="1"/>
  <c r="K2584" i="1"/>
  <c r="AC2584" i="1"/>
  <c r="AJ2583" i="1"/>
  <c r="AK2583" i="1"/>
  <c r="AM2583" i="1"/>
  <c r="BF2583" i="1"/>
  <c r="BG2583" i="1"/>
  <c r="T2584" i="1"/>
  <c r="U2584" i="1"/>
  <c r="V2584" i="1"/>
  <c r="W2584" i="1"/>
  <c r="AB2584" i="1"/>
  <c r="AF2584" i="1"/>
  <c r="K2585" i="1"/>
  <c r="AC2585" i="1"/>
  <c r="AJ2584" i="1"/>
  <c r="AK2584" i="1"/>
  <c r="AM2584" i="1"/>
  <c r="BF2584" i="1"/>
  <c r="BG2584" i="1"/>
  <c r="T2585" i="1"/>
  <c r="U2585" i="1"/>
  <c r="V2585" i="1"/>
  <c r="W2585" i="1"/>
  <c r="AB2585" i="1"/>
  <c r="AF2585" i="1"/>
  <c r="K2586" i="1"/>
  <c r="AC2586" i="1"/>
  <c r="AJ2585" i="1"/>
  <c r="AK2585" i="1"/>
  <c r="AM2585" i="1"/>
  <c r="BF2585" i="1"/>
  <c r="BG2585" i="1"/>
  <c r="T2586" i="1"/>
  <c r="U2586" i="1"/>
  <c r="V2586" i="1"/>
  <c r="W2586" i="1"/>
  <c r="AB2586" i="1"/>
  <c r="AF2586" i="1"/>
  <c r="K2587" i="1"/>
  <c r="AC2587" i="1"/>
  <c r="AJ2586" i="1"/>
  <c r="AK2586" i="1"/>
  <c r="AM2586" i="1"/>
  <c r="BF2586" i="1"/>
  <c r="BG2586" i="1"/>
  <c r="T2587" i="1"/>
  <c r="U2587" i="1"/>
  <c r="V2587" i="1"/>
  <c r="W2587" i="1"/>
  <c r="AB2587" i="1"/>
  <c r="AF2587" i="1"/>
  <c r="K2588" i="1"/>
  <c r="AC2588" i="1"/>
  <c r="AJ2587" i="1"/>
  <c r="AK2587" i="1"/>
  <c r="AM2587" i="1"/>
  <c r="BF2587" i="1"/>
  <c r="BG2587" i="1"/>
  <c r="T2588" i="1"/>
  <c r="U2588" i="1"/>
  <c r="V2588" i="1"/>
  <c r="W2588" i="1"/>
  <c r="AB2588" i="1"/>
  <c r="AF2588" i="1"/>
  <c r="AC2589" i="1"/>
  <c r="AJ2588" i="1"/>
  <c r="AK2588" i="1"/>
  <c r="AM2588" i="1"/>
  <c r="BF2588" i="1"/>
  <c r="BG2588" i="1"/>
  <c r="T2589" i="1"/>
  <c r="U2589" i="1"/>
  <c r="V2589" i="1"/>
  <c r="W2589" i="1"/>
  <c r="AB2589" i="1"/>
  <c r="AF2589" i="1"/>
  <c r="AC2590" i="1"/>
  <c r="AJ2589" i="1"/>
  <c r="AK2589" i="1"/>
  <c r="AM2589" i="1"/>
  <c r="BF2589" i="1"/>
  <c r="BG2589" i="1"/>
  <c r="T2590" i="1"/>
  <c r="U2590" i="1"/>
  <c r="V2590" i="1"/>
  <c r="W2590" i="1"/>
  <c r="AB2590" i="1"/>
  <c r="AF2590" i="1"/>
  <c r="K2591" i="1"/>
  <c r="AC2591" i="1"/>
  <c r="AJ2590" i="1"/>
  <c r="AK2590" i="1"/>
  <c r="AM2590" i="1"/>
  <c r="BF2590" i="1"/>
  <c r="BG2590" i="1"/>
  <c r="T2591" i="1"/>
  <c r="U2591" i="1"/>
  <c r="V2591" i="1"/>
  <c r="W2591" i="1"/>
  <c r="AB2591" i="1"/>
  <c r="AF2591" i="1"/>
  <c r="K2592" i="1"/>
  <c r="AC2592" i="1"/>
  <c r="AJ2591" i="1"/>
  <c r="AK2591" i="1"/>
  <c r="AM2591" i="1"/>
  <c r="BF2591" i="1"/>
  <c r="BG2591" i="1"/>
  <c r="T2592" i="1"/>
  <c r="U2592" i="1"/>
  <c r="V2592" i="1"/>
  <c r="W2592" i="1"/>
  <c r="AB2592" i="1"/>
  <c r="AF2592" i="1"/>
  <c r="K2593" i="1"/>
  <c r="AC2593" i="1"/>
  <c r="AJ2592" i="1"/>
  <c r="AK2592" i="1"/>
  <c r="AM2592" i="1"/>
  <c r="BF2592" i="1"/>
  <c r="BG2592" i="1"/>
  <c r="T2593" i="1"/>
  <c r="U2593" i="1"/>
  <c r="V2593" i="1"/>
  <c r="W2593" i="1"/>
  <c r="AB2593" i="1"/>
  <c r="AF2593" i="1"/>
  <c r="K2594" i="1"/>
  <c r="AC2594" i="1"/>
  <c r="AJ2593" i="1"/>
  <c r="AK2593" i="1"/>
  <c r="AM2593" i="1"/>
  <c r="BF2593" i="1"/>
  <c r="BG2593" i="1"/>
  <c r="T2594" i="1"/>
  <c r="U2594" i="1"/>
  <c r="V2594" i="1"/>
  <c r="W2594" i="1"/>
  <c r="AB2594" i="1"/>
  <c r="AF2594" i="1"/>
  <c r="K2595" i="1"/>
  <c r="AC2595" i="1"/>
  <c r="AJ2594" i="1"/>
  <c r="AK2594" i="1"/>
  <c r="AM2594" i="1"/>
  <c r="BF2594" i="1"/>
  <c r="BG2594" i="1"/>
  <c r="T2595" i="1"/>
  <c r="U2595" i="1"/>
  <c r="V2595" i="1"/>
  <c r="W2595" i="1"/>
  <c r="AB2595" i="1"/>
  <c r="AF2595" i="1"/>
  <c r="K2596" i="1"/>
  <c r="AC2596" i="1"/>
  <c r="AJ2595" i="1"/>
  <c r="AK2595" i="1"/>
  <c r="AM2595" i="1"/>
  <c r="BF2595" i="1"/>
  <c r="BG2595" i="1"/>
  <c r="T2596" i="1"/>
  <c r="U2596" i="1"/>
  <c r="V2596" i="1"/>
  <c r="W2596" i="1"/>
  <c r="AB2596" i="1"/>
  <c r="AF2596" i="1"/>
  <c r="K2597" i="1"/>
  <c r="AC2597" i="1"/>
  <c r="AJ2596" i="1"/>
  <c r="AK2596" i="1"/>
  <c r="AM2596" i="1"/>
  <c r="BF2596" i="1"/>
  <c r="BG2596" i="1"/>
  <c r="T2597" i="1"/>
  <c r="U2597" i="1"/>
  <c r="V2597" i="1"/>
  <c r="W2597" i="1"/>
  <c r="AB2597" i="1"/>
  <c r="AF2597" i="1"/>
  <c r="K2598" i="1"/>
  <c r="AC2598" i="1"/>
  <c r="AJ2597" i="1"/>
  <c r="AK2597" i="1"/>
  <c r="AM2597" i="1"/>
  <c r="BF2597" i="1"/>
  <c r="BG2597" i="1"/>
  <c r="T2598" i="1"/>
  <c r="U2598" i="1"/>
  <c r="V2598" i="1"/>
  <c r="W2598" i="1"/>
  <c r="AB2598" i="1"/>
  <c r="AF2598" i="1"/>
  <c r="AC2599" i="1"/>
  <c r="AJ2598" i="1"/>
  <c r="AK2598" i="1"/>
  <c r="AM2598" i="1"/>
  <c r="BF2598" i="1"/>
  <c r="BG2598" i="1"/>
  <c r="T2599" i="1"/>
  <c r="U2599" i="1"/>
  <c r="V2599" i="1"/>
  <c r="W2599" i="1"/>
  <c r="AB2599" i="1"/>
  <c r="AF2599" i="1"/>
  <c r="AC2600" i="1"/>
  <c r="AJ2599" i="1"/>
  <c r="AK2599" i="1"/>
  <c r="AM2599" i="1"/>
  <c r="BF2599" i="1"/>
  <c r="BG2599" i="1"/>
  <c r="T2600" i="1"/>
  <c r="U2600" i="1"/>
  <c r="V2600" i="1"/>
  <c r="W2600" i="1"/>
  <c r="AB2600" i="1"/>
  <c r="AF2600" i="1"/>
  <c r="K2601" i="1"/>
  <c r="AC2601" i="1"/>
  <c r="AJ2600" i="1"/>
  <c r="AK2600" i="1"/>
  <c r="AM2600" i="1"/>
  <c r="BF2600" i="1"/>
  <c r="BG2600" i="1"/>
  <c r="T2601" i="1"/>
  <c r="U2601" i="1"/>
  <c r="V2601" i="1"/>
  <c r="W2601" i="1"/>
  <c r="AB2601" i="1"/>
  <c r="AF2601" i="1"/>
  <c r="AC2602" i="1"/>
  <c r="AJ2601" i="1"/>
  <c r="AK2601" i="1"/>
  <c r="AM2601" i="1"/>
  <c r="BF2601" i="1"/>
  <c r="BG2601" i="1"/>
  <c r="T2602" i="1"/>
  <c r="U2602" i="1"/>
  <c r="V2602" i="1"/>
  <c r="W2602" i="1"/>
  <c r="AB2602" i="1"/>
  <c r="AF2602" i="1"/>
  <c r="AC2603" i="1"/>
  <c r="AJ2602" i="1"/>
  <c r="AK2602" i="1"/>
  <c r="AM2602" i="1"/>
  <c r="BF2602" i="1"/>
  <c r="BG2602" i="1"/>
  <c r="T2603" i="1"/>
  <c r="U2603" i="1"/>
  <c r="V2603" i="1"/>
  <c r="W2603" i="1"/>
  <c r="AB2603" i="1"/>
  <c r="AF2603" i="1"/>
  <c r="K2604" i="1"/>
  <c r="AC2604" i="1"/>
  <c r="AJ2603" i="1"/>
  <c r="AK2603" i="1"/>
  <c r="AM2603" i="1"/>
  <c r="BF2603" i="1"/>
  <c r="BG2603" i="1"/>
  <c r="T2604" i="1"/>
  <c r="U2604" i="1"/>
  <c r="V2604" i="1"/>
  <c r="W2604" i="1"/>
  <c r="AB2604" i="1"/>
  <c r="AF2604" i="1"/>
  <c r="AC2605" i="1"/>
  <c r="AJ2604" i="1"/>
  <c r="AK2604" i="1"/>
  <c r="AM2604" i="1"/>
  <c r="BF2604" i="1"/>
  <c r="BG2604" i="1"/>
  <c r="T2605" i="1"/>
  <c r="U2605" i="1"/>
  <c r="V2605" i="1"/>
  <c r="W2605" i="1"/>
  <c r="AB2605" i="1"/>
  <c r="AF2605" i="1"/>
  <c r="AC2606" i="1"/>
  <c r="AJ2605" i="1"/>
  <c r="AK2605" i="1"/>
  <c r="AM2605" i="1"/>
  <c r="BF2605" i="1"/>
  <c r="BG2605" i="1"/>
  <c r="T2606" i="1"/>
  <c r="U2606" i="1"/>
  <c r="V2606" i="1"/>
  <c r="W2606" i="1"/>
  <c r="AB2606" i="1"/>
  <c r="AF2606" i="1"/>
  <c r="K2607" i="1"/>
  <c r="AC2607" i="1"/>
  <c r="AJ2606" i="1"/>
  <c r="AK2606" i="1"/>
  <c r="AM2606" i="1"/>
  <c r="BF2606" i="1"/>
  <c r="BG2606" i="1"/>
  <c r="T2607" i="1"/>
  <c r="U2607" i="1"/>
  <c r="V2607" i="1"/>
  <c r="W2607" i="1"/>
  <c r="AB2607" i="1"/>
  <c r="AF2607" i="1"/>
  <c r="K2608" i="1"/>
  <c r="AC2608" i="1"/>
  <c r="AJ2607" i="1"/>
  <c r="AK2607" i="1"/>
  <c r="AM2607" i="1"/>
  <c r="BF2607" i="1"/>
  <c r="BG2607" i="1"/>
  <c r="T2608" i="1"/>
  <c r="U2608" i="1"/>
  <c r="V2608" i="1"/>
  <c r="W2608" i="1"/>
  <c r="AB2608" i="1"/>
  <c r="AF2608" i="1"/>
  <c r="AC2609" i="1"/>
  <c r="AJ2608" i="1"/>
  <c r="AK2608" i="1"/>
  <c r="AM2608" i="1"/>
  <c r="BF2608" i="1"/>
  <c r="BG2608" i="1"/>
  <c r="T2609" i="1"/>
  <c r="U2609" i="1"/>
  <c r="V2609" i="1"/>
  <c r="W2609" i="1"/>
  <c r="AB2609" i="1"/>
  <c r="AF2609" i="1"/>
  <c r="AC2610" i="1"/>
  <c r="AJ2609" i="1"/>
  <c r="AK2609" i="1"/>
  <c r="AM2609" i="1"/>
  <c r="BF2609" i="1"/>
  <c r="BG2609" i="1"/>
  <c r="T2610" i="1"/>
  <c r="U2610" i="1"/>
  <c r="V2610" i="1"/>
  <c r="W2610" i="1"/>
  <c r="AB2610" i="1"/>
  <c r="AF2610" i="1"/>
  <c r="K2611" i="1"/>
  <c r="AC2611" i="1"/>
  <c r="AJ2610" i="1"/>
  <c r="AK2610" i="1"/>
  <c r="AM2610" i="1"/>
  <c r="BF2610" i="1"/>
  <c r="BG2610" i="1"/>
  <c r="T2611" i="1"/>
  <c r="U2611" i="1"/>
  <c r="V2611" i="1"/>
  <c r="W2611" i="1"/>
  <c r="AB2611" i="1"/>
  <c r="AF2611" i="1"/>
  <c r="K2612" i="1"/>
  <c r="AC2612" i="1"/>
  <c r="AJ2611" i="1"/>
  <c r="AK2611" i="1"/>
  <c r="AM2611" i="1"/>
  <c r="BF2611" i="1"/>
  <c r="BG2611" i="1"/>
  <c r="T2612" i="1"/>
  <c r="U2612" i="1"/>
  <c r="V2612" i="1"/>
  <c r="W2612" i="1"/>
  <c r="AB2612" i="1"/>
  <c r="AF2612" i="1"/>
  <c r="AC2613" i="1"/>
  <c r="AJ2612" i="1"/>
  <c r="AK2612" i="1"/>
  <c r="AM2612" i="1"/>
  <c r="BF2612" i="1"/>
  <c r="BG2612" i="1"/>
  <c r="T2613" i="1"/>
  <c r="U2613" i="1"/>
  <c r="V2613" i="1"/>
  <c r="W2613" i="1"/>
  <c r="AB2613" i="1"/>
  <c r="AF2613" i="1"/>
  <c r="AC2614" i="1"/>
  <c r="AJ2613" i="1"/>
  <c r="AK2613" i="1"/>
  <c r="AM2613" i="1"/>
  <c r="BF2613" i="1"/>
  <c r="BG2613" i="1"/>
  <c r="T2614" i="1"/>
  <c r="U2614" i="1"/>
  <c r="V2614" i="1"/>
  <c r="W2614" i="1"/>
  <c r="AB2614" i="1"/>
  <c r="AF2614" i="1"/>
  <c r="K2615" i="1"/>
  <c r="AC2615" i="1"/>
  <c r="AJ2614" i="1"/>
  <c r="AK2614" i="1"/>
  <c r="AM2614" i="1"/>
  <c r="BF2614" i="1"/>
  <c r="BG2614" i="1"/>
  <c r="T2615" i="1"/>
  <c r="U2615" i="1"/>
  <c r="V2615" i="1"/>
  <c r="W2615" i="1"/>
  <c r="AB2615" i="1"/>
  <c r="AF2615" i="1"/>
  <c r="AC2616" i="1"/>
  <c r="AJ2615" i="1"/>
  <c r="AK2615" i="1"/>
  <c r="AM2615" i="1"/>
  <c r="BF2615" i="1"/>
  <c r="BG2615" i="1"/>
  <c r="T2616" i="1"/>
  <c r="U2616" i="1"/>
  <c r="V2616" i="1"/>
  <c r="W2616" i="1"/>
  <c r="AB2616" i="1"/>
  <c r="AF2616" i="1"/>
  <c r="AC2617" i="1"/>
  <c r="AJ2616" i="1"/>
  <c r="AK2616" i="1"/>
  <c r="AM2616" i="1"/>
  <c r="BF2616" i="1"/>
  <c r="BG2616" i="1"/>
  <c r="T2617" i="1"/>
  <c r="U2617" i="1"/>
  <c r="V2617" i="1"/>
  <c r="W2617" i="1"/>
  <c r="AB2617" i="1"/>
  <c r="AF2617" i="1"/>
  <c r="K2618" i="1"/>
  <c r="AC2618" i="1"/>
  <c r="AJ2617" i="1"/>
  <c r="AK2617" i="1"/>
  <c r="AM2617" i="1"/>
  <c r="BF2617" i="1"/>
  <c r="BG2617" i="1"/>
  <c r="T2618" i="1"/>
  <c r="U2618" i="1"/>
  <c r="V2618" i="1"/>
  <c r="W2618" i="1"/>
  <c r="AB2618" i="1"/>
  <c r="AF2618" i="1"/>
  <c r="K2619" i="1"/>
  <c r="AC2619" i="1"/>
  <c r="AJ2618" i="1"/>
  <c r="AK2618" i="1"/>
  <c r="AM2618" i="1"/>
  <c r="BF2618" i="1"/>
  <c r="BG2618" i="1"/>
  <c r="T2619" i="1"/>
  <c r="U2619" i="1"/>
  <c r="V2619" i="1"/>
  <c r="W2619" i="1"/>
  <c r="AB2619" i="1"/>
  <c r="AF2619" i="1"/>
  <c r="AC2620" i="1"/>
  <c r="AJ2619" i="1"/>
  <c r="AK2619" i="1"/>
  <c r="AM2619" i="1"/>
  <c r="BF2619" i="1"/>
  <c r="BG2619" i="1"/>
  <c r="T2620" i="1"/>
  <c r="U2620" i="1"/>
  <c r="V2620" i="1"/>
  <c r="W2620" i="1"/>
  <c r="AB2620" i="1"/>
  <c r="AF2620" i="1"/>
  <c r="AC2621" i="1"/>
  <c r="AJ2620" i="1"/>
  <c r="AK2620" i="1"/>
  <c r="AM2620" i="1"/>
  <c r="BF2620" i="1"/>
  <c r="BG2620" i="1"/>
  <c r="T2621" i="1"/>
  <c r="U2621" i="1"/>
  <c r="V2621" i="1"/>
  <c r="W2621" i="1"/>
  <c r="AB2621" i="1"/>
  <c r="AF2621" i="1"/>
  <c r="K2622" i="1"/>
  <c r="AC2622" i="1"/>
  <c r="AJ2621" i="1"/>
  <c r="AK2621" i="1"/>
  <c r="AM2621" i="1"/>
  <c r="BF2621" i="1"/>
  <c r="BG2621" i="1"/>
  <c r="T2622" i="1"/>
  <c r="U2622" i="1"/>
  <c r="V2622" i="1"/>
  <c r="W2622" i="1"/>
  <c r="AB2622" i="1"/>
  <c r="AF2622" i="1"/>
  <c r="AC2623" i="1"/>
  <c r="AJ2622" i="1"/>
  <c r="AK2622" i="1"/>
  <c r="AM2622" i="1"/>
  <c r="BF2622" i="1"/>
  <c r="BG2622" i="1"/>
  <c r="T2623" i="1"/>
  <c r="U2623" i="1"/>
  <c r="V2623" i="1"/>
  <c r="W2623" i="1"/>
  <c r="AB2623" i="1"/>
  <c r="AF2623" i="1"/>
  <c r="AC2624" i="1"/>
  <c r="AJ2623" i="1"/>
  <c r="AK2623" i="1"/>
  <c r="AM2623" i="1"/>
  <c r="BF2623" i="1"/>
  <c r="BG2623" i="1"/>
  <c r="T2624" i="1"/>
  <c r="U2624" i="1"/>
  <c r="V2624" i="1"/>
  <c r="W2624" i="1"/>
  <c r="AB2624" i="1"/>
  <c r="AF2624" i="1"/>
  <c r="K2625" i="1"/>
  <c r="AC2625" i="1"/>
  <c r="AJ2624" i="1"/>
  <c r="AK2624" i="1"/>
  <c r="AM2624" i="1"/>
  <c r="BF2624" i="1"/>
  <c r="BG2624" i="1"/>
  <c r="T2625" i="1"/>
  <c r="U2625" i="1"/>
  <c r="V2625" i="1"/>
  <c r="W2625" i="1"/>
  <c r="AB2625" i="1"/>
  <c r="AF2625" i="1"/>
  <c r="K2626" i="1"/>
  <c r="AC2626" i="1"/>
  <c r="AJ2625" i="1"/>
  <c r="AK2625" i="1"/>
  <c r="AM2625" i="1"/>
  <c r="BF2625" i="1"/>
  <c r="BG2625" i="1"/>
  <c r="T2626" i="1"/>
  <c r="U2626" i="1"/>
  <c r="V2626" i="1"/>
  <c r="W2626" i="1"/>
  <c r="AB2626" i="1"/>
  <c r="AF2626" i="1"/>
  <c r="AC2627" i="1"/>
  <c r="AJ2626" i="1"/>
  <c r="AK2626" i="1"/>
  <c r="AM2626" i="1"/>
  <c r="BF2626" i="1"/>
  <c r="BG2626" i="1"/>
  <c r="T2627" i="1"/>
  <c r="U2627" i="1"/>
  <c r="V2627" i="1"/>
  <c r="W2627" i="1"/>
  <c r="AB2627" i="1"/>
  <c r="AF2627" i="1"/>
  <c r="AC2628" i="1"/>
  <c r="AJ2627" i="1"/>
  <c r="AK2627" i="1"/>
  <c r="AM2627" i="1"/>
  <c r="BF2627" i="1"/>
  <c r="BG2627" i="1"/>
  <c r="T2628" i="1"/>
  <c r="U2628" i="1"/>
  <c r="V2628" i="1"/>
  <c r="W2628" i="1"/>
  <c r="AB2628" i="1"/>
  <c r="AF2628" i="1"/>
  <c r="K2629" i="1"/>
  <c r="AC2629" i="1"/>
  <c r="AJ2628" i="1"/>
  <c r="AK2628" i="1"/>
  <c r="AM2628" i="1"/>
  <c r="BF2628" i="1"/>
  <c r="BG2628" i="1"/>
  <c r="T2629" i="1"/>
  <c r="U2629" i="1"/>
  <c r="V2629" i="1"/>
  <c r="W2629" i="1"/>
  <c r="AB2629" i="1"/>
  <c r="AF2629" i="1"/>
  <c r="AC2630" i="1"/>
  <c r="AJ2629" i="1"/>
  <c r="AK2629" i="1"/>
  <c r="AM2629" i="1"/>
  <c r="BF2629" i="1"/>
  <c r="BG2629" i="1"/>
  <c r="T2630" i="1"/>
  <c r="U2630" i="1"/>
  <c r="V2630" i="1"/>
  <c r="W2630" i="1"/>
  <c r="AB2630" i="1"/>
  <c r="AF2630" i="1"/>
  <c r="AC2631" i="1"/>
  <c r="AJ2630" i="1"/>
  <c r="AK2630" i="1"/>
  <c r="AM2630" i="1"/>
  <c r="BF2630" i="1"/>
  <c r="BG2630" i="1"/>
  <c r="T2631" i="1"/>
  <c r="U2631" i="1"/>
  <c r="V2631" i="1"/>
  <c r="W2631" i="1"/>
  <c r="AB2631" i="1"/>
  <c r="AF2631" i="1"/>
  <c r="K2632" i="1"/>
  <c r="AC2632" i="1"/>
  <c r="AJ2631" i="1"/>
  <c r="AK2631" i="1"/>
  <c r="AM2631" i="1"/>
  <c r="BF2631" i="1"/>
  <c r="BG2631" i="1"/>
  <c r="T2632" i="1"/>
  <c r="U2632" i="1"/>
  <c r="V2632" i="1"/>
  <c r="W2632" i="1"/>
  <c r="AB2632" i="1"/>
  <c r="AF2632" i="1"/>
  <c r="AC2633" i="1"/>
  <c r="AJ2632" i="1"/>
  <c r="AK2632" i="1"/>
  <c r="AM2632" i="1"/>
  <c r="BF2632" i="1"/>
  <c r="BG2632" i="1"/>
  <c r="T2633" i="1"/>
  <c r="U2633" i="1"/>
  <c r="V2633" i="1"/>
  <c r="W2633" i="1"/>
  <c r="AB2633" i="1"/>
  <c r="AF2633" i="1"/>
  <c r="AC2634" i="1"/>
  <c r="AJ2633" i="1"/>
  <c r="AK2633" i="1"/>
  <c r="AM2633" i="1"/>
  <c r="BF2633" i="1"/>
  <c r="BG2633" i="1"/>
  <c r="T2634" i="1"/>
  <c r="U2634" i="1"/>
  <c r="V2634" i="1"/>
  <c r="W2634" i="1"/>
  <c r="AB2634" i="1"/>
  <c r="AF2634" i="1"/>
  <c r="K2635" i="1"/>
  <c r="AC2635" i="1"/>
  <c r="AJ2634" i="1"/>
  <c r="AK2634" i="1"/>
  <c r="AM2634" i="1"/>
  <c r="BF2634" i="1"/>
  <c r="BG2634" i="1"/>
  <c r="T2635" i="1"/>
  <c r="U2635" i="1"/>
  <c r="V2635" i="1"/>
  <c r="W2635" i="1"/>
  <c r="AB2635" i="1"/>
  <c r="AF2635" i="1"/>
  <c r="K2636" i="1"/>
  <c r="AC2636" i="1"/>
  <c r="AJ2635" i="1"/>
  <c r="AK2635" i="1"/>
  <c r="AM2635" i="1"/>
  <c r="BF2635" i="1"/>
  <c r="BG2635" i="1"/>
  <c r="T2636" i="1"/>
  <c r="U2636" i="1"/>
  <c r="V2636" i="1"/>
  <c r="W2636" i="1"/>
  <c r="AB2636" i="1"/>
  <c r="AF2636" i="1"/>
  <c r="AC2637" i="1"/>
  <c r="AJ2636" i="1"/>
  <c r="AK2636" i="1"/>
  <c r="AM2636" i="1"/>
  <c r="BF2636" i="1"/>
  <c r="BG2636" i="1"/>
  <c r="T2637" i="1"/>
  <c r="U2637" i="1"/>
  <c r="V2637" i="1"/>
  <c r="W2637" i="1"/>
  <c r="AB2637" i="1"/>
  <c r="AF2637" i="1"/>
  <c r="AC2638" i="1"/>
  <c r="AJ2637" i="1"/>
  <c r="AK2637" i="1"/>
  <c r="AM2637" i="1"/>
  <c r="BF2637" i="1"/>
  <c r="BG2637" i="1"/>
  <c r="T2638" i="1"/>
  <c r="U2638" i="1"/>
  <c r="V2638" i="1"/>
  <c r="W2638" i="1"/>
  <c r="AB2638" i="1"/>
  <c r="AF2638" i="1"/>
  <c r="K2639" i="1"/>
  <c r="AC2639" i="1"/>
  <c r="AJ2638" i="1"/>
  <c r="AK2638" i="1"/>
  <c r="AM2638" i="1"/>
  <c r="BF2638" i="1"/>
  <c r="BG2638" i="1"/>
  <c r="T2639" i="1"/>
  <c r="U2639" i="1"/>
  <c r="V2639" i="1"/>
  <c r="W2639" i="1"/>
  <c r="AB2639" i="1"/>
  <c r="AF2639" i="1"/>
  <c r="AC2640" i="1"/>
  <c r="AJ2639" i="1"/>
  <c r="AK2639" i="1"/>
  <c r="AM2639" i="1"/>
  <c r="BF2639" i="1"/>
  <c r="BG2639" i="1"/>
  <c r="T2640" i="1"/>
  <c r="U2640" i="1"/>
  <c r="V2640" i="1"/>
  <c r="W2640" i="1"/>
  <c r="AB2640" i="1"/>
  <c r="AF2640" i="1"/>
  <c r="AC2641" i="1"/>
  <c r="AJ2640" i="1"/>
  <c r="AK2640" i="1"/>
  <c r="AM2640" i="1"/>
  <c r="BF2640" i="1"/>
  <c r="BG2640" i="1"/>
  <c r="T2641" i="1"/>
  <c r="U2641" i="1"/>
  <c r="V2641" i="1"/>
  <c r="W2641" i="1"/>
  <c r="AB2641" i="1"/>
  <c r="AF2641" i="1"/>
  <c r="K2642" i="1"/>
  <c r="AC2642" i="1"/>
  <c r="AJ2641" i="1"/>
  <c r="AK2641" i="1"/>
  <c r="AM2641" i="1"/>
  <c r="BF2641" i="1"/>
  <c r="BG2641" i="1"/>
  <c r="T2642" i="1"/>
  <c r="U2642" i="1"/>
  <c r="V2642" i="1"/>
  <c r="W2642" i="1"/>
  <c r="AB2642" i="1"/>
  <c r="AF2642" i="1"/>
  <c r="K2643" i="1"/>
  <c r="AC2643" i="1"/>
  <c r="AJ2642" i="1"/>
  <c r="AK2642" i="1"/>
  <c r="AM2642" i="1"/>
  <c r="BF2642" i="1"/>
  <c r="BG2642" i="1"/>
  <c r="T2643" i="1"/>
  <c r="U2643" i="1"/>
  <c r="V2643" i="1"/>
  <c r="W2643" i="1"/>
  <c r="AB2643" i="1"/>
  <c r="AF2643" i="1"/>
  <c r="AC2644" i="1"/>
  <c r="AJ2643" i="1"/>
  <c r="AK2643" i="1"/>
  <c r="AM2643" i="1"/>
  <c r="BF2643" i="1"/>
  <c r="BG2643" i="1"/>
  <c r="T2644" i="1"/>
  <c r="U2644" i="1"/>
  <c r="V2644" i="1"/>
  <c r="W2644" i="1"/>
  <c r="AB2644" i="1"/>
  <c r="AF2644" i="1"/>
  <c r="AC2645" i="1"/>
  <c r="AJ2644" i="1"/>
  <c r="AK2644" i="1"/>
  <c r="AM2644" i="1"/>
  <c r="BF2644" i="1"/>
  <c r="BG2644" i="1"/>
  <c r="T2645" i="1"/>
  <c r="U2645" i="1"/>
  <c r="V2645" i="1"/>
  <c r="W2645" i="1"/>
  <c r="AB2645" i="1"/>
  <c r="AF2645" i="1"/>
  <c r="K2646" i="1"/>
  <c r="AC2646" i="1"/>
  <c r="AJ2645" i="1"/>
  <c r="AK2645" i="1"/>
  <c r="AM2645" i="1"/>
  <c r="BF2645" i="1"/>
  <c r="BG2645" i="1"/>
  <c r="T2646" i="1"/>
  <c r="U2646" i="1"/>
  <c r="V2646" i="1"/>
  <c r="W2646" i="1"/>
  <c r="AB2646" i="1"/>
  <c r="AF2646" i="1"/>
  <c r="AC2647" i="1"/>
  <c r="AJ2646" i="1"/>
  <c r="AK2646" i="1"/>
  <c r="AM2646" i="1"/>
  <c r="BF2646" i="1"/>
  <c r="BG2646" i="1"/>
  <c r="T2647" i="1"/>
  <c r="U2647" i="1"/>
  <c r="V2647" i="1"/>
  <c r="W2647" i="1"/>
  <c r="AB2647" i="1"/>
  <c r="AF2647" i="1"/>
  <c r="AC2648" i="1"/>
  <c r="AJ2647" i="1"/>
  <c r="AK2647" i="1"/>
  <c r="AM2647" i="1"/>
  <c r="BF2647" i="1"/>
  <c r="BG2647" i="1"/>
  <c r="T2648" i="1"/>
  <c r="U2648" i="1"/>
  <c r="V2648" i="1"/>
  <c r="W2648" i="1"/>
  <c r="AB2648" i="1"/>
  <c r="AF2648" i="1"/>
  <c r="K2649" i="1"/>
  <c r="AC2649" i="1"/>
  <c r="AJ2648" i="1"/>
  <c r="AK2648" i="1"/>
  <c r="AM2648" i="1"/>
  <c r="BF2648" i="1"/>
  <c r="BG2648" i="1"/>
  <c r="T2649" i="1"/>
  <c r="U2649" i="1"/>
  <c r="V2649" i="1"/>
  <c r="W2649" i="1"/>
  <c r="AB2649" i="1"/>
  <c r="AF2649" i="1"/>
  <c r="AC2650" i="1"/>
  <c r="AJ2649" i="1"/>
  <c r="AK2649" i="1"/>
  <c r="AM2649" i="1"/>
  <c r="BF2649" i="1"/>
  <c r="BG2649" i="1"/>
  <c r="T2650" i="1"/>
  <c r="U2650" i="1"/>
  <c r="V2650" i="1"/>
  <c r="W2650" i="1"/>
  <c r="AB2650" i="1"/>
  <c r="AF2650" i="1"/>
  <c r="AC2651" i="1"/>
  <c r="AJ2650" i="1"/>
  <c r="AK2650" i="1"/>
  <c r="AM2650" i="1"/>
  <c r="BF2650" i="1"/>
  <c r="BG2650" i="1"/>
  <c r="T2651" i="1"/>
  <c r="U2651" i="1"/>
  <c r="V2651" i="1"/>
  <c r="W2651" i="1"/>
  <c r="AB2651" i="1"/>
  <c r="AF2651" i="1"/>
  <c r="AC2652" i="1"/>
  <c r="AJ2651" i="1"/>
  <c r="AK2651" i="1"/>
  <c r="AM2651" i="1"/>
  <c r="BF2651" i="1"/>
  <c r="BG2651" i="1"/>
  <c r="T2652" i="1"/>
  <c r="U2652" i="1"/>
  <c r="V2652" i="1"/>
  <c r="W2652" i="1"/>
  <c r="AB2652" i="1"/>
  <c r="AF2652" i="1"/>
  <c r="K2653" i="1"/>
  <c r="AC2653" i="1"/>
  <c r="AJ2652" i="1"/>
  <c r="AK2652" i="1"/>
  <c r="AM2652" i="1"/>
  <c r="BF2652" i="1"/>
  <c r="BG2652" i="1"/>
  <c r="T2653" i="1"/>
  <c r="U2653" i="1"/>
  <c r="V2653" i="1"/>
  <c r="W2653" i="1"/>
  <c r="AB2653" i="1"/>
  <c r="AF2653" i="1"/>
  <c r="K2654" i="1"/>
  <c r="AC2654" i="1"/>
  <c r="AJ2653" i="1"/>
  <c r="AK2653" i="1"/>
  <c r="AM2653" i="1"/>
  <c r="BF2653" i="1"/>
  <c r="BG2653" i="1"/>
  <c r="T2654" i="1"/>
  <c r="U2654" i="1"/>
  <c r="V2654" i="1"/>
  <c r="W2654" i="1"/>
  <c r="AB2654" i="1"/>
  <c r="AF2654" i="1"/>
  <c r="AC2655" i="1"/>
  <c r="AJ2654" i="1"/>
  <c r="AK2654" i="1"/>
  <c r="AM2654" i="1"/>
  <c r="BF2654" i="1"/>
  <c r="BG2654" i="1"/>
  <c r="T2655" i="1"/>
  <c r="U2655" i="1"/>
  <c r="V2655" i="1"/>
  <c r="W2655" i="1"/>
  <c r="AB2655" i="1"/>
  <c r="AF2655" i="1"/>
  <c r="AC2656" i="1"/>
  <c r="AJ2655" i="1"/>
  <c r="AK2655" i="1"/>
  <c r="AM2655" i="1"/>
  <c r="BF2655" i="1"/>
  <c r="BG2655" i="1"/>
  <c r="T2656" i="1"/>
  <c r="U2656" i="1"/>
  <c r="V2656" i="1"/>
  <c r="W2656" i="1"/>
  <c r="AB2656" i="1"/>
  <c r="AF2656" i="1"/>
  <c r="K2657" i="1"/>
  <c r="AC2657" i="1"/>
  <c r="AJ2656" i="1"/>
  <c r="AK2656" i="1"/>
  <c r="AM2656" i="1"/>
  <c r="BF2656" i="1"/>
  <c r="BG2656" i="1"/>
  <c r="T2657" i="1"/>
  <c r="U2657" i="1"/>
  <c r="V2657" i="1"/>
  <c r="W2657" i="1"/>
  <c r="AB2657" i="1"/>
  <c r="AF2657" i="1"/>
  <c r="K2658" i="1"/>
  <c r="AC2658" i="1"/>
  <c r="AJ2657" i="1"/>
  <c r="AK2657" i="1"/>
  <c r="AM2657" i="1"/>
  <c r="BF2657" i="1"/>
  <c r="BG2657" i="1"/>
  <c r="T2658" i="1"/>
  <c r="U2658" i="1"/>
  <c r="V2658" i="1"/>
  <c r="W2658" i="1"/>
  <c r="AB2658" i="1"/>
  <c r="AF2658" i="1"/>
  <c r="K2659" i="1"/>
  <c r="AC2659" i="1"/>
  <c r="AJ2658" i="1"/>
  <c r="AK2658" i="1"/>
  <c r="AM2658" i="1"/>
  <c r="BF2658" i="1"/>
  <c r="BG2658" i="1"/>
  <c r="T2659" i="1"/>
  <c r="U2659" i="1"/>
  <c r="V2659" i="1"/>
  <c r="W2659" i="1"/>
  <c r="AB2659" i="1"/>
  <c r="AF2659" i="1"/>
  <c r="K2660" i="1"/>
  <c r="AC2660" i="1"/>
  <c r="AJ2659" i="1"/>
  <c r="AK2659" i="1"/>
  <c r="AM2659" i="1"/>
  <c r="BF2659" i="1"/>
  <c r="BG2659" i="1"/>
  <c r="T2660" i="1"/>
  <c r="U2660" i="1"/>
  <c r="V2660" i="1"/>
  <c r="W2660" i="1"/>
  <c r="AB2660" i="1"/>
  <c r="AF2660" i="1"/>
  <c r="K2661" i="1"/>
  <c r="AC2661" i="1"/>
  <c r="AJ2660" i="1"/>
  <c r="AK2660" i="1"/>
  <c r="AM2660" i="1"/>
  <c r="BF2660" i="1"/>
  <c r="BG2660" i="1"/>
  <c r="T2661" i="1"/>
  <c r="U2661" i="1"/>
  <c r="V2661" i="1"/>
  <c r="W2661" i="1"/>
  <c r="AB2661" i="1"/>
  <c r="AF2661" i="1"/>
  <c r="AC2662" i="1"/>
  <c r="AJ2661" i="1"/>
  <c r="AK2661" i="1"/>
  <c r="AM2661" i="1"/>
  <c r="BF2661" i="1"/>
  <c r="BG2661" i="1"/>
  <c r="T2662" i="1"/>
  <c r="U2662" i="1"/>
  <c r="V2662" i="1"/>
  <c r="W2662" i="1"/>
  <c r="AB2662" i="1"/>
  <c r="AF2662" i="1"/>
  <c r="AC2663" i="1"/>
  <c r="AJ2662" i="1"/>
  <c r="AK2662" i="1"/>
  <c r="AM2662" i="1"/>
  <c r="BF2662" i="1"/>
  <c r="BG2662" i="1"/>
  <c r="T2663" i="1"/>
  <c r="U2663" i="1"/>
  <c r="V2663" i="1"/>
  <c r="W2663" i="1"/>
  <c r="AB2663" i="1"/>
  <c r="AF2663" i="1"/>
  <c r="K2664" i="1"/>
  <c r="AC2664" i="1"/>
  <c r="AJ2663" i="1"/>
  <c r="AK2663" i="1"/>
  <c r="AM2663" i="1"/>
  <c r="BF2663" i="1"/>
  <c r="BG2663" i="1"/>
  <c r="T2664" i="1"/>
  <c r="U2664" i="1"/>
  <c r="V2664" i="1"/>
  <c r="W2664" i="1"/>
  <c r="AB2664" i="1"/>
  <c r="AF2664" i="1"/>
  <c r="AC2665" i="1"/>
  <c r="AJ2664" i="1"/>
  <c r="AK2664" i="1"/>
  <c r="AM2664" i="1"/>
  <c r="BF2664" i="1"/>
  <c r="BG2664" i="1"/>
  <c r="T2665" i="1"/>
  <c r="U2665" i="1"/>
  <c r="V2665" i="1"/>
  <c r="W2665" i="1"/>
  <c r="AB2665" i="1"/>
  <c r="AF2665" i="1"/>
  <c r="AC2666" i="1"/>
  <c r="AJ2665" i="1"/>
  <c r="AK2665" i="1"/>
  <c r="AM2665" i="1"/>
  <c r="BF2665" i="1"/>
  <c r="BG2665" i="1"/>
  <c r="T2666" i="1"/>
  <c r="U2666" i="1"/>
  <c r="V2666" i="1"/>
  <c r="W2666" i="1"/>
  <c r="AB2666" i="1"/>
  <c r="AF2666" i="1"/>
  <c r="K2667" i="1"/>
  <c r="AC2667" i="1"/>
  <c r="AJ2666" i="1"/>
  <c r="AK2666" i="1"/>
  <c r="AM2666" i="1"/>
  <c r="BF2666" i="1"/>
  <c r="BG2666" i="1"/>
  <c r="T2667" i="1"/>
  <c r="U2667" i="1"/>
  <c r="V2667" i="1"/>
  <c r="W2667" i="1"/>
  <c r="AB2667" i="1"/>
  <c r="AF2667" i="1"/>
  <c r="K2668" i="1"/>
  <c r="AC2668" i="1"/>
  <c r="AJ2667" i="1"/>
  <c r="AK2667" i="1"/>
  <c r="AM2667" i="1"/>
  <c r="BF2667" i="1"/>
  <c r="BG2667" i="1"/>
  <c r="T2668" i="1"/>
  <c r="U2668" i="1"/>
  <c r="V2668" i="1"/>
  <c r="W2668" i="1"/>
  <c r="AB2668" i="1"/>
  <c r="AF2668" i="1"/>
  <c r="AC2669" i="1"/>
  <c r="AJ2668" i="1"/>
  <c r="AK2668" i="1"/>
  <c r="AM2668" i="1"/>
  <c r="BF2668" i="1"/>
  <c r="BG2668" i="1"/>
  <c r="T2669" i="1"/>
  <c r="U2669" i="1"/>
  <c r="V2669" i="1"/>
  <c r="W2669" i="1"/>
  <c r="AB2669" i="1"/>
  <c r="AF2669" i="1"/>
  <c r="AC2670" i="1"/>
  <c r="AJ2669" i="1"/>
  <c r="AK2669" i="1"/>
  <c r="AM2669" i="1"/>
  <c r="BF2669" i="1"/>
  <c r="BG2669" i="1"/>
  <c r="T2670" i="1"/>
  <c r="U2670" i="1"/>
  <c r="V2670" i="1"/>
  <c r="W2670" i="1"/>
  <c r="AB2670" i="1"/>
  <c r="AF2670" i="1"/>
  <c r="K2671" i="1"/>
  <c r="AC2671" i="1"/>
  <c r="AJ2670" i="1"/>
  <c r="AK2670" i="1"/>
  <c r="AM2670" i="1"/>
  <c r="BF2670" i="1"/>
  <c r="BG2670" i="1"/>
  <c r="T2671" i="1"/>
  <c r="U2671" i="1"/>
  <c r="V2671" i="1"/>
  <c r="W2671" i="1"/>
  <c r="AB2671" i="1"/>
  <c r="AF2671" i="1"/>
  <c r="AC2672" i="1"/>
  <c r="AJ2671" i="1"/>
  <c r="AK2671" i="1"/>
  <c r="AM2671" i="1"/>
  <c r="BF2671" i="1"/>
  <c r="BG2671" i="1"/>
  <c r="T2672" i="1"/>
  <c r="U2672" i="1"/>
  <c r="V2672" i="1"/>
  <c r="W2672" i="1"/>
  <c r="AB2672" i="1"/>
  <c r="AF2672" i="1"/>
  <c r="AC2673" i="1"/>
  <c r="AJ2672" i="1"/>
  <c r="AK2672" i="1"/>
  <c r="AM2672" i="1"/>
  <c r="BF2672" i="1"/>
  <c r="BG2672" i="1"/>
  <c r="T2673" i="1"/>
  <c r="U2673" i="1"/>
  <c r="V2673" i="1"/>
  <c r="W2673" i="1"/>
  <c r="AB2673" i="1"/>
  <c r="AF2673" i="1"/>
  <c r="K2674" i="1"/>
  <c r="AC2674" i="1"/>
  <c r="AJ2673" i="1"/>
  <c r="AK2673" i="1"/>
  <c r="AM2673" i="1"/>
  <c r="BF2673" i="1"/>
  <c r="BG2673" i="1"/>
  <c r="T2674" i="1"/>
  <c r="U2674" i="1"/>
  <c r="V2674" i="1"/>
  <c r="W2674" i="1"/>
  <c r="AB2674" i="1"/>
  <c r="AF2674" i="1"/>
  <c r="AC2675" i="1"/>
  <c r="AJ2674" i="1"/>
  <c r="AK2674" i="1"/>
  <c r="AM2674" i="1"/>
  <c r="BF2674" i="1"/>
  <c r="BG2674" i="1"/>
  <c r="T2675" i="1"/>
  <c r="U2675" i="1"/>
  <c r="V2675" i="1"/>
  <c r="W2675" i="1"/>
  <c r="AB2675" i="1"/>
  <c r="AF2675" i="1"/>
  <c r="AC2676" i="1"/>
  <c r="AJ2675" i="1"/>
  <c r="AK2675" i="1"/>
  <c r="AM2675" i="1"/>
  <c r="BF2675" i="1"/>
  <c r="BG2675" i="1"/>
  <c r="T2676" i="1"/>
  <c r="U2676" i="1"/>
  <c r="V2676" i="1"/>
  <c r="W2676" i="1"/>
  <c r="AB2676" i="1"/>
  <c r="AF2676" i="1"/>
  <c r="K2677" i="1"/>
  <c r="AC2677" i="1"/>
  <c r="AJ2676" i="1"/>
  <c r="AK2676" i="1"/>
  <c r="AM2676" i="1"/>
  <c r="BF2676" i="1"/>
  <c r="BG2676" i="1"/>
  <c r="T2677" i="1"/>
  <c r="U2677" i="1"/>
  <c r="V2677" i="1"/>
  <c r="W2677" i="1"/>
  <c r="AB2677" i="1"/>
  <c r="AF2677" i="1"/>
  <c r="K2678" i="1"/>
  <c r="AC2678" i="1"/>
  <c r="AJ2677" i="1"/>
  <c r="AK2677" i="1"/>
  <c r="AM2677" i="1"/>
  <c r="BF2677" i="1"/>
  <c r="BG2677" i="1"/>
  <c r="T2678" i="1"/>
  <c r="U2678" i="1"/>
  <c r="V2678" i="1"/>
  <c r="W2678" i="1"/>
  <c r="AB2678" i="1"/>
  <c r="AF2678" i="1"/>
  <c r="K2679" i="1"/>
  <c r="AC2679" i="1"/>
  <c r="AJ2678" i="1"/>
  <c r="AK2678" i="1"/>
  <c r="AM2678" i="1"/>
  <c r="BF2678" i="1"/>
  <c r="BG2678" i="1"/>
  <c r="T2679" i="1"/>
  <c r="U2679" i="1"/>
  <c r="V2679" i="1"/>
  <c r="W2679" i="1"/>
  <c r="AB2679" i="1"/>
  <c r="AF2679" i="1"/>
  <c r="AC2680" i="1"/>
  <c r="AJ2679" i="1"/>
  <c r="AK2679" i="1"/>
  <c r="AM2679" i="1"/>
  <c r="BF2679" i="1"/>
  <c r="BG2679" i="1"/>
  <c r="T2680" i="1"/>
  <c r="U2680" i="1"/>
  <c r="V2680" i="1"/>
  <c r="W2680" i="1"/>
  <c r="AB2680" i="1"/>
  <c r="AF2680" i="1"/>
  <c r="AC2681" i="1"/>
  <c r="AJ2680" i="1"/>
  <c r="AK2680" i="1"/>
  <c r="AM2680" i="1"/>
  <c r="BF2680" i="1"/>
  <c r="BG2680" i="1"/>
  <c r="T2681" i="1"/>
  <c r="U2681" i="1"/>
  <c r="V2681" i="1"/>
  <c r="W2681" i="1"/>
  <c r="AB2681" i="1"/>
  <c r="AF2681" i="1"/>
  <c r="K2682" i="1"/>
  <c r="AC2682" i="1"/>
  <c r="AJ2681" i="1"/>
  <c r="AK2681" i="1"/>
  <c r="AM2681" i="1"/>
  <c r="BF2681" i="1"/>
  <c r="BG2681" i="1"/>
  <c r="T2682" i="1"/>
  <c r="U2682" i="1"/>
  <c r="V2682" i="1"/>
  <c r="W2682" i="1"/>
  <c r="AB2682" i="1"/>
  <c r="AF2682" i="1"/>
  <c r="K2683" i="1"/>
  <c r="AC2683" i="1"/>
  <c r="AJ2682" i="1"/>
  <c r="AK2682" i="1"/>
  <c r="AM2682" i="1"/>
  <c r="BF2682" i="1"/>
  <c r="BG2682" i="1"/>
  <c r="T2683" i="1"/>
  <c r="U2683" i="1"/>
  <c r="V2683" i="1"/>
  <c r="W2683" i="1"/>
  <c r="AB2683" i="1"/>
  <c r="AF2683" i="1"/>
  <c r="K2684" i="1"/>
  <c r="AC2684" i="1"/>
  <c r="AJ2683" i="1"/>
  <c r="AK2683" i="1"/>
  <c r="AM2683" i="1"/>
  <c r="BF2683" i="1"/>
  <c r="BG2683" i="1"/>
  <c r="T2684" i="1"/>
  <c r="U2684" i="1"/>
  <c r="V2684" i="1"/>
  <c r="W2684" i="1"/>
  <c r="AB2684" i="1"/>
  <c r="AF2684" i="1"/>
  <c r="K2685" i="1"/>
  <c r="AC2685" i="1"/>
  <c r="AJ2684" i="1"/>
  <c r="AK2684" i="1"/>
  <c r="AM2684" i="1"/>
  <c r="BF2684" i="1"/>
  <c r="BG2684" i="1"/>
  <c r="T2685" i="1"/>
  <c r="U2685" i="1"/>
  <c r="V2685" i="1"/>
  <c r="W2685" i="1"/>
  <c r="AB2685" i="1"/>
  <c r="AF2685" i="1"/>
  <c r="AC2686" i="1"/>
  <c r="AJ2685" i="1"/>
  <c r="AK2685" i="1"/>
  <c r="AM2685" i="1"/>
  <c r="BF2685" i="1"/>
  <c r="BG2685" i="1"/>
  <c r="T2686" i="1"/>
  <c r="U2686" i="1"/>
  <c r="V2686" i="1"/>
  <c r="W2686" i="1"/>
  <c r="AB2686" i="1"/>
  <c r="AF2686" i="1"/>
  <c r="AC2687" i="1"/>
  <c r="AJ2686" i="1"/>
  <c r="AK2686" i="1"/>
  <c r="AM2686" i="1"/>
  <c r="BF2686" i="1"/>
  <c r="BG2686" i="1"/>
  <c r="T2687" i="1"/>
  <c r="U2687" i="1"/>
  <c r="V2687" i="1"/>
  <c r="W2687" i="1"/>
  <c r="AB2687" i="1"/>
  <c r="AF2687" i="1"/>
  <c r="K2688" i="1"/>
  <c r="AC2688" i="1"/>
  <c r="AJ2687" i="1"/>
  <c r="AK2687" i="1"/>
  <c r="AM2687" i="1"/>
  <c r="BF2687" i="1"/>
  <c r="BG2687" i="1"/>
  <c r="T2688" i="1"/>
  <c r="U2688" i="1"/>
  <c r="V2688" i="1"/>
  <c r="W2688" i="1"/>
  <c r="AB2688" i="1"/>
  <c r="AF2688" i="1"/>
  <c r="K2689" i="1"/>
  <c r="AC2689" i="1"/>
  <c r="AJ2688" i="1"/>
  <c r="AK2688" i="1"/>
  <c r="AM2688" i="1"/>
  <c r="BF2688" i="1"/>
  <c r="BG2688" i="1"/>
  <c r="T2689" i="1"/>
  <c r="U2689" i="1"/>
  <c r="V2689" i="1"/>
  <c r="W2689" i="1"/>
  <c r="AB2689" i="1"/>
  <c r="AF2689" i="1"/>
  <c r="AC2690" i="1"/>
  <c r="AJ2689" i="1"/>
  <c r="AK2689" i="1"/>
  <c r="AM2689" i="1"/>
  <c r="BF2689" i="1"/>
  <c r="BG2689" i="1"/>
  <c r="T2690" i="1"/>
  <c r="U2690" i="1"/>
  <c r="V2690" i="1"/>
  <c r="W2690" i="1"/>
  <c r="AB2690" i="1"/>
  <c r="AF2690" i="1"/>
  <c r="AC2691" i="1"/>
  <c r="AJ2690" i="1"/>
  <c r="AK2690" i="1"/>
  <c r="AM2690" i="1"/>
  <c r="BF2690" i="1"/>
  <c r="BG2690" i="1"/>
  <c r="T2691" i="1"/>
  <c r="U2691" i="1"/>
  <c r="V2691" i="1"/>
  <c r="W2691" i="1"/>
  <c r="AB2691" i="1"/>
  <c r="AF2691" i="1"/>
  <c r="K2692" i="1"/>
  <c r="AC2692" i="1"/>
  <c r="AJ2691" i="1"/>
  <c r="AK2691" i="1"/>
  <c r="AM2691" i="1"/>
  <c r="BF2691" i="1"/>
  <c r="BG2691" i="1"/>
  <c r="T2692" i="1"/>
  <c r="U2692" i="1"/>
  <c r="V2692" i="1"/>
  <c r="W2692" i="1"/>
  <c r="AB2692" i="1"/>
  <c r="AF2692" i="1"/>
  <c r="K2693" i="1"/>
  <c r="AC2693" i="1"/>
  <c r="AJ2692" i="1"/>
  <c r="AK2692" i="1"/>
  <c r="AM2692" i="1"/>
  <c r="BF2692" i="1"/>
  <c r="BG2692" i="1"/>
  <c r="T2693" i="1"/>
  <c r="U2693" i="1"/>
  <c r="V2693" i="1"/>
  <c r="W2693" i="1"/>
  <c r="AB2693" i="1"/>
  <c r="AF2693" i="1"/>
  <c r="K2694" i="1"/>
  <c r="AC2694" i="1"/>
  <c r="AJ2693" i="1"/>
  <c r="AK2693" i="1"/>
  <c r="AM2693" i="1"/>
  <c r="BF2693" i="1"/>
  <c r="BG2693" i="1"/>
  <c r="T2694" i="1"/>
  <c r="U2694" i="1"/>
  <c r="V2694" i="1"/>
  <c r="W2694" i="1"/>
  <c r="AB2694" i="1"/>
  <c r="AF2694" i="1"/>
  <c r="K2695" i="1"/>
  <c r="AC2695" i="1"/>
  <c r="AJ2694" i="1"/>
  <c r="AK2694" i="1"/>
  <c r="AM2694" i="1"/>
  <c r="BF2694" i="1"/>
  <c r="BG2694" i="1"/>
  <c r="T2695" i="1"/>
  <c r="U2695" i="1"/>
  <c r="V2695" i="1"/>
  <c r="W2695" i="1"/>
  <c r="AB2695" i="1"/>
  <c r="AF2695" i="1"/>
  <c r="AC2696" i="1"/>
  <c r="AJ2695" i="1"/>
  <c r="AK2695" i="1"/>
  <c r="AM2695" i="1"/>
  <c r="BF2695" i="1"/>
  <c r="BG2695" i="1"/>
  <c r="T2696" i="1"/>
  <c r="U2696" i="1"/>
  <c r="V2696" i="1"/>
  <c r="W2696" i="1"/>
  <c r="AB2696" i="1"/>
  <c r="AF2696" i="1"/>
  <c r="AC2697" i="1"/>
  <c r="AJ2696" i="1"/>
  <c r="AK2696" i="1"/>
  <c r="AM2696" i="1"/>
  <c r="BF2696" i="1"/>
  <c r="BG2696" i="1"/>
  <c r="T2697" i="1"/>
  <c r="U2697" i="1"/>
  <c r="V2697" i="1"/>
  <c r="W2697" i="1"/>
  <c r="AB2697" i="1"/>
  <c r="AF2697" i="1"/>
  <c r="K2698" i="1"/>
  <c r="AC2698" i="1"/>
  <c r="AJ2697" i="1"/>
  <c r="AK2697" i="1"/>
  <c r="AM2697" i="1"/>
  <c r="BF2697" i="1"/>
  <c r="BG2697" i="1"/>
  <c r="T2698" i="1"/>
  <c r="U2698" i="1"/>
  <c r="V2698" i="1"/>
  <c r="W2698" i="1"/>
  <c r="AB2698" i="1"/>
  <c r="AF2698" i="1"/>
  <c r="K2699" i="1"/>
  <c r="AC2699" i="1"/>
  <c r="AJ2698" i="1"/>
  <c r="AK2698" i="1"/>
  <c r="AM2698" i="1"/>
  <c r="BF2698" i="1"/>
  <c r="BG2698" i="1"/>
  <c r="T2699" i="1"/>
  <c r="U2699" i="1"/>
  <c r="V2699" i="1"/>
  <c r="W2699" i="1"/>
  <c r="AB2699" i="1"/>
  <c r="AF2699" i="1"/>
  <c r="AC2700" i="1"/>
  <c r="AJ2699" i="1"/>
  <c r="AK2699" i="1"/>
  <c r="AM2699" i="1"/>
  <c r="BF2699" i="1"/>
  <c r="BG2699" i="1"/>
  <c r="T2700" i="1"/>
  <c r="U2700" i="1"/>
  <c r="V2700" i="1"/>
  <c r="W2700" i="1"/>
  <c r="AB2700" i="1"/>
  <c r="AF2700" i="1"/>
  <c r="AC2701" i="1"/>
  <c r="AJ2700" i="1"/>
  <c r="AK2700" i="1"/>
  <c r="AM2700" i="1"/>
  <c r="BF2700" i="1"/>
  <c r="BG2700" i="1"/>
  <c r="T2701" i="1"/>
  <c r="U2701" i="1"/>
  <c r="V2701" i="1"/>
  <c r="W2701" i="1"/>
  <c r="AB2701" i="1"/>
  <c r="AF2701" i="1"/>
  <c r="K2702" i="1"/>
  <c r="AC2702" i="1"/>
  <c r="AJ2701" i="1"/>
  <c r="AK2701" i="1"/>
  <c r="AM2701" i="1"/>
  <c r="BF2701" i="1"/>
  <c r="BG2701" i="1"/>
  <c r="T2702" i="1"/>
  <c r="U2702" i="1"/>
  <c r="V2702" i="1"/>
  <c r="W2702" i="1"/>
  <c r="AB2702" i="1"/>
  <c r="AF2702" i="1"/>
  <c r="AC2703" i="1"/>
  <c r="AJ2702" i="1"/>
  <c r="AK2702" i="1"/>
  <c r="AM2702" i="1"/>
  <c r="BF2702" i="1"/>
  <c r="BG2702" i="1"/>
  <c r="T2703" i="1"/>
  <c r="U2703" i="1"/>
  <c r="V2703" i="1"/>
  <c r="W2703" i="1"/>
  <c r="AB2703" i="1"/>
  <c r="AF2703" i="1"/>
  <c r="AC2704" i="1"/>
  <c r="AJ2703" i="1"/>
  <c r="AK2703" i="1"/>
  <c r="AM2703" i="1"/>
  <c r="BF2703" i="1"/>
  <c r="BG2703" i="1"/>
  <c r="T2704" i="1"/>
  <c r="U2704" i="1"/>
  <c r="V2704" i="1"/>
  <c r="W2704" i="1"/>
  <c r="AB2704" i="1"/>
  <c r="AF2704" i="1"/>
  <c r="K2705" i="1"/>
  <c r="AC2705" i="1"/>
  <c r="AJ2704" i="1"/>
  <c r="AK2704" i="1"/>
  <c r="AM2704" i="1"/>
  <c r="BF2704" i="1"/>
  <c r="BG2704" i="1"/>
  <c r="T2705" i="1"/>
  <c r="U2705" i="1"/>
  <c r="V2705" i="1"/>
  <c r="W2705" i="1"/>
  <c r="AB2705" i="1"/>
  <c r="AF2705" i="1"/>
  <c r="AC2706" i="1"/>
  <c r="AJ2705" i="1"/>
  <c r="AK2705" i="1"/>
  <c r="AM2705" i="1"/>
  <c r="BF2705" i="1"/>
  <c r="BG2705" i="1"/>
  <c r="T2706" i="1"/>
  <c r="U2706" i="1"/>
  <c r="V2706" i="1"/>
  <c r="W2706" i="1"/>
  <c r="AB2706" i="1"/>
  <c r="AF2706" i="1"/>
  <c r="AC2707" i="1"/>
  <c r="AJ2706" i="1"/>
  <c r="AK2706" i="1"/>
  <c r="AM2706" i="1"/>
  <c r="BF2706" i="1"/>
  <c r="BG2706" i="1"/>
  <c r="T2707" i="1"/>
  <c r="U2707" i="1"/>
  <c r="V2707" i="1"/>
  <c r="W2707" i="1"/>
  <c r="AB2707" i="1"/>
  <c r="AF2707" i="1"/>
  <c r="K2708" i="1"/>
  <c r="AC2708" i="1"/>
  <c r="AJ2707" i="1"/>
  <c r="AK2707" i="1"/>
  <c r="AM2707" i="1"/>
  <c r="BF2707" i="1"/>
  <c r="BG2707" i="1"/>
  <c r="T2708" i="1"/>
  <c r="U2708" i="1"/>
  <c r="V2708" i="1"/>
  <c r="W2708" i="1"/>
  <c r="AB2708" i="1"/>
  <c r="AF2708" i="1"/>
  <c r="AC2709" i="1"/>
  <c r="AJ2708" i="1"/>
  <c r="AK2708" i="1"/>
  <c r="AM2708" i="1"/>
  <c r="BF2708" i="1"/>
  <c r="BG2708" i="1"/>
  <c r="T2709" i="1"/>
  <c r="U2709" i="1"/>
  <c r="V2709" i="1"/>
  <c r="W2709" i="1"/>
  <c r="AB2709" i="1"/>
  <c r="AF2709" i="1"/>
  <c r="AC2710" i="1"/>
  <c r="AJ2709" i="1"/>
  <c r="AK2709" i="1"/>
  <c r="AM2709" i="1"/>
  <c r="BF2709" i="1"/>
  <c r="BG2709" i="1"/>
  <c r="T2710" i="1"/>
  <c r="U2710" i="1"/>
  <c r="V2710" i="1"/>
  <c r="W2710" i="1"/>
  <c r="AB2710" i="1"/>
  <c r="AF2710" i="1"/>
  <c r="K2711" i="1"/>
  <c r="AC2711" i="1"/>
  <c r="AJ2710" i="1"/>
  <c r="AK2710" i="1"/>
  <c r="AM2710" i="1"/>
  <c r="BF2710" i="1"/>
  <c r="BG2710" i="1"/>
  <c r="T2711" i="1"/>
  <c r="U2711" i="1"/>
  <c r="V2711" i="1"/>
  <c r="W2711" i="1"/>
  <c r="AB2711" i="1"/>
  <c r="AF2711" i="1"/>
  <c r="K2712" i="1"/>
  <c r="AC2712" i="1"/>
  <c r="AJ2711" i="1"/>
  <c r="AK2711" i="1"/>
  <c r="AM2711" i="1"/>
  <c r="BF2711" i="1"/>
  <c r="BG2711" i="1"/>
  <c r="T2712" i="1"/>
  <c r="U2712" i="1"/>
  <c r="V2712" i="1"/>
  <c r="W2712" i="1"/>
  <c r="AB2712" i="1"/>
  <c r="AF2712" i="1"/>
  <c r="AC2713" i="1"/>
  <c r="AJ2712" i="1"/>
  <c r="AK2712" i="1"/>
  <c r="AM2712" i="1"/>
  <c r="BF2712" i="1"/>
  <c r="BG2712" i="1"/>
  <c r="T2713" i="1"/>
  <c r="U2713" i="1"/>
  <c r="V2713" i="1"/>
  <c r="W2713" i="1"/>
  <c r="AB2713" i="1"/>
  <c r="AF2713" i="1"/>
  <c r="AC2714" i="1"/>
  <c r="AJ2713" i="1"/>
  <c r="AK2713" i="1"/>
  <c r="AM2713" i="1"/>
  <c r="BF2713" i="1"/>
  <c r="BG2713" i="1"/>
  <c r="T2714" i="1"/>
  <c r="U2714" i="1"/>
  <c r="V2714" i="1"/>
  <c r="W2714" i="1"/>
  <c r="AB2714" i="1"/>
  <c r="AF2714" i="1"/>
  <c r="K2715" i="1"/>
  <c r="AC2715" i="1"/>
  <c r="AJ2714" i="1"/>
  <c r="AK2714" i="1"/>
  <c r="AM2714" i="1"/>
  <c r="BF2714" i="1"/>
  <c r="BG2714" i="1"/>
  <c r="T2715" i="1"/>
  <c r="U2715" i="1"/>
  <c r="V2715" i="1"/>
  <c r="W2715" i="1"/>
  <c r="AB2715" i="1"/>
  <c r="AF2715" i="1"/>
  <c r="AC2716" i="1"/>
  <c r="AJ2715" i="1"/>
  <c r="AK2715" i="1"/>
  <c r="AM2715" i="1"/>
  <c r="BF2715" i="1"/>
  <c r="BG2715" i="1"/>
  <c r="T2716" i="1"/>
  <c r="U2716" i="1"/>
  <c r="V2716" i="1"/>
  <c r="W2716" i="1"/>
  <c r="AB2716" i="1"/>
  <c r="AF2716" i="1"/>
  <c r="AC2717" i="1"/>
  <c r="AJ2716" i="1"/>
  <c r="AK2716" i="1"/>
  <c r="AM2716" i="1"/>
  <c r="BF2716" i="1"/>
  <c r="BG2716" i="1"/>
  <c r="T2717" i="1"/>
  <c r="U2717" i="1"/>
  <c r="V2717" i="1"/>
  <c r="W2717" i="1"/>
  <c r="AB2717" i="1"/>
  <c r="AF2717" i="1"/>
  <c r="K2718" i="1"/>
  <c r="AC2718" i="1"/>
  <c r="AJ2717" i="1"/>
  <c r="AK2717" i="1"/>
  <c r="AM2717" i="1"/>
  <c r="BF2717" i="1"/>
  <c r="BG2717" i="1"/>
  <c r="T2718" i="1"/>
  <c r="U2718" i="1"/>
  <c r="V2718" i="1"/>
  <c r="W2718" i="1"/>
  <c r="AB2718" i="1"/>
  <c r="AF2718" i="1"/>
  <c r="AC2719" i="1"/>
  <c r="AJ2718" i="1"/>
  <c r="AK2718" i="1"/>
  <c r="AM2718" i="1"/>
  <c r="BF2718" i="1"/>
  <c r="BG2718" i="1"/>
  <c r="T2719" i="1"/>
  <c r="U2719" i="1"/>
  <c r="V2719" i="1"/>
  <c r="W2719" i="1"/>
  <c r="AB2719" i="1"/>
  <c r="AF2719" i="1"/>
  <c r="AC2720" i="1"/>
  <c r="AJ2719" i="1"/>
  <c r="AK2719" i="1"/>
  <c r="AM2719" i="1"/>
  <c r="BF2719" i="1"/>
  <c r="BG2719" i="1"/>
  <c r="T2720" i="1"/>
  <c r="U2720" i="1"/>
  <c r="V2720" i="1"/>
  <c r="W2720" i="1"/>
  <c r="AB2720" i="1"/>
  <c r="AF2720" i="1"/>
  <c r="K2721" i="1"/>
  <c r="AC2721" i="1"/>
  <c r="AJ2720" i="1"/>
  <c r="AK2720" i="1"/>
  <c r="AM2720" i="1"/>
  <c r="BF2720" i="1"/>
  <c r="BG2720" i="1"/>
  <c r="T2721" i="1"/>
  <c r="U2721" i="1"/>
  <c r="V2721" i="1"/>
  <c r="W2721" i="1"/>
  <c r="AB2721" i="1"/>
  <c r="AF2721" i="1"/>
  <c r="AC2722" i="1"/>
  <c r="AJ2721" i="1"/>
  <c r="AK2721" i="1"/>
  <c r="AM2721" i="1"/>
  <c r="BF2721" i="1"/>
  <c r="BG2721" i="1"/>
  <c r="T2722" i="1"/>
  <c r="U2722" i="1"/>
  <c r="V2722" i="1"/>
  <c r="W2722" i="1"/>
  <c r="AB2722" i="1"/>
  <c r="AF2722" i="1"/>
  <c r="AC2723" i="1"/>
  <c r="AJ2722" i="1"/>
  <c r="AK2722" i="1"/>
  <c r="AM2722" i="1"/>
  <c r="BF2722" i="1"/>
  <c r="BG2722" i="1"/>
  <c r="T2723" i="1"/>
  <c r="U2723" i="1"/>
  <c r="V2723" i="1"/>
  <c r="W2723" i="1"/>
  <c r="AB2723" i="1"/>
  <c r="AF2723" i="1"/>
  <c r="K2724" i="1"/>
  <c r="AC2724" i="1"/>
  <c r="AJ2723" i="1"/>
  <c r="AK2723" i="1"/>
  <c r="AM2723" i="1"/>
  <c r="BF2723" i="1"/>
  <c r="BG2723" i="1"/>
  <c r="T2724" i="1"/>
  <c r="U2724" i="1"/>
  <c r="V2724" i="1"/>
  <c r="W2724" i="1"/>
  <c r="AB2724" i="1"/>
  <c r="AF2724" i="1"/>
  <c r="AC2725" i="1"/>
  <c r="AJ2724" i="1"/>
  <c r="AK2724" i="1"/>
  <c r="AM2724" i="1"/>
  <c r="BF2724" i="1"/>
  <c r="BG2724" i="1"/>
  <c r="T2725" i="1"/>
  <c r="U2725" i="1"/>
  <c r="V2725" i="1"/>
  <c r="W2725" i="1"/>
  <c r="AB2725" i="1"/>
  <c r="AF2725" i="1"/>
  <c r="AC2726" i="1"/>
  <c r="AJ2725" i="1"/>
  <c r="AK2725" i="1"/>
  <c r="AM2725" i="1"/>
  <c r="BF2725" i="1"/>
  <c r="BG2725" i="1"/>
  <c r="T2726" i="1"/>
  <c r="U2726" i="1"/>
  <c r="V2726" i="1"/>
  <c r="W2726" i="1"/>
  <c r="AB2726" i="1"/>
  <c r="AF2726" i="1"/>
  <c r="AC2727" i="1"/>
  <c r="AJ2726" i="1"/>
  <c r="AK2726" i="1"/>
  <c r="AM2726" i="1"/>
  <c r="BF2726" i="1"/>
  <c r="BG2726" i="1"/>
  <c r="T2727" i="1"/>
  <c r="U2727" i="1"/>
  <c r="V2727" i="1"/>
  <c r="W2727" i="1"/>
  <c r="AB2727" i="1"/>
  <c r="AF2727" i="1"/>
  <c r="K2728" i="1"/>
  <c r="AC2728" i="1"/>
  <c r="AJ2727" i="1"/>
  <c r="AK2727" i="1"/>
  <c r="AM2727" i="1"/>
  <c r="BF2727" i="1"/>
  <c r="BG2727" i="1"/>
  <c r="T2728" i="1"/>
  <c r="U2728" i="1"/>
  <c r="V2728" i="1"/>
  <c r="W2728" i="1"/>
  <c r="AB2728" i="1"/>
  <c r="AF2728" i="1"/>
  <c r="AC2729" i="1"/>
  <c r="AJ2728" i="1"/>
  <c r="AK2728" i="1"/>
  <c r="AM2728" i="1"/>
  <c r="BF2728" i="1"/>
  <c r="BG2728" i="1"/>
  <c r="T2729" i="1"/>
  <c r="U2729" i="1"/>
  <c r="V2729" i="1"/>
  <c r="W2729" i="1"/>
  <c r="AB2729" i="1"/>
  <c r="AF2729" i="1"/>
  <c r="AC2730" i="1"/>
  <c r="AJ2729" i="1"/>
  <c r="AK2729" i="1"/>
  <c r="AM2729" i="1"/>
  <c r="BF2729" i="1"/>
  <c r="BG2729" i="1"/>
  <c r="T2730" i="1"/>
  <c r="U2730" i="1"/>
  <c r="V2730" i="1"/>
  <c r="W2730" i="1"/>
  <c r="AB2730" i="1"/>
  <c r="AF2730" i="1"/>
  <c r="K2731" i="1"/>
  <c r="AC2731" i="1"/>
  <c r="AJ2730" i="1"/>
  <c r="AK2730" i="1"/>
  <c r="AM2730" i="1"/>
  <c r="BF2730" i="1"/>
  <c r="BG2730" i="1"/>
  <c r="T2731" i="1"/>
  <c r="U2731" i="1"/>
  <c r="V2731" i="1"/>
  <c r="W2731" i="1"/>
  <c r="AB2731" i="1"/>
  <c r="AF2731" i="1"/>
  <c r="AC2732" i="1"/>
  <c r="AJ2731" i="1"/>
  <c r="AK2731" i="1"/>
  <c r="AM2731" i="1"/>
  <c r="BF2731" i="1"/>
  <c r="BG2731" i="1"/>
  <c r="T2732" i="1"/>
  <c r="U2732" i="1"/>
  <c r="V2732" i="1"/>
  <c r="W2732" i="1"/>
  <c r="AB2732" i="1"/>
  <c r="AF2732" i="1"/>
  <c r="AC2733" i="1"/>
  <c r="AJ2732" i="1"/>
  <c r="AK2732" i="1"/>
  <c r="AM2732" i="1"/>
  <c r="BF2732" i="1"/>
  <c r="BG2732" i="1"/>
  <c r="T2733" i="1"/>
  <c r="U2733" i="1"/>
  <c r="V2733" i="1"/>
  <c r="W2733" i="1"/>
  <c r="AB2733" i="1"/>
  <c r="AF2733" i="1"/>
  <c r="K2734" i="1"/>
  <c r="AC2734" i="1"/>
  <c r="AJ2733" i="1"/>
  <c r="AK2733" i="1"/>
  <c r="AM2733" i="1"/>
  <c r="BF2733" i="1"/>
  <c r="BG2733" i="1"/>
  <c r="T2734" i="1"/>
  <c r="U2734" i="1"/>
  <c r="V2734" i="1"/>
  <c r="W2734" i="1"/>
  <c r="AB2734" i="1"/>
  <c r="AF2734" i="1"/>
  <c r="AC2735" i="1"/>
  <c r="AJ2734" i="1"/>
  <c r="AK2734" i="1"/>
  <c r="AM2734" i="1"/>
  <c r="BF2734" i="1"/>
  <c r="BG2734" i="1"/>
  <c r="T2735" i="1"/>
  <c r="U2735" i="1"/>
  <c r="V2735" i="1"/>
  <c r="W2735" i="1"/>
  <c r="AB2735" i="1"/>
  <c r="AF2735" i="1"/>
  <c r="AC2736" i="1"/>
  <c r="AJ2735" i="1"/>
  <c r="AK2735" i="1"/>
  <c r="AM2735" i="1"/>
  <c r="BF2735" i="1"/>
  <c r="BG2735" i="1"/>
  <c r="T2736" i="1"/>
  <c r="U2736" i="1"/>
  <c r="V2736" i="1"/>
  <c r="W2736" i="1"/>
  <c r="AB2736" i="1"/>
  <c r="AF2736" i="1"/>
  <c r="K2737" i="1"/>
  <c r="AC2737" i="1"/>
  <c r="AJ2736" i="1"/>
  <c r="AK2736" i="1"/>
  <c r="AM2736" i="1"/>
  <c r="BF2736" i="1"/>
  <c r="BG2736" i="1"/>
  <c r="T2737" i="1"/>
  <c r="U2737" i="1"/>
  <c r="V2737" i="1"/>
  <c r="W2737" i="1"/>
  <c r="AB2737" i="1"/>
  <c r="AF2737" i="1"/>
  <c r="AC2738" i="1"/>
  <c r="AJ2737" i="1"/>
  <c r="AK2737" i="1"/>
  <c r="AM2737" i="1"/>
  <c r="BF2737" i="1"/>
  <c r="BG2737" i="1"/>
  <c r="T2738" i="1"/>
  <c r="U2738" i="1"/>
  <c r="V2738" i="1"/>
  <c r="W2738" i="1"/>
  <c r="AB2738" i="1"/>
  <c r="AF2738" i="1"/>
  <c r="AC2739" i="1"/>
  <c r="AJ2738" i="1"/>
  <c r="AK2738" i="1"/>
  <c r="AM2738" i="1"/>
  <c r="BF2738" i="1"/>
  <c r="BG2738" i="1"/>
  <c r="T2739" i="1"/>
  <c r="U2739" i="1"/>
  <c r="V2739" i="1"/>
  <c r="W2739" i="1"/>
  <c r="AB2739" i="1"/>
  <c r="AF2739" i="1"/>
  <c r="K2740" i="1"/>
  <c r="AC2740" i="1"/>
  <c r="AJ2739" i="1"/>
  <c r="AK2739" i="1"/>
  <c r="AM2739" i="1"/>
  <c r="BF2739" i="1"/>
  <c r="BG2739" i="1"/>
  <c r="T2740" i="1"/>
  <c r="U2740" i="1"/>
  <c r="V2740" i="1"/>
  <c r="W2740" i="1"/>
  <c r="AB2740" i="1"/>
  <c r="AF2740" i="1"/>
  <c r="AC2741" i="1"/>
  <c r="AJ2740" i="1"/>
  <c r="AK2740" i="1"/>
  <c r="AM2740" i="1"/>
  <c r="BF2740" i="1"/>
  <c r="BG2740" i="1"/>
  <c r="T2741" i="1"/>
  <c r="U2741" i="1"/>
  <c r="V2741" i="1"/>
  <c r="W2741" i="1"/>
  <c r="AB2741" i="1"/>
  <c r="AF2741" i="1"/>
  <c r="AC2742" i="1"/>
  <c r="AJ2741" i="1"/>
  <c r="AK2741" i="1"/>
  <c r="AM2741" i="1"/>
  <c r="BF2741" i="1"/>
  <c r="BG2741" i="1"/>
  <c r="T2742" i="1"/>
  <c r="U2742" i="1"/>
  <c r="V2742" i="1"/>
  <c r="W2742" i="1"/>
  <c r="AB2742" i="1"/>
  <c r="AF2742" i="1"/>
  <c r="K2743" i="1"/>
  <c r="AC2743" i="1"/>
  <c r="AJ2742" i="1"/>
  <c r="AK2742" i="1"/>
  <c r="AM2742" i="1"/>
  <c r="BF2742" i="1"/>
  <c r="BG2742" i="1"/>
  <c r="T2743" i="1"/>
  <c r="U2743" i="1"/>
  <c r="V2743" i="1"/>
  <c r="W2743" i="1"/>
  <c r="AB2743" i="1"/>
  <c r="AF2743" i="1"/>
  <c r="K2744" i="1"/>
  <c r="AC2744" i="1"/>
  <c r="AJ2743" i="1"/>
  <c r="AK2743" i="1"/>
  <c r="AM2743" i="1"/>
  <c r="BF2743" i="1"/>
  <c r="BG2743" i="1"/>
  <c r="T2744" i="1"/>
  <c r="U2744" i="1"/>
  <c r="V2744" i="1"/>
  <c r="W2744" i="1"/>
  <c r="AB2744" i="1"/>
  <c r="AF2744" i="1"/>
  <c r="K2745" i="1"/>
  <c r="AC2745" i="1"/>
  <c r="AJ2744" i="1"/>
  <c r="AK2744" i="1"/>
  <c r="AM2744" i="1"/>
  <c r="BF2744" i="1"/>
  <c r="BG2744" i="1"/>
  <c r="T2745" i="1"/>
  <c r="U2745" i="1"/>
  <c r="V2745" i="1"/>
  <c r="W2745" i="1"/>
  <c r="AB2745" i="1"/>
  <c r="AF2745" i="1"/>
  <c r="K2746" i="1"/>
  <c r="AC2746" i="1"/>
  <c r="AJ2745" i="1"/>
  <c r="AK2745" i="1"/>
  <c r="AM2745" i="1"/>
  <c r="BF2745" i="1"/>
  <c r="BG2745" i="1"/>
  <c r="T2746" i="1"/>
  <c r="U2746" i="1"/>
  <c r="V2746" i="1"/>
  <c r="W2746" i="1"/>
  <c r="AB2746" i="1"/>
  <c r="AF2746" i="1"/>
  <c r="K2747" i="1"/>
  <c r="AC2747" i="1"/>
  <c r="AJ2746" i="1"/>
  <c r="AK2746" i="1"/>
  <c r="AM2746" i="1"/>
  <c r="BF2746" i="1"/>
  <c r="BG2746" i="1"/>
  <c r="T2747" i="1"/>
  <c r="U2747" i="1"/>
  <c r="V2747" i="1"/>
  <c r="W2747" i="1"/>
  <c r="AB2747" i="1"/>
  <c r="AF2747" i="1"/>
  <c r="K2748" i="1"/>
  <c r="AC2748" i="1"/>
  <c r="AJ2747" i="1"/>
  <c r="AK2747" i="1"/>
  <c r="AM2747" i="1"/>
  <c r="BF2747" i="1"/>
  <c r="BG2747" i="1"/>
  <c r="T2748" i="1"/>
  <c r="U2748" i="1"/>
  <c r="V2748" i="1"/>
  <c r="W2748" i="1"/>
  <c r="AB2748" i="1"/>
  <c r="AF2748" i="1"/>
  <c r="AC2749" i="1"/>
  <c r="AJ2748" i="1"/>
  <c r="AK2748" i="1"/>
  <c r="AM2748" i="1"/>
  <c r="BF2748" i="1"/>
  <c r="BG2748" i="1"/>
  <c r="T2749" i="1"/>
  <c r="U2749" i="1"/>
  <c r="V2749" i="1"/>
  <c r="W2749" i="1"/>
  <c r="AB2749" i="1"/>
  <c r="AF2749" i="1"/>
  <c r="AC2750" i="1"/>
  <c r="AJ2749" i="1"/>
  <c r="AK2749" i="1"/>
  <c r="AM2749" i="1"/>
  <c r="BF2749" i="1"/>
  <c r="BG2749" i="1"/>
  <c r="T2750" i="1"/>
  <c r="U2750" i="1"/>
  <c r="V2750" i="1"/>
  <c r="W2750" i="1"/>
  <c r="AB2750" i="1"/>
  <c r="AF2750" i="1"/>
  <c r="K2751" i="1"/>
  <c r="AC2751" i="1"/>
  <c r="AJ2750" i="1"/>
  <c r="AK2750" i="1"/>
  <c r="AM2750" i="1"/>
  <c r="BF2750" i="1"/>
  <c r="BG2750" i="1"/>
  <c r="T2751" i="1"/>
  <c r="U2751" i="1"/>
  <c r="V2751" i="1"/>
  <c r="W2751" i="1"/>
  <c r="AB2751" i="1"/>
  <c r="AF2751" i="1"/>
  <c r="AC2752" i="1"/>
  <c r="AJ2751" i="1"/>
  <c r="AK2751" i="1"/>
  <c r="AM2751" i="1"/>
  <c r="BF2751" i="1"/>
  <c r="BG2751" i="1"/>
  <c r="T2752" i="1"/>
  <c r="U2752" i="1"/>
  <c r="V2752" i="1"/>
  <c r="W2752" i="1"/>
  <c r="AB2752" i="1"/>
  <c r="AF2752" i="1"/>
  <c r="AC2753" i="1"/>
  <c r="AJ2752" i="1"/>
  <c r="AK2752" i="1"/>
  <c r="AM2752" i="1"/>
  <c r="BF2752" i="1"/>
  <c r="BG2752" i="1"/>
  <c r="T2753" i="1"/>
  <c r="U2753" i="1"/>
  <c r="V2753" i="1"/>
  <c r="W2753" i="1"/>
  <c r="AB2753" i="1"/>
  <c r="AF2753" i="1"/>
  <c r="K2754" i="1"/>
  <c r="AC2754" i="1"/>
  <c r="AJ2753" i="1"/>
  <c r="AK2753" i="1"/>
  <c r="AM2753" i="1"/>
  <c r="BF2753" i="1"/>
  <c r="BG2753" i="1"/>
  <c r="T2754" i="1"/>
  <c r="U2754" i="1"/>
  <c r="V2754" i="1"/>
  <c r="W2754" i="1"/>
  <c r="AB2754" i="1"/>
  <c r="AF2754" i="1"/>
  <c r="AC2755" i="1"/>
  <c r="AJ2754" i="1"/>
  <c r="AK2754" i="1"/>
  <c r="AM2754" i="1"/>
  <c r="BF2754" i="1"/>
  <c r="BG2754" i="1"/>
  <c r="T2755" i="1"/>
  <c r="U2755" i="1"/>
  <c r="V2755" i="1"/>
  <c r="W2755" i="1"/>
  <c r="AB2755" i="1"/>
  <c r="AF2755" i="1"/>
  <c r="AC2756" i="1"/>
  <c r="AJ2755" i="1"/>
  <c r="AK2755" i="1"/>
  <c r="AM2755" i="1"/>
  <c r="BF2755" i="1"/>
  <c r="BG2755" i="1"/>
  <c r="T2756" i="1"/>
  <c r="U2756" i="1"/>
  <c r="V2756" i="1"/>
  <c r="W2756" i="1"/>
  <c r="AB2756" i="1"/>
  <c r="AF2756" i="1"/>
  <c r="K2757" i="1"/>
  <c r="AC2757" i="1"/>
  <c r="AJ2756" i="1"/>
  <c r="AK2756" i="1"/>
  <c r="AM2756" i="1"/>
  <c r="BF2756" i="1"/>
  <c r="BG2756" i="1"/>
  <c r="T2757" i="1"/>
  <c r="U2757" i="1"/>
  <c r="V2757" i="1"/>
  <c r="W2757" i="1"/>
  <c r="AB2757" i="1"/>
  <c r="AF2757" i="1"/>
  <c r="AC2758" i="1"/>
  <c r="AJ2757" i="1"/>
  <c r="AK2757" i="1"/>
  <c r="AM2757" i="1"/>
  <c r="BF2757" i="1"/>
  <c r="BG2757" i="1"/>
  <c r="T2758" i="1"/>
  <c r="U2758" i="1"/>
  <c r="V2758" i="1"/>
  <c r="W2758" i="1"/>
  <c r="AB2758" i="1"/>
  <c r="AF2758" i="1"/>
  <c r="AC2759" i="1"/>
  <c r="AJ2758" i="1"/>
  <c r="AK2758" i="1"/>
  <c r="AM2758" i="1"/>
  <c r="BF2758" i="1"/>
  <c r="BG2758" i="1"/>
  <c r="T2759" i="1"/>
  <c r="U2759" i="1"/>
  <c r="V2759" i="1"/>
  <c r="W2759" i="1"/>
  <c r="AB2759" i="1"/>
  <c r="AF2759" i="1"/>
  <c r="K2760" i="1"/>
  <c r="AC2760" i="1"/>
  <c r="AJ2759" i="1"/>
  <c r="AK2759" i="1"/>
  <c r="AM2759" i="1"/>
  <c r="BF2759" i="1"/>
  <c r="BG2759" i="1"/>
  <c r="T2760" i="1"/>
  <c r="U2760" i="1"/>
  <c r="V2760" i="1"/>
  <c r="W2760" i="1"/>
  <c r="AB2760" i="1"/>
  <c r="AF2760" i="1"/>
  <c r="K2761" i="1"/>
  <c r="AC2761" i="1"/>
  <c r="AJ2760" i="1"/>
  <c r="AK2760" i="1"/>
  <c r="AM2760" i="1"/>
  <c r="BF2760" i="1"/>
  <c r="BG2760" i="1"/>
  <c r="T2761" i="1"/>
  <c r="U2761" i="1"/>
  <c r="V2761" i="1"/>
  <c r="W2761" i="1"/>
  <c r="AB2761" i="1"/>
  <c r="AF2761" i="1"/>
  <c r="K2762" i="1"/>
  <c r="AC2762" i="1"/>
  <c r="AJ2761" i="1"/>
  <c r="AK2761" i="1"/>
  <c r="AM2761" i="1"/>
  <c r="BF2761" i="1"/>
  <c r="BG2761" i="1"/>
  <c r="T2762" i="1"/>
  <c r="U2762" i="1"/>
  <c r="V2762" i="1"/>
  <c r="W2762" i="1"/>
  <c r="AB2762" i="1"/>
  <c r="AF2762" i="1"/>
  <c r="K2763" i="1"/>
  <c r="AC2763" i="1"/>
  <c r="AJ2762" i="1"/>
  <c r="AK2762" i="1"/>
  <c r="AM2762" i="1"/>
  <c r="BF2762" i="1"/>
  <c r="BG2762" i="1"/>
  <c r="T2763" i="1"/>
  <c r="U2763" i="1"/>
  <c r="V2763" i="1"/>
  <c r="W2763" i="1"/>
  <c r="AB2763" i="1"/>
  <c r="AF2763" i="1"/>
  <c r="AC2764" i="1"/>
  <c r="AJ2763" i="1"/>
  <c r="AK2763" i="1"/>
  <c r="AM2763" i="1"/>
  <c r="BF2763" i="1"/>
  <c r="BG2763" i="1"/>
  <c r="T2764" i="1"/>
  <c r="U2764" i="1"/>
  <c r="V2764" i="1"/>
  <c r="W2764" i="1"/>
  <c r="AB2764" i="1"/>
  <c r="AF2764" i="1"/>
  <c r="AC2765" i="1"/>
  <c r="AJ2764" i="1"/>
  <c r="AK2764" i="1"/>
  <c r="AM2764" i="1"/>
  <c r="BF2764" i="1"/>
  <c r="BG2764" i="1"/>
  <c r="T2765" i="1"/>
  <c r="U2765" i="1"/>
  <c r="V2765" i="1"/>
  <c r="W2765" i="1"/>
  <c r="AB2765" i="1"/>
  <c r="AF2765" i="1"/>
  <c r="K2766" i="1"/>
  <c r="AC2766" i="1"/>
  <c r="AJ2765" i="1"/>
  <c r="AK2765" i="1"/>
  <c r="AM2765" i="1"/>
  <c r="BF2765" i="1"/>
  <c r="BG2765" i="1"/>
  <c r="T2766" i="1"/>
  <c r="U2766" i="1"/>
  <c r="V2766" i="1"/>
  <c r="W2766" i="1"/>
  <c r="AB2766" i="1"/>
  <c r="AF2766" i="1"/>
  <c r="K2767" i="1"/>
  <c r="AC2767" i="1"/>
  <c r="AJ2766" i="1"/>
  <c r="AK2766" i="1"/>
  <c r="AM2766" i="1"/>
  <c r="BF2766" i="1"/>
  <c r="BG2766" i="1"/>
  <c r="T2767" i="1"/>
  <c r="U2767" i="1"/>
  <c r="V2767" i="1"/>
  <c r="W2767" i="1"/>
  <c r="AB2767" i="1"/>
  <c r="AF2767" i="1"/>
  <c r="K2768" i="1"/>
  <c r="AC2768" i="1"/>
  <c r="AJ2767" i="1"/>
  <c r="AK2767" i="1"/>
  <c r="AM2767" i="1"/>
  <c r="BF2767" i="1"/>
  <c r="BG2767" i="1"/>
  <c r="T2768" i="1"/>
  <c r="U2768" i="1"/>
  <c r="V2768" i="1"/>
  <c r="W2768" i="1"/>
  <c r="AB2768" i="1"/>
  <c r="AF2768" i="1"/>
  <c r="K2769" i="1"/>
  <c r="AC2769" i="1"/>
  <c r="AJ2768" i="1"/>
  <c r="AK2768" i="1"/>
  <c r="AM2768" i="1"/>
  <c r="BF2768" i="1"/>
  <c r="BG2768" i="1"/>
  <c r="T2769" i="1"/>
  <c r="U2769" i="1"/>
  <c r="V2769" i="1"/>
  <c r="W2769" i="1"/>
  <c r="AB2769" i="1"/>
  <c r="AF2769" i="1"/>
  <c r="AC2770" i="1"/>
  <c r="AJ2769" i="1"/>
  <c r="AK2769" i="1"/>
  <c r="AM2769" i="1"/>
  <c r="BF2769" i="1"/>
  <c r="BG2769" i="1"/>
  <c r="T2770" i="1"/>
  <c r="U2770" i="1"/>
  <c r="V2770" i="1"/>
  <c r="W2770" i="1"/>
  <c r="AB2770" i="1"/>
  <c r="AF2770" i="1"/>
  <c r="AC2771" i="1"/>
  <c r="AJ2770" i="1"/>
  <c r="AK2770" i="1"/>
  <c r="AM2770" i="1"/>
  <c r="BF2770" i="1"/>
  <c r="BG2770" i="1"/>
  <c r="T2771" i="1"/>
  <c r="U2771" i="1"/>
  <c r="V2771" i="1"/>
  <c r="W2771" i="1"/>
  <c r="AB2771" i="1"/>
  <c r="AF2771" i="1"/>
  <c r="K2772" i="1"/>
  <c r="AC2772" i="1"/>
  <c r="AJ2771" i="1"/>
  <c r="AK2771" i="1"/>
  <c r="AM2771" i="1"/>
  <c r="BF2771" i="1"/>
  <c r="BG2771" i="1"/>
  <c r="T2772" i="1"/>
  <c r="U2772" i="1"/>
  <c r="V2772" i="1"/>
  <c r="W2772" i="1"/>
  <c r="AB2772" i="1"/>
  <c r="AF2772" i="1"/>
  <c r="K2773" i="1"/>
  <c r="AC2773" i="1"/>
  <c r="AJ2772" i="1"/>
  <c r="AK2772" i="1"/>
  <c r="AM2772" i="1"/>
  <c r="BF2772" i="1"/>
  <c r="BG2772" i="1"/>
  <c r="T2773" i="1"/>
  <c r="U2773" i="1"/>
  <c r="V2773" i="1"/>
  <c r="W2773" i="1"/>
  <c r="AB2773" i="1"/>
  <c r="AF2773" i="1"/>
  <c r="K2774" i="1"/>
  <c r="AC2774" i="1"/>
  <c r="AJ2773" i="1"/>
  <c r="AK2773" i="1"/>
  <c r="AM2773" i="1"/>
  <c r="BF2773" i="1"/>
  <c r="BG2773" i="1"/>
  <c r="T2774" i="1"/>
  <c r="U2774" i="1"/>
  <c r="V2774" i="1"/>
  <c r="W2774" i="1"/>
  <c r="AB2774" i="1"/>
  <c r="AF2774" i="1"/>
  <c r="AC2775" i="1"/>
  <c r="AJ2774" i="1"/>
  <c r="AK2774" i="1"/>
  <c r="AM2774" i="1"/>
  <c r="BF2774" i="1"/>
  <c r="BG2774" i="1"/>
  <c r="T2775" i="1"/>
  <c r="U2775" i="1"/>
  <c r="V2775" i="1"/>
  <c r="W2775" i="1"/>
  <c r="AB2775" i="1"/>
  <c r="AF2775" i="1"/>
  <c r="AC2776" i="1"/>
  <c r="AJ2775" i="1"/>
  <c r="AK2775" i="1"/>
  <c r="AM2775" i="1"/>
  <c r="BF2775" i="1"/>
  <c r="BG2775" i="1"/>
  <c r="T2776" i="1"/>
  <c r="U2776" i="1"/>
  <c r="V2776" i="1"/>
  <c r="W2776" i="1"/>
  <c r="AB2776" i="1"/>
  <c r="AF2776" i="1"/>
  <c r="K2777" i="1"/>
  <c r="AC2777" i="1"/>
  <c r="AJ2776" i="1"/>
  <c r="AK2776" i="1"/>
  <c r="AM2776" i="1"/>
  <c r="BF2776" i="1"/>
  <c r="BG2776" i="1"/>
  <c r="T2777" i="1"/>
  <c r="U2777" i="1"/>
  <c r="V2777" i="1"/>
  <c r="W2777" i="1"/>
  <c r="AB2777" i="1"/>
  <c r="AF2777" i="1"/>
  <c r="K2778" i="1"/>
  <c r="AC2778" i="1"/>
  <c r="AJ2777" i="1"/>
  <c r="AK2777" i="1"/>
  <c r="AM2777" i="1"/>
  <c r="BF2777" i="1"/>
  <c r="BG2777" i="1"/>
  <c r="T2778" i="1"/>
  <c r="U2778" i="1"/>
  <c r="V2778" i="1"/>
  <c r="W2778" i="1"/>
  <c r="AB2778" i="1"/>
  <c r="AF2778" i="1"/>
  <c r="AC2779" i="1"/>
  <c r="AJ2778" i="1"/>
  <c r="AK2778" i="1"/>
  <c r="AM2778" i="1"/>
  <c r="BF2778" i="1"/>
  <c r="BG2778" i="1"/>
  <c r="T2779" i="1"/>
  <c r="U2779" i="1"/>
  <c r="V2779" i="1"/>
  <c r="W2779" i="1"/>
  <c r="AB2779" i="1"/>
  <c r="AF2779" i="1"/>
  <c r="AC2780" i="1"/>
  <c r="AJ2779" i="1"/>
  <c r="AK2779" i="1"/>
  <c r="AM2779" i="1"/>
  <c r="BF2779" i="1"/>
  <c r="BG2779" i="1"/>
  <c r="T2780" i="1"/>
  <c r="U2780" i="1"/>
  <c r="V2780" i="1"/>
  <c r="W2780" i="1"/>
  <c r="AB2780" i="1"/>
  <c r="AF2780" i="1"/>
  <c r="K2781" i="1"/>
  <c r="AC2781" i="1"/>
  <c r="AJ2780" i="1"/>
  <c r="AK2780" i="1"/>
  <c r="AM2780" i="1"/>
  <c r="BF2780" i="1"/>
  <c r="BG2780" i="1"/>
  <c r="T2781" i="1"/>
  <c r="U2781" i="1"/>
  <c r="V2781" i="1"/>
  <c r="W2781" i="1"/>
  <c r="AB2781" i="1"/>
  <c r="AF2781" i="1"/>
  <c r="AC2782" i="1"/>
  <c r="AJ2781" i="1"/>
  <c r="AK2781" i="1"/>
  <c r="AM2781" i="1"/>
  <c r="BF2781" i="1"/>
  <c r="BG2781" i="1"/>
  <c r="T2782" i="1"/>
  <c r="U2782" i="1"/>
  <c r="V2782" i="1"/>
  <c r="W2782" i="1"/>
  <c r="AB2782" i="1"/>
  <c r="AF2782" i="1"/>
  <c r="AC2783" i="1"/>
  <c r="AJ2782" i="1"/>
  <c r="AK2782" i="1"/>
  <c r="AM2782" i="1"/>
  <c r="BF2782" i="1"/>
  <c r="BG2782" i="1"/>
  <c r="T2783" i="1"/>
  <c r="U2783" i="1"/>
  <c r="V2783" i="1"/>
  <c r="W2783" i="1"/>
  <c r="AB2783" i="1"/>
  <c r="AF2783" i="1"/>
  <c r="K2784" i="1"/>
  <c r="AC2784" i="1"/>
  <c r="AJ2783" i="1"/>
  <c r="AK2783" i="1"/>
  <c r="AM2783" i="1"/>
  <c r="BF2783" i="1"/>
  <c r="BG2783" i="1"/>
  <c r="T2784" i="1"/>
  <c r="U2784" i="1"/>
  <c r="V2784" i="1"/>
  <c r="W2784" i="1"/>
  <c r="AB2784" i="1"/>
  <c r="AF2784" i="1"/>
  <c r="AC2785" i="1"/>
  <c r="AJ2784" i="1"/>
  <c r="AK2784" i="1"/>
  <c r="AM2784" i="1"/>
  <c r="BF2784" i="1"/>
  <c r="BG2784" i="1"/>
  <c r="T2785" i="1"/>
  <c r="U2785" i="1"/>
  <c r="V2785" i="1"/>
  <c r="W2785" i="1"/>
  <c r="AB2785" i="1"/>
  <c r="AF2785" i="1"/>
  <c r="AC2786" i="1"/>
  <c r="AJ2785" i="1"/>
  <c r="AK2785" i="1"/>
  <c r="AM2785" i="1"/>
  <c r="BF2785" i="1"/>
  <c r="BG2785" i="1"/>
  <c r="T2786" i="1"/>
  <c r="U2786" i="1"/>
  <c r="V2786" i="1"/>
  <c r="W2786" i="1"/>
  <c r="AB2786" i="1"/>
  <c r="AF2786" i="1"/>
  <c r="K2787" i="1"/>
  <c r="AC2787" i="1"/>
  <c r="AJ2786" i="1"/>
  <c r="AK2786" i="1"/>
  <c r="AM2786" i="1"/>
  <c r="BF2786" i="1"/>
  <c r="BG2786" i="1"/>
  <c r="T2787" i="1"/>
  <c r="U2787" i="1"/>
  <c r="V2787" i="1"/>
  <c r="W2787" i="1"/>
  <c r="AB2787" i="1"/>
  <c r="AF2787" i="1"/>
  <c r="AC2788" i="1"/>
  <c r="AJ2787" i="1"/>
  <c r="AK2787" i="1"/>
  <c r="AM2787" i="1"/>
  <c r="BF2787" i="1"/>
  <c r="BG2787" i="1"/>
  <c r="T2788" i="1"/>
  <c r="U2788" i="1"/>
  <c r="V2788" i="1"/>
  <c r="W2788" i="1"/>
  <c r="AB2788" i="1"/>
  <c r="AF2788" i="1"/>
  <c r="AC2789" i="1"/>
  <c r="AJ2788" i="1"/>
  <c r="AK2788" i="1"/>
  <c r="AM2788" i="1"/>
  <c r="BF2788" i="1"/>
  <c r="BG2788" i="1"/>
  <c r="T2789" i="1"/>
  <c r="U2789" i="1"/>
  <c r="V2789" i="1"/>
  <c r="W2789" i="1"/>
  <c r="AB2789" i="1"/>
  <c r="AF2789" i="1"/>
  <c r="K2790" i="1"/>
  <c r="AC2790" i="1"/>
  <c r="AJ2789" i="1"/>
  <c r="AK2789" i="1"/>
  <c r="AM2789" i="1"/>
  <c r="BF2789" i="1"/>
  <c r="BG2789" i="1"/>
  <c r="T2790" i="1"/>
  <c r="U2790" i="1"/>
  <c r="V2790" i="1"/>
  <c r="W2790" i="1"/>
  <c r="AB2790" i="1"/>
  <c r="AF2790" i="1"/>
  <c r="K2791" i="1"/>
  <c r="AC2791" i="1"/>
  <c r="AJ2790" i="1"/>
  <c r="AK2790" i="1"/>
  <c r="AM2790" i="1"/>
  <c r="BF2790" i="1"/>
  <c r="BG2790" i="1"/>
  <c r="T2791" i="1"/>
  <c r="U2791" i="1"/>
  <c r="V2791" i="1"/>
  <c r="W2791" i="1"/>
  <c r="AB2791" i="1"/>
  <c r="AF2791" i="1"/>
  <c r="K2792" i="1"/>
  <c r="AC2792" i="1"/>
  <c r="AJ2791" i="1"/>
  <c r="AK2791" i="1"/>
  <c r="AM2791" i="1"/>
  <c r="BF2791" i="1"/>
  <c r="BG2791" i="1"/>
  <c r="T2792" i="1"/>
  <c r="U2792" i="1"/>
  <c r="V2792" i="1"/>
  <c r="W2792" i="1"/>
  <c r="AB2792" i="1"/>
  <c r="AF2792" i="1"/>
  <c r="K2793" i="1"/>
  <c r="AC2793" i="1"/>
  <c r="AJ2792" i="1"/>
  <c r="AK2792" i="1"/>
  <c r="AM2792" i="1"/>
  <c r="BF2792" i="1"/>
  <c r="BG2792" i="1"/>
  <c r="T2793" i="1"/>
  <c r="U2793" i="1"/>
  <c r="V2793" i="1"/>
  <c r="W2793" i="1"/>
  <c r="AB2793" i="1"/>
  <c r="AF2793" i="1"/>
  <c r="AC2794" i="1"/>
  <c r="AJ2793" i="1"/>
  <c r="AK2793" i="1"/>
  <c r="AM2793" i="1"/>
  <c r="BF2793" i="1"/>
  <c r="BG2793" i="1"/>
  <c r="T2794" i="1"/>
  <c r="U2794" i="1"/>
  <c r="V2794" i="1"/>
  <c r="W2794" i="1"/>
  <c r="AB2794" i="1"/>
  <c r="AF2794" i="1"/>
  <c r="AC2795" i="1"/>
  <c r="AJ2794" i="1"/>
  <c r="AK2794" i="1"/>
  <c r="AM2794" i="1"/>
  <c r="BF2794" i="1"/>
  <c r="BG2794" i="1"/>
  <c r="T2795" i="1"/>
  <c r="U2795" i="1"/>
  <c r="V2795" i="1"/>
  <c r="W2795" i="1"/>
  <c r="AB2795" i="1"/>
  <c r="AF2795" i="1"/>
  <c r="K2796" i="1"/>
  <c r="AC2796" i="1"/>
  <c r="AJ2795" i="1"/>
  <c r="AK2795" i="1"/>
  <c r="AM2795" i="1"/>
  <c r="BF2795" i="1"/>
  <c r="BG2795" i="1"/>
  <c r="T2796" i="1"/>
  <c r="U2796" i="1"/>
  <c r="V2796" i="1"/>
  <c r="W2796" i="1"/>
  <c r="AB2796" i="1"/>
  <c r="AF2796" i="1"/>
  <c r="AC2797" i="1"/>
  <c r="AJ2796" i="1"/>
  <c r="AK2796" i="1"/>
  <c r="AM2796" i="1"/>
  <c r="BF2796" i="1"/>
  <c r="BG2796" i="1"/>
  <c r="T2797" i="1"/>
  <c r="U2797" i="1"/>
  <c r="V2797" i="1"/>
  <c r="W2797" i="1"/>
  <c r="AB2797" i="1"/>
  <c r="AF2797" i="1"/>
  <c r="AC2798" i="1"/>
  <c r="AJ2797" i="1"/>
  <c r="AK2797" i="1"/>
  <c r="AM2797" i="1"/>
  <c r="BF2797" i="1"/>
  <c r="BG2797" i="1"/>
  <c r="T2798" i="1"/>
  <c r="U2798" i="1"/>
  <c r="V2798" i="1"/>
  <c r="W2798" i="1"/>
  <c r="AB2798" i="1"/>
  <c r="AF2798" i="1"/>
  <c r="K2799" i="1"/>
  <c r="AC2799" i="1"/>
  <c r="AJ2798" i="1"/>
  <c r="AK2798" i="1"/>
  <c r="AM2798" i="1"/>
  <c r="BF2798" i="1"/>
  <c r="BG2798" i="1"/>
  <c r="T2799" i="1"/>
  <c r="U2799" i="1"/>
  <c r="V2799" i="1"/>
  <c r="W2799" i="1"/>
  <c r="AB2799" i="1"/>
  <c r="AF2799" i="1"/>
  <c r="K2800" i="1"/>
  <c r="AC2800" i="1"/>
  <c r="AJ2799" i="1"/>
  <c r="AK2799" i="1"/>
  <c r="AM2799" i="1"/>
  <c r="BF2799" i="1"/>
  <c r="BG2799" i="1"/>
  <c r="T2800" i="1"/>
  <c r="U2800" i="1"/>
  <c r="V2800" i="1"/>
  <c r="W2800" i="1"/>
  <c r="AB2800" i="1"/>
  <c r="AF2800" i="1"/>
  <c r="K2801" i="1"/>
  <c r="AC2801" i="1"/>
  <c r="AJ2800" i="1"/>
  <c r="AK2800" i="1"/>
  <c r="AM2800" i="1"/>
  <c r="BF2800" i="1"/>
  <c r="BG2800" i="1"/>
  <c r="T2801" i="1"/>
  <c r="U2801" i="1"/>
  <c r="V2801" i="1"/>
  <c r="W2801" i="1"/>
  <c r="AB2801" i="1"/>
  <c r="AF2801" i="1"/>
  <c r="K2802" i="1"/>
  <c r="AC2802" i="1"/>
  <c r="AJ2801" i="1"/>
  <c r="AK2801" i="1"/>
  <c r="AM2801" i="1"/>
  <c r="BF2801" i="1"/>
  <c r="BG2801" i="1"/>
  <c r="T2802" i="1"/>
  <c r="U2802" i="1"/>
  <c r="V2802" i="1"/>
  <c r="W2802" i="1"/>
  <c r="AB2802" i="1"/>
  <c r="AF2802" i="1"/>
  <c r="K2803" i="1"/>
  <c r="AC2803" i="1"/>
  <c r="AJ2802" i="1"/>
  <c r="AK2802" i="1"/>
  <c r="AM2802" i="1"/>
  <c r="BF2802" i="1"/>
  <c r="BG2802" i="1"/>
  <c r="T2803" i="1"/>
  <c r="U2803" i="1"/>
  <c r="V2803" i="1"/>
  <c r="W2803" i="1"/>
  <c r="AB2803" i="1"/>
  <c r="AF2803" i="1"/>
  <c r="AC2804" i="1"/>
  <c r="AJ2803" i="1"/>
  <c r="AK2803" i="1"/>
  <c r="AM2803" i="1"/>
  <c r="BF2803" i="1"/>
  <c r="BG2803" i="1"/>
  <c r="T2804" i="1"/>
  <c r="U2804" i="1"/>
  <c r="V2804" i="1"/>
  <c r="W2804" i="1"/>
  <c r="AB2804" i="1"/>
  <c r="AF2804" i="1"/>
  <c r="AC2805" i="1"/>
  <c r="AJ2804" i="1"/>
  <c r="AK2804" i="1"/>
  <c r="AM2804" i="1"/>
  <c r="BF2804" i="1"/>
  <c r="BG2804" i="1"/>
  <c r="T2805" i="1"/>
  <c r="U2805" i="1"/>
  <c r="V2805" i="1"/>
  <c r="W2805" i="1"/>
  <c r="AB2805" i="1"/>
  <c r="AF2805" i="1"/>
  <c r="K2806" i="1"/>
  <c r="AC2806" i="1"/>
  <c r="AJ2805" i="1"/>
  <c r="AK2805" i="1"/>
  <c r="AM2805" i="1"/>
  <c r="BF2805" i="1"/>
  <c r="BG2805" i="1"/>
  <c r="T2806" i="1"/>
  <c r="U2806" i="1"/>
  <c r="V2806" i="1"/>
  <c r="W2806" i="1"/>
  <c r="AB2806" i="1"/>
  <c r="AF2806" i="1"/>
  <c r="AC2807" i="1"/>
  <c r="AJ2806" i="1"/>
  <c r="AK2806" i="1"/>
  <c r="AM2806" i="1"/>
  <c r="BF2806" i="1"/>
  <c r="BG2806" i="1"/>
  <c r="T2807" i="1"/>
  <c r="U2807" i="1"/>
  <c r="V2807" i="1"/>
  <c r="W2807" i="1"/>
  <c r="AB2807" i="1"/>
  <c r="AF2807" i="1"/>
  <c r="AC2808" i="1"/>
  <c r="AJ2807" i="1"/>
  <c r="AK2807" i="1"/>
  <c r="AM2807" i="1"/>
  <c r="BF2807" i="1"/>
  <c r="BG2807" i="1"/>
  <c r="T2808" i="1"/>
  <c r="U2808" i="1"/>
  <c r="V2808" i="1"/>
  <c r="W2808" i="1"/>
  <c r="AB2808" i="1"/>
  <c r="AF2808" i="1"/>
  <c r="K2809" i="1"/>
  <c r="AC2809" i="1"/>
  <c r="AJ2808" i="1"/>
  <c r="AK2808" i="1"/>
  <c r="AM2808" i="1"/>
  <c r="BF2808" i="1"/>
  <c r="BG2808" i="1"/>
  <c r="T2809" i="1"/>
  <c r="U2809" i="1"/>
  <c r="V2809" i="1"/>
  <c r="W2809" i="1"/>
  <c r="AB2809" i="1"/>
  <c r="AF2809" i="1"/>
  <c r="AC2810" i="1"/>
  <c r="AJ2809" i="1"/>
  <c r="AK2809" i="1"/>
  <c r="AM2809" i="1"/>
  <c r="BF2809" i="1"/>
  <c r="BG2809" i="1"/>
  <c r="T2810" i="1"/>
  <c r="U2810" i="1"/>
  <c r="V2810" i="1"/>
  <c r="W2810" i="1"/>
  <c r="AB2810" i="1"/>
  <c r="AF2810" i="1"/>
  <c r="AC2811" i="1"/>
  <c r="AJ2810" i="1"/>
  <c r="AK2810" i="1"/>
  <c r="AM2810" i="1"/>
  <c r="BF2810" i="1"/>
  <c r="BG2810" i="1"/>
  <c r="T2811" i="1"/>
  <c r="U2811" i="1"/>
  <c r="V2811" i="1"/>
  <c r="W2811" i="1"/>
  <c r="AB2811" i="1"/>
  <c r="AF2811" i="1"/>
  <c r="K2812" i="1"/>
  <c r="AC2812" i="1"/>
  <c r="AJ2811" i="1"/>
  <c r="AK2811" i="1"/>
  <c r="AM2811" i="1"/>
  <c r="BF2811" i="1"/>
  <c r="BG2811" i="1"/>
  <c r="T2812" i="1"/>
  <c r="U2812" i="1"/>
  <c r="V2812" i="1"/>
  <c r="W2812" i="1"/>
  <c r="AB2812" i="1"/>
  <c r="AF2812" i="1"/>
  <c r="AC2813" i="1"/>
  <c r="AJ2812" i="1"/>
  <c r="AK2812" i="1"/>
  <c r="AM2812" i="1"/>
  <c r="BF2812" i="1"/>
  <c r="BG2812" i="1"/>
  <c r="T2813" i="1"/>
  <c r="U2813" i="1"/>
  <c r="V2813" i="1"/>
  <c r="W2813" i="1"/>
  <c r="AB2813" i="1"/>
  <c r="AF2813" i="1"/>
  <c r="AC2814" i="1"/>
  <c r="AJ2813" i="1"/>
  <c r="AK2813" i="1"/>
  <c r="AM2813" i="1"/>
  <c r="BF2813" i="1"/>
  <c r="BG2813" i="1"/>
  <c r="T2814" i="1"/>
  <c r="U2814" i="1"/>
  <c r="V2814" i="1"/>
  <c r="W2814" i="1"/>
  <c r="AB2814" i="1"/>
  <c r="AF2814" i="1"/>
  <c r="K2815" i="1"/>
  <c r="AC2815" i="1"/>
  <c r="AJ2814" i="1"/>
  <c r="AK2814" i="1"/>
  <c r="AM2814" i="1"/>
  <c r="BF2814" i="1"/>
  <c r="BG2814" i="1"/>
  <c r="T2815" i="1"/>
  <c r="U2815" i="1"/>
  <c r="V2815" i="1"/>
  <c r="W2815" i="1"/>
  <c r="AB2815" i="1"/>
  <c r="AF2815" i="1"/>
  <c r="K2816" i="1"/>
  <c r="AC2816" i="1"/>
  <c r="AJ2815" i="1"/>
  <c r="AK2815" i="1"/>
  <c r="AM2815" i="1"/>
  <c r="BF2815" i="1"/>
  <c r="BG2815" i="1"/>
  <c r="T2816" i="1"/>
  <c r="U2816" i="1"/>
  <c r="V2816" i="1"/>
  <c r="W2816" i="1"/>
  <c r="AB2816" i="1"/>
  <c r="AF2816" i="1"/>
  <c r="K2817" i="1"/>
  <c r="AC2817" i="1"/>
  <c r="AJ2816" i="1"/>
  <c r="AK2816" i="1"/>
  <c r="AM2816" i="1"/>
  <c r="BF2816" i="1"/>
  <c r="BG2816" i="1"/>
  <c r="T2817" i="1"/>
  <c r="U2817" i="1"/>
  <c r="V2817" i="1"/>
  <c r="W2817" i="1"/>
  <c r="AB2817" i="1"/>
  <c r="AF2817" i="1"/>
  <c r="AC2818" i="1"/>
  <c r="AJ2817" i="1"/>
  <c r="AK2817" i="1"/>
  <c r="AM2817" i="1"/>
  <c r="BF2817" i="1"/>
  <c r="BG2817" i="1"/>
  <c r="T2818" i="1"/>
  <c r="U2818" i="1"/>
  <c r="V2818" i="1"/>
  <c r="W2818" i="1"/>
  <c r="AB2818" i="1"/>
  <c r="AF2818" i="1"/>
  <c r="AC2819" i="1"/>
  <c r="AJ2818" i="1"/>
  <c r="AK2818" i="1"/>
  <c r="AM2818" i="1"/>
  <c r="BF2818" i="1"/>
  <c r="BG2818" i="1"/>
  <c r="T2819" i="1"/>
  <c r="U2819" i="1"/>
  <c r="V2819" i="1"/>
  <c r="W2819" i="1"/>
  <c r="AB2819" i="1"/>
  <c r="AF2819" i="1"/>
  <c r="K2820" i="1"/>
  <c r="AC2820" i="1"/>
  <c r="AJ2819" i="1"/>
  <c r="AK2819" i="1"/>
  <c r="AM2819" i="1"/>
  <c r="BF2819" i="1"/>
  <c r="BG2819" i="1"/>
  <c r="T2820" i="1"/>
  <c r="U2820" i="1"/>
  <c r="V2820" i="1"/>
  <c r="W2820" i="1"/>
  <c r="AB2820" i="1"/>
  <c r="AF2820" i="1"/>
  <c r="AC2821" i="1"/>
  <c r="AJ2820" i="1"/>
  <c r="AK2820" i="1"/>
  <c r="AM2820" i="1"/>
  <c r="BF2820" i="1"/>
  <c r="BG2820" i="1"/>
  <c r="T2821" i="1"/>
  <c r="U2821" i="1"/>
  <c r="V2821" i="1"/>
  <c r="W2821" i="1"/>
  <c r="AB2821" i="1"/>
  <c r="AF2821" i="1"/>
  <c r="AC2822" i="1"/>
  <c r="AJ2821" i="1"/>
  <c r="AK2821" i="1"/>
  <c r="AM2821" i="1"/>
  <c r="BF2821" i="1"/>
  <c r="BG2821" i="1"/>
  <c r="T2822" i="1"/>
  <c r="U2822" i="1"/>
  <c r="V2822" i="1"/>
  <c r="W2822" i="1"/>
  <c r="AB2822" i="1"/>
  <c r="AF2822" i="1"/>
  <c r="K2823" i="1"/>
  <c r="AC2823" i="1"/>
  <c r="AJ2822" i="1"/>
  <c r="AK2822" i="1"/>
  <c r="AM2822" i="1"/>
  <c r="BF2822" i="1"/>
  <c r="BG2822" i="1"/>
  <c r="T2823" i="1"/>
  <c r="U2823" i="1"/>
  <c r="V2823" i="1"/>
  <c r="W2823" i="1"/>
  <c r="AB2823" i="1"/>
  <c r="AF2823" i="1"/>
  <c r="K2824" i="1"/>
  <c r="AC2824" i="1"/>
  <c r="AJ2823" i="1"/>
  <c r="AK2823" i="1"/>
  <c r="AM2823" i="1"/>
  <c r="BF2823" i="1"/>
  <c r="BG2823" i="1"/>
  <c r="T2824" i="1"/>
  <c r="U2824" i="1"/>
  <c r="V2824" i="1"/>
  <c r="W2824" i="1"/>
  <c r="AB2824" i="1"/>
  <c r="AF2824" i="1"/>
  <c r="AC2825" i="1"/>
  <c r="AJ2824" i="1"/>
  <c r="AK2824" i="1"/>
  <c r="AM2824" i="1"/>
  <c r="BF2824" i="1"/>
  <c r="BG2824" i="1"/>
  <c r="T2825" i="1"/>
  <c r="U2825" i="1"/>
  <c r="V2825" i="1"/>
  <c r="W2825" i="1"/>
  <c r="AB2825" i="1"/>
  <c r="AF2825" i="1"/>
  <c r="AC2826" i="1"/>
  <c r="AJ2825" i="1"/>
  <c r="AK2825" i="1"/>
  <c r="AM2825" i="1"/>
  <c r="BF2825" i="1"/>
  <c r="BG2825" i="1"/>
  <c r="T2826" i="1"/>
  <c r="U2826" i="1"/>
  <c r="V2826" i="1"/>
  <c r="W2826" i="1"/>
  <c r="AB2826" i="1"/>
  <c r="AF2826" i="1"/>
  <c r="K2827" i="1"/>
  <c r="AC2827" i="1"/>
  <c r="AJ2826" i="1"/>
  <c r="AK2826" i="1"/>
  <c r="AM2826" i="1"/>
  <c r="BF2826" i="1"/>
  <c r="BG2826" i="1"/>
  <c r="T2827" i="1"/>
  <c r="U2827" i="1"/>
  <c r="V2827" i="1"/>
  <c r="W2827" i="1"/>
  <c r="AB2827" i="1"/>
  <c r="AF2827" i="1"/>
  <c r="AC2828" i="1"/>
  <c r="AJ2827" i="1"/>
  <c r="AK2827" i="1"/>
  <c r="AM2827" i="1"/>
  <c r="BF2827" i="1"/>
  <c r="BG2827" i="1"/>
  <c r="T2828" i="1"/>
  <c r="U2828" i="1"/>
  <c r="V2828" i="1"/>
  <c r="W2828" i="1"/>
  <c r="AB2828" i="1"/>
  <c r="AF2828" i="1"/>
  <c r="AC2829" i="1"/>
  <c r="AJ2828" i="1"/>
  <c r="AK2828" i="1"/>
  <c r="AM2828" i="1"/>
  <c r="BF2828" i="1"/>
  <c r="BG2828" i="1"/>
  <c r="T2829" i="1"/>
  <c r="U2829" i="1"/>
  <c r="V2829" i="1"/>
  <c r="W2829" i="1"/>
  <c r="AB2829" i="1"/>
  <c r="AF2829" i="1"/>
  <c r="K2830" i="1"/>
  <c r="AC2830" i="1"/>
  <c r="AJ2829" i="1"/>
  <c r="AK2829" i="1"/>
  <c r="AM2829" i="1"/>
  <c r="BF2829" i="1"/>
  <c r="BG2829" i="1"/>
  <c r="T2830" i="1"/>
  <c r="U2830" i="1"/>
  <c r="V2830" i="1"/>
  <c r="W2830" i="1"/>
  <c r="AB2830" i="1"/>
  <c r="AF2830" i="1"/>
  <c r="AC2831" i="1"/>
  <c r="AJ2830" i="1"/>
  <c r="AK2830" i="1"/>
  <c r="AM2830" i="1"/>
  <c r="BF2830" i="1"/>
  <c r="BG2830" i="1"/>
  <c r="T2831" i="1"/>
  <c r="U2831" i="1"/>
  <c r="V2831" i="1"/>
  <c r="W2831" i="1"/>
  <c r="AB2831" i="1"/>
  <c r="AF2831" i="1"/>
  <c r="AC2832" i="1"/>
  <c r="AJ2831" i="1"/>
  <c r="AK2831" i="1"/>
  <c r="AM2831" i="1"/>
  <c r="BF2831" i="1"/>
  <c r="BG2831" i="1"/>
  <c r="T2832" i="1"/>
  <c r="U2832" i="1"/>
  <c r="V2832" i="1"/>
  <c r="W2832" i="1"/>
  <c r="AB2832" i="1"/>
  <c r="AF2832" i="1"/>
  <c r="K2833" i="1"/>
  <c r="AC2833" i="1"/>
  <c r="AJ2832" i="1"/>
  <c r="AK2832" i="1"/>
  <c r="AM2832" i="1"/>
  <c r="BF2832" i="1"/>
  <c r="BG2832" i="1"/>
  <c r="T2833" i="1"/>
  <c r="U2833" i="1"/>
  <c r="V2833" i="1"/>
  <c r="W2833" i="1"/>
  <c r="AB2833" i="1"/>
  <c r="AF2833" i="1"/>
  <c r="AC2834" i="1"/>
  <c r="AJ2833" i="1"/>
  <c r="AK2833" i="1"/>
  <c r="AM2833" i="1"/>
  <c r="BF2833" i="1"/>
  <c r="BG2833" i="1"/>
  <c r="T2834" i="1"/>
  <c r="U2834" i="1"/>
  <c r="V2834" i="1"/>
  <c r="W2834" i="1"/>
  <c r="AB2834" i="1"/>
  <c r="AF2834" i="1"/>
  <c r="AC2835" i="1"/>
  <c r="AJ2834" i="1"/>
  <c r="AK2834" i="1"/>
  <c r="AM2834" i="1"/>
  <c r="BF2834" i="1"/>
  <c r="BG2834" i="1"/>
  <c r="T2835" i="1"/>
  <c r="U2835" i="1"/>
  <c r="V2835" i="1"/>
  <c r="W2835" i="1"/>
  <c r="AB2835" i="1"/>
  <c r="AF2835" i="1"/>
  <c r="K2836" i="1"/>
  <c r="AC2836" i="1"/>
  <c r="AJ2835" i="1"/>
  <c r="AK2835" i="1"/>
  <c r="AM2835" i="1"/>
  <c r="BF2835" i="1"/>
  <c r="BG2835" i="1"/>
  <c r="T2836" i="1"/>
  <c r="U2836" i="1"/>
  <c r="V2836" i="1"/>
  <c r="W2836" i="1"/>
  <c r="AB2836" i="1"/>
  <c r="AF2836" i="1"/>
  <c r="K2837" i="1"/>
  <c r="AC2837" i="1"/>
  <c r="AJ2836" i="1"/>
  <c r="AK2836" i="1"/>
  <c r="AM2836" i="1"/>
  <c r="BF2836" i="1"/>
  <c r="BG2836" i="1"/>
  <c r="T2837" i="1"/>
  <c r="U2837" i="1"/>
  <c r="V2837" i="1"/>
  <c r="W2837" i="1"/>
  <c r="AB2837" i="1"/>
  <c r="AF2837" i="1"/>
  <c r="K2838" i="1"/>
  <c r="AC2838" i="1"/>
  <c r="AJ2837" i="1"/>
  <c r="AK2837" i="1"/>
  <c r="AM2837" i="1"/>
  <c r="BF2837" i="1"/>
  <c r="BG2837" i="1"/>
  <c r="T2838" i="1"/>
  <c r="U2838" i="1"/>
  <c r="V2838" i="1"/>
  <c r="W2838" i="1"/>
  <c r="AB2838" i="1"/>
  <c r="AF2838" i="1"/>
  <c r="AC2839" i="1"/>
  <c r="AJ2838" i="1"/>
  <c r="AK2838" i="1"/>
  <c r="AM2838" i="1"/>
  <c r="BF2838" i="1"/>
  <c r="BG2838" i="1"/>
  <c r="T2839" i="1"/>
  <c r="U2839" i="1"/>
  <c r="V2839" i="1"/>
  <c r="W2839" i="1"/>
  <c r="AB2839" i="1"/>
  <c r="AF2839" i="1"/>
  <c r="AC2840" i="1"/>
  <c r="AJ2839" i="1"/>
  <c r="AK2839" i="1"/>
  <c r="AM2839" i="1"/>
  <c r="BF2839" i="1"/>
  <c r="BG2839" i="1"/>
  <c r="T2840" i="1"/>
  <c r="U2840" i="1"/>
  <c r="V2840" i="1"/>
  <c r="W2840" i="1"/>
  <c r="AB2840" i="1"/>
  <c r="AF2840" i="1"/>
  <c r="K2841" i="1"/>
  <c r="AC2841" i="1"/>
  <c r="AJ2840" i="1"/>
  <c r="AK2840" i="1"/>
  <c r="AM2840" i="1"/>
  <c r="BF2840" i="1"/>
  <c r="BG2840" i="1"/>
  <c r="T2841" i="1"/>
  <c r="U2841" i="1"/>
  <c r="V2841" i="1"/>
  <c r="W2841" i="1"/>
  <c r="AB2841" i="1"/>
  <c r="AF2841" i="1"/>
  <c r="AC2842" i="1"/>
  <c r="AJ2841" i="1"/>
  <c r="AK2841" i="1"/>
  <c r="AM2841" i="1"/>
  <c r="BF2841" i="1"/>
  <c r="BG2841" i="1"/>
  <c r="T2842" i="1"/>
  <c r="U2842" i="1"/>
  <c r="V2842" i="1"/>
  <c r="W2842" i="1"/>
  <c r="AB2842" i="1"/>
  <c r="AF2842" i="1"/>
  <c r="AC2843" i="1"/>
  <c r="AJ2842" i="1"/>
  <c r="AK2842" i="1"/>
  <c r="AM2842" i="1"/>
  <c r="BF2842" i="1"/>
  <c r="BG2842" i="1"/>
  <c r="T2843" i="1"/>
  <c r="U2843" i="1"/>
  <c r="V2843" i="1"/>
  <c r="W2843" i="1"/>
  <c r="AB2843" i="1"/>
  <c r="AF2843" i="1"/>
  <c r="K2844" i="1"/>
  <c r="AC2844" i="1"/>
  <c r="AJ2843" i="1"/>
  <c r="AK2843" i="1"/>
  <c r="AM2843" i="1"/>
  <c r="BF2843" i="1"/>
  <c r="BG2843" i="1"/>
  <c r="T2844" i="1"/>
  <c r="U2844" i="1"/>
  <c r="V2844" i="1"/>
  <c r="W2844" i="1"/>
  <c r="AB2844" i="1"/>
  <c r="AF2844" i="1"/>
  <c r="K2845" i="1"/>
  <c r="AC2845" i="1"/>
  <c r="AJ2844" i="1"/>
  <c r="AK2844" i="1"/>
  <c r="AM2844" i="1"/>
  <c r="BF2844" i="1"/>
  <c r="BG2844" i="1"/>
  <c r="T2845" i="1"/>
  <c r="U2845" i="1"/>
  <c r="V2845" i="1"/>
  <c r="W2845" i="1"/>
  <c r="AB2845" i="1"/>
  <c r="AF2845" i="1"/>
  <c r="AC2846" i="1"/>
  <c r="AJ2845" i="1"/>
  <c r="AK2845" i="1"/>
  <c r="AM2845" i="1"/>
  <c r="BF2845" i="1"/>
  <c r="BG2845" i="1"/>
  <c r="T2846" i="1"/>
  <c r="U2846" i="1"/>
  <c r="V2846" i="1"/>
  <c r="W2846" i="1"/>
  <c r="AB2846" i="1"/>
  <c r="AF2846" i="1"/>
  <c r="AC2847" i="1"/>
  <c r="AJ2846" i="1"/>
  <c r="AK2846" i="1"/>
  <c r="AM2846" i="1"/>
  <c r="BF2846" i="1"/>
  <c r="BG2846" i="1"/>
  <c r="T2847" i="1"/>
  <c r="U2847" i="1"/>
  <c r="V2847" i="1"/>
  <c r="W2847" i="1"/>
  <c r="AB2847" i="1"/>
  <c r="AF2847" i="1"/>
  <c r="K2848" i="1"/>
  <c r="AC2848" i="1"/>
  <c r="AJ2847" i="1"/>
  <c r="AK2847" i="1"/>
  <c r="AM2847" i="1"/>
  <c r="BF2847" i="1"/>
  <c r="BG2847" i="1"/>
  <c r="T2848" i="1"/>
  <c r="U2848" i="1"/>
  <c r="V2848" i="1"/>
  <c r="W2848" i="1"/>
  <c r="AB2848" i="1"/>
  <c r="AF2848" i="1"/>
  <c r="K2849" i="1"/>
  <c r="AC2849" i="1"/>
  <c r="AJ2848" i="1"/>
  <c r="AK2848" i="1"/>
  <c r="AM2848" i="1"/>
  <c r="BF2848" i="1"/>
  <c r="BG2848" i="1"/>
  <c r="T2849" i="1"/>
  <c r="U2849" i="1"/>
  <c r="V2849" i="1"/>
  <c r="W2849" i="1"/>
  <c r="AB2849" i="1"/>
  <c r="AF2849" i="1"/>
  <c r="K2850" i="1"/>
  <c r="AC2850" i="1"/>
  <c r="AJ2849" i="1"/>
  <c r="AK2849" i="1"/>
  <c r="AM2849" i="1"/>
  <c r="BF2849" i="1"/>
  <c r="BG2849" i="1"/>
  <c r="T2850" i="1"/>
  <c r="U2850" i="1"/>
  <c r="V2850" i="1"/>
  <c r="W2850" i="1"/>
  <c r="AB2850" i="1"/>
  <c r="AF2850" i="1"/>
  <c r="AC2851" i="1"/>
  <c r="AJ2850" i="1"/>
  <c r="AK2850" i="1"/>
  <c r="AM2850" i="1"/>
  <c r="BF2850" i="1"/>
  <c r="BG2850" i="1"/>
  <c r="T2851" i="1"/>
  <c r="U2851" i="1"/>
  <c r="V2851" i="1"/>
  <c r="W2851" i="1"/>
  <c r="AB2851" i="1"/>
  <c r="AF2851" i="1"/>
  <c r="AC2852" i="1"/>
  <c r="AJ2851" i="1"/>
  <c r="AK2851" i="1"/>
  <c r="AM2851" i="1"/>
  <c r="BF2851" i="1"/>
  <c r="BG2851" i="1"/>
  <c r="T2852" i="1"/>
  <c r="U2852" i="1"/>
  <c r="V2852" i="1"/>
  <c r="W2852" i="1"/>
  <c r="AB2852" i="1"/>
  <c r="AF2852" i="1"/>
  <c r="K2853" i="1"/>
  <c r="AC2853" i="1"/>
  <c r="AJ2852" i="1"/>
  <c r="AK2852" i="1"/>
  <c r="AM2852" i="1"/>
  <c r="BF2852" i="1"/>
  <c r="BG2852" i="1"/>
  <c r="T2853" i="1"/>
  <c r="U2853" i="1"/>
  <c r="V2853" i="1"/>
  <c r="W2853" i="1"/>
  <c r="AB2853" i="1"/>
  <c r="AF2853" i="1"/>
  <c r="K2854" i="1"/>
  <c r="AC2854" i="1"/>
  <c r="AJ2853" i="1"/>
  <c r="AK2853" i="1"/>
  <c r="AM2853" i="1"/>
  <c r="BF2853" i="1"/>
  <c r="BG2853" i="1"/>
  <c r="T2854" i="1"/>
  <c r="U2854" i="1"/>
  <c r="V2854" i="1"/>
  <c r="W2854" i="1"/>
  <c r="AB2854" i="1"/>
  <c r="AF2854" i="1"/>
  <c r="AC2855" i="1"/>
  <c r="AJ2854" i="1"/>
  <c r="AK2854" i="1"/>
  <c r="AM2854" i="1"/>
  <c r="BF2854" i="1"/>
  <c r="BG2854" i="1"/>
  <c r="T2855" i="1"/>
  <c r="U2855" i="1"/>
  <c r="V2855" i="1"/>
  <c r="W2855" i="1"/>
  <c r="AB2855" i="1"/>
  <c r="AF2855" i="1"/>
  <c r="AC2856" i="1"/>
  <c r="AJ2855" i="1"/>
  <c r="AK2855" i="1"/>
  <c r="AM2855" i="1"/>
  <c r="BF2855" i="1"/>
  <c r="BG2855" i="1"/>
  <c r="T2856" i="1"/>
  <c r="U2856" i="1"/>
  <c r="V2856" i="1"/>
  <c r="W2856" i="1"/>
  <c r="AB2856" i="1"/>
  <c r="AF2856" i="1"/>
  <c r="K2857" i="1"/>
  <c r="AC2857" i="1"/>
  <c r="AJ2856" i="1"/>
  <c r="AK2856" i="1"/>
  <c r="AM2856" i="1"/>
  <c r="BF2856" i="1"/>
  <c r="BG2856" i="1"/>
  <c r="T2857" i="1"/>
  <c r="U2857" i="1"/>
  <c r="V2857" i="1"/>
  <c r="W2857" i="1"/>
  <c r="AB2857" i="1"/>
  <c r="AF2857" i="1"/>
  <c r="K2858" i="1"/>
  <c r="AC2858" i="1"/>
  <c r="AJ2857" i="1"/>
  <c r="AK2857" i="1"/>
  <c r="AM2857" i="1"/>
  <c r="BF2857" i="1"/>
  <c r="BG2857" i="1"/>
  <c r="T2858" i="1"/>
  <c r="U2858" i="1"/>
  <c r="V2858" i="1"/>
  <c r="W2858" i="1"/>
  <c r="AB2858" i="1"/>
  <c r="AF2858" i="1"/>
  <c r="AC2859" i="1"/>
  <c r="AJ2858" i="1"/>
  <c r="AK2858" i="1"/>
  <c r="AM2858" i="1"/>
  <c r="BF2858" i="1"/>
  <c r="BG2858" i="1"/>
  <c r="T2859" i="1"/>
  <c r="U2859" i="1"/>
  <c r="V2859" i="1"/>
  <c r="W2859" i="1"/>
  <c r="AB2859" i="1"/>
  <c r="AF2859" i="1"/>
  <c r="AC2860" i="1"/>
  <c r="AJ2859" i="1"/>
  <c r="AK2859" i="1"/>
  <c r="AM2859" i="1"/>
  <c r="BF2859" i="1"/>
  <c r="BG2859" i="1"/>
  <c r="T2860" i="1"/>
  <c r="U2860" i="1"/>
  <c r="V2860" i="1"/>
  <c r="W2860" i="1"/>
  <c r="AB2860" i="1"/>
  <c r="AF2860" i="1"/>
  <c r="K2861" i="1"/>
  <c r="AC2861" i="1"/>
  <c r="AJ2860" i="1"/>
  <c r="AK2860" i="1"/>
  <c r="AM2860" i="1"/>
  <c r="BF2860" i="1"/>
  <c r="BG2860" i="1"/>
  <c r="T2861" i="1"/>
  <c r="U2861" i="1"/>
  <c r="V2861" i="1"/>
  <c r="W2861" i="1"/>
  <c r="AB2861" i="1"/>
  <c r="AF2861" i="1"/>
  <c r="K2862" i="1"/>
  <c r="AC2862" i="1"/>
  <c r="AJ2861" i="1"/>
  <c r="AK2861" i="1"/>
  <c r="AM2861" i="1"/>
  <c r="BF2861" i="1"/>
  <c r="BG2861" i="1"/>
  <c r="T2862" i="1"/>
  <c r="U2862" i="1"/>
  <c r="V2862" i="1"/>
  <c r="W2862" i="1"/>
  <c r="AB2862" i="1"/>
  <c r="AF2862" i="1"/>
  <c r="K2863" i="1"/>
  <c r="AC2863" i="1"/>
  <c r="AJ2862" i="1"/>
  <c r="AK2862" i="1"/>
  <c r="AM2862" i="1"/>
  <c r="BF2862" i="1"/>
  <c r="BG2862" i="1"/>
  <c r="T2863" i="1"/>
  <c r="U2863" i="1"/>
  <c r="V2863" i="1"/>
  <c r="W2863" i="1"/>
  <c r="AB2863" i="1"/>
  <c r="AF2863" i="1"/>
  <c r="AC2864" i="1"/>
  <c r="AJ2863" i="1"/>
  <c r="AK2863" i="1"/>
  <c r="AM2863" i="1"/>
  <c r="BF2863" i="1"/>
  <c r="BG2863" i="1"/>
  <c r="T2864" i="1"/>
  <c r="U2864" i="1"/>
  <c r="V2864" i="1"/>
  <c r="W2864" i="1"/>
  <c r="AB2864" i="1"/>
  <c r="AF2864" i="1"/>
  <c r="AC2865" i="1"/>
  <c r="AJ2864" i="1"/>
  <c r="AK2864" i="1"/>
  <c r="AM2864" i="1"/>
  <c r="BF2864" i="1"/>
  <c r="BG2864" i="1"/>
  <c r="T2865" i="1"/>
  <c r="U2865" i="1"/>
  <c r="V2865" i="1"/>
  <c r="W2865" i="1"/>
  <c r="AB2865" i="1"/>
  <c r="AF2865" i="1"/>
  <c r="K2866" i="1"/>
  <c r="AC2866" i="1"/>
  <c r="AJ2865" i="1"/>
  <c r="AK2865" i="1"/>
  <c r="AM2865" i="1"/>
  <c r="BF2865" i="1"/>
  <c r="BG2865" i="1"/>
  <c r="T2866" i="1"/>
  <c r="U2866" i="1"/>
  <c r="V2866" i="1"/>
  <c r="W2866" i="1"/>
  <c r="AB2866" i="1"/>
  <c r="AF2866" i="1"/>
  <c r="AC2867" i="1"/>
  <c r="AJ2866" i="1"/>
  <c r="AK2866" i="1"/>
  <c r="AM2866" i="1"/>
  <c r="BF2866" i="1"/>
  <c r="BG2866" i="1"/>
  <c r="T2867" i="1"/>
  <c r="U2867" i="1"/>
  <c r="V2867" i="1"/>
  <c r="W2867" i="1"/>
  <c r="AB2867" i="1"/>
  <c r="AF2867" i="1"/>
  <c r="AC2868" i="1"/>
  <c r="AJ2867" i="1"/>
  <c r="AK2867" i="1"/>
  <c r="AM2867" i="1"/>
  <c r="BF2867" i="1"/>
  <c r="BG2867" i="1"/>
  <c r="T2868" i="1"/>
  <c r="U2868" i="1"/>
  <c r="V2868" i="1"/>
  <c r="W2868" i="1"/>
  <c r="AB2868" i="1"/>
  <c r="AF2868" i="1"/>
  <c r="K2869" i="1"/>
  <c r="AC2869" i="1"/>
  <c r="AJ2868" i="1"/>
  <c r="AK2868" i="1"/>
  <c r="AM2868" i="1"/>
  <c r="BF2868" i="1"/>
  <c r="BG2868" i="1"/>
  <c r="T2869" i="1"/>
  <c r="U2869" i="1"/>
  <c r="V2869" i="1"/>
  <c r="W2869" i="1"/>
  <c r="AB2869" i="1"/>
  <c r="AF2869" i="1"/>
  <c r="AC2870" i="1"/>
  <c r="AJ2869" i="1"/>
  <c r="AK2869" i="1"/>
  <c r="AM2869" i="1"/>
  <c r="BF2869" i="1"/>
  <c r="BG2869" i="1"/>
  <c r="T2870" i="1"/>
  <c r="U2870" i="1"/>
  <c r="V2870" i="1"/>
  <c r="W2870" i="1"/>
  <c r="AB2870" i="1"/>
  <c r="AF2870" i="1"/>
  <c r="AC2871" i="1"/>
  <c r="AJ2870" i="1"/>
  <c r="AK2870" i="1"/>
  <c r="AM2870" i="1"/>
  <c r="BF2870" i="1"/>
  <c r="BG2870" i="1"/>
  <c r="T2871" i="1"/>
  <c r="U2871" i="1"/>
  <c r="V2871" i="1"/>
  <c r="W2871" i="1"/>
  <c r="AB2871" i="1"/>
  <c r="AF2871" i="1"/>
  <c r="K2872" i="1"/>
  <c r="AC2872" i="1"/>
  <c r="AJ2871" i="1"/>
  <c r="AK2871" i="1"/>
  <c r="AM2871" i="1"/>
  <c r="BF2871" i="1"/>
  <c r="BG2871" i="1"/>
  <c r="T2872" i="1"/>
  <c r="U2872" i="1"/>
  <c r="V2872" i="1"/>
  <c r="W2872" i="1"/>
  <c r="AB2872" i="1"/>
  <c r="AF2872" i="1"/>
  <c r="K2873" i="1"/>
  <c r="AC2873" i="1"/>
  <c r="AJ2872" i="1"/>
  <c r="AK2872" i="1"/>
  <c r="AM2872" i="1"/>
  <c r="BF2872" i="1"/>
  <c r="BG2872" i="1"/>
  <c r="T2873" i="1"/>
  <c r="U2873" i="1"/>
  <c r="V2873" i="1"/>
  <c r="W2873" i="1"/>
  <c r="AB2873" i="1"/>
  <c r="AF2873" i="1"/>
  <c r="K2874" i="1"/>
  <c r="AC2874" i="1"/>
  <c r="AJ2873" i="1"/>
  <c r="AK2873" i="1"/>
  <c r="AM2873" i="1"/>
  <c r="BF2873" i="1"/>
  <c r="BG2873" i="1"/>
  <c r="T2874" i="1"/>
  <c r="U2874" i="1"/>
  <c r="V2874" i="1"/>
  <c r="W2874" i="1"/>
  <c r="AB2874" i="1"/>
  <c r="AF2874" i="1"/>
  <c r="K2875" i="1"/>
  <c r="AC2875" i="1"/>
  <c r="AJ2874" i="1"/>
  <c r="AK2874" i="1"/>
  <c r="AM2874" i="1"/>
  <c r="BF2874" i="1"/>
  <c r="BG2874" i="1"/>
  <c r="T2875" i="1"/>
  <c r="U2875" i="1"/>
  <c r="V2875" i="1"/>
  <c r="W2875" i="1"/>
  <c r="AB2875" i="1"/>
  <c r="AF2875" i="1"/>
  <c r="K2876" i="1"/>
  <c r="AC2876" i="1"/>
  <c r="AJ2875" i="1"/>
  <c r="AK2875" i="1"/>
  <c r="AM2875" i="1"/>
  <c r="BF2875" i="1"/>
  <c r="BG2875" i="1"/>
  <c r="T2876" i="1"/>
  <c r="U2876" i="1"/>
  <c r="V2876" i="1"/>
  <c r="W2876" i="1"/>
  <c r="AB2876" i="1"/>
  <c r="AF2876" i="1"/>
  <c r="K2877" i="1"/>
  <c r="AC2877" i="1"/>
  <c r="AJ2876" i="1"/>
  <c r="AK2876" i="1"/>
  <c r="AM2876" i="1"/>
  <c r="BF2876" i="1"/>
  <c r="BG2876" i="1"/>
  <c r="T2877" i="1"/>
  <c r="U2877" i="1"/>
  <c r="V2877" i="1"/>
  <c r="W2877" i="1"/>
  <c r="AB2877" i="1"/>
  <c r="AF2877" i="1"/>
  <c r="AC2878" i="1"/>
  <c r="AJ2877" i="1"/>
  <c r="AK2877" i="1"/>
  <c r="AM2877" i="1"/>
  <c r="BF2877" i="1"/>
  <c r="BG2877" i="1"/>
  <c r="T2878" i="1"/>
  <c r="U2878" i="1"/>
  <c r="V2878" i="1"/>
  <c r="W2878" i="1"/>
  <c r="AB2878" i="1"/>
  <c r="AF2878" i="1"/>
  <c r="AC2879" i="1"/>
  <c r="AJ2878" i="1"/>
  <c r="AK2878" i="1"/>
  <c r="AM2878" i="1"/>
  <c r="BF2878" i="1"/>
  <c r="BG2878" i="1"/>
  <c r="T2879" i="1"/>
  <c r="U2879" i="1"/>
  <c r="V2879" i="1"/>
  <c r="W2879" i="1"/>
  <c r="AB2879" i="1"/>
  <c r="AF2879" i="1"/>
  <c r="K2880" i="1"/>
  <c r="AC2880" i="1"/>
  <c r="AJ2879" i="1"/>
  <c r="AK2879" i="1"/>
  <c r="AM2879" i="1"/>
  <c r="BF2879" i="1"/>
  <c r="BG2879" i="1"/>
  <c r="T2880" i="1"/>
  <c r="U2880" i="1"/>
  <c r="V2880" i="1"/>
  <c r="W2880" i="1"/>
  <c r="AB2880" i="1"/>
  <c r="AF2880" i="1"/>
  <c r="AC2881" i="1"/>
  <c r="AJ2880" i="1"/>
  <c r="AK2880" i="1"/>
  <c r="AM2880" i="1"/>
  <c r="BF2880" i="1"/>
  <c r="BG2880" i="1"/>
  <c r="T2881" i="1"/>
  <c r="U2881" i="1"/>
  <c r="V2881" i="1"/>
  <c r="W2881" i="1"/>
  <c r="AB2881" i="1"/>
  <c r="AF2881" i="1"/>
  <c r="AC2882" i="1"/>
  <c r="AJ2881" i="1"/>
  <c r="AK2881" i="1"/>
  <c r="AM2881" i="1"/>
  <c r="BF2881" i="1"/>
  <c r="BG2881" i="1"/>
  <c r="T2882" i="1"/>
  <c r="U2882" i="1"/>
  <c r="V2882" i="1"/>
  <c r="W2882" i="1"/>
  <c r="AB2882" i="1"/>
  <c r="AF2882" i="1"/>
  <c r="K2883" i="1"/>
  <c r="AC2883" i="1"/>
  <c r="AJ2882" i="1"/>
  <c r="AK2882" i="1"/>
  <c r="AM2882" i="1"/>
  <c r="BF2882" i="1"/>
  <c r="BG2882" i="1"/>
  <c r="T2883" i="1"/>
  <c r="U2883" i="1"/>
  <c r="V2883" i="1"/>
  <c r="W2883" i="1"/>
  <c r="AB2883" i="1"/>
  <c r="AF2883" i="1"/>
  <c r="AC2884" i="1"/>
  <c r="AJ2883" i="1"/>
  <c r="AK2883" i="1"/>
  <c r="AM2883" i="1"/>
  <c r="BF2883" i="1"/>
  <c r="BG2883" i="1"/>
  <c r="T2884" i="1"/>
  <c r="U2884" i="1"/>
  <c r="V2884" i="1"/>
  <c r="W2884" i="1"/>
  <c r="AB2884" i="1"/>
  <c r="AF2884" i="1"/>
  <c r="AC2885" i="1"/>
  <c r="AJ2884" i="1"/>
  <c r="AK2884" i="1"/>
  <c r="AM2884" i="1"/>
  <c r="BF2884" i="1"/>
  <c r="BG2884" i="1"/>
  <c r="T2885" i="1"/>
  <c r="U2885" i="1"/>
  <c r="V2885" i="1"/>
  <c r="W2885" i="1"/>
  <c r="AB2885" i="1"/>
  <c r="AF2885" i="1"/>
  <c r="K2886" i="1"/>
  <c r="AC2886" i="1"/>
  <c r="AJ2885" i="1"/>
  <c r="AK2885" i="1"/>
  <c r="AM2885" i="1"/>
  <c r="BF2885" i="1"/>
  <c r="BG2885" i="1"/>
  <c r="T2886" i="1"/>
  <c r="U2886" i="1"/>
  <c r="V2886" i="1"/>
  <c r="W2886" i="1"/>
  <c r="AB2886" i="1"/>
  <c r="AF2886" i="1"/>
  <c r="K2887" i="1"/>
  <c r="AC2887" i="1"/>
  <c r="AJ2886" i="1"/>
  <c r="AK2886" i="1"/>
  <c r="AM2886" i="1"/>
  <c r="BF2886" i="1"/>
  <c r="BG2886" i="1"/>
  <c r="T2887" i="1"/>
  <c r="U2887" i="1"/>
  <c r="V2887" i="1"/>
  <c r="W2887" i="1"/>
  <c r="AB2887" i="1"/>
  <c r="AF2887" i="1"/>
  <c r="AC2888" i="1"/>
  <c r="AJ2887" i="1"/>
  <c r="AK2887" i="1"/>
  <c r="AM2887" i="1"/>
  <c r="BF2887" i="1"/>
  <c r="BG2887" i="1"/>
  <c r="T2888" i="1"/>
  <c r="U2888" i="1"/>
  <c r="V2888" i="1"/>
  <c r="W2888" i="1"/>
  <c r="AB2888" i="1"/>
  <c r="AF2888" i="1"/>
  <c r="AC2889" i="1"/>
  <c r="AJ2888" i="1"/>
  <c r="AK2888" i="1"/>
  <c r="AM2888" i="1"/>
  <c r="BF2888" i="1"/>
  <c r="BG2888" i="1"/>
  <c r="T2889" i="1"/>
  <c r="U2889" i="1"/>
  <c r="V2889" i="1"/>
  <c r="W2889" i="1"/>
  <c r="AB2889" i="1"/>
  <c r="AF2889" i="1"/>
  <c r="K2890" i="1"/>
  <c r="AC2890" i="1"/>
  <c r="AJ2889" i="1"/>
  <c r="AK2889" i="1"/>
  <c r="AM2889" i="1"/>
  <c r="BF2889" i="1"/>
  <c r="BG2889" i="1"/>
  <c r="T2890" i="1"/>
  <c r="U2890" i="1"/>
  <c r="V2890" i="1"/>
  <c r="W2890" i="1"/>
  <c r="AB2890" i="1"/>
  <c r="AF2890" i="1"/>
  <c r="AC2891" i="1"/>
  <c r="AJ2890" i="1"/>
  <c r="AK2890" i="1"/>
  <c r="AM2890" i="1"/>
  <c r="BF2890" i="1"/>
  <c r="BG2890" i="1"/>
  <c r="T2891" i="1"/>
  <c r="U2891" i="1"/>
  <c r="V2891" i="1"/>
  <c r="W2891" i="1"/>
  <c r="AB2891" i="1"/>
  <c r="AF2891" i="1"/>
  <c r="AC2892" i="1"/>
  <c r="AJ2891" i="1"/>
  <c r="AK2891" i="1"/>
  <c r="AM2891" i="1"/>
  <c r="BF2891" i="1"/>
  <c r="BG2891" i="1"/>
  <c r="T2892" i="1"/>
  <c r="U2892" i="1"/>
  <c r="V2892" i="1"/>
  <c r="W2892" i="1"/>
  <c r="AB2892" i="1"/>
  <c r="AF2892" i="1"/>
  <c r="K2893" i="1"/>
  <c r="AC2893" i="1"/>
  <c r="AJ2892" i="1"/>
  <c r="AK2892" i="1"/>
  <c r="AM2892" i="1"/>
  <c r="BF2892" i="1"/>
  <c r="BG2892" i="1"/>
  <c r="T2893" i="1"/>
  <c r="U2893" i="1"/>
  <c r="V2893" i="1"/>
  <c r="W2893" i="1"/>
  <c r="AB2893" i="1"/>
  <c r="AF2893" i="1"/>
  <c r="AC2894" i="1"/>
  <c r="AJ2893" i="1"/>
  <c r="AK2893" i="1"/>
  <c r="AM2893" i="1"/>
  <c r="BF2893" i="1"/>
  <c r="BG2893" i="1"/>
  <c r="T2894" i="1"/>
  <c r="U2894" i="1"/>
  <c r="V2894" i="1"/>
  <c r="W2894" i="1"/>
  <c r="AB2894" i="1"/>
  <c r="AF2894" i="1"/>
  <c r="AC2895" i="1"/>
  <c r="AJ2894" i="1"/>
  <c r="AK2894" i="1"/>
  <c r="AM2894" i="1"/>
  <c r="BF2894" i="1"/>
  <c r="BG2894" i="1"/>
  <c r="T2895" i="1"/>
  <c r="U2895" i="1"/>
  <c r="V2895" i="1"/>
  <c r="W2895" i="1"/>
  <c r="AB2895" i="1"/>
  <c r="AF2895" i="1"/>
  <c r="K2896" i="1"/>
  <c r="AC2896" i="1"/>
  <c r="AJ2895" i="1"/>
  <c r="AK2895" i="1"/>
  <c r="AM2895" i="1"/>
  <c r="BF2895" i="1"/>
  <c r="BG2895" i="1"/>
  <c r="T2896" i="1"/>
  <c r="U2896" i="1"/>
  <c r="V2896" i="1"/>
  <c r="W2896" i="1"/>
  <c r="AB2896" i="1"/>
  <c r="AF2896" i="1"/>
  <c r="AC2897" i="1"/>
  <c r="AJ2896" i="1"/>
  <c r="AK2896" i="1"/>
  <c r="AM2896" i="1"/>
  <c r="BF2896" i="1"/>
  <c r="BG2896" i="1"/>
  <c r="T2897" i="1"/>
  <c r="U2897" i="1"/>
  <c r="V2897" i="1"/>
  <c r="W2897" i="1"/>
  <c r="AB2897" i="1"/>
  <c r="AF2897" i="1"/>
  <c r="AC2898" i="1"/>
  <c r="AJ2897" i="1"/>
  <c r="AK2897" i="1"/>
  <c r="AM2897" i="1"/>
  <c r="BF2897" i="1"/>
  <c r="BG2897" i="1"/>
  <c r="T2898" i="1"/>
  <c r="U2898" i="1"/>
  <c r="V2898" i="1"/>
  <c r="W2898" i="1"/>
  <c r="AB2898" i="1"/>
  <c r="AF2898" i="1"/>
  <c r="K2899" i="1"/>
  <c r="AC2899" i="1"/>
  <c r="AJ2898" i="1"/>
  <c r="AK2898" i="1"/>
  <c r="AM2898" i="1"/>
  <c r="BF2898" i="1"/>
  <c r="BG2898" i="1"/>
  <c r="T2899" i="1"/>
  <c r="U2899" i="1"/>
  <c r="V2899" i="1"/>
  <c r="W2899" i="1"/>
  <c r="AB2899" i="1"/>
  <c r="AF2899" i="1"/>
  <c r="K2900" i="1"/>
  <c r="AC2900" i="1"/>
  <c r="AJ2899" i="1"/>
  <c r="AK2899" i="1"/>
  <c r="AM2899" i="1"/>
  <c r="BF2899" i="1"/>
  <c r="BG2899" i="1"/>
  <c r="T2900" i="1"/>
  <c r="U2900" i="1"/>
  <c r="V2900" i="1"/>
  <c r="W2900" i="1"/>
  <c r="AB2900" i="1"/>
  <c r="AF2900" i="1"/>
  <c r="AC2901" i="1"/>
  <c r="AJ2900" i="1"/>
  <c r="AK2900" i="1"/>
  <c r="AM2900" i="1"/>
  <c r="BF2900" i="1"/>
  <c r="BG2900" i="1"/>
  <c r="T2901" i="1"/>
  <c r="U2901" i="1"/>
  <c r="V2901" i="1"/>
  <c r="W2901" i="1"/>
  <c r="AB2901" i="1"/>
  <c r="AF2901" i="1"/>
  <c r="AC2902" i="1"/>
  <c r="AJ2901" i="1"/>
  <c r="AK2901" i="1"/>
  <c r="AM2901" i="1"/>
  <c r="BF2901" i="1"/>
  <c r="BG2901" i="1"/>
  <c r="T2902" i="1"/>
  <c r="U2902" i="1"/>
  <c r="V2902" i="1"/>
  <c r="W2902" i="1"/>
  <c r="AB2902" i="1"/>
  <c r="AF2902" i="1"/>
  <c r="K2903" i="1"/>
  <c r="AC2903" i="1"/>
  <c r="AJ2902" i="1"/>
  <c r="AK2902" i="1"/>
  <c r="AM2902" i="1"/>
  <c r="BF2902" i="1"/>
  <c r="BG2902" i="1"/>
  <c r="T2903" i="1"/>
  <c r="U2903" i="1"/>
  <c r="V2903" i="1"/>
  <c r="W2903" i="1"/>
  <c r="AB2903" i="1"/>
  <c r="AF2903" i="1"/>
  <c r="AC2904" i="1"/>
  <c r="AJ2903" i="1"/>
  <c r="AK2903" i="1"/>
  <c r="AM2903" i="1"/>
  <c r="BF2903" i="1"/>
  <c r="BG2903" i="1"/>
  <c r="T2904" i="1"/>
  <c r="U2904" i="1"/>
  <c r="V2904" i="1"/>
  <c r="W2904" i="1"/>
  <c r="AB2904" i="1"/>
  <c r="AF2904" i="1"/>
  <c r="AC2905" i="1"/>
  <c r="AJ2904" i="1"/>
  <c r="AK2904" i="1"/>
  <c r="AM2904" i="1"/>
  <c r="BF2904" i="1"/>
  <c r="BG2904" i="1"/>
  <c r="T2905" i="1"/>
  <c r="U2905" i="1"/>
  <c r="V2905" i="1"/>
  <c r="W2905" i="1"/>
  <c r="AB2905" i="1"/>
  <c r="AF2905" i="1"/>
  <c r="K2906" i="1"/>
  <c r="AC2906" i="1"/>
  <c r="AJ2905" i="1"/>
  <c r="AK2905" i="1"/>
  <c r="AM2905" i="1"/>
  <c r="BF2905" i="1"/>
  <c r="BG2905" i="1"/>
  <c r="T2906" i="1"/>
  <c r="U2906" i="1"/>
  <c r="V2906" i="1"/>
  <c r="W2906" i="1"/>
  <c r="AB2906" i="1"/>
  <c r="AF2906" i="1"/>
  <c r="K2907" i="1"/>
  <c r="AC2907" i="1"/>
  <c r="AJ2906" i="1"/>
  <c r="AK2906" i="1"/>
  <c r="AM2906" i="1"/>
  <c r="BF2906" i="1"/>
  <c r="BG2906" i="1"/>
  <c r="T2907" i="1"/>
  <c r="U2907" i="1"/>
  <c r="V2907" i="1"/>
  <c r="W2907" i="1"/>
  <c r="AB2907" i="1"/>
  <c r="AF2907" i="1"/>
  <c r="K2908" i="1"/>
  <c r="AC2908" i="1"/>
  <c r="AJ2907" i="1"/>
  <c r="AK2907" i="1"/>
  <c r="AM2907" i="1"/>
  <c r="BF2907" i="1"/>
  <c r="BG2907" i="1"/>
  <c r="T2908" i="1"/>
  <c r="U2908" i="1"/>
  <c r="V2908" i="1"/>
  <c r="W2908" i="1"/>
  <c r="AB2908" i="1"/>
  <c r="AF2908" i="1"/>
  <c r="AC2909" i="1"/>
  <c r="AJ2908" i="1"/>
  <c r="AK2908" i="1"/>
  <c r="AM2908" i="1"/>
  <c r="BF2908" i="1"/>
  <c r="BG2908" i="1"/>
  <c r="T2909" i="1"/>
  <c r="U2909" i="1"/>
  <c r="V2909" i="1"/>
  <c r="W2909" i="1"/>
  <c r="AB2909" i="1"/>
  <c r="AF2909" i="1"/>
  <c r="AC2910" i="1"/>
  <c r="AJ2909" i="1"/>
  <c r="AK2909" i="1"/>
  <c r="AM2909" i="1"/>
  <c r="BF2909" i="1"/>
  <c r="BG2909" i="1"/>
  <c r="T2910" i="1"/>
  <c r="U2910" i="1"/>
  <c r="V2910" i="1"/>
  <c r="W2910" i="1"/>
  <c r="AB2910" i="1"/>
  <c r="AF2910" i="1"/>
  <c r="K2911" i="1"/>
  <c r="AC2911" i="1"/>
  <c r="AJ2910" i="1"/>
  <c r="AK2910" i="1"/>
  <c r="AM2910" i="1"/>
  <c r="BF2910" i="1"/>
  <c r="BG2910" i="1"/>
  <c r="T2911" i="1"/>
  <c r="U2911" i="1"/>
  <c r="V2911" i="1"/>
  <c r="W2911" i="1"/>
  <c r="AB2911" i="1"/>
  <c r="AF2911" i="1"/>
  <c r="AC2912" i="1"/>
  <c r="AJ2911" i="1"/>
  <c r="AK2911" i="1"/>
  <c r="AM2911" i="1"/>
  <c r="BF2911" i="1"/>
  <c r="BG2911" i="1"/>
  <c r="T2912" i="1"/>
  <c r="U2912" i="1"/>
  <c r="V2912" i="1"/>
  <c r="W2912" i="1"/>
  <c r="AB2912" i="1"/>
  <c r="AF2912" i="1"/>
  <c r="AC2913" i="1"/>
  <c r="AJ2912" i="1"/>
  <c r="AK2912" i="1"/>
  <c r="AM2912" i="1"/>
  <c r="BF2912" i="1"/>
  <c r="BG2912" i="1"/>
  <c r="T2913" i="1"/>
  <c r="U2913" i="1"/>
  <c r="V2913" i="1"/>
  <c r="W2913" i="1"/>
  <c r="AB2913" i="1"/>
  <c r="AF2913" i="1"/>
  <c r="K2914" i="1"/>
  <c r="AC2914" i="1"/>
  <c r="AJ2913" i="1"/>
  <c r="AK2913" i="1"/>
  <c r="AM2913" i="1"/>
  <c r="BF2913" i="1"/>
  <c r="BG2913" i="1"/>
  <c r="T2914" i="1"/>
  <c r="U2914" i="1"/>
  <c r="V2914" i="1"/>
  <c r="W2914" i="1"/>
  <c r="AB2914" i="1"/>
  <c r="AF2914" i="1"/>
  <c r="AC2915" i="1"/>
  <c r="AJ2914" i="1"/>
  <c r="AK2914" i="1"/>
  <c r="AM2914" i="1"/>
  <c r="BF2914" i="1"/>
  <c r="BG2914" i="1"/>
  <c r="T2915" i="1"/>
  <c r="U2915" i="1"/>
  <c r="V2915" i="1"/>
  <c r="W2915" i="1"/>
  <c r="AB2915" i="1"/>
  <c r="AF2915" i="1"/>
  <c r="AC2916" i="1"/>
  <c r="AJ2915" i="1"/>
  <c r="AK2915" i="1"/>
  <c r="AM2915" i="1"/>
  <c r="BF2915" i="1"/>
  <c r="BG2915" i="1"/>
  <c r="T2916" i="1"/>
  <c r="U2916" i="1"/>
  <c r="V2916" i="1"/>
  <c r="W2916" i="1"/>
  <c r="AB2916" i="1"/>
  <c r="AF2916" i="1"/>
  <c r="K2917" i="1"/>
  <c r="AC2917" i="1"/>
  <c r="AJ2916" i="1"/>
  <c r="AK2916" i="1"/>
  <c r="AM2916" i="1"/>
  <c r="BF2916" i="1"/>
  <c r="BG2916" i="1"/>
  <c r="T2917" i="1"/>
  <c r="U2917" i="1"/>
  <c r="V2917" i="1"/>
  <c r="W2917" i="1"/>
  <c r="AB2917" i="1"/>
  <c r="AF2917" i="1"/>
  <c r="AC2918" i="1"/>
  <c r="AJ2917" i="1"/>
  <c r="AK2917" i="1"/>
  <c r="AM2917" i="1"/>
  <c r="BF2917" i="1"/>
  <c r="BG2917" i="1"/>
  <c r="T2918" i="1"/>
  <c r="U2918" i="1"/>
  <c r="V2918" i="1"/>
  <c r="W2918" i="1"/>
  <c r="AB2918" i="1"/>
  <c r="AF2918" i="1"/>
  <c r="AC2919" i="1"/>
  <c r="AJ2918" i="1"/>
  <c r="AK2918" i="1"/>
  <c r="AM2918" i="1"/>
  <c r="BF2918" i="1"/>
  <c r="BG2918" i="1"/>
  <c r="T2919" i="1"/>
  <c r="U2919" i="1"/>
  <c r="V2919" i="1"/>
  <c r="W2919" i="1"/>
  <c r="AB2919" i="1"/>
  <c r="AF2919" i="1"/>
  <c r="K2920" i="1"/>
  <c r="AC2920" i="1"/>
  <c r="AJ2919" i="1"/>
  <c r="AK2919" i="1"/>
  <c r="AM2919" i="1"/>
  <c r="BF2919" i="1"/>
  <c r="BG2919" i="1"/>
  <c r="T2920" i="1"/>
  <c r="U2920" i="1"/>
  <c r="V2920" i="1"/>
  <c r="W2920" i="1"/>
  <c r="AB2920" i="1"/>
  <c r="AF2920" i="1"/>
  <c r="AC2921" i="1"/>
  <c r="AJ2920" i="1"/>
  <c r="AK2920" i="1"/>
  <c r="AM2920" i="1"/>
  <c r="BF2920" i="1"/>
  <c r="BG2920" i="1"/>
  <c r="T2921" i="1"/>
  <c r="U2921" i="1"/>
  <c r="V2921" i="1"/>
  <c r="W2921" i="1"/>
  <c r="AB2921" i="1"/>
  <c r="AF2921" i="1"/>
  <c r="AC2922" i="1"/>
  <c r="AJ2921" i="1"/>
  <c r="AK2921" i="1"/>
  <c r="AM2921" i="1"/>
  <c r="BF2921" i="1"/>
  <c r="BG2921" i="1"/>
  <c r="T2922" i="1"/>
  <c r="U2922" i="1"/>
  <c r="V2922" i="1"/>
  <c r="W2922" i="1"/>
  <c r="AB2922" i="1"/>
  <c r="AF2922" i="1"/>
  <c r="K2923" i="1"/>
  <c r="AC2923" i="1"/>
  <c r="AJ2922" i="1"/>
  <c r="AK2922" i="1"/>
  <c r="AM2922" i="1"/>
  <c r="BF2922" i="1"/>
  <c r="BG2922" i="1"/>
  <c r="T2923" i="1"/>
  <c r="U2923" i="1"/>
  <c r="V2923" i="1"/>
  <c r="W2923" i="1"/>
  <c r="AB2923" i="1"/>
  <c r="AF2923" i="1"/>
  <c r="K2924" i="1"/>
  <c r="AC2924" i="1"/>
  <c r="AJ2923" i="1"/>
  <c r="AK2923" i="1"/>
  <c r="AM2923" i="1"/>
  <c r="BF2923" i="1"/>
  <c r="BG2923" i="1"/>
  <c r="T2924" i="1"/>
  <c r="U2924" i="1"/>
  <c r="V2924" i="1"/>
  <c r="W2924" i="1"/>
  <c r="AB2924" i="1"/>
  <c r="AF2924" i="1"/>
  <c r="AC2925" i="1"/>
  <c r="AJ2924" i="1"/>
  <c r="AK2924" i="1"/>
  <c r="AM2924" i="1"/>
  <c r="BF2924" i="1"/>
  <c r="BG2924" i="1"/>
  <c r="T2925" i="1"/>
  <c r="U2925" i="1"/>
  <c r="V2925" i="1"/>
  <c r="W2925" i="1"/>
  <c r="AB2925" i="1"/>
  <c r="AF2925" i="1"/>
  <c r="AC2926" i="1"/>
  <c r="AJ2925" i="1"/>
  <c r="AK2925" i="1"/>
  <c r="AM2925" i="1"/>
  <c r="BF2925" i="1"/>
  <c r="BG2925" i="1"/>
  <c r="T2926" i="1"/>
  <c r="U2926" i="1"/>
  <c r="V2926" i="1"/>
  <c r="W2926" i="1"/>
  <c r="AB2926" i="1"/>
  <c r="AF2926" i="1"/>
  <c r="K2927" i="1"/>
  <c r="AC2927" i="1"/>
  <c r="AJ2926" i="1"/>
  <c r="AK2926" i="1"/>
  <c r="AM2926" i="1"/>
  <c r="BF2926" i="1"/>
  <c r="BG2926" i="1"/>
  <c r="T2927" i="1"/>
  <c r="U2927" i="1"/>
  <c r="V2927" i="1"/>
  <c r="W2927" i="1"/>
  <c r="AB2927" i="1"/>
  <c r="AF2927" i="1"/>
  <c r="AC2928" i="1"/>
  <c r="AJ2927" i="1"/>
  <c r="AK2927" i="1"/>
  <c r="AM2927" i="1"/>
  <c r="BF2927" i="1"/>
  <c r="BG2927" i="1"/>
  <c r="T2928" i="1"/>
  <c r="U2928" i="1"/>
  <c r="V2928" i="1"/>
  <c r="W2928" i="1"/>
  <c r="AB2928" i="1"/>
  <c r="AF2928" i="1"/>
  <c r="AC2929" i="1"/>
  <c r="AJ2928" i="1"/>
  <c r="AK2928" i="1"/>
  <c r="AM2928" i="1"/>
  <c r="BF2928" i="1"/>
  <c r="BG2928" i="1"/>
  <c r="T2929" i="1"/>
  <c r="U2929" i="1"/>
  <c r="V2929" i="1"/>
  <c r="W2929" i="1"/>
  <c r="AB2929" i="1"/>
  <c r="AF2929" i="1"/>
  <c r="K2930" i="1"/>
  <c r="AC2930" i="1"/>
  <c r="AJ2929" i="1"/>
  <c r="AK2929" i="1"/>
  <c r="AM2929" i="1"/>
  <c r="BF2929" i="1"/>
  <c r="BG2929" i="1"/>
  <c r="T2930" i="1"/>
  <c r="U2930" i="1"/>
  <c r="V2930" i="1"/>
  <c r="W2930" i="1"/>
  <c r="AB2930" i="1"/>
  <c r="AF2930" i="1"/>
  <c r="AC2931" i="1"/>
  <c r="AJ2930" i="1"/>
  <c r="AK2930" i="1"/>
  <c r="AM2930" i="1"/>
  <c r="BF2930" i="1"/>
  <c r="BG2930" i="1"/>
  <c r="T2931" i="1"/>
  <c r="U2931" i="1"/>
  <c r="V2931" i="1"/>
  <c r="W2931" i="1"/>
  <c r="AB2931" i="1"/>
  <c r="AF2931" i="1"/>
  <c r="AC2932" i="1"/>
  <c r="AJ2931" i="1"/>
  <c r="AK2931" i="1"/>
  <c r="AM2931" i="1"/>
  <c r="BF2931" i="1"/>
  <c r="BG2931" i="1"/>
  <c r="T2932" i="1"/>
  <c r="U2932" i="1"/>
  <c r="V2932" i="1"/>
  <c r="W2932" i="1"/>
  <c r="AB2932" i="1"/>
  <c r="AF2932" i="1"/>
  <c r="K2933" i="1"/>
  <c r="AC2933" i="1"/>
  <c r="AJ2932" i="1"/>
  <c r="AK2932" i="1"/>
  <c r="AM2932" i="1"/>
  <c r="BF2932" i="1"/>
  <c r="BG2932" i="1"/>
  <c r="T2933" i="1"/>
  <c r="U2933" i="1"/>
  <c r="V2933" i="1"/>
  <c r="W2933" i="1"/>
  <c r="AB2933" i="1"/>
  <c r="AF2933" i="1"/>
  <c r="AC2934" i="1"/>
  <c r="AJ2933" i="1"/>
  <c r="AK2933" i="1"/>
  <c r="AM2933" i="1"/>
  <c r="BF2933" i="1"/>
  <c r="BG2933" i="1"/>
  <c r="T2934" i="1"/>
  <c r="U2934" i="1"/>
  <c r="V2934" i="1"/>
  <c r="W2934" i="1"/>
  <c r="AB2934" i="1"/>
  <c r="AF2934" i="1"/>
  <c r="AC2935" i="1"/>
  <c r="AJ2934" i="1"/>
  <c r="AK2934" i="1"/>
  <c r="AM2934" i="1"/>
  <c r="BF2934" i="1"/>
  <c r="BG2934" i="1"/>
  <c r="T2935" i="1"/>
  <c r="U2935" i="1"/>
  <c r="V2935" i="1"/>
  <c r="W2935" i="1"/>
  <c r="AB2935" i="1"/>
  <c r="AF2935" i="1"/>
  <c r="K2936" i="1"/>
  <c r="AC2936" i="1"/>
  <c r="AJ2935" i="1"/>
  <c r="AK2935" i="1"/>
  <c r="AM2935" i="1"/>
  <c r="BF2935" i="1"/>
  <c r="BG2935" i="1"/>
  <c r="T2936" i="1"/>
  <c r="U2936" i="1"/>
  <c r="V2936" i="1"/>
  <c r="W2936" i="1"/>
  <c r="AB2936" i="1"/>
  <c r="AF2936" i="1"/>
  <c r="AC2937" i="1"/>
  <c r="AJ2936" i="1"/>
  <c r="AK2936" i="1"/>
  <c r="AM2936" i="1"/>
  <c r="BF2936" i="1"/>
  <c r="BG2936" i="1"/>
  <c r="T2937" i="1"/>
  <c r="U2937" i="1"/>
  <c r="V2937" i="1"/>
  <c r="W2937" i="1"/>
  <c r="AB2937" i="1"/>
  <c r="AF2937" i="1"/>
  <c r="AC2938" i="1"/>
  <c r="AJ2937" i="1"/>
  <c r="AK2937" i="1"/>
  <c r="AM2937" i="1"/>
  <c r="BF2937" i="1"/>
  <c r="BG2937" i="1"/>
  <c r="T2938" i="1"/>
  <c r="U2938" i="1"/>
  <c r="V2938" i="1"/>
  <c r="W2938" i="1"/>
  <c r="AB2938" i="1"/>
  <c r="AF2938" i="1"/>
  <c r="K2939" i="1"/>
  <c r="AC2939" i="1"/>
  <c r="AJ2938" i="1"/>
  <c r="AK2938" i="1"/>
  <c r="AM2938" i="1"/>
  <c r="BF2938" i="1"/>
  <c r="BG2938" i="1"/>
  <c r="T2939" i="1"/>
  <c r="U2939" i="1"/>
  <c r="V2939" i="1"/>
  <c r="W2939" i="1"/>
  <c r="AB2939" i="1"/>
  <c r="AF2939" i="1"/>
  <c r="AC2940" i="1"/>
  <c r="AJ2939" i="1"/>
  <c r="AK2939" i="1"/>
  <c r="AM2939" i="1"/>
  <c r="BF2939" i="1"/>
  <c r="BG2939" i="1"/>
  <c r="T2940" i="1"/>
  <c r="U2940" i="1"/>
  <c r="V2940" i="1"/>
  <c r="W2940" i="1"/>
  <c r="AB2940" i="1"/>
  <c r="AF2940" i="1"/>
  <c r="AC2941" i="1"/>
  <c r="AJ2940" i="1"/>
  <c r="AK2940" i="1"/>
  <c r="AM2940" i="1"/>
  <c r="BF2940" i="1"/>
  <c r="BG2940" i="1"/>
  <c r="T2941" i="1"/>
  <c r="U2941" i="1"/>
  <c r="V2941" i="1"/>
  <c r="W2941" i="1"/>
  <c r="AB2941" i="1"/>
  <c r="AF2941" i="1"/>
  <c r="K2942" i="1"/>
  <c r="AC2942" i="1"/>
  <c r="AJ2941" i="1"/>
  <c r="AK2941" i="1"/>
  <c r="AM2941" i="1"/>
  <c r="BF2941" i="1"/>
  <c r="BG2941" i="1"/>
  <c r="T2942" i="1"/>
  <c r="U2942" i="1"/>
  <c r="V2942" i="1"/>
  <c r="W2942" i="1"/>
  <c r="AB2942" i="1"/>
  <c r="AF2942" i="1"/>
  <c r="AC2943" i="1"/>
  <c r="AJ2942" i="1"/>
  <c r="AK2942" i="1"/>
  <c r="AM2942" i="1"/>
  <c r="BF2942" i="1"/>
  <c r="BG2942" i="1"/>
  <c r="T2943" i="1"/>
  <c r="U2943" i="1"/>
  <c r="V2943" i="1"/>
  <c r="W2943" i="1"/>
  <c r="AB2943" i="1"/>
  <c r="AF2943" i="1"/>
  <c r="AC2944" i="1"/>
  <c r="AJ2943" i="1"/>
  <c r="AK2943" i="1"/>
  <c r="AM2943" i="1"/>
  <c r="BF2943" i="1"/>
  <c r="BG2943" i="1"/>
  <c r="T2944" i="1"/>
  <c r="U2944" i="1"/>
  <c r="V2944" i="1"/>
  <c r="W2944" i="1"/>
  <c r="AB2944" i="1"/>
  <c r="AF2944" i="1"/>
  <c r="K2945" i="1"/>
  <c r="AC2945" i="1"/>
  <c r="AJ2944" i="1"/>
  <c r="AK2944" i="1"/>
  <c r="AM2944" i="1"/>
  <c r="BF2944" i="1"/>
  <c r="BG2944" i="1"/>
  <c r="T2945" i="1"/>
  <c r="U2945" i="1"/>
  <c r="V2945" i="1"/>
  <c r="W2945" i="1"/>
  <c r="AB2945" i="1"/>
  <c r="AF2945" i="1"/>
  <c r="K2946" i="1"/>
  <c r="AC2946" i="1"/>
  <c r="AJ2945" i="1"/>
  <c r="AK2945" i="1"/>
  <c r="AM2945" i="1"/>
  <c r="BF2945" i="1"/>
  <c r="BG2945" i="1"/>
  <c r="T2946" i="1"/>
  <c r="U2946" i="1"/>
  <c r="V2946" i="1"/>
  <c r="W2946" i="1"/>
  <c r="AB2946" i="1"/>
  <c r="AF2946" i="1"/>
  <c r="K2947" i="1"/>
  <c r="AC2947" i="1"/>
  <c r="AJ2946" i="1"/>
  <c r="AK2946" i="1"/>
  <c r="AM2946" i="1"/>
  <c r="BF2946" i="1"/>
  <c r="BG2946" i="1"/>
  <c r="T2947" i="1"/>
  <c r="U2947" i="1"/>
  <c r="V2947" i="1"/>
  <c r="W2947" i="1"/>
  <c r="AB2947" i="1"/>
  <c r="AF2947" i="1"/>
  <c r="K2948" i="1"/>
  <c r="AC2948" i="1"/>
  <c r="AJ2947" i="1"/>
  <c r="AK2947" i="1"/>
  <c r="AM2947" i="1"/>
  <c r="BF2947" i="1"/>
  <c r="BG2947" i="1"/>
  <c r="T2948" i="1"/>
  <c r="U2948" i="1"/>
  <c r="V2948" i="1"/>
  <c r="W2948" i="1"/>
  <c r="AB2948" i="1"/>
  <c r="AF2948" i="1"/>
  <c r="AC2949" i="1"/>
  <c r="AJ2948" i="1"/>
  <c r="AK2948" i="1"/>
  <c r="AM2948" i="1"/>
  <c r="BF2948" i="1"/>
  <c r="BG2948" i="1"/>
  <c r="T2949" i="1"/>
  <c r="U2949" i="1"/>
  <c r="V2949" i="1"/>
  <c r="W2949" i="1"/>
  <c r="AB2949" i="1"/>
  <c r="AF2949" i="1"/>
  <c r="AC2950" i="1"/>
  <c r="AJ2949" i="1"/>
  <c r="AK2949" i="1"/>
  <c r="AM2949" i="1"/>
  <c r="BF2949" i="1"/>
  <c r="BG2949" i="1"/>
  <c r="T2950" i="1"/>
  <c r="U2950" i="1"/>
  <c r="V2950" i="1"/>
  <c r="W2950" i="1"/>
  <c r="AB2950" i="1"/>
  <c r="AF2950" i="1"/>
  <c r="K2951" i="1"/>
  <c r="AC2951" i="1"/>
  <c r="AJ2950" i="1"/>
  <c r="AK2950" i="1"/>
  <c r="AM2950" i="1"/>
  <c r="BF2950" i="1"/>
  <c r="BG2950" i="1"/>
  <c r="T2951" i="1"/>
  <c r="U2951" i="1"/>
  <c r="V2951" i="1"/>
  <c r="W2951" i="1"/>
  <c r="AB2951" i="1"/>
  <c r="AF2951" i="1"/>
  <c r="K2952" i="1"/>
  <c r="AC2952" i="1"/>
  <c r="AJ2951" i="1"/>
  <c r="AK2951" i="1"/>
  <c r="AM2951" i="1"/>
  <c r="BF2951" i="1"/>
  <c r="BG2951" i="1"/>
  <c r="T2952" i="1"/>
  <c r="U2952" i="1"/>
  <c r="V2952" i="1"/>
  <c r="W2952" i="1"/>
  <c r="AB2952" i="1"/>
  <c r="AF2952" i="1"/>
  <c r="K2953" i="1"/>
  <c r="AC2953" i="1"/>
  <c r="AJ2952" i="1"/>
  <c r="AK2952" i="1"/>
  <c r="AM2952" i="1"/>
  <c r="BF2952" i="1"/>
  <c r="BG2952" i="1"/>
  <c r="T2953" i="1"/>
  <c r="U2953" i="1"/>
  <c r="V2953" i="1"/>
  <c r="W2953" i="1"/>
  <c r="AB2953" i="1"/>
  <c r="AF2953" i="1"/>
  <c r="K2954" i="1"/>
  <c r="AC2954" i="1"/>
  <c r="AJ2953" i="1"/>
  <c r="AK2953" i="1"/>
  <c r="AM2953" i="1"/>
  <c r="BF2953" i="1"/>
  <c r="BG2953" i="1"/>
  <c r="T2954" i="1"/>
  <c r="U2954" i="1"/>
  <c r="V2954" i="1"/>
  <c r="W2954" i="1"/>
  <c r="AB2954" i="1"/>
  <c r="AF2954" i="1"/>
  <c r="AC2955" i="1"/>
  <c r="AJ2954" i="1"/>
  <c r="AK2954" i="1"/>
  <c r="AM2954" i="1"/>
  <c r="BF2954" i="1"/>
  <c r="BG2954" i="1"/>
  <c r="T2955" i="1"/>
  <c r="U2955" i="1"/>
  <c r="V2955" i="1"/>
  <c r="W2955" i="1"/>
  <c r="AB2955" i="1"/>
  <c r="AF2955" i="1"/>
  <c r="AC2956" i="1"/>
  <c r="AJ2955" i="1"/>
  <c r="AK2955" i="1"/>
  <c r="AM2955" i="1"/>
  <c r="BF2955" i="1"/>
  <c r="BG2955" i="1"/>
  <c r="T2956" i="1"/>
  <c r="U2956" i="1"/>
  <c r="V2956" i="1"/>
  <c r="W2956" i="1"/>
  <c r="AB2956" i="1"/>
  <c r="AF2956" i="1"/>
  <c r="K2957" i="1"/>
  <c r="AC2957" i="1"/>
  <c r="AJ2956" i="1"/>
  <c r="AK2956" i="1"/>
  <c r="AM2956" i="1"/>
  <c r="BF2956" i="1"/>
  <c r="BG2956" i="1"/>
  <c r="T2957" i="1"/>
  <c r="U2957" i="1"/>
  <c r="V2957" i="1"/>
  <c r="W2957" i="1"/>
  <c r="AB2957" i="1"/>
  <c r="AF2957" i="1"/>
  <c r="AC2958" i="1"/>
  <c r="AJ2957" i="1"/>
  <c r="AK2957" i="1"/>
  <c r="AM2957" i="1"/>
  <c r="BF2957" i="1"/>
  <c r="BG2957" i="1"/>
  <c r="T2958" i="1"/>
  <c r="U2958" i="1"/>
  <c r="V2958" i="1"/>
  <c r="W2958" i="1"/>
  <c r="AB2958" i="1"/>
  <c r="AF2958" i="1"/>
  <c r="AC2959" i="1"/>
  <c r="AJ2958" i="1"/>
  <c r="AK2958" i="1"/>
  <c r="AM2958" i="1"/>
  <c r="BF2958" i="1"/>
  <c r="BG2958" i="1"/>
  <c r="T2959" i="1"/>
  <c r="U2959" i="1"/>
  <c r="V2959" i="1"/>
  <c r="W2959" i="1"/>
  <c r="AB2959" i="1"/>
  <c r="AF2959" i="1"/>
  <c r="K2960" i="1"/>
  <c r="AC2960" i="1"/>
  <c r="AJ2959" i="1"/>
  <c r="AK2959" i="1"/>
  <c r="AM2959" i="1"/>
  <c r="BF2959" i="1"/>
  <c r="BG2959" i="1"/>
  <c r="T2960" i="1"/>
  <c r="U2960" i="1"/>
  <c r="V2960" i="1"/>
  <c r="W2960" i="1"/>
  <c r="AB2960" i="1"/>
  <c r="AF2960" i="1"/>
  <c r="K2961" i="1"/>
  <c r="AC2961" i="1"/>
  <c r="AJ2960" i="1"/>
  <c r="AK2960" i="1"/>
  <c r="AM2960" i="1"/>
  <c r="BF2960" i="1"/>
  <c r="BG2960" i="1"/>
  <c r="T2961" i="1"/>
  <c r="U2961" i="1"/>
  <c r="V2961" i="1"/>
  <c r="W2961" i="1"/>
  <c r="AB2961" i="1"/>
  <c r="AF2961" i="1"/>
  <c r="AC2962" i="1"/>
  <c r="AJ2961" i="1"/>
  <c r="AK2961" i="1"/>
  <c r="AM2961" i="1"/>
  <c r="BF2961" i="1"/>
  <c r="BG2961" i="1"/>
  <c r="T2962" i="1"/>
  <c r="U2962" i="1"/>
  <c r="V2962" i="1"/>
  <c r="W2962" i="1"/>
  <c r="AB2962" i="1"/>
  <c r="AF2962" i="1"/>
  <c r="AC2963" i="1"/>
  <c r="AJ2962" i="1"/>
  <c r="AK2962" i="1"/>
  <c r="AM2962" i="1"/>
  <c r="BF2962" i="1"/>
  <c r="BG2962" i="1"/>
  <c r="T2963" i="1"/>
  <c r="U2963" i="1"/>
  <c r="V2963" i="1"/>
  <c r="W2963" i="1"/>
  <c r="AB2963" i="1"/>
  <c r="AF2963" i="1"/>
  <c r="K2964" i="1"/>
  <c r="AC2964" i="1"/>
  <c r="AJ2963" i="1"/>
  <c r="AK2963" i="1"/>
  <c r="AM2963" i="1"/>
  <c r="BF2963" i="1"/>
  <c r="BG2963" i="1"/>
  <c r="T2964" i="1"/>
  <c r="U2964" i="1"/>
  <c r="V2964" i="1"/>
  <c r="W2964" i="1"/>
  <c r="AB2964" i="1"/>
  <c r="AF2964" i="1"/>
  <c r="K2965" i="1"/>
  <c r="AC2965" i="1"/>
  <c r="AJ2964" i="1"/>
  <c r="AK2964" i="1"/>
  <c r="AM2964" i="1"/>
  <c r="BF2964" i="1"/>
  <c r="BG2964" i="1"/>
  <c r="T2965" i="1"/>
  <c r="U2965" i="1"/>
  <c r="V2965" i="1"/>
  <c r="W2965" i="1"/>
  <c r="AB2965" i="1"/>
  <c r="AF2965" i="1"/>
  <c r="K2966" i="1"/>
  <c r="AC2966" i="1"/>
  <c r="AJ2965" i="1"/>
  <c r="AK2965" i="1"/>
  <c r="AM2965" i="1"/>
  <c r="BF2965" i="1"/>
  <c r="BG2965" i="1"/>
  <c r="T2966" i="1"/>
  <c r="U2966" i="1"/>
  <c r="V2966" i="1"/>
  <c r="W2966" i="1"/>
  <c r="AB2966" i="1"/>
  <c r="AF2966" i="1"/>
  <c r="AC2967" i="1"/>
  <c r="AJ2966" i="1"/>
  <c r="AK2966" i="1"/>
  <c r="AM2966" i="1"/>
  <c r="BF2966" i="1"/>
  <c r="BG2966" i="1"/>
  <c r="T2967" i="1"/>
  <c r="U2967" i="1"/>
  <c r="V2967" i="1"/>
  <c r="W2967" i="1"/>
  <c r="AB2967" i="1"/>
  <c r="AF2967" i="1"/>
  <c r="AC2968" i="1"/>
  <c r="AJ2967" i="1"/>
  <c r="AK2967" i="1"/>
  <c r="AM2967" i="1"/>
  <c r="BF2967" i="1"/>
  <c r="BG2967" i="1"/>
  <c r="T2968" i="1"/>
  <c r="U2968" i="1"/>
  <c r="V2968" i="1"/>
  <c r="W2968" i="1"/>
  <c r="AB2968" i="1"/>
  <c r="AF2968" i="1"/>
  <c r="K2969" i="1"/>
  <c r="AC2969" i="1"/>
  <c r="AJ2968" i="1"/>
  <c r="AK2968" i="1"/>
  <c r="AM2968" i="1"/>
  <c r="BF2968" i="1"/>
  <c r="BG2968" i="1"/>
  <c r="T2969" i="1"/>
  <c r="U2969" i="1"/>
  <c r="V2969" i="1"/>
  <c r="W2969" i="1"/>
  <c r="AB2969" i="1"/>
  <c r="AF2969" i="1"/>
  <c r="K2970" i="1"/>
  <c r="AC2970" i="1"/>
  <c r="AJ2969" i="1"/>
  <c r="AK2969" i="1"/>
  <c r="AM2969" i="1"/>
  <c r="BF2969" i="1"/>
  <c r="BG2969" i="1"/>
  <c r="T2970" i="1"/>
  <c r="U2970" i="1"/>
  <c r="V2970" i="1"/>
  <c r="W2970" i="1"/>
  <c r="AB2970" i="1"/>
  <c r="AF2970" i="1"/>
  <c r="K2971" i="1"/>
  <c r="AC2971" i="1"/>
  <c r="AJ2970" i="1"/>
  <c r="AK2970" i="1"/>
  <c r="AM2970" i="1"/>
  <c r="BF2970" i="1"/>
  <c r="BG2970" i="1"/>
  <c r="T2971" i="1"/>
  <c r="U2971" i="1"/>
  <c r="V2971" i="1"/>
  <c r="W2971" i="1"/>
  <c r="AB2971" i="1"/>
  <c r="AF2971" i="1"/>
  <c r="AC2972" i="1"/>
  <c r="AJ2971" i="1"/>
  <c r="AK2971" i="1"/>
  <c r="AM2971" i="1"/>
  <c r="BF2971" i="1"/>
  <c r="BG2971" i="1"/>
  <c r="T2972" i="1"/>
  <c r="U2972" i="1"/>
  <c r="V2972" i="1"/>
  <c r="W2972" i="1"/>
  <c r="AB2972" i="1"/>
  <c r="AF2972" i="1"/>
  <c r="AC2973" i="1"/>
  <c r="AJ2972" i="1"/>
  <c r="AK2972" i="1"/>
  <c r="AM2972" i="1"/>
  <c r="BF2972" i="1"/>
  <c r="BG2972" i="1"/>
  <c r="T2973" i="1"/>
  <c r="U2973" i="1"/>
  <c r="V2973" i="1"/>
  <c r="W2973" i="1"/>
  <c r="AB2973" i="1"/>
  <c r="AF2973" i="1"/>
  <c r="K2974" i="1"/>
  <c r="AC2974" i="1"/>
  <c r="AJ2973" i="1"/>
  <c r="AK2973" i="1"/>
  <c r="AM2973" i="1"/>
  <c r="BF2973" i="1"/>
  <c r="BG2973" i="1"/>
  <c r="T2974" i="1"/>
  <c r="U2974" i="1"/>
  <c r="V2974" i="1"/>
  <c r="W2974" i="1"/>
  <c r="AB2974" i="1"/>
  <c r="AF2974" i="1"/>
  <c r="K2975" i="1"/>
  <c r="AC2975" i="1"/>
  <c r="AJ2974" i="1"/>
  <c r="AK2974" i="1"/>
  <c r="AM2974" i="1"/>
  <c r="BF2974" i="1"/>
  <c r="BG2974" i="1"/>
  <c r="T2975" i="1"/>
  <c r="U2975" i="1"/>
  <c r="V2975" i="1"/>
  <c r="W2975" i="1"/>
  <c r="AB2975" i="1"/>
  <c r="AF2975" i="1"/>
  <c r="K2976" i="1"/>
  <c r="AC2976" i="1"/>
  <c r="AJ2975" i="1"/>
  <c r="AK2975" i="1"/>
  <c r="AM2975" i="1"/>
  <c r="BF2975" i="1"/>
  <c r="BG2975" i="1"/>
  <c r="T2976" i="1"/>
  <c r="U2976" i="1"/>
  <c r="V2976" i="1"/>
  <c r="W2976" i="1"/>
  <c r="AB2976" i="1"/>
  <c r="AF2976" i="1"/>
  <c r="AC2977" i="1"/>
  <c r="AJ2976" i="1"/>
  <c r="AK2976" i="1"/>
  <c r="AM2976" i="1"/>
  <c r="BF2976" i="1"/>
  <c r="BG2976" i="1"/>
  <c r="T2977" i="1"/>
  <c r="U2977" i="1"/>
  <c r="V2977" i="1"/>
  <c r="W2977" i="1"/>
  <c r="AB2977" i="1"/>
  <c r="AF2977" i="1"/>
  <c r="AC2978" i="1"/>
  <c r="AJ2977" i="1"/>
  <c r="AK2977" i="1"/>
  <c r="AM2977" i="1"/>
  <c r="BF2977" i="1"/>
  <c r="BG2977" i="1"/>
  <c r="T2978" i="1"/>
  <c r="U2978" i="1"/>
  <c r="V2978" i="1"/>
  <c r="W2978" i="1"/>
  <c r="AB2978" i="1"/>
  <c r="AF2978" i="1"/>
  <c r="K2979" i="1"/>
  <c r="AC2979" i="1"/>
  <c r="AJ2978" i="1"/>
  <c r="AK2978" i="1"/>
  <c r="AM2978" i="1"/>
  <c r="BF2978" i="1"/>
  <c r="BG2978" i="1"/>
  <c r="T2979" i="1"/>
  <c r="U2979" i="1"/>
  <c r="V2979" i="1"/>
  <c r="W2979" i="1"/>
  <c r="AB2979" i="1"/>
  <c r="AF2979" i="1"/>
  <c r="K2980" i="1"/>
  <c r="AC2980" i="1"/>
  <c r="AJ2979" i="1"/>
  <c r="AK2979" i="1"/>
  <c r="AM2979" i="1"/>
  <c r="BF2979" i="1"/>
  <c r="BG2979" i="1"/>
  <c r="T2980" i="1"/>
  <c r="U2980" i="1"/>
  <c r="V2980" i="1"/>
  <c r="W2980" i="1"/>
  <c r="AB2980" i="1"/>
  <c r="AF2980" i="1"/>
  <c r="AC2981" i="1"/>
  <c r="AJ2980" i="1"/>
  <c r="AK2980" i="1"/>
  <c r="AM2980" i="1"/>
  <c r="BF2980" i="1"/>
  <c r="BG2980" i="1"/>
  <c r="T2981" i="1"/>
  <c r="U2981" i="1"/>
  <c r="V2981" i="1"/>
  <c r="W2981" i="1"/>
  <c r="AB2981" i="1"/>
  <c r="AF2981" i="1"/>
  <c r="AC2982" i="1"/>
  <c r="AJ2981" i="1"/>
  <c r="AK2981" i="1"/>
  <c r="AM2981" i="1"/>
  <c r="BF2981" i="1"/>
  <c r="BG2981" i="1"/>
  <c r="T2982" i="1"/>
  <c r="U2982" i="1"/>
  <c r="V2982" i="1"/>
  <c r="W2982" i="1"/>
  <c r="AB2982" i="1"/>
  <c r="AF2982" i="1"/>
  <c r="K2983" i="1"/>
  <c r="AC2983" i="1"/>
  <c r="AJ2982" i="1"/>
  <c r="AK2982" i="1"/>
  <c r="AM2982" i="1"/>
  <c r="BF2982" i="1"/>
  <c r="BG2982" i="1"/>
  <c r="T2983" i="1"/>
  <c r="U2983" i="1"/>
  <c r="V2983" i="1"/>
  <c r="W2983" i="1"/>
  <c r="AB2983" i="1"/>
  <c r="AF2983" i="1"/>
  <c r="K2984" i="1"/>
  <c r="AC2984" i="1"/>
  <c r="AJ2983" i="1"/>
  <c r="AK2983" i="1"/>
  <c r="AM2983" i="1"/>
  <c r="BF2983" i="1"/>
  <c r="BG2983" i="1"/>
  <c r="T2984" i="1"/>
  <c r="U2984" i="1"/>
  <c r="V2984" i="1"/>
  <c r="W2984" i="1"/>
  <c r="AB2984" i="1"/>
  <c r="AF2984" i="1"/>
  <c r="AC2985" i="1"/>
  <c r="AJ2984" i="1"/>
  <c r="AK2984" i="1"/>
  <c r="AM2984" i="1"/>
  <c r="BF2984" i="1"/>
  <c r="BG2984" i="1"/>
  <c r="T2985" i="1"/>
  <c r="U2985" i="1"/>
  <c r="V2985" i="1"/>
  <c r="W2985" i="1"/>
  <c r="AB2985" i="1"/>
  <c r="AF2985" i="1"/>
  <c r="AC2986" i="1"/>
  <c r="AJ2985" i="1"/>
  <c r="AK2985" i="1"/>
  <c r="AM2985" i="1"/>
  <c r="BF2985" i="1"/>
  <c r="BG2985" i="1"/>
  <c r="T2986" i="1"/>
  <c r="U2986" i="1"/>
  <c r="V2986" i="1"/>
  <c r="W2986" i="1"/>
  <c r="AB2986" i="1"/>
  <c r="AF2986" i="1"/>
  <c r="K2987" i="1"/>
  <c r="AC2987" i="1"/>
  <c r="AJ2986" i="1"/>
  <c r="AK2986" i="1"/>
  <c r="AM2986" i="1"/>
  <c r="BF2986" i="1"/>
  <c r="BG2986" i="1"/>
  <c r="T2987" i="1"/>
  <c r="U2987" i="1"/>
  <c r="V2987" i="1"/>
  <c r="W2987" i="1"/>
  <c r="AB2987" i="1"/>
  <c r="AF2987" i="1"/>
  <c r="K2988" i="1"/>
  <c r="AC2988" i="1"/>
  <c r="AJ2987" i="1"/>
  <c r="AK2987" i="1"/>
  <c r="AM2987" i="1"/>
  <c r="BF2987" i="1"/>
  <c r="BG2987" i="1"/>
  <c r="T2988" i="1"/>
  <c r="U2988" i="1"/>
  <c r="V2988" i="1"/>
  <c r="W2988" i="1"/>
  <c r="AB2988" i="1"/>
  <c r="AF2988" i="1"/>
  <c r="AC2989" i="1"/>
  <c r="AJ2988" i="1"/>
  <c r="AK2988" i="1"/>
  <c r="AM2988" i="1"/>
  <c r="BF2988" i="1"/>
  <c r="BG2988" i="1"/>
  <c r="T2989" i="1"/>
  <c r="U2989" i="1"/>
  <c r="V2989" i="1"/>
  <c r="W2989" i="1"/>
  <c r="AB2989" i="1"/>
  <c r="AF2989" i="1"/>
  <c r="AC2990" i="1"/>
  <c r="AJ2989" i="1"/>
  <c r="AK2989" i="1"/>
  <c r="AM2989" i="1"/>
  <c r="BF2989" i="1"/>
  <c r="BG2989" i="1"/>
  <c r="T2990" i="1"/>
  <c r="U2990" i="1"/>
  <c r="V2990" i="1"/>
  <c r="W2990" i="1"/>
  <c r="AB2990" i="1"/>
  <c r="AF2990" i="1"/>
  <c r="K2991" i="1"/>
  <c r="AC2991" i="1"/>
  <c r="AJ2990" i="1"/>
  <c r="AK2990" i="1"/>
  <c r="AM2990" i="1"/>
  <c r="BF2990" i="1"/>
  <c r="BG2990" i="1"/>
  <c r="T2991" i="1"/>
  <c r="U2991" i="1"/>
  <c r="V2991" i="1"/>
  <c r="W2991" i="1"/>
  <c r="AB2991" i="1"/>
  <c r="AF2991" i="1"/>
  <c r="K2992" i="1"/>
  <c r="AC2992" i="1"/>
  <c r="AJ2991" i="1"/>
  <c r="AK2991" i="1"/>
  <c r="AM2991" i="1"/>
  <c r="BF2991" i="1"/>
  <c r="BG2991" i="1"/>
  <c r="T2992" i="1"/>
  <c r="U2992" i="1"/>
  <c r="V2992" i="1"/>
  <c r="W2992" i="1"/>
  <c r="AB2992" i="1"/>
  <c r="AF2992" i="1"/>
  <c r="AC2993" i="1"/>
  <c r="AJ2992" i="1"/>
  <c r="AK2992" i="1"/>
  <c r="AM2992" i="1"/>
  <c r="BF2992" i="1"/>
  <c r="BG2992" i="1"/>
  <c r="T2993" i="1"/>
  <c r="U2993" i="1"/>
  <c r="V2993" i="1"/>
  <c r="W2993" i="1"/>
  <c r="AB2993" i="1"/>
  <c r="AF2993" i="1"/>
  <c r="AC2994" i="1"/>
  <c r="AJ2993" i="1"/>
  <c r="AK2993" i="1"/>
  <c r="AM2993" i="1"/>
  <c r="BF2993" i="1"/>
  <c r="BG2993" i="1"/>
  <c r="T2994" i="1"/>
  <c r="U2994" i="1"/>
  <c r="V2994" i="1"/>
  <c r="W2994" i="1"/>
  <c r="AB2994" i="1"/>
  <c r="AF2994" i="1"/>
  <c r="K2995" i="1"/>
  <c r="AC2995" i="1"/>
  <c r="AJ2994" i="1"/>
  <c r="AK2994" i="1"/>
  <c r="AM2994" i="1"/>
  <c r="BF2994" i="1"/>
  <c r="BG2994" i="1"/>
  <c r="T2995" i="1"/>
  <c r="U2995" i="1"/>
  <c r="V2995" i="1"/>
  <c r="W2995" i="1"/>
  <c r="AB2995" i="1"/>
  <c r="AF2995" i="1"/>
  <c r="AC2996" i="1"/>
  <c r="AJ2995" i="1"/>
  <c r="AK2995" i="1"/>
  <c r="AM2995" i="1"/>
  <c r="BF2995" i="1"/>
  <c r="BG2995" i="1"/>
  <c r="T2996" i="1"/>
  <c r="U2996" i="1"/>
  <c r="V2996" i="1"/>
  <c r="W2996" i="1"/>
  <c r="AB2996" i="1"/>
  <c r="AF2996" i="1"/>
  <c r="AC2997" i="1"/>
  <c r="AJ2996" i="1"/>
  <c r="AK2996" i="1"/>
  <c r="AM2996" i="1"/>
  <c r="BF2996" i="1"/>
  <c r="BG2996" i="1"/>
  <c r="T2997" i="1"/>
  <c r="U2997" i="1"/>
  <c r="V2997" i="1"/>
  <c r="W2997" i="1"/>
  <c r="AB2997" i="1"/>
  <c r="AF2997" i="1"/>
  <c r="K2998" i="1"/>
  <c r="AC2998" i="1"/>
  <c r="AJ2997" i="1"/>
  <c r="AK2997" i="1"/>
  <c r="AM2997" i="1"/>
  <c r="BF2997" i="1"/>
  <c r="BG2997" i="1"/>
  <c r="T2998" i="1"/>
  <c r="U2998" i="1"/>
  <c r="V2998" i="1"/>
  <c r="W2998" i="1"/>
  <c r="AB2998" i="1"/>
  <c r="AF2998" i="1"/>
  <c r="K2999" i="1"/>
  <c r="AC2999" i="1"/>
  <c r="AJ2998" i="1"/>
  <c r="AK2998" i="1"/>
  <c r="AM2998" i="1"/>
  <c r="BF2998" i="1"/>
  <c r="BG2998" i="1"/>
  <c r="T2999" i="1"/>
  <c r="U2999" i="1"/>
  <c r="V2999" i="1"/>
  <c r="W2999" i="1"/>
  <c r="AB2999" i="1"/>
  <c r="AF2999" i="1"/>
  <c r="K3000" i="1"/>
  <c r="AC3000" i="1"/>
  <c r="AJ2999" i="1"/>
  <c r="AK2999" i="1"/>
  <c r="AM2999" i="1"/>
  <c r="BF2999" i="1"/>
  <c r="BG2999" i="1"/>
  <c r="T3000" i="1"/>
  <c r="U3000" i="1"/>
  <c r="V3000" i="1"/>
  <c r="W3000" i="1"/>
  <c r="AB3000" i="1"/>
  <c r="AF3000" i="1"/>
  <c r="K3001" i="1"/>
  <c r="AC3001" i="1"/>
  <c r="AJ3000" i="1"/>
  <c r="AK3000" i="1"/>
  <c r="AM3000" i="1"/>
  <c r="BF3000" i="1"/>
  <c r="BG3000" i="1"/>
  <c r="T3001" i="1"/>
  <c r="U3001" i="1"/>
  <c r="V3001" i="1"/>
  <c r="W3001" i="1"/>
  <c r="AB3001" i="1"/>
  <c r="AF3001" i="1"/>
  <c r="AC3002" i="1"/>
  <c r="AJ3001" i="1"/>
  <c r="AK3001" i="1"/>
  <c r="AM3001" i="1"/>
  <c r="BF3001" i="1"/>
  <c r="BG3001" i="1"/>
  <c r="T3002" i="1"/>
  <c r="U3002" i="1"/>
  <c r="V3002" i="1"/>
  <c r="W3002" i="1"/>
  <c r="AB3002" i="1"/>
  <c r="AF3002" i="1"/>
  <c r="AC3003" i="1"/>
  <c r="AJ3002" i="1"/>
  <c r="AK3002" i="1"/>
  <c r="AM3002" i="1"/>
  <c r="BF3002" i="1"/>
  <c r="BG3002" i="1"/>
  <c r="T3003" i="1"/>
  <c r="U3003" i="1"/>
  <c r="V3003" i="1"/>
  <c r="W3003" i="1"/>
  <c r="AB3003" i="1"/>
  <c r="AF3003" i="1"/>
  <c r="K3004" i="1"/>
  <c r="AC3004" i="1"/>
  <c r="AJ3003" i="1"/>
  <c r="AK3003" i="1"/>
  <c r="AM3003" i="1"/>
  <c r="BF3003" i="1"/>
  <c r="BG3003" i="1"/>
  <c r="T3004" i="1"/>
  <c r="U3004" i="1"/>
  <c r="V3004" i="1"/>
  <c r="W3004" i="1"/>
  <c r="AB3004" i="1"/>
  <c r="AF3004" i="1"/>
  <c r="AC3005" i="1"/>
  <c r="AJ3004" i="1"/>
  <c r="AK3004" i="1"/>
  <c r="AM3004" i="1"/>
  <c r="BF3004" i="1"/>
  <c r="BG3004" i="1"/>
  <c r="T3005" i="1"/>
  <c r="U3005" i="1"/>
  <c r="V3005" i="1"/>
  <c r="W3005" i="1"/>
  <c r="AB3005" i="1"/>
  <c r="AF3005" i="1"/>
  <c r="AC3006" i="1"/>
  <c r="AJ3005" i="1"/>
  <c r="AK3005" i="1"/>
  <c r="AM3005" i="1"/>
  <c r="BF3005" i="1"/>
  <c r="BG3005" i="1"/>
  <c r="T3006" i="1"/>
  <c r="U3006" i="1"/>
  <c r="V3006" i="1"/>
  <c r="W3006" i="1"/>
  <c r="AB3006" i="1"/>
  <c r="AF3006" i="1"/>
  <c r="K3007" i="1"/>
  <c r="AC3007" i="1"/>
  <c r="AJ3006" i="1"/>
  <c r="AK3006" i="1"/>
  <c r="AM3006" i="1"/>
  <c r="BF3006" i="1"/>
  <c r="BG3006" i="1"/>
  <c r="T3007" i="1"/>
  <c r="U3007" i="1"/>
  <c r="V3007" i="1"/>
  <c r="W3007" i="1"/>
  <c r="AB3007" i="1"/>
  <c r="AF3007" i="1"/>
  <c r="AC3008" i="1"/>
  <c r="AJ3007" i="1"/>
  <c r="AK3007" i="1"/>
  <c r="AM3007" i="1"/>
  <c r="BF3007" i="1"/>
  <c r="BG3007" i="1"/>
  <c r="T3008" i="1"/>
  <c r="U3008" i="1"/>
  <c r="V3008" i="1"/>
  <c r="W3008" i="1"/>
  <c r="AB3008" i="1"/>
  <c r="AF3008" i="1"/>
  <c r="AC3009" i="1"/>
  <c r="AJ3008" i="1"/>
  <c r="AK3008" i="1"/>
  <c r="AM3008" i="1"/>
  <c r="BF3008" i="1"/>
  <c r="BG3008" i="1"/>
  <c r="T3009" i="1"/>
  <c r="U3009" i="1"/>
  <c r="V3009" i="1"/>
  <c r="W3009" i="1"/>
  <c r="AB3009" i="1"/>
  <c r="AF3009" i="1"/>
  <c r="K3010" i="1"/>
  <c r="AC3010" i="1"/>
  <c r="AJ3009" i="1"/>
  <c r="AK3009" i="1"/>
  <c r="AM3009" i="1"/>
  <c r="BF3009" i="1"/>
  <c r="BG3009" i="1"/>
  <c r="T3010" i="1"/>
  <c r="U3010" i="1"/>
  <c r="V3010" i="1"/>
  <c r="W3010" i="1"/>
  <c r="AB3010" i="1"/>
  <c r="AF3010" i="1"/>
  <c r="K3011" i="1"/>
  <c r="AC3011" i="1"/>
  <c r="AJ3010" i="1"/>
  <c r="AK3010" i="1"/>
  <c r="AM3010" i="1"/>
  <c r="BF3010" i="1"/>
  <c r="BG3010" i="1"/>
  <c r="T3011" i="1"/>
  <c r="U3011" i="1"/>
  <c r="V3011" i="1"/>
  <c r="W3011" i="1"/>
  <c r="AB3011" i="1"/>
  <c r="AF3011" i="1"/>
  <c r="AC3012" i="1"/>
  <c r="AJ3011" i="1"/>
  <c r="AK3011" i="1"/>
  <c r="AM3011" i="1"/>
  <c r="BF3011" i="1"/>
  <c r="BG3011" i="1"/>
  <c r="T3012" i="1"/>
  <c r="U3012" i="1"/>
  <c r="V3012" i="1"/>
  <c r="W3012" i="1"/>
  <c r="AB3012" i="1"/>
  <c r="AF3012" i="1"/>
  <c r="AC3013" i="1"/>
  <c r="AJ3012" i="1"/>
  <c r="AK3012" i="1"/>
  <c r="AM3012" i="1"/>
  <c r="BF3012" i="1"/>
  <c r="BG3012" i="1"/>
  <c r="T3013" i="1"/>
  <c r="U3013" i="1"/>
  <c r="V3013" i="1"/>
  <c r="W3013" i="1"/>
  <c r="AB3013" i="1"/>
  <c r="AF3013" i="1"/>
  <c r="K3014" i="1"/>
  <c r="AC3014" i="1"/>
  <c r="AJ3013" i="1"/>
  <c r="AK3013" i="1"/>
  <c r="AM3013" i="1"/>
  <c r="BF3013" i="1"/>
  <c r="BG3013" i="1"/>
  <c r="T3014" i="1"/>
  <c r="U3014" i="1"/>
  <c r="V3014" i="1"/>
  <c r="W3014" i="1"/>
  <c r="AB3014" i="1"/>
  <c r="AF3014" i="1"/>
  <c r="K3015" i="1"/>
  <c r="AC3015" i="1"/>
  <c r="AJ3014" i="1"/>
  <c r="AK3014" i="1"/>
  <c r="AM3014" i="1"/>
  <c r="BF3014" i="1"/>
  <c r="BG3014" i="1"/>
  <c r="T3015" i="1"/>
  <c r="U3015" i="1"/>
  <c r="V3015" i="1"/>
  <c r="W3015" i="1"/>
  <c r="AB3015" i="1"/>
  <c r="AF3015" i="1"/>
  <c r="AC3016" i="1"/>
  <c r="AJ3015" i="1"/>
  <c r="AK3015" i="1"/>
  <c r="AM3015" i="1"/>
  <c r="BF3015" i="1"/>
  <c r="BG3015" i="1"/>
  <c r="T3016" i="1"/>
  <c r="U3016" i="1"/>
  <c r="V3016" i="1"/>
  <c r="W3016" i="1"/>
  <c r="AB3016" i="1"/>
  <c r="AF3016" i="1"/>
  <c r="AC3017" i="1"/>
  <c r="AJ3016" i="1"/>
  <c r="AK3016" i="1"/>
  <c r="AM3016" i="1"/>
  <c r="BF3016" i="1"/>
  <c r="BG3016" i="1"/>
  <c r="T3017" i="1"/>
  <c r="U3017" i="1"/>
  <c r="V3017" i="1"/>
  <c r="W3017" i="1"/>
  <c r="AB3017" i="1"/>
  <c r="AF3017" i="1"/>
  <c r="K3018" i="1"/>
  <c r="AC3018" i="1"/>
  <c r="AJ3017" i="1"/>
  <c r="AK3017" i="1"/>
  <c r="AM3017" i="1"/>
  <c r="BF3017" i="1"/>
  <c r="BG3017" i="1"/>
  <c r="T3018" i="1"/>
  <c r="U3018" i="1"/>
  <c r="V3018" i="1"/>
  <c r="W3018" i="1"/>
  <c r="AB3018" i="1"/>
  <c r="AF3018" i="1"/>
  <c r="AC3019" i="1"/>
  <c r="AJ3018" i="1"/>
  <c r="AK3018" i="1"/>
  <c r="AM3018" i="1"/>
  <c r="BF3018" i="1"/>
  <c r="BG3018" i="1"/>
  <c r="T3019" i="1"/>
  <c r="U3019" i="1"/>
  <c r="V3019" i="1"/>
  <c r="W3019" i="1"/>
  <c r="AB3019" i="1"/>
  <c r="AF3019" i="1"/>
  <c r="AC3020" i="1"/>
  <c r="AJ3019" i="1"/>
  <c r="AK3019" i="1"/>
  <c r="AM3019" i="1"/>
  <c r="BF3019" i="1"/>
  <c r="BG3019" i="1"/>
  <c r="T3020" i="1"/>
  <c r="U3020" i="1"/>
  <c r="V3020" i="1"/>
  <c r="W3020" i="1"/>
  <c r="AB3020" i="1"/>
  <c r="AF3020" i="1"/>
  <c r="K3021" i="1"/>
  <c r="AC3021" i="1"/>
  <c r="AJ3020" i="1"/>
  <c r="AK3020" i="1"/>
  <c r="AM3020" i="1"/>
  <c r="BF3020" i="1"/>
  <c r="BG3020" i="1"/>
  <c r="T3021" i="1"/>
  <c r="U3021" i="1"/>
  <c r="V3021" i="1"/>
  <c r="W3021" i="1"/>
  <c r="AB3021" i="1"/>
  <c r="AF3021" i="1"/>
  <c r="K3022" i="1"/>
  <c r="AC3022" i="1"/>
  <c r="AJ3021" i="1"/>
  <c r="AK3021" i="1"/>
  <c r="AM3021" i="1"/>
  <c r="BF3021" i="1"/>
  <c r="BG3021" i="1"/>
  <c r="T3022" i="1"/>
  <c r="U3022" i="1"/>
  <c r="V3022" i="1"/>
  <c r="W3022" i="1"/>
  <c r="AB3022" i="1"/>
  <c r="AF3022" i="1"/>
  <c r="AC3023" i="1"/>
  <c r="AJ3022" i="1"/>
  <c r="AK3022" i="1"/>
  <c r="AM3022" i="1"/>
  <c r="BF3022" i="1"/>
  <c r="BG3022" i="1"/>
  <c r="T3023" i="1"/>
  <c r="U3023" i="1"/>
  <c r="V3023" i="1"/>
  <c r="W3023" i="1"/>
  <c r="AB3023" i="1"/>
  <c r="AF3023" i="1"/>
  <c r="AC3024" i="1"/>
  <c r="AJ3023" i="1"/>
  <c r="AK3023" i="1"/>
  <c r="AM3023" i="1"/>
  <c r="BF3023" i="1"/>
  <c r="BG3023" i="1"/>
  <c r="T3024" i="1"/>
  <c r="U3024" i="1"/>
  <c r="V3024" i="1"/>
  <c r="W3024" i="1"/>
  <c r="AB3024" i="1"/>
  <c r="AF3024" i="1"/>
  <c r="K3025" i="1"/>
  <c r="AC3025" i="1"/>
  <c r="AJ3024" i="1"/>
  <c r="AK3024" i="1"/>
  <c r="AM3024" i="1"/>
  <c r="BF3024" i="1"/>
  <c r="BG3024" i="1"/>
  <c r="T3025" i="1"/>
  <c r="U3025" i="1"/>
  <c r="V3025" i="1"/>
  <c r="W3025" i="1"/>
  <c r="AB3025" i="1"/>
  <c r="AF3025" i="1"/>
  <c r="K3026" i="1"/>
  <c r="AC3026" i="1"/>
  <c r="AJ3025" i="1"/>
  <c r="AK3025" i="1"/>
  <c r="AM3025" i="1"/>
  <c r="BF3025" i="1"/>
  <c r="BG3025" i="1"/>
  <c r="T3026" i="1"/>
  <c r="U3026" i="1"/>
  <c r="V3026" i="1"/>
  <c r="W3026" i="1"/>
  <c r="AB3026" i="1"/>
  <c r="AF3026" i="1"/>
  <c r="K3027" i="1"/>
  <c r="AC3027" i="1"/>
  <c r="AJ3026" i="1"/>
  <c r="AK3026" i="1"/>
  <c r="AM3026" i="1"/>
  <c r="BF3026" i="1"/>
  <c r="BG3026" i="1"/>
  <c r="T3027" i="1"/>
  <c r="U3027" i="1"/>
  <c r="V3027" i="1"/>
  <c r="W3027" i="1"/>
  <c r="AB3027" i="1"/>
  <c r="AF3027" i="1"/>
  <c r="K3028" i="1"/>
  <c r="AC3028" i="1"/>
  <c r="AJ3027" i="1"/>
  <c r="AK3027" i="1"/>
  <c r="AM3027" i="1"/>
  <c r="BF3027" i="1"/>
  <c r="BG3027" i="1"/>
  <c r="T3028" i="1"/>
  <c r="U3028" i="1"/>
  <c r="V3028" i="1"/>
  <c r="W3028" i="1"/>
  <c r="AB3028" i="1"/>
  <c r="AF3028" i="1"/>
  <c r="AC3029" i="1"/>
  <c r="AJ3028" i="1"/>
  <c r="AK3028" i="1"/>
  <c r="AM3028" i="1"/>
  <c r="BF3028" i="1"/>
  <c r="BG3028" i="1"/>
  <c r="T3029" i="1"/>
  <c r="U3029" i="1"/>
  <c r="V3029" i="1"/>
  <c r="W3029" i="1"/>
  <c r="AB3029" i="1"/>
  <c r="AF3029" i="1"/>
  <c r="AC3030" i="1"/>
  <c r="AJ3029" i="1"/>
  <c r="AK3029" i="1"/>
  <c r="AM3029" i="1"/>
  <c r="BF3029" i="1"/>
  <c r="BG3029" i="1"/>
  <c r="T3030" i="1"/>
  <c r="U3030" i="1"/>
  <c r="V3030" i="1"/>
  <c r="W3030" i="1"/>
  <c r="AB3030" i="1"/>
  <c r="AF3030" i="1"/>
  <c r="AC3031" i="1"/>
  <c r="AJ3030" i="1"/>
  <c r="AK3030" i="1"/>
  <c r="AM3030" i="1"/>
  <c r="BF3030" i="1"/>
  <c r="BG3030" i="1"/>
  <c r="T3031" i="1"/>
  <c r="U3031" i="1"/>
  <c r="V3031" i="1"/>
  <c r="W3031" i="1"/>
  <c r="AB3031" i="1"/>
  <c r="AF3031" i="1"/>
  <c r="K3032" i="1"/>
  <c r="AC3032" i="1"/>
  <c r="AJ3031" i="1"/>
  <c r="AK3031" i="1"/>
  <c r="AM3031" i="1"/>
  <c r="BF3031" i="1"/>
  <c r="BG3031" i="1"/>
  <c r="T3032" i="1"/>
  <c r="U3032" i="1"/>
  <c r="V3032" i="1"/>
  <c r="W3032" i="1"/>
  <c r="AB3032" i="1"/>
  <c r="AF3032" i="1"/>
  <c r="K3033" i="1"/>
  <c r="AC3033" i="1"/>
  <c r="AJ3032" i="1"/>
  <c r="AK3032" i="1"/>
  <c r="AM3032" i="1"/>
  <c r="BF3032" i="1"/>
  <c r="BG3032" i="1"/>
  <c r="T3033" i="1"/>
  <c r="U3033" i="1"/>
  <c r="V3033" i="1"/>
  <c r="W3033" i="1"/>
  <c r="AB3033" i="1"/>
  <c r="AF3033" i="1"/>
  <c r="K3034" i="1"/>
  <c r="AC3034" i="1"/>
  <c r="AJ3033" i="1"/>
  <c r="AK3033" i="1"/>
  <c r="AM3033" i="1"/>
  <c r="BF3033" i="1"/>
  <c r="BG3033" i="1"/>
  <c r="T3034" i="1"/>
  <c r="U3034" i="1"/>
  <c r="V3034" i="1"/>
  <c r="W3034" i="1"/>
  <c r="AB3034" i="1"/>
  <c r="AF3034" i="1"/>
  <c r="K3035" i="1"/>
  <c r="AC3035" i="1"/>
  <c r="AJ3034" i="1"/>
  <c r="AK3034" i="1"/>
  <c r="AM3034" i="1"/>
  <c r="BF3034" i="1"/>
  <c r="BG3034" i="1"/>
  <c r="T3035" i="1"/>
  <c r="U3035" i="1"/>
  <c r="V3035" i="1"/>
  <c r="W3035" i="1"/>
  <c r="AB3035" i="1"/>
  <c r="AF3035" i="1"/>
  <c r="AC3036" i="1"/>
  <c r="AJ3035" i="1"/>
  <c r="AK3035" i="1"/>
  <c r="AM3035" i="1"/>
  <c r="BF3035" i="1"/>
  <c r="BG3035" i="1"/>
  <c r="T3036" i="1"/>
  <c r="U3036" i="1"/>
  <c r="V3036" i="1"/>
  <c r="W3036" i="1"/>
  <c r="AB3036" i="1"/>
  <c r="AF3036" i="1"/>
  <c r="AC3037" i="1"/>
  <c r="AJ3036" i="1"/>
  <c r="AK3036" i="1"/>
  <c r="AM3036" i="1"/>
  <c r="BF3036" i="1"/>
  <c r="BG3036" i="1"/>
  <c r="T3037" i="1"/>
  <c r="U3037" i="1"/>
  <c r="V3037" i="1"/>
  <c r="W3037" i="1"/>
  <c r="AB3037" i="1"/>
  <c r="AF3037" i="1"/>
  <c r="K3038" i="1"/>
  <c r="AC3038" i="1"/>
  <c r="AJ3037" i="1"/>
  <c r="AK3037" i="1"/>
  <c r="AM3037" i="1"/>
  <c r="BF3037" i="1"/>
  <c r="BG3037" i="1"/>
  <c r="T3038" i="1"/>
  <c r="U3038" i="1"/>
  <c r="V3038" i="1"/>
  <c r="W3038" i="1"/>
  <c r="AB3038" i="1"/>
  <c r="AF3038" i="1"/>
  <c r="AC3039" i="1"/>
  <c r="AJ3038" i="1"/>
  <c r="AK3038" i="1"/>
  <c r="AM3038" i="1"/>
  <c r="BF3038" i="1"/>
  <c r="BG3038" i="1"/>
  <c r="T3039" i="1"/>
  <c r="U3039" i="1"/>
  <c r="V3039" i="1"/>
  <c r="W3039" i="1"/>
  <c r="AB3039" i="1"/>
  <c r="AF3039" i="1"/>
  <c r="AC3040" i="1"/>
  <c r="AJ3039" i="1"/>
  <c r="AK3039" i="1"/>
  <c r="AM3039" i="1"/>
  <c r="BF3039" i="1"/>
  <c r="BG3039" i="1"/>
  <c r="T3040" i="1"/>
  <c r="U3040" i="1"/>
  <c r="V3040" i="1"/>
  <c r="W3040" i="1"/>
  <c r="AB3040" i="1"/>
  <c r="AF3040" i="1"/>
  <c r="AC3041" i="1"/>
  <c r="AJ3040" i="1"/>
  <c r="AK3040" i="1"/>
  <c r="AM3040" i="1"/>
  <c r="BF3040" i="1"/>
  <c r="BG3040" i="1"/>
  <c r="T3041" i="1"/>
  <c r="U3041" i="1"/>
  <c r="V3041" i="1"/>
  <c r="W3041" i="1"/>
  <c r="AB3041" i="1"/>
  <c r="AF3041" i="1"/>
  <c r="K3042" i="1"/>
  <c r="AC3042" i="1"/>
  <c r="AJ3041" i="1"/>
  <c r="AK3041" i="1"/>
  <c r="AM3041" i="1"/>
  <c r="BF3041" i="1"/>
  <c r="BG3041" i="1"/>
  <c r="T3042" i="1"/>
  <c r="U3042" i="1"/>
  <c r="V3042" i="1"/>
  <c r="W3042" i="1"/>
  <c r="AB3042" i="1"/>
  <c r="AF3042" i="1"/>
  <c r="K3043" i="1"/>
  <c r="AC3043" i="1"/>
  <c r="AJ3042" i="1"/>
  <c r="AK3042" i="1"/>
  <c r="AM3042" i="1"/>
  <c r="BF3042" i="1"/>
  <c r="BG3042" i="1"/>
  <c r="T3043" i="1"/>
  <c r="U3043" i="1"/>
  <c r="V3043" i="1"/>
  <c r="W3043" i="1"/>
  <c r="AB3043" i="1"/>
  <c r="AF3043" i="1"/>
  <c r="K3044" i="1"/>
  <c r="AC3044" i="1"/>
  <c r="AJ3043" i="1"/>
  <c r="AK3043" i="1"/>
  <c r="AM3043" i="1"/>
  <c r="BF3043" i="1"/>
  <c r="BG3043" i="1"/>
  <c r="T3044" i="1"/>
  <c r="U3044" i="1"/>
  <c r="V3044" i="1"/>
  <c r="W3044" i="1"/>
  <c r="AB3044" i="1"/>
  <c r="AF3044" i="1"/>
  <c r="AC3045" i="1"/>
  <c r="AJ3044" i="1"/>
  <c r="AK3044" i="1"/>
  <c r="AM3044" i="1"/>
  <c r="BF3044" i="1"/>
  <c r="BG3044" i="1"/>
  <c r="T3045" i="1"/>
  <c r="U3045" i="1"/>
  <c r="V3045" i="1"/>
  <c r="W3045" i="1"/>
  <c r="AB3045" i="1"/>
  <c r="AF3045" i="1"/>
  <c r="AC3046" i="1"/>
  <c r="AJ3045" i="1"/>
  <c r="AK3045" i="1"/>
  <c r="AM3045" i="1"/>
  <c r="BF3045" i="1"/>
  <c r="BG3045" i="1"/>
  <c r="T3046" i="1"/>
  <c r="U3046" i="1"/>
  <c r="V3046" i="1"/>
  <c r="W3046" i="1"/>
  <c r="AB3046" i="1"/>
  <c r="AF3046" i="1"/>
  <c r="K3047" i="1"/>
  <c r="AC3047" i="1"/>
  <c r="AJ3046" i="1"/>
  <c r="AK3046" i="1"/>
  <c r="AM3046" i="1"/>
  <c r="BF3046" i="1"/>
  <c r="BG3046" i="1"/>
  <c r="T3047" i="1"/>
  <c r="U3047" i="1"/>
  <c r="V3047" i="1"/>
  <c r="W3047" i="1"/>
  <c r="AB3047" i="1"/>
  <c r="AF3047" i="1"/>
  <c r="AC3048" i="1"/>
  <c r="AJ3047" i="1"/>
  <c r="AK3047" i="1"/>
  <c r="AM3047" i="1"/>
  <c r="BF3047" i="1"/>
  <c r="BG3047" i="1"/>
  <c r="T3048" i="1"/>
  <c r="U3048" i="1"/>
  <c r="V3048" i="1"/>
  <c r="W3048" i="1"/>
  <c r="AB3048" i="1"/>
  <c r="AF3048" i="1"/>
  <c r="AC3049" i="1"/>
  <c r="AJ3048" i="1"/>
  <c r="AK3048" i="1"/>
  <c r="AM3048" i="1"/>
  <c r="BF3048" i="1"/>
  <c r="BG3048" i="1"/>
  <c r="T3049" i="1"/>
  <c r="U3049" i="1"/>
  <c r="V3049" i="1"/>
  <c r="W3049" i="1"/>
  <c r="AB3049" i="1"/>
  <c r="AF3049" i="1"/>
  <c r="K3050" i="1"/>
  <c r="AC3050" i="1"/>
  <c r="AJ3049" i="1"/>
  <c r="AK3049" i="1"/>
  <c r="AM3049" i="1"/>
  <c r="BF3049" i="1"/>
  <c r="BG3049" i="1"/>
  <c r="T3050" i="1"/>
  <c r="U3050" i="1"/>
  <c r="V3050" i="1"/>
  <c r="W3050" i="1"/>
  <c r="AB3050" i="1"/>
  <c r="AF3050" i="1"/>
  <c r="AC3051" i="1"/>
  <c r="AJ3050" i="1"/>
  <c r="AK3050" i="1"/>
  <c r="AM3050" i="1"/>
  <c r="BF3050" i="1"/>
  <c r="BG3050" i="1"/>
  <c r="T3051" i="1"/>
  <c r="U3051" i="1"/>
  <c r="V3051" i="1"/>
  <c r="W3051" i="1"/>
  <c r="AB3051" i="1"/>
  <c r="AF3051" i="1"/>
  <c r="AC3052" i="1"/>
  <c r="AJ3051" i="1"/>
  <c r="AK3051" i="1"/>
  <c r="AM3051" i="1"/>
  <c r="BF3051" i="1"/>
  <c r="BG3051" i="1"/>
  <c r="T3052" i="1"/>
  <c r="U3052" i="1"/>
  <c r="V3052" i="1"/>
  <c r="W3052" i="1"/>
  <c r="AB3052" i="1"/>
  <c r="AF3052" i="1"/>
  <c r="K3053" i="1"/>
  <c r="AC3053" i="1"/>
  <c r="AJ3052" i="1"/>
  <c r="AK3052" i="1"/>
  <c r="AM3052" i="1"/>
  <c r="BF3052" i="1"/>
  <c r="BG3052" i="1"/>
  <c r="T3053" i="1"/>
  <c r="U3053" i="1"/>
  <c r="V3053" i="1"/>
  <c r="W3053" i="1"/>
  <c r="AB3053" i="1"/>
  <c r="AF3053" i="1"/>
  <c r="AC3054" i="1"/>
  <c r="AJ3053" i="1"/>
  <c r="AK3053" i="1"/>
  <c r="AM3053" i="1"/>
  <c r="BF3053" i="1"/>
  <c r="BG3053" i="1"/>
  <c r="T3054" i="1"/>
  <c r="U3054" i="1"/>
  <c r="V3054" i="1"/>
  <c r="W3054" i="1"/>
  <c r="AB3054" i="1"/>
  <c r="AF3054" i="1"/>
  <c r="AC3055" i="1"/>
  <c r="AJ3054" i="1"/>
  <c r="AK3054" i="1"/>
  <c r="AM3054" i="1"/>
  <c r="BF3054" i="1"/>
  <c r="BG3054" i="1"/>
  <c r="T3055" i="1"/>
  <c r="U3055" i="1"/>
  <c r="V3055" i="1"/>
  <c r="W3055" i="1"/>
  <c r="AB3055" i="1"/>
  <c r="AF3055" i="1"/>
  <c r="K3056" i="1"/>
  <c r="AC3056" i="1"/>
  <c r="AJ3055" i="1"/>
  <c r="AK3055" i="1"/>
  <c r="AM3055" i="1"/>
  <c r="BF3055" i="1"/>
  <c r="BG3055" i="1"/>
  <c r="T3056" i="1"/>
  <c r="U3056" i="1"/>
  <c r="V3056" i="1"/>
  <c r="W3056" i="1"/>
  <c r="AB3056" i="1"/>
  <c r="AF3056" i="1"/>
  <c r="AC3057" i="1"/>
  <c r="AJ3056" i="1"/>
  <c r="AK3056" i="1"/>
  <c r="AM3056" i="1"/>
  <c r="BF3056" i="1"/>
  <c r="BG3056" i="1"/>
  <c r="T3057" i="1"/>
  <c r="U3057" i="1"/>
  <c r="V3057" i="1"/>
  <c r="W3057" i="1"/>
  <c r="AB3057" i="1"/>
  <c r="AF3057" i="1"/>
  <c r="AC3058" i="1"/>
  <c r="AJ3057" i="1"/>
  <c r="AK3057" i="1"/>
  <c r="AM3057" i="1"/>
  <c r="BF3057" i="1"/>
  <c r="BG3057" i="1"/>
  <c r="T3058" i="1"/>
  <c r="U3058" i="1"/>
  <c r="V3058" i="1"/>
  <c r="W3058" i="1"/>
  <c r="AB3058" i="1"/>
  <c r="AF3058" i="1"/>
  <c r="K3059" i="1"/>
  <c r="AC3059" i="1"/>
  <c r="AJ3058" i="1"/>
  <c r="AK3058" i="1"/>
  <c r="AM3058" i="1"/>
  <c r="BF3058" i="1"/>
  <c r="BG3058" i="1"/>
  <c r="T3059" i="1"/>
  <c r="U3059" i="1"/>
  <c r="V3059" i="1"/>
  <c r="W3059" i="1"/>
  <c r="AB3059" i="1"/>
  <c r="AF3059" i="1"/>
  <c r="AC3060" i="1"/>
  <c r="AJ3059" i="1"/>
  <c r="AK3059" i="1"/>
  <c r="AM3059" i="1"/>
  <c r="BF3059" i="1"/>
  <c r="BG3059" i="1"/>
  <c r="T3060" i="1"/>
  <c r="U3060" i="1"/>
  <c r="V3060" i="1"/>
  <c r="W3060" i="1"/>
  <c r="AB3060" i="1"/>
  <c r="AF3060" i="1"/>
  <c r="AC3061" i="1"/>
  <c r="AJ3060" i="1"/>
  <c r="AK3060" i="1"/>
  <c r="AM3060" i="1"/>
  <c r="BF3060" i="1"/>
  <c r="BG3060" i="1"/>
  <c r="T3061" i="1"/>
  <c r="U3061" i="1"/>
  <c r="V3061" i="1"/>
  <c r="W3061" i="1"/>
  <c r="AB3061" i="1"/>
  <c r="AF3061" i="1"/>
  <c r="K3062" i="1"/>
  <c r="AC3062" i="1"/>
  <c r="AJ3061" i="1"/>
  <c r="AK3061" i="1"/>
  <c r="AM3061" i="1"/>
  <c r="BF3061" i="1"/>
  <c r="BG3061" i="1"/>
  <c r="T3062" i="1"/>
  <c r="U3062" i="1"/>
  <c r="V3062" i="1"/>
  <c r="W3062" i="1"/>
  <c r="AB3062" i="1"/>
  <c r="AF3062" i="1"/>
  <c r="AC3063" i="1"/>
  <c r="AJ3062" i="1"/>
  <c r="AK3062" i="1"/>
  <c r="AM3062" i="1"/>
  <c r="BF3062" i="1"/>
  <c r="BG3062" i="1"/>
  <c r="T3063" i="1"/>
  <c r="U3063" i="1"/>
  <c r="V3063" i="1"/>
  <c r="W3063" i="1"/>
  <c r="AB3063" i="1"/>
  <c r="AF3063" i="1"/>
  <c r="AC3064" i="1"/>
  <c r="AJ3063" i="1"/>
  <c r="AK3063" i="1"/>
  <c r="AM3063" i="1"/>
  <c r="BF3063" i="1"/>
  <c r="BG3063" i="1"/>
  <c r="T3064" i="1"/>
  <c r="U3064" i="1"/>
  <c r="V3064" i="1"/>
  <c r="W3064" i="1"/>
  <c r="AB3064" i="1"/>
  <c r="AF3064" i="1"/>
  <c r="K3065" i="1"/>
  <c r="AC3065" i="1"/>
  <c r="AJ3064" i="1"/>
  <c r="AK3064" i="1"/>
  <c r="AM3064" i="1"/>
  <c r="BF3064" i="1"/>
  <c r="BG3064" i="1"/>
  <c r="T3065" i="1"/>
  <c r="U3065" i="1"/>
  <c r="V3065" i="1"/>
  <c r="W3065" i="1"/>
  <c r="AB3065" i="1"/>
  <c r="AF3065" i="1"/>
  <c r="K3066" i="1"/>
  <c r="AC3066" i="1"/>
  <c r="AJ3065" i="1"/>
  <c r="AK3065" i="1"/>
  <c r="AM3065" i="1"/>
  <c r="BF3065" i="1"/>
  <c r="BG3065" i="1"/>
  <c r="T3066" i="1"/>
  <c r="U3066" i="1"/>
  <c r="V3066" i="1"/>
  <c r="W3066" i="1"/>
  <c r="AB3066" i="1"/>
  <c r="AF3066" i="1"/>
  <c r="AC3067" i="1"/>
  <c r="AJ3066" i="1"/>
  <c r="AK3066" i="1"/>
  <c r="AM3066" i="1"/>
  <c r="BF3066" i="1"/>
  <c r="BG3066" i="1"/>
  <c r="T3067" i="1"/>
  <c r="U3067" i="1"/>
  <c r="V3067" i="1"/>
  <c r="W3067" i="1"/>
  <c r="AB3067" i="1"/>
  <c r="AF3067" i="1"/>
  <c r="AC3068" i="1"/>
  <c r="AJ3067" i="1"/>
  <c r="AK3067" i="1"/>
  <c r="AM3067" i="1"/>
  <c r="BF3067" i="1"/>
  <c r="BG3067" i="1"/>
  <c r="T3068" i="1"/>
  <c r="U3068" i="1"/>
  <c r="V3068" i="1"/>
  <c r="W3068" i="1"/>
  <c r="AB3068" i="1"/>
  <c r="AF3068" i="1"/>
  <c r="K3069" i="1"/>
  <c r="AC3069" i="1"/>
  <c r="AJ3068" i="1"/>
  <c r="AK3068" i="1"/>
  <c r="AM3068" i="1"/>
  <c r="BF3068" i="1"/>
  <c r="BG3068" i="1"/>
  <c r="T3069" i="1"/>
  <c r="U3069" i="1"/>
  <c r="V3069" i="1"/>
  <c r="W3069" i="1"/>
  <c r="AB3069" i="1"/>
  <c r="AF3069" i="1"/>
  <c r="K3070" i="1"/>
  <c r="AC3070" i="1"/>
  <c r="AJ3069" i="1"/>
  <c r="AK3069" i="1"/>
  <c r="AM3069" i="1"/>
  <c r="BF3069" i="1"/>
  <c r="BG3069" i="1"/>
  <c r="T3070" i="1"/>
  <c r="U3070" i="1"/>
  <c r="V3070" i="1"/>
  <c r="W3070" i="1"/>
  <c r="AB3070" i="1"/>
  <c r="AF3070" i="1"/>
  <c r="K3071" i="1"/>
  <c r="AC3071" i="1"/>
  <c r="AJ3070" i="1"/>
  <c r="AK3070" i="1"/>
  <c r="AM3070" i="1"/>
  <c r="BF3070" i="1"/>
  <c r="BG3070" i="1"/>
  <c r="T3071" i="1"/>
  <c r="U3071" i="1"/>
  <c r="V3071" i="1"/>
  <c r="W3071" i="1"/>
  <c r="AB3071" i="1"/>
  <c r="AF3071" i="1"/>
  <c r="AC3072" i="1"/>
  <c r="AJ3071" i="1"/>
  <c r="AK3071" i="1"/>
  <c r="AM3071" i="1"/>
  <c r="BF3071" i="1"/>
  <c r="BG3071" i="1"/>
  <c r="T3072" i="1"/>
  <c r="U3072" i="1"/>
  <c r="V3072" i="1"/>
  <c r="W3072" i="1"/>
  <c r="AB3072" i="1"/>
  <c r="AF3072" i="1"/>
  <c r="AC3073" i="1"/>
  <c r="AJ3072" i="1"/>
  <c r="AK3072" i="1"/>
  <c r="AM3072" i="1"/>
  <c r="BF3072" i="1"/>
  <c r="BG3072" i="1"/>
  <c r="T3073" i="1"/>
  <c r="U3073" i="1"/>
  <c r="V3073" i="1"/>
  <c r="W3073" i="1"/>
  <c r="AB3073" i="1"/>
  <c r="AF3073" i="1"/>
  <c r="K3074" i="1"/>
  <c r="AC3074" i="1"/>
  <c r="AJ3073" i="1"/>
  <c r="AK3073" i="1"/>
  <c r="AM3073" i="1"/>
  <c r="BF3073" i="1"/>
  <c r="BG3073" i="1"/>
  <c r="T3074" i="1"/>
  <c r="U3074" i="1"/>
  <c r="V3074" i="1"/>
  <c r="W3074" i="1"/>
  <c r="AB3074" i="1"/>
  <c r="AF3074" i="1"/>
  <c r="K3075" i="1"/>
  <c r="AC3075" i="1"/>
  <c r="AJ3074" i="1"/>
  <c r="AK3074" i="1"/>
  <c r="AM3074" i="1"/>
  <c r="BF3074" i="1"/>
  <c r="BG3074" i="1"/>
  <c r="T3075" i="1"/>
  <c r="U3075" i="1"/>
  <c r="V3075" i="1"/>
  <c r="W3075" i="1"/>
  <c r="AB3075" i="1"/>
  <c r="AF3075" i="1"/>
  <c r="K3076" i="1"/>
  <c r="AC3076" i="1"/>
  <c r="AJ3075" i="1"/>
  <c r="AK3075" i="1"/>
  <c r="AM3075" i="1"/>
  <c r="BF3075" i="1"/>
  <c r="BG3075" i="1"/>
  <c r="T3076" i="1"/>
  <c r="U3076" i="1"/>
  <c r="V3076" i="1"/>
  <c r="W3076" i="1"/>
  <c r="AB3076" i="1"/>
  <c r="AF3076" i="1"/>
  <c r="K3077" i="1"/>
  <c r="AC3077" i="1"/>
  <c r="AJ3076" i="1"/>
  <c r="AK3076" i="1"/>
  <c r="AM3076" i="1"/>
  <c r="BF3076" i="1"/>
  <c r="BG3076" i="1"/>
  <c r="T3077" i="1"/>
  <c r="U3077" i="1"/>
  <c r="V3077" i="1"/>
  <c r="W3077" i="1"/>
  <c r="AB3077" i="1"/>
  <c r="AF3077" i="1"/>
  <c r="AC3078" i="1"/>
  <c r="AJ3077" i="1"/>
  <c r="AK3077" i="1"/>
  <c r="AM3077" i="1"/>
  <c r="BF3077" i="1"/>
  <c r="BG3077" i="1"/>
  <c r="T3078" i="1"/>
  <c r="U3078" i="1"/>
  <c r="V3078" i="1"/>
  <c r="W3078" i="1"/>
  <c r="AB3078" i="1"/>
  <c r="AF3078" i="1"/>
  <c r="AC3079" i="1"/>
  <c r="AJ3078" i="1"/>
  <c r="AK3078" i="1"/>
  <c r="AM3078" i="1"/>
  <c r="BF3078" i="1"/>
  <c r="BG3078" i="1"/>
  <c r="T3079" i="1"/>
  <c r="U3079" i="1"/>
  <c r="V3079" i="1"/>
  <c r="W3079" i="1"/>
  <c r="AB3079" i="1"/>
  <c r="AF3079" i="1"/>
  <c r="K3080" i="1"/>
  <c r="AC3080" i="1"/>
  <c r="AJ3079" i="1"/>
  <c r="AK3079" i="1"/>
  <c r="AM3079" i="1"/>
  <c r="BF3079" i="1"/>
  <c r="BG3079" i="1"/>
  <c r="T3080" i="1"/>
  <c r="U3080" i="1"/>
  <c r="V3080" i="1"/>
  <c r="W3080" i="1"/>
  <c r="AB3080" i="1"/>
  <c r="AF3080" i="1"/>
  <c r="AC3081" i="1"/>
  <c r="AJ3080" i="1"/>
  <c r="AK3080" i="1"/>
  <c r="AM3080" i="1"/>
  <c r="BF3080" i="1"/>
  <c r="BG3080" i="1"/>
  <c r="T3081" i="1"/>
  <c r="U3081" i="1"/>
  <c r="V3081" i="1"/>
  <c r="W3081" i="1"/>
  <c r="AB3081" i="1"/>
  <c r="AF3081" i="1"/>
  <c r="AC3082" i="1"/>
  <c r="AJ3081" i="1"/>
  <c r="AK3081" i="1"/>
  <c r="AM3081" i="1"/>
  <c r="BF3081" i="1"/>
  <c r="BG3081" i="1"/>
  <c r="T3082" i="1"/>
  <c r="U3082" i="1"/>
  <c r="V3082" i="1"/>
  <c r="W3082" i="1"/>
  <c r="AB3082" i="1"/>
  <c r="AF3082" i="1"/>
  <c r="K3083" i="1"/>
  <c r="AC3083" i="1"/>
  <c r="AJ3082" i="1"/>
  <c r="AK3082" i="1"/>
  <c r="AM3082" i="1"/>
  <c r="BF3082" i="1"/>
  <c r="BG3082" i="1"/>
  <c r="T3083" i="1"/>
  <c r="U3083" i="1"/>
  <c r="V3083" i="1"/>
  <c r="W3083" i="1"/>
  <c r="AB3083" i="1"/>
  <c r="AF3083" i="1"/>
  <c r="K3084" i="1"/>
  <c r="AC3084" i="1"/>
  <c r="AJ3083" i="1"/>
  <c r="AK3083" i="1"/>
  <c r="AM3083" i="1"/>
  <c r="BF3083" i="1"/>
  <c r="BG3083" i="1"/>
  <c r="T3084" i="1"/>
  <c r="U3084" i="1"/>
  <c r="V3084" i="1"/>
  <c r="W3084" i="1"/>
  <c r="AB3084" i="1"/>
  <c r="AF3084" i="1"/>
  <c r="K3085" i="1"/>
  <c r="AC3085" i="1"/>
  <c r="AJ3084" i="1"/>
  <c r="AK3084" i="1"/>
  <c r="AM3084" i="1"/>
  <c r="BF3084" i="1"/>
  <c r="BG3084" i="1"/>
  <c r="T3085" i="1"/>
  <c r="U3085" i="1"/>
  <c r="V3085" i="1"/>
  <c r="W3085" i="1"/>
  <c r="AB3085" i="1"/>
  <c r="AF3085" i="1"/>
  <c r="K3086" i="1"/>
  <c r="AC3086" i="1"/>
  <c r="AJ3085" i="1"/>
  <c r="AK3085" i="1"/>
  <c r="AM3085" i="1"/>
  <c r="BF3085" i="1"/>
  <c r="BG3085" i="1"/>
  <c r="T3086" i="1"/>
  <c r="U3086" i="1"/>
  <c r="V3086" i="1"/>
  <c r="W3086" i="1"/>
  <c r="AB3086" i="1"/>
  <c r="AF3086" i="1"/>
  <c r="AC3087" i="1"/>
  <c r="AJ3086" i="1"/>
  <c r="AK3086" i="1"/>
  <c r="AM3086" i="1"/>
  <c r="BF3086" i="1"/>
  <c r="BG3086" i="1"/>
  <c r="T3087" i="1"/>
  <c r="U3087" i="1"/>
  <c r="V3087" i="1"/>
  <c r="W3087" i="1"/>
  <c r="AB3087" i="1"/>
  <c r="AF3087" i="1"/>
  <c r="AC3088" i="1"/>
  <c r="AJ3087" i="1"/>
  <c r="AK3087" i="1"/>
  <c r="AM3087" i="1"/>
  <c r="BF3087" i="1"/>
  <c r="BG3087" i="1"/>
  <c r="T3088" i="1"/>
  <c r="U3088" i="1"/>
  <c r="V3088" i="1"/>
  <c r="W3088" i="1"/>
  <c r="AB3088" i="1"/>
  <c r="AF3088" i="1"/>
  <c r="K3089" i="1"/>
  <c r="AC3089" i="1"/>
  <c r="AJ3088" i="1"/>
  <c r="AK3088" i="1"/>
  <c r="AM3088" i="1"/>
  <c r="BF3088" i="1"/>
  <c r="BG3088" i="1"/>
  <c r="T3089" i="1"/>
  <c r="U3089" i="1"/>
  <c r="V3089" i="1"/>
  <c r="W3089" i="1"/>
  <c r="AB3089" i="1"/>
  <c r="AF3089" i="1"/>
  <c r="K3090" i="1"/>
  <c r="AC3090" i="1"/>
  <c r="AJ3089" i="1"/>
  <c r="AK3089" i="1"/>
  <c r="AM3089" i="1"/>
  <c r="BF3089" i="1"/>
  <c r="BG3089" i="1"/>
  <c r="T3090" i="1"/>
  <c r="U3090" i="1"/>
  <c r="V3090" i="1"/>
  <c r="W3090" i="1"/>
  <c r="AB3090" i="1"/>
  <c r="AF3090" i="1"/>
  <c r="AC3091" i="1"/>
  <c r="AJ3090" i="1"/>
  <c r="AK3090" i="1"/>
  <c r="AM3090" i="1"/>
  <c r="BF3090" i="1"/>
  <c r="BG3090" i="1"/>
  <c r="T3091" i="1"/>
  <c r="U3091" i="1"/>
  <c r="V3091" i="1"/>
  <c r="W3091" i="1"/>
  <c r="AB3091" i="1"/>
  <c r="AF3091" i="1"/>
  <c r="AC3092" i="1"/>
  <c r="AJ3091" i="1"/>
  <c r="AK3091" i="1"/>
  <c r="AM3091" i="1"/>
  <c r="BF3091" i="1"/>
  <c r="BG3091" i="1"/>
  <c r="T3092" i="1"/>
  <c r="U3092" i="1"/>
  <c r="V3092" i="1"/>
  <c r="W3092" i="1"/>
  <c r="AB3092" i="1"/>
  <c r="AF3092" i="1"/>
  <c r="K3093" i="1"/>
  <c r="AC3093" i="1"/>
  <c r="AJ3092" i="1"/>
  <c r="AK3092" i="1"/>
  <c r="AM3092" i="1"/>
  <c r="BF3092" i="1"/>
  <c r="BG3092" i="1"/>
  <c r="T3093" i="1"/>
  <c r="U3093" i="1"/>
  <c r="V3093" i="1"/>
  <c r="W3093" i="1"/>
  <c r="AB3093" i="1"/>
  <c r="AF3093" i="1"/>
  <c r="AC3094" i="1"/>
  <c r="AJ3093" i="1"/>
  <c r="AK3093" i="1"/>
  <c r="AM3093" i="1"/>
  <c r="BF3093" i="1"/>
  <c r="BG3093" i="1"/>
  <c r="T3094" i="1"/>
  <c r="U3094" i="1"/>
  <c r="V3094" i="1"/>
  <c r="W3094" i="1"/>
  <c r="AB3094" i="1"/>
  <c r="AF3094" i="1"/>
  <c r="AC3095" i="1"/>
  <c r="AJ3094" i="1"/>
  <c r="AK3094" i="1"/>
  <c r="AM3094" i="1"/>
  <c r="BF3094" i="1"/>
  <c r="BG3094" i="1"/>
  <c r="T3095" i="1"/>
  <c r="U3095" i="1"/>
  <c r="V3095" i="1"/>
  <c r="W3095" i="1"/>
  <c r="AB3095" i="1"/>
  <c r="AF3095" i="1"/>
  <c r="K3096" i="1"/>
  <c r="AC3096" i="1"/>
  <c r="AJ3095" i="1"/>
  <c r="AK3095" i="1"/>
  <c r="AM3095" i="1"/>
  <c r="BF3095" i="1"/>
  <c r="BG3095" i="1"/>
  <c r="T3096" i="1"/>
  <c r="U3096" i="1"/>
  <c r="V3096" i="1"/>
  <c r="W3096" i="1"/>
  <c r="AB3096" i="1"/>
  <c r="AF3096" i="1"/>
  <c r="AC3097" i="1"/>
  <c r="AJ3096" i="1"/>
  <c r="AK3096" i="1"/>
  <c r="AM3096" i="1"/>
  <c r="BF3096" i="1"/>
  <c r="BG3096" i="1"/>
  <c r="T3097" i="1"/>
  <c r="U3097" i="1"/>
  <c r="V3097" i="1"/>
  <c r="W3097" i="1"/>
  <c r="AB3097" i="1"/>
  <c r="AF3097" i="1"/>
  <c r="AC3098" i="1"/>
  <c r="AJ3097" i="1"/>
  <c r="AK3097" i="1"/>
  <c r="AM3097" i="1"/>
  <c r="BF3097" i="1"/>
  <c r="BG3097" i="1"/>
  <c r="T3098" i="1"/>
  <c r="U3098" i="1"/>
  <c r="V3098" i="1"/>
  <c r="W3098" i="1"/>
  <c r="AB3098" i="1"/>
  <c r="AF3098" i="1"/>
  <c r="K3099" i="1"/>
  <c r="AC3099" i="1"/>
  <c r="AJ3098" i="1"/>
  <c r="AK3098" i="1"/>
  <c r="AM3098" i="1"/>
  <c r="BF3098" i="1"/>
  <c r="BG3098" i="1"/>
  <c r="T3099" i="1"/>
  <c r="U3099" i="1"/>
  <c r="V3099" i="1"/>
  <c r="W3099" i="1"/>
  <c r="AB3099" i="1"/>
  <c r="AF3099" i="1"/>
  <c r="K3100" i="1"/>
  <c r="AC3100" i="1"/>
  <c r="AJ3099" i="1"/>
  <c r="AK3099" i="1"/>
  <c r="AM3099" i="1"/>
  <c r="BF3099" i="1"/>
  <c r="BG3099" i="1"/>
  <c r="T3100" i="1"/>
  <c r="U3100" i="1"/>
  <c r="V3100" i="1"/>
  <c r="W3100" i="1"/>
  <c r="AB3100" i="1"/>
  <c r="AF3100" i="1"/>
  <c r="K3101" i="1"/>
  <c r="AC3101" i="1"/>
  <c r="AJ3100" i="1"/>
  <c r="AK3100" i="1"/>
  <c r="AM3100" i="1"/>
  <c r="BF3100" i="1"/>
  <c r="BG3100" i="1"/>
  <c r="T3101" i="1"/>
  <c r="U3101" i="1"/>
  <c r="V3101" i="1"/>
  <c r="W3101" i="1"/>
  <c r="AB3101" i="1"/>
  <c r="AF3101" i="1"/>
  <c r="AC3102" i="1"/>
  <c r="AJ3101" i="1"/>
  <c r="AK3101" i="1"/>
  <c r="AM3101" i="1"/>
  <c r="BF3101" i="1"/>
  <c r="BG3101" i="1"/>
  <c r="T3102" i="1"/>
  <c r="U3102" i="1"/>
  <c r="V3102" i="1"/>
  <c r="W3102" i="1"/>
  <c r="AB3102" i="1"/>
  <c r="AF3102" i="1"/>
  <c r="AC3103" i="1"/>
  <c r="AJ3102" i="1"/>
  <c r="AK3102" i="1"/>
  <c r="AM3102" i="1"/>
  <c r="BF3102" i="1"/>
  <c r="BG3102" i="1"/>
  <c r="T3103" i="1"/>
  <c r="U3103" i="1"/>
  <c r="V3103" i="1"/>
  <c r="W3103" i="1"/>
  <c r="AB3103" i="1"/>
  <c r="AF3103" i="1"/>
  <c r="K3104" i="1"/>
  <c r="AC3104" i="1"/>
  <c r="AJ3103" i="1"/>
  <c r="AK3103" i="1"/>
  <c r="AM3103" i="1"/>
  <c r="BF3103" i="1"/>
  <c r="BG3103" i="1"/>
  <c r="T3104" i="1"/>
  <c r="U3104" i="1"/>
  <c r="V3104" i="1"/>
  <c r="W3104" i="1"/>
  <c r="AB3104" i="1"/>
  <c r="AF3104" i="1"/>
  <c r="AC3105" i="1"/>
  <c r="AJ3104" i="1"/>
  <c r="AK3104" i="1"/>
  <c r="AM3104" i="1"/>
  <c r="BF3104" i="1"/>
  <c r="BG3104" i="1"/>
  <c r="T3105" i="1"/>
  <c r="U3105" i="1"/>
  <c r="V3105" i="1"/>
  <c r="W3105" i="1"/>
  <c r="AB3105" i="1"/>
  <c r="AF3105" i="1"/>
  <c r="AC3106" i="1"/>
  <c r="AJ3105" i="1"/>
  <c r="AK3105" i="1"/>
  <c r="AM3105" i="1"/>
  <c r="BF3105" i="1"/>
  <c r="BG3105" i="1"/>
  <c r="T3106" i="1"/>
  <c r="U3106" i="1"/>
  <c r="V3106" i="1"/>
  <c r="W3106" i="1"/>
  <c r="AB3106" i="1"/>
  <c r="AF3106" i="1"/>
  <c r="K3107" i="1"/>
  <c r="AC3107" i="1"/>
  <c r="AJ3106" i="1"/>
  <c r="AK3106" i="1"/>
  <c r="AM3106" i="1"/>
  <c r="BF3106" i="1"/>
  <c r="BG3106" i="1"/>
  <c r="T3107" i="1"/>
  <c r="U3107" i="1"/>
  <c r="V3107" i="1"/>
  <c r="W3107" i="1"/>
  <c r="AB3107" i="1"/>
  <c r="AF3107" i="1"/>
  <c r="AC3108" i="1"/>
  <c r="AJ3107" i="1"/>
  <c r="AK3107" i="1"/>
  <c r="AM3107" i="1"/>
  <c r="BF3107" i="1"/>
  <c r="BG3107" i="1"/>
  <c r="T3108" i="1"/>
  <c r="U3108" i="1"/>
  <c r="V3108" i="1"/>
  <c r="W3108" i="1"/>
  <c r="AB3108" i="1"/>
  <c r="AF3108" i="1"/>
  <c r="AC3109" i="1"/>
  <c r="AJ3108" i="1"/>
  <c r="AK3108" i="1"/>
  <c r="AM3108" i="1"/>
  <c r="BF3108" i="1"/>
  <c r="BG3108" i="1"/>
  <c r="T3109" i="1"/>
  <c r="U3109" i="1"/>
  <c r="V3109" i="1"/>
  <c r="W3109" i="1"/>
  <c r="AB3109" i="1"/>
  <c r="AF3109" i="1"/>
  <c r="K3110" i="1"/>
  <c r="AC3110" i="1"/>
  <c r="AJ3109" i="1"/>
  <c r="AK3109" i="1"/>
  <c r="AM3109" i="1"/>
  <c r="BF3109" i="1"/>
  <c r="BG3109" i="1"/>
  <c r="T3110" i="1"/>
  <c r="U3110" i="1"/>
  <c r="V3110" i="1"/>
  <c r="W3110" i="1"/>
  <c r="AB3110" i="1"/>
  <c r="AF3110" i="1"/>
  <c r="AC3111" i="1"/>
  <c r="AJ3110" i="1"/>
  <c r="AK3110" i="1"/>
  <c r="AM3110" i="1"/>
  <c r="BF3110" i="1"/>
  <c r="BG3110" i="1"/>
  <c r="T3111" i="1"/>
  <c r="U3111" i="1"/>
  <c r="V3111" i="1"/>
  <c r="W3111" i="1"/>
  <c r="AB3111" i="1"/>
  <c r="AF3111" i="1"/>
  <c r="AC3112" i="1"/>
  <c r="AJ3111" i="1"/>
  <c r="AK3111" i="1"/>
  <c r="AM3111" i="1"/>
  <c r="BF3111" i="1"/>
  <c r="BG3111" i="1"/>
  <c r="T3112" i="1"/>
  <c r="U3112" i="1"/>
  <c r="V3112" i="1"/>
  <c r="W3112" i="1"/>
  <c r="AB3112" i="1"/>
  <c r="AF3112" i="1"/>
  <c r="K3113" i="1"/>
  <c r="AC3113" i="1"/>
  <c r="AJ3112" i="1"/>
  <c r="AK3112" i="1"/>
  <c r="AM3112" i="1"/>
  <c r="BF3112" i="1"/>
  <c r="BG3112" i="1"/>
  <c r="T3113" i="1"/>
  <c r="U3113" i="1"/>
  <c r="V3113" i="1"/>
  <c r="W3113" i="1"/>
  <c r="AB3113" i="1"/>
  <c r="AF3113" i="1"/>
  <c r="AC3114" i="1"/>
  <c r="AJ3113" i="1"/>
  <c r="AK3113" i="1"/>
  <c r="AM3113" i="1"/>
  <c r="BF3113" i="1"/>
  <c r="BG3113" i="1"/>
  <c r="T3114" i="1"/>
  <c r="U3114" i="1"/>
  <c r="V3114" i="1"/>
  <c r="W3114" i="1"/>
  <c r="AB3114" i="1"/>
  <c r="AF3114" i="1"/>
  <c r="AC3115" i="1"/>
  <c r="AJ3114" i="1"/>
  <c r="AK3114" i="1"/>
  <c r="AM3114" i="1"/>
  <c r="BF3114" i="1"/>
  <c r="BG3114" i="1"/>
  <c r="T3115" i="1"/>
  <c r="U3115" i="1"/>
  <c r="V3115" i="1"/>
  <c r="W3115" i="1"/>
  <c r="AB3115" i="1"/>
  <c r="AF3115" i="1"/>
  <c r="K3116" i="1"/>
  <c r="AC3116" i="1"/>
  <c r="AJ3115" i="1"/>
  <c r="AK3115" i="1"/>
  <c r="AM3115" i="1"/>
  <c r="BF3115" i="1"/>
  <c r="BG3115" i="1"/>
  <c r="T3116" i="1"/>
  <c r="U3116" i="1"/>
  <c r="V3116" i="1"/>
  <c r="W3116" i="1"/>
  <c r="AB3116" i="1"/>
  <c r="AF3116" i="1"/>
  <c r="K3117" i="1"/>
  <c r="AC3117" i="1"/>
  <c r="AJ3116" i="1"/>
  <c r="AK3116" i="1"/>
  <c r="AM3116" i="1"/>
  <c r="BF3116" i="1"/>
  <c r="BG3116" i="1"/>
  <c r="T3117" i="1"/>
  <c r="U3117" i="1"/>
  <c r="V3117" i="1"/>
  <c r="W3117" i="1"/>
  <c r="AB3117" i="1"/>
  <c r="AF3117" i="1"/>
  <c r="AC3118" i="1"/>
  <c r="AJ3117" i="1"/>
  <c r="AK3117" i="1"/>
  <c r="AM3117" i="1"/>
  <c r="BF3117" i="1"/>
  <c r="BG3117" i="1"/>
  <c r="T3118" i="1"/>
  <c r="U3118" i="1"/>
  <c r="V3118" i="1"/>
  <c r="W3118" i="1"/>
  <c r="AB3118" i="1"/>
  <c r="AF3118" i="1"/>
  <c r="AC3119" i="1"/>
  <c r="AJ3118" i="1"/>
  <c r="AK3118" i="1"/>
  <c r="AM3118" i="1"/>
  <c r="BF3118" i="1"/>
  <c r="BG3118" i="1"/>
  <c r="T3119" i="1"/>
  <c r="U3119" i="1"/>
  <c r="V3119" i="1"/>
  <c r="W3119" i="1"/>
  <c r="AB3119" i="1"/>
  <c r="AF3119" i="1"/>
  <c r="K3120" i="1"/>
  <c r="AC3120" i="1"/>
  <c r="AJ3119" i="1"/>
  <c r="AK3119" i="1"/>
  <c r="AM3119" i="1"/>
  <c r="BF3119" i="1"/>
  <c r="BG3119" i="1"/>
  <c r="T3120" i="1"/>
  <c r="U3120" i="1"/>
  <c r="V3120" i="1"/>
  <c r="W3120" i="1"/>
  <c r="AB3120" i="1"/>
  <c r="AF3120" i="1"/>
  <c r="K3121" i="1"/>
  <c r="AC3121" i="1"/>
  <c r="AJ3120" i="1"/>
  <c r="AK3120" i="1"/>
  <c r="AM3120" i="1"/>
  <c r="BF3120" i="1"/>
  <c r="BG3120" i="1"/>
  <c r="T3121" i="1"/>
  <c r="U3121" i="1"/>
  <c r="V3121" i="1"/>
  <c r="W3121" i="1"/>
  <c r="AB3121" i="1"/>
  <c r="AF3121" i="1"/>
  <c r="AC3122" i="1"/>
  <c r="AJ3121" i="1"/>
  <c r="AK3121" i="1"/>
  <c r="AM3121" i="1"/>
  <c r="BF3121" i="1"/>
  <c r="BG3121" i="1"/>
  <c r="T3122" i="1"/>
  <c r="U3122" i="1"/>
  <c r="V3122" i="1"/>
  <c r="W3122" i="1"/>
  <c r="AB3122" i="1"/>
  <c r="AF3122" i="1"/>
  <c r="AC3123" i="1"/>
  <c r="AJ3122" i="1"/>
  <c r="AK3122" i="1"/>
  <c r="AM3122" i="1"/>
  <c r="BF3122" i="1"/>
  <c r="BG3122" i="1"/>
  <c r="T3123" i="1"/>
  <c r="U3123" i="1"/>
  <c r="V3123" i="1"/>
  <c r="W3123" i="1"/>
  <c r="AB3123" i="1"/>
  <c r="AF3123" i="1"/>
  <c r="K3124" i="1"/>
  <c r="AC3124" i="1"/>
  <c r="AJ3123" i="1"/>
  <c r="AK3123" i="1"/>
  <c r="AM3123" i="1"/>
  <c r="BF3123" i="1"/>
  <c r="BG3123" i="1"/>
  <c r="T3124" i="1"/>
  <c r="U3124" i="1"/>
  <c r="V3124" i="1"/>
  <c r="W3124" i="1"/>
  <c r="AB3124" i="1"/>
  <c r="AF3124" i="1"/>
  <c r="AC3125" i="1"/>
  <c r="AJ3124" i="1"/>
  <c r="AK3124" i="1"/>
  <c r="AM3124" i="1"/>
  <c r="BF3124" i="1"/>
  <c r="BG3124" i="1"/>
  <c r="T3125" i="1"/>
  <c r="U3125" i="1"/>
  <c r="V3125" i="1"/>
  <c r="W3125" i="1"/>
  <c r="AB3125" i="1"/>
  <c r="AF3125" i="1"/>
  <c r="AC3126" i="1"/>
  <c r="AJ3125" i="1"/>
  <c r="AK3125" i="1"/>
  <c r="AM3125" i="1"/>
  <c r="BF3125" i="1"/>
  <c r="BG3125" i="1"/>
  <c r="T3126" i="1"/>
  <c r="U3126" i="1"/>
  <c r="V3126" i="1"/>
  <c r="W3126" i="1"/>
  <c r="AB3126" i="1"/>
  <c r="AF3126" i="1"/>
  <c r="K3127" i="1"/>
  <c r="AC3127" i="1"/>
  <c r="AJ3126" i="1"/>
  <c r="AK3126" i="1"/>
  <c r="AM3126" i="1"/>
  <c r="BF3126" i="1"/>
  <c r="BG3126" i="1"/>
  <c r="T3127" i="1"/>
  <c r="U3127" i="1"/>
  <c r="V3127" i="1"/>
  <c r="W3127" i="1"/>
  <c r="AB3127" i="1"/>
  <c r="AF3127" i="1"/>
  <c r="AC3128" i="1"/>
  <c r="AJ3127" i="1"/>
  <c r="AK3127" i="1"/>
  <c r="AM3127" i="1"/>
  <c r="BF3127" i="1"/>
  <c r="BG3127" i="1"/>
  <c r="T3128" i="1"/>
  <c r="U3128" i="1"/>
  <c r="V3128" i="1"/>
  <c r="W3128" i="1"/>
  <c r="AB3128" i="1"/>
  <c r="AF3128" i="1"/>
  <c r="AC3129" i="1"/>
  <c r="AJ3128" i="1"/>
  <c r="AK3128" i="1"/>
  <c r="AM3128" i="1"/>
  <c r="BF3128" i="1"/>
  <c r="BG3128" i="1"/>
  <c r="T3129" i="1"/>
  <c r="U3129" i="1"/>
  <c r="V3129" i="1"/>
  <c r="W3129" i="1"/>
  <c r="AB3129" i="1"/>
  <c r="AF3129" i="1"/>
  <c r="K3130" i="1"/>
  <c r="AC3130" i="1"/>
  <c r="AJ3129" i="1"/>
  <c r="AK3129" i="1"/>
  <c r="AM3129" i="1"/>
  <c r="BF3129" i="1"/>
  <c r="BG3129" i="1"/>
  <c r="T3130" i="1"/>
  <c r="U3130" i="1"/>
  <c r="V3130" i="1"/>
  <c r="W3130" i="1"/>
  <c r="AB3130" i="1"/>
  <c r="AF3130" i="1"/>
  <c r="K3131" i="1"/>
  <c r="AC3131" i="1"/>
  <c r="AJ3130" i="1"/>
  <c r="AK3130" i="1"/>
  <c r="AM3130" i="1"/>
  <c r="BF3130" i="1"/>
  <c r="BG3130" i="1"/>
  <c r="T3131" i="1"/>
  <c r="U3131" i="1"/>
  <c r="V3131" i="1"/>
  <c r="W3131" i="1"/>
  <c r="AB3131" i="1"/>
  <c r="AF3131" i="1"/>
  <c r="K3132" i="1"/>
  <c r="AC3132" i="1"/>
  <c r="AJ3131" i="1"/>
  <c r="AK3131" i="1"/>
  <c r="AM3131" i="1"/>
  <c r="BF3131" i="1"/>
  <c r="BG3131" i="1"/>
  <c r="T3132" i="1"/>
  <c r="U3132" i="1"/>
  <c r="V3132" i="1"/>
  <c r="W3132" i="1"/>
  <c r="AB3132" i="1"/>
  <c r="AF3132" i="1"/>
  <c r="K3133" i="1"/>
  <c r="AC3133" i="1"/>
  <c r="AJ3132" i="1"/>
  <c r="AK3132" i="1"/>
  <c r="AM3132" i="1"/>
  <c r="BF3132" i="1"/>
  <c r="BG3132" i="1"/>
  <c r="T3133" i="1"/>
  <c r="U3133" i="1"/>
  <c r="V3133" i="1"/>
  <c r="W3133" i="1"/>
  <c r="AB3133" i="1"/>
  <c r="AF3133" i="1"/>
  <c r="AC3134" i="1"/>
  <c r="AJ3133" i="1"/>
  <c r="AK3133" i="1"/>
  <c r="AM3133" i="1"/>
  <c r="BF3133" i="1"/>
  <c r="BG3133" i="1"/>
  <c r="T3134" i="1"/>
  <c r="U3134" i="1"/>
  <c r="V3134" i="1"/>
  <c r="W3134" i="1"/>
  <c r="AB3134" i="1"/>
  <c r="AF3134" i="1"/>
  <c r="AC3135" i="1"/>
  <c r="AJ3134" i="1"/>
  <c r="AK3134" i="1"/>
  <c r="AM3134" i="1"/>
  <c r="BF3134" i="1"/>
  <c r="BG3134" i="1"/>
  <c r="T3135" i="1"/>
  <c r="U3135" i="1"/>
  <c r="V3135" i="1"/>
  <c r="W3135" i="1"/>
  <c r="AB3135" i="1"/>
  <c r="AF3135" i="1"/>
  <c r="K3136" i="1"/>
  <c r="AC3136" i="1"/>
  <c r="AJ3135" i="1"/>
  <c r="AK3135" i="1"/>
  <c r="AM3135" i="1"/>
  <c r="BF3135" i="1"/>
  <c r="BG3135" i="1"/>
  <c r="T3136" i="1"/>
  <c r="U3136" i="1"/>
  <c r="V3136" i="1"/>
  <c r="W3136" i="1"/>
  <c r="AB3136" i="1"/>
  <c r="AF3136" i="1"/>
  <c r="AC3137" i="1"/>
  <c r="AJ3136" i="1"/>
  <c r="AK3136" i="1"/>
  <c r="AM3136" i="1"/>
  <c r="BF3136" i="1"/>
  <c r="BG3136" i="1"/>
  <c r="T3137" i="1"/>
  <c r="U3137" i="1"/>
  <c r="V3137" i="1"/>
  <c r="W3137" i="1"/>
  <c r="AB3137" i="1"/>
  <c r="AF3137" i="1"/>
  <c r="AC3138" i="1"/>
  <c r="AJ3137" i="1"/>
  <c r="AK3137" i="1"/>
  <c r="AM3137" i="1"/>
  <c r="BF3137" i="1"/>
  <c r="BG3137" i="1"/>
  <c r="T3138" i="1"/>
  <c r="U3138" i="1"/>
  <c r="V3138" i="1"/>
  <c r="W3138" i="1"/>
  <c r="AB3138" i="1"/>
  <c r="AF3138" i="1"/>
  <c r="K3139" i="1"/>
  <c r="AC3139" i="1"/>
  <c r="AJ3138" i="1"/>
  <c r="AK3138" i="1"/>
  <c r="AM3138" i="1"/>
  <c r="BF3138" i="1"/>
  <c r="BG3138" i="1"/>
  <c r="T3139" i="1"/>
  <c r="U3139" i="1"/>
  <c r="V3139" i="1"/>
  <c r="W3139" i="1"/>
  <c r="AB3139" i="1"/>
  <c r="AF3139" i="1"/>
  <c r="K3140" i="1"/>
  <c r="AC3140" i="1"/>
  <c r="AJ3139" i="1"/>
  <c r="AK3139" i="1"/>
  <c r="AM3139" i="1"/>
  <c r="BF3139" i="1"/>
  <c r="BG3139" i="1"/>
  <c r="T3140" i="1"/>
  <c r="U3140" i="1"/>
  <c r="V3140" i="1"/>
  <c r="W3140" i="1"/>
  <c r="AB3140" i="1"/>
  <c r="AF3140" i="1"/>
  <c r="K3141" i="1"/>
  <c r="AC3141" i="1"/>
  <c r="AJ3140" i="1"/>
  <c r="AK3140" i="1"/>
  <c r="AM3140" i="1"/>
  <c r="BF3140" i="1"/>
  <c r="BG3140" i="1"/>
  <c r="T3141" i="1"/>
  <c r="U3141" i="1"/>
  <c r="V3141" i="1"/>
  <c r="W3141" i="1"/>
  <c r="AB3141" i="1"/>
  <c r="AF3141" i="1"/>
  <c r="AC3142" i="1"/>
  <c r="AJ3141" i="1"/>
  <c r="AK3141" i="1"/>
  <c r="AM3141" i="1"/>
  <c r="BF3141" i="1"/>
  <c r="BG3141" i="1"/>
  <c r="T3142" i="1"/>
  <c r="U3142" i="1"/>
  <c r="V3142" i="1"/>
  <c r="W3142" i="1"/>
  <c r="AB3142" i="1"/>
  <c r="AF3142" i="1"/>
  <c r="AC3143" i="1"/>
  <c r="AJ3142" i="1"/>
  <c r="AK3142" i="1"/>
  <c r="AM3142" i="1"/>
  <c r="BF3142" i="1"/>
  <c r="BG3142" i="1"/>
  <c r="T3143" i="1"/>
  <c r="U3143" i="1"/>
  <c r="V3143" i="1"/>
  <c r="W3143" i="1"/>
  <c r="AB3143" i="1"/>
  <c r="AF3143" i="1"/>
  <c r="K3144" i="1"/>
  <c r="AC3144" i="1"/>
  <c r="AJ3143" i="1"/>
  <c r="AK3143" i="1"/>
  <c r="AM3143" i="1"/>
  <c r="BF3143" i="1"/>
  <c r="BG3143" i="1"/>
  <c r="T3144" i="1"/>
  <c r="U3144" i="1"/>
  <c r="V3144" i="1"/>
  <c r="W3144" i="1"/>
  <c r="AB3144" i="1"/>
  <c r="AF3144" i="1"/>
  <c r="K3145" i="1"/>
  <c r="AC3145" i="1"/>
  <c r="AJ3144" i="1"/>
  <c r="AK3144" i="1"/>
  <c r="AM3144" i="1"/>
  <c r="BF3144" i="1"/>
  <c r="BG3144" i="1"/>
  <c r="T3145" i="1"/>
  <c r="U3145" i="1"/>
  <c r="V3145" i="1"/>
  <c r="W3145" i="1"/>
  <c r="AB3145" i="1"/>
  <c r="AF3145" i="1"/>
  <c r="K3146" i="1"/>
  <c r="AC3146" i="1"/>
  <c r="AJ3145" i="1"/>
  <c r="AK3145" i="1"/>
  <c r="AM3145" i="1"/>
  <c r="BF3145" i="1"/>
  <c r="BG3145" i="1"/>
  <c r="T3146" i="1"/>
  <c r="U3146" i="1"/>
  <c r="V3146" i="1"/>
  <c r="W3146" i="1"/>
  <c r="AB3146" i="1"/>
  <c r="AF3146" i="1"/>
  <c r="K3147" i="1"/>
  <c r="AC3147" i="1"/>
  <c r="AJ3146" i="1"/>
  <c r="AK3146" i="1"/>
  <c r="AM3146" i="1"/>
  <c r="BF3146" i="1"/>
  <c r="BG3146" i="1"/>
  <c r="T3147" i="1"/>
  <c r="U3147" i="1"/>
  <c r="V3147" i="1"/>
  <c r="W3147" i="1"/>
  <c r="AB3147" i="1"/>
  <c r="AF3147" i="1"/>
  <c r="AC3148" i="1"/>
  <c r="AJ3147" i="1"/>
  <c r="AK3147" i="1"/>
  <c r="AM3147" i="1"/>
  <c r="BF3147" i="1"/>
  <c r="BG3147" i="1"/>
  <c r="T3148" i="1"/>
  <c r="U3148" i="1"/>
  <c r="V3148" i="1"/>
  <c r="W3148" i="1"/>
  <c r="AB3148" i="1"/>
  <c r="AF3148" i="1"/>
  <c r="AC3149" i="1"/>
  <c r="AJ3148" i="1"/>
  <c r="AK3148" i="1"/>
  <c r="AM3148" i="1"/>
  <c r="BF3148" i="1"/>
  <c r="BG3148" i="1"/>
  <c r="T3149" i="1"/>
  <c r="U3149" i="1"/>
  <c r="V3149" i="1"/>
  <c r="W3149" i="1"/>
  <c r="AB3149" i="1"/>
  <c r="AF3149" i="1"/>
  <c r="K3150" i="1"/>
  <c r="AC3150" i="1"/>
  <c r="AJ3149" i="1"/>
  <c r="AK3149" i="1"/>
  <c r="AM3149" i="1"/>
  <c r="BF3149" i="1"/>
  <c r="BG3149" i="1"/>
  <c r="T3150" i="1"/>
  <c r="U3150" i="1"/>
  <c r="V3150" i="1"/>
  <c r="W3150" i="1"/>
  <c r="AB3150" i="1"/>
  <c r="AF3150" i="1"/>
  <c r="AC3151" i="1"/>
  <c r="AJ3150" i="1"/>
  <c r="AK3150" i="1"/>
  <c r="AM3150" i="1"/>
  <c r="BF3150" i="1"/>
  <c r="BG3150" i="1"/>
  <c r="T3151" i="1"/>
  <c r="U3151" i="1"/>
  <c r="V3151" i="1"/>
  <c r="W3151" i="1"/>
  <c r="AB3151" i="1"/>
  <c r="AF3151" i="1"/>
  <c r="AC3152" i="1"/>
  <c r="AJ3151" i="1"/>
  <c r="AK3151" i="1"/>
  <c r="AM3151" i="1"/>
  <c r="BF3151" i="1"/>
  <c r="BG3151" i="1"/>
  <c r="T3152" i="1"/>
  <c r="U3152" i="1"/>
  <c r="V3152" i="1"/>
  <c r="W3152" i="1"/>
  <c r="AB3152" i="1"/>
  <c r="AF3152" i="1"/>
  <c r="K3153" i="1"/>
  <c r="AC3153" i="1"/>
  <c r="AJ3152" i="1"/>
  <c r="AK3152" i="1"/>
  <c r="AM3152" i="1"/>
  <c r="BF3152" i="1"/>
  <c r="BG3152" i="1"/>
  <c r="T3153" i="1"/>
  <c r="U3153" i="1"/>
  <c r="V3153" i="1"/>
  <c r="W3153" i="1"/>
  <c r="AB3153" i="1"/>
  <c r="AF3153" i="1"/>
  <c r="AC3154" i="1"/>
  <c r="AJ3153" i="1"/>
  <c r="AK3153" i="1"/>
  <c r="AM3153" i="1"/>
  <c r="BF3153" i="1"/>
  <c r="BG3153" i="1"/>
  <c r="T3154" i="1"/>
  <c r="U3154" i="1"/>
  <c r="V3154" i="1"/>
  <c r="W3154" i="1"/>
  <c r="AB3154" i="1"/>
  <c r="AF3154" i="1"/>
  <c r="AC3155" i="1"/>
  <c r="AJ3154" i="1"/>
  <c r="AK3154" i="1"/>
  <c r="AM3154" i="1"/>
  <c r="BF3154" i="1"/>
  <c r="BG3154" i="1"/>
  <c r="T3155" i="1"/>
  <c r="U3155" i="1"/>
  <c r="V3155" i="1"/>
  <c r="W3155" i="1"/>
  <c r="AB3155" i="1"/>
  <c r="AF3155" i="1"/>
  <c r="K3156" i="1"/>
  <c r="AC3156" i="1"/>
  <c r="AJ3155" i="1"/>
  <c r="AK3155" i="1"/>
  <c r="AM3155" i="1"/>
  <c r="BF3155" i="1"/>
  <c r="BG3155" i="1"/>
  <c r="T3156" i="1"/>
  <c r="U3156" i="1"/>
  <c r="V3156" i="1"/>
  <c r="W3156" i="1"/>
  <c r="AB3156" i="1"/>
  <c r="AF3156" i="1"/>
  <c r="K3157" i="1"/>
  <c r="AC3157" i="1"/>
  <c r="AJ3156" i="1"/>
  <c r="AK3156" i="1"/>
  <c r="AM3156" i="1"/>
  <c r="BF3156" i="1"/>
  <c r="BG3156" i="1"/>
  <c r="T3157" i="1"/>
  <c r="U3157" i="1"/>
  <c r="V3157" i="1"/>
  <c r="W3157" i="1"/>
  <c r="AB3157" i="1"/>
  <c r="AF3157" i="1"/>
  <c r="AC3158" i="1"/>
  <c r="AJ3157" i="1"/>
  <c r="AK3157" i="1"/>
  <c r="AM3157" i="1"/>
  <c r="BF3157" i="1"/>
  <c r="BG3157" i="1"/>
  <c r="T3158" i="1"/>
  <c r="U3158" i="1"/>
  <c r="V3158" i="1"/>
  <c r="W3158" i="1"/>
  <c r="AB3158" i="1"/>
  <c r="AF3158" i="1"/>
  <c r="AC3159" i="1"/>
  <c r="AJ3158" i="1"/>
  <c r="AK3158" i="1"/>
  <c r="AM3158" i="1"/>
  <c r="BF3158" i="1"/>
  <c r="BG3158" i="1"/>
  <c r="T3159" i="1"/>
  <c r="U3159" i="1"/>
  <c r="V3159" i="1"/>
  <c r="W3159" i="1"/>
  <c r="AB3159" i="1"/>
  <c r="AF3159" i="1"/>
  <c r="K3160" i="1"/>
  <c r="AC3160" i="1"/>
  <c r="AJ3159" i="1"/>
  <c r="AK3159" i="1"/>
  <c r="AM3159" i="1"/>
  <c r="BF3159" i="1"/>
  <c r="BG3159" i="1"/>
  <c r="T3160" i="1"/>
  <c r="U3160" i="1"/>
  <c r="V3160" i="1"/>
  <c r="W3160" i="1"/>
  <c r="AB3160" i="1"/>
  <c r="AF3160" i="1"/>
  <c r="AC3161" i="1"/>
  <c r="AJ3160" i="1"/>
  <c r="AK3160" i="1"/>
  <c r="AM3160" i="1"/>
  <c r="BF3160" i="1"/>
  <c r="BG3160" i="1"/>
  <c r="T3161" i="1"/>
  <c r="U3161" i="1"/>
  <c r="V3161" i="1"/>
  <c r="W3161" i="1"/>
  <c r="AB3161" i="1"/>
  <c r="AF3161" i="1"/>
  <c r="AC3162" i="1"/>
  <c r="AJ3161" i="1"/>
  <c r="AK3161" i="1"/>
  <c r="AM3161" i="1"/>
  <c r="BF3161" i="1"/>
  <c r="BG3161" i="1"/>
  <c r="T3162" i="1"/>
  <c r="U3162" i="1"/>
  <c r="V3162" i="1"/>
  <c r="W3162" i="1"/>
  <c r="AB3162" i="1"/>
  <c r="AF3162" i="1"/>
  <c r="K3163" i="1"/>
  <c r="AC3163" i="1"/>
  <c r="AJ3162" i="1"/>
  <c r="AK3162" i="1"/>
  <c r="AM3162" i="1"/>
  <c r="BF3162" i="1"/>
  <c r="BG3162" i="1"/>
  <c r="T3163" i="1"/>
  <c r="U3163" i="1"/>
  <c r="V3163" i="1"/>
  <c r="W3163" i="1"/>
  <c r="AB3163" i="1"/>
  <c r="AF3163" i="1"/>
  <c r="K3164" i="1"/>
  <c r="AC3164" i="1"/>
  <c r="AJ3163" i="1"/>
  <c r="AK3163" i="1"/>
  <c r="AM3163" i="1"/>
  <c r="BF3163" i="1"/>
  <c r="BG3163" i="1"/>
  <c r="T3164" i="1"/>
  <c r="U3164" i="1"/>
  <c r="V3164" i="1"/>
  <c r="W3164" i="1"/>
  <c r="AB3164" i="1"/>
  <c r="AF3164" i="1"/>
  <c r="AC3165" i="1"/>
  <c r="AJ3164" i="1"/>
  <c r="AK3164" i="1"/>
  <c r="AM3164" i="1"/>
  <c r="BF3164" i="1"/>
  <c r="BG3164" i="1"/>
  <c r="T3165" i="1"/>
  <c r="U3165" i="1"/>
  <c r="V3165" i="1"/>
  <c r="W3165" i="1"/>
  <c r="AB3165" i="1"/>
  <c r="AF3165" i="1"/>
  <c r="AC3166" i="1"/>
  <c r="AJ3165" i="1"/>
  <c r="AK3165" i="1"/>
  <c r="AM3165" i="1"/>
  <c r="BF3165" i="1"/>
  <c r="BG3165" i="1"/>
  <c r="T3166" i="1"/>
  <c r="U3166" i="1"/>
  <c r="V3166" i="1"/>
  <c r="W3166" i="1"/>
  <c r="AB3166" i="1"/>
  <c r="AF3166" i="1"/>
  <c r="K3167" i="1"/>
  <c r="AC3167" i="1"/>
  <c r="AJ3166" i="1"/>
  <c r="AK3166" i="1"/>
  <c r="AM3166" i="1"/>
  <c r="BF3166" i="1"/>
  <c r="BG3166" i="1"/>
  <c r="T3167" i="1"/>
  <c r="U3167" i="1"/>
  <c r="V3167" i="1"/>
  <c r="W3167" i="1"/>
  <c r="AB3167" i="1"/>
  <c r="AF3167" i="1"/>
  <c r="AC3168" i="1"/>
  <c r="AJ3167" i="1"/>
  <c r="AK3167" i="1"/>
  <c r="AM3167" i="1"/>
  <c r="BF3167" i="1"/>
  <c r="BG3167" i="1"/>
  <c r="T3168" i="1"/>
  <c r="U3168" i="1"/>
  <c r="V3168" i="1"/>
  <c r="W3168" i="1"/>
  <c r="AB3168" i="1"/>
  <c r="AF3168" i="1"/>
  <c r="AC3169" i="1"/>
  <c r="AJ3168" i="1"/>
  <c r="AK3168" i="1"/>
  <c r="AM3168" i="1"/>
  <c r="BF3168" i="1"/>
  <c r="BG3168" i="1"/>
  <c r="T3169" i="1"/>
  <c r="U3169" i="1"/>
  <c r="V3169" i="1"/>
  <c r="W3169" i="1"/>
  <c r="AB3169" i="1"/>
  <c r="AF3169" i="1"/>
  <c r="K3170" i="1"/>
  <c r="AC3170" i="1"/>
  <c r="AJ3169" i="1"/>
  <c r="AK3169" i="1"/>
  <c r="AM3169" i="1"/>
  <c r="BF3169" i="1"/>
  <c r="BG3169" i="1"/>
  <c r="T3170" i="1"/>
  <c r="U3170" i="1"/>
  <c r="V3170" i="1"/>
  <c r="W3170" i="1"/>
  <c r="AB3170" i="1"/>
  <c r="AF3170" i="1"/>
  <c r="AC3171" i="1"/>
  <c r="AJ3170" i="1"/>
  <c r="AK3170" i="1"/>
  <c r="AM3170" i="1"/>
  <c r="BF3170" i="1"/>
  <c r="BG3170" i="1"/>
  <c r="T3171" i="1"/>
  <c r="U3171" i="1"/>
  <c r="V3171" i="1"/>
  <c r="W3171" i="1"/>
  <c r="AB3171" i="1"/>
  <c r="AF3171" i="1"/>
  <c r="AC3172" i="1"/>
  <c r="AJ3171" i="1"/>
  <c r="AK3171" i="1"/>
  <c r="AM3171" i="1"/>
  <c r="BF3171" i="1"/>
  <c r="BG3171" i="1"/>
  <c r="T3172" i="1"/>
  <c r="U3172" i="1"/>
  <c r="V3172" i="1"/>
  <c r="W3172" i="1"/>
  <c r="AB3172" i="1"/>
  <c r="AF3172" i="1"/>
  <c r="K3173" i="1"/>
  <c r="AC3173" i="1"/>
  <c r="AJ3172" i="1"/>
  <c r="AK3172" i="1"/>
  <c r="AM3172" i="1"/>
  <c r="BF3172" i="1"/>
  <c r="BG3172" i="1"/>
  <c r="T3173" i="1"/>
  <c r="U3173" i="1"/>
  <c r="V3173" i="1"/>
  <c r="W3173" i="1"/>
  <c r="AB3173" i="1"/>
  <c r="AF3173" i="1"/>
  <c r="AC3174" i="1"/>
  <c r="AJ3173" i="1"/>
  <c r="AK3173" i="1"/>
  <c r="AM3173" i="1"/>
  <c r="BF3173" i="1"/>
  <c r="BG3173" i="1"/>
  <c r="T3174" i="1"/>
  <c r="U3174" i="1"/>
  <c r="V3174" i="1"/>
  <c r="W3174" i="1"/>
  <c r="AB3174" i="1"/>
  <c r="AF3174" i="1"/>
  <c r="AC3175" i="1"/>
  <c r="AJ3174" i="1"/>
  <c r="AK3174" i="1"/>
  <c r="AM3174" i="1"/>
  <c r="BF3174" i="1"/>
  <c r="BG3174" i="1"/>
  <c r="T3175" i="1"/>
  <c r="U3175" i="1"/>
  <c r="V3175" i="1"/>
  <c r="W3175" i="1"/>
  <c r="AB3175" i="1"/>
  <c r="AF3175" i="1"/>
  <c r="K3176" i="1"/>
  <c r="AC3176" i="1"/>
  <c r="AJ3175" i="1"/>
  <c r="AK3175" i="1"/>
  <c r="AM3175" i="1"/>
  <c r="BF3175" i="1"/>
  <c r="BG3175" i="1"/>
  <c r="T3176" i="1"/>
  <c r="U3176" i="1"/>
  <c r="V3176" i="1"/>
  <c r="W3176" i="1"/>
  <c r="AB3176" i="1"/>
  <c r="AF3176" i="1"/>
  <c r="K3177" i="1"/>
  <c r="AC3177" i="1"/>
  <c r="AJ3176" i="1"/>
  <c r="AK3176" i="1"/>
  <c r="AM3176" i="1"/>
  <c r="BF3176" i="1"/>
  <c r="BG3176" i="1"/>
  <c r="T3177" i="1"/>
  <c r="U3177" i="1"/>
  <c r="V3177" i="1"/>
  <c r="W3177" i="1"/>
  <c r="AB3177" i="1"/>
  <c r="AF3177" i="1"/>
  <c r="K3178" i="1"/>
  <c r="AC3178" i="1"/>
  <c r="AJ3177" i="1"/>
  <c r="AK3177" i="1"/>
  <c r="AM3177" i="1"/>
  <c r="BF3177" i="1"/>
  <c r="BG3177" i="1"/>
  <c r="T3178" i="1"/>
  <c r="U3178" i="1"/>
  <c r="V3178" i="1"/>
  <c r="W3178" i="1"/>
  <c r="AB3178" i="1"/>
  <c r="AF3178" i="1"/>
  <c r="AC3179" i="1"/>
  <c r="AJ3178" i="1"/>
  <c r="AK3178" i="1"/>
  <c r="AM3178" i="1"/>
  <c r="BF3178" i="1"/>
  <c r="BG3178" i="1"/>
  <c r="T3179" i="1"/>
  <c r="U3179" i="1"/>
  <c r="V3179" i="1"/>
  <c r="W3179" i="1"/>
  <c r="AB3179" i="1"/>
  <c r="AF3179" i="1"/>
  <c r="AC3180" i="1"/>
  <c r="AJ3179" i="1"/>
  <c r="AK3179" i="1"/>
  <c r="AM3179" i="1"/>
  <c r="BF3179" i="1"/>
  <c r="BG3179" i="1"/>
  <c r="T3180" i="1"/>
  <c r="U3180" i="1"/>
  <c r="V3180" i="1"/>
  <c r="W3180" i="1"/>
  <c r="AB3180" i="1"/>
  <c r="AF3180" i="1"/>
  <c r="K3181" i="1"/>
  <c r="AC3181" i="1"/>
  <c r="AJ3180" i="1"/>
  <c r="AK3180" i="1"/>
  <c r="AM3180" i="1"/>
  <c r="BF3180" i="1"/>
  <c r="BG3180" i="1"/>
  <c r="T3181" i="1"/>
  <c r="U3181" i="1"/>
  <c r="V3181" i="1"/>
  <c r="W3181" i="1"/>
  <c r="AB3181" i="1"/>
  <c r="AF3181" i="1"/>
  <c r="K3182" i="1"/>
  <c r="AC3182" i="1"/>
  <c r="AJ3181" i="1"/>
  <c r="AK3181" i="1"/>
  <c r="AM3181" i="1"/>
  <c r="BF3181" i="1"/>
  <c r="BG3181" i="1"/>
  <c r="T3182" i="1"/>
  <c r="U3182" i="1"/>
  <c r="V3182" i="1"/>
  <c r="W3182" i="1"/>
  <c r="AB3182" i="1"/>
  <c r="AF3182" i="1"/>
  <c r="AC3183" i="1"/>
  <c r="AJ3182" i="1"/>
  <c r="AK3182" i="1"/>
  <c r="AM3182" i="1"/>
  <c r="BF3182" i="1"/>
  <c r="BG3182" i="1"/>
  <c r="T3183" i="1"/>
  <c r="U3183" i="1"/>
  <c r="V3183" i="1"/>
  <c r="W3183" i="1"/>
  <c r="AB3183" i="1"/>
  <c r="AF3183" i="1"/>
  <c r="AC3184" i="1"/>
  <c r="AJ3183" i="1"/>
  <c r="AK3183" i="1"/>
  <c r="AM3183" i="1"/>
  <c r="BF3183" i="1"/>
  <c r="BG3183" i="1"/>
  <c r="T3184" i="1"/>
  <c r="U3184" i="1"/>
  <c r="V3184" i="1"/>
  <c r="W3184" i="1"/>
  <c r="AB3184" i="1"/>
  <c r="AF3184" i="1"/>
  <c r="K3185" i="1"/>
  <c r="AC3185" i="1"/>
  <c r="AJ3184" i="1"/>
  <c r="AK3184" i="1"/>
  <c r="AM3184" i="1"/>
  <c r="BF3184" i="1"/>
  <c r="BG3184" i="1"/>
  <c r="T3185" i="1"/>
  <c r="U3185" i="1"/>
  <c r="V3185" i="1"/>
  <c r="W3185" i="1"/>
  <c r="AB3185" i="1"/>
  <c r="AF3185" i="1"/>
  <c r="K3186" i="1"/>
  <c r="AC3186" i="1"/>
  <c r="AJ3185" i="1"/>
  <c r="AK3185" i="1"/>
  <c r="AM3185" i="1"/>
  <c r="BF3185" i="1"/>
  <c r="BG3185" i="1"/>
  <c r="T3186" i="1"/>
  <c r="U3186" i="1"/>
  <c r="V3186" i="1"/>
  <c r="W3186" i="1"/>
  <c r="AB3186" i="1"/>
  <c r="AF3186" i="1"/>
  <c r="AC3187" i="1"/>
  <c r="AJ3186" i="1"/>
  <c r="AK3186" i="1"/>
  <c r="AM3186" i="1"/>
  <c r="BF3186" i="1"/>
  <c r="BG3186" i="1"/>
  <c r="T3187" i="1"/>
  <c r="U3187" i="1"/>
  <c r="V3187" i="1"/>
  <c r="W3187" i="1"/>
  <c r="AB3187" i="1"/>
  <c r="AF3187" i="1"/>
  <c r="AC3188" i="1"/>
  <c r="AJ3187" i="1"/>
  <c r="AK3187" i="1"/>
  <c r="AM3187" i="1"/>
  <c r="BF3187" i="1"/>
  <c r="BG3187" i="1"/>
  <c r="T3188" i="1"/>
  <c r="U3188" i="1"/>
  <c r="V3188" i="1"/>
  <c r="W3188" i="1"/>
  <c r="AB3188" i="1"/>
  <c r="AF3188" i="1"/>
  <c r="K3189" i="1"/>
  <c r="AC3189" i="1"/>
  <c r="AJ3188" i="1"/>
  <c r="AK3188" i="1"/>
  <c r="AM3188" i="1"/>
  <c r="BF3188" i="1"/>
  <c r="BG3188" i="1"/>
  <c r="T3189" i="1"/>
  <c r="U3189" i="1"/>
  <c r="V3189" i="1"/>
  <c r="W3189" i="1"/>
  <c r="AB3189" i="1"/>
  <c r="AF3189" i="1"/>
  <c r="K3190" i="1"/>
  <c r="AC3190" i="1"/>
  <c r="AJ3189" i="1"/>
  <c r="AK3189" i="1"/>
  <c r="AM3189" i="1"/>
  <c r="BF3189" i="1"/>
  <c r="BG3189" i="1"/>
  <c r="T3190" i="1"/>
  <c r="U3190" i="1"/>
  <c r="V3190" i="1"/>
  <c r="W3190" i="1"/>
  <c r="AB3190" i="1"/>
  <c r="AF3190" i="1"/>
  <c r="AC3191" i="1"/>
  <c r="AJ3190" i="1"/>
  <c r="AK3190" i="1"/>
  <c r="AM3190" i="1"/>
  <c r="BF3190" i="1"/>
  <c r="BG3190" i="1"/>
  <c r="T3191" i="1"/>
  <c r="U3191" i="1"/>
  <c r="V3191" i="1"/>
  <c r="W3191" i="1"/>
  <c r="AB3191" i="1"/>
  <c r="AF3191" i="1"/>
  <c r="AC3192" i="1"/>
  <c r="AJ3191" i="1"/>
  <c r="AK3191" i="1"/>
  <c r="AM3191" i="1"/>
  <c r="BF3191" i="1"/>
  <c r="BG3191" i="1"/>
  <c r="T3192" i="1"/>
  <c r="U3192" i="1"/>
  <c r="V3192" i="1"/>
  <c r="W3192" i="1"/>
  <c r="AB3192" i="1"/>
  <c r="AF3192" i="1"/>
  <c r="K3193" i="1"/>
  <c r="AC3193" i="1"/>
  <c r="AJ3192" i="1"/>
  <c r="AK3192" i="1"/>
  <c r="AM3192" i="1"/>
  <c r="BF3192" i="1"/>
  <c r="BG3192" i="1"/>
  <c r="T3193" i="1"/>
  <c r="U3193" i="1"/>
  <c r="V3193" i="1"/>
  <c r="W3193" i="1"/>
  <c r="AB3193" i="1"/>
  <c r="AF3193" i="1"/>
  <c r="K3194" i="1"/>
  <c r="AC3194" i="1"/>
  <c r="AJ3193" i="1"/>
  <c r="AK3193" i="1"/>
  <c r="AM3193" i="1"/>
  <c r="BF3193" i="1"/>
  <c r="BG3193" i="1"/>
  <c r="T3194" i="1"/>
  <c r="U3194" i="1"/>
  <c r="V3194" i="1"/>
  <c r="W3194" i="1"/>
  <c r="AB3194" i="1"/>
  <c r="AF3194" i="1"/>
  <c r="AC3195" i="1"/>
  <c r="AJ3194" i="1"/>
  <c r="AK3194" i="1"/>
  <c r="AM3194" i="1"/>
  <c r="BF3194" i="1"/>
  <c r="BG3194" i="1"/>
  <c r="T3195" i="1"/>
  <c r="U3195" i="1"/>
  <c r="V3195" i="1"/>
  <c r="W3195" i="1"/>
  <c r="AB3195" i="1"/>
  <c r="AF3195" i="1"/>
  <c r="AC3196" i="1"/>
  <c r="AJ3195" i="1"/>
  <c r="AK3195" i="1"/>
  <c r="AM3195" i="1"/>
  <c r="BF3195" i="1"/>
  <c r="BG3195" i="1"/>
  <c r="T3196" i="1"/>
  <c r="U3196" i="1"/>
  <c r="V3196" i="1"/>
  <c r="W3196" i="1"/>
  <c r="AB3196" i="1"/>
  <c r="AF3196" i="1"/>
  <c r="K3197" i="1"/>
  <c r="AC3197" i="1"/>
  <c r="AJ3196" i="1"/>
  <c r="AK3196" i="1"/>
  <c r="AM3196" i="1"/>
  <c r="BF3196" i="1"/>
  <c r="BG3196" i="1"/>
  <c r="T3197" i="1"/>
  <c r="U3197" i="1"/>
  <c r="V3197" i="1"/>
  <c r="W3197" i="1"/>
  <c r="AB3197" i="1"/>
  <c r="AF3197" i="1"/>
  <c r="K3198" i="1"/>
  <c r="AC3198" i="1"/>
  <c r="AJ3197" i="1"/>
  <c r="AK3197" i="1"/>
  <c r="AM3197" i="1"/>
  <c r="BF3197" i="1"/>
  <c r="BG3197" i="1"/>
  <c r="T3198" i="1"/>
  <c r="U3198" i="1"/>
  <c r="V3198" i="1"/>
  <c r="W3198" i="1"/>
  <c r="AB3198" i="1"/>
  <c r="AF3198" i="1"/>
  <c r="AC3199" i="1"/>
  <c r="AJ3198" i="1"/>
  <c r="AK3198" i="1"/>
  <c r="AM3198" i="1"/>
  <c r="BF3198" i="1"/>
  <c r="BG3198" i="1"/>
  <c r="T3199" i="1"/>
  <c r="U3199" i="1"/>
  <c r="V3199" i="1"/>
  <c r="W3199" i="1"/>
  <c r="AB3199" i="1"/>
  <c r="AF3199" i="1"/>
  <c r="AC3200" i="1"/>
  <c r="AJ3199" i="1"/>
  <c r="AK3199" i="1"/>
  <c r="AM3199" i="1"/>
  <c r="BF3199" i="1"/>
  <c r="BG3199" i="1"/>
  <c r="T3200" i="1"/>
  <c r="U3200" i="1"/>
  <c r="V3200" i="1"/>
  <c r="W3200" i="1"/>
  <c r="AB3200" i="1"/>
  <c r="AF3200" i="1"/>
  <c r="AC3201" i="1"/>
  <c r="AJ3200" i="1"/>
  <c r="AK3200" i="1"/>
  <c r="AM3200" i="1"/>
  <c r="BF3200" i="1"/>
  <c r="BG3200" i="1"/>
  <c r="T3201" i="1"/>
  <c r="U3201" i="1"/>
  <c r="V3201" i="1"/>
  <c r="W3201" i="1"/>
  <c r="AB3201" i="1"/>
  <c r="AF3201" i="1"/>
  <c r="K3202" i="1"/>
  <c r="AC3202" i="1"/>
  <c r="AJ3201" i="1"/>
  <c r="AK3201" i="1"/>
  <c r="AM3201" i="1"/>
  <c r="BF3201" i="1"/>
  <c r="BG3201" i="1"/>
  <c r="T3202" i="1"/>
  <c r="U3202" i="1"/>
  <c r="V3202" i="1"/>
  <c r="W3202" i="1"/>
  <c r="AB3202" i="1"/>
  <c r="AF3202" i="1"/>
  <c r="K3203" i="1"/>
  <c r="AC3203" i="1"/>
  <c r="AJ3202" i="1"/>
  <c r="AK3202" i="1"/>
  <c r="AM3202" i="1"/>
  <c r="BF3202" i="1"/>
  <c r="BG3202" i="1"/>
  <c r="T3203" i="1"/>
  <c r="U3203" i="1"/>
  <c r="V3203" i="1"/>
  <c r="W3203" i="1"/>
  <c r="AB3203" i="1"/>
  <c r="AF3203" i="1"/>
  <c r="AC3204" i="1"/>
  <c r="AJ3203" i="1"/>
  <c r="AK3203" i="1"/>
  <c r="AM3203" i="1"/>
  <c r="BF3203" i="1"/>
  <c r="BG3203" i="1"/>
  <c r="T3204" i="1"/>
  <c r="U3204" i="1"/>
  <c r="V3204" i="1"/>
  <c r="W3204" i="1"/>
  <c r="AB3204" i="1"/>
  <c r="AF3204" i="1"/>
  <c r="AC3205" i="1"/>
  <c r="AJ3204" i="1"/>
  <c r="AK3204" i="1"/>
  <c r="AM3204" i="1"/>
  <c r="BF3204" i="1"/>
  <c r="BG3204" i="1"/>
  <c r="T3205" i="1"/>
  <c r="U3205" i="1"/>
  <c r="V3205" i="1"/>
  <c r="W3205" i="1"/>
  <c r="AB3205" i="1"/>
  <c r="AF3205" i="1"/>
  <c r="K3206" i="1"/>
  <c r="AC3206" i="1"/>
  <c r="AJ3205" i="1"/>
  <c r="AK3205" i="1"/>
  <c r="AM3205" i="1"/>
  <c r="BF3205" i="1"/>
  <c r="BG3205" i="1"/>
  <c r="T3206" i="1"/>
  <c r="U3206" i="1"/>
  <c r="V3206" i="1"/>
  <c r="W3206" i="1"/>
  <c r="AB3206" i="1"/>
  <c r="AF3206" i="1"/>
  <c r="AC3207" i="1"/>
  <c r="AJ3206" i="1"/>
  <c r="AK3206" i="1"/>
  <c r="AM3206" i="1"/>
  <c r="BF3206" i="1"/>
  <c r="BG3206" i="1"/>
  <c r="T3207" i="1"/>
  <c r="U3207" i="1"/>
  <c r="V3207" i="1"/>
  <c r="W3207" i="1"/>
  <c r="AB3207" i="1"/>
  <c r="AF3207" i="1"/>
  <c r="AC3208" i="1"/>
  <c r="AJ3207" i="1"/>
  <c r="AK3207" i="1"/>
  <c r="AM3207" i="1"/>
  <c r="BF3207" i="1"/>
  <c r="BG3207" i="1"/>
  <c r="T3208" i="1"/>
  <c r="U3208" i="1"/>
  <c r="V3208" i="1"/>
  <c r="W3208" i="1"/>
  <c r="AB3208" i="1"/>
  <c r="AF3208" i="1"/>
  <c r="K3209" i="1"/>
  <c r="AC3209" i="1"/>
  <c r="AJ3208" i="1"/>
  <c r="AK3208" i="1"/>
  <c r="AM3208" i="1"/>
  <c r="BF3208" i="1"/>
  <c r="BG3208" i="1"/>
  <c r="T3209" i="1"/>
  <c r="U3209" i="1"/>
  <c r="V3209" i="1"/>
  <c r="W3209" i="1"/>
  <c r="AB3209" i="1"/>
  <c r="AF3209" i="1"/>
  <c r="AC3210" i="1"/>
  <c r="AJ3209" i="1"/>
  <c r="AK3209" i="1"/>
  <c r="AM3209" i="1"/>
  <c r="BF3209" i="1"/>
  <c r="BG3209" i="1"/>
  <c r="T3210" i="1"/>
  <c r="U3210" i="1"/>
  <c r="V3210" i="1"/>
  <c r="W3210" i="1"/>
  <c r="AB3210" i="1"/>
  <c r="AF3210" i="1"/>
  <c r="AC3211" i="1"/>
  <c r="AJ3210" i="1"/>
  <c r="AK3210" i="1"/>
  <c r="AM3210" i="1"/>
  <c r="BF3210" i="1"/>
  <c r="BG3210" i="1"/>
  <c r="T3211" i="1"/>
  <c r="U3211" i="1"/>
  <c r="V3211" i="1"/>
  <c r="W3211" i="1"/>
  <c r="AB3211" i="1"/>
  <c r="AF3211" i="1"/>
  <c r="K3212" i="1"/>
  <c r="AC3212" i="1"/>
  <c r="AJ3211" i="1"/>
  <c r="AK3211" i="1"/>
  <c r="AM3211" i="1"/>
  <c r="BF3211" i="1"/>
  <c r="BG3211" i="1"/>
  <c r="T3212" i="1"/>
  <c r="U3212" i="1"/>
  <c r="V3212" i="1"/>
  <c r="W3212" i="1"/>
  <c r="AB3212" i="1"/>
  <c r="AF3212" i="1"/>
  <c r="AC3213" i="1"/>
  <c r="AJ3212" i="1"/>
  <c r="AK3212" i="1"/>
  <c r="AM3212" i="1"/>
  <c r="BF3212" i="1"/>
  <c r="BG3212" i="1"/>
  <c r="T3213" i="1"/>
  <c r="U3213" i="1"/>
  <c r="V3213" i="1"/>
  <c r="W3213" i="1"/>
  <c r="AB3213" i="1"/>
  <c r="AF3213" i="1"/>
  <c r="AC3214" i="1"/>
  <c r="AJ3213" i="1"/>
  <c r="AK3213" i="1"/>
  <c r="AM3213" i="1"/>
  <c r="BF3213" i="1"/>
  <c r="BG3213" i="1"/>
  <c r="T3214" i="1"/>
  <c r="U3214" i="1"/>
  <c r="V3214" i="1"/>
  <c r="W3214" i="1"/>
  <c r="AB3214" i="1"/>
  <c r="AF3214" i="1"/>
  <c r="K3215" i="1"/>
  <c r="AC3215" i="1"/>
  <c r="AJ3214" i="1"/>
  <c r="AK3214" i="1"/>
  <c r="AM3214" i="1"/>
  <c r="BF3214" i="1"/>
  <c r="BG3214" i="1"/>
  <c r="T3215" i="1"/>
  <c r="U3215" i="1"/>
  <c r="V3215" i="1"/>
  <c r="W3215" i="1"/>
  <c r="AB3215" i="1"/>
  <c r="AF3215" i="1"/>
  <c r="AC3216" i="1"/>
  <c r="AJ3215" i="1"/>
  <c r="AK3215" i="1"/>
  <c r="AM3215" i="1"/>
  <c r="BF3215" i="1"/>
  <c r="BG3215" i="1"/>
  <c r="T3216" i="1"/>
  <c r="U3216" i="1"/>
  <c r="V3216" i="1"/>
  <c r="W3216" i="1"/>
  <c r="AB3216" i="1"/>
  <c r="AF3216" i="1"/>
  <c r="AC3217" i="1"/>
  <c r="AJ3216" i="1"/>
  <c r="AK3216" i="1"/>
  <c r="AM3216" i="1"/>
  <c r="BF3216" i="1"/>
  <c r="BG3216" i="1"/>
  <c r="T3217" i="1"/>
  <c r="U3217" i="1"/>
  <c r="V3217" i="1"/>
  <c r="W3217" i="1"/>
  <c r="AB3217" i="1"/>
  <c r="AF3217" i="1"/>
  <c r="K3218" i="1"/>
  <c r="AC3218" i="1"/>
  <c r="AJ3217" i="1"/>
  <c r="AK3217" i="1"/>
  <c r="AM3217" i="1"/>
  <c r="BF3217" i="1"/>
  <c r="BG3217" i="1"/>
  <c r="T3218" i="1"/>
  <c r="U3218" i="1"/>
  <c r="V3218" i="1"/>
  <c r="W3218" i="1"/>
  <c r="AB3218" i="1"/>
  <c r="AF3218" i="1"/>
  <c r="AC3219" i="1"/>
  <c r="AJ3218" i="1"/>
  <c r="AK3218" i="1"/>
  <c r="AM3218" i="1"/>
  <c r="BF3218" i="1"/>
  <c r="BG3218" i="1"/>
  <c r="T3219" i="1"/>
  <c r="U3219" i="1"/>
  <c r="V3219" i="1"/>
  <c r="W3219" i="1"/>
  <c r="AB3219" i="1"/>
  <c r="AF3219" i="1"/>
  <c r="AC3220" i="1"/>
  <c r="AJ3219" i="1"/>
  <c r="AK3219" i="1"/>
  <c r="AM3219" i="1"/>
  <c r="BF3219" i="1"/>
  <c r="BG3219" i="1"/>
  <c r="T3220" i="1"/>
  <c r="U3220" i="1"/>
  <c r="V3220" i="1"/>
  <c r="W3220" i="1"/>
  <c r="AB3220" i="1"/>
  <c r="AF3220" i="1"/>
  <c r="K3221" i="1"/>
  <c r="AC3221" i="1"/>
  <c r="AJ3220" i="1"/>
  <c r="AK3220" i="1"/>
  <c r="AM3220" i="1"/>
  <c r="BF3220" i="1"/>
  <c r="BG3220" i="1"/>
  <c r="T3221" i="1"/>
  <c r="U3221" i="1"/>
  <c r="V3221" i="1"/>
  <c r="W3221" i="1"/>
  <c r="AB3221" i="1"/>
  <c r="AF3221" i="1"/>
  <c r="AC3222" i="1"/>
  <c r="AJ3221" i="1"/>
  <c r="AK3221" i="1"/>
  <c r="AM3221" i="1"/>
  <c r="BF3221" i="1"/>
  <c r="BG3221" i="1"/>
  <c r="T3222" i="1"/>
  <c r="U3222" i="1"/>
  <c r="V3222" i="1"/>
  <c r="W3222" i="1"/>
  <c r="AB3222" i="1"/>
  <c r="AF3222" i="1"/>
  <c r="AC3223" i="1"/>
  <c r="AJ3222" i="1"/>
  <c r="AK3222" i="1"/>
  <c r="AM3222" i="1"/>
  <c r="BF3222" i="1"/>
  <c r="BG3222" i="1"/>
  <c r="T3223" i="1"/>
  <c r="U3223" i="1"/>
  <c r="V3223" i="1"/>
  <c r="W3223" i="1"/>
  <c r="AB3223" i="1"/>
  <c r="AF3223" i="1"/>
  <c r="K3224" i="1"/>
  <c r="AC3224" i="1"/>
  <c r="AJ3223" i="1"/>
  <c r="AK3223" i="1"/>
  <c r="AM3223" i="1"/>
  <c r="BF3223" i="1"/>
  <c r="BG3223" i="1"/>
  <c r="T3224" i="1"/>
  <c r="U3224" i="1"/>
  <c r="V3224" i="1"/>
  <c r="W3224" i="1"/>
  <c r="AB3224" i="1"/>
  <c r="AF3224" i="1"/>
  <c r="AC3225" i="1"/>
  <c r="AJ3224" i="1"/>
  <c r="AK3224" i="1"/>
  <c r="AM3224" i="1"/>
  <c r="BF3224" i="1"/>
  <c r="BG3224" i="1"/>
  <c r="T3225" i="1"/>
  <c r="U3225" i="1"/>
  <c r="V3225" i="1"/>
  <c r="W3225" i="1"/>
  <c r="AB3225" i="1"/>
  <c r="AF3225" i="1"/>
  <c r="AC3226" i="1"/>
  <c r="AJ3225" i="1"/>
  <c r="AK3225" i="1"/>
  <c r="AM3225" i="1"/>
  <c r="BF3225" i="1"/>
  <c r="BG3225" i="1"/>
  <c r="T3226" i="1"/>
  <c r="U3226" i="1"/>
  <c r="V3226" i="1"/>
  <c r="W3226" i="1"/>
  <c r="AB3226" i="1"/>
  <c r="AF3226" i="1"/>
  <c r="K3227" i="1"/>
  <c r="AC3227" i="1"/>
  <c r="AJ3226" i="1"/>
  <c r="AK3226" i="1"/>
  <c r="AM3226" i="1"/>
  <c r="BF3226" i="1"/>
  <c r="BG3226" i="1"/>
  <c r="T3227" i="1"/>
  <c r="U3227" i="1"/>
  <c r="V3227" i="1"/>
  <c r="W3227" i="1"/>
  <c r="AB3227" i="1"/>
  <c r="AF3227" i="1"/>
  <c r="AC3228" i="1"/>
  <c r="AJ3227" i="1"/>
  <c r="AK3227" i="1"/>
  <c r="AM3227" i="1"/>
  <c r="BF3227" i="1"/>
  <c r="BG3227" i="1"/>
  <c r="T3228" i="1"/>
  <c r="U3228" i="1"/>
  <c r="V3228" i="1"/>
  <c r="W3228" i="1"/>
  <c r="AB3228" i="1"/>
  <c r="AF3228" i="1"/>
  <c r="AC3229" i="1"/>
  <c r="AJ3228" i="1"/>
  <c r="AK3228" i="1"/>
  <c r="AM3228" i="1"/>
  <c r="BF3228" i="1"/>
  <c r="BG3228" i="1"/>
  <c r="T3229" i="1"/>
  <c r="U3229" i="1"/>
  <c r="V3229" i="1"/>
  <c r="W3229" i="1"/>
  <c r="AB3229" i="1"/>
  <c r="AF3229" i="1"/>
  <c r="K3230" i="1"/>
  <c r="AC3230" i="1"/>
  <c r="AJ3229" i="1"/>
  <c r="AK3229" i="1"/>
  <c r="AM3229" i="1"/>
  <c r="BF3229" i="1"/>
  <c r="BG3229" i="1"/>
  <c r="T3230" i="1"/>
  <c r="U3230" i="1"/>
  <c r="V3230" i="1"/>
  <c r="W3230" i="1"/>
  <c r="AB3230" i="1"/>
  <c r="AF3230" i="1"/>
  <c r="K3231" i="1"/>
  <c r="AC3231" i="1"/>
  <c r="AJ3230" i="1"/>
  <c r="AK3230" i="1"/>
  <c r="AM3230" i="1"/>
  <c r="BF3230" i="1"/>
  <c r="BG3230" i="1"/>
  <c r="T3231" i="1"/>
  <c r="U3231" i="1"/>
  <c r="V3231" i="1"/>
  <c r="W3231" i="1"/>
  <c r="AB3231" i="1"/>
  <c r="AF3231" i="1"/>
  <c r="AC3232" i="1"/>
  <c r="AJ3231" i="1"/>
  <c r="AK3231" i="1"/>
  <c r="AM3231" i="1"/>
  <c r="BF3231" i="1"/>
  <c r="BG3231" i="1"/>
  <c r="T3232" i="1"/>
  <c r="U3232" i="1"/>
  <c r="V3232" i="1"/>
  <c r="W3232" i="1"/>
  <c r="AB3232" i="1"/>
  <c r="AF3232" i="1"/>
  <c r="AC3233" i="1"/>
  <c r="AJ3232" i="1"/>
  <c r="AK3232" i="1"/>
  <c r="AM3232" i="1"/>
  <c r="BF3232" i="1"/>
  <c r="BG3232" i="1"/>
  <c r="T3233" i="1"/>
  <c r="U3233" i="1"/>
  <c r="V3233" i="1"/>
  <c r="W3233" i="1"/>
  <c r="AB3233" i="1"/>
  <c r="AF3233" i="1"/>
  <c r="K3234" i="1"/>
  <c r="AC3234" i="1"/>
  <c r="AJ3233" i="1"/>
  <c r="AK3233" i="1"/>
  <c r="AM3233" i="1"/>
  <c r="BF3233" i="1"/>
  <c r="BG3233" i="1"/>
  <c r="T3234" i="1"/>
  <c r="U3234" i="1"/>
  <c r="V3234" i="1"/>
  <c r="W3234" i="1"/>
  <c r="AB3234" i="1"/>
  <c r="AF3234" i="1"/>
  <c r="K3235" i="1"/>
  <c r="AC3235" i="1"/>
  <c r="AJ3234" i="1"/>
  <c r="AK3234" i="1"/>
  <c r="AM3234" i="1"/>
  <c r="BF3234" i="1"/>
  <c r="BG3234" i="1"/>
  <c r="T3235" i="1"/>
  <c r="U3235" i="1"/>
  <c r="V3235" i="1"/>
  <c r="W3235" i="1"/>
  <c r="AB3235" i="1"/>
  <c r="AF3235" i="1"/>
  <c r="K3236" i="1"/>
  <c r="AC3236" i="1"/>
  <c r="AJ3235" i="1"/>
  <c r="AK3235" i="1"/>
  <c r="AM3235" i="1"/>
  <c r="BF3235" i="1"/>
  <c r="BG3235" i="1"/>
  <c r="T3236" i="1"/>
  <c r="U3236" i="1"/>
  <c r="V3236" i="1"/>
  <c r="W3236" i="1"/>
  <c r="AB3236" i="1"/>
  <c r="AF3236" i="1"/>
  <c r="AC3237" i="1"/>
  <c r="AJ3236" i="1"/>
  <c r="AK3236" i="1"/>
  <c r="AM3236" i="1"/>
  <c r="BF3236" i="1"/>
  <c r="BG3236" i="1"/>
  <c r="T3237" i="1"/>
  <c r="U3237" i="1"/>
  <c r="V3237" i="1"/>
  <c r="W3237" i="1"/>
  <c r="AB3237" i="1"/>
  <c r="AF3237" i="1"/>
  <c r="AC3238" i="1"/>
  <c r="AJ3237" i="1"/>
  <c r="AK3237" i="1"/>
  <c r="AM3237" i="1"/>
  <c r="BF3237" i="1"/>
  <c r="BG3237" i="1"/>
  <c r="T3238" i="1"/>
  <c r="U3238" i="1"/>
  <c r="V3238" i="1"/>
  <c r="W3238" i="1"/>
  <c r="AB3238" i="1"/>
  <c r="AF3238" i="1"/>
  <c r="K3239" i="1"/>
  <c r="AC3239" i="1"/>
  <c r="AJ3238" i="1"/>
  <c r="AK3238" i="1"/>
  <c r="AM3238" i="1"/>
  <c r="BF3238" i="1"/>
  <c r="BG3238" i="1"/>
  <c r="T3239" i="1"/>
  <c r="U3239" i="1"/>
  <c r="V3239" i="1"/>
  <c r="W3239" i="1"/>
  <c r="AB3239" i="1"/>
  <c r="AF3239" i="1"/>
  <c r="K3240" i="1"/>
  <c r="AC3240" i="1"/>
  <c r="AJ3239" i="1"/>
  <c r="AK3239" i="1"/>
  <c r="AM3239" i="1"/>
  <c r="BF3239" i="1"/>
  <c r="BG3239" i="1"/>
  <c r="T3240" i="1"/>
  <c r="U3240" i="1"/>
  <c r="V3240" i="1"/>
  <c r="W3240" i="1"/>
  <c r="AB3240" i="1"/>
  <c r="AF3240" i="1"/>
  <c r="K3241" i="1"/>
  <c r="AC3241" i="1"/>
  <c r="AJ3240" i="1"/>
  <c r="AK3240" i="1"/>
  <c r="AM3240" i="1"/>
  <c r="BF3240" i="1"/>
  <c r="BG3240" i="1"/>
  <c r="T3241" i="1"/>
  <c r="U3241" i="1"/>
  <c r="V3241" i="1"/>
  <c r="W3241" i="1"/>
  <c r="AB3241" i="1"/>
  <c r="AF3241" i="1"/>
  <c r="AC3242" i="1"/>
  <c r="AJ3241" i="1"/>
  <c r="AK3241" i="1"/>
  <c r="AM3241" i="1"/>
  <c r="BF3241" i="1"/>
  <c r="BG3241" i="1"/>
  <c r="T3242" i="1"/>
  <c r="U3242" i="1"/>
  <c r="V3242" i="1"/>
  <c r="W3242" i="1"/>
  <c r="AB3242" i="1"/>
  <c r="AF3242" i="1"/>
  <c r="AC3243" i="1"/>
  <c r="AJ3242" i="1"/>
  <c r="AK3242" i="1"/>
  <c r="AM3242" i="1"/>
  <c r="BF3242" i="1"/>
  <c r="BG3242" i="1"/>
  <c r="T3243" i="1"/>
  <c r="U3243" i="1"/>
  <c r="V3243" i="1"/>
  <c r="W3243" i="1"/>
  <c r="AB3243" i="1"/>
  <c r="AF3243" i="1"/>
  <c r="K3244" i="1"/>
  <c r="AC3244" i="1"/>
  <c r="AJ3243" i="1"/>
  <c r="AK3243" i="1"/>
  <c r="AM3243" i="1"/>
  <c r="BF3243" i="1"/>
  <c r="BG3243" i="1"/>
  <c r="T3244" i="1"/>
  <c r="U3244" i="1"/>
  <c r="V3244" i="1"/>
  <c r="W3244" i="1"/>
  <c r="AB3244" i="1"/>
  <c r="AF3244" i="1"/>
  <c r="K3245" i="1"/>
  <c r="AC3245" i="1"/>
  <c r="AJ3244" i="1"/>
  <c r="AK3244" i="1"/>
  <c r="AM3244" i="1"/>
  <c r="BF3244" i="1"/>
  <c r="BG3244" i="1"/>
  <c r="T3245" i="1"/>
  <c r="U3245" i="1"/>
  <c r="V3245" i="1"/>
  <c r="W3245" i="1"/>
  <c r="AB3245" i="1"/>
  <c r="AF3245" i="1"/>
  <c r="AC3246" i="1"/>
  <c r="AJ3245" i="1"/>
  <c r="AK3245" i="1"/>
  <c r="AM3245" i="1"/>
  <c r="BF3245" i="1"/>
  <c r="BG3245" i="1"/>
  <c r="T3246" i="1"/>
  <c r="U3246" i="1"/>
  <c r="V3246" i="1"/>
  <c r="W3246" i="1"/>
  <c r="AB3246" i="1"/>
  <c r="AF3246" i="1"/>
  <c r="AC3247" i="1"/>
  <c r="AJ3246" i="1"/>
  <c r="AK3246" i="1"/>
  <c r="AM3246" i="1"/>
  <c r="BF3246" i="1"/>
  <c r="BG3246" i="1"/>
  <c r="T3247" i="1"/>
  <c r="U3247" i="1"/>
  <c r="V3247" i="1"/>
  <c r="W3247" i="1"/>
  <c r="AB3247" i="1"/>
  <c r="AF3247" i="1"/>
  <c r="K3248" i="1"/>
  <c r="AC3248" i="1"/>
  <c r="AJ3247" i="1"/>
  <c r="AK3247" i="1"/>
  <c r="AM3247" i="1"/>
  <c r="BF3247" i="1"/>
  <c r="BG3247" i="1"/>
  <c r="T3248" i="1"/>
  <c r="U3248" i="1"/>
  <c r="V3248" i="1"/>
  <c r="W3248" i="1"/>
  <c r="AB3248" i="1"/>
  <c r="AF3248" i="1"/>
  <c r="AC3249" i="1"/>
  <c r="AJ3248" i="1"/>
  <c r="AK3248" i="1"/>
  <c r="AM3248" i="1"/>
  <c r="BF3248" i="1"/>
  <c r="BG3248" i="1"/>
  <c r="T3249" i="1"/>
  <c r="U3249" i="1"/>
  <c r="V3249" i="1"/>
  <c r="W3249" i="1"/>
  <c r="AB3249" i="1"/>
  <c r="AF3249" i="1"/>
  <c r="AC3250" i="1"/>
  <c r="AJ3249" i="1"/>
  <c r="AK3249" i="1"/>
  <c r="AM3249" i="1"/>
  <c r="BF3249" i="1"/>
  <c r="BG3249" i="1"/>
  <c r="T3250" i="1"/>
  <c r="U3250" i="1"/>
  <c r="V3250" i="1"/>
  <c r="W3250" i="1"/>
  <c r="AB3250" i="1"/>
  <c r="AF3250" i="1"/>
  <c r="K3251" i="1"/>
  <c r="AC3251" i="1"/>
  <c r="AJ3250" i="1"/>
  <c r="AK3250" i="1"/>
  <c r="AM3250" i="1"/>
  <c r="BF3250" i="1"/>
  <c r="BG3250" i="1"/>
  <c r="T3251" i="1"/>
  <c r="U3251" i="1"/>
  <c r="V3251" i="1"/>
  <c r="W3251" i="1"/>
  <c r="AB3251" i="1"/>
  <c r="AF3251" i="1"/>
  <c r="K3252" i="1"/>
  <c r="AC3252" i="1"/>
  <c r="AJ3251" i="1"/>
  <c r="AK3251" i="1"/>
  <c r="AM3251" i="1"/>
  <c r="BF3251" i="1"/>
  <c r="BG3251" i="1"/>
  <c r="T3252" i="1"/>
  <c r="U3252" i="1"/>
  <c r="V3252" i="1"/>
  <c r="W3252" i="1"/>
  <c r="AB3252" i="1"/>
  <c r="AF3252" i="1"/>
  <c r="K3253" i="1"/>
  <c r="AC3253" i="1"/>
  <c r="AJ3252" i="1"/>
  <c r="AK3252" i="1"/>
  <c r="AM3252" i="1"/>
  <c r="BF3252" i="1"/>
  <c r="BG3252" i="1"/>
  <c r="T3253" i="1"/>
  <c r="U3253" i="1"/>
  <c r="V3253" i="1"/>
  <c r="W3253" i="1"/>
  <c r="AB3253" i="1"/>
  <c r="AF3253" i="1"/>
  <c r="K3254" i="1"/>
  <c r="AC3254" i="1"/>
  <c r="AJ3253" i="1"/>
  <c r="AK3253" i="1"/>
  <c r="AM3253" i="1"/>
  <c r="BF3253" i="1"/>
  <c r="BG3253" i="1"/>
  <c r="T3254" i="1"/>
  <c r="U3254" i="1"/>
  <c r="V3254" i="1"/>
  <c r="W3254" i="1"/>
  <c r="AB3254" i="1"/>
  <c r="AF3254" i="1"/>
  <c r="K3255" i="1"/>
  <c r="AC3255" i="1"/>
  <c r="AJ3254" i="1"/>
  <c r="AK3254" i="1"/>
  <c r="AM3254" i="1"/>
  <c r="BF3254" i="1"/>
  <c r="BG3254" i="1"/>
  <c r="T3255" i="1"/>
  <c r="U3255" i="1"/>
  <c r="V3255" i="1"/>
  <c r="W3255" i="1"/>
  <c r="AB3255" i="1"/>
  <c r="AF3255" i="1"/>
  <c r="AC3256" i="1"/>
  <c r="AJ3255" i="1"/>
  <c r="AK3255" i="1"/>
  <c r="AM3255" i="1"/>
  <c r="BF3255" i="1"/>
  <c r="BG3255" i="1"/>
  <c r="T3256" i="1"/>
  <c r="U3256" i="1"/>
  <c r="V3256" i="1"/>
  <c r="W3256" i="1"/>
  <c r="AB3256" i="1"/>
  <c r="AF3256" i="1"/>
  <c r="AC3257" i="1"/>
  <c r="AJ3256" i="1"/>
  <c r="AK3256" i="1"/>
  <c r="AM3256" i="1"/>
  <c r="BF3256" i="1"/>
  <c r="BG3256" i="1"/>
  <c r="T3257" i="1"/>
  <c r="U3257" i="1"/>
  <c r="V3257" i="1"/>
  <c r="W3257" i="1"/>
  <c r="AB3257" i="1"/>
  <c r="AF3257" i="1"/>
  <c r="K3258" i="1"/>
  <c r="AC3258" i="1"/>
  <c r="AJ3257" i="1"/>
  <c r="AK3257" i="1"/>
  <c r="AM3257" i="1"/>
  <c r="BF3257" i="1"/>
  <c r="BG3257" i="1"/>
  <c r="T3258" i="1"/>
  <c r="U3258" i="1"/>
  <c r="V3258" i="1"/>
  <c r="W3258" i="1"/>
  <c r="AB3258" i="1"/>
  <c r="AF3258" i="1"/>
  <c r="AC3259" i="1"/>
  <c r="AJ3258" i="1"/>
  <c r="AK3258" i="1"/>
  <c r="AM3258" i="1"/>
  <c r="BF3258" i="1"/>
  <c r="BG3258" i="1"/>
  <c r="T3259" i="1"/>
  <c r="U3259" i="1"/>
  <c r="V3259" i="1"/>
  <c r="W3259" i="1"/>
  <c r="AB3259" i="1"/>
  <c r="AF3259" i="1"/>
  <c r="AC3260" i="1"/>
  <c r="AJ3259" i="1"/>
  <c r="AK3259" i="1"/>
  <c r="AM3259" i="1"/>
  <c r="BF3259" i="1"/>
  <c r="BG3259" i="1"/>
  <c r="T3260" i="1"/>
  <c r="U3260" i="1"/>
  <c r="V3260" i="1"/>
  <c r="W3260" i="1"/>
  <c r="AB3260" i="1"/>
  <c r="AF3260" i="1"/>
  <c r="K3261" i="1"/>
  <c r="AC3261" i="1"/>
  <c r="AJ3260" i="1"/>
  <c r="AK3260" i="1"/>
  <c r="AM3260" i="1"/>
  <c r="BF3260" i="1"/>
  <c r="BG3260" i="1"/>
  <c r="T3261" i="1"/>
  <c r="U3261" i="1"/>
  <c r="V3261" i="1"/>
  <c r="W3261" i="1"/>
  <c r="AB3261" i="1"/>
  <c r="AF3261" i="1"/>
  <c r="K3262" i="1"/>
  <c r="AC3262" i="1"/>
  <c r="AJ3261" i="1"/>
  <c r="AK3261" i="1"/>
  <c r="AM3261" i="1"/>
  <c r="BF3261" i="1"/>
  <c r="BG3261" i="1"/>
  <c r="T3262" i="1"/>
  <c r="U3262" i="1"/>
  <c r="V3262" i="1"/>
  <c r="W3262" i="1"/>
  <c r="AB3262" i="1"/>
  <c r="AF3262" i="1"/>
  <c r="AC3263" i="1"/>
  <c r="AJ3262" i="1"/>
  <c r="AK3262" i="1"/>
  <c r="AM3262" i="1"/>
  <c r="BF3262" i="1"/>
  <c r="BG3262" i="1"/>
  <c r="T3263" i="1"/>
  <c r="U3263" i="1"/>
  <c r="V3263" i="1"/>
  <c r="W3263" i="1"/>
  <c r="AB3263" i="1"/>
  <c r="AF3263" i="1"/>
  <c r="AC3264" i="1"/>
  <c r="AJ3263" i="1"/>
  <c r="AK3263" i="1"/>
  <c r="AM3263" i="1"/>
  <c r="BF3263" i="1"/>
  <c r="BG3263" i="1"/>
  <c r="T3264" i="1"/>
  <c r="U3264" i="1"/>
  <c r="V3264" i="1"/>
  <c r="W3264" i="1"/>
  <c r="AB3264" i="1"/>
  <c r="AF3264" i="1"/>
  <c r="K3265" i="1"/>
  <c r="AC3265" i="1"/>
  <c r="AJ3264" i="1"/>
  <c r="AK3264" i="1"/>
  <c r="AM3264" i="1"/>
  <c r="BF3264" i="1"/>
  <c r="BG3264" i="1"/>
  <c r="T3265" i="1"/>
  <c r="U3265" i="1"/>
  <c r="V3265" i="1"/>
  <c r="W3265" i="1"/>
  <c r="AB3265" i="1"/>
  <c r="AF3265" i="1"/>
  <c r="K3266" i="1"/>
  <c r="AC3266" i="1"/>
  <c r="AJ3265" i="1"/>
  <c r="AK3265" i="1"/>
  <c r="AM3265" i="1"/>
  <c r="BF3265" i="1"/>
  <c r="BG3265" i="1"/>
  <c r="T3266" i="1"/>
  <c r="U3266" i="1"/>
  <c r="V3266" i="1"/>
  <c r="W3266" i="1"/>
  <c r="AB3266" i="1"/>
  <c r="AF3266" i="1"/>
  <c r="K3267" i="1"/>
  <c r="AC3267" i="1"/>
  <c r="AJ3266" i="1"/>
  <c r="AK3266" i="1"/>
  <c r="AM3266" i="1"/>
  <c r="BF3266" i="1"/>
  <c r="BG3266" i="1"/>
  <c r="T3267" i="1"/>
  <c r="U3267" i="1"/>
  <c r="V3267" i="1"/>
  <c r="W3267" i="1"/>
  <c r="AB3267" i="1"/>
  <c r="AF3267" i="1"/>
  <c r="K3268" i="1"/>
  <c r="AC3268" i="1"/>
  <c r="AJ3267" i="1"/>
  <c r="AK3267" i="1"/>
  <c r="AM3267" i="1"/>
  <c r="BF3267" i="1"/>
  <c r="BG3267" i="1"/>
  <c r="T3268" i="1"/>
  <c r="U3268" i="1"/>
  <c r="V3268" i="1"/>
  <c r="W3268" i="1"/>
  <c r="AB3268" i="1"/>
  <c r="AF3268" i="1"/>
  <c r="K3269" i="1"/>
  <c r="AC3269" i="1"/>
  <c r="AJ3268" i="1"/>
  <c r="AK3268" i="1"/>
  <c r="AM3268" i="1"/>
  <c r="BF3268" i="1"/>
  <c r="BG3268" i="1"/>
  <c r="T3269" i="1"/>
  <c r="U3269" i="1"/>
  <c r="V3269" i="1"/>
  <c r="W3269" i="1"/>
  <c r="AB3269" i="1"/>
  <c r="AF3269" i="1"/>
  <c r="K3270" i="1"/>
  <c r="AC3270" i="1"/>
  <c r="AJ3269" i="1"/>
  <c r="AK3269" i="1"/>
  <c r="AM3269" i="1"/>
  <c r="BF3269" i="1"/>
  <c r="BG3269" i="1"/>
  <c r="T3270" i="1"/>
  <c r="U3270" i="1"/>
  <c r="V3270" i="1"/>
  <c r="W3270" i="1"/>
  <c r="AB3270" i="1"/>
  <c r="AF3270" i="1"/>
  <c r="K3271" i="1"/>
  <c r="AC3271" i="1"/>
  <c r="AJ3270" i="1"/>
  <c r="AK3270" i="1"/>
  <c r="AM3270" i="1"/>
  <c r="BF3270" i="1"/>
  <c r="BG3270" i="1"/>
  <c r="T3271" i="1"/>
  <c r="U3271" i="1"/>
  <c r="V3271" i="1"/>
  <c r="W3271" i="1"/>
  <c r="AB3271" i="1"/>
  <c r="AF3271" i="1"/>
  <c r="K3272" i="1"/>
  <c r="AC3272" i="1"/>
  <c r="AJ3271" i="1"/>
  <c r="AK3271" i="1"/>
  <c r="AM3271" i="1"/>
  <c r="BF3271" i="1"/>
  <c r="BG3271" i="1"/>
  <c r="T3272" i="1"/>
  <c r="U3272" i="1"/>
  <c r="V3272" i="1"/>
  <c r="W3272" i="1"/>
  <c r="AB3272" i="1"/>
  <c r="AF3272" i="1"/>
  <c r="K3273" i="1"/>
  <c r="AC3273" i="1"/>
  <c r="AJ3272" i="1"/>
  <c r="AK3272" i="1"/>
  <c r="AM3272" i="1"/>
  <c r="BF3272" i="1"/>
  <c r="BG3272" i="1"/>
  <c r="T3273" i="1"/>
  <c r="U3273" i="1"/>
  <c r="V3273" i="1"/>
  <c r="W3273" i="1"/>
  <c r="AB3273" i="1"/>
  <c r="AF3273" i="1"/>
  <c r="K3274" i="1"/>
  <c r="AC3274" i="1"/>
  <c r="AJ3273" i="1"/>
  <c r="AK3273" i="1"/>
  <c r="AM3273" i="1"/>
  <c r="BF3273" i="1"/>
  <c r="BG3273" i="1"/>
  <c r="T3274" i="1"/>
  <c r="U3274" i="1"/>
  <c r="V3274" i="1"/>
  <c r="W3274" i="1"/>
  <c r="AB3274" i="1"/>
  <c r="AF3274" i="1"/>
  <c r="K3275" i="1"/>
  <c r="AC3275" i="1"/>
  <c r="AJ3274" i="1"/>
  <c r="AK3274" i="1"/>
  <c r="AM3274" i="1"/>
  <c r="BF3274" i="1"/>
  <c r="BG3274" i="1"/>
  <c r="T3275" i="1"/>
  <c r="U3275" i="1"/>
  <c r="V3275" i="1"/>
  <c r="W3275" i="1"/>
  <c r="AB3275" i="1"/>
  <c r="AF3275" i="1"/>
  <c r="K3276" i="1"/>
  <c r="AC3276" i="1"/>
  <c r="AJ3275" i="1"/>
  <c r="AK3275" i="1"/>
  <c r="AM3275" i="1"/>
  <c r="BF3275" i="1"/>
  <c r="BG3275" i="1"/>
  <c r="T3276" i="1"/>
  <c r="U3276" i="1"/>
  <c r="V3276" i="1"/>
  <c r="W3276" i="1"/>
  <c r="AB3276" i="1"/>
  <c r="AF3276" i="1"/>
  <c r="K3277" i="1"/>
  <c r="AC3277" i="1"/>
  <c r="AJ3276" i="1"/>
  <c r="AK3276" i="1"/>
  <c r="AM3276" i="1"/>
  <c r="BF3276" i="1"/>
  <c r="BG3276" i="1"/>
  <c r="T3277" i="1"/>
  <c r="U3277" i="1"/>
  <c r="V3277" i="1"/>
  <c r="W3277" i="1"/>
  <c r="AB3277" i="1"/>
  <c r="AF3277" i="1"/>
  <c r="K3278" i="1"/>
  <c r="AC3278" i="1"/>
  <c r="AJ3277" i="1"/>
  <c r="AK3277" i="1"/>
  <c r="AM3277" i="1"/>
  <c r="BF3277" i="1"/>
  <c r="BG3277" i="1"/>
  <c r="T3278" i="1"/>
  <c r="U3278" i="1"/>
  <c r="V3278" i="1"/>
  <c r="W3278" i="1"/>
  <c r="AB3278" i="1"/>
  <c r="AF3278" i="1"/>
  <c r="K3279" i="1"/>
  <c r="AC3279" i="1"/>
  <c r="AJ3278" i="1"/>
  <c r="AK3278" i="1"/>
  <c r="AM3278" i="1"/>
  <c r="BF3278" i="1"/>
  <c r="BG3278" i="1"/>
  <c r="T3279" i="1"/>
  <c r="U3279" i="1"/>
  <c r="V3279" i="1"/>
  <c r="W3279" i="1"/>
  <c r="AB3279" i="1"/>
  <c r="AF3279" i="1"/>
  <c r="AC3280" i="1"/>
  <c r="AJ3279" i="1"/>
  <c r="AK3279" i="1"/>
  <c r="AM3279" i="1"/>
  <c r="BF3279" i="1"/>
  <c r="BG3279" i="1"/>
  <c r="T3280" i="1"/>
  <c r="U3280" i="1"/>
  <c r="V3280" i="1"/>
  <c r="W3280" i="1"/>
  <c r="AB3280" i="1"/>
  <c r="AF3280" i="1"/>
  <c r="AC3281" i="1"/>
  <c r="AJ3280" i="1"/>
  <c r="AK3280" i="1"/>
  <c r="AM3280" i="1"/>
  <c r="BF3280" i="1"/>
  <c r="BG3280" i="1"/>
  <c r="T3281" i="1"/>
  <c r="U3281" i="1"/>
  <c r="V3281" i="1"/>
  <c r="W3281" i="1"/>
  <c r="AB3281" i="1"/>
  <c r="AF3281" i="1"/>
  <c r="K3282" i="1"/>
  <c r="AC3282" i="1"/>
  <c r="AJ3281" i="1"/>
  <c r="AK3281" i="1"/>
  <c r="AM3281" i="1"/>
  <c r="BF3281" i="1"/>
  <c r="BG3281" i="1"/>
  <c r="T3282" i="1"/>
  <c r="U3282" i="1"/>
  <c r="V3282" i="1"/>
  <c r="W3282" i="1"/>
  <c r="AB3282" i="1"/>
  <c r="AF3282" i="1"/>
  <c r="K3283" i="1"/>
  <c r="AC3283" i="1"/>
  <c r="AJ3282" i="1"/>
  <c r="AK3282" i="1"/>
  <c r="AM3282" i="1"/>
  <c r="BF3282" i="1"/>
  <c r="BG3282" i="1"/>
  <c r="T3283" i="1"/>
  <c r="U3283" i="1"/>
  <c r="V3283" i="1"/>
  <c r="W3283" i="1"/>
  <c r="AB3283" i="1"/>
  <c r="AF3283" i="1"/>
  <c r="K3284" i="1"/>
  <c r="AC3284" i="1"/>
  <c r="AJ3283" i="1"/>
  <c r="AK3283" i="1"/>
  <c r="AM3283" i="1"/>
  <c r="BF3283" i="1"/>
  <c r="BG3283" i="1"/>
  <c r="T3284" i="1"/>
  <c r="U3284" i="1"/>
  <c r="V3284" i="1"/>
  <c r="W3284" i="1"/>
  <c r="AB3284" i="1"/>
  <c r="AF3284" i="1"/>
  <c r="AC3285" i="1"/>
  <c r="AJ3284" i="1"/>
  <c r="AK3284" i="1"/>
  <c r="AM3284" i="1"/>
  <c r="BF3284" i="1"/>
  <c r="BG3284" i="1"/>
  <c r="T3285" i="1"/>
  <c r="U3285" i="1"/>
  <c r="V3285" i="1"/>
  <c r="W3285" i="1"/>
  <c r="AB3285" i="1"/>
  <c r="AF3285" i="1"/>
  <c r="AC3286" i="1"/>
  <c r="AJ3285" i="1"/>
  <c r="AK3285" i="1"/>
  <c r="AM3285" i="1"/>
  <c r="BF3285" i="1"/>
  <c r="BG3285" i="1"/>
  <c r="T3286" i="1"/>
  <c r="U3286" i="1"/>
  <c r="V3286" i="1"/>
  <c r="W3286" i="1"/>
  <c r="AB3286" i="1"/>
  <c r="AF3286" i="1"/>
  <c r="K3287" i="1"/>
  <c r="AC3287" i="1"/>
  <c r="AJ3286" i="1"/>
  <c r="AK3286" i="1"/>
  <c r="AM3286" i="1"/>
  <c r="BF3286" i="1"/>
  <c r="BG3286" i="1"/>
  <c r="T3287" i="1"/>
  <c r="U3287" i="1"/>
  <c r="V3287" i="1"/>
  <c r="W3287" i="1"/>
  <c r="AB3287" i="1"/>
  <c r="AF3287" i="1"/>
  <c r="K3288" i="1"/>
  <c r="AC3288" i="1"/>
  <c r="AJ3287" i="1"/>
  <c r="AK3287" i="1"/>
  <c r="AM3287" i="1"/>
  <c r="BF3287" i="1"/>
  <c r="BG3287" i="1"/>
  <c r="T3288" i="1"/>
  <c r="U3288" i="1"/>
  <c r="V3288" i="1"/>
  <c r="W3288" i="1"/>
  <c r="AB3288" i="1"/>
  <c r="AF3288" i="1"/>
  <c r="K3289" i="1"/>
  <c r="AC3289" i="1"/>
  <c r="AJ3288" i="1"/>
  <c r="AK3288" i="1"/>
  <c r="AM3288" i="1"/>
  <c r="BF3288" i="1"/>
  <c r="BG3288" i="1"/>
  <c r="T3289" i="1"/>
  <c r="U3289" i="1"/>
  <c r="V3289" i="1"/>
  <c r="W3289" i="1"/>
  <c r="AB3289" i="1"/>
  <c r="AF3289" i="1"/>
  <c r="AC3290" i="1"/>
  <c r="AJ3289" i="1"/>
  <c r="AK3289" i="1"/>
  <c r="AM3289" i="1"/>
  <c r="BF3289" i="1"/>
  <c r="BG3289" i="1"/>
  <c r="T3290" i="1"/>
  <c r="U3290" i="1"/>
  <c r="V3290" i="1"/>
  <c r="W3290" i="1"/>
  <c r="AB3290" i="1"/>
  <c r="AF3290" i="1"/>
  <c r="AC3291" i="1"/>
  <c r="AJ3290" i="1"/>
  <c r="AK3290" i="1"/>
  <c r="AM3290" i="1"/>
  <c r="BF3290" i="1"/>
  <c r="BG3290" i="1"/>
  <c r="T3291" i="1"/>
  <c r="U3291" i="1"/>
  <c r="V3291" i="1"/>
  <c r="W3291" i="1"/>
  <c r="AB3291" i="1"/>
  <c r="AF3291" i="1"/>
  <c r="K3292" i="1"/>
  <c r="AC3292" i="1"/>
  <c r="AJ3291" i="1"/>
  <c r="AK3291" i="1"/>
  <c r="AM3291" i="1"/>
  <c r="BF3291" i="1"/>
  <c r="BG3291" i="1"/>
  <c r="T3292" i="1"/>
  <c r="U3292" i="1"/>
  <c r="V3292" i="1"/>
  <c r="W3292" i="1"/>
  <c r="AB3292" i="1"/>
  <c r="AF3292" i="1"/>
  <c r="AC3293" i="1"/>
  <c r="AJ3292" i="1"/>
  <c r="AK3292" i="1"/>
  <c r="AM3292" i="1"/>
  <c r="BF3292" i="1"/>
  <c r="BG3292" i="1"/>
  <c r="T3293" i="1"/>
  <c r="U3293" i="1"/>
  <c r="V3293" i="1"/>
  <c r="W3293" i="1"/>
  <c r="AB3293" i="1"/>
  <c r="AF3293" i="1"/>
  <c r="AC3294" i="1"/>
  <c r="AJ3293" i="1"/>
  <c r="AK3293" i="1"/>
  <c r="AM3293" i="1"/>
  <c r="BF3293" i="1"/>
  <c r="BG3293" i="1"/>
  <c r="T3294" i="1"/>
  <c r="U3294" i="1"/>
  <c r="V3294" i="1"/>
  <c r="W3294" i="1"/>
  <c r="AB3294" i="1"/>
  <c r="AF3294" i="1"/>
  <c r="K3295" i="1"/>
  <c r="AC3295" i="1"/>
  <c r="AJ3294" i="1"/>
  <c r="AK3294" i="1"/>
  <c r="AM3294" i="1"/>
  <c r="BF3294" i="1"/>
  <c r="BG3294" i="1"/>
  <c r="T3295" i="1"/>
  <c r="U3295" i="1"/>
  <c r="V3295" i="1"/>
  <c r="W3295" i="1"/>
  <c r="AB3295" i="1"/>
  <c r="AF3295" i="1"/>
  <c r="K3296" i="1"/>
  <c r="AC3296" i="1"/>
  <c r="AJ3295" i="1"/>
  <c r="AK3295" i="1"/>
  <c r="AM3295" i="1"/>
  <c r="BF3295" i="1"/>
  <c r="BG3295" i="1"/>
  <c r="T3296" i="1"/>
  <c r="U3296" i="1"/>
  <c r="V3296" i="1"/>
  <c r="W3296" i="1"/>
  <c r="AB3296" i="1"/>
  <c r="AF3296" i="1"/>
  <c r="AC3297" i="1"/>
  <c r="AJ3296" i="1"/>
  <c r="AK3296" i="1"/>
  <c r="AM3296" i="1"/>
  <c r="BF3296" i="1"/>
  <c r="BG3296" i="1"/>
  <c r="T3297" i="1"/>
  <c r="U3297" i="1"/>
  <c r="V3297" i="1"/>
  <c r="W3297" i="1"/>
  <c r="AB3297" i="1"/>
  <c r="AF3297" i="1"/>
  <c r="AC3298" i="1"/>
  <c r="AJ3297" i="1"/>
  <c r="AK3297" i="1"/>
  <c r="AM3297" i="1"/>
  <c r="BF3297" i="1"/>
  <c r="BG3297" i="1"/>
  <c r="T3298" i="1"/>
  <c r="U3298" i="1"/>
  <c r="V3298" i="1"/>
  <c r="W3298" i="1"/>
  <c r="AB3298" i="1"/>
  <c r="AF3298" i="1"/>
  <c r="K3299" i="1"/>
  <c r="AC3299" i="1"/>
  <c r="AJ3298" i="1"/>
  <c r="AK3298" i="1"/>
  <c r="AM3298" i="1"/>
  <c r="BF3298" i="1"/>
  <c r="BG3298" i="1"/>
  <c r="T3299" i="1"/>
  <c r="U3299" i="1"/>
  <c r="V3299" i="1"/>
  <c r="W3299" i="1"/>
  <c r="AB3299" i="1"/>
  <c r="AF3299" i="1"/>
  <c r="AC3300" i="1"/>
  <c r="AJ3299" i="1"/>
  <c r="AK3299" i="1"/>
  <c r="AM3299" i="1"/>
  <c r="BF3299" i="1"/>
  <c r="BG3299" i="1"/>
  <c r="T3300" i="1"/>
  <c r="U3300" i="1"/>
  <c r="V3300" i="1"/>
  <c r="W3300" i="1"/>
  <c r="AB3300" i="1"/>
  <c r="AF3300" i="1"/>
  <c r="AC3301" i="1"/>
  <c r="AJ3300" i="1"/>
  <c r="AK3300" i="1"/>
  <c r="AM3300" i="1"/>
  <c r="BF3300" i="1"/>
  <c r="BG3300" i="1"/>
  <c r="T3301" i="1"/>
  <c r="U3301" i="1"/>
  <c r="V3301" i="1"/>
  <c r="W3301" i="1"/>
  <c r="AB3301" i="1"/>
  <c r="AF3301" i="1"/>
  <c r="K3302" i="1"/>
  <c r="AC3302" i="1"/>
  <c r="AJ3301" i="1"/>
  <c r="AK3301" i="1"/>
  <c r="AM3301" i="1"/>
  <c r="BF3301" i="1"/>
  <c r="BG3301" i="1"/>
  <c r="T3302" i="1"/>
  <c r="U3302" i="1"/>
  <c r="V3302" i="1"/>
  <c r="W3302" i="1"/>
  <c r="AB3302" i="1"/>
  <c r="AF3302" i="1"/>
  <c r="K3303" i="1"/>
  <c r="AC3303" i="1"/>
  <c r="AJ3302" i="1"/>
  <c r="AK3302" i="1"/>
  <c r="AM3302" i="1"/>
  <c r="BF3302" i="1"/>
  <c r="BG3302" i="1"/>
  <c r="T3303" i="1"/>
  <c r="U3303" i="1"/>
  <c r="V3303" i="1"/>
  <c r="W3303" i="1"/>
  <c r="AB3303" i="1"/>
  <c r="AF3303" i="1"/>
  <c r="AC3304" i="1"/>
  <c r="AJ3303" i="1"/>
  <c r="AK3303" i="1"/>
  <c r="AM3303" i="1"/>
  <c r="BF3303" i="1"/>
  <c r="BG3303" i="1"/>
  <c r="T3304" i="1"/>
  <c r="U3304" i="1"/>
  <c r="V3304" i="1"/>
  <c r="W3304" i="1"/>
  <c r="AB3304" i="1"/>
  <c r="AF3304" i="1"/>
  <c r="AC3305" i="1"/>
  <c r="AJ3304" i="1"/>
  <c r="AK3304" i="1"/>
  <c r="AM3304" i="1"/>
  <c r="BF3304" i="1"/>
  <c r="BG3304" i="1"/>
  <c r="T3305" i="1"/>
  <c r="U3305" i="1"/>
  <c r="V3305" i="1"/>
  <c r="W3305" i="1"/>
  <c r="AB3305" i="1"/>
  <c r="AF3305" i="1"/>
  <c r="K3306" i="1"/>
  <c r="AC3306" i="1"/>
  <c r="AJ3305" i="1"/>
  <c r="AK3305" i="1"/>
  <c r="AM3305" i="1"/>
  <c r="BF3305" i="1"/>
  <c r="BG3305" i="1"/>
  <c r="T3306" i="1"/>
  <c r="U3306" i="1"/>
  <c r="V3306" i="1"/>
  <c r="W3306" i="1"/>
  <c r="AB3306" i="1"/>
  <c r="AF3306" i="1"/>
  <c r="K3307" i="1"/>
  <c r="AC3307" i="1"/>
  <c r="AJ3306" i="1"/>
  <c r="AK3306" i="1"/>
  <c r="AM3306" i="1"/>
  <c r="BF3306" i="1"/>
  <c r="BG3306" i="1"/>
  <c r="T3307" i="1"/>
  <c r="U3307" i="1"/>
  <c r="V3307" i="1"/>
  <c r="W3307" i="1"/>
  <c r="AB3307" i="1"/>
  <c r="AF3307" i="1"/>
  <c r="K3308" i="1"/>
  <c r="AC3308" i="1"/>
  <c r="AJ3307" i="1"/>
  <c r="AK3307" i="1"/>
  <c r="AM3307" i="1"/>
  <c r="BF3307" i="1"/>
  <c r="BG3307" i="1"/>
  <c r="T3308" i="1"/>
  <c r="U3308" i="1"/>
  <c r="V3308" i="1"/>
  <c r="W3308" i="1"/>
  <c r="AB3308" i="1"/>
  <c r="AF3308" i="1"/>
  <c r="K3309" i="1"/>
  <c r="AC3309" i="1"/>
  <c r="AJ3308" i="1"/>
  <c r="AK3308" i="1"/>
  <c r="AM3308" i="1"/>
  <c r="BF3308" i="1"/>
  <c r="BG3308" i="1"/>
  <c r="T3309" i="1"/>
  <c r="U3309" i="1"/>
  <c r="V3309" i="1"/>
  <c r="W3309" i="1"/>
  <c r="AB3309" i="1"/>
  <c r="AF3309" i="1"/>
  <c r="K3310" i="1"/>
  <c r="AC3310" i="1"/>
  <c r="AJ3309" i="1"/>
  <c r="AK3309" i="1"/>
  <c r="AM3309" i="1"/>
  <c r="BF3309" i="1"/>
  <c r="BG3309" i="1"/>
  <c r="T3310" i="1"/>
  <c r="U3310" i="1"/>
  <c r="V3310" i="1"/>
  <c r="W3310" i="1"/>
  <c r="AB3310" i="1"/>
  <c r="AF3310" i="1"/>
  <c r="AC3311" i="1"/>
  <c r="AJ3310" i="1"/>
  <c r="AK3310" i="1"/>
  <c r="AM3310" i="1"/>
  <c r="BF3310" i="1"/>
  <c r="BG3310" i="1"/>
  <c r="T3311" i="1"/>
  <c r="U3311" i="1"/>
  <c r="V3311" i="1"/>
  <c r="W3311" i="1"/>
  <c r="AB3311" i="1"/>
  <c r="AF3311" i="1"/>
  <c r="AC3312" i="1"/>
  <c r="AJ3311" i="1"/>
  <c r="AK3311" i="1"/>
  <c r="AM3311" i="1"/>
  <c r="BF3311" i="1"/>
  <c r="BG3311" i="1"/>
  <c r="T3312" i="1"/>
  <c r="U3312" i="1"/>
  <c r="V3312" i="1"/>
  <c r="W3312" i="1"/>
  <c r="AB3312" i="1"/>
  <c r="AF3312" i="1"/>
  <c r="K3313" i="1"/>
  <c r="AC3313" i="1"/>
  <c r="AJ3312" i="1"/>
  <c r="AK3312" i="1"/>
  <c r="AM3312" i="1"/>
  <c r="BF3312" i="1"/>
  <c r="BG3312" i="1"/>
  <c r="T3313" i="1"/>
  <c r="U3313" i="1"/>
  <c r="V3313" i="1"/>
  <c r="W3313" i="1"/>
  <c r="AB3313" i="1"/>
  <c r="AF3313" i="1"/>
  <c r="K3314" i="1"/>
  <c r="AC3314" i="1"/>
  <c r="AJ3313" i="1"/>
  <c r="AK3313" i="1"/>
  <c r="AM3313" i="1"/>
  <c r="BF3313" i="1"/>
  <c r="BG3313" i="1"/>
  <c r="T3314" i="1"/>
  <c r="U3314" i="1"/>
  <c r="V3314" i="1"/>
  <c r="W3314" i="1"/>
  <c r="AB3314" i="1"/>
  <c r="AF3314" i="1"/>
  <c r="K3315" i="1"/>
  <c r="AC3315" i="1"/>
  <c r="AJ3314" i="1"/>
  <c r="AK3314" i="1"/>
  <c r="AM3314" i="1"/>
  <c r="BF3314" i="1"/>
  <c r="BG3314" i="1"/>
  <c r="T3315" i="1"/>
  <c r="U3315" i="1"/>
  <c r="V3315" i="1"/>
  <c r="W3315" i="1"/>
  <c r="AB3315" i="1"/>
  <c r="AF3315" i="1"/>
  <c r="AC3316" i="1"/>
  <c r="AJ3315" i="1"/>
  <c r="AK3315" i="1"/>
  <c r="AM3315" i="1"/>
  <c r="BF3315" i="1"/>
  <c r="BG3315" i="1"/>
  <c r="T3316" i="1"/>
  <c r="U3316" i="1"/>
  <c r="V3316" i="1"/>
  <c r="W3316" i="1"/>
  <c r="AB3316" i="1"/>
  <c r="AF3316" i="1"/>
  <c r="AC3317" i="1"/>
  <c r="AJ3316" i="1"/>
  <c r="AK3316" i="1"/>
  <c r="AM3316" i="1"/>
  <c r="BF3316" i="1"/>
  <c r="BG3316" i="1"/>
  <c r="T3317" i="1"/>
  <c r="U3317" i="1"/>
  <c r="V3317" i="1"/>
  <c r="W3317" i="1"/>
  <c r="AB3317" i="1"/>
  <c r="AF3317" i="1"/>
  <c r="K3318" i="1"/>
  <c r="AC3318" i="1"/>
  <c r="AJ3317" i="1"/>
  <c r="AK3317" i="1"/>
  <c r="AM3317" i="1"/>
  <c r="BF3317" i="1"/>
  <c r="BG3317" i="1"/>
  <c r="T3318" i="1"/>
  <c r="U3318" i="1"/>
  <c r="V3318" i="1"/>
  <c r="W3318" i="1"/>
  <c r="AB3318" i="1"/>
  <c r="AF3318" i="1"/>
  <c r="AC3319" i="1"/>
  <c r="AJ3318" i="1"/>
  <c r="AK3318" i="1"/>
  <c r="AM3318" i="1"/>
  <c r="BF3318" i="1"/>
  <c r="BG3318" i="1"/>
  <c r="T3319" i="1"/>
  <c r="U3319" i="1"/>
  <c r="V3319" i="1"/>
  <c r="W3319" i="1"/>
  <c r="AB3319" i="1"/>
  <c r="AF3319" i="1"/>
  <c r="AC3320" i="1"/>
  <c r="AJ3319" i="1"/>
  <c r="AK3319" i="1"/>
  <c r="AM3319" i="1"/>
  <c r="BF3319" i="1"/>
  <c r="BG3319" i="1"/>
  <c r="T3320" i="1"/>
  <c r="U3320" i="1"/>
  <c r="V3320" i="1"/>
  <c r="W3320" i="1"/>
  <c r="AB3320" i="1"/>
  <c r="AF3320" i="1"/>
  <c r="K3321" i="1"/>
  <c r="AC3321" i="1"/>
  <c r="AJ3320" i="1"/>
  <c r="AK3320" i="1"/>
  <c r="AM3320" i="1"/>
  <c r="BF3320" i="1"/>
  <c r="BG3320" i="1"/>
  <c r="T3321" i="1"/>
  <c r="U3321" i="1"/>
  <c r="V3321" i="1"/>
  <c r="W3321" i="1"/>
  <c r="AB3321" i="1"/>
  <c r="AF3321" i="1"/>
  <c r="AC3322" i="1"/>
  <c r="AJ3321" i="1"/>
  <c r="AK3321" i="1"/>
  <c r="AM3321" i="1"/>
  <c r="BF3321" i="1"/>
  <c r="BG3321" i="1"/>
  <c r="T3322" i="1"/>
  <c r="U3322" i="1"/>
  <c r="V3322" i="1"/>
  <c r="W3322" i="1"/>
  <c r="AB3322" i="1"/>
  <c r="AF3322" i="1"/>
  <c r="AC3323" i="1"/>
  <c r="AJ3322" i="1"/>
  <c r="AK3322" i="1"/>
  <c r="AM3322" i="1"/>
  <c r="BF3322" i="1"/>
  <c r="BG3322" i="1"/>
  <c r="T3323" i="1"/>
  <c r="U3323" i="1"/>
  <c r="V3323" i="1"/>
  <c r="W3323" i="1"/>
  <c r="AB3323" i="1"/>
  <c r="AF3323" i="1"/>
  <c r="K3324" i="1"/>
  <c r="AC3324" i="1"/>
  <c r="AJ3323" i="1"/>
  <c r="AK3323" i="1"/>
  <c r="AM3323" i="1"/>
  <c r="BF3323" i="1"/>
  <c r="BG3323" i="1"/>
  <c r="T3324" i="1"/>
  <c r="U3324" i="1"/>
  <c r="V3324" i="1"/>
  <c r="W3324" i="1"/>
  <c r="AB3324" i="1"/>
  <c r="AF3324" i="1"/>
  <c r="AC3325" i="1"/>
  <c r="AJ3324" i="1"/>
  <c r="AK3324" i="1"/>
  <c r="AM3324" i="1"/>
  <c r="BF3324" i="1"/>
  <c r="BG3324" i="1"/>
  <c r="T3325" i="1"/>
  <c r="U3325" i="1"/>
  <c r="V3325" i="1"/>
  <c r="W3325" i="1"/>
  <c r="AB3325" i="1"/>
  <c r="AF3325" i="1"/>
  <c r="AC3326" i="1"/>
  <c r="AJ3325" i="1"/>
  <c r="AK3325" i="1"/>
  <c r="AM3325" i="1"/>
  <c r="BF3325" i="1"/>
  <c r="BG3325" i="1"/>
  <c r="T3326" i="1"/>
  <c r="U3326" i="1"/>
  <c r="V3326" i="1"/>
  <c r="W3326" i="1"/>
  <c r="AB3326" i="1"/>
  <c r="AF3326" i="1"/>
  <c r="K3327" i="1"/>
  <c r="AC3327" i="1"/>
  <c r="AJ3326" i="1"/>
  <c r="AK3326" i="1"/>
  <c r="AM3326" i="1"/>
  <c r="BF3326" i="1"/>
  <c r="BG3326" i="1"/>
  <c r="T3327" i="1"/>
  <c r="U3327" i="1"/>
  <c r="V3327" i="1"/>
  <c r="W3327" i="1"/>
  <c r="AB3327" i="1"/>
  <c r="AF3327" i="1"/>
  <c r="AC3328" i="1"/>
  <c r="AJ3327" i="1"/>
  <c r="AK3327" i="1"/>
  <c r="AM3327" i="1"/>
  <c r="BF3327" i="1"/>
  <c r="BG3327" i="1"/>
  <c r="T3328" i="1"/>
  <c r="U3328" i="1"/>
  <c r="V3328" i="1"/>
  <c r="W3328" i="1"/>
  <c r="AB3328" i="1"/>
  <c r="AF3328" i="1"/>
  <c r="AC3329" i="1"/>
  <c r="AJ3328" i="1"/>
  <c r="AK3328" i="1"/>
  <c r="AM3328" i="1"/>
  <c r="BF3328" i="1"/>
  <c r="BG3328" i="1"/>
  <c r="T3329" i="1"/>
  <c r="U3329" i="1"/>
  <c r="V3329" i="1"/>
  <c r="W3329" i="1"/>
  <c r="AB3329" i="1"/>
  <c r="AF3329" i="1"/>
  <c r="K3330" i="1"/>
  <c r="AC3330" i="1"/>
  <c r="AJ3329" i="1"/>
  <c r="AK3329" i="1"/>
  <c r="AM3329" i="1"/>
  <c r="BF3329" i="1"/>
  <c r="BG3329" i="1"/>
  <c r="T3330" i="1"/>
  <c r="U3330" i="1"/>
  <c r="V3330" i="1"/>
  <c r="W3330" i="1"/>
  <c r="AB3330" i="1"/>
  <c r="AF3330" i="1"/>
  <c r="K3331" i="1"/>
  <c r="AC3331" i="1"/>
  <c r="AJ3330" i="1"/>
  <c r="AK3330" i="1"/>
  <c r="AM3330" i="1"/>
  <c r="BF3330" i="1"/>
  <c r="BG3330" i="1"/>
  <c r="T3331" i="1"/>
  <c r="U3331" i="1"/>
  <c r="V3331" i="1"/>
  <c r="W3331" i="1"/>
  <c r="AB3331" i="1"/>
  <c r="AF3331" i="1"/>
  <c r="AC3332" i="1"/>
  <c r="AJ3331" i="1"/>
  <c r="AK3331" i="1"/>
  <c r="AM3331" i="1"/>
  <c r="BF3331" i="1"/>
  <c r="BG3331" i="1"/>
  <c r="T3332" i="1"/>
  <c r="U3332" i="1"/>
  <c r="V3332" i="1"/>
  <c r="W3332" i="1"/>
  <c r="AB3332" i="1"/>
  <c r="AF3332" i="1"/>
  <c r="AC3333" i="1"/>
  <c r="AJ3332" i="1"/>
  <c r="AK3332" i="1"/>
  <c r="AM3332" i="1"/>
  <c r="BF3332" i="1"/>
  <c r="BG3332" i="1"/>
  <c r="T3333" i="1"/>
  <c r="U3333" i="1"/>
  <c r="V3333" i="1"/>
  <c r="W3333" i="1"/>
  <c r="AB3333" i="1"/>
  <c r="AF3333" i="1"/>
  <c r="K3334" i="1"/>
  <c r="AC3334" i="1"/>
  <c r="AJ3333" i="1"/>
  <c r="AK3333" i="1"/>
  <c r="AM3333" i="1"/>
  <c r="BF3333" i="1"/>
  <c r="BG3333" i="1"/>
  <c r="T3334" i="1"/>
  <c r="U3334" i="1"/>
  <c r="V3334" i="1"/>
  <c r="W3334" i="1"/>
  <c r="AB3334" i="1"/>
  <c r="AF3334" i="1"/>
  <c r="K3335" i="1"/>
  <c r="AC3335" i="1"/>
  <c r="AJ3334" i="1"/>
  <c r="AK3334" i="1"/>
  <c r="AM3334" i="1"/>
  <c r="BF3334" i="1"/>
  <c r="BG3334" i="1"/>
  <c r="T3335" i="1"/>
  <c r="U3335" i="1"/>
  <c r="V3335" i="1"/>
  <c r="W3335" i="1"/>
  <c r="AB3335" i="1"/>
  <c r="AF3335" i="1"/>
  <c r="K3336" i="1"/>
  <c r="AC3336" i="1"/>
  <c r="AJ3335" i="1"/>
  <c r="AK3335" i="1"/>
  <c r="AM3335" i="1"/>
  <c r="BF3335" i="1"/>
  <c r="BG3335" i="1"/>
  <c r="T3336" i="1"/>
  <c r="U3336" i="1"/>
  <c r="V3336" i="1"/>
  <c r="W3336" i="1"/>
  <c r="AB3336" i="1"/>
  <c r="AF3336" i="1"/>
  <c r="K3337" i="1"/>
  <c r="AC3337" i="1"/>
  <c r="AJ3336" i="1"/>
  <c r="AK3336" i="1"/>
  <c r="AM3336" i="1"/>
  <c r="BF3336" i="1"/>
  <c r="BG3336" i="1"/>
  <c r="T3337" i="1"/>
  <c r="U3337" i="1"/>
  <c r="V3337" i="1"/>
  <c r="W3337" i="1"/>
  <c r="AB3337" i="1"/>
  <c r="AF3337" i="1"/>
  <c r="K3338" i="1"/>
  <c r="AC3338" i="1"/>
  <c r="AJ3337" i="1"/>
  <c r="AK3337" i="1"/>
  <c r="AM3337" i="1"/>
  <c r="BF3337" i="1"/>
  <c r="BG3337" i="1"/>
  <c r="T3338" i="1"/>
  <c r="U3338" i="1"/>
  <c r="V3338" i="1"/>
  <c r="W3338" i="1"/>
  <c r="AB3338" i="1"/>
  <c r="AF3338" i="1"/>
  <c r="K3339" i="1"/>
  <c r="AC3339" i="1"/>
  <c r="AJ3338" i="1"/>
  <c r="AK3338" i="1"/>
  <c r="AM3338" i="1"/>
  <c r="BF3338" i="1"/>
  <c r="BG3338" i="1"/>
  <c r="T3339" i="1"/>
  <c r="U3339" i="1"/>
  <c r="V3339" i="1"/>
  <c r="W3339" i="1"/>
  <c r="AB3339" i="1"/>
  <c r="AF3339" i="1"/>
  <c r="K3340" i="1"/>
  <c r="AC3340" i="1"/>
  <c r="AJ3339" i="1"/>
  <c r="AK3339" i="1"/>
  <c r="AM3339" i="1"/>
  <c r="BF3339" i="1"/>
  <c r="BG3339" i="1"/>
  <c r="T3340" i="1"/>
  <c r="U3340" i="1"/>
  <c r="V3340" i="1"/>
  <c r="W3340" i="1"/>
  <c r="AB3340" i="1"/>
  <c r="AF3340" i="1"/>
  <c r="K3341" i="1"/>
  <c r="AC3341" i="1"/>
  <c r="AJ3340" i="1"/>
  <c r="AK3340" i="1"/>
  <c r="AM3340" i="1"/>
  <c r="BF3340" i="1"/>
  <c r="BG3340" i="1"/>
  <c r="T3341" i="1"/>
  <c r="U3341" i="1"/>
  <c r="V3341" i="1"/>
  <c r="W3341" i="1"/>
  <c r="AB3341" i="1"/>
  <c r="AF3341" i="1"/>
  <c r="K3342" i="1"/>
  <c r="AC3342" i="1"/>
  <c r="AJ3341" i="1"/>
  <c r="AK3341" i="1"/>
  <c r="AM3341" i="1"/>
  <c r="BF3341" i="1"/>
  <c r="BG3341" i="1"/>
  <c r="T3342" i="1"/>
  <c r="U3342" i="1"/>
  <c r="V3342" i="1"/>
  <c r="W3342" i="1"/>
  <c r="AB3342" i="1"/>
  <c r="AF3342" i="1"/>
  <c r="AC3343" i="1"/>
  <c r="AJ3342" i="1"/>
  <c r="AK3342" i="1"/>
  <c r="AM3342" i="1"/>
  <c r="BF3342" i="1"/>
  <c r="BG3342" i="1"/>
  <c r="T3343" i="1"/>
  <c r="U3343" i="1"/>
  <c r="V3343" i="1"/>
  <c r="W3343" i="1"/>
  <c r="AB3343" i="1"/>
  <c r="AF3343" i="1"/>
  <c r="AC3344" i="1"/>
  <c r="AJ3343" i="1"/>
  <c r="AK3343" i="1"/>
  <c r="AM3343" i="1"/>
  <c r="BF3343" i="1"/>
  <c r="BG3343" i="1"/>
  <c r="T3344" i="1"/>
  <c r="U3344" i="1"/>
  <c r="V3344" i="1"/>
  <c r="W3344" i="1"/>
  <c r="AB3344" i="1"/>
  <c r="AF3344" i="1"/>
  <c r="K3345" i="1"/>
  <c r="AC3345" i="1"/>
  <c r="AJ3344" i="1"/>
  <c r="AK3344" i="1"/>
  <c r="AM3344" i="1"/>
  <c r="BF3344" i="1"/>
  <c r="BG3344" i="1"/>
  <c r="T3345" i="1"/>
  <c r="U3345" i="1"/>
  <c r="V3345" i="1"/>
  <c r="W3345" i="1"/>
  <c r="AB3345" i="1"/>
  <c r="AF3345" i="1"/>
  <c r="AC3346" i="1"/>
  <c r="AJ3345" i="1"/>
  <c r="AK3345" i="1"/>
  <c r="AM3345" i="1"/>
  <c r="BF3345" i="1"/>
  <c r="BG3345" i="1"/>
  <c r="T3346" i="1"/>
  <c r="U3346" i="1"/>
  <c r="V3346" i="1"/>
  <c r="W3346" i="1"/>
  <c r="AB3346" i="1"/>
  <c r="AF3346" i="1"/>
  <c r="AC3347" i="1"/>
  <c r="AJ3346" i="1"/>
  <c r="AK3346" i="1"/>
  <c r="AM3346" i="1"/>
  <c r="BF3346" i="1"/>
  <c r="BG3346" i="1"/>
  <c r="T3347" i="1"/>
  <c r="U3347" i="1"/>
  <c r="V3347" i="1"/>
  <c r="W3347" i="1"/>
  <c r="AB3347" i="1"/>
  <c r="AF3347" i="1"/>
  <c r="K3348" i="1"/>
  <c r="AC3348" i="1"/>
  <c r="AJ3347" i="1"/>
  <c r="AK3347" i="1"/>
  <c r="AM3347" i="1"/>
  <c r="BF3347" i="1"/>
  <c r="BG3347" i="1"/>
  <c r="T3348" i="1"/>
  <c r="U3348" i="1"/>
  <c r="V3348" i="1"/>
  <c r="W3348" i="1"/>
  <c r="AB3348" i="1"/>
  <c r="AF3348" i="1"/>
  <c r="AC3349" i="1"/>
  <c r="AJ3348" i="1"/>
  <c r="AK3348" i="1"/>
  <c r="AM3348" i="1"/>
  <c r="BF3348" i="1"/>
  <c r="BG3348" i="1"/>
  <c r="T3349" i="1"/>
  <c r="U3349" i="1"/>
  <c r="V3349" i="1"/>
  <c r="W3349" i="1"/>
  <c r="AB3349" i="1"/>
  <c r="AF3349" i="1"/>
  <c r="AC3350" i="1"/>
  <c r="AJ3349" i="1"/>
  <c r="AK3349" i="1"/>
  <c r="AM3349" i="1"/>
  <c r="BF3349" i="1"/>
  <c r="BG3349" i="1"/>
  <c r="T3350" i="1"/>
  <c r="U3350" i="1"/>
  <c r="V3350" i="1"/>
  <c r="W3350" i="1"/>
  <c r="AB3350" i="1"/>
  <c r="AF3350" i="1"/>
  <c r="K3351" i="1"/>
  <c r="AC3351" i="1"/>
  <c r="AJ3350" i="1"/>
  <c r="AK3350" i="1"/>
  <c r="AM3350" i="1"/>
  <c r="BF3350" i="1"/>
  <c r="BG3350" i="1"/>
  <c r="T3351" i="1"/>
  <c r="U3351" i="1"/>
  <c r="V3351" i="1"/>
  <c r="W3351" i="1"/>
  <c r="AB3351" i="1"/>
  <c r="AF3351" i="1"/>
  <c r="AC3352" i="1"/>
  <c r="AJ3351" i="1"/>
  <c r="AK3351" i="1"/>
  <c r="AM3351" i="1"/>
  <c r="BF3351" i="1"/>
  <c r="BG3351" i="1"/>
  <c r="T3352" i="1"/>
  <c r="U3352" i="1"/>
  <c r="V3352" i="1"/>
  <c r="W3352" i="1"/>
  <c r="AB3352" i="1"/>
  <c r="AF3352" i="1"/>
  <c r="AC3353" i="1"/>
  <c r="AJ3352" i="1"/>
  <c r="AK3352" i="1"/>
  <c r="AM3352" i="1"/>
  <c r="BF3352" i="1"/>
  <c r="BG3352" i="1"/>
  <c r="T3353" i="1"/>
  <c r="U3353" i="1"/>
  <c r="V3353" i="1"/>
  <c r="W3353" i="1"/>
  <c r="AB3353" i="1"/>
  <c r="AF3353" i="1"/>
  <c r="K3354" i="1"/>
  <c r="AC3354" i="1"/>
  <c r="AJ3353" i="1"/>
  <c r="AK3353" i="1"/>
  <c r="AM3353" i="1"/>
  <c r="BF3353" i="1"/>
  <c r="BG3353" i="1"/>
  <c r="T3354" i="1"/>
  <c r="U3354" i="1"/>
  <c r="V3354" i="1"/>
  <c r="W3354" i="1"/>
  <c r="AB3354" i="1"/>
  <c r="AF3354" i="1"/>
  <c r="AC3355" i="1"/>
  <c r="AJ3354" i="1"/>
  <c r="AK3354" i="1"/>
  <c r="AM3354" i="1"/>
  <c r="BF3354" i="1"/>
  <c r="BG3354" i="1"/>
  <c r="T3355" i="1"/>
  <c r="U3355" i="1"/>
  <c r="V3355" i="1"/>
  <c r="W3355" i="1"/>
  <c r="AB3355" i="1"/>
  <c r="AF3355" i="1"/>
  <c r="AC3356" i="1"/>
  <c r="AJ3355" i="1"/>
  <c r="AK3355" i="1"/>
  <c r="AM3355" i="1"/>
  <c r="BF3355" i="1"/>
  <c r="BG3355" i="1"/>
  <c r="T3356" i="1"/>
  <c r="U3356" i="1"/>
  <c r="V3356" i="1"/>
  <c r="W3356" i="1"/>
  <c r="AB3356" i="1"/>
  <c r="AF3356" i="1"/>
  <c r="K3357" i="1"/>
  <c r="AC3357" i="1"/>
  <c r="AJ3356" i="1"/>
  <c r="AK3356" i="1"/>
  <c r="AM3356" i="1"/>
  <c r="BF3356" i="1"/>
  <c r="BG3356" i="1"/>
  <c r="T3357" i="1"/>
  <c r="U3357" i="1"/>
  <c r="V3357" i="1"/>
  <c r="W3357" i="1"/>
  <c r="AB3357" i="1"/>
  <c r="AF3357" i="1"/>
  <c r="K3358" i="1"/>
  <c r="AC3358" i="1"/>
  <c r="AJ3357" i="1"/>
  <c r="AK3357" i="1"/>
  <c r="AM3357" i="1"/>
  <c r="BF3357" i="1"/>
  <c r="BG3357" i="1"/>
  <c r="T3358" i="1"/>
  <c r="U3358" i="1"/>
  <c r="V3358" i="1"/>
  <c r="W3358" i="1"/>
  <c r="AB3358" i="1"/>
  <c r="AF3358" i="1"/>
  <c r="AC3359" i="1"/>
  <c r="AJ3358" i="1"/>
  <c r="AK3358" i="1"/>
  <c r="AM3358" i="1"/>
  <c r="BF3358" i="1"/>
  <c r="BG3358" i="1"/>
  <c r="T3359" i="1"/>
  <c r="U3359" i="1"/>
  <c r="V3359" i="1"/>
  <c r="W3359" i="1"/>
  <c r="AB3359" i="1"/>
  <c r="AF3359" i="1"/>
  <c r="AC3360" i="1"/>
  <c r="AJ3359" i="1"/>
  <c r="AK3359" i="1"/>
  <c r="AM3359" i="1"/>
  <c r="BF3359" i="1"/>
  <c r="BG3359" i="1"/>
  <c r="T3360" i="1"/>
  <c r="U3360" i="1"/>
  <c r="V3360" i="1"/>
  <c r="W3360" i="1"/>
  <c r="AB3360" i="1"/>
  <c r="AF3360" i="1"/>
  <c r="K3361" i="1"/>
  <c r="AC3361" i="1"/>
  <c r="AJ3360" i="1"/>
  <c r="AK3360" i="1"/>
  <c r="AM3360" i="1"/>
  <c r="BF3360" i="1"/>
  <c r="BG3360" i="1"/>
  <c r="T3361" i="1"/>
  <c r="U3361" i="1"/>
  <c r="V3361" i="1"/>
  <c r="W3361" i="1"/>
  <c r="AB3361" i="1"/>
  <c r="AF3361" i="1"/>
  <c r="AC3362" i="1"/>
  <c r="AJ3361" i="1"/>
  <c r="AK3361" i="1"/>
  <c r="AM3361" i="1"/>
  <c r="BF3361" i="1"/>
  <c r="BG3361" i="1"/>
  <c r="T3362" i="1"/>
  <c r="U3362" i="1"/>
  <c r="V3362" i="1"/>
  <c r="W3362" i="1"/>
  <c r="AB3362" i="1"/>
  <c r="AF3362" i="1"/>
  <c r="AC3363" i="1"/>
  <c r="AJ3362" i="1"/>
  <c r="AK3362" i="1"/>
  <c r="AM3362" i="1"/>
  <c r="BF3362" i="1"/>
  <c r="BG3362" i="1"/>
  <c r="T3363" i="1"/>
  <c r="U3363" i="1"/>
  <c r="V3363" i="1"/>
  <c r="W3363" i="1"/>
  <c r="AB3363" i="1"/>
  <c r="AF3363" i="1"/>
  <c r="K3364" i="1"/>
  <c r="AC3364" i="1"/>
  <c r="AJ3363" i="1"/>
  <c r="AK3363" i="1"/>
  <c r="AM3363" i="1"/>
  <c r="BF3363" i="1"/>
  <c r="BG3363" i="1"/>
  <c r="T3364" i="1"/>
  <c r="U3364" i="1"/>
  <c r="V3364" i="1"/>
  <c r="W3364" i="1"/>
  <c r="AB3364" i="1"/>
  <c r="AF3364" i="1"/>
  <c r="K3365" i="1"/>
  <c r="AC3365" i="1"/>
  <c r="AJ3364" i="1"/>
  <c r="AK3364" i="1"/>
  <c r="AM3364" i="1"/>
  <c r="BF3364" i="1"/>
  <c r="BG3364" i="1"/>
  <c r="T3365" i="1"/>
  <c r="U3365" i="1"/>
  <c r="V3365" i="1"/>
  <c r="W3365" i="1"/>
  <c r="AB3365" i="1"/>
  <c r="AF3365" i="1"/>
  <c r="K3366" i="1"/>
  <c r="AC3366" i="1"/>
  <c r="AJ3365" i="1"/>
  <c r="AK3365" i="1"/>
  <c r="AM3365" i="1"/>
  <c r="BF3365" i="1"/>
  <c r="BG3365" i="1"/>
  <c r="T3366" i="1"/>
  <c r="U3366" i="1"/>
  <c r="V3366" i="1"/>
  <c r="W3366" i="1"/>
  <c r="AB3366" i="1"/>
  <c r="AF3366" i="1"/>
  <c r="K3367" i="1"/>
  <c r="AC3367" i="1"/>
  <c r="AJ3366" i="1"/>
  <c r="AK3366" i="1"/>
  <c r="AM3366" i="1"/>
  <c r="BF3366" i="1"/>
  <c r="BG3366" i="1"/>
  <c r="T3367" i="1"/>
  <c r="U3367" i="1"/>
  <c r="V3367" i="1"/>
  <c r="W3367" i="1"/>
  <c r="AB3367" i="1"/>
  <c r="AF3367" i="1"/>
  <c r="AC3368" i="1"/>
  <c r="AJ3367" i="1"/>
  <c r="AK3367" i="1"/>
  <c r="AM3367" i="1"/>
  <c r="BF3367" i="1"/>
  <c r="BG3367" i="1"/>
  <c r="T3368" i="1"/>
  <c r="U3368" i="1"/>
  <c r="V3368" i="1"/>
  <c r="W3368" i="1"/>
  <c r="AB3368" i="1"/>
  <c r="AF3368" i="1"/>
  <c r="AC3369" i="1"/>
  <c r="AJ3368" i="1"/>
  <c r="AK3368" i="1"/>
  <c r="AM3368" i="1"/>
  <c r="BF3368" i="1"/>
  <c r="BG3368" i="1"/>
  <c r="T3369" i="1"/>
  <c r="U3369" i="1"/>
  <c r="V3369" i="1"/>
  <c r="W3369" i="1"/>
  <c r="AB3369" i="1"/>
  <c r="AF3369" i="1"/>
  <c r="K3370" i="1"/>
  <c r="AC3370" i="1"/>
  <c r="AJ3369" i="1"/>
  <c r="AK3369" i="1"/>
  <c r="AM3369" i="1"/>
  <c r="BF3369" i="1"/>
  <c r="BG3369" i="1"/>
  <c r="T3370" i="1"/>
  <c r="U3370" i="1"/>
  <c r="V3370" i="1"/>
  <c r="W3370" i="1"/>
  <c r="AB3370" i="1"/>
  <c r="AF3370" i="1"/>
  <c r="K3371" i="1"/>
  <c r="AC3371" i="1"/>
  <c r="AJ3370" i="1"/>
  <c r="AK3370" i="1"/>
  <c r="AM3370" i="1"/>
  <c r="BF3370" i="1"/>
  <c r="BG3370" i="1"/>
  <c r="T3371" i="1"/>
  <c r="U3371" i="1"/>
  <c r="V3371" i="1"/>
  <c r="W3371" i="1"/>
  <c r="AB3371" i="1"/>
  <c r="AF3371" i="1"/>
  <c r="K3372" i="1"/>
  <c r="AC3372" i="1"/>
  <c r="AJ3371" i="1"/>
  <c r="AK3371" i="1"/>
  <c r="AM3371" i="1"/>
  <c r="BF3371" i="1"/>
  <c r="BG3371" i="1"/>
  <c r="T3372" i="1"/>
  <c r="U3372" i="1"/>
  <c r="V3372" i="1"/>
  <c r="W3372" i="1"/>
  <c r="AB3372" i="1"/>
  <c r="AF3372" i="1"/>
  <c r="K3373" i="1"/>
  <c r="AC3373" i="1"/>
  <c r="AJ3372" i="1"/>
  <c r="AK3372" i="1"/>
  <c r="AM3372" i="1"/>
  <c r="BF3372" i="1"/>
  <c r="BG3372" i="1"/>
  <c r="T3373" i="1"/>
  <c r="U3373" i="1"/>
  <c r="V3373" i="1"/>
  <c r="W3373" i="1"/>
  <c r="AB3373" i="1"/>
  <c r="AF3373" i="1"/>
  <c r="K3374" i="1"/>
  <c r="AC3374" i="1"/>
  <c r="AJ3373" i="1"/>
  <c r="AK3373" i="1"/>
  <c r="AM3373" i="1"/>
  <c r="BF3373" i="1"/>
  <c r="BG3373" i="1"/>
  <c r="T3374" i="1"/>
  <c r="U3374" i="1"/>
  <c r="V3374" i="1"/>
  <c r="W3374" i="1"/>
  <c r="AB3374" i="1"/>
  <c r="AF3374" i="1"/>
  <c r="K3375" i="1"/>
  <c r="AC3375" i="1"/>
  <c r="AJ3374" i="1"/>
  <c r="AK3374" i="1"/>
  <c r="AM3374" i="1"/>
  <c r="BF3374" i="1"/>
  <c r="BG3374" i="1"/>
  <c r="T3375" i="1"/>
  <c r="U3375" i="1"/>
  <c r="V3375" i="1"/>
  <c r="W3375" i="1"/>
  <c r="AB3375" i="1"/>
  <c r="AF3375" i="1"/>
  <c r="K3376" i="1"/>
  <c r="AC3376" i="1"/>
  <c r="AJ3375" i="1"/>
  <c r="AK3375" i="1"/>
  <c r="AM3375" i="1"/>
  <c r="BF3375" i="1"/>
  <c r="BG3375" i="1"/>
  <c r="T3376" i="1"/>
  <c r="U3376" i="1"/>
  <c r="V3376" i="1"/>
  <c r="W3376" i="1"/>
  <c r="AB3376" i="1"/>
  <c r="AF3376" i="1"/>
  <c r="K3377" i="1"/>
  <c r="AC3377" i="1"/>
  <c r="AJ3376" i="1"/>
  <c r="AK3376" i="1"/>
  <c r="AM3376" i="1"/>
  <c r="BF3376" i="1"/>
  <c r="BG3376" i="1"/>
  <c r="T3377" i="1"/>
  <c r="U3377" i="1"/>
  <c r="V3377" i="1"/>
  <c r="W3377" i="1"/>
  <c r="AB3377" i="1"/>
  <c r="AF3377" i="1"/>
  <c r="K3378" i="1"/>
  <c r="AC3378" i="1"/>
  <c r="AJ3377" i="1"/>
  <c r="AK3377" i="1"/>
  <c r="AM3377" i="1"/>
  <c r="BF3377" i="1"/>
  <c r="BG3377" i="1"/>
  <c r="T3378" i="1"/>
  <c r="U3378" i="1"/>
  <c r="V3378" i="1"/>
  <c r="W3378" i="1"/>
  <c r="AB3378" i="1"/>
  <c r="AF3378" i="1"/>
  <c r="K3379" i="1"/>
  <c r="AC3379" i="1"/>
  <c r="AJ3378" i="1"/>
  <c r="AK3378" i="1"/>
  <c r="AM3378" i="1"/>
  <c r="BF3378" i="1"/>
  <c r="BG3378" i="1"/>
  <c r="T3379" i="1"/>
  <c r="U3379" i="1"/>
  <c r="V3379" i="1"/>
  <c r="W3379" i="1"/>
  <c r="AB3379" i="1"/>
  <c r="AF3379" i="1"/>
  <c r="K3380" i="1"/>
  <c r="AC3380" i="1"/>
  <c r="AJ3379" i="1"/>
  <c r="AK3379" i="1"/>
  <c r="AM3379" i="1"/>
  <c r="BF3379" i="1"/>
  <c r="BG3379" i="1"/>
  <c r="T3380" i="1"/>
  <c r="U3380" i="1"/>
  <c r="V3380" i="1"/>
  <c r="W3380" i="1"/>
  <c r="AB3380" i="1"/>
  <c r="AF3380" i="1"/>
  <c r="K3381" i="1"/>
  <c r="AC3381" i="1"/>
  <c r="AJ3380" i="1"/>
  <c r="AK3380" i="1"/>
  <c r="AM3380" i="1"/>
  <c r="BF3380" i="1"/>
  <c r="BG3380" i="1"/>
  <c r="T3381" i="1"/>
  <c r="U3381" i="1"/>
  <c r="V3381" i="1"/>
  <c r="W3381" i="1"/>
  <c r="AB3381" i="1"/>
  <c r="AF3381" i="1"/>
  <c r="AC3382" i="1"/>
  <c r="AJ3381" i="1"/>
  <c r="AK3381" i="1"/>
  <c r="AM3381" i="1"/>
  <c r="BF3381" i="1"/>
  <c r="BG3381" i="1"/>
  <c r="T3382" i="1"/>
  <c r="U3382" i="1"/>
  <c r="V3382" i="1"/>
  <c r="W3382" i="1"/>
  <c r="AB3382" i="1"/>
  <c r="AF3382" i="1"/>
  <c r="AC3383" i="1"/>
  <c r="AJ3382" i="1"/>
  <c r="AK3382" i="1"/>
  <c r="AM3382" i="1"/>
  <c r="BF3382" i="1"/>
  <c r="BG3382" i="1"/>
  <c r="T3383" i="1"/>
  <c r="U3383" i="1"/>
  <c r="V3383" i="1"/>
  <c r="W3383" i="1"/>
  <c r="AB3383" i="1"/>
  <c r="AF3383" i="1"/>
  <c r="K3384" i="1"/>
  <c r="AC3384" i="1"/>
  <c r="AJ3383" i="1"/>
  <c r="AK3383" i="1"/>
  <c r="AM3383" i="1"/>
  <c r="BF3383" i="1"/>
  <c r="BG3383" i="1"/>
  <c r="T3384" i="1"/>
  <c r="U3384" i="1"/>
  <c r="V3384" i="1"/>
  <c r="W3384" i="1"/>
  <c r="AB3384" i="1"/>
  <c r="AF3384" i="1"/>
  <c r="K3385" i="1"/>
  <c r="AC3385" i="1"/>
  <c r="AJ3384" i="1"/>
  <c r="AK3384" i="1"/>
  <c r="AM3384" i="1"/>
  <c r="BF3384" i="1"/>
  <c r="BG3384" i="1"/>
  <c r="T3385" i="1"/>
  <c r="U3385" i="1"/>
  <c r="V3385" i="1"/>
  <c r="W3385" i="1"/>
  <c r="AB3385" i="1"/>
  <c r="AF3385" i="1"/>
  <c r="AC3386" i="1"/>
  <c r="AJ3385" i="1"/>
  <c r="AK3385" i="1"/>
  <c r="AM3385" i="1"/>
  <c r="BF3385" i="1"/>
  <c r="BG3385" i="1"/>
  <c r="T3386" i="1"/>
  <c r="U3386" i="1"/>
  <c r="V3386" i="1"/>
  <c r="W3386" i="1"/>
  <c r="AB3386" i="1"/>
  <c r="AF3386" i="1"/>
  <c r="AC3387" i="1"/>
  <c r="AJ3386" i="1"/>
  <c r="AK3386" i="1"/>
  <c r="AM3386" i="1"/>
  <c r="BF3386" i="1"/>
  <c r="BG3386" i="1"/>
  <c r="T3387" i="1"/>
  <c r="U3387" i="1"/>
  <c r="V3387" i="1"/>
  <c r="W3387" i="1"/>
  <c r="AB3387" i="1"/>
  <c r="AF3387" i="1"/>
  <c r="K3388" i="1"/>
  <c r="AC3388" i="1"/>
  <c r="AJ3387" i="1"/>
  <c r="AK3387" i="1"/>
  <c r="AM3387" i="1"/>
  <c r="BF3387" i="1"/>
  <c r="BG3387" i="1"/>
  <c r="T3388" i="1"/>
  <c r="U3388" i="1"/>
  <c r="V3388" i="1"/>
  <c r="W3388" i="1"/>
  <c r="AB3388" i="1"/>
  <c r="AF3388" i="1"/>
  <c r="K3389" i="1"/>
  <c r="AC3389" i="1"/>
  <c r="AJ3388" i="1"/>
  <c r="AK3388" i="1"/>
  <c r="AM3388" i="1"/>
  <c r="BF3388" i="1"/>
  <c r="BG3388" i="1"/>
  <c r="T3389" i="1"/>
  <c r="U3389" i="1"/>
  <c r="V3389" i="1"/>
  <c r="W3389" i="1"/>
  <c r="AB3389" i="1"/>
  <c r="AF3389" i="1"/>
  <c r="K3390" i="1"/>
  <c r="AC3390" i="1"/>
  <c r="AJ3389" i="1"/>
  <c r="AK3389" i="1"/>
  <c r="AM3389" i="1"/>
  <c r="BF3389" i="1"/>
  <c r="BG3389" i="1"/>
  <c r="T3390" i="1"/>
  <c r="U3390" i="1"/>
  <c r="V3390" i="1"/>
  <c r="W3390" i="1"/>
  <c r="AB3390" i="1"/>
  <c r="AF3390" i="1"/>
  <c r="AC3391" i="1"/>
  <c r="AJ3390" i="1"/>
  <c r="AK3390" i="1"/>
  <c r="AM3390" i="1"/>
  <c r="BF3390" i="1"/>
  <c r="BG3390" i="1"/>
  <c r="T3391" i="1"/>
  <c r="U3391" i="1"/>
  <c r="V3391" i="1"/>
  <c r="W3391" i="1"/>
  <c r="AB3391" i="1"/>
  <c r="AF3391" i="1"/>
  <c r="AC3392" i="1"/>
  <c r="AJ3391" i="1"/>
  <c r="AK3391" i="1"/>
  <c r="AM3391" i="1"/>
  <c r="BF3391" i="1"/>
  <c r="BG3391" i="1"/>
  <c r="T3392" i="1"/>
  <c r="U3392" i="1"/>
  <c r="V3392" i="1"/>
  <c r="W3392" i="1"/>
  <c r="AB3392" i="1"/>
  <c r="AF3392" i="1"/>
  <c r="K3393" i="1"/>
  <c r="AC3393" i="1"/>
  <c r="AJ3392" i="1"/>
  <c r="AK3392" i="1"/>
  <c r="AM3392" i="1"/>
  <c r="BF3392" i="1"/>
  <c r="BG3392" i="1"/>
  <c r="T3393" i="1"/>
  <c r="U3393" i="1"/>
  <c r="V3393" i="1"/>
  <c r="W3393" i="1"/>
  <c r="AB3393" i="1"/>
  <c r="AF3393" i="1"/>
  <c r="K3394" i="1"/>
  <c r="AC3394" i="1"/>
  <c r="AJ3393" i="1"/>
  <c r="AK3393" i="1"/>
  <c r="AM3393" i="1"/>
  <c r="BF3393" i="1"/>
  <c r="BG3393" i="1"/>
  <c r="T3394" i="1"/>
  <c r="U3394" i="1"/>
  <c r="V3394" i="1"/>
  <c r="W3394" i="1"/>
  <c r="AB3394" i="1"/>
  <c r="AF3394" i="1"/>
  <c r="AC3395" i="1"/>
  <c r="AJ3394" i="1"/>
  <c r="AK3394" i="1"/>
  <c r="AM3394" i="1"/>
  <c r="BF3394" i="1"/>
  <c r="BG3394" i="1"/>
  <c r="T3395" i="1"/>
  <c r="U3395" i="1"/>
  <c r="V3395" i="1"/>
  <c r="W3395" i="1"/>
  <c r="AB3395" i="1"/>
  <c r="AF3395" i="1"/>
  <c r="AC3396" i="1"/>
  <c r="AJ3395" i="1"/>
  <c r="AK3395" i="1"/>
  <c r="AM3395" i="1"/>
  <c r="BF3395" i="1"/>
  <c r="BG3395" i="1"/>
  <c r="T3396" i="1"/>
  <c r="U3396" i="1"/>
  <c r="V3396" i="1"/>
  <c r="W3396" i="1"/>
  <c r="AB3396" i="1"/>
  <c r="AF3396" i="1"/>
  <c r="K3397" i="1"/>
  <c r="AC3397" i="1"/>
  <c r="AJ3396" i="1"/>
  <c r="AK3396" i="1"/>
  <c r="AM3396" i="1"/>
  <c r="BF3396" i="1"/>
  <c r="BG3396" i="1"/>
  <c r="T3397" i="1"/>
  <c r="U3397" i="1"/>
  <c r="V3397" i="1"/>
  <c r="W3397" i="1"/>
  <c r="AB3397" i="1"/>
  <c r="AF3397" i="1"/>
  <c r="K3398" i="1"/>
  <c r="AC3398" i="1"/>
  <c r="AJ3397" i="1"/>
  <c r="AK3397" i="1"/>
  <c r="AM3397" i="1"/>
  <c r="BF3397" i="1"/>
  <c r="BG3397" i="1"/>
  <c r="T3398" i="1"/>
  <c r="U3398" i="1"/>
  <c r="V3398" i="1"/>
  <c r="W3398" i="1"/>
  <c r="AB3398" i="1"/>
  <c r="AF3398" i="1"/>
  <c r="AC3399" i="1"/>
  <c r="AJ3398" i="1"/>
  <c r="AK3398" i="1"/>
  <c r="AM3398" i="1"/>
  <c r="BF3398" i="1"/>
  <c r="BG3398" i="1"/>
  <c r="T3399" i="1"/>
  <c r="U3399" i="1"/>
  <c r="V3399" i="1"/>
  <c r="W3399" i="1"/>
  <c r="AB3399" i="1"/>
  <c r="AF3399" i="1"/>
  <c r="AC3400" i="1"/>
  <c r="AJ3399" i="1"/>
  <c r="AK3399" i="1"/>
  <c r="AM3399" i="1"/>
  <c r="BF3399" i="1"/>
  <c r="BG3399" i="1"/>
  <c r="T3400" i="1"/>
  <c r="U3400" i="1"/>
  <c r="V3400" i="1"/>
  <c r="W3400" i="1"/>
  <c r="AB3400" i="1"/>
  <c r="AF3400" i="1"/>
  <c r="K3401" i="1"/>
  <c r="AC3401" i="1"/>
  <c r="AJ3400" i="1"/>
  <c r="AK3400" i="1"/>
  <c r="AM3400" i="1"/>
  <c r="BF3400" i="1"/>
  <c r="BG3400" i="1"/>
  <c r="T3401" i="1"/>
  <c r="U3401" i="1"/>
  <c r="V3401" i="1"/>
  <c r="W3401" i="1"/>
  <c r="AB3401" i="1"/>
  <c r="AF3401" i="1"/>
  <c r="K3402" i="1"/>
  <c r="AC3402" i="1"/>
  <c r="AJ3401" i="1"/>
  <c r="AK3401" i="1"/>
  <c r="AM3401" i="1"/>
  <c r="BF3401" i="1"/>
  <c r="BG3401" i="1"/>
  <c r="T3402" i="1"/>
  <c r="U3402" i="1"/>
  <c r="V3402" i="1"/>
  <c r="W3402" i="1"/>
  <c r="AB3402" i="1"/>
  <c r="AF3402" i="1"/>
  <c r="K3403" i="1"/>
  <c r="AC3403" i="1"/>
  <c r="AJ3402" i="1"/>
  <c r="AK3402" i="1"/>
  <c r="AM3402" i="1"/>
  <c r="BF3402" i="1"/>
  <c r="BG3402" i="1"/>
  <c r="T3403" i="1"/>
  <c r="U3403" i="1"/>
  <c r="V3403" i="1"/>
  <c r="W3403" i="1"/>
  <c r="AB3403" i="1"/>
  <c r="AF3403" i="1"/>
  <c r="K3404" i="1"/>
  <c r="AC3404" i="1"/>
  <c r="AJ3403" i="1"/>
  <c r="AK3403" i="1"/>
  <c r="AM3403" i="1"/>
  <c r="BF3403" i="1"/>
  <c r="BG3403" i="1"/>
  <c r="T3404" i="1"/>
  <c r="U3404" i="1"/>
  <c r="V3404" i="1"/>
  <c r="W3404" i="1"/>
  <c r="AB3404" i="1"/>
  <c r="AF3404" i="1"/>
  <c r="K3405" i="1"/>
  <c r="AC3405" i="1"/>
  <c r="AJ3404" i="1"/>
  <c r="AK3404" i="1"/>
  <c r="AM3404" i="1"/>
  <c r="BF3404" i="1"/>
  <c r="BG3404" i="1"/>
  <c r="T3405" i="1"/>
  <c r="U3405" i="1"/>
  <c r="V3405" i="1"/>
  <c r="W3405" i="1"/>
  <c r="AB3405" i="1"/>
  <c r="AF3405" i="1"/>
  <c r="AC3406" i="1"/>
  <c r="AJ3405" i="1"/>
  <c r="AK3405" i="1"/>
  <c r="AM3405" i="1"/>
  <c r="BF3405" i="1"/>
  <c r="BG3405" i="1"/>
  <c r="T3406" i="1"/>
  <c r="U3406" i="1"/>
  <c r="V3406" i="1"/>
  <c r="W3406" i="1"/>
  <c r="AB3406" i="1"/>
  <c r="AF3406" i="1"/>
  <c r="AC3407" i="1"/>
  <c r="AJ3406" i="1"/>
  <c r="AK3406" i="1"/>
  <c r="AM3406" i="1"/>
  <c r="BF3406" i="1"/>
  <c r="BG3406" i="1"/>
  <c r="T3407" i="1"/>
  <c r="U3407" i="1"/>
  <c r="V3407" i="1"/>
  <c r="W3407" i="1"/>
  <c r="AB3407" i="1"/>
  <c r="AF3407" i="1"/>
  <c r="K3408" i="1"/>
  <c r="AC3408" i="1"/>
  <c r="AJ3407" i="1"/>
  <c r="AK3407" i="1"/>
  <c r="AM3407" i="1"/>
  <c r="BF3407" i="1"/>
  <c r="BG3407" i="1"/>
  <c r="T3408" i="1"/>
  <c r="U3408" i="1"/>
  <c r="V3408" i="1"/>
  <c r="W3408" i="1"/>
  <c r="AB3408" i="1"/>
  <c r="AF3408" i="1"/>
  <c r="K3409" i="1"/>
  <c r="AC3409" i="1"/>
  <c r="AJ3408" i="1"/>
  <c r="AK3408" i="1"/>
  <c r="AM3408" i="1"/>
  <c r="BF3408" i="1"/>
  <c r="BG3408" i="1"/>
  <c r="T3409" i="1"/>
  <c r="U3409" i="1"/>
  <c r="V3409" i="1"/>
  <c r="W3409" i="1"/>
  <c r="AB3409" i="1"/>
  <c r="AF3409" i="1"/>
  <c r="K3410" i="1"/>
  <c r="AC3410" i="1"/>
  <c r="AJ3409" i="1"/>
  <c r="AK3409" i="1"/>
  <c r="AM3409" i="1"/>
  <c r="BF3409" i="1"/>
  <c r="BG3409" i="1"/>
  <c r="T3410" i="1"/>
  <c r="U3410" i="1"/>
  <c r="V3410" i="1"/>
  <c r="W3410" i="1"/>
  <c r="AB3410" i="1"/>
  <c r="AF3410" i="1"/>
  <c r="AC3411" i="1"/>
  <c r="AJ3410" i="1"/>
  <c r="AK3410" i="1"/>
  <c r="AM3410" i="1"/>
  <c r="BF3410" i="1"/>
  <c r="BG3410" i="1"/>
  <c r="T3411" i="1"/>
  <c r="U3411" i="1"/>
  <c r="V3411" i="1"/>
  <c r="W3411" i="1"/>
  <c r="AB3411" i="1"/>
  <c r="AF3411" i="1"/>
  <c r="AC3412" i="1"/>
  <c r="AJ3411" i="1"/>
  <c r="AK3411" i="1"/>
  <c r="AM3411" i="1"/>
  <c r="BF3411" i="1"/>
  <c r="BG3411" i="1"/>
  <c r="T3412" i="1"/>
  <c r="U3412" i="1"/>
  <c r="V3412" i="1"/>
  <c r="W3412" i="1"/>
  <c r="AB3412" i="1"/>
  <c r="AF3412" i="1"/>
  <c r="K3413" i="1"/>
  <c r="AC3413" i="1"/>
  <c r="AJ3412" i="1"/>
  <c r="AK3412" i="1"/>
  <c r="AM3412" i="1"/>
  <c r="BF3412" i="1"/>
  <c r="BG3412" i="1"/>
  <c r="T3413" i="1"/>
  <c r="U3413" i="1"/>
  <c r="V3413" i="1"/>
  <c r="W3413" i="1"/>
  <c r="AB3413" i="1"/>
  <c r="AF3413" i="1"/>
  <c r="AC3414" i="1"/>
  <c r="AJ3413" i="1"/>
  <c r="AK3413" i="1"/>
  <c r="AM3413" i="1"/>
  <c r="BF3413" i="1"/>
  <c r="BG3413" i="1"/>
  <c r="T3414" i="1"/>
  <c r="U3414" i="1"/>
  <c r="V3414" i="1"/>
  <c r="W3414" i="1"/>
  <c r="AB3414" i="1"/>
  <c r="AF3414" i="1"/>
  <c r="AC3415" i="1"/>
  <c r="AJ3414" i="1"/>
  <c r="AK3414" i="1"/>
  <c r="AM3414" i="1"/>
  <c r="BF3414" i="1"/>
  <c r="BG3414" i="1"/>
  <c r="T3415" i="1"/>
  <c r="U3415" i="1"/>
  <c r="V3415" i="1"/>
  <c r="W3415" i="1"/>
  <c r="AB3415" i="1"/>
  <c r="AF3415" i="1"/>
  <c r="K3416" i="1"/>
  <c r="AC3416" i="1"/>
  <c r="AJ3415" i="1"/>
  <c r="AK3415" i="1"/>
  <c r="AM3415" i="1"/>
  <c r="BF3415" i="1"/>
  <c r="BG3415" i="1"/>
  <c r="T3416" i="1"/>
  <c r="U3416" i="1"/>
  <c r="V3416" i="1"/>
  <c r="W3416" i="1"/>
  <c r="AB3416" i="1"/>
  <c r="AF3416" i="1"/>
  <c r="K3417" i="1"/>
  <c r="AC3417" i="1"/>
  <c r="AJ3416" i="1"/>
  <c r="AK3416" i="1"/>
  <c r="AM3416" i="1"/>
  <c r="BF3416" i="1"/>
  <c r="BG3416" i="1"/>
  <c r="T3417" i="1"/>
  <c r="U3417" i="1"/>
  <c r="V3417" i="1"/>
  <c r="W3417" i="1"/>
  <c r="AB3417" i="1"/>
  <c r="AF3417" i="1"/>
  <c r="AC3418" i="1"/>
  <c r="AJ3417" i="1"/>
  <c r="AK3417" i="1"/>
  <c r="AM3417" i="1"/>
  <c r="BF3417" i="1"/>
  <c r="BG3417" i="1"/>
  <c r="T3418" i="1"/>
  <c r="U3418" i="1"/>
  <c r="V3418" i="1"/>
  <c r="W3418" i="1"/>
  <c r="AB3418" i="1"/>
  <c r="AF3418" i="1"/>
  <c r="AC3419" i="1"/>
  <c r="AJ3418" i="1"/>
  <c r="AK3418" i="1"/>
  <c r="AM3418" i="1"/>
  <c r="BF3418" i="1"/>
  <c r="BG3418" i="1"/>
  <c r="T3419" i="1"/>
  <c r="U3419" i="1"/>
  <c r="V3419" i="1"/>
  <c r="W3419" i="1"/>
  <c r="AB3419" i="1"/>
  <c r="AF3419" i="1"/>
  <c r="K3420" i="1"/>
  <c r="AC3420" i="1"/>
  <c r="AJ3419" i="1"/>
  <c r="AK3419" i="1"/>
  <c r="AM3419" i="1"/>
  <c r="BF3419" i="1"/>
  <c r="BG3419" i="1"/>
  <c r="T3420" i="1"/>
  <c r="U3420" i="1"/>
  <c r="V3420" i="1"/>
  <c r="W3420" i="1"/>
  <c r="AB3420" i="1"/>
  <c r="AF3420" i="1"/>
  <c r="AC3421" i="1"/>
  <c r="AJ3420" i="1"/>
  <c r="AK3420" i="1"/>
  <c r="AM3420" i="1"/>
  <c r="BF3420" i="1"/>
  <c r="BG3420" i="1"/>
  <c r="T3421" i="1"/>
  <c r="U3421" i="1"/>
  <c r="V3421" i="1"/>
  <c r="W3421" i="1"/>
  <c r="AB3421" i="1"/>
  <c r="AF3421" i="1"/>
  <c r="AC3422" i="1"/>
  <c r="AJ3421" i="1"/>
  <c r="AK3421" i="1"/>
  <c r="AM3421" i="1"/>
  <c r="BF3421" i="1"/>
  <c r="BG3421" i="1"/>
  <c r="T3422" i="1"/>
  <c r="U3422" i="1"/>
  <c r="V3422" i="1"/>
  <c r="W3422" i="1"/>
  <c r="AB3422" i="1"/>
  <c r="AF3422" i="1"/>
  <c r="K3423" i="1"/>
  <c r="AC3423" i="1"/>
  <c r="AJ3422" i="1"/>
  <c r="AK3422" i="1"/>
  <c r="AM3422" i="1"/>
  <c r="BF3422" i="1"/>
  <c r="BG3422" i="1"/>
  <c r="T3423" i="1"/>
  <c r="U3423" i="1"/>
  <c r="V3423" i="1"/>
  <c r="W3423" i="1"/>
  <c r="AB3423" i="1"/>
  <c r="AF3423" i="1"/>
  <c r="AC3424" i="1"/>
  <c r="AJ3423" i="1"/>
  <c r="AK3423" i="1"/>
  <c r="AM3423" i="1"/>
  <c r="BF3423" i="1"/>
  <c r="BG3423" i="1"/>
  <c r="T3424" i="1"/>
  <c r="U3424" i="1"/>
  <c r="V3424" i="1"/>
  <c r="W3424" i="1"/>
  <c r="AB3424" i="1"/>
  <c r="AF3424" i="1"/>
  <c r="AC3425" i="1"/>
  <c r="AJ3424" i="1"/>
  <c r="AK3424" i="1"/>
  <c r="AM3424" i="1"/>
  <c r="BF3424" i="1"/>
  <c r="BG3424" i="1"/>
  <c r="T3425" i="1"/>
  <c r="U3425" i="1"/>
  <c r="V3425" i="1"/>
  <c r="W3425" i="1"/>
  <c r="AB3425" i="1"/>
  <c r="AF3425" i="1"/>
  <c r="K3426" i="1"/>
  <c r="AC3426" i="1"/>
  <c r="AJ3425" i="1"/>
  <c r="AK3425" i="1"/>
  <c r="AM3425" i="1"/>
  <c r="BF3425" i="1"/>
  <c r="BG3425" i="1"/>
  <c r="T3426" i="1"/>
  <c r="U3426" i="1"/>
  <c r="V3426" i="1"/>
  <c r="W3426" i="1"/>
  <c r="AB3426" i="1"/>
  <c r="AF3426" i="1"/>
  <c r="K3427" i="1"/>
  <c r="AC3427" i="1"/>
  <c r="AJ3426" i="1"/>
  <c r="AK3426" i="1"/>
  <c r="AM3426" i="1"/>
  <c r="BF3426" i="1"/>
  <c r="BG3426" i="1"/>
  <c r="T3427" i="1"/>
  <c r="U3427" i="1"/>
  <c r="V3427" i="1"/>
  <c r="W3427" i="1"/>
  <c r="AB3427" i="1"/>
  <c r="AF3427" i="1"/>
  <c r="AC3428" i="1"/>
  <c r="AJ3427" i="1"/>
  <c r="AK3427" i="1"/>
  <c r="AM3427" i="1"/>
  <c r="BF3427" i="1"/>
  <c r="BG3427" i="1"/>
  <c r="T3428" i="1"/>
  <c r="U3428" i="1"/>
  <c r="V3428" i="1"/>
  <c r="W3428" i="1"/>
  <c r="AB3428" i="1"/>
  <c r="AF3428" i="1"/>
  <c r="AC3429" i="1"/>
  <c r="AJ3428" i="1"/>
  <c r="AK3428" i="1"/>
  <c r="AM3428" i="1"/>
  <c r="BF3428" i="1"/>
  <c r="BG3428" i="1"/>
  <c r="T3429" i="1"/>
  <c r="U3429" i="1"/>
  <c r="V3429" i="1"/>
  <c r="W3429" i="1"/>
  <c r="AB3429" i="1"/>
  <c r="AF3429" i="1"/>
  <c r="K3430" i="1"/>
  <c r="AC3430" i="1"/>
  <c r="AJ3429" i="1"/>
  <c r="AK3429" i="1"/>
  <c r="AM3429" i="1"/>
  <c r="BF3429" i="1"/>
  <c r="BG3429" i="1"/>
  <c r="T3430" i="1"/>
  <c r="U3430" i="1"/>
  <c r="V3430" i="1"/>
  <c r="W3430" i="1"/>
  <c r="AB3430" i="1"/>
  <c r="AF3430" i="1"/>
  <c r="K3431" i="1"/>
  <c r="AC3431" i="1"/>
  <c r="AJ3430" i="1"/>
  <c r="AK3430" i="1"/>
  <c r="AM3430" i="1"/>
  <c r="BF3430" i="1"/>
  <c r="BG3430" i="1"/>
  <c r="T3431" i="1"/>
  <c r="U3431" i="1"/>
  <c r="V3431" i="1"/>
  <c r="W3431" i="1"/>
  <c r="AB3431" i="1"/>
  <c r="AF3431" i="1"/>
  <c r="K3432" i="1"/>
  <c r="AC3432" i="1"/>
  <c r="AJ3431" i="1"/>
  <c r="AK3431" i="1"/>
  <c r="AM3431" i="1"/>
  <c r="BF3431" i="1"/>
  <c r="BG3431" i="1"/>
  <c r="T3432" i="1"/>
  <c r="U3432" i="1"/>
  <c r="V3432" i="1"/>
  <c r="W3432" i="1"/>
  <c r="AB3432" i="1"/>
  <c r="AF3432" i="1"/>
  <c r="AC3433" i="1"/>
  <c r="AJ3432" i="1"/>
  <c r="AK3432" i="1"/>
  <c r="AM3432" i="1"/>
  <c r="BF3432" i="1"/>
  <c r="BG3432" i="1"/>
  <c r="T3433" i="1"/>
  <c r="U3433" i="1"/>
  <c r="V3433" i="1"/>
  <c r="W3433" i="1"/>
  <c r="AB3433" i="1"/>
  <c r="AF3433" i="1"/>
  <c r="AC3434" i="1"/>
  <c r="AJ3433" i="1"/>
  <c r="AK3433" i="1"/>
  <c r="AM3433" i="1"/>
  <c r="BF3433" i="1"/>
  <c r="BG3433" i="1"/>
  <c r="T3434" i="1"/>
  <c r="U3434" i="1"/>
  <c r="V3434" i="1"/>
  <c r="W3434" i="1"/>
  <c r="AB3434" i="1"/>
  <c r="AF3434" i="1"/>
  <c r="K3435" i="1"/>
  <c r="AC3435" i="1"/>
  <c r="AJ3434" i="1"/>
  <c r="AK3434" i="1"/>
  <c r="AM3434" i="1"/>
  <c r="BF3434" i="1"/>
  <c r="BG3434" i="1"/>
  <c r="T3435" i="1"/>
  <c r="U3435" i="1"/>
  <c r="V3435" i="1"/>
  <c r="W3435" i="1"/>
  <c r="AB3435" i="1"/>
  <c r="AF3435" i="1"/>
  <c r="K3436" i="1"/>
  <c r="AC3436" i="1"/>
  <c r="AJ3435" i="1"/>
  <c r="AK3435" i="1"/>
  <c r="AM3435" i="1"/>
  <c r="BF3435" i="1"/>
  <c r="BG3435" i="1"/>
  <c r="T3436" i="1"/>
  <c r="U3436" i="1"/>
  <c r="V3436" i="1"/>
  <c r="W3436" i="1"/>
  <c r="AB3436" i="1"/>
  <c r="AF3436" i="1"/>
  <c r="K3437" i="1"/>
  <c r="AC3437" i="1"/>
  <c r="AJ3436" i="1"/>
  <c r="AK3436" i="1"/>
  <c r="AM3436" i="1"/>
  <c r="BF3436" i="1"/>
  <c r="BG3436" i="1"/>
  <c r="T3437" i="1"/>
  <c r="U3437" i="1"/>
  <c r="V3437" i="1"/>
  <c r="W3437" i="1"/>
  <c r="AB3437" i="1"/>
  <c r="AF3437" i="1"/>
  <c r="K3438" i="1"/>
  <c r="AC3438" i="1"/>
  <c r="AJ3437" i="1"/>
  <c r="AK3437" i="1"/>
  <c r="AM3437" i="1"/>
  <c r="BF3437" i="1"/>
  <c r="BG3437" i="1"/>
  <c r="T3438" i="1"/>
  <c r="U3438" i="1"/>
  <c r="V3438" i="1"/>
  <c r="W3438" i="1"/>
  <c r="AB3438" i="1"/>
  <c r="AF3438" i="1"/>
  <c r="K3439" i="1"/>
  <c r="AC3439" i="1"/>
  <c r="AJ3438" i="1"/>
  <c r="AK3438" i="1"/>
  <c r="AM3438" i="1"/>
  <c r="BF3438" i="1"/>
  <c r="BG3438" i="1"/>
  <c r="T3439" i="1"/>
  <c r="U3439" i="1"/>
  <c r="V3439" i="1"/>
  <c r="W3439" i="1"/>
  <c r="AB3439" i="1"/>
  <c r="AF3439" i="1"/>
  <c r="K3440" i="1"/>
  <c r="AC3440" i="1"/>
  <c r="AJ3439" i="1"/>
  <c r="AK3439" i="1"/>
  <c r="AM3439" i="1"/>
  <c r="BF3439" i="1"/>
  <c r="BG3439" i="1"/>
  <c r="T3440" i="1"/>
  <c r="U3440" i="1"/>
  <c r="V3440" i="1"/>
  <c r="W3440" i="1"/>
  <c r="AB3440" i="1"/>
  <c r="AF3440" i="1"/>
  <c r="AC3441" i="1"/>
  <c r="AJ3440" i="1"/>
  <c r="AK3440" i="1"/>
  <c r="AM3440" i="1"/>
  <c r="BF3440" i="1"/>
  <c r="BG3440" i="1"/>
  <c r="T3441" i="1"/>
  <c r="U3441" i="1"/>
  <c r="V3441" i="1"/>
  <c r="W3441" i="1"/>
  <c r="AB3441" i="1"/>
  <c r="AF3441" i="1"/>
  <c r="AC3442" i="1"/>
  <c r="AJ3441" i="1"/>
  <c r="AK3441" i="1"/>
  <c r="AM3441" i="1"/>
  <c r="BF3441" i="1"/>
  <c r="BG3441" i="1"/>
  <c r="T3442" i="1"/>
  <c r="U3442" i="1"/>
  <c r="V3442" i="1"/>
  <c r="W3442" i="1"/>
  <c r="AB3442" i="1"/>
  <c r="AF3442" i="1"/>
  <c r="K3443" i="1"/>
  <c r="AC3443" i="1"/>
  <c r="AJ3442" i="1"/>
  <c r="AK3442" i="1"/>
  <c r="AM3442" i="1"/>
  <c r="BF3442" i="1"/>
  <c r="BG3442" i="1"/>
  <c r="T3443" i="1"/>
  <c r="U3443" i="1"/>
  <c r="V3443" i="1"/>
  <c r="W3443" i="1"/>
  <c r="AB3443" i="1"/>
  <c r="AF3443" i="1"/>
  <c r="AC3444" i="1"/>
  <c r="AJ3443" i="1"/>
  <c r="AK3443" i="1"/>
  <c r="AM3443" i="1"/>
  <c r="BF3443" i="1"/>
  <c r="BG3443" i="1"/>
  <c r="T3444" i="1"/>
  <c r="U3444" i="1"/>
  <c r="V3444" i="1"/>
  <c r="W3444" i="1"/>
  <c r="AB3444" i="1"/>
  <c r="AF3444" i="1"/>
  <c r="AC3445" i="1"/>
  <c r="AJ3444" i="1"/>
  <c r="AK3444" i="1"/>
  <c r="AM3444" i="1"/>
  <c r="BF3444" i="1"/>
  <c r="BG3444" i="1"/>
  <c r="T3445" i="1"/>
  <c r="U3445" i="1"/>
  <c r="V3445" i="1"/>
  <c r="W3445" i="1"/>
  <c r="AB3445" i="1"/>
  <c r="AF3445" i="1"/>
  <c r="K3446" i="1"/>
  <c r="AC3446" i="1"/>
  <c r="AJ3445" i="1"/>
  <c r="AK3445" i="1"/>
  <c r="AM3445" i="1"/>
  <c r="BF3445" i="1"/>
  <c r="BG3445" i="1"/>
  <c r="T3446" i="1"/>
  <c r="U3446" i="1"/>
  <c r="V3446" i="1"/>
  <c r="W3446" i="1"/>
  <c r="AB3446" i="1"/>
  <c r="AF3446" i="1"/>
  <c r="AC3447" i="1"/>
  <c r="AJ3446" i="1"/>
  <c r="AK3446" i="1"/>
  <c r="AM3446" i="1"/>
  <c r="BF3446" i="1"/>
  <c r="BG3446" i="1"/>
  <c r="T3447" i="1"/>
  <c r="U3447" i="1"/>
  <c r="V3447" i="1"/>
  <c r="W3447" i="1"/>
  <c r="AB3447" i="1"/>
  <c r="AF3447" i="1"/>
  <c r="AC3448" i="1"/>
  <c r="AJ3447" i="1"/>
  <c r="AK3447" i="1"/>
  <c r="AM3447" i="1"/>
  <c r="BF3447" i="1"/>
  <c r="BG3447" i="1"/>
  <c r="T3448" i="1"/>
  <c r="U3448" i="1"/>
  <c r="V3448" i="1"/>
  <c r="W3448" i="1"/>
  <c r="AB3448" i="1"/>
  <c r="AF3448" i="1"/>
  <c r="K3449" i="1"/>
  <c r="AC3449" i="1"/>
  <c r="AJ3448" i="1"/>
  <c r="AK3448" i="1"/>
  <c r="AM3448" i="1"/>
  <c r="BF3448" i="1"/>
  <c r="BG3448" i="1"/>
  <c r="T3449" i="1"/>
  <c r="U3449" i="1"/>
  <c r="V3449" i="1"/>
  <c r="W3449" i="1"/>
  <c r="AB3449" i="1"/>
  <c r="AF3449" i="1"/>
  <c r="AC3450" i="1"/>
  <c r="AJ3449" i="1"/>
  <c r="AK3449" i="1"/>
  <c r="AM3449" i="1"/>
  <c r="BF3449" i="1"/>
  <c r="BG3449" i="1"/>
  <c r="T3450" i="1"/>
  <c r="U3450" i="1"/>
  <c r="V3450" i="1"/>
  <c r="W3450" i="1"/>
  <c r="AB3450" i="1"/>
  <c r="AF3450" i="1"/>
  <c r="AC3451" i="1"/>
  <c r="AJ3450" i="1"/>
  <c r="AK3450" i="1"/>
  <c r="AM3450" i="1"/>
  <c r="BF3450" i="1"/>
  <c r="BG3450" i="1"/>
  <c r="T3451" i="1"/>
  <c r="U3451" i="1"/>
  <c r="V3451" i="1"/>
  <c r="W3451" i="1"/>
  <c r="AB3451" i="1"/>
  <c r="AF3451" i="1"/>
  <c r="K3452" i="1"/>
  <c r="AC3452" i="1"/>
  <c r="AJ3451" i="1"/>
  <c r="AK3451" i="1"/>
  <c r="AM3451" i="1"/>
  <c r="BF3451" i="1"/>
  <c r="BG3451" i="1"/>
  <c r="T3452" i="1"/>
  <c r="U3452" i="1"/>
  <c r="V3452" i="1"/>
  <c r="W3452" i="1"/>
  <c r="AB3452" i="1"/>
  <c r="AF3452" i="1"/>
  <c r="AC3453" i="1"/>
  <c r="AJ3452" i="1"/>
  <c r="AK3452" i="1"/>
  <c r="AM3452" i="1"/>
  <c r="BF3452" i="1"/>
  <c r="BG3452" i="1"/>
  <c r="T3453" i="1"/>
  <c r="U3453" i="1"/>
  <c r="V3453" i="1"/>
  <c r="W3453" i="1"/>
  <c r="AB3453" i="1"/>
  <c r="AF3453" i="1"/>
  <c r="AC3454" i="1"/>
  <c r="AJ3453" i="1"/>
  <c r="AK3453" i="1"/>
  <c r="AM3453" i="1"/>
  <c r="BF3453" i="1"/>
  <c r="BG3453" i="1"/>
  <c r="T3454" i="1"/>
  <c r="U3454" i="1"/>
  <c r="V3454" i="1"/>
  <c r="W3454" i="1"/>
  <c r="AB3454" i="1"/>
  <c r="AF3454" i="1"/>
  <c r="K3455" i="1"/>
  <c r="AC3455" i="1"/>
  <c r="AJ3454" i="1"/>
  <c r="AK3454" i="1"/>
  <c r="AM3454" i="1"/>
  <c r="BF3454" i="1"/>
  <c r="BG3454" i="1"/>
  <c r="T3455" i="1"/>
  <c r="U3455" i="1"/>
  <c r="V3455" i="1"/>
  <c r="W3455" i="1"/>
  <c r="AB3455" i="1"/>
  <c r="AF3455" i="1"/>
  <c r="AC3456" i="1"/>
  <c r="AJ3455" i="1"/>
  <c r="AK3455" i="1"/>
  <c r="AM3455" i="1"/>
  <c r="BF3455" i="1"/>
  <c r="BG3455" i="1"/>
  <c r="T3456" i="1"/>
  <c r="U3456" i="1"/>
  <c r="V3456" i="1"/>
  <c r="W3456" i="1"/>
  <c r="AB3456" i="1"/>
  <c r="AF3456" i="1"/>
  <c r="AC3457" i="1"/>
  <c r="AJ3456" i="1"/>
  <c r="AK3456" i="1"/>
  <c r="AM3456" i="1"/>
  <c r="BF3456" i="1"/>
  <c r="BG3456" i="1"/>
  <c r="T3457" i="1"/>
  <c r="U3457" i="1"/>
  <c r="V3457" i="1"/>
  <c r="W3457" i="1"/>
  <c r="AB3457" i="1"/>
  <c r="AF3457" i="1"/>
  <c r="K3458" i="1"/>
  <c r="AC3458" i="1"/>
  <c r="AJ3457" i="1"/>
  <c r="AK3457" i="1"/>
  <c r="AM3457" i="1"/>
  <c r="BF3457" i="1"/>
  <c r="BG3457" i="1"/>
  <c r="T3458" i="1"/>
  <c r="U3458" i="1"/>
  <c r="V3458" i="1"/>
  <c r="W3458" i="1"/>
  <c r="AB3458" i="1"/>
  <c r="AF3458" i="1"/>
  <c r="K3459" i="1"/>
  <c r="AC3459" i="1"/>
  <c r="AJ3458" i="1"/>
  <c r="AK3458" i="1"/>
  <c r="AM3458" i="1"/>
  <c r="BF3458" i="1"/>
  <c r="BG3458" i="1"/>
  <c r="T3459" i="1"/>
  <c r="U3459" i="1"/>
  <c r="V3459" i="1"/>
  <c r="W3459" i="1"/>
  <c r="AB3459" i="1"/>
  <c r="AF3459" i="1"/>
  <c r="AC3460" i="1"/>
  <c r="AJ3459" i="1"/>
  <c r="AK3459" i="1"/>
  <c r="AM3459" i="1"/>
  <c r="BF3459" i="1"/>
  <c r="BG3459" i="1"/>
  <c r="T3460" i="1"/>
  <c r="U3460" i="1"/>
  <c r="V3460" i="1"/>
  <c r="W3460" i="1"/>
  <c r="AB3460" i="1"/>
  <c r="AF3460" i="1"/>
  <c r="AC3461" i="1"/>
  <c r="AJ3460" i="1"/>
  <c r="AK3460" i="1"/>
  <c r="AM3460" i="1"/>
  <c r="BF3460" i="1"/>
  <c r="BG3460" i="1"/>
  <c r="T3461" i="1"/>
  <c r="U3461" i="1"/>
  <c r="V3461" i="1"/>
  <c r="W3461" i="1"/>
  <c r="AB3461" i="1"/>
  <c r="AF3461" i="1"/>
  <c r="K3462" i="1"/>
  <c r="AC3462" i="1"/>
  <c r="AJ3461" i="1"/>
  <c r="AK3461" i="1"/>
  <c r="AM3461" i="1"/>
  <c r="BF3461" i="1"/>
  <c r="BG3461" i="1"/>
  <c r="T3462" i="1"/>
  <c r="U3462" i="1"/>
  <c r="V3462" i="1"/>
  <c r="W3462" i="1"/>
  <c r="AB3462" i="1"/>
  <c r="AF3462" i="1"/>
  <c r="AC3463" i="1"/>
  <c r="AJ3462" i="1"/>
  <c r="AK3462" i="1"/>
  <c r="AM3462" i="1"/>
  <c r="BF3462" i="1"/>
  <c r="BG3462" i="1"/>
  <c r="T3463" i="1"/>
  <c r="U3463" i="1"/>
  <c r="V3463" i="1"/>
  <c r="W3463" i="1"/>
  <c r="AB3463" i="1"/>
  <c r="AF3463" i="1"/>
  <c r="AC3464" i="1"/>
  <c r="AJ3463" i="1"/>
  <c r="AK3463" i="1"/>
  <c r="AM3463" i="1"/>
  <c r="BF3463" i="1"/>
  <c r="BG3463" i="1"/>
  <c r="T3464" i="1"/>
  <c r="U3464" i="1"/>
  <c r="V3464" i="1"/>
  <c r="W3464" i="1"/>
  <c r="AB3464" i="1"/>
  <c r="AF3464" i="1"/>
  <c r="K3465" i="1"/>
  <c r="AC3465" i="1"/>
  <c r="AJ3464" i="1"/>
  <c r="AK3464" i="1"/>
  <c r="AM3464" i="1"/>
  <c r="BF3464" i="1"/>
  <c r="BG3464" i="1"/>
  <c r="T3465" i="1"/>
  <c r="U3465" i="1"/>
  <c r="V3465" i="1"/>
  <c r="W3465" i="1"/>
  <c r="AB3465" i="1"/>
  <c r="AF3465" i="1"/>
  <c r="AC3466" i="1"/>
  <c r="AJ3465" i="1"/>
  <c r="AK3465" i="1"/>
  <c r="AM3465" i="1"/>
  <c r="BF3465" i="1"/>
  <c r="BG3465" i="1"/>
  <c r="T3466" i="1"/>
  <c r="U3466" i="1"/>
  <c r="V3466" i="1"/>
  <c r="W3466" i="1"/>
  <c r="AB3466" i="1"/>
  <c r="AF3466" i="1"/>
  <c r="AC3467" i="1"/>
  <c r="AJ3466" i="1"/>
  <c r="AK3466" i="1"/>
  <c r="AM3466" i="1"/>
  <c r="BF3466" i="1"/>
  <c r="BG3466" i="1"/>
  <c r="T3467" i="1"/>
  <c r="U3467" i="1"/>
  <c r="V3467" i="1"/>
  <c r="W3467" i="1"/>
  <c r="AB3467" i="1"/>
  <c r="AF3467" i="1"/>
  <c r="K3468" i="1"/>
  <c r="AC3468" i="1"/>
  <c r="AJ3467" i="1"/>
  <c r="AK3467" i="1"/>
  <c r="AM3467" i="1"/>
  <c r="BF3467" i="1"/>
  <c r="BG3467" i="1"/>
  <c r="T3468" i="1"/>
  <c r="U3468" i="1"/>
  <c r="V3468" i="1"/>
  <c r="W3468" i="1"/>
  <c r="AB3468" i="1"/>
  <c r="AF3468" i="1"/>
  <c r="AC3469" i="1"/>
  <c r="AJ3468" i="1"/>
  <c r="AK3468" i="1"/>
  <c r="AM3468" i="1"/>
  <c r="BF3468" i="1"/>
  <c r="BG3468" i="1"/>
  <c r="T3469" i="1"/>
  <c r="U3469" i="1"/>
  <c r="V3469" i="1"/>
  <c r="W3469" i="1"/>
  <c r="AB3469" i="1"/>
  <c r="AF3469" i="1"/>
  <c r="AC3470" i="1"/>
  <c r="AJ3469" i="1"/>
  <c r="AK3469" i="1"/>
  <c r="AM3469" i="1"/>
  <c r="BF3469" i="1"/>
  <c r="BG3469" i="1"/>
  <c r="T3470" i="1"/>
  <c r="U3470" i="1"/>
  <c r="V3470" i="1"/>
  <c r="W3470" i="1"/>
  <c r="AB3470" i="1"/>
  <c r="AF3470" i="1"/>
  <c r="K3471" i="1"/>
  <c r="AC3471" i="1"/>
  <c r="AJ3470" i="1"/>
  <c r="AK3470" i="1"/>
  <c r="AM3470" i="1"/>
  <c r="BF3470" i="1"/>
  <c r="BG3470" i="1"/>
  <c r="T3471" i="1"/>
  <c r="U3471" i="1"/>
  <c r="V3471" i="1"/>
  <c r="W3471" i="1"/>
  <c r="AB3471" i="1"/>
  <c r="AF3471" i="1"/>
  <c r="AC3472" i="1"/>
  <c r="AJ3471" i="1"/>
  <c r="AK3471" i="1"/>
  <c r="AM3471" i="1"/>
  <c r="BF3471" i="1"/>
  <c r="BG3471" i="1"/>
  <c r="T3472" i="1"/>
  <c r="U3472" i="1"/>
  <c r="V3472" i="1"/>
  <c r="W3472" i="1"/>
  <c r="AB3472" i="1"/>
  <c r="AF3472" i="1"/>
  <c r="AC3473" i="1"/>
  <c r="AJ3472" i="1"/>
  <c r="AK3472" i="1"/>
  <c r="AM3472" i="1"/>
  <c r="BF3472" i="1"/>
  <c r="BG3472" i="1"/>
  <c r="T3473" i="1"/>
  <c r="U3473" i="1"/>
  <c r="V3473" i="1"/>
  <c r="W3473" i="1"/>
  <c r="AB3473" i="1"/>
  <c r="AF3473" i="1"/>
  <c r="K3474" i="1"/>
  <c r="AC3474" i="1"/>
  <c r="AJ3473" i="1"/>
  <c r="AK3473" i="1"/>
  <c r="AM3473" i="1"/>
  <c r="BF3473" i="1"/>
  <c r="BG3473" i="1"/>
  <c r="T3474" i="1"/>
  <c r="U3474" i="1"/>
  <c r="V3474" i="1"/>
  <c r="W3474" i="1"/>
  <c r="AB3474" i="1"/>
  <c r="AF3474" i="1"/>
  <c r="K3475" i="1"/>
  <c r="AC3475" i="1"/>
  <c r="AJ3474" i="1"/>
  <c r="AK3474" i="1"/>
  <c r="AM3474" i="1"/>
  <c r="BF3474" i="1"/>
  <c r="BG3474" i="1"/>
  <c r="T3475" i="1"/>
  <c r="U3475" i="1"/>
  <c r="V3475" i="1"/>
  <c r="W3475" i="1"/>
  <c r="AB3475" i="1"/>
  <c r="AF3475" i="1"/>
  <c r="K3476" i="1"/>
  <c r="AC3476" i="1"/>
  <c r="AJ3475" i="1"/>
  <c r="AK3475" i="1"/>
  <c r="AM3475" i="1"/>
  <c r="BF3475" i="1"/>
  <c r="BG3475" i="1"/>
  <c r="T3476" i="1"/>
  <c r="U3476" i="1"/>
  <c r="V3476" i="1"/>
  <c r="W3476" i="1"/>
  <c r="AB3476" i="1"/>
  <c r="AF3476" i="1"/>
  <c r="K3477" i="1"/>
  <c r="AC3477" i="1"/>
  <c r="AJ3476" i="1"/>
  <c r="AK3476" i="1"/>
  <c r="AM3476" i="1"/>
  <c r="BF3476" i="1"/>
  <c r="BG3476" i="1"/>
  <c r="T3477" i="1"/>
  <c r="U3477" i="1"/>
  <c r="V3477" i="1"/>
  <c r="W3477" i="1"/>
  <c r="AB3477" i="1"/>
  <c r="AF3477" i="1"/>
  <c r="AC3478" i="1"/>
  <c r="AJ3477" i="1"/>
  <c r="AK3477" i="1"/>
  <c r="AM3477" i="1"/>
  <c r="BF3477" i="1"/>
  <c r="BG3477" i="1"/>
  <c r="T3478" i="1"/>
  <c r="U3478" i="1"/>
  <c r="V3478" i="1"/>
  <c r="W3478" i="1"/>
  <c r="AB3478" i="1"/>
  <c r="AF3478" i="1"/>
  <c r="AC3479" i="1"/>
  <c r="AJ3478" i="1"/>
  <c r="AK3478" i="1"/>
  <c r="AM3478" i="1"/>
  <c r="BF3478" i="1"/>
  <c r="BG3478" i="1"/>
  <c r="T3479" i="1"/>
  <c r="U3479" i="1"/>
  <c r="V3479" i="1"/>
  <c r="W3479" i="1"/>
  <c r="AB3479" i="1"/>
  <c r="AF3479" i="1"/>
  <c r="K3480" i="1"/>
  <c r="AC3480" i="1"/>
  <c r="AJ3479" i="1"/>
  <c r="AK3479" i="1"/>
  <c r="AM3479" i="1"/>
  <c r="BF3479" i="1"/>
  <c r="BG3479" i="1"/>
  <c r="T3480" i="1"/>
  <c r="U3480" i="1"/>
  <c r="V3480" i="1"/>
  <c r="W3480" i="1"/>
  <c r="AB3480" i="1"/>
  <c r="AF3480" i="1"/>
  <c r="AC3481" i="1"/>
  <c r="AJ3480" i="1"/>
  <c r="AK3480" i="1"/>
  <c r="AM3480" i="1"/>
  <c r="BF3480" i="1"/>
  <c r="BG3480" i="1"/>
  <c r="T3481" i="1"/>
  <c r="U3481" i="1"/>
  <c r="V3481" i="1"/>
  <c r="W3481" i="1"/>
  <c r="AB3481" i="1"/>
  <c r="AF3481" i="1"/>
  <c r="AC3482" i="1"/>
  <c r="AJ3481" i="1"/>
  <c r="AK3481" i="1"/>
  <c r="AM3481" i="1"/>
  <c r="BF3481" i="1"/>
  <c r="BG3481" i="1"/>
  <c r="T3482" i="1"/>
  <c r="U3482" i="1"/>
  <c r="V3482" i="1"/>
  <c r="W3482" i="1"/>
  <c r="AB3482" i="1"/>
  <c r="AF3482" i="1"/>
  <c r="K3483" i="1"/>
  <c r="AC3483" i="1"/>
  <c r="AJ3482" i="1"/>
  <c r="AK3482" i="1"/>
  <c r="AM3482" i="1"/>
  <c r="BF3482" i="1"/>
  <c r="BG3482" i="1"/>
  <c r="T3483" i="1"/>
  <c r="U3483" i="1"/>
  <c r="V3483" i="1"/>
  <c r="W3483" i="1"/>
  <c r="AB3483" i="1"/>
  <c r="AF3483" i="1"/>
  <c r="AC3484" i="1"/>
  <c r="AJ3483" i="1"/>
  <c r="AK3483" i="1"/>
  <c r="AM3483" i="1"/>
  <c r="BF3483" i="1"/>
  <c r="BG3483" i="1"/>
  <c r="T3484" i="1"/>
  <c r="U3484" i="1"/>
  <c r="V3484" i="1"/>
  <c r="W3484" i="1"/>
  <c r="AB3484" i="1"/>
  <c r="AF3484" i="1"/>
  <c r="AC3485" i="1"/>
  <c r="AJ3484" i="1"/>
  <c r="AK3484" i="1"/>
  <c r="AM3484" i="1"/>
  <c r="BF3484" i="1"/>
  <c r="BG3484" i="1"/>
  <c r="T3485" i="1"/>
  <c r="U3485" i="1"/>
  <c r="V3485" i="1"/>
  <c r="W3485" i="1"/>
  <c r="AB3485" i="1"/>
  <c r="AF3485" i="1"/>
  <c r="K3486" i="1"/>
  <c r="AC3486" i="1"/>
  <c r="AJ3485" i="1"/>
  <c r="AK3485" i="1"/>
  <c r="AM3485" i="1"/>
  <c r="BF3485" i="1"/>
  <c r="BG3485" i="1"/>
  <c r="T3486" i="1"/>
  <c r="U3486" i="1"/>
  <c r="V3486" i="1"/>
  <c r="W3486" i="1"/>
  <c r="AB3486" i="1"/>
  <c r="AF3486" i="1"/>
  <c r="AC3487" i="1"/>
  <c r="AJ3486" i="1"/>
  <c r="AK3486" i="1"/>
  <c r="AM3486" i="1"/>
  <c r="BF3486" i="1"/>
  <c r="BG3486" i="1"/>
  <c r="T3487" i="1"/>
  <c r="U3487" i="1"/>
  <c r="V3487" i="1"/>
  <c r="W3487" i="1"/>
  <c r="AB3487" i="1"/>
  <c r="AF3487" i="1"/>
  <c r="AC3488" i="1"/>
  <c r="AJ3487" i="1"/>
  <c r="AK3487" i="1"/>
  <c r="AM3487" i="1"/>
  <c r="BF3487" i="1"/>
  <c r="BG3487" i="1"/>
  <c r="T3488" i="1"/>
  <c r="U3488" i="1"/>
  <c r="V3488" i="1"/>
  <c r="W3488" i="1"/>
  <c r="AB3488" i="1"/>
  <c r="AF3488" i="1"/>
  <c r="K3489" i="1"/>
  <c r="AC3489" i="1"/>
  <c r="AJ3488" i="1"/>
  <c r="AK3488" i="1"/>
  <c r="AM3488" i="1"/>
  <c r="BF3488" i="1"/>
  <c r="BG3488" i="1"/>
  <c r="T3489" i="1"/>
  <c r="U3489" i="1"/>
  <c r="V3489" i="1"/>
  <c r="W3489" i="1"/>
  <c r="AB3489" i="1"/>
  <c r="AF3489" i="1"/>
  <c r="K3490" i="1"/>
  <c r="AC3490" i="1"/>
  <c r="AJ3489" i="1"/>
  <c r="AK3489" i="1"/>
  <c r="AM3489" i="1"/>
  <c r="BF3489" i="1"/>
  <c r="BG3489" i="1"/>
  <c r="T3490" i="1"/>
  <c r="U3490" i="1"/>
  <c r="V3490" i="1"/>
  <c r="W3490" i="1"/>
  <c r="AB3490" i="1"/>
  <c r="AF3490" i="1"/>
  <c r="AC3491" i="1"/>
  <c r="AJ3490" i="1"/>
  <c r="AK3490" i="1"/>
  <c r="AM3490" i="1"/>
  <c r="BF3490" i="1"/>
  <c r="BG3490" i="1"/>
  <c r="T3491" i="1"/>
  <c r="U3491" i="1"/>
  <c r="V3491" i="1"/>
  <c r="W3491" i="1"/>
  <c r="AB3491" i="1"/>
  <c r="AF3491" i="1"/>
  <c r="AC3492" i="1"/>
  <c r="AJ3491" i="1"/>
  <c r="AK3491" i="1"/>
  <c r="AM3491" i="1"/>
  <c r="BF3491" i="1"/>
  <c r="BG3491" i="1"/>
  <c r="T3492" i="1"/>
  <c r="U3492" i="1"/>
  <c r="V3492" i="1"/>
  <c r="W3492" i="1"/>
  <c r="AB3492" i="1"/>
  <c r="AF3492" i="1"/>
  <c r="K3493" i="1"/>
  <c r="AC3493" i="1"/>
  <c r="AJ3492" i="1"/>
  <c r="AK3492" i="1"/>
  <c r="AM3492" i="1"/>
  <c r="BF3492" i="1"/>
  <c r="BG3492" i="1"/>
  <c r="T3493" i="1"/>
  <c r="U3493" i="1"/>
  <c r="V3493" i="1"/>
  <c r="W3493" i="1"/>
  <c r="AB3493" i="1"/>
  <c r="AF3493" i="1"/>
  <c r="K3494" i="1"/>
  <c r="AC3494" i="1"/>
  <c r="AJ3493" i="1"/>
  <c r="AK3493" i="1"/>
  <c r="AM3493" i="1"/>
  <c r="BF3493" i="1"/>
  <c r="BG3493" i="1"/>
  <c r="T3494" i="1"/>
  <c r="U3494" i="1"/>
  <c r="V3494" i="1"/>
  <c r="W3494" i="1"/>
  <c r="AB3494" i="1"/>
  <c r="AF3494" i="1"/>
  <c r="K3495" i="1"/>
  <c r="AC3495" i="1"/>
  <c r="AJ3494" i="1"/>
  <c r="AK3494" i="1"/>
  <c r="AM3494" i="1"/>
  <c r="BF3494" i="1"/>
  <c r="BG3494" i="1"/>
  <c r="T3495" i="1"/>
  <c r="U3495" i="1"/>
  <c r="V3495" i="1"/>
  <c r="W3495" i="1"/>
  <c r="AB3495" i="1"/>
  <c r="AF3495" i="1"/>
  <c r="AC3496" i="1"/>
  <c r="AJ3495" i="1"/>
  <c r="AK3495" i="1"/>
  <c r="AM3495" i="1"/>
  <c r="BF3495" i="1"/>
  <c r="BG3495" i="1"/>
  <c r="T3496" i="1"/>
  <c r="U3496" i="1"/>
  <c r="V3496" i="1"/>
  <c r="W3496" i="1"/>
  <c r="AB3496" i="1"/>
  <c r="AF3496" i="1"/>
  <c r="AC3497" i="1"/>
  <c r="AJ3496" i="1"/>
  <c r="AK3496" i="1"/>
  <c r="AM3496" i="1"/>
  <c r="BF3496" i="1"/>
  <c r="BG3496" i="1"/>
  <c r="T3497" i="1"/>
  <c r="U3497" i="1"/>
  <c r="V3497" i="1"/>
  <c r="W3497" i="1"/>
  <c r="AB3497" i="1"/>
  <c r="AF3497" i="1"/>
  <c r="K3498" i="1"/>
  <c r="AC3498" i="1"/>
  <c r="AJ3497" i="1"/>
  <c r="AK3497" i="1"/>
  <c r="AM3497" i="1"/>
  <c r="BF3497" i="1"/>
  <c r="BG3497" i="1"/>
  <c r="T3498" i="1"/>
  <c r="U3498" i="1"/>
  <c r="V3498" i="1"/>
  <c r="W3498" i="1"/>
  <c r="AB3498" i="1"/>
  <c r="AF3498" i="1"/>
  <c r="AC3499" i="1"/>
  <c r="AJ3498" i="1"/>
  <c r="AK3498" i="1"/>
  <c r="AM3498" i="1"/>
  <c r="BF3498" i="1"/>
  <c r="BG3498" i="1"/>
  <c r="T3499" i="1"/>
  <c r="U3499" i="1"/>
  <c r="V3499" i="1"/>
  <c r="W3499" i="1"/>
  <c r="AB3499" i="1"/>
  <c r="AF3499" i="1"/>
  <c r="AC3500" i="1"/>
  <c r="AJ3499" i="1"/>
  <c r="AK3499" i="1"/>
  <c r="AM3499" i="1"/>
  <c r="BF3499" i="1"/>
  <c r="BG3499" i="1"/>
  <c r="T3500" i="1"/>
  <c r="U3500" i="1"/>
  <c r="V3500" i="1"/>
  <c r="W3500" i="1"/>
  <c r="AB3500" i="1"/>
  <c r="AF3500" i="1"/>
  <c r="K3501" i="1"/>
  <c r="AC3501" i="1"/>
  <c r="AJ3500" i="1"/>
  <c r="AK3500" i="1"/>
  <c r="AM3500" i="1"/>
  <c r="BF3500" i="1"/>
  <c r="BG3500" i="1"/>
  <c r="T3501" i="1"/>
  <c r="U3501" i="1"/>
  <c r="V3501" i="1"/>
  <c r="W3501" i="1"/>
  <c r="AB3501" i="1"/>
  <c r="AF3501" i="1"/>
  <c r="K3502" i="1"/>
  <c r="AC3502" i="1"/>
  <c r="AJ3501" i="1"/>
  <c r="AK3501" i="1"/>
  <c r="AM3501" i="1"/>
  <c r="BF3501" i="1"/>
  <c r="BG3501" i="1"/>
  <c r="T3502" i="1"/>
  <c r="U3502" i="1"/>
  <c r="V3502" i="1"/>
  <c r="W3502" i="1"/>
  <c r="AB3502" i="1"/>
  <c r="AF3502" i="1"/>
  <c r="AC3503" i="1"/>
  <c r="AJ3502" i="1"/>
  <c r="AK3502" i="1"/>
  <c r="AM3502" i="1"/>
  <c r="BF3502" i="1"/>
  <c r="BG3502" i="1"/>
  <c r="T3503" i="1"/>
  <c r="U3503" i="1"/>
  <c r="V3503" i="1"/>
  <c r="W3503" i="1"/>
  <c r="AB3503" i="1"/>
  <c r="AF3503" i="1"/>
  <c r="AC3504" i="1"/>
  <c r="AJ3503" i="1"/>
  <c r="AK3503" i="1"/>
  <c r="AM3503" i="1"/>
  <c r="BF3503" i="1"/>
  <c r="BG3503" i="1"/>
  <c r="T3504" i="1"/>
  <c r="U3504" i="1"/>
  <c r="V3504" i="1"/>
  <c r="W3504" i="1"/>
  <c r="AB3504" i="1"/>
  <c r="AF3504" i="1"/>
  <c r="K3505" i="1"/>
  <c r="AC3505" i="1"/>
  <c r="AJ3504" i="1"/>
  <c r="AK3504" i="1"/>
  <c r="AM3504" i="1"/>
  <c r="BF3504" i="1"/>
  <c r="BG3504" i="1"/>
  <c r="T3505" i="1"/>
  <c r="U3505" i="1"/>
  <c r="V3505" i="1"/>
  <c r="W3505" i="1"/>
  <c r="AB3505" i="1"/>
  <c r="AF3505" i="1"/>
  <c r="AC3506" i="1"/>
  <c r="AJ3505" i="1"/>
  <c r="AK3505" i="1"/>
  <c r="AM3505" i="1"/>
  <c r="BF3505" i="1"/>
  <c r="BG3505" i="1"/>
  <c r="T3506" i="1"/>
  <c r="U3506" i="1"/>
  <c r="V3506" i="1"/>
  <c r="W3506" i="1"/>
  <c r="AB3506" i="1"/>
  <c r="AF3506" i="1"/>
  <c r="AC3507" i="1"/>
  <c r="AJ3506" i="1"/>
  <c r="AK3506" i="1"/>
  <c r="AM3506" i="1"/>
  <c r="BF3506" i="1"/>
  <c r="BG3506" i="1"/>
  <c r="T3507" i="1"/>
  <c r="U3507" i="1"/>
  <c r="V3507" i="1"/>
  <c r="W3507" i="1"/>
  <c r="AB3507" i="1"/>
  <c r="AF3507" i="1"/>
  <c r="K3508" i="1"/>
  <c r="AC3508" i="1"/>
  <c r="AJ3507" i="1"/>
  <c r="AK3507" i="1"/>
  <c r="AM3507" i="1"/>
  <c r="BF3507" i="1"/>
  <c r="BG3507" i="1"/>
  <c r="T3508" i="1"/>
  <c r="U3508" i="1"/>
  <c r="V3508" i="1"/>
  <c r="W3508" i="1"/>
  <c r="AB3508" i="1"/>
  <c r="AF3508" i="1"/>
  <c r="K3509" i="1"/>
  <c r="AC3509" i="1"/>
  <c r="AJ3508" i="1"/>
  <c r="AK3508" i="1"/>
  <c r="AM3508" i="1"/>
  <c r="BF3508" i="1"/>
  <c r="BG3508" i="1"/>
  <c r="T3509" i="1"/>
  <c r="U3509" i="1"/>
  <c r="V3509" i="1"/>
  <c r="W3509" i="1"/>
  <c r="AB3509" i="1"/>
  <c r="AF3509" i="1"/>
  <c r="K3510" i="1"/>
  <c r="AC3510" i="1"/>
  <c r="AJ3509" i="1"/>
  <c r="AK3509" i="1"/>
  <c r="AM3509" i="1"/>
  <c r="BF3509" i="1"/>
  <c r="BG3509" i="1"/>
  <c r="T3510" i="1"/>
  <c r="U3510" i="1"/>
  <c r="V3510" i="1"/>
  <c r="W3510" i="1"/>
  <c r="AB3510" i="1"/>
  <c r="AF3510" i="1"/>
  <c r="AC3511" i="1"/>
  <c r="AJ3510" i="1"/>
  <c r="AK3510" i="1"/>
  <c r="AM3510" i="1"/>
  <c r="BF3510" i="1"/>
  <c r="BG3510" i="1"/>
  <c r="T3511" i="1"/>
  <c r="U3511" i="1"/>
  <c r="V3511" i="1"/>
  <c r="W3511" i="1"/>
  <c r="AB3511" i="1"/>
  <c r="AF3511" i="1"/>
  <c r="AC3512" i="1"/>
  <c r="AJ3511" i="1"/>
  <c r="AK3511" i="1"/>
  <c r="AM3511" i="1"/>
  <c r="BF3511" i="1"/>
  <c r="BG3511" i="1"/>
  <c r="T3512" i="1"/>
  <c r="U3512" i="1"/>
  <c r="V3512" i="1"/>
  <c r="W3512" i="1"/>
  <c r="AB3512" i="1"/>
  <c r="AF3512" i="1"/>
  <c r="K3513" i="1"/>
  <c r="AC3513" i="1"/>
  <c r="AJ3512" i="1"/>
  <c r="AK3512" i="1"/>
  <c r="AM3512" i="1"/>
  <c r="BF3512" i="1"/>
  <c r="BG3512" i="1"/>
  <c r="T3513" i="1"/>
  <c r="U3513" i="1"/>
  <c r="V3513" i="1"/>
  <c r="W3513" i="1"/>
  <c r="AB3513" i="1"/>
  <c r="AF3513" i="1"/>
  <c r="K3514" i="1"/>
  <c r="AC3514" i="1"/>
  <c r="AJ3513" i="1"/>
  <c r="AK3513" i="1"/>
  <c r="AM3513" i="1"/>
  <c r="BF3513" i="1"/>
  <c r="BG3513" i="1"/>
  <c r="T3514" i="1"/>
  <c r="U3514" i="1"/>
  <c r="V3514" i="1"/>
  <c r="W3514" i="1"/>
  <c r="AB3514" i="1"/>
  <c r="AF3514" i="1"/>
  <c r="AC3515" i="1"/>
  <c r="AJ3514" i="1"/>
  <c r="AK3514" i="1"/>
  <c r="AM3514" i="1"/>
  <c r="BF3514" i="1"/>
  <c r="BG3514" i="1"/>
  <c r="T3515" i="1"/>
  <c r="U3515" i="1"/>
  <c r="V3515" i="1"/>
  <c r="W3515" i="1"/>
  <c r="AB3515" i="1"/>
  <c r="AF3515" i="1"/>
  <c r="AC3516" i="1"/>
  <c r="AJ3515" i="1"/>
  <c r="AK3515" i="1"/>
  <c r="AM3515" i="1"/>
  <c r="BF3515" i="1"/>
  <c r="BG3515" i="1"/>
  <c r="T3516" i="1"/>
  <c r="U3516" i="1"/>
  <c r="V3516" i="1"/>
  <c r="W3516" i="1"/>
  <c r="AB3516" i="1"/>
  <c r="AF3516" i="1"/>
  <c r="K3517" i="1"/>
  <c r="AC3517" i="1"/>
  <c r="AJ3516" i="1"/>
  <c r="AK3516" i="1"/>
  <c r="AM3516" i="1"/>
  <c r="BF3516" i="1"/>
  <c r="BG3516" i="1"/>
  <c r="T3517" i="1"/>
  <c r="U3517" i="1"/>
  <c r="V3517" i="1"/>
  <c r="W3517" i="1"/>
  <c r="AB3517" i="1"/>
  <c r="AF3517" i="1"/>
  <c r="AC3518" i="1"/>
  <c r="AJ3517" i="1"/>
  <c r="AK3517" i="1"/>
  <c r="AM3517" i="1"/>
  <c r="BF3517" i="1"/>
  <c r="BG3517" i="1"/>
  <c r="T3518" i="1"/>
  <c r="U3518" i="1"/>
  <c r="V3518" i="1"/>
  <c r="W3518" i="1"/>
  <c r="AB3518" i="1"/>
  <c r="AF3518" i="1"/>
  <c r="AC3519" i="1"/>
  <c r="AJ3518" i="1"/>
  <c r="AK3518" i="1"/>
  <c r="AM3518" i="1"/>
  <c r="BF3518" i="1"/>
  <c r="BG3518" i="1"/>
  <c r="T3519" i="1"/>
  <c r="U3519" i="1"/>
  <c r="V3519" i="1"/>
  <c r="W3519" i="1"/>
  <c r="AB3519" i="1"/>
  <c r="AF3519" i="1"/>
  <c r="K3520" i="1"/>
  <c r="AC3520" i="1"/>
  <c r="AJ3519" i="1"/>
  <c r="AK3519" i="1"/>
  <c r="AM3519" i="1"/>
  <c r="BF3519" i="1"/>
  <c r="BG3519" i="1"/>
  <c r="T3520" i="1"/>
  <c r="U3520" i="1"/>
  <c r="V3520" i="1"/>
  <c r="W3520" i="1"/>
  <c r="AB3520" i="1"/>
  <c r="AF3520" i="1"/>
  <c r="AC3521" i="1"/>
  <c r="AJ3520" i="1"/>
  <c r="AK3520" i="1"/>
  <c r="AM3520" i="1"/>
  <c r="BF3520" i="1"/>
  <c r="BG3520" i="1"/>
  <c r="T3521" i="1"/>
  <c r="U3521" i="1"/>
  <c r="V3521" i="1"/>
  <c r="W3521" i="1"/>
  <c r="AB3521" i="1"/>
  <c r="AF3521" i="1"/>
  <c r="AC3522" i="1"/>
  <c r="AJ3521" i="1"/>
  <c r="AK3521" i="1"/>
  <c r="AM3521" i="1"/>
  <c r="BF3521" i="1"/>
  <c r="BG3521" i="1"/>
  <c r="T3522" i="1"/>
  <c r="U3522" i="1"/>
  <c r="V3522" i="1"/>
  <c r="W3522" i="1"/>
  <c r="AB3522" i="1"/>
  <c r="AF3522" i="1"/>
  <c r="K3523" i="1"/>
  <c r="AC3523" i="1"/>
  <c r="AJ3522" i="1"/>
  <c r="AK3522" i="1"/>
  <c r="AM3522" i="1"/>
  <c r="BF3522" i="1"/>
  <c r="BG3522" i="1"/>
  <c r="T3523" i="1"/>
  <c r="U3523" i="1"/>
  <c r="V3523" i="1"/>
  <c r="W3523" i="1"/>
  <c r="AB3523" i="1"/>
  <c r="AF3523" i="1"/>
  <c r="K3524" i="1"/>
  <c r="AC3524" i="1"/>
  <c r="AJ3523" i="1"/>
  <c r="AK3523" i="1"/>
  <c r="AM3523" i="1"/>
  <c r="BF3523" i="1"/>
  <c r="BG3523" i="1"/>
  <c r="T3524" i="1"/>
  <c r="U3524" i="1"/>
  <c r="V3524" i="1"/>
  <c r="W3524" i="1"/>
  <c r="AB3524" i="1"/>
  <c r="AF3524" i="1"/>
  <c r="K3525" i="1"/>
  <c r="AC3525" i="1"/>
  <c r="AJ3524" i="1"/>
  <c r="AK3524" i="1"/>
  <c r="AM3524" i="1"/>
  <c r="BF3524" i="1"/>
  <c r="BG3524" i="1"/>
  <c r="T3525" i="1"/>
  <c r="U3525" i="1"/>
  <c r="V3525" i="1"/>
  <c r="W3525" i="1"/>
  <c r="AB3525" i="1"/>
  <c r="AF3525" i="1"/>
  <c r="K3526" i="1"/>
  <c r="AC3526" i="1"/>
  <c r="AJ3525" i="1"/>
  <c r="AK3525" i="1"/>
  <c r="AM3525" i="1"/>
  <c r="BF3525" i="1"/>
  <c r="BG3525" i="1"/>
  <c r="T3526" i="1"/>
  <c r="U3526" i="1"/>
  <c r="V3526" i="1"/>
  <c r="W3526" i="1"/>
  <c r="AB3526" i="1"/>
  <c r="AF3526" i="1"/>
  <c r="K3527" i="1"/>
  <c r="AC3527" i="1"/>
  <c r="AJ3526" i="1"/>
  <c r="AK3526" i="1"/>
  <c r="AM3526" i="1"/>
  <c r="BF3526" i="1"/>
  <c r="BG3526" i="1"/>
  <c r="T3527" i="1"/>
  <c r="U3527" i="1"/>
  <c r="V3527" i="1"/>
  <c r="W3527" i="1"/>
  <c r="AB3527" i="1"/>
  <c r="AF3527" i="1"/>
  <c r="K3528" i="1"/>
  <c r="AC3528" i="1"/>
  <c r="AJ3527" i="1"/>
  <c r="AK3527" i="1"/>
  <c r="AM3527" i="1"/>
  <c r="BF3527" i="1"/>
  <c r="BG3527" i="1"/>
  <c r="T3528" i="1"/>
  <c r="U3528" i="1"/>
  <c r="V3528" i="1"/>
  <c r="W3528" i="1"/>
  <c r="AB3528" i="1"/>
  <c r="AF3528" i="1"/>
  <c r="K3529" i="1"/>
  <c r="AC3529" i="1"/>
  <c r="AJ3528" i="1"/>
  <c r="AK3528" i="1"/>
  <c r="AM3528" i="1"/>
  <c r="BF3528" i="1"/>
  <c r="BG3528" i="1"/>
  <c r="T3529" i="1"/>
  <c r="U3529" i="1"/>
  <c r="V3529" i="1"/>
  <c r="W3529" i="1"/>
  <c r="AB3529" i="1"/>
  <c r="AF3529" i="1"/>
  <c r="K3530" i="1"/>
  <c r="AC3530" i="1"/>
  <c r="AJ3529" i="1"/>
  <c r="AK3529" i="1"/>
  <c r="AM3529" i="1"/>
  <c r="BF3529" i="1"/>
  <c r="BG3529" i="1"/>
  <c r="T3530" i="1"/>
  <c r="U3530" i="1"/>
  <c r="V3530" i="1"/>
  <c r="W3530" i="1"/>
  <c r="AB3530" i="1"/>
  <c r="AF3530" i="1"/>
  <c r="K3531" i="1"/>
  <c r="AC3531" i="1"/>
  <c r="AJ3530" i="1"/>
  <c r="AK3530" i="1"/>
  <c r="AM3530" i="1"/>
  <c r="BF3530" i="1"/>
  <c r="BG3530" i="1"/>
  <c r="T3531" i="1"/>
  <c r="U3531" i="1"/>
  <c r="V3531" i="1"/>
  <c r="W3531" i="1"/>
  <c r="AB3531" i="1"/>
  <c r="AF3531" i="1"/>
  <c r="K3532" i="1"/>
  <c r="AC3532" i="1"/>
  <c r="AJ3531" i="1"/>
  <c r="AK3531" i="1"/>
  <c r="AM3531" i="1"/>
  <c r="BF3531" i="1"/>
  <c r="BG3531" i="1"/>
  <c r="T3532" i="1"/>
  <c r="U3532" i="1"/>
  <c r="V3532" i="1"/>
  <c r="W3532" i="1"/>
  <c r="AB3532" i="1"/>
  <c r="AF3532" i="1"/>
  <c r="K3533" i="1"/>
  <c r="AC3533" i="1"/>
  <c r="AJ3532" i="1"/>
  <c r="AK3532" i="1"/>
  <c r="AM3532" i="1"/>
  <c r="BF3532" i="1"/>
  <c r="BG3532" i="1"/>
  <c r="T3533" i="1"/>
  <c r="U3533" i="1"/>
  <c r="V3533" i="1"/>
  <c r="W3533" i="1"/>
  <c r="AB3533" i="1"/>
  <c r="AF3533" i="1"/>
  <c r="K3534" i="1"/>
  <c r="AC3534" i="1"/>
  <c r="AJ3533" i="1"/>
  <c r="AK3533" i="1"/>
  <c r="AM3533" i="1"/>
  <c r="BF3533" i="1"/>
  <c r="BG3533" i="1"/>
  <c r="T3534" i="1"/>
  <c r="U3534" i="1"/>
  <c r="V3534" i="1"/>
  <c r="W3534" i="1"/>
  <c r="AB3534" i="1"/>
  <c r="AF3534" i="1"/>
  <c r="AC3535" i="1"/>
  <c r="AJ3534" i="1"/>
  <c r="AK3534" i="1"/>
  <c r="AM3534" i="1"/>
  <c r="BF3534" i="1"/>
  <c r="BG3534" i="1"/>
  <c r="T3535" i="1"/>
  <c r="U3535" i="1"/>
  <c r="V3535" i="1"/>
  <c r="W3535" i="1"/>
  <c r="AB3535" i="1"/>
  <c r="AF3535" i="1"/>
  <c r="AC3536" i="1"/>
  <c r="AJ3535" i="1"/>
  <c r="AK3535" i="1"/>
  <c r="AM3535" i="1"/>
  <c r="BF3535" i="1"/>
  <c r="BG3535" i="1"/>
  <c r="T3536" i="1"/>
  <c r="U3536" i="1"/>
  <c r="V3536" i="1"/>
  <c r="W3536" i="1"/>
  <c r="AB3536" i="1"/>
  <c r="AF3536" i="1"/>
  <c r="K3537" i="1"/>
  <c r="AC3537" i="1"/>
  <c r="AJ3536" i="1"/>
  <c r="AK3536" i="1"/>
  <c r="AM3536" i="1"/>
  <c r="BF3536" i="1"/>
  <c r="BG3536" i="1"/>
  <c r="T3537" i="1"/>
  <c r="U3537" i="1"/>
  <c r="V3537" i="1"/>
  <c r="W3537" i="1"/>
  <c r="AB3537" i="1"/>
  <c r="AF3537" i="1"/>
  <c r="K3538" i="1"/>
  <c r="AC3538" i="1"/>
  <c r="AJ3537" i="1"/>
  <c r="AK3537" i="1"/>
  <c r="AM3537" i="1"/>
  <c r="BF3537" i="1"/>
  <c r="BG3537" i="1"/>
  <c r="T3538" i="1"/>
  <c r="U3538" i="1"/>
  <c r="V3538" i="1"/>
  <c r="W3538" i="1"/>
  <c r="AB3538" i="1"/>
  <c r="AF3538" i="1"/>
  <c r="AC3539" i="1"/>
  <c r="AJ3538" i="1"/>
  <c r="AK3538" i="1"/>
  <c r="AM3538" i="1"/>
  <c r="BF3538" i="1"/>
  <c r="BG3538" i="1"/>
  <c r="T3539" i="1"/>
  <c r="U3539" i="1"/>
  <c r="V3539" i="1"/>
  <c r="W3539" i="1"/>
  <c r="AB3539" i="1"/>
  <c r="AF3539" i="1"/>
  <c r="AC3540" i="1"/>
  <c r="AJ3539" i="1"/>
  <c r="AK3539" i="1"/>
  <c r="AM3539" i="1"/>
  <c r="BF3539" i="1"/>
  <c r="BG3539" i="1"/>
  <c r="T3540" i="1"/>
  <c r="U3540" i="1"/>
  <c r="V3540" i="1"/>
  <c r="W3540" i="1"/>
  <c r="AB3540" i="1"/>
  <c r="AF3540" i="1"/>
  <c r="K3541" i="1"/>
  <c r="AC3541" i="1"/>
  <c r="AJ3540" i="1"/>
  <c r="AK3540" i="1"/>
  <c r="AM3540" i="1"/>
  <c r="BF3540" i="1"/>
  <c r="BG3540" i="1"/>
  <c r="T3541" i="1"/>
  <c r="U3541" i="1"/>
  <c r="V3541" i="1"/>
  <c r="W3541" i="1"/>
  <c r="AB3541" i="1"/>
  <c r="AF3541" i="1"/>
  <c r="K3542" i="1"/>
  <c r="AC3542" i="1"/>
  <c r="AJ3541" i="1"/>
  <c r="AK3541" i="1"/>
  <c r="AM3541" i="1"/>
  <c r="BF3541" i="1"/>
  <c r="BG3541" i="1"/>
  <c r="T3542" i="1"/>
  <c r="U3542" i="1"/>
  <c r="V3542" i="1"/>
  <c r="W3542" i="1"/>
  <c r="AB3542" i="1"/>
  <c r="AF3542" i="1"/>
  <c r="K3543" i="1"/>
  <c r="AC3543" i="1"/>
  <c r="AJ3542" i="1"/>
  <c r="AK3542" i="1"/>
  <c r="AM3542" i="1"/>
  <c r="BF3542" i="1"/>
  <c r="BG3542" i="1"/>
  <c r="T3543" i="1"/>
  <c r="U3543" i="1"/>
  <c r="V3543" i="1"/>
  <c r="W3543" i="1"/>
  <c r="AB3543" i="1"/>
  <c r="AF3543" i="1"/>
  <c r="K3544" i="1"/>
  <c r="AC3544" i="1"/>
  <c r="AJ3543" i="1"/>
  <c r="AK3543" i="1"/>
  <c r="AM3543" i="1"/>
  <c r="BF3543" i="1"/>
  <c r="BG3543" i="1"/>
  <c r="T3544" i="1"/>
  <c r="U3544" i="1"/>
  <c r="V3544" i="1"/>
  <c r="W3544" i="1"/>
  <c r="AB3544" i="1"/>
  <c r="AF3544" i="1"/>
  <c r="AC3545" i="1"/>
  <c r="AJ3544" i="1"/>
  <c r="AK3544" i="1"/>
  <c r="AM3544" i="1"/>
  <c r="BF3544" i="1"/>
  <c r="BG3544" i="1"/>
  <c r="T3545" i="1"/>
  <c r="U3545" i="1"/>
  <c r="V3545" i="1"/>
  <c r="W3545" i="1"/>
  <c r="AB3545" i="1"/>
  <c r="AF3545" i="1"/>
  <c r="AC3546" i="1"/>
  <c r="AJ3545" i="1"/>
  <c r="AK3545" i="1"/>
  <c r="AM3545" i="1"/>
  <c r="BF3545" i="1"/>
  <c r="BG3545" i="1"/>
  <c r="T3546" i="1"/>
  <c r="U3546" i="1"/>
  <c r="V3546" i="1"/>
  <c r="W3546" i="1"/>
  <c r="AB3546" i="1"/>
  <c r="AF3546" i="1"/>
  <c r="K3547" i="1"/>
  <c r="AC3547" i="1"/>
  <c r="AJ3546" i="1"/>
  <c r="AK3546" i="1"/>
  <c r="AM3546" i="1"/>
  <c r="BF3546" i="1"/>
  <c r="BG3546" i="1"/>
  <c r="T3547" i="1"/>
  <c r="U3547" i="1"/>
  <c r="V3547" i="1"/>
  <c r="W3547" i="1"/>
  <c r="AB3547" i="1"/>
  <c r="AF3547" i="1"/>
  <c r="K3548" i="1"/>
  <c r="AC3548" i="1"/>
  <c r="AJ3547" i="1"/>
  <c r="AK3547" i="1"/>
  <c r="AM3547" i="1"/>
  <c r="BF3547" i="1"/>
  <c r="BG3547" i="1"/>
  <c r="T3548" i="1"/>
  <c r="U3548" i="1"/>
  <c r="V3548" i="1"/>
  <c r="W3548" i="1"/>
  <c r="AB3548" i="1"/>
  <c r="AF3548" i="1"/>
  <c r="K3549" i="1"/>
  <c r="AC3549" i="1"/>
  <c r="AJ3548" i="1"/>
  <c r="AK3548" i="1"/>
  <c r="AM3548" i="1"/>
  <c r="BF3548" i="1"/>
  <c r="BG3548" i="1"/>
  <c r="T3549" i="1"/>
  <c r="U3549" i="1"/>
  <c r="V3549" i="1"/>
  <c r="W3549" i="1"/>
  <c r="AB3549" i="1"/>
  <c r="AF3549" i="1"/>
  <c r="K3550" i="1"/>
  <c r="AC3550" i="1"/>
  <c r="AJ3549" i="1"/>
  <c r="AK3549" i="1"/>
  <c r="AM3549" i="1"/>
  <c r="BF3549" i="1"/>
  <c r="BG3549" i="1"/>
  <c r="T3550" i="1"/>
  <c r="U3550" i="1"/>
  <c r="V3550" i="1"/>
  <c r="W3550" i="1"/>
  <c r="AB3550" i="1"/>
  <c r="AF3550" i="1"/>
  <c r="K3551" i="1"/>
  <c r="AC3551" i="1"/>
  <c r="AJ3550" i="1"/>
  <c r="AK3550" i="1"/>
  <c r="AM3550" i="1"/>
  <c r="BF3550" i="1"/>
  <c r="BG3550" i="1"/>
  <c r="T3551" i="1"/>
  <c r="U3551" i="1"/>
  <c r="V3551" i="1"/>
  <c r="W3551" i="1"/>
  <c r="AB3551" i="1"/>
  <c r="AF3551" i="1"/>
  <c r="K3552" i="1"/>
  <c r="AC3552" i="1"/>
  <c r="AJ3551" i="1"/>
  <c r="AK3551" i="1"/>
  <c r="AM3551" i="1"/>
  <c r="BF3551" i="1"/>
  <c r="BG3551" i="1"/>
  <c r="T3552" i="1"/>
  <c r="U3552" i="1"/>
  <c r="V3552" i="1"/>
  <c r="W3552" i="1"/>
  <c r="AB3552" i="1"/>
  <c r="AF3552" i="1"/>
  <c r="K3553" i="1"/>
  <c r="AC3553" i="1"/>
  <c r="AJ3552" i="1"/>
  <c r="AK3552" i="1"/>
  <c r="AM3552" i="1"/>
  <c r="BF3552" i="1"/>
  <c r="BG3552" i="1"/>
  <c r="T3553" i="1"/>
  <c r="U3553" i="1"/>
  <c r="V3553" i="1"/>
  <c r="W3553" i="1"/>
  <c r="AB3553" i="1"/>
  <c r="AF3553" i="1"/>
  <c r="AC3554" i="1"/>
  <c r="AJ3553" i="1"/>
  <c r="AK3553" i="1"/>
  <c r="AM3553" i="1"/>
  <c r="BF3553" i="1"/>
  <c r="BG3553" i="1"/>
  <c r="T3554" i="1"/>
  <c r="U3554" i="1"/>
  <c r="V3554" i="1"/>
  <c r="W3554" i="1"/>
  <c r="AB3554" i="1"/>
  <c r="AF3554" i="1"/>
  <c r="AC3555" i="1"/>
  <c r="AJ3554" i="1"/>
  <c r="AK3554" i="1"/>
  <c r="AM3554" i="1"/>
  <c r="BF3554" i="1"/>
  <c r="BG3554" i="1"/>
  <c r="T3555" i="1"/>
  <c r="U3555" i="1"/>
  <c r="V3555" i="1"/>
  <c r="W3555" i="1"/>
  <c r="AB3555" i="1"/>
  <c r="AF3555" i="1"/>
  <c r="K3556" i="1"/>
  <c r="AC3556" i="1"/>
  <c r="AJ3555" i="1"/>
  <c r="AK3555" i="1"/>
  <c r="AM3555" i="1"/>
  <c r="BF3555" i="1"/>
  <c r="BG3555" i="1"/>
  <c r="T3556" i="1"/>
  <c r="U3556" i="1"/>
  <c r="V3556" i="1"/>
  <c r="W3556" i="1"/>
  <c r="AB3556" i="1"/>
  <c r="AF3556" i="1"/>
  <c r="K3557" i="1"/>
  <c r="AC3557" i="1"/>
  <c r="AJ3556" i="1"/>
  <c r="AK3556" i="1"/>
  <c r="AM3556" i="1"/>
  <c r="BF3556" i="1"/>
  <c r="BG3556" i="1"/>
  <c r="T3557" i="1"/>
  <c r="U3557" i="1"/>
  <c r="V3557" i="1"/>
  <c r="W3557" i="1"/>
  <c r="AB3557" i="1"/>
  <c r="AF3557" i="1"/>
  <c r="AC3558" i="1"/>
  <c r="AJ3557" i="1"/>
  <c r="AK3557" i="1"/>
  <c r="AM3557" i="1"/>
  <c r="BF3557" i="1"/>
  <c r="BG3557" i="1"/>
  <c r="T3558" i="1"/>
  <c r="U3558" i="1"/>
  <c r="V3558" i="1"/>
  <c r="W3558" i="1"/>
  <c r="AB3558" i="1"/>
  <c r="AF3558" i="1"/>
  <c r="AC3559" i="1"/>
  <c r="AJ3558" i="1"/>
  <c r="AK3558" i="1"/>
  <c r="AM3558" i="1"/>
  <c r="BF3558" i="1"/>
  <c r="BG3558" i="1"/>
  <c r="T3559" i="1"/>
  <c r="U3559" i="1"/>
  <c r="V3559" i="1"/>
  <c r="W3559" i="1"/>
  <c r="AB3559" i="1"/>
  <c r="AF3559" i="1"/>
  <c r="K3560" i="1"/>
  <c r="AC3560" i="1"/>
  <c r="AJ3559" i="1"/>
  <c r="AK3559" i="1"/>
  <c r="AM3559" i="1"/>
  <c r="BF3559" i="1"/>
  <c r="BG3559" i="1"/>
  <c r="T3560" i="1"/>
  <c r="U3560" i="1"/>
  <c r="V3560" i="1"/>
  <c r="W3560" i="1"/>
  <c r="AB3560" i="1"/>
  <c r="AF3560" i="1"/>
  <c r="K3561" i="1"/>
  <c r="AC3561" i="1"/>
  <c r="AJ3560" i="1"/>
  <c r="AK3560" i="1"/>
  <c r="AM3560" i="1"/>
  <c r="BF3560" i="1"/>
  <c r="BG3560" i="1"/>
  <c r="T3561" i="1"/>
  <c r="U3561" i="1"/>
  <c r="V3561" i="1"/>
  <c r="W3561" i="1"/>
  <c r="AB3561" i="1"/>
  <c r="AF3561" i="1"/>
  <c r="AC3562" i="1"/>
  <c r="AJ3561" i="1"/>
  <c r="AK3561" i="1"/>
  <c r="AM3561" i="1"/>
  <c r="BF3561" i="1"/>
  <c r="BG3561" i="1"/>
  <c r="T3562" i="1"/>
  <c r="U3562" i="1"/>
  <c r="V3562" i="1"/>
  <c r="W3562" i="1"/>
  <c r="AB3562" i="1"/>
  <c r="AF3562" i="1"/>
  <c r="AC3563" i="1"/>
  <c r="AJ3562" i="1"/>
  <c r="AK3562" i="1"/>
  <c r="AM3562" i="1"/>
  <c r="BF3562" i="1"/>
  <c r="BG3562" i="1"/>
  <c r="T3563" i="1"/>
  <c r="U3563" i="1"/>
  <c r="V3563" i="1"/>
  <c r="W3563" i="1"/>
  <c r="AB3563" i="1"/>
  <c r="AF3563" i="1"/>
  <c r="K3564" i="1"/>
  <c r="AC3564" i="1"/>
  <c r="AJ3563" i="1"/>
  <c r="AK3563" i="1"/>
  <c r="AM3563" i="1"/>
  <c r="BF3563" i="1"/>
  <c r="BG3563" i="1"/>
  <c r="T3564" i="1"/>
  <c r="U3564" i="1"/>
  <c r="V3564" i="1"/>
  <c r="W3564" i="1"/>
  <c r="AB3564" i="1"/>
  <c r="AF3564" i="1"/>
  <c r="AC3565" i="1"/>
  <c r="AJ3564" i="1"/>
  <c r="AK3564" i="1"/>
  <c r="AM3564" i="1"/>
  <c r="BF3564" i="1"/>
  <c r="BG3564" i="1"/>
  <c r="T3565" i="1"/>
  <c r="U3565" i="1"/>
  <c r="V3565" i="1"/>
  <c r="W3565" i="1"/>
  <c r="AB3565" i="1"/>
  <c r="AF3565" i="1"/>
  <c r="AC3566" i="1"/>
  <c r="AJ3565" i="1"/>
  <c r="AK3565" i="1"/>
  <c r="AM3565" i="1"/>
  <c r="BF3565" i="1"/>
  <c r="BG3565" i="1"/>
  <c r="T3566" i="1"/>
  <c r="U3566" i="1"/>
  <c r="V3566" i="1"/>
  <c r="W3566" i="1"/>
  <c r="AB3566" i="1"/>
  <c r="AF3566" i="1"/>
  <c r="K3567" i="1"/>
  <c r="AC3567" i="1"/>
  <c r="AJ3566" i="1"/>
  <c r="AK3566" i="1"/>
  <c r="AM3566" i="1"/>
  <c r="BF3566" i="1"/>
  <c r="BG3566" i="1"/>
  <c r="T3567" i="1"/>
  <c r="U3567" i="1"/>
  <c r="V3567" i="1"/>
  <c r="W3567" i="1"/>
  <c r="AB3567" i="1"/>
  <c r="AF3567" i="1"/>
  <c r="K3568" i="1"/>
  <c r="AC3568" i="1"/>
  <c r="AJ3567" i="1"/>
  <c r="AK3567" i="1"/>
  <c r="AM3567" i="1"/>
  <c r="BF3567" i="1"/>
  <c r="BG3567" i="1"/>
  <c r="T3568" i="1"/>
  <c r="U3568" i="1"/>
  <c r="V3568" i="1"/>
  <c r="W3568" i="1"/>
  <c r="AB3568" i="1"/>
  <c r="AF3568" i="1"/>
  <c r="AC3569" i="1"/>
  <c r="AJ3568" i="1"/>
  <c r="AK3568" i="1"/>
  <c r="AM3568" i="1"/>
  <c r="BF3568" i="1"/>
  <c r="BG3568" i="1"/>
  <c r="T3569" i="1"/>
  <c r="U3569" i="1"/>
  <c r="V3569" i="1"/>
  <c r="W3569" i="1"/>
  <c r="AB3569" i="1"/>
  <c r="AF3569" i="1"/>
  <c r="AC3570" i="1"/>
  <c r="AJ3569" i="1"/>
  <c r="AK3569" i="1"/>
  <c r="AM3569" i="1"/>
  <c r="BF3569" i="1"/>
  <c r="BG3569" i="1"/>
  <c r="T3570" i="1"/>
  <c r="U3570" i="1"/>
  <c r="V3570" i="1"/>
  <c r="W3570" i="1"/>
  <c r="AB3570" i="1"/>
  <c r="AF3570" i="1"/>
  <c r="K3571" i="1"/>
  <c r="AC3571" i="1"/>
  <c r="AJ3570" i="1"/>
  <c r="AK3570" i="1"/>
  <c r="AM3570" i="1"/>
  <c r="BF3570" i="1"/>
  <c r="BG3570" i="1"/>
  <c r="T3571" i="1"/>
  <c r="U3571" i="1"/>
  <c r="V3571" i="1"/>
  <c r="W3571" i="1"/>
  <c r="AB3571" i="1"/>
  <c r="AF3571" i="1"/>
  <c r="K3572" i="1"/>
  <c r="AC3572" i="1"/>
  <c r="AJ3571" i="1"/>
  <c r="AK3571" i="1"/>
  <c r="AM3571" i="1"/>
  <c r="BF3571" i="1"/>
  <c r="BG3571" i="1"/>
  <c r="T3572" i="1"/>
  <c r="U3572" i="1"/>
  <c r="V3572" i="1"/>
  <c r="W3572" i="1"/>
  <c r="AB3572" i="1"/>
  <c r="AF3572" i="1"/>
  <c r="AC3573" i="1"/>
  <c r="AJ3572" i="1"/>
  <c r="AK3572" i="1"/>
  <c r="AM3572" i="1"/>
  <c r="BF3572" i="1"/>
  <c r="BG3572" i="1"/>
  <c r="T3573" i="1"/>
  <c r="U3573" i="1"/>
  <c r="V3573" i="1"/>
  <c r="W3573" i="1"/>
  <c r="AB3573" i="1"/>
  <c r="AF3573" i="1"/>
  <c r="AC3574" i="1"/>
  <c r="AJ3573" i="1"/>
  <c r="AK3573" i="1"/>
  <c r="AM3573" i="1"/>
  <c r="BF3573" i="1"/>
  <c r="BG3573" i="1"/>
  <c r="T3574" i="1"/>
  <c r="U3574" i="1"/>
  <c r="V3574" i="1"/>
  <c r="W3574" i="1"/>
  <c r="AB3574" i="1"/>
  <c r="AF3574" i="1"/>
  <c r="K3575" i="1"/>
  <c r="AC3575" i="1"/>
  <c r="AJ3574" i="1"/>
  <c r="AK3574" i="1"/>
  <c r="AM3574" i="1"/>
  <c r="BF3574" i="1"/>
  <c r="BG3574" i="1"/>
  <c r="T3575" i="1"/>
  <c r="U3575" i="1"/>
  <c r="V3575" i="1"/>
  <c r="W3575" i="1"/>
  <c r="AB3575" i="1"/>
  <c r="AF3575" i="1"/>
  <c r="AC3576" i="1"/>
  <c r="AJ3575" i="1"/>
  <c r="AK3575" i="1"/>
  <c r="AM3575" i="1"/>
  <c r="BF3575" i="1"/>
  <c r="BG3575" i="1"/>
  <c r="T3576" i="1"/>
  <c r="U3576" i="1"/>
  <c r="V3576" i="1"/>
  <c r="W3576" i="1"/>
  <c r="AB3576" i="1"/>
  <c r="AF3576" i="1"/>
  <c r="AC3577" i="1"/>
  <c r="AJ3576" i="1"/>
  <c r="AK3576" i="1"/>
  <c r="AM3576" i="1"/>
  <c r="BF3576" i="1"/>
  <c r="BG3576" i="1"/>
  <c r="T3577" i="1"/>
  <c r="U3577" i="1"/>
  <c r="V3577" i="1"/>
  <c r="W3577" i="1"/>
  <c r="AB3577" i="1"/>
  <c r="AF3577" i="1"/>
  <c r="K3578" i="1"/>
  <c r="AC3578" i="1"/>
  <c r="AJ3577" i="1"/>
  <c r="AK3577" i="1"/>
  <c r="AM3577" i="1"/>
  <c r="BF3577" i="1"/>
  <c r="BG3577" i="1"/>
  <c r="T3578" i="1"/>
  <c r="U3578" i="1"/>
  <c r="V3578" i="1"/>
  <c r="W3578" i="1"/>
  <c r="AB3578" i="1"/>
  <c r="AF3578" i="1"/>
  <c r="AC3579" i="1"/>
  <c r="AJ3578" i="1"/>
  <c r="AK3578" i="1"/>
  <c r="AM3578" i="1"/>
  <c r="BF3578" i="1"/>
  <c r="BG3578" i="1"/>
  <c r="T3579" i="1"/>
  <c r="U3579" i="1"/>
  <c r="V3579" i="1"/>
  <c r="W3579" i="1"/>
  <c r="AB3579" i="1"/>
  <c r="AF3579" i="1"/>
  <c r="AC3580" i="1"/>
  <c r="AJ3579" i="1"/>
  <c r="AK3579" i="1"/>
  <c r="AM3579" i="1"/>
  <c r="BF3579" i="1"/>
  <c r="BG3579" i="1"/>
  <c r="T3580" i="1"/>
  <c r="U3580" i="1"/>
  <c r="V3580" i="1"/>
  <c r="W3580" i="1"/>
  <c r="AB3580" i="1"/>
  <c r="AF3580" i="1"/>
  <c r="K3581" i="1"/>
  <c r="AC3581" i="1"/>
  <c r="AJ3580" i="1"/>
  <c r="AK3580" i="1"/>
  <c r="AM3580" i="1"/>
  <c r="BF3580" i="1"/>
  <c r="BG3580" i="1"/>
  <c r="T3581" i="1"/>
  <c r="U3581" i="1"/>
  <c r="V3581" i="1"/>
  <c r="W3581" i="1"/>
  <c r="AB3581" i="1"/>
  <c r="AF3581" i="1"/>
  <c r="AC3582" i="1"/>
  <c r="AJ3581" i="1"/>
  <c r="AK3581" i="1"/>
  <c r="AM3581" i="1"/>
  <c r="BF3581" i="1"/>
  <c r="BG3581" i="1"/>
  <c r="T3582" i="1"/>
  <c r="U3582" i="1"/>
  <c r="V3582" i="1"/>
  <c r="W3582" i="1"/>
  <c r="AB3582" i="1"/>
  <c r="AF3582" i="1"/>
  <c r="AC3583" i="1"/>
  <c r="AJ3582" i="1"/>
  <c r="AK3582" i="1"/>
  <c r="AM3582" i="1"/>
  <c r="BF3582" i="1"/>
  <c r="BG3582" i="1"/>
  <c r="T3583" i="1"/>
  <c r="U3583" i="1"/>
  <c r="V3583" i="1"/>
  <c r="W3583" i="1"/>
  <c r="AB3583" i="1"/>
  <c r="AF3583" i="1"/>
  <c r="K3584" i="1"/>
  <c r="AC3584" i="1"/>
  <c r="AJ3583" i="1"/>
  <c r="AK3583" i="1"/>
  <c r="AM3583" i="1"/>
  <c r="BF3583" i="1"/>
  <c r="BG3583" i="1"/>
  <c r="T3584" i="1"/>
  <c r="U3584" i="1"/>
  <c r="V3584" i="1"/>
  <c r="W3584" i="1"/>
  <c r="AB3584" i="1"/>
  <c r="AF3584" i="1"/>
  <c r="AC3585" i="1"/>
  <c r="AJ3584" i="1"/>
  <c r="AK3584" i="1"/>
  <c r="AM3584" i="1"/>
  <c r="BF3584" i="1"/>
  <c r="BG3584" i="1"/>
  <c r="T3585" i="1"/>
  <c r="U3585" i="1"/>
  <c r="V3585" i="1"/>
  <c r="W3585" i="1"/>
  <c r="AB3585" i="1"/>
  <c r="AF3585" i="1"/>
  <c r="AC3586" i="1"/>
  <c r="AJ3585" i="1"/>
  <c r="AK3585" i="1"/>
  <c r="AM3585" i="1"/>
  <c r="BF3585" i="1"/>
  <c r="BG3585" i="1"/>
  <c r="T3586" i="1"/>
  <c r="U3586" i="1"/>
  <c r="V3586" i="1"/>
  <c r="W3586" i="1"/>
  <c r="AB3586" i="1"/>
  <c r="AF3586" i="1"/>
  <c r="K3587" i="1"/>
  <c r="AC3587" i="1"/>
  <c r="AJ3586" i="1"/>
  <c r="AK3586" i="1"/>
  <c r="AM3586" i="1"/>
  <c r="BF3586" i="1"/>
  <c r="BG3586" i="1"/>
  <c r="T3587" i="1"/>
  <c r="U3587" i="1"/>
  <c r="V3587" i="1"/>
  <c r="W3587" i="1"/>
  <c r="AB3587" i="1"/>
  <c r="AF3587" i="1"/>
  <c r="AC3588" i="1"/>
  <c r="AJ3587" i="1"/>
  <c r="AK3587" i="1"/>
  <c r="AM3587" i="1"/>
  <c r="BF3587" i="1"/>
  <c r="BG3587" i="1"/>
  <c r="T3588" i="1"/>
  <c r="U3588" i="1"/>
  <c r="V3588" i="1"/>
  <c r="W3588" i="1"/>
  <c r="AB3588" i="1"/>
  <c r="AF3588" i="1"/>
  <c r="AC3589" i="1"/>
  <c r="AJ3588" i="1"/>
  <c r="AK3588" i="1"/>
  <c r="AM3588" i="1"/>
  <c r="BF3588" i="1"/>
  <c r="BG3588" i="1"/>
  <c r="T3589" i="1"/>
  <c r="U3589" i="1"/>
  <c r="V3589" i="1"/>
  <c r="W3589" i="1"/>
  <c r="AB3589" i="1"/>
  <c r="AF3589" i="1"/>
  <c r="K3590" i="1"/>
  <c r="AC3590" i="1"/>
  <c r="AJ3589" i="1"/>
  <c r="AK3589" i="1"/>
  <c r="AM3589" i="1"/>
  <c r="BF3589" i="1"/>
  <c r="BG3589" i="1"/>
  <c r="T3590" i="1"/>
  <c r="U3590" i="1"/>
  <c r="V3590" i="1"/>
  <c r="W3590" i="1"/>
  <c r="AB3590" i="1"/>
  <c r="AF3590" i="1"/>
  <c r="AC3591" i="1"/>
  <c r="AJ3590" i="1"/>
  <c r="AK3590" i="1"/>
  <c r="AM3590" i="1"/>
  <c r="BF3590" i="1"/>
  <c r="BG3590" i="1"/>
  <c r="T3591" i="1"/>
  <c r="U3591" i="1"/>
  <c r="V3591" i="1"/>
  <c r="W3591" i="1"/>
  <c r="AB3591" i="1"/>
  <c r="AF3591" i="1"/>
  <c r="AC3592" i="1"/>
  <c r="AJ3591" i="1"/>
  <c r="AK3591" i="1"/>
  <c r="AM3591" i="1"/>
  <c r="BF3591" i="1"/>
  <c r="BG3591" i="1"/>
  <c r="T3592" i="1"/>
  <c r="U3592" i="1"/>
  <c r="V3592" i="1"/>
  <c r="W3592" i="1"/>
  <c r="AB3592" i="1"/>
  <c r="AF3592" i="1"/>
  <c r="K3593" i="1"/>
  <c r="AC3593" i="1"/>
  <c r="AJ3592" i="1"/>
  <c r="AK3592" i="1"/>
  <c r="AM3592" i="1"/>
  <c r="BF3592" i="1"/>
  <c r="BG3592" i="1"/>
  <c r="T3593" i="1"/>
  <c r="U3593" i="1"/>
  <c r="V3593" i="1"/>
  <c r="W3593" i="1"/>
  <c r="AB3593" i="1"/>
  <c r="AF3593" i="1"/>
  <c r="AC3594" i="1"/>
  <c r="AJ3593" i="1"/>
  <c r="AK3593" i="1"/>
  <c r="AM3593" i="1"/>
  <c r="BF3593" i="1"/>
  <c r="BG3593" i="1"/>
  <c r="T3594" i="1"/>
  <c r="U3594" i="1"/>
  <c r="V3594" i="1"/>
  <c r="W3594" i="1"/>
  <c r="AB3594" i="1"/>
  <c r="AF3594" i="1"/>
  <c r="AC3595" i="1"/>
  <c r="AJ3594" i="1"/>
  <c r="AK3594" i="1"/>
  <c r="AM3594" i="1"/>
  <c r="BF3594" i="1"/>
  <c r="BG3594" i="1"/>
  <c r="T3595" i="1"/>
  <c r="U3595" i="1"/>
  <c r="V3595" i="1"/>
  <c r="W3595" i="1"/>
  <c r="AB3595" i="1"/>
  <c r="AF3595" i="1"/>
  <c r="K3596" i="1"/>
  <c r="AC3596" i="1"/>
  <c r="AJ3595" i="1"/>
  <c r="AK3595" i="1"/>
  <c r="AM3595" i="1"/>
  <c r="BF3595" i="1"/>
  <c r="BG3595" i="1"/>
  <c r="T3596" i="1"/>
  <c r="U3596" i="1"/>
  <c r="V3596" i="1"/>
  <c r="W3596" i="1"/>
  <c r="AB3596" i="1"/>
  <c r="AF3596" i="1"/>
  <c r="AC3597" i="1"/>
  <c r="AJ3596" i="1"/>
  <c r="AK3596" i="1"/>
  <c r="AM3596" i="1"/>
  <c r="BF3596" i="1"/>
  <c r="BG3596" i="1"/>
  <c r="T3597" i="1"/>
  <c r="U3597" i="1"/>
  <c r="V3597" i="1"/>
  <c r="W3597" i="1"/>
  <c r="AB3597" i="1"/>
  <c r="AF3597" i="1"/>
  <c r="AC3598" i="1"/>
  <c r="AJ3597" i="1"/>
  <c r="AK3597" i="1"/>
  <c r="AM3597" i="1"/>
  <c r="BF3597" i="1"/>
  <c r="BG3597" i="1"/>
  <c r="T3598" i="1"/>
  <c r="U3598" i="1"/>
  <c r="V3598" i="1"/>
  <c r="W3598" i="1"/>
  <c r="AB3598" i="1"/>
  <c r="AF3598" i="1"/>
  <c r="K3599" i="1"/>
  <c r="AC3599" i="1"/>
  <c r="AJ3598" i="1"/>
  <c r="AK3598" i="1"/>
  <c r="AM3598" i="1"/>
  <c r="BF3598" i="1"/>
  <c r="BG3598" i="1"/>
  <c r="T3599" i="1"/>
  <c r="U3599" i="1"/>
  <c r="V3599" i="1"/>
  <c r="W3599" i="1"/>
  <c r="AB3599" i="1"/>
  <c r="AF3599" i="1"/>
  <c r="AC3600" i="1"/>
  <c r="AJ3599" i="1"/>
  <c r="AK3599" i="1"/>
  <c r="AM3599" i="1"/>
  <c r="BF3599" i="1"/>
  <c r="BG3599" i="1"/>
  <c r="T3600" i="1"/>
  <c r="U3600" i="1"/>
  <c r="V3600" i="1"/>
  <c r="W3600" i="1"/>
  <c r="AB3600" i="1"/>
  <c r="AF3600" i="1"/>
  <c r="AC3601" i="1"/>
  <c r="AJ3600" i="1"/>
  <c r="AK3600" i="1"/>
  <c r="AM3600" i="1"/>
  <c r="BF3600" i="1"/>
  <c r="BG3600" i="1"/>
  <c r="T3601" i="1"/>
  <c r="U3601" i="1"/>
  <c r="V3601" i="1"/>
  <c r="W3601" i="1"/>
  <c r="AB3601" i="1"/>
  <c r="AF3601" i="1"/>
  <c r="K3602" i="1"/>
  <c r="AC3602" i="1"/>
  <c r="AJ3601" i="1"/>
  <c r="AK3601" i="1"/>
  <c r="AM3601" i="1"/>
  <c r="BF3601" i="1"/>
  <c r="BG3601" i="1"/>
  <c r="T3602" i="1"/>
  <c r="U3602" i="1"/>
  <c r="V3602" i="1"/>
  <c r="W3602" i="1"/>
  <c r="AB3602" i="1"/>
  <c r="AF3602" i="1"/>
  <c r="K3603" i="1"/>
  <c r="AC3603" i="1"/>
  <c r="AJ3602" i="1"/>
  <c r="AK3602" i="1"/>
  <c r="AM3602" i="1"/>
  <c r="BF3602" i="1"/>
  <c r="BG3602" i="1"/>
  <c r="T3603" i="1"/>
  <c r="U3603" i="1"/>
  <c r="V3603" i="1"/>
  <c r="W3603" i="1"/>
  <c r="AB3603" i="1"/>
  <c r="AF3603" i="1"/>
  <c r="K3604" i="1"/>
  <c r="AC3604" i="1"/>
  <c r="AJ3603" i="1"/>
  <c r="AK3603" i="1"/>
  <c r="AM3603" i="1"/>
  <c r="BF3603" i="1"/>
  <c r="BG3603" i="1"/>
  <c r="T3604" i="1"/>
  <c r="U3604" i="1"/>
  <c r="V3604" i="1"/>
  <c r="W3604" i="1"/>
  <c r="AB3604" i="1"/>
  <c r="AF3604" i="1"/>
  <c r="K3605" i="1"/>
  <c r="AC3605" i="1"/>
  <c r="AJ3604" i="1"/>
  <c r="AK3604" i="1"/>
  <c r="AM3604" i="1"/>
  <c r="BF3604" i="1"/>
  <c r="BG3604" i="1"/>
  <c r="T3605" i="1"/>
  <c r="U3605" i="1"/>
  <c r="V3605" i="1"/>
  <c r="W3605" i="1"/>
  <c r="AB3605" i="1"/>
  <c r="AF3605" i="1"/>
  <c r="AC3606" i="1"/>
  <c r="AJ3605" i="1"/>
  <c r="AK3605" i="1"/>
  <c r="AM3605" i="1"/>
  <c r="BF3605" i="1"/>
  <c r="BG3605" i="1"/>
  <c r="T3606" i="1"/>
  <c r="U3606" i="1"/>
  <c r="V3606" i="1"/>
  <c r="W3606" i="1"/>
  <c r="AB3606" i="1"/>
  <c r="AF3606" i="1"/>
  <c r="AC3607" i="1"/>
  <c r="AJ3606" i="1"/>
  <c r="AK3606" i="1"/>
  <c r="AM3606" i="1"/>
  <c r="BF3606" i="1"/>
  <c r="BG3606" i="1"/>
  <c r="T3607" i="1"/>
  <c r="U3607" i="1"/>
  <c r="V3607" i="1"/>
  <c r="W3607" i="1"/>
  <c r="AB3607" i="1"/>
  <c r="AF3607" i="1"/>
  <c r="K3608" i="1"/>
  <c r="AC3608" i="1"/>
  <c r="AJ3607" i="1"/>
  <c r="AK3607" i="1"/>
  <c r="AM3607" i="1"/>
  <c r="BF3607" i="1"/>
  <c r="BG3607" i="1"/>
  <c r="T3608" i="1"/>
  <c r="U3608" i="1"/>
  <c r="V3608" i="1"/>
  <c r="W3608" i="1"/>
  <c r="AB3608" i="1"/>
  <c r="AF3608" i="1"/>
  <c r="AC3609" i="1"/>
  <c r="AJ3608" i="1"/>
  <c r="AK3608" i="1"/>
  <c r="AM3608" i="1"/>
  <c r="BF3608" i="1"/>
  <c r="BG3608" i="1"/>
  <c r="T3609" i="1"/>
  <c r="U3609" i="1"/>
  <c r="V3609" i="1"/>
  <c r="W3609" i="1"/>
  <c r="AB3609" i="1"/>
  <c r="AF3609" i="1"/>
  <c r="AC3610" i="1"/>
  <c r="AJ3609" i="1"/>
  <c r="AK3609" i="1"/>
  <c r="AM3609" i="1"/>
  <c r="BF3609" i="1"/>
  <c r="BG3609" i="1"/>
  <c r="T3610" i="1"/>
  <c r="U3610" i="1"/>
  <c r="V3610" i="1"/>
  <c r="W3610" i="1"/>
  <c r="AB3610" i="1"/>
  <c r="AF3610" i="1"/>
  <c r="K3611" i="1"/>
  <c r="AC3611" i="1"/>
  <c r="AJ3610" i="1"/>
  <c r="AK3610" i="1"/>
  <c r="AM3610" i="1"/>
  <c r="BF3610" i="1"/>
  <c r="BG3610" i="1"/>
  <c r="T3611" i="1"/>
  <c r="U3611" i="1"/>
  <c r="V3611" i="1"/>
  <c r="W3611" i="1"/>
  <c r="AB3611" i="1"/>
  <c r="AF3611" i="1"/>
  <c r="AC3612" i="1"/>
  <c r="AJ3611" i="1"/>
  <c r="AK3611" i="1"/>
  <c r="AM3611" i="1"/>
  <c r="BF3611" i="1"/>
  <c r="BG3611" i="1"/>
  <c r="T3612" i="1"/>
  <c r="U3612" i="1"/>
  <c r="V3612" i="1"/>
  <c r="W3612" i="1"/>
  <c r="AB3612" i="1"/>
  <c r="AF3612" i="1"/>
  <c r="AC3613" i="1"/>
  <c r="AJ3612" i="1"/>
  <c r="AK3612" i="1"/>
  <c r="AM3612" i="1"/>
  <c r="BF3612" i="1"/>
  <c r="BG3612" i="1"/>
  <c r="T3613" i="1"/>
  <c r="U3613" i="1"/>
  <c r="V3613" i="1"/>
  <c r="W3613" i="1"/>
  <c r="AB3613" i="1"/>
  <c r="AF3613" i="1"/>
  <c r="K3614" i="1"/>
  <c r="AC3614" i="1"/>
  <c r="AJ3613" i="1"/>
  <c r="AK3613" i="1"/>
  <c r="AM3613" i="1"/>
  <c r="BF3613" i="1"/>
  <c r="BG3613" i="1"/>
  <c r="T3614" i="1"/>
  <c r="U3614" i="1"/>
  <c r="V3614" i="1"/>
  <c r="W3614" i="1"/>
  <c r="AB3614" i="1"/>
  <c r="AF3614" i="1"/>
  <c r="K3615" i="1"/>
  <c r="AC3615" i="1"/>
  <c r="AJ3614" i="1"/>
  <c r="AK3614" i="1"/>
  <c r="AM3614" i="1"/>
  <c r="BF3614" i="1"/>
  <c r="BG3614" i="1"/>
  <c r="T3615" i="1"/>
  <c r="U3615" i="1"/>
  <c r="V3615" i="1"/>
  <c r="W3615" i="1"/>
  <c r="AB3615" i="1"/>
  <c r="AF3615" i="1"/>
  <c r="K3616" i="1"/>
  <c r="AC3616" i="1"/>
  <c r="AJ3615" i="1"/>
  <c r="AK3615" i="1"/>
  <c r="AM3615" i="1"/>
  <c r="BF3615" i="1"/>
  <c r="BG3615" i="1"/>
  <c r="T3616" i="1"/>
  <c r="U3616" i="1"/>
  <c r="V3616" i="1"/>
  <c r="W3616" i="1"/>
  <c r="AB3616" i="1"/>
  <c r="AF3616" i="1"/>
  <c r="K3617" i="1"/>
  <c r="AC3617" i="1"/>
  <c r="AJ3616" i="1"/>
  <c r="AK3616" i="1"/>
  <c r="AM3616" i="1"/>
  <c r="BF3616" i="1"/>
  <c r="BG3616" i="1"/>
  <c r="T3617" i="1"/>
  <c r="U3617" i="1"/>
  <c r="V3617" i="1"/>
  <c r="W3617" i="1"/>
  <c r="AB3617" i="1"/>
  <c r="AF3617" i="1"/>
  <c r="AC3618" i="1"/>
  <c r="AJ3617" i="1"/>
  <c r="AK3617" i="1"/>
  <c r="AM3617" i="1"/>
  <c r="BF3617" i="1"/>
  <c r="BG3617" i="1"/>
  <c r="T3618" i="1"/>
  <c r="U3618" i="1"/>
  <c r="V3618" i="1"/>
  <c r="W3618" i="1"/>
  <c r="AB3618" i="1"/>
  <c r="AF3618" i="1"/>
  <c r="AC3619" i="1"/>
  <c r="AJ3618" i="1"/>
  <c r="AK3618" i="1"/>
  <c r="AM3618" i="1"/>
  <c r="BF3618" i="1"/>
  <c r="BG3618" i="1"/>
  <c r="T3619" i="1"/>
  <c r="U3619" i="1"/>
  <c r="V3619" i="1"/>
  <c r="W3619" i="1"/>
  <c r="AB3619" i="1"/>
  <c r="AF3619" i="1"/>
  <c r="K3620" i="1"/>
  <c r="AC3620" i="1"/>
  <c r="AJ3619" i="1"/>
  <c r="AK3619" i="1"/>
  <c r="AM3619" i="1"/>
  <c r="BF3619" i="1"/>
  <c r="BG3619" i="1"/>
  <c r="T3620" i="1"/>
  <c r="U3620" i="1"/>
  <c r="V3620" i="1"/>
  <c r="W3620" i="1"/>
  <c r="AB3620" i="1"/>
  <c r="AF3620" i="1"/>
  <c r="AC3621" i="1"/>
  <c r="AJ3620" i="1"/>
  <c r="AK3620" i="1"/>
  <c r="AM3620" i="1"/>
  <c r="BF3620" i="1"/>
  <c r="BG3620" i="1"/>
  <c r="T3621" i="1"/>
  <c r="U3621" i="1"/>
  <c r="V3621" i="1"/>
  <c r="W3621" i="1"/>
  <c r="AB3621" i="1"/>
  <c r="AF3621" i="1"/>
  <c r="AC3622" i="1"/>
  <c r="AJ3621" i="1"/>
  <c r="AK3621" i="1"/>
  <c r="AM3621" i="1"/>
  <c r="BF3621" i="1"/>
  <c r="BG3621" i="1"/>
  <c r="T3622" i="1"/>
  <c r="U3622" i="1"/>
  <c r="V3622" i="1"/>
  <c r="W3622" i="1"/>
  <c r="AB3622" i="1"/>
  <c r="AF3622" i="1"/>
  <c r="K3623" i="1"/>
  <c r="AC3623" i="1"/>
  <c r="AJ3622" i="1"/>
  <c r="AK3622" i="1"/>
  <c r="AM3622" i="1"/>
  <c r="BF3622" i="1"/>
  <c r="BG3622" i="1"/>
  <c r="T3623" i="1"/>
  <c r="U3623" i="1"/>
  <c r="V3623" i="1"/>
  <c r="W3623" i="1"/>
  <c r="AB3623" i="1"/>
  <c r="AF3623" i="1"/>
  <c r="K3624" i="1"/>
  <c r="AC3624" i="1"/>
  <c r="AJ3623" i="1"/>
  <c r="AK3623" i="1"/>
  <c r="AM3623" i="1"/>
  <c r="BF3623" i="1"/>
  <c r="BG3623" i="1"/>
  <c r="T3624" i="1"/>
  <c r="U3624" i="1"/>
  <c r="V3624" i="1"/>
  <c r="W3624" i="1"/>
  <c r="AB3624" i="1"/>
  <c r="AF3624" i="1"/>
  <c r="K3625" i="1"/>
  <c r="AC3625" i="1"/>
  <c r="AJ3624" i="1"/>
  <c r="AK3624" i="1"/>
  <c r="AM3624" i="1"/>
  <c r="BF3624" i="1"/>
  <c r="BG3624" i="1"/>
  <c r="T3625" i="1"/>
  <c r="U3625" i="1"/>
  <c r="V3625" i="1"/>
  <c r="W3625" i="1"/>
  <c r="AB3625" i="1"/>
  <c r="AF3625" i="1"/>
  <c r="AC3626" i="1"/>
  <c r="AJ3625" i="1"/>
  <c r="AK3625" i="1"/>
  <c r="AM3625" i="1"/>
  <c r="BF3625" i="1"/>
  <c r="BG3625" i="1"/>
  <c r="T3626" i="1"/>
  <c r="U3626" i="1"/>
  <c r="V3626" i="1"/>
  <c r="W3626" i="1"/>
  <c r="AB3626" i="1"/>
  <c r="AF3626" i="1"/>
  <c r="AC3627" i="1"/>
  <c r="AJ3626" i="1"/>
  <c r="AK3626" i="1"/>
  <c r="AM3626" i="1"/>
  <c r="BF3626" i="1"/>
  <c r="BG3626" i="1"/>
  <c r="T3627" i="1"/>
  <c r="U3627" i="1"/>
  <c r="V3627" i="1"/>
  <c r="W3627" i="1"/>
  <c r="AB3627" i="1"/>
  <c r="AF3627" i="1"/>
  <c r="K3628" i="1"/>
  <c r="AC3628" i="1"/>
  <c r="AJ3627" i="1"/>
  <c r="AK3627" i="1"/>
  <c r="AM3627" i="1"/>
  <c r="BF3627" i="1"/>
  <c r="BG3627" i="1"/>
  <c r="T3628" i="1"/>
  <c r="U3628" i="1"/>
  <c r="V3628" i="1"/>
  <c r="W3628" i="1"/>
  <c r="AB3628" i="1"/>
  <c r="AF3628" i="1"/>
  <c r="AC3629" i="1"/>
  <c r="AJ3628" i="1"/>
  <c r="AK3628" i="1"/>
  <c r="AM3628" i="1"/>
  <c r="BF3628" i="1"/>
  <c r="BG3628" i="1"/>
  <c r="T3629" i="1"/>
  <c r="U3629" i="1"/>
  <c r="V3629" i="1"/>
  <c r="W3629" i="1"/>
  <c r="AB3629" i="1"/>
  <c r="AF3629" i="1"/>
  <c r="AC3630" i="1"/>
  <c r="AJ3629" i="1"/>
  <c r="AK3629" i="1"/>
  <c r="AM3629" i="1"/>
  <c r="BF3629" i="1"/>
  <c r="BG3629" i="1"/>
  <c r="T3630" i="1"/>
  <c r="U3630" i="1"/>
  <c r="V3630" i="1"/>
  <c r="W3630" i="1"/>
  <c r="AB3630" i="1"/>
  <c r="AF3630" i="1"/>
  <c r="K3631" i="1"/>
  <c r="AC3631" i="1"/>
  <c r="AJ3630" i="1"/>
  <c r="AK3630" i="1"/>
  <c r="AM3630" i="1"/>
  <c r="BF3630" i="1"/>
  <c r="BG3630" i="1"/>
  <c r="T3631" i="1"/>
  <c r="U3631" i="1"/>
  <c r="V3631" i="1"/>
  <c r="W3631" i="1"/>
  <c r="AB3631" i="1"/>
  <c r="AF3631" i="1"/>
  <c r="K3632" i="1"/>
  <c r="AC3632" i="1"/>
  <c r="AJ3631" i="1"/>
  <c r="AK3631" i="1"/>
  <c r="AM3631" i="1"/>
  <c r="BF3631" i="1"/>
  <c r="BG3631" i="1"/>
  <c r="T3632" i="1"/>
  <c r="U3632" i="1"/>
  <c r="V3632" i="1"/>
  <c r="W3632" i="1"/>
  <c r="AB3632" i="1"/>
  <c r="AF3632" i="1"/>
  <c r="AC3633" i="1"/>
  <c r="AJ3632" i="1"/>
  <c r="AK3632" i="1"/>
  <c r="AM3632" i="1"/>
  <c r="BF3632" i="1"/>
  <c r="BG3632" i="1"/>
  <c r="T3633" i="1"/>
  <c r="U3633" i="1"/>
  <c r="V3633" i="1"/>
  <c r="W3633" i="1"/>
  <c r="AB3633" i="1"/>
  <c r="AF3633" i="1"/>
  <c r="AC3634" i="1"/>
  <c r="AJ3633" i="1"/>
  <c r="AK3633" i="1"/>
  <c r="AM3633" i="1"/>
  <c r="BF3633" i="1"/>
  <c r="BG3633" i="1"/>
  <c r="T3634" i="1"/>
  <c r="U3634" i="1"/>
  <c r="V3634" i="1"/>
  <c r="W3634" i="1"/>
  <c r="AB3634" i="1"/>
  <c r="AF3634" i="1"/>
  <c r="K3635" i="1"/>
  <c r="AC3635" i="1"/>
  <c r="AJ3634" i="1"/>
  <c r="AK3634" i="1"/>
  <c r="AM3634" i="1"/>
  <c r="BF3634" i="1"/>
  <c r="BG3634" i="1"/>
  <c r="T3635" i="1"/>
  <c r="U3635" i="1"/>
  <c r="V3635" i="1"/>
  <c r="W3635" i="1"/>
  <c r="AB3635" i="1"/>
  <c r="AF3635" i="1"/>
  <c r="AC3636" i="1"/>
  <c r="AJ3635" i="1"/>
  <c r="AK3635" i="1"/>
  <c r="AM3635" i="1"/>
  <c r="BF3635" i="1"/>
  <c r="BG3635" i="1"/>
  <c r="T3636" i="1"/>
  <c r="U3636" i="1"/>
  <c r="V3636" i="1"/>
  <c r="W3636" i="1"/>
  <c r="AB3636" i="1"/>
  <c r="AF3636" i="1"/>
  <c r="AC3637" i="1"/>
  <c r="AJ3636" i="1"/>
  <c r="AK3636" i="1"/>
  <c r="AM3636" i="1"/>
  <c r="BF3636" i="1"/>
  <c r="BG3636" i="1"/>
  <c r="T3637" i="1"/>
  <c r="U3637" i="1"/>
  <c r="V3637" i="1"/>
  <c r="W3637" i="1"/>
  <c r="AB3637" i="1"/>
  <c r="AF3637" i="1"/>
  <c r="K3638" i="1"/>
  <c r="AC3638" i="1"/>
  <c r="AJ3637" i="1"/>
  <c r="AK3637" i="1"/>
  <c r="AM3637" i="1"/>
  <c r="BF3637" i="1"/>
  <c r="BG3637" i="1"/>
  <c r="T3638" i="1"/>
  <c r="U3638" i="1"/>
  <c r="V3638" i="1"/>
  <c r="W3638" i="1"/>
  <c r="AB3638" i="1"/>
  <c r="AF3638" i="1"/>
  <c r="K3639" i="1"/>
  <c r="AC3639" i="1"/>
  <c r="AJ3638" i="1"/>
  <c r="AK3638" i="1"/>
  <c r="AM3638" i="1"/>
  <c r="BF3638" i="1"/>
  <c r="BG3638" i="1"/>
  <c r="T3639" i="1"/>
  <c r="U3639" i="1"/>
  <c r="V3639" i="1"/>
  <c r="W3639" i="1"/>
  <c r="AB3639" i="1"/>
  <c r="AF3639" i="1"/>
  <c r="K3640" i="1"/>
  <c r="AC3640" i="1"/>
  <c r="AJ3639" i="1"/>
  <c r="AK3639" i="1"/>
  <c r="AM3639" i="1"/>
  <c r="BF3639" i="1"/>
  <c r="BG3639" i="1"/>
  <c r="T3640" i="1"/>
  <c r="U3640" i="1"/>
  <c r="V3640" i="1"/>
  <c r="W3640" i="1"/>
  <c r="AB3640" i="1"/>
  <c r="AF3640" i="1"/>
  <c r="K3641" i="1"/>
  <c r="AC3641" i="1"/>
  <c r="AJ3640" i="1"/>
  <c r="AK3640" i="1"/>
  <c r="AM3640" i="1"/>
  <c r="BF3640" i="1"/>
  <c r="BG3640" i="1"/>
  <c r="T3641" i="1"/>
  <c r="U3641" i="1"/>
  <c r="V3641" i="1"/>
  <c r="W3641" i="1"/>
  <c r="AB3641" i="1"/>
  <c r="AF3641" i="1"/>
  <c r="K3642" i="1"/>
  <c r="AC3642" i="1"/>
  <c r="AJ3641" i="1"/>
  <c r="AK3641" i="1"/>
  <c r="AM3641" i="1"/>
  <c r="BF3641" i="1"/>
  <c r="BG3641" i="1"/>
  <c r="T3642" i="1"/>
  <c r="U3642" i="1"/>
  <c r="V3642" i="1"/>
  <c r="W3642" i="1"/>
  <c r="AB3642" i="1"/>
  <c r="AF3642" i="1"/>
  <c r="K3643" i="1"/>
  <c r="AC3643" i="1"/>
  <c r="AJ3642" i="1"/>
  <c r="AK3642" i="1"/>
  <c r="AM3642" i="1"/>
  <c r="BF3642" i="1"/>
  <c r="BG3642" i="1"/>
  <c r="T3643" i="1"/>
  <c r="U3643" i="1"/>
  <c r="V3643" i="1"/>
  <c r="W3643" i="1"/>
  <c r="AB3643" i="1"/>
  <c r="AF3643" i="1"/>
  <c r="K3644" i="1"/>
  <c r="AC3644" i="1"/>
  <c r="AJ3643" i="1"/>
  <c r="AK3643" i="1"/>
  <c r="AM3643" i="1"/>
  <c r="BF3643" i="1"/>
  <c r="BG3643" i="1"/>
  <c r="T3644" i="1"/>
  <c r="U3644" i="1"/>
  <c r="V3644" i="1"/>
  <c r="W3644" i="1"/>
  <c r="AB3644" i="1"/>
  <c r="AF3644" i="1"/>
  <c r="AC3645" i="1"/>
  <c r="AJ3644" i="1"/>
  <c r="AK3644" i="1"/>
  <c r="AM3644" i="1"/>
  <c r="BF3644" i="1"/>
  <c r="BG3644" i="1"/>
  <c r="T3645" i="1"/>
  <c r="U3645" i="1"/>
  <c r="V3645" i="1"/>
  <c r="W3645" i="1"/>
  <c r="AB3645" i="1"/>
  <c r="AF3645" i="1"/>
  <c r="AC3646" i="1"/>
  <c r="AJ3645" i="1"/>
  <c r="AK3645" i="1"/>
  <c r="AM3645" i="1"/>
  <c r="BF3645" i="1"/>
  <c r="BG3645" i="1"/>
  <c r="T3646" i="1"/>
  <c r="U3646" i="1"/>
  <c r="V3646" i="1"/>
  <c r="W3646" i="1"/>
  <c r="AB3646" i="1"/>
  <c r="AF3646" i="1"/>
  <c r="K3647" i="1"/>
  <c r="AC3647" i="1"/>
  <c r="AJ3646" i="1"/>
  <c r="AK3646" i="1"/>
  <c r="AM3646" i="1"/>
  <c r="BF3646" i="1"/>
  <c r="BG3646" i="1"/>
  <c r="T3647" i="1"/>
  <c r="U3647" i="1"/>
  <c r="V3647" i="1"/>
  <c r="W3647" i="1"/>
  <c r="AB3647" i="1"/>
  <c r="AF3647" i="1"/>
  <c r="AC3648" i="1"/>
  <c r="AJ3647" i="1"/>
  <c r="AK3647" i="1"/>
  <c r="AM3647" i="1"/>
  <c r="BF3647" i="1"/>
  <c r="BG3647" i="1"/>
  <c r="T3648" i="1"/>
  <c r="U3648" i="1"/>
  <c r="V3648" i="1"/>
  <c r="W3648" i="1"/>
  <c r="AB3648" i="1"/>
  <c r="AF3648" i="1"/>
  <c r="AC3649" i="1"/>
  <c r="AJ3648" i="1"/>
  <c r="AK3648" i="1"/>
  <c r="AM3648" i="1"/>
  <c r="BF3648" i="1"/>
  <c r="BG3648" i="1"/>
  <c r="T3649" i="1"/>
  <c r="U3649" i="1"/>
  <c r="V3649" i="1"/>
  <c r="W3649" i="1"/>
  <c r="AB3649" i="1"/>
  <c r="AF3649" i="1"/>
  <c r="K3650" i="1"/>
  <c r="AC3650" i="1"/>
  <c r="AJ3649" i="1"/>
  <c r="AK3649" i="1"/>
  <c r="AM3649" i="1"/>
  <c r="BF3649" i="1"/>
  <c r="BG3649" i="1"/>
  <c r="T3650" i="1"/>
  <c r="U3650" i="1"/>
  <c r="V3650" i="1"/>
  <c r="W3650" i="1"/>
  <c r="AB3650" i="1"/>
  <c r="AF3650" i="1"/>
  <c r="AC3651" i="1"/>
  <c r="AJ3650" i="1"/>
  <c r="AK3650" i="1"/>
  <c r="AM3650" i="1"/>
  <c r="BF3650" i="1"/>
  <c r="BG3650" i="1"/>
  <c r="T3651" i="1"/>
  <c r="U3651" i="1"/>
  <c r="V3651" i="1"/>
  <c r="W3651" i="1"/>
  <c r="AB3651" i="1"/>
  <c r="AF3651" i="1"/>
  <c r="AC3652" i="1"/>
  <c r="AJ3651" i="1"/>
  <c r="AK3651" i="1"/>
  <c r="AM3651" i="1"/>
  <c r="BF3651" i="1"/>
  <c r="BG3651" i="1"/>
  <c r="T3652" i="1"/>
  <c r="U3652" i="1"/>
  <c r="V3652" i="1"/>
  <c r="W3652" i="1"/>
  <c r="AB3652" i="1"/>
  <c r="AF3652" i="1"/>
  <c r="K3653" i="1"/>
  <c r="AC3653" i="1"/>
  <c r="AJ3652" i="1"/>
  <c r="AK3652" i="1"/>
  <c r="AM3652" i="1"/>
  <c r="BF3652" i="1"/>
  <c r="BG3652" i="1"/>
  <c r="T3653" i="1"/>
  <c r="U3653" i="1"/>
  <c r="V3653" i="1"/>
  <c r="W3653" i="1"/>
  <c r="AB3653" i="1"/>
  <c r="AF3653" i="1"/>
  <c r="K3654" i="1"/>
  <c r="AC3654" i="1"/>
  <c r="AJ3653" i="1"/>
  <c r="AK3653" i="1"/>
  <c r="AM3653" i="1"/>
  <c r="BF3653" i="1"/>
  <c r="BG3653" i="1"/>
  <c r="T3654" i="1"/>
  <c r="U3654" i="1"/>
  <c r="V3654" i="1"/>
  <c r="W3654" i="1"/>
  <c r="AB3654" i="1"/>
  <c r="AF3654" i="1"/>
  <c r="AC3655" i="1"/>
  <c r="AJ3654" i="1"/>
  <c r="AK3654" i="1"/>
  <c r="AM3654" i="1"/>
  <c r="BF3654" i="1"/>
  <c r="BG3654" i="1"/>
  <c r="T3655" i="1"/>
  <c r="U3655" i="1"/>
  <c r="V3655" i="1"/>
  <c r="W3655" i="1"/>
  <c r="AB3655" i="1"/>
  <c r="AF3655" i="1"/>
  <c r="AC3656" i="1"/>
  <c r="AJ3655" i="1"/>
  <c r="AK3655" i="1"/>
  <c r="AM3655" i="1"/>
  <c r="BF3655" i="1"/>
  <c r="BG3655" i="1"/>
  <c r="T3656" i="1"/>
  <c r="U3656" i="1"/>
  <c r="V3656" i="1"/>
  <c r="W3656" i="1"/>
  <c r="AB3656" i="1"/>
  <c r="AF3656" i="1"/>
  <c r="K3657" i="1"/>
  <c r="AC3657" i="1"/>
  <c r="AJ3656" i="1"/>
  <c r="AK3656" i="1"/>
  <c r="AM3656" i="1"/>
  <c r="BF3656" i="1"/>
  <c r="BG3656" i="1"/>
  <c r="T3657" i="1"/>
  <c r="U3657" i="1"/>
  <c r="V3657" i="1"/>
  <c r="W3657" i="1"/>
  <c r="AB3657" i="1"/>
  <c r="AF3657" i="1"/>
  <c r="AC3658" i="1"/>
  <c r="AJ3657" i="1"/>
  <c r="AK3657" i="1"/>
  <c r="AM3657" i="1"/>
  <c r="BF3657" i="1"/>
  <c r="BG3657" i="1"/>
  <c r="T3658" i="1"/>
  <c r="U3658" i="1"/>
  <c r="V3658" i="1"/>
  <c r="W3658" i="1"/>
  <c r="AB3658" i="1"/>
  <c r="AF3658" i="1"/>
  <c r="AC3659" i="1"/>
  <c r="AJ3658" i="1"/>
  <c r="AK3658" i="1"/>
  <c r="AM3658" i="1"/>
  <c r="BF3658" i="1"/>
  <c r="BG3658" i="1"/>
  <c r="T3659" i="1"/>
  <c r="U3659" i="1"/>
  <c r="V3659" i="1"/>
  <c r="W3659" i="1"/>
  <c r="AB3659" i="1"/>
  <c r="AF3659" i="1"/>
  <c r="K3660" i="1"/>
  <c r="AC3660" i="1"/>
  <c r="AJ3659" i="1"/>
  <c r="AK3659" i="1"/>
  <c r="AM3659" i="1"/>
  <c r="BF3659" i="1"/>
  <c r="BG3659" i="1"/>
  <c r="T3660" i="1"/>
  <c r="U3660" i="1"/>
  <c r="V3660" i="1"/>
  <c r="W3660" i="1"/>
  <c r="AB3660" i="1"/>
  <c r="AF3660" i="1"/>
  <c r="K3661" i="1"/>
  <c r="AC3661" i="1"/>
  <c r="AJ3660" i="1"/>
  <c r="AK3660" i="1"/>
  <c r="AM3660" i="1"/>
  <c r="BF3660" i="1"/>
  <c r="BG3660" i="1"/>
  <c r="T3661" i="1"/>
  <c r="U3661" i="1"/>
  <c r="V3661" i="1"/>
  <c r="W3661" i="1"/>
  <c r="AB3661" i="1"/>
  <c r="AF3661" i="1"/>
  <c r="K3662" i="1"/>
  <c r="AC3662" i="1"/>
  <c r="AJ3661" i="1"/>
  <c r="AK3661" i="1"/>
  <c r="AM3661" i="1"/>
  <c r="BF3661" i="1"/>
  <c r="BG3661" i="1"/>
  <c r="T3662" i="1"/>
  <c r="U3662" i="1"/>
  <c r="V3662" i="1"/>
  <c r="W3662" i="1"/>
  <c r="AB3662" i="1"/>
  <c r="AF3662" i="1"/>
  <c r="K3663" i="1"/>
  <c r="AC3663" i="1"/>
  <c r="AJ3662" i="1"/>
  <c r="AK3662" i="1"/>
  <c r="AM3662" i="1"/>
  <c r="BF3662" i="1"/>
  <c r="BG3662" i="1"/>
  <c r="T3663" i="1"/>
  <c r="U3663" i="1"/>
  <c r="V3663" i="1"/>
  <c r="W3663" i="1"/>
  <c r="AB3663" i="1"/>
  <c r="AF3663" i="1"/>
  <c r="AC3664" i="1"/>
  <c r="AJ3663" i="1"/>
  <c r="AK3663" i="1"/>
  <c r="AM3663" i="1"/>
  <c r="BF3663" i="1"/>
  <c r="BG3663" i="1"/>
  <c r="T3664" i="1"/>
  <c r="U3664" i="1"/>
  <c r="V3664" i="1"/>
  <c r="W3664" i="1"/>
  <c r="AB3664" i="1"/>
  <c r="AF3664" i="1"/>
  <c r="AC3665" i="1"/>
  <c r="AJ3664" i="1"/>
  <c r="AK3664" i="1"/>
  <c r="AM3664" i="1"/>
  <c r="BF3664" i="1"/>
  <c r="BG3664" i="1"/>
  <c r="T3665" i="1"/>
  <c r="U3665" i="1"/>
  <c r="V3665" i="1"/>
  <c r="W3665" i="1"/>
  <c r="AB3665" i="1"/>
  <c r="AF3665" i="1"/>
  <c r="K3666" i="1"/>
  <c r="AC3666" i="1"/>
  <c r="AJ3665" i="1"/>
  <c r="AK3665" i="1"/>
  <c r="AM3665" i="1"/>
  <c r="BF3665" i="1"/>
  <c r="BG3665" i="1"/>
  <c r="T3666" i="1"/>
  <c r="U3666" i="1"/>
  <c r="V3666" i="1"/>
  <c r="W3666" i="1"/>
  <c r="AB3666" i="1"/>
  <c r="AF3666" i="1"/>
  <c r="AC3667" i="1"/>
  <c r="AJ3666" i="1"/>
  <c r="AK3666" i="1"/>
  <c r="AM3666" i="1"/>
  <c r="BF3666" i="1"/>
  <c r="BG3666" i="1"/>
  <c r="T3667" i="1"/>
  <c r="U3667" i="1"/>
  <c r="V3667" i="1"/>
  <c r="W3667" i="1"/>
  <c r="AB3667" i="1"/>
  <c r="AF3667" i="1"/>
  <c r="AC3668" i="1"/>
  <c r="AJ3667" i="1"/>
  <c r="AK3667" i="1"/>
  <c r="AM3667" i="1"/>
  <c r="BF3667" i="1"/>
  <c r="BG3667" i="1"/>
  <c r="T3668" i="1"/>
  <c r="U3668" i="1"/>
  <c r="V3668" i="1"/>
  <c r="W3668" i="1"/>
  <c r="AB3668" i="1"/>
  <c r="AF3668" i="1"/>
  <c r="K3669" i="1"/>
  <c r="AC3669" i="1"/>
  <c r="AJ3668" i="1"/>
  <c r="AK3668" i="1"/>
  <c r="AM3668" i="1"/>
  <c r="BF3668" i="1"/>
  <c r="BG3668" i="1"/>
  <c r="T3669" i="1"/>
  <c r="U3669" i="1"/>
  <c r="V3669" i="1"/>
  <c r="W3669" i="1"/>
  <c r="AB3669" i="1"/>
  <c r="AF3669" i="1"/>
  <c r="AC3670" i="1"/>
  <c r="AJ3669" i="1"/>
  <c r="AK3669" i="1"/>
  <c r="AM3669" i="1"/>
  <c r="BF3669" i="1"/>
  <c r="BG3669" i="1"/>
  <c r="T3670" i="1"/>
  <c r="U3670" i="1"/>
  <c r="V3670" i="1"/>
  <c r="W3670" i="1"/>
  <c r="AB3670" i="1"/>
  <c r="AF3670" i="1"/>
  <c r="AC3671" i="1"/>
  <c r="AJ3670" i="1"/>
  <c r="AK3670" i="1"/>
  <c r="AM3670" i="1"/>
  <c r="BF3670" i="1"/>
  <c r="BG3670" i="1"/>
  <c r="T3671" i="1"/>
  <c r="U3671" i="1"/>
  <c r="V3671" i="1"/>
  <c r="W3671" i="1"/>
  <c r="AB3671" i="1"/>
  <c r="AF3671" i="1"/>
  <c r="K3672" i="1"/>
  <c r="AC3672" i="1"/>
  <c r="AJ3671" i="1"/>
  <c r="AK3671" i="1"/>
  <c r="AM3671" i="1"/>
  <c r="BF3671" i="1"/>
  <c r="BG3671" i="1"/>
  <c r="T3672" i="1"/>
  <c r="U3672" i="1"/>
  <c r="V3672" i="1"/>
  <c r="W3672" i="1"/>
  <c r="AB3672" i="1"/>
  <c r="AF3672" i="1"/>
  <c r="K3673" i="1"/>
  <c r="AC3673" i="1"/>
  <c r="AJ3672" i="1"/>
  <c r="AK3672" i="1"/>
  <c r="AM3672" i="1"/>
  <c r="BF3672" i="1"/>
  <c r="BG3672" i="1"/>
  <c r="T3673" i="1"/>
  <c r="U3673" i="1"/>
  <c r="V3673" i="1"/>
  <c r="W3673" i="1"/>
  <c r="AB3673" i="1"/>
  <c r="AF3673" i="1"/>
  <c r="K3674" i="1"/>
  <c r="AC3674" i="1"/>
  <c r="AJ3673" i="1"/>
  <c r="AK3673" i="1"/>
  <c r="AM3673" i="1"/>
  <c r="BF3673" i="1"/>
  <c r="BG3673" i="1"/>
  <c r="T3674" i="1"/>
  <c r="U3674" i="1"/>
  <c r="V3674" i="1"/>
  <c r="W3674" i="1"/>
  <c r="AB3674" i="1"/>
  <c r="AF3674" i="1"/>
  <c r="K3675" i="1"/>
  <c r="AC3675" i="1"/>
  <c r="AJ3674" i="1"/>
  <c r="AK3674" i="1"/>
  <c r="AM3674" i="1"/>
  <c r="BF3674" i="1"/>
  <c r="BG3674" i="1"/>
  <c r="T3675" i="1"/>
  <c r="U3675" i="1"/>
  <c r="V3675" i="1"/>
  <c r="W3675" i="1"/>
  <c r="AB3675" i="1"/>
  <c r="AF3675" i="1"/>
  <c r="K3676" i="1"/>
  <c r="AC3676" i="1"/>
  <c r="AJ3675" i="1"/>
  <c r="AK3675" i="1"/>
  <c r="AM3675" i="1"/>
  <c r="BF3675" i="1"/>
  <c r="BG3675" i="1"/>
  <c r="T3676" i="1"/>
  <c r="U3676" i="1"/>
  <c r="V3676" i="1"/>
  <c r="W3676" i="1"/>
  <c r="AB3676" i="1"/>
  <c r="AF3676" i="1"/>
  <c r="AC3677" i="1"/>
  <c r="AJ3676" i="1"/>
  <c r="AK3676" i="1"/>
  <c r="AM3676" i="1"/>
  <c r="BF3676" i="1"/>
  <c r="BG3676" i="1"/>
  <c r="T3677" i="1"/>
  <c r="U3677" i="1"/>
  <c r="V3677" i="1"/>
  <c r="W3677" i="1"/>
  <c r="AB3677" i="1"/>
  <c r="AF3677" i="1"/>
  <c r="AC3678" i="1"/>
  <c r="AJ3677" i="1"/>
  <c r="AK3677" i="1"/>
  <c r="AM3677" i="1"/>
  <c r="BF3677" i="1"/>
  <c r="BG3677" i="1"/>
  <c r="T3678" i="1"/>
  <c r="U3678" i="1"/>
  <c r="V3678" i="1"/>
  <c r="W3678" i="1"/>
  <c r="AB3678" i="1"/>
  <c r="AF3678" i="1"/>
  <c r="K3679" i="1"/>
  <c r="AC3679" i="1"/>
  <c r="AJ3678" i="1"/>
  <c r="AK3678" i="1"/>
  <c r="AM3678" i="1"/>
  <c r="BF3678" i="1"/>
  <c r="BG3678" i="1"/>
  <c r="T3679" i="1"/>
  <c r="U3679" i="1"/>
  <c r="V3679" i="1"/>
  <c r="W3679" i="1"/>
  <c r="AB3679" i="1"/>
  <c r="AF3679" i="1"/>
  <c r="AC3680" i="1"/>
  <c r="AJ3679" i="1"/>
  <c r="AK3679" i="1"/>
  <c r="AM3679" i="1"/>
  <c r="BF3679" i="1"/>
  <c r="BG3679" i="1"/>
  <c r="T3680" i="1"/>
  <c r="U3680" i="1"/>
  <c r="V3680" i="1"/>
  <c r="W3680" i="1"/>
  <c r="AB3680" i="1"/>
  <c r="AF3680" i="1"/>
  <c r="AC3681" i="1"/>
  <c r="AJ3680" i="1"/>
  <c r="AK3680" i="1"/>
  <c r="AM3680" i="1"/>
  <c r="BF3680" i="1"/>
  <c r="BG3680" i="1"/>
  <c r="T3681" i="1"/>
  <c r="U3681" i="1"/>
  <c r="V3681" i="1"/>
  <c r="W3681" i="1"/>
  <c r="AB3681" i="1"/>
  <c r="AF3681" i="1"/>
  <c r="K3682" i="1"/>
  <c r="AC3682" i="1"/>
  <c r="AJ3681" i="1"/>
  <c r="AK3681" i="1"/>
  <c r="AM3681" i="1"/>
  <c r="BF3681" i="1"/>
  <c r="BG3681" i="1"/>
  <c r="T3682" i="1"/>
  <c r="U3682" i="1"/>
  <c r="V3682" i="1"/>
  <c r="W3682" i="1"/>
  <c r="AB3682" i="1"/>
  <c r="AF3682" i="1"/>
  <c r="AC3683" i="1"/>
  <c r="AJ3682" i="1"/>
  <c r="AK3682" i="1"/>
  <c r="AM3682" i="1"/>
  <c r="BF3682" i="1"/>
  <c r="BG3682" i="1"/>
  <c r="T3683" i="1"/>
  <c r="U3683" i="1"/>
  <c r="V3683" i="1"/>
  <c r="W3683" i="1"/>
  <c r="AB3683" i="1"/>
  <c r="AF3683" i="1"/>
  <c r="AC3684" i="1"/>
  <c r="AJ3683" i="1"/>
  <c r="AK3683" i="1"/>
  <c r="AM3683" i="1"/>
  <c r="BF3683" i="1"/>
  <c r="BG3683" i="1"/>
  <c r="T3684" i="1"/>
  <c r="U3684" i="1"/>
  <c r="V3684" i="1"/>
  <c r="W3684" i="1"/>
  <c r="AB3684" i="1"/>
  <c r="AF3684" i="1"/>
  <c r="K3685" i="1"/>
  <c r="AC3685" i="1"/>
  <c r="AJ3684" i="1"/>
  <c r="AK3684" i="1"/>
  <c r="AM3684" i="1"/>
  <c r="BF3684" i="1"/>
  <c r="BG3684" i="1"/>
  <c r="T3685" i="1"/>
  <c r="U3685" i="1"/>
  <c r="V3685" i="1"/>
  <c r="W3685" i="1"/>
  <c r="AB3685" i="1"/>
  <c r="AF3685" i="1"/>
  <c r="K3686" i="1"/>
  <c r="AC3686" i="1"/>
  <c r="AJ3685" i="1"/>
  <c r="AK3685" i="1"/>
  <c r="AM3685" i="1"/>
  <c r="BF3685" i="1"/>
  <c r="BG3685" i="1"/>
  <c r="T3686" i="1"/>
  <c r="U3686" i="1"/>
  <c r="V3686" i="1"/>
  <c r="W3686" i="1"/>
  <c r="AB3686" i="1"/>
  <c r="AF3686" i="1"/>
  <c r="K3687" i="1"/>
  <c r="AC3687" i="1"/>
  <c r="AJ3686" i="1"/>
  <c r="AK3686" i="1"/>
  <c r="AM3686" i="1"/>
  <c r="BF3686" i="1"/>
  <c r="BG3686" i="1"/>
  <c r="T3687" i="1"/>
  <c r="U3687" i="1"/>
  <c r="V3687" i="1"/>
  <c r="W3687" i="1"/>
  <c r="AB3687" i="1"/>
  <c r="AF3687" i="1"/>
  <c r="AC3688" i="1"/>
  <c r="AJ3687" i="1"/>
  <c r="AK3687" i="1"/>
  <c r="AM3687" i="1"/>
  <c r="BF3687" i="1"/>
  <c r="BG3687" i="1"/>
  <c r="T3688" i="1"/>
  <c r="U3688" i="1"/>
  <c r="V3688" i="1"/>
  <c r="W3688" i="1"/>
  <c r="AB3688" i="1"/>
  <c r="AF3688" i="1"/>
  <c r="AC3689" i="1"/>
  <c r="AJ3688" i="1"/>
  <c r="AK3688" i="1"/>
  <c r="AM3688" i="1"/>
  <c r="BF3688" i="1"/>
  <c r="BG3688" i="1"/>
  <c r="T3689" i="1"/>
  <c r="U3689" i="1"/>
  <c r="V3689" i="1"/>
  <c r="W3689" i="1"/>
  <c r="AB3689" i="1"/>
  <c r="AF3689" i="1"/>
  <c r="AC3690" i="1"/>
  <c r="AJ3689" i="1"/>
  <c r="AK3689" i="1"/>
  <c r="AM3689" i="1"/>
  <c r="BF3689" i="1"/>
  <c r="BG3689" i="1"/>
  <c r="T3690" i="1"/>
  <c r="U3690" i="1"/>
  <c r="V3690" i="1"/>
  <c r="W3690" i="1"/>
  <c r="AB3690" i="1"/>
  <c r="AF3690" i="1"/>
  <c r="K3691" i="1"/>
  <c r="AC3691" i="1"/>
  <c r="AJ3690" i="1"/>
  <c r="AK3690" i="1"/>
  <c r="AM3690" i="1"/>
  <c r="BF3690" i="1"/>
  <c r="BG3690" i="1"/>
  <c r="T3691" i="1"/>
  <c r="U3691" i="1"/>
  <c r="V3691" i="1"/>
  <c r="W3691" i="1"/>
  <c r="AB3691" i="1"/>
  <c r="AF3691" i="1"/>
  <c r="AC3692" i="1"/>
  <c r="AJ3691" i="1"/>
  <c r="AK3691" i="1"/>
  <c r="AM3691" i="1"/>
  <c r="BF3691" i="1"/>
  <c r="BG3691" i="1"/>
  <c r="T3692" i="1"/>
  <c r="U3692" i="1"/>
  <c r="V3692" i="1"/>
  <c r="W3692" i="1"/>
  <c r="AB3692" i="1"/>
  <c r="AF3692" i="1"/>
  <c r="AC3693" i="1"/>
  <c r="AJ3692" i="1"/>
  <c r="AK3692" i="1"/>
  <c r="AM3692" i="1"/>
  <c r="BF3692" i="1"/>
  <c r="BG3692" i="1"/>
  <c r="T3693" i="1"/>
  <c r="U3693" i="1"/>
  <c r="V3693" i="1"/>
  <c r="W3693" i="1"/>
  <c r="AB3693" i="1"/>
  <c r="AF3693" i="1"/>
  <c r="K3694" i="1"/>
  <c r="AC3694" i="1"/>
  <c r="AJ3693" i="1"/>
  <c r="AK3693" i="1"/>
  <c r="AM3693" i="1"/>
  <c r="BF3693" i="1"/>
  <c r="BG3693" i="1"/>
  <c r="T3694" i="1"/>
  <c r="U3694" i="1"/>
  <c r="V3694" i="1"/>
  <c r="W3694" i="1"/>
  <c r="AB3694" i="1"/>
  <c r="AF3694" i="1"/>
  <c r="K3695" i="1"/>
  <c r="AC3695" i="1"/>
  <c r="AJ3694" i="1"/>
  <c r="AK3694" i="1"/>
  <c r="AM3694" i="1"/>
  <c r="BF3694" i="1"/>
  <c r="BG3694" i="1"/>
  <c r="T3695" i="1"/>
  <c r="U3695" i="1"/>
  <c r="V3695" i="1"/>
  <c r="W3695" i="1"/>
  <c r="AB3695" i="1"/>
  <c r="AF3695" i="1"/>
  <c r="K3696" i="1"/>
  <c r="AC3696" i="1"/>
  <c r="AJ3695" i="1"/>
  <c r="AK3695" i="1"/>
  <c r="AM3695" i="1"/>
  <c r="BF3695" i="1"/>
  <c r="BG3695" i="1"/>
  <c r="T3696" i="1"/>
  <c r="U3696" i="1"/>
  <c r="V3696" i="1"/>
  <c r="W3696" i="1"/>
  <c r="AB3696" i="1"/>
  <c r="AF3696" i="1"/>
  <c r="K3697" i="1"/>
  <c r="AC3697" i="1"/>
  <c r="AJ3696" i="1"/>
  <c r="AK3696" i="1"/>
  <c r="AM3696" i="1"/>
  <c r="BF3696" i="1"/>
  <c r="BG3696" i="1"/>
  <c r="T3697" i="1"/>
  <c r="U3697" i="1"/>
  <c r="V3697" i="1"/>
  <c r="W3697" i="1"/>
  <c r="AB3697" i="1"/>
  <c r="AF3697" i="1"/>
  <c r="K3698" i="1"/>
  <c r="AC3698" i="1"/>
  <c r="AJ3697" i="1"/>
  <c r="AK3697" i="1"/>
  <c r="AM3697" i="1"/>
  <c r="BF3697" i="1"/>
  <c r="BG3697" i="1"/>
  <c r="T3698" i="1"/>
  <c r="U3698" i="1"/>
  <c r="V3698" i="1"/>
  <c r="W3698" i="1"/>
  <c r="AB3698" i="1"/>
  <c r="AF3698" i="1"/>
  <c r="K3699" i="1"/>
  <c r="AC3699" i="1"/>
  <c r="AJ3698" i="1"/>
  <c r="AK3698" i="1"/>
  <c r="AM3698" i="1"/>
  <c r="BF3698" i="1"/>
  <c r="BG3698" i="1"/>
  <c r="T3699" i="1"/>
  <c r="U3699" i="1"/>
  <c r="V3699" i="1"/>
  <c r="W3699" i="1"/>
  <c r="AB3699" i="1"/>
  <c r="AF3699" i="1"/>
  <c r="K3700" i="1"/>
  <c r="AC3700" i="1"/>
  <c r="AJ3699" i="1"/>
  <c r="AK3699" i="1"/>
  <c r="AM3699" i="1"/>
  <c r="BF3699" i="1"/>
  <c r="BG3699" i="1"/>
  <c r="T3700" i="1"/>
  <c r="U3700" i="1"/>
  <c r="V3700" i="1"/>
  <c r="W3700" i="1"/>
  <c r="AB3700" i="1"/>
  <c r="AF3700" i="1"/>
  <c r="K3701" i="1"/>
  <c r="AC3701" i="1"/>
  <c r="AJ3700" i="1"/>
  <c r="AK3700" i="1"/>
  <c r="AM3700" i="1"/>
  <c r="BF3700" i="1"/>
  <c r="BG3700" i="1"/>
  <c r="T3701" i="1"/>
  <c r="U3701" i="1"/>
  <c r="V3701" i="1"/>
  <c r="W3701" i="1"/>
  <c r="AB3701" i="1"/>
  <c r="AF3701" i="1"/>
  <c r="AC3702" i="1"/>
  <c r="AJ3701" i="1"/>
  <c r="AK3701" i="1"/>
  <c r="AM3701" i="1"/>
  <c r="BF3701" i="1"/>
  <c r="BG3701" i="1"/>
  <c r="T3702" i="1"/>
  <c r="U3702" i="1"/>
  <c r="V3702" i="1"/>
  <c r="W3702" i="1"/>
  <c r="AB3702" i="1"/>
  <c r="AF3702" i="1"/>
  <c r="AC3703" i="1"/>
  <c r="AJ3702" i="1"/>
  <c r="AK3702" i="1"/>
  <c r="AM3702" i="1"/>
  <c r="BF3702" i="1"/>
  <c r="BG3702" i="1"/>
  <c r="T3703" i="1"/>
  <c r="U3703" i="1"/>
  <c r="V3703" i="1"/>
  <c r="W3703" i="1"/>
  <c r="AB3703" i="1"/>
  <c r="AF3703" i="1"/>
  <c r="K3704" i="1"/>
  <c r="AC3704" i="1"/>
  <c r="AJ3703" i="1"/>
  <c r="AK3703" i="1"/>
  <c r="AM3703" i="1"/>
  <c r="BF3703" i="1"/>
  <c r="BG3703" i="1"/>
  <c r="T3704" i="1"/>
  <c r="U3704" i="1"/>
  <c r="V3704" i="1"/>
  <c r="W3704" i="1"/>
  <c r="AB3704" i="1"/>
  <c r="AF3704" i="1"/>
  <c r="K3705" i="1"/>
  <c r="AC3705" i="1"/>
  <c r="AJ3704" i="1"/>
  <c r="AK3704" i="1"/>
  <c r="AM3704" i="1"/>
  <c r="BF3704" i="1"/>
  <c r="BG3704" i="1"/>
  <c r="T3705" i="1"/>
  <c r="U3705" i="1"/>
  <c r="V3705" i="1"/>
  <c r="W3705" i="1"/>
  <c r="AB3705" i="1"/>
  <c r="AF3705" i="1"/>
  <c r="AC3706" i="1"/>
  <c r="AJ3705" i="1"/>
  <c r="AK3705" i="1"/>
  <c r="AM3705" i="1"/>
  <c r="BF3705" i="1"/>
  <c r="BG3705" i="1"/>
  <c r="T3706" i="1"/>
  <c r="U3706" i="1"/>
  <c r="V3706" i="1"/>
  <c r="W3706" i="1"/>
  <c r="AB3706" i="1"/>
  <c r="AF3706" i="1"/>
  <c r="AC3707" i="1"/>
  <c r="AJ3706" i="1"/>
  <c r="AK3706" i="1"/>
  <c r="AM3706" i="1"/>
  <c r="BF3706" i="1"/>
  <c r="BG3706" i="1"/>
  <c r="T3707" i="1"/>
  <c r="U3707" i="1"/>
  <c r="V3707" i="1"/>
  <c r="W3707" i="1"/>
  <c r="AB3707" i="1"/>
  <c r="AF3707" i="1"/>
  <c r="K3708" i="1"/>
  <c r="AC3708" i="1"/>
  <c r="AJ3707" i="1"/>
  <c r="AK3707" i="1"/>
  <c r="AM3707" i="1"/>
  <c r="BF3707" i="1"/>
  <c r="BG3707" i="1"/>
  <c r="T3708" i="1"/>
  <c r="U3708" i="1"/>
  <c r="V3708" i="1"/>
  <c r="W3708" i="1"/>
  <c r="AB3708" i="1"/>
  <c r="AF3708" i="1"/>
  <c r="AC3709" i="1"/>
  <c r="AJ3708" i="1"/>
  <c r="AK3708" i="1"/>
  <c r="AM3708" i="1"/>
  <c r="BF3708" i="1"/>
  <c r="BG3708" i="1"/>
  <c r="T3709" i="1"/>
  <c r="U3709" i="1"/>
  <c r="V3709" i="1"/>
  <c r="W3709" i="1"/>
  <c r="AB3709" i="1"/>
  <c r="AF3709" i="1"/>
  <c r="AC3710" i="1"/>
  <c r="AJ3709" i="1"/>
  <c r="AK3709" i="1"/>
  <c r="AM3709" i="1"/>
  <c r="BF3709" i="1"/>
  <c r="BG3709" i="1"/>
  <c r="T3710" i="1"/>
  <c r="U3710" i="1"/>
  <c r="V3710" i="1"/>
  <c r="W3710" i="1"/>
  <c r="AB3710" i="1"/>
  <c r="AF3710" i="1"/>
  <c r="K3711" i="1"/>
  <c r="AC3711" i="1"/>
  <c r="AJ3710" i="1"/>
  <c r="AK3710" i="1"/>
  <c r="AM3710" i="1"/>
  <c r="BF3710" i="1"/>
  <c r="BG3710" i="1"/>
  <c r="T3711" i="1"/>
  <c r="U3711" i="1"/>
  <c r="V3711" i="1"/>
  <c r="W3711" i="1"/>
  <c r="AB3711" i="1"/>
  <c r="AF3711" i="1"/>
  <c r="K3712" i="1"/>
  <c r="AC3712" i="1"/>
  <c r="AJ3711" i="1"/>
  <c r="AK3711" i="1"/>
  <c r="AM3711" i="1"/>
  <c r="BF3711" i="1"/>
  <c r="BG3711" i="1"/>
  <c r="T3712" i="1"/>
  <c r="U3712" i="1"/>
  <c r="V3712" i="1"/>
  <c r="W3712" i="1"/>
  <c r="AB3712" i="1"/>
  <c r="AF3712" i="1"/>
  <c r="AC3713" i="1"/>
  <c r="AJ3712" i="1"/>
  <c r="AK3712" i="1"/>
  <c r="AM3712" i="1"/>
  <c r="BF3712" i="1"/>
  <c r="BG3712" i="1"/>
  <c r="T3713" i="1"/>
  <c r="U3713" i="1"/>
  <c r="V3713" i="1"/>
  <c r="W3713" i="1"/>
  <c r="AB3713" i="1"/>
  <c r="AF3713" i="1"/>
  <c r="AC3714" i="1"/>
  <c r="AJ3713" i="1"/>
  <c r="AK3713" i="1"/>
  <c r="AM3713" i="1"/>
  <c r="BF3713" i="1"/>
  <c r="BG3713" i="1"/>
  <c r="T3714" i="1"/>
  <c r="U3714" i="1"/>
  <c r="V3714" i="1"/>
  <c r="W3714" i="1"/>
  <c r="AB3714" i="1"/>
  <c r="AF3714" i="1"/>
  <c r="K3715" i="1"/>
  <c r="AC3715" i="1"/>
  <c r="AJ3714" i="1"/>
  <c r="AK3714" i="1"/>
  <c r="AM3714" i="1"/>
  <c r="BF3714" i="1"/>
  <c r="BG3714" i="1"/>
  <c r="T3715" i="1"/>
  <c r="U3715" i="1"/>
  <c r="V3715" i="1"/>
  <c r="W3715" i="1"/>
  <c r="AB3715" i="1"/>
  <c r="AF3715" i="1"/>
  <c r="K3716" i="1"/>
  <c r="AC3716" i="1"/>
  <c r="AJ3715" i="1"/>
  <c r="AK3715" i="1"/>
  <c r="AM3715" i="1"/>
  <c r="BF3715" i="1"/>
  <c r="BG3715" i="1"/>
  <c r="T3716" i="1"/>
  <c r="U3716" i="1"/>
  <c r="V3716" i="1"/>
  <c r="W3716" i="1"/>
  <c r="AB3716" i="1"/>
  <c r="AF3716" i="1"/>
  <c r="K3717" i="1"/>
  <c r="AC3717" i="1"/>
  <c r="AJ3716" i="1"/>
  <c r="AK3716" i="1"/>
  <c r="AM3716" i="1"/>
  <c r="BF3716" i="1"/>
  <c r="BG3716" i="1"/>
  <c r="T3717" i="1"/>
  <c r="U3717" i="1"/>
  <c r="V3717" i="1"/>
  <c r="W3717" i="1"/>
  <c r="AB3717" i="1"/>
  <c r="AF3717" i="1"/>
  <c r="K3718" i="1"/>
  <c r="AC3718" i="1"/>
  <c r="AJ3717" i="1"/>
  <c r="AK3717" i="1"/>
  <c r="AM3717" i="1"/>
  <c r="BF3717" i="1"/>
  <c r="BG3717" i="1"/>
  <c r="T3718" i="1"/>
  <c r="U3718" i="1"/>
  <c r="V3718" i="1"/>
  <c r="W3718" i="1"/>
  <c r="AB3718" i="1"/>
  <c r="AF3718" i="1"/>
  <c r="AC3719" i="1"/>
  <c r="AJ3718" i="1"/>
  <c r="AK3718" i="1"/>
  <c r="AM3718" i="1"/>
  <c r="BF3718" i="1"/>
  <c r="BG3718" i="1"/>
  <c r="T3719" i="1"/>
  <c r="U3719" i="1"/>
  <c r="V3719" i="1"/>
  <c r="W3719" i="1"/>
  <c r="AB3719" i="1"/>
  <c r="AF3719" i="1"/>
  <c r="AC3720" i="1"/>
  <c r="AJ3719" i="1"/>
  <c r="AK3719" i="1"/>
  <c r="AM3719" i="1"/>
  <c r="BF3719" i="1"/>
  <c r="BG3719" i="1"/>
  <c r="T3720" i="1"/>
  <c r="U3720" i="1"/>
  <c r="V3720" i="1"/>
  <c r="W3720" i="1"/>
  <c r="AB3720" i="1"/>
  <c r="AF3720" i="1"/>
  <c r="K3721" i="1"/>
  <c r="AC3721" i="1"/>
  <c r="AJ3720" i="1"/>
  <c r="AK3720" i="1"/>
  <c r="AM3720" i="1"/>
  <c r="BF3720" i="1"/>
  <c r="BG3720" i="1"/>
  <c r="T3721" i="1"/>
  <c r="U3721" i="1"/>
  <c r="V3721" i="1"/>
  <c r="W3721" i="1"/>
  <c r="AB3721" i="1"/>
  <c r="AF3721" i="1"/>
  <c r="K3722" i="1"/>
  <c r="AC3722" i="1"/>
  <c r="AJ3721" i="1"/>
  <c r="AK3721" i="1"/>
  <c r="AM3721" i="1"/>
  <c r="BF3721" i="1"/>
  <c r="BG3721" i="1"/>
  <c r="T3722" i="1"/>
  <c r="U3722" i="1"/>
  <c r="V3722" i="1"/>
  <c r="W3722" i="1"/>
  <c r="AB3722" i="1"/>
  <c r="AF3722" i="1"/>
  <c r="K3723" i="1"/>
  <c r="AC3723" i="1"/>
  <c r="AJ3722" i="1"/>
  <c r="AK3722" i="1"/>
  <c r="AM3722" i="1"/>
  <c r="BF3722" i="1"/>
  <c r="BG3722" i="1"/>
  <c r="T3723" i="1"/>
  <c r="U3723" i="1"/>
  <c r="V3723" i="1"/>
  <c r="W3723" i="1"/>
  <c r="AB3723" i="1"/>
  <c r="AF3723" i="1"/>
  <c r="K3724" i="1"/>
  <c r="AC3724" i="1"/>
  <c r="AJ3723" i="1"/>
  <c r="AK3723" i="1"/>
  <c r="AM3723" i="1"/>
  <c r="BF3723" i="1"/>
  <c r="BG3723" i="1"/>
  <c r="T3724" i="1"/>
  <c r="U3724" i="1"/>
  <c r="V3724" i="1"/>
  <c r="W3724" i="1"/>
  <c r="AB3724" i="1"/>
  <c r="AF3724" i="1"/>
  <c r="K3725" i="1"/>
  <c r="AC3725" i="1"/>
  <c r="AJ3724" i="1"/>
  <c r="AK3724" i="1"/>
  <c r="AM3724" i="1"/>
  <c r="BF3724" i="1"/>
  <c r="BG3724" i="1"/>
  <c r="T3725" i="1"/>
  <c r="U3725" i="1"/>
  <c r="V3725" i="1"/>
  <c r="W3725" i="1"/>
  <c r="AB3725" i="1"/>
  <c r="AF3725" i="1"/>
  <c r="K3726" i="1"/>
  <c r="AC3726" i="1"/>
  <c r="AJ3725" i="1"/>
  <c r="AK3725" i="1"/>
  <c r="AM3725" i="1"/>
  <c r="BF3725" i="1"/>
  <c r="BG3725" i="1"/>
  <c r="T3726" i="1"/>
  <c r="U3726" i="1"/>
  <c r="V3726" i="1"/>
  <c r="W3726" i="1"/>
  <c r="AB3726" i="1"/>
  <c r="AF3726" i="1"/>
  <c r="K3727" i="1"/>
  <c r="AC3727" i="1"/>
  <c r="AJ3726" i="1"/>
  <c r="AK3726" i="1"/>
  <c r="AM3726" i="1"/>
  <c r="BF3726" i="1"/>
  <c r="BG3726" i="1"/>
  <c r="T3727" i="1"/>
  <c r="U3727" i="1"/>
  <c r="V3727" i="1"/>
  <c r="W3727" i="1"/>
  <c r="AB3727" i="1"/>
  <c r="AF3727" i="1"/>
  <c r="AC3728" i="1"/>
  <c r="AJ3727" i="1"/>
  <c r="AK3727" i="1"/>
  <c r="AM3727" i="1"/>
  <c r="BF3727" i="1"/>
  <c r="BG3727" i="1"/>
  <c r="T3728" i="1"/>
  <c r="U3728" i="1"/>
  <c r="V3728" i="1"/>
  <c r="W3728" i="1"/>
  <c r="AB3728" i="1"/>
  <c r="AF3728" i="1"/>
  <c r="AC3729" i="1"/>
  <c r="AJ3728" i="1"/>
  <c r="AK3728" i="1"/>
  <c r="AM3728" i="1"/>
  <c r="BF3728" i="1"/>
  <c r="BG3728" i="1"/>
  <c r="T3729" i="1"/>
  <c r="U3729" i="1"/>
  <c r="V3729" i="1"/>
  <c r="W3729" i="1"/>
  <c r="AB3729" i="1"/>
  <c r="AF3729" i="1"/>
  <c r="K3730" i="1"/>
  <c r="AC3730" i="1"/>
  <c r="AJ3729" i="1"/>
  <c r="AK3729" i="1"/>
  <c r="AM3729" i="1"/>
  <c r="BF3729" i="1"/>
  <c r="BG3729" i="1"/>
  <c r="T3730" i="1"/>
  <c r="U3730" i="1"/>
  <c r="V3730" i="1"/>
  <c r="W3730" i="1"/>
  <c r="AB3730" i="1"/>
  <c r="AF3730" i="1"/>
  <c r="AC3731" i="1"/>
  <c r="AJ3730" i="1"/>
  <c r="AK3730" i="1"/>
  <c r="AM3730" i="1"/>
  <c r="BF3730" i="1"/>
  <c r="BG3730" i="1"/>
  <c r="T3731" i="1"/>
  <c r="U3731" i="1"/>
  <c r="V3731" i="1"/>
  <c r="W3731" i="1"/>
  <c r="AB3731" i="1"/>
  <c r="AF3731" i="1"/>
  <c r="AC3732" i="1"/>
  <c r="AJ3731" i="1"/>
  <c r="AK3731" i="1"/>
  <c r="AM3731" i="1"/>
  <c r="BF3731" i="1"/>
  <c r="BG3731" i="1"/>
  <c r="T3732" i="1"/>
  <c r="U3732" i="1"/>
  <c r="V3732" i="1"/>
  <c r="W3732" i="1"/>
  <c r="AB3732" i="1"/>
  <c r="AF3732" i="1"/>
  <c r="K3733" i="1"/>
  <c r="AC3733" i="1"/>
  <c r="AJ3732" i="1"/>
  <c r="AK3732" i="1"/>
  <c r="AM3732" i="1"/>
  <c r="BF3732" i="1"/>
  <c r="BG3732" i="1"/>
  <c r="T3733" i="1"/>
  <c r="U3733" i="1"/>
  <c r="V3733" i="1"/>
  <c r="W3733" i="1"/>
  <c r="AB3733" i="1"/>
  <c r="AF3733" i="1"/>
  <c r="AC3734" i="1"/>
  <c r="AJ3733" i="1"/>
  <c r="AK3733" i="1"/>
  <c r="AM3733" i="1"/>
  <c r="BF3733" i="1"/>
  <c r="BG3733" i="1"/>
  <c r="T3734" i="1"/>
  <c r="U3734" i="1"/>
  <c r="V3734" i="1"/>
  <c r="W3734" i="1"/>
  <c r="AB3734" i="1"/>
  <c r="AF3734" i="1"/>
  <c r="AC3735" i="1"/>
  <c r="AJ3734" i="1"/>
  <c r="AK3734" i="1"/>
  <c r="AM3734" i="1"/>
  <c r="BF3734" i="1"/>
  <c r="BG3734" i="1"/>
  <c r="T3735" i="1"/>
  <c r="U3735" i="1"/>
  <c r="V3735" i="1"/>
  <c r="W3735" i="1"/>
  <c r="AB3735" i="1"/>
  <c r="AF3735" i="1"/>
  <c r="K3736" i="1"/>
  <c r="AC3736" i="1"/>
  <c r="AJ3735" i="1"/>
  <c r="AK3735" i="1"/>
  <c r="AM3735" i="1"/>
  <c r="BF3735" i="1"/>
  <c r="BG3735" i="1"/>
  <c r="T3736" i="1"/>
  <c r="U3736" i="1"/>
  <c r="V3736" i="1"/>
  <c r="W3736" i="1"/>
  <c r="AB3736" i="1"/>
  <c r="AF3736" i="1"/>
  <c r="AC3737" i="1"/>
  <c r="AJ3736" i="1"/>
  <c r="AK3736" i="1"/>
  <c r="AM3736" i="1"/>
  <c r="BF3736" i="1"/>
  <c r="BG3736" i="1"/>
  <c r="T3737" i="1"/>
  <c r="U3737" i="1"/>
  <c r="V3737" i="1"/>
  <c r="W3737" i="1"/>
  <c r="AB3737" i="1"/>
  <c r="AF3737" i="1"/>
  <c r="AC3738" i="1"/>
  <c r="AJ3737" i="1"/>
  <c r="AK3737" i="1"/>
  <c r="AM3737" i="1"/>
  <c r="BF3737" i="1"/>
  <c r="BG3737" i="1"/>
  <c r="T3738" i="1"/>
  <c r="U3738" i="1"/>
  <c r="V3738" i="1"/>
  <c r="W3738" i="1"/>
  <c r="AB3738" i="1"/>
  <c r="AF3738" i="1"/>
  <c r="K3739" i="1"/>
  <c r="AC3739" i="1"/>
  <c r="AJ3738" i="1"/>
  <c r="AK3738" i="1"/>
  <c r="AM3738" i="1"/>
  <c r="BF3738" i="1"/>
  <c r="BG3738" i="1"/>
  <c r="T3739" i="1"/>
  <c r="U3739" i="1"/>
  <c r="V3739" i="1"/>
  <c r="W3739" i="1"/>
  <c r="AB3739" i="1"/>
  <c r="AF3739" i="1"/>
  <c r="AC3740" i="1"/>
  <c r="AJ3739" i="1"/>
  <c r="AK3739" i="1"/>
  <c r="AM3739" i="1"/>
  <c r="BF3739" i="1"/>
  <c r="BG3739" i="1"/>
  <c r="T3740" i="1"/>
  <c r="U3740" i="1"/>
  <c r="V3740" i="1"/>
  <c r="W3740" i="1"/>
  <c r="AB3740" i="1"/>
  <c r="AF3740" i="1"/>
  <c r="AC3741" i="1"/>
  <c r="AJ3740" i="1"/>
  <c r="AK3740" i="1"/>
  <c r="AM3740" i="1"/>
  <c r="BF3740" i="1"/>
  <c r="BG3740" i="1"/>
  <c r="T3741" i="1"/>
  <c r="U3741" i="1"/>
  <c r="V3741" i="1"/>
  <c r="W3741" i="1"/>
  <c r="AB3741" i="1"/>
  <c r="AF3741" i="1"/>
  <c r="K3742" i="1"/>
  <c r="AC3742" i="1"/>
  <c r="AJ3741" i="1"/>
  <c r="AK3741" i="1"/>
  <c r="AM3741" i="1"/>
  <c r="BF3741" i="1"/>
  <c r="BG3741" i="1"/>
  <c r="T3742" i="1"/>
  <c r="U3742" i="1"/>
  <c r="V3742" i="1"/>
  <c r="W3742" i="1"/>
  <c r="AB3742" i="1"/>
  <c r="AF3742" i="1"/>
  <c r="AC3743" i="1"/>
  <c r="AJ3742" i="1"/>
  <c r="AK3742" i="1"/>
  <c r="AM3742" i="1"/>
  <c r="BF3742" i="1"/>
  <c r="BG3742" i="1"/>
  <c r="T3743" i="1"/>
  <c r="U3743" i="1"/>
  <c r="V3743" i="1"/>
  <c r="W3743" i="1"/>
  <c r="AB3743" i="1"/>
  <c r="AF3743" i="1"/>
  <c r="AC3744" i="1"/>
  <c r="AJ3743" i="1"/>
  <c r="AK3743" i="1"/>
  <c r="AM3743" i="1"/>
  <c r="BF3743" i="1"/>
  <c r="BG3743" i="1"/>
  <c r="T3744" i="1"/>
  <c r="U3744" i="1"/>
  <c r="V3744" i="1"/>
  <c r="W3744" i="1"/>
  <c r="AB3744" i="1"/>
  <c r="AF3744" i="1"/>
  <c r="K3745" i="1"/>
  <c r="AC3745" i="1"/>
  <c r="AJ3744" i="1"/>
  <c r="AK3744" i="1"/>
  <c r="AM3744" i="1"/>
  <c r="BF3744" i="1"/>
  <c r="BG3744" i="1"/>
  <c r="T3745" i="1"/>
  <c r="U3745" i="1"/>
  <c r="V3745" i="1"/>
  <c r="W3745" i="1"/>
  <c r="AB3745" i="1"/>
  <c r="AF3745" i="1"/>
  <c r="K3746" i="1"/>
  <c r="AC3746" i="1"/>
  <c r="AJ3745" i="1"/>
  <c r="AK3745" i="1"/>
  <c r="AM3745" i="1"/>
  <c r="BF3745" i="1"/>
  <c r="BG3745" i="1"/>
  <c r="T3746" i="1"/>
  <c r="U3746" i="1"/>
  <c r="V3746" i="1"/>
  <c r="W3746" i="1"/>
  <c r="AB3746" i="1"/>
  <c r="AF3746" i="1"/>
  <c r="AC3747" i="1"/>
  <c r="AJ3746" i="1"/>
  <c r="AK3746" i="1"/>
  <c r="AM3746" i="1"/>
  <c r="BF3746" i="1"/>
  <c r="BG3746" i="1"/>
  <c r="T3747" i="1"/>
  <c r="U3747" i="1"/>
  <c r="V3747" i="1"/>
  <c r="W3747" i="1"/>
  <c r="AB3747" i="1"/>
  <c r="AF3747" i="1"/>
  <c r="AC3748" i="1"/>
  <c r="AJ3747" i="1"/>
  <c r="AK3747" i="1"/>
  <c r="AM3747" i="1"/>
  <c r="BF3747" i="1"/>
  <c r="BG3747" i="1"/>
  <c r="T3748" i="1"/>
  <c r="U3748" i="1"/>
  <c r="V3748" i="1"/>
  <c r="W3748" i="1"/>
  <c r="AB3748" i="1"/>
  <c r="AF3748" i="1"/>
  <c r="K3749" i="1"/>
  <c r="AC3749" i="1"/>
  <c r="AJ3748" i="1"/>
  <c r="AK3748" i="1"/>
  <c r="AM3748" i="1"/>
  <c r="BF3748" i="1"/>
  <c r="BG3748" i="1"/>
  <c r="T3749" i="1"/>
  <c r="U3749" i="1"/>
  <c r="V3749" i="1"/>
  <c r="W3749" i="1"/>
  <c r="AB3749" i="1"/>
  <c r="AF3749" i="1"/>
  <c r="K3750" i="1"/>
  <c r="AC3750" i="1"/>
  <c r="AJ3749" i="1"/>
  <c r="AK3749" i="1"/>
  <c r="AM3749" i="1"/>
  <c r="BF3749" i="1"/>
  <c r="BG3749" i="1"/>
  <c r="T3750" i="1"/>
  <c r="U3750" i="1"/>
  <c r="V3750" i="1"/>
  <c r="W3750" i="1"/>
  <c r="AB3750" i="1"/>
  <c r="AF3750" i="1"/>
  <c r="AC3751" i="1"/>
  <c r="AJ3750" i="1"/>
  <c r="AK3750" i="1"/>
  <c r="AM3750" i="1"/>
  <c r="BF3750" i="1"/>
  <c r="BG3750" i="1"/>
  <c r="T3751" i="1"/>
  <c r="U3751" i="1"/>
  <c r="V3751" i="1"/>
  <c r="W3751" i="1"/>
  <c r="AB3751" i="1"/>
  <c r="AF3751" i="1"/>
  <c r="AC3752" i="1"/>
  <c r="AJ3751" i="1"/>
  <c r="AK3751" i="1"/>
  <c r="AM3751" i="1"/>
  <c r="BF3751" i="1"/>
  <c r="BG3751" i="1"/>
  <c r="T3752" i="1"/>
  <c r="U3752" i="1"/>
  <c r="V3752" i="1"/>
  <c r="W3752" i="1"/>
  <c r="AB3752" i="1"/>
  <c r="AF3752" i="1"/>
  <c r="K3753" i="1"/>
  <c r="AC3753" i="1"/>
  <c r="AJ3752" i="1"/>
  <c r="AK3752" i="1"/>
  <c r="AM3752" i="1"/>
  <c r="BF3752" i="1"/>
  <c r="BG3752" i="1"/>
  <c r="T3753" i="1"/>
  <c r="U3753" i="1"/>
  <c r="V3753" i="1"/>
  <c r="W3753" i="1"/>
  <c r="AB3753" i="1"/>
  <c r="AF3753" i="1"/>
  <c r="K3754" i="1"/>
  <c r="AC3754" i="1"/>
  <c r="AJ3753" i="1"/>
  <c r="AK3753" i="1"/>
  <c r="AM3753" i="1"/>
  <c r="BF3753" i="1"/>
  <c r="BG3753" i="1"/>
  <c r="T3754" i="1"/>
  <c r="U3754" i="1"/>
  <c r="V3754" i="1"/>
  <c r="W3754" i="1"/>
  <c r="AB3754" i="1"/>
  <c r="AF3754" i="1"/>
  <c r="AC3755" i="1"/>
  <c r="AJ3754" i="1"/>
  <c r="AK3754" i="1"/>
  <c r="AM3754" i="1"/>
  <c r="BF3754" i="1"/>
  <c r="BG3754" i="1"/>
  <c r="T3755" i="1"/>
  <c r="U3755" i="1"/>
  <c r="V3755" i="1"/>
  <c r="W3755" i="1"/>
  <c r="AB3755" i="1"/>
  <c r="AF3755" i="1"/>
  <c r="AC3756" i="1"/>
  <c r="AJ3755" i="1"/>
  <c r="AK3755" i="1"/>
  <c r="AM3755" i="1"/>
  <c r="BF3755" i="1"/>
  <c r="BG3755" i="1"/>
  <c r="T3756" i="1"/>
  <c r="U3756" i="1"/>
  <c r="V3756" i="1"/>
  <c r="W3756" i="1"/>
  <c r="AB3756" i="1"/>
  <c r="AF3756" i="1"/>
  <c r="K3757" i="1"/>
  <c r="AC3757" i="1"/>
  <c r="AJ3756" i="1"/>
  <c r="AK3756" i="1"/>
  <c r="AM3756" i="1"/>
  <c r="BF3756" i="1"/>
  <c r="BG3756" i="1"/>
  <c r="T3757" i="1"/>
  <c r="U3757" i="1"/>
  <c r="V3757" i="1"/>
  <c r="W3757" i="1"/>
  <c r="AB3757" i="1"/>
  <c r="AF3757" i="1"/>
  <c r="K3758" i="1"/>
  <c r="AC3758" i="1"/>
  <c r="AJ3757" i="1"/>
  <c r="AK3757" i="1"/>
  <c r="AM3757" i="1"/>
  <c r="BF3757" i="1"/>
  <c r="BG3757" i="1"/>
  <c r="T3758" i="1"/>
  <c r="U3758" i="1"/>
  <c r="V3758" i="1"/>
  <c r="W3758" i="1"/>
  <c r="AB3758" i="1"/>
  <c r="AF3758" i="1"/>
  <c r="AC3759" i="1"/>
  <c r="AJ3758" i="1"/>
  <c r="AK3758" i="1"/>
  <c r="AM3758" i="1"/>
  <c r="BF3758" i="1"/>
  <c r="BG3758" i="1"/>
  <c r="T3759" i="1"/>
  <c r="U3759" i="1"/>
  <c r="V3759" i="1"/>
  <c r="W3759" i="1"/>
  <c r="AB3759" i="1"/>
  <c r="AF3759" i="1"/>
  <c r="AC3760" i="1"/>
  <c r="AJ3759" i="1"/>
  <c r="AK3759" i="1"/>
  <c r="AM3759" i="1"/>
  <c r="BF3759" i="1"/>
  <c r="BG3759" i="1"/>
  <c r="T3760" i="1"/>
  <c r="U3760" i="1"/>
  <c r="V3760" i="1"/>
  <c r="W3760" i="1"/>
  <c r="AB3760" i="1"/>
  <c r="AF3760" i="1"/>
  <c r="K3761" i="1"/>
  <c r="AC3761" i="1"/>
  <c r="AJ3760" i="1"/>
  <c r="AK3760" i="1"/>
  <c r="AM3760" i="1"/>
  <c r="BF3760" i="1"/>
  <c r="BG3760" i="1"/>
  <c r="T3761" i="1"/>
  <c r="U3761" i="1"/>
  <c r="V3761" i="1"/>
  <c r="W3761" i="1"/>
  <c r="AB3761" i="1"/>
  <c r="AF3761" i="1"/>
  <c r="AC3762" i="1"/>
  <c r="AJ3761" i="1"/>
  <c r="AK3761" i="1"/>
  <c r="AM3761" i="1"/>
  <c r="BF3761" i="1"/>
  <c r="BG3761" i="1"/>
  <c r="T3762" i="1"/>
  <c r="U3762" i="1"/>
  <c r="V3762" i="1"/>
  <c r="W3762" i="1"/>
  <c r="AB3762" i="1"/>
  <c r="AF3762" i="1"/>
  <c r="AC3763" i="1"/>
  <c r="AJ3762" i="1"/>
  <c r="AK3762" i="1"/>
  <c r="AM3762" i="1"/>
  <c r="BF3762" i="1"/>
  <c r="BG3762" i="1"/>
  <c r="T3763" i="1"/>
  <c r="U3763" i="1"/>
  <c r="V3763" i="1"/>
  <c r="W3763" i="1"/>
  <c r="AB3763" i="1"/>
  <c r="AF3763" i="1"/>
  <c r="K3764" i="1"/>
  <c r="AC3764" i="1"/>
  <c r="AJ3763" i="1"/>
  <c r="AK3763" i="1"/>
  <c r="AM3763" i="1"/>
  <c r="BF3763" i="1"/>
  <c r="BG3763" i="1"/>
  <c r="T3764" i="1"/>
  <c r="U3764" i="1"/>
  <c r="V3764" i="1"/>
  <c r="W3764" i="1"/>
  <c r="AB3764" i="1"/>
  <c r="AF3764" i="1"/>
  <c r="AC3765" i="1"/>
  <c r="AJ3764" i="1"/>
  <c r="AK3764" i="1"/>
  <c r="AM3764" i="1"/>
  <c r="BF3764" i="1"/>
  <c r="BG3764" i="1"/>
  <c r="T3765" i="1"/>
  <c r="U3765" i="1"/>
  <c r="V3765" i="1"/>
  <c r="W3765" i="1"/>
  <c r="AB3765" i="1"/>
  <c r="AF3765" i="1"/>
  <c r="AC3766" i="1"/>
  <c r="AJ3765" i="1"/>
  <c r="AK3765" i="1"/>
  <c r="AM3765" i="1"/>
  <c r="BF3765" i="1"/>
  <c r="BG3765" i="1"/>
  <c r="T3766" i="1"/>
  <c r="U3766" i="1"/>
  <c r="V3766" i="1"/>
  <c r="W3766" i="1"/>
  <c r="AB3766" i="1"/>
  <c r="AF3766" i="1"/>
  <c r="K3767" i="1"/>
  <c r="AC3767" i="1"/>
  <c r="AJ3766" i="1"/>
  <c r="AK3766" i="1"/>
  <c r="AM3766" i="1"/>
  <c r="BF3766" i="1"/>
  <c r="BG3766" i="1"/>
  <c r="T3767" i="1"/>
  <c r="U3767" i="1"/>
  <c r="V3767" i="1"/>
  <c r="W3767" i="1"/>
  <c r="AB3767" i="1"/>
  <c r="AF3767" i="1"/>
  <c r="AC3768" i="1"/>
  <c r="AJ3767" i="1"/>
  <c r="AK3767" i="1"/>
  <c r="AM3767" i="1"/>
  <c r="BF3767" i="1"/>
  <c r="BG3767" i="1"/>
  <c r="T3768" i="1"/>
  <c r="U3768" i="1"/>
  <c r="V3768" i="1"/>
  <c r="W3768" i="1"/>
  <c r="AB3768" i="1"/>
  <c r="AF3768" i="1"/>
  <c r="AC3769" i="1"/>
  <c r="AJ3768" i="1"/>
  <c r="AK3768" i="1"/>
  <c r="AM3768" i="1"/>
  <c r="BF3768" i="1"/>
  <c r="BG3768" i="1"/>
  <c r="T3769" i="1"/>
  <c r="U3769" i="1"/>
  <c r="V3769" i="1"/>
  <c r="W3769" i="1"/>
  <c r="AB3769" i="1"/>
  <c r="AF3769" i="1"/>
  <c r="K3770" i="1"/>
  <c r="AC3770" i="1"/>
  <c r="AJ3769" i="1"/>
  <c r="AK3769" i="1"/>
  <c r="AM3769" i="1"/>
  <c r="BF3769" i="1"/>
  <c r="BG3769" i="1"/>
  <c r="T3770" i="1"/>
  <c r="U3770" i="1"/>
  <c r="V3770" i="1"/>
  <c r="W3770" i="1"/>
  <c r="AB3770" i="1"/>
  <c r="AF3770" i="1"/>
  <c r="AC3771" i="1"/>
  <c r="AJ3770" i="1"/>
  <c r="AK3770" i="1"/>
  <c r="AM3770" i="1"/>
  <c r="BF3770" i="1"/>
  <c r="BG3770" i="1"/>
  <c r="T3771" i="1"/>
  <c r="U3771" i="1"/>
  <c r="V3771" i="1"/>
  <c r="W3771" i="1"/>
  <c r="AB3771" i="1"/>
  <c r="AF3771" i="1"/>
  <c r="AC3772" i="1"/>
  <c r="AJ3771" i="1"/>
  <c r="AK3771" i="1"/>
  <c r="AM3771" i="1"/>
  <c r="BF3771" i="1"/>
  <c r="BG3771" i="1"/>
  <c r="T3772" i="1"/>
  <c r="U3772" i="1"/>
  <c r="V3772" i="1"/>
  <c r="W3772" i="1"/>
  <c r="AB3772" i="1"/>
  <c r="AF3772" i="1"/>
  <c r="K3773" i="1"/>
  <c r="AC3773" i="1"/>
  <c r="AJ3772" i="1"/>
  <c r="AK3772" i="1"/>
  <c r="AM3772" i="1"/>
  <c r="BF3772" i="1"/>
  <c r="BG3772" i="1"/>
  <c r="T3773" i="1"/>
  <c r="U3773" i="1"/>
  <c r="V3773" i="1"/>
  <c r="W3773" i="1"/>
  <c r="AB3773" i="1"/>
  <c r="AF3773" i="1"/>
  <c r="AC3774" i="1"/>
  <c r="AJ3773" i="1"/>
  <c r="AK3773" i="1"/>
  <c r="AM3773" i="1"/>
  <c r="BF3773" i="1"/>
  <c r="BG3773" i="1"/>
  <c r="T3774" i="1"/>
  <c r="U3774" i="1"/>
  <c r="V3774" i="1"/>
  <c r="W3774" i="1"/>
  <c r="AB3774" i="1"/>
  <c r="AF3774" i="1"/>
  <c r="AC3775" i="1"/>
  <c r="AJ3774" i="1"/>
  <c r="AK3774" i="1"/>
  <c r="AM3774" i="1"/>
  <c r="BF3774" i="1"/>
  <c r="BG3774" i="1"/>
  <c r="T3775" i="1"/>
  <c r="U3775" i="1"/>
  <c r="V3775" i="1"/>
  <c r="W3775" i="1"/>
  <c r="AB3775" i="1"/>
  <c r="AF3775" i="1"/>
  <c r="K3776" i="1"/>
  <c r="AC3776" i="1"/>
  <c r="AJ3775" i="1"/>
  <c r="AK3775" i="1"/>
  <c r="AM3775" i="1"/>
  <c r="BF3775" i="1"/>
  <c r="BG3775" i="1"/>
  <c r="T3776" i="1"/>
  <c r="U3776" i="1"/>
  <c r="V3776" i="1"/>
  <c r="W3776" i="1"/>
  <c r="AB3776" i="1"/>
  <c r="AF3776" i="1"/>
  <c r="AC3777" i="1"/>
  <c r="AJ3776" i="1"/>
  <c r="AK3776" i="1"/>
  <c r="AM3776" i="1"/>
  <c r="BF3776" i="1"/>
  <c r="BG3776" i="1"/>
  <c r="T3777" i="1"/>
  <c r="U3777" i="1"/>
  <c r="V3777" i="1"/>
  <c r="W3777" i="1"/>
  <c r="AB3777" i="1"/>
  <c r="AF3777" i="1"/>
  <c r="AC3778" i="1"/>
  <c r="AJ3777" i="1"/>
  <c r="AK3777" i="1"/>
  <c r="AM3777" i="1"/>
  <c r="BF3777" i="1"/>
  <c r="BG3777" i="1"/>
  <c r="T3778" i="1"/>
  <c r="U3778" i="1"/>
  <c r="V3778" i="1"/>
  <c r="W3778" i="1"/>
  <c r="AB3778" i="1"/>
  <c r="AF3778" i="1"/>
  <c r="K3779" i="1"/>
  <c r="AC3779" i="1"/>
  <c r="AJ3778" i="1"/>
  <c r="AK3778" i="1"/>
  <c r="AM3778" i="1"/>
  <c r="BF3778" i="1"/>
  <c r="BG3778" i="1"/>
  <c r="T3779" i="1"/>
  <c r="U3779" i="1"/>
  <c r="V3779" i="1"/>
  <c r="W3779" i="1"/>
  <c r="AB3779" i="1"/>
  <c r="AF3779" i="1"/>
  <c r="K3780" i="1"/>
  <c r="AC3780" i="1"/>
  <c r="AJ3779" i="1"/>
  <c r="AK3779" i="1"/>
  <c r="AM3779" i="1"/>
  <c r="BF3779" i="1"/>
  <c r="BG3779" i="1"/>
  <c r="T3780" i="1"/>
  <c r="U3780" i="1"/>
  <c r="V3780" i="1"/>
  <c r="W3780" i="1"/>
  <c r="AB3780" i="1"/>
  <c r="AF3780" i="1"/>
  <c r="AC3781" i="1"/>
  <c r="AJ3780" i="1"/>
  <c r="AK3780" i="1"/>
  <c r="AM3780" i="1"/>
  <c r="BF3780" i="1"/>
  <c r="BG3780" i="1"/>
  <c r="T3781" i="1"/>
  <c r="U3781" i="1"/>
  <c r="V3781" i="1"/>
  <c r="W3781" i="1"/>
  <c r="AB3781" i="1"/>
  <c r="AF3781" i="1"/>
  <c r="AC3782" i="1"/>
  <c r="AJ3781" i="1"/>
  <c r="AK3781" i="1"/>
  <c r="AM3781" i="1"/>
  <c r="BF3781" i="1"/>
  <c r="BG3781" i="1"/>
  <c r="T3782" i="1"/>
  <c r="U3782" i="1"/>
  <c r="V3782" i="1"/>
  <c r="W3782" i="1"/>
  <c r="AB3782" i="1"/>
  <c r="AF3782" i="1"/>
  <c r="K3783" i="1"/>
  <c r="AC3783" i="1"/>
  <c r="AJ3782" i="1"/>
  <c r="AK3782" i="1"/>
  <c r="AM3782" i="1"/>
  <c r="BF3782" i="1"/>
  <c r="BG3782" i="1"/>
  <c r="T3783" i="1"/>
  <c r="U3783" i="1"/>
  <c r="V3783" i="1"/>
  <c r="W3783" i="1"/>
  <c r="AB3783" i="1"/>
  <c r="AF3783" i="1"/>
  <c r="K3784" i="1"/>
  <c r="AC3784" i="1"/>
  <c r="AJ3783" i="1"/>
  <c r="AK3783" i="1"/>
  <c r="AM3783" i="1"/>
  <c r="BF3783" i="1"/>
  <c r="BG3783" i="1"/>
  <c r="T3784" i="1"/>
  <c r="U3784" i="1"/>
  <c r="V3784" i="1"/>
  <c r="W3784" i="1"/>
  <c r="AB3784" i="1"/>
  <c r="AF3784" i="1"/>
  <c r="K3785" i="1"/>
  <c r="AC3785" i="1"/>
  <c r="AJ3784" i="1"/>
  <c r="AK3784" i="1"/>
  <c r="AM3784" i="1"/>
  <c r="BF3784" i="1"/>
  <c r="BG3784" i="1"/>
  <c r="T3785" i="1"/>
  <c r="U3785" i="1"/>
  <c r="V3785" i="1"/>
  <c r="W3785" i="1"/>
  <c r="AB3785" i="1"/>
  <c r="AF3785" i="1"/>
  <c r="K3786" i="1"/>
  <c r="AC3786" i="1"/>
  <c r="AJ3785" i="1"/>
  <c r="AK3785" i="1"/>
  <c r="AM3785" i="1"/>
  <c r="BF3785" i="1"/>
  <c r="BG3785" i="1"/>
  <c r="T3786" i="1"/>
  <c r="U3786" i="1"/>
  <c r="V3786" i="1"/>
  <c r="W3786" i="1"/>
  <c r="AB3786" i="1"/>
  <c r="AF3786" i="1"/>
  <c r="K3787" i="1"/>
  <c r="AC3787" i="1"/>
  <c r="AJ3786" i="1"/>
  <c r="AK3786" i="1"/>
  <c r="AM3786" i="1"/>
  <c r="BF3786" i="1"/>
  <c r="BG3786" i="1"/>
  <c r="T3787" i="1"/>
  <c r="U3787" i="1"/>
  <c r="V3787" i="1"/>
  <c r="W3787" i="1"/>
  <c r="AB3787" i="1"/>
  <c r="AF3787" i="1"/>
  <c r="AC3788" i="1"/>
  <c r="AJ3787" i="1"/>
  <c r="AK3787" i="1"/>
  <c r="AM3787" i="1"/>
  <c r="BF3787" i="1"/>
  <c r="BG3787" i="1"/>
  <c r="T3788" i="1"/>
  <c r="U3788" i="1"/>
  <c r="V3788" i="1"/>
  <c r="W3788" i="1"/>
  <c r="AB3788" i="1"/>
  <c r="AF3788" i="1"/>
  <c r="AC3789" i="1"/>
  <c r="AJ3788" i="1"/>
  <c r="AK3788" i="1"/>
  <c r="AM3788" i="1"/>
  <c r="BF3788" i="1"/>
  <c r="BG3788" i="1"/>
  <c r="T3789" i="1"/>
  <c r="U3789" i="1"/>
  <c r="V3789" i="1"/>
  <c r="W3789" i="1"/>
  <c r="AB3789" i="1"/>
  <c r="AF3789" i="1"/>
  <c r="K3790" i="1"/>
  <c r="AC3790" i="1"/>
  <c r="AJ3789" i="1"/>
  <c r="AK3789" i="1"/>
  <c r="AM3789" i="1"/>
  <c r="BF3789" i="1"/>
  <c r="BG3789" i="1"/>
  <c r="T3790" i="1"/>
  <c r="U3790" i="1"/>
  <c r="V3790" i="1"/>
  <c r="W3790" i="1"/>
  <c r="AB3790" i="1"/>
  <c r="AF3790" i="1"/>
  <c r="K3791" i="1"/>
  <c r="AC3791" i="1"/>
  <c r="AJ3790" i="1"/>
  <c r="AK3790" i="1"/>
  <c r="AM3790" i="1"/>
  <c r="BF3790" i="1"/>
  <c r="BG3790" i="1"/>
  <c r="T3791" i="1"/>
  <c r="U3791" i="1"/>
  <c r="V3791" i="1"/>
  <c r="W3791" i="1"/>
  <c r="AB3791" i="1"/>
  <c r="AF3791" i="1"/>
  <c r="K3792" i="1"/>
  <c r="AC3792" i="1"/>
  <c r="AJ3791" i="1"/>
  <c r="AK3791" i="1"/>
  <c r="AM3791" i="1"/>
  <c r="BF3791" i="1"/>
  <c r="BG3791" i="1"/>
  <c r="T3792" i="1"/>
  <c r="U3792" i="1"/>
  <c r="V3792" i="1"/>
  <c r="W3792" i="1"/>
  <c r="AB3792" i="1"/>
  <c r="AF3792" i="1"/>
  <c r="K3793" i="1"/>
  <c r="AC3793" i="1"/>
  <c r="AJ3792" i="1"/>
  <c r="AK3792" i="1"/>
  <c r="AM3792" i="1"/>
  <c r="BF3792" i="1"/>
  <c r="BG3792" i="1"/>
  <c r="T3793" i="1"/>
  <c r="U3793" i="1"/>
  <c r="V3793" i="1"/>
  <c r="W3793" i="1"/>
  <c r="AB3793" i="1"/>
  <c r="AF3793" i="1"/>
  <c r="K3794" i="1"/>
  <c r="AC3794" i="1"/>
  <c r="AJ3793" i="1"/>
  <c r="AK3793" i="1"/>
  <c r="AM3793" i="1"/>
  <c r="BF3793" i="1"/>
  <c r="BG3793" i="1"/>
  <c r="T3794" i="1"/>
  <c r="U3794" i="1"/>
  <c r="V3794" i="1"/>
  <c r="W3794" i="1"/>
  <c r="AB3794" i="1"/>
  <c r="AF3794" i="1"/>
  <c r="AC3795" i="1"/>
  <c r="AJ3794" i="1"/>
  <c r="AK3794" i="1"/>
  <c r="AM3794" i="1"/>
  <c r="BF3794" i="1"/>
  <c r="BG3794" i="1"/>
  <c r="T3795" i="1"/>
  <c r="U3795" i="1"/>
  <c r="V3795" i="1"/>
  <c r="W3795" i="1"/>
  <c r="AB3795" i="1"/>
  <c r="AF3795" i="1"/>
  <c r="AC3796" i="1"/>
  <c r="AJ3795" i="1"/>
  <c r="AK3795" i="1"/>
  <c r="AM3795" i="1"/>
  <c r="BF3795" i="1"/>
  <c r="BG3795" i="1"/>
  <c r="T3796" i="1"/>
  <c r="U3796" i="1"/>
  <c r="V3796" i="1"/>
  <c r="W3796" i="1"/>
  <c r="AB3796" i="1"/>
  <c r="AF3796" i="1"/>
  <c r="K3797" i="1"/>
  <c r="AC3797" i="1"/>
  <c r="AJ3796" i="1"/>
  <c r="AK3796" i="1"/>
  <c r="AM3796" i="1"/>
  <c r="BF3796" i="1"/>
  <c r="BG3796" i="1"/>
  <c r="T3797" i="1"/>
  <c r="U3797" i="1"/>
  <c r="V3797" i="1"/>
  <c r="W3797" i="1"/>
  <c r="AB3797" i="1"/>
  <c r="AF3797" i="1"/>
  <c r="K3798" i="1"/>
  <c r="AC3798" i="1"/>
  <c r="AJ3797" i="1"/>
  <c r="AK3797" i="1"/>
  <c r="AM3797" i="1"/>
  <c r="BF3797" i="1"/>
  <c r="BG3797" i="1"/>
  <c r="T3798" i="1"/>
  <c r="U3798" i="1"/>
  <c r="V3798" i="1"/>
  <c r="W3798" i="1"/>
  <c r="AB3798" i="1"/>
  <c r="AF3798" i="1"/>
  <c r="K3799" i="1"/>
  <c r="AC3799" i="1"/>
  <c r="AJ3798" i="1"/>
  <c r="AK3798" i="1"/>
  <c r="AM3798" i="1"/>
  <c r="BF3798" i="1"/>
  <c r="BG3798" i="1"/>
  <c r="T3799" i="1"/>
  <c r="U3799" i="1"/>
  <c r="V3799" i="1"/>
  <c r="W3799" i="1"/>
  <c r="AB3799" i="1"/>
  <c r="AF3799" i="1"/>
  <c r="AC3800" i="1"/>
  <c r="AJ3799" i="1"/>
  <c r="AK3799" i="1"/>
  <c r="AM3799" i="1"/>
  <c r="BF3799" i="1"/>
  <c r="BG3799" i="1"/>
  <c r="T3800" i="1"/>
  <c r="U3800" i="1"/>
  <c r="V3800" i="1"/>
  <c r="W3800" i="1"/>
  <c r="AB3800" i="1"/>
  <c r="AF3800" i="1"/>
  <c r="AC3801" i="1"/>
  <c r="AJ3800" i="1"/>
  <c r="AK3800" i="1"/>
  <c r="AM3800" i="1"/>
  <c r="BF3800" i="1"/>
  <c r="BG3800" i="1"/>
  <c r="T3801" i="1"/>
  <c r="U3801" i="1"/>
  <c r="V3801" i="1"/>
  <c r="W3801" i="1"/>
  <c r="AB3801" i="1"/>
  <c r="AF3801" i="1"/>
  <c r="K3802" i="1"/>
  <c r="AC3802" i="1"/>
  <c r="AJ3801" i="1"/>
  <c r="AK3801" i="1"/>
  <c r="AM3801" i="1"/>
  <c r="BF3801" i="1"/>
  <c r="BG3801" i="1"/>
  <c r="T3802" i="1"/>
  <c r="U3802" i="1"/>
  <c r="V3802" i="1"/>
  <c r="W3802" i="1"/>
  <c r="AB3802" i="1"/>
  <c r="AF3802" i="1"/>
  <c r="AC3803" i="1"/>
  <c r="AJ3802" i="1"/>
  <c r="AK3802" i="1"/>
  <c r="AM3802" i="1"/>
  <c r="BF3802" i="1"/>
  <c r="BG3802" i="1"/>
  <c r="T3803" i="1"/>
  <c r="U3803" i="1"/>
  <c r="V3803" i="1"/>
  <c r="W3803" i="1"/>
  <c r="AB3803" i="1"/>
  <c r="AF3803" i="1"/>
  <c r="AC3804" i="1"/>
  <c r="AJ3803" i="1"/>
  <c r="AK3803" i="1"/>
  <c r="AM3803" i="1"/>
  <c r="BF3803" i="1"/>
  <c r="BG3803" i="1"/>
  <c r="T3804" i="1"/>
  <c r="U3804" i="1"/>
  <c r="V3804" i="1"/>
  <c r="W3804" i="1"/>
  <c r="AB3804" i="1"/>
  <c r="AF3804" i="1"/>
  <c r="K3805" i="1"/>
  <c r="AC3805" i="1"/>
  <c r="AJ3804" i="1"/>
  <c r="AK3804" i="1"/>
  <c r="AM3804" i="1"/>
  <c r="BF3804" i="1"/>
  <c r="BG3804" i="1"/>
  <c r="T3805" i="1"/>
  <c r="U3805" i="1"/>
  <c r="V3805" i="1"/>
  <c r="W3805" i="1"/>
  <c r="AB3805" i="1"/>
  <c r="AF3805" i="1"/>
  <c r="K3806" i="1"/>
  <c r="AC3806" i="1"/>
  <c r="AJ3805" i="1"/>
  <c r="AK3805" i="1"/>
  <c r="AM3805" i="1"/>
  <c r="BF3805" i="1"/>
  <c r="BG3805" i="1"/>
  <c r="T3806" i="1"/>
  <c r="U3806" i="1"/>
  <c r="V3806" i="1"/>
  <c r="W3806" i="1"/>
  <c r="AB3806" i="1"/>
  <c r="AF3806" i="1"/>
  <c r="AC3807" i="1"/>
  <c r="AJ3806" i="1"/>
  <c r="AK3806" i="1"/>
  <c r="AM3806" i="1"/>
  <c r="BF3806" i="1"/>
  <c r="BG3806" i="1"/>
  <c r="T3807" i="1"/>
  <c r="U3807" i="1"/>
  <c r="V3807" i="1"/>
  <c r="W3807" i="1"/>
  <c r="AB3807" i="1"/>
  <c r="AF3807" i="1"/>
  <c r="AC3808" i="1"/>
  <c r="AJ3807" i="1"/>
  <c r="AK3807" i="1"/>
  <c r="AM3807" i="1"/>
  <c r="BF3807" i="1"/>
  <c r="BG3807" i="1"/>
  <c r="T3808" i="1"/>
  <c r="U3808" i="1"/>
  <c r="V3808" i="1"/>
  <c r="W3808" i="1"/>
  <c r="AB3808" i="1"/>
  <c r="AF3808" i="1"/>
  <c r="K3809" i="1"/>
  <c r="AC3809" i="1"/>
  <c r="AJ3808" i="1"/>
  <c r="AK3808" i="1"/>
  <c r="AM3808" i="1"/>
  <c r="BF3808" i="1"/>
  <c r="BG3808" i="1"/>
  <c r="T3809" i="1"/>
  <c r="U3809" i="1"/>
  <c r="V3809" i="1"/>
  <c r="W3809" i="1"/>
  <c r="AB3809" i="1"/>
  <c r="AF3809" i="1"/>
  <c r="AC3810" i="1"/>
  <c r="AJ3809" i="1"/>
  <c r="AK3809" i="1"/>
  <c r="AM3809" i="1"/>
  <c r="BF3809" i="1"/>
  <c r="BG3809" i="1"/>
  <c r="T3810" i="1"/>
  <c r="U3810" i="1"/>
  <c r="V3810" i="1"/>
  <c r="W3810" i="1"/>
  <c r="AB3810" i="1"/>
  <c r="AF3810" i="1"/>
  <c r="AC3811" i="1"/>
  <c r="AJ3810" i="1"/>
  <c r="AK3810" i="1"/>
  <c r="AM3810" i="1"/>
  <c r="BF3810" i="1"/>
  <c r="BG3810" i="1"/>
  <c r="T3811" i="1"/>
  <c r="U3811" i="1"/>
  <c r="V3811" i="1"/>
  <c r="W3811" i="1"/>
  <c r="AB3811" i="1"/>
  <c r="AF3811" i="1"/>
  <c r="K3812" i="1"/>
  <c r="AC3812" i="1"/>
  <c r="AJ3811" i="1"/>
  <c r="AK3811" i="1"/>
  <c r="AM3811" i="1"/>
  <c r="BF3811" i="1"/>
  <c r="BG3811" i="1"/>
  <c r="T3812" i="1"/>
  <c r="U3812" i="1"/>
  <c r="V3812" i="1"/>
  <c r="W3812" i="1"/>
  <c r="AB3812" i="1"/>
  <c r="AF3812" i="1"/>
  <c r="AC3813" i="1"/>
  <c r="AJ3812" i="1"/>
  <c r="AK3812" i="1"/>
  <c r="AM3812" i="1"/>
  <c r="BF3812" i="1"/>
  <c r="BG3812" i="1"/>
  <c r="T3813" i="1"/>
  <c r="U3813" i="1"/>
  <c r="V3813" i="1"/>
  <c r="W3813" i="1"/>
  <c r="AB3813" i="1"/>
  <c r="AF3813" i="1"/>
  <c r="AC3814" i="1"/>
  <c r="AJ3813" i="1"/>
  <c r="AK3813" i="1"/>
  <c r="AM3813" i="1"/>
  <c r="BF3813" i="1"/>
  <c r="BG3813" i="1"/>
  <c r="T3814" i="1"/>
  <c r="U3814" i="1"/>
  <c r="V3814" i="1"/>
  <c r="W3814" i="1"/>
  <c r="AB3814" i="1"/>
  <c r="AF3814" i="1"/>
  <c r="K3815" i="1"/>
  <c r="AC3815" i="1"/>
  <c r="AJ3814" i="1"/>
  <c r="AK3814" i="1"/>
  <c r="AM3814" i="1"/>
  <c r="BF3814" i="1"/>
  <c r="BG3814" i="1"/>
  <c r="T3815" i="1"/>
  <c r="U3815" i="1"/>
  <c r="V3815" i="1"/>
  <c r="W3815" i="1"/>
  <c r="AB3815" i="1"/>
  <c r="AF3815" i="1"/>
  <c r="AC3816" i="1"/>
  <c r="AJ3815" i="1"/>
  <c r="AK3815" i="1"/>
  <c r="AM3815" i="1"/>
  <c r="BF3815" i="1"/>
  <c r="BG3815" i="1"/>
  <c r="T3816" i="1"/>
  <c r="U3816" i="1"/>
  <c r="V3816" i="1"/>
  <c r="W3816" i="1"/>
  <c r="AB3816" i="1"/>
  <c r="AF3816" i="1"/>
  <c r="AC3817" i="1"/>
  <c r="AJ3816" i="1"/>
  <c r="AK3816" i="1"/>
  <c r="AM3816" i="1"/>
  <c r="BF3816" i="1"/>
  <c r="BG3816" i="1"/>
  <c r="T3817" i="1"/>
  <c r="U3817" i="1"/>
  <c r="V3817" i="1"/>
  <c r="W3817" i="1"/>
  <c r="AB3817" i="1"/>
  <c r="AF3817" i="1"/>
  <c r="K3818" i="1"/>
  <c r="AC3818" i="1"/>
  <c r="AJ3817" i="1"/>
  <c r="AK3817" i="1"/>
  <c r="AM3817" i="1"/>
  <c r="BF3817" i="1"/>
  <c r="BG3817" i="1"/>
  <c r="T3818" i="1"/>
  <c r="U3818" i="1"/>
  <c r="V3818" i="1"/>
  <c r="W3818" i="1"/>
  <c r="AB3818" i="1"/>
  <c r="AF3818" i="1"/>
  <c r="AC3819" i="1"/>
  <c r="AJ3818" i="1"/>
  <c r="AK3818" i="1"/>
  <c r="AM3818" i="1"/>
  <c r="BF3818" i="1"/>
  <c r="BG3818" i="1"/>
  <c r="T3819" i="1"/>
  <c r="U3819" i="1"/>
  <c r="V3819" i="1"/>
  <c r="W3819" i="1"/>
  <c r="AB3819" i="1"/>
  <c r="AF3819" i="1"/>
  <c r="AC3820" i="1"/>
  <c r="AJ3819" i="1"/>
  <c r="AK3819" i="1"/>
  <c r="AM3819" i="1"/>
  <c r="BF3819" i="1"/>
  <c r="BG3819" i="1"/>
  <c r="T3820" i="1"/>
  <c r="U3820" i="1"/>
  <c r="V3820" i="1"/>
  <c r="W3820" i="1"/>
  <c r="AB3820" i="1"/>
  <c r="AF3820" i="1"/>
  <c r="K3821" i="1"/>
  <c r="AC3821" i="1"/>
  <c r="AJ3820" i="1"/>
  <c r="AK3820" i="1"/>
  <c r="AM3820" i="1"/>
  <c r="BF3820" i="1"/>
  <c r="BG3820" i="1"/>
  <c r="T3821" i="1"/>
  <c r="U3821" i="1"/>
  <c r="V3821" i="1"/>
  <c r="W3821" i="1"/>
  <c r="AB3821" i="1"/>
  <c r="AF3821" i="1"/>
  <c r="AC3822" i="1"/>
  <c r="AJ3821" i="1"/>
  <c r="AK3821" i="1"/>
  <c r="AM3821" i="1"/>
  <c r="BF3821" i="1"/>
  <c r="BG3821" i="1"/>
  <c r="T3822" i="1"/>
  <c r="U3822" i="1"/>
  <c r="V3822" i="1"/>
  <c r="W3822" i="1"/>
  <c r="AB3822" i="1"/>
  <c r="AF3822" i="1"/>
  <c r="AC3823" i="1"/>
  <c r="AJ3822" i="1"/>
  <c r="AK3822" i="1"/>
  <c r="AM3822" i="1"/>
  <c r="BF3822" i="1"/>
  <c r="BG3822" i="1"/>
  <c r="T3823" i="1"/>
  <c r="U3823" i="1"/>
  <c r="V3823" i="1"/>
  <c r="W3823" i="1"/>
  <c r="AB3823" i="1"/>
  <c r="AF3823" i="1"/>
  <c r="K3824" i="1"/>
  <c r="AC3824" i="1"/>
  <c r="AJ3823" i="1"/>
  <c r="AK3823" i="1"/>
  <c r="AM3823" i="1"/>
  <c r="BF3823" i="1"/>
  <c r="BG3823" i="1"/>
  <c r="T3824" i="1"/>
  <c r="U3824" i="1"/>
  <c r="V3824" i="1"/>
  <c r="W3824" i="1"/>
  <c r="AB3824" i="1"/>
  <c r="AF3824" i="1"/>
  <c r="K3825" i="1"/>
  <c r="AC3825" i="1"/>
  <c r="AJ3824" i="1"/>
  <c r="AK3824" i="1"/>
  <c r="AM3824" i="1"/>
  <c r="BF3824" i="1"/>
  <c r="BG3824" i="1"/>
  <c r="T3825" i="1"/>
  <c r="U3825" i="1"/>
  <c r="V3825" i="1"/>
  <c r="W3825" i="1"/>
  <c r="AB3825" i="1"/>
  <c r="AF3825" i="1"/>
  <c r="AC3826" i="1"/>
  <c r="AJ3825" i="1"/>
  <c r="AK3825" i="1"/>
  <c r="AM3825" i="1"/>
  <c r="BF3825" i="1"/>
  <c r="BG3825" i="1"/>
  <c r="T3826" i="1"/>
  <c r="U3826" i="1"/>
  <c r="V3826" i="1"/>
  <c r="W3826" i="1"/>
  <c r="AB3826" i="1"/>
  <c r="AF3826" i="1"/>
  <c r="AC3827" i="1"/>
  <c r="AJ3826" i="1"/>
  <c r="AK3826" i="1"/>
  <c r="AM3826" i="1"/>
  <c r="BF3826" i="1"/>
  <c r="BG3826" i="1"/>
  <c r="T3827" i="1"/>
  <c r="U3827" i="1"/>
  <c r="V3827" i="1"/>
  <c r="W3827" i="1"/>
  <c r="AB3827" i="1"/>
  <c r="AF3827" i="1"/>
  <c r="K3828" i="1"/>
  <c r="AC3828" i="1"/>
  <c r="AJ3827" i="1"/>
  <c r="AK3827" i="1"/>
  <c r="AM3827" i="1"/>
  <c r="BF3827" i="1"/>
  <c r="BG3827" i="1"/>
  <c r="T3828" i="1"/>
  <c r="U3828" i="1"/>
  <c r="V3828" i="1"/>
  <c r="W3828" i="1"/>
  <c r="AB3828" i="1"/>
  <c r="AF3828" i="1"/>
  <c r="AC3829" i="1"/>
  <c r="AJ3828" i="1"/>
  <c r="AK3828" i="1"/>
  <c r="AM3828" i="1"/>
  <c r="BF3828" i="1"/>
  <c r="BG3828" i="1"/>
  <c r="T3829" i="1"/>
  <c r="U3829" i="1"/>
  <c r="V3829" i="1"/>
  <c r="W3829" i="1"/>
  <c r="AB3829" i="1"/>
  <c r="AF3829" i="1"/>
  <c r="AC3830" i="1"/>
  <c r="AJ3829" i="1"/>
  <c r="AK3829" i="1"/>
  <c r="AM3829" i="1"/>
  <c r="BF3829" i="1"/>
  <c r="BG3829" i="1"/>
  <c r="T3830" i="1"/>
  <c r="U3830" i="1"/>
  <c r="V3830" i="1"/>
  <c r="W3830" i="1"/>
  <c r="AB3830" i="1"/>
  <c r="AF3830" i="1"/>
  <c r="K3831" i="1"/>
  <c r="AC3831" i="1"/>
  <c r="AJ3830" i="1"/>
  <c r="AK3830" i="1"/>
  <c r="AM3830" i="1"/>
  <c r="BF3830" i="1"/>
  <c r="BG3830" i="1"/>
  <c r="T3831" i="1"/>
  <c r="U3831" i="1"/>
  <c r="V3831" i="1"/>
  <c r="W3831" i="1"/>
  <c r="AB3831" i="1"/>
  <c r="AF3831" i="1"/>
  <c r="K3832" i="1"/>
  <c r="AC3832" i="1"/>
  <c r="AJ3831" i="1"/>
  <c r="AK3831" i="1"/>
  <c r="AM3831" i="1"/>
  <c r="BF3831" i="1"/>
  <c r="BG3831" i="1"/>
  <c r="T3832" i="1"/>
  <c r="U3832" i="1"/>
  <c r="V3832" i="1"/>
  <c r="W3832" i="1"/>
  <c r="AB3832" i="1"/>
  <c r="AF3832" i="1"/>
  <c r="K3833" i="1"/>
  <c r="AC3833" i="1"/>
  <c r="AJ3832" i="1"/>
  <c r="AK3832" i="1"/>
  <c r="AM3832" i="1"/>
  <c r="BF3832" i="1"/>
  <c r="BG3832" i="1"/>
  <c r="T3833" i="1"/>
  <c r="U3833" i="1"/>
  <c r="V3833" i="1"/>
  <c r="W3833" i="1"/>
  <c r="AB3833" i="1"/>
  <c r="AF3833" i="1"/>
  <c r="AC3834" i="1"/>
  <c r="AJ3833" i="1"/>
  <c r="AK3833" i="1"/>
  <c r="AM3833" i="1"/>
  <c r="BF3833" i="1"/>
  <c r="BG3833" i="1"/>
  <c r="T3834" i="1"/>
  <c r="U3834" i="1"/>
  <c r="V3834" i="1"/>
  <c r="W3834" i="1"/>
  <c r="AB3834" i="1"/>
  <c r="AF3834" i="1"/>
  <c r="AC3835" i="1"/>
  <c r="AJ3834" i="1"/>
  <c r="AK3834" i="1"/>
  <c r="AM3834" i="1"/>
  <c r="BF3834" i="1"/>
  <c r="BG3834" i="1"/>
  <c r="T3835" i="1"/>
  <c r="U3835" i="1"/>
  <c r="V3835" i="1"/>
  <c r="W3835" i="1"/>
  <c r="AB3835" i="1"/>
  <c r="AF3835" i="1"/>
  <c r="K3836" i="1"/>
  <c r="AC3836" i="1"/>
  <c r="AJ3835" i="1"/>
  <c r="AK3835" i="1"/>
  <c r="AM3835" i="1"/>
  <c r="BF3835" i="1"/>
  <c r="BG3835" i="1"/>
  <c r="T3836" i="1"/>
  <c r="U3836" i="1"/>
  <c r="V3836" i="1"/>
  <c r="W3836" i="1"/>
  <c r="AB3836" i="1"/>
  <c r="AF3836" i="1"/>
  <c r="K3837" i="1"/>
  <c r="AC3837" i="1"/>
  <c r="AJ3836" i="1"/>
  <c r="AK3836" i="1"/>
  <c r="AM3836" i="1"/>
  <c r="BF3836" i="1"/>
  <c r="BG3836" i="1"/>
  <c r="T3837" i="1"/>
  <c r="U3837" i="1"/>
  <c r="V3837" i="1"/>
  <c r="W3837" i="1"/>
  <c r="AB3837" i="1"/>
  <c r="AF3837" i="1"/>
  <c r="AC3838" i="1"/>
  <c r="AJ3837" i="1"/>
  <c r="AK3837" i="1"/>
  <c r="AM3837" i="1"/>
  <c r="BF3837" i="1"/>
  <c r="BG3837" i="1"/>
  <c r="T3838" i="1"/>
  <c r="U3838" i="1"/>
  <c r="V3838" i="1"/>
  <c r="W3838" i="1"/>
  <c r="AB3838" i="1"/>
  <c r="AF3838" i="1"/>
  <c r="AC3839" i="1"/>
  <c r="AJ3838" i="1"/>
  <c r="AK3838" i="1"/>
  <c r="AM3838" i="1"/>
  <c r="BF3838" i="1"/>
  <c r="BG3838" i="1"/>
  <c r="T3839" i="1"/>
  <c r="U3839" i="1"/>
  <c r="V3839" i="1"/>
  <c r="W3839" i="1"/>
  <c r="AB3839" i="1"/>
  <c r="AF3839" i="1"/>
  <c r="K3840" i="1"/>
  <c r="AC3840" i="1"/>
  <c r="AJ3839" i="1"/>
  <c r="AK3839" i="1"/>
  <c r="AM3839" i="1"/>
  <c r="BF3839" i="1"/>
  <c r="BG3839" i="1"/>
  <c r="T3840" i="1"/>
  <c r="U3840" i="1"/>
  <c r="V3840" i="1"/>
  <c r="W3840" i="1"/>
  <c r="AB3840" i="1"/>
  <c r="AF3840" i="1"/>
  <c r="AC3841" i="1"/>
  <c r="AJ3840" i="1"/>
  <c r="AK3840" i="1"/>
  <c r="AM3840" i="1"/>
  <c r="BF3840" i="1"/>
  <c r="BG3840" i="1"/>
  <c r="T3841" i="1"/>
  <c r="U3841" i="1"/>
  <c r="V3841" i="1"/>
  <c r="W3841" i="1"/>
  <c r="AB3841" i="1"/>
  <c r="AF3841" i="1"/>
  <c r="AC3842" i="1"/>
  <c r="AJ3841" i="1"/>
  <c r="AK3841" i="1"/>
  <c r="AM3841" i="1"/>
  <c r="BF3841" i="1"/>
  <c r="BG3841" i="1"/>
  <c r="T3842" i="1"/>
  <c r="U3842" i="1"/>
  <c r="V3842" i="1"/>
  <c r="W3842" i="1"/>
  <c r="AB3842" i="1"/>
  <c r="AF3842" i="1"/>
  <c r="K3843" i="1"/>
  <c r="AC3843" i="1"/>
  <c r="AJ3842" i="1"/>
  <c r="AK3842" i="1"/>
  <c r="AM3842" i="1"/>
  <c r="BF3842" i="1"/>
  <c r="BG3842" i="1"/>
  <c r="T3843" i="1"/>
  <c r="U3843" i="1"/>
  <c r="V3843" i="1"/>
  <c r="W3843" i="1"/>
  <c r="AB3843" i="1"/>
  <c r="AF3843" i="1"/>
  <c r="K3844" i="1"/>
  <c r="AC3844" i="1"/>
  <c r="AJ3843" i="1"/>
  <c r="AK3843" i="1"/>
  <c r="AM3843" i="1"/>
  <c r="BF3843" i="1"/>
  <c r="BG3843" i="1"/>
  <c r="T3844" i="1"/>
  <c r="U3844" i="1"/>
  <c r="V3844" i="1"/>
  <c r="W3844" i="1"/>
  <c r="AB3844" i="1"/>
  <c r="AF3844" i="1"/>
  <c r="AC3845" i="1"/>
  <c r="AJ3844" i="1"/>
  <c r="AK3844" i="1"/>
  <c r="AM3844" i="1"/>
  <c r="BF3844" i="1"/>
  <c r="BG3844" i="1"/>
  <c r="T3845" i="1"/>
  <c r="U3845" i="1"/>
  <c r="V3845" i="1"/>
  <c r="W3845" i="1"/>
  <c r="AB3845" i="1"/>
  <c r="AF3845" i="1"/>
  <c r="AC3846" i="1"/>
  <c r="AJ3845" i="1"/>
  <c r="AK3845" i="1"/>
  <c r="AM3845" i="1"/>
  <c r="BF3845" i="1"/>
  <c r="BG3845" i="1"/>
  <c r="T3846" i="1"/>
  <c r="U3846" i="1"/>
  <c r="V3846" i="1"/>
  <c r="W3846" i="1"/>
  <c r="AB3846" i="1"/>
  <c r="AF3846" i="1"/>
  <c r="K3847" i="1"/>
  <c r="AC3847" i="1"/>
  <c r="AJ3846" i="1"/>
  <c r="AK3846" i="1"/>
  <c r="AM3846" i="1"/>
  <c r="BF3846" i="1"/>
  <c r="BG3846" i="1"/>
  <c r="T3847" i="1"/>
  <c r="U3847" i="1"/>
  <c r="V3847" i="1"/>
  <c r="W3847" i="1"/>
  <c r="AB3847" i="1"/>
  <c r="AF3847" i="1"/>
  <c r="K3848" i="1"/>
  <c r="AC3848" i="1"/>
  <c r="AJ3847" i="1"/>
  <c r="AK3847" i="1"/>
  <c r="AM3847" i="1"/>
  <c r="BF3847" i="1"/>
  <c r="BG3847" i="1"/>
  <c r="T3848" i="1"/>
  <c r="U3848" i="1"/>
  <c r="V3848" i="1"/>
  <c r="W3848" i="1"/>
  <c r="AB3848" i="1"/>
  <c r="AF3848" i="1"/>
  <c r="K3849" i="1"/>
  <c r="AC3849" i="1"/>
  <c r="AJ3848" i="1"/>
  <c r="AK3848" i="1"/>
  <c r="AM3848" i="1"/>
  <c r="BF3848" i="1"/>
  <c r="BG3848" i="1"/>
  <c r="T3849" i="1"/>
  <c r="U3849" i="1"/>
  <c r="V3849" i="1"/>
  <c r="W3849" i="1"/>
  <c r="AB3849" i="1"/>
  <c r="AF3849" i="1"/>
  <c r="AC3850" i="1"/>
  <c r="AJ3849" i="1"/>
  <c r="AK3849" i="1"/>
  <c r="AM3849" i="1"/>
  <c r="BF3849" i="1"/>
  <c r="BG3849" i="1"/>
  <c r="T3850" i="1"/>
  <c r="U3850" i="1"/>
  <c r="V3850" i="1"/>
  <c r="W3850" i="1"/>
  <c r="AB3850" i="1"/>
  <c r="AF3850" i="1"/>
  <c r="AC3851" i="1"/>
  <c r="AJ3850" i="1"/>
  <c r="AK3850" i="1"/>
  <c r="AM3850" i="1"/>
  <c r="BF3850" i="1"/>
  <c r="BG3850" i="1"/>
  <c r="T3851" i="1"/>
  <c r="U3851" i="1"/>
  <c r="V3851" i="1"/>
  <c r="W3851" i="1"/>
  <c r="AB3851" i="1"/>
  <c r="AF3851" i="1"/>
  <c r="AC3852" i="1"/>
  <c r="AJ3851" i="1"/>
  <c r="AK3851" i="1"/>
  <c r="AM3851" i="1"/>
  <c r="BF3851" i="1"/>
  <c r="BG3851" i="1"/>
  <c r="T3852" i="1"/>
  <c r="U3852" i="1"/>
  <c r="V3852" i="1"/>
  <c r="W3852" i="1"/>
  <c r="AB3852" i="1"/>
  <c r="AF3852" i="1"/>
  <c r="K3853" i="1"/>
  <c r="AC3853" i="1"/>
  <c r="AJ3852" i="1"/>
  <c r="AK3852" i="1"/>
  <c r="AM3852" i="1"/>
  <c r="BF3852" i="1"/>
  <c r="BG3852" i="1"/>
  <c r="T3853" i="1"/>
  <c r="U3853" i="1"/>
  <c r="V3853" i="1"/>
  <c r="W3853" i="1"/>
  <c r="AB3853" i="1"/>
  <c r="AF3853" i="1"/>
  <c r="K3854" i="1"/>
  <c r="AC3854" i="1"/>
  <c r="AJ3853" i="1"/>
  <c r="AK3853" i="1"/>
  <c r="AM3853" i="1"/>
  <c r="BF3853" i="1"/>
  <c r="BG3853" i="1"/>
  <c r="T3854" i="1"/>
  <c r="U3854" i="1"/>
  <c r="V3854" i="1"/>
  <c r="W3854" i="1"/>
  <c r="AB3854" i="1"/>
  <c r="AF3854" i="1"/>
  <c r="K3855" i="1"/>
  <c r="AC3855" i="1"/>
  <c r="AJ3854" i="1"/>
  <c r="AK3854" i="1"/>
  <c r="AM3854" i="1"/>
  <c r="BF3854" i="1"/>
  <c r="BG3854" i="1"/>
  <c r="T3855" i="1"/>
  <c r="U3855" i="1"/>
  <c r="V3855" i="1"/>
  <c r="W3855" i="1"/>
  <c r="AB3855" i="1"/>
  <c r="AF3855" i="1"/>
  <c r="K3856" i="1"/>
  <c r="AC3856" i="1"/>
  <c r="AJ3855" i="1"/>
  <c r="AK3855" i="1"/>
  <c r="AM3855" i="1"/>
  <c r="BF3855" i="1"/>
  <c r="BG3855" i="1"/>
  <c r="T3856" i="1"/>
  <c r="U3856" i="1"/>
  <c r="V3856" i="1"/>
  <c r="W3856" i="1"/>
  <c r="AB3856" i="1"/>
  <c r="AF3856" i="1"/>
  <c r="AC3857" i="1"/>
  <c r="AJ3856" i="1"/>
  <c r="AK3856" i="1"/>
  <c r="AM3856" i="1"/>
  <c r="BF3856" i="1"/>
  <c r="BG3856" i="1"/>
  <c r="T3857" i="1"/>
  <c r="U3857" i="1"/>
  <c r="V3857" i="1"/>
  <c r="W3857" i="1"/>
  <c r="AB3857" i="1"/>
  <c r="AF3857" i="1"/>
  <c r="AC3858" i="1"/>
  <c r="AJ3857" i="1"/>
  <c r="AK3857" i="1"/>
  <c r="AM3857" i="1"/>
  <c r="BF3857" i="1"/>
  <c r="BG3857" i="1"/>
  <c r="T3858" i="1"/>
  <c r="U3858" i="1"/>
  <c r="V3858" i="1"/>
  <c r="W3858" i="1"/>
  <c r="AB3858" i="1"/>
  <c r="AF3858" i="1"/>
  <c r="K3859" i="1"/>
  <c r="AC3859" i="1"/>
  <c r="AJ3858" i="1"/>
  <c r="AK3858" i="1"/>
  <c r="AM3858" i="1"/>
  <c r="BF3858" i="1"/>
  <c r="BG3858" i="1"/>
  <c r="T3859" i="1"/>
  <c r="U3859" i="1"/>
  <c r="V3859" i="1"/>
  <c r="W3859" i="1"/>
  <c r="AB3859" i="1"/>
  <c r="AF3859" i="1"/>
  <c r="K3860" i="1"/>
  <c r="AC3860" i="1"/>
  <c r="AJ3859" i="1"/>
  <c r="AK3859" i="1"/>
  <c r="AM3859" i="1"/>
  <c r="BF3859" i="1"/>
  <c r="BG3859" i="1"/>
  <c r="T3860" i="1"/>
  <c r="U3860" i="1"/>
  <c r="V3860" i="1"/>
  <c r="W3860" i="1"/>
  <c r="AB3860" i="1"/>
  <c r="AF3860" i="1"/>
  <c r="K3861" i="1"/>
  <c r="AC3861" i="1"/>
  <c r="AJ3860" i="1"/>
  <c r="AK3860" i="1"/>
  <c r="AM3860" i="1"/>
  <c r="BF3860" i="1"/>
  <c r="BG3860" i="1"/>
  <c r="T3861" i="1"/>
  <c r="U3861" i="1"/>
  <c r="V3861" i="1"/>
  <c r="W3861" i="1"/>
  <c r="AB3861" i="1"/>
  <c r="AF3861" i="1"/>
  <c r="AC3862" i="1"/>
  <c r="AJ3861" i="1"/>
  <c r="AK3861" i="1"/>
  <c r="AM3861" i="1"/>
  <c r="BF3861" i="1"/>
  <c r="BG3861" i="1"/>
  <c r="T3862" i="1"/>
  <c r="U3862" i="1"/>
  <c r="V3862" i="1"/>
  <c r="W3862" i="1"/>
  <c r="AB3862" i="1"/>
  <c r="AF3862" i="1"/>
  <c r="AC3863" i="1"/>
  <c r="AJ3862" i="1"/>
  <c r="AK3862" i="1"/>
  <c r="AM3862" i="1"/>
  <c r="BF3862" i="1"/>
  <c r="BG3862" i="1"/>
  <c r="T3863" i="1"/>
  <c r="U3863" i="1"/>
  <c r="V3863" i="1"/>
  <c r="W3863" i="1"/>
  <c r="AB3863" i="1"/>
  <c r="AF3863" i="1"/>
  <c r="K3864" i="1"/>
  <c r="AC3864" i="1"/>
  <c r="AJ3863" i="1"/>
  <c r="AK3863" i="1"/>
  <c r="AM3863" i="1"/>
  <c r="BF3863" i="1"/>
  <c r="BG3863" i="1"/>
  <c r="T3864" i="1"/>
  <c r="U3864" i="1"/>
  <c r="V3864" i="1"/>
  <c r="W3864" i="1"/>
  <c r="AB3864" i="1"/>
  <c r="AF3864" i="1"/>
  <c r="K3865" i="1"/>
  <c r="AC3865" i="1"/>
  <c r="AJ3864" i="1"/>
  <c r="AK3864" i="1"/>
  <c r="AM3864" i="1"/>
  <c r="BF3864" i="1"/>
  <c r="BG3864" i="1"/>
  <c r="T3865" i="1"/>
  <c r="U3865" i="1"/>
  <c r="V3865" i="1"/>
  <c r="W3865" i="1"/>
  <c r="AB3865" i="1"/>
  <c r="AF3865" i="1"/>
  <c r="K3866" i="1"/>
  <c r="AC3866" i="1"/>
  <c r="AJ3865" i="1"/>
  <c r="AK3865" i="1"/>
  <c r="AM3865" i="1"/>
  <c r="BF3865" i="1"/>
  <c r="BG3865" i="1"/>
  <c r="T3866" i="1"/>
  <c r="U3866" i="1"/>
  <c r="V3866" i="1"/>
  <c r="W3866" i="1"/>
  <c r="AB3866" i="1"/>
  <c r="AF3866" i="1"/>
  <c r="K3867" i="1"/>
  <c r="AC3867" i="1"/>
  <c r="AJ3866" i="1"/>
  <c r="AK3866" i="1"/>
  <c r="AM3866" i="1"/>
  <c r="BF3866" i="1"/>
  <c r="BG3866" i="1"/>
  <c r="T3867" i="1"/>
  <c r="U3867" i="1"/>
  <c r="V3867" i="1"/>
  <c r="W3867" i="1"/>
  <c r="AB3867" i="1"/>
  <c r="AF3867" i="1"/>
  <c r="AC3868" i="1"/>
  <c r="AJ3867" i="1"/>
  <c r="AK3867" i="1"/>
  <c r="AM3867" i="1"/>
  <c r="BF3867" i="1"/>
  <c r="BG3867" i="1"/>
  <c r="T3868" i="1"/>
  <c r="U3868" i="1"/>
  <c r="V3868" i="1"/>
  <c r="W3868" i="1"/>
  <c r="AB3868" i="1"/>
  <c r="AF3868" i="1"/>
  <c r="AC3869" i="1"/>
  <c r="AJ3868" i="1"/>
  <c r="AK3868" i="1"/>
  <c r="AM3868" i="1"/>
  <c r="BF3868" i="1"/>
  <c r="BG3868" i="1"/>
  <c r="T3869" i="1"/>
  <c r="U3869" i="1"/>
  <c r="V3869" i="1"/>
  <c r="W3869" i="1"/>
  <c r="AB3869" i="1"/>
  <c r="AF3869" i="1"/>
  <c r="K3870" i="1"/>
  <c r="AC3870" i="1"/>
  <c r="AJ3869" i="1"/>
  <c r="AK3869" i="1"/>
  <c r="AM3869" i="1"/>
  <c r="BF3869" i="1"/>
  <c r="BG3869" i="1"/>
  <c r="T3870" i="1"/>
  <c r="U3870" i="1"/>
  <c r="V3870" i="1"/>
  <c r="W3870" i="1"/>
  <c r="AB3870" i="1"/>
  <c r="AF3870" i="1"/>
  <c r="AC3871" i="1"/>
  <c r="AJ3870" i="1"/>
  <c r="AK3870" i="1"/>
  <c r="AM3870" i="1"/>
  <c r="BF3870" i="1"/>
  <c r="BG3870" i="1"/>
  <c r="T3871" i="1"/>
  <c r="U3871" i="1"/>
  <c r="V3871" i="1"/>
  <c r="W3871" i="1"/>
  <c r="AB3871" i="1"/>
  <c r="AF3871" i="1"/>
  <c r="AC3872" i="1"/>
  <c r="AJ3871" i="1"/>
  <c r="AK3871" i="1"/>
  <c r="AM3871" i="1"/>
  <c r="BF3871" i="1"/>
  <c r="BG3871" i="1"/>
  <c r="T3872" i="1"/>
  <c r="U3872" i="1"/>
  <c r="V3872" i="1"/>
  <c r="W3872" i="1"/>
  <c r="AB3872" i="1"/>
  <c r="AF3872" i="1"/>
  <c r="AC3873" i="1"/>
  <c r="AJ3872" i="1"/>
  <c r="AK3872" i="1"/>
  <c r="AM3872" i="1"/>
  <c r="BF3872" i="1"/>
  <c r="BG3872" i="1"/>
  <c r="T3873" i="1"/>
  <c r="U3873" i="1"/>
  <c r="V3873" i="1"/>
  <c r="W3873" i="1"/>
  <c r="AB3873" i="1"/>
  <c r="AF3873" i="1"/>
  <c r="K3874" i="1"/>
  <c r="AC3874" i="1"/>
  <c r="AJ3873" i="1"/>
  <c r="AK3873" i="1"/>
  <c r="AM3873" i="1"/>
  <c r="BF3873" i="1"/>
  <c r="BG3873" i="1"/>
  <c r="T3874" i="1"/>
  <c r="U3874" i="1"/>
  <c r="V3874" i="1"/>
  <c r="W3874" i="1"/>
  <c r="AB3874" i="1"/>
  <c r="AF3874" i="1"/>
  <c r="K3875" i="1"/>
  <c r="AC3875" i="1"/>
  <c r="AJ3874" i="1"/>
  <c r="AK3874" i="1"/>
  <c r="AM3874" i="1"/>
  <c r="BF3874" i="1"/>
  <c r="BG3874" i="1"/>
  <c r="T3875" i="1"/>
  <c r="U3875" i="1"/>
  <c r="V3875" i="1"/>
  <c r="W3875" i="1"/>
  <c r="AB3875" i="1"/>
  <c r="AF3875" i="1"/>
  <c r="AC3876" i="1"/>
  <c r="AJ3875" i="1"/>
  <c r="AK3875" i="1"/>
  <c r="AM3875" i="1"/>
  <c r="BF3875" i="1"/>
  <c r="BG3875" i="1"/>
  <c r="T3876" i="1"/>
  <c r="U3876" i="1"/>
  <c r="V3876" i="1"/>
  <c r="W3876" i="1"/>
  <c r="AB3876" i="1"/>
  <c r="AF3876" i="1"/>
  <c r="AC3877" i="1"/>
  <c r="AJ3876" i="1"/>
  <c r="AK3876" i="1"/>
  <c r="AM3876" i="1"/>
  <c r="BF3876" i="1"/>
  <c r="BG3876" i="1"/>
  <c r="T3877" i="1"/>
  <c r="U3877" i="1"/>
  <c r="V3877" i="1"/>
  <c r="W3877" i="1"/>
  <c r="AB3877" i="1"/>
  <c r="AF3877" i="1"/>
  <c r="K3878" i="1"/>
  <c r="AC3878" i="1"/>
  <c r="AJ3877" i="1"/>
  <c r="AK3877" i="1"/>
  <c r="AM3877" i="1"/>
  <c r="BF3877" i="1"/>
  <c r="BG3877" i="1"/>
  <c r="T3878" i="1"/>
  <c r="U3878" i="1"/>
  <c r="V3878" i="1"/>
  <c r="W3878" i="1"/>
  <c r="AB3878" i="1"/>
  <c r="AF3878" i="1"/>
  <c r="K3879" i="1"/>
  <c r="AC3879" i="1"/>
  <c r="AJ3878" i="1"/>
  <c r="AK3878" i="1"/>
  <c r="AM3878" i="1"/>
  <c r="BF3878" i="1"/>
  <c r="BG3878" i="1"/>
  <c r="T3879" i="1"/>
  <c r="U3879" i="1"/>
  <c r="V3879" i="1"/>
  <c r="W3879" i="1"/>
  <c r="AB3879" i="1"/>
  <c r="AF3879" i="1"/>
  <c r="K3880" i="1"/>
  <c r="AC3880" i="1"/>
  <c r="AJ3879" i="1"/>
  <c r="AK3879" i="1"/>
  <c r="AM3879" i="1"/>
  <c r="BF3879" i="1"/>
  <c r="BG3879" i="1"/>
  <c r="T3880" i="1"/>
  <c r="U3880" i="1"/>
  <c r="V3880" i="1"/>
  <c r="W3880" i="1"/>
  <c r="AB3880" i="1"/>
  <c r="AF3880" i="1"/>
  <c r="K3881" i="1"/>
  <c r="AC3881" i="1"/>
  <c r="AJ3880" i="1"/>
  <c r="AK3880" i="1"/>
  <c r="AM3880" i="1"/>
  <c r="BF3880" i="1"/>
  <c r="BG3880" i="1"/>
  <c r="T3881" i="1"/>
  <c r="U3881" i="1"/>
  <c r="V3881" i="1"/>
  <c r="W3881" i="1"/>
  <c r="AB3881" i="1"/>
  <c r="AF3881" i="1"/>
  <c r="AC3882" i="1"/>
  <c r="AJ3881" i="1"/>
  <c r="AK3881" i="1"/>
  <c r="AM3881" i="1"/>
  <c r="BF3881" i="1"/>
  <c r="BG3881" i="1"/>
  <c r="T3882" i="1"/>
  <c r="U3882" i="1"/>
  <c r="V3882" i="1"/>
  <c r="W3882" i="1"/>
  <c r="AB3882" i="1"/>
  <c r="AF3882" i="1"/>
  <c r="AC3883" i="1"/>
  <c r="AJ3882" i="1"/>
  <c r="AK3882" i="1"/>
  <c r="AM3882" i="1"/>
  <c r="BF3882" i="1"/>
  <c r="BG3882" i="1"/>
  <c r="T3883" i="1"/>
  <c r="U3883" i="1"/>
  <c r="V3883" i="1"/>
  <c r="W3883" i="1"/>
  <c r="AB3883" i="1"/>
  <c r="AF3883" i="1"/>
  <c r="K3884" i="1"/>
  <c r="AC3884" i="1"/>
  <c r="AJ3883" i="1"/>
  <c r="AK3883" i="1"/>
  <c r="AM3883" i="1"/>
  <c r="BF3883" i="1"/>
  <c r="BG3883" i="1"/>
  <c r="T3884" i="1"/>
  <c r="U3884" i="1"/>
  <c r="V3884" i="1"/>
  <c r="W3884" i="1"/>
  <c r="AB3884" i="1"/>
  <c r="AF3884" i="1"/>
  <c r="K3885" i="1"/>
  <c r="AC3885" i="1"/>
  <c r="AJ3884" i="1"/>
  <c r="AK3884" i="1"/>
  <c r="AM3884" i="1"/>
  <c r="BF3884" i="1"/>
  <c r="BG3884" i="1"/>
  <c r="T3885" i="1"/>
  <c r="U3885" i="1"/>
  <c r="V3885" i="1"/>
  <c r="W3885" i="1"/>
  <c r="AB3885" i="1"/>
  <c r="AF3885" i="1"/>
  <c r="AC3886" i="1"/>
  <c r="AJ3885" i="1"/>
  <c r="AK3885" i="1"/>
  <c r="AM3885" i="1"/>
  <c r="BF3885" i="1"/>
  <c r="BG3885" i="1"/>
  <c r="T3886" i="1"/>
  <c r="U3886" i="1"/>
  <c r="V3886" i="1"/>
  <c r="W3886" i="1"/>
  <c r="AB3886" i="1"/>
  <c r="AF3886" i="1"/>
  <c r="AC3887" i="1"/>
  <c r="AJ3886" i="1"/>
  <c r="AK3886" i="1"/>
  <c r="AM3886" i="1"/>
  <c r="BF3886" i="1"/>
  <c r="BG3886" i="1"/>
  <c r="T3887" i="1"/>
  <c r="U3887" i="1"/>
  <c r="V3887" i="1"/>
  <c r="W3887" i="1"/>
  <c r="AB3887" i="1"/>
  <c r="AF3887" i="1"/>
  <c r="K3888" i="1"/>
  <c r="AC3888" i="1"/>
  <c r="AJ3887" i="1"/>
  <c r="AK3887" i="1"/>
  <c r="AM3887" i="1"/>
  <c r="BF3887" i="1"/>
  <c r="BG3887" i="1"/>
  <c r="T3888" i="1"/>
  <c r="U3888" i="1"/>
  <c r="V3888" i="1"/>
  <c r="W3888" i="1"/>
  <c r="AB3888" i="1"/>
  <c r="AF3888" i="1"/>
  <c r="AC3889" i="1"/>
  <c r="AJ3888" i="1"/>
  <c r="AK3888" i="1"/>
  <c r="AM3888" i="1"/>
  <c r="BF3888" i="1"/>
  <c r="BG3888" i="1"/>
  <c r="T3889" i="1"/>
  <c r="U3889" i="1"/>
  <c r="V3889" i="1"/>
  <c r="W3889" i="1"/>
  <c r="AB3889" i="1"/>
  <c r="AF3889" i="1"/>
  <c r="AC3890" i="1"/>
  <c r="AJ3889" i="1"/>
  <c r="AK3889" i="1"/>
  <c r="AM3889" i="1"/>
  <c r="BF3889" i="1"/>
  <c r="BG3889" i="1"/>
  <c r="T3890" i="1"/>
  <c r="U3890" i="1"/>
  <c r="V3890" i="1"/>
  <c r="W3890" i="1"/>
  <c r="AB3890" i="1"/>
  <c r="AF3890" i="1"/>
  <c r="K3891" i="1"/>
  <c r="AC3891" i="1"/>
  <c r="AJ3890" i="1"/>
  <c r="AK3890" i="1"/>
  <c r="AM3890" i="1"/>
  <c r="BF3890" i="1"/>
  <c r="BG3890" i="1"/>
  <c r="T3891" i="1"/>
  <c r="U3891" i="1"/>
  <c r="V3891" i="1"/>
  <c r="W3891" i="1"/>
  <c r="AB3891" i="1"/>
  <c r="AF3891" i="1"/>
  <c r="AC3892" i="1"/>
  <c r="AJ3891" i="1"/>
  <c r="AK3891" i="1"/>
  <c r="AM3891" i="1"/>
  <c r="BF3891" i="1"/>
  <c r="BG3891" i="1"/>
  <c r="T3892" i="1"/>
  <c r="U3892" i="1"/>
  <c r="V3892" i="1"/>
  <c r="W3892" i="1"/>
  <c r="AB3892" i="1"/>
  <c r="AF3892" i="1"/>
  <c r="AC3893" i="1"/>
  <c r="AJ3892" i="1"/>
  <c r="AK3892" i="1"/>
  <c r="AM3892" i="1"/>
  <c r="BF3892" i="1"/>
  <c r="BG3892" i="1"/>
  <c r="T3893" i="1"/>
  <c r="U3893" i="1"/>
  <c r="V3893" i="1"/>
  <c r="W3893" i="1"/>
  <c r="AB3893" i="1"/>
  <c r="AF3893" i="1"/>
  <c r="K3894" i="1"/>
  <c r="AC3894" i="1"/>
  <c r="AJ3893" i="1"/>
  <c r="AK3893" i="1"/>
  <c r="AM3893" i="1"/>
  <c r="BF3893" i="1"/>
  <c r="BG3893" i="1"/>
  <c r="T3894" i="1"/>
  <c r="U3894" i="1"/>
  <c r="V3894" i="1"/>
  <c r="W3894" i="1"/>
  <c r="AB3894" i="1"/>
  <c r="AF3894" i="1"/>
  <c r="K3895" i="1"/>
  <c r="AC3895" i="1"/>
  <c r="AJ3894" i="1"/>
  <c r="AK3894" i="1"/>
  <c r="AM3894" i="1"/>
  <c r="BF3894" i="1"/>
  <c r="BG3894" i="1"/>
  <c r="T3895" i="1"/>
  <c r="U3895" i="1"/>
  <c r="V3895" i="1"/>
  <c r="W3895" i="1"/>
  <c r="AB3895" i="1"/>
  <c r="AF3895" i="1"/>
  <c r="AC3896" i="1"/>
  <c r="AJ3895" i="1"/>
  <c r="AK3895" i="1"/>
  <c r="AM3895" i="1"/>
  <c r="BF3895" i="1"/>
  <c r="BG3895" i="1"/>
  <c r="T3896" i="1"/>
  <c r="U3896" i="1"/>
  <c r="V3896" i="1"/>
  <c r="W3896" i="1"/>
  <c r="AB3896" i="1"/>
  <c r="AF3896" i="1"/>
  <c r="AC3897" i="1"/>
  <c r="AJ3896" i="1"/>
  <c r="AK3896" i="1"/>
  <c r="AM3896" i="1"/>
  <c r="BF3896" i="1"/>
  <c r="BG3896" i="1"/>
  <c r="T3897" i="1"/>
  <c r="U3897" i="1"/>
  <c r="V3897" i="1"/>
  <c r="W3897" i="1"/>
  <c r="AB3897" i="1"/>
  <c r="AF3897" i="1"/>
  <c r="K3898" i="1"/>
  <c r="AC3898" i="1"/>
  <c r="AJ3897" i="1"/>
  <c r="AK3897" i="1"/>
  <c r="AM3897" i="1"/>
  <c r="BF3897" i="1"/>
  <c r="BG3897" i="1"/>
  <c r="T3898" i="1"/>
  <c r="U3898" i="1"/>
  <c r="V3898" i="1"/>
  <c r="W3898" i="1"/>
  <c r="AB3898" i="1"/>
  <c r="AF3898" i="1"/>
  <c r="K3899" i="1"/>
  <c r="AC3899" i="1"/>
  <c r="AJ3898" i="1"/>
  <c r="AK3898" i="1"/>
  <c r="AM3898" i="1"/>
  <c r="BF3898" i="1"/>
  <c r="BG3898" i="1"/>
  <c r="T3899" i="1"/>
  <c r="U3899" i="1"/>
  <c r="V3899" i="1"/>
  <c r="W3899" i="1"/>
  <c r="AB3899" i="1"/>
  <c r="AF3899" i="1"/>
  <c r="K3900" i="1"/>
  <c r="AC3900" i="1"/>
  <c r="AJ3899" i="1"/>
  <c r="AK3899" i="1"/>
  <c r="AM3899" i="1"/>
  <c r="BF3899" i="1"/>
  <c r="BG3899" i="1"/>
  <c r="T3900" i="1"/>
  <c r="U3900" i="1"/>
  <c r="V3900" i="1"/>
  <c r="W3900" i="1"/>
  <c r="AB3900" i="1"/>
  <c r="AF3900" i="1"/>
  <c r="K3901" i="1"/>
  <c r="AC3901" i="1"/>
  <c r="AJ3900" i="1"/>
  <c r="AK3900" i="1"/>
  <c r="AM3900" i="1"/>
  <c r="BF3900" i="1"/>
  <c r="BG3900" i="1"/>
  <c r="T3901" i="1"/>
  <c r="U3901" i="1"/>
  <c r="V3901" i="1"/>
  <c r="W3901" i="1"/>
  <c r="AB3901" i="1"/>
  <c r="AF3901" i="1"/>
  <c r="K3902" i="1"/>
  <c r="AC3902" i="1"/>
  <c r="AJ3901" i="1"/>
  <c r="AK3901" i="1"/>
  <c r="AM3901" i="1"/>
  <c r="BF3901" i="1"/>
  <c r="BG3901" i="1"/>
  <c r="T3902" i="1"/>
  <c r="U3902" i="1"/>
  <c r="V3902" i="1"/>
  <c r="W3902" i="1"/>
  <c r="AB3902" i="1"/>
  <c r="AF3902" i="1"/>
  <c r="K3903" i="1"/>
  <c r="AC3903" i="1"/>
  <c r="AJ3902" i="1"/>
  <c r="AK3902" i="1"/>
  <c r="AM3902" i="1"/>
  <c r="BF3902" i="1"/>
  <c r="BG3902" i="1"/>
  <c r="T3903" i="1"/>
  <c r="U3903" i="1"/>
  <c r="V3903" i="1"/>
  <c r="W3903" i="1"/>
  <c r="AB3903" i="1"/>
  <c r="AF3903" i="1"/>
  <c r="AC3904" i="1"/>
  <c r="AJ3903" i="1"/>
  <c r="AK3903" i="1"/>
  <c r="AM3903" i="1"/>
  <c r="BF3903" i="1"/>
  <c r="BG3903" i="1"/>
  <c r="T3904" i="1"/>
  <c r="U3904" i="1"/>
  <c r="V3904" i="1"/>
  <c r="W3904" i="1"/>
  <c r="AB3904" i="1"/>
  <c r="AF3904" i="1"/>
  <c r="AC3905" i="1"/>
  <c r="AJ3904" i="1"/>
  <c r="AK3904" i="1"/>
  <c r="AM3904" i="1"/>
  <c r="BF3904" i="1"/>
  <c r="BG3904" i="1"/>
  <c r="T3905" i="1"/>
  <c r="U3905" i="1"/>
  <c r="V3905" i="1"/>
  <c r="W3905" i="1"/>
  <c r="AB3905" i="1"/>
  <c r="AF3905" i="1"/>
  <c r="K3906" i="1"/>
  <c r="AC3906" i="1"/>
  <c r="AJ3905" i="1"/>
  <c r="AK3905" i="1"/>
  <c r="AM3905" i="1"/>
  <c r="BF3905" i="1"/>
  <c r="BG3905" i="1"/>
  <c r="T3906" i="1"/>
  <c r="U3906" i="1"/>
  <c r="V3906" i="1"/>
  <c r="W3906" i="1"/>
  <c r="AB3906" i="1"/>
  <c r="AF3906" i="1"/>
  <c r="AC3907" i="1"/>
  <c r="AJ3906" i="1"/>
  <c r="AK3906" i="1"/>
  <c r="AM3906" i="1"/>
  <c r="BF3906" i="1"/>
  <c r="BG3906" i="1"/>
  <c r="T3907" i="1"/>
  <c r="U3907" i="1"/>
  <c r="V3907" i="1"/>
  <c r="W3907" i="1"/>
  <c r="AB3907" i="1"/>
  <c r="AF3907" i="1"/>
  <c r="AC3908" i="1"/>
  <c r="AJ3907" i="1"/>
  <c r="AK3907" i="1"/>
  <c r="AM3907" i="1"/>
  <c r="BF3907" i="1"/>
  <c r="BG3907" i="1"/>
  <c r="T3908" i="1"/>
  <c r="U3908" i="1"/>
  <c r="V3908" i="1"/>
  <c r="W3908" i="1"/>
  <c r="AB3908" i="1"/>
  <c r="AF3908" i="1"/>
  <c r="K3909" i="1"/>
  <c r="AC3909" i="1"/>
  <c r="AJ3908" i="1"/>
  <c r="AK3908" i="1"/>
  <c r="AM3908" i="1"/>
  <c r="BF3908" i="1"/>
  <c r="BG3908" i="1"/>
  <c r="T3909" i="1"/>
  <c r="U3909" i="1"/>
  <c r="V3909" i="1"/>
  <c r="W3909" i="1"/>
  <c r="AB3909" i="1"/>
  <c r="AF3909" i="1"/>
  <c r="K3910" i="1"/>
  <c r="AC3910" i="1"/>
  <c r="AJ3909" i="1"/>
  <c r="AK3909" i="1"/>
  <c r="AM3909" i="1"/>
  <c r="BF3909" i="1"/>
  <c r="BG3909" i="1"/>
  <c r="T3910" i="1"/>
  <c r="U3910" i="1"/>
  <c r="V3910" i="1"/>
  <c r="W3910" i="1"/>
  <c r="AB3910" i="1"/>
  <c r="AF3910" i="1"/>
  <c r="AC3911" i="1"/>
  <c r="AJ3910" i="1"/>
  <c r="AK3910" i="1"/>
  <c r="AM3910" i="1"/>
  <c r="BF3910" i="1"/>
  <c r="BG3910" i="1"/>
  <c r="T3911" i="1"/>
  <c r="U3911" i="1"/>
  <c r="V3911" i="1"/>
  <c r="W3911" i="1"/>
  <c r="AB3911" i="1"/>
  <c r="AF3911" i="1"/>
  <c r="AC3912" i="1"/>
  <c r="AJ3911" i="1"/>
  <c r="AK3911" i="1"/>
  <c r="AM3911" i="1"/>
  <c r="BF3911" i="1"/>
  <c r="BG3911" i="1"/>
  <c r="T3912" i="1"/>
  <c r="U3912" i="1"/>
  <c r="V3912" i="1"/>
  <c r="W3912" i="1"/>
  <c r="AB3912" i="1"/>
  <c r="AF3912" i="1"/>
  <c r="K3913" i="1"/>
  <c r="AC3913" i="1"/>
  <c r="AJ3912" i="1"/>
  <c r="AK3912" i="1"/>
  <c r="AM3912" i="1"/>
  <c r="BF3912" i="1"/>
  <c r="BG3912" i="1"/>
  <c r="T3913" i="1"/>
  <c r="U3913" i="1"/>
  <c r="V3913" i="1"/>
  <c r="W3913" i="1"/>
  <c r="AB3913" i="1"/>
  <c r="AF3913" i="1"/>
  <c r="K3914" i="1"/>
  <c r="AC3914" i="1"/>
  <c r="AJ3913" i="1"/>
  <c r="AK3913" i="1"/>
  <c r="AM3913" i="1"/>
  <c r="BF3913" i="1"/>
  <c r="BG3913" i="1"/>
  <c r="T3914" i="1"/>
  <c r="U3914" i="1"/>
  <c r="V3914" i="1"/>
  <c r="W3914" i="1"/>
  <c r="AB3914" i="1"/>
  <c r="AF3914" i="1"/>
  <c r="AC3915" i="1"/>
  <c r="AJ3914" i="1"/>
  <c r="AK3914" i="1"/>
  <c r="AM3914" i="1"/>
  <c r="BF3914" i="1"/>
  <c r="BG3914" i="1"/>
  <c r="T3915" i="1"/>
  <c r="U3915" i="1"/>
  <c r="V3915" i="1"/>
  <c r="W3915" i="1"/>
  <c r="AB3915" i="1"/>
  <c r="AF3915" i="1"/>
  <c r="AC3916" i="1"/>
  <c r="AJ3915" i="1"/>
  <c r="AK3915" i="1"/>
  <c r="AM3915" i="1"/>
  <c r="BF3915" i="1"/>
  <c r="BG3915" i="1"/>
  <c r="T3916" i="1"/>
  <c r="U3916" i="1"/>
  <c r="V3916" i="1"/>
  <c r="W3916" i="1"/>
  <c r="AB3916" i="1"/>
  <c r="AF3916" i="1"/>
  <c r="K3917" i="1"/>
  <c r="AC3917" i="1"/>
  <c r="AJ3916" i="1"/>
  <c r="AK3916" i="1"/>
  <c r="AM3916" i="1"/>
  <c r="BF3916" i="1"/>
  <c r="BG3916" i="1"/>
  <c r="T3917" i="1"/>
  <c r="U3917" i="1"/>
  <c r="V3917" i="1"/>
  <c r="W3917" i="1"/>
  <c r="AB3917" i="1"/>
  <c r="AF3917" i="1"/>
  <c r="AC3918" i="1"/>
  <c r="AJ3917" i="1"/>
  <c r="AK3917" i="1"/>
  <c r="AM3917" i="1"/>
  <c r="BF3917" i="1"/>
  <c r="BG3917" i="1"/>
  <c r="T3918" i="1"/>
  <c r="U3918" i="1"/>
  <c r="V3918" i="1"/>
  <c r="W3918" i="1"/>
  <c r="AB3918" i="1"/>
  <c r="AF3918" i="1"/>
  <c r="AC3919" i="1"/>
  <c r="AJ3918" i="1"/>
  <c r="AK3918" i="1"/>
  <c r="AM3918" i="1"/>
  <c r="BF3918" i="1"/>
  <c r="BG3918" i="1"/>
  <c r="T3919" i="1"/>
  <c r="U3919" i="1"/>
  <c r="V3919" i="1"/>
  <c r="W3919" i="1"/>
  <c r="AB3919" i="1"/>
  <c r="AF3919" i="1"/>
  <c r="K3920" i="1"/>
  <c r="AC3920" i="1"/>
  <c r="AJ3919" i="1"/>
  <c r="AK3919" i="1"/>
  <c r="AM3919" i="1"/>
  <c r="BF3919" i="1"/>
  <c r="BG3919" i="1"/>
  <c r="T3920" i="1"/>
  <c r="U3920" i="1"/>
  <c r="V3920" i="1"/>
  <c r="W3920" i="1"/>
  <c r="AB3920" i="1"/>
  <c r="AF3920" i="1"/>
  <c r="K3921" i="1"/>
  <c r="AC3921" i="1"/>
  <c r="AJ3920" i="1"/>
  <c r="AK3920" i="1"/>
  <c r="AM3920" i="1"/>
  <c r="BF3920" i="1"/>
  <c r="BG3920" i="1"/>
  <c r="T3921" i="1"/>
  <c r="U3921" i="1"/>
  <c r="V3921" i="1"/>
  <c r="W3921" i="1"/>
  <c r="AB3921" i="1"/>
  <c r="AF3921" i="1"/>
  <c r="AC3922" i="1"/>
  <c r="AJ3921" i="1"/>
  <c r="AK3921" i="1"/>
  <c r="AM3921" i="1"/>
  <c r="BF3921" i="1"/>
  <c r="BG3921" i="1"/>
  <c r="T3922" i="1"/>
  <c r="U3922" i="1"/>
  <c r="V3922" i="1"/>
  <c r="W3922" i="1"/>
  <c r="AB3922" i="1"/>
  <c r="AF3922" i="1"/>
  <c r="AC3923" i="1"/>
  <c r="AJ3922" i="1"/>
  <c r="AK3922" i="1"/>
  <c r="AM3922" i="1"/>
  <c r="BF3922" i="1"/>
  <c r="BG3922" i="1"/>
  <c r="T3923" i="1"/>
  <c r="U3923" i="1"/>
  <c r="V3923" i="1"/>
  <c r="W3923" i="1"/>
  <c r="AB3923" i="1"/>
  <c r="AF3923" i="1"/>
  <c r="K3924" i="1"/>
  <c r="AC3924" i="1"/>
  <c r="AJ3923" i="1"/>
  <c r="AK3923" i="1"/>
  <c r="AM3923" i="1"/>
  <c r="BF3923" i="1"/>
  <c r="BG3923" i="1"/>
  <c r="T3924" i="1"/>
  <c r="U3924" i="1"/>
  <c r="V3924" i="1"/>
  <c r="W3924" i="1"/>
  <c r="AB3924" i="1"/>
  <c r="AF3924" i="1"/>
  <c r="AC3925" i="1"/>
  <c r="AJ3924" i="1"/>
  <c r="AK3924" i="1"/>
  <c r="AM3924" i="1"/>
  <c r="BF3924" i="1"/>
  <c r="BG3924" i="1"/>
  <c r="T3925" i="1"/>
  <c r="U3925" i="1"/>
  <c r="V3925" i="1"/>
  <c r="W3925" i="1"/>
  <c r="AB3925" i="1"/>
  <c r="AF3925" i="1"/>
  <c r="AC3926" i="1"/>
  <c r="AJ3925" i="1"/>
  <c r="AK3925" i="1"/>
  <c r="AM3925" i="1"/>
  <c r="BF3925" i="1"/>
  <c r="BG3925" i="1"/>
  <c r="T3926" i="1"/>
  <c r="U3926" i="1"/>
  <c r="V3926" i="1"/>
  <c r="W3926" i="1"/>
  <c r="AB3926" i="1"/>
  <c r="AF3926" i="1"/>
  <c r="K3927" i="1"/>
  <c r="AC3927" i="1"/>
  <c r="AJ3926" i="1"/>
  <c r="AK3926" i="1"/>
  <c r="AM3926" i="1"/>
  <c r="BF3926" i="1"/>
  <c r="BG3926" i="1"/>
  <c r="T3927" i="1"/>
  <c r="U3927" i="1"/>
  <c r="V3927" i="1"/>
  <c r="W3927" i="1"/>
  <c r="AB3927" i="1"/>
  <c r="AF3927" i="1"/>
  <c r="K3928" i="1"/>
  <c r="AC3928" i="1"/>
  <c r="AJ3927" i="1"/>
  <c r="AK3927" i="1"/>
  <c r="AM3927" i="1"/>
  <c r="BF3927" i="1"/>
  <c r="BG3927" i="1"/>
  <c r="T3928" i="1"/>
  <c r="U3928" i="1"/>
  <c r="V3928" i="1"/>
  <c r="W3928" i="1"/>
  <c r="AB3928" i="1"/>
  <c r="AF3928" i="1"/>
  <c r="AC3929" i="1"/>
  <c r="AJ3928" i="1"/>
  <c r="AK3928" i="1"/>
  <c r="AM3928" i="1"/>
  <c r="BF3928" i="1"/>
  <c r="BG3928" i="1"/>
  <c r="T3929" i="1"/>
  <c r="U3929" i="1"/>
  <c r="V3929" i="1"/>
  <c r="W3929" i="1"/>
  <c r="AB3929" i="1"/>
  <c r="AF3929" i="1"/>
  <c r="AC3930" i="1"/>
  <c r="AJ3929" i="1"/>
  <c r="AK3929" i="1"/>
  <c r="AM3929" i="1"/>
  <c r="BF3929" i="1"/>
  <c r="BG3929" i="1"/>
  <c r="T3930" i="1"/>
  <c r="U3930" i="1"/>
  <c r="V3930" i="1"/>
  <c r="W3930" i="1"/>
  <c r="AB3930" i="1"/>
  <c r="AF3930" i="1"/>
  <c r="K3931" i="1"/>
  <c r="AC3931" i="1"/>
  <c r="AJ3930" i="1"/>
  <c r="AK3930" i="1"/>
  <c r="AM3930" i="1"/>
  <c r="BF3930" i="1"/>
  <c r="BG3930" i="1"/>
  <c r="T3931" i="1"/>
  <c r="U3931" i="1"/>
  <c r="V3931" i="1"/>
  <c r="W3931" i="1"/>
  <c r="AB3931" i="1"/>
  <c r="AF3931" i="1"/>
  <c r="AC3932" i="1"/>
  <c r="AJ3931" i="1"/>
  <c r="AK3931" i="1"/>
  <c r="AM3931" i="1"/>
  <c r="BF3931" i="1"/>
  <c r="BG3931" i="1"/>
  <c r="T3932" i="1"/>
  <c r="U3932" i="1"/>
  <c r="V3932" i="1"/>
  <c r="W3932" i="1"/>
  <c r="AB3932" i="1"/>
  <c r="AF3932" i="1"/>
  <c r="AC3933" i="1"/>
  <c r="AJ3932" i="1"/>
  <c r="AK3932" i="1"/>
  <c r="AM3932" i="1"/>
  <c r="BF3932" i="1"/>
  <c r="BG3932" i="1"/>
  <c r="T3933" i="1"/>
  <c r="U3933" i="1"/>
  <c r="V3933" i="1"/>
  <c r="W3933" i="1"/>
  <c r="AB3933" i="1"/>
  <c r="AF3933" i="1"/>
  <c r="K3934" i="1"/>
  <c r="AC3934" i="1"/>
  <c r="AJ3933" i="1"/>
  <c r="AK3933" i="1"/>
  <c r="AM3933" i="1"/>
  <c r="BF3933" i="1"/>
  <c r="BG3933" i="1"/>
  <c r="T3934" i="1"/>
  <c r="U3934" i="1"/>
  <c r="V3934" i="1"/>
  <c r="W3934" i="1"/>
  <c r="AB3934" i="1"/>
  <c r="AF3934" i="1"/>
  <c r="AC3935" i="1"/>
  <c r="AJ3934" i="1"/>
  <c r="AK3934" i="1"/>
  <c r="AM3934" i="1"/>
  <c r="BF3934" i="1"/>
  <c r="BG3934" i="1"/>
  <c r="T3935" i="1"/>
  <c r="U3935" i="1"/>
  <c r="V3935" i="1"/>
  <c r="W3935" i="1"/>
  <c r="AB3935" i="1"/>
  <c r="AF3935" i="1"/>
  <c r="AC3936" i="1"/>
  <c r="AJ3935" i="1"/>
  <c r="AK3935" i="1"/>
  <c r="AM3935" i="1"/>
  <c r="BF3935" i="1"/>
  <c r="BG3935" i="1"/>
  <c r="T3936" i="1"/>
  <c r="U3936" i="1"/>
  <c r="V3936" i="1"/>
  <c r="W3936" i="1"/>
  <c r="AB3936" i="1"/>
  <c r="AF3936" i="1"/>
  <c r="K3937" i="1"/>
  <c r="AC3937" i="1"/>
  <c r="AJ3936" i="1"/>
  <c r="AK3936" i="1"/>
  <c r="AM3936" i="1"/>
  <c r="BF3936" i="1"/>
  <c r="BG3936" i="1"/>
  <c r="T3937" i="1"/>
  <c r="U3937" i="1"/>
  <c r="V3937" i="1"/>
  <c r="W3937" i="1"/>
  <c r="AB3937" i="1"/>
  <c r="AF3937" i="1"/>
  <c r="AC3938" i="1"/>
  <c r="AJ3937" i="1"/>
  <c r="AK3937" i="1"/>
  <c r="AM3937" i="1"/>
  <c r="BF3937" i="1"/>
  <c r="BG3937" i="1"/>
  <c r="T3938" i="1"/>
  <c r="U3938" i="1"/>
  <c r="V3938" i="1"/>
  <c r="W3938" i="1"/>
  <c r="AB3938" i="1"/>
  <c r="AF3938" i="1"/>
  <c r="AC3939" i="1"/>
  <c r="AJ3938" i="1"/>
  <c r="AK3938" i="1"/>
  <c r="AM3938" i="1"/>
  <c r="BF3938" i="1"/>
  <c r="BG3938" i="1"/>
  <c r="T3939" i="1"/>
  <c r="U3939" i="1"/>
  <c r="V3939" i="1"/>
  <c r="W3939" i="1"/>
  <c r="AB3939" i="1"/>
  <c r="AF3939" i="1"/>
  <c r="K3940" i="1"/>
  <c r="AC3940" i="1"/>
  <c r="AJ3939" i="1"/>
  <c r="AK3939" i="1"/>
  <c r="AM3939" i="1"/>
  <c r="BF3939" i="1"/>
  <c r="BG3939" i="1"/>
  <c r="T3940" i="1"/>
  <c r="U3940" i="1"/>
  <c r="V3940" i="1"/>
  <c r="W3940" i="1"/>
  <c r="AB3940" i="1"/>
  <c r="AF3940" i="1"/>
  <c r="AC3941" i="1"/>
  <c r="AJ3940" i="1"/>
  <c r="AK3940" i="1"/>
  <c r="AM3940" i="1"/>
  <c r="BF3940" i="1"/>
  <c r="BG3940" i="1"/>
  <c r="T3941" i="1"/>
  <c r="U3941" i="1"/>
  <c r="V3941" i="1"/>
  <c r="W3941" i="1"/>
  <c r="AB3941" i="1"/>
  <c r="AF3941" i="1"/>
  <c r="AC3942" i="1"/>
  <c r="AJ3941" i="1"/>
  <c r="AK3941" i="1"/>
  <c r="AM3941" i="1"/>
  <c r="BF3941" i="1"/>
  <c r="BG3941" i="1"/>
  <c r="T3942" i="1"/>
  <c r="U3942" i="1"/>
  <c r="V3942" i="1"/>
  <c r="W3942" i="1"/>
  <c r="AB3942" i="1"/>
  <c r="AF3942" i="1"/>
  <c r="K3943" i="1"/>
  <c r="AC3943" i="1"/>
  <c r="AJ3942" i="1"/>
  <c r="AK3942" i="1"/>
  <c r="AM3942" i="1"/>
  <c r="BF3942" i="1"/>
  <c r="BG3942" i="1"/>
  <c r="T3943" i="1"/>
  <c r="U3943" i="1"/>
  <c r="V3943" i="1"/>
  <c r="W3943" i="1"/>
  <c r="AB3943" i="1"/>
  <c r="AF3943" i="1"/>
  <c r="K3944" i="1"/>
  <c r="AC3944" i="1"/>
  <c r="AJ3943" i="1"/>
  <c r="AK3943" i="1"/>
  <c r="AM3943" i="1"/>
  <c r="BF3943" i="1"/>
  <c r="BG3943" i="1"/>
  <c r="T3944" i="1"/>
  <c r="U3944" i="1"/>
  <c r="V3944" i="1"/>
  <c r="W3944" i="1"/>
  <c r="AB3944" i="1"/>
  <c r="AF3944" i="1"/>
  <c r="AC3945" i="1"/>
  <c r="AJ3944" i="1"/>
  <c r="AK3944" i="1"/>
  <c r="AM3944" i="1"/>
  <c r="BF3944" i="1"/>
  <c r="BG3944" i="1"/>
  <c r="T3945" i="1"/>
  <c r="U3945" i="1"/>
  <c r="V3945" i="1"/>
  <c r="W3945" i="1"/>
  <c r="AB3945" i="1"/>
  <c r="AF3945" i="1"/>
  <c r="AC3946" i="1"/>
  <c r="AJ3945" i="1"/>
  <c r="AK3945" i="1"/>
  <c r="AM3945" i="1"/>
  <c r="BF3945" i="1"/>
  <c r="BG3945" i="1"/>
  <c r="T3946" i="1"/>
  <c r="U3946" i="1"/>
  <c r="V3946" i="1"/>
  <c r="W3946" i="1"/>
  <c r="AB3946" i="1"/>
  <c r="AF3946" i="1"/>
  <c r="K3947" i="1"/>
  <c r="AC3947" i="1"/>
  <c r="AJ3946" i="1"/>
  <c r="AK3946" i="1"/>
  <c r="AM3946" i="1"/>
  <c r="BF3946" i="1"/>
  <c r="BG3946" i="1"/>
  <c r="T3947" i="1"/>
  <c r="U3947" i="1"/>
  <c r="V3947" i="1"/>
  <c r="W3947" i="1"/>
  <c r="AB3947" i="1"/>
  <c r="AF3947" i="1"/>
  <c r="K3948" i="1"/>
  <c r="AC3948" i="1"/>
  <c r="AJ3947" i="1"/>
  <c r="AK3947" i="1"/>
  <c r="AM3947" i="1"/>
  <c r="BF3947" i="1"/>
  <c r="BG3947" i="1"/>
  <c r="T3948" i="1"/>
  <c r="U3948" i="1"/>
  <c r="V3948" i="1"/>
  <c r="W3948" i="1"/>
  <c r="AB3948" i="1"/>
  <c r="AF3948" i="1"/>
  <c r="AC3949" i="1"/>
  <c r="AJ3948" i="1"/>
  <c r="AK3948" i="1"/>
  <c r="AM3948" i="1"/>
  <c r="BF3948" i="1"/>
  <c r="BG3948" i="1"/>
  <c r="T3949" i="1"/>
  <c r="U3949" i="1"/>
  <c r="V3949" i="1"/>
  <c r="W3949" i="1"/>
  <c r="AB3949" i="1"/>
  <c r="AF3949" i="1"/>
  <c r="AC3950" i="1"/>
  <c r="AJ3949" i="1"/>
  <c r="AK3949" i="1"/>
  <c r="AM3949" i="1"/>
  <c r="BF3949" i="1"/>
  <c r="BG3949" i="1"/>
  <c r="T3950" i="1"/>
  <c r="U3950" i="1"/>
  <c r="V3950" i="1"/>
  <c r="W3950" i="1"/>
  <c r="AB3950" i="1"/>
  <c r="AF3950" i="1"/>
  <c r="K3951" i="1"/>
  <c r="AC3951" i="1"/>
  <c r="AJ3950" i="1"/>
  <c r="AK3950" i="1"/>
  <c r="AM3950" i="1"/>
  <c r="BF3950" i="1"/>
  <c r="BG3950" i="1"/>
  <c r="T3951" i="1"/>
  <c r="U3951" i="1"/>
  <c r="V3951" i="1"/>
  <c r="W3951" i="1"/>
  <c r="AB3951" i="1"/>
  <c r="AF3951" i="1"/>
  <c r="K3952" i="1"/>
  <c r="AC3952" i="1"/>
  <c r="AJ3951" i="1"/>
  <c r="AK3951" i="1"/>
  <c r="AM3951" i="1"/>
  <c r="BF3951" i="1"/>
  <c r="BG3951" i="1"/>
  <c r="T3952" i="1"/>
  <c r="U3952" i="1"/>
  <c r="V3952" i="1"/>
  <c r="W3952" i="1"/>
  <c r="AB3952" i="1"/>
  <c r="AF3952" i="1"/>
  <c r="AC3953" i="1"/>
  <c r="AJ3952" i="1"/>
  <c r="AK3952" i="1"/>
  <c r="AM3952" i="1"/>
  <c r="BF3952" i="1"/>
  <c r="BG3952" i="1"/>
  <c r="T3953" i="1"/>
  <c r="U3953" i="1"/>
  <c r="V3953" i="1"/>
  <c r="W3953" i="1"/>
  <c r="AB3953" i="1"/>
  <c r="AF3953" i="1"/>
  <c r="AC3954" i="1"/>
  <c r="AJ3953" i="1"/>
  <c r="AK3953" i="1"/>
  <c r="AM3953" i="1"/>
  <c r="BF3953" i="1"/>
  <c r="BG3953" i="1"/>
  <c r="T3954" i="1"/>
  <c r="U3954" i="1"/>
  <c r="V3954" i="1"/>
  <c r="W3954" i="1"/>
  <c r="AB3954" i="1"/>
  <c r="AF3954" i="1"/>
  <c r="K3955" i="1"/>
  <c r="AC3955" i="1"/>
  <c r="AJ3954" i="1"/>
  <c r="AK3954" i="1"/>
  <c r="AM3954" i="1"/>
  <c r="BF3954" i="1"/>
  <c r="BG3954" i="1"/>
  <c r="T3955" i="1"/>
  <c r="U3955" i="1"/>
  <c r="V3955" i="1"/>
  <c r="W3955" i="1"/>
  <c r="AB3955" i="1"/>
  <c r="AF3955" i="1"/>
  <c r="K3956" i="1"/>
  <c r="AC3956" i="1"/>
  <c r="AJ3955" i="1"/>
  <c r="AK3955" i="1"/>
  <c r="AM3955" i="1"/>
  <c r="BF3955" i="1"/>
  <c r="BG3955" i="1"/>
  <c r="T3956" i="1"/>
  <c r="U3956" i="1"/>
  <c r="V3956" i="1"/>
  <c r="W3956" i="1"/>
  <c r="AB3956" i="1"/>
  <c r="AF3956" i="1"/>
  <c r="K3957" i="1"/>
  <c r="AC3957" i="1"/>
  <c r="AJ3956" i="1"/>
  <c r="AK3956" i="1"/>
  <c r="AM3956" i="1"/>
  <c r="BF3956" i="1"/>
  <c r="BG3956" i="1"/>
  <c r="T3957" i="1"/>
  <c r="U3957" i="1"/>
  <c r="V3957" i="1"/>
  <c r="W3957" i="1"/>
  <c r="AB3957" i="1"/>
  <c r="AF3957" i="1"/>
  <c r="K3958" i="1"/>
  <c r="AC3958" i="1"/>
  <c r="AJ3957" i="1"/>
  <c r="AK3957" i="1"/>
  <c r="AM3957" i="1"/>
  <c r="BF3957" i="1"/>
  <c r="BG3957" i="1"/>
  <c r="T3958" i="1"/>
  <c r="U3958" i="1"/>
  <c r="V3958" i="1"/>
  <c r="W3958" i="1"/>
  <c r="AB3958" i="1"/>
  <c r="AF3958" i="1"/>
  <c r="K3959" i="1"/>
  <c r="AC3959" i="1"/>
  <c r="AJ3958" i="1"/>
  <c r="AK3958" i="1"/>
  <c r="AM3958" i="1"/>
  <c r="BF3958" i="1"/>
  <c r="BG3958" i="1"/>
  <c r="T3959" i="1"/>
  <c r="U3959" i="1"/>
  <c r="V3959" i="1"/>
  <c r="W3959" i="1"/>
  <c r="AB3959" i="1"/>
  <c r="AF3959" i="1"/>
  <c r="AC3960" i="1"/>
  <c r="AJ3959" i="1"/>
  <c r="AK3959" i="1"/>
  <c r="AM3959" i="1"/>
  <c r="BF3959" i="1"/>
  <c r="BG3959" i="1"/>
  <c r="T3960" i="1"/>
  <c r="U3960" i="1"/>
  <c r="V3960" i="1"/>
  <c r="W3960" i="1"/>
  <c r="AB3960" i="1"/>
  <c r="AF3960" i="1"/>
  <c r="AC3961" i="1"/>
  <c r="AJ3960" i="1"/>
  <c r="AK3960" i="1"/>
  <c r="AM3960" i="1"/>
  <c r="BF3960" i="1"/>
  <c r="BG3960" i="1"/>
  <c r="T3961" i="1"/>
  <c r="U3961" i="1"/>
  <c r="V3961" i="1"/>
  <c r="W3961" i="1"/>
  <c r="AB3961" i="1"/>
  <c r="AF3961" i="1"/>
  <c r="K3962" i="1"/>
  <c r="AC3962" i="1"/>
  <c r="AJ3961" i="1"/>
  <c r="AK3961" i="1"/>
  <c r="AM3961" i="1"/>
  <c r="BF3961" i="1"/>
  <c r="BG3961" i="1"/>
  <c r="T3962" i="1"/>
  <c r="U3962" i="1"/>
  <c r="V3962" i="1"/>
  <c r="W3962" i="1"/>
  <c r="AB3962" i="1"/>
  <c r="AF3962" i="1"/>
  <c r="AC3963" i="1"/>
  <c r="AJ3962" i="1"/>
  <c r="AK3962" i="1"/>
  <c r="AM3962" i="1"/>
  <c r="BF3962" i="1"/>
  <c r="BG3962" i="1"/>
  <c r="T3963" i="1"/>
  <c r="U3963" i="1"/>
  <c r="V3963" i="1"/>
  <c r="W3963" i="1"/>
  <c r="AB3963" i="1"/>
  <c r="AF3963" i="1"/>
  <c r="AC3964" i="1"/>
  <c r="AJ3963" i="1"/>
  <c r="AK3963" i="1"/>
  <c r="AM3963" i="1"/>
  <c r="BF3963" i="1"/>
  <c r="BG3963" i="1"/>
  <c r="T3964" i="1"/>
  <c r="U3964" i="1"/>
  <c r="V3964" i="1"/>
  <c r="W3964" i="1"/>
  <c r="AB3964" i="1"/>
  <c r="AF3964" i="1"/>
  <c r="K3965" i="1"/>
  <c r="AC3965" i="1"/>
  <c r="AJ3964" i="1"/>
  <c r="AK3964" i="1"/>
  <c r="AM3964" i="1"/>
  <c r="BF3964" i="1"/>
  <c r="BG3964" i="1"/>
  <c r="T3965" i="1"/>
  <c r="U3965" i="1"/>
  <c r="V3965" i="1"/>
  <c r="W3965" i="1"/>
  <c r="AB3965" i="1"/>
  <c r="AF3965" i="1"/>
  <c r="AC3966" i="1"/>
  <c r="AJ3965" i="1"/>
  <c r="AK3965" i="1"/>
  <c r="AM3965" i="1"/>
  <c r="BF3965" i="1"/>
  <c r="BG3965" i="1"/>
  <c r="T3966" i="1"/>
  <c r="U3966" i="1"/>
  <c r="V3966" i="1"/>
  <c r="W3966" i="1"/>
  <c r="AB3966" i="1"/>
  <c r="AF3966" i="1"/>
  <c r="AC3967" i="1"/>
  <c r="AJ3966" i="1"/>
  <c r="AK3966" i="1"/>
  <c r="AM3966" i="1"/>
  <c r="BF3966" i="1"/>
  <c r="BG3966" i="1"/>
  <c r="T3967" i="1"/>
  <c r="U3967" i="1"/>
  <c r="V3967" i="1"/>
  <c r="W3967" i="1"/>
  <c r="AB3967" i="1"/>
  <c r="AF3967" i="1"/>
  <c r="AC3968" i="1"/>
  <c r="AJ3967" i="1"/>
  <c r="AK3967" i="1"/>
  <c r="AM3967" i="1"/>
  <c r="BF3967" i="1"/>
  <c r="BG3967" i="1"/>
  <c r="T3968" i="1"/>
  <c r="U3968" i="1"/>
  <c r="V3968" i="1"/>
  <c r="W3968" i="1"/>
  <c r="AB3968" i="1"/>
  <c r="AF3968" i="1"/>
  <c r="K3969" i="1"/>
  <c r="AC3969" i="1"/>
  <c r="AJ3968" i="1"/>
  <c r="AK3968" i="1"/>
  <c r="AM3968" i="1"/>
  <c r="BF3968" i="1"/>
  <c r="BG3968" i="1"/>
  <c r="T3969" i="1"/>
  <c r="U3969" i="1"/>
  <c r="V3969" i="1"/>
  <c r="W3969" i="1"/>
  <c r="AB3969" i="1"/>
  <c r="AF3969" i="1"/>
  <c r="AC3970" i="1"/>
  <c r="AJ3969" i="1"/>
  <c r="AK3969" i="1"/>
  <c r="AM3969" i="1"/>
  <c r="BF3969" i="1"/>
  <c r="BG3969" i="1"/>
  <c r="T3970" i="1"/>
  <c r="U3970" i="1"/>
  <c r="V3970" i="1"/>
  <c r="W3970" i="1"/>
  <c r="AB3970" i="1"/>
  <c r="AF3970" i="1"/>
  <c r="AC3971" i="1"/>
  <c r="AJ3970" i="1"/>
  <c r="AK3970" i="1"/>
  <c r="AM3970" i="1"/>
  <c r="BF3970" i="1"/>
  <c r="BG3970" i="1"/>
  <c r="T3971" i="1"/>
  <c r="U3971" i="1"/>
  <c r="V3971" i="1"/>
  <c r="W3971" i="1"/>
  <c r="AB3971" i="1"/>
  <c r="AF3971" i="1"/>
  <c r="K3972" i="1"/>
  <c r="AC3972" i="1"/>
  <c r="AJ3971" i="1"/>
  <c r="AK3971" i="1"/>
  <c r="AM3971" i="1"/>
  <c r="BF3971" i="1"/>
  <c r="BG3971" i="1"/>
  <c r="T3972" i="1"/>
  <c r="U3972" i="1"/>
  <c r="V3972" i="1"/>
  <c r="W3972" i="1"/>
  <c r="AB3972" i="1"/>
  <c r="AF3972" i="1"/>
  <c r="AC3973" i="1"/>
  <c r="AJ3972" i="1"/>
  <c r="AK3972" i="1"/>
  <c r="AM3972" i="1"/>
  <c r="BF3972" i="1"/>
  <c r="BG3972" i="1"/>
  <c r="T3973" i="1"/>
  <c r="U3973" i="1"/>
  <c r="V3973" i="1"/>
  <c r="W3973" i="1"/>
  <c r="AB3973" i="1"/>
  <c r="AF3973" i="1"/>
  <c r="AC3974" i="1"/>
  <c r="AJ3973" i="1"/>
  <c r="AK3973" i="1"/>
  <c r="AM3973" i="1"/>
  <c r="BF3973" i="1"/>
  <c r="BG3973" i="1"/>
  <c r="T3974" i="1"/>
  <c r="U3974" i="1"/>
  <c r="V3974" i="1"/>
  <c r="W3974" i="1"/>
  <c r="AB3974" i="1"/>
  <c r="AF3974" i="1"/>
  <c r="K3975" i="1"/>
  <c r="AC3975" i="1"/>
  <c r="AJ3974" i="1"/>
  <c r="AK3974" i="1"/>
  <c r="AM3974" i="1"/>
  <c r="BF3974" i="1"/>
  <c r="BG3974" i="1"/>
  <c r="T3975" i="1"/>
  <c r="U3975" i="1"/>
  <c r="V3975" i="1"/>
  <c r="W3975" i="1"/>
  <c r="AB3975" i="1"/>
  <c r="AF3975" i="1"/>
  <c r="K3976" i="1"/>
  <c r="AC3976" i="1"/>
  <c r="AJ3975" i="1"/>
  <c r="AK3975" i="1"/>
  <c r="AM3975" i="1"/>
  <c r="BF3975" i="1"/>
  <c r="BG3975" i="1"/>
  <c r="T3976" i="1"/>
  <c r="U3976" i="1"/>
  <c r="V3976" i="1"/>
  <c r="W3976" i="1"/>
  <c r="AB3976" i="1"/>
  <c r="AF3976" i="1"/>
  <c r="K3977" i="1"/>
  <c r="AC3977" i="1"/>
  <c r="AJ3976" i="1"/>
  <c r="AK3976" i="1"/>
  <c r="AM3976" i="1"/>
  <c r="BF3976" i="1"/>
  <c r="BG3976" i="1"/>
  <c r="T3977" i="1"/>
  <c r="U3977" i="1"/>
  <c r="V3977" i="1"/>
  <c r="W3977" i="1"/>
  <c r="AB3977" i="1"/>
  <c r="AF3977" i="1"/>
  <c r="K3978" i="1"/>
  <c r="AC3978" i="1"/>
  <c r="AJ3977" i="1"/>
  <c r="AK3977" i="1"/>
  <c r="AM3977" i="1"/>
  <c r="BF3977" i="1"/>
  <c r="BG3977" i="1"/>
  <c r="T3978" i="1"/>
  <c r="U3978" i="1"/>
  <c r="V3978" i="1"/>
  <c r="W3978" i="1"/>
  <c r="AB3978" i="1"/>
  <c r="AF3978" i="1"/>
  <c r="K3979" i="1"/>
  <c r="AC3979" i="1"/>
  <c r="AJ3978" i="1"/>
  <c r="AK3978" i="1"/>
  <c r="AM3978" i="1"/>
  <c r="BF3978" i="1"/>
  <c r="BG3978" i="1"/>
  <c r="T3979" i="1"/>
  <c r="U3979" i="1"/>
  <c r="V3979" i="1"/>
  <c r="W3979" i="1"/>
  <c r="AB3979" i="1"/>
  <c r="AF3979" i="1"/>
  <c r="K3980" i="1"/>
  <c r="AC3980" i="1"/>
  <c r="AJ3979" i="1"/>
  <c r="AK3979" i="1"/>
  <c r="AM3979" i="1"/>
  <c r="BF3979" i="1"/>
  <c r="BG3979" i="1"/>
  <c r="T3980" i="1"/>
  <c r="U3980" i="1"/>
  <c r="V3980" i="1"/>
  <c r="W3980" i="1"/>
  <c r="AB3980" i="1"/>
  <c r="AF3980" i="1"/>
  <c r="K3981" i="1"/>
  <c r="AC3981" i="1"/>
  <c r="AJ3980" i="1"/>
  <c r="AK3980" i="1"/>
  <c r="AM3980" i="1"/>
  <c r="BF3980" i="1"/>
  <c r="BG3980" i="1"/>
  <c r="T3981" i="1"/>
  <c r="U3981" i="1"/>
  <c r="V3981" i="1"/>
  <c r="W3981" i="1"/>
  <c r="AB3981" i="1"/>
  <c r="AF3981" i="1"/>
  <c r="K3982" i="1"/>
  <c r="AC3982" i="1"/>
  <c r="AJ3981" i="1"/>
  <c r="AK3981" i="1"/>
  <c r="AM3981" i="1"/>
  <c r="BF3981" i="1"/>
  <c r="BG3981" i="1"/>
  <c r="T3982" i="1"/>
  <c r="U3982" i="1"/>
  <c r="V3982" i="1"/>
  <c r="W3982" i="1"/>
  <c r="AB3982" i="1"/>
  <c r="AF3982" i="1"/>
  <c r="K3983" i="1"/>
  <c r="AC3983" i="1"/>
  <c r="AJ3982" i="1"/>
  <c r="AK3982" i="1"/>
  <c r="AM3982" i="1"/>
  <c r="BF3982" i="1"/>
  <c r="BG3982" i="1"/>
  <c r="T3983" i="1"/>
  <c r="U3983" i="1"/>
  <c r="V3983" i="1"/>
  <c r="W3983" i="1"/>
  <c r="AB3983" i="1"/>
  <c r="AF3983" i="1"/>
  <c r="K3984" i="1"/>
  <c r="AC3984" i="1"/>
  <c r="AJ3983" i="1"/>
  <c r="AK3983" i="1"/>
  <c r="AM3983" i="1"/>
  <c r="BF3983" i="1"/>
  <c r="BG3983" i="1"/>
  <c r="T3984" i="1"/>
  <c r="U3984" i="1"/>
  <c r="V3984" i="1"/>
  <c r="W3984" i="1"/>
  <c r="AB3984" i="1"/>
  <c r="AF3984" i="1"/>
  <c r="K3985" i="1"/>
  <c r="AC3985" i="1"/>
  <c r="AJ3984" i="1"/>
  <c r="AK3984" i="1"/>
  <c r="AM3984" i="1"/>
  <c r="BF3984" i="1"/>
  <c r="BG3984" i="1"/>
  <c r="T3985" i="1"/>
  <c r="U3985" i="1"/>
  <c r="V3985" i="1"/>
  <c r="W3985" i="1"/>
  <c r="AB3985" i="1"/>
  <c r="AF3985" i="1"/>
  <c r="K3986" i="1"/>
  <c r="AC3986" i="1"/>
  <c r="AJ3985" i="1"/>
  <c r="AK3985" i="1"/>
  <c r="AM3985" i="1"/>
  <c r="BF3985" i="1"/>
  <c r="BG3985" i="1"/>
  <c r="T3986" i="1"/>
  <c r="U3986" i="1"/>
  <c r="V3986" i="1"/>
  <c r="W3986" i="1"/>
  <c r="AB3986" i="1"/>
  <c r="AF3986" i="1"/>
  <c r="K3987" i="1"/>
  <c r="AC3987" i="1"/>
  <c r="AJ3986" i="1"/>
  <c r="AK3986" i="1"/>
  <c r="AM3986" i="1"/>
  <c r="BF3986" i="1"/>
  <c r="BG3986" i="1"/>
  <c r="T3987" i="1"/>
  <c r="U3987" i="1"/>
  <c r="V3987" i="1"/>
  <c r="W3987" i="1"/>
  <c r="AB3987" i="1"/>
  <c r="AF3987" i="1"/>
  <c r="K3988" i="1"/>
  <c r="AC3988" i="1"/>
  <c r="AJ3987" i="1"/>
  <c r="AK3987" i="1"/>
  <c r="AM3987" i="1"/>
  <c r="BF3987" i="1"/>
  <c r="BG3987" i="1"/>
  <c r="T3988" i="1"/>
  <c r="U3988" i="1"/>
  <c r="V3988" i="1"/>
  <c r="W3988" i="1"/>
  <c r="AB3988" i="1"/>
  <c r="AF3988" i="1"/>
  <c r="K3989" i="1"/>
  <c r="AC3989" i="1"/>
  <c r="AJ3988" i="1"/>
  <c r="AK3988" i="1"/>
  <c r="AM3988" i="1"/>
  <c r="BF3988" i="1"/>
  <c r="BG3988" i="1"/>
  <c r="T3989" i="1"/>
  <c r="U3989" i="1"/>
  <c r="V3989" i="1"/>
  <c r="W3989" i="1"/>
  <c r="AB3989" i="1"/>
  <c r="AF3989" i="1"/>
  <c r="AC3990" i="1"/>
  <c r="AJ3989" i="1"/>
  <c r="AK3989" i="1"/>
  <c r="AM3989" i="1"/>
  <c r="BF3989" i="1"/>
  <c r="BG3989" i="1"/>
  <c r="T3990" i="1"/>
  <c r="U3990" i="1"/>
  <c r="V3990" i="1"/>
  <c r="W3990" i="1"/>
  <c r="AB3990" i="1"/>
  <c r="AF3990" i="1"/>
  <c r="AC3991" i="1"/>
  <c r="AJ3990" i="1"/>
  <c r="AK3990" i="1"/>
  <c r="AM3990" i="1"/>
  <c r="BF3990" i="1"/>
  <c r="BG3990" i="1"/>
  <c r="T3991" i="1"/>
  <c r="U3991" i="1"/>
  <c r="V3991" i="1"/>
  <c r="W3991" i="1"/>
  <c r="AB3991" i="1"/>
  <c r="AF3991" i="1"/>
  <c r="K3992" i="1"/>
  <c r="AC3992" i="1"/>
  <c r="AJ3991" i="1"/>
  <c r="AK3991" i="1"/>
  <c r="AM3991" i="1"/>
  <c r="BF3991" i="1"/>
  <c r="BG3991" i="1"/>
  <c r="T3992" i="1"/>
  <c r="U3992" i="1"/>
  <c r="V3992" i="1"/>
  <c r="W3992" i="1"/>
  <c r="AB3992" i="1"/>
  <c r="AF3992" i="1"/>
  <c r="K3993" i="1"/>
  <c r="AC3993" i="1"/>
  <c r="AJ3992" i="1"/>
  <c r="AK3992" i="1"/>
  <c r="AM3992" i="1"/>
  <c r="BF3992" i="1"/>
  <c r="BG3992" i="1"/>
  <c r="T3993" i="1"/>
  <c r="U3993" i="1"/>
  <c r="V3993" i="1"/>
  <c r="W3993" i="1"/>
  <c r="AB3993" i="1"/>
  <c r="AF3993" i="1"/>
  <c r="AC3994" i="1"/>
  <c r="AJ3993" i="1"/>
  <c r="AK3993" i="1"/>
  <c r="AM3993" i="1"/>
  <c r="BF3993" i="1"/>
  <c r="BG3993" i="1"/>
  <c r="T3994" i="1"/>
  <c r="U3994" i="1"/>
  <c r="V3994" i="1"/>
  <c r="W3994" i="1"/>
  <c r="AB3994" i="1"/>
  <c r="AF3994" i="1"/>
  <c r="AC3995" i="1"/>
  <c r="AJ3994" i="1"/>
  <c r="AK3994" i="1"/>
  <c r="AM3994" i="1"/>
  <c r="BF3994" i="1"/>
  <c r="BG3994" i="1"/>
  <c r="T3995" i="1"/>
  <c r="U3995" i="1"/>
  <c r="V3995" i="1"/>
  <c r="W3995" i="1"/>
  <c r="AB3995" i="1"/>
  <c r="AF3995" i="1"/>
  <c r="K3996" i="1"/>
  <c r="AC3996" i="1"/>
  <c r="AJ3995" i="1"/>
  <c r="AK3995" i="1"/>
  <c r="AM3995" i="1"/>
  <c r="BF3995" i="1"/>
  <c r="BG3995" i="1"/>
  <c r="T3996" i="1"/>
  <c r="U3996" i="1"/>
  <c r="V3996" i="1"/>
  <c r="W3996" i="1"/>
  <c r="AB3996" i="1"/>
  <c r="AF3996" i="1"/>
  <c r="K3997" i="1"/>
  <c r="AC3997" i="1"/>
  <c r="AJ3996" i="1"/>
  <c r="AK3996" i="1"/>
  <c r="AM3996" i="1"/>
  <c r="BF3996" i="1"/>
  <c r="BG3996" i="1"/>
  <c r="T3997" i="1"/>
  <c r="U3997" i="1"/>
  <c r="V3997" i="1"/>
  <c r="W3997" i="1"/>
  <c r="AB3997" i="1"/>
  <c r="AF3997" i="1"/>
  <c r="K3998" i="1"/>
  <c r="AC3998" i="1"/>
  <c r="AJ3997" i="1"/>
  <c r="AK3997" i="1"/>
  <c r="AM3997" i="1"/>
  <c r="BF3997" i="1"/>
  <c r="BG3997" i="1"/>
  <c r="T3998" i="1"/>
  <c r="U3998" i="1"/>
  <c r="V3998" i="1"/>
  <c r="W3998" i="1"/>
  <c r="AB3998" i="1"/>
  <c r="AF3998" i="1"/>
  <c r="K3999" i="1"/>
  <c r="AC3999" i="1"/>
  <c r="AJ3998" i="1"/>
  <c r="AK3998" i="1"/>
  <c r="AM3998" i="1"/>
  <c r="BF3998" i="1"/>
  <c r="BG3998" i="1"/>
  <c r="T3999" i="1"/>
  <c r="U3999" i="1"/>
  <c r="V3999" i="1"/>
  <c r="W3999" i="1"/>
  <c r="AB3999" i="1"/>
  <c r="AF3999" i="1"/>
  <c r="K4000" i="1"/>
  <c r="AC4000" i="1"/>
  <c r="AJ3999" i="1"/>
  <c r="AK3999" i="1"/>
  <c r="AM3999" i="1"/>
  <c r="BF3999" i="1"/>
  <c r="BG3999" i="1"/>
  <c r="T4000" i="1"/>
  <c r="U4000" i="1"/>
  <c r="V4000" i="1"/>
  <c r="W4000" i="1"/>
  <c r="AB4000" i="1"/>
  <c r="AF4000" i="1"/>
  <c r="K4001" i="1"/>
  <c r="AC4001" i="1"/>
  <c r="AJ4000" i="1"/>
  <c r="AK4000" i="1"/>
  <c r="AM4000" i="1"/>
  <c r="BF4000" i="1"/>
  <c r="BG4000" i="1"/>
  <c r="T4001" i="1"/>
  <c r="U4001" i="1"/>
  <c r="V4001" i="1"/>
  <c r="W4001" i="1"/>
  <c r="AB4001" i="1"/>
  <c r="AF4001" i="1"/>
  <c r="K4002" i="1"/>
  <c r="AC4002" i="1"/>
  <c r="AJ4001" i="1"/>
  <c r="AK4001" i="1"/>
  <c r="AM4001" i="1"/>
  <c r="BF4001" i="1"/>
  <c r="BG4001" i="1"/>
  <c r="T4002" i="1"/>
  <c r="U4002" i="1"/>
  <c r="V4002" i="1"/>
  <c r="W4002" i="1"/>
  <c r="AB4002" i="1"/>
  <c r="AF4002" i="1"/>
  <c r="K4003" i="1"/>
  <c r="AC4003" i="1"/>
  <c r="AJ4002" i="1"/>
  <c r="AK4002" i="1"/>
  <c r="AM4002" i="1"/>
  <c r="BF4002" i="1"/>
  <c r="BG4002" i="1"/>
  <c r="T4003" i="1"/>
  <c r="U4003" i="1"/>
  <c r="V4003" i="1"/>
  <c r="W4003" i="1"/>
  <c r="AB4003" i="1"/>
  <c r="AF4003" i="1"/>
  <c r="K4004" i="1"/>
  <c r="AC4004" i="1"/>
  <c r="AJ4003" i="1"/>
  <c r="AK4003" i="1"/>
  <c r="AM4003" i="1"/>
  <c r="BF4003" i="1"/>
  <c r="BG4003" i="1"/>
  <c r="T4004" i="1"/>
  <c r="U4004" i="1"/>
  <c r="V4004" i="1"/>
  <c r="W4004" i="1"/>
  <c r="AB4004" i="1"/>
  <c r="AF4004" i="1"/>
  <c r="AC4005" i="1"/>
  <c r="AJ4004" i="1"/>
  <c r="AK4004" i="1"/>
  <c r="AM4004" i="1"/>
  <c r="BF4004" i="1"/>
  <c r="BG4004" i="1"/>
  <c r="T4005" i="1"/>
  <c r="U4005" i="1"/>
  <c r="V4005" i="1"/>
  <c r="W4005" i="1"/>
  <c r="AB4005" i="1"/>
  <c r="AF4005" i="1"/>
  <c r="AC4006" i="1"/>
  <c r="AJ4005" i="1"/>
  <c r="AK4005" i="1"/>
  <c r="AM4005" i="1"/>
  <c r="BF4005" i="1"/>
  <c r="BG4005" i="1"/>
  <c r="T4006" i="1"/>
  <c r="U4006" i="1"/>
  <c r="V4006" i="1"/>
  <c r="W4006" i="1"/>
  <c r="AB4006" i="1"/>
  <c r="AF4006" i="1"/>
  <c r="K4007" i="1"/>
  <c r="AC4007" i="1"/>
  <c r="AJ4006" i="1"/>
  <c r="AK4006" i="1"/>
  <c r="AM4006" i="1"/>
  <c r="BF4006" i="1"/>
  <c r="BG4006" i="1"/>
  <c r="T4007" i="1"/>
  <c r="U4007" i="1"/>
  <c r="V4007" i="1"/>
  <c r="W4007" i="1"/>
  <c r="AB4007" i="1"/>
  <c r="AF4007" i="1"/>
  <c r="AC4008" i="1"/>
  <c r="AJ4007" i="1"/>
  <c r="AK4007" i="1"/>
  <c r="AM4007" i="1"/>
  <c r="BF4007" i="1"/>
  <c r="BG4007" i="1"/>
  <c r="T4008" i="1"/>
  <c r="U4008" i="1"/>
  <c r="V4008" i="1"/>
  <c r="W4008" i="1"/>
  <c r="AB4008" i="1"/>
  <c r="AF4008" i="1"/>
  <c r="AC4009" i="1"/>
  <c r="AJ4008" i="1"/>
  <c r="AK4008" i="1"/>
  <c r="AM4008" i="1"/>
  <c r="BF4008" i="1"/>
  <c r="BG4008" i="1"/>
  <c r="T4009" i="1"/>
  <c r="U4009" i="1"/>
  <c r="V4009" i="1"/>
  <c r="W4009" i="1"/>
  <c r="AB4009" i="1"/>
  <c r="AF4009" i="1"/>
  <c r="K4010" i="1"/>
  <c r="AC4010" i="1"/>
  <c r="AJ4009" i="1"/>
  <c r="AK4009" i="1"/>
  <c r="AM4009" i="1"/>
  <c r="BF4009" i="1"/>
  <c r="BG4009" i="1"/>
  <c r="T4010" i="1"/>
  <c r="U4010" i="1"/>
  <c r="V4010" i="1"/>
  <c r="W4010" i="1"/>
  <c r="AB4010" i="1"/>
  <c r="AF4010" i="1"/>
  <c r="K4011" i="1"/>
  <c r="AC4011" i="1"/>
  <c r="AJ4010" i="1"/>
  <c r="AK4010" i="1"/>
  <c r="AM4010" i="1"/>
  <c r="BF4010" i="1"/>
  <c r="BG4010" i="1"/>
  <c r="T4011" i="1"/>
  <c r="U4011" i="1"/>
  <c r="V4011" i="1"/>
  <c r="W4011" i="1"/>
  <c r="AB4011" i="1"/>
  <c r="AF4011" i="1"/>
  <c r="K4012" i="1"/>
  <c r="AC4012" i="1"/>
  <c r="AJ4011" i="1"/>
  <c r="AK4011" i="1"/>
  <c r="AM4011" i="1"/>
  <c r="BF4011" i="1"/>
  <c r="BG4011" i="1"/>
  <c r="T4012" i="1"/>
  <c r="U4012" i="1"/>
  <c r="V4012" i="1"/>
  <c r="W4012" i="1"/>
  <c r="AB4012" i="1"/>
  <c r="AF4012" i="1"/>
  <c r="AC4013" i="1"/>
  <c r="AJ4012" i="1"/>
  <c r="AK4012" i="1"/>
  <c r="AM4012" i="1"/>
  <c r="BF4012" i="1"/>
  <c r="BG4012" i="1"/>
  <c r="T4013" i="1"/>
  <c r="U4013" i="1"/>
  <c r="V4013" i="1"/>
  <c r="W4013" i="1"/>
  <c r="AB4013" i="1"/>
  <c r="AF4013" i="1"/>
  <c r="AC4014" i="1"/>
  <c r="AJ4013" i="1"/>
  <c r="AK4013" i="1"/>
  <c r="AM4013" i="1"/>
  <c r="BF4013" i="1"/>
  <c r="BG4013" i="1"/>
  <c r="T4014" i="1"/>
  <c r="U4014" i="1"/>
  <c r="V4014" i="1"/>
  <c r="W4014" i="1"/>
  <c r="AB4014" i="1"/>
  <c r="AF4014" i="1"/>
  <c r="K4015" i="1"/>
  <c r="AC4015" i="1"/>
  <c r="AJ4014" i="1"/>
  <c r="AK4014" i="1"/>
  <c r="AM4014" i="1"/>
  <c r="BF4014" i="1"/>
  <c r="BG4014" i="1"/>
  <c r="T4015" i="1"/>
  <c r="U4015" i="1"/>
  <c r="V4015" i="1"/>
  <c r="W4015" i="1"/>
  <c r="AB4015" i="1"/>
  <c r="AF4015" i="1"/>
  <c r="K4016" i="1"/>
  <c r="AC4016" i="1"/>
  <c r="AJ4015" i="1"/>
  <c r="AK4015" i="1"/>
  <c r="AM4015" i="1"/>
  <c r="BF4015" i="1"/>
  <c r="BG4015" i="1"/>
  <c r="T4016" i="1"/>
  <c r="U4016" i="1"/>
  <c r="V4016" i="1"/>
  <c r="W4016" i="1"/>
  <c r="AB4016" i="1"/>
  <c r="AF4016" i="1"/>
  <c r="K4017" i="1"/>
  <c r="AC4017" i="1"/>
  <c r="AJ4016" i="1"/>
  <c r="AK4016" i="1"/>
  <c r="AM4016" i="1"/>
  <c r="BF4016" i="1"/>
  <c r="BG4016" i="1"/>
  <c r="T4017" i="1"/>
  <c r="U4017" i="1"/>
  <c r="V4017" i="1"/>
  <c r="W4017" i="1"/>
  <c r="AB4017" i="1"/>
  <c r="AF4017" i="1"/>
  <c r="K4018" i="1"/>
  <c r="AC4018" i="1"/>
  <c r="AJ4017" i="1"/>
  <c r="AK4017" i="1"/>
  <c r="AM4017" i="1"/>
  <c r="BF4017" i="1"/>
  <c r="BG4017" i="1"/>
  <c r="T4018" i="1"/>
  <c r="U4018" i="1"/>
  <c r="V4018" i="1"/>
  <c r="W4018" i="1"/>
  <c r="AB4018" i="1"/>
  <c r="AF4018" i="1"/>
  <c r="AC4019" i="1"/>
  <c r="AJ4018" i="1"/>
  <c r="AK4018" i="1"/>
  <c r="AM4018" i="1"/>
  <c r="BF4018" i="1"/>
  <c r="BG4018" i="1"/>
  <c r="T4019" i="1"/>
  <c r="U4019" i="1"/>
  <c r="V4019" i="1"/>
  <c r="W4019" i="1"/>
  <c r="AB4019" i="1"/>
  <c r="AF4019" i="1"/>
  <c r="AC4020" i="1"/>
  <c r="AJ4019" i="1"/>
  <c r="AK4019" i="1"/>
  <c r="AM4019" i="1"/>
  <c r="BF4019" i="1"/>
  <c r="BG4019" i="1"/>
  <c r="T4020" i="1"/>
  <c r="U4020" i="1"/>
  <c r="V4020" i="1"/>
  <c r="W4020" i="1"/>
  <c r="AB4020" i="1"/>
  <c r="AF4020" i="1"/>
  <c r="K4021" i="1"/>
  <c r="AC4021" i="1"/>
  <c r="AJ4020" i="1"/>
  <c r="AK4020" i="1"/>
  <c r="AM4020" i="1"/>
  <c r="BF4020" i="1"/>
  <c r="BG4020" i="1"/>
  <c r="T4021" i="1"/>
  <c r="U4021" i="1"/>
  <c r="V4021" i="1"/>
  <c r="W4021" i="1"/>
  <c r="AB4021" i="1"/>
  <c r="AF4021" i="1"/>
  <c r="AC4022" i="1"/>
  <c r="AJ4021" i="1"/>
  <c r="AK4021" i="1"/>
  <c r="AM4021" i="1"/>
  <c r="BF4021" i="1"/>
  <c r="BG4021" i="1"/>
  <c r="T4022" i="1"/>
  <c r="U4022" i="1"/>
  <c r="V4022" i="1"/>
  <c r="W4022" i="1"/>
  <c r="AB4022" i="1"/>
  <c r="AF4022" i="1"/>
  <c r="AC4023" i="1"/>
  <c r="AJ4022" i="1"/>
  <c r="AK4022" i="1"/>
  <c r="AM4022" i="1"/>
  <c r="BF4022" i="1"/>
  <c r="BG4022" i="1"/>
  <c r="T4023" i="1"/>
  <c r="U4023" i="1"/>
  <c r="V4023" i="1"/>
  <c r="W4023" i="1"/>
  <c r="AB4023" i="1"/>
  <c r="AF4023" i="1"/>
  <c r="K4024" i="1"/>
  <c r="AC4024" i="1"/>
  <c r="AJ4023" i="1"/>
  <c r="AK4023" i="1"/>
  <c r="AM4023" i="1"/>
  <c r="BF4023" i="1"/>
  <c r="BG4023" i="1"/>
  <c r="T4024" i="1"/>
  <c r="U4024" i="1"/>
  <c r="V4024" i="1"/>
  <c r="W4024" i="1"/>
  <c r="AB4024" i="1"/>
  <c r="AF4024" i="1"/>
  <c r="AC4025" i="1"/>
  <c r="AJ4024" i="1"/>
  <c r="AK4024" i="1"/>
  <c r="AM4024" i="1"/>
  <c r="BF4024" i="1"/>
  <c r="BG4024" i="1"/>
  <c r="T4025" i="1"/>
  <c r="U4025" i="1"/>
  <c r="V4025" i="1"/>
  <c r="W4025" i="1"/>
  <c r="AB4025" i="1"/>
  <c r="AF4025" i="1"/>
  <c r="AC4026" i="1"/>
  <c r="AJ4025" i="1"/>
  <c r="AK4025" i="1"/>
  <c r="AM4025" i="1"/>
  <c r="BF4025" i="1"/>
  <c r="BG4025" i="1"/>
  <c r="T4026" i="1"/>
  <c r="U4026" i="1"/>
  <c r="V4026" i="1"/>
  <c r="W4026" i="1"/>
  <c r="AB4026" i="1"/>
  <c r="AF4026" i="1"/>
  <c r="K4027" i="1"/>
  <c r="AC4027" i="1"/>
  <c r="AJ4026" i="1"/>
  <c r="AK4026" i="1"/>
  <c r="AM4026" i="1"/>
  <c r="BF4026" i="1"/>
  <c r="BG4026" i="1"/>
  <c r="T4027" i="1"/>
  <c r="U4027" i="1"/>
  <c r="V4027" i="1"/>
  <c r="W4027" i="1"/>
  <c r="AB4027" i="1"/>
  <c r="AF4027" i="1"/>
  <c r="K4028" i="1"/>
  <c r="AC4028" i="1"/>
  <c r="AJ4027" i="1"/>
  <c r="AK4027" i="1"/>
  <c r="AM4027" i="1"/>
  <c r="BF4027" i="1"/>
  <c r="BG4027" i="1"/>
  <c r="T4028" i="1"/>
  <c r="U4028" i="1"/>
  <c r="V4028" i="1"/>
  <c r="W4028" i="1"/>
  <c r="AB4028" i="1"/>
  <c r="AF4028" i="1"/>
  <c r="K4029" i="1"/>
  <c r="AC4029" i="1"/>
  <c r="AJ4028" i="1"/>
  <c r="AK4028" i="1"/>
  <c r="AM4028" i="1"/>
  <c r="BF4028" i="1"/>
  <c r="BG4028" i="1"/>
  <c r="T4029" i="1"/>
  <c r="U4029" i="1"/>
  <c r="V4029" i="1"/>
  <c r="W4029" i="1"/>
  <c r="AB4029" i="1"/>
  <c r="AF4029" i="1"/>
  <c r="K4030" i="1"/>
  <c r="AC4030" i="1"/>
  <c r="AJ4029" i="1"/>
  <c r="AK4029" i="1"/>
  <c r="AM4029" i="1"/>
  <c r="BF4029" i="1"/>
  <c r="BG4029" i="1"/>
  <c r="T4030" i="1"/>
  <c r="U4030" i="1"/>
  <c r="V4030" i="1"/>
  <c r="W4030" i="1"/>
  <c r="AB4030" i="1"/>
  <c r="AF4030" i="1"/>
  <c r="AC4031" i="1"/>
  <c r="AJ4030" i="1"/>
  <c r="AK4030" i="1"/>
  <c r="AM4030" i="1"/>
  <c r="BF4030" i="1"/>
  <c r="BG4030" i="1"/>
  <c r="T4031" i="1"/>
  <c r="U4031" i="1"/>
  <c r="V4031" i="1"/>
  <c r="W4031" i="1"/>
  <c r="AB4031" i="1"/>
  <c r="AF4031" i="1"/>
  <c r="AC4032" i="1"/>
  <c r="AJ4031" i="1"/>
  <c r="AK4031" i="1"/>
  <c r="AM4031" i="1"/>
  <c r="BF4031" i="1"/>
  <c r="BG4031" i="1"/>
  <c r="T4032" i="1"/>
  <c r="U4032" i="1"/>
  <c r="V4032" i="1"/>
  <c r="W4032" i="1"/>
  <c r="AB4032" i="1"/>
  <c r="AF4032" i="1"/>
  <c r="K4033" i="1"/>
  <c r="AC4033" i="1"/>
  <c r="AJ4032" i="1"/>
  <c r="AK4032" i="1"/>
  <c r="AM4032" i="1"/>
  <c r="BF4032" i="1"/>
  <c r="BG4032" i="1"/>
  <c r="T4033" i="1"/>
  <c r="U4033" i="1"/>
  <c r="V4033" i="1"/>
  <c r="W4033" i="1"/>
  <c r="AB4033" i="1"/>
  <c r="AF4033" i="1"/>
  <c r="AC4034" i="1"/>
  <c r="AJ4033" i="1"/>
  <c r="AK4033" i="1"/>
  <c r="AM4033" i="1"/>
  <c r="BF4033" i="1"/>
  <c r="BG4033" i="1"/>
  <c r="T4034" i="1"/>
  <c r="U4034" i="1"/>
  <c r="V4034" i="1"/>
  <c r="W4034" i="1"/>
  <c r="AB4034" i="1"/>
  <c r="AF4034" i="1"/>
  <c r="AC4035" i="1"/>
  <c r="AJ4034" i="1"/>
  <c r="AK4034" i="1"/>
  <c r="AM4034" i="1"/>
  <c r="BF4034" i="1"/>
  <c r="BG4034" i="1"/>
  <c r="T4035" i="1"/>
  <c r="U4035" i="1"/>
  <c r="V4035" i="1"/>
  <c r="W4035" i="1"/>
  <c r="AB4035" i="1"/>
  <c r="AF4035" i="1"/>
  <c r="K4036" i="1"/>
  <c r="AC4036" i="1"/>
  <c r="AJ4035" i="1"/>
  <c r="AK4035" i="1"/>
  <c r="AM4035" i="1"/>
  <c r="BF4035" i="1"/>
  <c r="BG4035" i="1"/>
  <c r="T4036" i="1"/>
  <c r="U4036" i="1"/>
  <c r="V4036" i="1"/>
  <c r="W4036" i="1"/>
  <c r="AB4036" i="1"/>
  <c r="AF4036" i="1"/>
  <c r="K4037" i="1"/>
  <c r="AC4037" i="1"/>
  <c r="AJ4036" i="1"/>
  <c r="AK4036" i="1"/>
  <c r="AM4036" i="1"/>
  <c r="BF4036" i="1"/>
  <c r="BG4036" i="1"/>
  <c r="T4037" i="1"/>
  <c r="U4037" i="1"/>
  <c r="V4037" i="1"/>
  <c r="W4037" i="1"/>
  <c r="AB4037" i="1"/>
  <c r="AF4037" i="1"/>
  <c r="AC4038" i="1"/>
  <c r="AJ4037" i="1"/>
  <c r="AK4037" i="1"/>
  <c r="AM4037" i="1"/>
  <c r="BF4037" i="1"/>
  <c r="BG4037" i="1"/>
  <c r="T4038" i="1"/>
  <c r="U4038" i="1"/>
  <c r="V4038" i="1"/>
  <c r="W4038" i="1"/>
  <c r="AB4038" i="1"/>
  <c r="AF4038" i="1"/>
  <c r="AC4039" i="1"/>
  <c r="AJ4038" i="1"/>
  <c r="AK4038" i="1"/>
  <c r="AM4038" i="1"/>
  <c r="BF4038" i="1"/>
  <c r="BG4038" i="1"/>
  <c r="T4039" i="1"/>
  <c r="U4039" i="1"/>
  <c r="V4039" i="1"/>
  <c r="W4039" i="1"/>
  <c r="AB4039" i="1"/>
  <c r="AF4039" i="1"/>
  <c r="K4040" i="1"/>
  <c r="AC4040" i="1"/>
  <c r="AJ4039" i="1"/>
  <c r="AK4039" i="1"/>
  <c r="AM4039" i="1"/>
  <c r="BF4039" i="1"/>
  <c r="BG4039" i="1"/>
  <c r="T4040" i="1"/>
  <c r="U4040" i="1"/>
  <c r="V4040" i="1"/>
  <c r="W4040" i="1"/>
  <c r="AB4040" i="1"/>
  <c r="AF4040" i="1"/>
  <c r="AC4041" i="1"/>
  <c r="AJ4040" i="1"/>
  <c r="AK4040" i="1"/>
  <c r="AM4040" i="1"/>
  <c r="BF4040" i="1"/>
  <c r="BG4040" i="1"/>
  <c r="T4041" i="1"/>
  <c r="U4041" i="1"/>
  <c r="V4041" i="1"/>
  <c r="W4041" i="1"/>
  <c r="AB4041" i="1"/>
  <c r="AF4041" i="1"/>
  <c r="AC4042" i="1"/>
  <c r="AJ4041" i="1"/>
  <c r="AK4041" i="1"/>
  <c r="AM4041" i="1"/>
  <c r="BF4041" i="1"/>
  <c r="BG4041" i="1"/>
  <c r="T4042" i="1"/>
  <c r="U4042" i="1"/>
  <c r="V4042" i="1"/>
  <c r="W4042" i="1"/>
  <c r="AB4042" i="1"/>
  <c r="AF4042" i="1"/>
  <c r="K4043" i="1"/>
  <c r="AC4043" i="1"/>
  <c r="AJ4042" i="1"/>
  <c r="AK4042" i="1"/>
  <c r="AM4042" i="1"/>
  <c r="BF4042" i="1"/>
  <c r="BG4042" i="1"/>
  <c r="T4043" i="1"/>
  <c r="U4043" i="1"/>
  <c r="V4043" i="1"/>
  <c r="W4043" i="1"/>
  <c r="AB4043" i="1"/>
  <c r="AF4043" i="1"/>
  <c r="K4044" i="1"/>
  <c r="AC4044" i="1"/>
  <c r="AJ4043" i="1"/>
  <c r="AK4043" i="1"/>
  <c r="AM4043" i="1"/>
  <c r="BF4043" i="1"/>
  <c r="BG4043" i="1"/>
  <c r="T4044" i="1"/>
  <c r="U4044" i="1"/>
  <c r="V4044" i="1"/>
  <c r="W4044" i="1"/>
  <c r="AB4044" i="1"/>
  <c r="AF4044" i="1"/>
  <c r="K4045" i="1"/>
  <c r="AC4045" i="1"/>
  <c r="AJ4044" i="1"/>
  <c r="AK4044" i="1"/>
  <c r="AM4044" i="1"/>
  <c r="BF4044" i="1"/>
  <c r="BG4044" i="1"/>
  <c r="T4045" i="1"/>
  <c r="U4045" i="1"/>
  <c r="V4045" i="1"/>
  <c r="W4045" i="1"/>
  <c r="AB4045" i="1"/>
  <c r="AF4045" i="1"/>
  <c r="K4046" i="1"/>
  <c r="AC4046" i="1"/>
  <c r="AJ4045" i="1"/>
  <c r="AK4045" i="1"/>
  <c r="AM4045" i="1"/>
  <c r="BF4045" i="1"/>
  <c r="BG4045" i="1"/>
  <c r="T4046" i="1"/>
  <c r="U4046" i="1"/>
  <c r="V4046" i="1"/>
  <c r="W4046" i="1"/>
  <c r="AB4046" i="1"/>
  <c r="AF4046" i="1"/>
  <c r="AC4047" i="1"/>
  <c r="AJ4046" i="1"/>
  <c r="AK4046" i="1"/>
  <c r="AM4046" i="1"/>
  <c r="BF4046" i="1"/>
  <c r="BG4046" i="1"/>
  <c r="T4047" i="1"/>
  <c r="U4047" i="1"/>
  <c r="V4047" i="1"/>
  <c r="W4047" i="1"/>
  <c r="AB4047" i="1"/>
  <c r="AF4047" i="1"/>
  <c r="AC4048" i="1"/>
  <c r="AJ4047" i="1"/>
  <c r="AK4047" i="1"/>
  <c r="AM4047" i="1"/>
  <c r="BF4047" i="1"/>
  <c r="BG4047" i="1"/>
  <c r="T4048" i="1"/>
  <c r="U4048" i="1"/>
  <c r="V4048" i="1"/>
  <c r="W4048" i="1"/>
  <c r="AB4048" i="1"/>
  <c r="AF4048" i="1"/>
  <c r="K4049" i="1"/>
  <c r="AC4049" i="1"/>
  <c r="AJ4048" i="1"/>
  <c r="AK4048" i="1"/>
  <c r="AM4048" i="1"/>
  <c r="BF4048" i="1"/>
  <c r="BG4048" i="1"/>
  <c r="T4049" i="1"/>
  <c r="U4049" i="1"/>
  <c r="V4049" i="1"/>
  <c r="W4049" i="1"/>
  <c r="AB4049" i="1"/>
  <c r="AF4049" i="1"/>
  <c r="AC4050" i="1"/>
  <c r="AJ4049" i="1"/>
  <c r="AK4049" i="1"/>
  <c r="AM4049" i="1"/>
  <c r="BF4049" i="1"/>
  <c r="BG4049" i="1"/>
  <c r="T4050" i="1"/>
  <c r="U4050" i="1"/>
  <c r="V4050" i="1"/>
  <c r="W4050" i="1"/>
  <c r="AB4050" i="1"/>
  <c r="AF4050" i="1"/>
  <c r="AC4051" i="1"/>
  <c r="AJ4050" i="1"/>
  <c r="AK4050" i="1"/>
  <c r="AM4050" i="1"/>
  <c r="BF4050" i="1"/>
  <c r="BG4050" i="1"/>
  <c r="T4051" i="1"/>
  <c r="U4051" i="1"/>
  <c r="V4051" i="1"/>
  <c r="W4051" i="1"/>
  <c r="AB4051" i="1"/>
  <c r="AF4051" i="1"/>
  <c r="K4052" i="1"/>
  <c r="AC4052" i="1"/>
  <c r="AJ4051" i="1"/>
  <c r="AK4051" i="1"/>
  <c r="AM4051" i="1"/>
  <c r="BF4051" i="1"/>
  <c r="BG4051" i="1"/>
  <c r="T4052" i="1"/>
  <c r="U4052" i="1"/>
  <c r="V4052" i="1"/>
  <c r="W4052" i="1"/>
  <c r="AB4052" i="1"/>
  <c r="AF4052" i="1"/>
  <c r="K4053" i="1"/>
  <c r="AC4053" i="1"/>
  <c r="AJ4052" i="1"/>
  <c r="AK4052" i="1"/>
  <c r="AM4052" i="1"/>
  <c r="BF4052" i="1"/>
  <c r="BG4052" i="1"/>
  <c r="T4053" i="1"/>
  <c r="U4053" i="1"/>
  <c r="V4053" i="1"/>
  <c r="W4053" i="1"/>
  <c r="AB4053" i="1"/>
  <c r="AF4053" i="1"/>
  <c r="AC4054" i="1"/>
  <c r="AJ4053" i="1"/>
  <c r="AK4053" i="1"/>
  <c r="AM4053" i="1"/>
  <c r="BF4053" i="1"/>
  <c r="BG4053" i="1"/>
  <c r="T4054" i="1"/>
  <c r="U4054" i="1"/>
  <c r="V4054" i="1"/>
  <c r="W4054" i="1"/>
  <c r="AB4054" i="1"/>
  <c r="AF4054" i="1"/>
  <c r="AC4055" i="1"/>
  <c r="AJ4054" i="1"/>
  <c r="AK4054" i="1"/>
  <c r="AM4054" i="1"/>
  <c r="BF4054" i="1"/>
  <c r="BG4054" i="1"/>
  <c r="T4055" i="1"/>
  <c r="U4055" i="1"/>
  <c r="V4055" i="1"/>
  <c r="W4055" i="1"/>
  <c r="AB4055" i="1"/>
  <c r="AF4055" i="1"/>
  <c r="K4056" i="1"/>
  <c r="AC4056" i="1"/>
  <c r="AJ4055" i="1"/>
  <c r="AK4055" i="1"/>
  <c r="AM4055" i="1"/>
  <c r="BF4055" i="1"/>
  <c r="BG4055" i="1"/>
  <c r="T4056" i="1"/>
  <c r="U4056" i="1"/>
  <c r="V4056" i="1"/>
  <c r="W4056" i="1"/>
  <c r="AB4056" i="1"/>
  <c r="AF4056" i="1"/>
  <c r="K4057" i="1"/>
  <c r="AC4057" i="1"/>
  <c r="AJ4056" i="1"/>
  <c r="AK4056" i="1"/>
  <c r="AM4056" i="1"/>
  <c r="BF4056" i="1"/>
  <c r="BG4056" i="1"/>
  <c r="T4057" i="1"/>
  <c r="U4057" i="1"/>
  <c r="V4057" i="1"/>
  <c r="W4057" i="1"/>
  <c r="AB4057" i="1"/>
  <c r="AF4057" i="1"/>
  <c r="K4058" i="1"/>
  <c r="AC4058" i="1"/>
  <c r="AJ4057" i="1"/>
  <c r="AK4057" i="1"/>
  <c r="AM4057" i="1"/>
  <c r="BF4057" i="1"/>
  <c r="BG4057" i="1"/>
  <c r="T4058" i="1"/>
  <c r="U4058" i="1"/>
  <c r="V4058" i="1"/>
  <c r="W4058" i="1"/>
  <c r="AB4058" i="1"/>
  <c r="AF4058" i="1"/>
  <c r="K4059" i="1"/>
  <c r="AC4059" i="1"/>
  <c r="AJ4058" i="1"/>
  <c r="AK4058" i="1"/>
  <c r="AM4058" i="1"/>
  <c r="BF4058" i="1"/>
  <c r="BG4058" i="1"/>
  <c r="T4059" i="1"/>
  <c r="U4059" i="1"/>
  <c r="V4059" i="1"/>
  <c r="W4059" i="1"/>
  <c r="AB4059" i="1"/>
  <c r="AF4059" i="1"/>
  <c r="AC4060" i="1"/>
  <c r="AJ4059" i="1"/>
  <c r="AK4059" i="1"/>
  <c r="AM4059" i="1"/>
  <c r="BF4059" i="1"/>
  <c r="BG4059" i="1"/>
  <c r="T4060" i="1"/>
  <c r="U4060" i="1"/>
  <c r="V4060" i="1"/>
  <c r="W4060" i="1"/>
  <c r="AB4060" i="1"/>
  <c r="AF4060" i="1"/>
  <c r="AC4061" i="1"/>
  <c r="AJ4060" i="1"/>
  <c r="AK4060" i="1"/>
  <c r="AM4060" i="1"/>
  <c r="BF4060" i="1"/>
  <c r="BG4060" i="1"/>
  <c r="T4061" i="1"/>
  <c r="U4061" i="1"/>
  <c r="V4061" i="1"/>
  <c r="W4061" i="1"/>
  <c r="AB4061" i="1"/>
  <c r="AF4061" i="1"/>
  <c r="K4062" i="1"/>
  <c r="AC4062" i="1"/>
  <c r="AJ4061" i="1"/>
  <c r="AK4061" i="1"/>
  <c r="AM4061" i="1"/>
  <c r="BF4061" i="1"/>
  <c r="BG4061" i="1"/>
  <c r="T4062" i="1"/>
  <c r="U4062" i="1"/>
  <c r="V4062" i="1"/>
  <c r="W4062" i="1"/>
  <c r="AB4062" i="1"/>
  <c r="AF4062" i="1"/>
  <c r="AC4063" i="1"/>
  <c r="AJ4062" i="1"/>
  <c r="AK4062" i="1"/>
  <c r="AM4062" i="1"/>
  <c r="BF4062" i="1"/>
  <c r="BG4062" i="1"/>
  <c r="T4063" i="1"/>
  <c r="U4063" i="1"/>
  <c r="V4063" i="1"/>
  <c r="W4063" i="1"/>
  <c r="AB4063" i="1"/>
  <c r="AF4063" i="1"/>
  <c r="AC4064" i="1"/>
  <c r="AJ4063" i="1"/>
  <c r="AK4063" i="1"/>
  <c r="AM4063" i="1"/>
  <c r="BF4063" i="1"/>
  <c r="BG4063" i="1"/>
  <c r="T4064" i="1"/>
  <c r="U4064" i="1"/>
  <c r="V4064" i="1"/>
  <c r="W4064" i="1"/>
  <c r="AB4064" i="1"/>
  <c r="AF4064" i="1"/>
  <c r="K4065" i="1"/>
  <c r="AC4065" i="1"/>
  <c r="AJ4064" i="1"/>
  <c r="AK4064" i="1"/>
  <c r="AM4064" i="1"/>
  <c r="BF4064" i="1"/>
  <c r="BG4064" i="1"/>
  <c r="T4065" i="1"/>
  <c r="U4065" i="1"/>
  <c r="V4065" i="1"/>
  <c r="W4065" i="1"/>
  <c r="AB4065" i="1"/>
  <c r="AF4065" i="1"/>
  <c r="AC4066" i="1"/>
  <c r="AJ4065" i="1"/>
  <c r="AK4065" i="1"/>
  <c r="AM4065" i="1"/>
  <c r="BF4065" i="1"/>
  <c r="BG4065" i="1"/>
  <c r="T4066" i="1"/>
  <c r="U4066" i="1"/>
  <c r="V4066" i="1"/>
  <c r="W4066" i="1"/>
  <c r="AB4066" i="1"/>
  <c r="AF4066" i="1"/>
  <c r="AC4067" i="1"/>
  <c r="AJ4066" i="1"/>
  <c r="AK4066" i="1"/>
  <c r="AM4066" i="1"/>
  <c r="BF4066" i="1"/>
  <c r="BG4066" i="1"/>
  <c r="T4067" i="1"/>
  <c r="U4067" i="1"/>
  <c r="V4067" i="1"/>
  <c r="W4067" i="1"/>
  <c r="AB4067" i="1"/>
  <c r="AF4067" i="1"/>
  <c r="K4068" i="1"/>
  <c r="AC4068" i="1"/>
  <c r="AJ4067" i="1"/>
  <c r="AK4067" i="1"/>
  <c r="AM4067" i="1"/>
  <c r="BF4067" i="1"/>
  <c r="BG4067" i="1"/>
  <c r="T4068" i="1"/>
  <c r="U4068" i="1"/>
  <c r="V4068" i="1"/>
  <c r="W4068" i="1"/>
  <c r="AB4068" i="1"/>
  <c r="AF4068" i="1"/>
  <c r="AC4069" i="1"/>
  <c r="AJ4068" i="1"/>
  <c r="AK4068" i="1"/>
  <c r="AM4068" i="1"/>
  <c r="BF4068" i="1"/>
  <c r="BG4068" i="1"/>
  <c r="T4069" i="1"/>
  <c r="U4069" i="1"/>
  <c r="V4069" i="1"/>
  <c r="W4069" i="1"/>
  <c r="AB4069" i="1"/>
  <c r="AF4069" i="1"/>
  <c r="AC4070" i="1"/>
  <c r="AJ4069" i="1"/>
  <c r="AK4069" i="1"/>
  <c r="AM4069" i="1"/>
  <c r="BF4069" i="1"/>
  <c r="BG4069" i="1"/>
  <c r="T4070" i="1"/>
  <c r="U4070" i="1"/>
  <c r="V4070" i="1"/>
  <c r="W4070" i="1"/>
  <c r="AB4070" i="1"/>
  <c r="AF4070" i="1"/>
  <c r="K4071" i="1"/>
  <c r="AC4071" i="1"/>
  <c r="AJ4070" i="1"/>
  <c r="AK4070" i="1"/>
  <c r="AM4070" i="1"/>
  <c r="BF4070" i="1"/>
  <c r="BG4070" i="1"/>
  <c r="T4071" i="1"/>
  <c r="U4071" i="1"/>
  <c r="V4071" i="1"/>
  <c r="W4071" i="1"/>
  <c r="AB4071" i="1"/>
  <c r="AF4071" i="1"/>
  <c r="AC4072" i="1"/>
  <c r="AJ4071" i="1"/>
  <c r="AK4071" i="1"/>
  <c r="AM4071" i="1"/>
  <c r="BF4071" i="1"/>
  <c r="BG4071" i="1"/>
  <c r="T4072" i="1"/>
  <c r="U4072" i="1"/>
  <c r="V4072" i="1"/>
  <c r="W4072" i="1"/>
  <c r="AB4072" i="1"/>
  <c r="AF4072" i="1"/>
  <c r="AC4073" i="1"/>
  <c r="AJ4072" i="1"/>
  <c r="AK4072" i="1"/>
  <c r="AM4072" i="1"/>
  <c r="BF4072" i="1"/>
  <c r="BG4072" i="1"/>
  <c r="T4073" i="1"/>
  <c r="U4073" i="1"/>
  <c r="V4073" i="1"/>
  <c r="W4073" i="1"/>
  <c r="AB4073" i="1"/>
  <c r="AF4073" i="1"/>
  <c r="K4074" i="1"/>
  <c r="AC4074" i="1"/>
  <c r="AJ4073" i="1"/>
  <c r="AK4073" i="1"/>
  <c r="AM4073" i="1"/>
  <c r="BF4073" i="1"/>
  <c r="BG4073" i="1"/>
  <c r="T4074" i="1"/>
  <c r="U4074" i="1"/>
  <c r="V4074" i="1"/>
  <c r="W4074" i="1"/>
  <c r="AB4074" i="1"/>
  <c r="AF4074" i="1"/>
  <c r="AC4075" i="1"/>
  <c r="AJ4074" i="1"/>
  <c r="AK4074" i="1"/>
  <c r="AM4074" i="1"/>
  <c r="BF4074" i="1"/>
  <c r="BG4074" i="1"/>
  <c r="T4075" i="1"/>
  <c r="U4075" i="1"/>
  <c r="V4075" i="1"/>
  <c r="W4075" i="1"/>
  <c r="AB4075" i="1"/>
  <c r="AF4075" i="1"/>
  <c r="AC4076" i="1"/>
  <c r="AJ4075" i="1"/>
  <c r="AK4075" i="1"/>
  <c r="AM4075" i="1"/>
  <c r="BF4075" i="1"/>
  <c r="BG4075" i="1"/>
  <c r="T4076" i="1"/>
  <c r="U4076" i="1"/>
  <c r="V4076" i="1"/>
  <c r="W4076" i="1"/>
  <c r="AB4076" i="1"/>
  <c r="AF4076" i="1"/>
  <c r="K4077" i="1"/>
  <c r="AC4077" i="1"/>
  <c r="AJ4076" i="1"/>
  <c r="AK4076" i="1"/>
  <c r="AM4076" i="1"/>
  <c r="BF4076" i="1"/>
  <c r="BG4076" i="1"/>
  <c r="T4077" i="1"/>
  <c r="U4077" i="1"/>
  <c r="V4077" i="1"/>
  <c r="W4077" i="1"/>
  <c r="AB4077" i="1"/>
  <c r="AF4077" i="1"/>
  <c r="K4078" i="1"/>
  <c r="AC4078" i="1"/>
  <c r="AJ4077" i="1"/>
  <c r="AK4077" i="1"/>
  <c r="AM4077" i="1"/>
  <c r="BF4077" i="1"/>
  <c r="BG4077" i="1"/>
  <c r="T4078" i="1"/>
  <c r="U4078" i="1"/>
  <c r="V4078" i="1"/>
  <c r="W4078" i="1"/>
  <c r="AB4078" i="1"/>
  <c r="AF4078" i="1"/>
  <c r="AC4079" i="1"/>
  <c r="AJ4078" i="1"/>
  <c r="AK4078" i="1"/>
  <c r="AM4078" i="1"/>
  <c r="BF4078" i="1"/>
  <c r="BG4078" i="1"/>
  <c r="T4079" i="1"/>
  <c r="U4079" i="1"/>
  <c r="V4079" i="1"/>
  <c r="W4079" i="1"/>
  <c r="AB4079" i="1"/>
  <c r="AF4079" i="1"/>
  <c r="AC4080" i="1"/>
  <c r="AJ4079" i="1"/>
  <c r="AK4079" i="1"/>
  <c r="AM4079" i="1"/>
  <c r="BF4079" i="1"/>
  <c r="BG4079" i="1"/>
  <c r="T4080" i="1"/>
  <c r="U4080" i="1"/>
  <c r="V4080" i="1"/>
  <c r="W4080" i="1"/>
  <c r="AB4080" i="1"/>
  <c r="AF4080" i="1"/>
  <c r="K4081" i="1"/>
  <c r="AC4081" i="1"/>
  <c r="AJ4080" i="1"/>
  <c r="AK4080" i="1"/>
  <c r="AM4080" i="1"/>
  <c r="BF4080" i="1"/>
  <c r="BG4080" i="1"/>
  <c r="T4081" i="1"/>
  <c r="U4081" i="1"/>
  <c r="V4081" i="1"/>
  <c r="W4081" i="1"/>
  <c r="AB4081" i="1"/>
  <c r="AF4081" i="1"/>
  <c r="K4082" i="1"/>
  <c r="AC4082" i="1"/>
  <c r="AJ4081" i="1"/>
  <c r="AK4081" i="1"/>
  <c r="AM4081" i="1"/>
  <c r="BF4081" i="1"/>
  <c r="BG4081" i="1"/>
  <c r="T4082" i="1"/>
  <c r="U4082" i="1"/>
  <c r="V4082" i="1"/>
  <c r="W4082" i="1"/>
  <c r="AB4082" i="1"/>
  <c r="AF4082" i="1"/>
  <c r="AC4083" i="1"/>
  <c r="AJ4082" i="1"/>
  <c r="AK4082" i="1"/>
  <c r="AM4082" i="1"/>
  <c r="BF4082" i="1"/>
  <c r="BG4082" i="1"/>
  <c r="T4083" i="1"/>
  <c r="U4083" i="1"/>
  <c r="V4083" i="1"/>
  <c r="W4083" i="1"/>
  <c r="AB4083" i="1"/>
  <c r="AF4083" i="1"/>
  <c r="AC4084" i="1"/>
  <c r="AJ4083" i="1"/>
  <c r="AK4083" i="1"/>
  <c r="AM4083" i="1"/>
  <c r="BF4083" i="1"/>
  <c r="BG4083" i="1"/>
  <c r="T4084" i="1"/>
  <c r="U4084" i="1"/>
  <c r="V4084" i="1"/>
  <c r="W4084" i="1"/>
  <c r="AB4084" i="1"/>
  <c r="AF4084" i="1"/>
  <c r="K4085" i="1"/>
  <c r="AC4085" i="1"/>
  <c r="AJ4084" i="1"/>
  <c r="AK4084" i="1"/>
  <c r="AM4084" i="1"/>
  <c r="BF4084" i="1"/>
  <c r="BG4084" i="1"/>
  <c r="T4085" i="1"/>
  <c r="U4085" i="1"/>
  <c r="V4085" i="1"/>
  <c r="W4085" i="1"/>
  <c r="AB4085" i="1"/>
  <c r="AF4085" i="1"/>
  <c r="K4086" i="1"/>
  <c r="AC4086" i="1"/>
  <c r="AJ4085" i="1"/>
  <c r="AK4085" i="1"/>
  <c r="AM4085" i="1"/>
  <c r="BF4085" i="1"/>
  <c r="BG4085" i="1"/>
  <c r="T4086" i="1"/>
  <c r="U4086" i="1"/>
  <c r="V4086" i="1"/>
  <c r="W4086" i="1"/>
  <c r="AB4086" i="1"/>
  <c r="AF4086" i="1"/>
  <c r="K4087" i="1"/>
  <c r="AC4087" i="1"/>
  <c r="AJ4086" i="1"/>
  <c r="AK4086" i="1"/>
  <c r="AM4086" i="1"/>
  <c r="BF4086" i="1"/>
  <c r="BG4086" i="1"/>
  <c r="T4087" i="1"/>
  <c r="U4087" i="1"/>
  <c r="V4087" i="1"/>
  <c r="W4087" i="1"/>
  <c r="AB4087" i="1"/>
  <c r="AF4087" i="1"/>
  <c r="AC4088" i="1"/>
  <c r="AJ4087" i="1"/>
  <c r="AK4087" i="1"/>
  <c r="AM4087" i="1"/>
  <c r="BF4087" i="1"/>
  <c r="BG4087" i="1"/>
  <c r="T4088" i="1"/>
  <c r="U4088" i="1"/>
  <c r="V4088" i="1"/>
  <c r="W4088" i="1"/>
  <c r="AB4088" i="1"/>
  <c r="AF4088" i="1"/>
  <c r="AC4089" i="1"/>
  <c r="AJ4088" i="1"/>
  <c r="AK4088" i="1"/>
  <c r="AM4088" i="1"/>
  <c r="BF4088" i="1"/>
  <c r="BG4088" i="1"/>
  <c r="T4089" i="1"/>
  <c r="U4089" i="1"/>
  <c r="V4089" i="1"/>
  <c r="W4089" i="1"/>
  <c r="AB4089" i="1"/>
  <c r="AF4089" i="1"/>
  <c r="K4090" i="1"/>
  <c r="AC4090" i="1"/>
  <c r="AJ4089" i="1"/>
  <c r="AK4089" i="1"/>
  <c r="AM4089" i="1"/>
  <c r="BF4089" i="1"/>
  <c r="BG4089" i="1"/>
  <c r="T4090" i="1"/>
  <c r="U4090" i="1"/>
  <c r="V4090" i="1"/>
  <c r="W4090" i="1"/>
  <c r="AB4090" i="1"/>
  <c r="AF4090" i="1"/>
  <c r="K4091" i="1"/>
  <c r="AC4091" i="1"/>
  <c r="AJ4090" i="1"/>
  <c r="AK4090" i="1"/>
  <c r="AM4090" i="1"/>
  <c r="BF4090" i="1"/>
  <c r="BG4090" i="1"/>
  <c r="T4091" i="1"/>
  <c r="U4091" i="1"/>
  <c r="V4091" i="1"/>
  <c r="W4091" i="1"/>
  <c r="AB4091" i="1"/>
  <c r="AF4091" i="1"/>
  <c r="AC4092" i="1"/>
  <c r="AJ4091" i="1"/>
  <c r="AK4091" i="1"/>
  <c r="AM4091" i="1"/>
  <c r="BF4091" i="1"/>
  <c r="BG4091" i="1"/>
  <c r="T4092" i="1"/>
  <c r="U4092" i="1"/>
  <c r="V4092" i="1"/>
  <c r="W4092" i="1"/>
  <c r="AB4092" i="1"/>
  <c r="AF4092" i="1"/>
  <c r="AC4093" i="1"/>
  <c r="AJ4092" i="1"/>
  <c r="AK4092" i="1"/>
  <c r="AM4092" i="1"/>
  <c r="BF4092" i="1"/>
  <c r="BG4092" i="1"/>
  <c r="T4093" i="1"/>
  <c r="U4093" i="1"/>
  <c r="V4093" i="1"/>
  <c r="W4093" i="1"/>
  <c r="AB4093" i="1"/>
  <c r="AF4093" i="1"/>
  <c r="K4094" i="1"/>
  <c r="AC4094" i="1"/>
  <c r="AJ4093" i="1"/>
  <c r="AK4093" i="1"/>
  <c r="AM4093" i="1"/>
  <c r="BF4093" i="1"/>
  <c r="BG4093" i="1"/>
  <c r="T4094" i="1"/>
  <c r="U4094" i="1"/>
  <c r="V4094" i="1"/>
  <c r="W4094" i="1"/>
  <c r="AB4094" i="1"/>
  <c r="AF4094" i="1"/>
  <c r="AC4095" i="1"/>
  <c r="AJ4094" i="1"/>
  <c r="AK4094" i="1"/>
  <c r="AM4094" i="1"/>
  <c r="BF4094" i="1"/>
  <c r="BG4094" i="1"/>
  <c r="T4095" i="1"/>
  <c r="U4095" i="1"/>
  <c r="V4095" i="1"/>
  <c r="W4095" i="1"/>
  <c r="AB4095" i="1"/>
  <c r="AF4095" i="1"/>
  <c r="AC4096" i="1"/>
  <c r="AJ4095" i="1"/>
  <c r="AK4095" i="1"/>
  <c r="AM4095" i="1"/>
  <c r="BF4095" i="1"/>
  <c r="BG4095" i="1"/>
  <c r="T4096" i="1"/>
  <c r="U4096" i="1"/>
  <c r="V4096" i="1"/>
  <c r="W4096" i="1"/>
  <c r="AB4096" i="1"/>
  <c r="AF4096" i="1"/>
  <c r="K4097" i="1"/>
  <c r="AC4097" i="1"/>
  <c r="AJ4096" i="1"/>
  <c r="AK4096" i="1"/>
  <c r="AM4096" i="1"/>
  <c r="BF4096" i="1"/>
  <c r="BG4096" i="1"/>
  <c r="T4097" i="1"/>
  <c r="U4097" i="1"/>
  <c r="V4097" i="1"/>
  <c r="W4097" i="1"/>
  <c r="AB4097" i="1"/>
  <c r="AF4097" i="1"/>
  <c r="K4098" i="1"/>
  <c r="AC4098" i="1"/>
  <c r="AJ4097" i="1"/>
  <c r="AK4097" i="1"/>
  <c r="AM4097" i="1"/>
  <c r="BF4097" i="1"/>
  <c r="BG4097" i="1"/>
  <c r="T4098" i="1"/>
  <c r="U4098" i="1"/>
  <c r="V4098" i="1"/>
  <c r="W4098" i="1"/>
  <c r="AB4098" i="1"/>
  <c r="AF4098" i="1"/>
  <c r="AC4099" i="1"/>
  <c r="AJ4098" i="1"/>
  <c r="AK4098" i="1"/>
  <c r="AM4098" i="1"/>
  <c r="BF4098" i="1"/>
  <c r="BG4098" i="1"/>
  <c r="T4099" i="1"/>
  <c r="U4099" i="1"/>
  <c r="V4099" i="1"/>
  <c r="W4099" i="1"/>
  <c r="AB4099" i="1"/>
  <c r="AF4099" i="1"/>
  <c r="AC4100" i="1"/>
  <c r="AJ4099" i="1"/>
  <c r="AK4099" i="1"/>
  <c r="AM4099" i="1"/>
  <c r="BF4099" i="1"/>
  <c r="BG4099" i="1"/>
  <c r="T4100" i="1"/>
  <c r="U4100" i="1"/>
  <c r="V4100" i="1"/>
  <c r="W4100" i="1"/>
  <c r="AB4100" i="1"/>
  <c r="AF4100" i="1"/>
  <c r="K4101" i="1"/>
  <c r="AC4101" i="1"/>
  <c r="AJ4100" i="1"/>
  <c r="AK4100" i="1"/>
  <c r="AM4100" i="1"/>
  <c r="BF4100" i="1"/>
  <c r="BG4100" i="1"/>
  <c r="T4101" i="1"/>
  <c r="U4101" i="1"/>
  <c r="V4101" i="1"/>
  <c r="W4101" i="1"/>
  <c r="AB4101" i="1"/>
  <c r="AF4101" i="1"/>
  <c r="AC4102" i="1"/>
  <c r="AJ4101" i="1"/>
  <c r="AK4101" i="1"/>
  <c r="AM4101" i="1"/>
  <c r="BF4101" i="1"/>
  <c r="BG4101" i="1"/>
  <c r="T4102" i="1"/>
  <c r="U4102" i="1"/>
  <c r="V4102" i="1"/>
  <c r="W4102" i="1"/>
  <c r="AB4102" i="1"/>
  <c r="AF4102" i="1"/>
  <c r="AC4103" i="1"/>
  <c r="AJ4102" i="1"/>
  <c r="AK4102" i="1"/>
  <c r="AM4102" i="1"/>
  <c r="BF4102" i="1"/>
  <c r="BG4102" i="1"/>
  <c r="T4103" i="1"/>
  <c r="U4103" i="1"/>
  <c r="V4103" i="1"/>
  <c r="W4103" i="1"/>
  <c r="AB4103" i="1"/>
  <c r="AF4103" i="1"/>
  <c r="K4104" i="1"/>
  <c r="AC4104" i="1"/>
  <c r="AJ4103" i="1"/>
  <c r="AK4103" i="1"/>
  <c r="AM4103" i="1"/>
  <c r="BF4103" i="1"/>
  <c r="BG4103" i="1"/>
  <c r="T4104" i="1"/>
  <c r="U4104" i="1"/>
  <c r="V4104" i="1"/>
  <c r="W4104" i="1"/>
  <c r="AB4104" i="1"/>
  <c r="AF4104" i="1"/>
  <c r="AC4105" i="1"/>
  <c r="AJ4104" i="1"/>
  <c r="AK4104" i="1"/>
  <c r="AM4104" i="1"/>
  <c r="BF4104" i="1"/>
  <c r="BG4104" i="1"/>
  <c r="T4105" i="1"/>
  <c r="U4105" i="1"/>
  <c r="V4105" i="1"/>
  <c r="W4105" i="1"/>
  <c r="AB4105" i="1"/>
  <c r="AF4105" i="1"/>
  <c r="AC4106" i="1"/>
  <c r="AJ4105" i="1"/>
  <c r="AK4105" i="1"/>
  <c r="AM4105" i="1"/>
  <c r="BF4105" i="1"/>
  <c r="BG4105" i="1"/>
  <c r="T4106" i="1"/>
  <c r="U4106" i="1"/>
  <c r="V4106" i="1"/>
  <c r="W4106" i="1"/>
  <c r="AB4106" i="1"/>
  <c r="AF4106" i="1"/>
  <c r="K4107" i="1"/>
  <c r="AC4107" i="1"/>
  <c r="AJ4106" i="1"/>
  <c r="AK4106" i="1"/>
  <c r="AM4106" i="1"/>
  <c r="BF4106" i="1"/>
  <c r="BG4106" i="1"/>
  <c r="T4107" i="1"/>
  <c r="U4107" i="1"/>
  <c r="V4107" i="1"/>
  <c r="W4107" i="1"/>
  <c r="AB4107" i="1"/>
  <c r="AF4107" i="1"/>
  <c r="AC4108" i="1"/>
  <c r="AJ4107" i="1"/>
  <c r="AK4107" i="1"/>
  <c r="AM4107" i="1"/>
  <c r="BF4107" i="1"/>
  <c r="BG4107" i="1"/>
  <c r="T4108" i="1"/>
  <c r="U4108" i="1"/>
  <c r="V4108" i="1"/>
  <c r="W4108" i="1"/>
  <c r="AB4108" i="1"/>
  <c r="AF4108" i="1"/>
  <c r="AC4109" i="1"/>
  <c r="AJ4108" i="1"/>
  <c r="AK4108" i="1"/>
  <c r="AM4108" i="1"/>
  <c r="BF4108" i="1"/>
  <c r="BG4108" i="1"/>
  <c r="T4109" i="1"/>
  <c r="U4109" i="1"/>
  <c r="V4109" i="1"/>
  <c r="W4109" i="1"/>
  <c r="AB4109" i="1"/>
  <c r="AF4109" i="1"/>
  <c r="K4110" i="1"/>
  <c r="AC4110" i="1"/>
  <c r="AJ4109" i="1"/>
  <c r="AK4109" i="1"/>
  <c r="AM4109" i="1"/>
  <c r="BF4109" i="1"/>
  <c r="BG4109" i="1"/>
  <c r="T4110" i="1"/>
  <c r="U4110" i="1"/>
  <c r="V4110" i="1"/>
  <c r="W4110" i="1"/>
  <c r="AB4110" i="1"/>
  <c r="AF4110" i="1"/>
  <c r="K4111" i="1"/>
  <c r="AC4111" i="1"/>
  <c r="AJ4110" i="1"/>
  <c r="AK4110" i="1"/>
  <c r="AM4110" i="1"/>
  <c r="BF4110" i="1"/>
  <c r="BG4110" i="1"/>
  <c r="T4111" i="1"/>
  <c r="U4111" i="1"/>
  <c r="V4111" i="1"/>
  <c r="W4111" i="1"/>
  <c r="AB4111" i="1"/>
  <c r="AF4111" i="1"/>
  <c r="K4112" i="1"/>
  <c r="AC4112" i="1"/>
  <c r="AJ4111" i="1"/>
  <c r="AK4111" i="1"/>
  <c r="AM4111" i="1"/>
  <c r="BF4111" i="1"/>
  <c r="BG4111" i="1"/>
  <c r="T4112" i="1"/>
  <c r="U4112" i="1"/>
  <c r="V4112" i="1"/>
  <c r="W4112" i="1"/>
  <c r="AB4112" i="1"/>
  <c r="AF4112" i="1"/>
  <c r="K4113" i="1"/>
  <c r="AC4113" i="1"/>
  <c r="AJ4112" i="1"/>
  <c r="AK4112" i="1"/>
  <c r="AM4112" i="1"/>
  <c r="BF4112" i="1"/>
  <c r="BG4112" i="1"/>
  <c r="T4113" i="1"/>
  <c r="U4113" i="1"/>
  <c r="V4113" i="1"/>
  <c r="W4113" i="1"/>
  <c r="AB4113" i="1"/>
  <c r="AF4113" i="1"/>
  <c r="K4114" i="1"/>
  <c r="AC4114" i="1"/>
  <c r="AJ4113" i="1"/>
  <c r="AK4113" i="1"/>
  <c r="AM4113" i="1"/>
  <c r="BF4113" i="1"/>
  <c r="BG4113" i="1"/>
  <c r="T4114" i="1"/>
  <c r="U4114" i="1"/>
  <c r="V4114" i="1"/>
  <c r="W4114" i="1"/>
  <c r="AB4114" i="1"/>
  <c r="AF4114" i="1"/>
  <c r="AC4115" i="1"/>
  <c r="AJ4114" i="1"/>
  <c r="AK4114" i="1"/>
  <c r="AM4114" i="1"/>
  <c r="BF4114" i="1"/>
  <c r="BG4114" i="1"/>
  <c r="T4115" i="1"/>
  <c r="U4115" i="1"/>
  <c r="V4115" i="1"/>
  <c r="W4115" i="1"/>
  <c r="AB4115" i="1"/>
  <c r="AF4115" i="1"/>
  <c r="AC4116" i="1"/>
  <c r="AJ4115" i="1"/>
  <c r="AK4115" i="1"/>
  <c r="AM4115" i="1"/>
  <c r="BF4115" i="1"/>
  <c r="BG4115" i="1"/>
  <c r="T4116" i="1"/>
  <c r="U4116" i="1"/>
  <c r="V4116" i="1"/>
  <c r="W4116" i="1"/>
  <c r="AB4116" i="1"/>
  <c r="AF4116" i="1"/>
  <c r="K4117" i="1"/>
  <c r="AC4117" i="1"/>
  <c r="AJ4116" i="1"/>
  <c r="AK4116" i="1"/>
  <c r="AM4116" i="1"/>
  <c r="BF4116" i="1"/>
  <c r="BG4116" i="1"/>
  <c r="T4117" i="1"/>
  <c r="U4117" i="1"/>
  <c r="V4117" i="1"/>
  <c r="W4117" i="1"/>
  <c r="AB4117" i="1"/>
  <c r="AF4117" i="1"/>
  <c r="AC4118" i="1"/>
  <c r="AJ4117" i="1"/>
  <c r="AK4117" i="1"/>
  <c r="AM4117" i="1"/>
  <c r="BF4117" i="1"/>
  <c r="BG4117" i="1"/>
  <c r="T4118" i="1"/>
  <c r="U4118" i="1"/>
  <c r="V4118" i="1"/>
  <c r="W4118" i="1"/>
  <c r="AB4118" i="1"/>
  <c r="AF4118" i="1"/>
  <c r="AC4119" i="1"/>
  <c r="AJ4118" i="1"/>
  <c r="AK4118" i="1"/>
  <c r="AM4118" i="1"/>
  <c r="BF4118" i="1"/>
  <c r="BG4118" i="1"/>
  <c r="T4119" i="1"/>
  <c r="U4119" i="1"/>
  <c r="V4119" i="1"/>
  <c r="W4119" i="1"/>
  <c r="AB4119" i="1"/>
  <c r="AF4119" i="1"/>
  <c r="K4120" i="1"/>
  <c r="AC4120" i="1"/>
  <c r="AJ4119" i="1"/>
  <c r="AK4119" i="1"/>
  <c r="AM4119" i="1"/>
  <c r="BF4119" i="1"/>
  <c r="BG4119" i="1"/>
  <c r="T4120" i="1"/>
  <c r="U4120" i="1"/>
  <c r="V4120" i="1"/>
  <c r="W4120" i="1"/>
  <c r="AB4120" i="1"/>
  <c r="AF4120" i="1"/>
  <c r="K4121" i="1"/>
  <c r="AC4121" i="1"/>
  <c r="AJ4120" i="1"/>
  <c r="AK4120" i="1"/>
  <c r="AM4120" i="1"/>
  <c r="BF4120" i="1"/>
  <c r="BG4120" i="1"/>
  <c r="T4121" i="1"/>
  <c r="U4121" i="1"/>
  <c r="V4121" i="1"/>
  <c r="W4121" i="1"/>
  <c r="AB4121" i="1"/>
  <c r="AF4121" i="1"/>
  <c r="AC4122" i="1"/>
  <c r="AJ4121" i="1"/>
  <c r="AK4121" i="1"/>
  <c r="AM4121" i="1"/>
  <c r="BF4121" i="1"/>
  <c r="BG4121" i="1"/>
  <c r="T4122" i="1"/>
  <c r="U4122" i="1"/>
  <c r="V4122" i="1"/>
  <c r="W4122" i="1"/>
  <c r="AB4122" i="1"/>
  <c r="AF4122" i="1"/>
  <c r="AC4123" i="1"/>
  <c r="AJ4122" i="1"/>
  <c r="AK4122" i="1"/>
  <c r="AM4122" i="1"/>
  <c r="BF4122" i="1"/>
  <c r="BG4122" i="1"/>
  <c r="T4123" i="1"/>
  <c r="U4123" i="1"/>
  <c r="V4123" i="1"/>
  <c r="W4123" i="1"/>
  <c r="AB4123" i="1"/>
  <c r="AF4123" i="1"/>
  <c r="K4124" i="1"/>
  <c r="AC4124" i="1"/>
  <c r="AJ4123" i="1"/>
  <c r="AK4123" i="1"/>
  <c r="AM4123" i="1"/>
  <c r="BF4123" i="1"/>
  <c r="BG4123" i="1"/>
  <c r="T4124" i="1"/>
  <c r="U4124" i="1"/>
  <c r="V4124" i="1"/>
  <c r="W4124" i="1"/>
  <c r="AB4124" i="1"/>
  <c r="AF4124" i="1"/>
  <c r="K4125" i="1"/>
  <c r="AC4125" i="1"/>
  <c r="AJ4124" i="1"/>
  <c r="AK4124" i="1"/>
  <c r="AM4124" i="1"/>
  <c r="BF4124" i="1"/>
  <c r="BG4124" i="1"/>
  <c r="T4125" i="1"/>
  <c r="U4125" i="1"/>
  <c r="V4125" i="1"/>
  <c r="W4125" i="1"/>
  <c r="AB4125" i="1"/>
  <c r="AF4125" i="1"/>
  <c r="AC4126" i="1"/>
  <c r="AJ4125" i="1"/>
  <c r="AK4125" i="1"/>
  <c r="AM4125" i="1"/>
  <c r="BF4125" i="1"/>
  <c r="BG4125" i="1"/>
  <c r="T4126" i="1"/>
  <c r="U4126" i="1"/>
  <c r="V4126" i="1"/>
  <c r="W4126" i="1"/>
  <c r="AB4126" i="1"/>
  <c r="AF4126" i="1"/>
  <c r="AC4127" i="1"/>
  <c r="AJ4126" i="1"/>
  <c r="AK4126" i="1"/>
  <c r="AM4126" i="1"/>
  <c r="BF4126" i="1"/>
  <c r="BG4126" i="1"/>
  <c r="T4127" i="1"/>
  <c r="U4127" i="1"/>
  <c r="V4127" i="1"/>
  <c r="W4127" i="1"/>
  <c r="AB4127" i="1"/>
  <c r="AF4127" i="1"/>
  <c r="K4128" i="1"/>
  <c r="AC4128" i="1"/>
  <c r="AJ4127" i="1"/>
  <c r="AK4127" i="1"/>
  <c r="AM4127" i="1"/>
  <c r="BF4127" i="1"/>
  <c r="BG4127" i="1"/>
  <c r="T4128" i="1"/>
  <c r="U4128" i="1"/>
  <c r="V4128" i="1"/>
  <c r="W4128" i="1"/>
  <c r="AB4128" i="1"/>
  <c r="AF4128" i="1"/>
  <c r="K4129" i="1"/>
  <c r="AC4129" i="1"/>
  <c r="AJ4128" i="1"/>
  <c r="AK4128" i="1"/>
  <c r="AM4128" i="1"/>
  <c r="BF4128" i="1"/>
  <c r="BG4128" i="1"/>
  <c r="T4129" i="1"/>
  <c r="U4129" i="1"/>
  <c r="V4129" i="1"/>
  <c r="W4129" i="1"/>
  <c r="AB4129" i="1"/>
  <c r="AF4129" i="1"/>
  <c r="K4130" i="1"/>
  <c r="AC4130" i="1"/>
  <c r="AJ4129" i="1"/>
  <c r="AK4129" i="1"/>
  <c r="AM4129" i="1"/>
  <c r="BF4129" i="1"/>
  <c r="BG4129" i="1"/>
  <c r="T4130" i="1"/>
  <c r="U4130" i="1"/>
  <c r="V4130" i="1"/>
  <c r="W4130" i="1"/>
  <c r="AB4130" i="1"/>
  <c r="AF4130" i="1"/>
  <c r="K4131" i="1"/>
  <c r="AC4131" i="1"/>
  <c r="AJ4130" i="1"/>
  <c r="AK4130" i="1"/>
  <c r="AM4130" i="1"/>
  <c r="BF4130" i="1"/>
  <c r="BG4130" i="1"/>
  <c r="T4131" i="1"/>
  <c r="U4131" i="1"/>
  <c r="V4131" i="1"/>
  <c r="W4131" i="1"/>
  <c r="AB4131" i="1"/>
  <c r="AF4131" i="1"/>
  <c r="K4132" i="1"/>
  <c r="AC4132" i="1"/>
  <c r="AJ4131" i="1"/>
  <c r="AK4131" i="1"/>
  <c r="AM4131" i="1"/>
  <c r="BF4131" i="1"/>
  <c r="BG4131" i="1"/>
  <c r="T4132" i="1"/>
  <c r="U4132" i="1"/>
  <c r="V4132" i="1"/>
  <c r="W4132" i="1"/>
  <c r="AB4132" i="1"/>
  <c r="AF4132" i="1"/>
  <c r="K4133" i="1"/>
  <c r="AC4133" i="1"/>
  <c r="AJ4132" i="1"/>
  <c r="AK4132" i="1"/>
  <c r="AM4132" i="1"/>
  <c r="BF4132" i="1"/>
  <c r="BG4132" i="1"/>
  <c r="T4133" i="1"/>
  <c r="U4133" i="1"/>
  <c r="V4133" i="1"/>
  <c r="W4133" i="1"/>
  <c r="AB4133" i="1"/>
  <c r="AF4133" i="1"/>
  <c r="AC4134" i="1"/>
  <c r="AJ4133" i="1"/>
  <c r="AK4133" i="1"/>
  <c r="AM4133" i="1"/>
  <c r="BF4133" i="1"/>
  <c r="BG4133" i="1"/>
  <c r="T4134" i="1"/>
  <c r="U4134" i="1"/>
  <c r="V4134" i="1"/>
  <c r="W4134" i="1"/>
  <c r="AB4134" i="1"/>
  <c r="AF4134" i="1"/>
  <c r="AC4135" i="1"/>
  <c r="AJ4134" i="1"/>
  <c r="AK4134" i="1"/>
  <c r="AM4134" i="1"/>
  <c r="BF4134" i="1"/>
  <c r="BG4134" i="1"/>
  <c r="T4135" i="1"/>
  <c r="U4135" i="1"/>
  <c r="V4135" i="1"/>
  <c r="W4135" i="1"/>
  <c r="AB4135" i="1"/>
  <c r="AF4135" i="1"/>
  <c r="K4136" i="1"/>
  <c r="AC4136" i="1"/>
  <c r="AJ4135" i="1"/>
  <c r="AK4135" i="1"/>
  <c r="AM4135" i="1"/>
  <c r="BF4135" i="1"/>
  <c r="BG4135" i="1"/>
  <c r="T4136" i="1"/>
  <c r="U4136" i="1"/>
  <c r="V4136" i="1"/>
  <c r="W4136" i="1"/>
  <c r="AB4136" i="1"/>
  <c r="AF4136" i="1"/>
  <c r="AC4137" i="1"/>
  <c r="AJ4136" i="1"/>
  <c r="AK4136" i="1"/>
  <c r="AM4136" i="1"/>
  <c r="BF4136" i="1"/>
  <c r="BG4136" i="1"/>
  <c r="T4137" i="1"/>
  <c r="U4137" i="1"/>
  <c r="V4137" i="1"/>
  <c r="W4137" i="1"/>
  <c r="AB4137" i="1"/>
  <c r="AF4137" i="1"/>
  <c r="AC4138" i="1"/>
  <c r="AJ4137" i="1"/>
  <c r="AK4137" i="1"/>
  <c r="AM4137" i="1"/>
  <c r="BF4137" i="1"/>
  <c r="BG4137" i="1"/>
  <c r="T4138" i="1"/>
  <c r="U4138" i="1"/>
  <c r="V4138" i="1"/>
  <c r="W4138" i="1"/>
  <c r="AB4138" i="1"/>
  <c r="AF4138" i="1"/>
  <c r="K4139" i="1"/>
  <c r="AC4139" i="1"/>
  <c r="AJ4138" i="1"/>
  <c r="AK4138" i="1"/>
  <c r="AM4138" i="1"/>
  <c r="BF4138" i="1"/>
  <c r="BG4138" i="1"/>
  <c r="T4139" i="1"/>
  <c r="U4139" i="1"/>
  <c r="V4139" i="1"/>
  <c r="W4139" i="1"/>
  <c r="AB4139" i="1"/>
  <c r="AF4139" i="1"/>
  <c r="AC4140" i="1"/>
  <c r="AJ4139" i="1"/>
  <c r="AK4139" i="1"/>
  <c r="AM4139" i="1"/>
  <c r="BF4139" i="1"/>
  <c r="BG4139" i="1"/>
  <c r="T4140" i="1"/>
  <c r="U4140" i="1"/>
  <c r="V4140" i="1"/>
  <c r="W4140" i="1"/>
  <c r="AB4140" i="1"/>
  <c r="AF4140" i="1"/>
  <c r="AC4141" i="1"/>
  <c r="AJ4140" i="1"/>
  <c r="AK4140" i="1"/>
  <c r="AM4140" i="1"/>
  <c r="BF4140" i="1"/>
  <c r="BG4140" i="1"/>
  <c r="T4141" i="1"/>
  <c r="U4141" i="1"/>
  <c r="V4141" i="1"/>
  <c r="W4141" i="1"/>
  <c r="AB4141" i="1"/>
  <c r="AF4141" i="1"/>
  <c r="K4142" i="1"/>
  <c r="AC4142" i="1"/>
  <c r="AJ4141" i="1"/>
  <c r="AK4141" i="1"/>
  <c r="AM4141" i="1"/>
  <c r="BF4141" i="1"/>
  <c r="BG4141" i="1"/>
  <c r="T4142" i="1"/>
  <c r="U4142" i="1"/>
  <c r="V4142" i="1"/>
  <c r="W4142" i="1"/>
  <c r="AB4142" i="1"/>
  <c r="AF4142" i="1"/>
  <c r="K4143" i="1"/>
  <c r="AC4143" i="1"/>
  <c r="AJ4142" i="1"/>
  <c r="AK4142" i="1"/>
  <c r="AM4142" i="1"/>
  <c r="BF4142" i="1"/>
  <c r="BG4142" i="1"/>
  <c r="T4143" i="1"/>
  <c r="U4143" i="1"/>
  <c r="V4143" i="1"/>
  <c r="W4143" i="1"/>
  <c r="AB4143" i="1"/>
  <c r="AF4143" i="1"/>
  <c r="K4144" i="1"/>
  <c r="AC4144" i="1"/>
  <c r="AJ4143" i="1"/>
  <c r="AK4143" i="1"/>
  <c r="AM4143" i="1"/>
  <c r="BF4143" i="1"/>
  <c r="BG4143" i="1"/>
  <c r="T4144" i="1"/>
  <c r="U4144" i="1"/>
  <c r="V4144" i="1"/>
  <c r="W4144" i="1"/>
  <c r="AB4144" i="1"/>
  <c r="AF4144" i="1"/>
  <c r="K4145" i="1"/>
  <c r="AC4145" i="1"/>
  <c r="AJ4144" i="1"/>
  <c r="AK4144" i="1"/>
  <c r="AM4144" i="1"/>
  <c r="BF4144" i="1"/>
  <c r="BG4144" i="1"/>
  <c r="T4145" i="1"/>
  <c r="U4145" i="1"/>
  <c r="V4145" i="1"/>
  <c r="W4145" i="1"/>
  <c r="AB4145" i="1"/>
  <c r="AF4145" i="1"/>
  <c r="AC4146" i="1"/>
  <c r="AJ4145" i="1"/>
  <c r="AK4145" i="1"/>
  <c r="AM4145" i="1"/>
  <c r="BF4145" i="1"/>
  <c r="BG4145" i="1"/>
  <c r="T4146" i="1"/>
  <c r="U4146" i="1"/>
  <c r="V4146" i="1"/>
  <c r="W4146" i="1"/>
  <c r="AB4146" i="1"/>
  <c r="AF4146" i="1"/>
  <c r="AC4147" i="1"/>
  <c r="AJ4146" i="1"/>
  <c r="AK4146" i="1"/>
  <c r="AM4146" i="1"/>
  <c r="BF4146" i="1"/>
  <c r="BG4146" i="1"/>
  <c r="T4147" i="1"/>
  <c r="U4147" i="1"/>
  <c r="V4147" i="1"/>
  <c r="W4147" i="1"/>
  <c r="AB4147" i="1"/>
  <c r="AF4147" i="1"/>
  <c r="K4148" i="1"/>
  <c r="AC4148" i="1"/>
  <c r="AJ4147" i="1"/>
  <c r="AK4147" i="1"/>
  <c r="AM4147" i="1"/>
  <c r="BF4147" i="1"/>
  <c r="BG4147" i="1"/>
  <c r="T4148" i="1"/>
  <c r="U4148" i="1"/>
  <c r="V4148" i="1"/>
  <c r="W4148" i="1"/>
  <c r="AB4148" i="1"/>
  <c r="AF4148" i="1"/>
  <c r="AC4149" i="1"/>
  <c r="AJ4148" i="1"/>
  <c r="AK4148" i="1"/>
  <c r="AM4148" i="1"/>
  <c r="BF4148" i="1"/>
  <c r="BG4148" i="1"/>
  <c r="T4149" i="1"/>
  <c r="U4149" i="1"/>
  <c r="V4149" i="1"/>
  <c r="W4149" i="1"/>
  <c r="AB4149" i="1"/>
  <c r="AF4149" i="1"/>
  <c r="AC4150" i="1"/>
  <c r="AJ4149" i="1"/>
  <c r="AK4149" i="1"/>
  <c r="AM4149" i="1"/>
  <c r="BF4149" i="1"/>
  <c r="BG4149" i="1"/>
  <c r="T4150" i="1"/>
  <c r="U4150" i="1"/>
  <c r="V4150" i="1"/>
  <c r="W4150" i="1"/>
  <c r="AB4150" i="1"/>
  <c r="AF4150" i="1"/>
  <c r="K4151" i="1"/>
  <c r="AC4151" i="1"/>
  <c r="AJ4150" i="1"/>
  <c r="AK4150" i="1"/>
  <c r="AM4150" i="1"/>
  <c r="BF4150" i="1"/>
  <c r="BG4150" i="1"/>
  <c r="T4151" i="1"/>
  <c r="U4151" i="1"/>
  <c r="V4151" i="1"/>
  <c r="W4151" i="1"/>
  <c r="AB4151" i="1"/>
  <c r="AF4151" i="1"/>
  <c r="AC4152" i="1"/>
  <c r="AJ4151" i="1"/>
  <c r="AK4151" i="1"/>
  <c r="AM4151" i="1"/>
  <c r="BF4151" i="1"/>
  <c r="BG4151" i="1"/>
  <c r="T4152" i="1"/>
  <c r="U4152" i="1"/>
  <c r="V4152" i="1"/>
  <c r="W4152" i="1"/>
  <c r="AB4152" i="1"/>
  <c r="AF4152" i="1"/>
  <c r="AC4153" i="1"/>
  <c r="AJ4152" i="1"/>
  <c r="AK4152" i="1"/>
  <c r="AM4152" i="1"/>
  <c r="BF4152" i="1"/>
  <c r="BG4152" i="1"/>
  <c r="T4153" i="1"/>
  <c r="U4153" i="1"/>
  <c r="V4153" i="1"/>
  <c r="W4153" i="1"/>
  <c r="AB4153" i="1"/>
  <c r="AF4153" i="1"/>
  <c r="K4154" i="1"/>
  <c r="AC4154" i="1"/>
  <c r="AJ4153" i="1"/>
  <c r="AK4153" i="1"/>
  <c r="AM4153" i="1"/>
  <c r="BF4153" i="1"/>
  <c r="BG4153" i="1"/>
  <c r="T4154" i="1"/>
  <c r="U4154" i="1"/>
  <c r="V4154" i="1"/>
  <c r="W4154" i="1"/>
  <c r="AB4154" i="1"/>
  <c r="AF4154" i="1"/>
  <c r="K4155" i="1"/>
  <c r="AC4155" i="1"/>
  <c r="AJ4154" i="1"/>
  <c r="AK4154" i="1"/>
  <c r="AM4154" i="1"/>
  <c r="BF4154" i="1"/>
  <c r="BG4154" i="1"/>
  <c r="T4155" i="1"/>
  <c r="U4155" i="1"/>
  <c r="V4155" i="1"/>
  <c r="W4155" i="1"/>
  <c r="AB4155" i="1"/>
  <c r="AF4155" i="1"/>
  <c r="K4156" i="1"/>
  <c r="AC4156" i="1"/>
  <c r="AJ4155" i="1"/>
  <c r="AK4155" i="1"/>
  <c r="AM4155" i="1"/>
  <c r="BF4155" i="1"/>
  <c r="BG4155" i="1"/>
  <c r="T4156" i="1"/>
  <c r="U4156" i="1"/>
  <c r="V4156" i="1"/>
  <c r="W4156" i="1"/>
  <c r="AB4156" i="1"/>
  <c r="AF4156" i="1"/>
  <c r="AC4157" i="1"/>
  <c r="AJ4156" i="1"/>
  <c r="AK4156" i="1"/>
  <c r="AM4156" i="1"/>
  <c r="BF4156" i="1"/>
  <c r="BG4156" i="1"/>
  <c r="T4157" i="1"/>
  <c r="U4157" i="1"/>
  <c r="V4157" i="1"/>
  <c r="W4157" i="1"/>
  <c r="AB4157" i="1"/>
  <c r="AF4157" i="1"/>
  <c r="AC4158" i="1"/>
  <c r="AJ4157" i="1"/>
  <c r="AK4157" i="1"/>
  <c r="AM4157" i="1"/>
  <c r="BF4157" i="1"/>
  <c r="BG4157" i="1"/>
  <c r="T4158" i="1"/>
  <c r="U4158" i="1"/>
  <c r="V4158" i="1"/>
  <c r="W4158" i="1"/>
  <c r="AB4158" i="1"/>
  <c r="AF4158" i="1"/>
  <c r="AC4159" i="1"/>
  <c r="AJ4158" i="1"/>
  <c r="AK4158" i="1"/>
  <c r="AM4158" i="1"/>
  <c r="BF4158" i="1"/>
  <c r="BG4158" i="1"/>
  <c r="T4159" i="1"/>
  <c r="U4159" i="1"/>
  <c r="V4159" i="1"/>
  <c r="W4159" i="1"/>
  <c r="AB4159" i="1"/>
  <c r="AF4159" i="1"/>
  <c r="K4160" i="1"/>
  <c r="AC4160" i="1"/>
  <c r="AJ4159" i="1"/>
  <c r="AK4159" i="1"/>
  <c r="AM4159" i="1"/>
  <c r="BF4159" i="1"/>
  <c r="BG4159" i="1"/>
  <c r="T4160" i="1"/>
  <c r="U4160" i="1"/>
  <c r="V4160" i="1"/>
  <c r="W4160" i="1"/>
  <c r="AB4160" i="1"/>
  <c r="AF4160" i="1"/>
  <c r="AC4161" i="1"/>
  <c r="AJ4160" i="1"/>
  <c r="AK4160" i="1"/>
  <c r="AM4160" i="1"/>
  <c r="BF4160" i="1"/>
  <c r="BG4160" i="1"/>
  <c r="T4161" i="1"/>
  <c r="U4161" i="1"/>
  <c r="V4161" i="1"/>
  <c r="W4161" i="1"/>
  <c r="AB4161" i="1"/>
  <c r="AF4161" i="1"/>
  <c r="AC4162" i="1"/>
  <c r="AJ4161" i="1"/>
  <c r="AK4161" i="1"/>
  <c r="AM4161" i="1"/>
  <c r="BF4161" i="1"/>
  <c r="BG4161" i="1"/>
  <c r="T4162" i="1"/>
  <c r="U4162" i="1"/>
  <c r="V4162" i="1"/>
  <c r="W4162" i="1"/>
  <c r="AB4162" i="1"/>
  <c r="AF4162" i="1"/>
  <c r="K4163" i="1"/>
  <c r="AC4163" i="1"/>
  <c r="AJ4162" i="1"/>
  <c r="AK4162" i="1"/>
  <c r="AM4162" i="1"/>
  <c r="BF4162" i="1"/>
  <c r="BG4162" i="1"/>
  <c r="T4163" i="1"/>
  <c r="U4163" i="1"/>
  <c r="V4163" i="1"/>
  <c r="W4163" i="1"/>
  <c r="AB4163" i="1"/>
  <c r="AF4163" i="1"/>
  <c r="AC4164" i="1"/>
  <c r="AJ4163" i="1"/>
  <c r="AK4163" i="1"/>
  <c r="AM4163" i="1"/>
  <c r="BF4163" i="1"/>
  <c r="BG4163" i="1"/>
  <c r="T4164" i="1"/>
  <c r="U4164" i="1"/>
  <c r="V4164" i="1"/>
  <c r="W4164" i="1"/>
  <c r="AB4164" i="1"/>
  <c r="AF4164" i="1"/>
  <c r="AC4165" i="1"/>
  <c r="AJ4164" i="1"/>
  <c r="AK4164" i="1"/>
  <c r="AM4164" i="1"/>
  <c r="BF4164" i="1"/>
  <c r="BG4164" i="1"/>
  <c r="T4165" i="1"/>
  <c r="U4165" i="1"/>
  <c r="V4165" i="1"/>
  <c r="W4165" i="1"/>
  <c r="AB4165" i="1"/>
  <c r="AF4165" i="1"/>
  <c r="K4166" i="1"/>
  <c r="AC4166" i="1"/>
  <c r="AJ4165" i="1"/>
  <c r="AK4165" i="1"/>
  <c r="AM4165" i="1"/>
  <c r="BF4165" i="1"/>
  <c r="BG4165" i="1"/>
  <c r="T4166" i="1"/>
  <c r="U4166" i="1"/>
  <c r="V4166" i="1"/>
  <c r="W4166" i="1"/>
  <c r="AB4166" i="1"/>
  <c r="AF4166" i="1"/>
  <c r="K4167" i="1"/>
  <c r="AC4167" i="1"/>
  <c r="AJ4166" i="1"/>
  <c r="AK4166" i="1"/>
  <c r="AM4166" i="1"/>
  <c r="BF4166" i="1"/>
  <c r="BG4166" i="1"/>
  <c r="T4167" i="1"/>
  <c r="U4167" i="1"/>
  <c r="V4167" i="1"/>
  <c r="W4167" i="1"/>
  <c r="AB4167" i="1"/>
  <c r="AF4167" i="1"/>
  <c r="K4168" i="1"/>
  <c r="AC4168" i="1"/>
  <c r="AJ4167" i="1"/>
  <c r="AK4167" i="1"/>
  <c r="AM4167" i="1"/>
  <c r="BF4167" i="1"/>
  <c r="BG4167" i="1"/>
  <c r="T4168" i="1"/>
  <c r="U4168" i="1"/>
  <c r="V4168" i="1"/>
  <c r="W4168" i="1"/>
  <c r="AB4168" i="1"/>
  <c r="AF4168" i="1"/>
  <c r="K4169" i="1"/>
  <c r="AC4169" i="1"/>
  <c r="AJ4168" i="1"/>
  <c r="AK4168" i="1"/>
  <c r="AM4168" i="1"/>
  <c r="BF4168" i="1"/>
  <c r="BG4168" i="1"/>
  <c r="T4169" i="1"/>
  <c r="U4169" i="1"/>
  <c r="V4169" i="1"/>
  <c r="W4169" i="1"/>
  <c r="AB4169" i="1"/>
  <c r="AF4169" i="1"/>
  <c r="AC4170" i="1"/>
  <c r="AJ4169" i="1"/>
  <c r="AK4169" i="1"/>
  <c r="AM4169" i="1"/>
  <c r="BF4169" i="1"/>
  <c r="BG4169" i="1"/>
  <c r="T4170" i="1"/>
  <c r="U4170" i="1"/>
  <c r="V4170" i="1"/>
  <c r="W4170" i="1"/>
  <c r="AB4170" i="1"/>
  <c r="AF4170" i="1"/>
  <c r="AC4171" i="1"/>
  <c r="AJ4170" i="1"/>
  <c r="AK4170" i="1"/>
  <c r="AM4170" i="1"/>
  <c r="BF4170" i="1"/>
  <c r="BG4170" i="1"/>
  <c r="T4171" i="1"/>
  <c r="U4171" i="1"/>
  <c r="V4171" i="1"/>
  <c r="W4171" i="1"/>
  <c r="AB4171" i="1"/>
  <c r="AF4171" i="1"/>
  <c r="K4172" i="1"/>
  <c r="AC4172" i="1"/>
  <c r="AJ4171" i="1"/>
  <c r="AK4171" i="1"/>
  <c r="AM4171" i="1"/>
  <c r="BF4171" i="1"/>
  <c r="BG4171" i="1"/>
  <c r="T4172" i="1"/>
  <c r="U4172" i="1"/>
  <c r="V4172" i="1"/>
  <c r="W4172" i="1"/>
  <c r="AB4172" i="1"/>
  <c r="AF4172" i="1"/>
  <c r="AC4173" i="1"/>
  <c r="AJ4172" i="1"/>
  <c r="AK4172" i="1"/>
  <c r="AM4172" i="1"/>
  <c r="BF4172" i="1"/>
  <c r="BG4172" i="1"/>
  <c r="T4173" i="1"/>
  <c r="U4173" i="1"/>
  <c r="V4173" i="1"/>
  <c r="W4173" i="1"/>
  <c r="AB4173" i="1"/>
  <c r="AF4173" i="1"/>
  <c r="AC4174" i="1"/>
  <c r="AJ4173" i="1"/>
  <c r="AK4173" i="1"/>
  <c r="AM4173" i="1"/>
  <c r="BF4173" i="1"/>
  <c r="BG4173" i="1"/>
  <c r="T4174" i="1"/>
  <c r="U4174" i="1"/>
  <c r="V4174" i="1"/>
  <c r="W4174" i="1"/>
  <c r="AB4174" i="1"/>
  <c r="AF4174" i="1"/>
  <c r="K4175" i="1"/>
  <c r="AC4175" i="1"/>
  <c r="AJ4174" i="1"/>
  <c r="AK4174" i="1"/>
  <c r="AM4174" i="1"/>
  <c r="BF4174" i="1"/>
  <c r="BG4174" i="1"/>
  <c r="T4175" i="1"/>
  <c r="U4175" i="1"/>
  <c r="V4175" i="1"/>
  <c r="W4175" i="1"/>
  <c r="AB4175" i="1"/>
  <c r="AF4175" i="1"/>
  <c r="AC4176" i="1"/>
  <c r="AJ4175" i="1"/>
  <c r="AK4175" i="1"/>
  <c r="AM4175" i="1"/>
  <c r="BF4175" i="1"/>
  <c r="BG4175" i="1"/>
  <c r="T4176" i="1"/>
  <c r="U4176" i="1"/>
  <c r="V4176" i="1"/>
  <c r="W4176" i="1"/>
  <c r="AB4176" i="1"/>
  <c r="AF4176" i="1"/>
  <c r="AC4177" i="1"/>
  <c r="AJ4176" i="1"/>
  <c r="AK4176" i="1"/>
  <c r="AM4176" i="1"/>
  <c r="BF4176" i="1"/>
  <c r="BG4176" i="1"/>
  <c r="T4177" i="1"/>
  <c r="U4177" i="1"/>
  <c r="V4177" i="1"/>
  <c r="W4177" i="1"/>
  <c r="AB4177" i="1"/>
  <c r="AF4177" i="1"/>
  <c r="K4178" i="1"/>
  <c r="AC4178" i="1"/>
  <c r="AJ4177" i="1"/>
  <c r="AK4177" i="1"/>
  <c r="AM4177" i="1"/>
  <c r="BF4177" i="1"/>
  <c r="BG4177" i="1"/>
  <c r="T4178" i="1"/>
  <c r="U4178" i="1"/>
  <c r="V4178" i="1"/>
  <c r="W4178" i="1"/>
  <c r="AB4178" i="1"/>
  <c r="AF4178" i="1"/>
  <c r="AC4179" i="1"/>
  <c r="AJ4178" i="1"/>
  <c r="AK4178" i="1"/>
  <c r="AM4178" i="1"/>
  <c r="BF4178" i="1"/>
  <c r="BG4178" i="1"/>
  <c r="T4179" i="1"/>
  <c r="U4179" i="1"/>
  <c r="V4179" i="1"/>
  <c r="W4179" i="1"/>
  <c r="AB4179" i="1"/>
  <c r="AF4179" i="1"/>
  <c r="AC4180" i="1"/>
  <c r="AJ4179" i="1"/>
  <c r="AK4179" i="1"/>
  <c r="AM4179" i="1"/>
  <c r="BF4179" i="1"/>
  <c r="BG4179" i="1"/>
  <c r="T4180" i="1"/>
  <c r="U4180" i="1"/>
  <c r="V4180" i="1"/>
  <c r="W4180" i="1"/>
  <c r="AB4180" i="1"/>
  <c r="AF4180" i="1"/>
  <c r="K4181" i="1"/>
  <c r="AC4181" i="1"/>
  <c r="AJ4180" i="1"/>
  <c r="AK4180" i="1"/>
  <c r="AM4180" i="1"/>
  <c r="BF4180" i="1"/>
  <c r="BG4180" i="1"/>
  <c r="T4181" i="1"/>
  <c r="U4181" i="1"/>
  <c r="V4181" i="1"/>
  <c r="W4181" i="1"/>
  <c r="AB4181" i="1"/>
  <c r="AF4181" i="1"/>
  <c r="K4182" i="1"/>
  <c r="AC4182" i="1"/>
  <c r="AJ4181" i="1"/>
  <c r="AK4181" i="1"/>
  <c r="AM4181" i="1"/>
  <c r="BF4181" i="1"/>
  <c r="BG4181" i="1"/>
  <c r="T4182" i="1"/>
  <c r="U4182" i="1"/>
  <c r="V4182" i="1"/>
  <c r="W4182" i="1"/>
  <c r="AB4182" i="1"/>
  <c r="AF4182" i="1"/>
  <c r="K4183" i="1"/>
  <c r="AC4183" i="1"/>
  <c r="AJ4182" i="1"/>
  <c r="AK4182" i="1"/>
  <c r="AM4182" i="1"/>
  <c r="BF4182" i="1"/>
  <c r="BG4182" i="1"/>
  <c r="T4183" i="1"/>
  <c r="U4183" i="1"/>
  <c r="V4183" i="1"/>
  <c r="W4183" i="1"/>
  <c r="AB4183" i="1"/>
  <c r="AF4183" i="1"/>
  <c r="K4184" i="1"/>
  <c r="AC4184" i="1"/>
  <c r="AJ4183" i="1"/>
  <c r="AK4183" i="1"/>
  <c r="AM4183" i="1"/>
  <c r="BF4183" i="1"/>
  <c r="BG4183" i="1"/>
  <c r="T4184" i="1"/>
  <c r="U4184" i="1"/>
  <c r="V4184" i="1"/>
  <c r="W4184" i="1"/>
  <c r="AB4184" i="1"/>
  <c r="AF4184" i="1"/>
  <c r="AC4185" i="1"/>
  <c r="AJ4184" i="1"/>
  <c r="AK4184" i="1"/>
  <c r="AM4184" i="1"/>
  <c r="BF4184" i="1"/>
  <c r="BG4184" i="1"/>
  <c r="T4185" i="1"/>
  <c r="U4185" i="1"/>
  <c r="V4185" i="1"/>
  <c r="W4185" i="1"/>
  <c r="AB4185" i="1"/>
  <c r="AF4185" i="1"/>
  <c r="AC4186" i="1"/>
  <c r="AJ4185" i="1"/>
  <c r="AK4185" i="1"/>
  <c r="AM4185" i="1"/>
  <c r="BF4185" i="1"/>
  <c r="BG4185" i="1"/>
  <c r="T4186" i="1"/>
  <c r="U4186" i="1"/>
  <c r="V4186" i="1"/>
  <c r="W4186" i="1"/>
  <c r="AB4186" i="1"/>
  <c r="AF4186" i="1"/>
  <c r="K4187" i="1"/>
  <c r="AC4187" i="1"/>
  <c r="AJ4186" i="1"/>
  <c r="AK4186" i="1"/>
  <c r="AM4186" i="1"/>
  <c r="BF4186" i="1"/>
  <c r="BG4186" i="1"/>
  <c r="T4187" i="1"/>
  <c r="U4187" i="1"/>
  <c r="V4187" i="1"/>
  <c r="W4187" i="1"/>
  <c r="AB4187" i="1"/>
  <c r="AF4187" i="1"/>
  <c r="AC4188" i="1"/>
  <c r="AJ4187" i="1"/>
  <c r="AK4187" i="1"/>
  <c r="AM4187" i="1"/>
  <c r="BF4187" i="1"/>
  <c r="BG4187" i="1"/>
  <c r="T4188" i="1"/>
  <c r="U4188" i="1"/>
  <c r="V4188" i="1"/>
  <c r="W4188" i="1"/>
  <c r="AB4188" i="1"/>
  <c r="AF4188" i="1"/>
  <c r="AC4189" i="1"/>
  <c r="AJ4188" i="1"/>
  <c r="AK4188" i="1"/>
  <c r="AM4188" i="1"/>
  <c r="BF4188" i="1"/>
  <c r="BG4188" i="1"/>
  <c r="T4189" i="1"/>
  <c r="U4189" i="1"/>
  <c r="V4189" i="1"/>
  <c r="W4189" i="1"/>
  <c r="AB4189" i="1"/>
  <c r="AF4189" i="1"/>
  <c r="K4190" i="1"/>
  <c r="AC4190" i="1"/>
  <c r="AJ4189" i="1"/>
  <c r="AK4189" i="1"/>
  <c r="AM4189" i="1"/>
  <c r="BF4189" i="1"/>
  <c r="BG4189" i="1"/>
  <c r="T4190" i="1"/>
  <c r="U4190" i="1"/>
  <c r="V4190" i="1"/>
  <c r="W4190" i="1"/>
  <c r="AB4190" i="1"/>
  <c r="AF4190" i="1"/>
  <c r="K4191" i="1"/>
  <c r="AC4191" i="1"/>
  <c r="AJ4190" i="1"/>
  <c r="AK4190" i="1"/>
  <c r="AM4190" i="1"/>
  <c r="BF4190" i="1"/>
  <c r="BG4190" i="1"/>
  <c r="T4191" i="1"/>
  <c r="U4191" i="1"/>
  <c r="V4191" i="1"/>
  <c r="W4191" i="1"/>
  <c r="AB4191" i="1"/>
  <c r="AF4191" i="1"/>
  <c r="K4192" i="1"/>
  <c r="AC4192" i="1"/>
  <c r="AJ4191" i="1"/>
  <c r="AK4191" i="1"/>
  <c r="AM4191" i="1"/>
  <c r="BF4191" i="1"/>
  <c r="BG4191" i="1"/>
  <c r="T4192" i="1"/>
  <c r="U4192" i="1"/>
  <c r="V4192" i="1"/>
  <c r="W4192" i="1"/>
  <c r="AB4192" i="1"/>
  <c r="AF4192" i="1"/>
  <c r="K4193" i="1"/>
  <c r="AC4193" i="1"/>
  <c r="AJ4192" i="1"/>
  <c r="AK4192" i="1"/>
  <c r="AM4192" i="1"/>
  <c r="BF4192" i="1"/>
  <c r="BG4192" i="1"/>
  <c r="T4193" i="1"/>
  <c r="U4193" i="1"/>
  <c r="V4193" i="1"/>
  <c r="W4193" i="1"/>
  <c r="AB4193" i="1"/>
  <c r="AF4193" i="1"/>
  <c r="K4194" i="1"/>
  <c r="AC4194" i="1"/>
  <c r="AJ4193" i="1"/>
  <c r="AK4193" i="1"/>
  <c r="AM4193" i="1"/>
  <c r="BF4193" i="1"/>
  <c r="BG4193" i="1"/>
  <c r="T4194" i="1"/>
  <c r="U4194" i="1"/>
  <c r="V4194" i="1"/>
  <c r="W4194" i="1"/>
  <c r="AB4194" i="1"/>
  <c r="AF4194" i="1"/>
  <c r="K4195" i="1"/>
  <c r="AC4195" i="1"/>
  <c r="AJ4194" i="1"/>
  <c r="AK4194" i="1"/>
  <c r="AM4194" i="1"/>
  <c r="BF4194" i="1"/>
  <c r="BG4194" i="1"/>
  <c r="T4195" i="1"/>
  <c r="U4195" i="1"/>
  <c r="V4195" i="1"/>
  <c r="W4195" i="1"/>
  <c r="AB4195" i="1"/>
  <c r="AF4195" i="1"/>
  <c r="K4196" i="1"/>
  <c r="AC4196" i="1"/>
  <c r="AJ4195" i="1"/>
  <c r="AK4195" i="1"/>
  <c r="AM4195" i="1"/>
  <c r="BF4195" i="1"/>
  <c r="BG4195" i="1"/>
  <c r="T4196" i="1"/>
  <c r="U4196" i="1"/>
  <c r="V4196" i="1"/>
  <c r="W4196" i="1"/>
  <c r="AB4196" i="1"/>
  <c r="AF4196" i="1"/>
  <c r="K4197" i="1"/>
  <c r="AC4197" i="1"/>
  <c r="AJ4196" i="1"/>
  <c r="AK4196" i="1"/>
  <c r="AM4196" i="1"/>
  <c r="BF4196" i="1"/>
  <c r="BG4196" i="1"/>
  <c r="T4197" i="1"/>
  <c r="U4197" i="1"/>
  <c r="V4197" i="1"/>
  <c r="W4197" i="1"/>
  <c r="AB4197" i="1"/>
  <c r="AF4197" i="1"/>
  <c r="K4198" i="1"/>
  <c r="AC4198" i="1"/>
  <c r="AJ4197" i="1"/>
  <c r="AK4197" i="1"/>
  <c r="AM4197" i="1"/>
  <c r="BF4197" i="1"/>
  <c r="BG4197" i="1"/>
  <c r="T4198" i="1"/>
  <c r="U4198" i="1"/>
  <c r="V4198" i="1"/>
  <c r="W4198" i="1"/>
  <c r="AB4198" i="1"/>
  <c r="AF4198" i="1"/>
  <c r="AC4199" i="1"/>
  <c r="AJ4198" i="1"/>
  <c r="AK4198" i="1"/>
  <c r="AM4198" i="1"/>
  <c r="BF4198" i="1"/>
  <c r="BG4198" i="1"/>
  <c r="T4199" i="1"/>
  <c r="U4199" i="1"/>
  <c r="V4199" i="1"/>
  <c r="W4199" i="1"/>
  <c r="AB4199" i="1"/>
  <c r="AF4199" i="1"/>
  <c r="AC4200" i="1"/>
  <c r="AJ4199" i="1"/>
  <c r="AK4199" i="1"/>
  <c r="AM4199" i="1"/>
  <c r="BF4199" i="1"/>
  <c r="BG4199" i="1"/>
  <c r="T4200" i="1"/>
  <c r="U4200" i="1"/>
  <c r="V4200" i="1"/>
  <c r="W4200" i="1"/>
  <c r="AB4200" i="1"/>
  <c r="AF4200" i="1"/>
  <c r="K4201" i="1"/>
  <c r="AC4201" i="1"/>
  <c r="AJ4200" i="1"/>
  <c r="AK4200" i="1"/>
  <c r="AM4200" i="1"/>
  <c r="BF4200" i="1"/>
  <c r="BG4200" i="1"/>
  <c r="T4201" i="1"/>
  <c r="U4201" i="1"/>
  <c r="V4201" i="1"/>
  <c r="W4201" i="1"/>
  <c r="AB4201" i="1"/>
  <c r="AF4201" i="1"/>
  <c r="AC4202" i="1"/>
  <c r="AJ4201" i="1"/>
  <c r="AK4201" i="1"/>
  <c r="AM4201" i="1"/>
  <c r="BF4201" i="1"/>
  <c r="BG4201" i="1"/>
  <c r="T4202" i="1"/>
  <c r="U4202" i="1"/>
  <c r="V4202" i="1"/>
  <c r="W4202" i="1"/>
  <c r="AB4202" i="1"/>
  <c r="AF4202" i="1"/>
  <c r="AC4203" i="1"/>
  <c r="AJ4202" i="1"/>
  <c r="AK4202" i="1"/>
  <c r="AM4202" i="1"/>
  <c r="BF4202" i="1"/>
  <c r="BG4202" i="1"/>
  <c r="T4203" i="1"/>
  <c r="U4203" i="1"/>
  <c r="V4203" i="1"/>
  <c r="W4203" i="1"/>
  <c r="AB4203" i="1"/>
  <c r="AF4203" i="1"/>
  <c r="AC4204" i="1"/>
  <c r="AJ4203" i="1"/>
  <c r="AK4203" i="1"/>
  <c r="AM4203" i="1"/>
  <c r="BF4203" i="1"/>
  <c r="BG4203" i="1"/>
  <c r="T4204" i="1"/>
  <c r="U4204" i="1"/>
  <c r="V4204" i="1"/>
  <c r="W4204" i="1"/>
  <c r="AB4204" i="1"/>
  <c r="AF4204" i="1"/>
  <c r="K4205" i="1"/>
  <c r="AC4205" i="1"/>
  <c r="AJ4204" i="1"/>
  <c r="AK4204" i="1"/>
  <c r="AM4204" i="1"/>
  <c r="BF4204" i="1"/>
  <c r="BG4204" i="1"/>
  <c r="T4205" i="1"/>
  <c r="U4205" i="1"/>
  <c r="V4205" i="1"/>
  <c r="W4205" i="1"/>
  <c r="AB4205" i="1"/>
  <c r="AF4205" i="1"/>
  <c r="AC4206" i="1"/>
  <c r="AJ4205" i="1"/>
  <c r="AK4205" i="1"/>
  <c r="AM4205" i="1"/>
  <c r="BF4205" i="1"/>
  <c r="BG4205" i="1"/>
  <c r="T4206" i="1"/>
  <c r="U4206" i="1"/>
  <c r="V4206" i="1"/>
  <c r="W4206" i="1"/>
  <c r="AB4206" i="1"/>
  <c r="AF4206" i="1"/>
  <c r="AC4207" i="1"/>
  <c r="AJ4206" i="1"/>
  <c r="AK4206" i="1"/>
  <c r="AM4206" i="1"/>
  <c r="BF4206" i="1"/>
  <c r="BG4206" i="1"/>
  <c r="T4207" i="1"/>
  <c r="U4207" i="1"/>
  <c r="V4207" i="1"/>
  <c r="W4207" i="1"/>
  <c r="AB4207" i="1"/>
  <c r="AF4207" i="1"/>
  <c r="K4208" i="1"/>
  <c r="AC4208" i="1"/>
  <c r="AJ4207" i="1"/>
  <c r="AK4207" i="1"/>
  <c r="AM4207" i="1"/>
  <c r="BF4207" i="1"/>
  <c r="BG4207" i="1"/>
  <c r="T4208" i="1"/>
  <c r="U4208" i="1"/>
  <c r="V4208" i="1"/>
  <c r="W4208" i="1"/>
  <c r="AB4208" i="1"/>
  <c r="AF4208" i="1"/>
  <c r="AC4209" i="1"/>
  <c r="AJ4208" i="1"/>
  <c r="AK4208" i="1"/>
  <c r="AM4208" i="1"/>
  <c r="BF4208" i="1"/>
  <c r="BG4208" i="1"/>
  <c r="T4209" i="1"/>
  <c r="U4209" i="1"/>
  <c r="V4209" i="1"/>
  <c r="W4209" i="1"/>
  <c r="AB4209" i="1"/>
  <c r="AF4209" i="1"/>
  <c r="AC4210" i="1"/>
  <c r="AJ4209" i="1"/>
  <c r="AK4209" i="1"/>
  <c r="AM4209" i="1"/>
  <c r="BF4209" i="1"/>
  <c r="BG4209" i="1"/>
  <c r="T4210" i="1"/>
  <c r="U4210" i="1"/>
  <c r="V4210" i="1"/>
  <c r="W4210" i="1"/>
  <c r="AB4210" i="1"/>
  <c r="AF4210" i="1"/>
  <c r="K4211" i="1"/>
  <c r="AC4211" i="1"/>
  <c r="AJ4210" i="1"/>
  <c r="AK4210" i="1"/>
  <c r="AM4210" i="1"/>
  <c r="BF4210" i="1"/>
  <c r="BG4210" i="1"/>
  <c r="T4211" i="1"/>
  <c r="U4211" i="1"/>
  <c r="V4211" i="1"/>
  <c r="W4211" i="1"/>
  <c r="AB4211" i="1"/>
  <c r="AF4211" i="1"/>
  <c r="K4212" i="1"/>
  <c r="AC4212" i="1"/>
  <c r="AJ4211" i="1"/>
  <c r="AK4211" i="1"/>
  <c r="AM4211" i="1"/>
  <c r="BF4211" i="1"/>
  <c r="BG4211" i="1"/>
  <c r="T4212" i="1"/>
  <c r="U4212" i="1"/>
  <c r="V4212" i="1"/>
  <c r="W4212" i="1"/>
  <c r="AB4212" i="1"/>
  <c r="AF4212" i="1"/>
  <c r="AC4213" i="1"/>
  <c r="AJ4212" i="1"/>
  <c r="AK4212" i="1"/>
  <c r="AM4212" i="1"/>
  <c r="BF4212" i="1"/>
  <c r="BG4212" i="1"/>
  <c r="T4213" i="1"/>
  <c r="U4213" i="1"/>
  <c r="V4213" i="1"/>
  <c r="W4213" i="1"/>
  <c r="AB4213" i="1"/>
  <c r="AF4213" i="1"/>
  <c r="AC4214" i="1"/>
  <c r="AJ4213" i="1"/>
  <c r="AK4213" i="1"/>
  <c r="AM4213" i="1"/>
  <c r="BF4213" i="1"/>
  <c r="BG4213" i="1"/>
  <c r="N4210" i="1"/>
  <c r="N4207" i="1"/>
  <c r="N4204" i="1"/>
  <c r="N4200" i="1"/>
  <c r="N4189" i="1"/>
  <c r="N4186" i="1"/>
  <c r="N4180" i="1"/>
  <c r="N4177" i="1"/>
  <c r="N4174" i="1"/>
  <c r="N4171" i="1"/>
  <c r="N4165" i="1"/>
  <c r="N4162" i="1"/>
  <c r="N4159" i="1"/>
  <c r="N4153" i="1"/>
  <c r="N4150" i="1"/>
  <c r="N4147" i="1"/>
  <c r="N4141" i="1"/>
  <c r="N4138" i="1"/>
  <c r="N4135" i="1"/>
  <c r="N4127" i="1"/>
  <c r="N4123" i="1"/>
  <c r="N4119" i="1"/>
  <c r="N4116" i="1"/>
  <c r="N4109" i="1"/>
  <c r="N4106" i="1"/>
  <c r="N4103" i="1"/>
  <c r="N4100" i="1"/>
  <c r="N4096" i="1"/>
  <c r="N4093" i="1"/>
  <c r="N4089" i="1"/>
  <c r="N4084" i="1"/>
  <c r="N4080" i="1"/>
  <c r="N4076" i="1"/>
  <c r="N4073" i="1"/>
  <c r="N4070" i="1"/>
  <c r="N4067" i="1"/>
  <c r="N4064" i="1"/>
  <c r="N4061" i="1"/>
  <c r="N4055" i="1"/>
  <c r="N4051" i="1"/>
  <c r="N4048" i="1"/>
  <c r="N4042" i="1"/>
  <c r="N4039" i="1"/>
  <c r="N4035" i="1"/>
  <c r="N4032" i="1"/>
  <c r="N4026" i="1"/>
  <c r="N4023" i="1"/>
  <c r="N4020" i="1"/>
  <c r="N4014" i="1"/>
  <c r="N4009" i="1"/>
  <c r="N4006" i="1"/>
  <c r="N3995" i="1"/>
  <c r="N3991" i="1"/>
  <c r="N3974" i="1"/>
  <c r="N3971" i="1"/>
  <c r="N3968" i="1"/>
  <c r="N3964" i="1"/>
  <c r="N3961" i="1"/>
  <c r="N3954" i="1"/>
  <c r="N3950" i="1"/>
  <c r="N3946" i="1"/>
  <c r="N3942" i="1"/>
  <c r="N3939" i="1"/>
  <c r="N3936" i="1"/>
  <c r="N3933" i="1"/>
  <c r="N3930" i="1"/>
  <c r="N3926" i="1"/>
  <c r="N3923" i="1"/>
  <c r="N3919" i="1"/>
  <c r="N3916" i="1"/>
  <c r="N3912" i="1"/>
  <c r="N3908" i="1"/>
  <c r="N3905" i="1"/>
  <c r="N3897" i="1"/>
  <c r="N3893" i="1"/>
  <c r="N3890" i="1"/>
  <c r="N3887" i="1"/>
  <c r="N3883" i="1"/>
  <c r="N3877" i="1"/>
  <c r="N3873" i="1"/>
  <c r="N3869" i="1"/>
  <c r="N3863" i="1"/>
  <c r="N3858" i="1"/>
  <c r="N3852" i="1"/>
  <c r="N3846" i="1"/>
  <c r="N3842" i="1"/>
  <c r="N3839" i="1"/>
  <c r="N3835" i="1"/>
  <c r="N3830" i="1"/>
  <c r="N3827" i="1"/>
  <c r="N3823" i="1"/>
  <c r="N3820" i="1"/>
  <c r="N3817" i="1"/>
  <c r="N3814" i="1"/>
  <c r="N3811" i="1"/>
  <c r="N3808" i="1"/>
  <c r="N3804" i="1"/>
  <c r="N3801" i="1"/>
  <c r="N3796" i="1"/>
  <c r="N3789" i="1"/>
  <c r="N3782" i="1"/>
  <c r="N3778" i="1"/>
  <c r="N3775" i="1"/>
  <c r="N3772" i="1"/>
  <c r="N3769" i="1"/>
  <c r="N3766" i="1"/>
  <c r="N3763" i="1"/>
  <c r="N3760" i="1"/>
  <c r="N3756" i="1"/>
  <c r="N3752" i="1"/>
  <c r="N3748" i="1"/>
  <c r="N3744" i="1"/>
  <c r="N3741" i="1"/>
  <c r="N3738" i="1"/>
  <c r="N3735" i="1"/>
  <c r="N3732" i="1"/>
  <c r="N3729" i="1"/>
  <c r="N3720" i="1"/>
  <c r="N3714" i="1"/>
  <c r="N3710" i="1"/>
  <c r="N3707" i="1"/>
  <c r="N3703" i="1"/>
  <c r="N3693" i="1"/>
  <c r="N3690" i="1"/>
  <c r="N3684" i="1"/>
  <c r="N3681" i="1"/>
  <c r="N3678" i="1"/>
  <c r="N3671" i="1"/>
  <c r="N3668" i="1"/>
  <c r="N3665" i="1"/>
  <c r="N3659" i="1"/>
  <c r="N3656" i="1"/>
  <c r="N3652" i="1"/>
  <c r="N3649" i="1"/>
  <c r="N3646" i="1"/>
  <c r="N3637" i="1"/>
  <c r="N3634" i="1"/>
  <c r="N3630" i="1"/>
  <c r="N3627" i="1"/>
  <c r="N3622" i="1"/>
  <c r="N3619" i="1"/>
  <c r="N3613" i="1"/>
  <c r="N3610" i="1"/>
  <c r="N3607" i="1"/>
  <c r="N3601" i="1"/>
  <c r="N3598" i="1"/>
  <c r="N3595" i="1"/>
  <c r="N3592" i="1"/>
  <c r="N3589" i="1"/>
  <c r="N3586" i="1"/>
  <c r="N3583" i="1"/>
  <c r="N3580" i="1"/>
  <c r="N3577" i="1"/>
  <c r="N3574" i="1"/>
  <c r="N3570" i="1"/>
  <c r="N3566" i="1"/>
  <c r="N3563" i="1"/>
  <c r="N3559" i="1"/>
  <c r="N3555" i="1"/>
  <c r="N3546" i="1"/>
  <c r="N3540" i="1"/>
  <c r="N3536" i="1"/>
  <c r="N3522" i="1"/>
  <c r="N3519" i="1"/>
  <c r="N3516" i="1"/>
  <c r="N3512" i="1"/>
  <c r="N3507" i="1"/>
  <c r="N3504" i="1"/>
  <c r="N3500" i="1"/>
  <c r="N3497" i="1"/>
  <c r="N3492" i="1"/>
  <c r="N3488" i="1"/>
  <c r="N3485" i="1"/>
  <c r="N3482" i="1"/>
  <c r="N3479" i="1"/>
  <c r="N3473" i="1"/>
  <c r="N3470" i="1"/>
  <c r="N3467" i="1"/>
  <c r="N3464" i="1"/>
  <c r="N3461" i="1"/>
  <c r="N3457" i="1"/>
  <c r="N3454" i="1"/>
  <c r="N3451" i="1"/>
  <c r="N3448" i="1"/>
  <c r="N3445" i="1"/>
  <c r="N3442" i="1"/>
  <c r="N3434" i="1"/>
  <c r="N3429" i="1"/>
  <c r="N3425" i="1"/>
  <c r="N3422" i="1"/>
  <c r="N3419" i="1"/>
  <c r="N3415" i="1"/>
  <c r="N3412" i="1"/>
  <c r="N3407" i="1"/>
  <c r="N3400" i="1"/>
  <c r="N3396" i="1"/>
  <c r="N3392" i="1"/>
  <c r="N3387" i="1"/>
  <c r="N3383" i="1"/>
  <c r="N3369" i="1"/>
  <c r="N3363" i="1"/>
  <c r="N3360" i="1"/>
  <c r="N3356" i="1"/>
  <c r="N3353" i="1"/>
  <c r="N3350" i="1"/>
  <c r="N3347" i="1"/>
  <c r="N3344" i="1"/>
  <c r="N3333" i="1"/>
  <c r="N3329" i="1"/>
  <c r="N3326" i="1"/>
  <c r="N3323" i="1"/>
  <c r="N3320" i="1"/>
  <c r="N3317" i="1"/>
  <c r="N3312" i="1"/>
  <c r="N3305" i="1"/>
  <c r="N3301" i="1"/>
  <c r="N3298" i="1"/>
  <c r="N3294" i="1"/>
  <c r="N3291" i="1"/>
  <c r="N3286" i="1"/>
  <c r="N3281" i="1"/>
  <c r="N3264" i="1"/>
  <c r="N3260" i="1"/>
  <c r="N3257" i="1"/>
  <c r="N3250" i="1"/>
  <c r="N3247" i="1"/>
  <c r="N3243" i="1"/>
  <c r="N3238" i="1"/>
  <c r="N3233" i="1"/>
  <c r="N3229" i="1"/>
  <c r="N3226" i="1"/>
  <c r="N3223" i="1"/>
  <c r="N3220" i="1"/>
  <c r="N3217" i="1"/>
  <c r="N3214" i="1"/>
  <c r="N3211" i="1"/>
  <c r="N3208" i="1"/>
  <c r="N3205" i="1"/>
  <c r="N3201" i="1"/>
  <c r="N3196" i="1"/>
  <c r="N3192" i="1"/>
  <c r="N3188" i="1"/>
  <c r="N3184" i="1"/>
  <c r="N3180" i="1"/>
  <c r="N3175" i="1"/>
  <c r="N3172" i="1"/>
  <c r="N3169" i="1"/>
  <c r="N3166" i="1"/>
  <c r="N3162" i="1"/>
  <c r="N3159" i="1"/>
  <c r="N3155" i="1"/>
  <c r="N3152" i="1"/>
  <c r="N3149" i="1"/>
  <c r="N3143" i="1"/>
  <c r="N3138" i="1"/>
  <c r="N3135" i="1"/>
  <c r="N3129" i="1"/>
  <c r="N3126" i="1"/>
  <c r="N3123" i="1"/>
  <c r="N3119" i="1"/>
  <c r="N3115" i="1"/>
  <c r="N3112" i="1"/>
  <c r="N3109" i="1"/>
  <c r="N3106" i="1"/>
  <c r="N3103" i="1"/>
  <c r="N3098" i="1"/>
  <c r="N3095" i="1"/>
  <c r="N3092" i="1"/>
  <c r="N3088" i="1"/>
  <c r="N3082" i="1"/>
  <c r="N3079" i="1"/>
  <c r="N3073" i="1"/>
  <c r="N3068" i="1"/>
  <c r="N3064" i="1"/>
  <c r="N3061" i="1"/>
  <c r="N3058" i="1"/>
  <c r="N3055" i="1"/>
  <c r="N3052" i="1"/>
  <c r="N3049" i="1"/>
  <c r="N3046" i="1"/>
  <c r="N3041" i="1"/>
  <c r="N3037" i="1"/>
  <c r="N3031" i="1"/>
  <c r="N3024" i="1"/>
  <c r="N3020" i="1"/>
  <c r="N3017" i="1"/>
  <c r="N3013" i="1"/>
  <c r="N3009" i="1"/>
  <c r="N3006" i="1"/>
  <c r="N3003" i="1"/>
  <c r="N2997" i="1"/>
  <c r="N2994" i="1"/>
  <c r="N2990" i="1"/>
  <c r="N2986" i="1"/>
  <c r="N2982" i="1"/>
  <c r="N2978" i="1"/>
  <c r="N2973" i="1"/>
  <c r="N2968" i="1"/>
  <c r="N2963" i="1"/>
  <c r="N2959" i="1"/>
  <c r="N2956" i="1"/>
  <c r="N2950" i="1"/>
  <c r="N2944" i="1"/>
  <c r="N2941" i="1"/>
  <c r="N2938" i="1"/>
  <c r="N2935" i="1"/>
  <c r="N2932" i="1"/>
  <c r="N2929" i="1"/>
  <c r="N2926" i="1"/>
  <c r="N2922" i="1"/>
  <c r="N2919" i="1"/>
  <c r="N2916" i="1"/>
  <c r="N2913" i="1"/>
  <c r="N2910" i="1"/>
  <c r="N2905" i="1"/>
  <c r="N2902" i="1"/>
  <c r="N2898" i="1"/>
  <c r="N2895" i="1"/>
  <c r="N2892" i="1"/>
  <c r="N2889" i="1"/>
  <c r="N2885" i="1"/>
  <c r="N2882" i="1"/>
  <c r="N2879" i="1"/>
  <c r="N2871" i="1"/>
  <c r="N2868" i="1"/>
  <c r="N2865" i="1"/>
  <c r="N2860" i="1"/>
  <c r="N2856" i="1"/>
  <c r="N2852" i="1"/>
  <c r="N2847" i="1"/>
  <c r="N2843" i="1"/>
  <c r="N2840" i="1"/>
  <c r="N2835" i="1"/>
  <c r="N2832" i="1"/>
  <c r="N2829" i="1"/>
  <c r="N2826" i="1"/>
  <c r="N2822" i="1"/>
  <c r="N2819" i="1"/>
  <c r="N2814" i="1"/>
  <c r="N2811" i="1"/>
  <c r="N2808" i="1"/>
  <c r="N2805" i="1"/>
  <c r="N2798" i="1"/>
  <c r="N2795" i="1"/>
  <c r="N2789" i="1"/>
  <c r="N2786" i="1"/>
  <c r="N2783" i="1"/>
  <c r="N2780" i="1"/>
  <c r="N2776" i="1"/>
  <c r="N2771" i="1"/>
  <c r="N2765" i="1"/>
  <c r="N2759" i="1"/>
  <c r="N2756" i="1"/>
  <c r="N2753" i="1"/>
  <c r="N2750" i="1"/>
  <c r="N2742" i="1"/>
  <c r="N2739" i="1"/>
  <c r="N2736" i="1"/>
  <c r="N2733" i="1"/>
  <c r="N2730" i="1"/>
  <c r="N2727" i="1"/>
  <c r="N2723" i="1"/>
  <c r="N2720" i="1"/>
  <c r="N2717" i="1"/>
  <c r="N2714" i="1"/>
  <c r="N2710" i="1"/>
  <c r="N2707" i="1"/>
  <c r="N2704" i="1"/>
  <c r="N2701" i="1"/>
  <c r="N2697" i="1"/>
  <c r="N2691" i="1"/>
  <c r="N2687" i="1"/>
  <c r="N2681" i="1"/>
  <c r="N2676" i="1"/>
  <c r="N2673" i="1"/>
  <c r="N2670" i="1"/>
  <c r="N2666" i="1"/>
  <c r="N2663" i="1"/>
  <c r="N2656" i="1"/>
  <c r="N2652" i="1"/>
  <c r="N2648" i="1"/>
  <c r="N2645" i="1"/>
  <c r="N2641" i="1"/>
  <c r="N2638" i="1"/>
  <c r="N2634" i="1"/>
  <c r="N2631" i="1"/>
  <c r="N2628" i="1"/>
  <c r="N2624" i="1"/>
  <c r="N2621" i="1"/>
  <c r="N2617" i="1"/>
  <c r="N2614" i="1"/>
  <c r="N2610" i="1"/>
  <c r="N2606" i="1"/>
  <c r="N2603" i="1"/>
  <c r="N2600" i="1"/>
  <c r="N2590" i="1"/>
  <c r="N2577" i="1"/>
  <c r="N2574" i="1"/>
  <c r="N2568" i="1"/>
  <c r="N2561" i="1"/>
  <c r="N2557" i="1"/>
  <c r="N2551" i="1"/>
  <c r="N2548" i="1"/>
  <c r="N2544" i="1"/>
  <c r="N2540" i="1"/>
  <c r="N2530" i="1"/>
  <c r="N2527" i="1"/>
  <c r="N2524" i="1"/>
  <c r="N2516" i="1"/>
  <c r="N2513" i="1"/>
  <c r="N2510" i="1"/>
  <c r="N2506" i="1"/>
  <c r="N2502" i="1"/>
  <c r="N2499" i="1"/>
  <c r="N2492" i="1"/>
  <c r="N2489" i="1"/>
  <c r="N2482" i="1"/>
  <c r="N2479" i="1"/>
  <c r="N2476" i="1"/>
  <c r="N2473" i="1"/>
  <c r="N2470" i="1"/>
  <c r="N2466" i="1"/>
  <c r="N2455" i="1"/>
  <c r="N2452" i="1"/>
  <c r="N2448" i="1"/>
  <c r="N2443" i="1"/>
  <c r="N2440" i="1"/>
  <c r="N2434" i="1"/>
  <c r="N2430" i="1"/>
  <c r="N2427" i="1"/>
  <c r="N2424" i="1"/>
  <c r="N2421" i="1"/>
  <c r="N2418" i="1"/>
  <c r="N2415" i="1"/>
  <c r="N2412" i="1"/>
  <c r="N2409" i="1"/>
  <c r="N2404" i="1"/>
  <c r="N2400" i="1"/>
  <c r="N2396" i="1"/>
  <c r="N2393" i="1"/>
  <c r="N2390" i="1"/>
  <c r="N2387" i="1"/>
  <c r="N2383" i="1"/>
  <c r="N2376" i="1"/>
  <c r="N2373" i="1"/>
  <c r="N2369" i="1"/>
  <c r="N2366" i="1"/>
  <c r="N2363" i="1"/>
  <c r="N2359" i="1"/>
  <c r="N2355" i="1"/>
  <c r="N2352" i="1"/>
  <c r="N2349" i="1"/>
  <c r="N2342" i="1"/>
  <c r="N2338" i="1"/>
  <c r="N2335" i="1"/>
  <c r="N2330" i="1"/>
  <c r="N2327" i="1"/>
  <c r="N2323" i="1"/>
  <c r="N2319" i="1"/>
  <c r="N2313" i="1"/>
  <c r="N2309" i="1"/>
  <c r="N2305" i="1"/>
  <c r="N2301" i="1"/>
  <c r="N2297" i="1"/>
  <c r="N2292" i="1"/>
  <c r="N2289" i="1"/>
  <c r="N2286" i="1"/>
  <c r="N2282" i="1"/>
  <c r="N2279" i="1"/>
  <c r="N2276" i="1"/>
  <c r="N2273" i="1"/>
  <c r="N2264" i="1"/>
  <c r="N2259" i="1"/>
  <c r="N2256" i="1"/>
  <c r="N2250" i="1"/>
  <c r="N2246" i="1"/>
  <c r="N2241" i="1"/>
  <c r="N2238" i="1"/>
  <c r="N2226" i="1"/>
  <c r="N2222" i="1"/>
  <c r="N2218" i="1"/>
  <c r="N2212" i="1"/>
  <c r="N2205" i="1"/>
  <c r="N2196" i="1"/>
  <c r="N2189" i="1"/>
  <c r="N2186" i="1"/>
  <c r="N2183" i="1"/>
  <c r="N2180" i="1"/>
  <c r="N2175" i="1"/>
  <c r="N2172" i="1"/>
  <c r="N2169" i="1"/>
  <c r="N2166" i="1"/>
  <c r="N2161" i="1"/>
  <c r="N2157" i="1"/>
  <c r="N2152" i="1"/>
  <c r="N2149" i="1"/>
  <c r="N2144" i="1"/>
  <c r="N2140" i="1"/>
  <c r="N2136" i="1"/>
  <c r="N2133" i="1"/>
  <c r="N2128" i="1"/>
  <c r="N2120" i="1"/>
  <c r="N2117" i="1"/>
  <c r="N2109" i="1"/>
  <c r="N2105" i="1"/>
  <c r="N2102" i="1"/>
  <c r="N2099" i="1"/>
  <c r="N2095" i="1"/>
  <c r="N2090" i="1"/>
  <c r="N2087" i="1"/>
  <c r="N2084" i="1"/>
  <c r="N2078" i="1"/>
  <c r="N2073" i="1"/>
  <c r="N2070" i="1"/>
  <c r="N2064" i="1"/>
  <c r="N2060" i="1"/>
  <c r="N2049" i="1"/>
  <c r="N2044" i="1"/>
  <c r="N2040" i="1"/>
  <c r="N2037" i="1"/>
  <c r="N2032" i="1"/>
  <c r="N2029" i="1"/>
  <c r="N2025" i="1"/>
  <c r="N2022" i="1"/>
  <c r="N2019" i="1"/>
  <c r="N2016" i="1"/>
  <c r="N2013" i="1"/>
  <c r="N2010" i="1"/>
  <c r="N2004" i="1"/>
  <c r="N2001" i="1"/>
  <c r="N1998" i="1"/>
  <c r="N1994" i="1"/>
  <c r="N1990" i="1"/>
  <c r="N1986" i="1"/>
  <c r="N1982" i="1"/>
  <c r="N1979" i="1"/>
  <c r="N1976" i="1"/>
  <c r="N1968" i="1"/>
  <c r="N1964" i="1"/>
  <c r="N1961" i="1"/>
  <c r="N1957" i="1"/>
  <c r="N1954" i="1"/>
  <c r="N1951" i="1"/>
  <c r="N1944" i="1"/>
  <c r="N1940" i="1"/>
  <c r="N1937" i="1"/>
  <c r="N1934" i="1"/>
  <c r="N1931" i="1"/>
  <c r="N1928" i="1"/>
  <c r="N1924" i="1"/>
  <c r="N1921" i="1"/>
  <c r="N1918" i="1"/>
  <c r="N1915" i="1"/>
  <c r="N1912" i="1"/>
  <c r="N1909" i="1"/>
  <c r="N1905" i="1"/>
  <c r="N1901" i="1"/>
  <c r="N1897" i="1"/>
  <c r="N1893" i="1"/>
  <c r="N1890" i="1"/>
  <c r="N1885" i="1"/>
  <c r="N1877" i="1"/>
  <c r="N1874" i="1"/>
  <c r="N1871" i="1"/>
  <c r="N1868" i="1"/>
  <c r="N1865" i="1"/>
  <c r="N1862" i="1"/>
  <c r="N1859" i="1"/>
  <c r="N1856" i="1"/>
  <c r="N1851" i="1"/>
  <c r="N1848" i="1"/>
  <c r="N1845" i="1"/>
  <c r="N1842" i="1"/>
  <c r="N1839" i="1"/>
  <c r="N1833" i="1"/>
  <c r="N1826" i="1"/>
  <c r="N1823" i="1"/>
  <c r="N1818" i="1"/>
  <c r="N1812" i="1"/>
  <c r="N1809" i="1"/>
  <c r="N1806" i="1"/>
  <c r="N1801" i="1"/>
  <c r="N1798" i="1"/>
  <c r="N1795" i="1"/>
  <c r="N1791" i="1"/>
  <c r="N1786" i="1"/>
  <c r="N1781" i="1"/>
  <c r="N1775" i="1"/>
  <c r="N1772" i="1"/>
  <c r="N1769" i="1"/>
  <c r="N1763" i="1"/>
  <c r="N1759" i="1"/>
  <c r="N1752" i="1"/>
  <c r="N1749" i="1"/>
  <c r="N1746" i="1"/>
  <c r="N1742" i="1"/>
  <c r="N1739" i="1"/>
  <c r="N1736" i="1"/>
  <c r="N1733" i="1"/>
  <c r="N1728" i="1"/>
  <c r="N1724" i="1"/>
  <c r="N1719" i="1"/>
  <c r="N1713" i="1"/>
  <c r="N1710" i="1"/>
  <c r="N1707" i="1"/>
  <c r="N1703" i="1"/>
  <c r="N1699" i="1"/>
  <c r="N1690" i="1"/>
  <c r="N1686" i="1"/>
  <c r="N1683" i="1"/>
  <c r="N1664" i="1"/>
  <c r="N1659" i="1"/>
  <c r="N1657" i="1"/>
  <c r="N1653" i="1"/>
  <c r="N1647" i="1"/>
  <c r="N1637" i="1"/>
  <c r="N1634" i="1"/>
  <c r="N1629" i="1"/>
  <c r="N1626" i="1"/>
  <c r="N1622" i="1"/>
  <c r="N1619" i="1"/>
  <c r="N1616" i="1"/>
  <c r="N1613" i="1"/>
  <c r="N1608" i="1"/>
  <c r="N1603" i="1"/>
  <c r="N1594" i="1"/>
  <c r="N1591" i="1"/>
  <c r="N1587" i="1"/>
  <c r="N1583" i="1"/>
  <c r="N1577" i="1"/>
  <c r="N1574" i="1"/>
  <c r="N1570" i="1"/>
  <c r="N1567" i="1"/>
  <c r="N1564" i="1"/>
  <c r="N1561" i="1"/>
  <c r="N1558" i="1"/>
  <c r="N1554" i="1"/>
  <c r="N1551" i="1"/>
  <c r="N1548" i="1"/>
  <c r="N1543" i="1"/>
  <c r="N1532" i="1"/>
  <c r="N1529" i="1"/>
  <c r="N1521" i="1"/>
  <c r="N1517" i="1"/>
  <c r="N1510" i="1"/>
  <c r="N1507" i="1"/>
  <c r="N1504" i="1"/>
  <c r="N1501" i="1"/>
  <c r="N1498" i="1"/>
  <c r="N1495" i="1"/>
  <c r="N1491" i="1"/>
  <c r="N1488" i="1"/>
  <c r="N1485" i="1"/>
  <c r="N1482" i="1"/>
  <c r="N1479" i="1"/>
  <c r="N1474" i="1"/>
  <c r="N1470" i="1"/>
  <c r="N1465" i="1"/>
  <c r="N1462" i="1"/>
  <c r="N1459" i="1"/>
  <c r="N1456" i="1"/>
  <c r="N1451" i="1"/>
  <c r="N1448" i="1"/>
  <c r="N1443" i="1"/>
  <c r="N1439" i="1"/>
  <c r="N1428" i="1"/>
  <c r="N1418" i="1"/>
  <c r="N1414" i="1"/>
  <c r="N1405" i="1"/>
  <c r="N1402" i="1"/>
  <c r="N1397" i="1"/>
  <c r="N1390" i="1"/>
  <c r="N1385" i="1"/>
  <c r="N1382" i="1"/>
  <c r="N1377" i="1"/>
  <c r="N1369" i="1"/>
  <c r="N1366" i="1"/>
  <c r="N1363" i="1"/>
  <c r="N1360" i="1"/>
  <c r="N1356" i="1"/>
  <c r="N1353" i="1"/>
  <c r="N1350" i="1"/>
  <c r="N1344" i="1"/>
  <c r="N1338" i="1"/>
  <c r="N1335" i="1"/>
  <c r="N1332" i="1"/>
  <c r="N1328" i="1"/>
  <c r="N1325" i="1"/>
  <c r="N1317" i="1"/>
  <c r="N1314" i="1"/>
  <c r="N1310" i="1"/>
  <c r="N1304" i="1"/>
  <c r="N1301" i="1"/>
  <c r="N1298" i="1"/>
  <c r="N1294" i="1"/>
  <c r="N1291" i="1"/>
  <c r="N1287" i="1"/>
  <c r="N1283" i="1"/>
  <c r="N1279" i="1"/>
  <c r="N1275" i="1"/>
  <c r="N1272" i="1"/>
  <c r="N1268" i="1"/>
  <c r="N1264" i="1"/>
  <c r="N1258" i="1"/>
  <c r="N1255" i="1"/>
  <c r="N1252" i="1"/>
  <c r="N1248" i="1"/>
  <c r="N1245" i="1"/>
  <c r="N1242" i="1"/>
  <c r="N1239" i="1"/>
  <c r="N1228" i="1"/>
  <c r="N1224" i="1"/>
  <c r="N1218" i="1"/>
  <c r="N1209" i="1"/>
  <c r="N1184" i="1"/>
  <c r="N1180" i="1"/>
  <c r="N1176" i="1"/>
  <c r="N1173" i="1"/>
  <c r="N1170" i="1"/>
  <c r="N1167" i="1"/>
  <c r="N1164" i="1"/>
  <c r="N1160" i="1"/>
  <c r="N1154" i="1"/>
  <c r="N1151" i="1"/>
  <c r="N1148" i="1"/>
  <c r="N1144" i="1"/>
  <c r="N1140" i="1"/>
  <c r="N1133" i="1"/>
  <c r="N1128" i="1"/>
  <c r="N1125" i="1"/>
  <c r="N1122" i="1"/>
  <c r="N1118" i="1"/>
  <c r="N1115" i="1"/>
  <c r="N1112" i="1"/>
  <c r="N1102" i="1"/>
  <c r="N1096" i="1"/>
  <c r="N1092" i="1"/>
  <c r="N1088" i="1"/>
  <c r="N1081" i="1"/>
  <c r="N1077" i="1"/>
  <c r="N1074" i="1"/>
  <c r="N1071" i="1"/>
  <c r="N1068" i="1"/>
  <c r="N1065" i="1"/>
  <c r="N1062" i="1"/>
  <c r="N1059" i="1"/>
  <c r="N1056" i="1"/>
  <c r="N1053" i="1"/>
  <c r="N1048" i="1"/>
  <c r="N1042" i="1"/>
  <c r="N1039" i="1"/>
  <c r="N1036" i="1"/>
  <c r="N1031" i="1"/>
  <c r="N1027" i="1"/>
  <c r="N1017" i="1"/>
  <c r="N1011" i="1"/>
  <c r="N1008" i="1"/>
  <c r="N1004" i="1"/>
  <c r="N1001" i="1"/>
  <c r="N997" i="1"/>
  <c r="N992" i="1"/>
  <c r="N988" i="1"/>
  <c r="N983" i="1"/>
  <c r="N980" i="1"/>
  <c r="N970" i="1"/>
  <c r="N966" i="1"/>
  <c r="N962" i="1"/>
  <c r="N959" i="1"/>
  <c r="N952" i="1"/>
  <c r="N949" i="1"/>
  <c r="N945" i="1"/>
  <c r="N941" i="1"/>
  <c r="N938" i="1"/>
  <c r="N935" i="1"/>
  <c r="N932" i="1"/>
  <c r="N928" i="1"/>
  <c r="N925" i="1"/>
  <c r="N921" i="1"/>
  <c r="N916" i="1"/>
  <c r="N913" i="1"/>
  <c r="N910" i="1"/>
  <c r="N907" i="1"/>
  <c r="N903" i="1"/>
  <c r="N900" i="1"/>
  <c r="N897" i="1"/>
  <c r="N890" i="1"/>
  <c r="N885" i="1"/>
  <c r="N881" i="1"/>
  <c r="N878" i="1"/>
  <c r="N875" i="1"/>
  <c r="N870" i="1"/>
  <c r="N867" i="1"/>
  <c r="N854" i="1"/>
  <c r="N851" i="1"/>
  <c r="N848" i="1"/>
  <c r="N845" i="1"/>
  <c r="N842" i="1"/>
  <c r="N839" i="1"/>
  <c r="N836" i="1"/>
  <c r="N833" i="1"/>
  <c r="N824" i="1"/>
  <c r="N819" i="1"/>
  <c r="N813" i="1"/>
  <c r="N810" i="1"/>
  <c r="N807" i="1"/>
  <c r="N804" i="1"/>
  <c r="N797" i="1"/>
  <c r="N794" i="1"/>
  <c r="N791" i="1"/>
  <c r="N784" i="1"/>
  <c r="N781" i="1"/>
  <c r="N778" i="1"/>
  <c r="N775" i="1"/>
  <c r="N771" i="1"/>
  <c r="N768" i="1"/>
  <c r="N757" i="1"/>
  <c r="N753" i="1"/>
  <c r="N750" i="1"/>
  <c r="N743" i="1"/>
  <c r="N729" i="1"/>
  <c r="N724" i="1"/>
  <c r="N721" i="1"/>
  <c r="N718" i="1"/>
  <c r="N715" i="1"/>
  <c r="N712" i="1"/>
  <c r="N707" i="1"/>
  <c r="N702" i="1"/>
  <c r="N699" i="1"/>
  <c r="N695" i="1"/>
  <c r="N692" i="1"/>
  <c r="N689" i="1"/>
  <c r="N685" i="1"/>
  <c r="N682" i="1"/>
  <c r="N678" i="1"/>
  <c r="N675" i="1"/>
  <c r="N671" i="1"/>
  <c r="N668" i="1"/>
  <c r="N660" i="1"/>
  <c r="N655" i="1"/>
  <c r="N652" i="1"/>
  <c r="N646" i="1"/>
  <c r="N638" i="1"/>
  <c r="N635" i="1"/>
  <c r="N632" i="1"/>
  <c r="N624" i="1"/>
  <c r="N620" i="1"/>
  <c r="N617" i="1"/>
  <c r="N614" i="1"/>
  <c r="N607" i="1"/>
  <c r="N604" i="1"/>
  <c r="N601" i="1"/>
  <c r="N598" i="1"/>
  <c r="N594" i="1"/>
  <c r="N589" i="1"/>
  <c r="N586" i="1"/>
  <c r="N580" i="1"/>
  <c r="N576" i="1"/>
  <c r="N573" i="1"/>
  <c r="N569" i="1"/>
  <c r="N566" i="1"/>
  <c r="N562" i="1"/>
  <c r="N559" i="1"/>
  <c r="N556" i="1"/>
  <c r="N553" i="1"/>
  <c r="N548" i="1"/>
  <c r="N543" i="1"/>
  <c r="N539" i="1"/>
  <c r="N536" i="1"/>
  <c r="N531" i="1"/>
  <c r="N528" i="1"/>
  <c r="N525" i="1"/>
  <c r="N522" i="1"/>
  <c r="N516" i="1"/>
  <c r="N512" i="1"/>
  <c r="N509" i="1"/>
  <c r="N505" i="1"/>
  <c r="N502" i="1"/>
  <c r="N497" i="1"/>
  <c r="N494" i="1"/>
  <c r="N490" i="1"/>
  <c r="N486" i="1"/>
  <c r="N483" i="1"/>
  <c r="N480" i="1"/>
  <c r="N476" i="1"/>
  <c r="N473" i="1"/>
  <c r="N470" i="1"/>
  <c r="N466" i="1"/>
  <c r="N461" i="1"/>
  <c r="N457" i="1"/>
  <c r="N450" i="1"/>
  <c r="N446" i="1"/>
  <c r="N443" i="1"/>
  <c r="N435" i="1"/>
  <c r="N432" i="1"/>
  <c r="N428" i="1"/>
  <c r="N425" i="1"/>
  <c r="N420" i="1"/>
  <c r="N417" i="1"/>
  <c r="N414" i="1"/>
  <c r="N408" i="1"/>
  <c r="N405" i="1"/>
  <c r="N400" i="1"/>
  <c r="N397" i="1"/>
  <c r="N394" i="1"/>
  <c r="N391" i="1"/>
  <c r="N388" i="1"/>
  <c r="N381" i="1"/>
  <c r="N378" i="1"/>
  <c r="N375" i="1"/>
  <c r="N372" i="1"/>
  <c r="N369" i="1"/>
  <c r="N365" i="1"/>
  <c r="N360" i="1"/>
  <c r="N356" i="1"/>
  <c r="N352" i="1"/>
  <c r="N349" i="1"/>
  <c r="N346" i="1"/>
  <c r="N341" i="1"/>
  <c r="N339" i="1"/>
  <c r="N335" i="1"/>
  <c r="N330" i="1"/>
  <c r="N327" i="1"/>
  <c r="N324" i="1"/>
  <c r="N321" i="1"/>
  <c r="N318" i="1"/>
  <c r="N315" i="1"/>
  <c r="N312" i="1"/>
  <c r="N309" i="1"/>
  <c r="N304" i="1"/>
  <c r="N301" i="1"/>
  <c r="N298" i="1"/>
  <c r="N295" i="1"/>
  <c r="N290" i="1"/>
  <c r="N286" i="1"/>
  <c r="N283" i="1"/>
  <c r="N279" i="1"/>
  <c r="N276" i="1"/>
  <c r="N273" i="1"/>
  <c r="N270" i="1"/>
  <c r="N266" i="1"/>
  <c r="N262" i="1"/>
  <c r="N259" i="1"/>
  <c r="N256" i="1"/>
  <c r="N253" i="1"/>
  <c r="N250" i="1"/>
  <c r="N247" i="1"/>
  <c r="N244" i="1"/>
  <c r="N240" i="1"/>
  <c r="N237" i="1"/>
  <c r="N232" i="1"/>
  <c r="N227" i="1"/>
  <c r="N224" i="1"/>
  <c r="N221" i="1"/>
  <c r="N218" i="1"/>
  <c r="N215" i="1"/>
  <c r="N208" i="1"/>
  <c r="N205" i="1"/>
  <c r="N201" i="1"/>
  <c r="N198" i="1"/>
  <c r="N195" i="1"/>
  <c r="N192" i="1"/>
  <c r="N189" i="1"/>
  <c r="N186" i="1"/>
  <c r="N183" i="1"/>
  <c r="N180" i="1"/>
  <c r="N177" i="1"/>
  <c r="N168" i="1"/>
  <c r="N165" i="1"/>
  <c r="N162" i="1"/>
  <c r="N159" i="1"/>
  <c r="N154" i="1"/>
  <c r="N151" i="1"/>
  <c r="N148" i="1"/>
  <c r="N142" i="1"/>
  <c r="N138" i="1"/>
  <c r="N134" i="1"/>
  <c r="N128" i="1"/>
  <c r="N125" i="1"/>
  <c r="N122" i="1"/>
  <c r="N119" i="1"/>
  <c r="N113" i="1"/>
  <c r="N110" i="1"/>
  <c r="N100" i="1"/>
  <c r="N97" i="1"/>
  <c r="N94" i="1"/>
  <c r="N91" i="1"/>
  <c r="N88" i="1"/>
  <c r="N83" i="1"/>
  <c r="N80" i="1"/>
  <c r="N74" i="1"/>
  <c r="N67" i="1"/>
  <c r="N64" i="1"/>
  <c r="N61" i="1"/>
  <c r="N55" i="1"/>
  <c r="N49" i="1"/>
  <c r="N42" i="1"/>
  <c r="N39" i="1"/>
  <c r="N35" i="1"/>
  <c r="N31" i="1"/>
  <c r="N28" i="1"/>
  <c r="N25" i="1"/>
  <c r="N22" i="1"/>
  <c r="N17" i="1"/>
  <c r="N14" i="1"/>
  <c r="N13" i="1"/>
  <c r="A4215" i="1"/>
  <c r="M4212" i="1"/>
  <c r="M4211" i="1"/>
  <c r="M4208" i="1"/>
  <c r="M4205" i="1"/>
  <c r="M4201" i="1"/>
  <c r="M4198" i="1"/>
  <c r="M4197" i="1"/>
  <c r="M4196" i="1"/>
  <c r="M4195" i="1"/>
  <c r="M4194" i="1"/>
  <c r="M4193" i="1"/>
  <c r="M4192" i="1"/>
  <c r="M4191" i="1"/>
  <c r="M4190" i="1"/>
  <c r="M4187" i="1"/>
  <c r="M4184" i="1"/>
  <c r="M4183" i="1"/>
  <c r="M4182" i="1"/>
  <c r="M4181" i="1"/>
  <c r="M4178" i="1"/>
  <c r="M4175" i="1"/>
  <c r="M4172" i="1"/>
  <c r="M4169" i="1"/>
  <c r="M4168" i="1"/>
  <c r="M4167" i="1"/>
  <c r="M4166" i="1"/>
  <c r="M4163" i="1"/>
  <c r="M4160" i="1"/>
  <c r="M4156" i="1"/>
  <c r="M4155" i="1"/>
  <c r="M4154" i="1"/>
  <c r="M4151" i="1"/>
  <c r="M4148" i="1"/>
  <c r="M4145" i="1"/>
  <c r="M4144" i="1"/>
  <c r="M4143" i="1"/>
  <c r="M4142" i="1"/>
  <c r="M4139" i="1"/>
  <c r="M4136" i="1"/>
  <c r="M4133" i="1"/>
  <c r="M4132" i="1"/>
  <c r="M4131" i="1"/>
  <c r="M4130" i="1"/>
  <c r="M4129" i="1"/>
  <c r="M4128" i="1"/>
  <c r="M4125" i="1"/>
  <c r="M4124" i="1"/>
  <c r="M4121" i="1"/>
  <c r="M4120" i="1"/>
  <c r="M4117" i="1"/>
  <c r="M4114" i="1"/>
  <c r="M4113" i="1"/>
  <c r="M4112" i="1"/>
  <c r="M4111" i="1"/>
  <c r="M4110" i="1"/>
  <c r="M4107" i="1"/>
  <c r="M4104" i="1"/>
  <c r="M4101" i="1"/>
  <c r="M4098" i="1"/>
  <c r="M4097" i="1"/>
  <c r="M4094" i="1"/>
  <c r="M4091" i="1"/>
  <c r="M4090" i="1"/>
  <c r="M4087" i="1"/>
  <c r="M4086" i="1"/>
  <c r="M4085" i="1"/>
  <c r="M4082" i="1"/>
  <c r="M4081" i="1"/>
  <c r="M4078" i="1"/>
  <c r="M4077" i="1"/>
  <c r="M4074" i="1"/>
  <c r="M4071" i="1"/>
  <c r="M4068" i="1"/>
  <c r="M4065" i="1"/>
  <c r="M4062" i="1"/>
  <c r="M4059" i="1"/>
  <c r="M4058" i="1"/>
  <c r="M4057" i="1"/>
  <c r="M4056" i="1"/>
  <c r="M4053" i="1"/>
  <c r="M4052" i="1"/>
  <c r="M4049" i="1"/>
  <c r="M4046" i="1"/>
  <c r="M4045" i="1"/>
  <c r="M4044" i="1"/>
  <c r="M4043" i="1"/>
  <c r="M4040" i="1"/>
  <c r="M4037" i="1"/>
  <c r="M4036" i="1"/>
  <c r="M4033" i="1"/>
  <c r="M4030" i="1"/>
  <c r="M4029" i="1"/>
  <c r="M4028" i="1"/>
  <c r="M4027" i="1"/>
  <c r="M4024" i="1"/>
  <c r="M4021" i="1"/>
  <c r="M4018" i="1"/>
  <c r="M4017" i="1"/>
  <c r="M4016" i="1"/>
  <c r="M4015" i="1"/>
  <c r="M4012" i="1"/>
  <c r="M4011" i="1"/>
  <c r="M4010" i="1"/>
  <c r="M4007" i="1"/>
  <c r="M4004" i="1"/>
  <c r="M4003" i="1"/>
  <c r="M4002" i="1"/>
  <c r="M4001" i="1"/>
  <c r="M4000" i="1"/>
  <c r="M3999" i="1"/>
  <c r="M3998" i="1"/>
  <c r="M3997" i="1"/>
  <c r="M3996" i="1"/>
  <c r="M3993" i="1"/>
  <c r="M3992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2" i="1"/>
  <c r="M3969" i="1"/>
  <c r="M3965" i="1"/>
  <c r="M3962" i="1"/>
  <c r="M3959" i="1"/>
  <c r="M3958" i="1"/>
  <c r="M3957" i="1"/>
  <c r="M3956" i="1"/>
  <c r="M3955" i="1"/>
  <c r="M3952" i="1"/>
  <c r="M3951" i="1"/>
  <c r="M3948" i="1"/>
  <c r="M3947" i="1"/>
  <c r="M3944" i="1"/>
  <c r="M3943" i="1"/>
  <c r="M3940" i="1"/>
  <c r="M3937" i="1"/>
  <c r="M3934" i="1"/>
  <c r="M3931" i="1"/>
  <c r="M3928" i="1"/>
  <c r="M3927" i="1"/>
  <c r="M3924" i="1"/>
  <c r="M3921" i="1"/>
  <c r="M3920" i="1"/>
  <c r="M3917" i="1"/>
  <c r="M3914" i="1"/>
  <c r="M3913" i="1"/>
  <c r="M3910" i="1"/>
  <c r="M3909" i="1"/>
  <c r="M3906" i="1"/>
  <c r="M3903" i="1"/>
  <c r="M3902" i="1"/>
  <c r="M3901" i="1"/>
  <c r="M3900" i="1"/>
  <c r="M3899" i="1"/>
  <c r="M3898" i="1"/>
  <c r="M3895" i="1"/>
  <c r="M3894" i="1"/>
  <c r="M3891" i="1"/>
  <c r="M3888" i="1"/>
  <c r="M3885" i="1"/>
  <c r="M3884" i="1"/>
  <c r="M3881" i="1"/>
  <c r="M3880" i="1"/>
  <c r="M3879" i="1"/>
  <c r="M3878" i="1"/>
  <c r="M3875" i="1"/>
  <c r="M3874" i="1"/>
  <c r="M3870" i="1"/>
  <c r="M3867" i="1"/>
  <c r="M3866" i="1"/>
  <c r="M3865" i="1"/>
  <c r="M3864" i="1"/>
  <c r="M3861" i="1"/>
  <c r="M3860" i="1"/>
  <c r="M3859" i="1"/>
  <c r="M3856" i="1"/>
  <c r="M3855" i="1"/>
  <c r="M3854" i="1"/>
  <c r="M3853" i="1"/>
  <c r="M3849" i="1"/>
  <c r="M3848" i="1"/>
  <c r="M3847" i="1"/>
  <c r="M3844" i="1"/>
  <c r="M3843" i="1"/>
  <c r="M3840" i="1"/>
  <c r="M3837" i="1"/>
  <c r="M3836" i="1"/>
  <c r="M3833" i="1"/>
  <c r="M3832" i="1"/>
  <c r="M3831" i="1"/>
  <c r="M3828" i="1"/>
  <c r="M3825" i="1"/>
  <c r="M3824" i="1"/>
  <c r="M3821" i="1"/>
  <c r="M3818" i="1"/>
  <c r="M3815" i="1"/>
  <c r="M3812" i="1"/>
  <c r="M3809" i="1"/>
  <c r="M3806" i="1"/>
  <c r="M3805" i="1"/>
  <c r="M3802" i="1"/>
  <c r="M3799" i="1"/>
  <c r="M3798" i="1"/>
  <c r="M3797" i="1"/>
  <c r="M3794" i="1"/>
  <c r="M3793" i="1"/>
  <c r="M3792" i="1"/>
  <c r="M3791" i="1"/>
  <c r="M3790" i="1"/>
  <c r="M3787" i="1"/>
  <c r="M3786" i="1"/>
  <c r="M3785" i="1"/>
  <c r="M3784" i="1"/>
  <c r="M3783" i="1"/>
  <c r="M3780" i="1"/>
  <c r="M3779" i="1"/>
  <c r="M3776" i="1"/>
  <c r="M3773" i="1"/>
  <c r="M3770" i="1"/>
  <c r="M3767" i="1"/>
  <c r="M3764" i="1"/>
  <c r="M3761" i="1"/>
  <c r="M3758" i="1"/>
  <c r="M3757" i="1"/>
  <c r="M3754" i="1"/>
  <c r="M3753" i="1"/>
  <c r="M3750" i="1"/>
  <c r="M3749" i="1"/>
  <c r="M3746" i="1"/>
  <c r="M3745" i="1"/>
  <c r="M3742" i="1"/>
  <c r="M3739" i="1"/>
  <c r="M3736" i="1"/>
  <c r="M3733" i="1"/>
  <c r="M3730" i="1"/>
  <c r="M3727" i="1"/>
  <c r="M3726" i="1"/>
  <c r="M3725" i="1"/>
  <c r="M3724" i="1"/>
  <c r="M3723" i="1"/>
  <c r="M3722" i="1"/>
  <c r="M3721" i="1"/>
  <c r="M3718" i="1"/>
  <c r="M3717" i="1"/>
  <c r="M3716" i="1"/>
  <c r="M3715" i="1"/>
  <c r="M3712" i="1"/>
  <c r="M3711" i="1"/>
  <c r="M3708" i="1"/>
  <c r="M3705" i="1"/>
  <c r="M3704" i="1"/>
  <c r="M3701" i="1"/>
  <c r="M3700" i="1"/>
  <c r="M3699" i="1"/>
  <c r="M3698" i="1"/>
  <c r="M3697" i="1"/>
  <c r="M3696" i="1"/>
  <c r="M3695" i="1"/>
  <c r="M3694" i="1"/>
  <c r="M3691" i="1"/>
  <c r="M3687" i="1"/>
  <c r="M3686" i="1"/>
  <c r="M3685" i="1"/>
  <c r="M3682" i="1"/>
  <c r="M3679" i="1"/>
  <c r="M3676" i="1"/>
  <c r="M3675" i="1"/>
  <c r="M3674" i="1"/>
  <c r="M3673" i="1"/>
  <c r="M3672" i="1"/>
  <c r="M3669" i="1"/>
  <c r="M3666" i="1"/>
  <c r="M3663" i="1"/>
  <c r="M3662" i="1"/>
  <c r="M3661" i="1"/>
  <c r="M3660" i="1"/>
  <c r="M3657" i="1"/>
  <c r="M3654" i="1"/>
  <c r="M3653" i="1"/>
  <c r="M3650" i="1"/>
  <c r="M3647" i="1"/>
  <c r="M3644" i="1"/>
  <c r="M3643" i="1"/>
  <c r="M3642" i="1"/>
  <c r="M3641" i="1"/>
  <c r="M3640" i="1"/>
  <c r="M3639" i="1"/>
  <c r="M3638" i="1"/>
  <c r="M3635" i="1"/>
  <c r="M3632" i="1"/>
  <c r="M3631" i="1"/>
  <c r="M3628" i="1"/>
  <c r="M3625" i="1"/>
  <c r="M3624" i="1"/>
  <c r="M3623" i="1"/>
  <c r="M3620" i="1"/>
  <c r="M3617" i="1"/>
  <c r="M3616" i="1"/>
  <c r="M3615" i="1"/>
  <c r="M3614" i="1"/>
  <c r="M3611" i="1"/>
  <c r="M3608" i="1"/>
  <c r="M3605" i="1"/>
  <c r="M3604" i="1"/>
  <c r="M3603" i="1"/>
  <c r="M3602" i="1"/>
  <c r="M3599" i="1"/>
  <c r="M3596" i="1"/>
  <c r="M3593" i="1"/>
  <c r="M3590" i="1"/>
  <c r="M3587" i="1"/>
  <c r="M3584" i="1"/>
  <c r="M3581" i="1"/>
  <c r="M3578" i="1"/>
  <c r="M3575" i="1"/>
  <c r="M3572" i="1"/>
  <c r="M3571" i="1"/>
  <c r="M3568" i="1"/>
  <c r="M3567" i="1"/>
  <c r="M3564" i="1"/>
  <c r="M3561" i="1"/>
  <c r="M3560" i="1"/>
  <c r="M3557" i="1"/>
  <c r="M3556" i="1"/>
  <c r="M3553" i="1"/>
  <c r="M3552" i="1"/>
  <c r="M3551" i="1"/>
  <c r="M3550" i="1"/>
  <c r="M3549" i="1"/>
  <c r="M3548" i="1"/>
  <c r="M3547" i="1"/>
  <c r="M3544" i="1"/>
  <c r="M3543" i="1"/>
  <c r="M3542" i="1"/>
  <c r="M3541" i="1"/>
  <c r="M3538" i="1"/>
  <c r="M3537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0" i="1"/>
  <c r="M3517" i="1"/>
  <c r="M3514" i="1"/>
  <c r="M3513" i="1"/>
  <c r="M3510" i="1"/>
  <c r="M3509" i="1"/>
  <c r="M3508" i="1"/>
  <c r="M3505" i="1"/>
  <c r="M3502" i="1"/>
  <c r="M3501" i="1"/>
  <c r="M3498" i="1"/>
  <c r="M3495" i="1"/>
  <c r="M3494" i="1"/>
  <c r="M3493" i="1"/>
  <c r="M3490" i="1"/>
  <c r="M3489" i="1"/>
  <c r="M3486" i="1"/>
  <c r="M3483" i="1"/>
  <c r="M3480" i="1"/>
  <c r="M3477" i="1"/>
  <c r="M3476" i="1"/>
  <c r="M3475" i="1"/>
  <c r="M3474" i="1"/>
  <c r="M3471" i="1"/>
  <c r="M3468" i="1"/>
  <c r="M3465" i="1"/>
  <c r="M3462" i="1"/>
  <c r="M3459" i="1"/>
  <c r="M3458" i="1"/>
  <c r="M3455" i="1"/>
  <c r="M3452" i="1"/>
  <c r="M3449" i="1"/>
  <c r="M3446" i="1"/>
  <c r="M3443" i="1"/>
  <c r="M3440" i="1"/>
  <c r="M3439" i="1"/>
  <c r="M3438" i="1"/>
  <c r="M3437" i="1"/>
  <c r="M3436" i="1"/>
  <c r="M3435" i="1"/>
  <c r="M3432" i="1"/>
  <c r="M3431" i="1"/>
  <c r="M3430" i="1"/>
  <c r="M3427" i="1"/>
  <c r="M3426" i="1"/>
  <c r="M3423" i="1"/>
  <c r="M3420" i="1"/>
  <c r="M3417" i="1"/>
  <c r="M3416" i="1"/>
  <c r="M3413" i="1"/>
  <c r="M3410" i="1"/>
  <c r="M3409" i="1"/>
  <c r="M3408" i="1"/>
  <c r="M3405" i="1"/>
  <c r="M3404" i="1"/>
  <c r="M3403" i="1"/>
  <c r="M3402" i="1"/>
  <c r="M3401" i="1"/>
  <c r="M3398" i="1"/>
  <c r="M3397" i="1"/>
  <c r="M3394" i="1"/>
  <c r="M3393" i="1"/>
  <c r="M3390" i="1"/>
  <c r="M3389" i="1"/>
  <c r="M3388" i="1"/>
  <c r="M3385" i="1"/>
  <c r="M3384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7" i="1"/>
  <c r="M3366" i="1"/>
  <c r="M3365" i="1"/>
  <c r="M3364" i="1"/>
  <c r="M3361" i="1"/>
  <c r="M3358" i="1"/>
  <c r="M3357" i="1"/>
  <c r="M3354" i="1"/>
  <c r="M3351" i="1"/>
  <c r="M3348" i="1"/>
  <c r="M3345" i="1"/>
  <c r="M3342" i="1"/>
  <c r="M3341" i="1"/>
  <c r="M3340" i="1"/>
  <c r="M3339" i="1"/>
  <c r="M3338" i="1"/>
  <c r="M3337" i="1"/>
  <c r="M3336" i="1"/>
  <c r="M3335" i="1"/>
  <c r="M3334" i="1"/>
  <c r="M3331" i="1"/>
  <c r="M3330" i="1"/>
  <c r="M3327" i="1"/>
  <c r="M3324" i="1"/>
  <c r="M3321" i="1"/>
  <c r="M3318" i="1"/>
  <c r="M3315" i="1"/>
  <c r="M3314" i="1"/>
  <c r="M3313" i="1"/>
  <c r="M3310" i="1"/>
  <c r="M3309" i="1"/>
  <c r="M3308" i="1"/>
  <c r="M3307" i="1"/>
  <c r="M3306" i="1"/>
  <c r="M3303" i="1"/>
  <c r="M3302" i="1"/>
  <c r="M3299" i="1"/>
  <c r="M3296" i="1"/>
  <c r="M3295" i="1"/>
  <c r="M3292" i="1"/>
  <c r="M3289" i="1"/>
  <c r="M3288" i="1"/>
  <c r="M3287" i="1"/>
  <c r="M3284" i="1"/>
  <c r="M3283" i="1"/>
  <c r="M3282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2" i="1"/>
  <c r="M3261" i="1"/>
  <c r="M3258" i="1"/>
  <c r="M3255" i="1"/>
  <c r="M3254" i="1"/>
  <c r="M3253" i="1"/>
  <c r="M3252" i="1"/>
  <c r="M3251" i="1"/>
  <c r="M3248" i="1"/>
  <c r="M3245" i="1"/>
  <c r="M3244" i="1"/>
  <c r="M3241" i="1"/>
  <c r="M3240" i="1"/>
  <c r="M3239" i="1"/>
  <c r="M3236" i="1"/>
  <c r="M3235" i="1"/>
  <c r="M3234" i="1"/>
  <c r="M3231" i="1"/>
  <c r="M3230" i="1"/>
  <c r="M3227" i="1"/>
  <c r="M3224" i="1"/>
  <c r="M3221" i="1"/>
  <c r="M3218" i="1"/>
  <c r="M3215" i="1"/>
  <c r="M3212" i="1"/>
  <c r="M3209" i="1"/>
  <c r="M3206" i="1"/>
  <c r="M3203" i="1"/>
  <c r="M3202" i="1"/>
  <c r="M3198" i="1"/>
  <c r="M3197" i="1"/>
  <c r="M3194" i="1"/>
  <c r="M3193" i="1"/>
  <c r="M3190" i="1"/>
  <c r="M3189" i="1"/>
  <c r="M3186" i="1"/>
  <c r="M3185" i="1"/>
  <c r="M3182" i="1"/>
  <c r="M3181" i="1"/>
  <c r="M3178" i="1"/>
  <c r="M3177" i="1"/>
  <c r="M3176" i="1"/>
  <c r="M3173" i="1"/>
  <c r="M3170" i="1"/>
  <c r="M3167" i="1"/>
  <c r="M3164" i="1"/>
  <c r="M3163" i="1"/>
  <c r="M3160" i="1"/>
  <c r="M3157" i="1"/>
  <c r="M3156" i="1"/>
  <c r="M3153" i="1"/>
  <c r="M3150" i="1"/>
  <c r="M3147" i="1"/>
  <c r="M3146" i="1"/>
  <c r="M3145" i="1"/>
  <c r="M3144" i="1"/>
  <c r="M3141" i="1"/>
  <c r="M3140" i="1"/>
  <c r="M3139" i="1"/>
  <c r="M3136" i="1"/>
  <c r="M3133" i="1"/>
  <c r="M3132" i="1"/>
  <c r="M3131" i="1"/>
  <c r="M3130" i="1"/>
  <c r="M3127" i="1"/>
  <c r="M3124" i="1"/>
  <c r="M3121" i="1"/>
  <c r="M3120" i="1"/>
  <c r="M3117" i="1"/>
  <c r="M3116" i="1"/>
  <c r="M3113" i="1"/>
  <c r="M3110" i="1"/>
  <c r="M3107" i="1"/>
  <c r="M3104" i="1"/>
  <c r="M3101" i="1"/>
  <c r="M3100" i="1"/>
  <c r="M3099" i="1"/>
  <c r="M3096" i="1"/>
  <c r="M3093" i="1"/>
  <c r="M3090" i="1"/>
  <c r="M3089" i="1"/>
  <c r="M3086" i="1"/>
  <c r="M3085" i="1"/>
  <c r="M3084" i="1"/>
  <c r="M3083" i="1"/>
  <c r="M3080" i="1"/>
  <c r="M3077" i="1"/>
  <c r="M3076" i="1"/>
  <c r="M3075" i="1"/>
  <c r="M3074" i="1"/>
  <c r="M3071" i="1"/>
  <c r="M3070" i="1"/>
  <c r="M3069" i="1"/>
  <c r="M3066" i="1"/>
  <c r="M3065" i="1"/>
  <c r="M3062" i="1"/>
  <c r="M3059" i="1"/>
  <c r="M3056" i="1"/>
  <c r="M3053" i="1"/>
  <c r="M3050" i="1"/>
  <c r="M3047" i="1"/>
  <c r="M3044" i="1"/>
  <c r="M3043" i="1"/>
  <c r="M3042" i="1"/>
  <c r="M3038" i="1"/>
  <c r="M3035" i="1"/>
  <c r="M3034" i="1"/>
  <c r="M3033" i="1"/>
  <c r="M3032" i="1"/>
  <c r="M3028" i="1"/>
  <c r="M3027" i="1"/>
  <c r="M3026" i="1"/>
  <c r="M3025" i="1"/>
  <c r="M3022" i="1"/>
  <c r="M3021" i="1"/>
  <c r="M3018" i="1"/>
  <c r="M3015" i="1"/>
  <c r="M3014" i="1"/>
  <c r="M3011" i="1"/>
  <c r="M3010" i="1"/>
  <c r="M3007" i="1"/>
  <c r="M3004" i="1"/>
  <c r="M3001" i="1"/>
  <c r="M3000" i="1"/>
  <c r="M2999" i="1"/>
  <c r="M2998" i="1"/>
  <c r="M2995" i="1"/>
  <c r="M2992" i="1"/>
  <c r="M2991" i="1"/>
  <c r="M2988" i="1"/>
  <c r="M2987" i="1"/>
  <c r="M2984" i="1"/>
  <c r="M2983" i="1"/>
  <c r="M2980" i="1"/>
  <c r="M2979" i="1"/>
  <c r="M2976" i="1"/>
  <c r="M2975" i="1"/>
  <c r="M2974" i="1"/>
  <c r="M2971" i="1"/>
  <c r="M2970" i="1"/>
  <c r="M2969" i="1"/>
  <c r="M2966" i="1"/>
  <c r="M2965" i="1"/>
  <c r="M2964" i="1"/>
  <c r="M2961" i="1"/>
  <c r="M2960" i="1"/>
  <c r="M2957" i="1"/>
  <c r="M2954" i="1"/>
  <c r="M2953" i="1"/>
  <c r="M2952" i="1"/>
  <c r="M2951" i="1"/>
  <c r="M2948" i="1"/>
  <c r="M2947" i="1"/>
  <c r="M2946" i="1"/>
  <c r="M2945" i="1"/>
  <c r="M2942" i="1"/>
  <c r="M2939" i="1"/>
  <c r="M2936" i="1"/>
  <c r="M2933" i="1"/>
  <c r="M2930" i="1"/>
  <c r="M2927" i="1"/>
  <c r="M2924" i="1"/>
  <c r="M2923" i="1"/>
  <c r="M2920" i="1"/>
  <c r="M2917" i="1"/>
  <c r="M2914" i="1"/>
  <c r="M2911" i="1"/>
  <c r="M2908" i="1"/>
  <c r="M2907" i="1"/>
  <c r="M2906" i="1"/>
  <c r="M2903" i="1"/>
  <c r="M2900" i="1"/>
  <c r="M2899" i="1"/>
  <c r="M2896" i="1"/>
  <c r="M2893" i="1"/>
  <c r="M2890" i="1"/>
  <c r="M2887" i="1"/>
  <c r="M2886" i="1"/>
  <c r="M2883" i="1"/>
  <c r="M2880" i="1"/>
  <c r="M2877" i="1"/>
  <c r="M2876" i="1"/>
  <c r="M2875" i="1"/>
  <c r="M2874" i="1"/>
  <c r="M2873" i="1"/>
  <c r="M2872" i="1"/>
  <c r="M2869" i="1"/>
  <c r="M2866" i="1"/>
  <c r="M2863" i="1"/>
  <c r="M2862" i="1"/>
  <c r="M2861" i="1"/>
  <c r="M2858" i="1"/>
  <c r="M2857" i="1"/>
  <c r="M2854" i="1"/>
  <c r="M2853" i="1"/>
  <c r="M2850" i="1"/>
  <c r="M2849" i="1"/>
  <c r="M2848" i="1"/>
  <c r="M2845" i="1"/>
  <c r="M2844" i="1"/>
  <c r="M2841" i="1"/>
  <c r="M2838" i="1"/>
  <c r="M2837" i="1"/>
  <c r="M2836" i="1"/>
  <c r="M2833" i="1"/>
  <c r="M2830" i="1"/>
  <c r="M2827" i="1"/>
  <c r="M2824" i="1"/>
  <c r="M2823" i="1"/>
  <c r="M2820" i="1"/>
  <c r="M2817" i="1"/>
  <c r="M2816" i="1"/>
  <c r="M2815" i="1"/>
  <c r="M2812" i="1"/>
  <c r="M2809" i="1"/>
  <c r="M2806" i="1"/>
  <c r="M2803" i="1"/>
  <c r="M2802" i="1"/>
  <c r="M2801" i="1"/>
  <c r="M2800" i="1"/>
  <c r="M2799" i="1"/>
  <c r="M2796" i="1"/>
  <c r="M2793" i="1"/>
  <c r="M2792" i="1"/>
  <c r="M2791" i="1"/>
  <c r="M2790" i="1"/>
  <c r="M2787" i="1"/>
  <c r="M2784" i="1"/>
  <c r="M2781" i="1"/>
  <c r="M2778" i="1"/>
  <c r="M2777" i="1"/>
  <c r="M2774" i="1"/>
  <c r="M2773" i="1"/>
  <c r="M2772" i="1"/>
  <c r="M2769" i="1"/>
  <c r="M2768" i="1"/>
  <c r="M2767" i="1"/>
  <c r="M2766" i="1"/>
  <c r="M2763" i="1"/>
  <c r="M2762" i="1"/>
  <c r="M2761" i="1"/>
  <c r="M2760" i="1"/>
  <c r="M2757" i="1"/>
  <c r="M2754" i="1"/>
  <c r="M2751" i="1"/>
  <c r="M2748" i="1"/>
  <c r="M2747" i="1"/>
  <c r="M2746" i="1"/>
  <c r="M2745" i="1"/>
  <c r="M2744" i="1"/>
  <c r="M2743" i="1"/>
  <c r="M2740" i="1"/>
  <c r="M2737" i="1"/>
  <c r="M2734" i="1"/>
  <c r="M2731" i="1"/>
  <c r="M2728" i="1"/>
  <c r="M2724" i="1"/>
  <c r="M2721" i="1"/>
  <c r="M2718" i="1"/>
  <c r="M2715" i="1"/>
  <c r="M2712" i="1"/>
  <c r="M2711" i="1"/>
  <c r="M2708" i="1"/>
  <c r="M2705" i="1"/>
  <c r="M2702" i="1"/>
  <c r="M2699" i="1"/>
  <c r="M2698" i="1"/>
  <c r="M2695" i="1"/>
  <c r="M2694" i="1"/>
  <c r="M2693" i="1"/>
  <c r="M2692" i="1"/>
  <c r="M2689" i="1"/>
  <c r="M2688" i="1"/>
  <c r="M2685" i="1"/>
  <c r="M2684" i="1"/>
  <c r="M2683" i="1"/>
  <c r="M2682" i="1"/>
  <c r="M2679" i="1"/>
  <c r="M2678" i="1"/>
  <c r="M2677" i="1"/>
  <c r="M2674" i="1"/>
  <c r="M2671" i="1"/>
  <c r="M2668" i="1"/>
  <c r="M2667" i="1"/>
  <c r="M2664" i="1"/>
  <c r="M2661" i="1"/>
  <c r="M2660" i="1"/>
  <c r="M2659" i="1"/>
  <c r="M2658" i="1"/>
  <c r="M2657" i="1"/>
  <c r="M2654" i="1"/>
  <c r="M2653" i="1"/>
  <c r="M2649" i="1"/>
  <c r="M2646" i="1"/>
  <c r="M2643" i="1"/>
  <c r="M2642" i="1"/>
  <c r="M2639" i="1"/>
  <c r="M2636" i="1"/>
  <c r="M2635" i="1"/>
  <c r="M2632" i="1"/>
  <c r="M2629" i="1"/>
  <c r="M2626" i="1"/>
  <c r="M2625" i="1"/>
  <c r="M2622" i="1"/>
  <c r="M2619" i="1"/>
  <c r="M2618" i="1"/>
  <c r="M2615" i="1"/>
  <c r="M2612" i="1"/>
  <c r="M2611" i="1"/>
  <c r="M2608" i="1"/>
  <c r="M2607" i="1"/>
  <c r="M2604" i="1"/>
  <c r="M2601" i="1"/>
  <c r="M2598" i="1"/>
  <c r="M2597" i="1"/>
  <c r="M2596" i="1"/>
  <c r="M2595" i="1"/>
  <c r="M2594" i="1"/>
  <c r="M2593" i="1"/>
  <c r="M2592" i="1"/>
  <c r="M2591" i="1"/>
  <c r="M2588" i="1"/>
  <c r="M2587" i="1"/>
  <c r="M2586" i="1"/>
  <c r="M2585" i="1"/>
  <c r="M2584" i="1"/>
  <c r="M2583" i="1"/>
  <c r="M2582" i="1"/>
  <c r="M2581" i="1"/>
  <c r="M2580" i="1"/>
  <c r="M2579" i="1"/>
  <c r="M2578" i="1"/>
  <c r="M2575" i="1"/>
  <c r="M2572" i="1"/>
  <c r="M2571" i="1"/>
  <c r="M2570" i="1"/>
  <c r="M2569" i="1"/>
  <c r="M2566" i="1"/>
  <c r="M2565" i="1"/>
  <c r="M2564" i="1"/>
  <c r="M2563" i="1"/>
  <c r="M2562" i="1"/>
  <c r="M2559" i="1"/>
  <c r="M2558" i="1"/>
  <c r="M2555" i="1"/>
  <c r="M2554" i="1"/>
  <c r="M2553" i="1"/>
  <c r="M2552" i="1"/>
  <c r="M2549" i="1"/>
  <c r="M2546" i="1"/>
  <c r="M2545" i="1"/>
  <c r="M2541" i="1"/>
  <c r="M2538" i="1"/>
  <c r="M2537" i="1"/>
  <c r="M2536" i="1"/>
  <c r="M2535" i="1"/>
  <c r="M2534" i="1"/>
  <c r="M2533" i="1"/>
  <c r="M2532" i="1"/>
  <c r="M2531" i="1"/>
  <c r="M2528" i="1"/>
  <c r="M2525" i="1"/>
  <c r="M2522" i="1"/>
  <c r="M2521" i="1"/>
  <c r="M2520" i="1"/>
  <c r="M2519" i="1"/>
  <c r="M2518" i="1"/>
  <c r="M2517" i="1"/>
  <c r="M2514" i="1"/>
  <c r="M2511" i="1"/>
  <c r="M2508" i="1"/>
  <c r="M2507" i="1"/>
  <c r="M2504" i="1"/>
  <c r="M2503" i="1"/>
  <c r="M2500" i="1"/>
  <c r="M2497" i="1"/>
  <c r="M2496" i="1"/>
  <c r="M2495" i="1"/>
  <c r="M2494" i="1"/>
  <c r="M2493" i="1"/>
  <c r="M2490" i="1"/>
  <c r="M2487" i="1"/>
  <c r="M2486" i="1"/>
  <c r="M2485" i="1"/>
  <c r="M2484" i="1"/>
  <c r="M2483" i="1"/>
  <c r="M2480" i="1"/>
  <c r="M2477" i="1"/>
  <c r="M2474" i="1"/>
  <c r="M2471" i="1"/>
  <c r="M2468" i="1"/>
  <c r="M2467" i="1"/>
  <c r="M2464" i="1"/>
  <c r="M2463" i="1"/>
  <c r="M2462" i="1"/>
  <c r="M2461" i="1"/>
  <c r="M2460" i="1"/>
  <c r="M2459" i="1"/>
  <c r="M2458" i="1"/>
  <c r="M2457" i="1"/>
  <c r="M2456" i="1"/>
  <c r="M2453" i="1"/>
  <c r="M2450" i="1"/>
  <c r="M2449" i="1"/>
  <c r="M2446" i="1"/>
  <c r="M2445" i="1"/>
  <c r="M2444" i="1"/>
  <c r="M2441" i="1"/>
  <c r="M2438" i="1"/>
  <c r="M2437" i="1"/>
  <c r="M2436" i="1"/>
  <c r="M2435" i="1"/>
  <c r="M2432" i="1"/>
  <c r="M2431" i="1"/>
  <c r="M2428" i="1"/>
  <c r="M2425" i="1"/>
  <c r="M2422" i="1"/>
  <c r="M2419" i="1"/>
  <c r="M2416" i="1"/>
  <c r="M2413" i="1"/>
  <c r="M2410" i="1"/>
  <c r="M2407" i="1"/>
  <c r="M2406" i="1"/>
  <c r="M2405" i="1"/>
  <c r="M2402" i="1"/>
  <c r="M2401" i="1"/>
  <c r="M2398" i="1"/>
  <c r="M2397" i="1"/>
  <c r="M2394" i="1"/>
  <c r="M2391" i="1"/>
  <c r="M2388" i="1"/>
  <c r="M2385" i="1"/>
  <c r="M2384" i="1"/>
  <c r="M2381" i="1"/>
  <c r="M2380" i="1"/>
  <c r="M2379" i="1"/>
  <c r="M2378" i="1"/>
  <c r="M2377" i="1"/>
  <c r="M2374" i="1"/>
  <c r="M2371" i="1"/>
  <c r="M2370" i="1"/>
  <c r="M2367" i="1"/>
  <c r="M2364" i="1"/>
  <c r="M2361" i="1"/>
  <c r="M2360" i="1"/>
  <c r="M2357" i="1"/>
  <c r="M2356" i="1"/>
  <c r="M2353" i="1"/>
  <c r="M2350" i="1"/>
  <c r="M2346" i="1"/>
  <c r="M2345" i="1"/>
  <c r="M2344" i="1"/>
  <c r="M2343" i="1"/>
  <c r="M2340" i="1"/>
  <c r="M2339" i="1"/>
  <c r="M2336" i="1"/>
  <c r="M2333" i="1"/>
  <c r="M2332" i="1"/>
  <c r="M2331" i="1"/>
  <c r="M2328" i="1"/>
  <c r="M2325" i="1"/>
  <c r="M2324" i="1"/>
  <c r="M2321" i="1"/>
  <c r="M2320" i="1"/>
  <c r="M2317" i="1"/>
  <c r="M2316" i="1"/>
  <c r="M2315" i="1"/>
  <c r="M2314" i="1"/>
  <c r="M2311" i="1"/>
  <c r="M2310" i="1"/>
  <c r="M2307" i="1"/>
  <c r="M2306" i="1"/>
  <c r="M2303" i="1"/>
  <c r="M2302" i="1"/>
  <c r="M2299" i="1"/>
  <c r="M2298" i="1"/>
  <c r="M2295" i="1"/>
  <c r="M2294" i="1"/>
  <c r="M2293" i="1"/>
  <c r="M2290" i="1"/>
  <c r="M2287" i="1"/>
  <c r="M2284" i="1"/>
  <c r="M2283" i="1"/>
  <c r="M2280" i="1"/>
  <c r="M2277" i="1"/>
  <c r="M2274" i="1"/>
  <c r="M2271" i="1"/>
  <c r="M2270" i="1"/>
  <c r="M2269" i="1"/>
  <c r="M2268" i="1"/>
  <c r="M2267" i="1"/>
  <c r="M2266" i="1"/>
  <c r="M2265" i="1"/>
  <c r="M2262" i="1"/>
  <c r="M2261" i="1"/>
  <c r="M2260" i="1"/>
  <c r="M2257" i="1"/>
  <c r="M2254" i="1"/>
  <c r="M2253" i="1"/>
  <c r="M2252" i="1"/>
  <c r="M2251" i="1"/>
  <c r="M2248" i="1"/>
  <c r="M2247" i="1"/>
  <c r="M2244" i="1"/>
  <c r="M2243" i="1"/>
  <c r="M2242" i="1"/>
  <c r="M2239" i="1"/>
  <c r="M2236" i="1"/>
  <c r="M2235" i="1"/>
  <c r="M2234" i="1"/>
  <c r="M2233" i="1"/>
  <c r="M2232" i="1"/>
  <c r="M2231" i="1"/>
  <c r="M2230" i="1"/>
  <c r="M2229" i="1"/>
  <c r="M2228" i="1"/>
  <c r="M2227" i="1"/>
  <c r="M2224" i="1"/>
  <c r="M2223" i="1"/>
  <c r="M2220" i="1"/>
  <c r="M2219" i="1"/>
  <c r="M2216" i="1"/>
  <c r="M2215" i="1"/>
  <c r="M2214" i="1"/>
  <c r="M2213" i="1"/>
  <c r="M2210" i="1"/>
  <c r="M2209" i="1"/>
  <c r="M2208" i="1"/>
  <c r="M2207" i="1"/>
  <c r="M2206" i="1"/>
  <c r="M2203" i="1"/>
  <c r="M2202" i="1"/>
  <c r="M2201" i="1"/>
  <c r="M2200" i="1"/>
  <c r="M2199" i="1"/>
  <c r="M2198" i="1"/>
  <c r="M2197" i="1"/>
  <c r="M2194" i="1"/>
  <c r="M2193" i="1"/>
  <c r="M2192" i="1"/>
  <c r="M2191" i="1"/>
  <c r="M2190" i="1"/>
  <c r="M2187" i="1"/>
  <c r="M2184" i="1"/>
  <c r="M2181" i="1"/>
  <c r="M2178" i="1"/>
  <c r="M2177" i="1"/>
  <c r="M2176" i="1"/>
  <c r="M2173" i="1"/>
  <c r="M2170" i="1"/>
  <c r="M2167" i="1"/>
  <c r="M2164" i="1"/>
  <c r="M2163" i="1"/>
  <c r="M2162" i="1"/>
  <c r="M2159" i="1"/>
  <c r="M2158" i="1"/>
  <c r="M2155" i="1"/>
  <c r="M2154" i="1"/>
  <c r="M2153" i="1"/>
  <c r="M2150" i="1"/>
  <c r="M2147" i="1"/>
  <c r="M2146" i="1"/>
  <c r="M2145" i="1"/>
  <c r="M2142" i="1"/>
  <c r="M2141" i="1"/>
  <c r="M2138" i="1"/>
  <c r="M2137" i="1"/>
  <c r="M2134" i="1"/>
  <c r="M2131" i="1"/>
  <c r="M2130" i="1"/>
  <c r="M2129" i="1"/>
  <c r="M2125" i="1"/>
  <c r="M2124" i="1"/>
  <c r="M2123" i="1"/>
  <c r="M2122" i="1"/>
  <c r="M2121" i="1"/>
  <c r="M2118" i="1"/>
  <c r="M2115" i="1"/>
  <c r="M2114" i="1"/>
  <c r="M2113" i="1"/>
  <c r="M2112" i="1"/>
  <c r="M2111" i="1"/>
  <c r="M2110" i="1"/>
  <c r="M2107" i="1"/>
  <c r="M2106" i="1"/>
  <c r="M2103" i="1"/>
  <c r="M2100" i="1"/>
  <c r="M2097" i="1"/>
  <c r="M2096" i="1"/>
  <c r="M2093" i="1"/>
  <c r="M2092" i="1"/>
  <c r="M2091" i="1"/>
  <c r="M2088" i="1"/>
  <c r="M2085" i="1"/>
  <c r="M2082" i="1"/>
  <c r="M2081" i="1"/>
  <c r="M2080" i="1"/>
  <c r="M2079" i="1"/>
  <c r="M2076" i="1"/>
  <c r="M2075" i="1"/>
  <c r="M2074" i="1"/>
  <c r="M2071" i="1"/>
  <c r="M2068" i="1"/>
  <c r="M2067" i="1"/>
  <c r="M2066" i="1"/>
  <c r="M2065" i="1"/>
  <c r="M2062" i="1"/>
  <c r="M2061" i="1"/>
  <c r="M2058" i="1"/>
  <c r="M2057" i="1"/>
  <c r="M2056" i="1"/>
  <c r="M2055" i="1"/>
  <c r="M2054" i="1"/>
  <c r="M2053" i="1"/>
  <c r="M2052" i="1"/>
  <c r="M2051" i="1"/>
  <c r="M2050" i="1"/>
  <c r="M2047" i="1"/>
  <c r="M2046" i="1"/>
  <c r="M2045" i="1"/>
  <c r="M2041" i="1"/>
  <c r="M2038" i="1"/>
  <c r="M2035" i="1"/>
  <c r="M2034" i="1"/>
  <c r="M2033" i="1"/>
  <c r="M2030" i="1"/>
  <c r="M2027" i="1"/>
  <c r="M2026" i="1"/>
  <c r="M2023" i="1"/>
  <c r="M2020" i="1"/>
  <c r="M2017" i="1"/>
  <c r="M2014" i="1"/>
  <c r="M2011" i="1"/>
  <c r="M2008" i="1"/>
  <c r="M2007" i="1"/>
  <c r="M2006" i="1"/>
  <c r="M2005" i="1"/>
  <c r="M2002" i="1"/>
  <c r="M1999" i="1"/>
  <c r="M1996" i="1"/>
  <c r="M1995" i="1"/>
  <c r="M1992" i="1"/>
  <c r="M1991" i="1"/>
  <c r="M1988" i="1"/>
  <c r="M1987" i="1"/>
  <c r="M1984" i="1"/>
  <c r="M1983" i="1"/>
  <c r="M1980" i="1"/>
  <c r="M1977" i="1"/>
  <c r="M1974" i="1"/>
  <c r="M1973" i="1"/>
  <c r="M1972" i="1"/>
  <c r="M1971" i="1"/>
  <c r="M1970" i="1"/>
  <c r="M1969" i="1"/>
  <c r="M1966" i="1"/>
  <c r="M1965" i="1"/>
  <c r="M1962" i="1"/>
  <c r="M1958" i="1"/>
  <c r="M1955" i="1"/>
  <c r="M1952" i="1"/>
  <c r="M1949" i="1"/>
  <c r="M1948" i="1"/>
  <c r="M1947" i="1"/>
  <c r="M1946" i="1"/>
  <c r="M1945" i="1"/>
  <c r="M1942" i="1"/>
  <c r="M1941" i="1"/>
  <c r="M1938" i="1"/>
  <c r="M1935" i="1"/>
  <c r="M1932" i="1"/>
  <c r="M1929" i="1"/>
  <c r="M1926" i="1"/>
  <c r="M1925" i="1"/>
  <c r="M1922" i="1"/>
  <c r="M1919" i="1"/>
  <c r="M1916" i="1"/>
  <c r="M1913" i="1"/>
  <c r="M1910" i="1"/>
  <c r="M1906" i="1"/>
  <c r="M1903" i="1"/>
  <c r="M1902" i="1"/>
  <c r="M1899" i="1"/>
  <c r="M1898" i="1"/>
  <c r="M1895" i="1"/>
  <c r="M1894" i="1"/>
  <c r="M1891" i="1"/>
  <c r="M1888" i="1"/>
  <c r="M1887" i="1"/>
  <c r="M1886" i="1"/>
  <c r="M1883" i="1"/>
  <c r="M1882" i="1"/>
  <c r="M1881" i="1"/>
  <c r="M1880" i="1"/>
  <c r="M1879" i="1"/>
  <c r="M1878" i="1"/>
  <c r="M1875" i="1"/>
  <c r="M1872" i="1"/>
  <c r="M1869" i="1"/>
  <c r="M1866" i="1"/>
  <c r="M1863" i="1"/>
  <c r="M1860" i="1"/>
  <c r="M1857" i="1"/>
  <c r="M1854" i="1"/>
  <c r="M1853" i="1"/>
  <c r="M1852" i="1"/>
  <c r="M1849" i="1"/>
  <c r="M1846" i="1"/>
  <c r="M1843" i="1"/>
  <c r="M1840" i="1"/>
  <c r="M1837" i="1"/>
  <c r="M1836" i="1"/>
  <c r="M1835" i="1"/>
  <c r="M1834" i="1"/>
  <c r="M1831" i="1"/>
  <c r="M1830" i="1"/>
  <c r="M1829" i="1"/>
  <c r="M1828" i="1"/>
  <c r="M1827" i="1"/>
  <c r="M1824" i="1"/>
  <c r="M1821" i="1"/>
  <c r="M1820" i="1"/>
  <c r="M1819" i="1"/>
  <c r="M1816" i="1"/>
  <c r="M1815" i="1"/>
  <c r="M1814" i="1"/>
  <c r="M1813" i="1"/>
  <c r="M1810" i="1"/>
  <c r="M1807" i="1"/>
  <c r="M1804" i="1"/>
  <c r="M1803" i="1"/>
  <c r="M1802" i="1"/>
  <c r="M1799" i="1"/>
  <c r="M1796" i="1"/>
  <c r="M1793" i="1"/>
  <c r="M1792" i="1"/>
  <c r="M1789" i="1"/>
  <c r="M1788" i="1"/>
  <c r="M1787" i="1"/>
  <c r="M1784" i="1"/>
  <c r="M1783" i="1"/>
  <c r="M1782" i="1"/>
  <c r="M1779" i="1"/>
  <c r="M1778" i="1"/>
  <c r="M1777" i="1"/>
  <c r="M1776" i="1"/>
  <c r="M1773" i="1"/>
  <c r="M1770" i="1"/>
  <c r="M1766" i="1"/>
  <c r="M1765" i="1"/>
  <c r="M1764" i="1"/>
  <c r="M1761" i="1"/>
  <c r="M1760" i="1"/>
  <c r="M1757" i="1"/>
  <c r="M1756" i="1"/>
  <c r="M1755" i="1"/>
  <c r="M1754" i="1"/>
  <c r="M1753" i="1"/>
  <c r="M1750" i="1"/>
  <c r="M1747" i="1"/>
  <c r="M1744" i="1"/>
  <c r="M1743" i="1"/>
  <c r="M1740" i="1"/>
  <c r="M1737" i="1"/>
  <c r="M1734" i="1"/>
  <c r="M1731" i="1"/>
  <c r="M1730" i="1"/>
  <c r="M1729" i="1"/>
  <c r="M1726" i="1"/>
  <c r="M1725" i="1"/>
  <c r="M1722" i="1"/>
  <c r="M1721" i="1"/>
  <c r="M1720" i="1"/>
  <c r="M1717" i="1"/>
  <c r="M1716" i="1"/>
  <c r="M1715" i="1"/>
  <c r="M1714" i="1"/>
  <c r="M1711" i="1"/>
  <c r="M1708" i="1"/>
  <c r="M1705" i="1"/>
  <c r="M1704" i="1"/>
  <c r="M1701" i="1"/>
  <c r="M1700" i="1"/>
  <c r="M1697" i="1"/>
  <c r="M1696" i="1"/>
  <c r="M1695" i="1"/>
  <c r="M1694" i="1"/>
  <c r="M1693" i="1"/>
  <c r="M1692" i="1"/>
  <c r="M1691" i="1"/>
  <c r="M1688" i="1"/>
  <c r="M1687" i="1"/>
  <c r="M1684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2" i="1"/>
  <c r="M1661" i="1"/>
  <c r="M1660" i="1"/>
  <c r="M1658" i="1"/>
  <c r="M1655" i="1"/>
  <c r="M1654" i="1"/>
  <c r="M1651" i="1"/>
  <c r="M1650" i="1"/>
  <c r="M1649" i="1"/>
  <c r="M1648" i="1"/>
  <c r="M1645" i="1"/>
  <c r="M1644" i="1"/>
  <c r="M1643" i="1"/>
  <c r="M1642" i="1"/>
  <c r="M1641" i="1"/>
  <c r="M1640" i="1"/>
  <c r="M1639" i="1"/>
  <c r="M1638" i="1"/>
  <c r="M1635" i="1"/>
  <c r="M1632" i="1"/>
  <c r="M1631" i="1"/>
  <c r="M1630" i="1"/>
  <c r="M1627" i="1"/>
  <c r="M1624" i="1"/>
  <c r="M1623" i="1"/>
  <c r="M1620" i="1"/>
  <c r="M1617" i="1"/>
  <c r="M1614" i="1"/>
  <c r="M1611" i="1"/>
  <c r="M1610" i="1"/>
  <c r="M1609" i="1"/>
  <c r="M1606" i="1"/>
  <c r="M1605" i="1"/>
  <c r="M1604" i="1"/>
  <c r="M1601" i="1"/>
  <c r="M1600" i="1"/>
  <c r="M1599" i="1"/>
  <c r="M1598" i="1"/>
  <c r="M1597" i="1"/>
  <c r="M1596" i="1"/>
  <c r="M1595" i="1"/>
  <c r="M1592" i="1"/>
  <c r="M1589" i="1"/>
  <c r="M1588" i="1"/>
  <c r="M1585" i="1"/>
  <c r="M1584" i="1"/>
  <c r="M1581" i="1"/>
  <c r="M1580" i="1"/>
  <c r="M1579" i="1"/>
  <c r="M1578" i="1"/>
  <c r="M1575" i="1"/>
  <c r="M1572" i="1"/>
  <c r="M1571" i="1"/>
  <c r="M1568" i="1"/>
  <c r="M1565" i="1"/>
  <c r="M1562" i="1"/>
  <c r="M1559" i="1"/>
  <c r="M1556" i="1"/>
  <c r="M1555" i="1"/>
  <c r="M1552" i="1"/>
  <c r="M1549" i="1"/>
  <c r="M1546" i="1"/>
  <c r="M1545" i="1"/>
  <c r="M1544" i="1"/>
  <c r="M1541" i="1"/>
  <c r="M1540" i="1"/>
  <c r="M1539" i="1"/>
  <c r="M1538" i="1"/>
  <c r="M1537" i="1"/>
  <c r="M1536" i="1"/>
  <c r="M1535" i="1"/>
  <c r="M1534" i="1"/>
  <c r="M1533" i="1"/>
  <c r="M1530" i="1"/>
  <c r="M1527" i="1"/>
  <c r="M1526" i="1"/>
  <c r="M1525" i="1"/>
  <c r="M1524" i="1"/>
  <c r="M1523" i="1"/>
  <c r="M1522" i="1"/>
  <c r="M1519" i="1"/>
  <c r="M1518" i="1"/>
  <c r="M1515" i="1"/>
  <c r="M1514" i="1"/>
  <c r="M1513" i="1"/>
  <c r="M1512" i="1"/>
  <c r="M1511" i="1"/>
  <c r="M1508" i="1"/>
  <c r="M1505" i="1"/>
  <c r="M1502" i="1"/>
  <c r="M1499" i="1"/>
  <c r="M1496" i="1"/>
  <c r="M1493" i="1"/>
  <c r="M1492" i="1"/>
  <c r="M1489" i="1"/>
  <c r="M1486" i="1"/>
  <c r="M1483" i="1"/>
  <c r="M1480" i="1"/>
  <c r="M1477" i="1"/>
  <c r="M1476" i="1"/>
  <c r="M1475" i="1"/>
  <c r="M1471" i="1"/>
  <c r="M1468" i="1"/>
  <c r="M1467" i="1"/>
  <c r="M1466" i="1"/>
  <c r="M1463" i="1"/>
  <c r="M1460" i="1"/>
  <c r="M1457" i="1"/>
  <c r="M1454" i="1"/>
  <c r="M1453" i="1"/>
  <c r="M1452" i="1"/>
  <c r="M1449" i="1"/>
  <c r="M1446" i="1"/>
  <c r="M1445" i="1"/>
  <c r="M1444" i="1"/>
  <c r="M1441" i="1"/>
  <c r="M1440" i="1"/>
  <c r="M1437" i="1"/>
  <c r="M1436" i="1"/>
  <c r="M1435" i="1"/>
  <c r="M1434" i="1"/>
  <c r="M1433" i="1"/>
  <c r="M1432" i="1"/>
  <c r="M1431" i="1"/>
  <c r="M1430" i="1"/>
  <c r="M1429" i="1"/>
  <c r="M1426" i="1"/>
  <c r="M1425" i="1"/>
  <c r="M1424" i="1"/>
  <c r="M1423" i="1"/>
  <c r="M1422" i="1"/>
  <c r="M1421" i="1"/>
  <c r="M1420" i="1"/>
  <c r="M1419" i="1"/>
  <c r="M1416" i="1"/>
  <c r="M1415" i="1"/>
  <c r="M1412" i="1"/>
  <c r="M1411" i="1"/>
  <c r="M1410" i="1"/>
  <c r="M1409" i="1"/>
  <c r="M1408" i="1"/>
  <c r="M1407" i="1"/>
  <c r="M1406" i="1"/>
  <c r="M1403" i="1"/>
  <c r="M1400" i="1"/>
  <c r="M1399" i="1"/>
  <c r="M1398" i="1"/>
  <c r="M1395" i="1"/>
  <c r="M1394" i="1"/>
  <c r="M1393" i="1"/>
  <c r="M1392" i="1"/>
  <c r="M1391" i="1"/>
  <c r="M1388" i="1"/>
  <c r="M1387" i="1"/>
  <c r="M1386" i="1"/>
  <c r="M1383" i="1"/>
  <c r="M1380" i="1"/>
  <c r="M1379" i="1"/>
  <c r="M1378" i="1"/>
  <c r="M1375" i="1"/>
  <c r="M1374" i="1"/>
  <c r="M1373" i="1"/>
  <c r="M1372" i="1"/>
  <c r="M1371" i="1"/>
  <c r="M1370" i="1"/>
  <c r="M1367" i="1"/>
  <c r="M1364" i="1"/>
  <c r="M1361" i="1"/>
  <c r="M1358" i="1"/>
  <c r="M1357" i="1"/>
  <c r="M1354" i="1"/>
  <c r="M1351" i="1"/>
  <c r="M1348" i="1"/>
  <c r="M1347" i="1"/>
  <c r="M1346" i="1"/>
  <c r="M1345" i="1"/>
  <c r="M1342" i="1"/>
  <c r="M1341" i="1"/>
  <c r="M1340" i="1"/>
  <c r="M1339" i="1"/>
  <c r="M1336" i="1"/>
  <c r="M1333" i="1"/>
  <c r="M1330" i="1"/>
  <c r="M1329" i="1"/>
  <c r="M1326" i="1"/>
  <c r="M1323" i="1"/>
  <c r="M1322" i="1"/>
  <c r="M1321" i="1"/>
  <c r="M1320" i="1"/>
  <c r="M1319" i="1"/>
  <c r="M1318" i="1"/>
  <c r="M1315" i="1"/>
  <c r="M1312" i="1"/>
  <c r="M1311" i="1"/>
  <c r="M1308" i="1"/>
  <c r="M1307" i="1"/>
  <c r="M1306" i="1"/>
  <c r="M1305" i="1"/>
  <c r="M1302" i="1"/>
  <c r="M1299" i="1"/>
  <c r="M1295" i="1"/>
  <c r="M1292" i="1"/>
  <c r="M1289" i="1"/>
  <c r="M1288" i="1"/>
  <c r="M1285" i="1"/>
  <c r="M1284" i="1"/>
  <c r="M1281" i="1"/>
  <c r="M1280" i="1"/>
  <c r="M1277" i="1"/>
  <c r="M1276" i="1"/>
  <c r="M1273" i="1"/>
  <c r="M1270" i="1"/>
  <c r="M1269" i="1"/>
  <c r="M1266" i="1"/>
  <c r="M1265" i="1"/>
  <c r="M1262" i="1"/>
  <c r="M1261" i="1"/>
  <c r="M1260" i="1"/>
  <c r="M1259" i="1"/>
  <c r="M1256" i="1"/>
  <c r="M1253" i="1"/>
  <c r="M1250" i="1"/>
  <c r="M1249" i="1"/>
  <c r="M1246" i="1"/>
  <c r="M1243" i="1"/>
  <c r="M1240" i="1"/>
  <c r="M1237" i="1"/>
  <c r="M1236" i="1"/>
  <c r="M1235" i="1"/>
  <c r="M1234" i="1"/>
  <c r="M1233" i="1"/>
  <c r="M1232" i="1"/>
  <c r="M1231" i="1"/>
  <c r="M1230" i="1"/>
  <c r="M1229" i="1"/>
  <c r="M1226" i="1"/>
  <c r="M1225" i="1"/>
  <c r="M1222" i="1"/>
  <c r="M1221" i="1"/>
  <c r="M1220" i="1"/>
  <c r="M1219" i="1"/>
  <c r="M1216" i="1"/>
  <c r="M1215" i="1"/>
  <c r="M1214" i="1"/>
  <c r="M1213" i="1"/>
  <c r="M1212" i="1"/>
  <c r="M1211" i="1"/>
  <c r="M1210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2" i="1"/>
  <c r="M1181" i="1"/>
  <c r="M1178" i="1"/>
  <c r="M1177" i="1"/>
  <c r="M1174" i="1"/>
  <c r="M1171" i="1"/>
  <c r="M1168" i="1"/>
  <c r="M1165" i="1"/>
  <c r="M1162" i="1"/>
  <c r="M1161" i="1"/>
  <c r="M1158" i="1"/>
  <c r="M1157" i="1"/>
  <c r="M1156" i="1"/>
  <c r="M1155" i="1"/>
  <c r="M1152" i="1"/>
  <c r="M1149" i="1"/>
  <c r="M1145" i="1"/>
  <c r="M1142" i="1"/>
  <c r="M1141" i="1"/>
  <c r="M1138" i="1"/>
  <c r="M1137" i="1"/>
  <c r="M1136" i="1"/>
  <c r="M1135" i="1"/>
  <c r="M1134" i="1"/>
  <c r="M1131" i="1"/>
  <c r="M1130" i="1"/>
  <c r="M1129" i="1"/>
  <c r="M1126" i="1"/>
  <c r="M1123" i="1"/>
  <c r="M1120" i="1"/>
  <c r="M1119" i="1"/>
  <c r="M1116" i="1"/>
  <c r="M1113" i="1"/>
  <c r="M1110" i="1"/>
  <c r="M1109" i="1"/>
  <c r="M1108" i="1"/>
  <c r="M1107" i="1"/>
  <c r="M1106" i="1"/>
  <c r="M1105" i="1"/>
  <c r="M1104" i="1"/>
  <c r="M1103" i="1"/>
  <c r="M1100" i="1"/>
  <c r="M1099" i="1"/>
  <c r="M1098" i="1"/>
  <c r="M1097" i="1"/>
  <c r="M1094" i="1"/>
  <c r="M1093" i="1"/>
  <c r="M1090" i="1"/>
  <c r="M1089" i="1"/>
  <c r="M1086" i="1"/>
  <c r="M1085" i="1"/>
  <c r="M1084" i="1"/>
  <c r="M1083" i="1"/>
  <c r="M1082" i="1"/>
  <c r="M1079" i="1"/>
  <c r="M1078" i="1"/>
  <c r="M1075" i="1"/>
  <c r="M1072" i="1"/>
  <c r="M1069" i="1"/>
  <c r="M1066" i="1"/>
  <c r="M1063" i="1"/>
  <c r="M1060" i="1"/>
  <c r="M1057" i="1"/>
  <c r="M1054" i="1"/>
  <c r="M1051" i="1"/>
  <c r="M1050" i="1"/>
  <c r="M1049" i="1"/>
  <c r="M1046" i="1"/>
  <c r="M1045" i="1"/>
  <c r="M1044" i="1"/>
  <c r="M1043" i="1"/>
  <c r="M1040" i="1"/>
  <c r="M1037" i="1"/>
  <c r="M1034" i="1"/>
  <c r="M1033" i="1"/>
  <c r="M1032" i="1"/>
  <c r="M1029" i="1"/>
  <c r="M1028" i="1"/>
  <c r="M1025" i="1"/>
  <c r="M1024" i="1"/>
  <c r="M1023" i="1"/>
  <c r="M1022" i="1"/>
  <c r="M1021" i="1"/>
  <c r="M1020" i="1"/>
  <c r="M1019" i="1"/>
  <c r="M1018" i="1"/>
  <c r="M1015" i="1"/>
  <c r="M1014" i="1"/>
  <c r="M1013" i="1"/>
  <c r="M1012" i="1"/>
  <c r="M1009" i="1"/>
  <c r="M1006" i="1"/>
  <c r="M1005" i="1"/>
  <c r="M1002" i="1"/>
  <c r="M999" i="1"/>
  <c r="M998" i="1"/>
  <c r="M995" i="1"/>
  <c r="M994" i="1"/>
  <c r="M993" i="1"/>
  <c r="M990" i="1"/>
  <c r="M989" i="1"/>
  <c r="M986" i="1"/>
  <c r="M985" i="1"/>
  <c r="M984" i="1"/>
  <c r="M981" i="1"/>
  <c r="M978" i="1"/>
  <c r="M977" i="1"/>
  <c r="M976" i="1"/>
  <c r="M975" i="1"/>
  <c r="M974" i="1"/>
  <c r="M973" i="1"/>
  <c r="M972" i="1"/>
  <c r="M971" i="1"/>
  <c r="M968" i="1"/>
  <c r="M967" i="1"/>
  <c r="M964" i="1"/>
  <c r="M963" i="1"/>
  <c r="M960" i="1"/>
  <c r="M956" i="1"/>
  <c r="M955" i="1"/>
  <c r="M954" i="1"/>
  <c r="M953" i="1"/>
  <c r="M950" i="1"/>
  <c r="M947" i="1"/>
  <c r="M946" i="1"/>
  <c r="M943" i="1"/>
  <c r="M942" i="1"/>
  <c r="M939" i="1"/>
  <c r="M936" i="1"/>
  <c r="M933" i="1"/>
  <c r="M930" i="1"/>
  <c r="M929" i="1"/>
  <c r="M926" i="1"/>
  <c r="M923" i="1"/>
  <c r="M922" i="1"/>
  <c r="M919" i="1"/>
  <c r="M918" i="1"/>
  <c r="M917" i="1"/>
  <c r="M914" i="1"/>
  <c r="M911" i="1"/>
  <c r="M908" i="1"/>
  <c r="M905" i="1"/>
  <c r="M904" i="1"/>
  <c r="M901" i="1"/>
  <c r="M898" i="1"/>
  <c r="M895" i="1"/>
  <c r="M894" i="1"/>
  <c r="M893" i="1"/>
  <c r="M892" i="1"/>
  <c r="M891" i="1"/>
  <c r="M888" i="1"/>
  <c r="M887" i="1"/>
  <c r="M886" i="1"/>
  <c r="M883" i="1"/>
  <c r="M882" i="1"/>
  <c r="M879" i="1"/>
  <c r="M876" i="1"/>
  <c r="M873" i="1"/>
  <c r="M872" i="1"/>
  <c r="M871" i="1"/>
  <c r="M868" i="1"/>
  <c r="M865" i="1"/>
  <c r="M864" i="1"/>
  <c r="M863" i="1"/>
  <c r="M862" i="1"/>
  <c r="M861" i="1"/>
  <c r="M860" i="1"/>
  <c r="M859" i="1"/>
  <c r="M858" i="1"/>
  <c r="M857" i="1"/>
  <c r="M856" i="1"/>
  <c r="M855" i="1"/>
  <c r="M852" i="1"/>
  <c r="M849" i="1"/>
  <c r="M846" i="1"/>
  <c r="M843" i="1"/>
  <c r="M840" i="1"/>
  <c r="M837" i="1"/>
  <c r="M834" i="1"/>
  <c r="M831" i="1"/>
  <c r="M830" i="1"/>
  <c r="M829" i="1"/>
  <c r="M828" i="1"/>
  <c r="M827" i="1"/>
  <c r="M826" i="1"/>
  <c r="M825" i="1"/>
  <c r="M822" i="1"/>
  <c r="M821" i="1"/>
  <c r="M820" i="1"/>
  <c r="M817" i="1"/>
  <c r="M816" i="1"/>
  <c r="M815" i="1"/>
  <c r="M814" i="1"/>
  <c r="M811" i="1"/>
  <c r="M808" i="1"/>
  <c r="M805" i="1"/>
  <c r="M802" i="1"/>
  <c r="M801" i="1"/>
  <c r="M800" i="1"/>
  <c r="M799" i="1"/>
  <c r="M798" i="1"/>
  <c r="M795" i="1"/>
  <c r="M792" i="1"/>
  <c r="M789" i="1"/>
  <c r="M788" i="1"/>
  <c r="M787" i="1"/>
  <c r="M786" i="1"/>
  <c r="M785" i="1"/>
  <c r="M782" i="1"/>
  <c r="M779" i="1"/>
  <c r="M776" i="1"/>
  <c r="M773" i="1"/>
  <c r="M772" i="1"/>
  <c r="M769" i="1"/>
  <c r="M766" i="1"/>
  <c r="M765" i="1"/>
  <c r="M764" i="1"/>
  <c r="M763" i="1"/>
  <c r="M762" i="1"/>
  <c r="M761" i="1"/>
  <c r="M760" i="1"/>
  <c r="M759" i="1"/>
  <c r="M758" i="1"/>
  <c r="M755" i="1"/>
  <c r="M754" i="1"/>
  <c r="M751" i="1"/>
  <c r="M748" i="1"/>
  <c r="M747" i="1"/>
  <c r="M746" i="1"/>
  <c r="M745" i="1"/>
  <c r="M744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7" i="1"/>
  <c r="M726" i="1"/>
  <c r="M725" i="1"/>
  <c r="M722" i="1"/>
  <c r="M719" i="1"/>
  <c r="M716" i="1"/>
  <c r="M713" i="1"/>
  <c r="M710" i="1"/>
  <c r="M709" i="1"/>
  <c r="M708" i="1"/>
  <c r="M705" i="1"/>
  <c r="M704" i="1"/>
  <c r="M703" i="1"/>
  <c r="M700" i="1"/>
  <c r="M697" i="1"/>
  <c r="M696" i="1"/>
  <c r="M693" i="1"/>
  <c r="M690" i="1"/>
  <c r="M687" i="1"/>
  <c r="M686" i="1"/>
  <c r="M683" i="1"/>
  <c r="M680" i="1"/>
  <c r="M679" i="1"/>
  <c r="M676" i="1"/>
  <c r="M673" i="1"/>
  <c r="M672" i="1"/>
  <c r="M669" i="1"/>
  <c r="M666" i="1"/>
  <c r="M665" i="1"/>
  <c r="M664" i="1"/>
  <c r="M663" i="1"/>
  <c r="M662" i="1"/>
  <c r="M661" i="1"/>
  <c r="M658" i="1"/>
  <c r="M657" i="1"/>
  <c r="M656" i="1"/>
  <c r="M653" i="1"/>
  <c r="M650" i="1"/>
  <c r="M649" i="1"/>
  <c r="M648" i="1"/>
  <c r="M647" i="1"/>
  <c r="M644" i="1"/>
  <c r="M643" i="1"/>
  <c r="M642" i="1"/>
  <c r="M641" i="1"/>
  <c r="M640" i="1"/>
  <c r="M639" i="1"/>
  <c r="M636" i="1"/>
  <c r="M633" i="1"/>
  <c r="M630" i="1"/>
  <c r="M629" i="1"/>
  <c r="M628" i="1"/>
  <c r="M627" i="1"/>
  <c r="M626" i="1"/>
  <c r="M625" i="1"/>
  <c r="M622" i="1"/>
  <c r="M621" i="1"/>
  <c r="M618" i="1"/>
  <c r="M615" i="1"/>
  <c r="M612" i="1"/>
  <c r="M611" i="1"/>
  <c r="M610" i="1"/>
  <c r="M609" i="1"/>
  <c r="M608" i="1"/>
  <c r="M605" i="1"/>
  <c r="M602" i="1"/>
  <c r="M599" i="1"/>
  <c r="M596" i="1"/>
  <c r="M595" i="1"/>
  <c r="M591" i="1"/>
  <c r="M590" i="1"/>
  <c r="M587" i="1"/>
  <c r="M584" i="1"/>
  <c r="M583" i="1"/>
  <c r="M582" i="1"/>
  <c r="M581" i="1"/>
  <c r="M578" i="1"/>
  <c r="M577" i="1"/>
  <c r="M574" i="1"/>
  <c r="M571" i="1"/>
  <c r="M570" i="1"/>
  <c r="M567" i="1"/>
  <c r="M564" i="1"/>
  <c r="M563" i="1"/>
  <c r="M560" i="1"/>
  <c r="M557" i="1"/>
  <c r="M554" i="1"/>
  <c r="M551" i="1"/>
  <c r="M550" i="1"/>
  <c r="M549" i="1"/>
  <c r="M546" i="1"/>
  <c r="M545" i="1"/>
  <c r="M544" i="1"/>
  <c r="M541" i="1"/>
  <c r="M540" i="1"/>
  <c r="M537" i="1"/>
  <c r="M534" i="1"/>
  <c r="M533" i="1"/>
  <c r="M532" i="1"/>
  <c r="M529" i="1"/>
  <c r="M526" i="1"/>
  <c r="M523" i="1"/>
  <c r="M520" i="1"/>
  <c r="M519" i="1"/>
  <c r="M518" i="1"/>
  <c r="M517" i="1"/>
  <c r="M514" i="1"/>
  <c r="M513" i="1"/>
  <c r="M510" i="1"/>
  <c r="M507" i="1"/>
  <c r="M506" i="1"/>
  <c r="M503" i="1"/>
  <c r="M500" i="1"/>
  <c r="M499" i="1"/>
  <c r="M498" i="1"/>
  <c r="M495" i="1"/>
  <c r="M492" i="1"/>
  <c r="M491" i="1"/>
  <c r="M488" i="1"/>
  <c r="M487" i="1"/>
  <c r="M484" i="1"/>
  <c r="M481" i="1"/>
  <c r="M478" i="1"/>
  <c r="M477" i="1"/>
  <c r="M474" i="1"/>
  <c r="M471" i="1"/>
  <c r="M468" i="1"/>
  <c r="M467" i="1"/>
  <c r="M464" i="1"/>
  <c r="M463" i="1"/>
  <c r="M462" i="1"/>
  <c r="M459" i="1"/>
  <c r="M458" i="1"/>
  <c r="M455" i="1"/>
  <c r="M454" i="1"/>
  <c r="M453" i="1"/>
  <c r="M452" i="1"/>
  <c r="M451" i="1"/>
  <c r="M448" i="1"/>
  <c r="M447" i="1"/>
  <c r="M444" i="1"/>
  <c r="M441" i="1"/>
  <c r="M440" i="1"/>
  <c r="M439" i="1"/>
  <c r="M438" i="1"/>
  <c r="M437" i="1"/>
  <c r="M436" i="1"/>
  <c r="M433" i="1"/>
  <c r="M430" i="1"/>
  <c r="M429" i="1"/>
  <c r="M426" i="1"/>
  <c r="M423" i="1"/>
  <c r="M422" i="1"/>
  <c r="M421" i="1"/>
  <c r="M418" i="1"/>
  <c r="M415" i="1"/>
  <c r="M412" i="1"/>
  <c r="M411" i="1"/>
  <c r="M410" i="1"/>
  <c r="M409" i="1"/>
  <c r="M406" i="1"/>
  <c r="M403" i="1"/>
  <c r="M402" i="1"/>
  <c r="M401" i="1"/>
  <c r="M398" i="1"/>
  <c r="M395" i="1"/>
  <c r="M392" i="1"/>
  <c r="M389" i="1"/>
  <c r="M386" i="1"/>
  <c r="M385" i="1"/>
  <c r="M384" i="1"/>
  <c r="M383" i="1"/>
  <c r="M382" i="1"/>
  <c r="M379" i="1"/>
  <c r="M376" i="1"/>
  <c r="M373" i="1"/>
  <c r="M370" i="1"/>
  <c r="M367" i="1"/>
  <c r="M366" i="1"/>
  <c r="M363" i="1"/>
  <c r="M362" i="1"/>
  <c r="M361" i="1"/>
  <c r="M358" i="1"/>
  <c r="M357" i="1"/>
  <c r="M354" i="1"/>
  <c r="M353" i="1"/>
  <c r="M350" i="1"/>
  <c r="M347" i="1"/>
  <c r="M344" i="1"/>
  <c r="M343" i="1"/>
  <c r="M342" i="1"/>
  <c r="M340" i="1"/>
  <c r="M337" i="1"/>
  <c r="M336" i="1"/>
  <c r="M333" i="1"/>
  <c r="M332" i="1"/>
  <c r="M331" i="1"/>
  <c r="M328" i="1"/>
  <c r="M325" i="1"/>
  <c r="M322" i="1"/>
  <c r="M319" i="1"/>
  <c r="M316" i="1"/>
  <c r="M313" i="1"/>
  <c r="M310" i="1"/>
  <c r="M307" i="1"/>
  <c r="M306" i="1"/>
  <c r="M305" i="1"/>
  <c r="M302" i="1"/>
  <c r="M299" i="1"/>
  <c r="M296" i="1"/>
  <c r="M293" i="1"/>
  <c r="M292" i="1"/>
  <c r="M291" i="1"/>
  <c r="M288" i="1"/>
  <c r="M287" i="1"/>
  <c r="M284" i="1"/>
  <c r="M281" i="1"/>
  <c r="M280" i="1"/>
  <c r="M277" i="1"/>
  <c r="M274" i="1"/>
  <c r="M271" i="1"/>
  <c r="M267" i="1"/>
  <c r="M264" i="1"/>
  <c r="M263" i="1"/>
  <c r="M260" i="1"/>
  <c r="M257" i="1"/>
  <c r="M254" i="1"/>
  <c r="M251" i="1"/>
  <c r="M248" i="1"/>
  <c r="M245" i="1"/>
  <c r="M242" i="1"/>
  <c r="M241" i="1"/>
  <c r="M238" i="1"/>
  <c r="M235" i="1"/>
  <c r="M234" i="1"/>
  <c r="M233" i="1"/>
  <c r="M230" i="1"/>
  <c r="M229" i="1"/>
  <c r="M228" i="1"/>
  <c r="M225" i="1"/>
  <c r="M222" i="1"/>
  <c r="M219" i="1"/>
  <c r="M216" i="1"/>
  <c r="M213" i="1"/>
  <c r="M212" i="1"/>
  <c r="M211" i="1"/>
  <c r="M210" i="1"/>
  <c r="M209" i="1"/>
  <c r="M206" i="1"/>
  <c r="M203" i="1"/>
  <c r="M202" i="1"/>
  <c r="M199" i="1"/>
  <c r="M196" i="1"/>
  <c r="M193" i="1"/>
  <c r="M190" i="1"/>
  <c r="M187" i="1"/>
  <c r="M184" i="1"/>
  <c r="M181" i="1"/>
  <c r="M178" i="1"/>
  <c r="M175" i="1"/>
  <c r="M174" i="1"/>
  <c r="M173" i="1"/>
  <c r="M172" i="1"/>
  <c r="M171" i="1"/>
  <c r="M170" i="1"/>
  <c r="M169" i="1"/>
  <c r="M166" i="1"/>
  <c r="M163" i="1"/>
  <c r="M160" i="1"/>
  <c r="M157" i="1"/>
  <c r="M156" i="1"/>
  <c r="M155" i="1"/>
  <c r="M152" i="1"/>
  <c r="M149" i="1"/>
  <c r="M146" i="1"/>
  <c r="M145" i="1"/>
  <c r="M144" i="1"/>
  <c r="M143" i="1"/>
  <c r="M140" i="1"/>
  <c r="M139" i="1"/>
  <c r="M136" i="1"/>
  <c r="M135" i="1"/>
  <c r="M132" i="1"/>
  <c r="M131" i="1"/>
  <c r="M130" i="1"/>
  <c r="M129" i="1"/>
  <c r="M126" i="1"/>
  <c r="M123" i="1"/>
  <c r="M120" i="1"/>
  <c r="M117" i="1"/>
  <c r="M116" i="1"/>
  <c r="M115" i="1"/>
  <c r="M114" i="1"/>
  <c r="M111" i="1"/>
  <c r="M108" i="1"/>
  <c r="M107" i="1"/>
  <c r="M106" i="1"/>
  <c r="M105" i="1"/>
  <c r="M104" i="1"/>
  <c r="M103" i="1"/>
  <c r="M102" i="1"/>
  <c r="M101" i="1"/>
  <c r="M98" i="1"/>
  <c r="M95" i="1"/>
  <c r="M92" i="1"/>
  <c r="M89" i="1"/>
  <c r="M86" i="1"/>
  <c r="M85" i="1"/>
  <c r="M84" i="1"/>
  <c r="M81" i="1"/>
  <c r="M78" i="1"/>
  <c r="M77" i="1"/>
  <c r="M76" i="1"/>
  <c r="M75" i="1"/>
  <c r="M72" i="1"/>
  <c r="M71" i="1"/>
  <c r="M70" i="1"/>
  <c r="M69" i="1"/>
  <c r="M68" i="1"/>
  <c r="M65" i="1"/>
  <c r="M62" i="1"/>
  <c r="M59" i="1"/>
  <c r="M58" i="1"/>
  <c r="M57" i="1"/>
  <c r="M56" i="1"/>
  <c r="M53" i="1"/>
  <c r="M52" i="1"/>
  <c r="M51" i="1"/>
  <c r="M50" i="1"/>
  <c r="M47" i="1"/>
  <c r="M46" i="1"/>
  <c r="M45" i="1"/>
  <c r="M44" i="1"/>
  <c r="M43" i="1"/>
  <c r="M40" i="1"/>
  <c r="M37" i="1"/>
  <c r="M36" i="1"/>
  <c r="M33" i="1"/>
  <c r="M32" i="1"/>
  <c r="M29" i="1"/>
  <c r="M26" i="1"/>
  <c r="M23" i="1"/>
  <c r="M20" i="1"/>
  <c r="M19" i="1"/>
  <c r="M18" i="1"/>
  <c r="M15" i="1"/>
  <c r="L4231" i="1"/>
  <c r="J4220" i="1"/>
  <c r="J4221" i="1"/>
  <c r="I4219" i="1"/>
  <c r="I4220" i="1"/>
  <c r="I4221" i="1"/>
  <c r="J4222" i="1"/>
  <c r="H4222" i="1"/>
  <c r="F4226" i="1"/>
  <c r="K4226" i="1"/>
  <c r="K4225" i="1"/>
  <c r="K4227" i="1"/>
  <c r="K4228" i="1"/>
  <c r="E4225" i="1"/>
  <c r="D4224" i="1"/>
  <c r="I4217" i="1"/>
  <c r="M4216" i="1"/>
  <c r="H9" i="1"/>
  <c r="H3" i="1"/>
  <c r="J4" i="1"/>
  <c r="T4214" i="1"/>
  <c r="U4214" i="1"/>
  <c r="V4214" i="1"/>
  <c r="W4214" i="1"/>
  <c r="AB4214" i="1"/>
  <c r="AF4214" i="1"/>
  <c r="AC4215" i="1"/>
  <c r="AJ4214" i="1"/>
  <c r="AK4214" i="1"/>
  <c r="AM4214" i="1"/>
  <c r="BF4214" i="1"/>
  <c r="BG4214" i="1"/>
  <c r="AK4216" i="1"/>
  <c r="AF4221" i="1"/>
  <c r="AF4223" i="1"/>
  <c r="AG4224" i="1"/>
  <c r="AB4" i="1"/>
  <c r="AB2" i="1"/>
  <c r="L4236" i="1"/>
  <c r="F3" i="1"/>
  <c r="M2" i="1"/>
  <c r="T4215" i="1"/>
  <c r="U4215" i="1"/>
  <c r="V4215" i="1"/>
  <c r="W4215" i="1"/>
  <c r="AB4215" i="1"/>
  <c r="AF4215" i="1"/>
  <c r="AJ4215" i="1"/>
  <c r="AK4215" i="1"/>
  <c r="AM4215" i="1"/>
  <c r="BF4215" i="1"/>
  <c r="BG4215" i="1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A4233" i="1"/>
  <c r="AB3" i="1"/>
  <c r="Z6" i="1"/>
  <c r="D5" i="1"/>
  <c r="AC5" i="1"/>
  <c r="BG13" i="1"/>
  <c r="AJ2" i="1"/>
  <c r="AJ12" i="1"/>
  <c r="AK12" i="1"/>
  <c r="AM12" i="1"/>
  <c r="AK13" i="1"/>
  <c r="BF13" i="1"/>
  <c r="A4218" i="1"/>
  <c r="J4225" i="1"/>
  <c r="J4223" i="1"/>
  <c r="H10" i="1"/>
  <c r="Z4219" i="1"/>
  <c r="H4221" i="1"/>
  <c r="H4219" i="1"/>
  <c r="G4218" i="1"/>
  <c r="N7" i="1"/>
  <c r="E4220" i="1"/>
  <c r="Z4220" i="1"/>
  <c r="AA4224" i="1"/>
  <c r="AF4224" i="1"/>
  <c r="Z4274" i="1"/>
  <c r="Z4275" i="1"/>
  <c r="K10" i="1"/>
  <c r="I10" i="1"/>
  <c r="AF9" i="1"/>
  <c r="AD9" i="1"/>
  <c r="S9" i="1"/>
  <c r="N9" i="1"/>
  <c r="AF6" i="1"/>
  <c r="AE6" i="1"/>
  <c r="AD6" i="1"/>
  <c r="BF4217" i="1"/>
  <c r="BF4216" i="1"/>
  <c r="V4234" i="1"/>
  <c r="B4225" i="1"/>
  <c r="U4234" i="1"/>
  <c r="B4224" i="1"/>
  <c r="A1" i="1" a="1"/>
  <c r="A1" i="1"/>
  <c r="K5" i="1"/>
  <c r="AC8" i="1"/>
  <c r="AF4226" i="1"/>
  <c r="AF4227" i="1"/>
  <c r="AF4228" i="1"/>
  <c r="AB5" i="1"/>
  <c r="A4219" i="1"/>
  <c r="AA4227" i="1"/>
  <c r="AF4220" i="1"/>
  <c r="AF4225" i="1"/>
  <c r="AA4225" i="1"/>
  <c r="AG4242" i="1"/>
  <c r="AB8" i="1"/>
  <c r="N6" i="1"/>
  <c r="K3" i="1"/>
  <c r="K4243" i="1"/>
  <c r="Z4222" i="1"/>
  <c r="AC3" i="1"/>
  <c r="AC4" i="1"/>
  <c r="AJ5" i="1"/>
  <c r="I4222" i="1"/>
  <c r="AJ4" i="1"/>
  <c r="L4229" i="1"/>
  <c r="K4" i="1"/>
  <c r="H4226" i="1"/>
  <c r="AG4243" i="1"/>
  <c r="AF422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<sst xmlns="http://schemas.openxmlformats.org/spreadsheetml/2006/main" count="16825" uniqueCount="5638">
  <si>
    <t>Gallon Pot Size Chart</t>
  </si>
  <si>
    <t xml:space="preserve">N </t>
  </si>
  <si>
    <t>GRAND TOTAL</t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</si>
  <si>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</si>
  <si>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</si>
  <si>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</si>
  <si>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</si>
  <si>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</si>
  <si>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</si>
  <si>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</si>
  <si>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</si>
  <si>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</si>
  <si>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</si>
  <si>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</si>
  <si>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</si>
  <si>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</si>
  <si>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</si>
  <si>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</si>
  <si>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</si>
  <si>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</si>
  <si>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</si>
  <si>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</si>
  <si>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</si>
  <si>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</si>
  <si>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</si>
  <si>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</si>
  <si>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</si>
  <si>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</si>
  <si>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</si>
  <si>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</si>
  <si>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</si>
  <si>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</si>
  <si>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</si>
  <si>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</si>
  <si>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</si>
  <si>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</si>
  <si>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</si>
  <si>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</si>
  <si>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</si>
  <si>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</si>
  <si>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</si>
  <si>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</si>
  <si>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</si>
  <si>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</si>
  <si>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</si>
  <si>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</si>
  <si>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</si>
  <si>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</si>
  <si>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</si>
  <si>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</si>
  <si>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</si>
  <si>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</si>
  <si>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</si>
  <si>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</si>
  <si>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</si>
  <si>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</si>
  <si>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</si>
  <si>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</si>
  <si>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</si>
  <si>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</si>
  <si>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</si>
  <si>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</si>
  <si>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</si>
  <si>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</si>
  <si>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</si>
  <si>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</si>
  <si>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</si>
  <si>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</si>
  <si>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</si>
  <si>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</si>
  <si>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</si>
  <si>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</si>
  <si>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</si>
  <si>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</si>
  <si>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</si>
  <si>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</si>
  <si>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</si>
  <si>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</si>
  <si>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</si>
  <si>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</si>
  <si>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</si>
  <si>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</si>
  <si>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</si>
  <si>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</si>
  <si>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</si>
  <si>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</si>
  <si>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</si>
  <si>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</si>
  <si>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</si>
  <si>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</si>
  <si>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</si>
  <si>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</si>
  <si>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</si>
  <si>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</si>
  <si>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</si>
  <si>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</si>
  <si>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</si>
  <si>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</si>
  <si>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</si>
  <si>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</si>
  <si>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</si>
  <si>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</si>
  <si>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</si>
  <si>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</si>
  <si>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</si>
  <si>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</si>
  <si>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</si>
  <si>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</si>
  <si>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</si>
  <si>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</si>
  <si>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</si>
  <si>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</si>
  <si>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</si>
  <si>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</si>
  <si>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</si>
  <si>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</si>
  <si>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</si>
  <si>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</si>
  <si>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</si>
  <si>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</si>
  <si>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</si>
  <si>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</si>
  <si>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</si>
  <si>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</si>
  <si>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</si>
  <si>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</si>
  <si>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</si>
  <si>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</si>
  <si>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</si>
  <si>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</si>
  <si>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</si>
  <si>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</si>
  <si>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</si>
  <si>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</si>
  <si>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</si>
  <si>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</si>
  <si>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</si>
  <si>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</si>
  <si>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</si>
  <si>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</si>
  <si>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</si>
  <si>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</si>
  <si>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</si>
  <si>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</si>
  <si>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</si>
  <si>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</si>
  <si>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</si>
  <si>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</si>
  <si>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</si>
  <si>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</si>
  <si>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</si>
  <si>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</si>
  <si>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</si>
  <si>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</si>
  <si>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</si>
  <si>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</si>
  <si>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</si>
  <si>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</si>
  <si>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</si>
  <si>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</si>
  <si>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</si>
  <si>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</si>
  <si>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</si>
  <si>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</si>
  <si>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</si>
  <si>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</si>
  <si>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</si>
  <si>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</si>
  <si>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</si>
  <si>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</si>
  <si>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</si>
  <si>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</si>
  <si>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</si>
  <si>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</si>
  <si>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</si>
  <si>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</si>
  <si>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</si>
  <si>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</si>
  <si>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</si>
  <si>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</si>
  <si>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</si>
  <si>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</si>
  <si>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</si>
  <si>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</si>
  <si>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</si>
  <si>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</si>
  <si>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</si>
  <si>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</si>
  <si>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</si>
  <si>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</si>
  <si>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</si>
  <si>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</si>
  <si>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</si>
  <si>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</si>
  <si>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</si>
  <si>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</si>
  <si>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</si>
  <si>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</si>
  <si>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</si>
  <si>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</si>
  <si>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</si>
  <si>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</si>
  <si>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</si>
  <si>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</si>
  <si>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</si>
  <si>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</si>
  <si>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</si>
  <si>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</si>
  <si>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</si>
  <si>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</si>
  <si>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</si>
  <si>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</si>
  <si>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</si>
  <si>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</si>
  <si>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</si>
  <si>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</si>
  <si>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</si>
  <si>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</si>
  <si>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</si>
  <si>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</si>
  <si>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</si>
  <si>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</si>
  <si>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</si>
  <si>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</si>
  <si>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</si>
  <si>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</si>
  <si>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</si>
  <si>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</si>
  <si>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</si>
  <si>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</si>
  <si>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</si>
  <si>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</si>
  <si>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</si>
  <si>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</si>
  <si>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</si>
  <si>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</si>
  <si>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</si>
  <si>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</si>
  <si>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</si>
  <si>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</si>
  <si>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</si>
  <si>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</si>
  <si>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</si>
  <si>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</si>
  <si>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</si>
  <si>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</si>
  <si>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</si>
  <si>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</si>
  <si>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</si>
  <si>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</si>
  <si>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</si>
  <si>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</si>
  <si>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</si>
  <si>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</si>
  <si>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</si>
  <si>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</si>
  <si>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</si>
  <si>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</si>
  <si>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</si>
  <si>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</si>
  <si>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</si>
  <si>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</si>
  <si>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</si>
  <si>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</si>
  <si>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</si>
  <si>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</si>
  <si>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</si>
  <si>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</si>
  <si>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</si>
  <si>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</si>
  <si>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</si>
  <si>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</si>
  <si>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</si>
  <si>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</si>
  <si>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</si>
  <si>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</si>
  <si>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</si>
  <si>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</si>
  <si>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</si>
  <si>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</si>
  <si>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</si>
  <si>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</si>
  <si>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4920 Mial Plantation Rd, Raleigh NC 27610</t>
  </si>
  <si>
    <t xml:space="preserve">  ©2025 Trees2Go.com LLC  </t>
  </si>
  <si>
    <t xml:space="preserve">         ►order history builds Volume Discount◄  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</si>
  <si>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</si>
  <si>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</si>
  <si>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</si>
  <si>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</si>
  <si>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</si>
  <si>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</si>
  <si>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</si>
  <si>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</si>
  <si>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</si>
  <si>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</si>
  <si>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</si>
  <si>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</si>
  <si>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</si>
  <si>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</si>
  <si>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</si>
  <si>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</si>
  <si>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</si>
  <si>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</si>
  <si>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</si>
  <si>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</si>
  <si>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</si>
  <si>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</si>
  <si>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</si>
  <si>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</si>
  <si>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</si>
  <si>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</si>
  <si>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</si>
  <si>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</si>
  <si>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</si>
  <si>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</si>
  <si>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</si>
  <si>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</si>
  <si>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</si>
  <si>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</si>
  <si>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</si>
  <si>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</si>
  <si>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</si>
  <si>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</si>
  <si>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</si>
  <si>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</si>
  <si>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</si>
  <si>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</si>
  <si>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</si>
  <si>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</si>
  <si>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</si>
  <si>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</si>
  <si>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</si>
  <si>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</si>
  <si>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</si>
  <si>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</si>
  <si>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</si>
  <si>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</si>
  <si>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</si>
  <si>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</si>
  <si>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</si>
  <si>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</si>
  <si>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</si>
  <si>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</si>
  <si>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</si>
  <si>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</si>
  <si>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</si>
  <si>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</si>
  <si>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</si>
  <si>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</si>
  <si>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</si>
  <si>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</si>
  <si>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</si>
  <si>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</si>
  <si>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</si>
  <si>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</si>
  <si>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</si>
  <si>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</si>
  <si>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</si>
  <si>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</si>
  <si>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</si>
  <si>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</si>
  <si>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</si>
  <si>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</si>
  <si>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</si>
  <si>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</si>
  <si>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</si>
  <si>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</si>
  <si>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</si>
  <si>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</si>
  <si>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</si>
  <si>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</si>
  <si>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</si>
  <si>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</si>
  <si>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</si>
  <si>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</si>
  <si>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</si>
  <si>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</si>
  <si>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</si>
  <si>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</si>
  <si>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</si>
  <si>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</si>
  <si>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</si>
  <si>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</si>
  <si>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</si>
  <si>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Cornus kousa 'JN6' PP#28936</t>
  </si>
  <si>
    <t>Cornus sericea 'Baileyi'</t>
  </si>
  <si>
    <t>Bailey Red Twig Dogwood</t>
  </si>
  <si>
    <t>10'×10'</t>
  </si>
  <si>
    <t>flat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</si>
  <si>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</si>
  <si>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</si>
  <si>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</si>
  <si>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</si>
  <si>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</si>
  <si>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</si>
  <si>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</si>
  <si>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</si>
  <si>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Lagerstroemia hybrid '1Li' PP#28065</t>
  </si>
  <si>
    <t>Lagerstroemia indica 'Catawba'</t>
  </si>
  <si>
    <t>Catawba Crape Myrtle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</si>
  <si>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</si>
  <si>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</si>
  <si>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</si>
  <si>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</si>
  <si>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</si>
  <si>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</si>
  <si>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</si>
  <si>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</si>
  <si>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</si>
  <si>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</si>
  <si>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</si>
  <si>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</si>
  <si>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</si>
  <si>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</si>
  <si>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</si>
  <si>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</si>
  <si>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</si>
  <si>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</si>
  <si>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</si>
  <si>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</si>
  <si>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</si>
  <si>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</si>
  <si>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</si>
  <si>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</si>
  <si>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</si>
  <si>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</si>
  <si>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</si>
  <si>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</si>
  <si>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</si>
  <si>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</si>
  <si>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</si>
  <si>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 xml:space="preserve">Bald Cypress 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</si>
  <si>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</si>
  <si>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</si>
  <si>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</si>
  <si>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</si>
  <si>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</si>
  <si>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</si>
  <si>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</si>
  <si>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</si>
  <si>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</si>
  <si>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</si>
  <si>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</si>
  <si>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</si>
  <si>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</si>
  <si>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</si>
  <si>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</si>
  <si>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</si>
  <si>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</si>
  <si>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</si>
  <si>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</si>
  <si>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</si>
  <si>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</si>
  <si>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</si>
  <si>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</si>
  <si>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</si>
  <si>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</si>
  <si>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</si>
  <si>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</si>
  <si>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</si>
  <si>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</si>
  <si>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</si>
  <si>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</si>
  <si>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</si>
  <si>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</si>
  <si>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</si>
  <si>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</si>
  <si>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</si>
  <si>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</si>
  <si>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</si>
  <si>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</si>
  <si>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</si>
  <si>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</si>
  <si>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</si>
  <si>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</si>
  <si>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</si>
  <si>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</si>
  <si>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</si>
  <si>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</si>
  <si>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</si>
  <si>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</si>
  <si>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</si>
  <si>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</si>
  <si>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</si>
  <si>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</si>
  <si>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</si>
  <si>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</si>
  <si>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</si>
  <si>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</si>
  <si>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</si>
  <si>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</si>
  <si>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</si>
  <si>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</si>
  <si>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</si>
  <si>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</si>
  <si>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</si>
  <si>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</si>
  <si>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</si>
  <si>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</si>
  <si>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</si>
  <si>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</si>
  <si>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</si>
  <si>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Myrica cerifera 'Adcock's Dwarf'</t>
  </si>
  <si>
    <t>Adcock's Dwarf Wax Myrtle</t>
  </si>
  <si>
    <t>24-28" ht x 18-24" sp</t>
  </si>
  <si>
    <t>Nandina domestica 'AKA' PP#19916</t>
  </si>
  <si>
    <t>2'×2'</t>
  </si>
  <si>
    <t>3'×2'</t>
  </si>
  <si>
    <t>2'×3'</t>
  </si>
  <si>
    <t>Rhod. 'RLH2-3P8-2' PP#31116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</si>
  <si>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</si>
  <si>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</si>
  <si>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</si>
  <si>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</si>
  <si>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</si>
  <si>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</si>
  <si>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</si>
  <si>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</si>
  <si>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</si>
  <si>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</si>
  <si>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</si>
  <si>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</si>
  <si>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</si>
  <si>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</si>
  <si>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</si>
  <si>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</si>
  <si>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Baptisia 'American Goldfinch' PP#30478</t>
  </si>
  <si>
    <t>American Goldfinch False Indigo</t>
  </si>
  <si>
    <t>Baptisia 'Burgundy Blast' PP#34689</t>
  </si>
  <si>
    <t>Burgundy Blast False Indigo</t>
  </si>
  <si>
    <t>Buddleia 'Balchrylu' PP#33842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</si>
  <si>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</si>
  <si>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</si>
  <si>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</si>
  <si>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</si>
  <si>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</si>
  <si>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</si>
  <si>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</si>
  <si>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</si>
  <si>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</si>
  <si>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</si>
  <si>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</si>
  <si>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</si>
  <si>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</si>
  <si>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</si>
  <si>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</si>
  <si>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</si>
  <si>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</si>
  <si>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</si>
  <si>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</si>
  <si>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</si>
  <si>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</si>
  <si>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</si>
  <si>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</si>
  <si>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</si>
  <si>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</si>
  <si>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</si>
  <si>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</si>
  <si>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</si>
  <si>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</si>
  <si>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</si>
  <si>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</si>
  <si>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</si>
  <si>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</si>
  <si>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</si>
  <si>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</si>
  <si>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</si>
  <si>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</si>
  <si>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</si>
  <si>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</si>
  <si>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</si>
  <si>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</si>
  <si>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Weigela florida 'Verweig9' PP#35146</t>
  </si>
  <si>
    <t>Weigela 'Slingco 2' PP#26841</t>
  </si>
  <si>
    <t>Weigela 'Spring 2' PP#30185</t>
  </si>
  <si>
    <t>Liriope muscari 'Big Blue'</t>
  </si>
  <si>
    <t>Big Blue Liriope</t>
  </si>
  <si>
    <t>12"×24"</t>
  </si>
  <si>
    <t>6"×6"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</si>
  <si>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</si>
  <si>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</si>
  <si>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</si>
  <si>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</si>
  <si>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</si>
  <si>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Ajuga reptans 'Black Scallop' PP#15815</t>
  </si>
  <si>
    <t>Black Scallop Bugleweed</t>
  </si>
  <si>
    <t>5"×24"</t>
  </si>
  <si>
    <t>Ajuga reptans 'Valfredda'</t>
  </si>
  <si>
    <t>Chocolate Chip Bugleweed</t>
  </si>
  <si>
    <t>3"×9"</t>
  </si>
  <si>
    <t>Aspidistra elatior</t>
  </si>
  <si>
    <t>Cast Iron Plant</t>
  </si>
  <si>
    <t>6-8 bibs</t>
  </si>
  <si>
    <t>Dryopteris erythrosora</t>
  </si>
  <si>
    <t>Autumn Fern</t>
  </si>
  <si>
    <t>Dryopteris erythrosora 'Brilliance'</t>
  </si>
  <si>
    <t>Brilliance Autumn Fern</t>
  </si>
  <si>
    <t xml:space="preserve">  </t>
  </si>
  <si>
    <t>Gelsemium sempervirens</t>
  </si>
  <si>
    <t>Juniperus conferta 'Blue Pacific'</t>
  </si>
  <si>
    <t>Blue Pacific Juniper</t>
  </si>
  <si>
    <t>Juniperus horizontalis 'Bar Harbor'</t>
  </si>
  <si>
    <t>Bar Harbor Juniper</t>
  </si>
  <si>
    <t>15-18" w | very nice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</si>
  <si>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</si>
  <si>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</si>
  <si>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</si>
  <si>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</si>
  <si>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</si>
  <si>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</si>
  <si>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</si>
  <si>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</si>
  <si>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</si>
  <si>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</si>
  <si>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Bridal Veil Astilbe</t>
  </si>
  <si>
    <t>Canna indica 'Happy Emily'</t>
  </si>
  <si>
    <t>Canna indica 'Happy Julia'</t>
  </si>
  <si>
    <t>Canna x generalis 'Australia'</t>
  </si>
  <si>
    <t>Australia Canna Lily</t>
  </si>
  <si>
    <t>Canna x generalis 'Bengal Tiger'</t>
  </si>
  <si>
    <t>Bengal Tiger Canna Lily</t>
  </si>
  <si>
    <t>Echinacea purpurea 'Cheyenne Spirit' PP#7982110</t>
  </si>
  <si>
    <t>Cheyenne Spirit Coneflower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</si>
  <si>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</si>
  <si>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</si>
  <si>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</si>
  <si>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</si>
  <si>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</si>
  <si>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</si>
  <si>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</si>
  <si>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small blue leaf</t>
  </si>
  <si>
    <t>Hosta 'Blue Mouse Ears'</t>
  </si>
  <si>
    <t>Blue Mouse Ears Hosta</t>
  </si>
  <si>
    <t>mini blue leaf</t>
  </si>
  <si>
    <t>Hosta x sieboldiana 'Blue Angel'</t>
  </si>
  <si>
    <t>Blue Angel Hosta</t>
  </si>
  <si>
    <t>Iris x robusta'Gerald Darby'</t>
  </si>
  <si>
    <t>Blue Flag Iris</t>
  </si>
  <si>
    <t>Osmunda cinnamomea</t>
  </si>
  <si>
    <t>Cinnamon Fern</t>
  </si>
  <si>
    <t>Wisteria frutescens 'Amethyst Falls'</t>
  </si>
  <si>
    <t>Amethyst Falls Wisteria</t>
  </si>
  <si>
    <t>Callicarpa americana</t>
  </si>
  <si>
    <t>American Beautyberry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</si>
  <si>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</si>
  <si>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</si>
  <si>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</si>
  <si>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</si>
  <si>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</si>
  <si>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</si>
  <si>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</si>
  <si>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</si>
  <si>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</si>
  <si>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</si>
  <si>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</si>
  <si>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</si>
  <si>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</si>
  <si>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</si>
  <si>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</si>
  <si>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</si>
  <si>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</si>
  <si>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</si>
  <si>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</si>
  <si>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</si>
  <si>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</si>
  <si>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</si>
  <si>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</si>
  <si>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</si>
  <si>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Violet bloom</t>
  </si>
  <si>
    <t>Orange bloom</t>
  </si>
  <si>
    <t>Multi-color bloom</t>
  </si>
  <si>
    <t>Lavender-Purple bloom</t>
  </si>
  <si>
    <t>G</t>
  </si>
  <si>
    <t>go to top</t>
  </si>
  <si>
    <t>B</t>
  </si>
  <si>
    <t>C</t>
  </si>
  <si>
    <t>8-10" x 15" | very nice</t>
  </si>
  <si>
    <t>Carror Azalea</t>
  </si>
  <si>
    <t>Rhod. 'Carror'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</si>
  <si>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</si>
  <si>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</si>
  <si>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</si>
  <si>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</si>
  <si>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</si>
  <si>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</si>
  <si>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</si>
  <si>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</si>
  <si>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3-4' Staked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</si>
  <si>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</si>
  <si>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</si>
  <si>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</si>
  <si>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</si>
  <si>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</si>
  <si>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</si>
  <si>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</si>
  <si>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</si>
  <si>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</si>
  <si>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</si>
  <si>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</si>
  <si>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</si>
  <si>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</si>
  <si>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</si>
  <si>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</si>
  <si>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</si>
  <si>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</si>
  <si>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</si>
  <si>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</si>
  <si>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9"×48"</t>
  </si>
  <si>
    <t>Creeping Raspberry</t>
  </si>
  <si>
    <t>Rubus rolfei</t>
  </si>
  <si>
    <t>6"×6'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</si>
  <si>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</si>
  <si>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</si>
  <si>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</si>
  <si>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</si>
  <si>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</si>
  <si>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</si>
  <si>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</si>
  <si>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</si>
  <si>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</si>
  <si>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</si>
  <si>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</si>
  <si>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</si>
  <si>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</si>
  <si>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</si>
  <si>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</si>
  <si>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</si>
  <si>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D</t>
  </si>
  <si>
    <t>Buddleia davidii 'Buddaplav' PP#33625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</si>
  <si>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</si>
  <si>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</si>
  <si>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</si>
  <si>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</si>
  <si>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</si>
  <si>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</si>
  <si>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</si>
  <si>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</si>
  <si>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</si>
  <si>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</si>
  <si>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</si>
  <si>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</si>
  <si>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</si>
  <si>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</si>
  <si>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</si>
  <si>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</si>
  <si>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</si>
  <si>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</si>
  <si>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</si>
  <si>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</si>
  <si>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</si>
  <si>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</si>
  <si>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</si>
  <si>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</si>
  <si>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</si>
  <si>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</si>
  <si>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</si>
  <si>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</si>
  <si>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</si>
  <si>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</si>
  <si>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</si>
  <si>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</si>
  <si>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</si>
  <si>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</si>
  <si>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</si>
  <si>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</si>
  <si>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</si>
  <si>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</si>
  <si>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</si>
  <si>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</si>
  <si>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</si>
  <si>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</si>
  <si>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</si>
  <si>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</si>
  <si>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</si>
  <si>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Prunus subhirtella 'Pendula Plena Rosea'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</si>
  <si>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</si>
  <si>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</si>
  <si>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</si>
  <si>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</si>
  <si>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</si>
  <si>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</si>
  <si>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</si>
  <si>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</si>
  <si>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</si>
  <si>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</si>
  <si>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</si>
  <si>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</si>
  <si>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</si>
  <si>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</si>
  <si>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</si>
  <si>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</si>
  <si>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</si>
  <si>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</si>
  <si>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Qty 2000</t>
  </si>
  <si>
    <t>4" Flat of 18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</si>
  <si>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</si>
  <si>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</si>
  <si>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</si>
  <si>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</si>
  <si>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</si>
  <si>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</si>
  <si>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</si>
  <si>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</si>
  <si>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Dwarf Golden Sweet Flag</t>
  </si>
  <si>
    <t>Acorus gramineus 'Minimus Aureus'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</si>
  <si>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</si>
  <si>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</si>
  <si>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</si>
  <si>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</si>
  <si>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</si>
  <si>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</si>
  <si>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</si>
  <si>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</si>
  <si>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</si>
  <si>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</si>
  <si>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</si>
  <si>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</si>
  <si>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</si>
  <si>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</si>
  <si>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</si>
  <si>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</si>
  <si>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</si>
  <si>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</si>
  <si>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</si>
  <si>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</si>
  <si>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</si>
  <si>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</si>
  <si>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</si>
  <si>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</si>
  <si>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</si>
  <si>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</si>
  <si>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</si>
  <si>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</si>
  <si>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</si>
  <si>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</si>
  <si>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</si>
  <si>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</si>
  <si>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</si>
  <si>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</si>
  <si>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</si>
  <si>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</si>
  <si>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</si>
  <si>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</si>
  <si>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</si>
  <si>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</si>
  <si>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</si>
  <si>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</si>
  <si>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</si>
  <si>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</si>
  <si>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</si>
  <si>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</si>
  <si>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</si>
  <si>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</si>
  <si>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</si>
  <si>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</si>
  <si>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</si>
  <si>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</si>
  <si>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12"×18"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</si>
  <si>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</si>
  <si>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</si>
  <si>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</si>
  <si>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</si>
  <si>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</si>
  <si>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</si>
  <si>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</si>
  <si>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</si>
  <si>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</si>
  <si>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</si>
  <si>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</si>
  <si>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</si>
  <si>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</si>
  <si>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</si>
  <si>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</si>
  <si>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</si>
  <si>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</si>
  <si>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</si>
  <si>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</si>
  <si>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</si>
  <si>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Distylium 'PIIDIST-VI' PP#29779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</si>
  <si>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</si>
  <si>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</si>
  <si>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</si>
  <si>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</si>
  <si>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</si>
  <si>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</si>
  <si>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</si>
  <si>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</si>
  <si>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</si>
  <si>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</si>
  <si>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</si>
  <si>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</si>
  <si>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</si>
  <si>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</si>
  <si>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</si>
  <si>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</si>
  <si>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</si>
  <si>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</si>
  <si>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</si>
  <si>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</si>
  <si>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</si>
  <si>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</si>
  <si>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</si>
  <si>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</si>
  <si>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</si>
  <si>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</si>
  <si>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</si>
  <si>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</si>
  <si>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</si>
  <si>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</si>
  <si>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</si>
  <si>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</si>
  <si>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</si>
  <si>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</si>
  <si>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</si>
  <si>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</si>
  <si>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</si>
  <si>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</si>
  <si>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</si>
  <si>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18-20" x 20-24"</t>
  </si>
  <si>
    <t>6"×24"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</si>
  <si>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</si>
  <si>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</si>
  <si>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</si>
  <si>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</si>
  <si>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</si>
  <si>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</si>
  <si>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</si>
  <si>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</si>
  <si>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</si>
  <si>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</si>
  <si>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</si>
  <si>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</si>
  <si>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</si>
  <si>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</si>
  <si>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</si>
  <si>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</si>
  <si>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</si>
  <si>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</si>
  <si>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</si>
  <si>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</si>
  <si>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</si>
  <si>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</si>
  <si>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</si>
  <si>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</si>
  <si>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</si>
  <si>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</si>
  <si>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</si>
  <si>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</si>
  <si>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</si>
  <si>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</si>
  <si>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</si>
  <si>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</si>
  <si>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</si>
  <si>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</si>
  <si>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</si>
  <si>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</si>
  <si>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</si>
  <si>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12"×12"</t>
  </si>
  <si>
    <t>GG Gerbing Azalea</t>
  </si>
  <si>
    <t>Rhod. 'Mrs. G.G. Gerbing'</t>
  </si>
  <si>
    <t>18-24" ht x 26-30"sp</t>
  </si>
  <si>
    <t>Cercis canadensis 'NC2017-6' PP#35279</t>
  </si>
  <si>
    <t>Girard's Crimson Azalea</t>
  </si>
  <si>
    <t>Rhod. 'Girard's Crimson'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</si>
  <si>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</si>
  <si>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</si>
  <si>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</si>
  <si>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</si>
  <si>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</si>
  <si>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</si>
  <si>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</si>
  <si>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</si>
  <si>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</si>
  <si>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</si>
  <si>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</si>
  <si>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</si>
  <si>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</si>
  <si>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</si>
  <si>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</si>
  <si>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</si>
  <si>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</si>
  <si>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</si>
  <si>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</si>
  <si>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</si>
  <si>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</si>
  <si>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</si>
  <si>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30'×∞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</si>
  <si>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</si>
  <si>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</si>
  <si>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</si>
  <si>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</si>
  <si>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</si>
  <si>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</si>
  <si>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</si>
  <si>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</si>
  <si>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</si>
  <si>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</si>
  <si>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</si>
  <si>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</si>
  <si>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</si>
  <si>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</si>
  <si>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</si>
  <si>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</si>
  <si>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</si>
  <si>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</si>
  <si>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</si>
  <si>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</si>
  <si>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</si>
  <si>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</si>
  <si>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</si>
  <si>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</si>
  <si>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</si>
  <si>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</si>
  <si>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</si>
  <si>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</si>
  <si>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</si>
  <si>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</si>
  <si>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</si>
  <si>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</si>
  <si>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</si>
  <si>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variegated gold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</si>
  <si>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</si>
  <si>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</si>
  <si>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</si>
  <si>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</si>
  <si>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</si>
  <si>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</si>
  <si>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15" x 15" | very nice</t>
  </si>
  <si>
    <t>Gracillimus Maiden Grass</t>
  </si>
  <si>
    <t>Miscanthus sinensis 'Gracillimus'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</si>
  <si>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</si>
  <si>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</si>
  <si>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</si>
  <si>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</si>
  <si>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</si>
  <si>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</si>
  <si>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</si>
  <si>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</si>
  <si>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</si>
  <si>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Acer palmatum</t>
  </si>
  <si>
    <t>12-14' x 8'</t>
  </si>
  <si>
    <t>10"×24"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</si>
  <si>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</si>
  <si>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</si>
  <si>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</si>
  <si>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</si>
  <si>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</si>
  <si>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</si>
  <si>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</si>
  <si>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</si>
  <si>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</si>
  <si>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</si>
  <si>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</si>
  <si>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</si>
  <si>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</si>
  <si>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</si>
  <si>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</si>
  <si>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</si>
  <si>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</si>
  <si>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</si>
  <si>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</si>
  <si>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</si>
  <si>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</si>
  <si>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</si>
  <si>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</si>
  <si>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</si>
  <si>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</si>
  <si>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</si>
  <si>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>Gyokuryu Japanese Cedar</t>
  </si>
  <si>
    <t>Cryptomeria japonica 'Gyokuryu'</t>
  </si>
  <si>
    <t>H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</si>
  <si>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</si>
  <si>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</si>
  <si>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</si>
  <si>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</si>
  <si>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</si>
  <si>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</si>
  <si>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</si>
  <si>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</si>
  <si>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</si>
  <si>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</si>
  <si>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</si>
  <si>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</si>
  <si>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</si>
  <si>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</si>
  <si>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</si>
  <si>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</si>
  <si>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</si>
  <si>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</si>
  <si>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</si>
  <si>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</si>
  <si>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</si>
  <si>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</si>
  <si>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</si>
  <si>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</si>
  <si>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15'×3'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</si>
  <si>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</si>
  <si>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</si>
  <si>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</si>
  <si>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</si>
  <si>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</si>
  <si>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</si>
  <si>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</si>
  <si>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</si>
  <si>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</si>
  <si>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</si>
  <si>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</si>
  <si>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</si>
  <si>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</si>
  <si>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</si>
  <si>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</si>
  <si>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</si>
  <si>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</si>
  <si>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</si>
  <si>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12"×36"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</si>
  <si>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</si>
  <si>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</si>
  <si>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</si>
  <si>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</si>
  <si>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</si>
  <si>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</si>
  <si>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</si>
  <si>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</si>
  <si>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</si>
  <si>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</si>
  <si>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</si>
  <si>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</si>
  <si>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</si>
  <si>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</si>
  <si>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</si>
  <si>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</si>
  <si>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I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</si>
  <si>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</si>
  <si>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</si>
  <si>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</si>
  <si>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</si>
  <si>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</si>
  <si>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</si>
  <si>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</si>
  <si>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18"×36"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</si>
  <si>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</si>
  <si>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</si>
  <si>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</si>
  <si>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</si>
  <si>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</si>
  <si>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</si>
  <si>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</si>
  <si>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</si>
  <si>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</si>
  <si>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</si>
  <si>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</si>
  <si>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</si>
  <si>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</si>
  <si>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</si>
  <si>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</si>
  <si>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</si>
  <si>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Ardisia</t>
  </si>
  <si>
    <t>Ardisia japonica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</si>
  <si>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</si>
  <si>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</si>
  <si>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</si>
  <si>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</si>
  <si>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</si>
  <si>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</si>
  <si>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18"×24"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</si>
  <si>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</si>
  <si>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</si>
  <si>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</si>
  <si>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</si>
  <si>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</si>
  <si>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</si>
  <si>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</si>
  <si>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</si>
  <si>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</si>
  <si>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</si>
  <si>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</si>
  <si>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</si>
  <si>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</si>
  <si>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</si>
  <si>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</si>
  <si>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</si>
  <si>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</si>
  <si>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</si>
  <si>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</si>
  <si>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</si>
  <si>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</si>
  <si>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</si>
  <si>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</si>
  <si>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Kaleidoscope Abelia</t>
  </si>
  <si>
    <t>Abelia x grandiflora 'Kaleidoscope' PP#16988</t>
  </si>
  <si>
    <t>Kanjiro Camellia</t>
  </si>
  <si>
    <t>Camellia sasanqua 'Kanjiro'</t>
  </si>
  <si>
    <t>2ft HT</t>
  </si>
  <si>
    <t>Karl Foerster Reed Grass</t>
  </si>
  <si>
    <t>Calamagrostis x acutiflora 'Karl Foerster'</t>
  </si>
  <si>
    <t>Karley Rose Fountain Grass</t>
  </si>
  <si>
    <t>Pennisetum orientale 'Karley Rose' PP#12909</t>
  </si>
  <si>
    <t>Rose-Purple bloom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</si>
  <si>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</si>
  <si>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</si>
  <si>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</si>
  <si>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</si>
  <si>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</si>
  <si>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</si>
  <si>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</si>
  <si>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</si>
  <si>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</si>
  <si>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</si>
  <si>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</si>
  <si>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</si>
  <si>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</si>
  <si>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</si>
  <si>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</si>
  <si>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</si>
  <si>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</si>
  <si>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</si>
  <si>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</si>
  <si>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</si>
  <si>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</si>
  <si>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</si>
  <si>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</si>
  <si>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</si>
  <si>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</si>
  <si>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</si>
  <si>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</si>
  <si>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L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</si>
  <si>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</si>
  <si>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</si>
  <si>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</si>
  <si>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</si>
  <si>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</si>
  <si>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</si>
  <si>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</si>
  <si>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</si>
  <si>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</si>
  <si>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</si>
  <si>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</si>
  <si>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</si>
  <si>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</si>
  <si>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</si>
  <si>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</si>
  <si>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</si>
  <si>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</si>
  <si>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</si>
  <si>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</si>
  <si>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</si>
  <si>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</si>
  <si>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</si>
  <si>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</si>
  <si>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</si>
  <si>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</si>
  <si>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</si>
  <si>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</si>
  <si>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</si>
  <si>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</si>
  <si>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</si>
  <si>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</si>
  <si>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</si>
  <si>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</si>
  <si>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</si>
  <si>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</si>
  <si>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</si>
  <si>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</si>
  <si>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</si>
  <si>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</si>
  <si>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</si>
  <si>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</si>
  <si>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</si>
  <si>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</si>
  <si>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</si>
  <si>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</si>
  <si>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</si>
  <si>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</si>
  <si>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</si>
  <si>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</si>
  <si>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</si>
  <si>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</si>
  <si>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</si>
  <si>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</si>
  <si>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</si>
  <si>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</si>
  <si>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</si>
  <si>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</si>
  <si>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</si>
  <si>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</si>
  <si>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</si>
  <si>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</si>
  <si>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</si>
  <si>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</si>
  <si>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</si>
  <si>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</si>
  <si>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</si>
  <si>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</si>
  <si>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</si>
  <si>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</si>
  <si>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Aronia melanocarpa 'UCONNAM165' PP#28789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</si>
  <si>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</si>
  <si>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</si>
  <si>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</si>
  <si>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</si>
  <si>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</si>
  <si>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</si>
  <si>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</si>
  <si>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</si>
  <si>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</si>
  <si>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</si>
  <si>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</si>
  <si>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</si>
  <si>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</si>
  <si>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</si>
  <si>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</si>
  <si>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</si>
  <si>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</si>
  <si>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</si>
  <si>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</si>
  <si>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</si>
  <si>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</si>
  <si>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</si>
  <si>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</si>
  <si>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</si>
  <si>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</si>
  <si>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</si>
  <si>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</si>
  <si>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</si>
  <si>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</si>
  <si>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</si>
  <si>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</si>
  <si>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</si>
  <si>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</si>
  <si>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</si>
  <si>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</si>
  <si>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</si>
  <si>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</si>
  <si>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Camellia sasanqua 'Mine-No-Yuki'</t>
  </si>
  <si>
    <t>Juniperus × pfitzeriana 'Mint Julep'</t>
  </si>
  <si>
    <t>Minuteman Hosta</t>
  </si>
  <si>
    <t>Hosta 'Minuteman'</t>
  </si>
  <si>
    <t>variegated cream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</si>
  <si>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</si>
  <si>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</si>
  <si>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</si>
  <si>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</si>
  <si>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</si>
  <si>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</si>
  <si>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</si>
  <si>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</si>
  <si>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</si>
  <si>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</si>
  <si>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</si>
  <si>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</si>
  <si>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</si>
  <si>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</si>
  <si>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</si>
  <si>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</si>
  <si>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</si>
  <si>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</si>
  <si>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</si>
  <si>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</si>
  <si>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</si>
  <si>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12"×15"</t>
  </si>
  <si>
    <t>Moon Frost Canadian Hemlock</t>
  </si>
  <si>
    <t>Tsuga canadensis 'Moon Frost'</t>
  </si>
  <si>
    <t>Moonbeam Anise Tree</t>
  </si>
  <si>
    <t>Illicium 'Moonbeam'</t>
  </si>
  <si>
    <t>30"×24"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</si>
  <si>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</si>
  <si>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</si>
  <si>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</si>
  <si>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</si>
  <si>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</si>
  <si>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</si>
  <si>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</si>
  <si>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</si>
  <si>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</si>
  <si>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</si>
  <si>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</si>
  <si>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</si>
  <si>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</si>
  <si>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</si>
  <si>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</si>
  <si>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</si>
  <si>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</si>
  <si>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</si>
  <si>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</si>
  <si>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</si>
  <si>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</si>
  <si>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</si>
  <si>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</si>
  <si>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</si>
  <si>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</si>
  <si>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</si>
  <si>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</si>
  <si>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</si>
  <si>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</si>
  <si>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</si>
  <si>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</si>
  <si>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</si>
  <si>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</si>
  <si>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</si>
  <si>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</si>
  <si>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</si>
  <si>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</si>
  <si>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</si>
  <si>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</si>
  <si>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</si>
  <si>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</si>
  <si>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</si>
  <si>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</si>
  <si>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</si>
  <si>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</si>
  <si>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</si>
  <si>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</si>
  <si>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</si>
  <si>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</si>
  <si>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</si>
  <si>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</si>
  <si>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</si>
  <si>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</si>
  <si>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</si>
  <si>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</si>
  <si>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</si>
  <si>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</si>
  <si>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</si>
  <si>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</si>
  <si>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</si>
  <si>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</si>
  <si>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</si>
  <si>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</si>
  <si>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</si>
  <si>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</si>
  <si>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</si>
  <si>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</si>
  <si>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</si>
  <si>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</si>
  <si>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</si>
  <si>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</si>
  <si>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</si>
  <si>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</si>
  <si>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</si>
  <si>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O</t>
  </si>
  <si>
    <t>Ilex 'Conaf' PP#9487Exp.</t>
  </si>
  <si>
    <t>20'×8'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</si>
  <si>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</si>
  <si>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</si>
  <si>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</si>
  <si>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</si>
  <si>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</si>
  <si>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</si>
  <si>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</si>
  <si>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</si>
  <si>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</si>
  <si>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Ogon Sweet Flag</t>
  </si>
  <si>
    <t>Acorus gramineus 'Ogon'</t>
  </si>
  <si>
    <t>qty 1800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</si>
  <si>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</si>
  <si>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</si>
  <si>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</si>
  <si>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</si>
  <si>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</si>
  <si>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</si>
  <si>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</si>
  <si>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</si>
  <si>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</si>
  <si>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</si>
  <si>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</si>
  <si>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</si>
  <si>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</si>
  <si>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</si>
  <si>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</si>
  <si>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</si>
  <si>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</si>
  <si>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</si>
  <si>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</si>
  <si>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</si>
  <si>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</si>
  <si>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</si>
  <si>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</si>
  <si>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</si>
  <si>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</si>
  <si>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</si>
  <si>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</si>
  <si>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</si>
  <si>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</si>
  <si>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Var. cream margin</t>
  </si>
  <si>
    <t>Pawpaw Tree</t>
  </si>
  <si>
    <t>Asimina triloba</t>
  </si>
  <si>
    <t>3-5.5' tall | very nice | native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</si>
  <si>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</si>
  <si>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</si>
  <si>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</si>
  <si>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</si>
  <si>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</si>
  <si>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</si>
  <si>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</si>
  <si>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</si>
  <si>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</si>
  <si>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</si>
  <si>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</si>
  <si>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</si>
  <si>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</si>
  <si>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</si>
  <si>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</si>
  <si>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</si>
  <si>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</si>
  <si>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</si>
  <si>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</si>
  <si>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</si>
  <si>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</si>
  <si>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</si>
  <si>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</si>
  <si>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</si>
  <si>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</si>
  <si>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</si>
  <si>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</si>
  <si>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</si>
  <si>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</si>
  <si>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</si>
  <si>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</si>
  <si>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</si>
  <si>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</si>
  <si>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</si>
  <si>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</si>
  <si>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</si>
  <si>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Lemonade False Indigo</t>
  </si>
  <si>
    <t>Baptisia 'Pink Lemonade' PP#30669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</si>
  <si>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</si>
  <si>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</si>
  <si>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</si>
  <si>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</si>
  <si>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</si>
  <si>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</si>
  <si>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</si>
  <si>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</si>
  <si>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</si>
  <si>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</si>
  <si>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</si>
  <si>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</si>
  <si>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</si>
  <si>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Hyd. macrophylla 'Bailmacsix' PP#33703</t>
  </si>
  <si>
    <t>Rosa 'Novarospop' PP#24773</t>
  </si>
  <si>
    <t>Yellow to White to Pink bloom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</si>
  <si>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</si>
  <si>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</si>
  <si>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</si>
  <si>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</si>
  <si>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</si>
  <si>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</si>
  <si>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</si>
  <si>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</si>
  <si>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</si>
  <si>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</si>
  <si>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</si>
  <si>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</si>
  <si>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</si>
  <si>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</si>
  <si>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</si>
  <si>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</si>
  <si>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</si>
  <si>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</si>
  <si>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</si>
  <si>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</si>
  <si>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</si>
  <si>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</si>
  <si>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</si>
  <si>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</si>
  <si>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</si>
  <si>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</si>
  <si>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</si>
  <si>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</si>
  <si>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</si>
  <si>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</si>
  <si>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</si>
  <si>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</si>
  <si>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</si>
  <si>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</si>
  <si>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</si>
  <si>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</si>
  <si>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'Glacier'</t>
  </si>
  <si>
    <t>Itea virginica 'Sprich' PP#10988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</si>
  <si>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</si>
  <si>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</si>
  <si>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</si>
  <si>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</si>
  <si>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</si>
  <si>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</si>
  <si>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</si>
  <si>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</si>
  <si>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Pygmy Fringetree</t>
  </si>
  <si>
    <t>Chionanthus pygmaeus</t>
  </si>
  <si>
    <t xml:space="preserve">5.5-6' x 3-4' sp .75-1"c </t>
  </si>
  <si>
    <t>Q</t>
  </si>
  <si>
    <t>Hyd. paniculata 'Bulk' PP#16812</t>
  </si>
  <si>
    <t>Quick Frost Arizona Cypress</t>
  </si>
  <si>
    <t>Hesperocyparis arizonica 'Quick Frost'</t>
  </si>
  <si>
    <t>R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</si>
  <si>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</si>
  <si>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</si>
  <si>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</si>
  <si>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</si>
  <si>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</si>
  <si>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</si>
  <si>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</si>
  <si>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</si>
  <si>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</si>
  <si>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</si>
  <si>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</si>
  <si>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</si>
  <si>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</si>
  <si>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</si>
  <si>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</si>
  <si>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</si>
  <si>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</si>
  <si>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</si>
  <si>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</si>
  <si>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</si>
  <si>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</si>
  <si>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</si>
  <si>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</si>
  <si>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</si>
  <si>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</si>
  <si>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</si>
  <si>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</si>
  <si>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</si>
  <si>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</si>
  <si>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</si>
  <si>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</si>
  <si>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</si>
  <si>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</si>
  <si>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</si>
  <si>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</si>
  <si>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</si>
  <si>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</si>
  <si>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</si>
  <si>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</si>
  <si>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</si>
  <si>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</si>
  <si>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</si>
  <si>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</si>
  <si>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</si>
  <si>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</si>
  <si>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</si>
  <si>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</si>
  <si>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</si>
  <si>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</si>
  <si>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</si>
  <si>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</si>
  <si>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</si>
  <si>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</si>
  <si>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</si>
  <si>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</si>
  <si>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</si>
  <si>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</si>
  <si>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</si>
  <si>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</si>
  <si>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</si>
  <si>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</si>
  <si>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</si>
  <si>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</si>
  <si>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</si>
  <si>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</si>
  <si>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</si>
  <si>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</si>
  <si>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</si>
  <si>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</si>
  <si>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</si>
  <si>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</si>
  <si>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</si>
  <si>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</si>
  <si>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</si>
  <si>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</si>
  <si>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</si>
  <si>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</si>
  <si>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</si>
  <si>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</si>
  <si>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</si>
  <si>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</si>
  <si>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</si>
  <si>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</si>
  <si>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</si>
  <si>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</si>
  <si>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</si>
  <si>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</si>
  <si>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</si>
  <si>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</si>
  <si>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</si>
  <si>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</si>
  <si>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</si>
  <si>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</si>
  <si>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</si>
  <si>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</si>
  <si>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</si>
  <si>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</si>
  <si>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</si>
  <si>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</si>
  <si>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</si>
  <si>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</si>
  <si>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</si>
  <si>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</si>
  <si>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</si>
  <si>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</si>
  <si>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</si>
  <si>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</si>
  <si>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</si>
  <si>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</si>
  <si>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</si>
  <si>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</si>
  <si>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</si>
  <si>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</si>
  <si>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</si>
  <si>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</si>
  <si>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</si>
  <si>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</si>
  <si>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</si>
  <si>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</si>
  <si>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</si>
  <si>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</si>
  <si>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</si>
  <si>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</si>
  <si>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</si>
  <si>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</si>
  <si>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</si>
  <si>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</si>
  <si>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</si>
  <si>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</si>
  <si>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</si>
  <si>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</si>
  <si>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</si>
  <si>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</si>
  <si>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</si>
  <si>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</si>
  <si>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</si>
  <si>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</si>
  <si>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</si>
  <si>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</si>
  <si>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</si>
  <si>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</si>
  <si>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</si>
  <si>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</si>
  <si>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</si>
  <si>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</si>
  <si>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</si>
  <si>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64, Multi, 6.5-7ft HT</t>
  </si>
  <si>
    <t>Sister Ghost Japanese Maple</t>
  </si>
  <si>
    <t>Acer palmatum 'Sister Ghost'</t>
  </si>
  <si>
    <t>Skip Laurel</t>
  </si>
  <si>
    <t>Prunus laurocerasus 'Schipkaensis'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</si>
  <si>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</si>
  <si>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</si>
  <si>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</si>
  <si>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</si>
  <si>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</si>
  <si>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</si>
  <si>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</si>
  <si>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</si>
  <si>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</si>
  <si>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</si>
  <si>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</si>
  <si>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</si>
  <si>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</si>
  <si>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</si>
  <si>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</si>
  <si>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</si>
  <si>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</si>
  <si>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</si>
  <si>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</si>
  <si>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</si>
  <si>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</si>
  <si>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</si>
  <si>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</si>
  <si>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</si>
  <si>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</si>
  <si>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</si>
  <si>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</si>
  <si>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</si>
  <si>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</si>
  <si>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Echinacea 'Balsomador' PP#26639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</si>
  <si>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</si>
  <si>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</si>
  <si>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</si>
  <si>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</si>
  <si>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</si>
  <si>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</si>
  <si>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</si>
  <si>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</si>
  <si>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</si>
  <si>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</si>
  <si>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</si>
  <si>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</si>
  <si>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</si>
  <si>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</si>
  <si>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</si>
  <si>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</si>
  <si>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</si>
  <si>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</si>
  <si>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</si>
  <si>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</si>
  <si>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</si>
  <si>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</si>
  <si>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</si>
  <si>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</si>
  <si>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</si>
  <si>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</si>
  <si>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</si>
  <si>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</si>
  <si>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</si>
  <si>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</si>
  <si>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</si>
  <si>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</si>
  <si>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</si>
  <si>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</si>
  <si>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</si>
  <si>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</si>
  <si>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</si>
  <si>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</si>
  <si>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</si>
  <si>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</si>
  <si>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</si>
  <si>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</si>
  <si>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</si>
  <si>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</si>
  <si>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</si>
  <si>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</si>
  <si>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</si>
  <si>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</si>
  <si>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</si>
  <si>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</si>
  <si>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</si>
  <si>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</si>
  <si>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</si>
  <si>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</si>
  <si>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</si>
  <si>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large green leaf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</si>
  <si>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</si>
  <si>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</si>
  <si>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</si>
  <si>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</si>
  <si>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</si>
  <si>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</si>
  <si>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</si>
  <si>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</si>
  <si>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</si>
  <si>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</si>
  <si>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</si>
  <si>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</si>
  <si>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</si>
  <si>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</si>
  <si>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</si>
  <si>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</si>
  <si>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</si>
  <si>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</si>
  <si>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</si>
  <si>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</si>
  <si>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</si>
  <si>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</si>
  <si>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</si>
  <si>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</si>
  <si>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</si>
  <si>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</si>
  <si>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</si>
  <si>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</si>
  <si>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</si>
  <si>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</si>
  <si>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Sarcococca hookeriana 'Purplerij1'</t>
  </si>
  <si>
    <t>8-10" x 10-12" | very nice</t>
  </si>
  <si>
    <t>Sweet Box</t>
  </si>
  <si>
    <t>Sarcococca confusa</t>
  </si>
  <si>
    <t>15-18"ht x 12-15"sp</t>
  </si>
  <si>
    <t>Rosa 'Meiswetdom' PP#21612</t>
  </si>
  <si>
    <t>Pastel Pink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</si>
  <si>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</si>
  <si>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</si>
  <si>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</si>
  <si>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</si>
  <si>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</si>
  <si>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</si>
  <si>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</t>
  </si>
  <si>
    <t>Thuja occidentalis 'RutThu5' PP#35180</t>
  </si>
  <si>
    <t>Tamukeyama Cutleaf Japanese Maple</t>
  </si>
  <si>
    <t>Acer palmatum var. dis. 'Tamukeyama'</t>
  </si>
  <si>
    <t>8'×5'</t>
  </si>
  <si>
    <t>Tangerine Beauty Cross-Vine</t>
  </si>
  <si>
    <t>Bignonia 'Tangerine Beauty' PP#3262Exp.</t>
  </si>
  <si>
    <t>30'×9'</t>
  </si>
  <si>
    <t>Tangerine bloom</t>
  </si>
  <si>
    <t>Rubus 'Ponca' PP#33330</t>
  </si>
  <si>
    <t>24-30" h | upright &amp; thornless | 24-36" h | upright &amp; thornless | sweet berries</t>
  </si>
  <si>
    <t>Thuja occidentalis 'SMNTOBAB' PP#30761</t>
  </si>
  <si>
    <t>Taylor Juniper</t>
  </si>
  <si>
    <t>Juniperus virginiana 'Taylor'</t>
  </si>
  <si>
    <t>7-8'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</si>
  <si>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</si>
  <si>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</si>
  <si>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</si>
  <si>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</si>
  <si>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</si>
  <si>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</si>
  <si>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</si>
  <si>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</si>
  <si>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</si>
  <si>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</si>
  <si>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</si>
  <si>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</si>
  <si>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</si>
  <si>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</si>
  <si>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</si>
  <si>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</si>
  <si>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Aspidistra elatior 'Tiny Tank'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</si>
  <si>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</si>
  <si>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</si>
  <si>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</si>
  <si>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</si>
  <si>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</si>
  <si>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</si>
  <si>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</si>
  <si>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</si>
  <si>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</si>
  <si>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</si>
  <si>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</si>
  <si>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</si>
  <si>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</si>
  <si>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</si>
  <si>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</si>
  <si>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</si>
  <si>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</si>
  <si>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</si>
  <si>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</si>
  <si>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</si>
  <si>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Canna x generalis 'Phasion' PP#10569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</si>
  <si>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</si>
  <si>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</si>
  <si>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</si>
  <si>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</si>
  <si>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</si>
  <si>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</si>
  <si>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</si>
  <si>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</si>
  <si>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</si>
  <si>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</si>
  <si>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</si>
  <si>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Robinia pseudoacacia 'Lace Lady' PP#9771Exp.</t>
  </si>
  <si>
    <t>Twombly's Red Sentinel Japanese Maple</t>
  </si>
  <si>
    <t>Acer palmatum 'Twombly's Red Sentinel'</t>
  </si>
  <si>
    <t>U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</si>
  <si>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</si>
  <si>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</si>
  <si>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</si>
  <si>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</si>
  <si>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</si>
  <si>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</si>
  <si>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Coreopsis 'Baluptowed' PP#28865</t>
  </si>
  <si>
    <t>V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</si>
  <si>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</si>
  <si>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</si>
  <si>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</si>
  <si>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</si>
  <si>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</si>
  <si>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</si>
  <si>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</si>
  <si>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</si>
  <si>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Iris ensata 'Variegata'</t>
  </si>
  <si>
    <t>Variegated Liriope</t>
  </si>
  <si>
    <t>Liriope muscari 'Variegata'</t>
  </si>
  <si>
    <t>Violet-Purple bloom</t>
  </si>
  <si>
    <t>Qty 600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</si>
  <si>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</si>
  <si>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</si>
  <si>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</si>
  <si>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</si>
  <si>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</si>
  <si>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</si>
  <si>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Qty 200</t>
  </si>
  <si>
    <t>wavy var. leaf</t>
  </si>
  <si>
    <t>Variegated Winter Daphne</t>
  </si>
  <si>
    <t>Daphne odora 'Aureomarginata'</t>
  </si>
  <si>
    <t>Purplish-Pink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</si>
  <si>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</si>
  <si>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</si>
  <si>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</si>
  <si>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</si>
  <si>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</si>
  <si>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</si>
  <si>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</si>
  <si>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</si>
  <si>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</si>
  <si>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</si>
  <si>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</si>
  <si>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</si>
  <si>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</si>
  <si>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</si>
  <si>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</si>
  <si>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</si>
  <si>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</si>
  <si>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</si>
  <si>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</si>
  <si>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</si>
  <si>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</si>
  <si>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</si>
  <si>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</si>
  <si>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</si>
  <si>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</si>
  <si>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</si>
  <si>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</si>
  <si>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</si>
  <si>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</si>
  <si>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</si>
  <si>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</si>
  <si>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</si>
  <si>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</si>
  <si>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</si>
  <si>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</si>
  <si>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</si>
  <si>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</si>
  <si>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</si>
  <si>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</si>
  <si>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</si>
  <si>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</si>
  <si>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</si>
  <si>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Rosa 'Meizorland' PP#28054</t>
  </si>
  <si>
    <t>Bright White bloom</t>
  </si>
  <si>
    <t>White Fringetree</t>
  </si>
  <si>
    <t>Chionanthus virginicus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</si>
  <si>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</si>
  <si>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</si>
  <si>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</si>
  <si>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</si>
  <si>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</si>
  <si>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</si>
  <si>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</si>
  <si>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</si>
  <si>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</si>
  <si>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</si>
  <si>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</si>
  <si>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</si>
  <si>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</si>
  <si>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Wildcat Magnolia</t>
  </si>
  <si>
    <t>Magnolia x loebneri 'Wildcat'</t>
  </si>
  <si>
    <t>Willow Leaf Cotoneaster</t>
  </si>
  <si>
    <t>Cotoneaster salicifolius</t>
  </si>
  <si>
    <t>3'×8'</t>
  </si>
  <si>
    <t>Willow Oak</t>
  </si>
  <si>
    <t>Quercus phellos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</si>
  <si>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</si>
  <si>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</si>
  <si>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</si>
  <si>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</si>
  <si>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</si>
  <si>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</si>
  <si>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</si>
  <si>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</si>
  <si>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</si>
  <si>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</si>
  <si>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</si>
  <si>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</si>
  <si>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</si>
  <si>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</si>
  <si>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</si>
  <si>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</si>
  <si>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</si>
  <si>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</si>
  <si>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</si>
  <si>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</si>
  <si>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</si>
  <si>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</si>
  <si>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</si>
  <si>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</si>
  <si>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</si>
  <si>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</si>
  <si>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</si>
  <si>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</si>
  <si>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</si>
  <si>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</si>
  <si>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</si>
  <si>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</si>
  <si>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</si>
  <si>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</si>
  <si>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</si>
  <si>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</si>
  <si>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</si>
  <si>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</si>
  <si>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</si>
  <si>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</si>
  <si>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</si>
  <si>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</si>
  <si>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</si>
  <si>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</si>
  <si>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</si>
  <si>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</si>
  <si>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</si>
  <si>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</si>
  <si>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>Variegated needles</t>
  </si>
  <si>
    <t>Carolina Jessamine Vine</t>
  </si>
  <si>
    <t>40'×15'</t>
  </si>
  <si>
    <t>Blue-Green foliage</t>
  </si>
  <si>
    <t>Dark Green foliage</t>
  </si>
  <si>
    <t>60'×30'</t>
  </si>
  <si>
    <t>Dark Green needles</t>
  </si>
  <si>
    <t>Margarita Carolina Jessamine Vine</t>
  </si>
  <si>
    <t>Deep Green foliage</t>
  </si>
  <si>
    <t>5'×10'</t>
  </si>
  <si>
    <t>15'×5'</t>
  </si>
  <si>
    <t>Royal Purple Smoke Tree</t>
  </si>
  <si>
    <t>K</t>
  </si>
  <si>
    <t>35'×40'</t>
  </si>
  <si>
    <t>Soft Pink to White bloom</t>
  </si>
  <si>
    <t>50'×20'</t>
  </si>
  <si>
    <t>70'×35'</t>
  </si>
  <si>
    <t>Bright Green foliage</t>
  </si>
  <si>
    <t>Silvery Blue foliage</t>
  </si>
  <si>
    <t>Lavendar-Blue bloom</t>
  </si>
  <si>
    <t>Green foliage</t>
  </si>
  <si>
    <t>Deep Green needles</t>
  </si>
  <si>
    <t>30'×12'</t>
  </si>
  <si>
    <t>Bright Red berries</t>
  </si>
  <si>
    <t>Akebono known for especially nice bloom in early spring. Fast grower. Name means "Daybreak" in Japanese</t>
  </si>
  <si>
    <t>Pink to White bloom</t>
  </si>
  <si>
    <t>Magnolia x loebneri 'Ballerina'</t>
  </si>
  <si>
    <t>3-4' h | great color</t>
  </si>
  <si>
    <t>Creamy Wihite bloom</t>
  </si>
  <si>
    <t>Rose-Pink bloom</t>
  </si>
  <si>
    <t>Butterflies named for strong upright bloom that truly resembles butterflies. Frangrant blooms are excellent color</t>
  </si>
  <si>
    <t>Variegated foliage</t>
  </si>
  <si>
    <t>Cornus x rutgersensis 'Celestial Shadow'</t>
  </si>
  <si>
    <t>Cornus x rutgersensis 'Rutdan' PP#7204Exp.</t>
  </si>
  <si>
    <t>Coral-Pink bloom</t>
  </si>
  <si>
    <t>Snow White bloom</t>
  </si>
  <si>
    <t>China Snow exceptionally heavy. Bark exfoliates to a Cinnamon-Brown inner bark</t>
  </si>
  <si>
    <t>Christmas Jewel has painless blunt spines. Self-pollinating female produces large berries by Christmas</t>
  </si>
  <si>
    <t>Coppertallica named for it's metallic copper undersides. Fragrant bloome with Yellow stamens and a Red eye</t>
  </si>
  <si>
    <t>18-24" x 30-36"</t>
  </si>
  <si>
    <t>36" h | very nice</t>
  </si>
  <si>
    <t>Diamond Spire is noted for it's more columnar shape and unique rounded foliage</t>
  </si>
  <si>
    <t>Don Egolf is slow growing and very disease resistant</t>
  </si>
  <si>
    <t>Cherry-Red bloom</t>
  </si>
  <si>
    <t>Pink Double blooms later (escaping frost) and longer than other weeping Cherry</t>
  </si>
  <si>
    <t>Eastern Redbud is a classic harbinger of spring in the NC forest</t>
  </si>
  <si>
    <t>Rich Pink bloom</t>
  </si>
  <si>
    <t>Evey's Pride Reddish=Purple foliage and umbrella shape lend a tropical airy feel. Can be invasive</t>
  </si>
  <si>
    <t>Diervilla sessilifolia 'Firefly' PP#33978</t>
  </si>
  <si>
    <t>Fortune's is very aromatic in late summer. Toothed foliage. Drought and shade tolerant</t>
  </si>
  <si>
    <t>Fragrant Princess has 'intensly' fragrant flowers in the fall. Will flower even as a tiny plant</t>
  </si>
  <si>
    <t>Frostproof resists late spring frosts. Fragrant blooms are more abundant than other Gardenia</t>
  </si>
  <si>
    <t>Fruitlandii has abundant fall blooming fragrant flowers that perist into winter</t>
  </si>
  <si>
    <t>13'×6'</t>
  </si>
  <si>
    <t>Rosy=Purple Bloom</t>
  </si>
  <si>
    <t>70'×25'</t>
  </si>
  <si>
    <t>Pale Yellow bloom</t>
  </si>
  <si>
    <t>Bright Green needles</t>
  </si>
  <si>
    <t>Green Seedling Japanese Maple</t>
  </si>
  <si>
    <t>Holly Oak named for foliage resembling Holly. Highly tolerant of poor growing conditions. Very long lived</t>
  </si>
  <si>
    <t>Horstmann Blue Atlas Cedar</t>
  </si>
  <si>
    <t>Cedrus atlantica 'Horstmann'</t>
  </si>
  <si>
    <t>Horstmann makes a fine architectural specimen. Minimal pruning and year-round color</t>
  </si>
  <si>
    <t>Ice Plant is named for it's cold hardiness. Long bloom period makes this a great groundcover</t>
  </si>
  <si>
    <t>Inspiration more cold hardy. Purple accent on flowers sets it apart from other Magnolia</t>
  </si>
  <si>
    <t>8"×14"</t>
  </si>
  <si>
    <t>50'×55'</t>
  </si>
  <si>
    <t>Lime-Green foliage</t>
  </si>
  <si>
    <t>Lemon Lime Lace is a multicolor standout that turns Golden Yellow to Orange in the fall</t>
  </si>
  <si>
    <t>Medium Green foliage</t>
  </si>
  <si>
    <t>Lion's Head named for dense tufts of curled leaves resembling a lion's mane. Late fall coloring is Gold-Orange-Crimson</t>
  </si>
  <si>
    <t>15" x 18" | very nice | bud/bloom</t>
  </si>
  <si>
    <t>Longleaf is state tree of NC (Dogwood is state flower). Cones are the largest of any Pine around here</t>
  </si>
  <si>
    <t>3-4' h | bud/bloom | great color</t>
  </si>
  <si>
    <t>Mary Nell's spiny foliage defends itself well. Requires a male pollinator for good berry set</t>
  </si>
  <si>
    <t>Merlot foliage is color of wine by same name. Keeps color longer than most Redbuds.</t>
  </si>
  <si>
    <t>Midnight Express has a straighter trunk than most redbuds. Deep burgundy foliage lasts longer than 'Forest Pansy'.</t>
  </si>
  <si>
    <t>Midnight Magic has a purple-maroon foliage that really shows off the blooms</t>
  </si>
  <si>
    <t>Miss Huff is the most cold hardy Lantana. May be evergreen in warm climates; an annual in cold climes</t>
  </si>
  <si>
    <t>Miss Kim dark green foliage turns burgundy in fall. Fragrant</t>
  </si>
  <si>
    <t>Nasa Holly has good berry set with male pollinator (like 'James Swan' or other attenuate)</t>
  </si>
  <si>
    <t>National is vigorous and vase-shaped. Birds enjoy the large showy red fruit</t>
  </si>
  <si>
    <t>Oakland has very oak leaf-shaped leaves. 'Perfect' flowers are both male &amp; female &amp; able to pollinate other Hollies</t>
  </si>
  <si>
    <t>Pink Heartbreaker foliage changes from red to green over season. Rambling brancshes are less formal</t>
  </si>
  <si>
    <t>Prostrate Beauty is a silvery 'true blue'.  Let it drape around features or down a wall. Prune leader to keep about 2' tall</t>
  </si>
  <si>
    <t>Ruby Ruffle developed at JC Raulston Arboretum. Burgundy foliage with wavy edges. Self-pollinating</t>
  </si>
  <si>
    <t>Satomi has showy clusters of blooms in spring. Purplish-to-brick-red fall foliage. Exfoliating bark is nice</t>
  </si>
  <si>
    <t>Young 12-15in ht and sprd</t>
  </si>
  <si>
    <t>Seven-Son's fragrant July blooms are followed by cherry red sepals (around old blooms). Bark exfoliates nicely</t>
  </si>
  <si>
    <t>Qty 1000</t>
  </si>
  <si>
    <t>Nice Qty 60, 6ft HT</t>
  </si>
  <si>
    <t>4.5-5' h | very nice</t>
  </si>
  <si>
    <t>Starlight is a sturdy Dogwood, with good drought tolerance, and good insect and disease resistance</t>
  </si>
  <si>
    <t>Steeds is a dense, lustrous, upright pyramidal shrub that shears well. Tiny flowers produce showy black winter berries</t>
  </si>
  <si>
    <t>Stellar Ruby is vigorous &amp; hardy. Blooms &amp; reblooms from early spring through summer</t>
  </si>
  <si>
    <t>Sunshine looks great against black fences. Blue/black berries are relished by birds. May defoliate in cold winters</t>
  </si>
  <si>
    <t>4' h | very nice | bud/bloom</t>
  </si>
  <si>
    <t>Thunderhead is grown for it's dramatic appearance, looking 'windswept' even in non-windy areas</t>
  </si>
  <si>
    <t>Tokyo Tower has abundant fluffy flowers. Blueberry-like fruit. Foliage turns bright yellow in fall. Exfoliating bark</t>
  </si>
  <si>
    <t>Tonto foliage is dark green, dull red to purple in fall. Beige bark exfoliates</t>
  </si>
  <si>
    <t>Trailing Dwarf blooms in spring, then sporadically in summer, with fragrant, double flowers. Orange fall fruit</t>
  </si>
  <si>
    <t>Tuscarora has one of the longest blooming seasons of any crape myrtle. Grey bark</t>
  </si>
  <si>
    <t>Twisty Baby is a contortionist, with crooked stems and curled foliage. Fragrant blooms</t>
  </si>
  <si>
    <t>Winter Daphne is named as such due to late flowers.</t>
  </si>
  <si>
    <t>Virginiana Pine sports a 'rough' appearance, with short, twisted needles. Tolerates poor soils</t>
  </si>
  <si>
    <t>30-36" x 18-20" | very nice</t>
  </si>
  <si>
    <t>White (and Pink) Gumpo are semi-evergreen, so they may go bare in colder winters</t>
  </si>
  <si>
    <t>Whitewater heart-shaped foliage emerges white with green flecks, matures to green with white flecks</t>
  </si>
  <si>
    <t>Yoshino bloom early spring. Nice winter structure. Washington, D.C. tree (with 'Okame')</t>
  </si>
  <si>
    <t>2-2.5' ht &amp; sp</t>
  </si>
  <si>
    <t>2.5-3' ht x 18-22" sp</t>
  </si>
  <si>
    <t>5-5.5' ht x 18-20" sp</t>
  </si>
  <si>
    <t>6-7' ht x 24-26" sp</t>
  </si>
  <si>
    <t xml:space="preserve">18-22"  ht &amp; sp </t>
  </si>
  <si>
    <t>3' ht</t>
  </si>
  <si>
    <t>24-28" sp</t>
  </si>
  <si>
    <t>12'×5'</t>
  </si>
  <si>
    <t>12-15" ht x 18-20" sp</t>
  </si>
  <si>
    <t>15-18" ht x 30-36" sp</t>
  </si>
  <si>
    <t>3'×10'</t>
  </si>
  <si>
    <t>Blue-Green needles</t>
  </si>
  <si>
    <t>2.5-3' ht &amp; sp</t>
  </si>
  <si>
    <t xml:space="preserve">18-22" ht x 20-22" sp </t>
  </si>
  <si>
    <t>3-3.5' ht x2.5-3' sp</t>
  </si>
  <si>
    <t>3-3.5' ht x 26-30" sp</t>
  </si>
  <si>
    <t>QTY DISCOUNT</t>
  </si>
  <si>
    <t>Red-Purple foliage</t>
  </si>
  <si>
    <t>Inaba Shidara offers lace-like foliage that holds its color through summer and transforms into fiery Crimson in the fall</t>
  </si>
  <si>
    <t>Light Green needles</t>
  </si>
  <si>
    <t>2.5-3' x 24-28" sp</t>
  </si>
  <si>
    <t>3-3.5' ht x 20-24" sp</t>
  </si>
  <si>
    <t>22-26" ht &amp; sp</t>
  </si>
  <si>
    <t>3' ht &amp; sp</t>
  </si>
  <si>
    <t>3-4' ht &amp; sp</t>
  </si>
  <si>
    <t>Chartreuse to Green foliage</t>
  </si>
  <si>
    <t>4-5' ht x 24-28" sp</t>
  </si>
  <si>
    <t>20-22" ht x 18-20" sp</t>
  </si>
  <si>
    <t>75'×60'</t>
  </si>
  <si>
    <t>70'×30'</t>
  </si>
  <si>
    <t>Green needles</t>
  </si>
  <si>
    <t>3.5-4' ht x 2.5-3' sp</t>
  </si>
  <si>
    <t>35'×30'</t>
  </si>
  <si>
    <t>Crimson-Red bloom</t>
  </si>
  <si>
    <t>12'×20'</t>
  </si>
  <si>
    <t>10-12" ht x 24-26" sp</t>
  </si>
  <si>
    <t>Rosey-Pink bloom</t>
  </si>
  <si>
    <t>6'ht x .75-1"c</t>
  </si>
  <si>
    <t>18-20" ht x 30-36" sp</t>
  </si>
  <si>
    <t>Burgundy-Red foliage</t>
  </si>
  <si>
    <t>Red Dragon is only J. Maple with non-dissected leaf in a weeping form. Turns fiery Orange-Red in fall</t>
  </si>
  <si>
    <t>Bronzy-Reddish-Green foliage</t>
  </si>
  <si>
    <t>Sarah's Favorite' Dark Green foliage turns Gold to Orange-Red in fall. Bark exfoliates to Tan-Cinnamon. Hardier than Natchez</t>
  </si>
  <si>
    <t>Green foliage, Red edges</t>
  </si>
  <si>
    <t>Seiryu is a unique upright (non-weeping) cultivar with a dissected leaf. Foliage turns Gold-Orange-Crimson in the fall</t>
  </si>
  <si>
    <t>20-24" ht x 15-18" sp</t>
  </si>
  <si>
    <t>Burgundy-Red bloom</t>
  </si>
  <si>
    <t>13'×10'</t>
  </si>
  <si>
    <t>Sister Ghost named for it's ghostly appearance of dark Green veins on soft White to Pale Yellow foliage. Glowing Yellow-Orange to Coral in fall</t>
  </si>
  <si>
    <t>50'×8'</t>
  </si>
  <si>
    <t>15-18" ht x 18-24" sp</t>
  </si>
  <si>
    <t>18'×15'</t>
  </si>
  <si>
    <t>Chartreuse needles</t>
  </si>
  <si>
    <t>80'×100'</t>
  </si>
  <si>
    <t>Burgundy-Rose bloom</t>
  </si>
  <si>
    <t>Pink-Purple bloom</t>
  </si>
  <si>
    <t>Pink fluffy bloom</t>
  </si>
  <si>
    <t>Sunsation boasts fragrant, upward-facing flowers, blooming reliably later in spring. Foliage turns Yellow in fall</t>
  </si>
  <si>
    <t>Tobiosho is a fast grower with vibrant green foliage that transforms into brilliant gold and orange in the fall</t>
  </si>
  <si>
    <t>Glossy Green foliage</t>
  </si>
  <si>
    <t>Trident named for the shape of it's leaves, with 3 forward-facing lobes. Exfoliating bark. Vibrant Red-Orange-Yellow fall foliage</t>
  </si>
  <si>
    <t>16'×20'</t>
  </si>
  <si>
    <t>Deep Burgundy foliage</t>
  </si>
  <si>
    <t>Twombly's Red Sentinel named for distinct narrow, upright form and brilliant foliage, turning fiery Scarlet in fall</t>
  </si>
  <si>
    <t>Unraveled stands out as a Boxwood with its rare weeping form., Very versatile, for containers, bonsai, or cascading garden edges</t>
  </si>
  <si>
    <t>3-3.5' ht x 1-1.5' sp</t>
  </si>
  <si>
    <t>4.5-5' ht x 18-20"sp</t>
  </si>
  <si>
    <t>28'×14'</t>
  </si>
  <si>
    <t>Small Red blooms</t>
  </si>
  <si>
    <t>Vanessa foliage emerges Reddish-Purple, then Green summer, then brilliant Yelow-Orange-Red in fall. Bark exfoliates Gray-Tan-Green</t>
  </si>
  <si>
    <t>Vanilla Twist Weeping Redbud</t>
  </si>
  <si>
    <t>Viridis Cutleaf stuns with bright green, lacy foliage and brilliant fall color that glows gold and crimson</t>
  </si>
  <si>
    <t>Vulcan known for massive fragrant blooms up to 12″ across. Golden-Yellow fall foliage</t>
  </si>
  <si>
    <t>Weeping Persian Parrotia known for late‑winter flowers, glowing fall foliage, and striking mosaic-patterned exfoliating bark</t>
  </si>
  <si>
    <t xml:space="preserve">White Doves Camellia </t>
  </si>
  <si>
    <t>Wildcat Magnolia known for showstopper spring bloom of fragrant, fully double pom-pom blossoms, all atop a compact, gray-barked stem. Cold hardy</t>
  </si>
  <si>
    <t>10-12' ht x 1.75-2"c</t>
  </si>
  <si>
    <t>18-24" ht &amp; sp</t>
  </si>
  <si>
    <t>Winter King sports abundant persistent red berries, distinctive Silvery-Grey exfoliating bark, and Yellow-Purplish-Red fall foliage</t>
  </si>
  <si>
    <t>Winter's Columnar Red known for narrow columnar form and dynamic Red foliage that deepens through summer and culminates in brilliant Crimson fall color</t>
  </si>
  <si>
    <t>Canary-Yellow bloom</t>
  </si>
  <si>
    <t>Yellow Bird dazzles in late spring with fragrant goblet-shaped yellow blossoms that open with the foliage</t>
  </si>
  <si>
    <t>30-36"ht x 24-28" sp</t>
  </si>
  <si>
    <t xml:space="preserve">3.5-4.5' ht &amp; 24"-36"sp </t>
  </si>
  <si>
    <t>Golden-Yellow needles</t>
  </si>
  <si>
    <t>American Beech has a wide canopy that holds onto much of its Golden-Bronze fall foliage well into the new year</t>
  </si>
  <si>
    <t>Rich Green foliage</t>
  </si>
  <si>
    <t>Blue Atlas Cedar has a dramatic presence. Emits an aromatic oil that is a natural insect deterrent</t>
  </si>
  <si>
    <t>Green foliage, Bluish undersides</t>
  </si>
  <si>
    <t>35'×35'</t>
  </si>
  <si>
    <t>90'×25'</t>
  </si>
  <si>
    <t>Emerald-Green needles</t>
  </si>
  <si>
    <t>Blue-Gray-Green needles</t>
  </si>
  <si>
    <t>Emerald-Green foliage</t>
  </si>
  <si>
    <t>Emperor 1 is rich Dark Red in summer turning Brilliant Scarlet in fall</t>
  </si>
  <si>
    <t>Golden-Yellow foliage</t>
  </si>
  <si>
    <t>Greensleeves is an improved Kousa type that grows faster &amp; fuller. Dark green foliage turns Reddish-Purple in fall</t>
  </si>
  <si>
    <t>50'×6'</t>
  </si>
  <si>
    <t>Jade-Green foliage</t>
  </si>
  <si>
    <t>Dark Green, leathery foliage</t>
  </si>
  <si>
    <t>Deep Purple-Red foliage</t>
  </si>
  <si>
    <t>Powdered Gold is a compact evergreen with vibrant Golden foliage that adds year-round color. Aromatic foliage when crushed</t>
  </si>
  <si>
    <t>40'×20'</t>
  </si>
  <si>
    <t>60'×25'</t>
  </si>
  <si>
    <t>Maroon-Red foliage</t>
  </si>
  <si>
    <t>Silvery-Blue foliage</t>
  </si>
  <si>
    <t>Golden-Green needles</t>
  </si>
  <si>
    <t>Sting is an exceptionally narrow, columnar evergreen prized for its sword-like silhouette and rich foliage that holds its color year-round</t>
  </si>
  <si>
    <t>Green foliage, Yellow tips</t>
  </si>
  <si>
    <t>Dark Burgundy foliage</t>
  </si>
  <si>
    <t>Tamukeyama foliage emerges Crimson-Red, holds color through summer, turning bright Scarlet in fall. Deep red bark. Very heat-tolerant</t>
  </si>
  <si>
    <t>25'×4'</t>
  </si>
  <si>
    <t>Silver-Blue-Green foliage</t>
  </si>
  <si>
    <t>Troll foliage emerges light Green. Yellow-Gold in fall. All male, so no stinky fruit</t>
  </si>
  <si>
    <t>Tsukasa foliage emerges bright Chartreuse with Pink edges. Good resistance to leaf scorch. Turns Crimson to Orange-Red in fall</t>
  </si>
  <si>
    <t>Vanilla Twist named for being only Redbud with White bloom, not for any fragrance. Dramatic look. Zigzagging branches</t>
  </si>
  <si>
    <t>Olive-Green foliage</t>
  </si>
  <si>
    <t>50'×50'</t>
  </si>
  <si>
    <t>Light Green foliage</t>
  </si>
  <si>
    <t>White Oak have very few surface roots, making it better for lawns (except for the acorns!). Long-lived, up to 500 years</t>
  </si>
  <si>
    <t>Willow Leaf foliage resembles a Willow. Scarlet-red berries after bloom. Reddish-Purple winter foliage</t>
  </si>
  <si>
    <t>Windmill Palm, Chusan Palm</t>
  </si>
  <si>
    <t>Deep Green fronds</t>
  </si>
  <si>
    <t>Yellow Ribbon foliage emerges Yellow-Orange in spring, than matures to Medium Green. Foliage has a mild cedar-like aroma when crushed</t>
  </si>
  <si>
    <t>Dark Green folaige</t>
  </si>
  <si>
    <t>Acadiana foliage is very tightly branched. Heavy Orange-Red fruit set. Self-pollinating</t>
  </si>
  <si>
    <t>Acoma foliage is green, with red/orange highlights. Red/purple foliage in fall. Grey bark exfoliates</t>
  </si>
  <si>
    <t>American Gold Rush Black-Eyed Susan</t>
  </si>
  <si>
    <t>Rudbeckia 'American Gold Rush' PP#28498</t>
  </si>
  <si>
    <t>American Pillar is very fast growing, with a tight form, and a stronger root system than similar narrow plants</t>
  </si>
  <si>
    <t>August Beauty is named for it's 3-month bloom cycle, reaching into August. Fragrant</t>
  </si>
  <si>
    <t>Autaugaville blooms all summer, turning to orange-red fall foliage</t>
  </si>
  <si>
    <t>.75-1" cal. | 8-9' h | native cultivar</t>
  </si>
  <si>
    <t>Autumn Gold named for brilliant Golden Yellow fall color. All are male, so less mess/stink. Slow-growing, but long-lived (1000+ years)</t>
  </si>
  <si>
    <t>Autumnalis known for mutilple blooms - in spring, and in mild winters. Long-lived among Cheery, will weep with old age</t>
  </si>
  <si>
    <t>Ballerina blooms early in spring, before foliage, with notably large fragrant flowers. Cold hardy plant</t>
  </si>
  <si>
    <t>Bandwidth Maiden Grass</t>
  </si>
  <si>
    <t>Miscanthus sinensis 'NCMS2B' PP#29460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</si>
  <si>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</si>
  <si>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</si>
  <si>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Bright Yellow trumpet</t>
  </si>
  <si>
    <t>Betty has large cup-like flowers, up to 8" across. Part of 'Little Girl' series, for compact size and later blooming</t>
  </si>
  <si>
    <t>Biloxi has dark green foliage, emerging coppery-bronze in spring. Oval leaves turn orange in fall</t>
  </si>
  <si>
    <t>Shell Pink is a Black Diamond brand, named for the Dark Purple bloom, almost black foliage</t>
  </si>
  <si>
    <t>Pink-Lilac bloom</t>
  </si>
  <si>
    <t>Bloodgood can tolerate full sun better than most J. Maples, and is less messy. Vibrant Crimson-Red fall foliage</t>
  </si>
  <si>
    <t>Blue Ice is a striking, upright evergreen celebrated for its brilliant powdery-blue foliage and beautiful exfoliating bark</t>
  </si>
  <si>
    <t>Blue Steel is a striking, upright evergreen conifer admired for its intense Steel-Blue foliage and exceptional drought tolerance</t>
  </si>
  <si>
    <t>Blushing Belle has very large, fragrant flowers that bloom later, after the frost</t>
  </si>
  <si>
    <t>Brown Turkey fruit is Purple-Brown with Pink-Amber flesh.Very tasty. Self-pollinating, it will double-crop in good conditions</t>
  </si>
  <si>
    <t>Burgundy Vase named for plant shape, and, distinctive fall color, turning a rich Burgundy-Red. Initial grey bark exfoliates to Orange-Brown-Grey</t>
  </si>
  <si>
    <t>Burke's is a rare Pine with Red, Pink, and Creamy White bands in needles. Great winter interest.</t>
  </si>
  <si>
    <t>Dapper(R) Pink Butterfly dwarf, 1.25ft Spr</t>
  </si>
  <si>
    <t>Butterfly's variegated foliage is green with creamy White to Pink edges. Twisted, irregular foliage adds interest</t>
  </si>
  <si>
    <t>12-15"x15-18"</t>
  </si>
  <si>
    <t>Carl Wheeler is exceptionally more fragrant, and, more cold hardy thean other Tea Olive</t>
  </si>
  <si>
    <t>Carolina Sweetheart's variegated foliage very colorful, with shades of pink, red, white, purple, and green</t>
  </si>
  <si>
    <t>Catawba foliage is bright green, then turns to vibrant orange-red in fall. Multi-colored bark</t>
  </si>
  <si>
    <t>China Doll blooms earlier than native fringetree, for a longer season</t>
  </si>
  <si>
    <t>1-1.25" cal. | Single-stem | 7-8' h</t>
  </si>
  <si>
    <t>Chinese Pearlbloom valued for it's late-summer blooms (resembling pearls), when other plants are done. Bark exfoliates</t>
  </si>
  <si>
    <t>Chinese Pistachio is gawky to start, but matures to a gorgeous, tough tree. Orange-Crimson fall. Tap root</t>
  </si>
  <si>
    <t>24-30" x 24"</t>
  </si>
  <si>
    <t>Chocoate Fountain foliage emerges btonze-greem, then mature to purple. Fragrant blooms. Can be invasive</t>
  </si>
  <si>
    <t>White to pale Pink bloom</t>
  </si>
  <si>
    <t>Colorama foliage emerges deep green, then turns to shades of orange &amp; red in fall. Bark exfoliates to grey-brown</t>
  </si>
  <si>
    <t>Coral Beauty blooms followed by ornamental coral-red berries, against finely textured foliage</t>
  </si>
  <si>
    <t>Corinthian Pink has Purple foliage in a tight, upright columnr form. Non-edible fruit good for wildlife</t>
  </si>
  <si>
    <t>Creeping Fig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</si>
  <si>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</si>
  <si>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</si>
  <si>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Crimson Pygmy is sharp, beware. Known for it's intense crimson foliage, not the flowers. Bright red berries in fall</t>
  </si>
  <si>
    <t>DeGroot's is indeed like a Spire, with just a 3' width if maintained as a Single Stem. And lovely whorled foliage!</t>
  </si>
  <si>
    <t>Deodar is "the most graceful cedar". Distinctive pyramidal form, with pendulous branches often reaching the ground</t>
  </si>
  <si>
    <t>Dragon Eye named for the Blue-Green needles banded with Creamy Yellow, creating a "dragon's=eye" effect</t>
  </si>
  <si>
    <t>Dragon Slayer's Scarlet heavy set of berries persist into winter, providing there is a male pollicator</t>
  </si>
  <si>
    <t>Qty 200, 1.25-1.5ft HT</t>
  </si>
  <si>
    <t>Eastbay fragrant blooms appear in May. Salt, sun, shade and hedging tolerant</t>
  </si>
  <si>
    <t>Emerald Squeeze is similar to Emerald Arborvitae, with durable color that lasts through winter without bronzing</t>
  </si>
  <si>
    <t>Feelin' Blue is the lowest grower of all Deodar. Great for rock gardens, containers, or cascading over walls</t>
  </si>
  <si>
    <t>Cephalanthus occidentalis 'Bailoptics' PP#29475</t>
  </si>
  <si>
    <t>Fireglow foliage startss Burgundy, then Purple~Scarlet~Crimson in fall. Named for glow seen looking up from below</t>
  </si>
  <si>
    <t>First Lady has abundant flowers, cold-hardiness, and an upright, narrow form that fits anywhere</t>
  </si>
  <si>
    <t>20-24" (7/24)</t>
  </si>
  <si>
    <t>Flip Side is named for the olive-green-mauve leaves, purple below. Any breeze will expose this as a purple plant</t>
  </si>
  <si>
    <t>Qty 7 ok, 3.5-4ft HT</t>
  </si>
  <si>
    <t>Fragrant Tea Olive is very aromatic, starting with blooms in late winter, then sporadically over summer</t>
  </si>
  <si>
    <t>Full Moon named for stunning fall display of fiery shades of Scarlet, Orange, and Crimson</t>
  </si>
  <si>
    <t>Galaxy blooms mid-spring, on otherwise bare branches. Fragrant</t>
  </si>
  <si>
    <t>Dark Burgundy-Purple</t>
  </si>
  <si>
    <t>Genie known for incredible dark tulip-shaped flowers. Likely rebloomer, with good cold hardiness</t>
  </si>
  <si>
    <t>Globosa Nana grows naturally into a dense, dome shape. Bluish-green foliage turns rusty-red in winter</t>
  </si>
  <si>
    <t>12-15" x 18" | good color</t>
  </si>
  <si>
    <t>Gold Star is fast growing, with a unifom pyramidal habit. Fragrant flowers are quite beautiful</t>
  </si>
  <si>
    <t>Golden Barberry is sharp, beware. Foliage emerges bright yellow, then turns to a green late summer</t>
  </si>
  <si>
    <t>Golden Colonnade named for it's Yellow fall foliage &amp; a narrow form. Foliage will drop all at once, for a Golden carpet. All male, so no stinky fruit</t>
  </si>
  <si>
    <t>4-4.5'</t>
  </si>
  <si>
    <t>Golden Falls foliage tinged with orange in spring, then a bright gold that persists all season</t>
  </si>
  <si>
    <t>3.5-5' x 3-3.5' | very nice | great color</t>
  </si>
  <si>
    <t>Goshiki is Japanese for '5 colors'. Foliage emerges pink/red, turns green, with white, gold and bronze variegation</t>
  </si>
  <si>
    <t>3ft HT</t>
  </si>
  <si>
    <t>Green Seedling are grown from seed, so Mature Height, Width, and other characteristics will vary widely.</t>
  </si>
  <si>
    <t>Qty 60, 1.5-2ft HT</t>
  </si>
  <si>
    <t>Green morphs to White</t>
  </si>
  <si>
    <t>10-12"</t>
  </si>
  <si>
    <t>Gulftide has dense, spiney foliage that screens well. Small flowers are hard to see in fall, but rather fragrant</t>
  </si>
  <si>
    <t>Gyokuryu prized for its dense, naturally broad form and its excellent ability to maintain good color right through cold winters</t>
  </si>
  <si>
    <t>Qty 200, 3ft HT</t>
  </si>
  <si>
    <t>Homestead Purple, like other Verbena, wil spill over an edge. Inconspicuous fruit.</t>
  </si>
  <si>
    <t>Pink, Creamy center</t>
  </si>
  <si>
    <t>April Remembered dazzles with long-lasting blooms, glossy evergreen foliage, and exceptional cold hardiness</t>
  </si>
  <si>
    <t>Italian Cypress is classic mediterranean style, but roots can't withstand our hurricanes ~ consider the Taylo  &amp; Trautman Junipers</t>
  </si>
  <si>
    <t>Jade is named for butterfly-shaped leaf. All male clones, not stinky or messy. Vibrant Golden-Yellow fall foliage</t>
  </si>
  <si>
    <t>Jane is one of the 8 'Little Girl' Magnolias developed in the 1950s to bloom later in season, avoiding frost damage</t>
  </si>
  <si>
    <t>Japanese Black Pine is more irregular in form than other fine, making it a nice specimen or bonsai</t>
  </si>
  <si>
    <t>White bloom, Yellow stamen</t>
  </si>
  <si>
    <t>Japanese Yew is not a true Yew, but very similar. It is low maintenance, durable, and tolerant of poor conditions</t>
  </si>
  <si>
    <t>Yellow-Apricot-Purple</t>
  </si>
  <si>
    <t>Judy Zuk noted for it's truly unique and exotic flower coloration, giving it a real tropical feel</t>
  </si>
  <si>
    <t>Kashima Yatsubusa foliage is Red tinted in spring, maturing to Green, then brilliant Golden-Orange to Red in fall</t>
  </si>
  <si>
    <t>Named after Kay Yow, NCSU Women's Basketball Coach. Blooms same time as tournament. From JC Raulston</t>
  </si>
  <si>
    <t>Kentucky Yellowwood has spectaular bloom, but may take 8-10 years to start, then blooms heavily only every 2-3 years</t>
  </si>
  <si>
    <t>Kleim's Hardy is cold-resistant, fragrant, and has a traditional gardenia 'look' (unlike skinny foliage of  'Frostproof')</t>
  </si>
  <si>
    <t>Kobai's fragrant, long-lasting blooms appear as early as January, even in freezing weather. Fruit inedible</t>
  </si>
  <si>
    <t>Koster's is a Hinoki type. Shell-like foliage and a unique, irregularly branched, conical form lend great texture and interest</t>
  </si>
  <si>
    <t>Kousa has a lovely spring show, layered branches, and jigsaw-like bark</t>
  </si>
  <si>
    <t>Krauter Vesuvius is the most colorful of plums, with a Dark Purple bloom-black summer foliage. May produce small fruit</t>
  </si>
  <si>
    <t>Original Lace Parasol moved to JC Raulston Arboretum. Dramatic look, even in winter, with winged bark. Vivid Yellow fall foliage</t>
  </si>
  <si>
    <t>Lecompte has aromatic, sage-scented foliage. Very low water needs once established</t>
  </si>
  <si>
    <t>Little Miss makes a great option for containerized growing in a tight space. Sweet, deep Burgundy fruit. Self-pollinating, 2 crops per year</t>
  </si>
  <si>
    <t>Little Sprout offers tidy, globe-shaped greenery with year-round color and minimal upkeep. Reddish-Brown bark does not exfoliate</t>
  </si>
  <si>
    <t>Lois grown for beautiful, clear Yellow flowers. Late blooming, to avoid frost</t>
  </si>
  <si>
    <t>Loquat flesh is succulent, sweet, tangy, and tastes like mix of peach, citrus &amp; mild mango. Fragrant blooms</t>
  </si>
  <si>
    <t>Lynnwood Gold is a smaller 'Border Forsythia'. Dark green foliage replaces blooms, turning gold to purple in fall</t>
  </si>
  <si>
    <t>Maki is dense, upright, and drought tolerant. Needle-like foliage is fragrant when crushed. Smooth Gray-Brown bark lightly fissures with age</t>
  </si>
  <si>
    <t>Mariken Dwarf are all male, so no messy fruit. Distinctive fan-shpaed leaves and great Golden fall color</t>
  </si>
  <si>
    <t>Mexican Feather silvery thread-like foliage in late spring, turning golden brown toward fall</t>
  </si>
  <si>
    <t>Mikawa foliage emerges light green, darkens, then orange-yellow in autumn. More heat tolerant than most J. Maple</t>
  </si>
  <si>
    <t>Miss Frances blooms from June to August, then displays a nice maroon fall foliage</t>
  </si>
  <si>
    <t>5-6' h | very nice, thick</t>
  </si>
  <si>
    <t>Mugo is very durable and tolerant of cold, wind, and urban pollution</t>
  </si>
  <si>
    <t>Muskogee &amp; Natchez are twins, with identical size, shape and bloom periods. Plant them together for a show</t>
  </si>
  <si>
    <t>3-4.5' h | native cultivar</t>
  </si>
  <si>
    <t>4-5.5' h | native cultivar</t>
  </si>
  <si>
    <t>Needlepoint is named for the prickly foliage, not the overall form. The most prolific berry producer. Self-pollinates</t>
  </si>
  <si>
    <t>Glossy Dark Green leaf</t>
  </si>
  <si>
    <t>Nellies are all female, but able to self-pollinate. Plant with an Ilex cornuta male to increase berry set</t>
  </si>
  <si>
    <t>Northern Red Oak is a durable legacy tree, possibly living over 200 years. Fast growing, for an Oak. Red to Russet fall color</t>
  </si>
  <si>
    <t>Nuresagi foliage foliage emerges Reddish-Pruple, turns hauntingly dark for summer, then Brilliant Scarlet-Red in fall</t>
  </si>
  <si>
    <t>Oak Leaf named for shape of leaves, like an Oak leaf. Self-pollinates, so no male is required. Pyramidal shape</t>
  </si>
  <si>
    <t>Okame bloom early spring. Mild fragrance. Nice winter structure. A Washington, D.C. tree (with 'Yoshino')</t>
  </si>
  <si>
    <t>Oklahoma Sparkler named for it's sparkling dark Burgundy to Green to Purple foliage, turning Yellow to Tan in the fall</t>
  </si>
  <si>
    <t>Okushimo known for it's distinctive rolled leaf edges. Reddish tint to new growth on summer green foliage, turning Yellow to Gold to Orange in fall</t>
  </si>
  <si>
    <t>Persian Parrotia small flowers appear early. Foliage emerges Red-Purple, to summer Green, to vibrant Yellow-Orange-Burgundy in fall. Bark exfoliates nicely</t>
  </si>
  <si>
    <t>8-10"x15-18"</t>
  </si>
  <si>
    <t>Pink Pom Poms produces a heavy bloomset of double-pink flowers. Sterile, so no seed heads</t>
  </si>
  <si>
    <t>Princeton Sentry are all male (less mess, not stiky). Named for columnar growth. Fan-shaped leaves turn vibrant Yellow in fall</t>
  </si>
  <si>
    <t>Purple Magic foliage is a glossy red/green, turning orange/red in fall. Tan bark exfoliates</t>
  </si>
  <si>
    <t>Pygmy is endangered, so plant if you can. Fragrant. Yellow-Green summer foliage follow by Golden tones in the fall</t>
  </si>
  <si>
    <t>Quick Frost grows fast, is good for dry sites, and it's foliage is fragrant when crushed</t>
  </si>
  <si>
    <t>Red-Orange bloom</t>
  </si>
  <si>
    <t>Red Dragon foliage emerges a brilliant, fiery red, maturing to Green, then fall shades of Yellow-Orang-Red</t>
  </si>
  <si>
    <t>Red Threadleaf named for exceptionally fine, deeply dissected foliage. Leaves emrge fiery red, then a vibrant Scarlet-Crimson-Orange fall</t>
  </si>
  <si>
    <t>Rhode Island Red known for intense Red foliage thoughout season, turning Scarlet in fall. Named after the Rhode Island Red chicken</t>
  </si>
  <si>
    <t>Rising Sun foliage emerges a vibrant chartreuse with Orange-Red margins, then Green, then vibrant Orange-Red-Yellow fall</t>
  </si>
  <si>
    <t>Pale Pink to White bloom</t>
  </si>
  <si>
    <t>12in sprd young qty 30</t>
  </si>
  <si>
    <t>Rosy Teacups produces large blooms, in a large bloom set. Glossy green foliage turns striking red in fall</t>
  </si>
  <si>
    <t>Royal Purple combines rich, maroon-red foliage (turning redder in fall) with large feathery 'smoky' flower plumes</t>
  </si>
  <si>
    <t>Royal Star has slightly larger and showier flowers than Star Magnolia. Fragrant blooms 2 weeks later, to avoid frost</t>
  </si>
  <si>
    <t>Ruby Falls heart-shaped foliage starts maroon, then burgundy, then matures to green in late summer</t>
  </si>
  <si>
    <t>Ryusen offers a stunning weeping form with vibrant, persistent Red foliage that culminates in Brilliant Scarlet fall color</t>
  </si>
  <si>
    <t>Saratogaare all male, so no messy fruit. Foliage more deeply-cut, finger-like, among Ginkgos. Rich, Golde-Yellow fall coloration</t>
  </si>
  <si>
    <t>Serendipity &amp; Stellar Ruby formerly known as banana shrubs. Blooms smell like bananas, late spring to summer</t>
  </si>
  <si>
    <t>18-24" h x 15-18" | very nice</t>
  </si>
  <si>
    <t>Shaina's foliage emerges bright Purple-Red, deepens over the summer, then brilliant Crimson-Red in fall</t>
  </si>
  <si>
    <t>Sharp's Pygmy foliage emerges bright Chartreuse in spring, Leaf margins are Orange to Purple. Turns Orange to Scalet-Red in autumn</t>
  </si>
  <si>
    <t>Shasta has large flower clusters in spring, followed by attractive red fruit, maturing to black, which birds love</t>
  </si>
  <si>
    <t>Sherwood Flame named for it's exceptionally strong and consistent red foliage all through growing season, turning fiery Scarlet-Red in fall</t>
  </si>
  <si>
    <t>Shirazz known for it's early-season, incredibly deep, rich Burgundy-Purple blooms. Petals are broad &amp; glossy, with light Pink-White interiors</t>
  </si>
  <si>
    <t>Shishigashira translates to 'Lion's Head', with a double bloom and a yellow center</t>
  </si>
  <si>
    <t>Shoal Creek, like most Chaste, has a long bloom season. Foliage &amp; blooms are especially fragrant</t>
  </si>
  <si>
    <t>Shumard Oak</t>
  </si>
  <si>
    <t>Quercus shumardii</t>
  </si>
  <si>
    <t>70'×60'</t>
  </si>
  <si>
    <t>20-24"</t>
  </si>
  <si>
    <t>Sioux foliage emerges dark green, then turns to shades of red &amp; purple in fall. Bark exfoliates to dark brown</t>
  </si>
  <si>
    <t>Skyland's needles emerge a dramatic yellow-green, along with Red pollen cones and Purple seed cones. Grows fast for a Spruce</t>
  </si>
  <si>
    <t>Slender Hinoki known for it's distinctive, open, graceful, and somewhat irregular shape. Slow grower</t>
  </si>
  <si>
    <t>Snow Fountains starts with fragrant flowers on pink buds, then dark green foliage, turning-yellow to orange in fall</t>
  </si>
  <si>
    <t>Nice Qty 1000, 1-1.25ft Spr</t>
  </si>
  <si>
    <t>Peach, Pink, Lavender, Yellow blooms</t>
  </si>
  <si>
    <t>Green foliage, Red cast</t>
  </si>
  <si>
    <t>Yellow, Rosey at base</t>
  </si>
  <si>
    <t>Twilight Crape Myrtle</t>
  </si>
  <si>
    <t>Lagerstroemia indica 'Twilight'</t>
  </si>
  <si>
    <t>Deep Purple bloom</t>
  </si>
  <si>
    <t>Twilight has the deepest purple bloom displays among crape myrtles. Exfoliating bark has patches of Cinnamon-Pink tones</t>
  </si>
  <si>
    <t>fills pot | good color | bud/bloom</t>
  </si>
  <si>
    <t>Virginia Pine</t>
  </si>
  <si>
    <t>Magenta-Ruby Red</t>
  </si>
  <si>
    <t>White, Pink blush</t>
  </si>
  <si>
    <t>White, Purple bracts</t>
  </si>
  <si>
    <t>Silvery-Blue-Green needles</t>
  </si>
  <si>
    <t>12'×15'</t>
  </si>
  <si>
    <t>White bloom, Red stamen</t>
  </si>
  <si>
    <t>Light Pink to White</t>
  </si>
  <si>
    <t>Lavender-White</t>
  </si>
  <si>
    <t>4"×12"</t>
  </si>
  <si>
    <t>Edward Goucher Abelia</t>
  </si>
  <si>
    <t>Abelia x grandiflora 'Edward Goucher'</t>
  </si>
  <si>
    <t>Raspberry Red-Purple</t>
  </si>
  <si>
    <t>White bloom, hint of Pink</t>
  </si>
  <si>
    <t>Steel Blue needles</t>
  </si>
  <si>
    <t>White bloom, Pink buds</t>
  </si>
  <si>
    <t>Little Richard foliage is Green with Copper edges, then changes to Bronze-Red hue in fall. Blooms May to frost. Fragrant</t>
  </si>
  <si>
    <t>White-Yellow stripes</t>
  </si>
  <si>
    <t>Bluish-Green needles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</si>
  <si>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</si>
  <si>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</si>
  <si>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</si>
  <si>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Pink fades to White</t>
  </si>
  <si>
    <t>Variegated Pink-Chartreuse</t>
  </si>
  <si>
    <t>Pink to light Lavendar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</si>
  <si>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</si>
  <si>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</si>
  <si>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8"/>
        <color rgb="FF002060"/>
        <rFont val="Arial"/>
        <family val="2"/>
      </rPr>
      <t>↙</t>
    </r>
    <r>
      <rPr>
        <sz val="8"/>
        <color rgb="FF002060"/>
        <rFont val="Arial"/>
        <family val="2"/>
      </rPr>
      <t xml:space="preserve"> '</t>
    </r>
    <r>
      <rPr>
        <b/>
        <sz val="8"/>
        <color rgb="FF002060"/>
        <rFont val="Arial"/>
        <family val="2"/>
      </rPr>
      <t>me</t>
    </r>
    <r>
      <rPr>
        <sz val="8"/>
        <color rgb="FF002060"/>
        <rFont val="Arial"/>
        <family val="2"/>
      </rPr>
      <t>' works with '</t>
    </r>
    <r>
      <rPr>
        <b/>
        <sz val="8"/>
        <color rgb="FF002060"/>
        <rFont val="Arial"/>
        <family val="2"/>
      </rPr>
      <t>yes</t>
    </r>
    <r>
      <rPr>
        <sz val="8"/>
        <color rgb="FF002060"/>
        <rFont val="Arial"/>
        <family val="2"/>
      </rPr>
      <t xml:space="preserve">' </t>
    </r>
    <r>
      <rPr>
        <b/>
        <sz val="8"/>
        <color rgb="FF002060"/>
        <rFont val="Arial"/>
        <family val="2"/>
      </rPr>
      <t>↖</t>
    </r>
    <r>
      <rPr>
        <sz val="8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</si>
  <si>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</si>
  <si>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t xml:space="preserve">        sorry, no visitors </t>
    </r>
    <r>
      <rPr>
        <sz val="10"/>
        <color indexed="8"/>
        <rFont val="Segoe UI Emoji"/>
        <family val="2"/>
      </rPr>
      <t>🔷</t>
    </r>
    <r>
      <rPr>
        <sz val="10"/>
        <color indexed="8"/>
        <rFont val="Arial"/>
        <family val="2"/>
      </rPr>
      <t xml:space="preserve"> plants are at growers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</si>
  <si>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</si>
  <si>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</si>
  <si>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</si>
  <si>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t>Spiraea japonica 'NCSX1' PP#28313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</si>
  <si>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</si>
  <si>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</si>
  <si>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</si>
  <si>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</si>
  <si>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</si>
  <si>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</si>
  <si>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Natchez' cinnamon bark is considered the finest of the Crape Myrtles</t>
  </si>
  <si>
    <t>Compacta is optimal in full sun, as a hedge or foundation plant. Good substitute for Boxwood</t>
  </si>
  <si>
    <t>Golden Hinoki is a dramatic mix of Yellow &amp; Green feathery foliage. optimal color in full sun. Slow grower</t>
  </si>
  <si>
    <t>Aronia melanocarpa 'SMNAMPEM' PP#34116</t>
  </si>
  <si>
    <t>Snow Goose bark is coppery red and peels. Dark foliage. Fast growing. Finest blooms in full sun</t>
  </si>
  <si>
    <t>24"×16"</t>
  </si>
  <si>
    <t>Starry Starry Night Hardy Hibiscus</t>
  </si>
  <si>
    <t>Hibiscus moscheutos 'Starry Starry Night' PP#27901</t>
  </si>
  <si>
    <t>Pink bloom, deeper eye</t>
  </si>
  <si>
    <t>Tangerine Beauty' trumpet-shaped flowers are fragrant and very showy (finest in full sun). May defoliate in freeze</t>
  </si>
  <si>
    <t>Dynamite looks like an explosion, with a little white mixed into the mainly red blooms</t>
  </si>
  <si>
    <t xml:space="preserve"> No Tax  </t>
  </si>
  <si>
    <t>Rich Red bloom</t>
  </si>
  <si>
    <t>April Tryst is one of the most cold-hardy of C. japonica cultivars, blooming in March–May. Fragrant flowers.</t>
  </si>
  <si>
    <t>White bloom, Pink blush</t>
  </si>
  <si>
    <t>White bloom, Yellow centers</t>
  </si>
  <si>
    <t>4'×4.5'</t>
  </si>
  <si>
    <t>Red bloom, Yellow stamen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</si>
  <si>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</si>
  <si>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</si>
  <si>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Pink bloom, Yellow stamen</t>
  </si>
  <si>
    <t>Christmas Candy dazzles with abundant winter blooms and variable picotee edges, carpeting the ground with petals</t>
  </si>
  <si>
    <t>Red bloom, White edges</t>
  </si>
  <si>
    <t>Rose-Pink single bloom</t>
  </si>
  <si>
    <t>Crimson Candles named for its striking elongated buds that resemble candles</t>
  </si>
  <si>
    <t>Delaware Valley White Azalea offers pristine spring blooms and attractive green foliage</t>
  </si>
  <si>
    <t>Deep Red Doublr bloom</t>
  </si>
  <si>
    <t>Glen 40 offers velvety red blooms from winter through mid-spring, with a dense habit and elegant foliage</t>
  </si>
  <si>
    <t>White bloom, Pink margins</t>
  </si>
  <si>
    <t>Hana Jiman offers stunning semi-double flowers from late fall into winter. Glossy, dark green foliage</t>
  </si>
  <si>
    <t>Rosy-Red bloom</t>
  </si>
  <si>
    <t>12'×7'</t>
  </si>
  <si>
    <t>Soft Pink bloom</t>
  </si>
  <si>
    <t>Mrs. Lyman Clarke offers multi-toned blooms from late winter to early spring. The anemone-style flowers are excellent for cutting</t>
  </si>
  <si>
    <t>October Magic Crimson N' Clover blooms for up to nine weeks in fall, with lush dark Green foliage and striking Reddish new growth</t>
  </si>
  <si>
    <t>Orchid-Pink blooms</t>
  </si>
  <si>
    <t>October Magic Orchid has fragrant Blush-Pink blooms with Orchid highlights and glossy evergreen foliage, blooming profusely in fall</t>
  </si>
  <si>
    <t>Slim N' Trim has a narrow, upright form ideal for tight spaces, producing bright Pink blooms that light up the fall garden</t>
  </si>
  <si>
    <t>Spellbound blooms from December to March. Its upright habit matures into a rounded form. The flowers are excellent for cutting</t>
  </si>
  <si>
    <t>8'×7'</t>
  </si>
  <si>
    <t>Rose bloom, Yellow stamen</t>
  </si>
  <si>
    <t>Winter’s Snowman features fragrant blooms, Wine-Red new foliage, and exceptional cold hardiness</t>
  </si>
  <si>
    <t>pure White bloom</t>
  </si>
  <si>
    <t>3'×3.5'</t>
  </si>
  <si>
    <t>bright Red bloom</t>
  </si>
  <si>
    <t>4.5'×4'</t>
  </si>
  <si>
    <t>Pink +dark Pink throat</t>
  </si>
  <si>
    <t>2.5'×3'</t>
  </si>
  <si>
    <t>pale Pink +dark Pink throat</t>
  </si>
  <si>
    <t>Coral Pink, Fuchsia center</t>
  </si>
  <si>
    <t>Pink +dark Pink freckles</t>
  </si>
  <si>
    <t>true Red bloom</t>
  </si>
  <si>
    <t>pure White, Yellow throat</t>
  </si>
  <si>
    <t>White, rare Purple stripes</t>
  </si>
  <si>
    <t>Royal Purple bloom</t>
  </si>
  <si>
    <t>Coral-Pink, White margins</t>
  </si>
  <si>
    <t>3.5'×4'</t>
  </si>
  <si>
    <t>Fuchsia-Pink bloom</t>
  </si>
  <si>
    <t>White +Purple stripes</t>
  </si>
  <si>
    <t>Blush Pink bloom</t>
  </si>
  <si>
    <t>rich Pink bloom</t>
  </si>
  <si>
    <t>Salmon-Pink bloom</t>
  </si>
  <si>
    <t>Chinzan is a compact Satsuki cultivar  with a tidy mounding habit. Reblooms lightly in late summer</t>
  </si>
  <si>
    <t>Coral=Pink bloom</t>
  </si>
  <si>
    <t>Coral Bells named for trumpet-shaped flowers. Dense, mounding habit with Glossy Green foliage that turns Burgundy in fall</t>
  </si>
  <si>
    <t>Lavender-Purple +darker blotch</t>
  </si>
  <si>
    <t>Formosa widely planted in NC. Trumpet flowers. Vigorous, upright habit with coarse foliage and dense branching</t>
  </si>
  <si>
    <t>George Tabor Azalea</t>
  </si>
  <si>
    <t>Lavender-Pink with a darker blotch</t>
  </si>
  <si>
    <t>Crimson-Red, vivid Red blotch</t>
  </si>
  <si>
    <t>Girard's Crimson h glossy deep Green foliage with Copper-Red winter tones. Large spring flowers. Cold-hardy</t>
  </si>
  <si>
    <t>Pure White, Chartreuse freckles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</si>
  <si>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</si>
  <si>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</si>
  <si>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</si>
  <si>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</si>
  <si>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light Pink bloom</t>
  </si>
  <si>
    <t>White, feint Green blotch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</si>
  <si>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</si>
  <si>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</si>
  <si>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</si>
  <si>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Sunglow  is a vigorous Carla that flowers mid-season and persists into early summer. Upright form and dense foliage</t>
  </si>
  <si>
    <t>Wolfpack is a great homage to NCSU, and was indeed released by NCSU. Foliage turns Coppery-Bronze in fall</t>
  </si>
  <si>
    <t>All Gold Juniper</t>
  </si>
  <si>
    <t>Juniperus conferta 'All Gold'</t>
  </si>
  <si>
    <t>12"×8'</t>
  </si>
  <si>
    <t>All Gold's vibrant foliage that turns light Bronze in winter, with soft, flexible stems and exfoliating bark. Sun/heat/drought tolerant</t>
  </si>
  <si>
    <t>Blue-Gray-Green foliage</t>
  </si>
  <si>
    <t>6'×10'</t>
  </si>
  <si>
    <t>7'×7'</t>
  </si>
  <si>
    <t>Blue Pacific (AKA 'Shore Juniper') will grow on almost anything. Dense foliage is aromatic. Sun/heat/drought tolerant</t>
  </si>
  <si>
    <t>Blue-Gray foliage</t>
  </si>
  <si>
    <t>Blue Pfitzer has scale foliage that turns Plum-Purple in winter. Arching, layered habit. Sun/heat/drought tolerant</t>
  </si>
  <si>
    <t>Blue Point maintains a dense, pyramidal form, with very little pruning. Reddish-Brown bark slightly peels with age. Sun/heat/drought tolerant</t>
  </si>
  <si>
    <t>6"×8'</t>
  </si>
  <si>
    <t>Silver-Blue foliage</t>
  </si>
  <si>
    <t>Blue Rug spreads into a tight carpet that bronzes in winter. Bluish-Green-Black cones. All femaie. Sun/heat/drought tolerant</t>
  </si>
  <si>
    <t>Blue Star Juniper features dense, star-shaped needles and striking foliage with scaly bark. Sun/heat/drought tolerant</t>
  </si>
  <si>
    <t>18'×12'</t>
  </si>
  <si>
    <t>Chindo offers glossy “mirror” leaves, fragrant spring blooms, and showy Red fruit on a fast, pyramidal form</t>
  </si>
  <si>
    <t>Cleopatra Camellia</t>
  </si>
  <si>
    <t>Camellia sasanqua 'Cleopatra'</t>
  </si>
  <si>
    <t>Cleopatra blooms from fall into winter with glossy evergreen foliage and graceful upright form. Notably pleasant light fragrance</t>
  </si>
  <si>
    <t>Blue-Green, Yellow tips</t>
  </si>
  <si>
    <t>Green to White bloom</t>
  </si>
  <si>
    <t>Matte Blue-Green foliage</t>
  </si>
  <si>
    <t>Blue Cascade foliage emerges Purplsh-Bronze. Small Reddish-Maroon flowers appear late winter to early spring. Heat and drought tolerant</t>
  </si>
  <si>
    <t>Emerald Green foliage</t>
  </si>
  <si>
    <t>Glossy Dark Green foliage</t>
  </si>
  <si>
    <t>Linebacker has Reddish spring flush. Subtle Red late-winter flowers. Heat and drought tolerant. Good sub for Cherry Laurel</t>
  </si>
  <si>
    <t>15"×8'</t>
  </si>
  <si>
    <t>Silvery-Gray foliage</t>
  </si>
  <si>
    <t>Mint-Green foliage</t>
  </si>
  <si>
    <t>18"×8'</t>
  </si>
  <si>
    <t>Sage- to Blue-Green</t>
  </si>
  <si>
    <t>San Jose foliage holds color and toughness in the hot &amp; dry. Attractive winter bronzing. Sun/heat/drought tolerant</t>
  </si>
  <si>
    <t>Sargent's Juniper</t>
  </si>
  <si>
    <t>2'×10'</t>
  </si>
  <si>
    <t>Saybrook Gold has a soft, lacy texture. Bright Yellow in summer, Bronzy fall/winter. Sun/heat/drought tolerant</t>
  </si>
  <si>
    <t>Minty-Green foliage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</si>
  <si>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</si>
  <si>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</si>
  <si>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Angelica Blue's vivid Steel-Blue foliage intensifies in fall. Arching branches. Exfoliating bark. Sun/heat/drought tolerant</t>
  </si>
  <si>
    <t>Asakura has soft White blooms tinged with Pink, opening in early fall,  fading to pure White. Upright habit and glossy foliage</t>
  </si>
  <si>
    <t>All Encores are repeat bloomers, in spring, late summer, and fall. Dark Green foliage, with a Reddish-Bronzy winter cast</t>
  </si>
  <si>
    <t>Autumn Rocket produces anemone-style blooms from Pinkish buds in fall, atop glossy foliage in a columnar form. Mild fragrance</t>
  </si>
  <si>
    <t>Bar Harbor is a cold-hardy, mat-forming male. Soft foliage turns Purplish in winter. Sun/heat/drought tolerant</t>
  </si>
  <si>
    <t>Brodie is tough and drought tolerant. Reddish-brown bark peels in thin strips. Sun/heat/drought tolerant</t>
  </si>
  <si>
    <t>Pink buds open White</t>
  </si>
  <si>
    <t>Burkwood known for its intensely fragrant spring blooms, handsome dark foliage, and reliable berry display</t>
  </si>
  <si>
    <t>Canyon Creel foliage emerges Coppery-Yellow, matuures to Green, then Bronze in fall. Light fragrance</t>
  </si>
  <si>
    <t>Greenish-Yellow bloom</t>
  </si>
  <si>
    <t>Pinkish-Red bloom</t>
  </si>
  <si>
    <t>Neon-Pink bloom</t>
  </si>
  <si>
    <t>Reddish Pink bloom</t>
  </si>
  <si>
    <t>Daub’s Frosted creates a bright two-toned carpet—Gold-tipped over Blue-Green. Exfoliating bark. Sun/heat/drought tolerant</t>
  </si>
  <si>
    <t>Doublefile has tiered horizontal branching, great spring lacecap blooms, and Red-to-Burgundy fall foliage.</t>
  </si>
  <si>
    <t>Dwarf Japanese Garden foliage emerges Green, then matures to Blue-Green. Purple winter tinge. Sun/heat/drought tolerant</t>
  </si>
  <si>
    <t>Edward Goucher has variegated foliage on graceful arching stems. May Bronze in fall. Light fragrance</t>
  </si>
  <si>
    <t>Yellow, Green margins</t>
  </si>
  <si>
    <t>Flying Dragon grown for its wild twisted branches and big thorns. Small fruit is sour, but edible. Self pollinates</t>
  </si>
  <si>
    <t>George Tabor is a classic Southern Indica hybrid known for its prolific display of very large, showy flowers in the spring</t>
  </si>
  <si>
    <t>Gold Lace fills a space with it's soft, lacy texture. Gets brighter Yellow in summer, then Golder in fall. Sun/heat/drought tolerant</t>
  </si>
  <si>
    <t>Golden Pacific Juniper is a vigorous &amp; low-spreading with a soft, vivid foliage that intensifies with sun. Sun/heat/drought tolerant</t>
  </si>
  <si>
    <t>Grey Owl is a female, producing blue berry-like cones. Arching branches of Silver-Gray foliage. Sun/heat/drought tolerant</t>
  </si>
  <si>
    <t>Hollywood offers windswept look with twisted, sculptural branches. Native to Japan, but named due to heavy planting in Los Angeles area</t>
  </si>
  <si>
    <t>Kaleidoscope foliage emerges Yellow-Lime, matures to Golden Yellow, then Orange-Red fall. Longest-blooming. Fragrant</t>
  </si>
  <si>
    <t>Moonlit Lace has fragrant spring flowers. Glossy, Green foliage (on Burgundy stems) turns Burgundy in fall</t>
  </si>
  <si>
    <t>Nantucket offers mildly fragrant, showy spring snowballs on glossy semi-evergreen foliage, with strong heat tolerance</t>
  </si>
  <si>
    <t>October Magic Ruby has double blooms and super glossy Olive-Green foliage, blooming heavily in fall with a soft, compact form</t>
  </si>
  <si>
    <t>White bloom, Green tinge</t>
  </si>
  <si>
    <t>Deep Plum-Purple bloom</t>
  </si>
  <si>
    <t>Professor Sargent is known for its abundant peony-like blooms that provide striking winter and early spring color</t>
  </si>
  <si>
    <t>Radicans is a fast grower. Foliage scent pleasant when crushed. Peeling bark. Foliage bronzes in winter more than Yoshino</t>
  </si>
  <si>
    <t>Raspberry Perfection's fragrant blooms persist as Dark Pink sepals for months. Reddish winter tint</t>
  </si>
  <si>
    <t>Robin Holly foliage emerges Maroon, then turns Dark Green. All female ~ requires a nearby male to set berries</t>
  </si>
  <si>
    <t>Sargent’s sprawls into tough, erosion-controlling carpet. Aromatic, exfoliating bark. Winter bronzing. Sun/heat/drought tolerant</t>
  </si>
  <si>
    <t>Pink buds open Whiter</t>
  </si>
  <si>
    <t>Southern Charm delivers vertical elegance with Pastel flower spikes and Silvery foliage. Excellent flowers for cutting</t>
  </si>
  <si>
    <t>Spring Bouquet honey-scented blooms give way to attractive Lavender/Blue berries</t>
  </si>
  <si>
    <t>Summer Chocolate has rich Burgundy foliage, fragrant blooms, and a graceful tropical canopy</t>
  </si>
  <si>
    <t>Taylor is a great sub for Italian Cypress, with stronger roots. Aromatic foliage. Mild winter Bronzing. Sun/heat/drought tolerant</t>
  </si>
  <si>
    <t>Tiger Rose named for prominent Green veins in foliage, resembling Tiger stripes. Leaves matures to Green with pastel tones, then Gold &amp; soft Coral in the fall</t>
  </si>
  <si>
    <t>Tropical Dream blooms all through summer. Feathery fern‑like foliage turns vibrant Yellow in fall</t>
  </si>
  <si>
    <t>Waterfall foliage emerges Bright Green with Red tips, holds summer Green well, then Golden Yellow with streaks of Orange-Red in fall.  Resembles a waterfall</t>
  </si>
  <si>
    <t>Qty 45, 4-4.5ft HT</t>
  </si>
  <si>
    <t>Alley Cat Eastern Redbud</t>
  </si>
  <si>
    <t>Cercis canadensis 'Alley Cat'</t>
  </si>
  <si>
    <t>Alley Cat has a variegated green &amp; white foliage, for interest after pink blooms are done in early spring.</t>
  </si>
  <si>
    <t>24" w | great color | very nice</t>
  </si>
  <si>
    <t>8" x 6-8"</t>
  </si>
  <si>
    <t>24-30" x 20-24" | native cultivar</t>
  </si>
  <si>
    <t>Fall 2026 young, 1ft HT, 1.25ft Spr</t>
  </si>
  <si>
    <t>B Grade | Multi-stem | reduced price</t>
  </si>
  <si>
    <t>1" cal. | 6-7' h</t>
  </si>
  <si>
    <t>36" h | native cultivar</t>
  </si>
  <si>
    <t>12-15"x15"</t>
  </si>
  <si>
    <t>5.5-6' h</t>
  </si>
  <si>
    <t>native seedling cut-off | 5-6' h | .75" cal.</t>
  </si>
  <si>
    <t>Qty 50, 1-1.25ft Spr</t>
  </si>
  <si>
    <t>new crop = 15-18" w | older crop = 24" w</t>
  </si>
  <si>
    <t>8-10"x12-15"</t>
  </si>
  <si>
    <t>Qty 15 Cut back</t>
  </si>
  <si>
    <t>Qty 70 Lynwood Gold, 2.5ft HT</t>
  </si>
  <si>
    <t>Nice Qty 700</t>
  </si>
  <si>
    <t>24" h | bud/bloom</t>
  </si>
  <si>
    <t>3-3.5' h | bud/bloom</t>
  </si>
  <si>
    <t>Cherry Bomb best if kept pruned to about 5' tall. Abundant Red berries from fall through spring</t>
  </si>
  <si>
    <t>5ft HT</t>
  </si>
  <si>
    <t>1" cal. | 9-10' h</t>
  </si>
  <si>
    <t>30-36" h x 20-24" w | very nice | bud/bloom</t>
  </si>
  <si>
    <t>fills pot; very nice</t>
  </si>
  <si>
    <t>5.5'6' h | very nice</t>
  </si>
  <si>
    <t>8’ h | very nice | bud/bloom</t>
  </si>
  <si>
    <t>Qty 30, 5.5-6ft HT</t>
  </si>
  <si>
    <t>24-30" x 30" | very nice</t>
  </si>
  <si>
    <t>15" x 18"</t>
  </si>
  <si>
    <t>18-20" x 20" | very nice</t>
  </si>
  <si>
    <t>Qty 50 Nice, 3-4ft HT</t>
  </si>
  <si>
    <t>3-4' h | very nice</t>
  </si>
  <si>
    <t>4.5-5ft HT</t>
  </si>
  <si>
    <t>Qty 30, 1ft HT, 1.5ft Spr</t>
  </si>
  <si>
    <t>18-20" w | very nice</t>
  </si>
  <si>
    <t>Lagerstroemia indica 'Whit II' PP#10296</t>
  </si>
  <si>
    <t>Pink Velour foliage starts deep wine red, turns purplish-green, then orange-brown in fall. Grey-brown bark exfoliates</t>
  </si>
  <si>
    <t>Qty 100, Nice, 2.5ft HT</t>
  </si>
  <si>
    <t>4ft HT</t>
  </si>
  <si>
    <t>12-16' h; 2-3" cal. | needs flush</t>
  </si>
  <si>
    <t>Eternal Spring Magnolia</t>
  </si>
  <si>
    <t>Magnolia 'Eternal Spring'</t>
  </si>
  <si>
    <t>Loropetalum chin. var. r. 'Chang Nian Hong'</t>
  </si>
  <si>
    <t>Cherry Red bloom</t>
  </si>
  <si>
    <t>18-24” x 20”</t>
  </si>
  <si>
    <t>24-30" h</t>
  </si>
  <si>
    <t>7' tall</t>
  </si>
  <si>
    <t>Qty 60 Nice, 1-1.25ft HT, 1.25ft Spr</t>
  </si>
  <si>
    <t>18” x 15” | thin</t>
  </si>
  <si>
    <t>4.5-5’ | B Grade - reduced price</t>
  </si>
  <si>
    <t>15" x 18-20" | thin</t>
  </si>
  <si>
    <t>Cercis canadensis 'JN100'</t>
  </si>
  <si>
    <t>8" x 10"</t>
  </si>
  <si>
    <t>15-18" w</t>
  </si>
  <si>
    <t>Full to the ground | B Grade</t>
  </si>
  <si>
    <t>1.5-1.75" cal | 9-10' h | very nice</t>
  </si>
  <si>
    <t>Qty 50 young , 1ft HT, 1-1.25ft Spr</t>
  </si>
  <si>
    <t>Qty 30, 1.25ft HT, 1.5ft Spr</t>
  </si>
  <si>
    <t>5-5.5' h | very nice | bud/bloom</t>
  </si>
  <si>
    <t>6-7' h | thin | do not match | B Grade - reduced price</t>
  </si>
  <si>
    <t>20-24" x 20-24" | very nice | bud/bloom</t>
  </si>
  <si>
    <t>6-7' h | native</t>
  </si>
  <si>
    <t>15-18" x 15" | great color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</si>
  <si>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</si>
  <si>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</si>
  <si>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</si>
  <si>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</si>
  <si>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4' h | bud/bloom</t>
  </si>
  <si>
    <t>18-24" h | bud/bloom</t>
  </si>
  <si>
    <t>3' h | very nice</t>
  </si>
  <si>
    <t>8-9.5’ h | very nice | bud/bloom</t>
  </si>
  <si>
    <t>Qty 250, Nice, 2.5-3ft HT</t>
  </si>
  <si>
    <t>30-36” h | Very nice</t>
  </si>
  <si>
    <t>Styrax japonicus 'JFS 6SJ' PP#34817</t>
  </si>
  <si>
    <t>6-8' h | very nice</t>
  </si>
  <si>
    <t>3-3.5' h | native</t>
  </si>
  <si>
    <t>Qty 100 Nice, 1.5ft HT, 2ft Spr</t>
  </si>
  <si>
    <t>18-24" x 20-24" | few blooms</t>
  </si>
  <si>
    <t>Pink Chimes Japanese Snowbell</t>
  </si>
  <si>
    <t>Styrax japonicus 'Pink Chimes'</t>
  </si>
  <si>
    <t>10-12" x 15-18" | bud/bloom</t>
  </si>
  <si>
    <t>12” x 24” | bud/bloom</t>
  </si>
  <si>
    <t>15" w | bud/bloom</t>
  </si>
  <si>
    <t>18” x 15”</t>
  </si>
  <si>
    <t>12" x 15-18" | bud/bloom</t>
  </si>
  <si>
    <t>18-20" w | nice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</si>
  <si>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</si>
  <si>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</si>
  <si>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</si>
  <si>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</si>
  <si>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16-18" x 18-20"</t>
  </si>
  <si>
    <t>15" x 18-20" | native cultivar</t>
  </si>
  <si>
    <t>36" h | very nice | native cultivar</t>
  </si>
  <si>
    <t>15"x12-15"</t>
  </si>
  <si>
    <t>20-24" w | very nice | native cultivar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</si>
  <si>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</si>
  <si>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</si>
  <si>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</si>
  <si>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</si>
  <si>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</si>
  <si>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</si>
  <si>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</si>
  <si>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</si>
  <si>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15-18" x 20-24" | very nice</t>
  </si>
  <si>
    <t>3' h | bud/bloom</t>
  </si>
  <si>
    <t>4-5' h | bud/bloom</t>
  </si>
  <si>
    <t>15" x 24" | very nice</t>
  </si>
  <si>
    <t>3.5-4' h | very nice</t>
  </si>
  <si>
    <t>4-5’ h | very nice, few buds</t>
  </si>
  <si>
    <t>4-4.5' h | single stem patio tree</t>
  </si>
  <si>
    <t>15-18" x 18"</t>
  </si>
  <si>
    <t>30" h | bud/bloom | strong stems</t>
  </si>
  <si>
    <t>Temple Bells Pieris</t>
  </si>
  <si>
    <t>Pieris japonica 'Temple Bells'</t>
  </si>
  <si>
    <t>24-30” x 24-28”</t>
  </si>
  <si>
    <t>Tinkerbell Magnolia</t>
  </si>
  <si>
    <t>Magnolia 'Tinkerbell'</t>
  </si>
  <si>
    <t>18-20" x 24" | very nice | few blooms</t>
  </si>
  <si>
    <t>Spring 2026, Multi</t>
  </si>
  <si>
    <t>1.5" cal. | 9-10' h | native</t>
  </si>
  <si>
    <t>15" w | JCRA Choice Plant</t>
  </si>
  <si>
    <t>Qty 20, 3ft HT</t>
  </si>
  <si>
    <t>Tree Form Qty 3 , 3.5ft HT</t>
  </si>
  <si>
    <t>Qty 25, 3.5ft HT</t>
  </si>
  <si>
    <t>Variegated Yucca</t>
  </si>
  <si>
    <t>Yucca gloriosa 'Variegata'</t>
  </si>
  <si>
    <t>Qty 300, 2ft HT</t>
  </si>
  <si>
    <t>5-5.5' h | very nice | native</t>
  </si>
  <si>
    <t>Weeping Pussy Willow</t>
  </si>
  <si>
    <t>Salix caprea 'Pendula'</t>
  </si>
  <si>
    <t>Qty 20, 32-36 in ht</t>
  </si>
  <si>
    <t>20-24" h |female | native cultivar</t>
  </si>
  <si>
    <t>16-18 in ht. Qty 50</t>
  </si>
  <si>
    <t>18-20" x 18-20" very nice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</si>
  <si>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</si>
  <si>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</si>
  <si>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 xml:space="preserve">Native to Southeastern U.S. = N </t>
  </si>
  <si>
    <t>Burford Holly has a heavy display of bright Red berries and ability to be shaped into hedges or small specimen trees</t>
  </si>
  <si>
    <t>Carissa are sharp. Use to keep kids &amp; pets out of an area. Fragrant, showy blooms are followed by Bright Red berries</t>
  </si>
  <si>
    <t>Fringetree blooms May/June. Fragrant blooms will fall to ground, looking like a snowfall</t>
  </si>
  <si>
    <t>Chinese Snowbal has striking snowball-like clusters of flowers, up to 8" diameter. May stay evergreen in mild winters</t>
  </si>
  <si>
    <t>Double Pink Weeping Cherry</t>
  </si>
  <si>
    <t>Yellow+Green foliage</t>
  </si>
  <si>
    <t>Drops of Gold has striking Golden-Yellow new foliage that provides a beautiful contrast to its Dark Green mature leaves</t>
  </si>
  <si>
    <t>Dwarf Burford springtime flower clusters are fragrant, somewhat showy. Self-pollinates for Bright Red berries in winter</t>
  </si>
  <si>
    <t>White bloom, Pink base</t>
  </si>
  <si>
    <t>Eternal Spring is a very floriferous, with fragrant semi-double blooms along the stems. Lush wavy foliage</t>
  </si>
  <si>
    <t>Excelsa Schwoebel is a vigorous, upright grower with a narrow, pyramidal form and small, glossy leaves</t>
  </si>
  <si>
    <t>Goblin's narrow Green leaves turn Orange-Yellow to Reddish-Purple in fall. Bark exfoliates to Orange-Red inner layer</t>
  </si>
  <si>
    <t>Green, Yellow edges</t>
  </si>
  <si>
    <t>Golden Soft Touch foliage emerge Golden-Green. It is indeed soft to the touch. Not drought tolerant</t>
  </si>
  <si>
    <t>Green Vase has a Narrow form and low maintenance (some stick litter). Orange-Bronze to Coppery fall foliage. Bark exfoliates to Orange-Brown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</si>
  <si>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</si>
  <si>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</si>
  <si>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</si>
  <si>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</si>
  <si>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Dark Blue-Green</t>
  </si>
  <si>
    <t>White bloom, Crimson center</t>
  </si>
  <si>
    <t>Sky Pencil are all female, requiring a male Holly to bear the Black fruit. Protect from wind &amp; late day sun</t>
  </si>
  <si>
    <t>Dark Greem, White edge</t>
  </si>
  <si>
    <t>Snowflake has striking variegated foliage with creamy white margins, glossy texture, and black fruit on pollinated female plants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</si>
  <si>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</si>
  <si>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</si>
  <si>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Color Guard has sword-like leaves with Bright Yellow centers and Green margins. Tall summer flower spikes</t>
  </si>
  <si>
    <t>Compact Golden offers a luminous Golden accent with gently twisting sprays and a compact, upright habit</t>
  </si>
  <si>
    <t>Compact Hinoki Cypress</t>
  </si>
  <si>
    <t>Compact Hinoki offers elegant, slow-growing structure with lush, fan-like foliage and a tidy habit</t>
  </si>
  <si>
    <t>Compacta Superba has rich, layered foliage with a refined pyramidal form, offering structure and subtle bluish tones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</si>
  <si>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</si>
  <si>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</si>
  <si>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Davidson Hardy is a cold-hardy Privet selection known for its glossy Dark Green foliage, fragrant blooms, and tolerance to heat and drought</t>
  </si>
  <si>
    <t>All Plum Yews have fine-textured foliage with brown, scaly bark. Slow growing, heat and shade tolerant</t>
  </si>
  <si>
    <t>Emerald is named for it's year-round color, with little winter bronzing</t>
  </si>
  <si>
    <t>12'×6'</t>
  </si>
  <si>
    <t>Excalibur Yucca has sword-like, Blue-Green foliage and tall spikes of bell-shaped flowers</t>
  </si>
  <si>
    <t>Fernspray has arching branches with lush, fern-like texture, and rich color that endures through winter with minimal bronzing</t>
  </si>
  <si>
    <t>Golden-Orange-Red foliage</t>
  </si>
  <si>
    <t>Fire Chief is known for distinctive color shifts, from bright Gold in spring, to Orange in summer, to Red in fall</t>
  </si>
  <si>
    <t>14'×12'</t>
  </si>
  <si>
    <t>Fragrant Wintersweet has intensely sweet, lemony-scented blooms that appear on bare branches in mid to late winter, then Dark Green foliage</t>
  </si>
  <si>
    <t>Franky Boy has grass-like foliage and pendulous texture for a unique ornamental presence. Warm Bronze in winter</t>
  </si>
  <si>
    <t>GG Gerbing Azalea is a vigorous, heat-tolerant Southern Indica cultivar known for its profuse blooms</t>
  </si>
  <si>
    <t>Gold Mop has vibrant, thread-like foliage that creates a shaggy, mop-like mound, with year-round color</t>
  </si>
  <si>
    <t>Green &amp; Yellow foliage</t>
  </si>
  <si>
    <t>Golden Dwarf Hinoki forms a compact, rounded mound of finely layered Golden foliage, with Green interior</t>
  </si>
  <si>
    <t>Golden Fernleaf has stiff, four-angled feathery sprays that resemble fern fronds, glowing Golden in sun, Green toward interior</t>
  </si>
  <si>
    <t>Golden Fernspray has arching sprays that mimic fern fronds, glowing Gold in sun, deepening to copper in winter</t>
  </si>
  <si>
    <t>Golden Globe is a dwarf, globe-shaped shrub prized for its dense, fine-textured foliage that holds it's bright color throughout the year</t>
  </si>
  <si>
    <t>Green-Yellow variegated</t>
  </si>
  <si>
    <t>Hardy Gardenia named for fragrant semi-double White flowers that mimic true gardenias. Cold-hardy. Minimal pruning</t>
  </si>
  <si>
    <t>Hedgehog Plum Yew</t>
  </si>
  <si>
    <t>Lime Green &amp; Green foliage</t>
  </si>
  <si>
    <t>Hetz Midget globe-shaped shrub with fine-textured foliage and a naturally rounded form that requires little to no shearing</t>
  </si>
  <si>
    <t>Howard foliage emerges Golden-Yellow, turning Dark Green with Yellow variegation. Bluish-Black berries</t>
  </si>
  <si>
    <t>Golden-Orange foliage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</si>
  <si>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</si>
  <si>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</si>
  <si>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Grren &amp; Gold foliage</t>
  </si>
  <si>
    <t>Leatherleaf has exceptionally thick, leathery, and concave Dark Green leaves. Dark berries. Slow grower</t>
  </si>
  <si>
    <t>Lemon-Yellow foliage</t>
  </si>
  <si>
    <t>Little Giant forms a dense, perfectly round globe of soft foliage, requiring little to no pruning. Color holds through winter</t>
  </si>
  <si>
    <t>Miss Patricia foliage is large, glossy, and dense. Heavy Red berry set. Fast grower. Smooth gray bark roughens with age, does not exfoliate</t>
  </si>
  <si>
    <t>Bluish-Green foliage</t>
  </si>
  <si>
    <t>Chartreuse to lime green</t>
  </si>
  <si>
    <t>Sage-Green foliage</t>
  </si>
  <si>
    <t>Prairie Fire Olive-Green leaves with Bright Bronze to Orange to Red highlights. Much less spreading than other Carex</t>
  </si>
  <si>
    <t>Purple Rain has cascading blooms and dramatic Purple foliage that shifts from Dark Purple to Purple-Green to Bright Yellow in fall</t>
  </si>
  <si>
    <t>Glacier Azalea has luminous spring blooms with a Green flush, tiered branching, and glossy foliage emerging Coppery-Bronze in spring</t>
  </si>
  <si>
    <t>Green, Bronze tinge</t>
  </si>
  <si>
    <t>Sea Green resembles waves, with fountain-like branches. Winter bronzing and Blue cones (on females). Sun/heat/drought tol.</t>
  </si>
  <si>
    <t>Spirited has vibrant, lace-like Golden foliage in a compact pyramidal form. Best color in full sun</t>
  </si>
  <si>
    <t>Sunkist is Green/Lemon-Yellow in the spring, turning more Golden for fall/winter</t>
  </si>
  <si>
    <t>Variegated Yucca (AKA Spanish Dagger) sword-like foliage is Blue-Green, with Creamy-Yellow margins. Tall blooms</t>
  </si>
  <si>
    <t>Verdoni Cypress forms a dense, conical shape with vivid Golden foliage that holds its color well, with a Bronze winter cast</t>
  </si>
  <si>
    <t>Vintage Gold has delicate, thread-like foliage that glows with a rich Golden color , then a Bronze tint in colder weather</t>
  </si>
  <si>
    <t>Walker's Low is not quite as enticing as 'cataria' Catmint, but cats still crazy for the fragrance</t>
  </si>
  <si>
    <t>Wavy Leaf  named for distinctive rippled Dark Green folaige. Will grow fairly dense even in part shade. Fragrant bloom</t>
  </si>
  <si>
    <t>Wax Leaf grows fast, and a little wild-looking, but take a hedge well, like all Privet, Fragran flower over Dark Green foliage</t>
  </si>
  <si>
    <t>Soft Green foliage</t>
  </si>
  <si>
    <t>Blush Pink foliage emerges Bright Pink to Red, maturing to Soft Green with Pink highlights. Minimal berries, so less spreading issues</t>
  </si>
  <si>
    <t>Cerise Charm has Deep Plum-colored foliage. Fringe-like flowers bloom periodically after spring</t>
  </si>
  <si>
    <t>Dark Fire named for very Deep Plum-Dark Purple foliage. Fringe-like flowers bloom periodically after spring</t>
  </si>
  <si>
    <t>Daruma is a compact sport of Ruby Loropetalum.  Deep Ruby-Red foliage. Fringe-like flowers bloom periodically after spring</t>
  </si>
  <si>
    <t>Green &amp; Silver foliage</t>
  </si>
  <si>
    <t>Ebbing's is thornless, with Silver-Gray undersides to foliage. Very fragrant small Creamy White fall blooms. Birds adore red fruit</t>
  </si>
  <si>
    <t>Ever Red named for it's deepest Red bloom of all Loropetalum. Fringe-like flowers bloom periodically against Deep Purple foliage</t>
  </si>
  <si>
    <t>Firepower named for it's brilliant Red fall/winter foliage. Red-tinged summer foliage. Sterile, so no spreading issues</t>
  </si>
  <si>
    <t>Green &amp; Red foliage</t>
  </si>
  <si>
    <t>Chartreuse foliage</t>
  </si>
  <si>
    <t>Fruitland has Silvery-backed foliage and small, very fragrant Creamy White fall flowers. Tough shrub. Birds  adore the Red fruits</t>
  </si>
  <si>
    <t>Green needles, White tips</t>
  </si>
  <si>
    <t>Green &amp; Gold foliage</t>
  </si>
  <si>
    <t>Golden Dream has vivid Golden-edged foliage and a naturally rounded habit. Slow-growing, dense, and ideal for hedges and borders</t>
  </si>
  <si>
    <t>Dark Green &amp; Yellow</t>
  </si>
  <si>
    <t>Golden Euonymus has vibrant Yellow-edges against Dark Green foliage. Small Greenish-White sping blooms. Tidy upright habit. Can be sheared</t>
  </si>
  <si>
    <t>Green Giant grows fast, keeps a narrow profile, and stays dense to the ground. Some winter bronzing, like most Arborvitae. Best alternate to Leyland Cypress</t>
  </si>
  <si>
    <t>Greenspire grows dense and irregular. Can be hedged. Small Greenish-White sping blooms.</t>
  </si>
  <si>
    <t>Gulf Stream foliage emerges Bronze-Red. Vibrant Orange-Red in fall, then Brilliant Red, Bronze, and Purple in winter. Few berries, so leas spreading</t>
  </si>
  <si>
    <t>Harbour Dwarf foliage emerges with Bronzy-Red tints. Burgundy-Red fall color turns Deep Red to Maroon. Minimal fruiting, but will spread by rhizomes</t>
  </si>
  <si>
    <t>White bloom, Pink backs</t>
  </si>
  <si>
    <t>All Hellebores are clump-forming perennials with leathery foliage. They are long-lived, cold/shade tolerant, and bloom late winter to spring</t>
  </si>
  <si>
    <t>Soft Pink, Rose with age</t>
  </si>
  <si>
    <t>24"×24"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</si>
  <si>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</si>
  <si>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</si>
  <si>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</si>
  <si>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</si>
  <si>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</si>
  <si>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</si>
  <si>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</si>
  <si>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</si>
  <si>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Karl Foerster feathery plumes emerge Purplish-Pink, mature to Golden Tan, then last from early summer through winter</t>
  </si>
  <si>
    <t>Leatherleaf Mahonia</t>
  </si>
  <si>
    <t>Leatherleaf has fragrant late winter Yellow blooms and striking Blue-Black fruit clusters above holly-like foliage</t>
  </si>
  <si>
    <t>Lemon Lime is unique with it's bright Lime-Charteuse hue. It does not turn red in winter, as most Nandina do. Minimal berries, so less spreading</t>
  </si>
  <si>
    <t>Manhattan is a vigorous grower, valued for its dense, upright habit and its tolerance for pruning. Inconspicuous, small Greenish-White flowers</t>
  </si>
  <si>
    <t>Nandina has graceful, bamboo-like texture and brilliant Red berries that persist. Red-Burgundy winter foliage. May spread</t>
  </si>
  <si>
    <t>Narihira has elegant, bamboo-like foliage and fragrant Yellow winter flowers followed by Blue-Purple berries</t>
  </si>
  <si>
    <t>Green-Purple-Silver foliage</t>
  </si>
  <si>
    <t>Obsession foliage emerges with a Brilliant Red color and maintains its striking hue for a long duration. Red-Burgundy in fall/winter. Few berries, so less spreading</t>
  </si>
  <si>
    <t>Pancake named for its unique, flattened, pancake-like habit.  Foliage turns Bluish-Bronze in winter</t>
  </si>
  <si>
    <t>Purple-Plum foliage</t>
  </si>
  <si>
    <t>Plum Passion known for deep, saturated color, that deepens to Rich Burgundy-Purple in fall/winter. Sparse berries for less spreading</t>
  </si>
  <si>
    <t>Purple Daydream has Deep Burgundy-Purple foliage. Fringe-like flowers bloom periodically after spring</t>
  </si>
  <si>
    <t>7'×4'</t>
  </si>
  <si>
    <t>Forest Green &amp; Purple foliage</t>
  </si>
  <si>
    <t>Forest Green foliage</t>
  </si>
  <si>
    <t>Ruby has foliage that shifts from Ruby-Red to Bronze-Green. Fringe-like flowers bloom periodically after spring</t>
  </si>
  <si>
    <t>Soft Caress named for being thornless. Bright Yellow late winter blooms, followed by Light Blue berries. Purple winter cast</t>
  </si>
  <si>
    <t>Soft Touch is indeed soft to the touch. Deep green foliage with a silver mid-vein. Lustrous black berries in fall</t>
  </si>
  <si>
    <t>4'×7'</t>
  </si>
  <si>
    <t>Dark Green &amp; White</t>
  </si>
  <si>
    <t>White bloom, Green hue</t>
  </si>
  <si>
    <t>Yellow-Berried has White spring blooms, Red-Purple fall/winter foliage, and distinctive Golden berries in winter. May spread</t>
  </si>
  <si>
    <t>Zhuzhou Loropetalum is tall, upright, and vase-shpaed, with intense Purple foliage. Fringe-like flowers bloom periodically after spring</t>
  </si>
  <si>
    <t>Common Boxwood long used in formal gardens for it's tolerance of shearing/shaping. Slow-growing, dense, and ideal for hedges and borders</t>
  </si>
  <si>
    <t>Dee Runk maintains vertical structure with minimal pruning. Good disease resistance. Slow-growing, dense, and ideal for hedges and borders</t>
  </si>
  <si>
    <t>Flirt foliage seems to 'wink' at you as the Bright Red topside interplays with the Green underside. Holds color in fall/winter. Sterile, but will spread by rhizomes</t>
  </si>
  <si>
    <t>Gold Dust is a female cultivar with Yellow-speckled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</si>
  <si>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</si>
  <si>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John Baldwin flushes Blue-Green. Maintains conical shape naturally. Very cold tolerant. Slow-growing, dense, and ideal for hedges and borders</t>
  </si>
  <si>
    <t>Maki Podocarpus</t>
  </si>
  <si>
    <t>Marmorata is a variegated female  with Gold-splashed foliage and ornamental red berries, if pollinated. Durable, highly shade-tolerant, and fairly rabbit resistant</t>
  </si>
  <si>
    <t>Pink (and White) Gumpo flower late spring. Foliage fills out first, often creating peek-a-boo blooms</t>
  </si>
  <si>
    <t>Poet's Laurel has graceful, arching stems and lance-shaped foliage. Small, Yellowish-Green flowers. Orange-Red berries</t>
  </si>
  <si>
    <t>Green &amp; Purple foliage</t>
  </si>
  <si>
    <t>Green &amp; White foliage</t>
  </si>
  <si>
    <t>Rozannie is a compact, self-fertile female cultivar with lustrous dark foliage and persistent Red berries. Durable, highly shade-tolerant, and fairly rabbit resistant</t>
  </si>
  <si>
    <t>Green &amp; Cream foliage</t>
  </si>
  <si>
    <t>Green &amp; Orange-Red</t>
  </si>
  <si>
    <t>Dark Magenta bloom</t>
  </si>
  <si>
    <t>Tinkerbell features tulip-shaped, fragrant Magenta blooms with Pale Pink centers in early spring, then reblooms sporadically</t>
  </si>
  <si>
    <t>Variegated English has Creamy-White margins on leaves. Mild winter bronzing. Slow-growing, dense, and ideal for hedges and borders</t>
  </si>
  <si>
    <t>Variegated False Holly features holly-like evergreen foliage edged in Creamy White and intensely fragrant flowers in fall</t>
  </si>
  <si>
    <t>3'×∞</t>
  </si>
  <si>
    <t>Winter Gem is one of the cold-hardiest of boxwoods. Minmimal winter Bronzing. Slow-growing, dense, and ideal for hedges and borders</t>
  </si>
  <si>
    <t>Wintergreen is cold-hardy, maintaining its vibrant green color throughout the winter. Slow-growing, dense, and ideal for hedges and borders</t>
  </si>
  <si>
    <t>Creamy Apricot-Pink bloom</t>
  </si>
  <si>
    <t>White bloom, hint of Pink inner</t>
  </si>
  <si>
    <t>Buttery-Yellow, fading to Cream</t>
  </si>
  <si>
    <t>Yellow bloom, Red edges</t>
  </si>
  <si>
    <t>Campfire named for bloom echoing a campfire. Deadhead as needed. Nearly thornless (rabbits may still nibble). Cut back annually</t>
  </si>
  <si>
    <t>Brick Orange-Coral bloom</t>
  </si>
  <si>
    <t>Bright Yellow bloom</t>
  </si>
  <si>
    <t>Lady Banks is great on a trellis or black metal fence. Thornless. Slight fragrance. Glossy Green foliage and thorns (rabbits may still nibble)</t>
  </si>
  <si>
    <t>Bright Yellow, darker center</t>
  </si>
  <si>
    <t>Warm Orange-Pink bloom</t>
  </si>
  <si>
    <t>Peachy-Pink to Apricot bloom</t>
  </si>
  <si>
    <t>Raspberry-Pink bloom</t>
  </si>
  <si>
    <t>Salmon-Pink-Apricot bloom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</si>
  <si>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</si>
  <si>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</si>
  <si>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</si>
  <si>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</si>
  <si>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Green blades &amp; Gold bands</t>
  </si>
  <si>
    <t>Bandwidth has Copper-Red plumes aging to Silvery-Tan, turning straw colored in winter. Bred at NCSU to be non-invasive</t>
  </si>
  <si>
    <t>Green blades</t>
  </si>
  <si>
    <t>Silvery-Green blades &amp; White midrib</t>
  </si>
  <si>
    <t>Dwarf Maiden plumes emerge Bronze-Pink, then fade to White. Foliage turns Orange-Gold-Burgundy in fall</t>
  </si>
  <si>
    <t>Metallic Blue-Green blades</t>
  </si>
  <si>
    <t>Karley Rose known for it's stunning Rose-Pink plumes. Blades turns Yellow-Bronze in fall, then Tan-Beige for winter</t>
  </si>
  <si>
    <t>Blue-Green blades, Silvery tones</t>
  </si>
  <si>
    <t>Little Bunny Fountain Grass</t>
  </si>
  <si>
    <t>Green blades &amp; Yellow bands</t>
  </si>
  <si>
    <t>Little Zebra named for it's zebra-like foliage. Reddish-Purple plumes fade to a Creamy-Tan in winter</t>
  </si>
  <si>
    <t>Silvery-Green &amp; White margins</t>
  </si>
  <si>
    <t>Morning Light has Coppery-Red plumes in late summer to fall, maturing to Gold-Orange, then Silvery-Tan in winter</t>
  </si>
  <si>
    <t>Olive-Blue-Green blades</t>
  </si>
  <si>
    <t>Blue-Green blades</t>
  </si>
  <si>
    <t>Steely blue-green blades, Red hue</t>
  </si>
  <si>
    <t>Blue-Green blades, Red tips</t>
  </si>
  <si>
    <t>Sunset Glow is a clumping type, non-invasive. Its Orange-Red cane sheaths add vivid contrast to the Green culms, Very cold-hardy</t>
  </si>
  <si>
    <t>Blue-Green blades, Silvery hue</t>
  </si>
  <si>
    <t>Green blades &amp; White stripes</t>
  </si>
  <si>
    <t>Variegated Maiden Grass has bold vertical striping. Reddish-Pink plumes mature to Silvery-White, then Tan-Beige in winter</t>
  </si>
  <si>
    <t>White-Striped Dwarf is a runner, forming a dense mat. Striking Green-and-White striped foliage and Red-to-Green culms. Cold-hardy</t>
  </si>
  <si>
    <t>10'ht 1-1.5"c</t>
  </si>
  <si>
    <t>half-rooted, 12-15"x10" (8/1)</t>
  </si>
  <si>
    <t>15" (8/1)</t>
  </si>
  <si>
    <t>15-18" (8/14)</t>
  </si>
  <si>
    <t>15-18", blooms (8/14)</t>
  </si>
  <si>
    <t>10-12"x12"</t>
  </si>
  <si>
    <t>12-15" (8/1)</t>
  </si>
  <si>
    <t>10-12"x8-10"</t>
  </si>
  <si>
    <t>20'×∞</t>
  </si>
  <si>
    <t>Syringa 'SMNSPH' PP#35934</t>
  </si>
  <si>
    <t>15-18" spread (8/1)</t>
  </si>
  <si>
    <t>10-12' ht x 4-5' sp</t>
  </si>
  <si>
    <t>Cassian Fountain has soft Creamy-Pink bottlebrush blooms. Gold-Red-Orange fall color turns Beige-Tan in winter</t>
  </si>
  <si>
    <t>8-10"x12-15" (8/1)</t>
  </si>
  <si>
    <t>15-18" (8/1)</t>
  </si>
  <si>
    <t>Dwarf Fountain has arching Creamy-Tan-Pinkish Bottlebrush plumes. Blades turn Yellow-Orange in fall, then Tan-Beige</t>
  </si>
  <si>
    <t>4-4.5' ht. x 22-24" sp.</t>
  </si>
  <si>
    <t>12"x15" (8/14)</t>
  </si>
  <si>
    <t>Feather Falls Sedge</t>
  </si>
  <si>
    <t>Carex oshimensis 'ET CRX01' PP#26199</t>
  </si>
  <si>
    <t>Green foliage, White edges</t>
  </si>
  <si>
    <t>10-12'ht x -1.75-2"c</t>
  </si>
  <si>
    <t>Gold Lace Juniper</t>
  </si>
  <si>
    <t>Buxus x 'Conrowe' PP#19924</t>
  </si>
  <si>
    <t>Gracillimus' Coppery to Reddish-Bronze plumes appear late summer, then change to Silvery-Tan. Almost evergreen</t>
  </si>
  <si>
    <t>8-9' ht x 3-3.5' sp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</si>
  <si>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</si>
  <si>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</si>
  <si>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</si>
  <si>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 xml:space="preserve">12-14' ht - 2"c 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</si>
  <si>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</si>
  <si>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</si>
  <si>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</si>
  <si>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15" spread</t>
  </si>
  <si>
    <t>12"x12"</t>
  </si>
  <si>
    <t>Helleborus x glandorfensis 'COSEH 4200' PP#28297</t>
  </si>
  <si>
    <t>Rose-Pink, darker with age</t>
  </si>
  <si>
    <t>9-10' ht x 1.5-1.75"c</t>
  </si>
  <si>
    <t>Little Bluestem has Silvery-White fluffy seedheads that persist. Coppery-Red fall color gives way to Tan stems</t>
  </si>
  <si>
    <t>Little Bunny has early, fluffy, Pale White to Tan bottlebrush-like plumes. Blades turn Yellow-Orange, then Tan-Beige in winter</t>
  </si>
  <si>
    <t xml:space="preserve">6-7' ht </t>
  </si>
  <si>
    <t>7-8' ht x 1.25"c</t>
  </si>
  <si>
    <t>10-12' ht x 1.75-2" c</t>
  </si>
  <si>
    <t>7-8' ht x 1-1.25"c</t>
  </si>
  <si>
    <t>10-12"x12" (8/1)</t>
  </si>
  <si>
    <t>Spiraea japonica 'Odessa' PP#28508</t>
  </si>
  <si>
    <t xml:space="preserve">12-15' ht x 2"c </t>
  </si>
  <si>
    <t>16'×∞</t>
  </si>
  <si>
    <t>Standing Ovation has Silvery-White fluffy seedheadsl, Fiery Red, Orange, Burgundy, and Purple fall color</t>
  </si>
  <si>
    <t>8-10" (8/1)</t>
  </si>
  <si>
    <t>The Blues has Silvery-White fluffy seedheads. Blades turn fiery Purple-Orange in fall, then Burgundy-Purple</t>
  </si>
  <si>
    <t>Variegated Japanese Iris</t>
  </si>
  <si>
    <t>Qty 300, 2.5-3ft HT</t>
  </si>
  <si>
    <t>Qty 100 Nice, 3-3.5ft HT</t>
  </si>
  <si>
    <t>American Goldfinch' is notable for its vibrant blooms held on strong stems and its dense, bushy habit with attractive Blue-Green foliage</t>
  </si>
  <si>
    <t>Wine Purple bloom, Yellow hue</t>
  </si>
  <si>
    <t>Burgundy Blast has spires of blooms in late spring over Blue-Green foliage, followed by showy seed pods</t>
  </si>
  <si>
    <t>Hyd. macrophylla 'McKay' PP#28757</t>
  </si>
  <si>
    <t>Cherry-Red bloom ages to Purple</t>
  </si>
  <si>
    <t>Qty 3</t>
  </si>
  <si>
    <t>40'×6'</t>
  </si>
  <si>
    <t>Cranberry to Purple bloom</t>
  </si>
  <si>
    <t>Pale Blue to Soft Pink bloom</t>
  </si>
  <si>
    <t>Bicolor Pink &amp; Green bloom</t>
  </si>
  <si>
    <t>Lime-Green bloom ages to White</t>
  </si>
  <si>
    <t>Dark Cherry-Red bloom</t>
  </si>
  <si>
    <t>Pink to Violet to Blue bloom</t>
  </si>
  <si>
    <t>Lime Green ages to Pink</t>
  </si>
  <si>
    <t>Yellow bloom ages to Purple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</si>
  <si>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</si>
  <si>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</si>
  <si>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</si>
  <si>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</si>
  <si>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Climbing has Dark Green foliage. "Climbing" Hydrangea is a vine, with Lacecap flowers on old wood. Exfoliating bark</t>
  </si>
  <si>
    <t>White-Lime ages to Pink</t>
  </si>
  <si>
    <t>White ages to Pink-Red</t>
  </si>
  <si>
    <t>Lime Green ages to White</t>
  </si>
  <si>
    <t>Little Hottie has Green foliage. All "Hardy" Hydrangea have cone-shaped flowers on new wood. Flowers change color with age. Extremely cold-hardy</t>
  </si>
  <si>
    <t>Hot Pink to Purple bloom</t>
  </si>
  <si>
    <t>Snow Queen Oakleaf Hydrangea</t>
  </si>
  <si>
    <t>White bloom, Purple-Red eye</t>
  </si>
  <si>
    <t>16'×5'</t>
  </si>
  <si>
    <t>Rich Purple bloom, Red ey</t>
  </si>
  <si>
    <t>Rose-Pink bloom, 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</si>
  <si>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</si>
  <si>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</si>
  <si>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</si>
  <si>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</si>
  <si>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</si>
  <si>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</si>
  <si>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</si>
  <si>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</si>
  <si>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</si>
  <si>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</si>
  <si>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</si>
  <si>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Purple bloom, White &amp; Yellw eyes</t>
  </si>
  <si>
    <t>Bloom varies</t>
  </si>
  <si>
    <t>Butterfly Bush has Green foliage.  All BB bloom summer to frost, on new wood, so cut back hard late winter</t>
  </si>
  <si>
    <t>2.5'×2'</t>
  </si>
  <si>
    <t>Violet-Blue bloom, Orange eye</t>
  </si>
  <si>
    <t>Columnar Blue Atlas is low maintenance, heat/humidity resistant, and long-lived</t>
  </si>
  <si>
    <t>Buddleia 'Boscranz' PP#25730</t>
  </si>
  <si>
    <t>Raspberry -Red bloom, Yellow eye</t>
  </si>
  <si>
    <t>Light Purple bloom, Orange eye</t>
  </si>
  <si>
    <t>Bubblegum Pink bloom</t>
  </si>
  <si>
    <t>Pure White bloom, Yellow-Orange eye</t>
  </si>
  <si>
    <t>Golden-Yellow bloom, Orange eye</t>
  </si>
  <si>
    <t>Honeycomb has Green foliage and a fragrance. All BB bloom summer to frost, on new wood, so cut back hard late winter</t>
  </si>
  <si>
    <t>Purple-Blue bloom, Orange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</si>
  <si>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</si>
  <si>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</si>
  <si>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</si>
  <si>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</si>
  <si>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</si>
  <si>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</si>
  <si>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Amethyst bloom, Yellow eye</t>
  </si>
  <si>
    <t>True-Blue bloom. Yellow-Orange eye</t>
  </si>
  <si>
    <t>Pink bloom, Raspberry eye</t>
  </si>
  <si>
    <t>Raspberry Eyes has Gray-Green foliage and a fragrance.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</si>
  <si>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</si>
  <si>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</si>
  <si>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</si>
  <si>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Royal Purple bloom, orange eye</t>
  </si>
  <si>
    <t xml:space="preserve">   Retail Price</t>
  </si>
  <si>
    <t>&amp; other notes</t>
  </si>
  <si>
    <t>Aralia Ivy Tree</t>
  </si>
  <si>
    <t>Fatshedera lizei</t>
  </si>
  <si>
    <t>Deep Maroon-Red bloom</t>
  </si>
  <si>
    <t>7'×8'</t>
  </si>
  <si>
    <t>Soft Pink to Purple bloom</t>
  </si>
  <si>
    <t>Ballet is intensely fragrant, one of the strongest rebloomers, with flowers on old and new wood. Green foliage to leaf drop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</si>
  <si>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</si>
  <si>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</si>
  <si>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</si>
  <si>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</si>
  <si>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</si>
  <si>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</si>
  <si>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</si>
  <si>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</si>
  <si>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Crimson Doll Green foliage turns Yellow in fall. Fragrant. Smooth tan bark</t>
  </si>
  <si>
    <t>True Red bloom</t>
  </si>
  <si>
    <t>First Frost Hosta</t>
  </si>
  <si>
    <t>Hosta 'First Frost'</t>
  </si>
  <si>
    <t>Homestead Hot Pink Verbena</t>
  </si>
  <si>
    <t>Verbena canadensis 'Homestead Hot Pink' PP#34360</t>
  </si>
  <si>
    <t>Homestead' Hot Pink bloom, like other Verbena, has star-shaped flowers that bloom May through frost.</t>
  </si>
  <si>
    <t>Japanese Fatsia</t>
  </si>
  <si>
    <t>Fatsia japonica</t>
  </si>
  <si>
    <t>Spiraea japonica 'Lemon Princess'</t>
  </si>
  <si>
    <t>Qty 70, 1.5-2ft Spr</t>
  </si>
  <si>
    <t>Spiraea japonica 'Little Princess'</t>
  </si>
  <si>
    <t>Little Volcano Bush Clover</t>
  </si>
  <si>
    <t>Lespedeza thunbergii 'Little Volcano'</t>
  </si>
  <si>
    <t>Pale Purple-Pink bloom</t>
  </si>
  <si>
    <t>Red-Pink to Magenta bloom</t>
  </si>
  <si>
    <t>Hot Pink to Magenta bloom</t>
  </si>
  <si>
    <t>Weeping Blue Atlas Cedar</t>
  </si>
  <si>
    <t>Cedrus atlantica 'Glauca Pendula'</t>
  </si>
  <si>
    <t>Weeping Blue Atlas steel-blue needles makes for a dramatic specimen. Will spill over a wall</t>
  </si>
  <si>
    <t>Andorra Juniper</t>
  </si>
  <si>
    <t>Juniperus horizontalis 'Plumosa Compacta'</t>
  </si>
  <si>
    <t>18"×6'</t>
  </si>
  <si>
    <t>Andorra is compact &amp; finely textured with soft foliage that turns Plum-Purple in winter. Sun/heat/drought tolerant</t>
  </si>
  <si>
    <t>Brilliant Red Chokeberry</t>
  </si>
  <si>
    <t>Aronia arbutifolia 'Brilliantissima'</t>
  </si>
  <si>
    <t>Century Plant</t>
  </si>
  <si>
    <t>Agave americana</t>
  </si>
  <si>
    <t>Colossus Oyama Magnolia</t>
  </si>
  <si>
    <t>Magnolia sieboldii 'Colossus'</t>
  </si>
  <si>
    <t>Common Persimmon</t>
  </si>
  <si>
    <t>Diaspyros virginiana L.</t>
  </si>
  <si>
    <t>60'×35'</t>
  </si>
  <si>
    <t>White to Yellow bloom</t>
  </si>
  <si>
    <t>Common Persimmon fruit is orange &amp; sweet. Fragrant blooms. Requires both male and female plants to set fruit</t>
  </si>
  <si>
    <t>Corinthian White Flowering Peach</t>
  </si>
  <si>
    <t>Prunus persica 'Corinthian White' PP#11493</t>
  </si>
  <si>
    <t>Dwarf Flowering Almond</t>
  </si>
  <si>
    <t>Prunus glandulosa 'Rosea'</t>
  </si>
  <si>
    <t>28-30"</t>
  </si>
  <si>
    <t>Cornus kousa 'Galzam' PP#15788</t>
  </si>
  <si>
    <t>Galilean sports extra-large flowers. Late summer fruit resembles raspberiies. Exfoliating gray bark</t>
  </si>
  <si>
    <t>Hearts of Gold Eastern Redbud</t>
  </si>
  <si>
    <t>Cercis canadensis 'Hearts of Gold' PP#17740</t>
  </si>
  <si>
    <t>Koreanspice viburnum</t>
  </si>
  <si>
    <t>Viburnum carlesii</t>
  </si>
  <si>
    <t>Hyd. arborescens 'SMNHRL' PP#34418</t>
  </si>
  <si>
    <t>Tourmaline Green bloom, pink hue</t>
  </si>
  <si>
    <t>Scarff's Red Flowering Quince</t>
  </si>
  <si>
    <t>Chaenomeles speciosa 'Scarff's Red'</t>
  </si>
  <si>
    <t>Cornus kousa 'Rutpink' PP#28311</t>
  </si>
  <si>
    <t>Fuchsia bloom</t>
  </si>
  <si>
    <t>Scarlet Fire is very showy, very long blooming (up to 8 weeks), and rather disease resistant</t>
  </si>
  <si>
    <t>Hyd. macrophylla 'Hortmafarfa' PP#32164</t>
  </si>
  <si>
    <t>Cornus x florida 'Retgen' PP#7207Exp.</t>
  </si>
  <si>
    <t>Stellar Pink's dark green foliage turns purplish-red in the fall. Produces no fruit</t>
  </si>
  <si>
    <t>Sungold St. John's Wort</t>
  </si>
  <si>
    <t>Hypericum patalum 'Sungold'</t>
  </si>
  <si>
    <t>Sweet Summer Hydrangea</t>
  </si>
  <si>
    <t>Hyd. paniculata 'Bokrathirteen' PP#21778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</si>
  <si>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</si>
  <si>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</si>
  <si>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</si>
  <si>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</si>
  <si>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Qty 2 Nice, 1.5ft Spr</t>
  </si>
  <si>
    <t>Qty 160 Nice, 2ft HT</t>
  </si>
  <si>
    <t>pruned</t>
  </si>
  <si>
    <t>Hyd. paniculata 'Hpopr013' PP#27472</t>
  </si>
  <si>
    <t>pruned 12" (8/19)</t>
  </si>
  <si>
    <t>30"×36"</t>
  </si>
  <si>
    <t>White to Pale Pink bloom</t>
  </si>
  <si>
    <t>Burgundy Lace is notable for its finely dissected, lace-like foliage that holds its color well, gradually turning Green, then Yellow-Gold in fall</t>
  </si>
  <si>
    <t>White bloom, Red-Pink eye</t>
  </si>
  <si>
    <t>24" x 24" | very nice</t>
  </si>
  <si>
    <t>30-36" h</t>
  </si>
  <si>
    <t>15" x 15-18" | very nice | native</t>
  </si>
  <si>
    <t>pruned 12" spread (8/19)</t>
  </si>
  <si>
    <t>12-15" x 12-15" | good color</t>
  </si>
  <si>
    <t>10-12" x 10-12" | very nice | JCRA Choice Plant</t>
  </si>
  <si>
    <t>10" x 10-12"</t>
  </si>
  <si>
    <t>18" h | very nice | great for pot up</t>
  </si>
  <si>
    <t>5-6' h | 1-1.25" cal.</t>
  </si>
  <si>
    <t>Young, 1-1.25ft Spr</t>
  </si>
  <si>
    <t>Qty 1700</t>
  </si>
  <si>
    <t>Hearts of Gold has heart-shaped, Chartreuse-Gold leaves that hold their color all summer. New foliage that has an Orange-Red tint</t>
  </si>
  <si>
    <t>18" x 15-18" | great shape | very nice</t>
  </si>
  <si>
    <t>3.5-4' h | very nice | native</t>
  </si>
  <si>
    <t>Pardon Me Daylily</t>
  </si>
  <si>
    <t>Hemerocallis 'Pardon Me'</t>
  </si>
  <si>
    <t>Red bloom, Lime throat</t>
  </si>
  <si>
    <t>15" w | bud/bloom | 15-18" w | bud/bloom</t>
  </si>
  <si>
    <t>Purple d'Oro Daylily</t>
  </si>
  <si>
    <t>Hemerocallis 'Purple d'Oro'</t>
  </si>
  <si>
    <t>Purple, Yellow throat</t>
  </si>
  <si>
    <t>Qty 1800</t>
  </si>
  <si>
    <t>30"×42"</t>
  </si>
  <si>
    <t>pruned 13" (8/19)</t>
  </si>
  <si>
    <t>18-24" x 20-24" | bud/bloom | very nice</t>
  </si>
  <si>
    <t>Dark Burgundy-Red foliage</t>
  </si>
  <si>
    <t>Red Dragon known for twisted Burgundy stems. Foliage Bronzes by late season, then Yellow-Copper in fall. Showy Red winter catkins,</t>
  </si>
  <si>
    <t>12" x 12" | young crop | 12-15" x 12-15" | native cultivar</t>
  </si>
  <si>
    <t>20-24" h | very nice | native</t>
  </si>
  <si>
    <r>
      <rPr>
        <sz val="10.5"/>
        <color rgb="FF974706"/>
        <rFont val="Arial"/>
        <family val="2"/>
      </rPr>
      <t xml:space="preserve"> </t>
    </r>
    <r>
      <rPr>
        <b/>
        <sz val="12"/>
        <color rgb="FF974706"/>
        <rFont val="Arial"/>
        <family val="2"/>
      </rPr>
      <t>⇩</t>
    </r>
    <r>
      <rPr>
        <sz val="12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type</t>
    </r>
    <r>
      <rPr>
        <sz val="10"/>
        <color rgb="FF002060"/>
        <rFont val="Arial"/>
        <family val="2"/>
      </rPr>
      <t xml:space="preserve">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10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on each self-plant</t>
    </r>
  </si>
  <si>
    <t>Diane Witch Hazel</t>
  </si>
  <si>
    <t>Coppery-Red bloom</t>
  </si>
  <si>
    <t>Red-Purple bloom</t>
  </si>
  <si>
    <t>Koreanspice known for incredibly fragrant flower clusters that bloom in early spring, and its attractive Reddish-Purple fall foliage</t>
  </si>
  <si>
    <t>Magenta-Purple bloom</t>
  </si>
  <si>
    <t>Little Volcano is a non-invasive, late-blooming shrub with cascading stems and vibrant pea-like flowers. Green foliage turns Yellow-Gold in fall</t>
  </si>
  <si>
    <t>Coral-Red-Orange bloom</t>
  </si>
  <si>
    <t>Major Wheeler is a vine know for its extended flowering period of bright blooms, and its low-maintenance, non-seeding nature. Blue-Green foliage yellows in fall</t>
  </si>
  <si>
    <t>Yellow-Gold bloom</t>
  </si>
  <si>
    <t>Candy-Pink bloom</t>
  </si>
  <si>
    <t>Sunburst Witch Hazel</t>
  </si>
  <si>
    <t>Planting Service:</t>
  </si>
  <si>
    <t>Multi-stem; Ht 6'; Great Structure; NICE</t>
  </si>
  <si>
    <t>Staked; Ht 26-28" x Wd 24" now; Nice (Next crop November)</t>
  </si>
  <si>
    <t>Ht 5'-5.5'; Very Nice</t>
  </si>
  <si>
    <t>Ht 6'-7'; Very Nice</t>
  </si>
  <si>
    <t>Ht 7-8' now; Cal. 1-1.25"; Very Nice (Next crop October)</t>
  </si>
  <si>
    <t>Ht 8-8.5' now; Cal 1.75"; Nice</t>
  </si>
  <si>
    <t>New crop; Ht 6-6.5' now; Nice</t>
  </si>
  <si>
    <t>New crop; Ht 6-6.5'; NICE; Cal 1"</t>
  </si>
  <si>
    <t>Ready November</t>
  </si>
  <si>
    <t>Ready July 2026</t>
  </si>
  <si>
    <t>Proven Winner pot; Ht 4.5' - tipping 5'; Nice</t>
  </si>
  <si>
    <t>Ht 26"-30"; Very Nice</t>
  </si>
  <si>
    <t>Ht 5' now; NICE</t>
  </si>
  <si>
    <t>MSTF; Ht 6' now; NICE</t>
  </si>
  <si>
    <t>Ht 13-15" x Wd 18-20"; Very nice</t>
  </si>
  <si>
    <t>Ht 34-40"; Very nice</t>
  </si>
  <si>
    <t>STD (Top Grafted on Standard); Graft at 34"; Overall Ht 5-5.5'; NICE</t>
  </si>
  <si>
    <t>Ready October 15th</t>
  </si>
  <si>
    <t>Multi-stem; Ht 5.5-6'; Great Structure; Very nice</t>
  </si>
  <si>
    <t>Multi-stem; Ht 4.5-5'; NICE</t>
  </si>
  <si>
    <t>New crop; Ht 13-14"; Look good</t>
  </si>
  <si>
    <t>Ht 6-7' now; Full tops; Nice</t>
  </si>
  <si>
    <t>Ht 7-8'; Cal 1.0-1.25"; Nice</t>
  </si>
  <si>
    <t>Ht 8.5-9.5'; Cal 1.75-2"; Nice</t>
  </si>
  <si>
    <t>Ht 8-9'; Cal 1-1.25"; Very NICE</t>
  </si>
  <si>
    <t>Ht 9.5-10'; Cal 1.25"; Nice</t>
  </si>
  <si>
    <t>Ht 9-10'; Cal 1.5-1.75"; Nice (Next crop October)</t>
  </si>
  <si>
    <t>Ht 6-6.5'; Nice</t>
  </si>
  <si>
    <t>Multi-stem; Ht 8.5-9'; Great Structure; NICE</t>
  </si>
  <si>
    <t>Standard; Ht 10' Cal 1.5-1.75"; NICE</t>
  </si>
  <si>
    <t>Standard; Ht 12-13'; Cal 2.25"; Branch height at 5'; NICE</t>
  </si>
  <si>
    <t>Ht 7-8'; Nice; Winter Look</t>
  </si>
  <si>
    <t>Ht 4.5-5' now; NICE; Full</t>
  </si>
  <si>
    <t>Ht 36-38"; Full; Very Nice (Next Crop July 15th)</t>
  </si>
  <si>
    <t>Ht 8-9"; Look good</t>
  </si>
  <si>
    <t>Ht 5.5-6.5' now; Very nice</t>
  </si>
  <si>
    <t>Ht 7-7.5'; NICE</t>
  </si>
  <si>
    <t>Selection of Elderberry/Native: Gold Foliage; (Ht 28"-30" now)</t>
  </si>
  <si>
    <t>Ht 4.5-5'; Full; Nice</t>
  </si>
  <si>
    <t>Ht 6-6.5' now; Very Nice</t>
  </si>
  <si>
    <t>Ht 6.5-7.5'; Cal 1.25-1.5"; Very Nice</t>
  </si>
  <si>
    <t>Ht 8-8.5'; Cal 1.75-2"; Very Nice (Next crop June 2025)</t>
  </si>
  <si>
    <t>Ready May 2026</t>
  </si>
  <si>
    <t>Ht 5.5'; Nice</t>
  </si>
  <si>
    <t>New crop; Ht 6.5'-7' now; Look Great; Great Color</t>
  </si>
  <si>
    <t>Ht 9-9.5'; Cal 2.25-2.5"; Very nice</t>
  </si>
  <si>
    <t>Pom Pom; Ht 24-28" x Wd 4'; Low, wide spreading; 3-5 Pom Poms per plant; Nice</t>
  </si>
  <si>
    <t>Ht 34-36" x Wd 4-4.5'; Some scarring on trunk; Okay</t>
  </si>
  <si>
    <t>Ht 3.5' now; Very nice (Next crop October 15th)</t>
  </si>
  <si>
    <t>Ht 4-4.5'; Nice</t>
  </si>
  <si>
    <t>Ht 5.5'; Nice (Next Crop October- 80)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</si>
  <si>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</si>
  <si>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</si>
  <si>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4-4.5'; Very nice</t>
  </si>
  <si>
    <t>New crop; Ht 7.5-8'; NICE</t>
  </si>
  <si>
    <t>Ht 9'; Cal 1.25-1.5"; NICE</t>
  </si>
  <si>
    <t>Ht 11-12; Cal 2.25-2.5"; Look good (Next crop November- 180)</t>
  </si>
  <si>
    <t>Spiral; Ht 7-7.5' now; Average</t>
  </si>
  <si>
    <t>Multi-stem Tree Form; Ht 7.5' now - Great Structure; Canopy width 5'; Very nice</t>
  </si>
  <si>
    <t>Ht 10-11'; Cal 1.5-1.75"; NICE</t>
  </si>
  <si>
    <t>Ht 3.5-4' now; Nice; Good color</t>
  </si>
  <si>
    <t>Ht 6-6.5' now; Very nice; Great color</t>
  </si>
  <si>
    <t>Ht 24-26" now; Very Nice; Great for shade</t>
  </si>
  <si>
    <t>Ht 5.5-6' now; Very nice</t>
  </si>
  <si>
    <t>Ht 6'-7' now; Very Nice</t>
  </si>
  <si>
    <t>Ht 7-8' now; NICE</t>
  </si>
  <si>
    <t>New Crop; Ht 4-4.5'; NICE</t>
  </si>
  <si>
    <t>Ht 6.5'; Cal 2"; NICE</t>
  </si>
  <si>
    <t>First Editions; Ht 15-16" x Wd 16-18"; NICE; Bud/Bloom</t>
  </si>
  <si>
    <t>Ht 3.5' now; Look good</t>
  </si>
  <si>
    <t>Ht 5.5'; Sheared; Staked; Full; NICE</t>
  </si>
  <si>
    <t>STD Cone; Overall Ht 8'; Clear trunk to 24"; Top sheared cone</t>
  </si>
  <si>
    <t>Ht 6' now; Staked; Very Nice</t>
  </si>
  <si>
    <t>Ht 6-6.5'; Cal 1.75-2"; NICE</t>
  </si>
  <si>
    <t>Sculptured; New crop; Ht 5-6'; Nice Specimens</t>
  </si>
  <si>
    <t>Ht 5-5.5'; Very nice</t>
  </si>
  <si>
    <t>Ht 6'; Very nice (Next crop Sept. 15th)</t>
  </si>
  <si>
    <t>Ready October</t>
  </si>
  <si>
    <t>Ht 32-36" now; Very nice</t>
  </si>
  <si>
    <t>Ht 5-6' now; Okay; (Trunks slight crooks)(Next crop October 1st)</t>
  </si>
  <si>
    <t>Ht 7.5-8'; Okay</t>
  </si>
  <si>
    <t>Shrub Form; Low Branched; Ht 4.5-5'; Flushing from prune</t>
  </si>
  <si>
    <t>Ht 36-38" now; Flushing; Full; NICE</t>
  </si>
  <si>
    <t>New crop; Ht 6-7'; Very nice</t>
  </si>
  <si>
    <t>Ht 9-9.5'; Cal 2"; Look Good</t>
  </si>
  <si>
    <t>Ht 44-48" x Wd 24-25"; Nice; Light pruned; Flushing nice</t>
  </si>
  <si>
    <t>Single Stem Tree Form; Ht 5.5'-6' now; Very Nice</t>
  </si>
  <si>
    <t>New crop; Ht 4-4.5'; Look good</t>
  </si>
  <si>
    <t>Ht 4-4.5'; Very Nice</t>
  </si>
  <si>
    <t>Ht 30-32"; Sheared; Nice Conical Shape</t>
  </si>
  <si>
    <t>Tri-pod Staked; Ht 42-44"; Very Nice (Next Crop November)</t>
  </si>
  <si>
    <t>Espalier: Ht. 36" x Wd. 24" on Trellis; Nice</t>
  </si>
  <si>
    <t>Espalier; New Crop; Ht 32-36 x Wd 30-32 on trellis; Still Young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</si>
  <si>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</si>
  <si>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</si>
  <si>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</si>
  <si>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</si>
  <si>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"New" New crop; Ht 4.5'-5'; Nice</t>
  </si>
  <si>
    <t>Ht 5' now; Good fullness; NICE (Green Upright Atlas Cedar)</t>
  </si>
  <si>
    <t>B/B potted into 20 gal pot; Ht 36" now; NICE</t>
  </si>
  <si>
    <t>Ht 8-9' now; Look good</t>
  </si>
  <si>
    <t>New Crop; Ht 16-17" x Wd 18-19"; Nice</t>
  </si>
  <si>
    <t>Ht 42" x Wd 26-28"; NICE</t>
  </si>
  <si>
    <t>Ht 4.5-5.5'; Nice (Next crop November)</t>
  </si>
  <si>
    <t>Ht 5.5-6'; Good</t>
  </si>
  <si>
    <t>New Crop; Ht 5.5-6'; NICE</t>
  </si>
  <si>
    <t>Ht 8'; Cal 1.75-2"; Nice (Next Crop October)</t>
  </si>
  <si>
    <t>Ht 7'-7.5' now; Nice</t>
  </si>
  <si>
    <t>Ht 26-28"; Full; NICE</t>
  </si>
  <si>
    <t>Ht 3.5-4';Very full</t>
  </si>
  <si>
    <t>New crop; Ht 15-18"; Look good; Tops Pruned lightly</t>
  </si>
  <si>
    <t>Tree Form; Ht 6-6.5'; Very nice</t>
  </si>
  <si>
    <t>Single Trunk Tree Form; Ht 6.5' now; Very nice</t>
  </si>
  <si>
    <t>Patio Tree; Ht 20-22" now with canopy spread 21-22"; Okay</t>
  </si>
  <si>
    <t>Pom Pom; Ht 33-36" x Wd 40-42"; NICE</t>
  </si>
  <si>
    <t>Sculptured Serpentine Trunk with Pom Pom; New, Young Crop Ht 36-38" NICE (Next Crop May 2026)</t>
  </si>
  <si>
    <t>Ht 5' x Wd 32-33"; Look good</t>
  </si>
  <si>
    <t>MSTF; Ht 5-5.5' now; Very nice and great structure!</t>
  </si>
  <si>
    <t>STD; Single Trunk; Ht 5-5.5' now; Look Good</t>
  </si>
  <si>
    <t>Ht 8-9'; Cal 1.25"</t>
  </si>
  <si>
    <t>Ht 10-10.5'; Cal 2-2.25"; Nice</t>
  </si>
  <si>
    <t>Ht 9'; Cal 2.5-2.75" now; NICE</t>
  </si>
  <si>
    <t>B/B in 20 gal pot; Ht 4.5'+; NICE</t>
  </si>
  <si>
    <t>Ht 7-8'; Very nice</t>
  </si>
  <si>
    <t>Single stem; Ht 36-38"; NICE</t>
  </si>
  <si>
    <t>Multi-Stem; Ht 28-32" now; Very nice</t>
  </si>
  <si>
    <t>Multi-stem; Ht 42-46"; Very nice</t>
  </si>
  <si>
    <t>Multi-stem; Ready November</t>
  </si>
  <si>
    <t>Standard; Top Grafted on 32" Standard (Natchez Understock); Ht 5'; Nice</t>
  </si>
  <si>
    <t>Ht 4.5-5'; Look good (Next crop October)</t>
  </si>
  <si>
    <t>Ht 21-22" x Wd 24-25"; NICE; Good gold color</t>
  </si>
  <si>
    <t>Multi-stem (3); Ht 8-8.5' now; Very nice</t>
  </si>
  <si>
    <t>Ht 15-16"; Very Nice</t>
  </si>
  <si>
    <t>Ht 24-27"; Nice (Next Crop December)</t>
  </si>
  <si>
    <t>Standard; Overall Ht 42-44"; Clear trunk to 24-28"; Top spread 24"; Nice</t>
  </si>
  <si>
    <t>Standard; Ht 30-32" x Wd 36"; Spread 36" Weeping down to ground; NICE (Next crop May 2026)</t>
  </si>
  <si>
    <t>Sculptured; Serpentine trunk with layered Pom Poms; Ht 3.5' now; SUPER NICE</t>
  </si>
  <si>
    <t>Ht 23-24"</t>
  </si>
  <si>
    <t>Top Grafted on 32" Std (Natchez Understock); Overall Ht 5-5.5'; NICE</t>
  </si>
  <si>
    <t>Ht 8'; Cal .75"-1"; Nice</t>
  </si>
  <si>
    <t>Ht 8-8.5'; Cal 1.25-1.5" now; NICE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</si>
  <si>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</si>
  <si>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</si>
  <si>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</si>
  <si>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</si>
  <si>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</si>
  <si>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</si>
  <si>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</si>
  <si>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</si>
  <si>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</si>
  <si>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</si>
  <si>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</si>
  <si>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2-Ball Topiary; Ready Spring 2026</t>
  </si>
  <si>
    <t>Multi Stem Tree Form; Ht 6.5-7'; NICE</t>
  </si>
  <si>
    <t>Spiral; Ht 6-7'; Very Nice</t>
  </si>
  <si>
    <t>Ht 7-7.5'; Base width 4-5'; Nice</t>
  </si>
  <si>
    <t>Ht 46-48"; Good</t>
  </si>
  <si>
    <t>Ht 5.5-6' now; NICE</t>
  </si>
  <si>
    <t>Ht 6-6.5'; Cal 1.25-1.5"; Very Nice</t>
  </si>
  <si>
    <t>Ht 7.5-8.5'; Cal 1.5-1.75"; Nice</t>
  </si>
  <si>
    <t>New Young crop; Ht 9-10'; Cal 2.25-2.5"; NICE; Single trunk branched at 32-34"</t>
  </si>
  <si>
    <t>Standard; Top Graft on 32" STD (Natchez Understock); Overall Ht 5.5-6'; Nice</t>
  </si>
  <si>
    <t>Standard (Top Grafted; Natchez Understock); Ht 6.5'; Clear trunk to 3'; NICE</t>
  </si>
  <si>
    <t>Staked Single Trunk Tree Form; Ready June 2026</t>
  </si>
  <si>
    <t>Standard (Tree Form); Overall Ht 6-6.5'; Clear trunk to 36"; NICE</t>
  </si>
  <si>
    <t>Ht 6-7'; NICE</t>
  </si>
  <si>
    <t>Ht 7.5-8'; NICE</t>
  </si>
  <si>
    <t>Ht 8.5-9'; Cal 1.25-1.5"; Very nice</t>
  </si>
  <si>
    <t>Ht 15-16" x Wd 17-18"; Nice</t>
  </si>
  <si>
    <t>Ht 14-15"; Full; Very Nice; Great for mass plantings (Next crop in October)</t>
  </si>
  <si>
    <t>Ht 3-3.5' now; Very nice</t>
  </si>
  <si>
    <t>Ht 4-4.5' now; Very Nice</t>
  </si>
  <si>
    <t>Single Trunk Tree Form; Ht 7-8'; NICE</t>
  </si>
  <si>
    <t>Ht 38-46"; Staked; Look good!</t>
  </si>
  <si>
    <t>Ht 15-16" x Wd 32-34"; NICE</t>
  </si>
  <si>
    <t>Standard; Overall Ht 32-40"; Graft at 18-22"; Nice</t>
  </si>
  <si>
    <t>Ht 30-34"; Look good</t>
  </si>
  <si>
    <t>Ht 4.5-5'; Look good</t>
  </si>
  <si>
    <t>New crop; Ht 9-10" x Wd 12-14"; Nice</t>
  </si>
  <si>
    <t>Ht 15-16" x Wd 20-21" now; Very nice</t>
  </si>
  <si>
    <t>Ht 32-34"; Very full; NICE</t>
  </si>
  <si>
    <t>New crop; Ht 4.5-5'; Nice</t>
  </si>
  <si>
    <t>New crop; Ht 6'; NICE</t>
  </si>
  <si>
    <t>Ht 5.5-6'; NICE (Next crop May- 55)</t>
  </si>
  <si>
    <t>Ready May 26'</t>
  </si>
  <si>
    <t>Ht 6'; Cal 1.5"; NICE</t>
  </si>
  <si>
    <t>New crop; Ht 32-34"; NICE</t>
  </si>
  <si>
    <t>Standard; New crop; Ht 5.5-6' now; Clear trunk to 18-24"; Nice</t>
  </si>
  <si>
    <t>Standard; Ht 6'; Clear trunk to 22-24"; Narrow tops 20" wide; Full; Nice</t>
  </si>
  <si>
    <t>Ht 6.5-7' now; NICE</t>
  </si>
  <si>
    <t>New crop; Ht 6'-6.5' now; Nice</t>
  </si>
  <si>
    <t>Ready December</t>
  </si>
  <si>
    <t>Ht 4-4.5' now</t>
  </si>
  <si>
    <t>Ht 3.5-5.5'; Staked; Very nice</t>
  </si>
  <si>
    <t>Ht 4.5' now; Look good</t>
  </si>
  <si>
    <t>Ht 16-18"; Full; NICE</t>
  </si>
  <si>
    <t>Ready May 15th-June 1st</t>
  </si>
  <si>
    <t>Ht 40-42"; Nice</t>
  </si>
  <si>
    <t>Ht 4.5'; NICE</t>
  </si>
  <si>
    <t>Ht 32-34"; Very nice; Flushing from tip prune</t>
  </si>
  <si>
    <t>Single Trunk Tree Form; Ht 4.5-5'; Very nice</t>
  </si>
  <si>
    <t>New crop; Ht 17-18"; Nice</t>
  </si>
  <si>
    <t>New/Unique; Ht 24-26"; Nice</t>
  </si>
  <si>
    <t>Standard; Top Grafted; Overall Ht tipping 4'; Clear trunk to 18"; Super nice</t>
  </si>
  <si>
    <t>Ht 4-4.5'; Full; Good (Tall; Narrow)</t>
  </si>
  <si>
    <t>Ht 6-6.5' ; Cal 1.75-2"; Nice</t>
  </si>
  <si>
    <t>Ht 7.5', Cal 3.5"; Very Nice</t>
  </si>
  <si>
    <t>Single Trunk; Ht 6.5-7.5' now</t>
  </si>
  <si>
    <t>Single Trunk; Ht 7'; Nice</t>
  </si>
  <si>
    <t>Single Trunk; Ht 8.5-9'; Cal 1.25-1.5"; Nice</t>
  </si>
  <si>
    <t>Ht 5'-5.5'; Nice</t>
  </si>
  <si>
    <t>Ht 4.5-5'; Nice (Next Crop October)</t>
  </si>
  <si>
    <t>Ready December (Ht 4' now)</t>
  </si>
  <si>
    <t>Ht 42-46" now; Very Nice</t>
  </si>
  <si>
    <t>New crop; Ht 32-40" now; NICE</t>
  </si>
  <si>
    <t>Ht 4-5'; Average</t>
  </si>
  <si>
    <t>Ht 19-20" x Wd 23-24"; Very Nice</t>
  </si>
  <si>
    <t>Ht 4'-5'; Good; Lightly rooted</t>
  </si>
  <si>
    <t>Ht 6-6.5'; Cal 1.75-2"; Nice (Dwarf Zelkova)</t>
  </si>
  <si>
    <t>Standard; Overall Ht 34-38"; Clear trunk to 17-18"; Top width 32-34"; Very Nice (Next crop December)</t>
  </si>
  <si>
    <t>Ht 4.5-5.5' x Wd 4-4.5'; Nice</t>
  </si>
  <si>
    <t>Pom Pom; Ready May 2026</t>
  </si>
  <si>
    <t>Ht 7'; Nice</t>
  </si>
  <si>
    <t>New Crop; Ht 8-9'; Cal 1.25"; Nice</t>
  </si>
  <si>
    <t>Ht 11'; Cal 2.25-2.75"; Good (Don't all match)</t>
  </si>
  <si>
    <t>Ht 6'; NICE</t>
  </si>
  <si>
    <t>Ht 8-8.5'; Cal 1.5"+; Look Good</t>
  </si>
  <si>
    <t>Ht 15-16" x Wd 24-26"; NICE</t>
  </si>
  <si>
    <t>Ht 13-15" x Wd 15-16"; Sheared; Full; Good color</t>
  </si>
  <si>
    <t>Ht 18-23" now; Very Nice</t>
  </si>
  <si>
    <t>Standard (Top Grafted); Young Crop; Overall Ht 32-34"; Clear Trunk to 20"' Top Spread 15-16"; NICE (Next crop December)</t>
  </si>
  <si>
    <t>Ht 5.5'; NICE</t>
  </si>
  <si>
    <t>Ht 5-5.5'; Very Nice</t>
  </si>
  <si>
    <t>Ht 6-7'; Look good</t>
  </si>
  <si>
    <t>Tree Form; Ht 6-6.5'; Okay; Summer look</t>
  </si>
  <si>
    <t>Multi Stem and Single Stem Tree Forms; Ready November 15th</t>
  </si>
  <si>
    <t>Standard; Overall Ht 36-38"; Top grafted on 16" STD.; top width 28-32" now; NICE</t>
  </si>
  <si>
    <t>Ht 26-28" x Wd 26-28"; Nice; Full; Good Color; Little light around bottoms</t>
  </si>
  <si>
    <t>Ready May/June 2026</t>
  </si>
  <si>
    <t>Ht 16-18'; Cal 5"; Nice</t>
  </si>
  <si>
    <t>Ht 3-3.5'; Nice; Good Color</t>
  </si>
  <si>
    <t>Ht 5-5.5'; Great foliage; Very Nice; Sheared Full</t>
  </si>
  <si>
    <t>Tree Form Single Trunk; Ht 48-54" now; Some leaf burn; Reflushing now</t>
  </si>
  <si>
    <t>Ht 6' x Wd 6-7' now; Look Good; Unique fleets of yellow/white in foliage</t>
  </si>
  <si>
    <t>Multi Stem Tree Form (Ht 6' now); NICE</t>
  </si>
  <si>
    <t>New crop; Ht 7-7.5' now; NICE</t>
  </si>
  <si>
    <t>Ht 9-10; Cal 1-1.25"; Very nice</t>
  </si>
  <si>
    <t>Ht 5.5-6'; Nice</t>
  </si>
  <si>
    <t>Ht 8.5-9'; Look good;</t>
  </si>
  <si>
    <t>New crop; Ht tipping 10.5' x Wd at base 5-5.5'; NICE</t>
  </si>
  <si>
    <t>2-ball Topiary; Ht 3'; Good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</si>
  <si>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</si>
  <si>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</si>
  <si>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</si>
  <si>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</si>
  <si>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</si>
  <si>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</si>
  <si>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28-32" now; NICE</t>
  </si>
  <si>
    <t>Ht 36"; Good</t>
  </si>
  <si>
    <t>Ht 3-3.5'; Very Nice; Staked</t>
  </si>
  <si>
    <t>Staked; Ht 7-8'; Very nice (Native Cultivar)</t>
  </si>
  <si>
    <t>Ht 14" x Wd 22-24"; Nice</t>
  </si>
  <si>
    <t>New crop; Ht 7' now; Very nice</t>
  </si>
  <si>
    <t>Young Crop; Ht 7.5' now; Cal 1-1.25"</t>
  </si>
  <si>
    <t>Ht 6.5'-7'; Nice</t>
  </si>
  <si>
    <t>Ht 18-22" x Wd 23-24"; Nice (Next Crop Fall - 330)</t>
  </si>
  <si>
    <t>Ready October (Ht 18-20" x Wd 22-24" now; Need to finish)</t>
  </si>
  <si>
    <t>Ht 30-32" x Wd 34-36"; Nice</t>
  </si>
  <si>
    <t>Ht 5.5-6.5' now; Okay</t>
  </si>
  <si>
    <t>Ht 5-5.5' staked; Nice</t>
  </si>
  <si>
    <t>Oriental Pom Pom; Ht 5.5-6.5' now; Nice Specimens</t>
  </si>
  <si>
    <t>(Slow Grower); Ht 40-42" now; Very nice</t>
  </si>
  <si>
    <t>(Slow Grower); Ht 44-48" now; Very nice; (Next crop October 15th)</t>
  </si>
  <si>
    <t>Slow Grower; Ht 5.5-6' now; NICE</t>
  </si>
  <si>
    <t>New; Soft Gold Colored Foliage; Ht 18-20" x Wd 28-30"</t>
  </si>
  <si>
    <t>Ht 36-38" x Wd 48-54" now; Okay</t>
  </si>
  <si>
    <t>Heat and cold tolerant sequoia; Ht 6-7'; Okay</t>
  </si>
  <si>
    <t>Ht 10-11'; Average fullness; Light at bottom; Looks Good</t>
  </si>
  <si>
    <t>MSTF; Ht 6' now; Good</t>
  </si>
  <si>
    <t>Single Stem; Ht 6-6.5' now; Nice)</t>
  </si>
  <si>
    <t>Young crop; Ht 5.5' now; Average (Next crop December)</t>
  </si>
  <si>
    <t>Ht 4.5-5'; Nice; Slow Grower</t>
  </si>
  <si>
    <t>Nice Specimens; Cone shaped; Unique; Ht 6.5' now; Branched low</t>
  </si>
  <si>
    <t>Single Stem Tree Form; New Crop; Ht 5.5' now; Nice</t>
  </si>
  <si>
    <t>New crop; Ht 3.5-4'; Lightly rooted; NICE</t>
  </si>
  <si>
    <t>Ht 7'-8'; Open non-uniform shapes; Good</t>
  </si>
  <si>
    <t>Ht 48-52" x Wd 30-32"; Full; Nice</t>
  </si>
  <si>
    <t>Single Stem TF; Ht 4.5'; Very nice (Next crop October)</t>
  </si>
  <si>
    <t>Ht 5.5-6' now; NICE (Next crop October)</t>
  </si>
  <si>
    <t>Ht 6-7'; Very Nice; Cal 1.25"</t>
  </si>
  <si>
    <t>Ht 6-6.5'; Cal. 1.5";Nice</t>
  </si>
  <si>
    <t>Ht 5-6'; Nice</t>
  </si>
  <si>
    <t>Ht 9'; Cal 1.75"; Very Nice (Next Crop June 2026)</t>
  </si>
  <si>
    <t>Ht 4.5-5' now; Very NICE</t>
  </si>
  <si>
    <t>Top Grafted; Overall Ht 4.5'; Clear trunk to 32"; Top width 3.5'; Very nice</t>
  </si>
  <si>
    <t>Espalier; Ht 6-6.5' x Wd 3.5-4' on trellis; NICE</t>
  </si>
  <si>
    <t>Ht 3.5'-4' now; Single Trunk; Nice</t>
  </si>
  <si>
    <t>Ht 4.5-5'; Single Trunk; Very nice</t>
  </si>
  <si>
    <t>Ht 6.5-7.5'; NICE</t>
  </si>
  <si>
    <t>Ht 7-7.5'; Very nice</t>
  </si>
  <si>
    <t>Ht 11-12'; Cal 3-3.5"; Nice</t>
  </si>
  <si>
    <t>Ht 22-23" now; Gold colored Fastigiata (Some light sun scold)</t>
  </si>
  <si>
    <t>Ht 4.5'; Fast Upright form; Very nice</t>
  </si>
  <si>
    <t>Multi stem; Ready May 2026</t>
  </si>
  <si>
    <t>Ht 9-10' now; Cal. 1.25"; Very NICE</t>
  </si>
  <si>
    <t>New crop; Ht 8-9'; Cal 1-1.25" now; Nice</t>
  </si>
  <si>
    <t>Ht 10-11' now; Cal 1.75"; Good</t>
  </si>
  <si>
    <t>Ht 6-7' x Spread 7-8'; Cal 3.5-3.75"; Very Nice; Specimens</t>
  </si>
  <si>
    <t>Ht 5.5-6' now; Very Nice</t>
  </si>
  <si>
    <t>Ht 5.5' now; Very Nice</t>
  </si>
  <si>
    <t>New crop; Ht 6' now; NICE</t>
  </si>
  <si>
    <t>Ht 42-46"; Full; Nice</t>
  </si>
  <si>
    <t>Ht 8-9'; Cal 1.25" plus; NICE</t>
  </si>
  <si>
    <t>Ht 9-10'; Cal 1.75-2" now; Nice</t>
  </si>
  <si>
    <t>First Editions; Ht 22-24"; Great Color</t>
  </si>
  <si>
    <t>Young crop; Ht 28" x Wd 22-23"; Still young</t>
  </si>
  <si>
    <t>Multi-stem Tree Form; Ht 6.5-7'; Canopy spread 4'</t>
  </si>
  <si>
    <t>New crop; Young; Ht 24" now (very slow grower)</t>
  </si>
  <si>
    <t>Ht 4.5-5' now; Very nice</t>
  </si>
  <si>
    <t>Ht 5.5-6'; Cal 2.5";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</si>
  <si>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</si>
  <si>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</si>
  <si>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</si>
  <si>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</si>
  <si>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</si>
  <si>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Ht. 28" x Wd. 24"; Nice; Full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</si>
  <si>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</si>
  <si>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</si>
  <si>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</si>
  <si>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</si>
  <si>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Our own compact sport of Green Giant; Ht 5-5.5'</t>
  </si>
  <si>
    <t>Our own compact sport of Green Giant; Ht 44-50"; Stocky, Full; NICE</t>
  </si>
  <si>
    <t>Ht 8'; Cal .75"; Look Nice</t>
  </si>
  <si>
    <t>Ht 9-10'; Cal 1.5"; Look nice</t>
  </si>
  <si>
    <t>Ht 6-7'; Nice</t>
  </si>
  <si>
    <t>Ht 4.5'+; Very Nice</t>
  </si>
  <si>
    <t>Ht 6-7'; Very nice</t>
  </si>
  <si>
    <t>New crop; Ht 40-44"; Look good</t>
  </si>
  <si>
    <t>Ht 4.5-5.5'; Very nice</t>
  </si>
  <si>
    <t>Ht 5.5'; Very nice</t>
  </si>
  <si>
    <t>Ht 6.5' now; Very Nice</t>
  </si>
  <si>
    <t>Ht 6.5-7' now; Cal 1.75"; Very Nice; Weeping</t>
  </si>
  <si>
    <t>Young crop; Ht 30-32"; Some buds; Look good</t>
  </si>
  <si>
    <t>Ht 6-7'; Nice (Fragrant Flowers)</t>
  </si>
  <si>
    <t>Ht 8-9' now; Nice</t>
  </si>
  <si>
    <t>Ht 48-52" now; NICE (Next crop November)</t>
  </si>
  <si>
    <t>Pom Pom; Ht 46-48" x Wd 6.5-7' now; 7 Pom Poms per plant; Specimens</t>
  </si>
  <si>
    <t>Multi-stem; Ht 4.5-5'; Good structure; Good</t>
  </si>
  <si>
    <t>Multi-stem; Ht 6.5-7' now; Good Structure</t>
  </si>
  <si>
    <t>Ht 24-28" now; Nice; Full</t>
  </si>
  <si>
    <t>Standard; Overall Ht 5.5' grafted at 3'; NICE</t>
  </si>
  <si>
    <t>Ht 3.5-4'; Nice; Sheared; Full</t>
  </si>
  <si>
    <t>Ht 4.5'; Very full; NICE</t>
  </si>
  <si>
    <t>Ht 20-24" now; NICE</t>
  </si>
  <si>
    <t>New crop; Single Stem; Ht 6'; Nice</t>
  </si>
  <si>
    <t>Multi-stem; Ht 5.5-6.5' now; Very Nice</t>
  </si>
  <si>
    <t>Single stem: Ht 8-8.5'; Cal 1-1.25"; NICE</t>
  </si>
  <si>
    <t>Ht 16-18" x Wd 16-17"; Look Good</t>
  </si>
  <si>
    <t>Ht 19-20" x Wd 24-26"; NICE</t>
  </si>
  <si>
    <t>Ht 20-21" x Wd 28-30"; Very Nice</t>
  </si>
  <si>
    <t>Ht 26"x Wd 36-38"; Very Nice</t>
  </si>
  <si>
    <t>Multi-stem; New crop; Ht 7-7.5'; NICE</t>
  </si>
  <si>
    <t>Standard; Ht 8'; Cal 1.5"; Nice; Clear trunk 4.5-5'</t>
  </si>
  <si>
    <t>Multi-stem; Ht 8.5-9' now; Nice; Great Structure</t>
  </si>
  <si>
    <t>Ht 4.5-5'; Very full; NICE; Great new Holly</t>
  </si>
  <si>
    <t>Ht 24-30"; NICE; Buds</t>
  </si>
  <si>
    <t>Ht 20-24"; NICE</t>
  </si>
  <si>
    <t>Multi-stem; Ht 7.5-8'; Very nice</t>
  </si>
  <si>
    <t>Standard; Overall Ht 8.5-9'; Branched at 4-4.5'; Cal 2-2.25"</t>
  </si>
  <si>
    <t>Ht 6-6.5'; Very nice; Flushing from light prune</t>
  </si>
  <si>
    <t>NEw crop; Ht 42-46"; Full; NICE</t>
  </si>
  <si>
    <t>New crop; Ht 4-4.5'; Sheared; Nice</t>
  </si>
  <si>
    <t>New crop; Ht 7-7.5' now x base width 4.5'; Sheared; NICE</t>
  </si>
  <si>
    <t>Ht 32-36" x Wd 30-32"; Very Nice; Great Color</t>
  </si>
  <si>
    <t>Ht 4' x Wd 4-4.5' now; Very Nice</t>
  </si>
  <si>
    <t>Ht 3.5-4.5'; Very Nice (New Weeping Dark Leaf Snowbell)</t>
  </si>
  <si>
    <t>Ht 10-11'; Cal 2.25''; Look Nice</t>
  </si>
  <si>
    <t>Ht 6-6.5'; Very nice</t>
  </si>
  <si>
    <t>Ht 8.5-9' (Don't Match Exactly)</t>
  </si>
  <si>
    <t>Ht 5-5.5'; Look good</t>
  </si>
  <si>
    <t>Ht 8.5-9'; Cal 1.25-1.5"; NICE</t>
  </si>
  <si>
    <t>Ht 10-11'; Cal 1.75-2"' Nice (Next crop Nov. 240)</t>
  </si>
  <si>
    <t>Ht 36-40" x Wd 30-34"; NICE</t>
  </si>
  <si>
    <t>Ht 6.5-7' now; A little thin; Okay</t>
  </si>
  <si>
    <t>New crop; Ht 5-5.5'; Low branched; Very nice</t>
  </si>
  <si>
    <t>New crop; Ht 13-14"; Good</t>
  </si>
  <si>
    <t>Ht 6' now; Good</t>
  </si>
  <si>
    <t>Our own selection of Bald Cypress; New Crop; Ht 9'; Cal 2" now; Nice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</si>
  <si>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</si>
  <si>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</si>
  <si>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</si>
  <si>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</si>
  <si>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</si>
  <si>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6'-6.5'; Nice</t>
  </si>
  <si>
    <t>Ht 7-8'; Cal 1"; Very nice; Full tops</t>
  </si>
  <si>
    <t>Ht 11-12'; Cal 3.75-4"; Nice</t>
  </si>
  <si>
    <t>Ht 9-9.5'; Cal 1-1.25"; NICE</t>
  </si>
  <si>
    <t>Ht 9-9.5'; Cal 1.5" now; Nice</t>
  </si>
  <si>
    <t>Ht 5-6'; Very nice</t>
  </si>
  <si>
    <t>Bottom bud; Ht 7-7.5'; Branching starts around 3'; Very nice</t>
  </si>
  <si>
    <t>Ht 5-5.5' now; NICE</t>
  </si>
  <si>
    <t>Top Grafted on 32" STD (Natchez Understock) Overall Ht 5.5-6' now; Nice</t>
  </si>
  <si>
    <t>Standard (Top Grafted); Natchez Understock; Ht 7-7.5' now; Clear trunk to 32"; NICE</t>
  </si>
  <si>
    <t>Ht 4.5-5' now; Look good</t>
  </si>
  <si>
    <t>Young crop; Ht 11-12"; Lightly rooted</t>
  </si>
  <si>
    <t>Ht 11-12" x Wd 15-16";Good</t>
  </si>
  <si>
    <t>Ht 8-8.5'; Cal. .75"; NICE (Next crop Oct. 15th-Nov. 1- 130)</t>
  </si>
  <si>
    <t>Ht 6-6.5'; Nice (Next Crop June 15th - July 1st)</t>
  </si>
  <si>
    <t>Ht 8-8.5'; Cal 1.5"; Okay/average</t>
  </si>
  <si>
    <t>Ht 14-16" x Wd 24-26" now; NICE (Next Crop Sept.)</t>
  </si>
  <si>
    <t>Ht. 14-16" x Wd. 28-30"; NICE</t>
  </si>
  <si>
    <t>Top Grafted Standard; Overall Ht 30-36" clear trunk to 16"; Very nice</t>
  </si>
  <si>
    <t>New crop; Ht 13-15" x Wd 24-26"; Look good</t>
  </si>
  <si>
    <t>Ht 13-15" x Wd 16-18"; Very nice (Southern Living branded pot)</t>
  </si>
  <si>
    <t>New crop; Ht 4-4.5'; NICE</t>
  </si>
  <si>
    <t>Ready June 2026</t>
  </si>
  <si>
    <t>Young crop; Ht 8.5'-9'; Cal 1.75"-2"</t>
  </si>
  <si>
    <t>Young new crop; Ht 11-12" x Wd 14-15"; Great red new growth</t>
  </si>
  <si>
    <t>Ht 4.5-5' now; Nice</t>
  </si>
  <si>
    <t>Ht 36-42''; Look Good</t>
  </si>
  <si>
    <t>Ht 4-4.5'; Very Nice (Proven Winner Pot)</t>
  </si>
  <si>
    <t>Ht 20-21" x Wd 20-21"; Good</t>
  </si>
  <si>
    <t>Single Trunk TF (Grafted Clone); Ht 5.5-6'; Awesome; Clear trunk to 36"</t>
  </si>
  <si>
    <t>MS (Grafted Clone); Ht 4.5-5'; Nice; More Shrubby</t>
  </si>
  <si>
    <t>Single Trunk Tree Form; Ht 6.5-7' now; Very nice</t>
  </si>
  <si>
    <t>Tree Form; Ht 4.5'; Recently pruned; Good</t>
  </si>
  <si>
    <t>Tree Form; Overall Ht 5.5'; Canopy Spread 30-32"; NICE; Recently pruned</t>
  </si>
  <si>
    <t>Ht 5'; Sheared; Full; Very nice</t>
  </si>
  <si>
    <t>Ht 7-8'; Limbed up; to head Ht 3-4'; Cal 1.25"; NICE</t>
  </si>
  <si>
    <t>Single Trunk Tree Form; Ht 6'-6.5' now; Very NICE</t>
  </si>
  <si>
    <t>Ht 18-22"; NICE (Flushing from prune)</t>
  </si>
  <si>
    <t>Ht 28-32" x Wd 24-26"; Nice</t>
  </si>
  <si>
    <t>Ht 28-32" x Wd 30-36"; NICE</t>
  </si>
  <si>
    <t>Ht 9-10'; Cal 4-4.25; Okay (Foliage Variations)</t>
  </si>
  <si>
    <t>Ht 11-12'; Cal 2-2.25"; Very Nice (Next crop December)</t>
  </si>
  <si>
    <t>Ht 9-10'; Cal 1-1.25"; Very Nice</t>
  </si>
  <si>
    <t>Ht 11-12'; Cal 2-2.25"; Very Nice</t>
  </si>
  <si>
    <t>Ht 5.5-6' now; NICE (A little tip burn)</t>
  </si>
  <si>
    <t>Ht 14-15" x Wd 14-15"; Look good</t>
  </si>
  <si>
    <t>New crop; Ht 4.5-5'; NICE</t>
  </si>
  <si>
    <t>Ht 3.5-4'; NICE</t>
  </si>
  <si>
    <t>Single Trunk Tree Form; New crop; Ht 5-5.5' now; NICE</t>
  </si>
  <si>
    <t>Patio Tree: 18" STD; Overall Ht 36; Very nice</t>
  </si>
  <si>
    <t>Ht 5-5.5'; Cal 1.5-1.75"; Very Nice (Next crop October)</t>
  </si>
  <si>
    <t>Ht 5.5-6'; Cal 2.25-2.5"; Very Nice: Specimens; Full to ground</t>
  </si>
  <si>
    <t>PomPom; Ht 32-33"; Very Nice</t>
  </si>
  <si>
    <t>Multi-stem; Ht 6' now; NICE</t>
  </si>
  <si>
    <t>Ht. 4-4.5'; Look Good (Next Crop November)</t>
  </si>
  <si>
    <t>Young new crop; Ht 5.5-6'; Lightly rooted</t>
  </si>
  <si>
    <t>Ht 7-8'; Very Nice</t>
  </si>
  <si>
    <t>Ht 4.5-5'; NICE</t>
  </si>
  <si>
    <t>Ht 5-5.5' now; Very NICE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</si>
  <si>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</si>
  <si>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</si>
  <si>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</si>
  <si>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Ht 7.5'; Cal 2.25"; Very Nice</t>
  </si>
  <si>
    <t>Ht 5-5.5' now; Very nice; Most Low branched; Very Full; NICE</t>
  </si>
  <si>
    <t>Ht 8-8.5'; Very Nice; Caliper 2-2.5" (Next crop July 26')</t>
  </si>
  <si>
    <t>Ht 3.5-4' x Wd 24-28" now; Nice; Look good</t>
  </si>
  <si>
    <t>Tree Form; Ht 5-5.5'; Very nice</t>
  </si>
  <si>
    <t>Ht 4'-4.5'; Look Nice</t>
  </si>
  <si>
    <t>Tree Form; Ht 5.5-6'; NICE</t>
  </si>
  <si>
    <t>MSTF; Ht 5.5-6'; Very nice</t>
  </si>
  <si>
    <t>Ht 7-8'; Look Good</t>
  </si>
  <si>
    <t>Ht 8-9'; Cal 1.25-1.5"; Very nice; Bud/blooms</t>
  </si>
  <si>
    <t>Ht 9-10'; Cal 1.5-1.75"; Nice</t>
  </si>
  <si>
    <t>STD; Top Grafted at 32"; Overall Ht 4.5-5'; Top width 34-36"; Very nice</t>
  </si>
  <si>
    <t>STD; Overall Ht 52"; Clear Trunk to 30"; Top Spread 24"; Nice</t>
  </si>
  <si>
    <t>Ht 22-23" x Wd 24-26" now; Nice</t>
  </si>
  <si>
    <t>Ht 4.5'; Very Full; Nice</t>
  </si>
  <si>
    <t>Ht 5-5.6'; Nice</t>
  </si>
  <si>
    <t>Ht 4.5-5' now; Tops not uniform; Okay (Next crop Spring 26')</t>
  </si>
  <si>
    <t>Ht 6-6.5'; NICE</t>
  </si>
  <si>
    <t>Great Variegated Bamboo; Flushing from prune; Ht 28-34"; NICE</t>
  </si>
  <si>
    <t>Ht 4'; Nice</t>
  </si>
  <si>
    <t>Ht 4.5-5'; Okay</t>
  </si>
  <si>
    <t>Ht 9-10'; Cal 1.5-1.75"; Okay; Narrow habit</t>
  </si>
  <si>
    <t>Standard; New crop; Overall Ht 26-28" with top spread 26-28"; NICE</t>
  </si>
  <si>
    <t>New crop; Ht 38-42"; Look good</t>
  </si>
  <si>
    <t>Ht 3.5-4' now; NICE</t>
  </si>
  <si>
    <t>Ht 5-6' now; Look good</t>
  </si>
  <si>
    <t>Ht 4.5' now; Very nice</t>
  </si>
  <si>
    <t>Ready February 2026</t>
  </si>
  <si>
    <t>Ht 34-36"; Okay</t>
  </si>
  <si>
    <t>New crop; Ht 30-32"; Very nice</t>
  </si>
  <si>
    <t>Ready May 2026 (projected)</t>
  </si>
  <si>
    <t>Ht 12-14'; Cal. 1.5"; NICE (Next crop September 15th)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</si>
  <si>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</si>
  <si>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</si>
  <si>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</si>
  <si>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</si>
  <si>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8'; Looks Good; Not Heavy Caliper</t>
  </si>
  <si>
    <t>New crop; Conical pruned; Ht 28-32"; NICE</t>
  </si>
  <si>
    <t>Ht 7'; NICE</t>
  </si>
  <si>
    <t>New crop; Ht 7.5-8'; Look good</t>
  </si>
  <si>
    <t>Ht 28-30" x Wd 24-26" now; NICE; Full; Buds</t>
  </si>
  <si>
    <t>Ht 6-7' now; NICE</t>
  </si>
  <si>
    <t>Ht 36-37" now; Full; Okay</t>
  </si>
  <si>
    <t>Ht 7-7.5' now; NICE</t>
  </si>
  <si>
    <t>PATIO TREE; Overall Ht 4-4.5'; Clear trunk to 24"; Very nice</t>
  </si>
  <si>
    <t>Ht 5.5-6.5' now; Nice</t>
  </si>
  <si>
    <t>Ht 6' now; NICE</t>
  </si>
  <si>
    <t>Ht 7.5-8'; Cal 1-1.25"; NICE</t>
  </si>
  <si>
    <t>Ht 9-10'; Cal 1.25-1.5"; NICE</t>
  </si>
  <si>
    <t>Ht 10-11'; Cal 2-2.25" now; Nice</t>
  </si>
  <si>
    <t>Ht 24-26" x Wd 23-25" now; Good color; Bottoms Thin</t>
  </si>
  <si>
    <t>Ht 32" x Wd 30"; Good color; Bottoms thin</t>
  </si>
  <si>
    <t>Ht 4'-5'; Nice</t>
  </si>
  <si>
    <t>Ht 15-16" now; Very nice</t>
  </si>
  <si>
    <t>New crop; Ht 28-30" now; NICE; Full</t>
  </si>
  <si>
    <t>Ht 8'; Nice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</si>
  <si>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</si>
  <si>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</si>
  <si>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</si>
  <si>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</si>
  <si>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</si>
  <si>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Standard: Overall Ht 6.5-7'; Clear trunk to 32-34"; NICE</t>
  </si>
  <si>
    <t>Ht 4.5-5'; Very nice</t>
  </si>
  <si>
    <t>Espalier; New Young Crop; Ht 5.5' x Wd 28-32" on trellis; Very nice</t>
  </si>
  <si>
    <t>Ht 32-36" x Wd 28-30" now; Nice (Next crop Oct 15th)</t>
  </si>
  <si>
    <t>Ready Spring 2026</t>
  </si>
  <si>
    <t>Single Trunk STD; Ht 8-8.5'; Very nice</t>
  </si>
  <si>
    <t>Ht 5'; Nice</t>
  </si>
  <si>
    <t>NEW (Compact "Dwarf" Ceph. prostrata); Ht 8-10" x Wd 18-20"; Very full</t>
  </si>
  <si>
    <t>Ready April/May 2026</t>
  </si>
  <si>
    <t>Multi-stem; Ht 6.5-7'; NICE structure</t>
  </si>
  <si>
    <t>Standard; Ht 6.5-7' now; Very nice; Good tops</t>
  </si>
  <si>
    <t>New crop; Ht 4.5-5' now; NICE (Next Crop May 2026)</t>
  </si>
  <si>
    <t>Ht 7.5-8'; Very nice; Cal 1-1.25"</t>
  </si>
  <si>
    <t>Ht 5-5.5'; Very Nice (Next crop Spring 26' - 220)</t>
  </si>
  <si>
    <t>Ht. 8.5-9'; cal 2.25-2.5"; Very Nice</t>
  </si>
  <si>
    <t>New crop; Top Grafted on 18" STD; Ht 4.5-5'; Very NICE</t>
  </si>
  <si>
    <t>Ht 7.5' Cal 1.25"; Very Nice</t>
  </si>
  <si>
    <t>Ht 5.5-6'; Very Nice</t>
  </si>
  <si>
    <t>Ht 6.5-7.5'; cal 2.25"; Very Nice (All low branched)</t>
  </si>
  <si>
    <t>Ht 28-30" x Wd 30-34"; Nice; Various shapes</t>
  </si>
  <si>
    <t>Ht 7-7.5'; Nice</t>
  </si>
  <si>
    <t>Ht 8.5-9.5'; Cal 1.5"; Nice; Branch Ht 2.5-4' (specify height requested)</t>
  </si>
  <si>
    <t>Ht 38-42"; Very Nice (Next crop ready June 26')</t>
  </si>
  <si>
    <t>Ht 10'; Cal 1.5-1.75"; NICE (Next crop July 2026)</t>
  </si>
  <si>
    <t>Ht 36-40"; Very full; Tight</t>
  </si>
  <si>
    <t>Ht 6-6.5'; Look good</t>
  </si>
  <si>
    <t>Ht 24" x Wd 16-17"; Okay</t>
  </si>
  <si>
    <t>Ht 20-28"; Full; Very nice</t>
  </si>
  <si>
    <t>Ht 4.5'; Very Nice</t>
  </si>
  <si>
    <t>Ht 28-32" x Wd 18-22"; Good Color; Nice</t>
  </si>
  <si>
    <t>Ht 4-5' Nice; Full</t>
  </si>
  <si>
    <t>Ht 7-8'; Good Buffer Material; Not for Specimens</t>
  </si>
  <si>
    <t>Ht 32-38" x Top Width 30-34"; Nice</t>
  </si>
  <si>
    <t>Ht 32-34 x Wd 34-38"; Nice</t>
  </si>
  <si>
    <t>New crop; Ht 34-36" x Wd 32-36"; NICE</t>
  </si>
  <si>
    <t>Ht 42-44" x Wd 4.5-5'; Very Nice</t>
  </si>
  <si>
    <t>Ht 7-7.5' now; Nice</t>
  </si>
  <si>
    <t>Ht 32-46" x Wd 40-48"; Very Nice</t>
  </si>
  <si>
    <t>Multi-stem Tree Form; Ht 5-5.5' now; Full; Nice; Heavy Tops</t>
  </si>
  <si>
    <t>Standard; New young crop; Ht 5'; Canopy Wd 32-34"; 34" clear trunk; Very Nice</t>
  </si>
  <si>
    <t>Multi-stem Tree Form; Ht 5.5' x Canopy Wd 5'; Very nice; Sheared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</si>
  <si>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</si>
  <si>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</si>
  <si>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</si>
  <si>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</si>
  <si>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4-4.5'; Limb-up Single Stem; Nice; Good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</si>
  <si>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</si>
  <si>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</si>
  <si>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</si>
  <si>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</si>
  <si>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5.5-6'; Staked; Leader tied; Very nice</t>
  </si>
  <si>
    <t>Ht 8' staked; Good leader; NICE</t>
  </si>
  <si>
    <t>Multi-Stem; Ht 34-38"; NICE</t>
  </si>
  <si>
    <t>Standard (Tree Form - Single Trunk); Ready May 2026</t>
  </si>
  <si>
    <t>Ht 10-11'; Cal 2"; look good</t>
  </si>
  <si>
    <t>New crop; Ht 8-10"; A little thin</t>
  </si>
  <si>
    <t>New crop; Green/White Variegated Foliage; Ht 4-4.5'; Nice</t>
  </si>
  <si>
    <t>Green/White Variegated Foliage; Ht 4.5'-5.5'; Very Nice</t>
  </si>
  <si>
    <t>Ht 32-36"; Sheared; Full; NICE (Better with next flush)</t>
  </si>
  <si>
    <t>Ht 6-7'; Nice; Full; Limbed up MS Tree Form</t>
  </si>
  <si>
    <t>Ht 21" x Wd 17-18"; Full; Very Nice</t>
  </si>
  <si>
    <t>Ht 26" x Wd 32" now; NICE</t>
  </si>
  <si>
    <t>Ht. 5-5.5'; Nice</t>
  </si>
  <si>
    <t>Ht 36-38" now; Very nice</t>
  </si>
  <si>
    <t>New Young Crop; Ht 18"-20" now; Look Good; Still flushing</t>
  </si>
  <si>
    <t>Ht 42-48"; NICE, Good Color</t>
  </si>
  <si>
    <t>New crop; Ht 6.57'; NICE</t>
  </si>
  <si>
    <t>Tree Form; Ht 6-7'; Very nice</t>
  </si>
  <si>
    <t>Ht. 36-40"; Nice; Unique zig zag trunk and branches (LIMIT OF 3)</t>
  </si>
  <si>
    <t>Ht 6-6.5'; Very nice; Unique zig zag trunk and branches</t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</si>
  <si>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</si>
  <si>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t/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</si>
  <si>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</si>
  <si>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</si>
  <si>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t xml:space="preserve"> 2 Year+ 50% Warranty</t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</si>
  <si>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</si>
  <si>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</si>
  <si>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</si>
  <si>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</si>
  <si>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t xml:space="preserve">       (want to prevent plants from every moving, even at growers)</t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</si>
  <si>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</si>
  <si>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</si>
  <si>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</si>
  <si>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</si>
  <si>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</si>
  <si>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</si>
  <si>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</si>
  <si>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</si>
  <si>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</si>
  <si>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</si>
  <si>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</si>
  <si>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</si>
  <si>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</si>
  <si>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</si>
  <si>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</si>
  <si>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</si>
  <si>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</si>
  <si>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</si>
  <si>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</si>
  <si>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</si>
  <si>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</si>
  <si>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</si>
  <si>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</si>
  <si>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Chartreuse to Golden foliage</t>
  </si>
  <si>
    <t>Angelina Sedum forms a vivid Chartreuse mat that turns Copper-Orange in fall. Yellow summer blooms. Semi-evergreen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</si>
  <si>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</si>
  <si>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</si>
  <si>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</si>
  <si>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</si>
  <si>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Yellow to Chartreuse bloom</t>
  </si>
  <si>
    <t>Golden Spring has fragrant late-winter bloom, vivid Golden-Chartreuse spring leaves, and warm Butter-Gold fall color. Best located in bright shade</t>
  </si>
  <si>
    <t>30'×7'</t>
  </si>
  <si>
    <t>Marbled Rose-Pink bloom</t>
  </si>
  <si>
    <t>Pink "smoke"</t>
  </si>
  <si>
    <t>Sapphire Blue bloom</t>
  </si>
  <si>
    <t>Scarff's Red has a profusion of showy flowers that appear on bare branches in early spring. Dense, thorny habit that makes it an effective barrier plant</t>
  </si>
  <si>
    <t>Sunburst's large blooms look great against Blue-tinged Green foliage &amp; exfoliating Cinnamon-Brown bark</t>
  </si>
  <si>
    <t>Sungold has a profusion of flowers with prominent stamens that bloom over a long period, from summer into fall. Green foliage</t>
  </si>
  <si>
    <t>Sweet Summer has Green foliage. All "Hardy" Hydrangea have cone-shaped flowers on new wood. Flowers change color with age. Extremely cold-hardy</t>
  </si>
  <si>
    <t>Soft Pink-Mauve "smoke"</t>
  </si>
  <si>
    <t>Pink-Violet "smoke"</t>
  </si>
  <si>
    <t>Winter Jasmine is notable for its profusion unscented flowers that appear on its bare Green stems in late winter. Can be trailing vine with tying/support</t>
  </si>
  <si>
    <t>Asiatic Jasmine Vine</t>
  </si>
  <si>
    <t>12"×12'</t>
  </si>
  <si>
    <t>Asiatic jasmine forms a durable, evergreen carpet that can be invasive. Will climb if supported. Creamy Yellow, lightly fragrant blooms</t>
  </si>
  <si>
    <t>Green culms age to Black</t>
  </si>
  <si>
    <t>24"×10'</t>
  </si>
  <si>
    <t>Confederate (AKA 'Star') Jasmine has shiny foliage that is attractive even after the fragrant Creamy White blooms pass. Will climb with support</t>
  </si>
  <si>
    <t>Golden-Yellow culms</t>
  </si>
  <si>
    <t>Pink Muhly has thread-like, Dark Blue-Green foliage, supporting the blooms from September to November</t>
  </si>
  <si>
    <t>Green &amp; White variegation</t>
  </si>
  <si>
    <t>Snow-N-Summer known for it's tricolor foliage, emerging White, then variegated. Can be invasive. Can be trained to climb up a trellis</t>
  </si>
  <si>
    <t>Summer Sunset Asiatic Jasmine Vine</t>
  </si>
  <si>
    <t>Multicolor foliage</t>
  </si>
  <si>
    <t>Dark Green fronds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</si>
  <si>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</si>
  <si>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</si>
  <si>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</si>
  <si>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</si>
  <si>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</si>
  <si>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</si>
  <si>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</si>
  <si>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White bloom, Pink tinge</t>
  </si>
  <si>
    <t>Himalayan perfumes shady winter gardens with intensely fragrant spidery blooms, then sets Blue-Black berries. Green foliage</t>
  </si>
  <si>
    <t>Margarita is notable for its excellent cold hardiness. Fragrant, somewhat larger, trumpet-shaped flowers appear in early spring</t>
  </si>
  <si>
    <t>15"×20"</t>
  </si>
  <si>
    <t>Navajo Princess forms a crisp, symmetrical rosette with wide Creamy White margins, Blue-Green centers, and Light Purple freckles</t>
  </si>
  <si>
    <t>Deep Red bloom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</si>
  <si>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</si>
  <si>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</si>
  <si>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</si>
  <si>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</si>
  <si>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</si>
  <si>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</si>
  <si>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</si>
  <si>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</si>
  <si>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</si>
  <si>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6-7 ht x 3-4.5' sp</t>
  </si>
  <si>
    <t>3' ht x 36-46" sp</t>
  </si>
  <si>
    <t>3' ht. &amp; sp.</t>
  </si>
  <si>
    <t>6' ht x 3.5-4.5' sp</t>
  </si>
  <si>
    <t>Ht 40-42" now; Full; NICE</t>
  </si>
  <si>
    <t>15-18", blooms (9/3)</t>
  </si>
  <si>
    <t xml:space="preserve">4-5' ht x 2.5-3.5' sp </t>
  </si>
  <si>
    <t xml:space="preserve">6' ht x 2.5-3.5' sp </t>
  </si>
  <si>
    <t>4-6.5' ht x 1"c</t>
  </si>
  <si>
    <t>12-15" x 18-20" | great color</t>
  </si>
  <si>
    <t xml:space="preserve">12-15" ht x 18-24" sp </t>
  </si>
  <si>
    <t>Ht 7-7.5' now; Very nice</t>
  </si>
  <si>
    <t>Ht 15-16" x Wd 26-28" now</t>
  </si>
  <si>
    <t>Ht 18-24"</t>
  </si>
  <si>
    <t xml:space="preserve">15-18 ht x 22-25"sp </t>
  </si>
  <si>
    <t>Ht 18-19" x Wd 19-20" now</t>
  </si>
  <si>
    <t xml:space="preserve">5.5-6" ht x 28-36" sp </t>
  </si>
  <si>
    <t>1-1.25" cal. | 8-9' h | good color</t>
  </si>
  <si>
    <t>Ht 7-8'; Okay; SALE PRICE</t>
  </si>
  <si>
    <t>15-18" x 15-18" | very nice | bud/bloom</t>
  </si>
  <si>
    <t>24" h | young crop / lightly rooted</t>
  </si>
  <si>
    <t xml:space="preserve">24" ht x 36-38" sp </t>
  </si>
  <si>
    <t>5-6' ht x 30-36" sp</t>
  </si>
  <si>
    <t xml:space="preserve">15-18" ht x 18-24" sp </t>
  </si>
  <si>
    <t>10-12"x15-18"</t>
  </si>
  <si>
    <t>24" ht x 22-24" sp</t>
  </si>
  <si>
    <t>NICE; Ht 4-4.5' now</t>
  </si>
  <si>
    <t>24-28" ht x 24-28" sp</t>
  </si>
  <si>
    <t>4' ht &amp; sp</t>
  </si>
  <si>
    <t>3' ht x 20-24" sp</t>
  </si>
  <si>
    <t>24 x 20" | very nice | bud/bloom</t>
  </si>
  <si>
    <t>6' ht x 3' sp</t>
  </si>
  <si>
    <t>Hyd. paniculata 'SMNHPH' PP#33207</t>
  </si>
  <si>
    <t>Lime Green ages to Pink-Red</t>
  </si>
  <si>
    <t>18-24" x 18" | bud/bloom</t>
  </si>
  <si>
    <t>10-15" ht x 18-20" sp</t>
  </si>
  <si>
    <t>SALE 18-20"</t>
  </si>
  <si>
    <t>2-2.5' ht x 28-30" sp</t>
  </si>
  <si>
    <t>1.25-1.5" cal. | 6-6.5' h | very nice</t>
  </si>
  <si>
    <t>Ht 6'</t>
  </si>
  <si>
    <t>22-28"ht x 15-18" sp</t>
  </si>
  <si>
    <t>22-24" ht &amp; sp</t>
  </si>
  <si>
    <t>nice, mature ht 25ft qty 30, Full / Low Branched, 5.5ft HT</t>
  </si>
  <si>
    <t>8-10" x 15-18" | very nice | bud/bloom</t>
  </si>
  <si>
    <t>10" x 15-18" | bud/bloom | very nice</t>
  </si>
  <si>
    <t>12-15" ht x 18-24"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</si>
  <si>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</si>
  <si>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</si>
  <si>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</si>
  <si>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</si>
  <si>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24-28" ht x 15-18" sp</t>
  </si>
  <si>
    <t>Ht 10-12" x Wd 23-26"; NICE</t>
  </si>
  <si>
    <t>Single Trunk Tree Form; Ht 5'-5.5' now; Very NICE- typical Aesculus foliage now</t>
  </si>
  <si>
    <t>18-24' ht x 20-24" sp</t>
  </si>
  <si>
    <t xml:space="preserve">3' ht x 24" sp </t>
  </si>
  <si>
    <t>3' ht x 24-30" sp</t>
  </si>
  <si>
    <t>3-3.5' h | B Grade - reduced price | 30-36" h</t>
  </si>
  <si>
    <t>Single Trunk TF; Ht 6-7' now; NICE</t>
  </si>
  <si>
    <t>.5" cal | 5-5.5' h | native cultivar</t>
  </si>
  <si>
    <t>18" x 15" | very nice | full of buds</t>
  </si>
  <si>
    <t>28-36" ht &amp; 24-28" sp</t>
  </si>
  <si>
    <t>3-4 ht &amp; sp</t>
  </si>
  <si>
    <t>4-4.5' h | 1-1.25" cal. | young crop</t>
  </si>
  <si>
    <t>Tall; Ht 6.5'-7' now</t>
  </si>
  <si>
    <t>15-18" ht x 20-24" sp</t>
  </si>
  <si>
    <t>Ht 7' now; NICE</t>
  </si>
  <si>
    <t>SALE 36-42"</t>
  </si>
  <si>
    <t>Ht 8.5-9', cal 1.25"; NICE</t>
  </si>
  <si>
    <t>3' ht x 20-26" sp</t>
  </si>
  <si>
    <t>28-36" h | very nice | buds</t>
  </si>
  <si>
    <t>20"×26"</t>
  </si>
  <si>
    <t>24"×42"</t>
  </si>
  <si>
    <t>Golden-Yellow ray, Dark eye</t>
  </si>
  <si>
    <t>American Gold Rush blooms from midsummer to frost. Bred for increaset heat &amp; disease resistance</t>
  </si>
  <si>
    <t>24"×36"</t>
  </si>
  <si>
    <t>24"×48"</t>
  </si>
  <si>
    <t>Pale Lavender to White</t>
  </si>
  <si>
    <t>Scarlet-Red bloom</t>
  </si>
  <si>
    <t>Baby Gem keeps its glossy Bright Green foliage year-round. Cold/heat tolerant. Slow-growing, dense, and ideal for hedges and borders</t>
  </si>
  <si>
    <t>Bayou Bliss has Deep Burgundy-Red new growth and subtle Red late-winter blooms. Good boxwood alternative. Heat and drought tolerant</t>
  </si>
  <si>
    <t>Black Pearl known for it's exceptionally dark foliage, that holds it's color well through the growing season</t>
  </si>
  <si>
    <t>Bliss Parfuma has intensly fruity fragrance and up to 120  petals. Deadhead as needed. Thorny (rabbits may still nibble). Cut back annually</t>
  </si>
  <si>
    <t>Blue Ray named for unique Blue-Green foliage. Vibrant Red-Burgundy fall. Tan to Olive exfoliating bark</t>
  </si>
  <si>
    <t>Blueberry Pie has Green foliage and a fragrance. All BB bloom summer to frost, on new wood, so cut back hard late winter</t>
  </si>
  <si>
    <t>Drift Roses bloom all summer and don't need deadheading, Glossy Green foliage and thorns (rabbits may still nibble). Cut back annually</t>
  </si>
  <si>
    <t>Bobo has Green foliage. All "Hardy" Hydrangea have cone-shaped flowers on new wood. Flowers change color with age. Extremely cold-hardy</t>
  </si>
  <si>
    <t>Bolero has intensly traditional fragrance, hints of tropical fruit. Deadhead as needed. Thorny (rabbits may still nibble). Cut back annually</t>
  </si>
  <si>
    <t>Bouncy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</si>
  <si>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</si>
  <si>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24"×28"</t>
  </si>
  <si>
    <t>Bright Yellow bloom, Orange speckles</t>
  </si>
  <si>
    <t>24"×18"</t>
  </si>
  <si>
    <t>Tangerine-Orange bloom</t>
  </si>
  <si>
    <t>Carolina Sapphire Cypress</t>
  </si>
  <si>
    <t>Ready late September</t>
  </si>
  <si>
    <t>New crop; Ht 7.5'-8'; Nice</t>
  </si>
  <si>
    <t>Cast in Bronze foliage emergess Bronzy-Maroon. Subtle Reddish late winter blooms. Compact upright habit. Heat and drought tolerant</t>
  </si>
  <si>
    <t>Celestial Shadow bright yellow foliage variegated with deep green centers. Rather sun-tolerant dogwood</t>
  </si>
  <si>
    <t>Celestial known for prolific blooms of large, long lasting flowers. Dark Green foliage turns Purple-Red in fall</t>
  </si>
  <si>
    <t>Center Stage Coral is quite showy with striking dark, near black foliage contrating with bright flowers</t>
  </si>
  <si>
    <t>Ht 8'-8.5'; Cal 1.5"; Average at best (buffer material)</t>
  </si>
  <si>
    <t>Christmas Carol  is known for its graceful, semi-weeping habit and beautiful bell-shaped flowers that bloom from fall into early winter</t>
  </si>
  <si>
    <t>Chrysalis Blue has Grey-Green foliage.  All BB bloom summer to frost, on new wood, so cut back hard late winter</t>
  </si>
  <si>
    <t>Cinnamon Girl named for look of Plum-Purple new foliage against Blue-Green summer foliage. Subtle Red winter blooms. Heat/drought tol.</t>
  </si>
  <si>
    <t>Cornus x rutgersensis 'Rutcan' PP#7210Exp.</t>
  </si>
  <si>
    <t>Constellation has a vigorous habit and profuse blooming. Good resistance to anthracnose and borers</t>
  </si>
  <si>
    <t>Coppertone named for Coppery spring flush, matures to cool blue-green summer tones, then rich winter Purples. Heat and drought tolerant</t>
  </si>
  <si>
    <t>Knock Out bloom all summer and don't need deadheading. Glossy Green foliage and thorns (rabbits may still nibble). Cut back annually</t>
  </si>
  <si>
    <t>CranRazz has Gray-Green foliage and a fragrance. All BB bloom summer to frost, on new wood, so cut back hard late winter</t>
  </si>
  <si>
    <t>Crimson Fire has Deep Burgundy-Red foliage. Fringe-like flowers bloom periodically after spring</t>
  </si>
  <si>
    <t>Crown Point Holly is a striking, columnar evergreen with elongated foliage and a compact habit.Berries if pollinated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</si>
  <si>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</si>
  <si>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</si>
  <si>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</si>
  <si>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Double Dynamite bred for sterility, instead producing intense double blooms for a very long time</t>
  </si>
  <si>
    <t>Double Mint is a rebloomer, delivering waves of highly fragrant, double flowers from spring through fall. Glossy Dark Green foliage</t>
  </si>
  <si>
    <t>Dragon Baby has Green foliage. All "Hardy" Hydrangea have cone-shaped flowers on new wood. Flowers change color with age. Extremely cold-hardy</t>
  </si>
  <si>
    <t>Emerald Heights offers a dense, neat habit with glossy foliage and subtle Red late-winter blooms. Heat and drought tolerant</t>
  </si>
  <si>
    <t>Enduring Summer Red named for exceptionally long blooming period, with excellent mildew resistance</t>
  </si>
  <si>
    <t>Ever After Pink flowers from spring through fall, with high cold and heat tolerance. Tidy habit and good pollinator appeal</t>
  </si>
  <si>
    <t>Ulmus parvifolia 'BSNUPF' PP#17655</t>
  </si>
  <si>
    <t>Everclear has a narrow form that fits in more places. Very resistant to Dutch Elm disease. Yellow-Brown fall foliage</t>
  </si>
  <si>
    <t>Fire Light Tidbit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</si>
  <si>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</si>
  <si>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First Flame named for fiery shades of Orange and Red in the fall. Bred for cold resistance</t>
  </si>
  <si>
    <t>20"×36"</t>
  </si>
  <si>
    <t>Flirty Girl blankets sturdy supports with fragrant lacecaps on old wood. Purple-tinged spring foliage turns Rich Green, then Yellow in fall . Exfoliating bark</t>
  </si>
  <si>
    <t>Golden Oakland has striking Golden variegated foliage with oak-like leaves, offering bold year-round color</t>
  </si>
  <si>
    <t>16"×38"</t>
  </si>
  <si>
    <t>Goldsturm has large, long-lasting flowers that create a "gold storm" of color from mid-summer through fall</t>
  </si>
  <si>
    <t>Groovy Glow named for Burgundy to Purple winter hues and Orange-Yellow winter blooms. Burgundy spring foliage</t>
  </si>
  <si>
    <t>30"×48"</t>
  </si>
  <si>
    <t>Hearts A'fire Redbud foliage that emerges a Deep Red and retains its vibrant color throughout the summer</t>
  </si>
  <si>
    <t>36"×36"</t>
  </si>
  <si>
    <t>Red &amp; White flower</t>
  </si>
  <si>
    <t>Hot Lips displays blooms from spring to frost, shifting color with lower temps. Leaves have a scent of blackcurrant</t>
  </si>
  <si>
    <t>Hunny Bun has fine-textured foliage that glows. New growth Coppery-Bronze.  Small, fragrant, Creamy-White flower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</si>
  <si>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</si>
  <si>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</si>
  <si>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</si>
  <si>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</si>
  <si>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</si>
  <si>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16"×30"</t>
  </si>
  <si>
    <t>Lavender Twist has cascading blooms before leaf‑out atop twisted pendulous branches, Green foliage turns Yellow in fall</t>
  </si>
  <si>
    <t>Lemon Burst holds it's bold Golden foliage year-round. Green interior. Resists common needle blight</t>
  </si>
  <si>
    <t>Lemon Sunblaze blooms are "tiny works of art". Subtle fragrance. Deadhead as needed. Thorny (rabbits may still nibble). Cut back annually</t>
  </si>
  <si>
    <t>Limelight Prime has Dark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</si>
  <si>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</si>
  <si>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</si>
  <si>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</si>
  <si>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Prospect Witch Hazel</t>
  </si>
  <si>
    <t>Hamamelis virginiana 'Little Prospect''</t>
  </si>
  <si>
    <t>Little Quick Fire has Green foliage. All "Hardy" Hydrangea have cone-shaped flowers on new wood. Flowers change color with age. Extremely cold-hardy</t>
  </si>
  <si>
    <t>Lunar Magic is named for the contrast of the pure White bloom against the dark Maroon foliage (deep Green late season)</t>
  </si>
  <si>
    <t>Indigo flower spikes</t>
  </si>
  <si>
    <t xml:space="preserve">May Night blooms very early (late spring). Aromatic Dark Green foliage. Will rebloom with deadheading
</t>
  </si>
  <si>
    <t>Mercury is semi-evergreen, keeping it's foliage in mild winter. Late bloomer avoids frost damage</t>
  </si>
  <si>
    <t>Mint Julep Juniper has finely textured foliage on arching branches forming a fountain-like mound. Sun/heat/drought tolerant</t>
  </si>
  <si>
    <t>Miss Lemon dazzles with vibrant Golden-Yellow and Green variegated foliage, turning Purplish-Bronze in fall. Fragrant</t>
  </si>
  <si>
    <t>Mojo dense, variegated foliage adds a consistent splash of color. Fragrant Creamy-White spring blooms smell like Orange blossoms</t>
  </si>
  <si>
    <t>Monarch Holly has a dense conical form, Good cold/heat tolerance from its red and blue holly parentage. Brilliant Red fall berries</t>
  </si>
  <si>
    <t>Moonlight Romantica has a honey and fresh fruit fragrance. Deadhead as needed. Thorny (rabbits may still nibble). Cut back annually</t>
  </si>
  <si>
    <t>Moonrock has Green foliage. All "Hardy" Hydrangea have cone-shaped flowers on new wood. Flowers change color with age. Extremely cold-hardy</t>
  </si>
  <si>
    <t>Mr. Bowling Ball forms a naturally round, dense globe of fine-textured foliage, requiring little to no pruning to maintain its neat shape</t>
  </si>
  <si>
    <t>My Lady Red Holly foliage emerges striking Copper-Red. Heat/cold tolerant. Bright Red berries if pollinated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</si>
  <si>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</si>
  <si>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</si>
  <si>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Night Light offers vivid Golden foliage that transitions to Bronze in winter, keeping Green highlights deep within</t>
  </si>
  <si>
    <t>North Pole Arborvitae will bronze out in winter much less than similar Arborvitae</t>
  </si>
  <si>
    <t>Opening Day shows off baseball-sized blooms, deeply pleated foliage, amd a rich Cabernet-Red fall color</t>
  </si>
  <si>
    <t>Lavender-Blue bloom</t>
  </si>
  <si>
    <t>Peach has a mild fragrance. Drift Roses bloom all summer, without deadheading, Glossy Green foliage and thorns (rabbits may still nibble)</t>
  </si>
  <si>
    <t>Peach Perfection has fiery new foliage, then shades of Peach, Orange, and Green, then Bronze-Purple fall tones. Fragrant</t>
  </si>
  <si>
    <t>Peach Sunblaze blooms repeatedly from spring to frost. Deadhead as needed. Thorny (rabbits may still nibble). Cut back annually</t>
  </si>
  <si>
    <t>Persian Spire small flowers appear early. Foliage emerges Purple-Green, turns Green-Burgundy edges, then Yellow-Orange-Red in fall. Bark exfoliates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</si>
  <si>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</si>
  <si>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</si>
  <si>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</si>
  <si>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</si>
  <si>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</si>
  <si>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Pink Cascade enchants with its waterfall-like pink blooms and graceful weeping form. Foliage turns Red-Gold in fall</t>
  </si>
  <si>
    <t>Plum Gorgeous offers bold Purple foliage. Fringe-like flowers bloom periodically after spring</t>
  </si>
  <si>
    <t>Private Jet grows fast, stays tight and narrow, has improved winter color, and resists disease better</t>
  </si>
  <si>
    <t>Pugster Blue has Green foliage and a fragrance. All BB bloom summer to frost, on new wood, so cut back hard late winter</t>
  </si>
  <si>
    <t>Purple Diamond has Deep Burgundy-Purple foliage. Fringe-like flowers bloom peridically after spring</t>
  </si>
  <si>
    <t>Purple Glaze new growth emerges Deep Burgundy, gradually turning Dark Green. Small Creamy-White blooms, often with Pink streaks</t>
  </si>
  <si>
    <t>Purple Haze has Silvery-Green foliage and is non-invasive.  All BB bloom summer to frost, on new wood, so cut back hard late winter</t>
  </si>
  <si>
    <t>Quick Fire has Green foliage. All "Hardy" Hydrangea have cone-shaped flowers on new wood. Flowers change color with age. Extremely cold-hardy</t>
  </si>
  <si>
    <t>Raspberry Cupcake has raspberry/lemony fragrance. Deadhead as needed. Thorny (rabbits may still nibble). Cut back annually</t>
  </si>
  <si>
    <t>Roman Candle has a striking upright form and brilliant Creamy-White new growth that contrasts beautifully against mature Green foliage</t>
  </si>
  <si>
    <t>Rose Sensation has showy lacecap flowers that bloom in summer, Golden fall foliage, and exfoliating Coppery-colored bark that provides winter interest</t>
  </si>
  <si>
    <t>RoyalRazz has Green foliage and a sweet fragrance. All BB bloom summer to frost, on new wood, so cut back hard late winter</t>
  </si>
  <si>
    <t>Ht 6.5-7'; NICE</t>
  </si>
  <si>
    <t>Sapphire Surf Bluebeard delivers vivid late-summer blooms, aromatic foliage, and a compact form</t>
  </si>
  <si>
    <t>Screen Play features glossy, spineless Bronze-tinged foliage and abundant Red berries in winter</t>
  </si>
  <si>
    <t>Shades of Pink has dark glossy Green foliage, Blush-Pink spring blooms, Red stems, and subtle Burgundy fall tones</t>
  </si>
  <si>
    <t>Snow Tower foliage is Dark Green, turning Reddish-Purple to Scarlet in fall. Exfoliating bark</t>
  </si>
  <si>
    <t>Yellow to Copper-Red rays, Dark eye</t>
  </si>
  <si>
    <t>Solar Sisters offers warm, vibrant flowers colors,  summer to frost, then fiery color shifts that intensify as nights cool</t>
  </si>
  <si>
    <t>Sparkling Wine named for shimmering, variegated new foliage, emerging with an Orange-Red hue, that holds well through summer</t>
  </si>
  <si>
    <t>Ht 6.5'; Very Nice</t>
  </si>
  <si>
    <t>Suntastic Peach foliage emerges a vibrant Peach-Orange-Golden-then bright Green-Yellow-Gold margins. Fragrant</t>
  </si>
  <si>
    <t>Super Princess Dogwood</t>
  </si>
  <si>
    <t>Cornus florida 'Super Princess'</t>
  </si>
  <si>
    <t>Super Princess is bred for extra-large white bracts, vigorous growth, and brilliant Red to Burgundy fall color</t>
  </si>
  <si>
    <t>Sweet has a mild fragrance. Drift Roses bloom all summer, without deadheading, Glossy Green foliage and thorns (rabbits may still nibble)</t>
  </si>
  <si>
    <t>Sweet Mademoiselle blooms repeatedly, with a strong fruity fragrance. Deadhead as needed. Thorny (rabbits may still nibble). Cut back annually</t>
  </si>
  <si>
    <t>Sweet Starlight has Green foliage. All "Hardy" Hydrangea have cone-shaped flowers on new wood. Flowers change color with age. Extremely cold-hardy</t>
  </si>
  <si>
    <t>Swing Low jbiwb for low-growing, cascading habit. Small Reddish-Maroon flowers late winter to early spring. Heat/drought tolerant</t>
  </si>
  <si>
    <t>Tall Guy has fragrant, fan-like foliage offer year-round structure with minimal maintenance</t>
  </si>
  <si>
    <t>Taste of Heaven delivers exceptionally sweet, early fruit on thornless upright canes. Self-pollinating</t>
  </si>
  <si>
    <t>Tator Tot has fragrant, fan-like foliage</t>
  </si>
  <si>
    <t>Temple of Bloom offers fragrant blooms, vivid red sepals, and exfoliating bark for striking multi-season interest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</si>
  <si>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</si>
  <si>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</si>
  <si>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</si>
  <si>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</si>
  <si>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Thunderbolt Box has glowing Golden foliage and a dense, mounding habit. It tolerates pruning, serving as a vibrant alternative to boxwood</t>
  </si>
  <si>
    <t>Thunderstruck 'White Lightning' named for foliage that turns from Green to dark Burgundy-Black by fall.</t>
  </si>
  <si>
    <t>Tiny Tank forms dense, dwarf clumps of dark, subtly speckled leaves—an almost indestructible plant. Sparse Creamy-Purple flowers</t>
  </si>
  <si>
    <t>Vanilla Strawberry has Green foliage. All "Hardy" Hydrangea have cone-shaped flowers on new wood. Flowers change color with age. Extremely cold-hardy</t>
  </si>
  <si>
    <t>Variegated Wavy Leaf Hosta</t>
  </si>
  <si>
    <t>Hosta undulata 'Variegata'</t>
  </si>
  <si>
    <t>Velveteeny has saturated Burgundy foliage, Pink “smoke” in summer, and vivid Red-Orange fall color</t>
  </si>
  <si>
    <t>Vintage Jade offers a layered, spreading habit with subtle Maroon winter blooms. Heat and drought tolerant</t>
  </si>
  <si>
    <t>White Wedding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</si>
  <si>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</si>
  <si>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Zig Zag is distinguished by its unique zigzagging branch structure, which provides exceptional winter interest. Foliage turns Yellow in fall</t>
  </si>
  <si>
    <t>Bali has Green foliage. "Rose of Sharon" Hibiscus have trumpet-shaped flowers on new wood. Woody stems remain</t>
  </si>
  <si>
    <t>Purpink has intensely fragrant, tubular flowers, reblooming from spring into fall. Green foliage yellows in fall</t>
  </si>
  <si>
    <t>Candy Corn foliage emerges Candy-Apple Red, shifts to Bright Yellow, then Orange-Red fall.  Summer bloom, on new wood, so prune late winter</t>
  </si>
  <si>
    <t>Carolina Jessamine has very early, fragrant, trumpet-shaped flowers that bloom in late winter to early spring. Vigorous foliage</t>
  </si>
  <si>
    <t>Early Bird Gold named for its very early bloom time, with continuous show of flowers from late spring through fall</t>
  </si>
  <si>
    <t>Electric Love has Deep Purple foliage, subtle Bronzing in fall. Trumpet-shaped flowers on old wood—prune right after spring bloom</t>
  </si>
  <si>
    <t>Northern Lights foliage emerges Bright Red, shifts to Yellow, and matures to Green. Summer bloom, on new wood, so prune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</si>
  <si>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</si>
  <si>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</si>
  <si>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</si>
  <si>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</si>
  <si>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Maroon Swoon has Deep Green foliage, subtle Bronzing in fall. Trumpet-shaped flowers on old wood—prune right after spring bloom</t>
  </si>
  <si>
    <t>Midnight Sun has blazing Orange-to-Red foliage, all the way to leaf drop. Trumpet-shaped flowers on old wood—prune right after spring bloom</t>
  </si>
  <si>
    <t>Pink Lemonade has bicolor flower spikes that shift hues, supported by Charcoal stems and persistent seed pods</t>
  </si>
  <si>
    <t>Poprocks Petite reblooms a lot, against Rich Green foliage, with Yellow-Copper-Red fall tones.  Summer bloom, on new wood, so prune late winter</t>
  </si>
  <si>
    <t>Poprocks Pineapple has Chartreuse to Yellow foliage, turning Fiery Red in fall. Summer bloom, on new wood, so prune late winter</t>
  </si>
  <si>
    <t>Pugster Amethyst has Green foliage and a fragrance. All BB bloom on new wood, so cut back hard late winter</t>
  </si>
  <si>
    <t>Purple Pillar has Green foliage. "Rose of Sharon" Hibiscus have trumpet-shaped flowers on new wood. Woody stems remain</t>
  </si>
  <si>
    <t>Rainbow Fizz has shifting Copper to Green to Gold foliage, with Orange-Red fall tones. Summer bloom, on new wood, so prune late winter</t>
  </si>
  <si>
    <t>Spilled Wine has Deep Purple foliage, holding color to leaf drop. Trumpet-shaped flowers on old wood—prune right after spring bloom</t>
  </si>
  <si>
    <t>Stunner Weigela has Dark Purple foliage, Burgundy hue in fall . Trumpet-shaped flowers on old wood—prune right after spring bloom</t>
  </si>
  <si>
    <t>SWEET &amp; LO has jasmine-scented late-winter/early-spring blooms, Purple stems, and glossy evergreen leaves. Will spread</t>
  </si>
  <si>
    <t>Woodbridge has Dark Green foliage. "Rose of Sharon" Hib. have trumpet-shaped flowers on new wood. Woody stems remain</t>
  </si>
  <si>
    <t>Yeti has Bright Green foliage, turning Yellow-Orange in fall. Summer bloom, on new wood, so prune late winter</t>
  </si>
  <si>
    <t>42"×24"</t>
  </si>
  <si>
    <t>Violet-Blue bloom</t>
  </si>
  <si>
    <t>Creamy-White bloom</t>
  </si>
  <si>
    <t>Green fronds</t>
  </si>
  <si>
    <t>Orange-Red center, Yellow rim</t>
  </si>
  <si>
    <t>Daybreak has striking, bicolored flowers, providing a long season of brilliant color, with no deadheading required</t>
  </si>
  <si>
    <t>18"×20"</t>
  </si>
  <si>
    <t>Bright Yellow rays, Red eye</t>
  </si>
  <si>
    <t>Jethro Tull is a sun-loving rebloomer with unique fluted Golden petals that flower from early summer to fall</t>
  </si>
  <si>
    <t>Carmine-Red bloom</t>
  </si>
  <si>
    <t>Paladin has large, fragrant, and stunning double blooms that stand out brilliantly in the late spring garden</t>
  </si>
  <si>
    <t>Ruby-Red rays, Golden eye</t>
  </si>
  <si>
    <t>Red Satin known for its vivid, daisy-like flowers that are produced continuously from early summer through fall</t>
  </si>
  <si>
    <t>16"×20"</t>
  </si>
  <si>
    <t>UPTICK Yellow &amp; Red has a vigorous, compact habit and long-lasting, large bicolored flowers, providing continuous color from late spring to fall</t>
  </si>
  <si>
    <t>Golden-Yellow rays, Dark Yellow eye</t>
  </si>
  <si>
    <t>Zagreb has finely textured, thread-like foliage, which creates an airy, lacy mound, and a prolific display of cheerful flowers from summer to fall</t>
  </si>
  <si>
    <t>72"×36"</t>
  </si>
  <si>
    <t>72"×48"</t>
  </si>
  <si>
    <t>36"×72"</t>
  </si>
  <si>
    <t>1.5'×2.5'</t>
  </si>
  <si>
    <t>Cheyenne Spirit is a mix of Pink, Purple, Scarlet, Yellow, Gold, Orange and Cream flowers</t>
  </si>
  <si>
    <t>12"×6'</t>
  </si>
  <si>
    <t>12"×30"</t>
  </si>
  <si>
    <t>Bright Red, Deep Red eye</t>
  </si>
  <si>
    <t>EnduraScape Red delivers nonstop blooms with heat and cold tolerance, mildew resistance, and vigorous spreading habit</t>
  </si>
  <si>
    <t>24"×22"</t>
  </si>
  <si>
    <t>1.5'×1.5</t>
  </si>
  <si>
    <t>2'×1.5'</t>
  </si>
  <si>
    <t>1.5'×1.5'</t>
  </si>
  <si>
    <t>Fire-engine Red bloom</t>
  </si>
  <si>
    <t>Panama Red has Vivid Red blooms with dark centers,  continuously from summer until fall</t>
  </si>
  <si>
    <t>1.5'×36'</t>
  </si>
  <si>
    <t>48"×36"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</si>
  <si>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</si>
  <si>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</si>
  <si>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</si>
  <si>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</si>
  <si>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36"×24"</t>
  </si>
  <si>
    <t>Big Blue forms lush, arching clumps of Dark Green foliage with late-summer flower spikes and shiny Black berries</t>
  </si>
  <si>
    <t>Black Knight has Dark Green foliage, Whitish undersides, and a sweet fragrance. All BB bloom summer to frost, on new wood</t>
  </si>
  <si>
    <t>Guatemala Gold is notable for its vibrant blooms that do not fade, providing a long season of brilliant color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</si>
  <si>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</si>
  <si>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</si>
  <si>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</si>
  <si>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</si>
  <si>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</si>
  <si>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</si>
  <si>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</si>
  <si>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</si>
  <si>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Red-Orange bloom, Yellow eye</t>
  </si>
  <si>
    <t>Summer Jazz Fire is a compact, well-behaved vine that is perfect for small spaces and containers. Blooms late spring into fall</t>
  </si>
  <si>
    <t>Variegated Liriope has Green plus Creamy-edged foliage, and flower spikes in late summer, followed by Black berries</t>
  </si>
  <si>
    <t>White bloom, Green tips</t>
  </si>
  <si>
    <t>Sango Kaku means "coral pillars". Great foliage color in the summer, then Yellow-Red_Orange in fall. Bark is a stunner in winter-time</t>
  </si>
  <si>
    <t>Light Pink bloom, Dark Pink sepals</t>
  </si>
  <si>
    <t>Green foliage, Red petioles</t>
  </si>
  <si>
    <t>plants priced here</t>
  </si>
  <si>
    <t>Center Stripe Agave</t>
  </si>
  <si>
    <t>Center Stripe has Dark Green foliage and a bold Yellow stripe. Blooms just once with a 10'-12' towering stalk at the end of its life</t>
  </si>
  <si>
    <t>Century Plant has an architectural rosette of succulent, Blue-Green foliage. Blooms just once with a 15'-30' towering stalk at the end of its life</t>
  </si>
  <si>
    <t>JC Raulston Agave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</si>
  <si>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</si>
  <si>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</si>
  <si>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Qty 40 Nice, 1.25-1.5ft HT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</si>
  <si>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</si>
  <si>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</si>
  <si>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</si>
  <si>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pruned 13"</t>
  </si>
  <si>
    <t>15" (9/9)</t>
  </si>
  <si>
    <t>Qty 20, 1.5-2ft HT</t>
  </si>
  <si>
    <t>Ht 6-7'</t>
  </si>
  <si>
    <t>8-10” x 12-15” | bud/bloom</t>
  </si>
  <si>
    <t>10-12" w | great color | 10-12" w | great color | young crop</t>
  </si>
  <si>
    <t>10-12" ht &amp; sp</t>
  </si>
  <si>
    <t>18" x 18" | nice</t>
  </si>
  <si>
    <t>Ht 7'; Look good</t>
  </si>
  <si>
    <t>10-12" w | young crop | 12" x 15" | very nice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</si>
  <si>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</si>
  <si>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</si>
  <si>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</si>
  <si>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</si>
  <si>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4.5-5.5' tall | MS, bush form | bud/bloom</t>
  </si>
  <si>
    <t>Qty 100 nice, 4-5ft HT</t>
  </si>
  <si>
    <t>Multi-stem; Ht 7-7.5'; Very nice</t>
  </si>
  <si>
    <t>Up to 12-18" now; Nice; Starting dormency</t>
  </si>
  <si>
    <r>
      <rPr>
        <sz val="10"/>
        <color theme="0"/>
        <rFont val="Arial"/>
        <family val="2"/>
      </rPr>
      <t>sorted by</t>
    </r>
    <r>
      <rPr>
        <sz val="16"/>
        <color theme="0"/>
        <rFont val="Arial"/>
        <family val="2"/>
      </rPr>
      <t xml:space="preserve"> </t>
    </r>
    <r>
      <rPr>
        <sz val="11"/>
        <color rgb="FFF84294"/>
        <rFont val="Arial Black"/>
        <family val="2"/>
      </rPr>
      <t>COMMON NAME</t>
    </r>
    <r>
      <rPr>
        <sz val="12"/>
        <color theme="0"/>
        <rFont val="Arial"/>
        <family val="2"/>
      </rPr>
      <t>.</t>
    </r>
    <r>
      <rPr>
        <sz val="10"/>
        <color rgb="FFD5D5E3"/>
        <rFont val="Arial"/>
        <family val="2"/>
      </rPr>
      <t xml:space="preserve"> </t>
    </r>
    <r>
      <rPr>
        <sz val="9"/>
        <color rgb="FFD5D5E3"/>
        <rFont val="Arial Black"/>
        <family val="2"/>
      </rPr>
      <t xml:space="preserve">Search any part of Common/Latin name </t>
    </r>
    <r>
      <rPr>
        <sz val="9"/>
        <color rgb="FFD5D5E3"/>
        <rFont val="Arial"/>
        <family val="2"/>
      </rPr>
      <t>(try just a word or two)</t>
    </r>
    <r>
      <rPr>
        <b/>
        <sz val="16"/>
        <color theme="0"/>
        <rFont val="Arial"/>
        <family val="2"/>
      </rPr>
      <t xml:space="preserve"> </t>
    </r>
    <r>
      <rPr>
        <b/>
        <sz val="12"/>
        <color theme="0"/>
        <rFont val="Arial Black"/>
        <family val="2"/>
      </rPr>
      <t>⇒</t>
    </r>
  </si>
  <si>
    <t>Baby Blue American Snowbell</t>
  </si>
  <si>
    <t>Styrax americanus 'Baby Blue'</t>
  </si>
  <si>
    <t>Ht 4-4.5'; Okay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</si>
  <si>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</si>
  <si>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</si>
  <si>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</si>
  <si>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</si>
  <si>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</si>
  <si>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</si>
  <si>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</si>
  <si>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</si>
  <si>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</si>
  <si>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</si>
  <si>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</si>
  <si>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</si>
  <si>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Common Hackberry</t>
  </si>
  <si>
    <t>Celtis occidentalis</t>
  </si>
  <si>
    <t>Ht 7'-7.5'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</si>
  <si>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</si>
  <si>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</si>
  <si>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</si>
  <si>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Golden Spring Winterhazel</t>
  </si>
  <si>
    <t>Green Shadow Magnolia</t>
  </si>
  <si>
    <t>Magnolia virginiana 'Green Shadow'</t>
  </si>
  <si>
    <t>30'×18'</t>
  </si>
  <si>
    <t>Single stem; Ht 6-7' now; NICE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</si>
  <si>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</si>
  <si>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</si>
  <si>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</si>
  <si>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</si>
  <si>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JC Raulston is cold-hardy, with Blue-Gray rosettes and fierce spines. Blooms just once with a 10'-12' towering stalk at the end of its life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</si>
  <si>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</si>
  <si>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</si>
  <si>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</si>
  <si>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</si>
  <si>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</si>
  <si>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</si>
  <si>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</si>
  <si>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</si>
  <si>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Peggy Clarke known for spectacular and early winter bloom, one of the first trees to flower. Sweet clove-like fragrance. Fruit is quite bitter</t>
  </si>
  <si>
    <t>Sharkskin Agave</t>
  </si>
  <si>
    <t>Agave 'Sharkskin'</t>
  </si>
  <si>
    <t>Yellow-Green bloom</t>
  </si>
  <si>
    <t>Styrax japonicus 'RNI-RIXRED' PP#35353</t>
  </si>
  <si>
    <t>18'×8'</t>
  </si>
  <si>
    <t>Sunrise Buckeye</t>
  </si>
  <si>
    <t>Aesculus x neglecta 'Erythroblastos'</t>
  </si>
  <si>
    <t>Fuchsia-Red to Magenta bloom</t>
  </si>
  <si>
    <t>Traveller Weeping Redbud</t>
  </si>
  <si>
    <t>Cercis canadensis 'Traveller'</t>
  </si>
  <si>
    <t>6'×12'</t>
  </si>
  <si>
    <t>Ht 46-54" now; Very nice</t>
  </si>
  <si>
    <t>Ht 5' now; Very nice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</si>
  <si>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</si>
  <si>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</si>
  <si>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</si>
  <si>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</si>
  <si>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</si>
  <si>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</si>
  <si>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</si>
  <si>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</si>
  <si>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</si>
  <si>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Viburnum × 'Yardline'</t>
  </si>
  <si>
    <t>Yardline has fragrant spring blooms, glossy foliage, and a narrow upright habit. Red berries if a pollinator like V. awabuki is nearby</t>
  </si>
  <si>
    <t>Prunus mume 'Yuh-Hwa'</t>
  </si>
  <si>
    <t>Ht 6.5'-7'; Very Nice</t>
  </si>
  <si>
    <t>Yuh-Hwa brings rich fragrance and Rosy double blossoms on bare branches in late winter</t>
  </si>
  <si>
    <t>Amethyst is first compact Redbud with Red-Purple foliage. Holds foliage color through summer heat</t>
  </si>
  <si>
    <t>Single Trunk Tree Form; Ready Spring 2026 (May)</t>
  </si>
  <si>
    <t>Single; Ht 8.5'; Cal 1.75"; Okay</t>
  </si>
  <si>
    <t>Soft Pink</t>
  </si>
  <si>
    <t>White bloom, Pink edges</t>
  </si>
  <si>
    <t>Autumn Delight has elegant double blooms from early to late fall, with glossy evergreen foliage and a refined upright habit</t>
  </si>
  <si>
    <t>Autumn Spirit offers vibrant late-season double blooms atop glossy evergreen foliage</t>
  </si>
  <si>
    <t>Standard/Tree Form; Ht 4.5' now</t>
  </si>
  <si>
    <t>Standard Cone Topiary; Ht 7.5' now; Clear trunk to 42"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</si>
  <si>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</si>
  <si>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</si>
  <si>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</si>
  <si>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</si>
  <si>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Ht 15-16" x Wd 24-28"; NICE; Buds</t>
  </si>
  <si>
    <t>Ht 7" x Wd 9"; NICE</t>
  </si>
  <si>
    <t>Young crop; Ht 7-8" x Wd 11-12"</t>
  </si>
  <si>
    <t>Ht 6'; Very nice</t>
  </si>
  <si>
    <t>Ready October 15th (Ht 30-32" now)</t>
  </si>
  <si>
    <t>Soft Pink, Yellow stamen</t>
  </si>
  <si>
    <t>Multi-stem; Ht 9'; Great Structure; Combined caliper 3.75-4"</t>
  </si>
  <si>
    <t>Ht 9' now; Cal 1.25"; NICE</t>
  </si>
  <si>
    <t>Ht 6-7'; NICE; Lightly rooted</t>
  </si>
  <si>
    <t>Cotton Candy Camellia</t>
  </si>
  <si>
    <t>Camellia sasanqua 'Cotton Candy'</t>
  </si>
  <si>
    <t>Cotton Candy' has abundant, semi-double, clear Pink flowers that appear from late fall to early winter</t>
  </si>
  <si>
    <t>New crop; Ht 24-26" x Wd 24-26"; Look Good</t>
  </si>
  <si>
    <t>Spiral; Ht 6.5'; NICE</t>
  </si>
  <si>
    <t>Emerald Colonnade is dense and bright, with no berries. All male, they can pollinate female Hollies. Minimal shearing needed</t>
  </si>
  <si>
    <t>New crop; Ht 5.5' now</t>
  </si>
  <si>
    <t>Ht 8.5-9'; Cal 1.5"; NICE</t>
  </si>
  <si>
    <t>Standard; Ready April</t>
  </si>
  <si>
    <t>Ht 8' now; Cal 1.25"; Look good</t>
  </si>
  <si>
    <t>Ready November (Projected)</t>
  </si>
  <si>
    <t>Pale Yellow, Maroon eye</t>
  </si>
  <si>
    <t>Ht 7-7.5'</t>
  </si>
  <si>
    <t>New crop; Ht 5'-5.5' now; Lightly rooted</t>
  </si>
  <si>
    <t>SS/MS Tree Form; Ready late October</t>
  </si>
  <si>
    <t>Ht 20-22" x Wd 18-20"; NICE</t>
  </si>
  <si>
    <t>New crop; Ht 5-5.5'</t>
  </si>
  <si>
    <t>Bright Red bloom</t>
  </si>
  <si>
    <t>Espalier; Ready November</t>
  </si>
  <si>
    <t>Greensboro Red boasts striking, semi-double blooms adorning glossy evergreen foliage. Mid to late spring bloom</t>
  </si>
  <si>
    <t>Single stem; Ht 7'; Look good- still flushing from prune</t>
  </si>
  <si>
    <t>MSTF; Ht 5-5.5'; Look good</t>
  </si>
  <si>
    <t>Ht 3.5-4'; Good</t>
  </si>
  <si>
    <t>Single Stem Tree Form; Ht 6.5-7' now</t>
  </si>
  <si>
    <t>Ht 5-5.5'; Light roots; Very nice</t>
  </si>
  <si>
    <t>Upright grower; New crop; Ht 28-30" now</t>
  </si>
  <si>
    <t>Ht 28-30"; Very Nice</t>
  </si>
  <si>
    <t>New crop; Ht 16-17"; Full; NICE (Next crop October- 500)</t>
  </si>
  <si>
    <t>Lemon Princess Japanese Spirea</t>
  </si>
  <si>
    <t>Tree Form: Ht. 5', Clear Trunk to 32:; Top Spread 28-30"; Nice</t>
  </si>
  <si>
    <t>Pruned 12"</t>
  </si>
  <si>
    <t>Little Princess Japanese Spirea</t>
  </si>
  <si>
    <t>Young crop; Ht 14-16" x Wd 23-24" now</t>
  </si>
  <si>
    <t>Multi-stem: Ht 6.5-7'; NICE</t>
  </si>
  <si>
    <t>Ht 30-32"; Full; NICE</t>
  </si>
  <si>
    <t>Ht 5.5-6'; Full; Very nice</t>
  </si>
  <si>
    <t>Crimson-Red, Yellow eye</t>
  </si>
  <si>
    <t>October Magic Ivory has glossy dark Green foliage and is known for its prolific, slightly fragrant double blooms and upright form</t>
  </si>
  <si>
    <t>Ruby-Red bloom</t>
  </si>
  <si>
    <t>New young crop; Ht 9'; Cal 1.25"</t>
  </si>
  <si>
    <t>Ht 6'; light roots now; NICE</t>
  </si>
  <si>
    <t>(Top Grafted) Ht 6'; Cal 1.25"</t>
  </si>
  <si>
    <t>New crop; Ht 7-7.5'; Cal 1-1.25"</t>
  </si>
  <si>
    <t>Ht 12'; Cal 1.75"; NICE</t>
  </si>
  <si>
    <t>Ilex 'RutHol5' PP#35169</t>
  </si>
  <si>
    <t>Ht 4.5' now</t>
  </si>
  <si>
    <t>Ruby Colonnade foliage emerges a Deep Ruby-Red before maturing to a Glossy Dark Green. All male, they can pollinate female Hollies</t>
  </si>
  <si>
    <t>Ht 30-32" x Wd 24-26"; Nice;Buds</t>
  </si>
  <si>
    <t>Ht 7-8" x Wd 10-12"</t>
  </si>
  <si>
    <t>Ht 16-18" x Wd 23-24"; NICE; Lightly rooted</t>
  </si>
  <si>
    <t>Ht 6-6.5' now; Lightly rooted</t>
  </si>
  <si>
    <t>Ready November 1st</t>
  </si>
  <si>
    <t>Ht 14-16" now; Nice</t>
  </si>
  <si>
    <t>Conical; Sheared; Ht 30-32"; NICE</t>
  </si>
  <si>
    <t>Ht 6-6.5' now; Nice</t>
  </si>
  <si>
    <t>Ht 7' now; Cal 1.25"; NICE</t>
  </si>
  <si>
    <t>Ht 4'; Good</t>
  </si>
  <si>
    <t>Summer Jazz Gold has trumpet blooms with Fiery Orange throats from midsummer to fall. Bred for reduced invasiveness</t>
  </si>
  <si>
    <t>Ht 5-5.5'; NICE; Buds</t>
  </si>
  <si>
    <t>Ht 30-32"; Nice; Bloomed out</t>
  </si>
  <si>
    <t>Traveller has zig-zag branches and heart-shaped leaves that emerge Coppery and finish with Yellow to Copppery-Orange Fall color</t>
  </si>
  <si>
    <t>Multi-Stem; Ht 34-36"; Good</t>
  </si>
  <si>
    <t>New crop; Ht 4' now; Look good</t>
  </si>
  <si>
    <t>Ht 4.5'; Flushing from prune; okay</t>
  </si>
  <si>
    <t>Young crop; Ht 6.5-7'; Look good</t>
  </si>
  <si>
    <t>Spring 2026 (May)</t>
  </si>
  <si>
    <t>Ht 32-34"; NICE; Buds</t>
  </si>
  <si>
    <t>Ht 3.5-4' x Wd 24"; NICE; Buds</t>
  </si>
  <si>
    <t>Multi-stem Tree Form; Ht 4.5-5' now; Buds</t>
  </si>
  <si>
    <t>Yume Camellia</t>
  </si>
  <si>
    <t>Camellia sasanqua 'Yume'</t>
  </si>
  <si>
    <t>Pink &amp; White bloom</t>
  </si>
  <si>
    <t>Bartzella has very large, semi-double to double flowers with a subtle Red flare, on strong stems that do not require staking. Vigorous growth</t>
  </si>
  <si>
    <t>Cast Iron Plant named for its very tough nature: it thrives in deep shade, tolerates drought, and shrugs off neglect. Sparse Purple-Brown flowers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</si>
  <si>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</si>
  <si>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</si>
  <si>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</si>
  <si>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</si>
  <si>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</si>
  <si>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</si>
  <si>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</si>
  <si>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Summer Sunset paints beds with Orange-to-Gold variegation that settles to Glossy Green, forming a fragrant, durable evergreen carpet. Will climb with support</t>
  </si>
  <si>
    <t>.5-.75" cal. | 5-5.5' h | native</t>
  </si>
  <si>
    <t>1.5-1.75" cal. | 8-9.5' h | native</t>
  </si>
  <si>
    <t xml:space="preserve">10-12" ht x 12-15" sp </t>
  </si>
  <si>
    <t>18" x 18" | few blooms</t>
  </si>
  <si>
    <t>Baby Blue Spruce</t>
  </si>
  <si>
    <t>Picea pungens 'Baby Blue'</t>
  </si>
  <si>
    <t>Silvery-Blue needles</t>
  </si>
  <si>
    <t>Baby Blue has silvery-blue to bright blue needles. Slow grower, as all Spruce are</t>
  </si>
  <si>
    <t>7-8' x 1.5 c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</si>
  <si>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</si>
  <si>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</si>
  <si>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</si>
  <si>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6.5-7' h x 2-2.5' at base | great color</t>
  </si>
  <si>
    <t>Caesar's Brother Siberian Iris</t>
  </si>
  <si>
    <t>Iris sibirica 'Caesar's Brother'</t>
  </si>
  <si>
    <t>42"×30"</t>
  </si>
  <si>
    <t>Deep Violet-Purple bloom</t>
  </si>
  <si>
    <t>qty 50 24-28in sprd</t>
  </si>
  <si>
    <t>24"ht x 15-18" sp</t>
  </si>
  <si>
    <t>Qty 1 Nice Full, 3ft HT</t>
  </si>
  <si>
    <t>15-18" x 18" | very nice</t>
  </si>
  <si>
    <t>22-24"ht x 24-28"sp</t>
  </si>
  <si>
    <t xml:space="preserve">20-24" ht x 24-28" sp </t>
  </si>
  <si>
    <t>pruned 18" (9/15)</t>
  </si>
  <si>
    <t>Dwarf Alberta Spruce</t>
  </si>
  <si>
    <t>Picea glauca 'Conica'</t>
  </si>
  <si>
    <t>Dwarf Alberta performs optimally in full sun, to form a natural perfect cone shape, albeit very s-l-o-w-l-y</t>
  </si>
  <si>
    <t>30-32" ht x 24-26" sp</t>
  </si>
  <si>
    <t>Qty 30 young, 1-1.25ft HT</t>
  </si>
  <si>
    <t>20-24" x 20-24"</t>
  </si>
  <si>
    <t>36-40" h | very nice</t>
  </si>
  <si>
    <t>12-15"x12-15"</t>
  </si>
  <si>
    <t>24-30" | very nice &amp; thick | bud/bloom</t>
  </si>
  <si>
    <t>20-24" x 20" | few blooms</t>
  </si>
  <si>
    <t>4-5' h | very nice | great color</t>
  </si>
  <si>
    <t>7' h | very nice &amp; thick</t>
  </si>
  <si>
    <t>6-7' h | full to the ground</t>
  </si>
  <si>
    <t>Greenleaf American Holly</t>
  </si>
  <si>
    <t>Ilex opaca 'Greenleaf'</t>
  </si>
  <si>
    <t>Qty 30 Nice, 3ft HT</t>
  </si>
  <si>
    <t>Greenleaf are all femaie, with abundant berries. An American Holly, it is better in shade than other Holly</t>
  </si>
  <si>
    <t>Qty 60, 2-2.5ft HT</t>
  </si>
  <si>
    <t>Aronia melanocarpa 'Ground Hug' PP#31821</t>
  </si>
  <si>
    <t>14"×36"</t>
  </si>
  <si>
    <t>15-18" ht &amp; sp</t>
  </si>
  <si>
    <t>Qty 30 Nice Clean, 1.5ft HT</t>
  </si>
  <si>
    <t>Hibiscus 'Holy Grail' PP#31478</t>
  </si>
  <si>
    <t>12-15" x 15-18" | very nice</t>
  </si>
  <si>
    <t>7-8' 1-1.25" C</t>
  </si>
  <si>
    <t>Tree form Qty 6 Nice, 4ft HT</t>
  </si>
  <si>
    <t>3-3.5' h | very nice | native</t>
  </si>
  <si>
    <t>18" h | grass stage | native</t>
  </si>
  <si>
    <t>18-20" x 20-24" | very nice | native cultivar</t>
  </si>
  <si>
    <t>Maiden Grass</t>
  </si>
  <si>
    <t>Miscanthus sinensis</t>
  </si>
  <si>
    <t>Green blades &amp; Silvery midrib</t>
  </si>
  <si>
    <t>Maiden Grass adds graceful texture and movement with its tall arching leaves and Coppery-Pink plumes that persist for winter interest</t>
  </si>
  <si>
    <t>Young 12-15in sprd</t>
  </si>
  <si>
    <t>5-tippig 6' h | very nice</t>
  </si>
  <si>
    <t>24" ht x 30-36" sp</t>
  </si>
  <si>
    <t>Standard; Ht 34" x Top Width 18" now</t>
  </si>
  <si>
    <t>15" x 15-18" | very nice | 15-18" x 15" | very nice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</si>
  <si>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</si>
  <si>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</si>
  <si>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</si>
  <si>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10-12' ht x 2" c</t>
  </si>
  <si>
    <t>Otto Luyken Laurel</t>
  </si>
  <si>
    <t>Prunus laurocerasus 'Otto Luyken'</t>
  </si>
  <si>
    <t>18"X24"</t>
  </si>
  <si>
    <t>Paprika Yarrow</t>
  </si>
  <si>
    <t>Achillea millefolium 'Paprika'</t>
  </si>
  <si>
    <t>Red bloom, Yellow centers</t>
  </si>
  <si>
    <t>Paprika offers a long lasting, vivid bloom with a spcy, herbal fern-like scent</t>
  </si>
  <si>
    <t>Peaches and Cream Honeysuckle</t>
  </si>
  <si>
    <t>Lonicera periclymenum 'Peaches and Cream' PP#21839</t>
  </si>
  <si>
    <t>Pink opens to Cream bloom</t>
  </si>
  <si>
    <t>Peaches and Cream is a compact, fragrant, and disease-resistant vine with eye-catching bicolored blooms that rebloom throughout the summer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</si>
  <si>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</si>
  <si>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</si>
  <si>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</si>
  <si>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</si>
  <si>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</si>
  <si>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</si>
  <si>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Low Mounding; Ht 3.5' x Wd 3.5' now; Very nice</t>
  </si>
  <si>
    <t>8-10" x 18-20" | very nice | native cultivar | new crop 8-10" x 12"</t>
  </si>
  <si>
    <t>4.5-5' h | very nice | buds | JCRA Choice Plant</t>
  </si>
  <si>
    <t>3' ht x 20-28"</t>
  </si>
  <si>
    <t>Snow White Indian Hawthorn</t>
  </si>
  <si>
    <t>Rhaphiolepis indica 'Snow White' PP#11612</t>
  </si>
  <si>
    <t>Snow White has fragrant white blooms, glossy foliage, and Dark Blue berries in winter. Bred for compact form and improved disease resistance</t>
  </si>
  <si>
    <t>Sparks Gardenia</t>
  </si>
  <si>
    <t>Gardenia jasminoides 'Sparks' PP#22105</t>
  </si>
  <si>
    <t>15-18"x20"</t>
  </si>
  <si>
    <t>Sparks Gardenia has prolific, fragrant blooms. Bred for a compact habit, improved cold tolerance; and enhanced bud set and bloom density</t>
  </si>
  <si>
    <t>18-20" h | young crop</t>
  </si>
  <si>
    <t>28-32" ht x 18-24" sp</t>
  </si>
  <si>
    <t>12-15" x 12" | young crop</t>
  </si>
  <si>
    <t>5.5-6.5' h | very nice</t>
  </si>
  <si>
    <t>pruned 15" (9/15)</t>
  </si>
  <si>
    <t>4-5' h | great color</t>
  </si>
  <si>
    <t>Weigela florida 'Alexandra' PP#10772</t>
  </si>
  <si>
    <t>Late Spring 2026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</si>
  <si>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</si>
  <si>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</si>
  <si>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>Black Dragon foliage emerges Bright Green, then Dark Green, then near Black in winter. Optimal with afternoon shade</t>
  </si>
  <si>
    <t>Japanese Painted Fern</t>
  </si>
  <si>
    <t>Athyrium niponicum var. 'Pictum'</t>
  </si>
  <si>
    <t>Silvery Green fronds</t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</si>
  <si>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</si>
  <si>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</si>
  <si>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</si>
  <si>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add replacement plant of the same pot size or less.</t>
  </si>
  <si>
    <t>If outside Eastern Triangle area, add mileage fee.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</si>
  <si>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</si>
  <si>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>Extra mulching to completed bed quoted on request.</t>
  </si>
  <si>
    <t>Coral Pink, White margins</t>
  </si>
  <si>
    <t>Dianella revoluta PP#18883</t>
  </si>
  <si>
    <t>Silvery Blue-Green foliage</t>
  </si>
  <si>
    <t>Baby Bliss features striking foliage and delicate Violet blooms, in a tidy clumping habit. From Australia</t>
  </si>
  <si>
    <t>Big Ears Lamb's Ear</t>
  </si>
  <si>
    <t>Stachys byzantina 'Helene von Stein'</t>
  </si>
  <si>
    <t>Blue Zinger Sedge</t>
  </si>
  <si>
    <t>Carex flacca 'Blue ZInger'</t>
  </si>
  <si>
    <t>Greenish-White bloom</t>
  </si>
  <si>
    <t>10-12" (8/14)</t>
  </si>
  <si>
    <t>Single Trunk Tree Form; Ready November (Projected)</t>
  </si>
  <si>
    <t>Young , 1.25ft Spr</t>
  </si>
  <si>
    <t>Ht 4.5'-5'; Standard with top cone pruned</t>
  </si>
  <si>
    <t>20"</t>
  </si>
  <si>
    <t>Qty 50, 1.25ft HT</t>
  </si>
  <si>
    <t>200, 3.5-4ft HT</t>
  </si>
  <si>
    <t>30-36" (9/15)</t>
  </si>
  <si>
    <t>Georgia Blue Speedwell</t>
  </si>
  <si>
    <t>Veronica umbrosa 'Georgia Blue'</t>
  </si>
  <si>
    <t>6"×30"</t>
  </si>
  <si>
    <t>Rich Blue, Pearly White eye</t>
  </si>
  <si>
    <t>Georgia Blue is notable for its vigorous, low-growing evergreen mat of foliage that turns a beautiful Bronze-Purple in cooler weather</t>
  </si>
  <si>
    <t>8-10" x 12" | very nice</t>
  </si>
  <si>
    <t>Graceful Dwarf Hinoki Cypress</t>
  </si>
  <si>
    <t>Graceful Dwarf Hinoki is a slow-grower, with unique shell-like sprays that create a graceful, layered texture</t>
  </si>
  <si>
    <t>Grape Expectations Coral Bells</t>
  </si>
  <si>
    <t>Heuchera 'Grape Expectations' PP#26894</t>
  </si>
  <si>
    <t>8" x 15" | young crop | needs shaping</t>
  </si>
  <si>
    <t>Qty 50, 1ft HT, 1.25ft Spr</t>
  </si>
  <si>
    <t>Qty 10, 2.5ft HT</t>
  </si>
  <si>
    <t>Little Kitten Maiden Grass</t>
  </si>
  <si>
    <t>Miscanthus sinensis 'Little Kitten'</t>
  </si>
  <si>
    <t>Silvery-Green blades</t>
  </si>
  <si>
    <t>Little Kitten's graceful Silvery-White plumes emerge late summer with a Pink-Red flush, then turn Golden-Yellow to Tan for winter</t>
  </si>
  <si>
    <t>Tree Form; Limbed up single and multi-stem; Ht 4.5'</t>
  </si>
  <si>
    <t>pruned 10" spread</t>
  </si>
  <si>
    <t>Pennsylvania Sedge</t>
  </si>
  <si>
    <t>Carex pensylvanica</t>
  </si>
  <si>
    <t>Pennsylvania Sedge blades very fine textured &amp; soft. Can be a lawn substitute in shady areas. Foliage turns Sandy-Tan in the fall</t>
  </si>
  <si>
    <t>12"x15", blooms (9/26)</t>
  </si>
  <si>
    <t>Prairie Dropseed</t>
  </si>
  <si>
    <t>Sporobolis heterolepis</t>
  </si>
  <si>
    <t>Deep Green blades</t>
  </si>
  <si>
    <t>Prairie Dropseed is a fine-textured, clumping native grass with fragrant airy blooms and Golden fall color. Excellent drought tolerance</t>
  </si>
  <si>
    <t>Single Stem Tree Form; Ready May 2026 (Ht 6.5-7' now)</t>
  </si>
  <si>
    <t>Top Grafted Standard; Ready November</t>
  </si>
  <si>
    <t>Cercis canadensis 'JN31' PPAF</t>
  </si>
  <si>
    <t>Ht 7'-7.5'; Cal 1"; Look Nice</t>
  </si>
  <si>
    <t>Rise &amp; Shine has Apricot-to-Gold heart-shaped leaves that mature to Chartreuse, then Blaze Orange in fall</t>
  </si>
  <si>
    <t>Qty 5 , 5-6ft HT</t>
  </si>
  <si>
    <t>15-18" spread (9/22)</t>
  </si>
  <si>
    <t>Nice, Qty 12</t>
  </si>
  <si>
    <t>Qty 150, 4ft HT</t>
  </si>
  <si>
    <t>10x12"</t>
  </si>
  <si>
    <t>White Profusion Butterfly Bush</t>
  </si>
  <si>
    <t>Buddleia davidii 'White Profusion' PP#7643Exp.</t>
  </si>
  <si>
    <t>White bloom, Orange-Yellow eye</t>
  </si>
  <si>
    <t>Qty 60 Nice</t>
  </si>
  <si>
    <t>White Profusion has Gray-Green foliage and a fragrance. All BB bloom summer to frost, on new wood, so cut back hard late winter</t>
  </si>
  <si>
    <t>Whitewater Bear's Breeches</t>
  </si>
  <si>
    <t>Acanthus mollis 'Whitewater' PP#23342</t>
  </si>
  <si>
    <t>3-4' ht x 3' sp</t>
  </si>
  <si>
    <t>24-28'' ht x 18-24" sp</t>
  </si>
  <si>
    <t>7-8' ht - 1"c multistem</t>
  </si>
  <si>
    <t>7-8' ht. x 4'-5' sp.</t>
  </si>
  <si>
    <t>18-24" ht x 18" sp</t>
  </si>
  <si>
    <t>Spring 2026 Qty 70</t>
  </si>
  <si>
    <t>7-8' x 5-6' sp</t>
  </si>
  <si>
    <t>Qty 50, 1.25-1.5ft HT, 2ft Spr</t>
  </si>
  <si>
    <t>New crop; Staked; Ht 4.5-5'; Sheared; NICE</t>
  </si>
  <si>
    <t>15-18" ht x 28-30" sp</t>
  </si>
  <si>
    <t>Ht 20-22" x Wd 23-24"; NICE (Next crop May- 500)</t>
  </si>
  <si>
    <t>very nice | 18 ct tray</t>
  </si>
  <si>
    <t>20-24" x 15-18" | very nice</t>
  </si>
  <si>
    <t>Dwarf Hinoki Cypress</t>
  </si>
  <si>
    <t>Chamaecyparis obtusa 'Nana'</t>
  </si>
  <si>
    <t>Dwarf Hinoki is a slow-grower, with unique shell-like sprays that create a layered texture</t>
  </si>
  <si>
    <t>24-36" | very nice</t>
  </si>
  <si>
    <t>JCRA Choice Qty 24, 1.5-2ft HT, 2-2.5ft Spr</t>
  </si>
  <si>
    <t>Frosty Abelia</t>
  </si>
  <si>
    <t>Abelia x grandiflora 'Frosty'</t>
  </si>
  <si>
    <t>12-15" x 18-20" | bud/bloom |JCRA Choice Plant</t>
  </si>
  <si>
    <t>Frosty admired for its striking variegated foliage. Purple fall color lingers into winter. Light fragrance</t>
  </si>
  <si>
    <t>24-26" h | very nice</t>
  </si>
  <si>
    <t>12-15" x 18-20" | bud/bloom</t>
  </si>
  <si>
    <t>12-15" ht 15-18" sp</t>
  </si>
  <si>
    <t>18-24" ht x 15-18" sp</t>
  </si>
  <si>
    <t>16-17" x 24-26" | bud/bloom</t>
  </si>
  <si>
    <t>plumes (9/30)</t>
  </si>
  <si>
    <t>15-18" x 12-15" | nice | 24-30" x 24" | very nice</t>
  </si>
  <si>
    <t>15"x15, blooms (10/3)</t>
  </si>
  <si>
    <t>24-36" h | few blooms left</t>
  </si>
  <si>
    <t>6' matching</t>
  </si>
  <si>
    <t>Qty 200 18-20in ht, 28in sprd</t>
  </si>
  <si>
    <t>18" x 18-20" | great color | very nice | 18-24" x 18" | great color</t>
  </si>
  <si>
    <t>20-24” w | very nice</t>
  </si>
  <si>
    <t>4-5' ht x 22-28" sp</t>
  </si>
  <si>
    <t>5.5-6' ht</t>
  </si>
  <si>
    <t>10' ht</t>
  </si>
  <si>
    <t>Qty 18, 5ft HT</t>
  </si>
  <si>
    <t>7.5-9’ h | bud/bloom</t>
  </si>
  <si>
    <t>Qty 14, Multi, 7ft HT</t>
  </si>
  <si>
    <t>4-5' ht</t>
  </si>
  <si>
    <t>3-4' ht x 24-28"sp</t>
  </si>
  <si>
    <t>3-4’ h | very nice | | Bud/bloom</t>
  </si>
  <si>
    <t>Reddish-Orange bloom</t>
  </si>
  <si>
    <t>Spiral; Ht 8.5-9' now; Nice</t>
  </si>
  <si>
    <t>10"x12-15" (10/7)</t>
  </si>
  <si>
    <t>pruned 10"</t>
  </si>
  <si>
    <t>Ht 30-32"; Full; Nice; Buds</t>
  </si>
  <si>
    <t>8-10"</t>
  </si>
  <si>
    <t>Qty 400 nice , 1.5ft HT, 2.5ft Spr</t>
  </si>
  <si>
    <t>Ht 48-52"; Nice (Korean)</t>
  </si>
  <si>
    <t>30" h | very nice</t>
  </si>
  <si>
    <t>Mahonia hybrid 'NCMH1' PP#34442</t>
  </si>
  <si>
    <t>8-10" (10/7)</t>
  </si>
  <si>
    <t>Funky Flow has bold, fragrant Neon Yellow winter blooms from late fall through winter. Berries follow</t>
  </si>
  <si>
    <t>Qty 25, 1.5ft Spr</t>
  </si>
  <si>
    <t>4-5' h | very nice | JCRA Choice Plant</t>
  </si>
  <si>
    <t>8"x8-10" (10/7)</t>
  </si>
  <si>
    <t>Mondo Grass</t>
  </si>
  <si>
    <t>Ophiopogon japonicus</t>
  </si>
  <si>
    <t>Lilac-White bloom</t>
  </si>
  <si>
    <t>12-15", blooms (10/7)</t>
  </si>
  <si>
    <t>qty 30</t>
  </si>
  <si>
    <t>15"x15"</t>
  </si>
  <si>
    <t>42"+</t>
  </si>
  <si>
    <t>plumes</t>
  </si>
  <si>
    <t>12-15" (10/7)</t>
  </si>
  <si>
    <r>
      <t xml:space="preserve"> </t>
    </r>
    <r>
      <rPr>
        <b/>
        <sz val="9"/>
        <color rgb="FF001946"/>
        <rFont val="Arial Narrow"/>
        <family val="2"/>
      </rPr>
      <t>Price it by</t>
    </r>
    <r>
      <rPr>
        <b/>
        <sz val="6"/>
        <color rgb="FF001946"/>
        <rFont val="Arial Narrow"/>
        <family val="2"/>
      </rPr>
      <t xml:space="preserve"> </t>
    </r>
    <r>
      <rPr>
        <b/>
        <sz val="10"/>
        <color rgb="FFF72585"/>
        <rFont val="Arial Black"/>
        <family val="2"/>
      </rPr>
      <t xml:space="preserve">Common </t>
    </r>
  </si>
  <si>
    <t>Multi-Stem; Ht 6.5-7'; NICE</t>
  </si>
  <si>
    <t>4' h</t>
  </si>
  <si>
    <t>New crop; Ht 36-38"; NICE; Buds</t>
  </si>
  <si>
    <t>Espalier (Trellis); Ht 46" x Wd 26"; on trellis now; Buds; Good</t>
  </si>
  <si>
    <t>New crop; Ht 4.5'; Lightly rooted; Very nice</t>
  </si>
  <si>
    <t>New young crop; Ht 32-34"; Buds/Flowers</t>
  </si>
  <si>
    <t>Ht 3.5' x Wd 3.5' now; Buds/Flowers</t>
  </si>
  <si>
    <t>Cut back</t>
  </si>
  <si>
    <t>Standard; Ht 7-7.5'; Very nice</t>
  </si>
  <si>
    <t>Ht 24-26" x Wd 24"; NICE; Very full; Buds</t>
  </si>
  <si>
    <t>Ht 8-8.5'; Cal 1.25"</t>
  </si>
  <si>
    <t>Ht 7-8" x Wd 12-13"</t>
  </si>
  <si>
    <t>(formerly Hot Flash) Ht 18-19" x Wd 25-28"; Very nice; Buds</t>
  </si>
  <si>
    <t>15-18" (10/14)</t>
  </si>
  <si>
    <t>8"x12-15", blooms (10/13)</t>
  </si>
  <si>
    <t>Ht 36-42"; Lightly rooted</t>
  </si>
  <si>
    <t>Ht 8-8.5' now; Cal 1-1.25"; Very Nice</t>
  </si>
  <si>
    <t>Single Trunk Tree Form; Ht 9.5-10'; Cal 1.25-1.5"; NICE</t>
  </si>
  <si>
    <t>4-4.5' h | great color</t>
  </si>
  <si>
    <t>Ht 4.5-5'; Very Nice; Full; Good berry set</t>
  </si>
  <si>
    <t>New crop; Ht 5-5.5'; Conical shape; NICE</t>
  </si>
  <si>
    <t>pruned 12"</t>
  </si>
  <si>
    <t>Ht 4-4.5' now; Full; NICE</t>
  </si>
  <si>
    <t>Ht 6-6.5' now; NICE (Next crop March/April 2026)</t>
  </si>
  <si>
    <t>Ht 20-22" x Wd 23-24"; Very nice</t>
  </si>
  <si>
    <t>New crop; Ht 28-30"; Full; Great color; NICE</t>
  </si>
  <si>
    <t>12"x10-12"</t>
  </si>
  <si>
    <t>Shrub Form; New crop; Ht 5-5.5' x Wd 3-3.5'; Nice; Buds</t>
  </si>
  <si>
    <t>MSTF; Ht 5.5'; Very nice; Full; Buds; Flowers</t>
  </si>
  <si>
    <t>15"x15-18"</t>
  </si>
  <si>
    <t>Ht 4-5'; NICE</t>
  </si>
  <si>
    <t>Standard; Overall Ht 32-35"; Clear trunk to 18"; top width 12-13"; NICE</t>
  </si>
  <si>
    <t>18-20" (10/13)</t>
  </si>
  <si>
    <t>15"x15", blooms (10/10)</t>
  </si>
  <si>
    <t>Ht 8'; Cal 1"; Look good</t>
  </si>
  <si>
    <t>pruned 15"</t>
  </si>
  <si>
    <t>pruned 8"x12" (10/15)</t>
  </si>
  <si>
    <t>New crop; Ht 26-28" x Wd 24"; Look good</t>
  </si>
  <si>
    <t>3-4’ h | bud/bloom</t>
  </si>
  <si>
    <t>Ht 13-14" x Wd 15-16"; Very nice</t>
  </si>
  <si>
    <t>Ht 14-16" x Wd 18-20" now; Very Nice</t>
  </si>
  <si>
    <t>Ht 32-34" now; Look good; Buds</t>
  </si>
  <si>
    <t>15-18" spread (10/13)</t>
  </si>
  <si>
    <t>Dark burgundy/green foliage; Large red flowers; Ht 28-30" x Wd 30-32"</t>
  </si>
  <si>
    <t>Summer 2026</t>
  </si>
  <si>
    <t>Ht 30-32" now; Buds</t>
  </si>
  <si>
    <t>SALE pruned 15" (10/14)</t>
  </si>
  <si>
    <t>Ht 5' now; Starting leaf drop (Next crop June '26)</t>
  </si>
  <si>
    <t>Ht 34-35" now; Very full; NICE; Buds</t>
  </si>
  <si>
    <t>Espalier (Trellis); Ht 44-46" x Wd 22-23" on trellis; Full; NICE; Buds</t>
  </si>
  <si>
    <t>Ready November 1st (Ht 42-46"; a little thin)</t>
  </si>
  <si>
    <t>Multi-stem Tree Form: Ht 4.5+'; Very nice; Heavy bud set</t>
  </si>
  <si>
    <t>Young New crop; Ht 4-4.5'; Nice; Buds</t>
  </si>
  <si>
    <t>Ready Spring 2026- May</t>
  </si>
  <si>
    <t>Tree Form; Ht 5.5' now</t>
  </si>
  <si>
    <t>Ht 15-16" x Wd 18-19"; Very nice; Pruned</t>
  </si>
  <si>
    <t>Pruned 12"; NICE</t>
  </si>
  <si>
    <t>Ht 18-22" x Wd 24"</t>
  </si>
  <si>
    <t>24-28" (10/13)</t>
  </si>
  <si>
    <t>Little Missy Boxwood</t>
  </si>
  <si>
    <t>Buxus microphylla 'Little Missy'</t>
  </si>
  <si>
    <t>Young Crop; Ht 12-13" x Wd 14-16"; Look Good' Lightly rooted</t>
  </si>
  <si>
    <t>Little Missy is prized for its rounded habit and maintaining Green color through winter. Slow-growing, dense, and ideal for hedges and borders</t>
  </si>
  <si>
    <t>20-24" (10/13)</t>
  </si>
  <si>
    <t>Ht 7-8'; Average tops</t>
  </si>
  <si>
    <t>Ht 4.5' now; NICE; Full; Sheared</t>
  </si>
  <si>
    <t>Multi-stem; Ready July 2026</t>
  </si>
  <si>
    <t>Standard; Overall Ht 8-8.5'; Clear trunk 4.5-5'; Cal 1-1.25"; NICE</t>
  </si>
  <si>
    <t>Ht 7-7.5' now</t>
  </si>
  <si>
    <t>Ht 4' x Wd 36-38"; Just okay</t>
  </si>
  <si>
    <t>Espalier (Trellis); Ht 32-34"; Good fullness; Buds; Flowers</t>
  </si>
  <si>
    <t>20-24" (9/26)</t>
  </si>
  <si>
    <t>Ht 26-29" x Wd 22-24" now; FULL; Buds</t>
  </si>
  <si>
    <t>12"x15", blooms (10/13)</t>
  </si>
  <si>
    <t>Ht 12" x Wd 22-24"; NICE; Starting dormancy</t>
  </si>
  <si>
    <t>pruned 10" (10/13)</t>
  </si>
  <si>
    <t>Ht 6-7'; Cal 1-1.25"; NICE</t>
  </si>
  <si>
    <t>7-8', Gappy branching</t>
  </si>
  <si>
    <t>Ht 34-36"; NICE; Buds</t>
  </si>
  <si>
    <t>New crop; Ht 32-34" x Wd 26-28"; Lightly rooted; Heavy buds</t>
  </si>
  <si>
    <t>Ht 12-15"; Going dormant</t>
  </si>
  <si>
    <t>10-12"x12" (10/13)</t>
  </si>
  <si>
    <t>Ht 13-14" x Wd 14-16"; Pruned; Going dormant</t>
  </si>
  <si>
    <t>10-12"x18" (10/13)</t>
  </si>
  <si>
    <t>needs flush</t>
  </si>
  <si>
    <t>15"x15" (10/13)</t>
  </si>
  <si>
    <t>Ht 4.5-5' now (Next crop Spring 2026)</t>
  </si>
  <si>
    <t>Ht 8-8.5'; Cal 1.5-1.75") Tops Pruned</t>
  </si>
  <si>
    <t>Ht 4.5-5' now; Full; VERY NICE</t>
  </si>
  <si>
    <t>MSTF; Ht 5'-5.5' now; Very Nice</t>
  </si>
  <si>
    <t>Multi-Stem Tree Form; Ht 5.5' now; Nice</t>
  </si>
  <si>
    <t>Ht 18-22"; NICE</t>
  </si>
  <si>
    <t>Dark burgundy/green foliage; Large pink flowers; Ht 28-30" x Wd 30-32"</t>
  </si>
  <si>
    <t>Qty 60, 5.5-6ft HT</t>
  </si>
  <si>
    <t>Summer Beauty Bear's Breeches</t>
  </si>
  <si>
    <t>Acanthus mollis × Acanthus spinosus</t>
  </si>
  <si>
    <t>White, Purple-Pink bracts</t>
  </si>
  <si>
    <t>Ht 10-11'; Cal 2.25-2.5"; Average</t>
  </si>
  <si>
    <t>10" spread (10/13)</t>
  </si>
  <si>
    <t>12-15"x15" (10/15)</t>
  </si>
  <si>
    <t>Ht 8-9" x Wd 9-10"; NICE</t>
  </si>
  <si>
    <t>New crop; Ht 28-32"; Lightly rooted; Heavy bud set</t>
  </si>
  <si>
    <t>Single Trunk Tree Form; Ht 5-6'; NICE</t>
  </si>
  <si>
    <t>Ht 12-14" now; Look Good</t>
  </si>
  <si>
    <t>Ht 10-11'; Cal 2-2.25"; Canopy Ht 32-42"; NICE (Next crop May- 200)</t>
  </si>
  <si>
    <t>10-12", thin</t>
  </si>
  <si>
    <t>pruned 12" spread</t>
  </si>
  <si>
    <t>3-ball; Ht 5.5-6' now; NICE</t>
  </si>
  <si>
    <t>Multi-stem Tree Form; Ready Spring 2026</t>
  </si>
  <si>
    <t>Serpentine; Ht 5-5.5'; Still a little small</t>
  </si>
  <si>
    <t>Ht 18-20" x Wd 18-19"; NICE</t>
  </si>
  <si>
    <t>blooms, 18-20" (10/13)</t>
  </si>
  <si>
    <t>15-18" x 15" | very nice</t>
  </si>
  <si>
    <t>24-30" h | very nice</t>
  </si>
  <si>
    <t>Ready April 2026 after flush</t>
  </si>
  <si>
    <t>Ht 4.5'+ x Wd 32-36" now; Nice; Heavy bud set</t>
  </si>
  <si>
    <t>New crop; Ht 18-20" x Wd 24-26"; Full; Buds; Flowers</t>
  </si>
  <si>
    <t>7-8' ht x 4' sp x 3"C</t>
  </si>
  <si>
    <t>Ht 7-7.5', cal. 1-1.25"; NICE</t>
  </si>
  <si>
    <t>Single Trunk; Ht 7' now</t>
  </si>
  <si>
    <t>Single Trunk; Ht 8-8.5'; Cal 1-1.25" now; Very Nice</t>
  </si>
  <si>
    <t>12"x18" (10/14)</t>
  </si>
  <si>
    <t>10-12"x15-18" (10/14)</t>
  </si>
  <si>
    <t>Ht 30-34" now; NICE; Full; Buds</t>
  </si>
  <si>
    <t>10"x12", half-rooted (10/14)</t>
  </si>
  <si>
    <t>15-18", blooms (10/14)</t>
  </si>
  <si>
    <t>10-12"x15" (10/14)</t>
  </si>
  <si>
    <t>18-20" (10/14)</t>
  </si>
  <si>
    <t>12-15"x10-12"</t>
  </si>
  <si>
    <t>10-12"x10-12"</t>
  </si>
  <si>
    <t>15"x12-15", blooms</t>
  </si>
  <si>
    <t>18-20" spread (10/14)</t>
  </si>
  <si>
    <t>15-18" w | great color</t>
  </si>
  <si>
    <t>20-24" spread (10/20)</t>
  </si>
  <si>
    <t>18-20" spread (10/20)</t>
  </si>
  <si>
    <t>12-15" (10/14)</t>
  </si>
  <si>
    <t>pruned 12" spread (10/20)</t>
  </si>
  <si>
    <t xml:space="preserve">9-10' ht x 3' sp </t>
  </si>
  <si>
    <t>Bridal Veil Flowering Apricot</t>
  </si>
  <si>
    <t>Prunus mume 'Bridal Veil'</t>
  </si>
  <si>
    <t>Pale Pink to White</t>
  </si>
  <si>
    <t>Staked; Ht 6'; Very Nice</t>
  </si>
  <si>
    <t>Bridal Veil has intensely fragrant blooms that open in late winter, long before most trees awaken</t>
  </si>
  <si>
    <t>Multi-stem Tree Form; Ht 5-5.5' now; Nice; Full (Next crop Spring 2026)</t>
  </si>
  <si>
    <t>Cameo Magnolia</t>
  </si>
  <si>
    <t>Magnolia x 'Cameo' PP#27222</t>
  </si>
  <si>
    <t>Magenta &amp; White bloom</t>
  </si>
  <si>
    <t>Cameo Magnolia features sculpted Reddish-Purple blooms with White interiors. Bred in New Zealand for early spring impact</t>
  </si>
  <si>
    <t>Ht 7-8' now; Sheared; Average</t>
  </si>
  <si>
    <t>pruned 10" (10/20)</t>
  </si>
  <si>
    <t>12-15"x15-18" (10/20)</t>
  </si>
  <si>
    <t>24-34" ht &amp; sp.</t>
  </si>
  <si>
    <t>4-4.5' ht x 18-24" sp</t>
  </si>
  <si>
    <t>9-11' ht multi-stem 1-1.75" c</t>
  </si>
  <si>
    <t>Ht 8'; Cal 1"; NICE</t>
  </si>
  <si>
    <t>Gaultheria procumbens</t>
  </si>
  <si>
    <t>6"×18"</t>
  </si>
  <si>
    <t>berries</t>
  </si>
  <si>
    <t>qty 200</t>
  </si>
  <si>
    <t>Spiral;New Crop Ht 4.5'</t>
  </si>
  <si>
    <t>5-6' h | 1.25" cal. | very nice | 6-8' h | 1.25-1.5" cal.</t>
  </si>
  <si>
    <t>18-20" x 20-22" | great color</t>
  </si>
  <si>
    <t>28-32" h | great color</t>
  </si>
  <si>
    <t>3.5-4.5' ht x 18-24" sp</t>
  </si>
  <si>
    <t>6-7' ht x 3.5-4.5' sp</t>
  </si>
  <si>
    <t>28-36" ht &amp; sp</t>
  </si>
  <si>
    <t>Ht 18-20" x Wd 36-38" now; Very nice</t>
  </si>
  <si>
    <t>Qty 50 nice, 2.5-3ft HT</t>
  </si>
  <si>
    <t>5-7' ht x 28-36" sp</t>
  </si>
  <si>
    <t>28-34" ht x 18-24" sp</t>
  </si>
  <si>
    <t>10-11' ht x 5-5.5' sp</t>
  </si>
  <si>
    <t>Green Machine Weeping Redbud</t>
  </si>
  <si>
    <t>Cercis canadensis 'Green Machine'</t>
  </si>
  <si>
    <t>Weeping Redbud; Ht 6'-6.5'; Look Good</t>
  </si>
  <si>
    <t>Green Machine has heart-shaped leaves, a cascading habit, and Bright Green foliage, turning Yellow in fall</t>
  </si>
  <si>
    <t>New Crop Ht 9-10'; Cal 1.25"; NICE</t>
  </si>
  <si>
    <t xml:space="preserve">6-7' ht x 4' sp </t>
  </si>
  <si>
    <t>3-4' ht x 3-3.5' sp</t>
  </si>
  <si>
    <t>12-15"x20-24"</t>
  </si>
  <si>
    <t>Helleborus x glandorfensis 'COSEH 4600' PP#30488</t>
  </si>
  <si>
    <t>Wice-Red bloom</t>
  </si>
  <si>
    <t>Hyd. arborescens 'NCHA7' PP#30358</t>
  </si>
  <si>
    <t>Mauve-Pink bloom</t>
  </si>
  <si>
    <t>SALE, pruned 15"</t>
  </si>
  <si>
    <t>7-9' ht x 4-5.5' sp</t>
  </si>
  <si>
    <t>3.5-4.5' ht x sp.</t>
  </si>
  <si>
    <t>Ht 8'-8.5'; Cal 1.5"</t>
  </si>
  <si>
    <t>pruned 18"</t>
  </si>
  <si>
    <t>Ht 32"; Good</t>
  </si>
  <si>
    <t>Qty 13 Nice, 4ft HT</t>
  </si>
  <si>
    <t>15-18", fall color</t>
  </si>
  <si>
    <t>Tree Form; Overall Ht 4'; Canopy width 24"; Very Nice</t>
  </si>
  <si>
    <t>Qty 15, 6-6.5ft HT</t>
  </si>
  <si>
    <t>5-7' ht x 28-36" sp.</t>
  </si>
  <si>
    <t>8-10" spread (10/14)</t>
  </si>
  <si>
    <t>12-15" x 18-20" | very nice | new crop = 15" w</t>
  </si>
  <si>
    <t>pruned 14" (10/21)</t>
  </si>
  <si>
    <t>18-20" x 20-22" | very nice</t>
  </si>
  <si>
    <t>18-24" ht. x sp.</t>
  </si>
  <si>
    <t>8-10"x12" (10/14)</t>
  </si>
  <si>
    <t>3-4.5' ht x 32-42" sp</t>
  </si>
  <si>
    <t>Qty 200, 5.5-6ft HT</t>
  </si>
  <si>
    <t>Ht 5-5.5'; NICE; Sheared; Very full</t>
  </si>
  <si>
    <t>pruned 10"x12"</t>
  </si>
  <si>
    <t>3-3.5' ht x 18-26" sp</t>
  </si>
  <si>
    <t>Pagoda Dogwood</t>
  </si>
  <si>
    <t>Cornus alternifolia</t>
  </si>
  <si>
    <t>25'×30'</t>
  </si>
  <si>
    <t>Ht 7'-8'; Very Nice</t>
  </si>
  <si>
    <t>8-10"x10-12", blooms (10/17)</t>
  </si>
  <si>
    <t>Peggy Clarke Flowering Apricot</t>
  </si>
  <si>
    <t>New crop; Ht 22-24"</t>
  </si>
  <si>
    <t>Ht 16-18"; Very nice; Next Crop May 15th 2026</t>
  </si>
  <si>
    <t>4.5-5.5' ht x 3-4' sp</t>
  </si>
  <si>
    <t>3.5-4' ht x 10-12' sp</t>
  </si>
  <si>
    <t>Slim N' Trim Camellia</t>
  </si>
  <si>
    <t>3.5-4.5' ht &amp; sp</t>
  </si>
  <si>
    <t>10-12", budded (10/20)</t>
  </si>
  <si>
    <t xml:space="preserve">6-7' ht x 24-28" sp </t>
  </si>
  <si>
    <t>Steady Eddy Doublefile Viburnum</t>
  </si>
  <si>
    <t>Viburnum plicatum 'Steady Eddy'</t>
  </si>
  <si>
    <t>New crop; Ht 30-32" x Wd 30-32"; NICE; Buds</t>
  </si>
  <si>
    <t>Steady Eddy known for repeat lacecap blooms, followed by attractive Red fruit and brilliant Purplish-Burgundy fall color</t>
  </si>
  <si>
    <t>4' ht. x sp.</t>
  </si>
  <si>
    <t>5-6' ht x 4-4.5' sp</t>
  </si>
  <si>
    <t>Ht 2-2.5'; Nice</t>
  </si>
  <si>
    <t>3.5-4' h | 1-1.25" cal.</t>
  </si>
  <si>
    <t>The King Ostrich Fern</t>
  </si>
  <si>
    <t>Matteuccia struthiopteris 'The King'</t>
  </si>
  <si>
    <t>10"x12-15" (10/20)</t>
  </si>
  <si>
    <t>Qty 18, 6ft HT</t>
  </si>
  <si>
    <t>Qty 35, 7-7.5ft HT</t>
  </si>
  <si>
    <t>Ht 42-48"; Full; Nice</t>
  </si>
  <si>
    <t>5-6 ht x 3.5-4' sp</t>
  </si>
  <si>
    <t>3' x 2' | young crop</t>
  </si>
  <si>
    <t>24-36" ht x sp</t>
  </si>
  <si>
    <t>12-14" ht x 16-18" sp</t>
  </si>
  <si>
    <t>Ht 40-42"; Full; Buds; NICE</t>
  </si>
  <si>
    <t>Yuh-Hwa Flowering Apricot</t>
  </si>
  <si>
    <r>
      <t>☀</t>
    </r>
    <r>
      <rPr>
        <sz val="9"/>
        <color theme="1"/>
        <rFont val="Arial Narrow"/>
        <family val="2"/>
      </rPr>
      <t>Full Sun</t>
    </r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</si>
  <si>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</si>
  <si>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</si>
  <si>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</si>
  <si>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</si>
  <si>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</si>
  <si>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</si>
  <si>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</si>
  <si>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</si>
  <si>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</si>
  <si>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</si>
  <si>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</si>
  <si>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</si>
  <si>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</si>
  <si>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</si>
  <si>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</si>
  <si>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</si>
  <si>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</si>
  <si>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</si>
  <si>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</si>
  <si>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</si>
  <si>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</si>
  <si>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</si>
  <si>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</si>
  <si>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</si>
  <si>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</si>
  <si>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</si>
  <si>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</si>
  <si>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🌤</t>
    </r>
    <r>
      <rPr>
        <sz val="9"/>
        <rFont val="Arial Narrow"/>
        <family val="2"/>
      </rPr>
      <t>Part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</si>
  <si>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</si>
  <si>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</si>
  <si>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</si>
  <si>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</si>
  <si>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</si>
  <si>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</si>
  <si>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</si>
  <si>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</si>
  <si>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</si>
  <si>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</si>
  <si>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</si>
  <si>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</si>
  <si>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</si>
  <si>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</si>
  <si>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</si>
  <si>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</si>
  <si>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</si>
  <si>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</si>
  <si>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</si>
  <si>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</si>
  <si>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</si>
  <si>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</si>
  <si>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</si>
  <si>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</si>
  <si>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</si>
  <si>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</si>
  <si>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</si>
  <si>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</si>
  <si>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</si>
  <si>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</si>
  <si>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</si>
  <si>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</si>
  <si>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</si>
  <si>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</si>
  <si>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</si>
  <si>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</si>
  <si>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</si>
  <si>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</si>
  <si>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</si>
  <si>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</si>
  <si>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</si>
  <si>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</si>
  <si>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</si>
  <si>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</si>
  <si>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</si>
  <si>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</si>
  <si>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</si>
  <si>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</si>
  <si>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</si>
  <si>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</si>
  <si>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</si>
  <si>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</si>
  <si>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</si>
  <si>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</si>
  <si>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</si>
  <si>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</si>
  <si>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</si>
  <si>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</si>
  <si>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</si>
  <si>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</si>
  <si>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</si>
  <si>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</si>
  <si>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</si>
  <si>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</si>
  <si>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</si>
  <si>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</si>
  <si>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</si>
  <si>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</si>
  <si>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</si>
  <si>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</si>
  <si>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</si>
  <si>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</si>
  <si>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</si>
  <si>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</si>
  <si>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</si>
  <si>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Zinger spreads gracefully with cool-toned Blue foliage, creating a soft groundcover. Aromatic when bruised, that deer hate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</si>
  <si>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was developed as a "1/2 Green Giant", with dense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</si>
  <si>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</si>
  <si>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</si>
  <si>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</si>
  <si>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</si>
  <si>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</si>
  <si>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</si>
  <si>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Caesar's Brother Siberian Iris has elegant, slender, upright foliage and a profusion of stunning flowers in late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</si>
  <si>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</si>
  <si>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</si>
  <si>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</si>
  <si>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</si>
  <si>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</si>
  <si>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</si>
  <si>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</si>
  <si>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</si>
  <si>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</si>
  <si>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</si>
  <si>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</si>
  <si>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</si>
  <si>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</si>
  <si>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</si>
  <si>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</si>
  <si>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</si>
  <si>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</si>
  <si>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</si>
  <si>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</si>
  <si>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</si>
  <si>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</si>
  <si>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</si>
  <si>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</si>
  <si>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</si>
  <si>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</si>
  <si>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</si>
  <si>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Eastern Teaberry has fragrant foliage, edible Red berries, and attractive Reddish-Bronze to Burgundy fall coloration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</si>
  <si>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</si>
  <si>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</si>
  <si>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</si>
  <si>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</si>
  <si>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</si>
  <si>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</si>
  <si>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</si>
  <si>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</si>
  <si>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</si>
  <si>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</si>
  <si>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</si>
  <si>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</si>
  <si>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</si>
  <si>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</si>
  <si>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</si>
  <si>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</si>
  <si>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</si>
  <si>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</si>
  <si>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</si>
  <si>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</si>
  <si>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</si>
  <si>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</si>
  <si>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</si>
  <si>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</si>
  <si>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</si>
  <si>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</si>
  <si>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</si>
  <si>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</si>
  <si>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</si>
  <si>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Ground Hug has a very low-growing, groundcover habit. Glossy Green foliage turns Brilliant Red in fall.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</si>
  <si>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</si>
  <si>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</si>
  <si>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</si>
  <si>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</si>
  <si>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</si>
  <si>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</si>
  <si>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</si>
  <si>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</si>
  <si>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</si>
  <si>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</si>
  <si>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</si>
  <si>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Mini Mauvette has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</si>
  <si>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</si>
  <si>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</si>
  <si>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</si>
  <si>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Painted Fern has a lovely Silvering in spring, becoming Greener with heat. Shade garden standout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</si>
  <si>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</si>
  <si>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</si>
  <si>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</si>
  <si>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</si>
  <si>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</si>
  <si>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</si>
  <si>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</si>
  <si>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</si>
  <si>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</si>
  <si>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</si>
  <si>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</si>
  <si>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</si>
  <si>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</si>
  <si>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</si>
  <si>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</si>
  <si>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</si>
  <si>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</si>
  <si>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</si>
  <si>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</si>
  <si>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</si>
  <si>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</si>
  <si>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</si>
  <si>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</si>
  <si>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</si>
  <si>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</si>
  <si>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</si>
  <si>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Mondo has Dark Green foliage. Grass substitute for grass, as it tolerates foot traffic. Dark Purple to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</si>
  <si>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</si>
  <si>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</si>
  <si>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</si>
  <si>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</si>
  <si>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</si>
  <si>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</si>
  <si>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</si>
  <si>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</si>
  <si>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</si>
  <si>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</si>
  <si>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</si>
  <si>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</si>
  <si>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</si>
  <si>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</si>
  <si>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Otto Luyken is more pest resistant than other Prunus. Fragrant blooms followed by small black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</si>
  <si>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</si>
  <si>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</si>
  <si>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</si>
  <si>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Pagoda is a gracefully tiered small tree with flat White spring blooms, Blue berries for birds, and rich Burgundy fall color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</si>
  <si>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</si>
  <si>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</si>
  <si>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</si>
  <si>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</si>
  <si>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</si>
  <si>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</si>
  <si>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</si>
  <si>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</si>
  <si>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</si>
  <si>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</si>
  <si>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</si>
  <si>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</si>
  <si>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</si>
  <si>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</si>
  <si>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</si>
  <si>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</si>
  <si>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</si>
  <si>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</si>
  <si>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</si>
  <si>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</si>
  <si>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</si>
  <si>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</si>
  <si>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</si>
  <si>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</si>
  <si>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</si>
  <si>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</si>
  <si>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</si>
  <si>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</si>
  <si>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</si>
  <si>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</si>
  <si>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</si>
  <si>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</si>
  <si>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</si>
  <si>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</si>
  <si>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</si>
  <si>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</si>
  <si>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</si>
  <si>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</si>
  <si>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</si>
  <si>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</si>
  <si>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</si>
  <si>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</si>
  <si>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</si>
  <si>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</si>
  <si>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</si>
  <si>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</si>
  <si>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</si>
  <si>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</si>
  <si>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</si>
  <si>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</si>
  <si>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</si>
  <si>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</si>
  <si>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</si>
  <si>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</si>
  <si>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</si>
  <si>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Beauty bred improved heat and humidity tolerance. Bold, distinct foliage, with deeply lobed, glossy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</si>
  <si>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</si>
  <si>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</si>
  <si>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</si>
  <si>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</si>
  <si>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</si>
  <si>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</si>
  <si>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</si>
  <si>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</si>
  <si>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</si>
  <si>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</si>
  <si>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</si>
  <si>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</si>
  <si>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King Ostrich named for fronds that resemble ostrich plumes. Will spread aggressively by underground runner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</si>
  <si>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</si>
  <si>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</si>
  <si>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</si>
  <si>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</si>
  <si>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</si>
  <si>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</si>
  <si>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</si>
  <si>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</si>
  <si>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</si>
  <si>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</si>
  <si>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</si>
  <si>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</si>
  <si>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</si>
  <si>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</si>
  <si>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</si>
  <si>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</si>
  <si>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</si>
  <si>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</si>
  <si>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</si>
  <si>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</si>
  <si>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Whitewater is a dazzling perennial known for its bold, highly variegated Green and creamy-White foliage. Very eye-catching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</si>
  <si>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</si>
  <si>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</si>
  <si>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</si>
  <si>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</si>
  <si>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</si>
  <si>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</si>
  <si>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</si>
  <si>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</si>
  <si>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Acadiana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</si>
  <si>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Amber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Dawn Redwood</t>
    </r>
  </si>
  <si>
    <r>
      <t>Anna's Magic Ball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</si>
  <si>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Arctic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Twig Dogwood</t>
    </r>
  </si>
  <si>
    <r>
      <t>Autumn Amethyst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</si>
  <si>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'Conlee' PP#10567</t>
    </r>
  </si>
  <si>
    <r>
      <t>Autumn Angel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</si>
  <si>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'Robleg' PP#15227</t>
    </r>
  </si>
  <si>
    <r>
      <t>Autumn Bonfire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</si>
  <si>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'Robleza' PP#29770</t>
    </r>
  </si>
  <si>
    <r>
      <t>Autumn Brilliance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Serviceberry</t>
    </r>
  </si>
  <si>
    <r>
      <t>Autumn Carnation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</si>
  <si>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'Roblec' PP#15339</t>
    </r>
  </si>
  <si>
    <r>
      <t>Autumn Carnival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</si>
  <si>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'Conlet' PP#12111</t>
    </r>
  </si>
  <si>
    <r>
      <t>Autumn Cheer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</si>
  <si>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'Conlef' PP#10579</t>
    </r>
  </si>
  <si>
    <r>
      <t>Autumn Chiffon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</si>
  <si>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'Robled' PP#15862</t>
    </r>
  </si>
  <si>
    <r>
      <t>Autumn Coral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</si>
  <si>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'Conled' PP#10568</t>
    </r>
  </si>
  <si>
    <r>
      <t>Autumn Embers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</si>
  <si>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'Conleb' PP#10581</t>
    </r>
  </si>
  <si>
    <r>
      <t>Autumn Empress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</si>
  <si>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'Conles' PP#12109</t>
    </r>
  </si>
  <si>
    <r>
      <t>Autumn 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</si>
  <si>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'Roblez' PP#28279</t>
    </r>
  </si>
  <si>
    <r>
      <t>Autumn Ivory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</si>
  <si>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'Roblev' PP#25046</t>
    </r>
  </si>
  <si>
    <r>
      <t>Autumn Lilac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</si>
  <si>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'Robles' PP#22762</t>
    </r>
  </si>
  <si>
    <r>
      <t>Autumn Lily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</si>
  <si>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'Roblex' PP#25073</t>
    </r>
  </si>
  <si>
    <r>
      <t>Autumn Majesty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</si>
  <si>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'Roblezd' PP#32967</t>
    </r>
  </si>
  <si>
    <r>
      <t>Autumn Reprise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</si>
  <si>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Autumn Rouge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</si>
  <si>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'Conlea' PP#10438</t>
    </r>
  </si>
  <si>
    <r>
      <t>Autumn Royalty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</si>
  <si>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'Conlec' PP#10580</t>
    </r>
  </si>
  <si>
    <r>
      <t>Autumn Sangria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</si>
  <si>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'Roblee' PP#15077</t>
    </r>
  </si>
  <si>
    <r>
      <t>Autumn Starburst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</si>
  <si>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'Robleze' PP#32506</t>
    </r>
  </si>
  <si>
    <r>
      <t>Autumn Sunburst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</si>
  <si>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'Roblet' PP#25072</t>
    </r>
  </si>
  <si>
    <r>
      <t>Autumn Sundance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</si>
  <si>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'Roblef' PP#16184</t>
    </r>
  </si>
  <si>
    <r>
      <t>Autumn Twist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</si>
  <si>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'Conlep' PP#12133</t>
    </r>
  </si>
  <si>
    <r>
      <t>Baby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Flax Lily</t>
    </r>
  </si>
  <si>
    <r>
      <t>Baby Gem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Boxwood</t>
    </r>
  </si>
  <si>
    <r>
      <t>Bali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of Sharon</t>
    </r>
  </si>
  <si>
    <r>
      <t>Bayou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</t>
    </r>
  </si>
  <si>
    <r>
      <t>Bella Rouge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</si>
  <si>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BerryBux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Blueberry</t>
    </r>
  </si>
  <si>
    <r>
      <t>Black Diamond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Shell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</si>
  <si>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Black Pearl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</si>
  <si>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Bliss Parfuma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</si>
  <si>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Bloomerang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Ballet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Lilac</t>
    </r>
  </si>
  <si>
    <r>
      <t>Blue Chiffon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</si>
  <si>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Blue Muffin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Arrowwood Viburnum</t>
    </r>
  </si>
  <si>
    <r>
      <t>Blue Ray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</si>
  <si>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Blueberry Pie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</si>
  <si>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Blush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</si>
  <si>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Blushing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</si>
  <si>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Bobo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Hardy Hydrangea</t>
    </r>
  </si>
  <si>
    <r>
      <t>Bolero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</t>
    </r>
  </si>
  <si>
    <r>
      <t>Bonafide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</si>
  <si>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Bouncy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</si>
  <si>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Buttercream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</si>
  <si>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Campfire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</si>
  <si>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Emily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</si>
  <si>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Julia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</si>
  <si>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Carolina Sweetheart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</si>
  <si>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Cast in Bronze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</si>
  <si>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Celestial Shadow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</si>
  <si>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Celestial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</si>
  <si>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Center Stage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Coral Crape Myrtle</t>
    </r>
  </si>
  <si>
    <r>
      <t>Cherry Explosion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</si>
  <si>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Cherry on Top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Sorbaria</t>
    </r>
  </si>
  <si>
    <r>
      <t>Cherry-Go-Round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</si>
  <si>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Chocolate Fountain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Mimosa</t>
    </r>
  </si>
  <si>
    <r>
      <t>Christmas Carol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</si>
  <si>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Chrysalis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 Butterfly Bush</t>
    </r>
  </si>
  <si>
    <r>
      <t>Constellation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</si>
  <si>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Coral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</si>
  <si>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Coral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</si>
  <si>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CranRazz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</si>
  <si>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Crimson Doll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</t>
    </r>
  </si>
  <si>
    <r>
      <t>Crimson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</si>
  <si>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Crown Point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</si>
  <si>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Lavender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</si>
  <si>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Pink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</si>
  <si>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White Butterfly Bush</t>
    </r>
  </si>
  <si>
    <r>
      <t>Dark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Blackhaw Viburnum</t>
    </r>
  </si>
  <si>
    <r>
      <t>Debonair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Pond Cypress</t>
    </r>
  </si>
  <si>
    <r>
      <t>Double Down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</si>
  <si>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Double 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</si>
  <si>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Dragon Baby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</si>
  <si>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Dura-Heat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River Birch</t>
    </r>
  </si>
  <si>
    <r>
      <t>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</si>
  <si>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Easy Bee-zy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</si>
  <si>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Eclipse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</si>
  <si>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Electric Love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</si>
  <si>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Emerald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</si>
  <si>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Emerald Squeeze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</si>
  <si>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Empire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Northern Lights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</si>
  <si>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EnduraScape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Verbena</t>
    </r>
  </si>
  <si>
    <r>
      <t>Enduring Summer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Crape Myrtle</t>
    </r>
  </si>
  <si>
    <r>
      <t>Ever Red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</si>
  <si>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Everclear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Lacebark Elm</t>
    </r>
  </si>
  <si>
    <r>
      <t>Fire Chief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</si>
  <si>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Fire Light Tidbit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</si>
  <si>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Fire 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</si>
  <si>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First Flame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Maple</t>
    </r>
  </si>
  <si>
    <r>
      <t>Flip Side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Chaste Tree</t>
    </r>
  </si>
  <si>
    <r>
      <t>Flirt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</si>
  <si>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Forest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</si>
  <si>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Forever Goldy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</si>
  <si>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Funky Flow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Mahonia</t>
    </r>
  </si>
  <si>
    <r>
      <t>Galilean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</si>
  <si>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Gem Box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Inkberry Holly</t>
    </r>
  </si>
  <si>
    <r>
      <t>Golden Colonnade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Ginkgo</t>
    </r>
  </si>
  <si>
    <r>
      <t>Golden Dragon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Japanese Plum Yew</t>
    </r>
  </si>
  <si>
    <r>
      <t>Golden Falls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</si>
  <si>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Gordo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Big Leaf Boxwood</t>
    </r>
  </si>
  <si>
    <r>
      <t>Green Gable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</si>
  <si>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Grin &amp; Tonic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</si>
  <si>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Ground Hug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</t>
    </r>
  </si>
  <si>
    <r>
      <t>Guatemala Gold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</t>
    </r>
  </si>
  <si>
    <r>
      <t>Heart Throb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</si>
  <si>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Hearts A'fire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</si>
  <si>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Champion Lenten Rose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</si>
  <si>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Frost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</si>
  <si>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French Kiss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</si>
  <si>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Paris in Pink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</si>
  <si>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Romantic Getaway Lenten Rose</t>
    </r>
  </si>
  <si>
    <r>
      <t>Hunny Bun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Cleyera</t>
    </r>
  </si>
  <si>
    <r>
      <t>Ice Angels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April Remembered Camellia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</si>
  <si>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Barolo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</si>
  <si>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Brunello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</si>
  <si>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Dark Picotee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</si>
  <si>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Early Rose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</si>
  <si>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Red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</si>
  <si>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Rosado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</si>
  <si>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Rose Lenten Rose</t>
    </r>
  </si>
  <si>
    <r>
      <t>Jethro Tull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Tickseed</t>
    </r>
  </si>
  <si>
    <r>
      <t>Jetstream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</si>
  <si>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L.A. Dreamin'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</si>
  <si>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Lavender Twist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</si>
  <si>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Legacy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Sugar Maple</t>
    </r>
  </si>
  <si>
    <r>
      <t>Lemon 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</si>
  <si>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Lemon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</si>
  <si>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Li'l Annie Oakleaf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</si>
  <si>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Limelight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</si>
  <si>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Little 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</si>
  <si>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Magic Carpet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Spirea</t>
    </r>
  </si>
  <si>
    <r>
      <t>Marley's Pink Parasol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</si>
  <si>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Mercury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Magnolia</t>
    </r>
  </si>
  <si>
    <r>
      <t>Midnight Cascade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Blueberry</t>
    </r>
  </si>
  <si>
    <r>
      <t>Midnight Express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</si>
  <si>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Midnight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</si>
  <si>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Mint Julep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Juniper</t>
    </r>
  </si>
  <si>
    <r>
      <t>Miss Lemon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</si>
  <si>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Mojo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Pittosporum</t>
    </r>
  </si>
  <si>
    <r>
      <t>Monarch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</si>
  <si>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Moonlight Romantica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</si>
  <si>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Moonlit Lace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</si>
  <si>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Moonrock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</si>
  <si>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Mr. Bowling Ball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</si>
  <si>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My Lady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</si>
  <si>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Mangave 'Navajo Princess' PP#31136 Mad About Mangave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Collection</t>
    </r>
  </si>
  <si>
    <r>
      <t>New Age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Lavender Lilac</t>
    </r>
  </si>
  <si>
    <r>
      <t>New Age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White Lilac</t>
    </r>
  </si>
  <si>
    <r>
      <t>NewGen Freedom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</si>
  <si>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NewGen Independence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</si>
  <si>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Night Light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Cypress</t>
    </r>
  </si>
  <si>
    <r>
      <t>Nightfall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</si>
  <si>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Oak Leaf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</si>
  <si>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Oakland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</si>
  <si>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Obsession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</si>
  <si>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October Glory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</si>
  <si>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Crimson N' Clover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</si>
  <si>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Ivory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</si>
  <si>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Orchid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</si>
  <si>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Ruby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</si>
  <si>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Opening Day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Doublefile Viburnum</t>
    </r>
  </si>
  <si>
    <r>
      <t>Orange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</si>
  <si>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Orion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</si>
  <si>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Pancake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</si>
  <si>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Peach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</si>
  <si>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Peach Sorbet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</t>
    </r>
  </si>
  <si>
    <r>
      <t>Peach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Miniature Rose</t>
    </r>
  </si>
  <si>
    <r>
      <t>PermaThread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Satin Tickseed</t>
    </r>
  </si>
  <si>
    <r>
      <t>Persian Spire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Parrotia</t>
    </r>
  </si>
  <si>
    <r>
      <t>Pink Cascade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Flowering Cherry</t>
    </r>
  </si>
  <si>
    <r>
      <t>Pink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</si>
  <si>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</si>
  <si>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Dynamo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</si>
  <si>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Pink Heartbreaker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</si>
  <si>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Pink Velour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</si>
  <si>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Platinum Beauty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Lomandra</t>
    </r>
  </si>
  <si>
    <r>
      <t>Plum Gorgeous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</si>
  <si>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Pop Star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</si>
  <si>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Popcorn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</si>
  <si>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Poppin' Passion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Passionflower Vine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</si>
  <si>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Petite Japanese Spirea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</si>
  <si>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Pineapple Japanese Spirea</t>
    </r>
  </si>
  <si>
    <r>
      <t>PowWow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Wild Berry Coneflower</t>
    </r>
  </si>
  <si>
    <r>
      <t>Prairie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</si>
  <si>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Princeton Sentry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Ginkgo</t>
    </r>
  </si>
  <si>
    <r>
      <t>Private Jet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</si>
  <si>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Pugster Blue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</si>
  <si>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 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</si>
  <si>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Amethyst Butterfly Bush</t>
    </r>
  </si>
  <si>
    <r>
      <t>Purple Daydream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</si>
  <si>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Purple Diamond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</si>
  <si>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Purple Glaze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</si>
  <si>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Purple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</si>
  <si>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Purple Pixie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</si>
  <si>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</si>
  <si>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Rainbow Fizz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</si>
  <si>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Rainbow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Serviceberry</t>
    </r>
  </si>
  <si>
    <r>
      <t>Raspberry Cupcake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</si>
  <si>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Raspberry Perfection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</si>
  <si>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Red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</si>
  <si>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</si>
  <si>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Redpointe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</si>
  <si>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Regal Prince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</t>
    </r>
  </si>
  <si>
    <r>
      <t>Rise &amp; Shine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</si>
  <si>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Robin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</si>
  <si>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Roman Candle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Podocarpus</t>
    </r>
  </si>
  <si>
    <r>
      <t>Rose Sensation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False Hydrangea Vine</t>
    </r>
  </si>
  <si>
    <r>
      <t>RoyalRazz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</si>
  <si>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Ruby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</si>
  <si>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Ruby Ruffle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Patio Peach</t>
    </r>
  </si>
  <si>
    <r>
      <t>Sapphire Surf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Bluebeard</t>
    </r>
  </si>
  <si>
    <r>
      <t>Scarlet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</si>
  <si>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Screen Play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</si>
  <si>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Shades of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Viburnum</t>
    </r>
  </si>
  <si>
    <r>
      <t>Simply Scentsational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Sweetshrub</t>
    </r>
  </si>
  <si>
    <r>
      <t>Snow Fountains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Cherry</t>
    </r>
  </si>
  <si>
    <r>
      <t>Snow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</si>
  <si>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Snow-N-Summer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Asiatic Jasmine Vine</t>
    </r>
  </si>
  <si>
    <r>
      <t>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Black-Eyed Susan</t>
    </r>
  </si>
  <si>
    <r>
      <t>Rudbeckia hirta 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PPAF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</si>
  <si>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Adobe Orange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</si>
  <si>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Coneflower</t>
    </r>
  </si>
  <si>
    <r>
      <t>Sparkling Wine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</si>
  <si>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Spilled Wine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</si>
  <si>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Starfield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Hydrangea</t>
    </r>
  </si>
  <si>
    <r>
      <t>Stellar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Dogwood</t>
    </r>
  </si>
  <si>
    <r>
      <t>Sugar and Spice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</si>
  <si>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Fire Trumpet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</si>
  <si>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Gold Trumpet Vine</t>
    </r>
  </si>
  <si>
    <r>
      <t>Summer Sensation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</si>
  <si>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Summer Sparkler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Summersweet</t>
    </r>
  </si>
  <si>
    <r>
      <t>Suntastic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Peach Abelia</t>
    </r>
  </si>
  <si>
    <r>
      <t>Sweet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</si>
  <si>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Sweet Mademoiselle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</si>
  <si>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Sweet Starlight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</si>
  <si>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Tall Guy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</si>
  <si>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Taste of Heaven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Blackberry</t>
    </r>
  </si>
  <si>
    <r>
      <t>Teddy Bear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Magnolia</t>
    </r>
  </si>
  <si>
    <r>
      <t>Temple of Bloom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Seven-Son Flower Tree</t>
    </r>
  </si>
  <si>
    <r>
      <t>The Rising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</si>
  <si>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Thunderbolt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 Honeysuckle</t>
    </r>
  </si>
  <si>
    <r>
      <t>Thunderstruck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'White Lightning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>' Crape Myrtle</t>
    </r>
  </si>
  <si>
    <r>
      <t>Tiny Tank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Dwarf Cast Iron Plant</t>
    </r>
  </si>
  <si>
    <r>
      <t>Tiny Tuff Stuff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</si>
  <si>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TropiCanna Lily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Phasion Canna Lily</t>
    </r>
  </si>
  <si>
    <r>
      <t>Twisty Baby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 Locust</t>
    </r>
  </si>
  <si>
    <r>
      <t>UPTICK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Yellow &amp; Red Tickseed</t>
    </r>
  </si>
  <si>
    <r>
      <t>Vanilla Strawberry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</si>
  <si>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Velveteeny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Dwarf Purple Smokebush</t>
    </r>
  </si>
  <si>
    <r>
      <t>Vintage Jade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</si>
  <si>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White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</si>
  <si>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White Wedding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</si>
  <si>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Wine &amp; Roses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</si>
  <si>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Winecraft Black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Smokebush</t>
    </r>
  </si>
  <si>
    <r>
      <t>Yardline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</si>
  <si>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Yeti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</si>
  <si>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Yewtopia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Plum Yew</t>
    </r>
  </si>
  <si>
    <r>
      <t>Zig Zag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</si>
  <si>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 xml:space="preserve">Amethyst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</si>
  <si>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Baby Cakes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</si>
  <si>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Bloomerang Purpink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</si>
  <si>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Bloomstruck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</si>
  <si>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Blue Cascade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</si>
  <si>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Blue Moon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Bee Balm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</si>
  <si>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Candelabra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</si>
  <si>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Candy Corn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DP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</si>
  <si>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Cinnamon Girl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</si>
  <si>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Coppertone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</si>
  <si>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Double Mint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</si>
  <si>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Eastern Teaberry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aka American Wintergreen &amp; Checkerberry</t>
    </r>
    <r>
      <rPr>
        <sz val="10"/>
        <color rgb="FF004800"/>
        <rFont val="Arial"/>
        <family val="2"/>
      </rPr>
      <t>)</t>
    </r>
  </si>
  <si>
    <r>
      <t>Emerald Heights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</si>
  <si>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Endless Summer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</si>
  <si>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Ever After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Pink Reblooming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BE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</si>
  <si>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Evergold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</si>
  <si>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Everillo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</si>
  <si>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Fiber Optics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Buttonbush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</si>
  <si>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Firefly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</si>
  <si>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Flirty Girl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False Hydrangea Vine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</si>
  <si>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Glacier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</si>
  <si>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Holy Grail Hardy Hibiscus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Summerific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</si>
  <si>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Mini Mauvette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</si>
  <si>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Sublime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</si>
  <si>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Limelight Prime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</si>
  <si>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Linebacker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</si>
  <si>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Little Henry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Virginia Sweetspire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</si>
  <si>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 Punch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</si>
  <si>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</si>
  <si>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Mound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Aronia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</si>
  <si>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Snowfire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</si>
  <si>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Lunar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</si>
  <si>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Maroon Swoon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</si>
  <si>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Midnight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</si>
  <si>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Nightglow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</si>
  <si>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North Pole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</si>
  <si>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Panama Red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</si>
  <si>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Perfecto Mundo Epic Pink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</si>
  <si>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Pink Icing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</si>
  <si>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Pink Ruffles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</si>
  <si>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Purple Haze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L&amp;B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</si>
  <si>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Raspberry Shortcake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Raspberry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</si>
  <si>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Starway to Heaven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</si>
  <si>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Sting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</si>
  <si>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Stunner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</si>
  <si>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Summer Crush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</si>
  <si>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Sunglow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</si>
  <si>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SWEET &amp; LO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Sweet Box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</si>
  <si>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Swing Low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</si>
  <si>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Tater Tot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</si>
  <si>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Tilt-A-Swirl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</si>
  <si>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True Love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</si>
  <si>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Twist-N-Shout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</si>
  <si>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Vinho Verde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</si>
  <si>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Wedding Bells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</si>
  <si>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Wolfpack Red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</si>
  <si>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t>All versions of Price it recreated every Saturday, with latest data from our</t>
  </si>
  <si>
    <t>DECIDUOUS in Peach</t>
  </si>
  <si>
    <t>EVERGREEN Plants in Green</t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</si>
  <si>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Mike@Trees2Go.com</t>
    </r>
    <r>
      <rPr>
        <sz val="10"/>
        <color theme="1"/>
        <rFont val="Arial"/>
        <family val="2"/>
      </rPr>
      <t xml:space="preserve"> - get a custom quote back fast.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</si>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</sst>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8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10"/>
      <name val="Gadugi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i/>
      <sz val="9"/>
      <color rgb="FF8D4305"/>
      <name val="Arial"/>
      <family val="2"/>
    </font>
    <font>
      <sz val="10"/>
      <color rgb="FF002060"/>
      <name val="Arial"/>
      <family val="2"/>
    </font>
    <font>
      <b/>
      <sz val="10.5"/>
      <color rgb="FF002060"/>
      <name val="Calibri"/>
      <family val="2"/>
      <scheme val="minor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sz val="10.5"/>
      <color rgb="FF002060"/>
      <name val="Calibri"/>
      <family val="2"/>
      <scheme val="minor"/>
    </font>
    <font>
      <b/>
      <sz val="9.5"/>
      <color rgb="FF002060"/>
      <name val="Gadugi"/>
      <family val="2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i/>
      <sz val="10"/>
      <color rgb="FF0000FF"/>
      <name val="Calibri"/>
      <family val="2"/>
      <scheme val="minor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sz val="9"/>
      <color rgb="FF002D86"/>
      <name val="Arial"/>
      <family val="2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color rgb="FFC4FAFF"/>
      <name val="Calibri"/>
      <family val="2"/>
      <scheme val="minor"/>
    </font>
    <font>
      <b/>
      <sz val="11"/>
      <color theme="1"/>
      <name val="Arial"/>
      <family val="2"/>
    </font>
    <font>
      <sz val="9"/>
      <name val="Arial"/>
      <family val="2"/>
    </font>
    <font>
      <sz val="10"/>
      <color theme="0"/>
      <name val="Arial Narrow"/>
      <family val="2"/>
    </font>
    <font>
      <i/>
      <sz val="9"/>
      <color rgb="FF0000FF"/>
      <name val="Arial"/>
      <family val="2"/>
    </font>
    <font>
      <b/>
      <sz val="12"/>
      <color theme="0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.5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u/>
      <sz val="10"/>
      <color rgb="FF0000FF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sz val="10"/>
      <color rgb="FF002D86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11"/>
      <color theme="0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9"/>
      <color theme="1" tint="0.14999847407452621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u/>
      <sz val="9"/>
      <color theme="0"/>
      <name val="Arial"/>
      <family val="2"/>
    </font>
    <font>
      <b/>
      <sz val="10.5"/>
      <color rgb="FF00206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9.5"/>
      <color theme="1"/>
      <name val="Arial"/>
      <family val="2"/>
    </font>
    <font>
      <b/>
      <sz val="10"/>
      <color rgb="FF208420"/>
      <name val="Arial"/>
      <family val="2"/>
    </font>
    <font>
      <i/>
      <sz val="9"/>
      <color rgb="FFFF0000"/>
      <name val="Arial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b/>
      <sz val="10.5"/>
      <color rgb="FFFFFFCC"/>
      <name val="Arial"/>
      <family val="2"/>
    </font>
    <font>
      <sz val="11"/>
      <color indexed="8"/>
      <name val="Arial"/>
      <family val="2"/>
    </font>
    <font>
      <b/>
      <sz val="10.5"/>
      <color rgb="FF99FF99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b/>
      <sz val="11"/>
      <color rgb="FF00000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b/>
      <sz val="9"/>
      <color indexed="8"/>
      <name val="Arial"/>
      <family val="2"/>
    </font>
    <font>
      <b/>
      <sz val="9"/>
      <color rgb="FF000000"/>
      <name val="Arial"/>
      <family val="2"/>
    </font>
    <font>
      <sz val="11"/>
      <color rgb="FFFFF3FF"/>
      <name val="Arial"/>
      <family val="2"/>
    </font>
    <font>
      <sz val="11"/>
      <color theme="1" tint="0.499984740745262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0"/>
      <color indexed="8"/>
      <name val="Segoe UI Emoji"/>
      <family val="2"/>
    </font>
    <font>
      <b/>
      <sz val="10"/>
      <color rgb="FF974706"/>
      <name val="Aptos Black"/>
      <family val="2"/>
    </font>
    <font>
      <b/>
      <sz val="10"/>
      <color theme="1" tint="0.14999847407452621"/>
      <name val="Gadugi"/>
      <family val="2"/>
    </font>
    <font>
      <b/>
      <sz val="12"/>
      <color rgb="FF9900FF"/>
      <name val="Arial"/>
      <family val="2"/>
    </font>
    <font>
      <i/>
      <sz val="9.5"/>
      <color theme="1"/>
      <name val="Arial"/>
      <family val="2"/>
    </font>
    <font>
      <b/>
      <sz val="10"/>
      <name val="Arial Narrow"/>
      <family val="2"/>
    </font>
    <font>
      <b/>
      <sz val="10"/>
      <color rgb="FFE6EED6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i/>
      <sz val="9.5"/>
      <color rgb="FFF0EA00"/>
      <name val="Arial"/>
      <family val="2"/>
    </font>
    <font>
      <sz val="9.5"/>
      <color indexed="8"/>
      <name val="Arial"/>
      <family val="2"/>
    </font>
    <font>
      <b/>
      <sz val="9.5"/>
      <name val="Arial"/>
      <family val="2"/>
    </font>
    <font>
      <sz val="9.5"/>
      <name val="Arial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0.5"/>
      <color rgb="FF974706"/>
      <name val="Arial Black"/>
      <family val="2"/>
    </font>
    <font>
      <b/>
      <sz val="10"/>
      <color rgb="FF000000"/>
      <name val="Arial Black"/>
      <family val="2"/>
    </font>
    <font>
      <b/>
      <sz val="10"/>
      <color theme="1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10.5"/>
      <color rgb="FF002060"/>
      <name val="Arial"/>
      <family val="2"/>
    </font>
    <font>
      <sz val="10.5"/>
      <color rgb="FF974706"/>
      <name val="Arial"/>
      <family val="2"/>
    </font>
    <font>
      <b/>
      <sz val="12"/>
      <color rgb="FF974706"/>
      <name val="Arial"/>
      <family val="2"/>
    </font>
    <font>
      <sz val="12"/>
      <color rgb="FF002060"/>
      <name val="Arial"/>
      <family val="2"/>
    </font>
    <font>
      <sz val="10"/>
      <color rgb="FF974706"/>
      <name val="Arial"/>
      <family val="2"/>
    </font>
    <font>
      <b/>
      <sz val="10"/>
      <color rgb="FF97470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6"/>
      <color rgb="FF001946"/>
      <name val="Arial Narrow"/>
      <family val="2"/>
    </font>
    <font>
      <b/>
      <sz val="10.5"/>
      <color rgb="FF423204"/>
      <name val="Arial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sz val="16"/>
      <color theme="0"/>
      <name val="Arial"/>
      <family val="2"/>
    </font>
    <font>
      <sz val="12"/>
      <color theme="0"/>
      <name val="Arial"/>
      <family val="2"/>
    </font>
    <font>
      <sz val="8"/>
      <color rgb="FFFFFF00"/>
      <name val="Arial Narrow"/>
      <family val="2"/>
    </font>
    <font>
      <sz val="8"/>
      <color rgb="FFFFFF00"/>
      <name val="Arial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sz val="9.5"/>
      <color theme="0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sz val="8"/>
      <color theme="1"/>
      <name val="Arial Black"/>
      <family val="2"/>
    </font>
    <font>
      <sz val="8.5"/>
      <color theme="1"/>
      <name val="Arial Black"/>
      <family val="2"/>
    </font>
    <font>
      <b/>
      <sz val="9"/>
      <name val="Arial Black"/>
      <family val="2"/>
    </font>
    <font>
      <sz val="11"/>
      <color rgb="FF304FEC"/>
      <name val="Arial Black"/>
      <family val="2"/>
    </font>
    <font>
      <sz val="11"/>
      <color rgb="FF003BB0"/>
      <name val="Arial Black"/>
      <family val="2"/>
    </font>
    <font>
      <sz val="11"/>
      <color rgb="FF003CB4"/>
      <name val="Arial Black"/>
      <family val="2"/>
    </font>
    <font>
      <sz val="10"/>
      <color rgb="FF002F8E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rgb="FF1A5917"/>
      <name val="Arial Black"/>
      <family val="2"/>
    </font>
    <font>
      <sz val="8.5"/>
      <color theme="1" tint="0.499984740745262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b/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0"/>
      <color rgb="FFE26B0A"/>
      <name val="Arial Black"/>
      <family val="2"/>
    </font>
    <font>
      <sz val="10"/>
      <color rgb="FF002060"/>
      <name val="Arial Black"/>
      <family val="2"/>
    </font>
    <font>
      <u/>
      <sz val="10"/>
      <color rgb="FF002060"/>
      <name val="Arial Black"/>
      <family val="2"/>
    </font>
    <font>
      <sz val="9.5"/>
      <color theme="1"/>
      <name val="Arial Black"/>
      <family val="2"/>
    </font>
    <font>
      <b/>
      <sz val="12"/>
      <color theme="0"/>
      <name val="Arial Black"/>
      <family val="2"/>
    </font>
    <font>
      <i/>
      <sz val="8.5"/>
      <color rgb="FF002060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0"/>
      <color rgb="FFD5D5E3"/>
      <name val="Arial"/>
      <family val="2"/>
    </font>
    <font>
      <sz val="9"/>
      <color rgb="FFD5D5E3"/>
      <name val="Arial"/>
      <family val="2"/>
    </font>
    <font>
      <sz val="9"/>
      <color rgb="FFD5D5E3"/>
      <name val="Arial Black"/>
      <family val="2"/>
    </font>
    <font>
      <sz val="11"/>
      <color rgb="FFF84294"/>
      <name val="Arial Black"/>
      <family val="2"/>
    </font>
    <font>
      <b/>
      <sz val="9.5"/>
      <color rgb="FF4CC9F0"/>
      <name val="Arial"/>
      <family val="2"/>
    </font>
    <font>
      <b/>
      <sz val="11"/>
      <color rgb="FFF9519D"/>
      <name val="Calibri"/>
      <family val="2"/>
      <scheme val="minor"/>
    </font>
    <font>
      <sz val="10.5"/>
      <color rgb="FF974706"/>
      <name val="Arial Black"/>
      <family val="2"/>
    </font>
    <font>
      <b/>
      <i/>
      <sz val="9"/>
      <color rgb="FFC4FAFF"/>
      <name val="Arial Black"/>
      <family val="2"/>
    </font>
    <font>
      <b/>
      <i/>
      <sz val="9.5"/>
      <color rgb="FF002D86"/>
      <name val="Arial Narrow"/>
      <family val="2"/>
    </font>
    <font>
      <b/>
      <sz val="9.5"/>
      <color rgb="FF002D86"/>
      <name val="Arial"/>
      <family val="2"/>
    </font>
    <font>
      <b/>
      <sz val="9"/>
      <color rgb="FF765995"/>
      <name val="Gadugi"/>
      <family val="2"/>
    </font>
    <font>
      <sz val="9"/>
      <color theme="1" tint="0.249977111117893"/>
      <name val="Gadugi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sz val="9"/>
      <name val="Arial Narrow"/>
      <family val="2"/>
    </font>
    <font>
      <sz val="12"/>
      <name val="Segoe UI Emoji"/>
      <family val="2"/>
    </font>
    <font>
      <sz val="9"/>
      <name val="Segoe UI Emoji"/>
      <family val="2"/>
    </font>
    <font>
      <sz val="9"/>
      <color theme="1"/>
      <name val="Segoe UI Emoji"/>
      <family val="2"/>
    </font>
    <font>
      <sz val="12"/>
      <color theme="1"/>
      <name val="Segoe UI Emoji"/>
      <family val="2"/>
    </font>
    <font>
      <sz val="11"/>
      <color theme="1"/>
      <name val="Segoe UI Emoji"/>
      <family val="2"/>
    </font>
    <font>
      <sz val="11"/>
      <name val="Segoe UI Emoji"/>
      <family val="2"/>
    </font>
    <font>
      <sz val="9"/>
      <color indexed="8"/>
      <name val="Segoe UI Emoji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sz val="10"/>
      <color rgb="FF6E2A28"/>
      <name val="Arial"/>
      <family val="2"/>
    </font>
    <font>
      <sz val="8"/>
      <color rgb="FF6E2A28"/>
      <name val="Arial"/>
      <family val="2"/>
    </font>
    <font>
      <vertAlign val="superscript"/>
      <sz val="8"/>
      <color rgb="FF6E2A28"/>
      <name val="Arial"/>
      <family val="2"/>
    </font>
    <font>
      <sz val="10"/>
      <color rgb="FF004800"/>
      <name val="Arial"/>
      <family val="2"/>
    </font>
    <font>
      <sz val="8"/>
      <color rgb="FF004800"/>
      <name val="Arial"/>
      <family val="2"/>
    </font>
    <font>
      <vertAlign val="superscript"/>
      <sz val="8"/>
      <color rgb="FF004800"/>
      <name val="Arial"/>
      <family val="2"/>
    </font>
    <font>
      <b/>
      <u/>
      <sz val="11.5"/>
      <color rgb="FF0000FF"/>
      <name val="Arial Narrow"/>
      <family val="2"/>
    </font>
    <font>
      <b/>
      <sz val="10"/>
      <color rgb="FF003E00"/>
      <name val="Arial"/>
      <family val="2"/>
    </font>
    <font>
      <b/>
      <sz val="8"/>
      <color rgb="FF953735"/>
      <name val="Arial Black"/>
      <family val="2"/>
    </font>
    <font>
      <b/>
      <sz val="8"/>
      <color rgb="FF003E00"/>
      <name val="Arial Black"/>
      <family val="2"/>
    </font>
  </fonts>
  <fills count="4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14293C"/>
        <bgColor indexed="64"/>
      </patternFill>
    </fill>
    <fill>
      <patternFill patternType="solid">
        <fgColor rgb="FFD9E5BD"/>
        <bgColor indexed="64"/>
      </patternFill>
    </fill>
    <fill>
      <patternFill patternType="solid">
        <fgColor rgb="FFFDE2CB"/>
        <bgColor indexed="64"/>
      </patternFill>
    </fill>
  </fills>
  <borders count="56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medium">
        <color rgb="FF974706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theme="2" tint="-0.749961851863155"/>
      </left>
      <right/>
      <top/>
      <bottom/>
      <diagonal/>
    </border>
    <border>
      <left/>
      <right style="thick">
        <color theme="2" tint="-0.749961851863155"/>
      </right>
      <top/>
      <bottom/>
      <diagonal/>
    </border>
    <border>
      <left style="thick">
        <color rgb="FF14293C"/>
      </left>
      <right/>
      <top/>
      <bottom/>
      <diagonal/>
    </border>
    <border>
      <left/>
      <right style="thick">
        <color rgb="FF14293C"/>
      </right>
      <top/>
      <bottom/>
      <diagonal/>
    </border>
    <border>
      <left style="thick">
        <color rgb="FF14293C"/>
      </left>
      <right/>
      <top/>
      <bottom style="thick">
        <color rgb="FF14293C"/>
      </bottom>
      <diagonal/>
    </border>
    <border>
      <left/>
      <right/>
      <top/>
      <bottom style="thick">
        <color rgb="FF14293C"/>
      </bottom>
      <diagonal/>
    </border>
    <border>
      <left/>
      <right style="thick">
        <color rgb="FF14293C"/>
      </right>
      <top/>
      <bottom style="thick">
        <color rgb="FF14293C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ck">
        <color rgb="FF953735"/>
      </left>
      <right/>
      <top style="thick">
        <color rgb="FF953735"/>
      </top>
      <bottom style="thick">
        <color rgb="FF953735"/>
      </bottom>
      <diagonal/>
    </border>
    <border>
      <left/>
      <right/>
      <top style="thick">
        <color rgb="FF953735"/>
      </top>
      <bottom style="thick">
        <color rgb="FF953735"/>
      </bottom>
      <diagonal/>
    </border>
    <border>
      <left/>
      <right style="thick">
        <color rgb="FF953735"/>
      </right>
      <top style="thick">
        <color rgb="FF953735"/>
      </top>
      <bottom style="thick">
        <color rgb="FF953735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47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6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9" fontId="107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Protection="1">
      <protection locked="0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7" fillId="25" borderId="0" xfId="0" quotePrefix="1" applyFont="1" applyFill="1" applyAlignment="1" applyProtection="1">
      <alignment horizontal="left" vertical="center" wrapText="1"/>
      <protection locked="0" hidden="1"/>
    </xf>
    <xf numFmtId="0" fontId="67" fillId="25" borderId="0" xfId="0" quotePrefix="1" applyFont="1" applyFill="1" applyAlignment="1" applyProtection="1">
      <alignment vertical="center" wrapText="1"/>
      <protection locked="0" hidden="1"/>
    </xf>
    <xf numFmtId="0" fontId="68" fillId="25" borderId="0" xfId="0" applyFont="1" applyFill="1" applyAlignment="1" applyProtection="1">
      <alignment horizontal="left" vertical="center"/>
      <protection locked="0" hidden="1"/>
    </xf>
    <xf numFmtId="0" fontId="68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right" vertical="center"/>
      <protection locked="0" hidden="1"/>
    </xf>
    <xf numFmtId="0" fontId="71" fillId="25" borderId="0" xfId="0" applyFont="1" applyFill="1" applyAlignment="1" applyProtection="1">
      <alignment horizontal="right" vertical="center"/>
      <protection locked="0" hidden="1"/>
    </xf>
    <xf numFmtId="0" fontId="68" fillId="25" borderId="0" xfId="0" applyFont="1" applyFill="1" applyAlignment="1" applyProtection="1">
      <alignment horizontal="right" vertical="center"/>
      <protection locked="0" hidden="1"/>
    </xf>
    <xf numFmtId="0" fontId="38" fillId="25" borderId="0" xfId="0" applyFont="1" applyFill="1" applyAlignment="1" applyProtection="1">
      <alignment horizontal="right" vertical="center"/>
      <protection locked="0" hidden="1"/>
    </xf>
    <xf numFmtId="0" fontId="100" fillId="25" borderId="0" xfId="0" applyFont="1" applyFill="1" applyAlignment="1" applyProtection="1">
      <alignment horizontal="left" vertical="center"/>
      <protection locked="0" hidden="1"/>
    </xf>
    <xf numFmtId="0" fontId="101" fillId="25" borderId="0" xfId="0" applyFont="1" applyFill="1" applyAlignment="1" applyProtection="1">
      <alignment horizontal="right" vertical="center"/>
      <protection locked="0" hidden="1"/>
    </xf>
    <xf numFmtId="0" fontId="118" fillId="25" borderId="0" xfId="0" quotePrefix="1" applyFont="1" applyFill="1" applyAlignment="1" applyProtection="1">
      <alignment horizontal="left" vertical="center"/>
      <protection locked="0" hidden="1"/>
    </xf>
    <xf numFmtId="0" fontId="67" fillId="25" borderId="0" xfId="0" quotePrefix="1" applyFont="1" applyFill="1" applyAlignment="1" applyProtection="1">
      <alignment horizontal="left" vertical="center"/>
      <protection locked="0" hidden="1"/>
    </xf>
    <xf numFmtId="0" fontId="120" fillId="25" borderId="0" xfId="0" quotePrefix="1" applyFont="1" applyFill="1" applyAlignment="1" applyProtection="1">
      <alignment horizontal="right" vertical="center"/>
      <protection locked="0" hidden="1"/>
    </xf>
    <xf numFmtId="0" fontId="0" fillId="25" borderId="0" xfId="0" applyFill="1" applyProtection="1">
      <protection locked="0"/>
    </xf>
    <xf numFmtId="0" fontId="31" fillId="24" borderId="0" xfId="1" applyFont="1" applyFill="1" applyAlignment="1" applyProtection="1">
      <alignment horizontal="center" vertical="center"/>
      <protection locked="0"/>
    </xf>
    <xf numFmtId="0" fontId="119" fillId="24" borderId="0" xfId="0" applyFont="1" applyFill="1" applyProtection="1">
      <protection locked="0"/>
    </xf>
    <xf numFmtId="0" fontId="0" fillId="24" borderId="0" xfId="0" applyFill="1" applyProtection="1">
      <protection locked="0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61" fillId="14" borderId="0" xfId="0" applyFont="1" applyFill="1" applyAlignment="1" applyProtection="1">
      <alignment horizontal="left" vertical="center"/>
      <protection locked="0"/>
    </xf>
    <xf numFmtId="0" fontId="5" fillId="14" borderId="0" xfId="1" applyFill="1" applyAlignment="1" applyProtection="1">
      <alignment horizontal="left" vertical="center"/>
      <protection locked="0" hidden="1"/>
    </xf>
    <xf numFmtId="0" fontId="0" fillId="12" borderId="0" xfId="0" applyFill="1" applyAlignment="1" applyProtection="1">
      <alignment vertical="center"/>
      <protection locked="0" hidden="1"/>
    </xf>
    <xf numFmtId="0" fontId="28" fillId="12" borderId="0" xfId="0" applyFont="1" applyFill="1" applyAlignment="1" applyProtection="1">
      <alignment horizontal="right" vertical="center"/>
      <protection locked="0" hidden="1"/>
    </xf>
    <xf numFmtId="0" fontId="31" fillId="24" borderId="0" xfId="1" applyFont="1" applyFill="1" applyAlignment="1" applyProtection="1">
      <alignment horizontal="right" vertical="center"/>
      <protection locked="0"/>
    </xf>
    <xf numFmtId="0" fontId="95" fillId="12" borderId="0" xfId="1" applyFont="1" applyFill="1" applyBorder="1" applyAlignment="1" applyProtection="1">
      <alignment horizontal="left" vertical="center"/>
      <protection locked="0"/>
    </xf>
    <xf numFmtId="0" fontId="8" fillId="14" borderId="0" xfId="0" applyFont="1" applyFill="1" applyAlignment="1" applyProtection="1">
      <alignment horizontal="left" vertical="center"/>
      <protection locked="0"/>
    </xf>
    <xf numFmtId="0" fontId="52" fillId="14" borderId="0" xfId="0" applyFont="1" applyFill="1" applyAlignment="1" applyProtection="1">
      <alignment vertical="center"/>
      <protection locked="0"/>
    </xf>
    <xf numFmtId="0" fontId="22" fillId="12" borderId="0" xfId="0" applyFont="1" applyFill="1" applyAlignment="1" applyProtection="1">
      <alignment horizontal="right" vertical="center"/>
      <protection locked="0" hidden="1"/>
    </xf>
    <xf numFmtId="0" fontId="5" fillId="12" borderId="0" xfId="1" applyFill="1" applyAlignment="1" applyProtection="1">
      <alignment horizontal="right" vertical="center"/>
      <protection locked="0" hidden="1"/>
    </xf>
    <xf numFmtId="0" fontId="13" fillId="14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4" borderId="0" xfId="0" applyFont="1" applyFill="1" applyAlignment="1" applyProtection="1">
      <alignment horizontal="left" vertical="center"/>
      <protection locked="0"/>
    </xf>
    <xf numFmtId="0" fontId="48" fillId="14" borderId="0" xfId="1" applyFont="1" applyFill="1" applyAlignment="1" applyProtection="1">
      <alignment horizontal="right" vertical="center"/>
      <protection locked="0" hidden="1"/>
    </xf>
    <xf numFmtId="0" fontId="8" fillId="14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63" fillId="14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0" fillId="12" borderId="0" xfId="1" applyFont="1" applyFill="1" applyBorder="1" applyAlignment="1" applyProtection="1">
      <alignment horizontal="center" vertical="center"/>
      <protection locked="0" hidden="1"/>
    </xf>
    <xf numFmtId="3" fontId="99" fillId="17" borderId="0" xfId="0" applyNumberFormat="1" applyFont="1" applyFill="1" applyAlignment="1" applyProtection="1">
      <alignment horizontal="left" vertical="center" wrapText="1"/>
      <protection locked="0" hidden="1"/>
    </xf>
    <xf numFmtId="4" fontId="69" fillId="7" borderId="0" xfId="0" applyNumberFormat="1" applyFont="1" applyFill="1" applyAlignment="1" applyProtection="1">
      <alignment horizontal="center" vertical="center"/>
      <protection locked="0" hidden="1"/>
    </xf>
    <xf numFmtId="0" fontId="40" fillId="6" borderId="0" xfId="1" quotePrefix="1" applyFont="1" applyFill="1" applyAlignment="1" applyProtection="1">
      <alignment horizontal="center" vertical="center"/>
      <protection locked="0" hidden="1"/>
    </xf>
    <xf numFmtId="0" fontId="96" fillId="15" borderId="0" xfId="0" applyFont="1" applyFill="1" applyAlignment="1" applyProtection="1">
      <alignment horizontal="center" vertical="center"/>
      <protection locked="0" hidden="1"/>
    </xf>
    <xf numFmtId="0" fontId="96" fillId="15" borderId="0" xfId="0" applyFont="1" applyFill="1" applyAlignment="1" applyProtection="1">
      <alignment vertical="center"/>
      <protection locked="0" hidden="1"/>
    </xf>
    <xf numFmtId="0" fontId="82" fillId="10" borderId="0" xfId="0" quotePrefix="1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75" fillId="6" borderId="0" xfId="0" applyFont="1" applyFill="1" applyAlignment="1" applyProtection="1">
      <alignment horizontal="right" vertical="center"/>
      <protection locked="0" hidden="1"/>
    </xf>
    <xf numFmtId="4" fontId="111" fillId="8" borderId="0" xfId="0" applyNumberFormat="1" applyFont="1" applyFill="1" applyAlignment="1" applyProtection="1">
      <alignment horizontal="left" vertical="center"/>
      <protection locked="0" hidden="1"/>
    </xf>
    <xf numFmtId="0" fontId="111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 hidden="1"/>
    </xf>
    <xf numFmtId="0" fontId="105" fillId="3" borderId="0" xfId="0" applyFont="1" applyFill="1" applyProtection="1">
      <protection locked="0"/>
    </xf>
    <xf numFmtId="0" fontId="106" fillId="3" borderId="0" xfId="0" applyFont="1" applyFill="1" applyAlignment="1" applyProtection="1">
      <alignment horizontal="center"/>
      <protection locked="0"/>
    </xf>
    <xf numFmtId="0" fontId="106" fillId="3" borderId="0" xfId="0" applyFont="1" applyFill="1" applyProtection="1">
      <protection locked="0"/>
    </xf>
    <xf numFmtId="0" fontId="107" fillId="3" borderId="0" xfId="0" applyFont="1" applyFill="1" applyProtection="1">
      <protection locked="0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0" fontId="105" fillId="3" borderId="0" xfId="0" applyFont="1" applyFill="1" applyAlignment="1" applyProtection="1">
      <alignment vertical="center"/>
      <protection locked="0" hidden="1"/>
    </xf>
    <xf numFmtId="0" fontId="108" fillId="3" borderId="0" xfId="0" applyFont="1" applyFill="1" applyAlignment="1" applyProtection="1">
      <alignment vertical="center"/>
      <protection locked="0" hidden="1"/>
    </xf>
    <xf numFmtId="164" fontId="107" fillId="3" borderId="0" xfId="0" applyNumberFormat="1" applyFont="1" applyFill="1" applyAlignment="1" applyProtection="1">
      <alignment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113" fillId="3" borderId="0" xfId="0" applyFont="1" applyFill="1" applyAlignment="1" applyProtection="1">
      <alignment vertical="center" wrapText="1"/>
      <protection locked="0" hidden="1"/>
    </xf>
    <xf numFmtId="0" fontId="74" fillId="12" borderId="0" xfId="0" applyFont="1" applyFill="1" applyAlignment="1" applyProtection="1">
      <alignment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7" fillId="0" borderId="0" xfId="0" applyFont="1" applyAlignment="1" applyProtection="1">
      <alignment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0" fillId="3" borderId="0" xfId="1" quotePrefix="1" applyFont="1" applyFill="1" applyAlignment="1" applyProtection="1">
      <alignment vertical="center"/>
      <protection locked="0" hidden="1"/>
    </xf>
    <xf numFmtId="0" fontId="40" fillId="15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5" fillId="3" borderId="0" xfId="0" applyFont="1" applyFill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1" fillId="3" borderId="0" xfId="0" quotePrefix="1" applyFont="1" applyFill="1" applyAlignment="1" applyProtection="1">
      <alignment horizontal="right" vertical="center"/>
      <protection locked="0" hidden="1"/>
    </xf>
    <xf numFmtId="164" fontId="57" fillId="15" borderId="0" xfId="0" applyNumberFormat="1" applyFont="1" applyFill="1" applyAlignment="1" applyProtection="1">
      <alignment horizontal="center" vertical="center"/>
      <protection locked="0" hidden="1"/>
    </xf>
    <xf numFmtId="0" fontId="93" fillId="15" borderId="0" xfId="0" applyFont="1" applyFill="1" applyAlignment="1" applyProtection="1">
      <alignment vertical="center"/>
      <protection locked="0" hidden="1"/>
    </xf>
    <xf numFmtId="0" fontId="37" fillId="15" borderId="0" xfId="0" applyFont="1" applyFill="1" applyAlignment="1" applyProtection="1">
      <alignment horizontal="center" vertical="center"/>
      <protection locked="0" hidden="1"/>
    </xf>
    <xf numFmtId="0" fontId="92" fillId="15" borderId="0" xfId="0" applyFont="1" applyFill="1" applyAlignment="1" applyProtection="1">
      <alignment horizontal="center" vertical="center"/>
      <protection locked="0" hidden="1"/>
    </xf>
    <xf numFmtId="0" fontId="92" fillId="15" borderId="0" xfId="0" applyFont="1" applyFill="1" applyAlignment="1" applyProtection="1">
      <alignment vertical="center"/>
      <protection locked="0" hidden="1"/>
    </xf>
    <xf numFmtId="0" fontId="92" fillId="15" borderId="0" xfId="0" applyFont="1" applyFill="1" applyAlignment="1" applyProtection="1">
      <alignment horizontal="right" vertical="center"/>
      <protection locked="0" hidden="1"/>
    </xf>
    <xf numFmtId="0" fontId="94" fillId="15" borderId="0" xfId="0" quotePrefix="1" applyFont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0" fontId="31" fillId="15" borderId="0" xfId="1" quotePrefix="1" applyFont="1" applyFill="1" applyAlignment="1" applyProtection="1">
      <alignment vertical="center"/>
      <protection locked="0" hidden="1"/>
    </xf>
    <xf numFmtId="164" fontId="73" fillId="0" borderId="0" xfId="0" applyNumberFormat="1" applyFont="1" applyAlignment="1" applyProtection="1">
      <alignment horizontal="center" vertical="center"/>
      <protection locked="0" hidden="1"/>
    </xf>
    <xf numFmtId="0" fontId="45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2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7" fillId="3" borderId="0" xfId="0" applyFont="1" applyFill="1" applyAlignment="1" applyProtection="1">
      <alignment vertical="center"/>
      <protection locked="0" hidden="1"/>
    </xf>
    <xf numFmtId="0" fontId="44" fillId="3" borderId="0" xfId="1" quotePrefix="1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right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55" fillId="3" borderId="0" xfId="0" applyFont="1" applyFill="1" applyAlignment="1" applyProtection="1">
      <alignment vertical="center"/>
      <protection locked="0" hidden="1"/>
    </xf>
    <xf numFmtId="0" fontId="72" fillId="3" borderId="0" xfId="0" applyFont="1" applyFill="1" applyAlignment="1" applyProtection="1">
      <alignment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122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2" borderId="0" xfId="0" applyFont="1" applyFill="1" applyAlignment="1" applyProtection="1">
      <alignment horizontal="left" vertical="center"/>
      <protection locked="0" hidden="1"/>
    </xf>
    <xf numFmtId="0" fontId="14" fillId="12" borderId="0" xfId="0" applyFont="1" applyFill="1" applyAlignment="1" applyProtection="1">
      <alignment vertical="center"/>
      <protection locked="0" hidden="1"/>
    </xf>
    <xf numFmtId="0" fontId="19" fillId="12" borderId="0" xfId="0" applyFont="1" applyFill="1" applyAlignment="1" applyProtection="1">
      <alignment horizontal="center" vertical="center"/>
      <protection locked="0" hidden="1"/>
    </xf>
    <xf numFmtId="0" fontId="3" fillId="12" borderId="0" xfId="0" applyFont="1" applyFill="1" applyAlignment="1" applyProtection="1">
      <alignment horizontal="center" vertical="center"/>
      <protection locked="0" hidden="1"/>
    </xf>
    <xf numFmtId="0" fontId="16" fillId="12" borderId="0" xfId="0" applyFont="1" applyFill="1" applyAlignment="1" applyProtection="1">
      <alignment horizontal="left" vertical="center"/>
      <protection locked="0" hidden="1"/>
    </xf>
    <xf numFmtId="0" fontId="75" fillId="12" borderId="0" xfId="0" applyFont="1" applyFill="1" applyAlignment="1" applyProtection="1">
      <alignment horizontal="center" vertical="center"/>
      <protection locked="0" hidden="1"/>
    </xf>
    <xf numFmtId="0" fontId="76" fillId="12" borderId="0" xfId="0" applyFont="1" applyFill="1" applyAlignment="1" applyProtection="1">
      <alignment vertical="center"/>
      <protection locked="0" hidden="1"/>
    </xf>
    <xf numFmtId="0" fontId="12" fillId="12" borderId="0" xfId="0" applyFont="1" applyFill="1" applyAlignment="1" applyProtection="1">
      <alignment horizontal="left" vertical="center"/>
      <protection locked="0" hidden="1"/>
    </xf>
    <xf numFmtId="9" fontId="78" fillId="12" borderId="0" xfId="0" applyNumberFormat="1" applyFont="1" applyFill="1" applyAlignment="1" applyProtection="1">
      <alignment horizontal="center" vertical="center"/>
      <protection locked="0" hidden="1"/>
    </xf>
    <xf numFmtId="0" fontId="78" fillId="12" borderId="0" xfId="0" quotePrefix="1" applyFont="1" applyFill="1" applyAlignment="1" applyProtection="1">
      <alignment horizontal="center" vertical="center"/>
      <protection locked="0" hidden="1"/>
    </xf>
    <xf numFmtId="0" fontId="114" fillId="3" borderId="0" xfId="0" applyFont="1" applyFill="1" applyAlignment="1" applyProtection="1">
      <alignment vertical="center"/>
      <protection locked="0" hidden="1"/>
    </xf>
    <xf numFmtId="0" fontId="75" fillId="12" borderId="0" xfId="0" applyFont="1" applyFill="1" applyAlignment="1" applyProtection="1">
      <alignment horizontal="center" vertical="center" wrapText="1"/>
      <protection locked="0" hidden="1"/>
    </xf>
    <xf numFmtId="0" fontId="80" fillId="12" borderId="0" xfId="0" quotePrefix="1" applyFont="1" applyFill="1" applyAlignment="1" applyProtection="1">
      <alignment horizontal="center" vertical="center"/>
      <protection locked="0" hidden="1"/>
    </xf>
    <xf numFmtId="0" fontId="115" fillId="3" borderId="0" xfId="0" applyFont="1" applyFill="1" applyAlignment="1" applyProtection="1">
      <alignment vertical="center"/>
      <protection locked="0" hidden="1"/>
    </xf>
    <xf numFmtId="0" fontId="78" fillId="12" borderId="0" xfId="0" applyFont="1" applyFill="1" applyAlignment="1" applyProtection="1">
      <alignment horizontal="center" vertical="center"/>
      <protection locked="0" hidden="1"/>
    </xf>
    <xf numFmtId="9" fontId="78" fillId="12" borderId="0" xfId="0" applyNumberFormat="1" applyFont="1" applyFill="1" applyAlignment="1" applyProtection="1">
      <alignment horizontal="left" vertical="center"/>
      <protection locked="0" hidden="1"/>
    </xf>
    <xf numFmtId="0" fontId="42" fillId="12" borderId="0" xfId="0" applyFont="1" applyFill="1" applyAlignment="1" applyProtection="1">
      <alignment horizontal="center" vertical="center"/>
      <protection locked="0" hidden="1"/>
    </xf>
    <xf numFmtId="4" fontId="64" fillId="3" borderId="0" xfId="0" applyNumberFormat="1" applyFont="1" applyFill="1" applyAlignment="1" applyProtection="1">
      <alignment vertical="center"/>
      <protection locked="0" hidden="1"/>
    </xf>
    <xf numFmtId="0" fontId="14" fillId="12" borderId="0" xfId="0" applyFont="1" applyFill="1" applyAlignment="1" applyProtection="1">
      <alignment horizontal="center" vertical="center"/>
      <protection locked="0" hidden="1"/>
    </xf>
    <xf numFmtId="0" fontId="56" fillId="12" borderId="0" xfId="0" applyFont="1" applyFill="1" applyAlignment="1" applyProtection="1">
      <alignment vertical="center"/>
      <protection locked="0" hidden="1"/>
    </xf>
    <xf numFmtId="164" fontId="88" fillId="3" borderId="0" xfId="0" applyNumberFormat="1" applyFont="1" applyFill="1" applyAlignment="1" applyProtection="1">
      <alignment vertical="center"/>
      <protection locked="0" hidden="1"/>
    </xf>
    <xf numFmtId="0" fontId="116" fillId="3" borderId="0" xfId="0" applyFont="1" applyFill="1" applyAlignment="1" applyProtection="1">
      <alignment vertical="center"/>
      <protection locked="0" hidden="1"/>
    </xf>
    <xf numFmtId="0" fontId="7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  <protection locked="0" hidden="1"/>
    </xf>
    <xf numFmtId="0" fontId="123" fillId="3" borderId="0" xfId="0" applyFont="1" applyFill="1" applyAlignment="1" applyProtection="1">
      <alignment vertical="center"/>
      <protection locked="0" hidden="1"/>
    </xf>
    <xf numFmtId="0" fontId="124" fillId="12" borderId="0" xfId="0" applyFont="1" applyFill="1" applyAlignment="1" applyProtection="1">
      <alignment vertical="center"/>
      <protection locked="0" hidden="1"/>
    </xf>
    <xf numFmtId="0" fontId="123" fillId="0" borderId="0" xfId="0" applyFont="1" applyAlignment="1" applyProtection="1">
      <alignment vertical="center"/>
      <protection locked="0" hidden="1"/>
    </xf>
    <xf numFmtId="0" fontId="125" fillId="15" borderId="0" xfId="0" applyFont="1" applyFill="1" applyAlignment="1" applyProtection="1">
      <alignment horizontal="left" vertical="center"/>
      <protection locked="0" hidden="1"/>
    </xf>
    <xf numFmtId="0" fontId="124" fillId="0" borderId="0" xfId="0" applyFont="1" applyAlignment="1" applyProtection="1">
      <alignment horizontal="left" vertical="center"/>
      <protection locked="0" hidden="1"/>
    </xf>
    <xf numFmtId="0" fontId="124" fillId="0" borderId="0" xfId="0" applyFont="1" applyAlignment="1" applyProtection="1">
      <alignment vertical="center"/>
      <protection locked="0" hidden="1"/>
    </xf>
    <xf numFmtId="0" fontId="123" fillId="0" borderId="0" xfId="0" applyFont="1" applyProtection="1">
      <protection locked="0"/>
    </xf>
    <xf numFmtId="0" fontId="7" fillId="24" borderId="0" xfId="0" applyFont="1" applyFill="1" applyProtection="1">
      <protection locked="0"/>
    </xf>
    <xf numFmtId="164" fontId="81" fillId="4" borderId="0" xfId="0" applyNumberFormat="1" applyFont="1" applyFill="1" applyAlignment="1" applyProtection="1">
      <alignment horizontal="left" vertical="top"/>
      <protection locked="0" hidden="1"/>
    </xf>
    <xf numFmtId="0" fontId="13" fillId="27" borderId="0" xfId="0" applyFont="1" applyFill="1"/>
    <xf numFmtId="164" fontId="45" fillId="28" borderId="0" xfId="0" applyNumberFormat="1" applyFont="1" applyFill="1" applyAlignment="1" applyProtection="1">
      <alignment vertical="center"/>
      <protection locked="0" hidden="1"/>
    </xf>
    <xf numFmtId="0" fontId="7" fillId="25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0" fillId="15" borderId="0" xfId="0" applyNumberFormat="1" applyFill="1" applyAlignment="1" applyProtection="1">
      <alignment horizontal="right"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/>
      <protection locked="0"/>
    </xf>
    <xf numFmtId="0" fontId="133" fillId="25" borderId="0" xfId="0" applyFont="1" applyFill="1" applyAlignment="1" applyProtection="1">
      <alignment horizontal="right" vertical="center"/>
      <protection locked="0" hidden="1"/>
    </xf>
    <xf numFmtId="0" fontId="13" fillId="30" borderId="0" xfId="0" applyFont="1" applyFill="1"/>
    <xf numFmtId="0" fontId="13" fillId="30" borderId="0" xfId="0" applyFont="1" applyFill="1" applyProtection="1">
      <protection locked="0"/>
    </xf>
    <xf numFmtId="9" fontId="127" fillId="30" borderId="0" xfId="0" applyNumberFormat="1" applyFont="1" applyFill="1" applyAlignment="1" applyProtection="1">
      <alignment horizontal="center" vertical="center"/>
      <protection locked="0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0" fontId="56" fillId="31" borderId="0" xfId="0" applyFont="1" applyFill="1" applyAlignment="1" applyProtection="1">
      <alignment horizontal="center" vertical="center"/>
      <protection locked="0"/>
    </xf>
    <xf numFmtId="164" fontId="56" fillId="31" borderId="0" xfId="2" applyNumberFormat="1" applyFont="1" applyFill="1" applyAlignment="1" applyProtection="1">
      <alignment vertical="center"/>
      <protection locked="0"/>
    </xf>
    <xf numFmtId="164" fontId="134" fillId="32" borderId="0" xfId="0" applyNumberFormat="1" applyFont="1" applyFill="1" applyAlignment="1" applyProtection="1">
      <alignment horizontal="left" vertical="center"/>
      <protection locked="0"/>
    </xf>
    <xf numFmtId="0" fontId="3" fillId="33" borderId="29" xfId="2" applyFont="1" applyFill="1" applyBorder="1" applyAlignment="1" applyProtection="1">
      <alignment vertical="center"/>
      <protection locked="0"/>
    </xf>
    <xf numFmtId="0" fontId="3" fillId="33" borderId="30" xfId="2" applyFont="1" applyFill="1" applyBorder="1" applyAlignment="1" applyProtection="1">
      <alignment vertical="center"/>
      <protection locked="0"/>
    </xf>
    <xf numFmtId="0" fontId="128" fillId="33" borderId="29" xfId="0" applyFont="1" applyFill="1" applyBorder="1" applyAlignment="1" applyProtection="1">
      <alignment vertical="center"/>
      <protection locked="0"/>
    </xf>
    <xf numFmtId="0" fontId="8" fillId="33" borderId="29" xfId="0" applyFont="1" applyFill="1" applyBorder="1" applyAlignment="1" applyProtection="1">
      <alignment horizontal="left" vertical="center"/>
      <protection locked="0"/>
    </xf>
    <xf numFmtId="164" fontId="3" fillId="33" borderId="29" xfId="0" applyNumberFormat="1" applyFont="1" applyFill="1" applyBorder="1" applyAlignment="1" applyProtection="1">
      <alignment horizontal="right" vertical="center"/>
      <protection locked="0"/>
    </xf>
    <xf numFmtId="0" fontId="128" fillId="11" borderId="0" xfId="0" applyFont="1" applyFill="1" applyAlignment="1" applyProtection="1">
      <alignment horizontal="left" vertical="center"/>
      <protection locked="0"/>
    </xf>
    <xf numFmtId="0" fontId="138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35" fillId="11" borderId="0" xfId="0" applyNumberFormat="1" applyFont="1" applyFill="1" applyAlignment="1" applyProtection="1">
      <alignment horizontal="left" vertical="center"/>
      <protection locked="0"/>
    </xf>
    <xf numFmtId="0" fontId="139" fillId="34" borderId="0" xfId="0" applyFont="1" applyFill="1" applyAlignment="1" applyProtection="1">
      <alignment horizontal="left" vertical="center"/>
      <protection locked="0"/>
    </xf>
    <xf numFmtId="0" fontId="128" fillId="34" borderId="0" xfId="0" applyFont="1" applyFill="1" applyAlignment="1" applyProtection="1">
      <alignment vertical="center"/>
      <protection locked="0"/>
    </xf>
    <xf numFmtId="164" fontId="126" fillId="34" borderId="0" xfId="0" applyNumberFormat="1" applyFont="1" applyFill="1" applyAlignment="1" applyProtection="1">
      <alignment horizontal="left" vertical="center"/>
      <protection locked="0"/>
    </xf>
    <xf numFmtId="0" fontId="13" fillId="27" borderId="0" xfId="0" applyFont="1" applyFill="1" applyProtection="1">
      <protection locked="0"/>
    </xf>
    <xf numFmtId="0" fontId="13" fillId="27" borderId="0" xfId="0" applyFont="1" applyFill="1" applyAlignment="1" applyProtection="1">
      <alignment vertical="center" wrapText="1"/>
      <protection locked="0"/>
    </xf>
    <xf numFmtId="0" fontId="13" fillId="30" borderId="0" xfId="0" applyFont="1" applyFill="1" applyAlignment="1" applyProtection="1">
      <alignment vertical="center" wrapText="1"/>
      <protection locked="0"/>
    </xf>
    <xf numFmtId="0" fontId="0" fillId="30" borderId="0" xfId="0" applyFill="1" applyProtection="1">
      <protection locked="0"/>
    </xf>
    <xf numFmtId="0" fontId="141" fillId="27" borderId="0" xfId="0" applyFont="1" applyFill="1" applyAlignment="1">
      <alignment horizontal="right"/>
    </xf>
    <xf numFmtId="0" fontId="140" fillId="33" borderId="30" xfId="0" applyFont="1" applyFill="1" applyBorder="1" applyAlignment="1" applyProtection="1">
      <alignment horizontal="left" vertical="center"/>
      <protection locked="0"/>
    </xf>
    <xf numFmtId="0" fontId="13" fillId="0" borderId="0" xfId="0" applyFont="1"/>
    <xf numFmtId="0" fontId="143" fillId="33" borderId="30" xfId="2" applyFont="1" applyFill="1" applyBorder="1" applyAlignment="1" applyProtection="1">
      <alignment vertical="center"/>
      <protection locked="0"/>
    </xf>
    <xf numFmtId="164" fontId="43" fillId="12" borderId="0" xfId="0" applyNumberFormat="1" applyFont="1" applyFill="1" applyAlignment="1" applyProtection="1">
      <alignment horizontal="center" vertical="center"/>
      <protection locked="0" hidden="1"/>
    </xf>
    <xf numFmtId="164" fontId="109" fillId="12" borderId="0" xfId="0" applyNumberFormat="1" applyFont="1" applyFill="1" applyAlignment="1" applyProtection="1">
      <alignment horizontal="left" vertical="center"/>
      <protection locked="0" hidden="1"/>
    </xf>
    <xf numFmtId="0" fontId="54" fillId="12" borderId="0" xfId="0" applyFont="1" applyFill="1" applyAlignment="1" applyProtection="1">
      <alignment vertical="center"/>
      <protection locked="0" hidden="1"/>
    </xf>
    <xf numFmtId="164" fontId="112" fillId="12" borderId="0" xfId="0" quotePrefix="1" applyNumberFormat="1" applyFont="1" applyFill="1" applyAlignment="1" applyProtection="1">
      <alignment vertical="center"/>
      <protection locked="0" hidden="1"/>
    </xf>
    <xf numFmtId="0" fontId="2" fillId="12" borderId="34" xfId="0" applyFont="1" applyFill="1" applyBorder="1" applyAlignment="1" applyProtection="1">
      <alignment horizontal="left" vertical="center"/>
      <protection locked="0" hidden="1"/>
    </xf>
    <xf numFmtId="164" fontId="126" fillId="12" borderId="0" xfId="0" applyNumberFormat="1" applyFont="1" applyFill="1" applyAlignment="1" applyProtection="1">
      <alignment horizontal="left" vertical="center"/>
      <protection locked="0" hidden="1"/>
    </xf>
    <xf numFmtId="164" fontId="70" fillId="12" borderId="34" xfId="0" applyNumberFormat="1" applyFont="1" applyFill="1" applyBorder="1" applyAlignment="1" applyProtection="1">
      <alignment horizontal="left" vertical="center"/>
      <protection locked="0" hidden="1"/>
    </xf>
    <xf numFmtId="164" fontId="49" fillId="12" borderId="34" xfId="0" applyNumberFormat="1" applyFont="1" applyFill="1" applyBorder="1" applyAlignment="1" applyProtection="1">
      <alignment horizontal="left" vertical="center"/>
      <protection locked="0" hidden="1"/>
    </xf>
    <xf numFmtId="164" fontId="60" fillId="12" borderId="34" xfId="0" applyNumberFormat="1" applyFont="1" applyFill="1" applyBorder="1" applyAlignment="1" applyProtection="1">
      <alignment horizontal="left" vertical="center"/>
      <protection locked="0" hidden="1"/>
    </xf>
    <xf numFmtId="0" fontId="128" fillId="12" borderId="0" xfId="0" applyFont="1" applyFill="1" applyAlignment="1" applyProtection="1">
      <alignment horizontal="center" vertical="center"/>
      <protection locked="0" hidden="1"/>
    </xf>
    <xf numFmtId="0" fontId="131" fillId="12" borderId="0" xfId="0" applyFont="1" applyFill="1" applyAlignment="1" applyProtection="1">
      <alignment vertical="center"/>
      <protection locked="0" hidden="1"/>
    </xf>
    <xf numFmtId="0" fontId="128" fillId="12" borderId="0" xfId="0" applyFont="1" applyFill="1" applyAlignment="1" applyProtection="1">
      <alignment vertical="center"/>
      <protection locked="0" hidden="1"/>
    </xf>
    <xf numFmtId="164" fontId="137" fillId="12" borderId="0" xfId="0" applyNumberFormat="1" applyFont="1" applyFill="1" applyAlignment="1" applyProtection="1">
      <alignment horizontal="right" vertical="center"/>
      <protection locked="0" hidden="1"/>
    </xf>
    <xf numFmtId="164" fontId="128" fillId="12" borderId="0" xfId="0" applyNumberFormat="1" applyFont="1" applyFill="1" applyAlignment="1" applyProtection="1">
      <alignment horizontal="left" vertical="center"/>
      <protection locked="0" hidden="1"/>
    </xf>
    <xf numFmtId="0" fontId="1" fillId="12" borderId="0" xfId="0" applyFont="1" applyFill="1" applyAlignment="1" applyProtection="1">
      <alignment vertical="center"/>
      <protection locked="0" hidden="1"/>
    </xf>
    <xf numFmtId="0" fontId="1" fillId="12" borderId="0" xfId="0" applyFont="1" applyFill="1" applyAlignment="1" applyProtection="1">
      <alignment horizontal="left" vertical="center"/>
      <protection locked="0" hidden="1"/>
    </xf>
    <xf numFmtId="164" fontId="121" fillId="12" borderId="34" xfId="0" applyNumberFormat="1" applyFont="1" applyFill="1" applyBorder="1" applyAlignment="1" applyProtection="1">
      <alignment horizontal="right" vertical="center"/>
      <protection locked="0" hidden="1"/>
    </xf>
    <xf numFmtId="0" fontId="121" fillId="12" borderId="34" xfId="0" applyFont="1" applyFill="1" applyBorder="1" applyAlignment="1" applyProtection="1">
      <alignment horizontal="right" vertical="center"/>
      <protection locked="0" hidden="1"/>
    </xf>
    <xf numFmtId="0" fontId="146" fillId="33" borderId="29" xfId="0" applyFont="1" applyFill="1" applyBorder="1" applyAlignment="1" applyProtection="1">
      <alignment horizontal="right" vertical="center"/>
      <protection locked="0"/>
    </xf>
    <xf numFmtId="164" fontId="147" fillId="33" borderId="29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48" fillId="32" borderId="0" xfId="0" applyFont="1" applyFill="1" applyAlignment="1" applyProtection="1">
      <alignment horizontal="right" vertical="center"/>
      <protection locked="0"/>
    </xf>
    <xf numFmtId="0" fontId="149" fillId="34" borderId="0" xfId="0" applyFont="1" applyFill="1" applyAlignment="1" applyProtection="1">
      <alignment horizontal="right" vertical="center"/>
      <protection locked="0"/>
    </xf>
    <xf numFmtId="0" fontId="150" fillId="30" borderId="0" xfId="0" applyFont="1" applyFill="1" applyAlignment="1" applyProtection="1">
      <alignment horizontal="right"/>
      <protection locked="0"/>
    </xf>
    <xf numFmtId="0" fontId="157" fillId="25" borderId="0" xfId="0" quotePrefix="1" applyFont="1" applyFill="1" applyAlignment="1" applyProtection="1">
      <alignment horizontal="left" vertical="center"/>
      <protection locked="0" hidden="1"/>
    </xf>
    <xf numFmtId="4" fontId="159" fillId="7" borderId="0" xfId="0" applyNumberFormat="1" applyFont="1" applyFill="1" applyAlignment="1" applyProtection="1">
      <alignment horizontal="center" vertical="top"/>
      <protection locked="0" hidden="1"/>
    </xf>
    <xf numFmtId="0" fontId="8" fillId="12" borderId="0" xfId="0" applyFont="1" applyFill="1" applyAlignment="1" applyProtection="1">
      <alignment vertical="center"/>
      <protection locked="0" hidden="1"/>
    </xf>
    <xf numFmtId="0" fontId="8" fillId="12" borderId="0" xfId="0" applyFont="1" applyFill="1" applyAlignment="1" applyProtection="1">
      <alignment horizontal="left" vertical="center"/>
      <protection locked="0" hidden="1"/>
    </xf>
    <xf numFmtId="0" fontId="148" fillId="12" borderId="0" xfId="0" applyFont="1" applyFill="1" applyAlignment="1" applyProtection="1">
      <alignment horizontal="left" vertical="center"/>
      <protection locked="0" hidden="1"/>
    </xf>
    <xf numFmtId="0" fontId="168" fillId="12" borderId="0" xfId="0" applyFont="1" applyFill="1" applyAlignment="1" applyProtection="1">
      <alignment vertical="center"/>
      <protection hidden="1"/>
    </xf>
    <xf numFmtId="0" fontId="148" fillId="12" borderId="0" xfId="0" applyFont="1" applyFill="1" applyAlignment="1" applyProtection="1">
      <alignment vertical="center"/>
      <protection hidden="1"/>
    </xf>
    <xf numFmtId="0" fontId="170" fillId="19" borderId="21" xfId="0" applyFont="1" applyFill="1" applyBorder="1" applyAlignment="1" applyProtection="1">
      <alignment vertical="center"/>
      <protection locked="0"/>
    </xf>
    <xf numFmtId="0" fontId="98" fillId="15" borderId="0" xfId="1" applyFont="1" applyFill="1" applyBorder="1" applyAlignment="1" applyProtection="1">
      <alignment horizontal="right" vertical="center"/>
      <protection locked="0" hidden="1"/>
    </xf>
    <xf numFmtId="0" fontId="172" fillId="12" borderId="0" xfId="0" applyFont="1" applyFill="1" applyAlignment="1" applyProtection="1">
      <alignment vertical="center"/>
      <protection locked="0" hidden="1"/>
    </xf>
    <xf numFmtId="0" fontId="165" fillId="12" borderId="0" xfId="0" applyFont="1" applyFill="1" applyAlignment="1" applyProtection="1">
      <alignment vertical="center"/>
      <protection locked="0" hidden="1"/>
    </xf>
    <xf numFmtId="0" fontId="175" fillId="17" borderId="0" xfId="0" applyFont="1" applyFill="1" applyAlignment="1" applyProtection="1">
      <alignment vertical="center"/>
      <protection locked="0" hidden="1"/>
    </xf>
    <xf numFmtId="0" fontId="176" fillId="17" borderId="0" xfId="0" applyFont="1" applyFill="1" applyAlignment="1" applyProtection="1">
      <alignment horizontal="right" vertical="center"/>
      <protection locked="0" hidden="1"/>
    </xf>
    <xf numFmtId="0" fontId="19" fillId="28" borderId="0" xfId="0" applyFont="1" applyFill="1" applyAlignment="1" applyProtection="1">
      <alignment horizontal="center" vertical="center"/>
      <protection locked="0" hidden="1"/>
    </xf>
    <xf numFmtId="164" fontId="45" fillId="28" borderId="0" xfId="0" applyNumberFormat="1" applyFont="1" applyFill="1" applyAlignment="1" applyProtection="1">
      <alignment horizontal="right" vertical="center"/>
      <protection locked="0" hidden="1"/>
    </xf>
    <xf numFmtId="0" fontId="178" fillId="15" borderId="0" xfId="0" applyFont="1" applyFill="1" applyAlignment="1" applyProtection="1">
      <alignment horizontal="center" vertical="center"/>
      <protection locked="0" hidden="1"/>
    </xf>
    <xf numFmtId="164" fontId="171" fillId="15" borderId="0" xfId="0" quotePrefix="1" applyNumberFormat="1" applyFont="1" applyFill="1" applyAlignment="1" applyProtection="1">
      <alignment horizontal="left" vertical="center"/>
      <protection locked="0" hidden="1"/>
    </xf>
    <xf numFmtId="0" fontId="156" fillId="15" borderId="0" xfId="0" applyFont="1" applyFill="1" applyAlignment="1" applyProtection="1">
      <alignment vertical="center"/>
      <protection locked="0" hidden="1"/>
    </xf>
    <xf numFmtId="0" fontId="45" fillId="15" borderId="0" xfId="0" applyFont="1" applyFill="1" applyAlignment="1" applyProtection="1">
      <alignment horizontal="right" vertical="center"/>
      <protection locked="0" hidden="1"/>
    </xf>
    <xf numFmtId="0" fontId="178" fillId="15" borderId="0" xfId="0" applyFont="1" applyFill="1" applyAlignment="1" applyProtection="1">
      <alignment horizontal="right" vertical="center"/>
      <protection locked="0" hidden="1"/>
    </xf>
    <xf numFmtId="0" fontId="179" fillId="15" borderId="0" xfId="1" applyFont="1" applyFill="1" applyBorder="1" applyAlignment="1" applyProtection="1">
      <alignment horizontal="left" vertical="center"/>
      <protection locked="0" hidden="1"/>
    </xf>
    <xf numFmtId="0" fontId="179" fillId="15" borderId="0" xfId="1" applyFont="1" applyFill="1" applyBorder="1" applyAlignment="1" applyProtection="1">
      <alignment horizontal="center" vertical="center"/>
      <protection locked="0" hidden="1"/>
    </xf>
    <xf numFmtId="2" fontId="180" fillId="15" borderId="0" xfId="1" applyNumberFormat="1" applyFont="1" applyFill="1" applyBorder="1" applyAlignment="1" applyProtection="1">
      <alignment horizontal="left" vertical="center"/>
      <protection locked="0" hidden="1"/>
    </xf>
    <xf numFmtId="0" fontId="181" fillId="15" borderId="0" xfId="1" applyNumberFormat="1" applyFont="1" applyFill="1" applyBorder="1" applyAlignment="1" applyProtection="1">
      <alignment horizontal="left" vertical="center"/>
      <protection locked="0" hidden="1"/>
    </xf>
    <xf numFmtId="0" fontId="104" fillId="15" borderId="0" xfId="0" applyFont="1" applyFill="1" applyAlignment="1" applyProtection="1">
      <alignment vertical="center"/>
      <protection locked="0" hidden="1"/>
    </xf>
    <xf numFmtId="0" fontId="104" fillId="15" borderId="0" xfId="0" applyFont="1" applyFill="1" applyAlignment="1" applyProtection="1">
      <alignment horizontal="center" vertical="center"/>
      <protection locked="0" hidden="1"/>
    </xf>
    <xf numFmtId="0" fontId="182" fillId="10" borderId="0" xfId="0" quotePrefix="1" applyFont="1" applyFill="1" applyAlignment="1" applyProtection="1">
      <alignment vertical="center"/>
      <protection locked="0" hidden="1"/>
    </xf>
    <xf numFmtId="0" fontId="81" fillId="10" borderId="0" xfId="0" quotePrefix="1" applyFont="1" applyFill="1" applyAlignment="1" applyProtection="1">
      <alignment vertical="center"/>
      <protection locked="0" hidden="1"/>
    </xf>
    <xf numFmtId="0" fontId="184" fillId="27" borderId="0" xfId="0" applyFont="1" applyFill="1"/>
    <xf numFmtId="4" fontId="187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55" fillId="16" borderId="0" xfId="0" applyFont="1" applyFill="1" applyAlignment="1" applyProtection="1">
      <alignment vertical="center"/>
      <protection locked="0"/>
    </xf>
    <xf numFmtId="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2" borderId="0" xfId="0" quotePrefix="1" applyFont="1" applyFill="1" applyAlignment="1" applyProtection="1">
      <alignment horizontal="left" vertical="center"/>
      <protection locked="0" hidden="1"/>
    </xf>
    <xf numFmtId="4" fontId="151" fillId="7" borderId="0" xfId="0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48" fillId="0" borderId="0" xfId="0" applyFont="1" applyProtection="1">
      <protection locked="0" hidden="1"/>
    </xf>
    <xf numFmtId="0" fontId="148" fillId="0" borderId="0" xfId="0" applyFont="1" applyAlignment="1" applyProtection="1">
      <alignment vertical="center"/>
      <protection locked="0" hidden="1"/>
    </xf>
    <xf numFmtId="0" fontId="189" fillId="0" borderId="0" xfId="0" applyFont="1" applyAlignment="1" applyProtection="1">
      <alignment horizontal="center" vertical="center"/>
      <protection locked="0" hidden="1"/>
    </xf>
    <xf numFmtId="4" fontId="148" fillId="7" borderId="0" xfId="0" applyNumberFormat="1" applyFont="1" applyFill="1" applyAlignment="1" applyProtection="1">
      <alignment vertical="center"/>
      <protection locked="0" hidden="1"/>
    </xf>
    <xf numFmtId="0" fontId="148" fillId="6" borderId="0" xfId="0" applyFont="1" applyFill="1" applyAlignment="1" applyProtection="1">
      <alignment vertical="center"/>
      <protection locked="0" hidden="1"/>
    </xf>
    <xf numFmtId="0" fontId="87" fillId="5" borderId="0" xfId="0" applyFont="1" applyFill="1" applyAlignment="1" applyProtection="1">
      <alignment vertical="center"/>
      <protection locked="0" hidden="1"/>
    </xf>
    <xf numFmtId="0" fontId="148" fillId="5" borderId="0" xfId="0" applyFont="1" applyFill="1" applyAlignment="1" applyProtection="1">
      <alignment vertical="center"/>
      <protection locked="0" hidden="1"/>
    </xf>
    <xf numFmtId="0" fontId="148" fillId="6" borderId="0" xfId="0" applyFont="1" applyFill="1" applyAlignment="1" applyProtection="1">
      <alignment horizontal="right" vertical="center"/>
      <protection locked="0" hidden="1"/>
    </xf>
    <xf numFmtId="0" fontId="140" fillId="0" borderId="0" xfId="0" applyFont="1" applyAlignment="1" applyProtection="1">
      <alignment vertical="center"/>
      <protection locked="0" hidden="1"/>
    </xf>
    <xf numFmtId="0" fontId="192" fillId="0" borderId="0" xfId="0" applyFont="1" applyAlignment="1" applyProtection="1">
      <alignment vertical="center"/>
      <protection locked="0" hidden="1"/>
    </xf>
    <xf numFmtId="0" fontId="193" fillId="10" borderId="0" xfId="0" quotePrefix="1" applyFont="1" applyFill="1" applyAlignment="1" applyProtection="1">
      <alignment vertical="center"/>
      <protection locked="0" hidden="1"/>
    </xf>
    <xf numFmtId="16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164" fontId="194" fillId="12" borderId="0" xfId="0" applyNumberFormat="1" applyFont="1" applyFill="1" applyAlignment="1" applyProtection="1">
      <alignment horizontal="right" vertical="center"/>
      <protection locked="0" hidden="1"/>
    </xf>
    <xf numFmtId="3" fontId="56" fillId="3" borderId="0" xfId="0" applyNumberFormat="1" applyFont="1" applyFill="1" applyAlignment="1" applyProtection="1">
      <alignment horizontal="center" vertical="center"/>
      <protection locked="0" hidden="1"/>
    </xf>
    <xf numFmtId="0" fontId="195" fillId="12" borderId="0" xfId="0" applyFont="1" applyFill="1" applyAlignment="1" applyProtection="1">
      <alignment horizontal="center" vertical="center"/>
      <protection locked="0" hidden="1"/>
    </xf>
    <xf numFmtId="0" fontId="196" fillId="12" borderId="0" xfId="0" applyFont="1" applyFill="1" applyAlignment="1" applyProtection="1">
      <alignment vertical="center"/>
      <protection locked="0" hidden="1"/>
    </xf>
    <xf numFmtId="164" fontId="197" fillId="12" borderId="0" xfId="0" applyNumberFormat="1" applyFont="1" applyFill="1" applyAlignment="1" applyProtection="1">
      <alignment horizontal="right" vertical="center"/>
      <protection locked="0" hidden="1"/>
    </xf>
    <xf numFmtId="0" fontId="148" fillId="15" borderId="0" xfId="0" applyFont="1" applyFill="1" applyAlignment="1" applyProtection="1">
      <alignment horizontal="center" vertical="center"/>
      <protection locked="0" hidden="1"/>
    </xf>
    <xf numFmtId="0" fontId="199" fillId="12" borderId="0" xfId="0" applyFont="1" applyFill="1" applyAlignment="1" applyProtection="1">
      <alignment horizontal="center" vertical="center"/>
      <protection locked="0" hidden="1"/>
    </xf>
    <xf numFmtId="164" fontId="201" fillId="3" borderId="0" xfId="0" applyNumberFormat="1" applyFont="1" applyFill="1" applyAlignment="1" applyProtection="1">
      <alignment horizontal="left" vertical="center"/>
      <protection locked="0" hidden="1"/>
    </xf>
    <xf numFmtId="0" fontId="12" fillId="15" borderId="0" xfId="0" applyFont="1" applyFill="1" applyAlignment="1" applyProtection="1">
      <alignment horizontal="left" vertical="center"/>
      <protection locked="0" hidden="1"/>
    </xf>
    <xf numFmtId="0" fontId="183" fillId="15" borderId="0" xfId="0" applyFont="1" applyFill="1" applyAlignment="1" applyProtection="1">
      <alignment horizontal="right" vertical="center"/>
      <protection locked="0" hidden="1"/>
    </xf>
    <xf numFmtId="164" fontId="183" fillId="15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81" fillId="3" borderId="0" xfId="0" applyFont="1" applyFill="1" applyAlignment="1" applyProtection="1">
      <alignment horizontal="left" vertical="center"/>
      <protection locked="0" hidden="1"/>
    </xf>
    <xf numFmtId="0" fontId="151" fillId="15" borderId="0" xfId="0" applyFont="1" applyFill="1" applyAlignment="1" applyProtection="1">
      <alignment horizontal="right" vertical="center"/>
      <protection locked="0" hidden="1"/>
    </xf>
    <xf numFmtId="0" fontId="183" fillId="15" borderId="0" xfId="0" applyFont="1" applyFill="1" applyAlignment="1" applyProtection="1">
      <alignment vertical="center"/>
      <protection locked="0" hidden="1"/>
    </xf>
    <xf numFmtId="164" fontId="131" fillId="12" borderId="0" xfId="0" applyNumberFormat="1" applyFont="1" applyFill="1" applyAlignment="1" applyProtection="1">
      <alignment horizontal="right" vertical="center"/>
      <protection locked="0" hidden="1"/>
    </xf>
    <xf numFmtId="9" fontId="81" fillId="3" borderId="3" xfId="0" applyNumberFormat="1" applyFont="1" applyFill="1" applyBorder="1" applyAlignment="1" applyProtection="1">
      <alignment horizontal="left" vertical="center"/>
      <protection locked="0" hidden="1"/>
    </xf>
    <xf numFmtId="164" fontId="81" fillId="3" borderId="0" xfId="0" applyNumberFormat="1" applyFont="1" applyFill="1" applyAlignment="1" applyProtection="1">
      <alignment horizontal="left" vertical="center"/>
      <protection locked="0" hidden="1"/>
    </xf>
    <xf numFmtId="0" fontId="148" fillId="15" borderId="0" xfId="0" applyFont="1" applyFill="1" applyAlignment="1" applyProtection="1">
      <alignment vertical="center"/>
      <protection locked="0" hidden="1"/>
    </xf>
    <xf numFmtId="0" fontId="148" fillId="12" borderId="0" xfId="0" applyFont="1" applyFill="1" applyAlignment="1" applyProtection="1">
      <alignment vertical="center"/>
      <protection locked="0" hidden="1"/>
    </xf>
    <xf numFmtId="0" fontId="140" fillId="12" borderId="0" xfId="0" applyFont="1" applyFill="1" applyAlignment="1" applyProtection="1">
      <alignment vertical="center"/>
      <protection locked="0" hidden="1"/>
    </xf>
    <xf numFmtId="0" fontId="203" fillId="12" borderId="0" xfId="0" applyFont="1" applyFill="1" applyAlignment="1" applyProtection="1">
      <alignment horizontal="center" vertical="center"/>
      <protection locked="0" hidden="1"/>
    </xf>
    <xf numFmtId="0" fontId="203" fillId="12" borderId="0" xfId="0" quotePrefix="1" applyFont="1" applyFill="1" applyAlignment="1" applyProtection="1">
      <alignment horizontal="right" vertical="center"/>
      <protection locked="0" hidden="1"/>
    </xf>
    <xf numFmtId="0" fontId="204" fillId="12" borderId="0" xfId="0" applyFont="1" applyFill="1" applyAlignment="1" applyProtection="1">
      <alignment vertical="center"/>
      <protection locked="0" hidden="1"/>
    </xf>
    <xf numFmtId="0" fontId="205" fillId="12" borderId="0" xfId="0" applyFont="1" applyFill="1" applyAlignment="1" applyProtection="1">
      <alignment vertical="center"/>
      <protection locked="0" hidden="1"/>
    </xf>
    <xf numFmtId="164" fontId="206" fillId="12" borderId="0" xfId="0" applyNumberFormat="1" applyFont="1" applyFill="1" applyAlignment="1" applyProtection="1">
      <alignment horizontal="left" vertical="center"/>
      <protection locked="0" hidden="1"/>
    </xf>
    <xf numFmtId="164" fontId="206" fillId="12" borderId="0" xfId="0" applyNumberFormat="1" applyFont="1" applyFill="1" applyAlignment="1" applyProtection="1">
      <alignment horizontal="right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209" fillId="12" borderId="0" xfId="0" applyFont="1" applyFill="1" applyAlignment="1" applyProtection="1">
      <alignment vertical="center"/>
      <protection locked="0" hidden="1"/>
    </xf>
    <xf numFmtId="0" fontId="59" fillId="12" borderId="0" xfId="0" applyFont="1" applyFill="1" applyAlignment="1" applyProtection="1">
      <alignment vertical="center"/>
      <protection locked="0" hidden="1"/>
    </xf>
    <xf numFmtId="0" fontId="210" fillId="12" borderId="0" xfId="0" applyFont="1" applyFill="1" applyAlignment="1" applyProtection="1">
      <alignment horizontal="center" vertical="center"/>
      <protection locked="0" hidden="1"/>
    </xf>
    <xf numFmtId="0" fontId="194" fillId="12" borderId="0" xfId="0" applyFont="1" applyFill="1" applyAlignment="1" applyProtection="1">
      <alignment vertical="center"/>
      <protection locked="0" hidden="1"/>
    </xf>
    <xf numFmtId="164" fontId="212" fillId="15" borderId="0" xfId="0" applyNumberFormat="1" applyFont="1" applyFill="1" applyAlignment="1" applyProtection="1">
      <alignment vertical="center"/>
      <protection locked="0" hidden="1"/>
    </xf>
    <xf numFmtId="0" fontId="213" fillId="12" borderId="0" xfId="0" applyFont="1" applyFill="1" applyAlignment="1" applyProtection="1">
      <alignment horizontal="center" vertical="center"/>
      <protection locked="0" hidden="1"/>
    </xf>
    <xf numFmtId="164" fontId="168" fillId="12" borderId="0" xfId="0" applyNumberFormat="1" applyFont="1" applyFill="1" applyAlignment="1" applyProtection="1">
      <alignment horizontal="center" vertical="center"/>
      <protection locked="0" hidden="1"/>
    </xf>
    <xf numFmtId="164" fontId="152" fillId="12" borderId="0" xfId="0" applyNumberFormat="1" applyFont="1" applyFill="1" applyAlignment="1" applyProtection="1">
      <alignment horizontal="right" vertical="center"/>
      <protection locked="0" hidden="1"/>
    </xf>
    <xf numFmtId="0" fontId="209" fillId="12" borderId="0" xfId="0" applyFont="1" applyFill="1" applyAlignment="1" applyProtection="1">
      <alignment horizontal="left" vertical="center"/>
      <protection locked="0" hidden="1"/>
    </xf>
    <xf numFmtId="0" fontId="209" fillId="12" borderId="0" xfId="0" quotePrefix="1" applyFont="1" applyFill="1" applyAlignment="1" applyProtection="1">
      <alignment horizontal="right" vertical="center"/>
      <protection locked="0" hidden="1"/>
    </xf>
    <xf numFmtId="0" fontId="214" fillId="15" borderId="0" xfId="0" quotePrefix="1" applyFont="1" applyFill="1" applyAlignment="1" applyProtection="1">
      <alignment vertical="center"/>
      <protection locked="0" hidden="1"/>
    </xf>
    <xf numFmtId="0" fontId="151" fillId="12" borderId="0" xfId="0" quotePrefix="1" applyFont="1" applyFill="1" applyAlignment="1" applyProtection="1">
      <alignment vertical="center"/>
      <protection locked="0" hidden="1"/>
    </xf>
    <xf numFmtId="0" fontId="168" fillId="12" borderId="0" xfId="0" applyFont="1" applyFill="1" applyAlignment="1" applyProtection="1">
      <alignment horizontal="center" vertical="center"/>
      <protection locked="0" hidden="1"/>
    </xf>
    <xf numFmtId="164" fontId="152" fillId="12" borderId="0" xfId="0" quotePrefix="1" applyNumberFormat="1" applyFont="1" applyFill="1" applyAlignment="1" applyProtection="1">
      <alignment horizontal="right" vertical="center"/>
      <protection locked="0" hidden="1"/>
    </xf>
    <xf numFmtId="164" fontId="217" fillId="12" borderId="0" xfId="0" applyNumberFormat="1" applyFont="1" applyFill="1" applyAlignment="1" applyProtection="1">
      <alignment horizontal="left" vertical="center"/>
      <protection locked="0"/>
    </xf>
    <xf numFmtId="0" fontId="183" fillId="15" borderId="0" xfId="0" applyFont="1" applyFill="1" applyAlignment="1" applyProtection="1">
      <alignment horizontal="center" vertical="center"/>
      <protection locked="0" hidden="1"/>
    </xf>
    <xf numFmtId="0" fontId="140" fillId="12" borderId="0" xfId="0" quotePrefix="1" applyFont="1" applyFill="1" applyAlignment="1" applyProtection="1">
      <alignment horizontal="center" vertical="center"/>
      <protection locked="0" hidden="1"/>
    </xf>
    <xf numFmtId="0" fontId="209" fillId="12" borderId="0" xfId="0" applyFont="1" applyFill="1" applyAlignment="1" applyProtection="1">
      <alignment horizontal="center" vertical="center"/>
      <protection locked="0" hidden="1"/>
    </xf>
    <xf numFmtId="0" fontId="140" fillId="12" borderId="0" xfId="0" applyFont="1" applyFill="1" applyAlignment="1" applyProtection="1">
      <alignment horizontal="center" vertical="center"/>
      <protection locked="0" hidden="1"/>
    </xf>
    <xf numFmtId="1" fontId="194" fillId="12" borderId="0" xfId="0" applyNumberFormat="1" applyFont="1" applyFill="1" applyAlignment="1" applyProtection="1">
      <alignment horizontal="right" vertical="center"/>
      <protection locked="0" hidden="1"/>
    </xf>
    <xf numFmtId="0" fontId="161" fillId="12" borderId="0" xfId="0" quotePrefix="1" applyFont="1" applyFill="1" applyAlignment="1" applyProtection="1">
      <alignment horizontal="right" vertical="center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0" fontId="202" fillId="3" borderId="0" xfId="0" applyFont="1" applyFill="1" applyAlignment="1" applyProtection="1">
      <alignment vertical="center" wrapText="1"/>
      <protection locked="0" hidden="1"/>
    </xf>
    <xf numFmtId="0" fontId="218" fillId="12" borderId="0" xfId="0" quotePrefix="1" applyFont="1" applyFill="1" applyAlignment="1" applyProtection="1">
      <alignment vertical="center"/>
      <protection locked="0" hidden="1"/>
    </xf>
    <xf numFmtId="0" fontId="218" fillId="12" borderId="0" xfId="0" quotePrefix="1" applyFont="1" applyFill="1" applyAlignment="1" applyProtection="1">
      <alignment horizontal="right" vertical="center"/>
      <protection locked="0" hidden="1"/>
    </xf>
    <xf numFmtId="0" fontId="218" fillId="12" borderId="0" xfId="0" applyFont="1" applyFill="1" applyAlignment="1" applyProtection="1">
      <alignment vertical="center"/>
      <protection locked="0" hidden="1"/>
    </xf>
    <xf numFmtId="164" fontId="219" fillId="12" borderId="1" xfId="0" applyNumberFormat="1" applyFont="1" applyFill="1" applyBorder="1" applyAlignment="1" applyProtection="1">
      <alignment horizontal="right" vertical="center"/>
      <protection locked="0" hidden="1"/>
    </xf>
    <xf numFmtId="166" fontId="194" fillId="12" borderId="0" xfId="0" applyNumberFormat="1" applyFont="1" applyFill="1" applyAlignment="1" applyProtection="1">
      <alignment horizontal="right" vertical="center"/>
      <protection locked="0" hidden="1"/>
    </xf>
    <xf numFmtId="0" fontId="205" fillId="12" borderId="0" xfId="0" applyFont="1" applyFill="1" applyAlignment="1" applyProtection="1">
      <alignment horizontal="left" vertical="top"/>
      <protection locked="0" hidden="1"/>
    </xf>
    <xf numFmtId="0" fontId="218" fillId="12" borderId="0" xfId="0" applyFont="1" applyFill="1" applyAlignment="1" applyProtection="1">
      <alignment horizontal="left" vertical="top"/>
      <protection locked="0" hidden="1"/>
    </xf>
    <xf numFmtId="164" fontId="218" fillId="12" borderId="0" xfId="0" applyNumberFormat="1" applyFont="1" applyFill="1" applyAlignment="1" applyProtection="1">
      <alignment horizontal="left" vertical="center"/>
      <protection locked="0" hidden="1"/>
    </xf>
    <xf numFmtId="0" fontId="140" fillId="12" borderId="0" xfId="0" quotePrefix="1" applyFont="1" applyFill="1" applyAlignment="1" applyProtection="1">
      <alignment vertical="center"/>
      <protection locked="0" hidden="1"/>
    </xf>
    <xf numFmtId="0" fontId="125" fillId="12" borderId="0" xfId="0" applyFont="1" applyFill="1" applyAlignment="1" applyProtection="1">
      <alignment horizontal="left" vertical="top"/>
      <protection locked="0" hidden="1"/>
    </xf>
    <xf numFmtId="0" fontId="219" fillId="12" borderId="1" xfId="0" applyFont="1" applyFill="1" applyBorder="1" applyAlignment="1" applyProtection="1">
      <alignment horizontal="right" vertical="center"/>
      <protection locked="0" hidden="1"/>
    </xf>
    <xf numFmtId="0" fontId="8" fillId="15" borderId="0" xfId="0" quotePrefix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164" fontId="34" fillId="15" borderId="0" xfId="0" applyNumberFormat="1" applyFont="1" applyFill="1" applyAlignment="1" applyProtection="1">
      <alignment vertical="center"/>
      <protection locked="0" hidden="1"/>
    </xf>
    <xf numFmtId="0" fontId="220" fillId="15" borderId="0" xfId="0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164" fontId="216" fillId="3" borderId="2" xfId="0" applyNumberFormat="1" applyFont="1" applyFill="1" applyBorder="1" applyAlignment="1" applyProtection="1">
      <alignment horizontal="left" vertical="center"/>
      <protection locked="0" hidden="1"/>
    </xf>
    <xf numFmtId="0" fontId="173" fillId="15" borderId="2" xfId="1" applyFont="1" applyFill="1" applyBorder="1" applyAlignment="1" applyProtection="1">
      <alignment horizontal="right" vertical="center"/>
      <protection locked="0" hidden="1"/>
    </xf>
    <xf numFmtId="0" fontId="183" fillId="15" borderId="2" xfId="0" applyFont="1" applyFill="1" applyBorder="1" applyAlignment="1" applyProtection="1">
      <alignment vertical="center"/>
      <protection locked="0" hidden="1"/>
    </xf>
    <xf numFmtId="0" fontId="183" fillId="15" borderId="2" xfId="0" applyFont="1" applyFill="1" applyBorder="1" applyAlignment="1" applyProtection="1">
      <alignment horizontal="right" vertical="center"/>
      <protection locked="0" hidden="1"/>
    </xf>
    <xf numFmtId="164" fontId="183" fillId="15" borderId="2" xfId="0" applyNumberFormat="1" applyFont="1" applyFill="1" applyBorder="1" applyAlignment="1" applyProtection="1">
      <alignment horizontal="left" vertical="center"/>
      <protection locked="0" hidden="1"/>
    </xf>
    <xf numFmtId="164" fontId="221" fillId="15" borderId="0" xfId="0" applyNumberFormat="1" applyFont="1" applyFill="1" applyAlignment="1" applyProtection="1">
      <alignment horizontal="center" vertical="center"/>
      <protection locked="0" hidden="1"/>
    </xf>
    <xf numFmtId="0" fontId="125" fillId="15" borderId="0" xfId="0" applyFont="1" applyFill="1" applyAlignment="1" applyProtection="1">
      <alignment vertical="center"/>
      <protection locked="0" hidden="1"/>
    </xf>
    <xf numFmtId="0" fontId="222" fillId="15" borderId="0" xfId="0" quotePrefix="1" applyFont="1" applyFill="1" applyAlignment="1" applyProtection="1">
      <alignment horizontal="right" vertical="center"/>
      <protection locked="0" hidden="1"/>
    </xf>
    <xf numFmtId="0" fontId="154" fillId="15" borderId="0" xfId="0" quotePrefix="1" applyFont="1" applyFill="1" applyAlignment="1" applyProtection="1">
      <alignment horizontal="left" vertical="center"/>
      <protection locked="0" hidden="1"/>
    </xf>
    <xf numFmtId="0" fontId="224" fillId="15" borderId="0" xfId="0" quotePrefix="1" applyFont="1" applyFill="1" applyAlignment="1" applyProtection="1">
      <alignment horizontal="left" vertical="center"/>
      <protection locked="0" hidden="1"/>
    </xf>
    <xf numFmtId="0" fontId="223" fillId="15" borderId="0" xfId="0" applyFont="1" applyFill="1" applyAlignment="1" applyProtection="1">
      <alignment vertical="center"/>
      <protection locked="0" hidden="1"/>
    </xf>
    <xf numFmtId="0" fontId="225" fillId="15" borderId="0" xfId="0" applyFont="1" applyFill="1" applyAlignment="1" applyProtection="1">
      <alignment vertical="center"/>
      <protection locked="0" hidden="1"/>
    </xf>
    <xf numFmtId="0" fontId="226" fillId="15" borderId="0" xfId="0" applyFont="1" applyFill="1" applyAlignment="1" applyProtection="1">
      <alignment vertical="center"/>
      <protection locked="0" hidden="1"/>
    </xf>
    <xf numFmtId="4" fontId="148" fillId="15" borderId="0" xfId="0" applyNumberFormat="1" applyFont="1" applyFill="1" applyAlignment="1" applyProtection="1">
      <alignment vertical="center"/>
      <protection locked="0" hidden="1"/>
    </xf>
    <xf numFmtId="0" fontId="227" fillId="3" borderId="0" xfId="0" applyFont="1" applyFill="1" applyAlignment="1" applyProtection="1">
      <alignment horizontal="center" vertical="center"/>
      <protection locked="0" hidden="1"/>
    </xf>
    <xf numFmtId="0" fontId="191" fillId="6" borderId="0" xfId="0" quotePrefix="1" applyFont="1" applyFill="1" applyAlignment="1" applyProtection="1">
      <alignment vertical="center"/>
      <protection locked="0" hidden="1"/>
    </xf>
    <xf numFmtId="0" fontId="229" fillId="12" borderId="0" xfId="0" quotePrefix="1" applyFont="1" applyFill="1" applyAlignment="1" applyProtection="1">
      <alignment horizontal="left" vertical="center"/>
      <protection locked="0" hidden="1"/>
    </xf>
    <xf numFmtId="0" fontId="230" fillId="12" borderId="0" xfId="0" quotePrefix="1" applyFont="1" applyFill="1" applyAlignment="1" applyProtection="1">
      <alignment horizontal="left" vertical="center"/>
      <protection locked="0" hidden="1"/>
    </xf>
    <xf numFmtId="0" fontId="155" fillId="3" borderId="0" xfId="0" quotePrefix="1" applyFont="1" applyFill="1" applyAlignment="1" applyProtection="1">
      <alignment horizontal="left" vertical="center"/>
      <protection locked="0" hidden="1"/>
    </xf>
    <xf numFmtId="0" fontId="1" fillId="12" borderId="0" xfId="0" quotePrefix="1" applyFont="1" applyFill="1" applyAlignment="1" applyProtection="1">
      <alignment horizontal="left" vertical="center"/>
      <protection locked="0" hidden="1"/>
    </xf>
    <xf numFmtId="0" fontId="148" fillId="12" borderId="0" xfId="0" applyFont="1" applyFill="1" applyAlignment="1" applyProtection="1">
      <alignment horizontal="center" vertical="center"/>
      <protection locked="0" hidden="1"/>
    </xf>
    <xf numFmtId="0" fontId="233" fillId="12" borderId="0" xfId="0" applyFont="1" applyFill="1" applyAlignment="1" applyProtection="1">
      <alignment vertical="center"/>
      <protection locked="0" hidden="1"/>
    </xf>
    <xf numFmtId="0" fontId="151" fillId="12" borderId="0" xfId="0" applyFont="1" applyFill="1" applyAlignment="1" applyProtection="1">
      <alignment vertical="center"/>
      <protection locked="0" hidden="1"/>
    </xf>
    <xf numFmtId="0" fontId="234" fillId="12" borderId="0" xfId="0" quotePrefix="1" applyFont="1" applyFill="1" applyAlignment="1" applyProtection="1">
      <alignment horizontal="right" vertical="center"/>
      <protection locked="0" hidden="1"/>
    </xf>
    <xf numFmtId="0" fontId="148" fillId="12" borderId="0" xfId="0" applyFont="1" applyFill="1" applyAlignment="1" applyProtection="1">
      <alignment horizontal="right" vertical="center"/>
      <protection locked="0" hidden="1"/>
    </xf>
    <xf numFmtId="0" fontId="165" fillId="12" borderId="0" xfId="0" applyFont="1" applyFill="1" applyAlignment="1" applyProtection="1">
      <alignment horizontal="right" vertical="center"/>
      <protection locked="0" hidden="1"/>
    </xf>
    <xf numFmtId="0" fontId="160" fillId="12" borderId="0" xfId="0" quotePrefix="1" applyFont="1" applyFill="1" applyAlignment="1" applyProtection="1">
      <alignment horizontal="right" vertical="center"/>
      <protection locked="0" hidden="1"/>
    </xf>
    <xf numFmtId="0" fontId="231" fillId="6" borderId="6" xfId="0" quotePrefix="1" applyFont="1" applyFill="1" applyBorder="1" applyAlignment="1" applyProtection="1">
      <alignment vertical="center"/>
      <protection locked="0" hidden="1"/>
    </xf>
    <xf numFmtId="0" fontId="231" fillId="6" borderId="4" xfId="0" quotePrefix="1" applyFont="1" applyFill="1" applyBorder="1" applyAlignment="1" applyProtection="1">
      <alignment vertical="center"/>
      <protection locked="0" hidden="1"/>
    </xf>
    <xf numFmtId="0" fontId="165" fillId="12" borderId="0" xfId="0" applyFont="1" applyFill="1" applyAlignment="1" applyProtection="1">
      <alignment horizontal="center" vertical="center"/>
      <protection locked="0" hidden="1"/>
    </xf>
    <xf numFmtId="164" fontId="165" fillId="12" borderId="0" xfId="0" applyNumberFormat="1" applyFont="1" applyFill="1" applyAlignment="1" applyProtection="1">
      <alignment horizontal="center" vertical="center"/>
      <protection locked="0" hidden="1"/>
    </xf>
    <xf numFmtId="0" fontId="160" fillId="12" borderId="0" xfId="0" applyFont="1" applyFill="1" applyAlignment="1" applyProtection="1">
      <alignment vertical="center"/>
      <protection locked="0" hidden="1"/>
    </xf>
    <xf numFmtId="0" fontId="209" fillId="3" borderId="0" xfId="0" quotePrefix="1" applyFont="1" applyFill="1" applyAlignment="1" applyProtection="1">
      <alignment horizontal="left" vertical="center"/>
      <protection locked="0" hidden="1"/>
    </xf>
    <xf numFmtId="0" fontId="235" fillId="3" borderId="0" xfId="0" quotePrefix="1" applyFont="1" applyFill="1" applyAlignment="1" applyProtection="1">
      <alignment horizontal="left" vertical="center"/>
      <protection locked="0" hidden="1"/>
    </xf>
    <xf numFmtId="0" fontId="236" fillId="12" borderId="0" xfId="0" applyFont="1" applyFill="1" applyAlignment="1" applyProtection="1">
      <alignment vertical="center"/>
      <protection locked="0" hidden="1"/>
    </xf>
    <xf numFmtId="0" fontId="237" fillId="12" borderId="0" xfId="0" applyFont="1" applyFill="1" applyAlignment="1" applyProtection="1">
      <alignment horizontal="center" vertical="center"/>
      <protection locked="0" hidden="1"/>
    </xf>
    <xf numFmtId="164" fontId="237" fillId="12" borderId="0" xfId="0" applyNumberFormat="1" applyFont="1" applyFill="1" applyAlignment="1" applyProtection="1">
      <alignment horizontal="center" vertical="center"/>
      <protection locked="0" hidden="1"/>
    </xf>
    <xf numFmtId="0" fontId="191" fillId="5" borderId="0" xfId="0" quotePrefix="1" applyFont="1" applyFill="1" applyAlignment="1" applyProtection="1">
      <alignment vertical="center"/>
      <protection locked="0" hidden="1"/>
    </xf>
    <xf numFmtId="0" fontId="238" fillId="12" borderId="0" xfId="0" applyFont="1" applyFill="1" applyAlignment="1" applyProtection="1">
      <alignment horizontal="center" vertical="center"/>
      <protection locked="0" hidden="1"/>
    </xf>
    <xf numFmtId="0" fontId="237" fillId="12" borderId="0" xfId="0" applyFont="1" applyFill="1" applyAlignment="1" applyProtection="1">
      <alignment vertical="center"/>
      <protection locked="0" hidden="1"/>
    </xf>
    <xf numFmtId="0" fontId="148" fillId="0" borderId="0" xfId="0" applyFont="1" applyAlignment="1" applyProtection="1">
      <alignment horizontal="left" vertical="center"/>
      <protection locked="0" hidden="1"/>
    </xf>
    <xf numFmtId="0" fontId="148" fillId="0" borderId="0" xfId="0" applyFont="1" applyProtection="1">
      <protection locked="0"/>
    </xf>
    <xf numFmtId="0" fontId="239" fillId="3" borderId="0" xfId="0" applyFont="1" applyFill="1" applyAlignment="1" applyProtection="1">
      <alignment horizontal="center" vertical="center"/>
      <protection locked="0" hidden="1"/>
    </xf>
    <xf numFmtId="0" fontId="240" fillId="3" borderId="0" xfId="0" applyFont="1" applyFill="1" applyAlignment="1" applyProtection="1">
      <alignment horizontal="center" vertical="center"/>
      <protection locked="0" hidden="1"/>
    </xf>
    <xf numFmtId="0" fontId="165" fillId="3" borderId="0" xfId="0" applyFont="1" applyFill="1" applyAlignment="1" applyProtection="1">
      <alignment vertical="center"/>
      <protection locked="0" hidden="1"/>
    </xf>
    <xf numFmtId="0" fontId="74" fillId="3" borderId="0" xfId="0" applyFont="1" applyFill="1" applyAlignment="1" applyProtection="1">
      <alignment vertical="center"/>
      <protection locked="0" hidden="1"/>
    </xf>
    <xf numFmtId="0" fontId="233" fillId="3" borderId="0" xfId="0" applyFont="1" applyFill="1" applyAlignment="1" applyProtection="1">
      <alignment vertical="center"/>
      <protection locked="0" hidden="1"/>
    </xf>
    <xf numFmtId="0" fontId="151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1" fillId="12" borderId="0" xfId="0" quotePrefix="1" applyFont="1" applyFill="1" applyAlignment="1" applyProtection="1">
      <alignment horizontal="left" vertical="center"/>
      <protection locked="0" hidden="1"/>
    </xf>
    <xf numFmtId="0" fontId="241" fillId="12" borderId="0" xfId="0" quotePrefix="1" applyFont="1" applyFill="1" applyAlignment="1" applyProtection="1">
      <alignment vertical="center"/>
      <protection locked="0" hidden="1"/>
    </xf>
    <xf numFmtId="0" fontId="228" fillId="12" borderId="0" xfId="0" quotePrefix="1" applyFont="1" applyFill="1" applyAlignment="1" applyProtection="1">
      <alignment horizontal="left" vertical="center"/>
      <protection locked="0" hidden="1"/>
    </xf>
    <xf numFmtId="0" fontId="242" fillId="12" borderId="0" xfId="0" applyFont="1" applyFill="1" applyAlignment="1" applyProtection="1">
      <alignment vertical="center"/>
      <protection locked="0" hidden="1"/>
    </xf>
    <xf numFmtId="0" fontId="152" fillId="12" borderId="0" xfId="0" applyFont="1" applyFill="1" applyAlignment="1" applyProtection="1">
      <alignment vertical="center"/>
      <protection locked="0" hidden="1"/>
    </xf>
    <xf numFmtId="0" fontId="244" fillId="12" borderId="0" xfId="0" applyFont="1" applyFill="1" applyAlignment="1" applyProtection="1">
      <alignment horizontal="center" vertical="center"/>
      <protection locked="0" hidden="1"/>
    </xf>
    <xf numFmtId="164" fontId="152" fillId="12" borderId="0" xfId="0" applyNumberFormat="1" applyFont="1" applyFill="1" applyAlignment="1" applyProtection="1">
      <alignment horizontal="left" vertical="center"/>
      <protection locked="0" hidden="1"/>
    </xf>
    <xf numFmtId="164" fontId="199" fillId="12" borderId="0" xfId="0" applyNumberFormat="1" applyFont="1" applyFill="1" applyAlignment="1" applyProtection="1">
      <alignment horizontal="left" vertical="center"/>
      <protection locked="0" hidden="1"/>
    </xf>
    <xf numFmtId="164" fontId="199" fillId="12" borderId="0" xfId="0" applyNumberFormat="1" applyFont="1" applyFill="1" applyAlignment="1" applyProtection="1">
      <alignment horizontal="center" vertical="center"/>
      <protection locked="0" hidden="1"/>
    </xf>
    <xf numFmtId="164" fontId="165" fillId="12" borderId="0" xfId="0" applyNumberFormat="1" applyFont="1" applyFill="1" applyAlignment="1" applyProtection="1">
      <alignment horizontal="left" vertical="center"/>
      <protection locked="0" hidden="1"/>
    </xf>
    <xf numFmtId="0" fontId="233" fillId="12" borderId="0" xfId="0" applyFont="1" applyFill="1" applyAlignment="1" applyProtection="1">
      <alignment horizontal="center" vertical="center"/>
      <protection locked="0" hidden="1"/>
    </xf>
    <xf numFmtId="0" fontId="140" fillId="12" borderId="0" xfId="0" applyFont="1" applyFill="1" applyAlignment="1" applyProtection="1">
      <alignment horizontal="left" vertical="center"/>
      <protection locked="0" hidden="1"/>
    </xf>
    <xf numFmtId="164" fontId="140" fillId="12" borderId="0" xfId="0" applyNumberFormat="1" applyFont="1" applyFill="1" applyAlignment="1" applyProtection="1">
      <alignment horizontal="left" vertical="center"/>
      <protection locked="0" hidden="1"/>
    </xf>
    <xf numFmtId="0" fontId="151" fillId="12" borderId="0" xfId="0" applyFont="1" applyFill="1" applyAlignment="1" applyProtection="1">
      <alignment horizontal="left" vertical="center"/>
      <protection locked="0" hidden="1"/>
    </xf>
    <xf numFmtId="0" fontId="151" fillId="12" borderId="0" xfId="0" applyFont="1" applyFill="1" applyAlignment="1" applyProtection="1">
      <alignment horizontal="center" vertical="center"/>
      <protection locked="0" hidden="1"/>
    </xf>
    <xf numFmtId="0" fontId="165" fillId="12" borderId="0" xfId="0" applyFont="1" applyFill="1" applyAlignment="1" applyProtection="1">
      <alignment horizontal="left" vertical="center"/>
      <protection locked="0" hidden="1"/>
    </xf>
    <xf numFmtId="0" fontId="73" fillId="12" borderId="0" xfId="0" applyFont="1" applyFill="1" applyAlignment="1" applyProtection="1">
      <alignment horizontal="left" vertical="center"/>
      <protection locked="0" hidden="1"/>
    </xf>
    <xf numFmtId="0" fontId="228" fillId="12" borderId="0" xfId="0" applyFont="1" applyFill="1" applyAlignment="1" applyProtection="1">
      <alignment horizontal="left" vertical="center"/>
      <protection locked="0" hidden="1"/>
    </xf>
    <xf numFmtId="9" fontId="192" fillId="3" borderId="0" xfId="1" applyNumberFormat="1" applyFont="1" applyFill="1" applyBorder="1" applyAlignment="1" applyProtection="1">
      <alignment vertical="center"/>
      <protection locked="0" hidden="1"/>
    </xf>
    <xf numFmtId="9" fontId="245" fillId="12" borderId="0" xfId="0" applyNumberFormat="1" applyFont="1" applyFill="1" applyAlignment="1" applyProtection="1">
      <alignment horizontal="right" vertical="center"/>
      <protection locked="0" hidden="1"/>
    </xf>
    <xf numFmtId="0" fontId="131" fillId="12" borderId="34" xfId="0" applyFont="1" applyFill="1" applyBorder="1" applyAlignment="1" applyProtection="1">
      <alignment horizontal="center" vertical="center"/>
      <protection locked="0" hidden="1"/>
    </xf>
    <xf numFmtId="0" fontId="208" fillId="12" borderId="34" xfId="0" applyFont="1" applyFill="1" applyBorder="1" applyAlignment="1" applyProtection="1">
      <alignment horizontal="center" vertical="center" wrapText="1"/>
      <protection locked="0" hidden="1"/>
    </xf>
    <xf numFmtId="164" fontId="211" fillId="12" borderId="34" xfId="0" applyNumberFormat="1" applyFont="1" applyFill="1" applyBorder="1" applyAlignment="1" applyProtection="1">
      <alignment horizontal="left" vertical="center"/>
      <protection locked="0" hidden="1"/>
    </xf>
    <xf numFmtId="0" fontId="55" fillId="0" borderId="0" xfId="0" applyFont="1" applyAlignment="1" applyProtection="1">
      <alignment vertical="center"/>
      <protection locked="0"/>
    </xf>
    <xf numFmtId="0" fontId="72" fillId="0" borderId="0" xfId="0" applyFont="1" applyAlignment="1" applyProtection="1">
      <alignment vertical="center"/>
      <protection locked="0"/>
    </xf>
    <xf numFmtId="0" fontId="12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2" fontId="123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55" fillId="3" borderId="0" xfId="0" applyFont="1" applyFill="1" applyAlignment="1" applyProtection="1">
      <alignment horizontal="center" vertical="center"/>
      <protection locked="0"/>
    </xf>
    <xf numFmtId="0" fontId="3" fillId="35" borderId="29" xfId="2" applyFont="1" applyFill="1" applyBorder="1" applyAlignment="1" applyProtection="1">
      <alignment vertical="center"/>
      <protection locked="0"/>
    </xf>
    <xf numFmtId="0" fontId="142" fillId="35" borderId="30" xfId="2" applyFont="1" applyFill="1" applyBorder="1" applyAlignment="1" applyProtection="1">
      <alignment vertical="center"/>
      <protection locked="0"/>
    </xf>
    <xf numFmtId="0" fontId="3" fillId="35" borderId="30" xfId="2" applyFont="1" applyFill="1" applyBorder="1" applyAlignment="1" applyProtection="1">
      <alignment vertical="center"/>
      <protection locked="0"/>
    </xf>
    <xf numFmtId="0" fontId="247" fillId="35" borderId="30" xfId="2" applyFont="1" applyFill="1" applyBorder="1" applyAlignment="1" applyProtection="1">
      <alignment vertical="center"/>
      <protection locked="0"/>
    </xf>
    <xf numFmtId="0" fontId="144" fillId="35" borderId="30" xfId="0" applyFont="1" applyFill="1" applyBorder="1" applyAlignment="1" applyProtection="1">
      <alignment horizontal="right" vertical="center"/>
      <protection locked="0"/>
    </xf>
    <xf numFmtId="0" fontId="140" fillId="35" borderId="30" xfId="0" applyFont="1" applyFill="1" applyBorder="1" applyAlignment="1" applyProtection="1">
      <alignment horizontal="left" vertical="center"/>
      <protection locked="0"/>
    </xf>
    <xf numFmtId="0" fontId="8" fillId="35" borderId="30" xfId="0" applyFont="1" applyFill="1" applyBorder="1" applyAlignment="1" applyProtection="1">
      <alignment horizontal="left" vertical="center"/>
      <protection locked="0"/>
    </xf>
    <xf numFmtId="0" fontId="145" fillId="35" borderId="30" xfId="0" applyFont="1" applyFill="1" applyBorder="1" applyAlignment="1" applyProtection="1">
      <alignment horizontal="right" vertical="center"/>
      <protection locked="0"/>
    </xf>
    <xf numFmtId="0" fontId="8" fillId="36" borderId="0" xfId="0" applyFont="1" applyFill="1" applyAlignment="1" applyProtection="1">
      <alignment vertical="center"/>
      <protection locked="0"/>
    </xf>
    <xf numFmtId="0" fontId="128" fillId="36" borderId="0" xfId="0" applyFont="1" applyFill="1" applyAlignment="1" applyProtection="1">
      <alignment horizontal="left" vertical="center"/>
      <protection locked="0"/>
    </xf>
    <xf numFmtId="0" fontId="138" fillId="36" borderId="0" xfId="0" applyFont="1" applyFill="1" applyAlignment="1" applyProtection="1">
      <alignment horizontal="left" vertical="center" wrapText="1"/>
      <protection locked="0"/>
    </xf>
    <xf numFmtId="0" fontId="1" fillId="36" borderId="0" xfId="0" applyFont="1" applyFill="1" applyAlignment="1" applyProtection="1">
      <alignment horizontal="center" vertical="center"/>
      <protection locked="0"/>
    </xf>
    <xf numFmtId="164" fontId="1" fillId="36" borderId="0" xfId="0" applyNumberFormat="1" applyFont="1" applyFill="1" applyAlignment="1" applyProtection="1">
      <alignment horizontal="left" vertical="center"/>
      <protection locked="0"/>
    </xf>
    <xf numFmtId="164" fontId="249" fillId="36" borderId="0" xfId="0" applyNumberFormat="1" applyFont="1" applyFill="1" applyAlignment="1" applyProtection="1">
      <alignment horizontal="left" vertical="center"/>
      <protection locked="0"/>
    </xf>
    <xf numFmtId="9" fontId="248" fillId="32" borderId="0" xfId="0" applyNumberFormat="1" applyFont="1" applyFill="1" applyAlignment="1" applyProtection="1">
      <alignment horizontal="center" vertical="center"/>
      <protection locked="0"/>
    </xf>
    <xf numFmtId="164" fontId="251" fillId="32" borderId="0" xfId="0" applyNumberFormat="1" applyFont="1" applyFill="1" applyAlignment="1" applyProtection="1">
      <alignment horizontal="left" vertical="center"/>
      <protection locked="0"/>
    </xf>
    <xf numFmtId="164" fontId="251" fillId="32" borderId="0" xfId="0" applyNumberFormat="1" applyFont="1" applyFill="1" applyAlignment="1" applyProtection="1">
      <alignment horizontal="center" vertical="center"/>
      <protection locked="0"/>
    </xf>
    <xf numFmtId="164" fontId="252" fillId="32" borderId="0" xfId="0" applyNumberFormat="1" applyFont="1" applyFill="1" applyAlignment="1" applyProtection="1">
      <alignment horizontal="left" vertical="center"/>
      <protection locked="0"/>
    </xf>
    <xf numFmtId="2" fontId="153" fillId="32" borderId="0" xfId="0" applyNumberFormat="1" applyFont="1" applyFill="1" applyAlignment="1" applyProtection="1">
      <alignment horizontal="left" vertical="center" wrapText="1"/>
      <protection locked="0"/>
    </xf>
    <xf numFmtId="0" fontId="253" fillId="32" borderId="0" xfId="0" applyFont="1" applyFill="1" applyAlignment="1" applyProtection="1">
      <alignment horizontal="center" vertical="center" wrapText="1"/>
      <protection locked="0"/>
    </xf>
    <xf numFmtId="2" fontId="153" fillId="32" borderId="0" xfId="0" applyNumberFormat="1" applyFont="1" applyFill="1" applyAlignment="1" applyProtection="1">
      <alignment horizontal="left" vertical="center"/>
      <protection locked="0"/>
    </xf>
    <xf numFmtId="0" fontId="247" fillId="33" borderId="29" xfId="0" applyFont="1" applyFill="1" applyBorder="1" applyAlignment="1" applyProtection="1">
      <alignment vertical="center"/>
      <protection locked="0"/>
    </xf>
    <xf numFmtId="0" fontId="254" fillId="34" borderId="0" xfId="0" applyFont="1" applyFill="1" applyAlignment="1" applyProtection="1">
      <alignment horizontal="center" vertical="center"/>
      <protection locked="0"/>
    </xf>
    <xf numFmtId="0" fontId="255" fillId="34" borderId="0" xfId="0" applyFont="1" applyFill="1" applyAlignment="1" applyProtection="1">
      <alignment vertical="center"/>
      <protection locked="0"/>
    </xf>
    <xf numFmtId="0" fontId="255" fillId="34" borderId="0" xfId="0" applyFont="1" applyFill="1" applyAlignment="1" applyProtection="1">
      <alignment horizontal="center" vertical="center"/>
      <protection locked="0"/>
    </xf>
    <xf numFmtId="0" fontId="256" fillId="34" borderId="0" xfId="0" applyFont="1" applyFill="1" applyAlignment="1" applyProtection="1">
      <alignment vertical="center"/>
      <protection locked="0"/>
    </xf>
    <xf numFmtId="164" fontId="130" fillId="34" borderId="0" xfId="0" applyNumberFormat="1" applyFont="1" applyFill="1" applyAlignment="1" applyProtection="1">
      <alignment horizontal="left" vertical="center"/>
      <protection locked="0"/>
    </xf>
    <xf numFmtId="0" fontId="215" fillId="3" borderId="27" xfId="0" quotePrefix="1" applyFont="1" applyFill="1" applyBorder="1" applyAlignment="1" applyProtection="1">
      <alignment horizontal="right"/>
      <protection hidden="1"/>
    </xf>
    <xf numFmtId="4" fontId="111" fillId="8" borderId="0" xfId="0" applyNumberFormat="1" applyFont="1" applyFill="1" applyAlignment="1" applyProtection="1">
      <alignment horizontal="left" vertical="center"/>
      <protection locked="0"/>
    </xf>
    <xf numFmtId="0" fontId="111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3" fontId="19" fillId="6" borderId="0" xfId="0" applyNumberFormat="1" applyFont="1" applyFill="1" applyAlignment="1" applyProtection="1">
      <alignment horizontal="left" vertical="center" wrapText="1"/>
      <protection locked="0"/>
    </xf>
    <xf numFmtId="0" fontId="75" fillId="6" borderId="0" xfId="0" applyFont="1" applyFill="1" applyAlignment="1" applyProtection="1">
      <alignment horizontal="right" vertical="center"/>
      <protection locked="0"/>
    </xf>
    <xf numFmtId="164" fontId="19" fillId="3" borderId="0" xfId="0" applyNumberFormat="1" applyFont="1" applyFill="1" applyAlignment="1" applyProtection="1">
      <alignment horizontal="right" vertical="center"/>
      <protection locked="0"/>
    </xf>
    <xf numFmtId="164" fontId="259" fillId="7" borderId="0" xfId="0" quotePrefix="1" applyNumberFormat="1" applyFont="1" applyFill="1" applyAlignment="1" applyProtection="1">
      <alignment horizontal="center" vertical="center"/>
      <protection locked="0"/>
    </xf>
    <xf numFmtId="0" fontId="260" fillId="0" borderId="0" xfId="0" applyFont="1" applyAlignment="1" applyProtection="1">
      <alignment horizontal="center" vertical="center"/>
      <protection locked="0" hidden="1"/>
    </xf>
    <xf numFmtId="0" fontId="260" fillId="3" borderId="0" xfId="0" applyFont="1" applyFill="1" applyAlignment="1" applyProtection="1">
      <alignment horizontal="center" vertical="center"/>
      <protection locked="0" hidden="1"/>
    </xf>
    <xf numFmtId="9" fontId="251" fillId="36" borderId="0" xfId="0" applyNumberFormat="1" applyFont="1" applyFill="1" applyAlignment="1" applyProtection="1">
      <alignment horizontal="center" vertical="center"/>
      <protection locked="0"/>
    </xf>
    <xf numFmtId="9" fontId="251" fillId="11" borderId="0" xfId="0" applyNumberFormat="1" applyFont="1" applyFill="1" applyAlignment="1" applyProtection="1">
      <alignment horizontal="center" vertical="center"/>
      <protection locked="0"/>
    </xf>
    <xf numFmtId="0" fontId="131" fillId="3" borderId="18" xfId="0" applyFont="1" applyFill="1" applyBorder="1" applyAlignment="1" applyProtection="1">
      <alignment horizontal="right" vertical="center"/>
      <protection locked="0" hidden="1"/>
    </xf>
    <xf numFmtId="0" fontId="263" fillId="12" borderId="0" xfId="0" applyFont="1" applyFill="1" applyAlignment="1" applyProtection="1">
      <alignment horizontal="right" vertical="center"/>
      <protection locked="0" hidden="1"/>
    </xf>
    <xf numFmtId="4" fontId="264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65" fillId="35" borderId="29" xfId="2" applyFont="1" applyFill="1" applyBorder="1" applyAlignment="1" applyProtection="1">
      <alignment horizontal="left" vertical="center"/>
      <protection locked="0"/>
    </xf>
    <xf numFmtId="0" fontId="266" fillId="32" borderId="0" xfId="0" applyFont="1" applyFill="1" applyAlignment="1" applyProtection="1">
      <alignment horizontal="left" vertical="center"/>
      <protection locked="0"/>
    </xf>
    <xf numFmtId="0" fontId="169" fillId="33" borderId="29" xfId="2" applyFont="1" applyFill="1" applyBorder="1" applyAlignment="1" applyProtection="1">
      <alignment horizontal="left" vertical="center"/>
      <protection locked="0"/>
    </xf>
    <xf numFmtId="0" fontId="266" fillId="34" borderId="0" xfId="0" applyFont="1" applyFill="1" applyAlignment="1" applyProtection="1">
      <alignment horizontal="left" vertical="center"/>
      <protection locked="0"/>
    </xf>
    <xf numFmtId="0" fontId="267" fillId="27" borderId="0" xfId="0" applyFont="1" applyFill="1" applyAlignment="1" applyProtection="1">
      <alignment vertical="center"/>
      <protection locked="0"/>
    </xf>
    <xf numFmtId="0" fontId="269" fillId="30" borderId="0" xfId="0" applyFont="1" applyFill="1" applyAlignment="1" applyProtection="1">
      <alignment horizontal="right"/>
      <protection locked="0"/>
    </xf>
    <xf numFmtId="9" fontId="197" fillId="12" borderId="0" xfId="0" applyNumberFormat="1" applyFont="1" applyFill="1" applyAlignment="1" applyProtection="1">
      <alignment horizontal="left" vertical="center"/>
      <protection locked="0" hidden="1"/>
    </xf>
    <xf numFmtId="0" fontId="232" fillId="12" borderId="0" xfId="0" applyFont="1" applyFill="1" applyAlignment="1" applyProtection="1">
      <alignment horizontal="right" vertical="center"/>
      <protection locked="0" hidden="1"/>
    </xf>
    <xf numFmtId="10" fontId="231" fillId="12" borderId="0" xfId="0" applyNumberFormat="1" applyFont="1" applyFill="1" applyAlignment="1" applyProtection="1">
      <alignment horizontal="left" vertical="center"/>
      <protection locked="0" hidden="1"/>
    </xf>
    <xf numFmtId="0" fontId="270" fillId="12" borderId="0" xfId="0" applyFont="1" applyFill="1" applyAlignment="1" applyProtection="1">
      <alignment horizontal="left" vertical="center"/>
      <protection locked="0" hidden="1"/>
    </xf>
    <xf numFmtId="0" fontId="272" fillId="12" borderId="0" xfId="0" applyFont="1" applyFill="1" applyAlignment="1" applyProtection="1">
      <alignment horizontal="right" vertical="center"/>
      <protection locked="0" hidden="1"/>
    </xf>
    <xf numFmtId="0" fontId="273" fillId="12" borderId="0" xfId="0" quotePrefix="1" applyFont="1" applyFill="1" applyAlignment="1" applyProtection="1">
      <alignment horizontal="right" vertical="center"/>
      <protection locked="0" hidden="1"/>
    </xf>
    <xf numFmtId="0" fontId="275" fillId="12" borderId="0" xfId="0" quotePrefix="1" applyFont="1" applyFill="1" applyAlignment="1" applyProtection="1">
      <alignment horizontal="left" vertical="center"/>
      <protection hidden="1"/>
    </xf>
    <xf numFmtId="0" fontId="276" fillId="12" borderId="0" xfId="0" quotePrefix="1" applyFont="1" applyFill="1" applyAlignment="1" applyProtection="1">
      <alignment horizontal="right" vertical="center"/>
      <protection locked="0" hidden="1"/>
    </xf>
    <xf numFmtId="164" fontId="158" fillId="3" borderId="0" xfId="0" applyNumberFormat="1" applyFont="1" applyFill="1" applyAlignment="1" applyProtection="1">
      <alignment horizontal="left" vertical="center"/>
      <protection locked="0" hidden="1"/>
    </xf>
    <xf numFmtId="164" fontId="280" fillId="4" borderId="0" xfId="0" applyNumberFormat="1" applyFont="1" applyFill="1" applyAlignment="1" applyProtection="1">
      <alignment horizontal="left" vertical="center"/>
      <protection locked="0"/>
    </xf>
    <xf numFmtId="0" fontId="245" fillId="3" borderId="0" xfId="0" applyFont="1" applyFill="1" applyAlignment="1" applyProtection="1">
      <alignment horizontal="right"/>
      <protection locked="0"/>
    </xf>
    <xf numFmtId="0" fontId="281" fillId="3" borderId="18" xfId="0" applyFont="1" applyFill="1" applyBorder="1" applyAlignment="1" applyProtection="1">
      <alignment horizontal="left" vertical="center"/>
      <protection locked="0" hidden="1"/>
    </xf>
    <xf numFmtId="0" fontId="283" fillId="12" borderId="0" xfId="0" applyFont="1" applyFill="1" applyAlignment="1" applyProtection="1">
      <alignment vertical="center"/>
      <protection locked="0" hidden="1"/>
    </xf>
    <xf numFmtId="0" fontId="156" fillId="15" borderId="0" xfId="0" applyFont="1" applyFill="1" applyAlignment="1" applyProtection="1">
      <alignment horizontal="right" vertical="center"/>
      <protection locked="0" hidden="1"/>
    </xf>
    <xf numFmtId="0" fontId="13" fillId="27" borderId="0" xfId="0" applyFont="1" applyFill="1" applyAlignment="1">
      <alignment horizontal="right"/>
    </xf>
    <xf numFmtId="0" fontId="131" fillId="30" borderId="0" xfId="0" applyFont="1" applyFill="1" applyAlignment="1" applyProtection="1">
      <alignment horizontal="right" vertical="center"/>
      <protection locked="0" hidden="1"/>
    </xf>
    <xf numFmtId="164" fontId="252" fillId="32" borderId="0" xfId="0" applyNumberFormat="1" applyFont="1" applyFill="1" applyAlignment="1" applyProtection="1">
      <alignment horizontal="right" vertical="center"/>
      <protection locked="0"/>
    </xf>
    <xf numFmtId="164" fontId="130" fillId="34" borderId="0" xfId="0" applyNumberFormat="1" applyFont="1" applyFill="1" applyAlignment="1" applyProtection="1">
      <alignment horizontal="right" vertical="center"/>
      <protection locked="0"/>
    </xf>
    <xf numFmtId="0" fontId="132" fillId="0" borderId="0" xfId="0" applyFont="1" applyAlignment="1" applyProtection="1">
      <alignment horizontal="right" vertical="center"/>
      <protection locked="0" hidden="1"/>
    </xf>
    <xf numFmtId="0" fontId="198" fillId="12" borderId="1" xfId="0" applyFont="1" applyFill="1" applyBorder="1" applyAlignment="1" applyProtection="1">
      <alignment horizontal="right" vertical="center"/>
      <protection locked="0" hidden="1"/>
    </xf>
    <xf numFmtId="0" fontId="128" fillId="12" borderId="0" xfId="0" applyFont="1" applyFill="1" applyAlignment="1" applyProtection="1">
      <alignment horizontal="right" vertical="center"/>
      <protection locked="0" hidden="1"/>
    </xf>
    <xf numFmtId="0" fontId="131" fillId="0" borderId="0" xfId="0" applyFont="1" applyAlignment="1" applyProtection="1">
      <alignment horizontal="right" vertical="center"/>
      <protection locked="0"/>
    </xf>
    <xf numFmtId="0" fontId="130" fillId="0" borderId="0" xfId="0" applyFont="1" applyAlignment="1" applyProtection="1">
      <alignment horizontal="right" vertical="center"/>
      <protection locked="0"/>
    </xf>
    <xf numFmtId="0" fontId="130" fillId="0" borderId="0" xfId="0" applyFont="1" applyAlignment="1" applyProtection="1">
      <alignment horizontal="right" vertical="center"/>
      <protection locked="0" hidden="1"/>
    </xf>
    <xf numFmtId="164" fontId="130" fillId="3" borderId="0" xfId="0" applyNumberFormat="1" applyFont="1" applyFill="1" applyAlignment="1" applyProtection="1">
      <alignment horizontal="right" vertical="center"/>
      <protection locked="0" hidden="1"/>
    </xf>
    <xf numFmtId="0" fontId="4" fillId="12" borderId="0" xfId="0" quotePrefix="1" applyFont="1" applyFill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131" fillId="0" borderId="0" xfId="0" applyFont="1" applyAlignment="1" applyProtection="1">
      <alignment horizontal="right" vertical="center"/>
      <protection locked="0" hidden="1"/>
    </xf>
    <xf numFmtId="0" fontId="58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44" fillId="35" borderId="30" xfId="2" applyFont="1" applyFill="1" applyBorder="1" applyAlignment="1" applyProtection="1">
      <alignment horizontal="right" vertical="center"/>
      <protection locked="0"/>
    </xf>
    <xf numFmtId="164" fontId="130" fillId="32" borderId="0" xfId="0" applyNumberFormat="1" applyFont="1" applyFill="1" applyAlignment="1" applyProtection="1">
      <alignment horizontal="right" vertical="center"/>
      <protection locked="0"/>
    </xf>
    <xf numFmtId="0" fontId="285" fillId="16" borderId="0" xfId="0" applyFont="1" applyFill="1" applyAlignment="1" applyProtection="1">
      <alignment vertical="center"/>
      <protection locked="0"/>
    </xf>
    <xf numFmtId="0" fontId="292" fillId="39" borderId="0" xfId="0" quotePrefix="1" applyFont="1" applyFill="1" applyAlignment="1" applyProtection="1">
      <alignment vertical="center"/>
      <protection locked="0" hidden="1"/>
    </xf>
    <xf numFmtId="0" fontId="2" fillId="39" borderId="0" xfId="0" quotePrefix="1" applyFont="1" applyFill="1" applyAlignment="1" applyProtection="1">
      <alignment vertical="center"/>
      <protection locked="0" hidden="1"/>
    </xf>
    <xf numFmtId="0" fontId="8" fillId="39" borderId="0" xfId="0" applyFont="1" applyFill="1" applyAlignment="1" applyProtection="1">
      <alignment vertical="center"/>
      <protection locked="0" hidden="1"/>
    </xf>
    <xf numFmtId="0" fontId="8" fillId="39" borderId="0" xfId="0" applyFont="1" applyFill="1" applyAlignment="1" applyProtection="1">
      <alignment horizontal="left" vertical="center"/>
      <protection locked="0" hidden="1"/>
    </xf>
    <xf numFmtId="0" fontId="0" fillId="39" borderId="0" xfId="0" applyFill="1" applyProtection="1">
      <protection locked="0" hidden="1"/>
    </xf>
    <xf numFmtId="0" fontId="65" fillId="39" borderId="0" xfId="0" applyFont="1" applyFill="1" applyAlignment="1" applyProtection="1">
      <alignment vertical="center"/>
      <protection locked="0" hidden="1"/>
    </xf>
    <xf numFmtId="0" fontId="295" fillId="39" borderId="0" xfId="0" quotePrefix="1" applyFont="1" applyFill="1" applyAlignment="1" applyProtection="1">
      <alignment vertical="center"/>
      <protection locked="0" hidden="1"/>
    </xf>
    <xf numFmtId="0" fontId="295" fillId="39" borderId="0" xfId="0" applyFont="1" applyFill="1" applyAlignment="1" applyProtection="1">
      <alignment horizontal="center" vertical="center"/>
      <protection locked="0" hidden="1"/>
    </xf>
    <xf numFmtId="0" fontId="0" fillId="39" borderId="0" xfId="0" applyFill="1" applyAlignment="1" applyProtection="1">
      <alignment horizontal="center"/>
      <protection locked="0" hidden="1"/>
    </xf>
    <xf numFmtId="0" fontId="55" fillId="39" borderId="0" xfId="0" applyFont="1" applyFill="1" applyAlignment="1" applyProtection="1">
      <alignment horizontal="right"/>
      <protection locked="0" hidden="1"/>
    </xf>
    <xf numFmtId="0" fontId="47" fillId="39" borderId="0" xfId="0" quotePrefix="1" applyFont="1" applyFill="1" applyAlignment="1" applyProtection="1">
      <alignment horizontal="center" vertical="center"/>
      <protection locked="0" hidden="1"/>
    </xf>
    <xf numFmtId="0" fontId="295" fillId="39" borderId="0" xfId="0" quotePrefix="1" applyFont="1" applyFill="1" applyAlignment="1" applyProtection="1">
      <alignment horizontal="center" vertical="center"/>
      <protection locked="0" hidden="1"/>
    </xf>
    <xf numFmtId="0" fontId="295" fillId="39" borderId="0" xfId="0" quotePrefix="1" applyFont="1" applyFill="1" applyAlignment="1" applyProtection="1">
      <alignment horizontal="left" vertical="center"/>
      <protection hidden="1"/>
    </xf>
    <xf numFmtId="0" fontId="129" fillId="39" borderId="0" xfId="0" applyFont="1" applyFill="1" applyAlignment="1" applyProtection="1">
      <alignment vertical="center"/>
      <protection locked="0" hidden="1"/>
    </xf>
    <xf numFmtId="0" fontId="296" fillId="39" borderId="0" xfId="0" quotePrefix="1" applyFont="1" applyFill="1" applyAlignment="1" applyProtection="1">
      <alignment horizontal="right" vertical="center"/>
      <protection locked="0" hidden="1"/>
    </xf>
    <xf numFmtId="0" fontId="297" fillId="39" borderId="0" xfId="0" quotePrefix="1" applyFont="1" applyFill="1" applyAlignment="1" applyProtection="1">
      <alignment horizontal="left" vertical="center"/>
      <protection locked="0" hidden="1"/>
    </xf>
    <xf numFmtId="0" fontId="295" fillId="39" borderId="0" xfId="0" quotePrefix="1" applyFont="1" applyFill="1" applyAlignment="1" applyProtection="1">
      <alignment horizontal="left" vertical="center"/>
      <protection locked="0" hidden="1"/>
    </xf>
    <xf numFmtId="0" fontId="298" fillId="39" borderId="0" xfId="0" quotePrefix="1" applyFont="1" applyFill="1" applyAlignment="1" applyProtection="1">
      <alignment horizontal="right" vertical="center"/>
      <protection locked="0" hidden="1"/>
    </xf>
    <xf numFmtId="0" fontId="83" fillId="39" borderId="0" xfId="0" quotePrefix="1" applyFont="1" applyFill="1" applyAlignment="1" applyProtection="1">
      <alignment horizontal="left" vertical="center"/>
      <protection locked="0" hidden="1"/>
    </xf>
    <xf numFmtId="164" fontId="302" fillId="40" borderId="30" xfId="0" applyNumberFormat="1" applyFont="1" applyFill="1" applyBorder="1" applyAlignment="1" applyProtection="1">
      <alignment horizontal="center" vertical="center"/>
      <protection locked="0"/>
    </xf>
    <xf numFmtId="0" fontId="304" fillId="37" borderId="0" xfId="0" applyFont="1" applyFill="1" applyAlignment="1" applyProtection="1">
      <alignment horizontal="center" vertical="center"/>
      <protection hidden="1"/>
    </xf>
    <xf numFmtId="0" fontId="307" fillId="18" borderId="0" xfId="0" quotePrefix="1" applyFont="1" applyFill="1" applyAlignment="1" applyProtection="1">
      <alignment horizontal="right" vertical="center"/>
      <protection locked="0" hidden="1"/>
    </xf>
    <xf numFmtId="0" fontId="309" fillId="17" borderId="0" xfId="0" quotePrefix="1" applyFont="1" applyFill="1" applyAlignment="1" applyProtection="1">
      <alignment horizontal="right" vertical="center"/>
      <protection locked="0" hidden="1"/>
    </xf>
    <xf numFmtId="0" fontId="310" fillId="30" borderId="23" xfId="0" quotePrefix="1" applyFont="1" applyFill="1" applyBorder="1" applyAlignment="1" applyProtection="1">
      <alignment horizontal="right"/>
      <protection locked="0" hidden="1"/>
    </xf>
    <xf numFmtId="164" fontId="272" fillId="3" borderId="36" xfId="0" quotePrefix="1" applyNumberFormat="1" applyFont="1" applyFill="1" applyBorder="1" applyAlignment="1" applyProtection="1">
      <alignment horizontal="center" vertical="center"/>
      <protection locked="0" hidden="1"/>
    </xf>
    <xf numFmtId="0" fontId="315" fillId="39" borderId="0" xfId="0" quotePrefix="1" applyFont="1" applyFill="1" applyAlignment="1" applyProtection="1">
      <alignment horizontal="right" vertical="center"/>
      <protection locked="0" hidden="1"/>
    </xf>
    <xf numFmtId="0" fontId="316" fillId="12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57" fillId="3" borderId="0" xfId="0" applyNumberFormat="1" applyFont="1" applyFill="1" applyAlignment="1" applyProtection="1">
      <alignment vertical="center"/>
      <protection locked="0" hidden="1"/>
    </xf>
    <xf numFmtId="164" fontId="322" fillId="3" borderId="0" xfId="0" applyNumberFormat="1" applyFont="1" applyFill="1" applyAlignment="1" applyProtection="1">
      <alignment horizontal="left" vertical="center"/>
      <protection locked="0" hidden="1"/>
    </xf>
    <xf numFmtId="9" fontId="323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24" fillId="0" borderId="0" xfId="0" applyFont="1" applyAlignment="1" applyProtection="1">
      <alignment horizontal="left" vertical="center"/>
      <protection locked="0" hidden="1"/>
    </xf>
    <xf numFmtId="0" fontId="325" fillId="12" borderId="0" xfId="0" quotePrefix="1" applyFont="1" applyFill="1" applyAlignment="1" applyProtection="1">
      <alignment horizontal="left" vertical="center"/>
      <protection locked="0" hidden="1"/>
    </xf>
    <xf numFmtId="0" fontId="323" fillId="3" borderId="0" xfId="1" applyFont="1" applyFill="1" applyAlignment="1" applyProtection="1">
      <alignment vertical="center"/>
      <protection locked="0" hidden="1"/>
    </xf>
    <xf numFmtId="0" fontId="330" fillId="6" borderId="0" xfId="0" quotePrefix="1" applyFont="1" applyFill="1" applyAlignment="1" applyProtection="1">
      <alignment vertical="center"/>
      <protection locked="0" hidden="1"/>
    </xf>
    <xf numFmtId="0" fontId="332" fillId="12" borderId="0" xfId="0" quotePrefix="1" applyFont="1" applyFill="1" applyAlignment="1" applyProtection="1">
      <alignment horizontal="left" vertical="center"/>
      <protection locked="0" hidden="1"/>
    </xf>
    <xf numFmtId="0" fontId="334" fillId="12" borderId="0" xfId="0" applyFont="1" applyFill="1" applyAlignment="1" applyProtection="1">
      <alignment vertical="center"/>
      <protection locked="0" hidden="1"/>
    </xf>
    <xf numFmtId="0" fontId="325" fillId="12" borderId="0" xfId="0" applyFont="1" applyFill="1" applyAlignment="1" applyProtection="1">
      <alignment horizontal="left" vertical="center"/>
      <protection locked="0" hidden="1"/>
    </xf>
    <xf numFmtId="164" fontId="322" fillId="12" borderId="0" xfId="0" applyNumberFormat="1" applyFont="1" applyFill="1" applyAlignment="1" applyProtection="1">
      <alignment horizontal="left" vertical="center"/>
      <protection locked="0" hidden="1"/>
    </xf>
    <xf numFmtId="0" fontId="327" fillId="12" borderId="0" xfId="0" applyFont="1" applyFill="1" applyAlignment="1" applyProtection="1">
      <alignment vertical="center"/>
      <protection locked="0" hidden="1"/>
    </xf>
    <xf numFmtId="0" fontId="327" fillId="12" borderId="0" xfId="0" applyFont="1" applyFill="1" applyAlignment="1" applyProtection="1">
      <alignment horizontal="left" vertical="center"/>
      <protection locked="0" hidden="1"/>
    </xf>
    <xf numFmtId="0" fontId="336" fillId="12" borderId="0" xfId="0" applyFont="1" applyFill="1" applyAlignment="1" applyProtection="1">
      <alignment horizontal="left" vertical="center"/>
      <protection locked="0" hidden="1"/>
    </xf>
    <xf numFmtId="0" fontId="326" fillId="12" borderId="0" xfId="0" applyFont="1" applyFill="1" applyAlignment="1" applyProtection="1">
      <alignment horizontal="center" vertical="center"/>
      <protection locked="0" hidden="1"/>
    </xf>
    <xf numFmtId="0" fontId="325" fillId="12" borderId="0" xfId="0" quotePrefix="1" applyFont="1" applyFill="1" applyAlignment="1" applyProtection="1">
      <alignment horizontal="center" vertical="center"/>
      <protection locked="0" hidden="1"/>
    </xf>
    <xf numFmtId="0" fontId="330" fillId="5" borderId="0" xfId="0" quotePrefix="1" applyFont="1" applyFill="1" applyAlignment="1" applyProtection="1">
      <alignment vertical="center"/>
      <protection locked="0"/>
    </xf>
    <xf numFmtId="0" fontId="209" fillId="6" borderId="6" xfId="0" quotePrefix="1" applyFont="1" applyFill="1" applyBorder="1" applyAlignment="1" applyProtection="1">
      <alignment vertical="center"/>
      <protection locked="0" hidden="1"/>
    </xf>
    <xf numFmtId="0" fontId="324" fillId="6" borderId="6" xfId="0" quotePrefix="1" applyFont="1" applyFill="1" applyBorder="1" applyAlignment="1" applyProtection="1">
      <alignment vertical="center"/>
      <protection locked="0" hidden="1"/>
    </xf>
    <xf numFmtId="0" fontId="325" fillId="6" borderId="6" xfId="0" quotePrefix="1" applyFont="1" applyFill="1" applyBorder="1" applyAlignment="1" applyProtection="1">
      <alignment horizontal="right" vertical="center"/>
      <protection locked="0" hidden="1"/>
    </xf>
    <xf numFmtId="0" fontId="344" fillId="15" borderId="0" xfId="0" applyFont="1" applyFill="1" applyAlignment="1" applyProtection="1">
      <alignment horizontal="right" vertical="center"/>
      <protection locked="0" hidden="1"/>
    </xf>
    <xf numFmtId="164" fontId="343" fillId="15" borderId="0" xfId="0" applyNumberFormat="1" applyFont="1" applyFill="1" applyAlignment="1" applyProtection="1">
      <alignment horizontal="left" vertical="center"/>
      <protection locked="0" hidden="1"/>
    </xf>
    <xf numFmtId="4" fontId="344" fillId="15" borderId="0" xfId="0" quotePrefix="1" applyNumberFormat="1" applyFont="1" applyFill="1" applyAlignment="1" applyProtection="1">
      <alignment horizontal="left" vertical="center"/>
      <protection locked="0" hidden="1"/>
    </xf>
    <xf numFmtId="164" fontId="322" fillId="12" borderId="0" xfId="0" quotePrefix="1" applyNumberFormat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top" wrapText="1"/>
      <protection locked="0" hidden="1"/>
    </xf>
    <xf numFmtId="0" fontId="350" fillId="0" borderId="0" xfId="0" applyFont="1" applyAlignment="1" applyProtection="1">
      <alignment vertical="center"/>
      <protection locked="0" hidden="1"/>
    </xf>
    <xf numFmtId="0" fontId="351" fillId="0" borderId="0" xfId="0" applyFont="1" applyAlignment="1" applyProtection="1">
      <alignment vertical="center"/>
      <protection locked="0" hidden="1"/>
    </xf>
    <xf numFmtId="0" fontId="351" fillId="3" borderId="0" xfId="0" applyFont="1" applyFill="1" applyAlignment="1" applyProtection="1">
      <alignment vertical="center"/>
      <protection locked="0" hidden="1"/>
    </xf>
    <xf numFmtId="0" fontId="349" fillId="0" borderId="0" xfId="0" applyFont="1" applyAlignment="1" applyProtection="1">
      <alignment vertical="top" wrapText="1"/>
      <protection locked="0" hidden="1"/>
    </xf>
    <xf numFmtId="0" fontId="348" fillId="0" borderId="0" xfId="0" applyFont="1" applyAlignment="1" applyProtection="1">
      <alignment vertical="center"/>
      <protection locked="0" hidden="1"/>
    </xf>
    <xf numFmtId="0" fontId="348" fillId="3" borderId="0" xfId="0" applyFont="1" applyFill="1" applyAlignment="1" applyProtection="1">
      <alignment vertical="center"/>
      <protection locked="0" hidden="1"/>
    </xf>
    <xf numFmtId="0" fontId="348" fillId="3" borderId="0" xfId="1" quotePrefix="1" applyFont="1" applyFill="1" applyAlignment="1" applyProtection="1">
      <alignment vertical="top"/>
      <protection locked="0" hidden="1"/>
    </xf>
    <xf numFmtId="0" fontId="166" fillId="39" borderId="0" xfId="0" quotePrefix="1" applyFont="1" applyFill="1" applyAlignment="1" applyProtection="1">
      <alignment horizontal="left" vertical="center"/>
      <protection locked="0" hidden="1"/>
    </xf>
    <xf numFmtId="0" fontId="325" fillId="3" borderId="0" xfId="0" applyFont="1" applyFill="1" applyAlignment="1" applyProtection="1">
      <alignment vertical="center"/>
      <protection locked="0" hidden="1"/>
    </xf>
    <xf numFmtId="0" fontId="117" fillId="42" borderId="40" xfId="0" applyFont="1" applyFill="1" applyBorder="1" applyAlignment="1" applyProtection="1">
      <alignment horizontal="right" vertical="center"/>
      <protection locked="0" hidden="1"/>
    </xf>
    <xf numFmtId="0" fontId="45" fillId="13" borderId="42" xfId="0" applyFont="1" applyFill="1" applyBorder="1" applyAlignment="1" applyProtection="1">
      <alignment vertical="center"/>
      <protection locked="0" hidden="1"/>
    </xf>
    <xf numFmtId="0" fontId="318" fillId="13" borderId="41" xfId="0" applyFont="1" applyFill="1" applyBorder="1" applyAlignment="1" applyProtection="1">
      <alignment horizontal="left" vertical="center"/>
      <protection locked="0" hidden="1"/>
    </xf>
    <xf numFmtId="0" fontId="357" fillId="39" borderId="0" xfId="0" applyFont="1" applyFill="1" applyAlignment="1" applyProtection="1">
      <alignment horizontal="right"/>
      <protection locked="0" hidden="1"/>
    </xf>
    <xf numFmtId="0" fontId="356" fillId="39" borderId="0" xfId="0" quotePrefix="1" applyFont="1" applyFill="1" applyAlignment="1" applyProtection="1">
      <alignment horizontal="right" vertical="center"/>
      <protection locked="0" hidden="1"/>
    </xf>
    <xf numFmtId="164" fontId="358" fillId="4" borderId="0" xfId="0" applyNumberFormat="1" applyFont="1" applyFill="1" applyAlignment="1" applyProtection="1">
      <alignment horizontal="left" vertical="center"/>
      <protection locked="0"/>
    </xf>
    <xf numFmtId="0" fontId="140" fillId="35" borderId="30" xfId="2" applyFont="1" applyFill="1" applyBorder="1" applyAlignment="1" applyProtection="1">
      <alignment horizontal="left" vertical="center"/>
      <protection locked="0"/>
    </xf>
    <xf numFmtId="0" fontId="140" fillId="33" borderId="29" xfId="2" applyFont="1" applyFill="1" applyBorder="1" applyAlignment="1" applyProtection="1">
      <alignment horizontal="left" vertical="center"/>
      <protection locked="0"/>
    </xf>
    <xf numFmtId="164" fontId="360" fillId="15" borderId="0" xfId="0" applyNumberFormat="1" applyFont="1" applyFill="1" applyAlignment="1" applyProtection="1">
      <alignment horizontal="right" vertical="center"/>
      <protection locked="0" hidden="1"/>
    </xf>
    <xf numFmtId="164" fontId="361" fillId="15" borderId="0" xfId="0" quotePrefix="1" applyNumberFormat="1" applyFont="1" applyFill="1" applyAlignment="1" applyProtection="1">
      <alignment horizontal="left"/>
      <protection locked="0" hidden="1"/>
    </xf>
    <xf numFmtId="0" fontId="363" fillId="12" borderId="0" xfId="0" quotePrefix="1" applyFont="1" applyFill="1" applyAlignment="1" applyProtection="1">
      <alignment horizontal="left" vertical="center"/>
      <protection locked="0" hidden="1"/>
    </xf>
    <xf numFmtId="0" fontId="97" fillId="10" borderId="0" xfId="0" applyFont="1" applyFill="1" applyAlignment="1" applyProtection="1">
      <alignment horizontal="right"/>
      <protection locked="0" hidden="1"/>
    </xf>
    <xf numFmtId="0" fontId="103" fillId="4" borderId="0" xfId="0" applyFont="1" applyFill="1" applyAlignment="1" applyProtection="1">
      <alignment horizontal="center" vertical="center"/>
      <protection locked="0" hidden="1"/>
    </xf>
    <xf numFmtId="0" fontId="162" fillId="43" borderId="45" xfId="0" quotePrefix="1" applyFont="1" applyFill="1" applyBorder="1" applyAlignment="1" applyProtection="1">
      <alignment horizontal="right"/>
      <protection locked="0" hidden="1"/>
    </xf>
    <xf numFmtId="0" fontId="163" fillId="43" borderId="0" xfId="0" applyFont="1" applyFill="1" applyAlignment="1" applyProtection="1">
      <alignment horizontal="left" vertical="center"/>
      <protection locked="0" hidden="1"/>
    </xf>
    <xf numFmtId="0" fontId="0" fillId="43" borderId="0" xfId="0" applyFill="1"/>
    <xf numFmtId="0" fontId="164" fillId="43" borderId="0" xfId="0" applyFont="1" applyFill="1" applyAlignment="1" applyProtection="1">
      <alignment horizontal="left" vertical="center"/>
      <protection locked="0" hidden="1"/>
    </xf>
    <xf numFmtId="0" fontId="0" fillId="43" borderId="46" xfId="0" applyFill="1" applyBorder="1" applyAlignment="1">
      <alignment horizontal="center"/>
    </xf>
    <xf numFmtId="0" fontId="0" fillId="43" borderId="45" xfId="0" applyFill="1" applyBorder="1" applyAlignment="1" applyProtection="1">
      <alignment horizontal="center"/>
      <protection locked="0" hidden="1"/>
    </xf>
    <xf numFmtId="0" fontId="0" fillId="43" borderId="0" xfId="0" applyFill="1" applyAlignment="1" applyProtection="1">
      <alignment vertical="center"/>
      <protection locked="0" hidden="1"/>
    </xf>
    <xf numFmtId="0" fontId="292" fillId="43" borderId="0" xfId="0" quotePrefix="1" applyFont="1" applyFill="1" applyAlignment="1" applyProtection="1">
      <alignment horizontal="right" vertical="center"/>
      <protection locked="0" hidden="1"/>
    </xf>
    <xf numFmtId="0" fontId="34" fillId="43" borderId="0" xfId="0" quotePrefix="1" applyFont="1" applyFill="1" applyAlignment="1" applyProtection="1">
      <alignment vertical="center"/>
      <protection locked="0" hidden="1"/>
    </xf>
    <xf numFmtId="0" fontId="34" fillId="43" borderId="46" xfId="0" quotePrefix="1" applyFont="1" applyFill="1" applyBorder="1" applyAlignment="1" applyProtection="1">
      <alignment vertical="center"/>
      <protection locked="0" hidden="1"/>
    </xf>
    <xf numFmtId="0" fontId="0" fillId="43" borderId="45" xfId="0" applyFill="1" applyBorder="1" applyAlignment="1" applyProtection="1">
      <alignment vertical="center"/>
      <protection locked="0" hidden="1"/>
    </xf>
    <xf numFmtId="0" fontId="53" fillId="43" borderId="0" xfId="0" applyFont="1" applyFill="1" applyAlignment="1" applyProtection="1">
      <alignment horizontal="left" vertical="center"/>
      <protection locked="0" hidden="1"/>
    </xf>
    <xf numFmtId="9" fontId="313" fillId="26" borderId="0" xfId="0" applyNumberFormat="1" applyFont="1" applyFill="1" applyAlignment="1" applyProtection="1">
      <alignment horizontal="right" vertical="center"/>
      <protection locked="0" hidden="1"/>
    </xf>
    <xf numFmtId="164" fontId="313" fillId="22" borderId="0" xfId="0" applyNumberFormat="1" applyFont="1" applyFill="1" applyAlignment="1" applyProtection="1">
      <alignment horizontal="right" vertical="center"/>
      <protection locked="0" hidden="1"/>
    </xf>
    <xf numFmtId="0" fontId="66" fillId="43" borderId="47" xfId="0" applyFont="1" applyFill="1" applyBorder="1" applyAlignment="1" applyProtection="1">
      <alignment vertical="center"/>
      <protection locked="0" hidden="1"/>
    </xf>
    <xf numFmtId="0" fontId="53" fillId="43" borderId="48" xfId="0" applyFont="1" applyFill="1" applyBorder="1" applyAlignment="1" applyProtection="1">
      <alignment horizontal="left" vertical="center"/>
      <protection locked="0" hidden="1"/>
    </xf>
    <xf numFmtId="0" fontId="313" fillId="22" borderId="48" xfId="0" applyFont="1" applyFill="1" applyBorder="1" applyAlignment="1" applyProtection="1">
      <alignment horizontal="right" vertical="center"/>
      <protection locked="0" hidden="1"/>
    </xf>
    <xf numFmtId="0" fontId="34" fillId="43" borderId="48" xfId="0" quotePrefix="1" applyFont="1" applyFill="1" applyBorder="1" applyAlignment="1" applyProtection="1">
      <alignment vertical="center"/>
      <protection locked="0" hidden="1"/>
    </xf>
    <xf numFmtId="0" fontId="34" fillId="43" borderId="49" xfId="0" quotePrefix="1" applyFont="1" applyFill="1" applyBorder="1" applyAlignment="1" applyProtection="1">
      <alignment vertical="center"/>
      <protection locked="0" hidden="1"/>
    </xf>
    <xf numFmtId="9" fontId="364" fillId="36" borderId="0" xfId="0" quotePrefix="1" applyNumberFormat="1" applyFont="1" applyFill="1" applyAlignment="1" applyProtection="1">
      <alignment horizontal="left" vertical="center"/>
      <protection locked="0"/>
    </xf>
    <xf numFmtId="164" fontId="2" fillId="31" borderId="0" xfId="0" applyNumberFormat="1" applyFont="1" applyFill="1" applyAlignment="1" applyProtection="1">
      <alignment horizontal="left" vertical="center"/>
      <protection locked="0"/>
    </xf>
    <xf numFmtId="0" fontId="365" fillId="31" borderId="0" xfId="2" applyNumberFormat="1" applyFont="1" applyFill="1" applyAlignment="1" applyProtection="1">
      <protection locked="0"/>
    </xf>
    <xf numFmtId="9" fontId="364" fillId="11" borderId="0" xfId="0" quotePrefix="1" applyNumberFormat="1" applyFont="1" applyFill="1" applyAlignment="1" applyProtection="1">
      <alignment horizontal="left" vertical="center"/>
      <protection locked="0"/>
    </xf>
    <xf numFmtId="0" fontId="151" fillId="35" borderId="30" xfId="2" applyFont="1" applyFill="1" applyBorder="1" applyAlignment="1" applyProtection="1">
      <alignment horizontal="left" vertical="center"/>
      <protection locked="0"/>
    </xf>
    <xf numFmtId="0" fontId="151" fillId="33" borderId="29" xfId="2" applyFont="1" applyFill="1" applyBorder="1" applyAlignment="1" applyProtection="1">
      <alignment horizontal="left" vertical="center"/>
      <protection locked="0"/>
    </xf>
    <xf numFmtId="0" fontId="140" fillId="32" borderId="0" xfId="0" applyFont="1" applyFill="1" applyAlignment="1" applyProtection="1">
      <alignment horizontal="right" vertical="center"/>
      <protection locked="0"/>
    </xf>
    <xf numFmtId="0" fontId="152" fillId="34" borderId="0" xfId="0" applyFont="1" applyFill="1" applyAlignment="1" applyProtection="1">
      <alignment horizontal="right" vertical="center"/>
      <protection locked="0"/>
    </xf>
    <xf numFmtId="0" fontId="367" fillId="35" borderId="30" xfId="0" applyFont="1" applyFill="1" applyBorder="1" applyAlignment="1" applyProtection="1">
      <alignment horizontal="right" vertical="center"/>
      <protection locked="0"/>
    </xf>
    <xf numFmtId="0" fontId="369" fillId="32" borderId="0" xfId="0" applyFont="1" applyFill="1" applyAlignment="1" applyProtection="1">
      <alignment horizontal="right" vertical="center"/>
      <protection locked="0"/>
    </xf>
    <xf numFmtId="0" fontId="370" fillId="33" borderId="29" xfId="0" applyFont="1" applyFill="1" applyBorder="1" applyAlignment="1" applyProtection="1">
      <alignment horizontal="right" vertical="center"/>
      <protection locked="0"/>
    </xf>
    <xf numFmtId="0" fontId="368" fillId="34" borderId="0" xfId="0" applyFont="1" applyFill="1" applyAlignment="1" applyProtection="1">
      <alignment horizontal="right" vertical="center"/>
      <protection locked="0"/>
    </xf>
    <xf numFmtId="0" fontId="369" fillId="33" borderId="29" xfId="0" applyFont="1" applyFill="1" applyBorder="1" applyAlignment="1" applyProtection="1">
      <alignment horizontal="right" vertical="center"/>
      <protection locked="0"/>
    </xf>
    <xf numFmtId="0" fontId="368" fillId="35" borderId="30" xfId="0" applyFont="1" applyFill="1" applyBorder="1" applyAlignment="1" applyProtection="1">
      <alignment horizontal="right" vertical="center"/>
      <protection locked="0"/>
    </xf>
    <xf numFmtId="0" fontId="209" fillId="32" borderId="0" xfId="0" applyFont="1" applyFill="1" applyAlignment="1" applyProtection="1">
      <alignment horizontal="left" vertical="center"/>
      <protection locked="0"/>
    </xf>
    <xf numFmtId="0" fontId="209" fillId="34" borderId="0" xfId="0" applyFont="1" applyFill="1" applyAlignment="1" applyProtection="1">
      <alignment horizontal="left" vertical="center"/>
      <protection locked="0"/>
    </xf>
    <xf numFmtId="0" fontId="3" fillId="35" borderId="29" xfId="2" applyFont="1" applyFill="1" applyBorder="1" applyAlignment="1" applyProtection="1">
      <alignment vertical="center" wrapText="1"/>
      <protection locked="0"/>
    </xf>
    <xf numFmtId="9" fontId="248" fillId="32" borderId="0" xfId="0" applyNumberFormat="1" applyFont="1" applyFill="1" applyAlignment="1" applyProtection="1">
      <alignment horizontal="center" vertical="center" wrapText="1"/>
      <protection locked="0"/>
    </xf>
    <xf numFmtId="0" fontId="3" fillId="33" borderId="29" xfId="2" applyFont="1" applyFill="1" applyBorder="1" applyAlignment="1" applyProtection="1">
      <alignment vertical="center" wrapText="1"/>
      <protection locked="0"/>
    </xf>
    <xf numFmtId="0" fontId="254" fillId="34" borderId="0" xfId="0" applyFont="1" applyFill="1" applyAlignment="1" applyProtection="1">
      <alignment horizontal="center" vertical="center" wrapText="1"/>
      <protection locked="0"/>
    </xf>
    <xf numFmtId="0" fontId="359" fillId="30" borderId="0" xfId="2" applyFont="1" applyFill="1" applyAlignment="1" applyProtection="1">
      <alignment horizontal="right" wrapText="1"/>
      <protection locked="0"/>
    </xf>
    <xf numFmtId="0" fontId="0" fillId="0" borderId="0" xfId="0" applyAlignment="1">
      <alignment wrapText="1"/>
    </xf>
    <xf numFmtId="0" fontId="384" fillId="35" borderId="30" xfId="2" applyFont="1" applyFill="1" applyBorder="1" applyAlignment="1" applyProtection="1">
      <alignment horizontal="right" vertical="center"/>
      <protection locked="0"/>
    </xf>
    <xf numFmtId="0" fontId="384" fillId="33" borderId="29" xfId="2" applyFont="1" applyFill="1" applyBorder="1" applyAlignment="1" applyProtection="1">
      <alignment horizontal="right" vertical="center"/>
      <protection locked="0"/>
    </xf>
    <xf numFmtId="0" fontId="140" fillId="25" borderId="0" xfId="0" applyFont="1" applyFill="1" applyAlignment="1" applyProtection="1">
      <alignment horizontal="center" vertical="center"/>
      <protection locked="0" hidden="1"/>
    </xf>
    <xf numFmtId="4" fontId="140" fillId="25" borderId="0" xfId="0" applyNumberFormat="1" applyFont="1" applyFill="1" applyAlignment="1" applyProtection="1">
      <alignment vertical="center"/>
      <protection locked="0" hidden="1"/>
    </xf>
    <xf numFmtId="0" fontId="140" fillId="25" borderId="0" xfId="0" applyFont="1" applyFill="1" applyAlignment="1" applyProtection="1">
      <alignment vertical="center"/>
      <protection locked="0" hidden="1"/>
    </xf>
    <xf numFmtId="0" fontId="160" fillId="25" borderId="0" xfId="0" applyFont="1" applyFill="1" applyAlignment="1" applyProtection="1">
      <alignment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12" fillId="12" borderId="0" xfId="0" applyFont="1" applyFill="1" applyAlignment="1" applyProtection="1">
      <alignment vertical="center"/>
      <protection locked="0" hidden="1"/>
    </xf>
    <xf numFmtId="0" fontId="385" fillId="44" borderId="50" xfId="1" applyFont="1" applyFill="1" applyBorder="1" applyAlignment="1" applyProtection="1">
      <alignment horizontal="center" vertical="center"/>
      <protection hidden="1"/>
    </xf>
    <xf numFmtId="0" fontId="385" fillId="44" borderId="51" xfId="1" applyFont="1" applyFill="1" applyBorder="1" applyAlignment="1" applyProtection="1">
      <alignment horizontal="center" vertical="center"/>
      <protection hidden="1"/>
    </xf>
    <xf numFmtId="0" fontId="385" fillId="44" borderId="52" xfId="1" applyFont="1" applyFill="1" applyBorder="1" applyAlignment="1" applyProtection="1">
      <alignment horizontal="center" vertical="center"/>
      <protection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387" fillId="44" borderId="50" xfId="1" applyFont="1" applyFill="1" applyBorder="1" applyAlignment="1" applyProtection="1">
      <alignment horizontal="center" vertical="center"/>
      <protection hidden="1"/>
    </xf>
    <xf numFmtId="0" fontId="387" fillId="44" borderId="51" xfId="1" applyFont="1" applyFill="1" applyBorder="1" applyAlignment="1" applyProtection="1">
      <alignment horizontal="center" vertical="center"/>
      <protection hidden="1"/>
    </xf>
    <xf numFmtId="0" fontId="387" fillId="44" borderId="52" xfId="1" applyFont="1" applyFill="1" applyBorder="1" applyAlignment="1" applyProtection="1">
      <alignment horizontal="center" vertical="center"/>
      <protection hidden="1"/>
    </xf>
    <xf numFmtId="164" fontId="250" fillId="36" borderId="0" xfId="0" applyNumberFormat="1" applyFont="1" applyFill="1" applyAlignment="1" applyProtection="1">
      <alignment horizontal="left" vertical="center"/>
      <protection locked="0"/>
    </xf>
    <xf numFmtId="164" fontId="136" fillId="11" borderId="0" xfId="0" applyNumberFormat="1" applyFont="1" applyFill="1" applyAlignment="1" applyProtection="1">
      <alignment horizontal="left" vertical="center"/>
      <protection locked="0"/>
    </xf>
    <xf numFmtId="164" fontId="250" fillId="36" borderId="35" xfId="0" applyNumberFormat="1" applyFont="1" applyFill="1" applyBorder="1" applyAlignment="1" applyProtection="1">
      <alignment horizontal="left" vertical="center"/>
      <protection locked="0"/>
    </xf>
    <xf numFmtId="164" fontId="258" fillId="6" borderId="0" xfId="0" applyNumberFormat="1" applyFont="1" applyFill="1" applyAlignment="1" applyProtection="1">
      <alignment horizontal="left" vertical="center"/>
      <protection locked="0"/>
    </xf>
    <xf numFmtId="0" fontId="75" fillId="6" borderId="0" xfId="0" applyFont="1" applyFill="1" applyAlignment="1" applyProtection="1">
      <alignment horizontal="center" vertical="center"/>
      <protection locked="0"/>
    </xf>
    <xf numFmtId="4" fontId="111" fillId="8" borderId="0" xfId="0" applyNumberFormat="1" applyFont="1" applyFill="1" applyAlignment="1" applyProtection="1">
      <alignment horizontal="right" vertical="center"/>
      <protection locked="0"/>
    </xf>
    <xf numFmtId="164" fontId="183" fillId="5" borderId="0" xfId="0" applyNumberFormat="1" applyFont="1" applyFill="1" applyAlignment="1" applyProtection="1">
      <alignment horizontal="center" vertical="center"/>
      <protection locked="0" hidden="1"/>
    </xf>
    <xf numFmtId="0" fontId="274" fillId="9" borderId="0" xfId="0" quotePrefix="1" applyFont="1" applyFill="1" applyAlignment="1" applyProtection="1">
      <alignment horizontal="center" vertical="center" wrapText="1"/>
      <protection locked="0" hidden="1"/>
    </xf>
    <xf numFmtId="0" fontId="161" fillId="20" borderId="27" xfId="0" applyFont="1" applyFill="1" applyBorder="1" applyAlignment="1" applyProtection="1">
      <alignment horizontal="center" vertical="center"/>
      <protection locked="0" hidden="1"/>
    </xf>
    <xf numFmtId="0" fontId="161" fillId="20" borderId="0" xfId="0" applyFont="1" applyFill="1" applyAlignment="1" applyProtection="1">
      <alignment horizontal="center" vertical="center"/>
      <protection locked="0" hidden="1"/>
    </xf>
    <xf numFmtId="0" fontId="261" fillId="21" borderId="27" xfId="0" applyFont="1" applyFill="1" applyBorder="1" applyAlignment="1" applyProtection="1">
      <alignment horizontal="center" vertical="center" wrapText="1"/>
      <protection locked="0" hidden="1"/>
    </xf>
    <xf numFmtId="0" fontId="261" fillId="21" borderId="0" xfId="0" applyFont="1" applyFill="1" applyAlignment="1" applyProtection="1">
      <alignment horizontal="center" vertical="center" wrapText="1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09" fillId="6" borderId="0" xfId="0" quotePrefix="1" applyFont="1" applyFill="1" applyAlignment="1" applyProtection="1">
      <alignment horizontal="left" vertical="center"/>
      <protection locked="0" hidden="1"/>
    </xf>
    <xf numFmtId="0" fontId="209" fillId="6" borderId="5" xfId="0" quotePrefix="1" applyFont="1" applyFill="1" applyBorder="1" applyAlignment="1" applyProtection="1">
      <alignment horizontal="left" vertical="center"/>
      <protection locked="0" hidden="1"/>
    </xf>
    <xf numFmtId="0" fontId="341" fillId="15" borderId="0" xfId="0" quotePrefix="1" applyFont="1" applyFill="1" applyAlignment="1" applyProtection="1">
      <alignment horizontal="left" vertical="center"/>
      <protection locked="0" hidden="1"/>
    </xf>
    <xf numFmtId="0" fontId="183" fillId="5" borderId="0" xfId="0" applyFont="1" applyFill="1" applyAlignment="1" applyProtection="1">
      <alignment horizontal="center" vertical="center"/>
      <protection locked="0" hidden="1"/>
    </xf>
    <xf numFmtId="9" fontId="160" fillId="3" borderId="7" xfId="0" applyNumberFormat="1" applyFont="1" applyFill="1" applyBorder="1" applyAlignment="1" applyProtection="1">
      <alignment horizontal="left" vertical="center"/>
      <protection locked="0" hidden="1"/>
    </xf>
    <xf numFmtId="0" fontId="331" fillId="12" borderId="0" xfId="0" quotePrefix="1" applyFont="1" applyFill="1" applyAlignment="1" applyProtection="1">
      <alignment horizontal="left" vertical="center"/>
      <protection locked="0" hidden="1"/>
    </xf>
    <xf numFmtId="0" fontId="321" fillId="3" borderId="0" xfId="1" applyFont="1" applyFill="1" applyAlignment="1" applyProtection="1">
      <alignment horizontal="center" vertical="center"/>
      <protection locked="0" hidden="1"/>
    </xf>
    <xf numFmtId="0" fontId="262" fillId="12" borderId="11" xfId="0" applyFont="1" applyFill="1" applyBorder="1" applyAlignment="1" applyProtection="1">
      <alignment horizontal="right" vertical="center"/>
      <protection locked="0" hidden="1"/>
    </xf>
    <xf numFmtId="0" fontId="262" fillId="12" borderId="0" xfId="0" applyFont="1" applyFill="1" applyAlignment="1" applyProtection="1">
      <alignment horizontal="right" vertical="center"/>
      <protection locked="0" hidden="1"/>
    </xf>
    <xf numFmtId="0" fontId="79" fillId="12" borderId="0" xfId="1" applyFont="1" applyFill="1" applyAlignment="1" applyProtection="1">
      <alignment vertical="center"/>
      <protection locked="0" hidden="1"/>
    </xf>
    <xf numFmtId="0" fontId="332" fillId="12" borderId="0" xfId="0" quotePrefix="1" applyFont="1" applyFill="1" applyAlignment="1" applyProtection="1">
      <alignment horizontal="left" vertical="center"/>
      <protection locked="0" hidden="1"/>
    </xf>
    <xf numFmtId="9" fontId="215" fillId="12" borderId="0" xfId="0" applyNumberFormat="1" applyFont="1" applyFill="1" applyAlignment="1" applyProtection="1">
      <alignment horizontal="right" vertical="center"/>
      <protection locked="0" hidden="1"/>
    </xf>
    <xf numFmtId="164" fontId="4" fillId="12" borderId="0" xfId="0" applyNumberFormat="1" applyFont="1" applyFill="1" applyAlignment="1" applyProtection="1">
      <alignment horizontal="right" vertical="center"/>
      <protection locked="0" hidden="1"/>
    </xf>
    <xf numFmtId="0" fontId="77" fillId="12" borderId="0" xfId="1" applyFont="1" applyFill="1" applyAlignment="1" applyProtection="1">
      <alignment horizontal="left" vertical="center"/>
      <protection locked="0" hidden="1"/>
    </xf>
    <xf numFmtId="0" fontId="318" fillId="18" borderId="11" xfId="0" applyFont="1" applyFill="1" applyBorder="1" applyAlignment="1" applyProtection="1">
      <alignment horizontal="center" vertical="center"/>
      <protection locked="0" hidden="1"/>
    </xf>
    <xf numFmtId="0" fontId="318" fillId="18" borderId="0" xfId="0" applyFont="1" applyFill="1" applyAlignment="1" applyProtection="1">
      <alignment horizontal="center" vertical="center"/>
      <protection locked="0" hidden="1"/>
    </xf>
    <xf numFmtId="0" fontId="318" fillId="18" borderId="12" xfId="0" applyFont="1" applyFill="1" applyBorder="1" applyAlignment="1" applyProtection="1">
      <alignment horizontal="center" vertical="center"/>
      <protection locked="0" hidden="1"/>
    </xf>
    <xf numFmtId="0" fontId="152" fillId="12" borderId="0" xfId="0" quotePrefix="1" applyFont="1" applyFill="1" applyAlignment="1" applyProtection="1">
      <alignment horizontal="right" vertical="center"/>
      <protection locked="0" hidden="1"/>
    </xf>
    <xf numFmtId="0" fontId="19" fillId="18" borderId="13" xfId="1" applyFont="1" applyFill="1" applyBorder="1" applyAlignment="1" applyProtection="1">
      <alignment horizontal="center" vertical="center"/>
      <protection locked="0" hidden="1"/>
    </xf>
    <xf numFmtId="0" fontId="19" fillId="18" borderId="14" xfId="1" applyFont="1" applyFill="1" applyBorder="1" applyAlignment="1" applyProtection="1">
      <alignment vertical="center"/>
      <protection locked="0" hidden="1"/>
    </xf>
    <xf numFmtId="0" fontId="19" fillId="18" borderId="15" xfId="1" applyFont="1" applyFill="1" applyBorder="1" applyAlignment="1" applyProtection="1">
      <alignment horizontal="center" vertical="center"/>
      <protection locked="0" hidden="1"/>
    </xf>
    <xf numFmtId="164" fontId="341" fillId="5" borderId="0" xfId="0" applyNumberFormat="1" applyFont="1" applyFill="1" applyAlignment="1" applyProtection="1">
      <alignment horizontal="center"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9" fontId="183" fillId="15" borderId="0" xfId="0" quotePrefix="1" applyNumberFormat="1" applyFont="1" applyFill="1" applyAlignment="1" applyProtection="1">
      <alignment horizontal="right" vertical="center"/>
      <protection locked="0" hidden="1"/>
    </xf>
    <xf numFmtId="0" fontId="86" fillId="15" borderId="0" xfId="0" quotePrefix="1" applyFont="1" applyFill="1" applyAlignment="1" applyProtection="1">
      <alignment horizontal="right" vertical="center"/>
      <protection locked="0" hidden="1"/>
    </xf>
    <xf numFmtId="0" fontId="86" fillId="15" borderId="3" xfId="0" quotePrefix="1" applyFont="1" applyFill="1" applyBorder="1" applyAlignment="1" applyProtection="1">
      <alignment horizontal="right" vertical="center"/>
      <protection locked="0" hidden="1"/>
    </xf>
    <xf numFmtId="0" fontId="86" fillId="15" borderId="0" xfId="0" applyFont="1" applyFill="1" applyAlignment="1" applyProtection="1">
      <alignment horizontal="right" vertical="center"/>
      <protection locked="0" hidden="1"/>
    </xf>
    <xf numFmtId="0" fontId="86" fillId="15" borderId="3" xfId="0" applyFont="1" applyFill="1" applyBorder="1" applyAlignment="1" applyProtection="1">
      <alignment horizontal="right" vertical="center"/>
      <protection locked="0" hidden="1"/>
    </xf>
    <xf numFmtId="0" fontId="154" fillId="0" borderId="0" xfId="1" quotePrefix="1" applyFont="1" applyFill="1" applyAlignment="1" applyProtection="1">
      <alignment horizontal="center"/>
      <protection locked="0"/>
    </xf>
    <xf numFmtId="0" fontId="182" fillId="15" borderId="2" xfId="0" quotePrefix="1" applyFont="1" applyFill="1" applyBorder="1" applyAlignment="1" applyProtection="1">
      <alignment horizontal="right" vertical="center"/>
      <protection locked="0" hidden="1"/>
    </xf>
    <xf numFmtId="0" fontId="274" fillId="9" borderId="0" xfId="0" applyFont="1" applyFill="1" applyAlignment="1" applyProtection="1">
      <alignment horizontal="center" vertical="center" wrapText="1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362" fillId="12" borderId="0" xfId="0" quotePrefix="1" applyFont="1" applyFill="1" applyAlignment="1" applyProtection="1">
      <alignment horizontal="right" vertical="center"/>
      <protection locked="0" hidden="1"/>
    </xf>
    <xf numFmtId="0" fontId="362" fillId="12" borderId="0" xfId="0" quotePrefix="1" applyFont="1" applyFill="1" applyAlignment="1" applyProtection="1">
      <alignment vertical="center"/>
      <protection locked="0" hidden="1"/>
    </xf>
    <xf numFmtId="164" fontId="216" fillId="3" borderId="0" xfId="0" applyNumberFormat="1" applyFont="1" applyFill="1" applyAlignment="1" applyProtection="1">
      <alignment horizontal="left" vertical="center"/>
      <protection locked="0" hidden="1"/>
    </xf>
    <xf numFmtId="0" fontId="200" fillId="12" borderId="0" xfId="0" applyFont="1" applyFill="1" applyAlignment="1" applyProtection="1">
      <alignment horizontal="right" vertical="center"/>
      <protection locked="0" hidden="1"/>
    </xf>
    <xf numFmtId="0" fontId="19" fillId="18" borderId="8" xfId="0" applyFont="1" applyFill="1" applyBorder="1" applyAlignment="1" applyProtection="1">
      <alignment horizontal="center" vertical="center"/>
      <protection locked="0" hidden="1"/>
    </xf>
    <xf numFmtId="0" fontId="19" fillId="18" borderId="9" xfId="0" applyFont="1" applyFill="1" applyBorder="1" applyAlignment="1" applyProtection="1">
      <alignment horizontal="center" vertical="center"/>
      <protection locked="0" hidden="1"/>
    </xf>
    <xf numFmtId="0" fontId="19" fillId="18" borderId="10" xfId="0" applyFont="1" applyFill="1" applyBorder="1" applyAlignment="1" applyProtection="1">
      <alignment horizontal="center" vertical="center"/>
      <protection locked="0" hidden="1"/>
    </xf>
    <xf numFmtId="0" fontId="329" fillId="39" borderId="0" xfId="0" applyFont="1" applyFill="1" applyAlignment="1" applyProtection="1">
      <alignment horizontal="center" vertical="center"/>
      <protection locked="0" hidden="1"/>
    </xf>
    <xf numFmtId="164" fontId="201" fillId="3" borderId="0" xfId="0" applyNumberFormat="1" applyFont="1" applyFill="1" applyAlignment="1" applyProtection="1">
      <alignment horizontal="left" vertical="center"/>
      <protection locked="0" hidden="1"/>
    </xf>
    <xf numFmtId="164" fontId="232" fillId="3" borderId="6" xfId="0" applyNumberFormat="1" applyFont="1" applyFill="1" applyBorder="1" applyAlignment="1" applyProtection="1">
      <alignment horizontal="left" vertical="center"/>
      <protection locked="0"/>
    </xf>
    <xf numFmtId="164" fontId="232" fillId="3" borderId="4" xfId="0" applyNumberFormat="1" applyFont="1" applyFill="1" applyBorder="1" applyAlignment="1" applyProtection="1">
      <alignment horizontal="left" vertical="center"/>
      <protection locked="0"/>
    </xf>
    <xf numFmtId="0" fontId="279" fillId="15" borderId="0" xfId="0" quotePrefix="1" applyFont="1" applyFill="1" applyAlignment="1" applyProtection="1">
      <alignment horizontal="right" vertical="center"/>
      <protection locked="0" hidden="1"/>
    </xf>
    <xf numFmtId="0" fontId="279" fillId="15" borderId="3" xfId="0" quotePrefix="1" applyFont="1" applyFill="1" applyBorder="1" applyAlignment="1" applyProtection="1">
      <alignment horizontal="right"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164" fontId="182" fillId="5" borderId="0" xfId="0" applyNumberFormat="1" applyFont="1" applyFill="1" applyAlignment="1" applyProtection="1">
      <alignment horizontal="center" vertical="center"/>
      <protection locked="0" hidden="1"/>
    </xf>
    <xf numFmtId="0" fontId="330" fillId="5" borderId="0" xfId="0" applyFont="1" applyFill="1" applyAlignment="1" applyProtection="1">
      <alignment horizontal="left" vertical="center"/>
      <protection locked="0" hidden="1"/>
    </xf>
    <xf numFmtId="0" fontId="31" fillId="15" borderId="0" xfId="1" quotePrefix="1" applyFont="1" applyFill="1" applyAlignment="1" applyProtection="1">
      <alignment horizontal="center" vertical="center"/>
      <protection locked="0" hidden="1"/>
    </xf>
    <xf numFmtId="0" fontId="347" fillId="15" borderId="0" xfId="0" quotePrefix="1" applyFont="1" applyFill="1" applyAlignment="1" applyProtection="1">
      <alignment horizontal="center" vertical="center"/>
      <protection locked="0" hidden="1"/>
    </xf>
    <xf numFmtId="164" fontId="243" fillId="5" borderId="0" xfId="0" applyNumberFormat="1" applyFont="1" applyFill="1" applyAlignment="1" applyProtection="1">
      <alignment horizontal="center" vertical="center"/>
      <protection locked="0" hidden="1"/>
    </xf>
    <xf numFmtId="0" fontId="215" fillId="6" borderId="0" xfId="0" quotePrefix="1" applyFont="1" applyFill="1" applyAlignment="1" applyProtection="1">
      <alignment horizontal="left" vertical="center"/>
      <protection locked="0" hidden="1"/>
    </xf>
    <xf numFmtId="0" fontId="215" fillId="6" borderId="5" xfId="0" quotePrefix="1" applyFont="1" applyFill="1" applyBorder="1" applyAlignment="1" applyProtection="1">
      <alignment horizontal="left" vertical="center"/>
      <protection locked="0" hidden="1"/>
    </xf>
    <xf numFmtId="0" fontId="183" fillId="15" borderId="0" xfId="0" quotePrefix="1" applyFont="1" applyFill="1" applyAlignment="1" applyProtection="1">
      <alignment horizontal="right" vertical="center"/>
      <protection locked="0" hidden="1"/>
    </xf>
    <xf numFmtId="0" fontId="209" fillId="6" borderId="0" xfId="0" quotePrefix="1" applyFont="1" applyFill="1" applyAlignment="1" applyProtection="1">
      <alignment horizontal="right" vertical="center"/>
      <protection locked="0" hidden="1"/>
    </xf>
    <xf numFmtId="0" fontId="183" fillId="6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183" fillId="15" borderId="3" xfId="0" quotePrefix="1" applyFont="1" applyFill="1" applyBorder="1" applyAlignment="1" applyProtection="1">
      <alignment horizontal="right" vertical="center"/>
      <protection locked="0" hidden="1"/>
    </xf>
    <xf numFmtId="0" fontId="278" fillId="15" borderId="0" xfId="0" applyFont="1" applyFill="1" applyAlignment="1" applyProtection="1">
      <alignment horizontal="center" vertical="center"/>
      <protection locked="0" hidden="1"/>
    </xf>
    <xf numFmtId="164" fontId="245" fillId="12" borderId="0" xfId="0" applyNumberFormat="1" applyFont="1" applyFill="1" applyAlignment="1" applyProtection="1">
      <alignment horizontal="left" vertical="center"/>
      <protection locked="0" hidden="1"/>
    </xf>
    <xf numFmtId="164" fontId="246" fillId="12" borderId="0" xfId="0" applyNumberFormat="1" applyFont="1" applyFill="1" applyAlignment="1" applyProtection="1">
      <alignment horizontal="left" vertical="center"/>
      <protection locked="0" hidden="1"/>
    </xf>
    <xf numFmtId="164" fontId="245" fillId="12" borderId="34" xfId="0" applyNumberFormat="1" applyFont="1" applyFill="1" applyBorder="1" applyAlignment="1" applyProtection="1">
      <alignment horizontal="left" vertical="center"/>
      <protection locked="0" hidden="1"/>
    </xf>
    <xf numFmtId="0" fontId="85" fillId="6" borderId="0" xfId="0" applyFont="1" applyFill="1" applyAlignment="1" applyProtection="1">
      <alignment horizontal="center" vertical="center"/>
      <protection locked="0" hidden="1"/>
    </xf>
    <xf numFmtId="0" fontId="161" fillId="20" borderId="27" xfId="0" applyFont="1" applyFill="1" applyBorder="1" applyAlignment="1" applyProtection="1">
      <alignment horizontal="center" vertical="center" wrapText="1"/>
      <protection locked="0" hidden="1"/>
    </xf>
    <xf numFmtId="0" fontId="161" fillId="20" borderId="0" xfId="0" applyFont="1" applyFill="1" applyAlignment="1" applyProtection="1">
      <alignment horizontal="center" vertical="center" wrapText="1"/>
      <protection locked="0" hidden="1"/>
    </xf>
    <xf numFmtId="0" fontId="5" fillId="12" borderId="0" xfId="1" applyFill="1" applyAlignment="1" applyProtection="1">
      <alignment horizontal="left" vertical="center"/>
      <protection locked="0" hidden="1"/>
    </xf>
    <xf numFmtId="0" fontId="5" fillId="12" borderId="0" xfId="1" applyFill="1" applyAlignment="1" applyProtection="1">
      <alignment horizontal="right" vertical="center"/>
      <protection locked="0" hidden="1"/>
    </xf>
    <xf numFmtId="0" fontId="3" fillId="12" borderId="0" xfId="0" quotePrefix="1" applyFont="1" applyFill="1" applyAlignment="1" applyProtection="1">
      <alignment horizontal="left" vertical="center"/>
      <protection locked="0"/>
    </xf>
    <xf numFmtId="0" fontId="3" fillId="12" borderId="0" xfId="0" applyFont="1" applyFill="1" applyAlignment="1" applyProtection="1">
      <alignment horizontal="right" vertical="center"/>
      <protection locked="0"/>
    </xf>
    <xf numFmtId="0" fontId="285" fillId="16" borderId="0" xfId="0" applyFont="1" applyFill="1" applyAlignment="1" applyProtection="1">
      <alignment vertical="center" wrapText="1"/>
      <protection locked="0"/>
    </xf>
    <xf numFmtId="0" fontId="190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2" borderId="0" xfId="0" applyFont="1" applyFill="1" applyAlignment="1" applyProtection="1">
      <alignment horizontal="center" vertical="center"/>
      <protection locked="0" hidden="1"/>
    </xf>
    <xf numFmtId="0" fontId="8" fillId="12" borderId="0" xfId="0" applyFont="1" applyFill="1" applyAlignment="1" applyProtection="1">
      <alignment horizontal="center" vertical="center"/>
      <protection locked="0" hidden="1"/>
    </xf>
    <xf numFmtId="0" fontId="169" fillId="45" borderId="53" xfId="1" applyFont="1" applyFill="1" applyBorder="1" applyAlignment="1" applyProtection="1">
      <alignment horizontal="center" vertical="center"/>
      <protection hidden="1"/>
    </xf>
    <xf numFmtId="0" fontId="169" fillId="45" borderId="54" xfId="1" applyFont="1" applyFill="1" applyBorder="1" applyAlignment="1" applyProtection="1">
      <alignment horizontal="center" vertical="center"/>
      <protection hidden="1"/>
    </xf>
    <xf numFmtId="0" fontId="169" fillId="45" borderId="55" xfId="1" applyFont="1" applyFill="1" applyBorder="1" applyAlignment="1" applyProtection="1">
      <alignment horizontal="center" vertical="center"/>
      <protection hidden="1"/>
    </xf>
    <xf numFmtId="0" fontId="292" fillId="43" borderId="0" xfId="0" quotePrefix="1" applyFont="1" applyFill="1" applyAlignment="1" applyProtection="1">
      <alignment horizontal="left" vertical="center"/>
      <protection locked="0" hidden="1"/>
    </xf>
    <xf numFmtId="0" fontId="293" fillId="43" borderId="0" xfId="0" applyFont="1" applyFill="1" applyAlignment="1" applyProtection="1">
      <alignment horizontal="left" vertical="center"/>
      <protection locked="0" hidden="1"/>
    </xf>
    <xf numFmtId="0" fontId="293" fillId="43" borderId="48" xfId="0" applyFont="1" applyFill="1" applyBorder="1" applyAlignment="1" applyProtection="1">
      <alignment horizontal="left" vertical="center"/>
      <protection locked="0" hidden="1"/>
    </xf>
    <xf numFmtId="4" fontId="111" fillId="8" borderId="0" xfId="0" applyNumberFormat="1" applyFont="1" applyFill="1" applyAlignment="1" applyProtection="1">
      <alignment horizontal="right" vertical="center"/>
      <protection locked="0" hidden="1"/>
    </xf>
    <xf numFmtId="0" fontId="235" fillId="41" borderId="22" xfId="0" applyFont="1" applyFill="1" applyBorder="1" applyAlignment="1" applyProtection="1">
      <alignment horizontal="center" vertical="center" wrapText="1"/>
      <protection locked="0" hidden="1"/>
    </xf>
    <xf numFmtId="0" fontId="156" fillId="6" borderId="0" xfId="0" applyFont="1" applyFill="1" applyAlignment="1" applyProtection="1">
      <alignment horizontal="center" vertical="center"/>
      <protection locked="0" hidden="1"/>
    </xf>
    <xf numFmtId="0" fontId="286" fillId="4" borderId="0" xfId="0" quotePrefix="1" applyFont="1" applyFill="1" applyAlignment="1" applyProtection="1">
      <alignment horizontal="left"/>
      <protection locked="0" hidden="1"/>
    </xf>
    <xf numFmtId="0" fontId="90" fillId="4" borderId="0" xfId="0" quotePrefix="1" applyFont="1" applyFill="1" applyAlignment="1" applyProtection="1">
      <alignment horizontal="left"/>
      <protection locked="0" hidden="1"/>
    </xf>
    <xf numFmtId="0" fontId="171" fillId="6" borderId="0" xfId="0" applyFont="1" applyFill="1" applyAlignment="1" applyProtection="1">
      <alignment horizontal="center" vertical="top"/>
      <protection locked="0" hidden="1"/>
    </xf>
    <xf numFmtId="164" fontId="185" fillId="4" borderId="25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85" fillId="4" borderId="24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85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85" fillId="4" borderId="31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85" fillId="4" borderId="32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85" fillId="4" borderId="33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308" fillId="18" borderId="0" xfId="0" quotePrefix="1" applyFont="1" applyFill="1" applyAlignment="1" applyProtection="1">
      <alignment horizontal="left" vertical="center"/>
      <protection locked="0" hidden="1"/>
    </xf>
    <xf numFmtId="0" fontId="174" fillId="29" borderId="0" xfId="1" applyFont="1" applyFill="1" applyBorder="1" applyAlignment="1" applyProtection="1">
      <alignment horizontal="center"/>
      <protection locked="0" hidden="1"/>
    </xf>
    <xf numFmtId="0" fontId="295" fillId="39" borderId="43" xfId="0" quotePrefix="1" applyFont="1" applyFill="1" applyBorder="1" applyAlignment="1" applyProtection="1">
      <alignment horizontal="center" vertical="center"/>
      <protection locked="0" hidden="1"/>
    </xf>
    <xf numFmtId="0" fontId="295" fillId="39" borderId="0" xfId="0" quotePrefix="1" applyFont="1" applyFill="1" applyAlignment="1" applyProtection="1">
      <alignment horizontal="center" vertical="center"/>
      <protection locked="0" hidden="1"/>
    </xf>
    <xf numFmtId="0" fontId="114" fillId="17" borderId="0" xfId="0" quotePrefix="1" applyFont="1" applyFill="1" applyAlignment="1" applyProtection="1">
      <alignment horizontal="center" vertical="center"/>
      <protection locked="0" hidden="1"/>
    </xf>
    <xf numFmtId="0" fontId="97" fillId="10" borderId="0" xfId="0" applyFont="1" applyFill="1" applyAlignment="1" applyProtection="1">
      <alignment horizontal="left" vertical="center"/>
      <protection locked="0" hidden="1"/>
    </xf>
    <xf numFmtId="0" fontId="97" fillId="10" borderId="44" xfId="0" applyFont="1" applyFill="1" applyBorder="1" applyAlignment="1" applyProtection="1">
      <alignment horizontal="left" vertical="center"/>
      <protection locked="0" hidden="1"/>
    </xf>
    <xf numFmtId="0" fontId="171" fillId="15" borderId="0" xfId="0" applyFont="1" applyFill="1" applyAlignment="1" applyProtection="1">
      <alignment horizontal="left" vertical="center"/>
      <protection locked="0" hidden="1"/>
    </xf>
    <xf numFmtId="0" fontId="102" fillId="19" borderId="16" xfId="1" quotePrefix="1" applyFont="1" applyFill="1" applyBorder="1" applyAlignment="1" applyProtection="1">
      <protection locked="0" hidden="1"/>
    </xf>
    <xf numFmtId="0" fontId="102" fillId="19" borderId="17" xfId="1" quotePrefix="1" applyFont="1" applyFill="1" applyBorder="1" applyAlignment="1" applyProtection="1">
      <protection locked="0" hidden="1"/>
    </xf>
    <xf numFmtId="0" fontId="309" fillId="17" borderId="0" xfId="0" quotePrefix="1" applyFont="1" applyFill="1" applyAlignment="1" applyProtection="1">
      <alignment horizontal="left" vertical="center"/>
      <protection locked="0" hidden="1"/>
    </xf>
    <xf numFmtId="164" fontId="110" fillId="6" borderId="0" xfId="0" applyNumberFormat="1" applyFont="1" applyFill="1" applyAlignment="1" applyProtection="1">
      <alignment horizontal="left" vertical="center"/>
      <protection locked="0"/>
    </xf>
    <xf numFmtId="0" fontId="165" fillId="0" borderId="0" xfId="0" applyFont="1" applyAlignment="1" applyProtection="1">
      <alignment horizontal="left" vertical="center"/>
      <protection locked="0" hidden="1"/>
    </xf>
    <xf numFmtId="0" fontId="294" fillId="38" borderId="37" xfId="0" applyFont="1" applyFill="1" applyBorder="1" applyAlignment="1" applyProtection="1">
      <alignment horizontal="center" vertical="center"/>
      <protection locked="0" hidden="1"/>
    </xf>
    <xf numFmtId="0" fontId="300" fillId="38" borderId="38" xfId="0" applyFont="1" applyFill="1" applyBorder="1" applyAlignment="1" applyProtection="1">
      <alignment horizontal="center" vertical="center"/>
      <protection locked="0" hidden="1"/>
    </xf>
    <xf numFmtId="0" fontId="300" fillId="38" borderId="39" xfId="0" applyFont="1" applyFill="1" applyBorder="1" applyAlignment="1" applyProtection="1">
      <alignment horizontal="center" vertical="center"/>
      <protection locked="0" hidden="1"/>
    </xf>
    <xf numFmtId="0" fontId="314" fillId="39" borderId="0" xfId="0" applyFont="1" applyFill="1" applyAlignment="1" applyProtection="1">
      <alignment horizontal="right" vertical="center"/>
      <protection hidden="1"/>
    </xf>
    <xf numFmtId="0" fontId="312" fillId="23" borderId="0" xfId="0" applyFont="1" applyFill="1" applyAlignment="1" applyProtection="1">
      <alignment horizontal="left" vertical="center"/>
      <protection locked="0" hidden="1"/>
    </xf>
    <xf numFmtId="0" fontId="167" fillId="39" borderId="0" xfId="0" applyFont="1" applyFill="1" applyAlignment="1" applyProtection="1">
      <alignment horizontal="center"/>
      <protection locked="0" hidden="1"/>
    </xf>
    <xf numFmtId="0" fontId="282" fillId="3" borderId="20" xfId="1" quotePrefix="1" applyFont="1" applyFill="1" applyBorder="1" applyAlignment="1" applyProtection="1">
      <alignment horizontal="center" vertical="center"/>
      <protection locked="0" hidden="1"/>
    </xf>
    <xf numFmtId="0" fontId="282" fillId="3" borderId="19" xfId="1" applyFont="1" applyFill="1" applyBorder="1" applyAlignment="1" applyProtection="1">
      <alignment horizontal="center" vertical="center"/>
      <protection locked="0" hidden="1"/>
    </xf>
    <xf numFmtId="0" fontId="317" fillId="12" borderId="0" xfId="1" applyFont="1" applyFill="1" applyBorder="1" applyAlignment="1" applyProtection="1">
      <alignment horizontal="left" vertical="center"/>
      <protection locked="0" hidden="1"/>
    </xf>
    <xf numFmtId="0" fontId="177" fillId="12" borderId="0" xfId="0" applyFont="1" applyFill="1" applyAlignment="1" applyProtection="1">
      <alignment vertical="center"/>
      <protection locked="0" hidden="1"/>
    </xf>
    <xf numFmtId="0" fontId="166" fillId="39" borderId="0" xfId="0" applyFont="1" applyFill="1" applyAlignment="1" applyProtection="1">
      <alignment horizontal="center" vertical="center"/>
      <protection locked="0" hidden="1"/>
    </xf>
    <xf numFmtId="0" fontId="45" fillId="37" borderId="0" xfId="0" applyFont="1" applyFill="1" applyAlignment="1">
      <alignment horizontal="center" vertical="center"/>
    </xf>
    <xf numFmtId="0" fontId="296" fillId="39" borderId="0" xfId="0" applyFont="1" applyFill="1" applyAlignment="1" applyProtection="1">
      <alignment horizontal="right" vertical="center"/>
      <protection locked="0" hidden="1"/>
    </xf>
    <xf numFmtId="164" fontId="312" fillId="23" borderId="0" xfId="0" applyNumberFormat="1" applyFont="1" applyFill="1" applyAlignment="1" applyProtection="1">
      <alignment horizontal="left" vertical="center"/>
      <protection locked="0" hidden="1"/>
    </xf>
    <xf numFmtId="9" fontId="312" fillId="23" borderId="0" xfId="0" applyNumberFormat="1" applyFont="1" applyFill="1" applyAlignment="1" applyProtection="1">
      <alignment horizontal="left" vertical="center"/>
      <protection locked="0"/>
    </xf>
    <xf numFmtId="0" fontId="5" fillId="12" borderId="0" xfId="1" applyFill="1" applyBorder="1" applyAlignment="1" applyProtection="1">
      <alignment horizontal="center" vertical="center"/>
      <protection hidden="1"/>
    </xf>
    <xf numFmtId="0" fontId="5" fillId="12" borderId="28" xfId="1" applyFill="1" applyBorder="1" applyAlignment="1" applyProtection="1">
      <alignment horizontal="center" vertical="center"/>
      <protection hidden="1"/>
    </xf>
    <xf numFmtId="0" fontId="166" fillId="39" borderId="0" xfId="0" quotePrefix="1" applyFont="1" applyFill="1" applyAlignment="1" applyProtection="1">
      <alignment horizontal="center" vertical="center"/>
      <protection locked="0" hidden="1"/>
    </xf>
    <xf numFmtId="0" fontId="267" fillId="27" borderId="0" xfId="0" applyFont="1" applyFill="1" applyAlignment="1" applyProtection="1">
      <alignment horizontal="left" vertical="center"/>
      <protection locked="0"/>
    </xf>
    <xf numFmtId="0" fontId="267" fillId="27" borderId="35" xfId="0" applyFont="1" applyFill="1" applyBorder="1" applyAlignment="1" applyProtection="1">
      <alignment horizontal="left" vertical="center"/>
      <protection locked="0"/>
    </xf>
    <xf numFmtId="164" fontId="136" fillId="11" borderId="35" xfId="0" applyNumberFormat="1" applyFont="1" applyFill="1" applyBorder="1" applyAlignment="1" applyProtection="1">
      <alignment horizontal="left" vertical="center"/>
      <protection locked="0"/>
    </xf>
    <xf numFmtId="0" fontId="386" fillId="45" borderId="53" xfId="1" applyFont="1" applyFill="1" applyBorder="1" applyAlignment="1" applyProtection="1">
      <alignment horizontal="center" vertical="center"/>
      <protection hidden="1"/>
    </xf>
    <xf numFmtId="0" fontId="386" fillId="45" borderId="54" xfId="1" applyFont="1" applyFill="1" applyBorder="1" applyAlignment="1" applyProtection="1">
      <alignment horizontal="center" vertical="center"/>
      <protection hidden="1"/>
    </xf>
    <xf numFmtId="0" fontId="386" fillId="45" borderId="55" xfId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vertical="center"/>
    </xf>
    <xf numFmtId="0" fontId="0" fillId="0" borderId="0" xfId="0"/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14293C"/>
      <color rgb="FF122120"/>
      <color rgb="FFA7F5FF"/>
      <color rgb="FF1C3A39"/>
      <color rgb="FF003344"/>
      <color rgb="FF3B3A3A"/>
      <color rgb="FFFF4BFF"/>
      <color rgb="FFF9559F"/>
      <color rgb="FF1D1B10"/>
      <color rgb="FFF72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in Page'!_t2g_link_hdr_004"/><Relationship Id="rId13" Type="http://schemas.openxmlformats.org/officeDocument/2006/relationships/hyperlink" Target="#'Main Page'!_t2g_link_hdr_009"/><Relationship Id="rId18" Type="http://schemas.openxmlformats.org/officeDocument/2006/relationships/hyperlink" Target="#'Main Page'!_t2g_link_hdr_014"/><Relationship Id="rId26" Type="http://schemas.openxmlformats.org/officeDocument/2006/relationships/hyperlink" Target="#'Main Page'!_t2g_link_hdr_022"/><Relationship Id="rId3" Type="http://schemas.openxmlformats.org/officeDocument/2006/relationships/image" Target="../media/image2.jpeg"/><Relationship Id="rId21" Type="http://schemas.openxmlformats.org/officeDocument/2006/relationships/hyperlink" Target="#'Main Page'!_t2g_link_hdr_017"/><Relationship Id="rId7" Type="http://schemas.openxmlformats.org/officeDocument/2006/relationships/hyperlink" Target="#'Main Page'!_t2g_link_hdr_003"/><Relationship Id="rId12" Type="http://schemas.openxmlformats.org/officeDocument/2006/relationships/hyperlink" Target="#'Main Page'!_t2g_link_hdr_008"/><Relationship Id="rId17" Type="http://schemas.openxmlformats.org/officeDocument/2006/relationships/hyperlink" Target="#'Main Page'!_t2g_link_hdr_013"/><Relationship Id="rId25" Type="http://schemas.openxmlformats.org/officeDocument/2006/relationships/hyperlink" Target="#'Main Page'!_t2g_link_hdr_021"/><Relationship Id="rId2" Type="http://schemas.openxmlformats.org/officeDocument/2006/relationships/hyperlink" Target="#Trees2Go_Price_Details"/><Relationship Id="rId16" Type="http://schemas.openxmlformats.org/officeDocument/2006/relationships/hyperlink" Target="#'Main Page'!_t2g_link_hdr_012"/><Relationship Id="rId20" Type="http://schemas.openxmlformats.org/officeDocument/2006/relationships/hyperlink" Target="#'Main Page'!_t2g_link_hdr_016"/><Relationship Id="rId29" Type="http://schemas.openxmlformats.org/officeDocument/2006/relationships/hyperlink" Target="#'Main Page'!_t2g_link_hdr_025"/><Relationship Id="rId1" Type="http://schemas.openxmlformats.org/officeDocument/2006/relationships/image" Target="../media/image1.png"/><Relationship Id="rId6" Type="http://schemas.openxmlformats.org/officeDocument/2006/relationships/hyperlink" Target="#'Main Page'!_t2g_link_hdr_002"/><Relationship Id="rId11" Type="http://schemas.openxmlformats.org/officeDocument/2006/relationships/hyperlink" Target="#'Main Page'!_t2g_link_hdr_007"/><Relationship Id="rId24" Type="http://schemas.openxmlformats.org/officeDocument/2006/relationships/hyperlink" Target="#'Main Page'!_t2g_link_hdr_020"/><Relationship Id="rId32" Type="http://schemas.openxmlformats.org/officeDocument/2006/relationships/hyperlink" Target="#Edison_Landscaping_Price_Details"/><Relationship Id="rId5" Type="http://schemas.openxmlformats.org/officeDocument/2006/relationships/hyperlink" Target="#'Main Page'!_t2g_link_hdr_001"/><Relationship Id="rId15" Type="http://schemas.openxmlformats.org/officeDocument/2006/relationships/hyperlink" Target="#'Main Page'!_t2g_link_hdr_011"/><Relationship Id="rId23" Type="http://schemas.openxmlformats.org/officeDocument/2006/relationships/hyperlink" Target="#'Main Page'!_t2g_link_hdr_019"/><Relationship Id="rId28" Type="http://schemas.openxmlformats.org/officeDocument/2006/relationships/hyperlink" Target="#'Main Page'!_t2g_link_hdr_024"/><Relationship Id="rId10" Type="http://schemas.openxmlformats.org/officeDocument/2006/relationships/hyperlink" Target="#'Main Page'!_t2g_link_hdr_006"/><Relationship Id="rId19" Type="http://schemas.openxmlformats.org/officeDocument/2006/relationships/hyperlink" Target="#'Main Page'!_t2g_link_hdr_015"/><Relationship Id="rId31" Type="http://schemas.openxmlformats.org/officeDocument/2006/relationships/hyperlink" Target="#Eastern_Triangle_Area"/><Relationship Id="rId4" Type="http://schemas.openxmlformats.org/officeDocument/2006/relationships/image" Target="../media/image3.png"/><Relationship Id="rId9" Type="http://schemas.openxmlformats.org/officeDocument/2006/relationships/hyperlink" Target="#'Main Page'!_t2g_link_hdr_005"/><Relationship Id="rId14" Type="http://schemas.openxmlformats.org/officeDocument/2006/relationships/hyperlink" Target="#'Main Page'!_t2g_link_hdr_010"/><Relationship Id="rId22" Type="http://schemas.openxmlformats.org/officeDocument/2006/relationships/hyperlink" Target="#'Main Page'!_t2g_link_hdr_018"/><Relationship Id="rId27" Type="http://schemas.openxmlformats.org/officeDocument/2006/relationships/hyperlink" Target="#'Main Page'!_t2g_link_hdr_023"/><Relationship Id="rId30" Type="http://schemas.openxmlformats.org/officeDocument/2006/relationships/hyperlink" Target="#QualityGuarantee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418368</xdr:colOff>
      <xdr:row>4285</xdr:row>
      <xdr:rowOff>73270</xdr:rowOff>
    </xdr:from>
    <xdr:to>
      <xdr:col>11</xdr:col>
      <xdr:colOff>205651</xdr:colOff>
      <xdr:row>4288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318" y="9565547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DB06669-FD3A-4329-BDC5-A3AA03E0350C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17B7C13-2A44-4DD4-844F-439CACA8875E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F5B4095-36BB-47BA-8F60-5CA963A2BA7D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38" name="KeepInitialHeigh">
          <a:extLst>
            <a:ext uri="{FF2B5EF4-FFF2-40B4-BE49-F238E27FC236}">
              <a16:creationId xmlns:a16="http://schemas.microsoft.com/office/drawing/2014/main" id="{E8103D5E-0ACE-4ABD-82D5-F368F3626571}"/>
            </a:ext>
          </a:extLst>
        </xdr:cNvPr>
        <xdr:cNvSpPr/>
      </xdr:nvSpPr>
      <xdr:spPr>
        <a:xfrm>
          <a:off x="1004454" y="978477"/>
          <a:ext cx="952500" cy="161926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41" name="KeepPriceDetails" descr="go to Trees2Go Price Details near bottom">
          <a:hlinkClick xmlns:r="http://schemas.openxmlformats.org/officeDocument/2006/relationships" r:id="rId2" tooltip="go to Trees2Go Price Details near bottom of page"/>
          <a:extLst>
            <a:ext uri="{FF2B5EF4-FFF2-40B4-BE49-F238E27FC236}">
              <a16:creationId xmlns:a16="http://schemas.microsoft.com/office/drawing/2014/main" id="{D8863BCA-7321-472D-AF4F-0DE8FCEDD3A1}"/>
            </a:ext>
          </a:extLst>
        </xdr:cNvPr>
        <xdr:cNvSpPr/>
      </xdr:nvSpPr>
      <xdr:spPr>
        <a:xfrm>
          <a:off x="4476749" y="969818"/>
          <a:ext cx="904875" cy="161925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6F3233AD-3F1E-4B6B-8B5C-F89AF023EDA5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142876</xdr:colOff>
      <xdr:row>2</xdr:row>
      <xdr:rowOff>133350</xdr:rowOff>
    </xdr:from>
    <xdr:to>
      <xdr:col>2</xdr:col>
      <xdr:colOff>257175</xdr:colOff>
      <xdr:row>6</xdr:row>
      <xdr:rowOff>38099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49194CD3-50AD-4336-8661-560902B3BAA0}"/>
            </a:ext>
          </a:extLst>
        </xdr:cNvPr>
        <xdr:cNvSpPr/>
      </xdr:nvSpPr>
      <xdr:spPr>
        <a:xfrm>
          <a:off x="142876" y="771525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9FEFCD4D-FF41-49EB-848F-DAC1E07EA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62647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1446440</xdr:colOff>
      <xdr:row>5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KeepGrower">
          <a:extLst>
            <a:ext uri="{FF2B5EF4-FFF2-40B4-BE49-F238E27FC236}">
              <a16:creationId xmlns:a16="http://schemas.microsoft.com/office/drawing/2014/main" id="{4CD55B96-C1A8-4D51-B4FE-AC414332283F}"/>
            </a:ext>
          </a:extLst>
        </xdr:cNvPr>
        <xdr:cNvSpPr/>
      </xdr:nvSpPr>
      <xdr:spPr>
        <a:xfrm>
          <a:off x="2065565" y="1095375"/>
          <a:ext cx="706210" cy="152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6" name="KeepPriceDetails" descr="go to Trees2Go Price Details near bottom">
          <a:hlinkClick xmlns:r="http://schemas.openxmlformats.org/officeDocument/2006/relationships" r:id="rId2" tooltip="go to Trees2Go Price Details near bottom of page"/>
          <a:extLst>
            <a:ext uri="{FF2B5EF4-FFF2-40B4-BE49-F238E27FC236}">
              <a16:creationId xmlns:a16="http://schemas.microsoft.com/office/drawing/2014/main" id="{3A9D7AAC-D62E-441B-965A-94E8F5E9BDAA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319186</xdr:colOff>
      <xdr:row>4231</xdr:row>
      <xdr:rowOff>108259</xdr:rowOff>
    </xdr:from>
    <xdr:to>
      <xdr:col>2</xdr:col>
      <xdr:colOff>1143924</xdr:colOff>
      <xdr:row>4236</xdr:row>
      <xdr:rowOff>123596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DCEC9-655D-4A60-B49E-35E66E99E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38311" y="947845759"/>
          <a:ext cx="824738" cy="824962"/>
        </a:xfrm>
        <a:prstGeom prst="rect">
          <a:avLst/>
        </a:prstGeom>
      </xdr:spPr>
    </xdr:pic>
    <xdr:clientData/>
  </xdr:twoCellAnchor>
  <xdr:twoCellAnchor editAs="oneCell">
    <xdr:from>
      <xdr:col>27</xdr:col>
      <xdr:colOff>151388</xdr:colOff>
      <xdr:row>4229</xdr:row>
      <xdr:rowOff>131634</xdr:rowOff>
    </xdr:from>
    <xdr:to>
      <xdr:col>29</xdr:col>
      <xdr:colOff>274361</xdr:colOff>
      <xdr:row>4234</xdr:row>
      <xdr:rowOff>18714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38E2FF-ED10-4F8D-99CF-101DB744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873F8-E51B-4449-AF2C-FA51EAFA669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A5F4859-561C-4B4F-9BB2-1D8EAEED2F6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62577DA-E54B-43C0-B0D3-BB1CD7A72563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13</xdr:col>
      <xdr:colOff>154868</xdr:colOff>
      <xdr:row>2</xdr:row>
      <xdr:rowOff>67157</xdr:rowOff>
    </xdr:from>
    <xdr:to>
      <xdr:col>13</xdr:col>
      <xdr:colOff>332668</xdr:colOff>
      <xdr:row>3</xdr:row>
      <xdr:rowOff>92557</xdr:rowOff>
    </xdr:to>
    <xdr:sp macro="" textlink="">
      <xdr:nvSpPr>
        <xdr:cNvPr id="46" name="Alpha_I">
          <a:hlinkClick xmlns:r="http://schemas.openxmlformats.org/officeDocument/2006/relationships" r:id="rId5" tooltip="Alpha_I"/>
          <a:extLst>
            <a:ext uri="{FF2B5EF4-FFF2-40B4-BE49-F238E27FC236}">
              <a16:creationId xmlns:a16="http://schemas.microsoft.com/office/drawing/2014/main" id="{4106556F-2076-42C5-8974-4A8CBBBAD20B}"/>
            </a:ext>
          </a:extLst>
        </xdr:cNvPr>
        <xdr:cNvSpPr>
          <a:spLocks noChangeAspect="1"/>
        </xdr:cNvSpPr>
      </xdr:nvSpPr>
      <xdr:spPr>
        <a:xfrm>
          <a:off x="6488993" y="695807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I</a:t>
          </a:r>
        </a:p>
      </xdr:txBody>
    </xdr:sp>
    <xdr:clientData/>
  </xdr:twoCellAnchor>
  <xdr:twoCellAnchor>
    <xdr:from>
      <xdr:col>13</xdr:col>
      <xdr:colOff>416060</xdr:colOff>
      <xdr:row>2</xdr:row>
      <xdr:rowOff>67200</xdr:rowOff>
    </xdr:from>
    <xdr:to>
      <xdr:col>14</xdr:col>
      <xdr:colOff>134436</xdr:colOff>
      <xdr:row>3</xdr:row>
      <xdr:rowOff>92600</xdr:rowOff>
    </xdr:to>
    <xdr:sp macro="" textlink="">
      <xdr:nvSpPr>
        <xdr:cNvPr id="47" name="Alpha_J">
          <a:hlinkClick xmlns:r="http://schemas.openxmlformats.org/officeDocument/2006/relationships" r:id="rId6" tooltip="Alpha_J"/>
          <a:extLst>
            <a:ext uri="{FF2B5EF4-FFF2-40B4-BE49-F238E27FC236}">
              <a16:creationId xmlns:a16="http://schemas.microsoft.com/office/drawing/2014/main" id="{30594EC9-2F5C-40BA-B9C5-7F30470E0F78}"/>
            </a:ext>
          </a:extLst>
        </xdr:cNvPr>
        <xdr:cNvSpPr>
          <a:spLocks noChangeAspect="1"/>
        </xdr:cNvSpPr>
      </xdr:nvSpPr>
      <xdr:spPr>
        <a:xfrm>
          <a:off x="6750185" y="695850"/>
          <a:ext cx="17557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J</a:t>
          </a:r>
        </a:p>
      </xdr:txBody>
    </xdr:sp>
    <xdr:clientData/>
  </xdr:twoCellAnchor>
  <xdr:twoCellAnchor>
    <xdr:from>
      <xdr:col>15</xdr:col>
      <xdr:colOff>149514</xdr:colOff>
      <xdr:row>2</xdr:row>
      <xdr:rowOff>67441</xdr:rowOff>
    </xdr:from>
    <xdr:to>
      <xdr:col>15</xdr:col>
      <xdr:colOff>321921</xdr:colOff>
      <xdr:row>3</xdr:row>
      <xdr:rowOff>92841</xdr:rowOff>
    </xdr:to>
    <xdr:sp macro="" textlink="">
      <xdr:nvSpPr>
        <xdr:cNvPr id="48" name="Alpha_L">
          <a:hlinkClick xmlns:r="http://schemas.openxmlformats.org/officeDocument/2006/relationships" r:id="rId7" tooltip="Alpha_L"/>
          <a:extLst>
            <a:ext uri="{FF2B5EF4-FFF2-40B4-BE49-F238E27FC236}">
              <a16:creationId xmlns:a16="http://schemas.microsoft.com/office/drawing/2014/main" id="{93DCC524-E3F5-408C-9CB7-1C8038AA0C11}"/>
            </a:ext>
          </a:extLst>
        </xdr:cNvPr>
        <xdr:cNvSpPr>
          <a:spLocks noChangeAspect="1"/>
        </xdr:cNvSpPr>
      </xdr:nvSpPr>
      <xdr:spPr>
        <a:xfrm>
          <a:off x="7261209" y="699388"/>
          <a:ext cx="172407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L</a:t>
          </a:r>
        </a:p>
      </xdr:txBody>
    </xdr:sp>
    <xdr:clientData/>
  </xdr:twoCellAnchor>
  <xdr:twoCellAnchor>
    <xdr:from>
      <xdr:col>16</xdr:col>
      <xdr:colOff>88284</xdr:colOff>
      <xdr:row>2</xdr:row>
      <xdr:rowOff>67686</xdr:rowOff>
    </xdr:from>
    <xdr:to>
      <xdr:col>16</xdr:col>
      <xdr:colOff>264028</xdr:colOff>
      <xdr:row>3</xdr:row>
      <xdr:rowOff>93642</xdr:rowOff>
    </xdr:to>
    <xdr:sp macro="" textlink="">
      <xdr:nvSpPr>
        <xdr:cNvPr id="49" name="Alpha_M">
          <a:hlinkClick xmlns:r="http://schemas.openxmlformats.org/officeDocument/2006/relationships" r:id="rId8" tooltip="Alpha_M"/>
          <a:extLst>
            <a:ext uri="{FF2B5EF4-FFF2-40B4-BE49-F238E27FC236}">
              <a16:creationId xmlns:a16="http://schemas.microsoft.com/office/drawing/2014/main" id="{AD398381-C23A-4507-84CD-1DF9C1E5B0B9}"/>
            </a:ext>
          </a:extLst>
        </xdr:cNvPr>
        <xdr:cNvSpPr>
          <a:spLocks noChangeAspect="1"/>
        </xdr:cNvSpPr>
      </xdr:nvSpPr>
      <xdr:spPr>
        <a:xfrm>
          <a:off x="7525111" y="699633"/>
          <a:ext cx="175744" cy="177074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M</a:t>
          </a:r>
        </a:p>
      </xdr:txBody>
    </xdr:sp>
    <xdr:clientData/>
  </xdr:twoCellAnchor>
  <xdr:twoCellAnchor>
    <xdr:from>
      <xdr:col>17</xdr:col>
      <xdr:colOff>18467</xdr:colOff>
      <xdr:row>2</xdr:row>
      <xdr:rowOff>71184</xdr:rowOff>
    </xdr:from>
    <xdr:to>
      <xdr:col>17</xdr:col>
      <xdr:colOff>196267</xdr:colOff>
      <xdr:row>3</xdr:row>
      <xdr:rowOff>96585</xdr:rowOff>
    </xdr:to>
    <xdr:sp macro="" textlink="">
      <xdr:nvSpPr>
        <xdr:cNvPr id="50" name="Alpha_N">
          <a:hlinkClick xmlns:r="http://schemas.openxmlformats.org/officeDocument/2006/relationships" r:id="rId9" tooltip="Alpha_N"/>
          <a:extLst>
            <a:ext uri="{FF2B5EF4-FFF2-40B4-BE49-F238E27FC236}">
              <a16:creationId xmlns:a16="http://schemas.microsoft.com/office/drawing/2014/main" id="{F9AD42C2-7C79-4C13-AECF-E01E4273D399}"/>
            </a:ext>
          </a:extLst>
        </xdr:cNvPr>
        <xdr:cNvSpPr>
          <a:spLocks noChangeAspect="1"/>
        </xdr:cNvSpPr>
      </xdr:nvSpPr>
      <xdr:spPr>
        <a:xfrm>
          <a:off x="7780426" y="703131"/>
          <a:ext cx="177800" cy="17651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N</a:t>
          </a:r>
        </a:p>
      </xdr:txBody>
    </xdr:sp>
    <xdr:clientData/>
  </xdr:twoCellAnchor>
  <xdr:twoCellAnchor>
    <xdr:from>
      <xdr:col>17</xdr:col>
      <xdr:colOff>274305</xdr:colOff>
      <xdr:row>2</xdr:row>
      <xdr:rowOff>71184</xdr:rowOff>
    </xdr:from>
    <xdr:to>
      <xdr:col>18</xdr:col>
      <xdr:colOff>128641</xdr:colOff>
      <xdr:row>3</xdr:row>
      <xdr:rowOff>96585</xdr:rowOff>
    </xdr:to>
    <xdr:sp macro="" textlink="">
      <xdr:nvSpPr>
        <xdr:cNvPr id="51" name="Alpha_O">
          <a:hlinkClick xmlns:r="http://schemas.openxmlformats.org/officeDocument/2006/relationships" r:id="rId10" tooltip="Alpha_O"/>
          <a:extLst>
            <a:ext uri="{FF2B5EF4-FFF2-40B4-BE49-F238E27FC236}">
              <a16:creationId xmlns:a16="http://schemas.microsoft.com/office/drawing/2014/main" id="{2D848320-17FD-4988-AFCC-9A5CF2FB6F0D}"/>
            </a:ext>
          </a:extLst>
        </xdr:cNvPr>
        <xdr:cNvSpPr>
          <a:spLocks noChangeAspect="1"/>
        </xdr:cNvSpPr>
      </xdr:nvSpPr>
      <xdr:spPr>
        <a:xfrm>
          <a:off x="8036264" y="703131"/>
          <a:ext cx="179468" cy="17651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O</a:t>
          </a:r>
        </a:p>
      </xdr:txBody>
    </xdr:sp>
    <xdr:clientData/>
  </xdr:twoCellAnchor>
  <xdr:twoCellAnchor>
    <xdr:from>
      <xdr:col>18</xdr:col>
      <xdr:colOff>208944</xdr:colOff>
      <xdr:row>2</xdr:row>
      <xdr:rowOff>70667</xdr:rowOff>
    </xdr:from>
    <xdr:to>
      <xdr:col>22</xdr:col>
      <xdr:colOff>7316</xdr:colOff>
      <xdr:row>3</xdr:row>
      <xdr:rowOff>96067</xdr:rowOff>
    </xdr:to>
    <xdr:sp macro="" textlink="">
      <xdr:nvSpPr>
        <xdr:cNvPr id="52" name="Alpha_P">
          <a:hlinkClick xmlns:r="http://schemas.openxmlformats.org/officeDocument/2006/relationships" r:id="rId11" tooltip="Alpha_P"/>
          <a:extLst>
            <a:ext uri="{FF2B5EF4-FFF2-40B4-BE49-F238E27FC236}">
              <a16:creationId xmlns:a16="http://schemas.microsoft.com/office/drawing/2014/main" id="{C4984E6F-D2C4-403E-AE9D-4217501F9D61}"/>
            </a:ext>
          </a:extLst>
        </xdr:cNvPr>
        <xdr:cNvSpPr>
          <a:spLocks noChangeAspect="1"/>
        </xdr:cNvSpPr>
      </xdr:nvSpPr>
      <xdr:spPr>
        <a:xfrm>
          <a:off x="8296035" y="702614"/>
          <a:ext cx="178456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P</a:t>
          </a:r>
        </a:p>
      </xdr:txBody>
    </xdr:sp>
    <xdr:clientData/>
  </xdr:twoCellAnchor>
  <xdr:twoCellAnchor>
    <xdr:from>
      <xdr:col>13</xdr:col>
      <xdr:colOff>32059</xdr:colOff>
      <xdr:row>3</xdr:row>
      <xdr:rowOff>97052</xdr:rowOff>
    </xdr:from>
    <xdr:to>
      <xdr:col>13</xdr:col>
      <xdr:colOff>213197</xdr:colOff>
      <xdr:row>4</xdr:row>
      <xdr:rowOff>122452</xdr:rowOff>
    </xdr:to>
    <xdr:sp macro="" textlink="">
      <xdr:nvSpPr>
        <xdr:cNvPr id="53" name="Alpha_Q">
          <a:hlinkClick xmlns:r="http://schemas.openxmlformats.org/officeDocument/2006/relationships" r:id="rId12" tooltip="Alpha_Q"/>
          <a:extLst>
            <a:ext uri="{FF2B5EF4-FFF2-40B4-BE49-F238E27FC236}">
              <a16:creationId xmlns:a16="http://schemas.microsoft.com/office/drawing/2014/main" id="{F7930682-A6BF-4778-8C56-A8E29F9C35AA}"/>
            </a:ext>
          </a:extLst>
        </xdr:cNvPr>
        <xdr:cNvSpPr>
          <a:spLocks noChangeAspect="1"/>
        </xdr:cNvSpPr>
      </xdr:nvSpPr>
      <xdr:spPr>
        <a:xfrm>
          <a:off x="6360689" y="880117"/>
          <a:ext cx="181138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Q</a:t>
          </a:r>
        </a:p>
      </xdr:txBody>
    </xdr:sp>
    <xdr:clientData/>
  </xdr:twoCellAnchor>
  <xdr:twoCellAnchor>
    <xdr:from>
      <xdr:col>13</xdr:col>
      <xdr:colOff>288151</xdr:colOff>
      <xdr:row>3</xdr:row>
      <xdr:rowOff>99476</xdr:rowOff>
    </xdr:from>
    <xdr:to>
      <xdr:col>14</xdr:col>
      <xdr:colOff>9686</xdr:colOff>
      <xdr:row>4</xdr:row>
      <xdr:rowOff>124875</xdr:rowOff>
    </xdr:to>
    <xdr:sp macro="" textlink="">
      <xdr:nvSpPr>
        <xdr:cNvPr id="54" name="Alpha_R">
          <a:hlinkClick xmlns:r="http://schemas.openxmlformats.org/officeDocument/2006/relationships" r:id="rId13" tooltip="Alpha_R"/>
          <a:extLst>
            <a:ext uri="{FF2B5EF4-FFF2-40B4-BE49-F238E27FC236}">
              <a16:creationId xmlns:a16="http://schemas.microsoft.com/office/drawing/2014/main" id="{6E9CBC32-068F-4E31-9CC3-0D0CEE704E0F}"/>
            </a:ext>
          </a:extLst>
        </xdr:cNvPr>
        <xdr:cNvSpPr>
          <a:spLocks noChangeAspect="1"/>
        </xdr:cNvSpPr>
      </xdr:nvSpPr>
      <xdr:spPr>
        <a:xfrm>
          <a:off x="6616781" y="882541"/>
          <a:ext cx="179468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R</a:t>
          </a:r>
        </a:p>
      </xdr:txBody>
    </xdr:sp>
    <xdr:clientData/>
  </xdr:twoCellAnchor>
  <xdr:twoCellAnchor>
    <xdr:from>
      <xdr:col>14</xdr:col>
      <xdr:colOff>85886</xdr:colOff>
      <xdr:row>3</xdr:row>
      <xdr:rowOff>99476</xdr:rowOff>
    </xdr:from>
    <xdr:to>
      <xdr:col>14</xdr:col>
      <xdr:colOff>262195</xdr:colOff>
      <xdr:row>4</xdr:row>
      <xdr:rowOff>124875</xdr:rowOff>
    </xdr:to>
    <xdr:sp macro="" textlink="">
      <xdr:nvSpPr>
        <xdr:cNvPr id="55" name="Alpha_S">
          <a:hlinkClick xmlns:r="http://schemas.openxmlformats.org/officeDocument/2006/relationships" r:id="rId14" tooltip="Alpha_S"/>
          <a:extLst>
            <a:ext uri="{FF2B5EF4-FFF2-40B4-BE49-F238E27FC236}">
              <a16:creationId xmlns:a16="http://schemas.microsoft.com/office/drawing/2014/main" id="{E0B46419-9149-4462-B962-CA748D6F0777}"/>
            </a:ext>
          </a:extLst>
        </xdr:cNvPr>
        <xdr:cNvSpPr>
          <a:spLocks noChangeAspect="1"/>
        </xdr:cNvSpPr>
      </xdr:nvSpPr>
      <xdr:spPr>
        <a:xfrm>
          <a:off x="6872449" y="882541"/>
          <a:ext cx="176309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S</a:t>
          </a:r>
        </a:p>
      </xdr:txBody>
    </xdr:sp>
    <xdr:clientData/>
  </xdr:twoCellAnchor>
  <xdr:twoCellAnchor>
    <xdr:from>
      <xdr:col>15</xdr:col>
      <xdr:colOff>13263</xdr:colOff>
      <xdr:row>3</xdr:row>
      <xdr:rowOff>99476</xdr:rowOff>
    </xdr:from>
    <xdr:to>
      <xdr:col>15</xdr:col>
      <xdr:colOff>191063</xdr:colOff>
      <xdr:row>4</xdr:row>
      <xdr:rowOff>124875</xdr:rowOff>
    </xdr:to>
    <xdr:sp macro="" textlink="">
      <xdr:nvSpPr>
        <xdr:cNvPr id="56" name="Alpha_T">
          <a:hlinkClick xmlns:r="http://schemas.openxmlformats.org/officeDocument/2006/relationships" r:id="rId15" tooltip="Alpha_T"/>
          <a:extLst>
            <a:ext uri="{FF2B5EF4-FFF2-40B4-BE49-F238E27FC236}">
              <a16:creationId xmlns:a16="http://schemas.microsoft.com/office/drawing/2014/main" id="{2082F28F-F251-461B-BEEE-C8FC237D2C9E}"/>
            </a:ext>
          </a:extLst>
        </xdr:cNvPr>
        <xdr:cNvSpPr>
          <a:spLocks noChangeAspect="1"/>
        </xdr:cNvSpPr>
      </xdr:nvSpPr>
      <xdr:spPr>
        <a:xfrm>
          <a:off x="7124958" y="882541"/>
          <a:ext cx="177800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T</a:t>
          </a:r>
        </a:p>
      </xdr:txBody>
    </xdr:sp>
    <xdr:clientData/>
  </xdr:twoCellAnchor>
  <xdr:twoCellAnchor>
    <xdr:from>
      <xdr:col>15</xdr:col>
      <xdr:colOff>275170</xdr:colOff>
      <xdr:row>3</xdr:row>
      <xdr:rowOff>99476</xdr:rowOff>
    </xdr:from>
    <xdr:to>
      <xdr:col>16</xdr:col>
      <xdr:colOff>127838</xdr:colOff>
      <xdr:row>4</xdr:row>
      <xdr:rowOff>124875</xdr:rowOff>
    </xdr:to>
    <xdr:sp macro="" textlink="">
      <xdr:nvSpPr>
        <xdr:cNvPr id="57" name="Alpha_U">
          <a:hlinkClick xmlns:r="http://schemas.openxmlformats.org/officeDocument/2006/relationships" r:id="rId16" tooltip="Alpha_U"/>
          <a:extLst>
            <a:ext uri="{FF2B5EF4-FFF2-40B4-BE49-F238E27FC236}">
              <a16:creationId xmlns:a16="http://schemas.microsoft.com/office/drawing/2014/main" id="{E898054B-5076-4D9F-B24E-9FDF48452C11}"/>
            </a:ext>
          </a:extLst>
        </xdr:cNvPr>
        <xdr:cNvSpPr>
          <a:spLocks noChangeAspect="1"/>
        </xdr:cNvSpPr>
      </xdr:nvSpPr>
      <xdr:spPr>
        <a:xfrm>
          <a:off x="7386865" y="882541"/>
          <a:ext cx="177800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U</a:t>
          </a:r>
        </a:p>
      </xdr:txBody>
    </xdr:sp>
    <xdr:clientData/>
  </xdr:twoCellAnchor>
  <xdr:twoCellAnchor>
    <xdr:from>
      <xdr:col>16</xdr:col>
      <xdr:colOff>208753</xdr:colOff>
      <xdr:row>3</xdr:row>
      <xdr:rowOff>99476</xdr:rowOff>
    </xdr:from>
    <xdr:to>
      <xdr:col>17</xdr:col>
      <xdr:colOff>62703</xdr:colOff>
      <xdr:row>4</xdr:row>
      <xdr:rowOff>124875</xdr:rowOff>
    </xdr:to>
    <xdr:sp macro="" textlink="">
      <xdr:nvSpPr>
        <xdr:cNvPr id="58" name="Alpha_V">
          <a:hlinkClick xmlns:r="http://schemas.openxmlformats.org/officeDocument/2006/relationships" r:id="rId17" tooltip="Alpha_V"/>
          <a:extLst>
            <a:ext uri="{FF2B5EF4-FFF2-40B4-BE49-F238E27FC236}">
              <a16:creationId xmlns:a16="http://schemas.microsoft.com/office/drawing/2014/main" id="{0AEE81C8-DDCB-4042-AEFF-696588625B9E}"/>
            </a:ext>
          </a:extLst>
        </xdr:cNvPr>
        <xdr:cNvSpPr>
          <a:spLocks noChangeAspect="1"/>
        </xdr:cNvSpPr>
      </xdr:nvSpPr>
      <xdr:spPr>
        <a:xfrm>
          <a:off x="7645580" y="882541"/>
          <a:ext cx="17908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V</a:t>
          </a:r>
        </a:p>
      </xdr:txBody>
    </xdr:sp>
    <xdr:clientData/>
  </xdr:twoCellAnchor>
  <xdr:twoCellAnchor>
    <xdr:from>
      <xdr:col>17</xdr:col>
      <xdr:colOff>138903</xdr:colOff>
      <xdr:row>3</xdr:row>
      <xdr:rowOff>99476</xdr:rowOff>
    </xdr:from>
    <xdr:to>
      <xdr:col>17</xdr:col>
      <xdr:colOff>317985</xdr:colOff>
      <xdr:row>4</xdr:row>
      <xdr:rowOff>124875</xdr:rowOff>
    </xdr:to>
    <xdr:sp macro="" textlink="">
      <xdr:nvSpPr>
        <xdr:cNvPr id="59" name="Alpha_W">
          <a:hlinkClick xmlns:r="http://schemas.openxmlformats.org/officeDocument/2006/relationships" r:id="rId18" tooltip="Alpha_W"/>
          <a:extLst>
            <a:ext uri="{FF2B5EF4-FFF2-40B4-BE49-F238E27FC236}">
              <a16:creationId xmlns:a16="http://schemas.microsoft.com/office/drawing/2014/main" id="{646AC1F5-D092-4067-A765-B19BF88176EB}"/>
            </a:ext>
          </a:extLst>
        </xdr:cNvPr>
        <xdr:cNvSpPr>
          <a:spLocks noChangeAspect="1"/>
        </xdr:cNvSpPr>
      </xdr:nvSpPr>
      <xdr:spPr>
        <a:xfrm>
          <a:off x="7900862" y="882541"/>
          <a:ext cx="17908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W</a:t>
          </a:r>
        </a:p>
      </xdr:txBody>
    </xdr:sp>
    <xdr:clientData/>
  </xdr:twoCellAnchor>
  <xdr:twoCellAnchor>
    <xdr:from>
      <xdr:col>18</xdr:col>
      <xdr:colOff>73768</xdr:colOff>
      <xdr:row>3</xdr:row>
      <xdr:rowOff>99476</xdr:rowOff>
    </xdr:from>
    <xdr:to>
      <xdr:col>18</xdr:col>
      <xdr:colOff>253530</xdr:colOff>
      <xdr:row>4</xdr:row>
      <xdr:rowOff>124875</xdr:rowOff>
    </xdr:to>
    <xdr:sp macro="" textlink="">
      <xdr:nvSpPr>
        <xdr:cNvPr id="60" name="Alpha_Y">
          <a:hlinkClick xmlns:r="http://schemas.openxmlformats.org/officeDocument/2006/relationships" r:id="rId19" tooltip="Alpha_Y"/>
          <a:extLst>
            <a:ext uri="{FF2B5EF4-FFF2-40B4-BE49-F238E27FC236}">
              <a16:creationId xmlns:a16="http://schemas.microsoft.com/office/drawing/2014/main" id="{64AE065D-E96C-4674-A0A2-D35C33ED22D1}"/>
            </a:ext>
          </a:extLst>
        </xdr:cNvPr>
        <xdr:cNvSpPr>
          <a:spLocks noChangeAspect="1"/>
        </xdr:cNvSpPr>
      </xdr:nvSpPr>
      <xdr:spPr>
        <a:xfrm>
          <a:off x="8160859" y="882541"/>
          <a:ext cx="17976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Y</a:t>
          </a:r>
        </a:p>
      </xdr:txBody>
    </xdr:sp>
    <xdr:clientData/>
  </xdr:twoCellAnchor>
  <xdr:twoCellAnchor>
    <xdr:from>
      <xdr:col>14</xdr:col>
      <xdr:colOff>218850</xdr:colOff>
      <xdr:row>2</xdr:row>
      <xdr:rowOff>67421</xdr:rowOff>
    </xdr:from>
    <xdr:to>
      <xdr:col>15</xdr:col>
      <xdr:colOff>66025</xdr:colOff>
      <xdr:row>3</xdr:row>
      <xdr:rowOff>92820</xdr:rowOff>
    </xdr:to>
    <xdr:sp macro="" textlink="">
      <xdr:nvSpPr>
        <xdr:cNvPr id="61" name="Alpha_K">
          <a:hlinkClick xmlns:r="http://schemas.openxmlformats.org/officeDocument/2006/relationships" r:id="rId20" tooltip="Alpha_K"/>
          <a:extLst>
            <a:ext uri="{FF2B5EF4-FFF2-40B4-BE49-F238E27FC236}">
              <a16:creationId xmlns:a16="http://schemas.microsoft.com/office/drawing/2014/main" id="{3B176141-68B1-4A59-807B-CA13DD4EBCA6}"/>
            </a:ext>
          </a:extLst>
        </xdr:cNvPr>
        <xdr:cNvSpPr>
          <a:spLocks noChangeAspect="1"/>
        </xdr:cNvSpPr>
      </xdr:nvSpPr>
      <xdr:spPr>
        <a:xfrm>
          <a:off x="7005413" y="699368"/>
          <a:ext cx="172307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K</a:t>
          </a:r>
        </a:p>
      </xdr:txBody>
    </xdr:sp>
    <xdr:clientData/>
  </xdr:twoCellAnchor>
  <xdr:twoCellAnchor>
    <xdr:from>
      <xdr:col>13</xdr:col>
      <xdr:colOff>38100</xdr:colOff>
      <xdr:row>1</xdr:row>
      <xdr:rowOff>27293</xdr:rowOff>
    </xdr:from>
    <xdr:to>
      <xdr:col>13</xdr:col>
      <xdr:colOff>215900</xdr:colOff>
      <xdr:row>2</xdr:row>
      <xdr:rowOff>52693</xdr:rowOff>
    </xdr:to>
    <xdr:sp macro="" textlink="">
      <xdr:nvSpPr>
        <xdr:cNvPr id="62" name="Alpha_A">
          <a:hlinkClick xmlns:r="http://schemas.openxmlformats.org/officeDocument/2006/relationships" r:id="rId21" tooltip="Alpha_A"/>
          <a:extLst>
            <a:ext uri="{FF2B5EF4-FFF2-40B4-BE49-F238E27FC236}">
              <a16:creationId xmlns:a16="http://schemas.microsoft.com/office/drawing/2014/main" id="{4D2E7710-1439-47DF-8E49-C1B2B20F4CEB}"/>
            </a:ext>
          </a:extLst>
        </xdr:cNvPr>
        <xdr:cNvSpPr>
          <a:spLocks noChangeAspect="1"/>
        </xdr:cNvSpPr>
      </xdr:nvSpPr>
      <xdr:spPr>
        <a:xfrm>
          <a:off x="6372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A</a:t>
          </a:r>
        </a:p>
      </xdr:txBody>
    </xdr:sp>
    <xdr:clientData/>
  </xdr:twoCellAnchor>
  <xdr:twoCellAnchor>
    <xdr:from>
      <xdr:col>13</xdr:col>
      <xdr:colOff>292100</xdr:colOff>
      <xdr:row>1</xdr:row>
      <xdr:rowOff>27293</xdr:rowOff>
    </xdr:from>
    <xdr:to>
      <xdr:col>14</xdr:col>
      <xdr:colOff>12700</xdr:colOff>
      <xdr:row>2</xdr:row>
      <xdr:rowOff>52693</xdr:rowOff>
    </xdr:to>
    <xdr:sp macro="" textlink="">
      <xdr:nvSpPr>
        <xdr:cNvPr id="63" name="Alpha_B">
          <a:hlinkClick xmlns:r="http://schemas.openxmlformats.org/officeDocument/2006/relationships" r:id="rId22" tooltip="Alpha_B"/>
          <a:extLst>
            <a:ext uri="{FF2B5EF4-FFF2-40B4-BE49-F238E27FC236}">
              <a16:creationId xmlns:a16="http://schemas.microsoft.com/office/drawing/2014/main" id="{6264CC37-DB12-4969-9CB1-81E3AA9DCDC3}"/>
            </a:ext>
          </a:extLst>
        </xdr:cNvPr>
        <xdr:cNvSpPr>
          <a:spLocks noChangeAspect="1"/>
        </xdr:cNvSpPr>
      </xdr:nvSpPr>
      <xdr:spPr>
        <a:xfrm>
          <a:off x="6626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B</a:t>
          </a:r>
        </a:p>
      </xdr:txBody>
    </xdr:sp>
    <xdr:clientData/>
  </xdr:twoCellAnchor>
  <xdr:twoCellAnchor>
    <xdr:from>
      <xdr:col>14</xdr:col>
      <xdr:colOff>88900</xdr:colOff>
      <xdr:row>1</xdr:row>
      <xdr:rowOff>27293</xdr:rowOff>
    </xdr:from>
    <xdr:to>
      <xdr:col>14</xdr:col>
      <xdr:colOff>266700</xdr:colOff>
      <xdr:row>2</xdr:row>
      <xdr:rowOff>52693</xdr:rowOff>
    </xdr:to>
    <xdr:sp macro="" textlink="">
      <xdr:nvSpPr>
        <xdr:cNvPr id="64" name="Alpha_C">
          <a:hlinkClick xmlns:r="http://schemas.openxmlformats.org/officeDocument/2006/relationships" r:id="rId23" tooltip="Alpha_C"/>
          <a:extLst>
            <a:ext uri="{FF2B5EF4-FFF2-40B4-BE49-F238E27FC236}">
              <a16:creationId xmlns:a16="http://schemas.microsoft.com/office/drawing/2014/main" id="{6D5C0461-53B4-464C-93CD-A41809C1AF4A}"/>
            </a:ext>
          </a:extLst>
        </xdr:cNvPr>
        <xdr:cNvSpPr>
          <a:spLocks noChangeAspect="1"/>
        </xdr:cNvSpPr>
      </xdr:nvSpPr>
      <xdr:spPr>
        <a:xfrm>
          <a:off x="6880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C</a:t>
          </a:r>
        </a:p>
      </xdr:txBody>
    </xdr:sp>
    <xdr:clientData/>
  </xdr:twoCellAnchor>
  <xdr:twoCellAnchor>
    <xdr:from>
      <xdr:col>15</xdr:col>
      <xdr:colOff>25308</xdr:colOff>
      <xdr:row>1</xdr:row>
      <xdr:rowOff>29479</xdr:rowOff>
    </xdr:from>
    <xdr:to>
      <xdr:col>15</xdr:col>
      <xdr:colOff>203108</xdr:colOff>
      <xdr:row>2</xdr:row>
      <xdr:rowOff>54879</xdr:rowOff>
    </xdr:to>
    <xdr:sp macro="" textlink="">
      <xdr:nvSpPr>
        <xdr:cNvPr id="65" name="Alpha_D">
          <a:hlinkClick xmlns:r="http://schemas.openxmlformats.org/officeDocument/2006/relationships" r:id="rId24" tooltip="Alpha_D"/>
          <a:extLst>
            <a:ext uri="{FF2B5EF4-FFF2-40B4-BE49-F238E27FC236}">
              <a16:creationId xmlns:a16="http://schemas.microsoft.com/office/drawing/2014/main" id="{A7E1CB25-82CB-469B-A4AE-C459F5716A29}"/>
            </a:ext>
          </a:extLst>
        </xdr:cNvPr>
        <xdr:cNvSpPr>
          <a:spLocks noChangeAspect="1"/>
        </xdr:cNvSpPr>
      </xdr:nvSpPr>
      <xdr:spPr>
        <a:xfrm>
          <a:off x="7140483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D</a:t>
          </a:r>
        </a:p>
      </xdr:txBody>
    </xdr:sp>
    <xdr:clientData/>
  </xdr:twoCellAnchor>
  <xdr:twoCellAnchor>
    <xdr:from>
      <xdr:col>15</xdr:col>
      <xdr:colOff>280976</xdr:colOff>
      <xdr:row>1</xdr:row>
      <xdr:rowOff>29479</xdr:rowOff>
    </xdr:from>
    <xdr:to>
      <xdr:col>16</xdr:col>
      <xdr:colOff>135482</xdr:colOff>
      <xdr:row>2</xdr:row>
      <xdr:rowOff>54879</xdr:rowOff>
    </xdr:to>
    <xdr:sp macro="" textlink="">
      <xdr:nvSpPr>
        <xdr:cNvPr id="66" name="Alpha_E">
          <a:hlinkClick xmlns:r="http://schemas.openxmlformats.org/officeDocument/2006/relationships" r:id="rId25" tooltip="Alpha_E"/>
          <a:extLst>
            <a:ext uri="{FF2B5EF4-FFF2-40B4-BE49-F238E27FC236}">
              <a16:creationId xmlns:a16="http://schemas.microsoft.com/office/drawing/2014/main" id="{0FED093E-79BF-41C8-B132-81B1FF9C45C6}"/>
            </a:ext>
          </a:extLst>
        </xdr:cNvPr>
        <xdr:cNvSpPr>
          <a:spLocks noChangeAspect="1"/>
        </xdr:cNvSpPr>
      </xdr:nvSpPr>
      <xdr:spPr>
        <a:xfrm>
          <a:off x="7396151" y="505729"/>
          <a:ext cx="17835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E</a:t>
          </a:r>
        </a:p>
      </xdr:txBody>
    </xdr:sp>
    <xdr:clientData/>
  </xdr:twoCellAnchor>
  <xdr:twoCellAnchor>
    <xdr:from>
      <xdr:col>16</xdr:col>
      <xdr:colOff>211682</xdr:colOff>
      <xdr:row>1</xdr:row>
      <xdr:rowOff>29479</xdr:rowOff>
    </xdr:from>
    <xdr:to>
      <xdr:col>17</xdr:col>
      <xdr:colOff>65632</xdr:colOff>
      <xdr:row>2</xdr:row>
      <xdr:rowOff>54879</xdr:rowOff>
    </xdr:to>
    <xdr:sp macro="" textlink="">
      <xdr:nvSpPr>
        <xdr:cNvPr id="67" name="Alpha_F">
          <a:hlinkClick xmlns:r="http://schemas.openxmlformats.org/officeDocument/2006/relationships" r:id="rId26" tooltip="Alpha_F"/>
          <a:extLst>
            <a:ext uri="{FF2B5EF4-FFF2-40B4-BE49-F238E27FC236}">
              <a16:creationId xmlns:a16="http://schemas.microsoft.com/office/drawing/2014/main" id="{665BE6B7-F1CC-4960-8670-B8FF2D0C5446}"/>
            </a:ext>
          </a:extLst>
        </xdr:cNvPr>
        <xdr:cNvSpPr>
          <a:spLocks noChangeAspect="1"/>
        </xdr:cNvSpPr>
      </xdr:nvSpPr>
      <xdr:spPr>
        <a:xfrm>
          <a:off x="7650707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F</a:t>
          </a:r>
        </a:p>
      </xdr:txBody>
    </xdr:sp>
    <xdr:clientData/>
  </xdr:twoCellAnchor>
  <xdr:twoCellAnchor>
    <xdr:from>
      <xdr:col>17</xdr:col>
      <xdr:colOff>141832</xdr:colOff>
      <xdr:row>1</xdr:row>
      <xdr:rowOff>29479</xdr:rowOff>
    </xdr:from>
    <xdr:to>
      <xdr:col>17</xdr:col>
      <xdr:colOff>319076</xdr:colOff>
      <xdr:row>2</xdr:row>
      <xdr:rowOff>54879</xdr:rowOff>
    </xdr:to>
    <xdr:sp macro="" textlink="">
      <xdr:nvSpPr>
        <xdr:cNvPr id="68" name="Alpha_G">
          <a:hlinkClick xmlns:r="http://schemas.openxmlformats.org/officeDocument/2006/relationships" r:id="rId27" tooltip="Alpha_G"/>
          <a:extLst>
            <a:ext uri="{FF2B5EF4-FFF2-40B4-BE49-F238E27FC236}">
              <a16:creationId xmlns:a16="http://schemas.microsoft.com/office/drawing/2014/main" id="{FB626459-58F5-4E5F-82D4-6A5F69A32660}"/>
            </a:ext>
          </a:extLst>
        </xdr:cNvPr>
        <xdr:cNvSpPr>
          <a:spLocks noChangeAspect="1"/>
        </xdr:cNvSpPr>
      </xdr:nvSpPr>
      <xdr:spPr>
        <a:xfrm>
          <a:off x="7904707" y="505729"/>
          <a:ext cx="177244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G</a:t>
          </a:r>
        </a:p>
      </xdr:txBody>
    </xdr:sp>
    <xdr:clientData/>
  </xdr:twoCellAnchor>
  <xdr:twoCellAnchor>
    <xdr:from>
      <xdr:col>18</xdr:col>
      <xdr:colOff>74219</xdr:colOff>
      <xdr:row>1</xdr:row>
      <xdr:rowOff>23765</xdr:rowOff>
    </xdr:from>
    <xdr:to>
      <xdr:col>18</xdr:col>
      <xdr:colOff>252019</xdr:colOff>
      <xdr:row>2</xdr:row>
      <xdr:rowOff>49165</xdr:rowOff>
    </xdr:to>
    <xdr:sp macro="" textlink="">
      <xdr:nvSpPr>
        <xdr:cNvPr id="69" name="Alpha_H">
          <a:hlinkClick xmlns:r="http://schemas.openxmlformats.org/officeDocument/2006/relationships" r:id="rId28" tooltip="Alpha_H"/>
          <a:extLst>
            <a:ext uri="{FF2B5EF4-FFF2-40B4-BE49-F238E27FC236}">
              <a16:creationId xmlns:a16="http://schemas.microsoft.com/office/drawing/2014/main" id="{6EB50074-3052-44A5-8F03-3C391FACF181}"/>
            </a:ext>
          </a:extLst>
        </xdr:cNvPr>
        <xdr:cNvSpPr>
          <a:spLocks noChangeAspect="1"/>
        </xdr:cNvSpPr>
      </xdr:nvSpPr>
      <xdr:spPr>
        <a:xfrm>
          <a:off x="8160944" y="500015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H</a:t>
          </a:r>
        </a:p>
      </xdr:txBody>
    </xdr:sp>
    <xdr:clientData/>
  </xdr:twoCellAnchor>
  <xdr:twoCellAnchor>
    <xdr:from>
      <xdr:col>18</xdr:col>
      <xdr:colOff>218486</xdr:colOff>
      <xdr:row>4</xdr:row>
      <xdr:rowOff>102040</xdr:rowOff>
    </xdr:from>
    <xdr:to>
      <xdr:col>22</xdr:col>
      <xdr:colOff>10709</xdr:colOff>
      <xdr:row>5</xdr:row>
      <xdr:rowOff>127440</xdr:rowOff>
    </xdr:to>
    <xdr:sp macro="" textlink="">
      <xdr:nvSpPr>
        <xdr:cNvPr id="70" name="Alpha_Z">
          <a:hlinkClick xmlns:r="http://schemas.openxmlformats.org/officeDocument/2006/relationships" r:id="rId29" tooltip="Alpha_Z"/>
          <a:extLst>
            <a:ext uri="{FF2B5EF4-FFF2-40B4-BE49-F238E27FC236}">
              <a16:creationId xmlns:a16="http://schemas.microsoft.com/office/drawing/2014/main" id="{92377F08-8DE0-42E6-A29E-615B874297F8}"/>
            </a:ext>
          </a:extLst>
        </xdr:cNvPr>
        <xdr:cNvSpPr>
          <a:spLocks noChangeAspect="1"/>
        </xdr:cNvSpPr>
      </xdr:nvSpPr>
      <xdr:spPr>
        <a:xfrm>
          <a:off x="8305577" y="1036223"/>
          <a:ext cx="172307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Z</a:t>
          </a:r>
        </a:p>
      </xdr:txBody>
    </xdr:sp>
    <xdr:clientData/>
  </xdr:twoCellAnchor>
  <xdr:twoCellAnchor>
    <xdr:from>
      <xdr:col>7</xdr:col>
      <xdr:colOff>438150</xdr:colOff>
      <xdr:row>7</xdr:row>
      <xdr:rowOff>180975</xdr:rowOff>
    </xdr:from>
    <xdr:to>
      <xdr:col>9</xdr:col>
      <xdr:colOff>285750</xdr:colOff>
      <xdr:row>8</xdr:row>
      <xdr:rowOff>172316</xdr:rowOff>
    </xdr:to>
    <xdr:sp macro="" textlink="">
      <xdr:nvSpPr>
        <xdr:cNvPr id="22" name="KeepPriceDetails" descr="go to Trees2Go Price Details near bottom">
          <a:hlinkClick xmlns:r="http://schemas.openxmlformats.org/officeDocument/2006/relationships" r:id="rId30" tooltip="go to Trees2Go Guarantee information near bottom of page"/>
          <a:extLst>
            <a:ext uri="{FF2B5EF4-FFF2-40B4-BE49-F238E27FC236}">
              <a16:creationId xmlns:a16="http://schemas.microsoft.com/office/drawing/2014/main" id="{68EAF6F4-19F9-4334-A6DE-0E1226A8C883}"/>
            </a:ext>
          </a:extLst>
        </xdr:cNvPr>
        <xdr:cNvSpPr/>
      </xdr:nvSpPr>
      <xdr:spPr>
        <a:xfrm>
          <a:off x="4229100" y="1695450"/>
          <a:ext cx="933450" cy="181841"/>
        </a:xfrm>
        <a:prstGeom prst="roundRect">
          <a:avLst/>
        </a:prstGeom>
        <a:noFill/>
        <a:ln w="12700" cap="flat" cmpd="sng" algn="ctr">
          <a:solidFill>
            <a:srgbClr val="4F81BD">
              <a:shade val="15000"/>
            </a:srgbClr>
          </a:solidFill>
          <a:prstDash val="solid"/>
        </a:ln>
        <a:effectLst>
          <a:softEdge rad="12700"/>
        </a:effectLst>
      </xdr:spPr>
      <xdr:txBody>
        <a:bodyPr vertOverflow="clip" horzOverflow="clip" tIns="9144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sng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Arial" panose="020B0604020202020204" pitchFamily="34" charset="0"/>
            </a:rPr>
            <a:t>Guaranteed</a:t>
          </a:r>
        </a:p>
      </xdr:txBody>
    </xdr:sp>
    <xdr:clientData/>
  </xdr:twoCellAnchor>
  <xdr:twoCellAnchor>
    <xdr:from>
      <xdr:col>13</xdr:col>
      <xdr:colOff>0</xdr:colOff>
      <xdr:row>6</xdr:row>
      <xdr:rowOff>219075</xdr:rowOff>
    </xdr:from>
    <xdr:to>
      <xdr:col>27</xdr:col>
      <xdr:colOff>104775</xdr:colOff>
      <xdr:row>7</xdr:row>
      <xdr:rowOff>152400</xdr:rowOff>
    </xdr:to>
    <xdr:sp macro="" textlink="">
      <xdr:nvSpPr>
        <xdr:cNvPr id="26" name="Rectangle 25">
          <a:hlinkClick xmlns:r="http://schemas.openxmlformats.org/officeDocument/2006/relationships" r:id="rId31" tooltip="go to Eastern Triangle Area description near bottom of page"/>
          <a:extLst>
            <a:ext uri="{FF2B5EF4-FFF2-40B4-BE49-F238E27FC236}">
              <a16:creationId xmlns:a16="http://schemas.microsoft.com/office/drawing/2014/main" id="{A1F2E6A0-FDC4-488F-806B-6E8F9CE0614C}"/>
            </a:ext>
          </a:extLst>
        </xdr:cNvPr>
        <xdr:cNvSpPr/>
      </xdr:nvSpPr>
      <xdr:spPr>
        <a:xfrm>
          <a:off x="6334125" y="1466850"/>
          <a:ext cx="2400300" cy="20002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serving the </a:t>
          </a:r>
          <a:r>
            <a:rPr kumimoji="0" lang="en-US" sz="1000" b="1" i="0" u="sng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Eastern Triangle Area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+</a:t>
          </a:r>
        </a:p>
      </xdr:txBody>
    </xdr:sp>
    <xdr:clientData/>
  </xdr:twoCellAnchor>
  <xdr:twoCellAnchor>
    <xdr:from>
      <xdr:col>37</xdr:col>
      <xdr:colOff>457200</xdr:colOff>
      <xdr:row>10</xdr:row>
      <xdr:rowOff>0</xdr:rowOff>
    </xdr:from>
    <xdr:to>
      <xdr:col>39</xdr:col>
      <xdr:colOff>457200</xdr:colOff>
      <xdr:row>10</xdr:row>
      <xdr:rowOff>161924</xdr:rowOff>
    </xdr:to>
    <xdr:sp macro="" textlink="">
      <xdr:nvSpPr>
        <xdr:cNvPr id="24" name="KeepPriceDetails" descr="go to Trees2Go Price Details near bottom">
          <a:hlinkClick xmlns:r="http://schemas.openxmlformats.org/officeDocument/2006/relationships" r:id="rId32" tooltip="go to Edison Landscaping Price Details near bottom of page"/>
          <a:extLst>
            <a:ext uri="{FF2B5EF4-FFF2-40B4-BE49-F238E27FC236}">
              <a16:creationId xmlns:a16="http://schemas.microsoft.com/office/drawing/2014/main" id="{5B309AAD-6BEC-438B-BF8C-2E064C009B1A}"/>
            </a:ext>
          </a:extLst>
        </xdr:cNvPr>
        <xdr:cNvSpPr/>
      </xdr:nvSpPr>
      <xdr:spPr>
        <a:xfrm>
          <a:off x="13773150" y="2066925"/>
          <a:ext cx="1438275" cy="161924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Edison 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30</xdr:col>
      <xdr:colOff>295274</xdr:colOff>
      <xdr:row>1</xdr:row>
      <xdr:rowOff>33043</xdr:rowOff>
    </xdr:from>
    <xdr:to>
      <xdr:col>33</xdr:col>
      <xdr:colOff>362172</xdr:colOff>
      <xdr:row>4</xdr:row>
      <xdr:rowOff>142875</xdr:rowOff>
    </xdr:to>
    <xdr:pic>
      <xdr:nvPicPr>
        <xdr:cNvPr id="6" name="EdisonBox">
          <a:extLst>
            <a:ext uri="{FF2B5EF4-FFF2-40B4-BE49-F238E27FC236}">
              <a16:creationId xmlns:a16="http://schemas.microsoft.com/office/drawing/2014/main" id="{8B659388-7692-4877-9333-9AC028E3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591799" y="509293"/>
          <a:ext cx="1257523" cy="567032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2</xdr:row>
      <xdr:rowOff>28575</xdr:rowOff>
    </xdr:from>
    <xdr:to>
      <xdr:col>4</xdr:col>
      <xdr:colOff>381026</xdr:colOff>
      <xdr:row>16</xdr:row>
      <xdr:rowOff>19053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3543E030-C705-4B26-BEC5-7161C17D7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725" y="409575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ees2go.com/faq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sources/" TargetMode="External"/><Relationship Id="rId7" Type="http://schemas.openxmlformats.org/officeDocument/2006/relationships/hyperlink" Target="mailto:Shop@Trees2Go.com" TargetMode="External"/><Relationship Id="rId12" Type="http://schemas.openxmlformats.org/officeDocument/2006/relationships/hyperlink" Target="mailto:Shop@Trees2Go.com" TargetMode="External"/><Relationship Id="rId2" Type="http://schemas.openxmlformats.org/officeDocument/2006/relationships/hyperlink" Target="https://www.trees2go.com/faq/" TargetMode="External"/><Relationship Id="rId1" Type="http://schemas.openxmlformats.org/officeDocument/2006/relationships/hyperlink" Target="https://nc811.org/safe-digging-process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mailto:Mike@Trees2Go.com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Mike@Trees2Go.com" TargetMode="External"/><Relationship Id="rId4" Type="http://schemas.openxmlformats.org/officeDocument/2006/relationships/hyperlink" Target="https://www.edisonscapes.com/" TargetMode="External"/><Relationship Id="rId9" Type="http://schemas.openxmlformats.org/officeDocument/2006/relationships/hyperlink" Target="https://www.edisonscapes.com/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Q4291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56" customWidth="1"/>
    <col min="2" max="2" width="4.7109375" style="133" customWidth="1"/>
    <col min="3" max="3" width="25.7109375" style="56" customWidth="1"/>
    <col min="4" max="4" width="3.7109375" style="138" customWidth="1"/>
    <col min="5" max="5" width="9.7109375" style="138" customWidth="1"/>
    <col min="6" max="6" width="4.28515625" style="139" customWidth="1"/>
    <col min="7" max="7" width="4.140625" style="148" customWidth="1"/>
    <col min="8" max="8" width="7.5703125" style="204" customWidth="1"/>
    <col min="9" max="9" width="8.7109375" style="208" customWidth="1"/>
    <col min="10" max="10" width="8.28515625" style="208" customWidth="1"/>
    <col min="11" max="11" width="7.7109375" style="141" customWidth="1"/>
    <col min="12" max="12" width="4.42578125" style="555" customWidth="1"/>
    <col min="13" max="13" width="1.42578125" style="141" customWidth="1"/>
    <col min="14" max="14" width="6.85546875" style="205" customWidth="1"/>
    <col min="15" max="15" width="4.85546875" style="132" customWidth="1"/>
    <col min="16" max="16" width="4.85546875" style="133" customWidth="1"/>
    <col min="17" max="18" width="4.85546875" style="134" customWidth="1"/>
    <col min="19" max="19" width="4.85546875" style="133" customWidth="1"/>
    <col min="20" max="20" width="0.28515625" style="135" customWidth="1"/>
    <col min="21" max="22" width="0.28515625" style="220" customWidth="1"/>
    <col min="23" max="24" width="0.28515625" style="56" customWidth="1"/>
    <col min="25" max="25" width="0.28515625" style="107" customWidth="1"/>
    <col min="26" max="26" width="0.5703125" style="56" customWidth="1"/>
    <col min="27" max="27" width="1" style="56" customWidth="1"/>
    <col min="28" max="28" width="12.42578125" style="138" customWidth="1"/>
    <col min="29" max="29" width="8.7109375" style="138" customWidth="1"/>
    <col min="30" max="30" width="4.85546875" style="56" customWidth="1"/>
    <col min="31" max="31" width="5.140625" style="138" customWidth="1"/>
    <col min="32" max="32" width="11.85546875" style="138" customWidth="1"/>
    <col min="33" max="33" width="0.85546875" style="92" customWidth="1"/>
    <col min="34" max="34" width="8.7109375" style="92" customWidth="1"/>
    <col min="35" max="35" width="2" style="92" customWidth="1"/>
    <col min="36" max="36" width="13.7109375" style="166" customWidth="1"/>
    <col min="37" max="37" width="2" style="56" customWidth="1"/>
    <col min="38" max="38" width="12.28515625" style="56" customWidth="1"/>
    <col min="39" max="39" width="9.28515625" style="56" customWidth="1"/>
    <col min="40" max="40" width="13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4.28515625" style="56" customWidth="1"/>
    <col min="45" max="45" width="15.85546875" style="56" customWidth="1"/>
    <col min="46" max="46" width="14.2851562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" style="56" customWidth="1"/>
    <col min="52" max="52" width="22.140625" style="56" customWidth="1"/>
    <col min="53" max="53" width="30" style="56" customWidth="1"/>
    <col min="54" max="54" width="21.85546875" style="56" customWidth="1"/>
    <col min="55" max="55" width="21" style="56" customWidth="1"/>
    <col min="56" max="56" width="2.140625" style="56" customWidth="1"/>
    <col min="57" max="57" width="4.28515625" style="56" customWidth="1"/>
    <col min="58" max="58" width="12.5703125" style="56" customWidth="1"/>
    <col min="59" max="59" width="6.140625" style="107" customWidth="1"/>
    <col min="60" max="16384" width="9.140625" style="56"/>
  </cols>
  <sheetData>
    <row r="1" spans="1:69" ht="12.75" customHeight="1" thickBot="1" x14ac:dyDescent="0.3">
      <c r="A1" s="280" t="str" cm="1">
        <f t="array" ref="A1">"Your 'Buy' choices by row: "&amp;_xlfn.TEXTJOIN(",",TRUE,IF(G12:G4213&gt;0,ROW(G12:G4213)&amp;BG12:BG4213,""))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26"/>
      <c r="M1" s="67"/>
      <c r="N1" s="68"/>
      <c r="O1" s="69"/>
      <c r="P1" s="69"/>
      <c r="Q1" s="69"/>
      <c r="R1" s="69"/>
      <c r="S1" s="70"/>
      <c r="T1" s="69"/>
      <c r="U1" s="217"/>
      <c r="V1" s="217"/>
      <c r="W1" s="69"/>
      <c r="X1" s="71"/>
      <c r="Y1" s="71"/>
      <c r="Z1" s="639"/>
      <c r="AA1" s="640"/>
      <c r="AB1" s="642"/>
      <c r="AC1" s="641"/>
      <c r="AD1" s="641"/>
      <c r="AE1" s="641"/>
      <c r="AF1" s="641"/>
      <c r="AG1" s="641"/>
      <c r="AH1" s="643"/>
      <c r="AI1" s="682"/>
      <c r="AJ1" s="683"/>
      <c r="AK1" s="684"/>
      <c r="AL1" s="685"/>
      <c r="AM1" s="684"/>
      <c r="AN1" s="685"/>
      <c r="AO1" s="684"/>
      <c r="AP1" s="684"/>
      <c r="AQ1" s="684"/>
      <c r="AR1" s="684"/>
      <c r="AS1" s="685"/>
      <c r="AT1" s="685"/>
      <c r="AU1" s="685"/>
      <c r="AV1" s="685"/>
      <c r="AW1" s="685"/>
      <c r="AX1" s="684"/>
      <c r="AY1" s="684"/>
      <c r="AZ1" s="684"/>
      <c r="BA1" s="684"/>
      <c r="BB1" s="684"/>
      <c r="BC1" s="684"/>
      <c r="BD1" s="684"/>
      <c r="BE1" s="684"/>
      <c r="BF1" s="684"/>
      <c r="BG1" s="55"/>
    </row>
    <row r="2" spans="1:69" ht="12" customHeight="1" thickBot="1" x14ac:dyDescent="0.3">
      <c r="A2" s="563" t="s">
        <v>5637</v>
      </c>
      <c r="B2" s="564"/>
      <c r="C2" s="588" t="str">
        <f>IF(EnterMiles&gt;0,"free delivery to edge of area        ","free local delivery        ")</f>
        <v xml:space="preserve">free local delivery        </v>
      </c>
      <c r="D2" s="814" t="s">
        <v>4722</v>
      </c>
      <c r="E2" s="815"/>
      <c r="F2" s="816"/>
      <c r="G2" s="813" t="s">
        <v>2527</v>
      </c>
      <c r="H2" s="813"/>
      <c r="I2" s="817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 ",MSTryEO="try"),"save your choices in a copy of Price it",IF(AND(MSTryEO="MS",TotalPlantsG=0),"please click 'Enable Editing' at top       ",IF(AND(MSTryEO="MS",TotalPlantsG&gt;0),"share choices to Mike@Trees2Go.com",IF(AND(MSTryEO="eo",TotalPlantsG&lt;10),"'Edit Workbook' &gt; 'File' &gt; 'Create a Copy'",IF(AND(MSTryEO="eo",TotalPlantsG&gt;10),"share choices to Mike@Trees2Go.com",IF(MileageFeeNoConcatenate&gt;0,CONCATENATE("includes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Mike@Trees2Go.com","share choices to Mike@Trees2Go.com"))))))))))))))</f>
        <v xml:space="preserve">please click 'Enable Editing' at top       </v>
      </c>
      <c r="J2" s="817"/>
      <c r="K2" s="817"/>
      <c r="L2" s="817"/>
      <c r="M2" s="630" t="str">
        <f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72"/>
      <c r="O2" s="72"/>
      <c r="P2" s="72"/>
      <c r="Q2" s="72"/>
      <c r="R2" s="72"/>
      <c r="S2" s="72"/>
      <c r="T2" s="73"/>
      <c r="U2" s="213"/>
      <c r="V2" s="213"/>
      <c r="W2" s="213"/>
      <c r="X2" s="74"/>
      <c r="Y2" s="74"/>
      <c r="Z2" s="644"/>
      <c r="AA2" s="645"/>
      <c r="AB2" s="646" t="str">
        <f>IF(OR(PlanterYesMe="yes",PlanterYesMe="y"),"Bring in",IF(OR(PlanterYesMe="No",PlanterYesMe="N",PlanterYesMe="me"),"Pass on",IF(PlantingTotalHeader=0,"OPTIONAL","OPTIONAL")))</f>
        <v>OPTIONAL</v>
      </c>
      <c r="AC2" s="786" t="s">
        <v>3294</v>
      </c>
      <c r="AD2" s="786"/>
      <c r="AE2" s="786"/>
      <c r="AF2" s="647"/>
      <c r="AG2" s="647"/>
      <c r="AH2" s="648"/>
      <c r="AI2" s="75"/>
      <c r="AJ2" s="309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5"/>
      <c r="AL2" s="562" t="s">
        <v>163</v>
      </c>
      <c r="AM2" s="310"/>
      <c r="AN2" s="310"/>
      <c r="AO2" s="310"/>
      <c r="AP2" s="310"/>
      <c r="AQ2" s="310"/>
      <c r="AR2" s="310"/>
      <c r="AS2" s="310"/>
      <c r="AT2" s="310"/>
      <c r="AU2" s="76"/>
      <c r="AV2" s="77"/>
      <c r="AW2" s="779" t="s">
        <v>164</v>
      </c>
      <c r="AX2" s="779"/>
      <c r="AY2" s="779"/>
      <c r="AZ2" s="779"/>
      <c r="BA2" s="779"/>
      <c r="BB2" s="282"/>
      <c r="BC2" s="79" t="s">
        <v>171</v>
      </c>
      <c r="BD2" s="775" t="s">
        <v>0</v>
      </c>
      <c r="BE2" s="775"/>
      <c r="BF2" s="775"/>
      <c r="BG2" s="55"/>
      <c r="BJ2"/>
    </row>
    <row r="3" spans="1:69" ht="12" customHeight="1" x14ac:dyDescent="0.25">
      <c r="A3" s="565"/>
      <c r="B3" s="566"/>
      <c r="C3" s="567"/>
      <c r="D3" s="571"/>
      <c r="E3" s="571"/>
      <c r="F3" s="629" t="str">
        <f>IF(COUNT(MATCH(LOWER(TRIM(MSTryEO)),{"try","anything"},0)),"PREVIEW ","")</f>
        <v/>
      </c>
      <c r="G3" s="514" t="s">
        <v>1</v>
      </c>
      <c r="H3" s="826" t="str">
        <f>IF(AND(NoWarrantyDiscount&gt;0,includes_Free_Local_Delivery="Discount for Warranty Delete"),"Discount+Warranty Delete:",IF(TotalPlantsG&gt;0,"Trees2Go Discount:","Trees2Go Discount:"))</f>
        <v>Trees2Go Discount:</v>
      </c>
      <c r="I3" s="826"/>
      <c r="J3" s="826"/>
      <c r="K3" s="828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828"/>
      <c r="M3" s="581"/>
      <c r="N3" s="80"/>
      <c r="O3" s="80"/>
      <c r="P3" s="80"/>
      <c r="Q3" s="80"/>
      <c r="R3" s="80"/>
      <c r="S3" s="80"/>
      <c r="T3" s="73"/>
      <c r="U3" s="213"/>
      <c r="V3" s="213"/>
      <c r="W3" s="213"/>
      <c r="X3" s="74"/>
      <c r="Y3" s="74"/>
      <c r="Z3" s="649"/>
      <c r="AA3" s="650"/>
      <c r="AB3" s="651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87" t="str">
        <f>IF(MileageFeeMessage="Extra Discount for Warranty Delete","Discount+Warranty Delete","Edison Discount")</f>
        <v>Edison Discount</v>
      </c>
      <c r="AD3" s="787"/>
      <c r="AE3" s="787"/>
      <c r="AF3" s="647"/>
      <c r="AG3" s="647"/>
      <c r="AH3" s="648"/>
      <c r="AI3" s="75"/>
      <c r="AJ3" s="520" t="s">
        <v>2</v>
      </c>
      <c r="AK3" s="75"/>
      <c r="AL3" s="778" t="s">
        <v>5633</v>
      </c>
      <c r="AM3" s="778"/>
      <c r="AN3" s="778"/>
      <c r="AO3" s="778"/>
      <c r="AP3" s="778"/>
      <c r="AQ3" s="778"/>
      <c r="AR3" s="778"/>
      <c r="AS3" s="778"/>
      <c r="AT3" s="81" t="s">
        <v>265</v>
      </c>
      <c r="AU3" s="82"/>
      <c r="AV3" s="83"/>
      <c r="AW3" s="312" t="s">
        <v>188</v>
      </c>
      <c r="AX3" s="84"/>
      <c r="AY3" s="84"/>
      <c r="AZ3" s="84"/>
      <c r="BA3" s="84"/>
      <c r="BB3" s="84"/>
      <c r="BC3" s="84"/>
      <c r="BD3" s="84"/>
      <c r="BE3" s="776" t="s">
        <v>3</v>
      </c>
      <c r="BF3" s="776"/>
      <c r="BG3" s="86"/>
    </row>
    <row r="4" spans="1:69" ht="12" customHeight="1" x14ac:dyDescent="0.25">
      <c r="A4" s="831"/>
      <c r="B4" s="831"/>
      <c r="C4" s="568"/>
      <c r="D4" s="573"/>
      <c r="E4" s="571"/>
      <c r="F4" s="572"/>
      <c r="G4" s="514" t="s">
        <v>4</v>
      </c>
      <c r="H4" s="583" t="s">
        <v>286</v>
      </c>
      <c r="I4" s="576"/>
      <c r="J4" s="577" t="str">
        <f>IF(NoWarrantyDiscount&gt;0,"Total, 2 Discounts:","T2G Delivery Total:")</f>
        <v>T2G Delivery Total:</v>
      </c>
      <c r="K4" s="827">
        <f>IF(D2="Delivered","(see below)",IF(D2="Completed","(see below)",T2GDeliveryTotal))</f>
        <v>0</v>
      </c>
      <c r="L4" s="827"/>
      <c r="M4" s="581"/>
      <c r="N4" s="72"/>
      <c r="O4" s="72"/>
      <c r="P4" s="72"/>
      <c r="Q4" s="72"/>
      <c r="R4" s="72"/>
      <c r="S4" s="72"/>
      <c r="T4" s="73"/>
      <c r="U4" s="213"/>
      <c r="V4" s="213"/>
      <c r="W4" s="213"/>
      <c r="X4" s="74"/>
      <c r="Y4" s="74"/>
      <c r="Z4" s="649"/>
      <c r="AA4" s="645"/>
      <c r="AB4" s="652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87" t="str">
        <f>IF(MileageFeeMessage="Extra Discount for Warranty Delete","ELP Total with 2 Discounts","Edison Planting Total")</f>
        <v>Edison Planting Total</v>
      </c>
      <c r="AD4" s="787"/>
      <c r="AE4" s="787"/>
      <c r="AF4" s="647"/>
      <c r="AG4" s="647"/>
      <c r="AH4" s="648"/>
      <c r="AI4" s="87"/>
      <c r="AJ4" s="587">
        <f>T2G_Delivery_Total+PlantingTotalHeader</f>
        <v>0</v>
      </c>
      <c r="AK4" s="313"/>
      <c r="AL4" s="781" t="s">
        <v>165</v>
      </c>
      <c r="AM4" s="781"/>
      <c r="AN4" s="781"/>
      <c r="AO4" s="781"/>
      <c r="AP4" s="781"/>
      <c r="AQ4" s="781"/>
      <c r="AR4" s="781"/>
      <c r="AS4" s="781"/>
      <c r="AT4" s="781"/>
      <c r="AU4" s="89"/>
      <c r="AV4" s="90"/>
      <c r="AW4" s="777" t="s">
        <v>167</v>
      </c>
      <c r="AX4" s="777"/>
      <c r="AY4" s="777"/>
      <c r="AZ4" s="777"/>
      <c r="BA4" s="777"/>
      <c r="BB4" s="777"/>
      <c r="BC4" s="777"/>
      <c r="BD4" s="777"/>
      <c r="BE4" s="777"/>
      <c r="BF4" s="85" t="s">
        <v>248</v>
      </c>
      <c r="BG4" s="55"/>
    </row>
    <row r="5" spans="1:69" ht="12" customHeight="1" thickBot="1" x14ac:dyDescent="0.3">
      <c r="A5" s="824"/>
      <c r="B5" s="824"/>
      <c r="C5" s="566"/>
      <c r="D5" s="819" t="str">
        <f>IF(PriceitQODC="Delivered","Thank You!",IF(PriceitQODC="Completed","Thank You!",""))</f>
        <v/>
      </c>
      <c r="E5" s="819"/>
      <c r="F5" s="819"/>
      <c r="G5" s="514" t="s">
        <v>5</v>
      </c>
      <c r="H5" s="583" t="s">
        <v>287</v>
      </c>
      <c r="I5" s="564"/>
      <c r="J5" s="564"/>
      <c r="K5" s="818" t="str">
        <f>CONCATENATE(TotalPlantsG,IF(TotalPlantsG=1," Plant"," Plants"))</f>
        <v>0 Plants</v>
      </c>
      <c r="L5" s="818"/>
      <c r="M5" s="581"/>
      <c r="N5" s="80"/>
      <c r="O5" s="80"/>
      <c r="P5" s="80"/>
      <c r="Q5" s="80"/>
      <c r="R5" s="80"/>
      <c r="S5" s="80"/>
      <c r="T5" s="73"/>
      <c r="U5" s="213"/>
      <c r="V5" s="213"/>
      <c r="W5" s="213"/>
      <c r="X5" s="74"/>
      <c r="Y5" s="74"/>
      <c r="Z5" s="653"/>
      <c r="AA5" s="654"/>
      <c r="AB5" s="655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88" t="str">
        <f>IF(OR(PlanterYesMe="No",PlanterYesMe="N",PlanterYesMe="me"),"Installed by Edison",IF(OR(PlanterYesMe="yes",PlanterYesMe="y"),"for Edison to Install","Quoted with Planting"))</f>
        <v>Quoted with Planting</v>
      </c>
      <c r="AD5" s="788"/>
      <c r="AE5" s="788"/>
      <c r="AF5" s="656"/>
      <c r="AG5" s="656"/>
      <c r="AH5" s="657"/>
      <c r="AI5" s="87"/>
      <c r="AJ5" s="314" t="str">
        <f>IF(T2GDiscount=0,"with tax &amp; discount",IF(PlanterDiscountHeader="0%","with tax &amp; discount",IF(PlanterDiscountHeader=0,"with tax &amp; discount","with tax &amp; discounts")))</f>
        <v>with tax &amp; discount</v>
      </c>
      <c r="AK5" s="88"/>
      <c r="AL5" s="782" t="s">
        <v>2525</v>
      </c>
      <c r="AM5" s="782"/>
      <c r="AN5" s="782"/>
      <c r="AO5" s="782"/>
      <c r="AP5" s="782"/>
      <c r="AQ5" s="782"/>
      <c r="AR5" s="782"/>
      <c r="AS5" s="782"/>
      <c r="AT5" s="782"/>
      <c r="AU5" s="89"/>
      <c r="AV5" s="91"/>
      <c r="AW5" s="312" t="s">
        <v>4591</v>
      </c>
      <c r="AX5" s="283"/>
      <c r="AY5" s="283"/>
      <c r="AZ5" s="283"/>
      <c r="BA5" s="283"/>
      <c r="BB5" s="283"/>
      <c r="BC5" s="283"/>
      <c r="BD5" s="283"/>
      <c r="BE5" s="283"/>
      <c r="BF5" s="283"/>
      <c r="BG5" s="55"/>
    </row>
    <row r="6" spans="1:69" ht="12" customHeight="1" thickTop="1" thickBot="1" x14ac:dyDescent="0.3">
      <c r="A6" s="569"/>
      <c r="B6" s="569"/>
      <c r="C6" s="570" t="s">
        <v>3165</v>
      </c>
      <c r="D6" s="574"/>
      <c r="E6" s="575" t="s">
        <v>3164</v>
      </c>
      <c r="F6" s="575"/>
      <c r="G6" s="515" t="s">
        <v>6</v>
      </c>
      <c r="H6" s="575" t="s">
        <v>288</v>
      </c>
      <c r="I6" s="578" t="s">
        <v>2548</v>
      </c>
      <c r="J6" s="578" t="s">
        <v>7</v>
      </c>
      <c r="K6" s="579" t="s">
        <v>281</v>
      </c>
      <c r="L6" s="580"/>
      <c r="M6" s="581"/>
      <c r="N6" s="579" t="str">
        <f>IF(BeforeDiscountWithTax&gt;200,"Subtotals with Tax/Discount","First Letter ↑ of plant name")</f>
        <v>First Letter ↑ of plant name</v>
      </c>
      <c r="O6" s="624"/>
      <c r="P6" s="624"/>
      <c r="Q6" s="624"/>
      <c r="R6" s="624"/>
      <c r="S6" s="72"/>
      <c r="T6" s="213"/>
      <c r="U6" s="213"/>
      <c r="V6" s="213"/>
      <c r="W6" s="213"/>
      <c r="X6" s="213"/>
      <c r="Y6" s="213"/>
      <c r="Z6" s="803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804"/>
      <c r="AB6" s="804"/>
      <c r="AC6" s="804"/>
      <c r="AD6" s="637" t="str">
        <f>IF(OR(PlanterYesMe="yes",PlanterYesMe="y"),"type",IF(PlanterYesMe="","type",""))</f>
        <v>type</v>
      </c>
      <c r="AE6" s="638" t="str">
        <f>IF(OR(PlanterYesMe="yes",PlanterYesMe="y"),"'me'",IF(PlanterYesMe="","'me'","No"))</f>
        <v>'me'</v>
      </c>
      <c r="AF6" s="806" t="str">
        <f>IF(OR(PlanterYesMe="yes",PlanterYesMe="y"),"over 'ELP' to self-plant any",IF(PlanterYesMe="","by any plant, to self-plant","planting requested"))</f>
        <v>by any plant, to self-plant</v>
      </c>
      <c r="AG6" s="806"/>
      <c r="AH6" s="807"/>
      <c r="AJ6" s="311" t="s">
        <v>278</v>
      </c>
      <c r="AK6" s="93"/>
      <c r="AL6" s="688" t="s">
        <v>5635</v>
      </c>
      <c r="AM6" s="689"/>
      <c r="AN6" s="689"/>
      <c r="AO6" s="690"/>
      <c r="AP6" s="687"/>
      <c r="AQ6" s="783" t="s">
        <v>5634</v>
      </c>
      <c r="AR6" s="784"/>
      <c r="AS6" s="784"/>
      <c r="AT6" s="785"/>
      <c r="AU6" s="94"/>
      <c r="AV6" s="91"/>
      <c r="AW6" s="312" t="s">
        <v>5636</v>
      </c>
      <c r="AX6" s="283"/>
      <c r="AY6" s="283"/>
      <c r="AZ6" s="283"/>
      <c r="BA6" s="283"/>
      <c r="BB6" s="283"/>
      <c r="BC6" s="283"/>
      <c r="BD6" s="283"/>
      <c r="BE6" s="283"/>
      <c r="BF6" s="283"/>
      <c r="BG6" s="55"/>
    </row>
    <row r="7" spans="1:69" s="95" customFormat="1" ht="21" customHeight="1" thickTop="1" thickBot="1" x14ac:dyDescent="0.25">
      <c r="A7" s="825" t="s">
        <v>4306</v>
      </c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790" t="str">
        <f>IF(MSTryEO="try","to Search ~ first click within embed ~ CTRL+F (Win)  •  ⌘+F (Mac)","Search: CTRL+F (Win)  •  ⌘+F (Mac)")</f>
        <v>Search: CTRL+F (Win)  •  ⌘+F (Mac)</v>
      </c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  <c r="Z7" s="805" t="s">
        <v>3881</v>
      </c>
      <c r="AA7" s="805"/>
      <c r="AB7" s="805"/>
      <c r="AC7" s="805"/>
      <c r="AD7" s="805"/>
      <c r="AE7" s="805"/>
      <c r="AF7" s="805"/>
      <c r="AG7" s="805"/>
      <c r="AH7" s="805"/>
      <c r="AI7" s="315"/>
      <c r="AJ7" s="281"/>
      <c r="AK7" s="316"/>
      <c r="AV7" s="96"/>
      <c r="AW7" s="617" t="str">
        <f>IF(OR(MSTryEO="eo",MSTryEO="ms",MSTryEO="try"),BA7,"")</f>
        <v>KEY TO BRANDS:</v>
      </c>
      <c r="AX7" s="618"/>
      <c r="AY7" s="618"/>
      <c r="AZ7" s="619"/>
      <c r="BA7" s="324" t="s">
        <v>285</v>
      </c>
      <c r="BB7" s="620"/>
      <c r="BC7" s="616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</row>
    <row r="8" spans="1:69" ht="15" customHeight="1" thickTop="1" thickBot="1" x14ac:dyDescent="0.3">
      <c r="A8" s="285"/>
      <c r="B8" s="286"/>
      <c r="C8" s="692" t="s">
        <v>5635</v>
      </c>
      <c r="D8" s="693"/>
      <c r="E8" s="694"/>
      <c r="F8" s="285"/>
      <c r="G8" s="835" t="s">
        <v>5634</v>
      </c>
      <c r="H8" s="836"/>
      <c r="I8" s="837"/>
      <c r="J8" s="829" t="str">
        <f>IF(PriceitQODC="Quote","choose ANY options",IF(PriceitQODC="Order","919-266-7939",IF(PriceitQODC="Delivered","Mike@Trees2Go.com",IF(PriceitQODC="Completed","Mike@Trees2Go.com",IF(TotalPlantsG&gt;0,"","")))))</f>
        <v/>
      </c>
      <c r="K8" s="829"/>
      <c r="L8" s="830"/>
      <c r="M8" s="287"/>
      <c r="N8" s="809"/>
      <c r="O8" s="809"/>
      <c r="P8" s="809"/>
      <c r="Q8" s="809"/>
      <c r="R8" s="809"/>
      <c r="S8" s="809"/>
      <c r="T8" s="809"/>
      <c r="U8" s="809"/>
      <c r="V8" s="809"/>
      <c r="W8" s="809"/>
      <c r="X8" s="809"/>
      <c r="Y8" s="809"/>
      <c r="Z8" s="809"/>
      <c r="AA8" s="810"/>
      <c r="AB8" s="288" t="str">
        <f>IF(COUNTIF($A$13:$A$4236,"")&gt;100,"Edison Fees","Edison Fees")</f>
        <v>Edison Fees</v>
      </c>
      <c r="AC8" s="808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808"/>
      <c r="AE8" s="808"/>
      <c r="AF8" s="808"/>
      <c r="AG8" s="808"/>
      <c r="AH8" s="808"/>
      <c r="AI8" s="317"/>
      <c r="AJ8" s="318"/>
      <c r="AK8" s="316"/>
      <c r="AL8" s="691" t="s">
        <v>249</v>
      </c>
      <c r="AM8" s="691"/>
      <c r="AN8" s="691"/>
      <c r="AO8" s="319"/>
      <c r="AP8" s="320" t="s">
        <v>244</v>
      </c>
      <c r="AQ8" s="319"/>
      <c r="AR8" s="321"/>
      <c r="AS8" s="321"/>
      <c r="AT8" s="321"/>
      <c r="AU8" s="321"/>
      <c r="AV8" s="97"/>
      <c r="AW8" s="621" t="str">
        <f>IF(OR(MSTryEO="eo",MSTryEO="ms",MSTryEO="try"),BC8,"")</f>
        <v>BB® = Bushel and Berry®</v>
      </c>
      <c r="AX8" s="621"/>
      <c r="AY8" s="622"/>
      <c r="AZ8" s="621" t="str">
        <f>IF(OR(MSTryEO="eo",MSTryEO="ms",MSTryEO="try"),BE8,"")</f>
        <v>ES® = Endless Summer®</v>
      </c>
      <c r="BA8" s="621" t="str">
        <f>IF(OR(MSTryEO="eo",MSTryEO="ms",MSTryEO="try"),BH8,"")</f>
        <v>HGC® = Helleborus Gold Collection®</v>
      </c>
      <c r="BB8" s="621" t="str">
        <f>IF(OR(MSTryEO="eo",MSTryEO="ms",MSTryEO="try"),BL8,"")</f>
        <v>PW® = Proven Winners®</v>
      </c>
      <c r="BC8" s="556" t="s">
        <v>3125</v>
      </c>
      <c r="BD8" s="98"/>
      <c r="BE8" s="556" t="s">
        <v>3134</v>
      </c>
      <c r="BF8" s="557"/>
      <c r="BG8" s="557"/>
      <c r="BH8" s="556" t="s">
        <v>3965</v>
      </c>
      <c r="BI8" s="557"/>
      <c r="BJ8" s="557"/>
      <c r="BK8" s="558"/>
      <c r="BL8" s="556" t="s">
        <v>3963</v>
      </c>
      <c r="BM8" s="557"/>
      <c r="BN8" s="558"/>
      <c r="BO8" s="98"/>
      <c r="BP8" s="149"/>
      <c r="BQ8" s="135"/>
    </row>
    <row r="9" spans="1:69" ht="15" customHeight="1" thickTop="1" thickBot="1" x14ac:dyDescent="0.3">
      <c r="A9" s="289"/>
      <c r="B9" s="284"/>
      <c r="C9" s="99"/>
      <c r="D9" s="99"/>
      <c r="E9" s="99"/>
      <c r="F9" s="290"/>
      <c r="G9" s="99"/>
      <c r="H9" s="589" t="str">
        <f>IF(AND(NoWarrantyDiscount&gt;0,includes_Free_Local_Delivery="Discount for Warranty Delete"),"NO WARRANTY APPLIES ~ Initial Quality is","2-Year+, no-fault, 50% OFF Warranty applies ~ Initial Quality is")</f>
        <v>2-Year+, no-fault, 50% OFF Warranty applies ~ Initial Quality is</v>
      </c>
      <c r="I9" s="822"/>
      <c r="J9" s="822"/>
      <c r="K9" s="584" t="s">
        <v>275</v>
      </c>
      <c r="L9" s="820" t="s">
        <v>3882</v>
      </c>
      <c r="M9" s="821"/>
      <c r="N9" s="801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801"/>
      <c r="P9" s="801"/>
      <c r="Q9" s="801"/>
      <c r="R9" s="801"/>
      <c r="S9" s="802" t="str">
        <f>IF(Utilities="n","",IF(Utilities="no","","811"))</f>
        <v>811</v>
      </c>
      <c r="T9" s="802"/>
      <c r="U9" s="802"/>
      <c r="V9" s="802"/>
      <c r="W9" s="802"/>
      <c r="X9" s="802"/>
      <c r="Y9" s="802"/>
      <c r="Z9" s="100"/>
      <c r="AA9" s="100"/>
      <c r="AB9" s="291"/>
      <c r="AC9" s="292"/>
      <c r="AD9" s="585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38"/>
      <c r="AF9" s="811" t="str">
        <f>IF(OR(PlanterYesMe="No",PlanterYesMe="N",PlanterYesMe="me"),"⇐ type 'yes' for Edison","⇐ type 'no' if NO Edison")</f>
        <v>⇐ type 'no' if NO Edison</v>
      </c>
      <c r="AG9" s="811"/>
      <c r="AH9" s="811"/>
      <c r="AJ9" s="101"/>
      <c r="AL9" s="780" t="s">
        <v>243</v>
      </c>
      <c r="AM9" s="780"/>
      <c r="AN9" s="780"/>
      <c r="AO9" s="102"/>
      <c r="AP9" s="320" t="s">
        <v>270</v>
      </c>
      <c r="AQ9" s="319"/>
      <c r="AR9" s="321"/>
      <c r="AS9" s="321"/>
      <c r="AT9" s="321"/>
      <c r="AU9" s="321"/>
      <c r="AV9" s="97"/>
      <c r="AW9" s="621" t="str">
        <f>IF(OR(MSTryEO="eo",MSTryEO="ms",MSTryEO="try"),BC9,"")</f>
        <v>BC® = Butterfly Candy®</v>
      </c>
      <c r="AX9" s="621"/>
      <c r="AY9" s="622"/>
      <c r="AZ9" s="621" t="str">
        <f>IF(OR(MSTryEO="eo",MSTryEO="ms",MSTryEO="try"),BE9,"")</f>
        <v>FE® = First Editions®</v>
      </c>
      <c r="BA9" s="621" t="str">
        <f>IF(OR(MSTryEO="eo",MSTryEO="ms",MSTryEO="try"),BH9,"")</f>
        <v>HOH® = Head Over Heels®</v>
      </c>
      <c r="BB9" s="621" t="str">
        <f>IF(OR(MSTryEO="eo",MSTryEO="ms",MSTryEO="try"),BL9,"")</f>
        <v>RH® = Royal Hawaiian®</v>
      </c>
      <c r="BC9" s="556" t="s">
        <v>3128</v>
      </c>
      <c r="BD9" s="98"/>
      <c r="BE9" s="556" t="s">
        <v>3126</v>
      </c>
      <c r="BF9" s="98"/>
      <c r="BG9" s="98"/>
      <c r="BH9" s="556" t="s">
        <v>3966</v>
      </c>
      <c r="BI9" s="98"/>
      <c r="BJ9" s="98"/>
      <c r="BK9" s="558"/>
      <c r="BL9" s="556" t="s">
        <v>3964</v>
      </c>
      <c r="BM9" s="559"/>
      <c r="BN9" s="558"/>
      <c r="BO9" s="98"/>
      <c r="BP9" s="149"/>
      <c r="BQ9" s="135"/>
    </row>
    <row r="10" spans="1:69" ht="14.1" customHeight="1" thickTop="1" x14ac:dyDescent="0.25">
      <c r="A10" s="539"/>
      <c r="B10" s="823" t="str">
        <f>IF(OR(PriceitQODC="Price it",PriceitQODC="Price it All!",PriceitQODC=" Price it by TYPE ",PriceitQODC=" Price it by Common ",PriceitQODC=" Price it by Latin "),"LARGE SCREEN RECOMMENDED",IF(PriceitQODC="Quote","LARGE SCREEN RECOMMENDED",IF(PriceitQODC="Order","",IF(PriceitQODC="Delivered","",""))))</f>
        <v>LARGE SCREEN RECOMMENDED</v>
      </c>
      <c r="C10" s="823"/>
      <c r="D10" s="823"/>
      <c r="E10" s="293"/>
      <c r="F10" s="216"/>
      <c r="G10" s="294" t="str">
        <f>IF(OR(PlanterYesMe="No",PlanterYesMe="N",PlanterYesMe="me"),"Delivery-only.",IF(OR(PlanterYesMe="yes",PlanterYesMe="y"),"Install requested.","want planting?"))</f>
        <v>want planting?</v>
      </c>
      <c r="H10" s="634" t="str">
        <f>IF(OR(PlanterYesMe="No",PlanterYesMe="N",PlanterYesMe="me"),"Pass on",IF(OR(PlanterYesMe="yes",PlanterYesMe="y"),"Bring in","Consider"))</f>
        <v>Consider</v>
      </c>
      <c r="I10" s="635" t="str">
        <f>IF(OR(PlanterYesMe="No",PlanterYesMe="N",PlanterYesMe="me"),"Edison's Planting","Edison Planting ►")</f>
        <v>Edison Planting ►</v>
      </c>
      <c r="J10" s="295"/>
      <c r="K10" s="296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40"/>
      <c r="M10" s="297"/>
      <c r="N10" s="298"/>
      <c r="O10" s="299"/>
      <c r="P10" s="300"/>
      <c r="Q10" s="300"/>
      <c r="R10" s="300"/>
      <c r="S10" s="300"/>
      <c r="T10" s="301"/>
      <c r="U10" s="302"/>
      <c r="V10" s="302"/>
      <c r="W10" s="300"/>
      <c r="X10" s="300"/>
      <c r="Y10" s="303"/>
      <c r="Z10" s="300"/>
      <c r="AA10" s="304"/>
      <c r="AB10" s="305"/>
      <c r="AC10" s="103"/>
      <c r="AD10" s="104"/>
      <c r="AE10" s="306" t="s">
        <v>2523</v>
      </c>
      <c r="AF10" s="307"/>
      <c r="AG10" s="307"/>
      <c r="AH10" s="307"/>
      <c r="AI10" s="105"/>
      <c r="AJ10" s="325"/>
      <c r="AK10" s="105"/>
      <c r="AL10" s="307"/>
      <c r="AM10" s="307"/>
      <c r="AN10" s="307"/>
      <c r="AO10" s="322"/>
      <c r="AP10" s="320" t="s">
        <v>245</v>
      </c>
      <c r="AQ10" s="319"/>
      <c r="AR10" s="321"/>
      <c r="AS10" s="321"/>
      <c r="AT10" s="321"/>
      <c r="AU10" s="321"/>
      <c r="AV10" s="97"/>
      <c r="AW10" s="621" t="str">
        <f>IF(OR(MSTryEO="eo",MSTryEO="ms",MSTryEO="try"),BC10,"")</f>
        <v>BE® = Bloomin’ Easy®</v>
      </c>
      <c r="AX10" s="621"/>
      <c r="AY10" s="622"/>
      <c r="AZ10" s="621" t="str">
        <f>IF(OR(MSTryEO="eo",MSTryEO="ms",MSTryEO="try"),BE10,"")</f>
        <v>FP® = Flutterby Petite®</v>
      </c>
      <c r="BA10" s="621" t="str">
        <f>IF(OR(MSTryEO="eo",MSTryEO="ms",MSTryEO="try"),BH10,"")</f>
        <v>L&amp;B® = Lo &amp; Behold®</v>
      </c>
      <c r="BB10" s="621" t="str">
        <f>IF(OR(MSTryEO="eo",MSTryEO="ms",MSTryEO="try"),BL10,"")</f>
        <v>SB® = Sugar Buzz®</v>
      </c>
      <c r="BC10" s="556" t="s">
        <v>3131</v>
      </c>
      <c r="BD10" s="98"/>
      <c r="BE10" s="556" t="s">
        <v>3129</v>
      </c>
      <c r="BF10" s="98"/>
      <c r="BG10" s="98"/>
      <c r="BH10" s="556" t="s">
        <v>3133</v>
      </c>
      <c r="BI10" s="98"/>
      <c r="BJ10" s="98"/>
      <c r="BK10" s="98"/>
      <c r="BL10" s="556" t="s">
        <v>3127</v>
      </c>
      <c r="BM10" s="559"/>
      <c r="BN10" s="558"/>
      <c r="BO10" s="98"/>
      <c r="BP10" s="149"/>
      <c r="BQ10" s="135"/>
    </row>
    <row r="11" spans="1:69" ht="14.1" customHeight="1" x14ac:dyDescent="0.25">
      <c r="A11" s="832" t="s">
        <v>280</v>
      </c>
      <c r="B11" s="832"/>
      <c r="C11" s="308"/>
      <c r="D11" s="215"/>
      <c r="E11" s="215"/>
      <c r="F11" s="215"/>
      <c r="G11" s="215"/>
      <c r="H11" s="215"/>
      <c r="I11" s="215"/>
      <c r="J11" s="215"/>
      <c r="K11" s="252"/>
      <c r="L11" s="252"/>
      <c r="M11" s="215"/>
      <c r="N11" s="215"/>
      <c r="O11"/>
      <c r="P11"/>
      <c r="Q11"/>
      <c r="R11"/>
      <c r="S11"/>
      <c r="T11"/>
      <c r="U11"/>
      <c r="V11"/>
      <c r="W11"/>
      <c r="X11"/>
      <c r="Y11"/>
      <c r="Z11" s="791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791"/>
      <c r="AB11" s="791"/>
      <c r="AC11" s="791"/>
      <c r="AD11" s="791"/>
      <c r="AE11" s="792" t="s">
        <v>3282</v>
      </c>
      <c r="AF11" s="793"/>
      <c r="AG11" s="793"/>
      <c r="AH11" s="793"/>
      <c r="AJ11" s="326"/>
      <c r="AK11" s="106"/>
      <c r="AL11" s="691"/>
      <c r="AM11" s="691"/>
      <c r="AN11" s="691"/>
      <c r="AO11" s="686"/>
      <c r="AP11" s="320" t="s">
        <v>250</v>
      </c>
      <c r="AQ11" s="319"/>
      <c r="AR11" s="321"/>
      <c r="AS11" s="321"/>
      <c r="AT11" s="321"/>
      <c r="AU11" s="321"/>
      <c r="AW11" s="621" t="str">
        <f>IF(OR(MSTryEO="eo",MSTryEO="ms",MSTryEO="try"),BC11,"")</f>
        <v>DP® = Double Play®</v>
      </c>
      <c r="AX11" s="621"/>
      <c r="AY11" s="623"/>
      <c r="AZ11" s="621" t="str">
        <f>IF(OR(MSTryEO="eo",MSTryEO="ms",MSTryEO="try"),BE11,"")</f>
        <v>GG® = Garden Gems®</v>
      </c>
      <c r="BA11" s="621" t="str">
        <f>IF(OR(MSTryEO="eo",MSTryEO="ms",MSTryEO="try"),BH11,"")</f>
        <v>PS® = Proven Selections®</v>
      </c>
      <c r="BB11" s="621" t="str">
        <f>IF(OR(MSTryEO="eo",MSTryEO="ms",MSTryEO="try"),BL11,"")</f>
        <v>WP® = Wedding Party®</v>
      </c>
      <c r="BC11" s="556" t="s">
        <v>3132</v>
      </c>
      <c r="BD11" s="98"/>
      <c r="BE11" s="556" t="s">
        <v>3967</v>
      </c>
      <c r="BF11" s="98"/>
      <c r="BG11" s="98"/>
      <c r="BH11" s="556" t="s">
        <v>3135</v>
      </c>
      <c r="BI11" s="98"/>
      <c r="BJ11" s="98"/>
      <c r="BK11" s="98"/>
      <c r="BL11" s="556" t="s">
        <v>3130</v>
      </c>
      <c r="BM11" s="559"/>
      <c r="BN11" s="558"/>
      <c r="BO11" s="98"/>
      <c r="BP11" s="149"/>
      <c r="BQ11" s="135"/>
    </row>
    <row r="12" spans="1:69" ht="17.100000000000001" customHeight="1" x14ac:dyDescent="0.25">
      <c r="A12" s="832"/>
      <c r="B12" s="832"/>
      <c r="C12" s="215"/>
      <c r="D12" s="215"/>
      <c r="E12" s="215"/>
      <c r="F12" s="215"/>
      <c r="G12" s="227"/>
      <c r="H12" s="215"/>
      <c r="I12" s="215"/>
      <c r="J12" s="215"/>
      <c r="K12" s="215"/>
      <c r="L12" s="541"/>
      <c r="M12" s="215"/>
      <c r="N12" s="215"/>
      <c r="O12"/>
      <c r="P12"/>
      <c r="Q12"/>
      <c r="R12"/>
      <c r="S12"/>
      <c r="T12"/>
      <c r="U12"/>
      <c r="V12"/>
      <c r="W12"/>
      <c r="X12"/>
      <c r="Y12"/>
      <c r="Z12" s="794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94"/>
      <c r="AB12" s="794"/>
      <c r="AC12" s="794"/>
      <c r="AD12" s="794"/>
      <c r="AE12" s="214"/>
      <c r="AF12" s="795" t="s">
        <v>2524</v>
      </c>
      <c r="AG12" s="796"/>
      <c r="AH12" s="797"/>
      <c r="AI12" s="108"/>
      <c r="AJ12" s="326" t="str">
        <f ca="1">IF(AND(ISREF(H12),H12="credit"),"",IF(AND(AND(OFFSET(G12,0,0)=0,OFFSET(G12,1,0)&gt;0,ISNUMBER(OFFSET(AC12,1,0)),OFFSET(AC12,1,0)&gt;0),OR(PlanterYesMe="yes",PlanterYesMe="y")),"T2G+ELP=",IF(AND(OFFSET(G12,0,0)=0,OFFSET(G12,1,0)&gt;0,ISNUMBER(OFFSET(AC12,1,0)),OFFSET(AC12,1,0)&gt;0),"if T2G+ELP=",IF(AND(OFFSET(G12,0,0)=0,OFFSET(G12,1,0)&gt;0),"T2G Subtotal",IF(H12="credit","",IF(G12=0,"",IF(AE12="free",(K12*(1-T2GDiscount)),IF(OR(PlanterYesMe="No",PlanterYesMe="N",PlanterYesMe="me"),(K12*(1-T2GDiscount)),IF(OR(AE12="me",AE12="T2G"),(K12*(1-T2GDiscount)),(K12*(1-T2GDiscount))+AC12)))))))))</f>
        <v/>
      </c>
      <c r="AK12" s="789" t="str">
        <f t="shared" ref="AK12:AK13" si="0">IF(H12="credit","",IF(G12=0,"",IF(OR(AE12="me",AE12="T2G"),"  delivery-only",IF(OR(PlanterYesMe="No",PlanterYesMe="N",PlanterYesMe="me"),"  delivery-only",CONCATENATE(" $",ROUND(AJ12/G12,2)," each")))))</f>
        <v/>
      </c>
      <c r="AL12" s="789"/>
      <c r="AM12" s="112" t="str">
        <f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13"/>
      <c r="AO12" s="109"/>
      <c r="AP12" s="109"/>
      <c r="AQ12" s="109"/>
      <c r="AR12" s="109"/>
      <c r="AS12" s="109"/>
      <c r="AT12" s="109"/>
      <c r="AU12" s="109"/>
      <c r="AY12" s="97"/>
      <c r="BB12" s="135"/>
      <c r="BC12" s="135"/>
      <c r="BD12" s="135"/>
      <c r="BE12" s="135"/>
      <c r="BF12" s="107"/>
      <c r="BH12" s="107"/>
      <c r="BI12" s="107"/>
    </row>
    <row r="13" spans="1:69" customFormat="1" ht="17.100000000000001" customHeight="1" thickBot="1" x14ac:dyDescent="0.35">
      <c r="A13" s="833"/>
      <c r="B13" s="833"/>
      <c r="C13" s="215"/>
      <c r="D13" s="215"/>
      <c r="E13" s="215"/>
      <c r="F13" s="215"/>
      <c r="G13" s="215"/>
      <c r="H13" s="215"/>
      <c r="I13" s="228"/>
      <c r="J13" s="228"/>
      <c r="K13" s="229"/>
      <c r="L13" s="542"/>
      <c r="M13" s="215"/>
      <c r="N13" s="586" t="str">
        <f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3" s="504" t="s">
        <v>2839</v>
      </c>
      <c r="Z13" s="110">
        <f t="shared" ref="Z13" si="1">IF(H13="credit",G13,0)</f>
        <v>0</v>
      </c>
      <c r="AA13" s="111"/>
      <c r="AB13" s="111"/>
      <c r="AC13" s="812"/>
      <c r="AD13" s="812"/>
      <c r="AE13" s="214"/>
      <c r="AF13" s="798"/>
      <c r="AG13" s="799"/>
      <c r="AH13" s="800"/>
      <c r="AI13" s="108">
        <f>IF(H13="credit",0,IF(AE13="free",0,IF(AE13="me",0,IF(G13&gt;0,(VLOOKUP(A12,'Discount Lookup'!J:K,2)*G13),0))))</f>
        <v>0</v>
      </c>
      <c r="AJ13" s="326"/>
      <c r="AK13" s="789" t="str">
        <f t="shared" si="0"/>
        <v/>
      </c>
      <c r="AL13" s="789"/>
      <c r="AM13" s="112"/>
      <c r="AN13" s="113"/>
      <c r="AO13" s="109"/>
      <c r="AP13" s="109"/>
      <c r="AQ13" s="109"/>
      <c r="AR13" s="109"/>
      <c r="AS13" s="109"/>
      <c r="AT13" s="109"/>
      <c r="AU13" s="109"/>
      <c r="AV13" s="56"/>
      <c r="AW13" s="56"/>
      <c r="AX13" s="56"/>
      <c r="AY13" s="56"/>
      <c r="AZ13" s="56"/>
      <c r="BA13" s="56"/>
      <c r="BB13" s="135"/>
      <c r="BC13" s="135"/>
      <c r="BD13" s="135"/>
      <c r="BE13" s="135"/>
      <c r="BF13" s="107" t="str">
        <f t="shared" ref="BF13" si="2">"https://www.google.com/search?tbm=isch&amp;q=" &amp; _xlfn.ENCODEURL($A13 &amp; " " &amp; $D13)</f>
        <v>https://www.google.com/search?tbm=isch&amp;q=%20</v>
      </c>
      <c r="BG13" s="107">
        <f>IF(ISTEXT(A12),LEFT(A12,1),BG12)</f>
        <v>0</v>
      </c>
      <c r="BH13" s="254"/>
      <c r="BI13" s="254"/>
    </row>
    <row r="14" spans="1:69" customFormat="1" ht="18" x14ac:dyDescent="0.25">
      <c r="A14" s="521" t="s">
        <v>5292</v>
      </c>
      <c r="B14" s="477"/>
      <c r="C14" s="674"/>
      <c r="D14" s="478" t="s">
        <v>491</v>
      </c>
      <c r="E14" s="479"/>
      <c r="F14" s="479"/>
      <c r="G14" s="479"/>
      <c r="H14" s="582" t="s">
        <v>407</v>
      </c>
      <c r="I14" s="480" t="s">
        <v>2322</v>
      </c>
      <c r="J14" s="479"/>
      <c r="K14" s="479"/>
      <c r="L14" s="560"/>
      <c r="M14" s="666" t="s">
        <v>4966</v>
      </c>
      <c r="N14" s="680" t="str">
        <f>IF(AND(ISTEXT($A14), ISERROR($A14+0)), HYPERLINK($BF14, "Images"), "")</f>
        <v>Images</v>
      </c>
      <c r="O14" s="662" t="s">
        <v>4967</v>
      </c>
      <c r="P14" s="482"/>
      <c r="Q14" s="483"/>
      <c r="R14" s="483"/>
      <c r="S14" s="484"/>
      <c r="T14" s="508">
        <f t="shared" ref="T14:T77" si="3">E14*G14</f>
        <v>0</v>
      </c>
      <c r="U14" s="225" t="str">
        <f>IF(NOT(ISNUMBER(G14)), "", VLOOKUP(A14,'Discount Lookup'!D:E,2,FALSE)*G14)</f>
        <v/>
      </c>
      <c r="V14" s="225" t="str">
        <f>IF(NOT(ISNUMBER(G14)), "", VLOOKUP(A14,'Discount Lookup'!G:H,2,FALSE)*G14)</f>
        <v/>
      </c>
      <c r="W14" s="508">
        <f t="shared" ref="W14:W77" si="4">IF(H14="credit",0,E14*(SalesTaxPercentage)*G14)</f>
        <v>0</v>
      </c>
      <c r="X14" s="508" t="str">
        <f t="shared" ref="X14:X77" si="5">I14</f>
        <v>Dark Green folaige</v>
      </c>
      <c r="Y14" s="509" t="b">
        <f t="shared" ref="Y14:Y77" si="6">IF(AE14="T2G",0,IF(H14="credit",0,IF(G14&gt;0,IF(AE14="me","",G14))))</f>
        <v>0</v>
      </c>
      <c r="Z14" s="510">
        <f t="shared" ref="Z14:Z77" si="7">IF(H14="credit",G14,0)</f>
        <v>0</v>
      </c>
      <c r="AA14" s="511"/>
      <c r="AB14" s="511" t="str">
        <f t="shared" ref="AB14:AB77" si="8">IF(AE14="T2G","by Trees2Go",IF(H14="credit","CREDIT only ~",IF(AND(K14="",AE14=OR(PlanterYesMe="No",PlanterYesMe="N",PlanterYesMe="me")),"not THIS line⇨",IF(AND(K14="images",AE14="me"),"not THIS line⇨",IF(H14="credit","",IF(G14=0,"",IF(AE14="me","",IF(OR(PlanterYesMe="No",PlanterYesMe="N",PlanterYesMe="me"),"",IF(AE14="free","warranty",IF(OR(PlanterYesMe="yes",PlanterYesMe="y"),"Edison install:","to install:"))))))))))</f>
        <v/>
      </c>
      <c r="AC14" s="698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698"/>
      <c r="AE14" s="631" t="str">
        <f t="shared" ref="AE14:AE77" si="9">IF(H14="credit","",IF(G14=0,"",IF(OR(PlanterYesMe="No",PlanterYesMe="N",PlanterYesMe="me"),"me",IF(H14="warranty","free",IF(OR(PlanterYesMe="yes",PlanterYesMe="y"),"ELP","")))))</f>
        <v/>
      </c>
      <c r="AF14" s="699" t="str">
        <f t="shared" ref="AF14:AF77" si="10">IF(OR(PlanterYesMe="No",PlanterYesMe="N",PlanterYesMe="me"),"",IF(H14="credit","",IF(G14&gt;0,(CONCATENATE((G14)," quantity, ",(A14)," ",B14)),"")))</f>
        <v/>
      </c>
      <c r="AG14" s="699"/>
      <c r="AH14" s="699"/>
      <c r="AI14" s="512">
        <f>IF(H14="credit",0,IF(AE14="free",0,IF(AE14="me",0,IF(G14&gt;0,(VLOOKUP(A14,'Discount Lookup'!J:K,2)*G14),0))))</f>
        <v>0</v>
      </c>
      <c r="AJ14" s="513" t="str">
        <f t="shared" ref="AJ14:AJ77" ca="1" si="11">IF(AND(ISREF(H14),H14="credit"),"",IF(AND(AND(OFFSET(G14,0,0)=0,OFFSET(G14,1,0)&gt;0,ISNUMBER(OFFSET(AC14,1,0)),OFFSET(AC14,1,0)&gt;0),OR(PlanterYesMe="yes",PlanterYesMe="y")),"T2G+ELP=",IF(AND(OFFSET(G14,0,0)=0,OFFSET(G14,1,0)&gt;0,ISNUMBER(OFFSET(AC14,1,0)),OFFSET(AC14,1,0)&gt;0),"if T2G+ELP=",IF(AND(OFFSET(G14,0,0)=0,OFFSET(G14,1,0)&gt;0),"T2G Subtotal",IF(H14="credit","",IF(G14=0,"",IF(AE14="free",(K14*(1-T2GDiscount)),IF(OR(PlanterYesMe="No",PlanterYesMe="N",PlanterYesMe="me"),(K14*(1-T2GDiscount)),IF(OR(AE14="me",AE14="T2G"),(K14*(1-T2GDiscount)),(K14*(1-T2GDiscount))+AC14)))))))))</f>
        <v/>
      </c>
      <c r="AK14" s="700" t="str">
        <f t="shared" ref="AK14:AK77" si="12">IF(H14="credit","",IF(G14=0,"",IF(OR(AE14="me",AE14="T2G"),"  delivery-only",IF(OR(PlanterYesMe="No",PlanterYesMe="N",PlanterYesMe="me"),"  delivery-only",CONCATENATE(" $",ROUND(AJ14/G14,2)," each")))))</f>
        <v/>
      </c>
      <c r="AL14" s="700"/>
      <c r="AM14" s="505" t="str">
        <f t="shared" ref="AM14:AM77" si="13">IF(H14="credit","",IF(AE14="free","      ~ discounts included, no tax or planting fee applies ~",IF(G14=0,"",IF(OR(PlanterYesMe="No",PlanterYesMe="N",PlanterYesMe="me"),CONCATENATE(" $",ROUND(AJ14/G14,2)," per plant, with tax &amp; discount"),IF(OR(AE14="me",AE14="T2G"),CONCATENATE(" $",ROUND(AJ14/G14,2)," per plant, with tax &amp; discount"),CONCATENATE("= $",ROUND((K14*(1-T2GDiscount))/G14,2)," per plant + $",AC14/G14,(" per planting      ~ includes tax &amp; discounts ~")))))))</f>
        <v/>
      </c>
      <c r="AN14" s="506"/>
      <c r="AO14" s="507"/>
      <c r="AP14" s="507"/>
      <c r="AQ14" s="507"/>
      <c r="AR14" s="507"/>
      <c r="AS14" s="507"/>
      <c r="AT14" s="507"/>
      <c r="AU14" s="507"/>
      <c r="AV14" s="225"/>
      <c r="AW14" s="508"/>
      <c r="AX14" s="225"/>
      <c r="AY14" s="225"/>
      <c r="AZ14" s="225"/>
      <c r="BA14" s="225"/>
      <c r="BB14" s="225"/>
      <c r="BC14" s="56"/>
      <c r="BD14" s="56"/>
      <c r="BE14" s="56"/>
      <c r="BF14" s="107" t="str">
        <f t="shared" ref="BF14:BF77" si="14">"https://www.google.com/search?tbm=isch&amp;q=" &amp; _xlfn.ENCODEURL($A14 &amp; " " &amp; $D14)</f>
        <v>https://www.google.com/search?tbm=isch&amp;q=Acadiana%E2%84%A2%20Holly%20Ilex%20%27Magiana%27%20PP%2314418</v>
      </c>
      <c r="BG14" s="107" t="str">
        <f t="shared" ref="BG14:BG77" si="15">IF(ISTEXT(A14),LEFT(A14,1),BG13)</f>
        <v>A</v>
      </c>
      <c r="BH14" s="254"/>
      <c r="BI14" s="254"/>
    </row>
    <row r="15" spans="1:69" customFormat="1" ht="15.75" x14ac:dyDescent="0.25">
      <c r="A15" s="485">
        <v>25</v>
      </c>
      <c r="B15" s="486" t="s">
        <v>291</v>
      </c>
      <c r="C15" s="487" t="s">
        <v>3968</v>
      </c>
      <c r="D15" s="488" t="s">
        <v>300</v>
      </c>
      <c r="E15" s="489">
        <v>378.95</v>
      </c>
      <c r="F15" s="516" t="s">
        <v>293</v>
      </c>
      <c r="G15" s="232">
        <v>0</v>
      </c>
      <c r="H15" s="658" t="str">
        <f>IF(G15=0,"",IF(F15="Buy",IF(G15=1,"plant","plants"),IF(F15&gt;0.01,"warranty","Error")))</f>
        <v/>
      </c>
      <c r="I15" s="490">
        <f>IF(H15="free",0,IF(H15="credit",((E15*(F15))*G15*-1),IF(F15="Buy",(E15*G15),((E15*(1-F15))*G15))))</f>
        <v>0</v>
      </c>
      <c r="J15" s="490">
        <f>IF(H15="warranty",0,(I15*(_xlfn.SINGLE(SalesTaxPercentage))))</f>
        <v>0</v>
      </c>
      <c r="K15" s="695">
        <f t="shared" ref="K15" si="16">I15+J15</f>
        <v>0</v>
      </c>
      <c r="L15" s="695"/>
      <c r="M15" s="659" t="str">
        <f>IF(AND(G15&gt;0,E15=0),"WARNING - no PRICE inserted",IF(H15="free"," FREE ~ no charge this plant",IF(H15="credit",CONCATENATE(" -$",ROUND(K15*(1-T2GDiscount)*-1,2)," CREDIT after discount"),IF(T2GDiscount=0,"",IF(G15=0,"",IF(F15="Buy",CONCATENATE(" $",ROUND(K15*(1-T2GDiscount),2)," with ",(T2GDiscount*100),"% discount"),CONCATENATE(" $",ROUND(K15*(1-T2GDiscount),2)," with ",((T2GDiscount*100+F15*100)-(T2GDiscount*100*F15)),IF(F15&gt;0,"% discounts",IF(NoWarrantyDiscount&gt;0,"% discounts","% discount")))))))))</f>
        <v/>
      </c>
      <c r="N15" s="660"/>
      <c r="O15" s="233"/>
      <c r="P15" s="233"/>
      <c r="Q15" s="233"/>
      <c r="R15" s="233"/>
      <c r="S15" s="233"/>
      <c r="T15" s="508">
        <f t="shared" si="3"/>
        <v>0</v>
      </c>
      <c r="U15" s="225">
        <f>IF(NOT(ISNUMBER(G15)), "", VLOOKUP(A15,'Discount Lookup'!D:E,2,FALSE)*G15)</f>
        <v>0</v>
      </c>
      <c r="V15" s="225">
        <f>IF(NOT(ISNUMBER(G15)), "", VLOOKUP(A15,'Discount Lookup'!G:H,2,FALSE)*G15)</f>
        <v>0</v>
      </c>
      <c r="W15" s="508">
        <f t="shared" si="4"/>
        <v>0</v>
      </c>
      <c r="X15" s="508">
        <f t="shared" si="5"/>
        <v>0</v>
      </c>
      <c r="Y15" s="509" t="b">
        <f t="shared" si="6"/>
        <v>0</v>
      </c>
      <c r="Z15" s="510">
        <f t="shared" si="7"/>
        <v>0</v>
      </c>
      <c r="AA15" s="511"/>
      <c r="AB15" s="511" t="str">
        <f t="shared" si="8"/>
        <v/>
      </c>
      <c r="AC15" s="698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698"/>
      <c r="AE15" s="631" t="str">
        <f t="shared" si="9"/>
        <v/>
      </c>
      <c r="AF15" s="699" t="str">
        <f t="shared" si="10"/>
        <v/>
      </c>
      <c r="AG15" s="699"/>
      <c r="AH15" s="699"/>
      <c r="AI15" s="512">
        <f>IF(H15="credit",0,IF(AE15="free",0,IF(AE15="me",0,IF(G15&gt;0,(VLOOKUP(A15,'Discount Lookup'!J:K,2)*G15),0))))</f>
        <v>0</v>
      </c>
      <c r="AJ15" s="513" t="str">
        <f t="shared" ca="1" si="11"/>
        <v/>
      </c>
      <c r="AK15" s="700" t="str">
        <f t="shared" si="12"/>
        <v/>
      </c>
      <c r="AL15" s="700"/>
      <c r="AM15" s="505" t="str">
        <f t="shared" si="13"/>
        <v/>
      </c>
      <c r="AN15" s="506"/>
      <c r="AO15" s="507"/>
      <c r="AP15" s="507"/>
      <c r="AQ15" s="507"/>
      <c r="AR15" s="507"/>
      <c r="AS15" s="507"/>
      <c r="AT15" s="507"/>
      <c r="AU15" s="507"/>
      <c r="AV15" s="225"/>
      <c r="AW15" s="508"/>
      <c r="AX15" s="225"/>
      <c r="AY15" s="225"/>
      <c r="AZ15" s="225"/>
      <c r="BA15" s="225"/>
      <c r="BB15" s="225"/>
      <c r="BC15" s="56"/>
      <c r="BD15" s="56"/>
      <c r="BE15" s="56"/>
      <c r="BF15" s="107" t="str">
        <f t="shared" si="14"/>
        <v>https://www.google.com/search?tbm=isch&amp;q=25%20G6</v>
      </c>
      <c r="BG15" s="107" t="str">
        <f t="shared" si="15"/>
        <v>A</v>
      </c>
      <c r="BH15" s="254"/>
      <c r="BI15" s="254"/>
    </row>
    <row r="16" spans="1:69" customFormat="1" ht="16.5" thickBot="1" x14ac:dyDescent="0.3">
      <c r="A16" s="522" t="s">
        <v>2323</v>
      </c>
      <c r="B16" s="491"/>
      <c r="C16" s="675"/>
      <c r="D16" s="491"/>
      <c r="E16" s="491"/>
      <c r="F16" s="492"/>
      <c r="G16" s="493"/>
      <c r="H16" s="491"/>
      <c r="I16" s="234"/>
      <c r="J16" s="234"/>
      <c r="K16" s="494"/>
      <c r="L16" s="543"/>
      <c r="M16" s="561"/>
      <c r="N16" s="495"/>
      <c r="O16" s="496"/>
      <c r="P16" s="497"/>
      <c r="Q16" s="495"/>
      <c r="R16" s="495"/>
      <c r="S16" s="667" t="s">
        <v>4968</v>
      </c>
      <c r="T16" s="508">
        <f t="shared" si="3"/>
        <v>0</v>
      </c>
      <c r="U16" s="225" t="str">
        <f>IF(NOT(ISNUMBER(G16)), "", VLOOKUP(A16,'Discount Lookup'!D:E,2,FALSE)*G16)</f>
        <v/>
      </c>
      <c r="V16" s="225" t="str">
        <f>IF(NOT(ISNUMBER(G16)), "", VLOOKUP(A16,'Discount Lookup'!G:H,2,FALSE)*G16)</f>
        <v/>
      </c>
      <c r="W16" s="508">
        <f t="shared" si="4"/>
        <v>0</v>
      </c>
      <c r="X16" s="508">
        <f t="shared" si="5"/>
        <v>0</v>
      </c>
      <c r="Y16" s="509" t="b">
        <f t="shared" si="6"/>
        <v>0</v>
      </c>
      <c r="Z16" s="510">
        <f t="shared" si="7"/>
        <v>0</v>
      </c>
      <c r="AA16" s="511"/>
      <c r="AB16" s="511" t="str">
        <f t="shared" si="8"/>
        <v/>
      </c>
      <c r="AC16" s="698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698"/>
      <c r="AE16" s="631" t="str">
        <f t="shared" si="9"/>
        <v/>
      </c>
      <c r="AF16" s="699" t="str">
        <f t="shared" si="10"/>
        <v/>
      </c>
      <c r="AG16" s="699"/>
      <c r="AH16" s="699"/>
      <c r="AI16" s="512">
        <f>IF(H16="credit",0,IF(AE16="free",0,IF(AE16="me",0,IF(G16&gt;0,(VLOOKUP(A16,'Discount Lookup'!J:K,2)*G16),0))))</f>
        <v>0</v>
      </c>
      <c r="AJ16" s="513" t="str">
        <f t="shared" ca="1" si="11"/>
        <v/>
      </c>
      <c r="AK16" s="700" t="str">
        <f t="shared" si="12"/>
        <v/>
      </c>
      <c r="AL16" s="700"/>
      <c r="AM16" s="505" t="str">
        <f t="shared" si="13"/>
        <v/>
      </c>
      <c r="AN16" s="506"/>
      <c r="AO16" s="507"/>
      <c r="AP16" s="507"/>
      <c r="AQ16" s="507"/>
      <c r="AR16" s="507"/>
      <c r="AS16" s="507"/>
      <c r="AT16" s="507"/>
      <c r="AU16" s="507"/>
      <c r="AV16" s="225"/>
      <c r="AW16" s="508"/>
      <c r="AX16" s="225"/>
      <c r="AY16" s="225"/>
      <c r="AZ16" s="225"/>
      <c r="BA16" s="225"/>
      <c r="BB16" s="225"/>
      <c r="BC16" s="56"/>
      <c r="BD16" s="56"/>
      <c r="BE16" s="56"/>
      <c r="BF16" s="107" t="str">
        <f t="shared" si="14"/>
        <v>https://www.google.com/search?tbm=isch&amp;q=Acadiana%20foliage%20is%20very%20tightly%20branched.%20Heavy%20Orange-Red%20fruit%20set.%20Self-pollinating%20</v>
      </c>
      <c r="BG16" s="107" t="str">
        <f t="shared" si="15"/>
        <v>A</v>
      </c>
      <c r="BH16" s="254"/>
      <c r="BI16" s="254"/>
    </row>
    <row r="17" spans="1:61" customFormat="1" ht="18" x14ac:dyDescent="0.25">
      <c r="A17" s="523" t="s">
        <v>401</v>
      </c>
      <c r="B17" s="235"/>
      <c r="C17" s="676"/>
      <c r="D17" s="255" t="s">
        <v>400</v>
      </c>
      <c r="E17" s="236"/>
      <c r="F17" s="236"/>
      <c r="G17" s="236"/>
      <c r="H17" s="582" t="s">
        <v>387</v>
      </c>
      <c r="I17" s="498" t="s">
        <v>654</v>
      </c>
      <c r="J17" s="237"/>
      <c r="K17" s="237"/>
      <c r="L17" s="274"/>
      <c r="M17" s="668" t="s">
        <v>4962</v>
      </c>
      <c r="N17" s="681" t="str">
        <f>IF(AND(ISTEXT($A17), ISERROR($A17+0)), HYPERLINK($BF17, "Images"), "")</f>
        <v>Images</v>
      </c>
      <c r="O17" s="663" t="s">
        <v>4967</v>
      </c>
      <c r="P17" s="253"/>
      <c r="Q17" s="238"/>
      <c r="R17" s="239"/>
      <c r="S17" s="275"/>
      <c r="T17" s="508">
        <f t="shared" si="3"/>
        <v>0</v>
      </c>
      <c r="U17" s="225" t="str">
        <f>IF(NOT(ISNUMBER(G17)), "", VLOOKUP(A17,'Discount Lookup'!D:E,2,FALSE)*G17)</f>
        <v/>
      </c>
      <c r="V17" s="225" t="str">
        <f>IF(NOT(ISNUMBER(G17)), "", VLOOKUP(A17,'Discount Lookup'!G:H,2,FALSE)*G17)</f>
        <v/>
      </c>
      <c r="W17" s="508">
        <f t="shared" si="4"/>
        <v>0</v>
      </c>
      <c r="X17" s="508" t="str">
        <f t="shared" si="5"/>
        <v>White bloom</v>
      </c>
      <c r="Y17" s="509" t="b">
        <f t="shared" si="6"/>
        <v>0</v>
      </c>
      <c r="Z17" s="510">
        <f t="shared" si="7"/>
        <v>0</v>
      </c>
      <c r="AA17" s="511"/>
      <c r="AB17" s="511" t="str">
        <f t="shared" si="8"/>
        <v/>
      </c>
      <c r="AC17" s="698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698"/>
      <c r="AE17" s="631" t="str">
        <f t="shared" si="9"/>
        <v/>
      </c>
      <c r="AF17" s="699" t="str">
        <f t="shared" si="10"/>
        <v/>
      </c>
      <c r="AG17" s="699"/>
      <c r="AH17" s="699"/>
      <c r="AI17" s="512">
        <f>IF(H17="credit",0,IF(AE17="free",0,IF(AE17="me",0,IF(G17&gt;0,(VLOOKUP(A17,'Discount Lookup'!J:K,2)*G17),0))))</f>
        <v>0</v>
      </c>
      <c r="AJ17" s="513" t="str">
        <f t="shared" ca="1" si="11"/>
        <v/>
      </c>
      <c r="AK17" s="700" t="str">
        <f t="shared" si="12"/>
        <v/>
      </c>
      <c r="AL17" s="700"/>
      <c r="AM17" s="505" t="str">
        <f t="shared" si="13"/>
        <v/>
      </c>
      <c r="AN17" s="506"/>
      <c r="AO17" s="507"/>
      <c r="AP17" s="507"/>
      <c r="AQ17" s="507"/>
      <c r="AR17" s="507"/>
      <c r="AS17" s="507"/>
      <c r="AT17" s="507"/>
      <c r="AU17" s="507"/>
      <c r="AV17" s="225"/>
      <c r="AW17" s="508"/>
      <c r="AX17" s="225"/>
      <c r="AY17" s="225"/>
      <c r="AZ17" s="225"/>
      <c r="BA17" s="225"/>
      <c r="BB17" s="225"/>
      <c r="BC17" s="56"/>
      <c r="BD17" s="56"/>
      <c r="BE17" s="56"/>
      <c r="BF17" s="107" t="str">
        <f t="shared" si="14"/>
        <v>https://www.google.com/search?tbm=isch&amp;q=Acoma%20Crape%20Myrtle%20Lagerstroemia%20indica%20x%20fauriei%20%27Acoma%27</v>
      </c>
      <c r="BG17" s="107" t="str">
        <f t="shared" si="15"/>
        <v>A</v>
      </c>
      <c r="BH17" s="254"/>
      <c r="BI17" s="254"/>
    </row>
    <row r="18" spans="1:61" customFormat="1" ht="27" x14ac:dyDescent="0.25">
      <c r="A18" s="276">
        <v>15</v>
      </c>
      <c r="B18" s="240" t="s">
        <v>291</v>
      </c>
      <c r="C18" s="241" t="s">
        <v>3295</v>
      </c>
      <c r="D18" s="242" t="s">
        <v>292</v>
      </c>
      <c r="E18" s="243">
        <v>164.95</v>
      </c>
      <c r="F18" s="517" t="s">
        <v>293</v>
      </c>
      <c r="G18" s="232">
        <v>0</v>
      </c>
      <c r="H18" s="661" t="str">
        <f>IF(G18=0,"",IF(F18="Buy",IF(G18=1,"plant","plants"),IF(F18&gt;0.01,"warranty","Error")))</f>
        <v/>
      </c>
      <c r="I18" s="244">
        <f>IF(H18="free",0,IF(H18="credit",((E18*(F18))*G18*-1),IF(F18="Buy",(E18*G18),((E18*(1-F18))*G18))))</f>
        <v>0</v>
      </c>
      <c r="J18" s="244">
        <f>IF(H18="warranty",0,(I18*(_xlfn.SINGLE(SalesTaxPercentage))))</f>
        <v>0</v>
      </c>
      <c r="K18" s="696">
        <f t="shared" ref="K18" si="17">I18+J18</f>
        <v>0</v>
      </c>
      <c r="L18" s="696"/>
      <c r="M18" s="659" t="str">
        <f>IF(AND(G18&gt;0,E18=0),"WARNING - no PRICE inserted",IF(H18="free"," FREE ~ no charge this plant",IF(H18="credit",CONCATENATE(" -$",ROUND(K18*(1-T2GDiscount)*-1,2)," CREDIT after discount"),IF(T2GDiscount=0,"",IF(G18=0,"",IF(F18="Buy",CONCATENATE(" $",ROUND(K18*(1-T2GDiscount),2)," with ",(T2GDiscount*100),"% discount"),CONCATENATE(" $",ROUND(K18*(1-T2GDiscount),2)," with ",((T2GDiscount*100+F18*100)-(T2GDiscount*100*F18)),IF(F18&gt;0,"% discounts",IF(NoWarrantyDiscount&gt;0,"% discounts","% discount")))))))))</f>
        <v/>
      </c>
      <c r="N18" s="660"/>
      <c r="O18" s="233"/>
      <c r="P18" s="233"/>
      <c r="Q18" s="233"/>
      <c r="R18" s="233"/>
      <c r="S18" s="233"/>
      <c r="T18" s="508">
        <f t="shared" si="3"/>
        <v>0</v>
      </c>
      <c r="U18" s="225">
        <f>IF(NOT(ISNUMBER(G18)), "", VLOOKUP(A18,'Discount Lookup'!D:E,2,FALSE)*G18)</f>
        <v>0</v>
      </c>
      <c r="V18" s="225">
        <f>IF(NOT(ISNUMBER(G18)), "", VLOOKUP(A18,'Discount Lookup'!G:H,2,FALSE)*G18)</f>
        <v>0</v>
      </c>
      <c r="W18" s="508">
        <f t="shared" si="4"/>
        <v>0</v>
      </c>
      <c r="X18" s="508">
        <f t="shared" si="5"/>
        <v>0</v>
      </c>
      <c r="Y18" s="509" t="b">
        <f t="shared" si="6"/>
        <v>0</v>
      </c>
      <c r="Z18" s="510">
        <f t="shared" si="7"/>
        <v>0</v>
      </c>
      <c r="AA18" s="511"/>
      <c r="AB18" s="511" t="str">
        <f t="shared" si="8"/>
        <v/>
      </c>
      <c r="AC18" s="698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698"/>
      <c r="AE18" s="631" t="str">
        <f t="shared" si="9"/>
        <v/>
      </c>
      <c r="AF18" s="699" t="str">
        <f t="shared" si="10"/>
        <v/>
      </c>
      <c r="AG18" s="699"/>
      <c r="AH18" s="699"/>
      <c r="AI18" s="512">
        <f>IF(H18="credit",0,IF(AE18="free",0,IF(AE18="me",0,IF(G18&gt;0,(VLOOKUP(A18,'Discount Lookup'!J:K,2)*G18),0))))</f>
        <v>0</v>
      </c>
      <c r="AJ18" s="513" t="str">
        <f t="shared" ca="1" si="11"/>
        <v/>
      </c>
      <c r="AK18" s="700" t="str">
        <f t="shared" si="12"/>
        <v/>
      </c>
      <c r="AL18" s="700"/>
      <c r="AM18" s="505" t="str">
        <f t="shared" si="13"/>
        <v/>
      </c>
      <c r="AN18" s="506"/>
      <c r="AO18" s="507"/>
      <c r="AP18" s="507"/>
      <c r="AQ18" s="507"/>
      <c r="AR18" s="507"/>
      <c r="AS18" s="507"/>
      <c r="AT18" s="507"/>
      <c r="AU18" s="507"/>
      <c r="AV18" s="225"/>
      <c r="AW18" s="508"/>
      <c r="AX18" s="225"/>
      <c r="AY18" s="225"/>
      <c r="AZ18" s="225"/>
      <c r="BA18" s="225"/>
      <c r="BB18" s="225"/>
      <c r="BC18" s="56"/>
      <c r="BD18" s="56"/>
      <c r="BE18" s="56"/>
      <c r="BF18" s="107" t="str">
        <f t="shared" si="14"/>
        <v>https://www.google.com/search?tbm=isch&amp;q=15%20G4</v>
      </c>
      <c r="BG18" s="107" t="str">
        <f t="shared" si="15"/>
        <v>A</v>
      </c>
      <c r="BH18" s="254"/>
      <c r="BI18" s="254"/>
    </row>
    <row r="19" spans="1:61" customFormat="1" ht="15.75" x14ac:dyDescent="0.25">
      <c r="A19" s="276">
        <v>15</v>
      </c>
      <c r="B19" s="240" t="s">
        <v>291</v>
      </c>
      <c r="C19" s="241" t="s">
        <v>2702</v>
      </c>
      <c r="D19" s="242" t="s">
        <v>297</v>
      </c>
      <c r="E19" s="243">
        <v>174.95</v>
      </c>
      <c r="F19" s="517" t="s">
        <v>293</v>
      </c>
      <c r="G19" s="232">
        <v>0</v>
      </c>
      <c r="H19" s="661" t="str">
        <f>IF(G19=0,"",IF(F19="Buy",IF(G19=1,"plant","plants"),IF(F19&gt;0.01,"warranty","Error")))</f>
        <v/>
      </c>
      <c r="I19" s="244">
        <f>IF(H19="free",0,IF(H19="credit",((E19*(F19))*G19*-1),IF(F19="Buy",(E19*G19),((E19*(1-F19))*G19))))</f>
        <v>0</v>
      </c>
      <c r="J19" s="244">
        <f>IF(H19="warranty",0,(I19*(_xlfn.SINGLE(SalesTaxPercentage))))</f>
        <v>0</v>
      </c>
      <c r="K19" s="696">
        <f t="shared" ref="K19" si="18">I19+J19</f>
        <v>0</v>
      </c>
      <c r="L19" s="696"/>
      <c r="M19" s="659" t="str">
        <f>IF(AND(G19&gt;0,E19=0),"WARNING - no PRICE inserted",IF(H19="free"," FREE ~ no charge this plant",IF(H19="credit",CONCATENATE(" -$",ROUND(K19*(1-T2GDiscount)*-1,2)," CREDIT after discount"),IF(T2GDiscount=0,"",IF(G19=0,"",IF(F19="Buy",CONCATENATE(" $",ROUND(K19*(1-T2GDiscount),2)," with ",(T2GDiscount*100),"% discount"),CONCATENATE(" $",ROUND(K19*(1-T2GDiscount),2)," with ",((T2GDiscount*100+F19*100)-(T2GDiscount*100*F19)),IF(F19&gt;0,"% discounts",IF(NoWarrantyDiscount&gt;0,"% discounts","% discount")))))))))</f>
        <v/>
      </c>
      <c r="N19" s="660"/>
      <c r="O19" s="233"/>
      <c r="P19" s="233"/>
      <c r="Q19" s="233"/>
      <c r="R19" s="233"/>
      <c r="S19" s="233"/>
      <c r="T19" s="508">
        <f t="shared" si="3"/>
        <v>0</v>
      </c>
      <c r="U19" s="225">
        <f>IF(NOT(ISNUMBER(G19)), "", VLOOKUP(A19,'Discount Lookup'!D:E,2,FALSE)*G19)</f>
        <v>0</v>
      </c>
      <c r="V19" s="225">
        <f>IF(NOT(ISNUMBER(G19)), "", VLOOKUP(A19,'Discount Lookup'!G:H,2,FALSE)*G19)</f>
        <v>0</v>
      </c>
      <c r="W19" s="508">
        <f t="shared" si="4"/>
        <v>0</v>
      </c>
      <c r="X19" s="508">
        <f t="shared" si="5"/>
        <v>0</v>
      </c>
      <c r="Y19" s="509" t="b">
        <f t="shared" si="6"/>
        <v>0</v>
      </c>
      <c r="Z19" s="510">
        <f t="shared" si="7"/>
        <v>0</v>
      </c>
      <c r="AA19" s="511"/>
      <c r="AB19" s="511" t="str">
        <f t="shared" si="8"/>
        <v/>
      </c>
      <c r="AC19" s="698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698"/>
      <c r="AE19" s="631" t="str">
        <f t="shared" si="9"/>
        <v/>
      </c>
      <c r="AF19" s="699" t="str">
        <f t="shared" si="10"/>
        <v/>
      </c>
      <c r="AG19" s="699"/>
      <c r="AH19" s="699"/>
      <c r="AI19" s="512">
        <f>IF(H19="credit",0,IF(AE19="free",0,IF(AE19="me",0,IF(G19&gt;0,(VLOOKUP(A19,'Discount Lookup'!J:K,2)*G19),0))))</f>
        <v>0</v>
      </c>
      <c r="AJ19" s="513" t="str">
        <f t="shared" ca="1" si="11"/>
        <v/>
      </c>
      <c r="AK19" s="700" t="str">
        <f t="shared" si="12"/>
        <v/>
      </c>
      <c r="AL19" s="700"/>
      <c r="AM19" s="505" t="str">
        <f t="shared" si="13"/>
        <v/>
      </c>
      <c r="AN19" s="506"/>
      <c r="AO19" s="507"/>
      <c r="AP19" s="507"/>
      <c r="AQ19" s="507"/>
      <c r="AR19" s="507"/>
      <c r="AS19" s="507"/>
      <c r="AT19" s="507"/>
      <c r="AU19" s="507"/>
      <c r="AV19" s="225"/>
      <c r="AW19" s="508"/>
      <c r="AX19" s="225"/>
      <c r="AY19" s="225"/>
      <c r="AZ19" s="225"/>
      <c r="BA19" s="225"/>
      <c r="BB19" s="225"/>
      <c r="BC19" s="56"/>
      <c r="BD19" s="56"/>
      <c r="BE19" s="56"/>
      <c r="BF19" s="107" t="str">
        <f t="shared" si="14"/>
        <v>https://www.google.com/search?tbm=isch&amp;q=15%20G3</v>
      </c>
      <c r="BG19" s="107" t="str">
        <f t="shared" si="15"/>
        <v>A</v>
      </c>
      <c r="BH19" s="254"/>
      <c r="BI19" s="254"/>
    </row>
    <row r="20" spans="1:61" customFormat="1" ht="15.75" x14ac:dyDescent="0.25">
      <c r="A20" s="276">
        <v>25</v>
      </c>
      <c r="B20" s="240" t="s">
        <v>291</v>
      </c>
      <c r="C20" s="241" t="s">
        <v>4723</v>
      </c>
      <c r="D20" s="242" t="s">
        <v>292</v>
      </c>
      <c r="E20" s="243">
        <v>293.95</v>
      </c>
      <c r="F20" s="517" t="s">
        <v>293</v>
      </c>
      <c r="G20" s="232">
        <v>0</v>
      </c>
      <c r="H20" s="661" t="str">
        <f>IF(G20=0,"",IF(F20="Buy",IF(G20=1,"plant","plants"),IF(F20&gt;0.01,"warranty","Error")))</f>
        <v/>
      </c>
      <c r="I20" s="244">
        <f>IF(H20="free",0,IF(H20="credit",((E20*(F20))*G20*-1),IF(F20="Buy",(E20*G20),((E20*(1-F20))*G20))))</f>
        <v>0</v>
      </c>
      <c r="J20" s="244">
        <f>IF(H20="warranty",0,(I20*(_xlfn.SINGLE(SalesTaxPercentage))))</f>
        <v>0</v>
      </c>
      <c r="K20" s="696">
        <f t="shared" ref="K20" si="19">I20+J20</f>
        <v>0</v>
      </c>
      <c r="L20" s="696"/>
      <c r="M20" s="659" t="str">
        <f>IF(AND(G20&gt;0,E20=0),"WARNING - no PRICE inserted",IF(H20="free"," FREE ~ no charge this plant",IF(H20="credit",CONCATENATE(" -$",ROUND(K20*(1-T2GDiscount)*-1,2)," CREDIT after discount"),IF(T2GDiscount=0,"",IF(G20=0,"",IF(F20="Buy",CONCATENATE(" $",ROUND(K20*(1-T2GDiscount),2)," with ",(T2GDiscount*100),"% discount"),CONCATENATE(" $",ROUND(K20*(1-T2GDiscount),2)," with ",((T2GDiscount*100+F20*100)-(T2GDiscount*100*F20)),IF(F20&gt;0,"% discounts",IF(NoWarrantyDiscount&gt;0,"% discounts","% discount")))))))))</f>
        <v/>
      </c>
      <c r="N20" s="660"/>
      <c r="O20" s="233"/>
      <c r="P20" s="233"/>
      <c r="Q20" s="233"/>
      <c r="R20" s="233"/>
      <c r="S20" s="233"/>
      <c r="T20" s="508">
        <f t="shared" si="3"/>
        <v>0</v>
      </c>
      <c r="U20" s="225">
        <f>IF(NOT(ISNUMBER(G20)), "", VLOOKUP(A20,'Discount Lookup'!D:E,2,FALSE)*G20)</f>
        <v>0</v>
      </c>
      <c r="V20" s="225">
        <f>IF(NOT(ISNUMBER(G20)), "", VLOOKUP(A20,'Discount Lookup'!G:H,2,FALSE)*G20)</f>
        <v>0</v>
      </c>
      <c r="W20" s="508">
        <f t="shared" si="4"/>
        <v>0</v>
      </c>
      <c r="X20" s="508">
        <f t="shared" si="5"/>
        <v>0</v>
      </c>
      <c r="Y20" s="509" t="b">
        <f t="shared" si="6"/>
        <v>0</v>
      </c>
      <c r="Z20" s="510">
        <f t="shared" si="7"/>
        <v>0</v>
      </c>
      <c r="AA20" s="511"/>
      <c r="AB20" s="511" t="str">
        <f t="shared" si="8"/>
        <v/>
      </c>
      <c r="AC20" s="698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698"/>
      <c r="AE20" s="631" t="str">
        <f t="shared" si="9"/>
        <v/>
      </c>
      <c r="AF20" s="699" t="str">
        <f t="shared" si="10"/>
        <v/>
      </c>
      <c r="AG20" s="699"/>
      <c r="AH20" s="699"/>
      <c r="AI20" s="512">
        <f>IF(H20="credit",0,IF(AE20="free",0,IF(AE20="me",0,IF(G20&gt;0,(VLOOKUP(A20,'Discount Lookup'!J:K,2)*G20),0))))</f>
        <v>0</v>
      </c>
      <c r="AJ20" s="513" t="str">
        <f t="shared" ca="1" si="11"/>
        <v/>
      </c>
      <c r="AK20" s="700" t="str">
        <f t="shared" si="12"/>
        <v/>
      </c>
      <c r="AL20" s="700"/>
      <c r="AM20" s="505" t="str">
        <f t="shared" si="13"/>
        <v/>
      </c>
      <c r="AN20" s="506"/>
      <c r="AO20" s="507"/>
      <c r="AP20" s="507"/>
      <c r="AQ20" s="507"/>
      <c r="AR20" s="507"/>
      <c r="AS20" s="507"/>
      <c r="AT20" s="507"/>
      <c r="AU20" s="507"/>
      <c r="AV20" s="225"/>
      <c r="AW20" s="508"/>
      <c r="AX20" s="225"/>
      <c r="AY20" s="225"/>
      <c r="AZ20" s="225"/>
      <c r="BA20" s="225"/>
      <c r="BB20" s="225"/>
      <c r="BC20" s="56"/>
      <c r="BD20" s="56"/>
      <c r="BE20" s="56"/>
      <c r="BF20" s="107" t="str">
        <f t="shared" si="14"/>
        <v>https://www.google.com/search?tbm=isch&amp;q=25%20G4</v>
      </c>
      <c r="BG20" s="107" t="str">
        <f t="shared" si="15"/>
        <v>A</v>
      </c>
      <c r="BH20" s="254"/>
      <c r="BI20" s="254"/>
    </row>
    <row r="21" spans="1:61" customFormat="1" ht="17.25" thickBot="1" x14ac:dyDescent="0.3">
      <c r="A21" s="524" t="s">
        <v>2324</v>
      </c>
      <c r="B21" s="245"/>
      <c r="C21" s="677"/>
      <c r="D21" s="499"/>
      <c r="E21" s="499"/>
      <c r="F21" s="500"/>
      <c r="G21" s="501"/>
      <c r="H21" s="502"/>
      <c r="I21" s="246"/>
      <c r="J21" s="247"/>
      <c r="K21" s="503"/>
      <c r="L21" s="544"/>
      <c r="M21" s="544"/>
      <c r="N21" s="500"/>
      <c r="O21" s="500"/>
      <c r="P21" s="500"/>
      <c r="Q21" s="500"/>
      <c r="R21" s="500"/>
      <c r="S21" s="278"/>
      <c r="T21" s="508">
        <f t="shared" si="3"/>
        <v>0</v>
      </c>
      <c r="U21" s="225" t="str">
        <f>IF(NOT(ISNUMBER(G21)), "", VLOOKUP(A21,'Discount Lookup'!D:E,2,FALSE)*G21)</f>
        <v/>
      </c>
      <c r="V21" s="225" t="str">
        <f>IF(NOT(ISNUMBER(G21)), "", VLOOKUP(A21,'Discount Lookup'!G:H,2,FALSE)*G21)</f>
        <v/>
      </c>
      <c r="W21" s="508">
        <f t="shared" si="4"/>
        <v>0</v>
      </c>
      <c r="X21" s="508">
        <f t="shared" si="5"/>
        <v>0</v>
      </c>
      <c r="Y21" s="509" t="b">
        <f t="shared" si="6"/>
        <v>0</v>
      </c>
      <c r="Z21" s="510">
        <f t="shared" si="7"/>
        <v>0</v>
      </c>
      <c r="AA21" s="511"/>
      <c r="AB21" s="511" t="str">
        <f t="shared" si="8"/>
        <v/>
      </c>
      <c r="AC21" s="698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698"/>
      <c r="AE21" s="631" t="str">
        <f t="shared" si="9"/>
        <v/>
      </c>
      <c r="AF21" s="699" t="str">
        <f t="shared" si="10"/>
        <v/>
      </c>
      <c r="AG21" s="699"/>
      <c r="AH21" s="699"/>
      <c r="AI21" s="512">
        <f>IF(H21="credit",0,IF(AE21="free",0,IF(AE21="me",0,IF(G21&gt;0,(VLOOKUP(A21,'Discount Lookup'!J:K,2)*G21),0))))</f>
        <v>0</v>
      </c>
      <c r="AJ21" s="513" t="str">
        <f t="shared" ca="1" si="11"/>
        <v/>
      </c>
      <c r="AK21" s="700" t="str">
        <f t="shared" si="12"/>
        <v/>
      </c>
      <c r="AL21" s="700"/>
      <c r="AM21" s="505" t="str">
        <f t="shared" si="13"/>
        <v/>
      </c>
      <c r="AN21" s="506"/>
      <c r="AO21" s="507"/>
      <c r="AP21" s="507"/>
      <c r="AQ21" s="507"/>
      <c r="AR21" s="507"/>
      <c r="AS21" s="507"/>
      <c r="AT21" s="507"/>
      <c r="AU21" s="507"/>
      <c r="AV21" s="225"/>
      <c r="AW21" s="508"/>
      <c r="AX21" s="225"/>
      <c r="AY21" s="225"/>
      <c r="AZ21" s="225"/>
      <c r="BA21" s="225"/>
      <c r="BB21" s="225"/>
      <c r="BC21" s="56"/>
      <c r="BD21" s="56"/>
      <c r="BE21" s="56"/>
      <c r="BF21" s="107" t="str">
        <f t="shared" si="14"/>
        <v>https://www.google.com/search?tbm=isch&amp;q=Acoma%20foliage%20is%20green%2C%20with%20red%2Forange%20highlights.%20Red%2Fpurple%20foliage%20in%20fall.%20Grey%20bark%20exfoliates%20</v>
      </c>
      <c r="BG21" s="107" t="str">
        <f t="shared" si="15"/>
        <v>A</v>
      </c>
      <c r="BH21" s="254"/>
      <c r="BI21" s="254"/>
    </row>
    <row r="22" spans="1:61" customFormat="1" ht="18" x14ac:dyDescent="0.25">
      <c r="A22" s="521" t="s">
        <v>503</v>
      </c>
      <c r="B22" s="477"/>
      <c r="C22" s="674"/>
      <c r="D22" s="478" t="s">
        <v>502</v>
      </c>
      <c r="E22" s="479"/>
      <c r="F22" s="479"/>
      <c r="G22" s="479"/>
      <c r="H22" s="582" t="s">
        <v>467</v>
      </c>
      <c r="I22" s="480" t="s">
        <v>2314</v>
      </c>
      <c r="J22" s="479"/>
      <c r="K22" s="479"/>
      <c r="L22" s="560"/>
      <c r="M22" s="666" t="s">
        <v>4966</v>
      </c>
      <c r="N22" s="680" t="str">
        <f>IF(AND(ISTEXT($A22), ISERROR($A22+0)), HYPERLINK($BF22, "Images"), "")</f>
        <v>Images</v>
      </c>
      <c r="O22" s="662" t="s">
        <v>4969</v>
      </c>
      <c r="P22" s="482"/>
      <c r="Q22" s="483"/>
      <c r="R22" s="483"/>
      <c r="S22" s="484" t="s">
        <v>305</v>
      </c>
      <c r="T22" s="508">
        <f t="shared" si="3"/>
        <v>0</v>
      </c>
      <c r="U22" s="225" t="str">
        <f>IF(NOT(ISNUMBER(G22)), "", VLOOKUP(A22,'Discount Lookup'!D:E,2,FALSE)*G22)</f>
        <v/>
      </c>
      <c r="V22" s="225" t="str">
        <f>IF(NOT(ISNUMBER(G22)), "", VLOOKUP(A22,'Discount Lookup'!G:H,2,FALSE)*G22)</f>
        <v/>
      </c>
      <c r="W22" s="508">
        <f t="shared" si="4"/>
        <v>0</v>
      </c>
      <c r="X22" s="508" t="str">
        <f t="shared" si="5"/>
        <v>Olive-Green foliage</v>
      </c>
      <c r="Y22" s="509" t="b">
        <f t="shared" si="6"/>
        <v>0</v>
      </c>
      <c r="Z22" s="510">
        <f t="shared" si="7"/>
        <v>0</v>
      </c>
      <c r="AA22" s="511"/>
      <c r="AB22" s="511" t="str">
        <f t="shared" si="8"/>
        <v/>
      </c>
      <c r="AC22" s="698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698"/>
      <c r="AE22" s="631" t="str">
        <f t="shared" si="9"/>
        <v/>
      </c>
      <c r="AF22" s="699" t="str">
        <f t="shared" si="10"/>
        <v/>
      </c>
      <c r="AG22" s="699"/>
      <c r="AH22" s="699"/>
      <c r="AI22" s="512">
        <f>IF(H22="credit",0,IF(AE22="free",0,IF(AE22="me",0,IF(G22&gt;0,(VLOOKUP(A22,'Discount Lookup'!J:K,2)*G22),0))))</f>
        <v>0</v>
      </c>
      <c r="AJ22" s="513" t="str">
        <f t="shared" ca="1" si="11"/>
        <v/>
      </c>
      <c r="AK22" s="700" t="str">
        <f t="shared" si="12"/>
        <v/>
      </c>
      <c r="AL22" s="700"/>
      <c r="AM22" s="505" t="str">
        <f t="shared" si="13"/>
        <v/>
      </c>
      <c r="AN22" s="506"/>
      <c r="AO22" s="507"/>
      <c r="AP22" s="507"/>
      <c r="AQ22" s="507"/>
      <c r="AR22" s="507"/>
      <c r="AS22" s="507"/>
      <c r="AT22" s="507"/>
      <c r="AU22" s="507"/>
      <c r="AV22" s="225"/>
      <c r="AW22" s="508"/>
      <c r="AX22" s="225"/>
      <c r="AY22" s="225"/>
      <c r="AZ22" s="225"/>
      <c r="BA22" s="225"/>
      <c r="BB22" s="225"/>
      <c r="BC22" s="56"/>
      <c r="BD22" s="56"/>
      <c r="BE22" s="56"/>
      <c r="BF22" s="107" t="str">
        <f t="shared" si="14"/>
        <v>https://www.google.com/search?tbm=isch&amp;q=Adcock%27s%20Dwarf%20Wax%20Myrtle%20Myrica%20cerifera%20%27Adcock%27s%20Dwarf%27</v>
      </c>
      <c r="BG22" s="107" t="str">
        <f t="shared" si="15"/>
        <v>A</v>
      </c>
      <c r="BH22" s="254"/>
      <c r="BI22" s="254"/>
    </row>
    <row r="23" spans="1:61" customFormat="1" ht="15.75" x14ac:dyDescent="0.25">
      <c r="A23" s="485">
        <v>7</v>
      </c>
      <c r="B23" s="486" t="s">
        <v>291</v>
      </c>
      <c r="C23" s="487" t="s">
        <v>4654</v>
      </c>
      <c r="D23" s="488" t="s">
        <v>300</v>
      </c>
      <c r="E23" s="489">
        <v>82.95</v>
      </c>
      <c r="F23" s="516" t="s">
        <v>293</v>
      </c>
      <c r="G23" s="232">
        <v>0</v>
      </c>
      <c r="H23" s="658" t="str">
        <f>IF(G23=0,"",IF(F23="Buy",IF(G23=1,"plant","plants"),IF(F23&gt;0.01,"warranty","Error")))</f>
        <v/>
      </c>
      <c r="I23" s="490">
        <f>IF(H23="free",0,IF(H23="credit",((E23*(F23))*G23*-1),IF(F23="Buy",(E23*G23),((E23*(1-F23))*G23))))</f>
        <v>0</v>
      </c>
      <c r="J23" s="490">
        <f>IF(H23="warranty",0,(I23*(_xlfn.SINGLE(SalesTaxPercentage))))</f>
        <v>0</v>
      </c>
      <c r="K23" s="695">
        <f t="shared" ref="K23" si="20">I23+J23</f>
        <v>0</v>
      </c>
      <c r="L23" s="695"/>
      <c r="M23" s="659" t="str">
        <f>IF(AND(G23&gt;0,E23=0),"WARNING - no PRICE inserted",IF(H23="free"," FREE ~ no charge this plant",IF(H23="credit",CONCATENATE(" -$",ROUND(K23*(1-T2GDiscount)*-1,2)," CREDIT after discount"),IF(T2GDiscount=0,"",IF(G23=0,"",IF(F23="Buy",CONCATENATE(" $",ROUND(K23*(1-T2GDiscount),2)," with ",(T2GDiscount*100),"% discount"),CONCATENATE(" $",ROUND(K23*(1-T2GDiscount),2)," with ",((T2GDiscount*100+F23*100)-(T2GDiscount*100*F23)),IF(F23&gt;0,"% discounts",IF(NoWarrantyDiscount&gt;0,"% discounts","% discount")))))))))</f>
        <v/>
      </c>
      <c r="N23" s="660"/>
      <c r="O23" s="233"/>
      <c r="P23" s="233"/>
      <c r="Q23" s="233"/>
      <c r="R23" s="233"/>
      <c r="S23" s="233"/>
      <c r="T23" s="508">
        <f t="shared" si="3"/>
        <v>0</v>
      </c>
      <c r="U23" s="225">
        <f>IF(NOT(ISNUMBER(G23)), "", VLOOKUP(A23,'Discount Lookup'!D:E,2,FALSE)*G23)</f>
        <v>0</v>
      </c>
      <c r="V23" s="225">
        <f>IF(NOT(ISNUMBER(G23)), "", VLOOKUP(A23,'Discount Lookup'!G:H,2,FALSE)*G23)</f>
        <v>0</v>
      </c>
      <c r="W23" s="508">
        <f t="shared" si="4"/>
        <v>0</v>
      </c>
      <c r="X23" s="508">
        <f t="shared" si="5"/>
        <v>0</v>
      </c>
      <c r="Y23" s="509" t="b">
        <f t="shared" si="6"/>
        <v>0</v>
      </c>
      <c r="Z23" s="510">
        <f t="shared" si="7"/>
        <v>0</v>
      </c>
      <c r="AA23" s="511"/>
      <c r="AB23" s="511" t="str">
        <f t="shared" si="8"/>
        <v/>
      </c>
      <c r="AC23" s="698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698"/>
      <c r="AE23" s="631" t="str">
        <f t="shared" si="9"/>
        <v/>
      </c>
      <c r="AF23" s="699" t="str">
        <f t="shared" si="10"/>
        <v/>
      </c>
      <c r="AG23" s="699"/>
      <c r="AH23" s="699"/>
      <c r="AI23" s="512">
        <f>IF(H23="credit",0,IF(AE23="free",0,IF(AE23="me",0,IF(G23&gt;0,(VLOOKUP(A23,'Discount Lookup'!J:K,2)*G23),0))))</f>
        <v>0</v>
      </c>
      <c r="AJ23" s="513" t="str">
        <f t="shared" ca="1" si="11"/>
        <v/>
      </c>
      <c r="AK23" s="700" t="str">
        <f t="shared" si="12"/>
        <v/>
      </c>
      <c r="AL23" s="700"/>
      <c r="AM23" s="505" t="str">
        <f t="shared" si="13"/>
        <v/>
      </c>
      <c r="AN23" s="506"/>
      <c r="AO23" s="507"/>
      <c r="AP23" s="507"/>
      <c r="AQ23" s="507"/>
      <c r="AR23" s="507"/>
      <c r="AS23" s="507"/>
      <c r="AT23" s="507"/>
      <c r="AU23" s="507"/>
      <c r="AV23" s="225"/>
      <c r="AW23" s="508"/>
      <c r="AX23" s="225"/>
      <c r="AY23" s="225"/>
      <c r="AZ23" s="225"/>
      <c r="BA23" s="225"/>
      <c r="BB23" s="225"/>
      <c r="BC23" s="56"/>
      <c r="BD23" s="56"/>
      <c r="BE23" s="56"/>
      <c r="BF23" s="107" t="str">
        <f t="shared" si="14"/>
        <v>https://www.google.com/search?tbm=isch&amp;q=7%20G6</v>
      </c>
      <c r="BG23" s="107" t="str">
        <f t="shared" si="15"/>
        <v>A</v>
      </c>
      <c r="BH23" s="254"/>
      <c r="BI23" s="254"/>
    </row>
    <row r="24" spans="1:61" customFormat="1" ht="17.25" thickBot="1" x14ac:dyDescent="0.3">
      <c r="A24" s="672" t="s">
        <v>5030</v>
      </c>
      <c r="B24" s="491"/>
      <c r="C24" s="675"/>
      <c r="D24" s="491"/>
      <c r="E24" s="491"/>
      <c r="F24" s="492"/>
      <c r="G24" s="493"/>
      <c r="H24" s="491"/>
      <c r="I24" s="234"/>
      <c r="J24" s="234"/>
      <c r="K24" s="494"/>
      <c r="L24" s="543"/>
      <c r="M24" s="561"/>
      <c r="N24" s="495"/>
      <c r="O24" s="496"/>
      <c r="P24" s="497"/>
      <c r="Q24" s="495"/>
      <c r="R24" s="495"/>
      <c r="S24" s="667" t="s">
        <v>4970</v>
      </c>
      <c r="T24" s="508">
        <f t="shared" si="3"/>
        <v>0</v>
      </c>
      <c r="U24" s="225" t="str">
        <f>IF(NOT(ISNUMBER(G24)), "", VLOOKUP(A24,'Discount Lookup'!D:E,2,FALSE)*G24)</f>
        <v/>
      </c>
      <c r="V24" s="225" t="str">
        <f>IF(NOT(ISNUMBER(G24)), "", VLOOKUP(A24,'Discount Lookup'!G:H,2,FALSE)*G24)</f>
        <v/>
      </c>
      <c r="W24" s="508">
        <f t="shared" si="4"/>
        <v>0</v>
      </c>
      <c r="X24" s="508">
        <f t="shared" si="5"/>
        <v>0</v>
      </c>
      <c r="Y24" s="509" t="b">
        <f t="shared" si="6"/>
        <v>0</v>
      </c>
      <c r="Z24" s="510">
        <f t="shared" si="7"/>
        <v>0</v>
      </c>
      <c r="AA24" s="511"/>
      <c r="AB24" s="511" t="str">
        <f t="shared" si="8"/>
        <v/>
      </c>
      <c r="AC24" s="698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698"/>
      <c r="AE24" s="631" t="str">
        <f t="shared" si="9"/>
        <v/>
      </c>
      <c r="AF24" s="699" t="str">
        <f t="shared" si="10"/>
        <v/>
      </c>
      <c r="AG24" s="699"/>
      <c r="AH24" s="699"/>
      <c r="AI24" s="512">
        <f>IF(H24="credit",0,IF(AE24="free",0,IF(AE24="me",0,IF(G24&gt;0,(VLOOKUP(A24,'Discount Lookup'!J:K,2)*G24),0))))</f>
        <v>0</v>
      </c>
      <c r="AJ24" s="513" t="str">
        <f t="shared" ca="1" si="11"/>
        <v/>
      </c>
      <c r="AK24" s="700" t="str">
        <f t="shared" si="12"/>
        <v/>
      </c>
      <c r="AL24" s="700"/>
      <c r="AM24" s="505" t="str">
        <f t="shared" si="13"/>
        <v/>
      </c>
      <c r="AN24" s="506"/>
      <c r="AO24" s="507"/>
      <c r="AP24" s="507"/>
      <c r="AQ24" s="507"/>
      <c r="AR24" s="507"/>
      <c r="AS24" s="507"/>
      <c r="AT24" s="507"/>
      <c r="AU24" s="507"/>
      <c r="AV24" s="225"/>
      <c r="AW24" s="508"/>
      <c r="AX24" s="225"/>
      <c r="AY24" s="225"/>
      <c r="AZ24" s="225"/>
      <c r="BA24" s="225"/>
      <c r="BB24" s="225"/>
      <c r="BC24" s="56"/>
      <c r="BD24" s="56"/>
      <c r="BE24" s="56"/>
      <c r="BF24" s="107" t="str">
        <f t="shared" si="14"/>
        <v>https://www.google.com/search?tbm=isch&amp;q=wet%20sites%F0%9F%92%A7GOOD%2C%20Adcock%27s%20Dwarf%20introduced%20by%20local%20Adcock%27s%20Nursery.%20Pleasant%20citrus%20smell%20when%20foliage%20crushed%20</v>
      </c>
      <c r="BG24" s="107" t="str">
        <f t="shared" si="15"/>
        <v>w</v>
      </c>
      <c r="BH24" s="254"/>
      <c r="BI24" s="254"/>
    </row>
    <row r="25" spans="1:61" customFormat="1" ht="18" x14ac:dyDescent="0.25">
      <c r="A25" s="523" t="s">
        <v>429</v>
      </c>
      <c r="B25" s="235"/>
      <c r="C25" s="676"/>
      <c r="D25" s="255" t="s">
        <v>428</v>
      </c>
      <c r="E25" s="236"/>
      <c r="F25" s="236"/>
      <c r="G25" s="236"/>
      <c r="H25" s="582" t="s">
        <v>2102</v>
      </c>
      <c r="I25" s="498" t="s">
        <v>2103</v>
      </c>
      <c r="J25" s="237"/>
      <c r="K25" s="237"/>
      <c r="L25" s="274"/>
      <c r="M25" s="668" t="s">
        <v>4962</v>
      </c>
      <c r="N25" s="681" t="str">
        <f>IF(AND(ISTEXT($A25), ISERROR($A25+0)), HYPERLINK($BF25, "Images"), "")</f>
        <v>Images</v>
      </c>
      <c r="O25" s="663" t="s">
        <v>4971</v>
      </c>
      <c r="P25" s="253"/>
      <c r="Q25" s="238"/>
      <c r="R25" s="239"/>
      <c r="S25" s="275"/>
      <c r="T25" s="508">
        <f t="shared" si="3"/>
        <v>0</v>
      </c>
      <c r="U25" s="225" t="str">
        <f>IF(NOT(ISNUMBER(G25)), "", VLOOKUP(A25,'Discount Lookup'!D:E,2,FALSE)*G25)</f>
        <v/>
      </c>
      <c r="V25" s="225" t="str">
        <f>IF(NOT(ISNUMBER(G25)), "", VLOOKUP(A25,'Discount Lookup'!G:H,2,FALSE)*G25)</f>
        <v/>
      </c>
      <c r="W25" s="508">
        <f t="shared" si="4"/>
        <v>0</v>
      </c>
      <c r="X25" s="508" t="str">
        <f t="shared" si="5"/>
        <v>Soft Pink to White bloom</v>
      </c>
      <c r="Y25" s="509" t="b">
        <f t="shared" si="6"/>
        <v>0</v>
      </c>
      <c r="Z25" s="510">
        <f t="shared" si="7"/>
        <v>0</v>
      </c>
      <c r="AA25" s="511"/>
      <c r="AB25" s="511" t="str">
        <f t="shared" si="8"/>
        <v/>
      </c>
      <c r="AC25" s="698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698"/>
      <c r="AE25" s="631" t="str">
        <f t="shared" si="9"/>
        <v/>
      </c>
      <c r="AF25" s="699" t="str">
        <f t="shared" si="10"/>
        <v/>
      </c>
      <c r="AG25" s="699"/>
      <c r="AH25" s="699"/>
      <c r="AI25" s="512">
        <f>IF(H25="credit",0,IF(AE25="free",0,IF(AE25="me",0,IF(G25&gt;0,(VLOOKUP(A25,'Discount Lookup'!J:K,2)*G25),0))))</f>
        <v>0</v>
      </c>
      <c r="AJ25" s="513" t="str">
        <f t="shared" ca="1" si="11"/>
        <v/>
      </c>
      <c r="AK25" s="700" t="str">
        <f t="shared" si="12"/>
        <v/>
      </c>
      <c r="AL25" s="700"/>
      <c r="AM25" s="505" t="str">
        <f t="shared" si="13"/>
        <v/>
      </c>
      <c r="AN25" s="506"/>
      <c r="AO25" s="507"/>
      <c r="AP25" s="507"/>
      <c r="AQ25" s="507"/>
      <c r="AR25" s="507"/>
      <c r="AS25" s="507"/>
      <c r="AT25" s="507"/>
      <c r="AU25" s="507"/>
      <c r="AV25" s="225"/>
      <c r="AW25" s="508"/>
      <c r="AX25" s="225"/>
      <c r="AY25" s="225"/>
      <c r="AZ25" s="225"/>
      <c r="BA25" s="225"/>
      <c r="BB25" s="225"/>
      <c r="BC25" s="56"/>
      <c r="BD25" s="56"/>
      <c r="BE25" s="56"/>
      <c r="BF25" s="107" t="str">
        <f t="shared" si="14"/>
        <v>https://www.google.com/search?tbm=isch&amp;q=Akebono%20Yoshino%20Cherry%20Prunus%20x%20yedoensis%20%27Akebono%27</v>
      </c>
      <c r="BG25" s="107" t="str">
        <f t="shared" si="15"/>
        <v>A</v>
      </c>
      <c r="BH25" s="254"/>
      <c r="BI25" s="254"/>
    </row>
    <row r="26" spans="1:61" customFormat="1" ht="15.75" x14ac:dyDescent="0.25">
      <c r="A26" s="276">
        <v>15</v>
      </c>
      <c r="B26" s="240" t="s">
        <v>291</v>
      </c>
      <c r="C26" s="241" t="s">
        <v>3041</v>
      </c>
      <c r="D26" s="242" t="s">
        <v>300</v>
      </c>
      <c r="E26" s="243">
        <v>200.95</v>
      </c>
      <c r="F26" s="517" t="s">
        <v>293</v>
      </c>
      <c r="G26" s="232">
        <v>0</v>
      </c>
      <c r="H26" s="661" t="str">
        <f>IF(G26=0,"",IF(F26="Buy",IF(G26=1,"plant","plants"),IF(F26&gt;0.01,"warranty","Error")))</f>
        <v/>
      </c>
      <c r="I26" s="244">
        <f>IF(H26="free",0,IF(H26="credit",((E26*(F26))*G26*-1),IF(F26="Buy",(E26*G26),((E26*(1-F26))*G26))))</f>
        <v>0</v>
      </c>
      <c r="J26" s="244">
        <f>IF(H26="warranty",0,(I26*(_xlfn.SINGLE(SalesTaxPercentage))))</f>
        <v>0</v>
      </c>
      <c r="K26" s="696">
        <f t="shared" ref="K26" si="21">I26+J26</f>
        <v>0</v>
      </c>
      <c r="L26" s="696"/>
      <c r="M26" s="659" t="str">
        <f>IF(AND(G26&gt;0,E26=0),"WARNING - no PRICE inserted",IF(H26="free"," FREE ~ no charge this plant",IF(H26="credit",CONCATENATE(" -$",ROUND(K26*(1-T2GDiscount)*-1,2)," CREDIT after discount"),IF(T2GDiscount=0,"",IF(G26=0,"",IF(F26="Buy",CONCATENATE(" $",ROUND(K26*(1-T2GDiscount),2)," with ",(T2GDiscount*100),"% discount"),CONCATENATE(" $",ROUND(K26*(1-T2GDiscount),2)," with ",((T2GDiscount*100+F26*100)-(T2GDiscount*100*F26)),IF(F26&gt;0,"% discounts",IF(NoWarrantyDiscount&gt;0,"% discounts","% discount")))))))))</f>
        <v/>
      </c>
      <c r="N26" s="660"/>
      <c r="O26" s="233"/>
      <c r="P26" s="233"/>
      <c r="Q26" s="233"/>
      <c r="R26" s="233"/>
      <c r="S26" s="233"/>
      <c r="T26" s="508">
        <f t="shared" si="3"/>
        <v>0</v>
      </c>
      <c r="U26" s="225">
        <f>IF(NOT(ISNUMBER(G26)), "", VLOOKUP(A26,'Discount Lookup'!D:E,2,FALSE)*G26)</f>
        <v>0</v>
      </c>
      <c r="V26" s="225">
        <f>IF(NOT(ISNUMBER(G26)), "", VLOOKUP(A26,'Discount Lookup'!G:H,2,FALSE)*G26)</f>
        <v>0</v>
      </c>
      <c r="W26" s="508">
        <f t="shared" si="4"/>
        <v>0</v>
      </c>
      <c r="X26" s="508">
        <f t="shared" si="5"/>
        <v>0</v>
      </c>
      <c r="Y26" s="509" t="b">
        <f t="shared" si="6"/>
        <v>0</v>
      </c>
      <c r="Z26" s="510">
        <f t="shared" si="7"/>
        <v>0</v>
      </c>
      <c r="AA26" s="511"/>
      <c r="AB26" s="511" t="str">
        <f t="shared" si="8"/>
        <v/>
      </c>
      <c r="AC26" s="698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698"/>
      <c r="AE26" s="631" t="str">
        <f t="shared" si="9"/>
        <v/>
      </c>
      <c r="AF26" s="699" t="str">
        <f t="shared" si="10"/>
        <v/>
      </c>
      <c r="AG26" s="699"/>
      <c r="AH26" s="699"/>
      <c r="AI26" s="512">
        <f>IF(H26="credit",0,IF(AE26="free",0,IF(AE26="me",0,IF(G26&gt;0,(VLOOKUP(A26,'Discount Lookup'!J:K,2)*G26),0))))</f>
        <v>0</v>
      </c>
      <c r="AJ26" s="513" t="str">
        <f t="shared" ca="1" si="11"/>
        <v/>
      </c>
      <c r="AK26" s="700" t="str">
        <f t="shared" si="12"/>
        <v/>
      </c>
      <c r="AL26" s="700"/>
      <c r="AM26" s="505" t="str">
        <f t="shared" si="13"/>
        <v/>
      </c>
      <c r="AN26" s="506"/>
      <c r="AO26" s="507"/>
      <c r="AP26" s="507"/>
      <c r="AQ26" s="507"/>
      <c r="AR26" s="507"/>
      <c r="AS26" s="507"/>
      <c r="AT26" s="507"/>
      <c r="AU26" s="507"/>
      <c r="AV26" s="225"/>
      <c r="AW26" s="508"/>
      <c r="AX26" s="225"/>
      <c r="AY26" s="225"/>
      <c r="AZ26" s="225"/>
      <c r="BA26" s="225"/>
      <c r="BB26" s="225"/>
      <c r="BC26" s="56"/>
      <c r="BD26" s="56"/>
      <c r="BE26" s="56"/>
      <c r="BF26" s="107" t="str">
        <f t="shared" si="14"/>
        <v>https://www.google.com/search?tbm=isch&amp;q=15%20G6</v>
      </c>
      <c r="BG26" s="107" t="str">
        <f t="shared" si="15"/>
        <v>A</v>
      </c>
      <c r="BH26" s="254"/>
      <c r="BI26" s="254"/>
    </row>
    <row r="27" spans="1:61" customFormat="1" ht="17.25" thickBot="1" x14ac:dyDescent="0.3">
      <c r="A27" s="524" t="s">
        <v>2113</v>
      </c>
      <c r="B27" s="245"/>
      <c r="C27" s="677"/>
      <c r="D27" s="499"/>
      <c r="E27" s="499"/>
      <c r="F27" s="500"/>
      <c r="G27" s="501"/>
      <c r="H27" s="502"/>
      <c r="I27" s="246"/>
      <c r="J27" s="247"/>
      <c r="K27" s="503"/>
      <c r="L27" s="544"/>
      <c r="M27" s="544"/>
      <c r="N27" s="500"/>
      <c r="O27" s="500"/>
      <c r="P27" s="500"/>
      <c r="Q27" s="500"/>
      <c r="R27" s="500"/>
      <c r="S27" s="669" t="s">
        <v>4972</v>
      </c>
      <c r="T27" s="508">
        <f t="shared" si="3"/>
        <v>0</v>
      </c>
      <c r="U27" s="225" t="str">
        <f>IF(NOT(ISNUMBER(G27)), "", VLOOKUP(A27,'Discount Lookup'!D:E,2,FALSE)*G27)</f>
        <v/>
      </c>
      <c r="V27" s="225" t="str">
        <f>IF(NOT(ISNUMBER(G27)), "", VLOOKUP(A27,'Discount Lookup'!G:H,2,FALSE)*G27)</f>
        <v/>
      </c>
      <c r="W27" s="508">
        <f t="shared" si="4"/>
        <v>0</v>
      </c>
      <c r="X27" s="508">
        <f t="shared" si="5"/>
        <v>0</v>
      </c>
      <c r="Y27" s="509" t="b">
        <f t="shared" si="6"/>
        <v>0</v>
      </c>
      <c r="Z27" s="510">
        <f t="shared" si="7"/>
        <v>0</v>
      </c>
      <c r="AA27" s="511"/>
      <c r="AB27" s="511" t="str">
        <f t="shared" si="8"/>
        <v/>
      </c>
      <c r="AC27" s="698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698"/>
      <c r="AE27" s="631" t="str">
        <f t="shared" si="9"/>
        <v/>
      </c>
      <c r="AF27" s="699" t="str">
        <f t="shared" si="10"/>
        <v/>
      </c>
      <c r="AG27" s="699"/>
      <c r="AH27" s="699"/>
      <c r="AI27" s="512">
        <f>IF(H27="credit",0,IF(AE27="free",0,IF(AE27="me",0,IF(G27&gt;0,(VLOOKUP(A27,'Discount Lookup'!J:K,2)*G27),0))))</f>
        <v>0</v>
      </c>
      <c r="AJ27" s="513" t="str">
        <f t="shared" ca="1" si="11"/>
        <v/>
      </c>
      <c r="AK27" s="700" t="str">
        <f t="shared" si="12"/>
        <v/>
      </c>
      <c r="AL27" s="700"/>
      <c r="AM27" s="505" t="str">
        <f t="shared" si="13"/>
        <v/>
      </c>
      <c r="AN27" s="506"/>
      <c r="AO27" s="507"/>
      <c r="AP27" s="507"/>
      <c r="AQ27" s="507"/>
      <c r="AR27" s="507"/>
      <c r="AS27" s="507"/>
      <c r="AT27" s="507"/>
      <c r="AU27" s="507"/>
      <c r="AV27" s="225"/>
      <c r="AW27" s="508"/>
      <c r="AX27" s="225"/>
      <c r="AY27" s="225"/>
      <c r="AZ27" s="225"/>
      <c r="BA27" s="225"/>
      <c r="BB27" s="225"/>
      <c r="BC27" s="56"/>
      <c r="BD27" s="56"/>
      <c r="BE27" s="56"/>
      <c r="BF27" s="107" t="str">
        <f t="shared" si="14"/>
        <v>https://www.google.com/search?tbm=isch&amp;q=Akebono%20known%20for%20especially%20nice%20bloom%20in%20early%20spring.%20Fast%20grower.%20Name%20means%20%22Daybreak%22%20in%20Japanese%20</v>
      </c>
      <c r="BG27" s="107" t="str">
        <f t="shared" si="15"/>
        <v>A</v>
      </c>
      <c r="BH27" s="254"/>
      <c r="BI27" s="254"/>
    </row>
    <row r="28" spans="1:61" customFormat="1" ht="18" x14ac:dyDescent="0.25">
      <c r="A28" s="523" t="s">
        <v>552</v>
      </c>
      <c r="B28" s="235"/>
      <c r="C28" s="676"/>
      <c r="D28" s="255" t="s">
        <v>551</v>
      </c>
      <c r="E28" s="236"/>
      <c r="F28" s="236"/>
      <c r="G28" s="236"/>
      <c r="H28" s="582" t="s">
        <v>467</v>
      </c>
      <c r="I28" s="498" t="s">
        <v>3113</v>
      </c>
      <c r="J28" s="237"/>
      <c r="K28" s="237"/>
      <c r="L28" s="274"/>
      <c r="M28" s="670" t="s">
        <v>4973</v>
      </c>
      <c r="N28" s="681" t="str">
        <f>IF(AND(ISTEXT($A28), ISERROR($A28+0)), HYPERLINK($BF28, "Images"), "")</f>
        <v>Images</v>
      </c>
      <c r="O28" s="663" t="s">
        <v>4974</v>
      </c>
      <c r="P28" s="253"/>
      <c r="Q28" s="238"/>
      <c r="R28" s="239"/>
      <c r="S28" s="275" t="s">
        <v>305</v>
      </c>
      <c r="T28" s="508">
        <f t="shared" si="3"/>
        <v>0</v>
      </c>
      <c r="U28" s="225" t="str">
        <f>IF(NOT(ISNUMBER(G28)), "", VLOOKUP(A28,'Discount Lookup'!D:E,2,FALSE)*G28)</f>
        <v/>
      </c>
      <c r="V28" s="225" t="str">
        <f>IF(NOT(ISNUMBER(G28)), "", VLOOKUP(A28,'Discount Lookup'!G:H,2,FALSE)*G28)</f>
        <v/>
      </c>
      <c r="W28" s="508">
        <f t="shared" si="4"/>
        <v>0</v>
      </c>
      <c r="X28" s="508" t="str">
        <f t="shared" si="5"/>
        <v>White bloom ages to Pink</v>
      </c>
      <c r="Y28" s="509" t="b">
        <f t="shared" si="6"/>
        <v>0</v>
      </c>
      <c r="Z28" s="510">
        <f t="shared" si="7"/>
        <v>0</v>
      </c>
      <c r="AA28" s="511"/>
      <c r="AB28" s="511" t="str">
        <f t="shared" si="8"/>
        <v/>
      </c>
      <c r="AC28" s="698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698"/>
      <c r="AE28" s="631" t="str">
        <f t="shared" si="9"/>
        <v/>
      </c>
      <c r="AF28" s="699" t="str">
        <f t="shared" si="10"/>
        <v/>
      </c>
      <c r="AG28" s="699"/>
      <c r="AH28" s="699"/>
      <c r="AI28" s="512">
        <f>IF(H28="credit",0,IF(AE28="free",0,IF(AE28="me",0,IF(G28&gt;0,(VLOOKUP(A28,'Discount Lookup'!J:K,2)*G28),0))))</f>
        <v>0</v>
      </c>
      <c r="AJ28" s="513" t="str">
        <f t="shared" ca="1" si="11"/>
        <v/>
      </c>
      <c r="AK28" s="700" t="str">
        <f t="shared" si="12"/>
        <v/>
      </c>
      <c r="AL28" s="700"/>
      <c r="AM28" s="505" t="str">
        <f t="shared" si="13"/>
        <v/>
      </c>
      <c r="AN28" s="506"/>
      <c r="AO28" s="507"/>
      <c r="AP28" s="507"/>
      <c r="AQ28" s="507"/>
      <c r="AR28" s="507"/>
      <c r="AS28" s="507"/>
      <c r="AT28" s="507"/>
      <c r="AU28" s="507"/>
      <c r="AV28" s="225"/>
      <c r="AW28" s="508"/>
      <c r="AX28" s="225"/>
      <c r="AY28" s="225"/>
      <c r="AZ28" s="225"/>
      <c r="BA28" s="225"/>
      <c r="BB28" s="225"/>
      <c r="BC28" s="56"/>
      <c r="BD28" s="56"/>
      <c r="BE28" s="56"/>
      <c r="BF28" s="107" t="str">
        <f t="shared" si="14"/>
        <v>https://www.google.com/search?tbm=isch&amp;q=Alice%20Oakleaf%20Hydrangea%20Hyd.%20quercifolia%20%27Alice%27</v>
      </c>
      <c r="BG28" s="107" t="str">
        <f t="shared" si="15"/>
        <v>A</v>
      </c>
      <c r="BH28" s="254"/>
      <c r="BI28" s="254"/>
    </row>
    <row r="29" spans="1:61" customFormat="1" ht="15.75" x14ac:dyDescent="0.25">
      <c r="A29" s="276">
        <v>5</v>
      </c>
      <c r="B29" s="240" t="s">
        <v>291</v>
      </c>
      <c r="C29" s="241" t="s">
        <v>3969</v>
      </c>
      <c r="D29" s="242" t="s">
        <v>300</v>
      </c>
      <c r="E29" s="243">
        <v>71.95</v>
      </c>
      <c r="F29" s="517" t="s">
        <v>293</v>
      </c>
      <c r="G29" s="232">
        <v>0</v>
      </c>
      <c r="H29" s="661" t="str">
        <f>IF(G29=0,"",IF(F29="Buy",IF(G29=1,"plant","plants"),IF(F29&gt;0.01,"warranty","Error")))</f>
        <v/>
      </c>
      <c r="I29" s="244">
        <f>IF(H29="free",0,IF(H29="credit",((E29*(F29))*G29*-1),IF(F29="Buy",(E29*G29),((E29*(1-F29))*G29))))</f>
        <v>0</v>
      </c>
      <c r="J29" s="244">
        <f>IF(H29="warranty",0,(I29*(_xlfn.SINGLE(SalesTaxPercentage))))</f>
        <v>0</v>
      </c>
      <c r="K29" s="696">
        <f t="shared" ref="K29" si="22">I29+J29</f>
        <v>0</v>
      </c>
      <c r="L29" s="696"/>
      <c r="M29" s="659" t="str">
        <f>IF(AND(G29&gt;0,E29=0),"WARNING - no PRICE inserted",IF(H29="free"," FREE ~ no charge this plant",IF(H29="credit",CONCATENATE(" -$",ROUND(K29*(1-T2GDiscount)*-1,2)," CREDIT after discount"),IF(T2GDiscount=0,"",IF(G29=0,"",IF(F29="Buy",CONCATENATE(" $",ROUND(K29*(1-T2GDiscount),2)," with ",(T2GDiscount*100),"% discount"),CONCATENATE(" $",ROUND(K29*(1-T2GDiscount),2)," with ",((T2GDiscount*100+F29*100)-(T2GDiscount*100*F29)),IF(F29&gt;0,"% discounts",IF(NoWarrantyDiscount&gt;0,"% discounts","% discount")))))))))</f>
        <v/>
      </c>
      <c r="N29" s="660"/>
      <c r="O29" s="233"/>
      <c r="P29" s="233"/>
      <c r="Q29" s="233"/>
      <c r="R29" s="233"/>
      <c r="S29" s="233"/>
      <c r="T29" s="508">
        <f t="shared" si="3"/>
        <v>0</v>
      </c>
      <c r="U29" s="225">
        <f>IF(NOT(ISNUMBER(G29)), "", VLOOKUP(A29,'Discount Lookup'!D:E,2,FALSE)*G29)</f>
        <v>0</v>
      </c>
      <c r="V29" s="225">
        <f>IF(NOT(ISNUMBER(G29)), "", VLOOKUP(A29,'Discount Lookup'!G:H,2,FALSE)*G29)</f>
        <v>0</v>
      </c>
      <c r="W29" s="508">
        <f t="shared" si="4"/>
        <v>0</v>
      </c>
      <c r="X29" s="508">
        <f t="shared" si="5"/>
        <v>0</v>
      </c>
      <c r="Y29" s="509" t="b">
        <f t="shared" si="6"/>
        <v>0</v>
      </c>
      <c r="Z29" s="510">
        <f t="shared" si="7"/>
        <v>0</v>
      </c>
      <c r="AA29" s="511"/>
      <c r="AB29" s="511" t="str">
        <f t="shared" si="8"/>
        <v/>
      </c>
      <c r="AC29" s="698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698"/>
      <c r="AE29" s="631" t="str">
        <f t="shared" si="9"/>
        <v/>
      </c>
      <c r="AF29" s="699" t="str">
        <f t="shared" si="10"/>
        <v/>
      </c>
      <c r="AG29" s="699"/>
      <c r="AH29" s="699"/>
      <c r="AI29" s="512">
        <f>IF(H29="credit",0,IF(AE29="free",0,IF(AE29="me",0,IF(G29&gt;0,(VLOOKUP(A29,'Discount Lookup'!J:K,2)*G29),0))))</f>
        <v>0</v>
      </c>
      <c r="AJ29" s="513" t="str">
        <f t="shared" ca="1" si="11"/>
        <v/>
      </c>
      <c r="AK29" s="700" t="str">
        <f t="shared" si="12"/>
        <v/>
      </c>
      <c r="AL29" s="700"/>
      <c r="AM29" s="505" t="str">
        <f t="shared" si="13"/>
        <v/>
      </c>
      <c r="AN29" s="506"/>
      <c r="AO29" s="507"/>
      <c r="AP29" s="507"/>
      <c r="AQ29" s="507"/>
      <c r="AR29" s="507"/>
      <c r="AS29" s="507"/>
      <c r="AT29" s="507"/>
      <c r="AU29" s="507"/>
      <c r="AV29" s="225"/>
      <c r="AW29" s="508"/>
      <c r="AX29" s="225"/>
      <c r="AY29" s="225"/>
      <c r="AZ29" s="225"/>
      <c r="BA29" s="225"/>
      <c r="BB29" s="225"/>
      <c r="BC29" s="56"/>
      <c r="BD29" s="56"/>
      <c r="BE29" s="56"/>
      <c r="BF29" s="107" t="str">
        <f t="shared" si="14"/>
        <v>https://www.google.com/search?tbm=isch&amp;q=5%20G6</v>
      </c>
      <c r="BG29" s="107" t="str">
        <f t="shared" si="15"/>
        <v>A</v>
      </c>
      <c r="BH29" s="254"/>
      <c r="BI29" s="254"/>
    </row>
    <row r="30" spans="1:61" customFormat="1" ht="17.25" thickBot="1" x14ac:dyDescent="0.3">
      <c r="A30" s="673" t="s">
        <v>5031</v>
      </c>
      <c r="B30" s="245"/>
      <c r="C30" s="677"/>
      <c r="D30" s="499"/>
      <c r="E30" s="499"/>
      <c r="F30" s="500"/>
      <c r="G30" s="501"/>
      <c r="H30" s="502"/>
      <c r="I30" s="246"/>
      <c r="J30" s="247"/>
      <c r="K30" s="503"/>
      <c r="L30" s="544"/>
      <c r="M30" s="544"/>
      <c r="N30" s="500"/>
      <c r="O30" s="500"/>
      <c r="P30" s="500"/>
      <c r="Q30" s="500"/>
      <c r="R30" s="500"/>
      <c r="S30" s="278"/>
      <c r="T30" s="508">
        <f t="shared" si="3"/>
        <v>0</v>
      </c>
      <c r="U30" s="225" t="str">
        <f>IF(NOT(ISNUMBER(G30)), "", VLOOKUP(A30,'Discount Lookup'!D:E,2,FALSE)*G30)</f>
        <v/>
      </c>
      <c r="V30" s="225" t="str">
        <f>IF(NOT(ISNUMBER(G30)), "", VLOOKUP(A30,'Discount Lookup'!G:H,2,FALSE)*G30)</f>
        <v/>
      </c>
      <c r="W30" s="508">
        <f t="shared" si="4"/>
        <v>0</v>
      </c>
      <c r="X30" s="508">
        <f t="shared" si="5"/>
        <v>0</v>
      </c>
      <c r="Y30" s="509" t="b">
        <f t="shared" si="6"/>
        <v>0</v>
      </c>
      <c r="Z30" s="510">
        <f t="shared" si="7"/>
        <v>0</v>
      </c>
      <c r="AA30" s="511"/>
      <c r="AB30" s="511" t="str">
        <f t="shared" si="8"/>
        <v/>
      </c>
      <c r="AC30" s="698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698"/>
      <c r="AE30" s="631" t="str">
        <f t="shared" si="9"/>
        <v/>
      </c>
      <c r="AF30" s="699" t="str">
        <f t="shared" si="10"/>
        <v/>
      </c>
      <c r="AG30" s="699"/>
      <c r="AH30" s="699"/>
      <c r="AI30" s="512">
        <f>IF(H30="credit",0,IF(AE30="free",0,IF(AE30="me",0,IF(G30&gt;0,(VLOOKUP(A30,'Discount Lookup'!J:K,2)*G30),0))))</f>
        <v>0</v>
      </c>
      <c r="AJ30" s="513" t="str">
        <f t="shared" ca="1" si="11"/>
        <v/>
      </c>
      <c r="AK30" s="700" t="str">
        <f t="shared" si="12"/>
        <v/>
      </c>
      <c r="AL30" s="700"/>
      <c r="AM30" s="505" t="str">
        <f t="shared" si="13"/>
        <v/>
      </c>
      <c r="AN30" s="506"/>
      <c r="AO30" s="507"/>
      <c r="AP30" s="507"/>
      <c r="AQ30" s="507"/>
      <c r="AR30" s="507"/>
      <c r="AS30" s="507"/>
      <c r="AT30" s="507"/>
      <c r="AU30" s="507"/>
      <c r="AV30" s="225"/>
      <c r="AW30" s="508"/>
      <c r="AX30" s="225"/>
      <c r="AY30" s="225"/>
      <c r="AZ30" s="225"/>
      <c r="BA30" s="225"/>
      <c r="BB30" s="225"/>
      <c r="BC30" s="56"/>
      <c r="BD30" s="56"/>
      <c r="BE30" s="56"/>
      <c r="BF30" s="107" t="str">
        <f t="shared" si="14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30" s="107" t="str">
        <f t="shared" si="15"/>
        <v>m</v>
      </c>
      <c r="BH30" s="254"/>
      <c r="BI30" s="254"/>
    </row>
    <row r="31" spans="1:61" customFormat="1" ht="18" x14ac:dyDescent="0.25">
      <c r="A31" s="521" t="s">
        <v>2620</v>
      </c>
      <c r="B31" s="477"/>
      <c r="C31" s="674"/>
      <c r="D31" s="478" t="s">
        <v>2621</v>
      </c>
      <c r="E31" s="479"/>
      <c r="F31" s="479"/>
      <c r="G31" s="479"/>
      <c r="H31" s="582" t="s">
        <v>2622</v>
      </c>
      <c r="I31" s="480" t="s">
        <v>2293</v>
      </c>
      <c r="J31" s="479"/>
      <c r="K31" s="479"/>
      <c r="L31" s="560"/>
      <c r="M31" s="666" t="s">
        <v>4963</v>
      </c>
      <c r="N31" s="680" t="str">
        <f>IF(AND(ISTEXT($A31), ISERROR($A31+0)), HYPERLINK($BF31, "Images"), "")</f>
        <v>Images</v>
      </c>
      <c r="O31" s="662" t="s">
        <v>4969</v>
      </c>
      <c r="P31" s="482"/>
      <c r="Q31" s="483"/>
      <c r="R31" s="483"/>
      <c r="S31" s="484"/>
      <c r="T31" s="508">
        <f t="shared" si="3"/>
        <v>0</v>
      </c>
      <c r="U31" s="225" t="str">
        <f>IF(NOT(ISNUMBER(G31)), "", VLOOKUP(A31,'Discount Lookup'!D:E,2,FALSE)*G31)</f>
        <v/>
      </c>
      <c r="V31" s="225" t="str">
        <f>IF(NOT(ISNUMBER(G31)), "", VLOOKUP(A31,'Discount Lookup'!G:H,2,FALSE)*G31)</f>
        <v/>
      </c>
      <c r="W31" s="508">
        <f t="shared" si="4"/>
        <v>0</v>
      </c>
      <c r="X31" s="508" t="str">
        <f t="shared" si="5"/>
        <v>Golden-Yellow foliage</v>
      </c>
      <c r="Y31" s="509" t="b">
        <f t="shared" si="6"/>
        <v>0</v>
      </c>
      <c r="Z31" s="510">
        <f t="shared" si="7"/>
        <v>0</v>
      </c>
      <c r="AA31" s="511"/>
      <c r="AB31" s="511" t="str">
        <f t="shared" si="8"/>
        <v/>
      </c>
      <c r="AC31" s="698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698"/>
      <c r="AE31" s="631" t="str">
        <f t="shared" si="9"/>
        <v/>
      </c>
      <c r="AF31" s="699" t="str">
        <f t="shared" si="10"/>
        <v/>
      </c>
      <c r="AG31" s="699"/>
      <c r="AH31" s="699"/>
      <c r="AI31" s="512">
        <f>IF(H31="credit",0,IF(AE31="free",0,IF(AE31="me",0,IF(G31&gt;0,(VLOOKUP(A31,'Discount Lookup'!J:K,2)*G31),0))))</f>
        <v>0</v>
      </c>
      <c r="AJ31" s="513" t="str">
        <f t="shared" ca="1" si="11"/>
        <v/>
      </c>
      <c r="AK31" s="700" t="str">
        <f t="shared" si="12"/>
        <v/>
      </c>
      <c r="AL31" s="700"/>
      <c r="AM31" s="505" t="str">
        <f t="shared" si="13"/>
        <v/>
      </c>
      <c r="AN31" s="506"/>
      <c r="AO31" s="507"/>
      <c r="AP31" s="507"/>
      <c r="AQ31" s="507"/>
      <c r="AR31" s="507"/>
      <c r="AS31" s="507"/>
      <c r="AT31" s="507"/>
      <c r="AU31" s="507"/>
      <c r="AV31" s="225"/>
      <c r="AW31" s="508"/>
      <c r="AX31" s="225"/>
      <c r="AY31" s="225"/>
      <c r="AZ31" s="225"/>
      <c r="BA31" s="225"/>
      <c r="BB31" s="225"/>
      <c r="BC31" s="56"/>
      <c r="BD31" s="56"/>
      <c r="BE31" s="56"/>
      <c r="BF31" s="107" t="str">
        <f t="shared" si="14"/>
        <v>https://www.google.com/search?tbm=isch&amp;q=All%20Gold%20Juniper%20Juniperus%20conferta%20%27All%20Gold%27</v>
      </c>
      <c r="BG31" s="107" t="str">
        <f t="shared" si="15"/>
        <v>A</v>
      </c>
      <c r="BH31" s="254"/>
      <c r="BI31" s="254"/>
    </row>
    <row r="32" spans="1:61" customFormat="1" ht="15.75" x14ac:dyDescent="0.25">
      <c r="A32" s="485">
        <v>3</v>
      </c>
      <c r="B32" s="486" t="s">
        <v>291</v>
      </c>
      <c r="C32" s="487" t="s">
        <v>3244</v>
      </c>
      <c r="D32" s="488" t="s">
        <v>297</v>
      </c>
      <c r="E32" s="489">
        <v>24.95</v>
      </c>
      <c r="F32" s="516" t="s">
        <v>293</v>
      </c>
      <c r="G32" s="232">
        <v>0</v>
      </c>
      <c r="H32" s="658" t="str">
        <f>IF(G32=0,"",IF(F32="Buy",IF(G32=1,"plant","plants"),IF(F32&gt;0.01,"warranty","Error")))</f>
        <v/>
      </c>
      <c r="I32" s="490">
        <f>IF(H32="free",0,IF(H32="credit",((E32*(F32))*G32*-1),IF(F32="Buy",(E32*G32),((E32*(1-F32))*G32))))</f>
        <v>0</v>
      </c>
      <c r="J32" s="490">
        <f>IF(H32="warranty",0,(I32*(_xlfn.SINGLE(SalesTaxPercentage))))</f>
        <v>0</v>
      </c>
      <c r="K32" s="695">
        <f t="shared" ref="K32" si="23">I32+J32</f>
        <v>0</v>
      </c>
      <c r="L32" s="695"/>
      <c r="M32" s="659" t="str">
        <f>IF(AND(G32&gt;0,E32=0),"WARNING - no PRICE inserted",IF(H32="free"," FREE ~ no charge this plant",IF(H32="credit",CONCATENATE(" -$",ROUND(K32*(1-T2GDiscount)*-1,2)," CREDIT after discount"),IF(T2GDiscount=0,"",IF(G32=0,"",IF(F32="Buy",CONCATENATE(" $",ROUND(K32*(1-T2GDiscount),2)," with ",(T2GDiscount*100),"% discount"),CONCATENATE(" $",ROUND(K32*(1-T2GDiscount),2)," with ",((T2GDiscount*100+F32*100)-(T2GDiscount*100*F32)),IF(F32&gt;0,"% discounts",IF(NoWarrantyDiscount&gt;0,"% discounts","% discount")))))))))</f>
        <v/>
      </c>
      <c r="N32" s="660"/>
      <c r="O32" s="233"/>
      <c r="P32" s="233"/>
      <c r="Q32" s="233"/>
      <c r="R32" s="233"/>
      <c r="S32" s="233"/>
      <c r="T32" s="508">
        <f t="shared" si="3"/>
        <v>0</v>
      </c>
      <c r="U32" s="225">
        <f>IF(NOT(ISNUMBER(G32)), "", VLOOKUP(A32,'Discount Lookup'!D:E,2,FALSE)*G32)</f>
        <v>0</v>
      </c>
      <c r="V32" s="225">
        <f>IF(NOT(ISNUMBER(G32)), "", VLOOKUP(A32,'Discount Lookup'!G:H,2,FALSE)*G32)</f>
        <v>0</v>
      </c>
      <c r="W32" s="508">
        <f t="shared" si="4"/>
        <v>0</v>
      </c>
      <c r="X32" s="508">
        <f t="shared" si="5"/>
        <v>0</v>
      </c>
      <c r="Y32" s="509" t="b">
        <f t="shared" si="6"/>
        <v>0</v>
      </c>
      <c r="Z32" s="510">
        <f t="shared" si="7"/>
        <v>0</v>
      </c>
      <c r="AA32" s="511"/>
      <c r="AB32" s="511" t="str">
        <f t="shared" si="8"/>
        <v/>
      </c>
      <c r="AC32" s="698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698"/>
      <c r="AE32" s="631" t="str">
        <f t="shared" si="9"/>
        <v/>
      </c>
      <c r="AF32" s="699" t="str">
        <f t="shared" si="10"/>
        <v/>
      </c>
      <c r="AG32" s="699"/>
      <c r="AH32" s="699"/>
      <c r="AI32" s="512">
        <f>IF(H32="credit",0,IF(AE32="free",0,IF(AE32="me",0,IF(G32&gt;0,(VLOOKUP(A32,'Discount Lookup'!J:K,2)*G32),0))))</f>
        <v>0</v>
      </c>
      <c r="AJ32" s="513" t="str">
        <f t="shared" ca="1" si="11"/>
        <v/>
      </c>
      <c r="AK32" s="700" t="str">
        <f t="shared" si="12"/>
        <v/>
      </c>
      <c r="AL32" s="700"/>
      <c r="AM32" s="505" t="str">
        <f t="shared" si="13"/>
        <v/>
      </c>
      <c r="AN32" s="506"/>
      <c r="AO32" s="507"/>
      <c r="AP32" s="507"/>
      <c r="AQ32" s="507"/>
      <c r="AR32" s="507"/>
      <c r="AS32" s="507"/>
      <c r="AT32" s="507"/>
      <c r="AU32" s="507"/>
      <c r="AV32" s="225"/>
      <c r="AW32" s="508"/>
      <c r="AX32" s="225"/>
      <c r="AY32" s="225"/>
      <c r="AZ32" s="225"/>
      <c r="BA32" s="225"/>
      <c r="BB32" s="225"/>
      <c r="BC32" s="56"/>
      <c r="BD32" s="56"/>
      <c r="BE32" s="56"/>
      <c r="BF32" s="107" t="str">
        <f t="shared" si="14"/>
        <v>https://www.google.com/search?tbm=isch&amp;q=3%20G3</v>
      </c>
      <c r="BG32" s="107" t="str">
        <f t="shared" si="15"/>
        <v>A</v>
      </c>
      <c r="BH32" s="254"/>
      <c r="BI32" s="254"/>
    </row>
    <row r="33" spans="1:61" customFormat="1" ht="27" x14ac:dyDescent="0.25">
      <c r="A33" s="485">
        <v>7</v>
      </c>
      <c r="B33" s="486" t="s">
        <v>291</v>
      </c>
      <c r="C33" s="487" t="s">
        <v>3296</v>
      </c>
      <c r="D33" s="488" t="s">
        <v>292</v>
      </c>
      <c r="E33" s="489">
        <v>194.95</v>
      </c>
      <c r="F33" s="516" t="s">
        <v>293</v>
      </c>
      <c r="G33" s="232">
        <v>0</v>
      </c>
      <c r="H33" s="658" t="str">
        <f>IF(G33=0,"",IF(F33="Buy",IF(G33=1,"plant","plants"),IF(F33&gt;0.01,"warranty","Error")))</f>
        <v/>
      </c>
      <c r="I33" s="490">
        <f>IF(H33="free",0,IF(H33="credit",((E33*(F33))*G33*-1),IF(F33="Buy",(E33*G33),((E33*(1-F33))*G33))))</f>
        <v>0</v>
      </c>
      <c r="J33" s="490">
        <f>IF(H33="warranty",0,(I33*(_xlfn.SINGLE(SalesTaxPercentage))))</f>
        <v>0</v>
      </c>
      <c r="K33" s="695">
        <f t="shared" ref="K33" si="24">I33+J33</f>
        <v>0</v>
      </c>
      <c r="L33" s="695"/>
      <c r="M33" s="659" t="str">
        <f>IF(AND(G33&gt;0,E33=0),"WARNING - no PRICE inserted",IF(H33="free"," FREE ~ no charge this plant",IF(H33="credit",CONCATENATE(" -$",ROUND(K33*(1-T2GDiscount)*-1,2)," CREDIT after discount"),IF(T2GDiscount=0,"",IF(G33=0,"",IF(F33="Buy",CONCATENATE(" $",ROUND(K33*(1-T2GDiscount),2)," with ",(T2GDiscount*100),"% discount"),CONCATENATE(" $",ROUND(K33*(1-T2GDiscount),2)," with ",((T2GDiscount*100+F33*100)-(T2GDiscount*100*F33)),IF(F33&gt;0,"% discounts",IF(NoWarrantyDiscount&gt;0,"% discounts","% discount")))))))))</f>
        <v/>
      </c>
      <c r="N33" s="660"/>
      <c r="O33" s="233"/>
      <c r="P33" s="233"/>
      <c r="Q33" s="233"/>
      <c r="R33" s="233"/>
      <c r="S33" s="233"/>
      <c r="T33" s="508">
        <f t="shared" si="3"/>
        <v>0</v>
      </c>
      <c r="U33" s="225">
        <f>IF(NOT(ISNUMBER(G33)), "", VLOOKUP(A33,'Discount Lookup'!D:E,2,FALSE)*G33)</f>
        <v>0</v>
      </c>
      <c r="V33" s="225">
        <f>IF(NOT(ISNUMBER(G33)), "", VLOOKUP(A33,'Discount Lookup'!G:H,2,FALSE)*G33)</f>
        <v>0</v>
      </c>
      <c r="W33" s="508">
        <f t="shared" si="4"/>
        <v>0</v>
      </c>
      <c r="X33" s="508">
        <f t="shared" si="5"/>
        <v>0</v>
      </c>
      <c r="Y33" s="509" t="b">
        <f t="shared" si="6"/>
        <v>0</v>
      </c>
      <c r="Z33" s="510">
        <f t="shared" si="7"/>
        <v>0</v>
      </c>
      <c r="AA33" s="511"/>
      <c r="AB33" s="511" t="str">
        <f t="shared" si="8"/>
        <v/>
      </c>
      <c r="AC33" s="698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698"/>
      <c r="AE33" s="631" t="str">
        <f t="shared" si="9"/>
        <v/>
      </c>
      <c r="AF33" s="699" t="str">
        <f t="shared" si="10"/>
        <v/>
      </c>
      <c r="AG33" s="699"/>
      <c r="AH33" s="699"/>
      <c r="AI33" s="512">
        <f>IF(H33="credit",0,IF(AE33="free",0,IF(AE33="me",0,IF(G33&gt;0,(VLOOKUP(A33,'Discount Lookup'!J:K,2)*G33),0))))</f>
        <v>0</v>
      </c>
      <c r="AJ33" s="513" t="str">
        <f t="shared" ca="1" si="11"/>
        <v/>
      </c>
      <c r="AK33" s="700" t="str">
        <f t="shared" si="12"/>
        <v/>
      </c>
      <c r="AL33" s="700"/>
      <c r="AM33" s="505" t="str">
        <f t="shared" si="13"/>
        <v/>
      </c>
      <c r="AN33" s="506"/>
      <c r="AO33" s="507"/>
      <c r="AP33" s="507"/>
      <c r="AQ33" s="507"/>
      <c r="AR33" s="507"/>
      <c r="AS33" s="507"/>
      <c r="AT33" s="507"/>
      <c r="AU33" s="507"/>
      <c r="AV33" s="225"/>
      <c r="AW33" s="508"/>
      <c r="AX33" s="225"/>
      <c r="AY33" s="225"/>
      <c r="AZ33" s="225"/>
      <c r="BA33" s="225"/>
      <c r="BB33" s="225"/>
      <c r="BC33" s="56"/>
      <c r="BD33" s="56"/>
      <c r="BE33" s="56"/>
      <c r="BF33" s="107" t="str">
        <f t="shared" si="14"/>
        <v>https://www.google.com/search?tbm=isch&amp;q=7%20G4</v>
      </c>
      <c r="BG33" s="107" t="str">
        <f t="shared" si="15"/>
        <v>A</v>
      </c>
      <c r="BH33" s="254"/>
      <c r="BI33" s="254"/>
    </row>
    <row r="34" spans="1:61" customFormat="1" ht="16.5" thickBot="1" x14ac:dyDescent="0.3">
      <c r="A34" s="522" t="s">
        <v>2623</v>
      </c>
      <c r="B34" s="491"/>
      <c r="C34" s="675"/>
      <c r="D34" s="491"/>
      <c r="E34" s="491"/>
      <c r="F34" s="492"/>
      <c r="G34" s="493"/>
      <c r="H34" s="491"/>
      <c r="I34" s="234"/>
      <c r="J34" s="234"/>
      <c r="K34" s="494"/>
      <c r="L34" s="543"/>
      <c r="M34" s="561"/>
      <c r="N34" s="495"/>
      <c r="O34" s="496"/>
      <c r="P34" s="497"/>
      <c r="Q34" s="495"/>
      <c r="R34" s="495"/>
      <c r="S34" s="667" t="s">
        <v>4968</v>
      </c>
      <c r="T34" s="508">
        <f t="shared" si="3"/>
        <v>0</v>
      </c>
      <c r="U34" s="225" t="str">
        <f>IF(NOT(ISNUMBER(G34)), "", VLOOKUP(A34,'Discount Lookup'!D:E,2,FALSE)*G34)</f>
        <v/>
      </c>
      <c r="V34" s="225" t="str">
        <f>IF(NOT(ISNUMBER(G34)), "", VLOOKUP(A34,'Discount Lookup'!G:H,2,FALSE)*G34)</f>
        <v/>
      </c>
      <c r="W34" s="508">
        <f t="shared" si="4"/>
        <v>0</v>
      </c>
      <c r="X34" s="508">
        <f t="shared" si="5"/>
        <v>0</v>
      </c>
      <c r="Y34" s="509" t="b">
        <f t="shared" si="6"/>
        <v>0</v>
      </c>
      <c r="Z34" s="510">
        <f t="shared" si="7"/>
        <v>0</v>
      </c>
      <c r="AA34" s="511"/>
      <c r="AB34" s="511" t="str">
        <f t="shared" si="8"/>
        <v/>
      </c>
      <c r="AC34" s="698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698"/>
      <c r="AE34" s="631" t="str">
        <f t="shared" si="9"/>
        <v/>
      </c>
      <c r="AF34" s="699" t="str">
        <f t="shared" si="10"/>
        <v/>
      </c>
      <c r="AG34" s="699"/>
      <c r="AH34" s="699"/>
      <c r="AI34" s="512">
        <f>IF(H34="credit",0,IF(AE34="free",0,IF(AE34="me",0,IF(G34&gt;0,(VLOOKUP(A34,'Discount Lookup'!J:K,2)*G34),0))))</f>
        <v>0</v>
      </c>
      <c r="AJ34" s="513" t="str">
        <f t="shared" ca="1" si="11"/>
        <v/>
      </c>
      <c r="AK34" s="700" t="str">
        <f t="shared" si="12"/>
        <v/>
      </c>
      <c r="AL34" s="700"/>
      <c r="AM34" s="505" t="str">
        <f t="shared" si="13"/>
        <v/>
      </c>
      <c r="AN34" s="506"/>
      <c r="AO34" s="507"/>
      <c r="AP34" s="507"/>
      <c r="AQ34" s="507"/>
      <c r="AR34" s="507"/>
      <c r="AS34" s="507"/>
      <c r="AT34" s="507"/>
      <c r="AU34" s="507"/>
      <c r="AV34" s="225"/>
      <c r="AW34" s="508"/>
      <c r="AX34" s="225"/>
      <c r="AY34" s="225"/>
      <c r="AZ34" s="225"/>
      <c r="BA34" s="225"/>
      <c r="BB34" s="225"/>
      <c r="BC34" s="56"/>
      <c r="BD34" s="56"/>
      <c r="BE34" s="56"/>
      <c r="BF34" s="107" t="str">
        <f t="shared" si="14"/>
        <v>https://www.google.com/search?tbm=isch&amp;q=All%20Gold%27s%20vibrant%20foliage%20that%20turns%20light%20Bronze%20in%20winter%2C%20with%20soft%2C%20flexible%20stems%20and%20exfoliating%20bark.%20Sun%2Fheat%2Fdrought%20tolerant%20</v>
      </c>
      <c r="BG34" s="107" t="str">
        <f t="shared" si="15"/>
        <v>A</v>
      </c>
      <c r="BH34" s="254"/>
      <c r="BI34" s="254"/>
    </row>
    <row r="35" spans="1:61" customFormat="1" ht="18" x14ac:dyDescent="0.25">
      <c r="A35" s="523" t="s">
        <v>2703</v>
      </c>
      <c r="B35" s="235"/>
      <c r="C35" s="676"/>
      <c r="D35" s="255" t="s">
        <v>2704</v>
      </c>
      <c r="E35" s="236"/>
      <c r="F35" s="236"/>
      <c r="G35" s="236"/>
      <c r="H35" s="582" t="s">
        <v>366</v>
      </c>
      <c r="I35" s="498" t="s">
        <v>656</v>
      </c>
      <c r="J35" s="237"/>
      <c r="K35" s="237"/>
      <c r="L35" s="274"/>
      <c r="M35" s="668" t="s">
        <v>4975</v>
      </c>
      <c r="N35" s="681" t="str">
        <f>IF(AND(ISTEXT($A35), ISERROR($A35+0)), HYPERLINK($BF35, "Images"), "")</f>
        <v>Images</v>
      </c>
      <c r="O35" s="663" t="s">
        <v>4974</v>
      </c>
      <c r="P35" s="253"/>
      <c r="Q35" s="238"/>
      <c r="R35" s="239"/>
      <c r="S35" s="275" t="s">
        <v>305</v>
      </c>
      <c r="T35" s="508">
        <f t="shared" si="3"/>
        <v>0</v>
      </c>
      <c r="U35" s="225" t="str">
        <f>IF(NOT(ISNUMBER(G35)), "", VLOOKUP(A35,'Discount Lookup'!D:E,2,FALSE)*G35)</f>
        <v/>
      </c>
      <c r="V35" s="225" t="str">
        <f>IF(NOT(ISNUMBER(G35)), "", VLOOKUP(A35,'Discount Lookup'!G:H,2,FALSE)*G35)</f>
        <v/>
      </c>
      <c r="W35" s="508">
        <f t="shared" si="4"/>
        <v>0</v>
      </c>
      <c r="X35" s="508" t="str">
        <f t="shared" si="5"/>
        <v>Pink bloom</v>
      </c>
      <c r="Y35" s="509" t="b">
        <f t="shared" si="6"/>
        <v>0</v>
      </c>
      <c r="Z35" s="510">
        <f t="shared" si="7"/>
        <v>0</v>
      </c>
      <c r="AA35" s="511"/>
      <c r="AB35" s="511" t="str">
        <f t="shared" si="8"/>
        <v/>
      </c>
      <c r="AC35" s="698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698"/>
      <c r="AE35" s="631" t="str">
        <f t="shared" si="9"/>
        <v/>
      </c>
      <c r="AF35" s="699" t="str">
        <f t="shared" si="10"/>
        <v/>
      </c>
      <c r="AG35" s="699"/>
      <c r="AH35" s="699"/>
      <c r="AI35" s="512">
        <f>IF(H35="credit",0,IF(AE35="free",0,IF(AE35="me",0,IF(G35&gt;0,(VLOOKUP(A35,'Discount Lookup'!J:K,2)*G35),0))))</f>
        <v>0</v>
      </c>
      <c r="AJ35" s="513" t="str">
        <f t="shared" ca="1" si="11"/>
        <v/>
      </c>
      <c r="AK35" s="700" t="str">
        <f t="shared" si="12"/>
        <v/>
      </c>
      <c r="AL35" s="700"/>
      <c r="AM35" s="505" t="str">
        <f t="shared" si="13"/>
        <v/>
      </c>
      <c r="AN35" s="506"/>
      <c r="AO35" s="507"/>
      <c r="AP35" s="507"/>
      <c r="AQ35" s="507"/>
      <c r="AR35" s="507"/>
      <c r="AS35" s="507"/>
      <c r="AT35" s="507"/>
      <c r="AU35" s="507"/>
      <c r="AV35" s="225"/>
      <c r="AW35" s="508"/>
      <c r="AX35" s="225"/>
      <c r="AY35" s="225"/>
      <c r="AZ35" s="225"/>
      <c r="BA35" s="225"/>
      <c r="BB35" s="225"/>
      <c r="BC35" s="56"/>
      <c r="BD35" s="56"/>
      <c r="BE35" s="56"/>
      <c r="BF35" s="107" t="str">
        <f t="shared" si="14"/>
        <v>https://www.google.com/search?tbm=isch&amp;q=Alley%20Cat%20Eastern%20Redbud%20Cercis%20canadensis%20%27Alley%20Cat%27</v>
      </c>
      <c r="BG35" s="107" t="str">
        <f t="shared" si="15"/>
        <v>A</v>
      </c>
      <c r="BH35" s="254"/>
      <c r="BI35" s="254"/>
    </row>
    <row r="36" spans="1:61" customFormat="1" ht="15.75" x14ac:dyDescent="0.25">
      <c r="A36" s="276">
        <v>7</v>
      </c>
      <c r="B36" s="240" t="s">
        <v>291</v>
      </c>
      <c r="C36" s="241" t="s">
        <v>3297</v>
      </c>
      <c r="D36" s="242" t="s">
        <v>292</v>
      </c>
      <c r="E36" s="243">
        <v>118.95</v>
      </c>
      <c r="F36" s="517" t="s">
        <v>293</v>
      </c>
      <c r="G36" s="232">
        <v>0</v>
      </c>
      <c r="H36" s="661" t="str">
        <f>IF(G36=0,"",IF(F36="Buy",IF(G36=1,"plant","plants"),IF(F36&gt;0.01,"warranty","Error")))</f>
        <v/>
      </c>
      <c r="I36" s="244">
        <f>IF(H36="free",0,IF(H36="credit",((E36*(F36))*G36*-1),IF(F36="Buy",(E36*G36),((E36*(1-F36))*G36))))</f>
        <v>0</v>
      </c>
      <c r="J36" s="244">
        <f>IF(H36="warranty",0,(I36*(_xlfn.SINGLE(SalesTaxPercentage))))</f>
        <v>0</v>
      </c>
      <c r="K36" s="696">
        <f t="shared" ref="K36" si="25">I36+J36</f>
        <v>0</v>
      </c>
      <c r="L36" s="696"/>
      <c r="M36" s="659" t="str">
        <f>IF(AND(G36&gt;0,E36=0),"WARNING - no PRICE inserted",IF(H36="free"," FREE ~ no charge this plant",IF(H36="credit",CONCATENATE(" -$",ROUND(K36*(1-T2GDiscount)*-1,2)," CREDIT after discount"),IF(T2GDiscount=0,"",IF(G36=0,"",IF(F36="Buy",CONCATENATE(" $",ROUND(K36*(1-T2GDiscount),2)," with ",(T2GDiscount*100),"% discount"),CONCATENATE(" $",ROUND(K36*(1-T2GDiscount),2)," with ",((T2GDiscount*100+F36*100)-(T2GDiscount*100*F36)),IF(F36&gt;0,"% discounts",IF(NoWarrantyDiscount&gt;0,"% discounts","% discount")))))))))</f>
        <v/>
      </c>
      <c r="N36" s="660"/>
      <c r="O36" s="233"/>
      <c r="P36" s="233"/>
      <c r="Q36" s="233"/>
      <c r="R36" s="233"/>
      <c r="S36" s="233"/>
      <c r="T36" s="508">
        <f t="shared" si="3"/>
        <v>0</v>
      </c>
      <c r="U36" s="225">
        <f>IF(NOT(ISNUMBER(G36)), "", VLOOKUP(A36,'Discount Lookup'!D:E,2,FALSE)*G36)</f>
        <v>0</v>
      </c>
      <c r="V36" s="225">
        <f>IF(NOT(ISNUMBER(G36)), "", VLOOKUP(A36,'Discount Lookup'!G:H,2,FALSE)*G36)</f>
        <v>0</v>
      </c>
      <c r="W36" s="508">
        <f t="shared" si="4"/>
        <v>0</v>
      </c>
      <c r="X36" s="508">
        <f t="shared" si="5"/>
        <v>0</v>
      </c>
      <c r="Y36" s="509" t="b">
        <f t="shared" si="6"/>
        <v>0</v>
      </c>
      <c r="Z36" s="510">
        <f t="shared" si="7"/>
        <v>0</v>
      </c>
      <c r="AA36" s="511"/>
      <c r="AB36" s="511" t="str">
        <f t="shared" si="8"/>
        <v/>
      </c>
      <c r="AC36" s="698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698"/>
      <c r="AE36" s="631" t="str">
        <f t="shared" si="9"/>
        <v/>
      </c>
      <c r="AF36" s="699" t="str">
        <f t="shared" si="10"/>
        <v/>
      </c>
      <c r="AG36" s="699"/>
      <c r="AH36" s="699"/>
      <c r="AI36" s="512">
        <f>IF(H36="credit",0,IF(AE36="free",0,IF(AE36="me",0,IF(G36&gt;0,(VLOOKUP(A36,'Discount Lookup'!J:K,2)*G36),0))))</f>
        <v>0</v>
      </c>
      <c r="AJ36" s="513" t="str">
        <f t="shared" ca="1" si="11"/>
        <v/>
      </c>
      <c r="AK36" s="700" t="str">
        <f t="shared" si="12"/>
        <v/>
      </c>
      <c r="AL36" s="700"/>
      <c r="AM36" s="505" t="str">
        <f t="shared" si="13"/>
        <v/>
      </c>
      <c r="AN36" s="506"/>
      <c r="AO36" s="507"/>
      <c r="AP36" s="507"/>
      <c r="AQ36" s="507"/>
      <c r="AR36" s="507"/>
      <c r="AS36" s="507"/>
      <c r="AT36" s="507"/>
      <c r="AU36" s="507"/>
      <c r="AV36" s="225"/>
      <c r="AW36" s="508"/>
      <c r="AX36" s="225"/>
      <c r="AY36" s="225"/>
      <c r="AZ36" s="225"/>
      <c r="BA36" s="225"/>
      <c r="BB36" s="225"/>
      <c r="BC36" s="56"/>
      <c r="BD36" s="56"/>
      <c r="BE36" s="56"/>
      <c r="BF36" s="107" t="str">
        <f t="shared" si="14"/>
        <v>https://www.google.com/search?tbm=isch&amp;q=7%20G4</v>
      </c>
      <c r="BG36" s="107" t="str">
        <f t="shared" si="15"/>
        <v>A</v>
      </c>
      <c r="BH36" s="254"/>
      <c r="BI36" s="254"/>
    </row>
    <row r="37" spans="1:61" customFormat="1" ht="15.75" x14ac:dyDescent="0.25">
      <c r="A37" s="276">
        <v>10</v>
      </c>
      <c r="B37" s="240" t="s">
        <v>291</v>
      </c>
      <c r="C37" s="241" t="s">
        <v>3298</v>
      </c>
      <c r="D37" s="242" t="s">
        <v>292</v>
      </c>
      <c r="E37" s="243">
        <v>169.95</v>
      </c>
      <c r="F37" s="517" t="s">
        <v>293</v>
      </c>
      <c r="G37" s="232">
        <v>0</v>
      </c>
      <c r="H37" s="661" t="str">
        <f>IF(G37=0,"",IF(F37="Buy",IF(G37=1,"plant","plants"),IF(F37&gt;0.01,"warranty","Error")))</f>
        <v/>
      </c>
      <c r="I37" s="244">
        <f>IF(H37="free",0,IF(H37="credit",((E37*(F37))*G37*-1),IF(F37="Buy",(E37*G37),((E37*(1-F37))*G37))))</f>
        <v>0</v>
      </c>
      <c r="J37" s="244">
        <f>IF(H37="warranty",0,(I37*(_xlfn.SINGLE(SalesTaxPercentage))))</f>
        <v>0</v>
      </c>
      <c r="K37" s="696">
        <f t="shared" ref="K37" si="26">I37+J37</f>
        <v>0</v>
      </c>
      <c r="L37" s="696"/>
      <c r="M37" s="659" t="str">
        <f>IF(AND(G37&gt;0,E37=0),"WARNING - no PRICE inserted",IF(H37="free"," FREE ~ no charge this plant",IF(H37="credit",CONCATENATE(" -$",ROUND(K37*(1-T2GDiscount)*-1,2)," CREDIT after discount"),IF(T2GDiscount=0,"",IF(G37=0,"",IF(F37="Buy",CONCATENATE(" $",ROUND(K37*(1-T2GDiscount),2)," with ",(T2GDiscount*100),"% discount"),CONCATENATE(" $",ROUND(K37*(1-T2GDiscount),2)," with ",((T2GDiscount*100+F37*100)-(T2GDiscount*100*F37)),IF(F37&gt;0,"% discounts",IF(NoWarrantyDiscount&gt;0,"% discounts","% discount")))))))))</f>
        <v/>
      </c>
      <c r="N37" s="660"/>
      <c r="O37" s="233"/>
      <c r="P37" s="233"/>
      <c r="Q37" s="233"/>
      <c r="R37" s="233"/>
      <c r="S37" s="233"/>
      <c r="T37" s="508">
        <f t="shared" si="3"/>
        <v>0</v>
      </c>
      <c r="U37" s="225">
        <f>IF(NOT(ISNUMBER(G37)), "", VLOOKUP(A37,'Discount Lookup'!D:E,2,FALSE)*G37)</f>
        <v>0</v>
      </c>
      <c r="V37" s="225">
        <f>IF(NOT(ISNUMBER(G37)), "", VLOOKUP(A37,'Discount Lookup'!G:H,2,FALSE)*G37)</f>
        <v>0</v>
      </c>
      <c r="W37" s="508">
        <f t="shared" si="4"/>
        <v>0</v>
      </c>
      <c r="X37" s="508">
        <f t="shared" si="5"/>
        <v>0</v>
      </c>
      <c r="Y37" s="509" t="b">
        <f t="shared" si="6"/>
        <v>0</v>
      </c>
      <c r="Z37" s="510">
        <f t="shared" si="7"/>
        <v>0</v>
      </c>
      <c r="AA37" s="511"/>
      <c r="AB37" s="511" t="str">
        <f t="shared" si="8"/>
        <v/>
      </c>
      <c r="AC37" s="698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698"/>
      <c r="AE37" s="631" t="str">
        <f t="shared" si="9"/>
        <v/>
      </c>
      <c r="AF37" s="699" t="str">
        <f t="shared" si="10"/>
        <v/>
      </c>
      <c r="AG37" s="699"/>
      <c r="AH37" s="699"/>
      <c r="AI37" s="512">
        <f>IF(H37="credit",0,IF(AE37="free",0,IF(AE37="me",0,IF(G37&gt;0,(VLOOKUP(A37,'Discount Lookup'!J:K,2)*G37),0))))</f>
        <v>0</v>
      </c>
      <c r="AJ37" s="513" t="str">
        <f t="shared" ca="1" si="11"/>
        <v/>
      </c>
      <c r="AK37" s="700" t="str">
        <f t="shared" si="12"/>
        <v/>
      </c>
      <c r="AL37" s="700"/>
      <c r="AM37" s="505" t="str">
        <f t="shared" si="13"/>
        <v/>
      </c>
      <c r="AN37" s="506"/>
      <c r="AO37" s="507"/>
      <c r="AP37" s="507"/>
      <c r="AQ37" s="507"/>
      <c r="AR37" s="507"/>
      <c r="AS37" s="507"/>
      <c r="AT37" s="507"/>
      <c r="AU37" s="507"/>
      <c r="AV37" s="225"/>
      <c r="AW37" s="508"/>
      <c r="AX37" s="225"/>
      <c r="AY37" s="225"/>
      <c r="AZ37" s="225"/>
      <c r="BA37" s="225"/>
      <c r="BB37" s="225"/>
      <c r="BC37" s="56"/>
      <c r="BD37" s="56"/>
      <c r="BE37" s="56"/>
      <c r="BF37" s="107" t="str">
        <f t="shared" si="14"/>
        <v>https://www.google.com/search?tbm=isch&amp;q=10%20G4</v>
      </c>
      <c r="BG37" s="107" t="str">
        <f t="shared" si="15"/>
        <v>A</v>
      </c>
      <c r="BH37" s="254"/>
      <c r="BI37" s="254"/>
    </row>
    <row r="38" spans="1:61" customFormat="1" ht="17.25" thickBot="1" x14ac:dyDescent="0.3">
      <c r="A38" s="524" t="s">
        <v>2705</v>
      </c>
      <c r="B38" s="245"/>
      <c r="C38" s="677"/>
      <c r="D38" s="499"/>
      <c r="E38" s="499"/>
      <c r="F38" s="500"/>
      <c r="G38" s="501"/>
      <c r="H38" s="502"/>
      <c r="I38" s="246"/>
      <c r="J38" s="247"/>
      <c r="K38" s="503"/>
      <c r="L38" s="544"/>
      <c r="M38" s="544"/>
      <c r="N38" s="500"/>
      <c r="O38" s="500"/>
      <c r="P38" s="500"/>
      <c r="Q38" s="500"/>
      <c r="R38" s="500"/>
      <c r="S38" s="669" t="s">
        <v>4976</v>
      </c>
      <c r="T38" s="508">
        <f t="shared" si="3"/>
        <v>0</v>
      </c>
      <c r="U38" s="225" t="str">
        <f>IF(NOT(ISNUMBER(G38)), "", VLOOKUP(A38,'Discount Lookup'!D:E,2,FALSE)*G38)</f>
        <v/>
      </c>
      <c r="V38" s="225" t="str">
        <f>IF(NOT(ISNUMBER(G38)), "", VLOOKUP(A38,'Discount Lookup'!G:H,2,FALSE)*G38)</f>
        <v/>
      </c>
      <c r="W38" s="508">
        <f t="shared" si="4"/>
        <v>0</v>
      </c>
      <c r="X38" s="508">
        <f t="shared" si="5"/>
        <v>0</v>
      </c>
      <c r="Y38" s="509" t="b">
        <f t="shared" si="6"/>
        <v>0</v>
      </c>
      <c r="Z38" s="510">
        <f t="shared" si="7"/>
        <v>0</v>
      </c>
      <c r="AA38" s="511"/>
      <c r="AB38" s="511" t="str">
        <f t="shared" si="8"/>
        <v/>
      </c>
      <c r="AC38" s="698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698"/>
      <c r="AE38" s="631" t="str">
        <f t="shared" si="9"/>
        <v/>
      </c>
      <c r="AF38" s="699" t="str">
        <f t="shared" si="10"/>
        <v/>
      </c>
      <c r="AG38" s="699"/>
      <c r="AH38" s="699"/>
      <c r="AI38" s="512">
        <f>IF(H38="credit",0,IF(AE38="free",0,IF(AE38="me",0,IF(G38&gt;0,(VLOOKUP(A38,'Discount Lookup'!J:K,2)*G38),0))))</f>
        <v>0</v>
      </c>
      <c r="AJ38" s="513" t="str">
        <f t="shared" ca="1" si="11"/>
        <v/>
      </c>
      <c r="AK38" s="700" t="str">
        <f t="shared" si="12"/>
        <v/>
      </c>
      <c r="AL38" s="700"/>
      <c r="AM38" s="505" t="str">
        <f t="shared" si="13"/>
        <v/>
      </c>
      <c r="AN38" s="506"/>
      <c r="AO38" s="507"/>
      <c r="AP38" s="507"/>
      <c r="AQ38" s="507"/>
      <c r="AR38" s="507"/>
      <c r="AS38" s="507"/>
      <c r="AT38" s="507"/>
      <c r="AU38" s="507"/>
      <c r="AV38" s="225"/>
      <c r="AW38" s="508"/>
      <c r="AX38" s="225"/>
      <c r="AY38" s="225"/>
      <c r="AZ38" s="225"/>
      <c r="BA38" s="225"/>
      <c r="BB38" s="225"/>
      <c r="BC38" s="56"/>
      <c r="BD38" s="56"/>
      <c r="BE38" s="56"/>
      <c r="BF38" s="107" t="str">
        <f t="shared" si="14"/>
        <v>https://www.google.com/search?tbm=isch&amp;q=Alley%20Cat%20has%20a%20variegated%20green%20%26%20white%20foliage%2C%20for%20interest%20after%20pink%20blooms%20are%20done%20in%20early%20spring.%20</v>
      </c>
      <c r="BG38" s="107" t="str">
        <f t="shared" si="15"/>
        <v>A</v>
      </c>
      <c r="BH38" s="254"/>
      <c r="BI38" s="254"/>
    </row>
    <row r="39" spans="1:61" customFormat="1" ht="18" x14ac:dyDescent="0.25">
      <c r="A39" s="523" t="s">
        <v>624</v>
      </c>
      <c r="B39" s="235"/>
      <c r="C39" s="676"/>
      <c r="D39" s="255" t="s">
        <v>623</v>
      </c>
      <c r="E39" s="236"/>
      <c r="F39" s="236"/>
      <c r="G39" s="236"/>
      <c r="H39" s="582" t="s">
        <v>4038</v>
      </c>
      <c r="I39" s="498" t="s">
        <v>1349</v>
      </c>
      <c r="J39" s="237"/>
      <c r="K39" s="237"/>
      <c r="L39" s="274"/>
      <c r="M39" s="668" t="s">
        <v>4975</v>
      </c>
      <c r="N39" s="681" t="str">
        <f>IF(AND(ISTEXT($A39), ISERROR($A39+0)), HYPERLINK($BF39, "Images"), "")</f>
        <v>Images</v>
      </c>
      <c r="O39" s="663" t="s">
        <v>4971</v>
      </c>
      <c r="P39" s="253"/>
      <c r="Q39" s="238"/>
      <c r="R39" s="239"/>
      <c r="S39" s="275"/>
      <c r="T39" s="508">
        <f t="shared" si="3"/>
        <v>0</v>
      </c>
      <c r="U39" s="225" t="str">
        <f>IF(NOT(ISNUMBER(G39)), "", VLOOKUP(A39,'Discount Lookup'!D:E,2,FALSE)*G39)</f>
        <v/>
      </c>
      <c r="V39" s="225" t="str">
        <f>IF(NOT(ISNUMBER(G39)), "", VLOOKUP(A39,'Discount Lookup'!G:H,2,FALSE)*G39)</f>
        <v/>
      </c>
      <c r="W39" s="508">
        <f t="shared" si="4"/>
        <v>0</v>
      </c>
      <c r="X39" s="508" t="str">
        <f t="shared" si="5"/>
        <v>Pale Lavender bloom</v>
      </c>
      <c r="Y39" s="509" t="b">
        <f t="shared" si="6"/>
        <v>0</v>
      </c>
      <c r="Z39" s="510">
        <f t="shared" si="7"/>
        <v>0</v>
      </c>
      <c r="AA39" s="511"/>
      <c r="AB39" s="511" t="str">
        <f t="shared" si="8"/>
        <v/>
      </c>
      <c r="AC39" s="698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698"/>
      <c r="AE39" s="631" t="str">
        <f t="shared" si="9"/>
        <v/>
      </c>
      <c r="AF39" s="699" t="str">
        <f t="shared" si="10"/>
        <v/>
      </c>
      <c r="AG39" s="699"/>
      <c r="AH39" s="699"/>
      <c r="AI39" s="512">
        <f>IF(H39="credit",0,IF(AE39="free",0,IF(AE39="me",0,IF(G39&gt;0,(VLOOKUP(A39,'Discount Lookup'!J:K,2)*G39),0))))</f>
        <v>0</v>
      </c>
      <c r="AJ39" s="513" t="str">
        <f t="shared" ca="1" si="11"/>
        <v/>
      </c>
      <c r="AK39" s="700" t="str">
        <f t="shared" si="12"/>
        <v/>
      </c>
      <c r="AL39" s="700"/>
      <c r="AM39" s="505" t="str">
        <f t="shared" si="13"/>
        <v/>
      </c>
      <c r="AN39" s="506"/>
      <c r="AO39" s="507"/>
      <c r="AP39" s="507"/>
      <c r="AQ39" s="507"/>
      <c r="AR39" s="507"/>
      <c r="AS39" s="507"/>
      <c r="AT39" s="507"/>
      <c r="AU39" s="507"/>
      <c r="AV39" s="225"/>
      <c r="AW39" s="508"/>
      <c r="AX39" s="225"/>
      <c r="AY39" s="225"/>
      <c r="AZ39" s="225"/>
      <c r="BA39" s="225"/>
      <c r="BB39" s="225"/>
      <c r="BC39" s="56"/>
      <c r="BD39" s="56"/>
      <c r="BE39" s="56"/>
      <c r="BF39" s="107" t="str">
        <f t="shared" si="14"/>
        <v>https://www.google.com/search?tbm=isch&amp;q=Amazone%20Hosta%20Hosta%20%27Amazone%27</v>
      </c>
      <c r="BG39" s="107" t="str">
        <f t="shared" si="15"/>
        <v>A</v>
      </c>
      <c r="BH39" s="254"/>
      <c r="BI39" s="254"/>
    </row>
    <row r="40" spans="1:61" customFormat="1" ht="15.75" x14ac:dyDescent="0.25">
      <c r="A40" s="276">
        <v>1</v>
      </c>
      <c r="B40" s="240" t="s">
        <v>291</v>
      </c>
      <c r="C40" s="241" t="s">
        <v>625</v>
      </c>
      <c r="D40" s="242" t="s">
        <v>299</v>
      </c>
      <c r="E40" s="243">
        <v>18.95</v>
      </c>
      <c r="F40" s="517" t="s">
        <v>293</v>
      </c>
      <c r="G40" s="232">
        <v>0</v>
      </c>
      <c r="H40" s="661" t="str">
        <f>IF(G40=0,"",IF(F40="Buy",IF(G40=1,"plant","plants"),IF(F40&gt;0.01,"warranty","Error")))</f>
        <v/>
      </c>
      <c r="I40" s="244">
        <f>IF(H40="free",0,IF(H40="credit",((E40*(F40))*G40*-1),IF(F40="Buy",(E40*G40),((E40*(1-F40))*G40))))</f>
        <v>0</v>
      </c>
      <c r="J40" s="244">
        <f>IF(H40="warranty",0,(I40*(_xlfn.SINGLE(SalesTaxPercentage))))</f>
        <v>0</v>
      </c>
      <c r="K40" s="696">
        <f t="shared" ref="K40" si="27">I40+J40</f>
        <v>0</v>
      </c>
      <c r="L40" s="696"/>
      <c r="M40" s="659" t="str">
        <f>IF(AND(G40&gt;0,E40=0),"WARNING - no PRICE inserted",IF(H40="free"," FREE ~ no charge this plant",IF(H40="credit",CONCATENATE(" -$",ROUND(K40*(1-T2GDiscount)*-1,2)," CREDIT after discount"),IF(T2GDiscount=0,"",IF(G40=0,"",IF(F40="Buy",CONCATENATE(" $",ROUND(K40*(1-T2GDiscount),2)," with ",(T2GDiscount*100),"% discount"),CONCATENATE(" $",ROUND(K40*(1-T2GDiscount),2)," with ",((T2GDiscount*100+F40*100)-(T2GDiscount*100*F40)),IF(F40&gt;0,"% discounts",IF(NoWarrantyDiscount&gt;0,"% discounts","% discount")))))))))</f>
        <v/>
      </c>
      <c r="N40" s="660"/>
      <c r="O40" s="233"/>
      <c r="P40" s="233"/>
      <c r="Q40" s="233"/>
      <c r="R40" s="233"/>
      <c r="S40" s="233"/>
      <c r="T40" s="508">
        <f t="shared" si="3"/>
        <v>0</v>
      </c>
      <c r="U40" s="225">
        <f>IF(NOT(ISNUMBER(G40)), "", VLOOKUP(A40,'Discount Lookup'!D:E,2,FALSE)*G40)</f>
        <v>0</v>
      </c>
      <c r="V40" s="225">
        <f>IF(NOT(ISNUMBER(G40)), "", VLOOKUP(A40,'Discount Lookup'!G:H,2,FALSE)*G40)</f>
        <v>0</v>
      </c>
      <c r="W40" s="508">
        <f t="shared" si="4"/>
        <v>0</v>
      </c>
      <c r="X40" s="508">
        <f t="shared" si="5"/>
        <v>0</v>
      </c>
      <c r="Y40" s="509" t="b">
        <f t="shared" si="6"/>
        <v>0</v>
      </c>
      <c r="Z40" s="510">
        <f t="shared" si="7"/>
        <v>0</v>
      </c>
      <c r="AA40" s="511"/>
      <c r="AB40" s="511" t="str">
        <f t="shared" si="8"/>
        <v/>
      </c>
      <c r="AC40" s="698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698"/>
      <c r="AE40" s="631" t="str">
        <f t="shared" si="9"/>
        <v/>
      </c>
      <c r="AF40" s="699" t="str">
        <f t="shared" si="10"/>
        <v/>
      </c>
      <c r="AG40" s="699"/>
      <c r="AH40" s="699"/>
      <c r="AI40" s="512">
        <f>IF(H40="credit",0,IF(AE40="free",0,IF(AE40="me",0,IF(G40&gt;0,(VLOOKUP(A40,'Discount Lookup'!J:K,2)*G40),0))))</f>
        <v>0</v>
      </c>
      <c r="AJ40" s="513" t="str">
        <f t="shared" ca="1" si="11"/>
        <v/>
      </c>
      <c r="AK40" s="700" t="str">
        <f t="shared" si="12"/>
        <v/>
      </c>
      <c r="AL40" s="700"/>
      <c r="AM40" s="505" t="str">
        <f t="shared" si="13"/>
        <v/>
      </c>
      <c r="AN40" s="506"/>
      <c r="AO40" s="507"/>
      <c r="AP40" s="507"/>
      <c r="AQ40" s="507"/>
      <c r="AR40" s="507"/>
      <c r="AS40" s="507"/>
      <c r="AT40" s="507"/>
      <c r="AU40" s="507"/>
      <c r="AV40" s="225"/>
      <c r="AW40" s="508"/>
      <c r="AX40" s="225"/>
      <c r="AY40" s="225"/>
      <c r="AZ40" s="225"/>
      <c r="BA40" s="225"/>
      <c r="BB40" s="225"/>
      <c r="BC40" s="56"/>
      <c r="BD40" s="56"/>
      <c r="BE40" s="56"/>
      <c r="BF40" s="107" t="str">
        <f t="shared" si="14"/>
        <v>https://www.google.com/search?tbm=isch&amp;q=1%20G5</v>
      </c>
      <c r="BG40" s="107" t="str">
        <f t="shared" si="15"/>
        <v>A</v>
      </c>
      <c r="BH40" s="254"/>
      <c r="BI40" s="254"/>
    </row>
    <row r="41" spans="1:61" customFormat="1" ht="17.25" thickBot="1" x14ac:dyDescent="0.3">
      <c r="A41" s="673" t="s">
        <v>5032</v>
      </c>
      <c r="B41" s="245"/>
      <c r="C41" s="677"/>
      <c r="D41" s="499"/>
      <c r="E41" s="499"/>
      <c r="F41" s="500"/>
      <c r="G41" s="501"/>
      <c r="H41" s="502"/>
      <c r="I41" s="246"/>
      <c r="J41" s="247"/>
      <c r="K41" s="503"/>
      <c r="L41" s="544"/>
      <c r="M41" s="544"/>
      <c r="N41" s="500"/>
      <c r="O41" s="500"/>
      <c r="P41" s="500"/>
      <c r="Q41" s="500"/>
      <c r="R41" s="500"/>
      <c r="S41" s="669" t="s">
        <v>4977</v>
      </c>
      <c r="T41" s="508">
        <f t="shared" si="3"/>
        <v>0</v>
      </c>
      <c r="U41" s="225" t="str">
        <f>IF(NOT(ISNUMBER(G41)), "", VLOOKUP(A41,'Discount Lookup'!D:E,2,FALSE)*G41)</f>
        <v/>
      </c>
      <c r="V41" s="225" t="str">
        <f>IF(NOT(ISNUMBER(G41)), "", VLOOKUP(A41,'Discount Lookup'!G:H,2,FALSE)*G41)</f>
        <v/>
      </c>
      <c r="W41" s="508">
        <f t="shared" si="4"/>
        <v>0</v>
      </c>
      <c r="X41" s="508">
        <f t="shared" si="5"/>
        <v>0</v>
      </c>
      <c r="Y41" s="509" t="b">
        <f t="shared" si="6"/>
        <v>0</v>
      </c>
      <c r="Z41" s="510">
        <f t="shared" si="7"/>
        <v>0</v>
      </c>
      <c r="AA41" s="511"/>
      <c r="AB41" s="511" t="str">
        <f t="shared" si="8"/>
        <v/>
      </c>
      <c r="AC41" s="698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698"/>
      <c r="AE41" s="631" t="str">
        <f t="shared" si="9"/>
        <v/>
      </c>
      <c r="AF41" s="699" t="str">
        <f t="shared" si="10"/>
        <v/>
      </c>
      <c r="AG41" s="699"/>
      <c r="AH41" s="699"/>
      <c r="AI41" s="512">
        <f>IF(H41="credit",0,IF(AE41="free",0,IF(AE41="me",0,IF(G41&gt;0,(VLOOKUP(A41,'Discount Lookup'!J:K,2)*G41),0))))</f>
        <v>0</v>
      </c>
      <c r="AJ41" s="513" t="str">
        <f t="shared" ca="1" si="11"/>
        <v/>
      </c>
      <c r="AK41" s="700" t="str">
        <f t="shared" si="12"/>
        <v/>
      </c>
      <c r="AL41" s="700"/>
      <c r="AM41" s="505" t="str">
        <f t="shared" si="13"/>
        <v/>
      </c>
      <c r="AN41" s="506"/>
      <c r="AO41" s="507"/>
      <c r="AP41" s="507"/>
      <c r="AQ41" s="507"/>
      <c r="AR41" s="507"/>
      <c r="AS41" s="507"/>
      <c r="AT41" s="507"/>
      <c r="AU41" s="507"/>
      <c r="AV41" s="225"/>
      <c r="AW41" s="508"/>
      <c r="AX41" s="225"/>
      <c r="AY41" s="225"/>
      <c r="AZ41" s="225"/>
      <c r="BA41" s="225"/>
      <c r="BB41" s="225"/>
      <c r="BC41" s="56"/>
      <c r="BD41" s="56"/>
      <c r="BE41" s="56"/>
      <c r="BF41" s="107" t="str">
        <f t="shared" si="14"/>
        <v>https://www.google.com/search?tbm=isch&amp;q=moist%20sites%F0%9F%92%A7OK%2C%20Amazone%20foliage%20forms%20a%20neat%2C%20medium%20clump%20with%20Dark-Green%20margins%20%26%20Snow-White%20centers%20</v>
      </c>
      <c r="BG41" s="107" t="str">
        <f t="shared" si="15"/>
        <v>m</v>
      </c>
      <c r="BH41" s="254"/>
      <c r="BI41" s="254"/>
    </row>
    <row r="42" spans="1:61" customFormat="1" ht="18" x14ac:dyDescent="0.25">
      <c r="A42" s="523" t="s">
        <v>5293</v>
      </c>
      <c r="B42" s="235"/>
      <c r="C42" s="676"/>
      <c r="D42" s="255" t="s">
        <v>418</v>
      </c>
      <c r="E42" s="236"/>
      <c r="F42" s="236"/>
      <c r="G42" s="236"/>
      <c r="H42" s="582" t="s">
        <v>419</v>
      </c>
      <c r="I42" s="498" t="s">
        <v>2282</v>
      </c>
      <c r="J42" s="237"/>
      <c r="K42" s="237"/>
      <c r="L42" s="274"/>
      <c r="M42" s="668" t="s">
        <v>4975</v>
      </c>
      <c r="N42" s="681" t="str">
        <f>IF(AND(ISTEXT($A42), ISERROR($A42+0)), HYPERLINK($BF42, "Images"), "")</f>
        <v>Images</v>
      </c>
      <c r="O42" s="663" t="s">
        <v>4967</v>
      </c>
      <c r="P42" s="253"/>
      <c r="Q42" s="238"/>
      <c r="R42" s="239"/>
      <c r="S42" s="275"/>
      <c r="T42" s="508">
        <f t="shared" si="3"/>
        <v>0</v>
      </c>
      <c r="U42" s="225" t="str">
        <f>IF(NOT(ISNUMBER(G42)), "", VLOOKUP(A42,'Discount Lookup'!D:E,2,FALSE)*G42)</f>
        <v/>
      </c>
      <c r="V42" s="225" t="str">
        <f>IF(NOT(ISNUMBER(G42)), "", VLOOKUP(A42,'Discount Lookup'!G:H,2,FALSE)*G42)</f>
        <v/>
      </c>
      <c r="W42" s="508">
        <f t="shared" si="4"/>
        <v>0</v>
      </c>
      <c r="X42" s="508" t="str">
        <f t="shared" si="5"/>
        <v>Golden-Yellow needles</v>
      </c>
      <c r="Y42" s="509" t="b">
        <f t="shared" si="6"/>
        <v>0</v>
      </c>
      <c r="Z42" s="510">
        <f t="shared" si="7"/>
        <v>0</v>
      </c>
      <c r="AA42" s="511"/>
      <c r="AB42" s="511" t="str">
        <f t="shared" si="8"/>
        <v/>
      </c>
      <c r="AC42" s="698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698"/>
      <c r="AE42" s="631" t="str">
        <f t="shared" si="9"/>
        <v/>
      </c>
      <c r="AF42" s="699" t="str">
        <f t="shared" si="10"/>
        <v/>
      </c>
      <c r="AG42" s="699"/>
      <c r="AH42" s="699"/>
      <c r="AI42" s="512">
        <f>IF(H42="credit",0,IF(AE42="free",0,IF(AE42="me",0,IF(G42&gt;0,(VLOOKUP(A42,'Discount Lookup'!J:K,2)*G42),0))))</f>
        <v>0</v>
      </c>
      <c r="AJ42" s="513" t="str">
        <f t="shared" ca="1" si="11"/>
        <v/>
      </c>
      <c r="AK42" s="700" t="str">
        <f t="shared" si="12"/>
        <v/>
      </c>
      <c r="AL42" s="700"/>
      <c r="AM42" s="505" t="str">
        <f t="shared" si="13"/>
        <v/>
      </c>
      <c r="AN42" s="506"/>
      <c r="AO42" s="507"/>
      <c r="AP42" s="507"/>
      <c r="AQ42" s="507"/>
      <c r="AR42" s="507"/>
      <c r="AS42" s="507"/>
      <c r="AT42" s="507"/>
      <c r="AU42" s="507"/>
      <c r="AV42" s="225"/>
      <c r="AW42" s="508"/>
      <c r="AX42" s="225"/>
      <c r="AY42" s="225"/>
      <c r="AZ42" s="225"/>
      <c r="BA42" s="225"/>
      <c r="BB42" s="225"/>
      <c r="BC42" s="56"/>
      <c r="BD42" s="56"/>
      <c r="BE42" s="56"/>
      <c r="BF42" s="107" t="str">
        <f t="shared" si="14"/>
        <v>https://www.google.com/search?tbm=isch&amp;q=Amber%20Glow%E2%84%A2%20Dawn%20Redwood%20Metasequoia%20%27WAH-08AG%27%20PP%2329472</v>
      </c>
      <c r="BG42" s="107" t="str">
        <f t="shared" si="15"/>
        <v>A</v>
      </c>
      <c r="BH42" s="254"/>
      <c r="BI42" s="254"/>
    </row>
    <row r="43" spans="1:61" customFormat="1" ht="27" x14ac:dyDescent="0.25">
      <c r="A43" s="276">
        <v>7</v>
      </c>
      <c r="B43" s="240" t="s">
        <v>291</v>
      </c>
      <c r="C43" s="241" t="s">
        <v>3299</v>
      </c>
      <c r="D43" s="242" t="s">
        <v>292</v>
      </c>
      <c r="E43" s="243">
        <v>111.95</v>
      </c>
      <c r="F43" s="517" t="s">
        <v>293</v>
      </c>
      <c r="G43" s="232">
        <v>0</v>
      </c>
      <c r="H43" s="661" t="str">
        <f>IF(G43=0,"",IF(F43="Buy",IF(G43=1,"plant","plants"),IF(F43&gt;0.01,"warranty","Error")))</f>
        <v/>
      </c>
      <c r="I43" s="244">
        <f>IF(H43="free",0,IF(H43="credit",((E43*(F43))*G43*-1),IF(F43="Buy",(E43*G43),((E43*(1-F43))*G43))))</f>
        <v>0</v>
      </c>
      <c r="J43" s="244">
        <f>IF(H43="warranty",0,(I43*(_xlfn.SINGLE(SalesTaxPercentage))))</f>
        <v>0</v>
      </c>
      <c r="K43" s="696">
        <f t="shared" ref="K43" si="28">I43+J43</f>
        <v>0</v>
      </c>
      <c r="L43" s="696"/>
      <c r="M43" s="659" t="str">
        <f>IF(AND(G43&gt;0,E43=0),"WARNING - no PRICE inserted",IF(H43="free"," FREE ~ no charge this plant",IF(H43="credit",CONCATENATE(" -$",ROUND(K43*(1-T2GDiscount)*-1,2)," CREDIT after discount"),IF(T2GDiscount=0,"",IF(G43=0,"",IF(F43="Buy",CONCATENATE(" $",ROUND(K43*(1-T2GDiscount),2)," with ",(T2GDiscount*100),"% discount"),CONCATENATE(" $",ROUND(K43*(1-T2GDiscount),2)," with ",((T2GDiscount*100+F43*100)-(T2GDiscount*100*F43)),IF(F43&gt;0,"% discounts",IF(NoWarrantyDiscount&gt;0,"% discounts","% discount")))))))))</f>
        <v/>
      </c>
      <c r="N43" s="660"/>
      <c r="O43" s="233"/>
      <c r="P43" s="233"/>
      <c r="Q43" s="233"/>
      <c r="R43" s="233"/>
      <c r="S43" s="233"/>
      <c r="T43" s="508">
        <f t="shared" si="3"/>
        <v>0</v>
      </c>
      <c r="U43" s="225">
        <f>IF(NOT(ISNUMBER(G43)), "", VLOOKUP(A43,'Discount Lookup'!D:E,2,FALSE)*G43)</f>
        <v>0</v>
      </c>
      <c r="V43" s="225">
        <f>IF(NOT(ISNUMBER(G43)), "", VLOOKUP(A43,'Discount Lookup'!G:H,2,FALSE)*G43)</f>
        <v>0</v>
      </c>
      <c r="W43" s="508">
        <f t="shared" si="4"/>
        <v>0</v>
      </c>
      <c r="X43" s="508">
        <f t="shared" si="5"/>
        <v>0</v>
      </c>
      <c r="Y43" s="509" t="b">
        <f t="shared" si="6"/>
        <v>0</v>
      </c>
      <c r="Z43" s="510">
        <f t="shared" si="7"/>
        <v>0</v>
      </c>
      <c r="AA43" s="511"/>
      <c r="AB43" s="511" t="str">
        <f t="shared" si="8"/>
        <v/>
      </c>
      <c r="AC43" s="698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698"/>
      <c r="AE43" s="631" t="str">
        <f t="shared" si="9"/>
        <v/>
      </c>
      <c r="AF43" s="699" t="str">
        <f t="shared" si="10"/>
        <v/>
      </c>
      <c r="AG43" s="699"/>
      <c r="AH43" s="699"/>
      <c r="AI43" s="512">
        <f>IF(H43="credit",0,IF(AE43="free",0,IF(AE43="me",0,IF(G43&gt;0,(VLOOKUP(A43,'Discount Lookup'!J:K,2)*G43),0))))</f>
        <v>0</v>
      </c>
      <c r="AJ43" s="513" t="str">
        <f t="shared" ca="1" si="11"/>
        <v/>
      </c>
      <c r="AK43" s="700" t="str">
        <f t="shared" si="12"/>
        <v/>
      </c>
      <c r="AL43" s="700"/>
      <c r="AM43" s="505" t="str">
        <f t="shared" si="13"/>
        <v/>
      </c>
      <c r="AN43" s="506"/>
      <c r="AO43" s="507"/>
      <c r="AP43" s="507"/>
      <c r="AQ43" s="507"/>
      <c r="AR43" s="507"/>
      <c r="AS43" s="507"/>
      <c r="AT43" s="507"/>
      <c r="AU43" s="507"/>
      <c r="AV43" s="225"/>
      <c r="AW43" s="508"/>
      <c r="AX43" s="225"/>
      <c r="AY43" s="225"/>
      <c r="AZ43" s="225"/>
      <c r="BA43" s="225"/>
      <c r="BB43" s="225"/>
      <c r="BC43" s="56"/>
      <c r="BD43" s="56"/>
      <c r="BE43" s="56"/>
      <c r="BF43" s="107" t="str">
        <f t="shared" si="14"/>
        <v>https://www.google.com/search?tbm=isch&amp;q=7%20G4</v>
      </c>
      <c r="BG43" s="107" t="str">
        <f t="shared" si="15"/>
        <v>A</v>
      </c>
      <c r="BH43" s="254"/>
      <c r="BI43" s="254"/>
    </row>
    <row r="44" spans="1:61" customFormat="1" ht="15.75" x14ac:dyDescent="0.25">
      <c r="A44" s="276">
        <v>15</v>
      </c>
      <c r="B44" s="240" t="s">
        <v>291</v>
      </c>
      <c r="C44" s="241" t="s">
        <v>420</v>
      </c>
      <c r="D44" s="242" t="s">
        <v>299</v>
      </c>
      <c r="E44" s="243">
        <v>183.95</v>
      </c>
      <c r="F44" s="517" t="s">
        <v>293</v>
      </c>
      <c r="G44" s="232">
        <v>0</v>
      </c>
      <c r="H44" s="661" t="str">
        <f>IF(G44=0,"",IF(F44="Buy",IF(G44=1,"plant","plants"),IF(F44&gt;0.01,"warranty","Error")))</f>
        <v/>
      </c>
      <c r="I44" s="244">
        <f>IF(H44="free",0,IF(H44="credit",((E44*(F44))*G44*-1),IF(F44="Buy",(E44*G44),((E44*(1-F44))*G44))))</f>
        <v>0</v>
      </c>
      <c r="J44" s="244">
        <f>IF(H44="warranty",0,(I44*(_xlfn.SINGLE(SalesTaxPercentage))))</f>
        <v>0</v>
      </c>
      <c r="K44" s="696">
        <f t="shared" ref="K44" si="29">I44+J44</f>
        <v>0</v>
      </c>
      <c r="L44" s="696"/>
      <c r="M44" s="659" t="str">
        <f>IF(AND(G44&gt;0,E44=0),"WARNING - no PRICE inserted",IF(H44="free"," FREE ~ no charge this plant",IF(H44="credit",CONCATENATE(" -$",ROUND(K44*(1-T2GDiscount)*-1,2)," CREDIT after discount"),IF(T2GDiscount=0,"",IF(G44=0,"",IF(F44="Buy",CONCATENATE(" $",ROUND(K44*(1-T2GDiscount),2)," with ",(T2GDiscount*100),"% discount"),CONCATENATE(" $",ROUND(K44*(1-T2GDiscount),2)," with ",((T2GDiscount*100+F44*100)-(T2GDiscount*100*F44)),IF(F44&gt;0,"% discounts",IF(NoWarrantyDiscount&gt;0,"% discounts","% discount")))))))))</f>
        <v/>
      </c>
      <c r="N44" s="660"/>
      <c r="O44" s="233"/>
      <c r="P44" s="233"/>
      <c r="Q44" s="233"/>
      <c r="R44" s="233"/>
      <c r="S44" s="233"/>
      <c r="T44" s="508">
        <f t="shared" si="3"/>
        <v>0</v>
      </c>
      <c r="U44" s="225">
        <f>IF(NOT(ISNUMBER(G44)), "", VLOOKUP(A44,'Discount Lookup'!D:E,2,FALSE)*G44)</f>
        <v>0</v>
      </c>
      <c r="V44" s="225">
        <f>IF(NOT(ISNUMBER(G44)), "", VLOOKUP(A44,'Discount Lookup'!G:H,2,FALSE)*G44)</f>
        <v>0</v>
      </c>
      <c r="W44" s="508">
        <f t="shared" si="4"/>
        <v>0</v>
      </c>
      <c r="X44" s="508">
        <f t="shared" si="5"/>
        <v>0</v>
      </c>
      <c r="Y44" s="509" t="b">
        <f t="shared" si="6"/>
        <v>0</v>
      </c>
      <c r="Z44" s="510">
        <f t="shared" si="7"/>
        <v>0</v>
      </c>
      <c r="AA44" s="511"/>
      <c r="AB44" s="511" t="str">
        <f t="shared" si="8"/>
        <v/>
      </c>
      <c r="AC44" s="698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698"/>
      <c r="AE44" s="631" t="str">
        <f t="shared" si="9"/>
        <v/>
      </c>
      <c r="AF44" s="699" t="str">
        <f t="shared" si="10"/>
        <v/>
      </c>
      <c r="AG44" s="699"/>
      <c r="AH44" s="699"/>
      <c r="AI44" s="512">
        <f>IF(H44="credit",0,IF(AE44="free",0,IF(AE44="me",0,IF(G44&gt;0,(VLOOKUP(A44,'Discount Lookup'!J:K,2)*G44),0))))</f>
        <v>0</v>
      </c>
      <c r="AJ44" s="513" t="str">
        <f t="shared" ca="1" si="11"/>
        <v/>
      </c>
      <c r="AK44" s="700" t="str">
        <f t="shared" si="12"/>
        <v/>
      </c>
      <c r="AL44" s="700"/>
      <c r="AM44" s="505" t="str">
        <f t="shared" si="13"/>
        <v/>
      </c>
      <c r="AN44" s="506"/>
      <c r="AO44" s="507"/>
      <c r="AP44" s="507"/>
      <c r="AQ44" s="507"/>
      <c r="AR44" s="507"/>
      <c r="AS44" s="507"/>
      <c r="AT44" s="507"/>
      <c r="AU44" s="507"/>
      <c r="AV44" s="225"/>
      <c r="AW44" s="508"/>
      <c r="AX44" s="225"/>
      <c r="AY44" s="225"/>
      <c r="AZ44" s="225"/>
      <c r="BA44" s="225"/>
      <c r="BB44" s="225"/>
      <c r="BC44" s="56"/>
      <c r="BD44" s="56"/>
      <c r="BE44" s="56"/>
      <c r="BF44" s="107" t="str">
        <f t="shared" si="14"/>
        <v>https://www.google.com/search?tbm=isch&amp;q=15%20G5</v>
      </c>
      <c r="BG44" s="107" t="str">
        <f t="shared" si="15"/>
        <v>A</v>
      </c>
      <c r="BH44" s="254"/>
      <c r="BI44" s="254"/>
    </row>
    <row r="45" spans="1:61" customFormat="1" ht="15.75" x14ac:dyDescent="0.25">
      <c r="A45" s="276">
        <v>15</v>
      </c>
      <c r="B45" s="240" t="s">
        <v>291</v>
      </c>
      <c r="C45" s="241" t="s">
        <v>3300</v>
      </c>
      <c r="D45" s="242" t="s">
        <v>292</v>
      </c>
      <c r="E45" s="243">
        <v>187.95</v>
      </c>
      <c r="F45" s="517" t="s">
        <v>293</v>
      </c>
      <c r="G45" s="232">
        <v>0</v>
      </c>
      <c r="H45" s="661" t="str">
        <f>IF(G45=0,"",IF(F45="Buy",IF(G45=1,"plant","plants"),IF(F45&gt;0.01,"warranty","Error")))</f>
        <v/>
      </c>
      <c r="I45" s="244">
        <f>IF(H45="free",0,IF(H45="credit",((E45*(F45))*G45*-1),IF(F45="Buy",(E45*G45),((E45*(1-F45))*G45))))</f>
        <v>0</v>
      </c>
      <c r="J45" s="244">
        <f>IF(H45="warranty",0,(I45*(_xlfn.SINGLE(SalesTaxPercentage))))</f>
        <v>0</v>
      </c>
      <c r="K45" s="696">
        <f t="shared" ref="K45" si="30">I45+J45</f>
        <v>0</v>
      </c>
      <c r="L45" s="696"/>
      <c r="M45" s="659" t="str">
        <f>IF(AND(G45&gt;0,E45=0),"WARNING - no PRICE inserted",IF(H45="free"," FREE ~ no charge this plant",IF(H45="credit",CONCATENATE(" -$",ROUND(K45*(1-T2GDiscount)*-1,2)," CREDIT after discount"),IF(T2GDiscount=0,"",IF(G45=0,"",IF(F45="Buy",CONCATENATE(" $",ROUND(K45*(1-T2GDiscount),2)," with ",(T2GDiscount*100),"% discount"),CONCATENATE(" $",ROUND(K45*(1-T2GDiscount),2)," with ",((T2GDiscount*100+F45*100)-(T2GDiscount*100*F45)),IF(F45&gt;0,"% discounts",IF(NoWarrantyDiscount&gt;0,"% discounts","% discount")))))))))</f>
        <v/>
      </c>
      <c r="N45" s="660"/>
      <c r="O45" s="233"/>
      <c r="P45" s="233"/>
      <c r="Q45" s="233"/>
      <c r="R45" s="233"/>
      <c r="S45" s="233"/>
      <c r="T45" s="508">
        <f t="shared" si="3"/>
        <v>0</v>
      </c>
      <c r="U45" s="225">
        <f>IF(NOT(ISNUMBER(G45)), "", VLOOKUP(A45,'Discount Lookup'!D:E,2,FALSE)*G45)</f>
        <v>0</v>
      </c>
      <c r="V45" s="225">
        <f>IF(NOT(ISNUMBER(G45)), "", VLOOKUP(A45,'Discount Lookup'!G:H,2,FALSE)*G45)</f>
        <v>0</v>
      </c>
      <c r="W45" s="508">
        <f t="shared" si="4"/>
        <v>0</v>
      </c>
      <c r="X45" s="508">
        <f t="shared" si="5"/>
        <v>0</v>
      </c>
      <c r="Y45" s="509" t="b">
        <f t="shared" si="6"/>
        <v>0</v>
      </c>
      <c r="Z45" s="510">
        <f t="shared" si="7"/>
        <v>0</v>
      </c>
      <c r="AA45" s="511"/>
      <c r="AB45" s="511" t="str">
        <f t="shared" si="8"/>
        <v/>
      </c>
      <c r="AC45" s="698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698"/>
      <c r="AE45" s="631" t="str">
        <f t="shared" si="9"/>
        <v/>
      </c>
      <c r="AF45" s="699" t="str">
        <f t="shared" si="10"/>
        <v/>
      </c>
      <c r="AG45" s="699"/>
      <c r="AH45" s="699"/>
      <c r="AI45" s="512">
        <f>IF(H45="credit",0,IF(AE45="free",0,IF(AE45="me",0,IF(G45&gt;0,(VLOOKUP(A45,'Discount Lookup'!J:K,2)*G45),0))))</f>
        <v>0</v>
      </c>
      <c r="AJ45" s="513" t="str">
        <f t="shared" ca="1" si="11"/>
        <v/>
      </c>
      <c r="AK45" s="700" t="str">
        <f t="shared" si="12"/>
        <v/>
      </c>
      <c r="AL45" s="700"/>
      <c r="AM45" s="505" t="str">
        <f t="shared" si="13"/>
        <v/>
      </c>
      <c r="AN45" s="506"/>
      <c r="AO45" s="507"/>
      <c r="AP45" s="507"/>
      <c r="AQ45" s="507"/>
      <c r="AR45" s="507"/>
      <c r="AS45" s="507"/>
      <c r="AT45" s="507"/>
      <c r="AU45" s="507"/>
      <c r="AV45" s="225"/>
      <c r="AW45" s="508"/>
      <c r="AX45" s="225"/>
      <c r="AY45" s="225"/>
      <c r="AZ45" s="225"/>
      <c r="BA45" s="225"/>
      <c r="BB45" s="225"/>
      <c r="BC45" s="56"/>
      <c r="BD45" s="56"/>
      <c r="BE45" s="56"/>
      <c r="BF45" s="107" t="str">
        <f t="shared" si="14"/>
        <v>https://www.google.com/search?tbm=isch&amp;q=15%20G4</v>
      </c>
      <c r="BG45" s="107" t="str">
        <f t="shared" si="15"/>
        <v>A</v>
      </c>
      <c r="BH45" s="254"/>
      <c r="BI45" s="254"/>
    </row>
    <row r="46" spans="1:61" customFormat="1" ht="15.75" x14ac:dyDescent="0.25">
      <c r="A46" s="276">
        <v>15</v>
      </c>
      <c r="B46" s="240" t="s">
        <v>291</v>
      </c>
      <c r="C46" s="241" t="s">
        <v>4840</v>
      </c>
      <c r="D46" s="242" t="s">
        <v>300</v>
      </c>
      <c r="E46" s="243">
        <v>189.95</v>
      </c>
      <c r="F46" s="517" t="s">
        <v>293</v>
      </c>
      <c r="G46" s="232">
        <v>0</v>
      </c>
      <c r="H46" s="661" t="str">
        <f>IF(G46=0,"",IF(F46="Buy",IF(G46=1,"plant","plants"),IF(F46&gt;0.01,"warranty","Error")))</f>
        <v/>
      </c>
      <c r="I46" s="244">
        <f>IF(H46="free",0,IF(H46="credit",((E46*(F46))*G46*-1),IF(F46="Buy",(E46*G46),((E46*(1-F46))*G46))))</f>
        <v>0</v>
      </c>
      <c r="J46" s="244">
        <f>IF(H46="warranty",0,(I46*(_xlfn.SINGLE(SalesTaxPercentage))))</f>
        <v>0</v>
      </c>
      <c r="K46" s="696">
        <f t="shared" ref="K46" si="31">I46+J46</f>
        <v>0</v>
      </c>
      <c r="L46" s="696"/>
      <c r="M46" s="659" t="str">
        <f>IF(AND(G46&gt;0,E46=0),"WARNING - no PRICE inserted",IF(H46="free"," FREE ~ no charge this plant",IF(H46="credit",CONCATENATE(" -$",ROUND(K46*(1-T2GDiscount)*-1,2)," CREDIT after discount"),IF(T2GDiscount=0,"",IF(G46=0,"",IF(F46="Buy",CONCATENATE(" $",ROUND(K46*(1-T2GDiscount),2)," with ",(T2GDiscount*100),"% discount"),CONCATENATE(" $",ROUND(K46*(1-T2GDiscount),2)," with ",((T2GDiscount*100+F46*100)-(T2GDiscount*100*F46)),IF(F46&gt;0,"% discounts",IF(NoWarrantyDiscount&gt;0,"% discounts","% discount")))))))))</f>
        <v/>
      </c>
      <c r="N46" s="660"/>
      <c r="O46" s="233"/>
      <c r="P46" s="233"/>
      <c r="Q46" s="233"/>
      <c r="R46" s="233"/>
      <c r="S46" s="233"/>
      <c r="T46" s="508">
        <f t="shared" si="3"/>
        <v>0</v>
      </c>
      <c r="U46" s="225">
        <f>IF(NOT(ISNUMBER(G46)), "", VLOOKUP(A46,'Discount Lookup'!D:E,2,FALSE)*G46)</f>
        <v>0</v>
      </c>
      <c r="V46" s="225">
        <f>IF(NOT(ISNUMBER(G46)), "", VLOOKUP(A46,'Discount Lookup'!G:H,2,FALSE)*G46)</f>
        <v>0</v>
      </c>
      <c r="W46" s="508">
        <f t="shared" si="4"/>
        <v>0</v>
      </c>
      <c r="X46" s="508">
        <f t="shared" si="5"/>
        <v>0</v>
      </c>
      <c r="Y46" s="509" t="b">
        <f t="shared" si="6"/>
        <v>0</v>
      </c>
      <c r="Z46" s="510">
        <f t="shared" si="7"/>
        <v>0</v>
      </c>
      <c r="AA46" s="511"/>
      <c r="AB46" s="511" t="str">
        <f t="shared" si="8"/>
        <v/>
      </c>
      <c r="AC46" s="698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698"/>
      <c r="AE46" s="631" t="str">
        <f t="shared" si="9"/>
        <v/>
      </c>
      <c r="AF46" s="699" t="str">
        <f t="shared" si="10"/>
        <v/>
      </c>
      <c r="AG46" s="699"/>
      <c r="AH46" s="699"/>
      <c r="AI46" s="512">
        <f>IF(H46="credit",0,IF(AE46="free",0,IF(AE46="me",0,IF(G46&gt;0,(VLOOKUP(A46,'Discount Lookup'!J:K,2)*G46),0))))</f>
        <v>0</v>
      </c>
      <c r="AJ46" s="513" t="str">
        <f t="shared" ca="1" si="11"/>
        <v/>
      </c>
      <c r="AK46" s="700" t="str">
        <f t="shared" si="12"/>
        <v/>
      </c>
      <c r="AL46" s="700"/>
      <c r="AM46" s="505" t="str">
        <f t="shared" si="13"/>
        <v/>
      </c>
      <c r="AN46" s="506"/>
      <c r="AO46" s="507"/>
      <c r="AP46" s="507"/>
      <c r="AQ46" s="507"/>
      <c r="AR46" s="507"/>
      <c r="AS46" s="507"/>
      <c r="AT46" s="507"/>
      <c r="AU46" s="507"/>
      <c r="AV46" s="225"/>
      <c r="AW46" s="508"/>
      <c r="AX46" s="225"/>
      <c r="AY46" s="225"/>
      <c r="AZ46" s="225"/>
      <c r="BA46" s="225"/>
      <c r="BB46" s="225"/>
      <c r="BC46" s="56"/>
      <c r="BD46" s="56"/>
      <c r="BE46" s="56"/>
      <c r="BF46" s="107" t="str">
        <f t="shared" si="14"/>
        <v>https://www.google.com/search?tbm=isch&amp;q=15%20G6</v>
      </c>
      <c r="BG46" s="107" t="str">
        <f t="shared" si="15"/>
        <v>A</v>
      </c>
      <c r="BH46" s="254"/>
      <c r="BI46" s="254"/>
    </row>
    <row r="47" spans="1:61" customFormat="1" ht="15.75" x14ac:dyDescent="0.25">
      <c r="A47" s="276">
        <v>30</v>
      </c>
      <c r="B47" s="240" t="s">
        <v>291</v>
      </c>
      <c r="C47" s="241" t="s">
        <v>421</v>
      </c>
      <c r="D47" s="242" t="s">
        <v>299</v>
      </c>
      <c r="E47" s="243">
        <v>353.95</v>
      </c>
      <c r="F47" s="517" t="s">
        <v>293</v>
      </c>
      <c r="G47" s="232">
        <v>0</v>
      </c>
      <c r="H47" s="661" t="str">
        <f>IF(G47=0,"",IF(F47="Buy",IF(G47=1,"plant","plants"),IF(F47&gt;0.01,"warranty","Error")))</f>
        <v/>
      </c>
      <c r="I47" s="244">
        <f>IF(H47="free",0,IF(H47="credit",((E47*(F47))*G47*-1),IF(F47="Buy",(E47*G47),((E47*(1-F47))*G47))))</f>
        <v>0</v>
      </c>
      <c r="J47" s="244">
        <f>IF(H47="warranty",0,(I47*(_xlfn.SINGLE(SalesTaxPercentage))))</f>
        <v>0</v>
      </c>
      <c r="K47" s="696">
        <f t="shared" ref="K47" si="32">I47+J47</f>
        <v>0</v>
      </c>
      <c r="L47" s="696"/>
      <c r="M47" s="659" t="str">
        <f>IF(AND(G47&gt;0,E47=0),"WARNING - no PRICE inserted",IF(H47="free"," FREE ~ no charge this plant",IF(H47="credit",CONCATENATE(" -$",ROUND(K47*(1-T2GDiscount)*-1,2)," CREDIT after discount"),IF(T2GDiscount=0,"",IF(G47=0,"",IF(F47="Buy",CONCATENATE(" $",ROUND(K47*(1-T2GDiscount),2)," with ",(T2GDiscount*100),"% discount"),CONCATENATE(" $",ROUND(K47*(1-T2GDiscount),2)," with ",((T2GDiscount*100+F47*100)-(T2GDiscount*100*F47)),IF(F47&gt;0,"% discounts",IF(NoWarrantyDiscount&gt;0,"% discounts","% discount")))))))))</f>
        <v/>
      </c>
      <c r="N47" s="660"/>
      <c r="O47" s="233"/>
      <c r="P47" s="233"/>
      <c r="Q47" s="233"/>
      <c r="R47" s="233"/>
      <c r="S47" s="233"/>
      <c r="T47" s="508">
        <f t="shared" si="3"/>
        <v>0</v>
      </c>
      <c r="U47" s="225">
        <f>IF(NOT(ISNUMBER(G47)), "", VLOOKUP(A47,'Discount Lookup'!D:E,2,FALSE)*G47)</f>
        <v>0</v>
      </c>
      <c r="V47" s="225">
        <f>IF(NOT(ISNUMBER(G47)), "", VLOOKUP(A47,'Discount Lookup'!G:H,2,FALSE)*G47)</f>
        <v>0</v>
      </c>
      <c r="W47" s="508">
        <f t="shared" si="4"/>
        <v>0</v>
      </c>
      <c r="X47" s="508">
        <f t="shared" si="5"/>
        <v>0</v>
      </c>
      <c r="Y47" s="509" t="b">
        <f t="shared" si="6"/>
        <v>0</v>
      </c>
      <c r="Z47" s="510">
        <f t="shared" si="7"/>
        <v>0</v>
      </c>
      <c r="AA47" s="511"/>
      <c r="AB47" s="511" t="str">
        <f t="shared" si="8"/>
        <v/>
      </c>
      <c r="AC47" s="698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698"/>
      <c r="AE47" s="631" t="str">
        <f t="shared" si="9"/>
        <v/>
      </c>
      <c r="AF47" s="699" t="str">
        <f t="shared" si="10"/>
        <v/>
      </c>
      <c r="AG47" s="699"/>
      <c r="AH47" s="699"/>
      <c r="AI47" s="512">
        <f>IF(H47="credit",0,IF(AE47="free",0,IF(AE47="me",0,IF(G47&gt;0,(VLOOKUP(A47,'Discount Lookup'!J:K,2)*G47),0))))</f>
        <v>0</v>
      </c>
      <c r="AJ47" s="513" t="str">
        <f t="shared" ca="1" si="11"/>
        <v/>
      </c>
      <c r="AK47" s="700" t="str">
        <f t="shared" si="12"/>
        <v/>
      </c>
      <c r="AL47" s="700"/>
      <c r="AM47" s="505" t="str">
        <f t="shared" si="13"/>
        <v/>
      </c>
      <c r="AN47" s="506"/>
      <c r="AO47" s="507"/>
      <c r="AP47" s="507"/>
      <c r="AQ47" s="507"/>
      <c r="AR47" s="507"/>
      <c r="AS47" s="507"/>
      <c r="AT47" s="507"/>
      <c r="AU47" s="507"/>
      <c r="AV47" s="225"/>
      <c r="AW47" s="508"/>
      <c r="AX47" s="225"/>
      <c r="AY47" s="225"/>
      <c r="AZ47" s="225"/>
      <c r="BA47" s="225"/>
      <c r="BB47" s="225"/>
      <c r="BC47" s="56"/>
      <c r="BD47" s="56"/>
      <c r="BE47" s="56"/>
      <c r="BF47" s="107" t="str">
        <f t="shared" si="14"/>
        <v>https://www.google.com/search?tbm=isch&amp;q=30%20G5</v>
      </c>
      <c r="BG47" s="107" t="str">
        <f t="shared" si="15"/>
        <v>A</v>
      </c>
      <c r="BH47" s="254"/>
      <c r="BI47" s="254"/>
    </row>
    <row r="48" spans="1:61" customFormat="1" ht="17.25" thickBot="1" x14ac:dyDescent="0.3">
      <c r="A48" s="673" t="s">
        <v>5033</v>
      </c>
      <c r="B48" s="245"/>
      <c r="C48" s="677"/>
      <c r="D48" s="499"/>
      <c r="E48" s="499"/>
      <c r="F48" s="500"/>
      <c r="G48" s="501"/>
      <c r="H48" s="502"/>
      <c r="I48" s="246"/>
      <c r="J48" s="247"/>
      <c r="K48" s="503"/>
      <c r="L48" s="544"/>
      <c r="M48" s="544"/>
      <c r="N48" s="500"/>
      <c r="O48" s="500"/>
      <c r="P48" s="500"/>
      <c r="Q48" s="500"/>
      <c r="R48" s="500"/>
      <c r="S48" s="278"/>
      <c r="T48" s="508">
        <f t="shared" si="3"/>
        <v>0</v>
      </c>
      <c r="U48" s="225" t="str">
        <f>IF(NOT(ISNUMBER(G48)), "", VLOOKUP(A48,'Discount Lookup'!D:E,2,FALSE)*G48)</f>
        <v/>
      </c>
      <c r="V48" s="225" t="str">
        <f>IF(NOT(ISNUMBER(G48)), "", VLOOKUP(A48,'Discount Lookup'!G:H,2,FALSE)*G48)</f>
        <v/>
      </c>
      <c r="W48" s="508">
        <f t="shared" si="4"/>
        <v>0</v>
      </c>
      <c r="X48" s="508">
        <f t="shared" si="5"/>
        <v>0</v>
      </c>
      <c r="Y48" s="509" t="b">
        <f t="shared" si="6"/>
        <v>0</v>
      </c>
      <c r="Z48" s="510">
        <f t="shared" si="7"/>
        <v>0</v>
      </c>
      <c r="AA48" s="511"/>
      <c r="AB48" s="511" t="str">
        <f t="shared" si="8"/>
        <v/>
      </c>
      <c r="AC48" s="698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698"/>
      <c r="AE48" s="631" t="str">
        <f t="shared" si="9"/>
        <v/>
      </c>
      <c r="AF48" s="699" t="str">
        <f t="shared" si="10"/>
        <v/>
      </c>
      <c r="AG48" s="699"/>
      <c r="AH48" s="699"/>
      <c r="AI48" s="512">
        <f>IF(H48="credit",0,IF(AE48="free",0,IF(AE48="me",0,IF(G48&gt;0,(VLOOKUP(A48,'Discount Lookup'!J:K,2)*G48),0))))</f>
        <v>0</v>
      </c>
      <c r="AJ48" s="513" t="str">
        <f t="shared" ca="1" si="11"/>
        <v/>
      </c>
      <c r="AK48" s="700" t="str">
        <f t="shared" si="12"/>
        <v/>
      </c>
      <c r="AL48" s="700"/>
      <c r="AM48" s="505" t="str">
        <f t="shared" si="13"/>
        <v/>
      </c>
      <c r="AN48" s="506"/>
      <c r="AO48" s="507"/>
      <c r="AP48" s="507"/>
      <c r="AQ48" s="507"/>
      <c r="AR48" s="507"/>
      <c r="AS48" s="507"/>
      <c r="AT48" s="507"/>
      <c r="AU48" s="507"/>
      <c r="AV48" s="225"/>
      <c r="AW48" s="508"/>
      <c r="AX48" s="225"/>
      <c r="AY48" s="225"/>
      <c r="AZ48" s="225"/>
      <c r="BA48" s="225"/>
      <c r="BB48" s="225"/>
      <c r="BC48" s="56"/>
      <c r="BD48" s="56"/>
      <c r="BE48" s="56"/>
      <c r="BF48" s="107" t="str">
        <f t="shared" si="14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48" s="107" t="str">
        <f t="shared" si="15"/>
        <v>m</v>
      </c>
      <c r="BH48" s="254"/>
      <c r="BI48" s="254"/>
    </row>
    <row r="49" spans="1:61" customFormat="1" ht="18" x14ac:dyDescent="0.25">
      <c r="A49" s="523" t="s">
        <v>643</v>
      </c>
      <c r="B49" s="235"/>
      <c r="C49" s="676"/>
      <c r="D49" s="255" t="s">
        <v>642</v>
      </c>
      <c r="E49" s="236"/>
      <c r="F49" s="236"/>
      <c r="G49" s="236"/>
      <c r="H49" s="582" t="s">
        <v>356</v>
      </c>
      <c r="I49" s="498" t="s">
        <v>1522</v>
      </c>
      <c r="J49" s="237"/>
      <c r="K49" s="237"/>
      <c r="L49" s="274"/>
      <c r="M49" s="668" t="s">
        <v>4975</v>
      </c>
      <c r="N49" s="681" t="str">
        <f>IF(AND(ISTEXT($A49), ISERROR($A49+0)), HYPERLINK($BF49, "Images"), "")</f>
        <v>Images</v>
      </c>
      <c r="O49" s="663" t="s">
        <v>4974</v>
      </c>
      <c r="P49" s="253"/>
      <c r="Q49" s="238"/>
      <c r="R49" s="239"/>
      <c r="S49" s="275" t="s">
        <v>305</v>
      </c>
      <c r="T49" s="508">
        <f t="shared" si="3"/>
        <v>0</v>
      </c>
      <c r="U49" s="225" t="str">
        <f>IF(NOT(ISNUMBER(G49)), "", VLOOKUP(A49,'Discount Lookup'!D:E,2,FALSE)*G49)</f>
        <v/>
      </c>
      <c r="V49" s="225" t="str">
        <f>IF(NOT(ISNUMBER(G49)), "", VLOOKUP(A49,'Discount Lookup'!G:H,2,FALSE)*G49)</f>
        <v/>
      </c>
      <c r="W49" s="508">
        <f t="shared" si="4"/>
        <v>0</v>
      </c>
      <c r="X49" s="508" t="str">
        <f t="shared" si="5"/>
        <v>Lavender-Pink bloom</v>
      </c>
      <c r="Y49" s="509" t="b">
        <f t="shared" si="6"/>
        <v>0</v>
      </c>
      <c r="Z49" s="510">
        <f t="shared" si="7"/>
        <v>0</v>
      </c>
      <c r="AA49" s="511"/>
      <c r="AB49" s="511" t="str">
        <f t="shared" si="8"/>
        <v/>
      </c>
      <c r="AC49" s="698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698"/>
      <c r="AE49" s="631" t="str">
        <f t="shared" si="9"/>
        <v/>
      </c>
      <c r="AF49" s="699" t="str">
        <f t="shared" si="10"/>
        <v/>
      </c>
      <c r="AG49" s="699"/>
      <c r="AH49" s="699"/>
      <c r="AI49" s="512">
        <f>IF(H49="credit",0,IF(AE49="free",0,IF(AE49="me",0,IF(G49&gt;0,(VLOOKUP(A49,'Discount Lookup'!J:K,2)*G49),0))))</f>
        <v>0</v>
      </c>
      <c r="AJ49" s="513" t="str">
        <f t="shared" ca="1" si="11"/>
        <v/>
      </c>
      <c r="AK49" s="700" t="str">
        <f t="shared" si="12"/>
        <v/>
      </c>
      <c r="AL49" s="700"/>
      <c r="AM49" s="505" t="str">
        <f t="shared" si="13"/>
        <v/>
      </c>
      <c r="AN49" s="506"/>
      <c r="AO49" s="507"/>
      <c r="AP49" s="507"/>
      <c r="AQ49" s="507"/>
      <c r="AR49" s="507"/>
      <c r="AS49" s="507"/>
      <c r="AT49" s="507"/>
      <c r="AU49" s="507"/>
      <c r="AV49" s="225"/>
      <c r="AW49" s="508"/>
      <c r="AX49" s="225"/>
      <c r="AY49" s="225"/>
      <c r="AZ49" s="225"/>
      <c r="BA49" s="225"/>
      <c r="BB49" s="225"/>
      <c r="BC49" s="56"/>
      <c r="BD49" s="56"/>
      <c r="BE49" s="56"/>
      <c r="BF49" s="107" t="str">
        <f t="shared" si="14"/>
        <v>https://www.google.com/search?tbm=isch&amp;q=American%20Beautyberry%20Callicarpa%20americana</v>
      </c>
      <c r="BG49" s="107" t="str">
        <f t="shared" si="15"/>
        <v>A</v>
      </c>
      <c r="BH49" s="254"/>
      <c r="BI49" s="254"/>
    </row>
    <row r="50" spans="1:61" customFormat="1" ht="15.75" x14ac:dyDescent="0.25">
      <c r="A50" s="276">
        <v>3</v>
      </c>
      <c r="B50" s="240" t="s">
        <v>291</v>
      </c>
      <c r="C50" s="241" t="s">
        <v>3245</v>
      </c>
      <c r="D50" s="242" t="s">
        <v>297</v>
      </c>
      <c r="E50" s="243">
        <v>22.95</v>
      </c>
      <c r="F50" s="517" t="s">
        <v>293</v>
      </c>
      <c r="G50" s="232">
        <v>0</v>
      </c>
      <c r="H50" s="661" t="str">
        <f>IF(G50=0,"",IF(F50="Buy",IF(G50=1,"plant","plants"),IF(F50&gt;0.01,"warranty","Error")))</f>
        <v/>
      </c>
      <c r="I50" s="244">
        <f>IF(H50="free",0,IF(H50="credit",((E50*(F50))*G50*-1),IF(F50="Buy",(E50*G50),((E50*(1-F50))*G50))))</f>
        <v>0</v>
      </c>
      <c r="J50" s="244">
        <f>IF(H50="warranty",0,(I50*(_xlfn.SINGLE(SalesTaxPercentage))))</f>
        <v>0</v>
      </c>
      <c r="K50" s="696">
        <f t="shared" ref="K50" si="33">I50+J50</f>
        <v>0</v>
      </c>
      <c r="L50" s="696"/>
      <c r="M50" s="659" t="str">
        <f>IF(AND(G50&gt;0,E50=0),"WARNING - no PRICE inserted",IF(H50="free"," FREE ~ no charge this plant",IF(H50="credit",CONCATENATE(" -$",ROUND(K50*(1-T2GDiscount)*-1,2)," CREDIT after discount"),IF(T2GDiscount=0,"",IF(G50=0,"",IF(F50="Buy",CONCATENATE(" $",ROUND(K50*(1-T2GDiscount),2)," with ",(T2GDiscount*100),"% discount"),CONCATENATE(" $",ROUND(K50*(1-T2GDiscount),2)," with ",((T2GDiscount*100+F50*100)-(T2GDiscount*100*F50)),IF(F50&gt;0,"% discounts",IF(NoWarrantyDiscount&gt;0,"% discounts","% discount")))))))))</f>
        <v/>
      </c>
      <c r="N50" s="660"/>
      <c r="O50" s="233"/>
      <c r="P50" s="233"/>
      <c r="Q50" s="233"/>
      <c r="R50" s="233"/>
      <c r="S50" s="233"/>
      <c r="T50" s="508">
        <f t="shared" si="3"/>
        <v>0</v>
      </c>
      <c r="U50" s="225">
        <f>IF(NOT(ISNUMBER(G50)), "", VLOOKUP(A50,'Discount Lookup'!D:E,2,FALSE)*G50)</f>
        <v>0</v>
      </c>
      <c r="V50" s="225">
        <f>IF(NOT(ISNUMBER(G50)), "", VLOOKUP(A50,'Discount Lookup'!G:H,2,FALSE)*G50)</f>
        <v>0</v>
      </c>
      <c r="W50" s="508">
        <f t="shared" si="4"/>
        <v>0</v>
      </c>
      <c r="X50" s="508">
        <f t="shared" si="5"/>
        <v>0</v>
      </c>
      <c r="Y50" s="509" t="b">
        <f t="shared" si="6"/>
        <v>0</v>
      </c>
      <c r="Z50" s="510">
        <f t="shared" si="7"/>
        <v>0</v>
      </c>
      <c r="AA50" s="511"/>
      <c r="AB50" s="511" t="str">
        <f t="shared" si="8"/>
        <v/>
      </c>
      <c r="AC50" s="698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698"/>
      <c r="AE50" s="631" t="str">
        <f t="shared" si="9"/>
        <v/>
      </c>
      <c r="AF50" s="699" t="str">
        <f t="shared" si="10"/>
        <v/>
      </c>
      <c r="AG50" s="699"/>
      <c r="AH50" s="699"/>
      <c r="AI50" s="512">
        <f>IF(H50="credit",0,IF(AE50="free",0,IF(AE50="me",0,IF(G50&gt;0,(VLOOKUP(A50,'Discount Lookup'!J:K,2)*G50),0))))</f>
        <v>0</v>
      </c>
      <c r="AJ50" s="513" t="str">
        <f t="shared" ca="1" si="11"/>
        <v/>
      </c>
      <c r="AK50" s="700" t="str">
        <f t="shared" si="12"/>
        <v/>
      </c>
      <c r="AL50" s="700"/>
      <c r="AM50" s="505" t="str">
        <f t="shared" si="13"/>
        <v/>
      </c>
      <c r="AN50" s="506"/>
      <c r="AO50" s="507"/>
      <c r="AP50" s="507"/>
      <c r="AQ50" s="507"/>
      <c r="AR50" s="507"/>
      <c r="AS50" s="507"/>
      <c r="AT50" s="507"/>
      <c r="AU50" s="507"/>
      <c r="AV50" s="225"/>
      <c r="AW50" s="508"/>
      <c r="AX50" s="225"/>
      <c r="AY50" s="225"/>
      <c r="AZ50" s="225"/>
      <c r="BA50" s="225"/>
      <c r="BB50" s="225"/>
      <c r="BC50" s="56"/>
      <c r="BD50" s="56"/>
      <c r="BE50" s="56"/>
      <c r="BF50" s="107" t="str">
        <f t="shared" si="14"/>
        <v>https://www.google.com/search?tbm=isch&amp;q=3%20G3</v>
      </c>
      <c r="BG50" s="107" t="str">
        <f t="shared" si="15"/>
        <v>A</v>
      </c>
      <c r="BH50" s="254"/>
      <c r="BI50" s="254"/>
    </row>
    <row r="51" spans="1:61" customFormat="1" ht="15.75" x14ac:dyDescent="0.25">
      <c r="A51" s="276">
        <v>3</v>
      </c>
      <c r="B51" s="240" t="s">
        <v>291</v>
      </c>
      <c r="C51" s="241" t="s">
        <v>327</v>
      </c>
      <c r="D51" s="242" t="s">
        <v>298</v>
      </c>
      <c r="E51" s="243">
        <v>25.95</v>
      </c>
      <c r="F51" s="517" t="s">
        <v>293</v>
      </c>
      <c r="G51" s="232">
        <v>0</v>
      </c>
      <c r="H51" s="661" t="str">
        <f>IF(G51=0,"",IF(F51="Buy",IF(G51=1,"plant","plants"),IF(F51&gt;0.01,"warranty","Error")))</f>
        <v/>
      </c>
      <c r="I51" s="244">
        <f>IF(H51="free",0,IF(H51="credit",((E51*(F51))*G51*-1),IF(F51="Buy",(E51*G51),((E51*(1-F51))*G51))))</f>
        <v>0</v>
      </c>
      <c r="J51" s="244">
        <f>IF(H51="warranty",0,(I51*(_xlfn.SINGLE(SalesTaxPercentage))))</f>
        <v>0</v>
      </c>
      <c r="K51" s="696">
        <f t="shared" ref="K51" si="34">I51+J51</f>
        <v>0</v>
      </c>
      <c r="L51" s="696"/>
      <c r="M51" s="659" t="str">
        <f>IF(AND(G51&gt;0,E51=0),"WARNING - no PRICE inserted",IF(H51="free"," FREE ~ no charge this plant",IF(H51="credit",CONCATENATE(" -$",ROUND(K51*(1-T2GDiscount)*-1,2)," CREDIT after discount"),IF(T2GDiscount=0,"",IF(G51=0,"",IF(F51="Buy",CONCATENATE(" $",ROUND(K51*(1-T2GDiscount),2)," with ",(T2GDiscount*100),"% discount"),CONCATENATE(" $",ROUND(K51*(1-T2GDiscount),2)," with ",((T2GDiscount*100+F51*100)-(T2GDiscount*100*F51)),IF(F51&gt;0,"% discounts",IF(NoWarrantyDiscount&gt;0,"% discounts","% discount")))))))))</f>
        <v/>
      </c>
      <c r="N51" s="660"/>
      <c r="O51" s="233"/>
      <c r="P51" s="233"/>
      <c r="Q51" s="233"/>
      <c r="R51" s="233"/>
      <c r="S51" s="233"/>
      <c r="T51" s="508">
        <f t="shared" si="3"/>
        <v>0</v>
      </c>
      <c r="U51" s="225">
        <f>IF(NOT(ISNUMBER(G51)), "", VLOOKUP(A51,'Discount Lookup'!D:E,2,FALSE)*G51)</f>
        <v>0</v>
      </c>
      <c r="V51" s="225">
        <f>IF(NOT(ISNUMBER(G51)), "", VLOOKUP(A51,'Discount Lookup'!G:H,2,FALSE)*G51)</f>
        <v>0</v>
      </c>
      <c r="W51" s="508">
        <f t="shared" si="4"/>
        <v>0</v>
      </c>
      <c r="X51" s="508">
        <f t="shared" si="5"/>
        <v>0</v>
      </c>
      <c r="Y51" s="509" t="b">
        <f t="shared" si="6"/>
        <v>0</v>
      </c>
      <c r="Z51" s="510">
        <f t="shared" si="7"/>
        <v>0</v>
      </c>
      <c r="AA51" s="511"/>
      <c r="AB51" s="511" t="str">
        <f t="shared" si="8"/>
        <v/>
      </c>
      <c r="AC51" s="698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698"/>
      <c r="AE51" s="631" t="str">
        <f t="shared" si="9"/>
        <v/>
      </c>
      <c r="AF51" s="699" t="str">
        <f t="shared" si="10"/>
        <v/>
      </c>
      <c r="AG51" s="699"/>
      <c r="AH51" s="699"/>
      <c r="AI51" s="512">
        <f>IF(H51="credit",0,IF(AE51="free",0,IF(AE51="me",0,IF(G51&gt;0,(VLOOKUP(A51,'Discount Lookup'!J:K,2)*G51),0))))</f>
        <v>0</v>
      </c>
      <c r="AJ51" s="513" t="str">
        <f t="shared" ca="1" si="11"/>
        <v/>
      </c>
      <c r="AK51" s="700" t="str">
        <f t="shared" si="12"/>
        <v/>
      </c>
      <c r="AL51" s="700"/>
      <c r="AM51" s="505" t="str">
        <f t="shared" si="13"/>
        <v/>
      </c>
      <c r="AN51" s="506"/>
      <c r="AO51" s="507"/>
      <c r="AP51" s="507"/>
      <c r="AQ51" s="507"/>
      <c r="AR51" s="507"/>
      <c r="AS51" s="507"/>
      <c r="AT51" s="507"/>
      <c r="AU51" s="507"/>
      <c r="AV51" s="225"/>
      <c r="AW51" s="508"/>
      <c r="AX51" s="225"/>
      <c r="AY51" s="225"/>
      <c r="AZ51" s="225"/>
      <c r="BA51" s="225"/>
      <c r="BB51" s="225"/>
      <c r="BC51" s="56"/>
      <c r="BD51" s="56"/>
      <c r="BE51" s="56"/>
      <c r="BF51" s="107" t="str">
        <f t="shared" si="14"/>
        <v>https://www.google.com/search?tbm=isch&amp;q=3%20G1</v>
      </c>
      <c r="BG51" s="107" t="str">
        <f t="shared" si="15"/>
        <v>A</v>
      </c>
      <c r="BH51" s="254"/>
      <c r="BI51" s="254"/>
    </row>
    <row r="52" spans="1:61" customFormat="1" ht="15.75" x14ac:dyDescent="0.25">
      <c r="A52" s="276">
        <v>3</v>
      </c>
      <c r="B52" s="240" t="s">
        <v>291</v>
      </c>
      <c r="C52" s="241" t="s">
        <v>2713</v>
      </c>
      <c r="D52" s="242" t="s">
        <v>312</v>
      </c>
      <c r="E52" s="243">
        <v>26.95</v>
      </c>
      <c r="F52" s="517" t="s">
        <v>293</v>
      </c>
      <c r="G52" s="232">
        <v>0</v>
      </c>
      <c r="H52" s="661" t="str">
        <f>IF(G52=0,"",IF(F52="Buy",IF(G52=1,"plant","plants"),IF(F52&gt;0.01,"warranty","Error")))</f>
        <v/>
      </c>
      <c r="I52" s="244">
        <f>IF(H52="free",0,IF(H52="credit",((E52*(F52))*G52*-1),IF(F52="Buy",(E52*G52),((E52*(1-F52))*G52))))</f>
        <v>0</v>
      </c>
      <c r="J52" s="244">
        <f>IF(H52="warranty",0,(I52*(_xlfn.SINGLE(SalesTaxPercentage))))</f>
        <v>0</v>
      </c>
      <c r="K52" s="696">
        <f t="shared" ref="K52" si="35">I52+J52</f>
        <v>0</v>
      </c>
      <c r="L52" s="696"/>
      <c r="M52" s="659" t="str">
        <f>IF(AND(G52&gt;0,E52=0),"WARNING - no PRICE inserted",IF(H52="free"," FREE ~ no charge this plant",IF(H52="credit",CONCATENATE(" -$",ROUND(K52*(1-T2GDiscount)*-1,2)," CREDIT after discount"),IF(T2GDiscount=0,"",IF(G52=0,"",IF(F52="Buy",CONCATENATE(" $",ROUND(K52*(1-T2GDiscount),2)," with ",(T2GDiscount*100),"% discount"),CONCATENATE(" $",ROUND(K52*(1-T2GDiscount),2)," with ",((T2GDiscount*100+F52*100)-(T2GDiscount*100*F52)),IF(F52&gt;0,"% discounts",IF(NoWarrantyDiscount&gt;0,"% discounts","% discount")))))))))</f>
        <v/>
      </c>
      <c r="N52" s="660"/>
      <c r="O52" s="233"/>
      <c r="P52" s="233"/>
      <c r="Q52" s="233"/>
      <c r="R52" s="233"/>
      <c r="S52" s="233"/>
      <c r="T52" s="508">
        <f t="shared" si="3"/>
        <v>0</v>
      </c>
      <c r="U52" s="225">
        <f>IF(NOT(ISNUMBER(G52)), "", VLOOKUP(A52,'Discount Lookup'!D:E,2,FALSE)*G52)</f>
        <v>0</v>
      </c>
      <c r="V52" s="225">
        <f>IF(NOT(ISNUMBER(G52)), "", VLOOKUP(A52,'Discount Lookup'!G:H,2,FALSE)*G52)</f>
        <v>0</v>
      </c>
      <c r="W52" s="508">
        <f t="shared" si="4"/>
        <v>0</v>
      </c>
      <c r="X52" s="508">
        <f t="shared" si="5"/>
        <v>0</v>
      </c>
      <c r="Y52" s="509" t="b">
        <f t="shared" si="6"/>
        <v>0</v>
      </c>
      <c r="Z52" s="510">
        <f t="shared" si="7"/>
        <v>0</v>
      </c>
      <c r="AA52" s="511"/>
      <c r="AB52" s="511" t="str">
        <f t="shared" si="8"/>
        <v/>
      </c>
      <c r="AC52" s="698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698"/>
      <c r="AE52" s="631" t="str">
        <f t="shared" si="9"/>
        <v/>
      </c>
      <c r="AF52" s="699" t="str">
        <f t="shared" si="10"/>
        <v/>
      </c>
      <c r="AG52" s="699"/>
      <c r="AH52" s="699"/>
      <c r="AI52" s="512">
        <f>IF(H52="credit",0,IF(AE52="free",0,IF(AE52="me",0,IF(G52&gt;0,(VLOOKUP(A52,'Discount Lookup'!J:K,2)*G52),0))))</f>
        <v>0</v>
      </c>
      <c r="AJ52" s="513" t="str">
        <f t="shared" ca="1" si="11"/>
        <v/>
      </c>
      <c r="AK52" s="700" t="str">
        <f t="shared" si="12"/>
        <v/>
      </c>
      <c r="AL52" s="700"/>
      <c r="AM52" s="505" t="str">
        <f t="shared" si="13"/>
        <v/>
      </c>
      <c r="AN52" s="506"/>
      <c r="AO52" s="507"/>
      <c r="AP52" s="507"/>
      <c r="AQ52" s="507"/>
      <c r="AR52" s="507"/>
      <c r="AS52" s="507"/>
      <c r="AT52" s="507"/>
      <c r="AU52" s="507"/>
      <c r="AV52" s="225"/>
      <c r="AW52" s="508"/>
      <c r="AX52" s="225"/>
      <c r="AY52" s="225"/>
      <c r="AZ52" s="225"/>
      <c r="BA52" s="225"/>
      <c r="BB52" s="225"/>
      <c r="BC52" s="56"/>
      <c r="BD52" s="56"/>
      <c r="BE52" s="56"/>
      <c r="BF52" s="107" t="str">
        <f t="shared" si="14"/>
        <v>https://www.google.com/search?tbm=isch&amp;q=3%20G2</v>
      </c>
      <c r="BG52" s="107" t="str">
        <f t="shared" si="15"/>
        <v>A</v>
      </c>
      <c r="BH52" s="254"/>
      <c r="BI52" s="254"/>
    </row>
    <row r="53" spans="1:61" customFormat="1" ht="15.75" x14ac:dyDescent="0.25">
      <c r="A53" s="276">
        <v>7</v>
      </c>
      <c r="B53" s="240" t="s">
        <v>291</v>
      </c>
      <c r="C53" s="241" t="s">
        <v>2198</v>
      </c>
      <c r="D53" s="242" t="s">
        <v>300</v>
      </c>
      <c r="E53" s="243">
        <v>100.95</v>
      </c>
      <c r="F53" s="517" t="s">
        <v>293</v>
      </c>
      <c r="G53" s="232">
        <v>0</v>
      </c>
      <c r="H53" s="661" t="str">
        <f>IF(G53=0,"",IF(F53="Buy",IF(G53=1,"plant","plants"),IF(F53&gt;0.01,"warranty","Error")))</f>
        <v/>
      </c>
      <c r="I53" s="244">
        <f>IF(H53="free",0,IF(H53="credit",((E53*(F53))*G53*-1),IF(F53="Buy",(E53*G53),((E53*(1-F53))*G53))))</f>
        <v>0</v>
      </c>
      <c r="J53" s="244">
        <f>IF(H53="warranty",0,(I53*(_xlfn.SINGLE(SalesTaxPercentage))))</f>
        <v>0</v>
      </c>
      <c r="K53" s="696">
        <f t="shared" ref="K53" si="36">I53+J53</f>
        <v>0</v>
      </c>
      <c r="L53" s="696"/>
      <c r="M53" s="659" t="str">
        <f>IF(AND(G53&gt;0,E53=0),"WARNING - no PRICE inserted",IF(H53="free"," FREE ~ no charge this plant",IF(H53="credit",CONCATENATE(" -$",ROUND(K53*(1-T2GDiscount)*-1,2)," CREDIT after discount"),IF(T2GDiscount=0,"",IF(G53=0,"",IF(F53="Buy",CONCATENATE(" $",ROUND(K53*(1-T2GDiscount),2)," with ",(T2GDiscount*100),"% discount"),CONCATENATE(" $",ROUND(K53*(1-T2GDiscount),2)," with ",((T2GDiscount*100+F53*100)-(T2GDiscount*100*F53)),IF(F53&gt;0,"% discounts",IF(NoWarrantyDiscount&gt;0,"% discounts","% discount")))))))))</f>
        <v/>
      </c>
      <c r="N53" s="660"/>
      <c r="O53" s="233"/>
      <c r="P53" s="233"/>
      <c r="Q53" s="233"/>
      <c r="R53" s="233"/>
      <c r="S53" s="233"/>
      <c r="T53" s="508">
        <f t="shared" si="3"/>
        <v>0</v>
      </c>
      <c r="U53" s="225">
        <f>IF(NOT(ISNUMBER(G53)), "", VLOOKUP(A53,'Discount Lookup'!D:E,2,FALSE)*G53)</f>
        <v>0</v>
      </c>
      <c r="V53" s="225">
        <f>IF(NOT(ISNUMBER(G53)), "", VLOOKUP(A53,'Discount Lookup'!G:H,2,FALSE)*G53)</f>
        <v>0</v>
      </c>
      <c r="W53" s="508">
        <f t="shared" si="4"/>
        <v>0</v>
      </c>
      <c r="X53" s="508">
        <f t="shared" si="5"/>
        <v>0</v>
      </c>
      <c r="Y53" s="509" t="b">
        <f t="shared" si="6"/>
        <v>0</v>
      </c>
      <c r="Z53" s="510">
        <f t="shared" si="7"/>
        <v>0</v>
      </c>
      <c r="AA53" s="511"/>
      <c r="AB53" s="511" t="str">
        <f t="shared" si="8"/>
        <v/>
      </c>
      <c r="AC53" s="698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698"/>
      <c r="AE53" s="631" t="str">
        <f t="shared" si="9"/>
        <v/>
      </c>
      <c r="AF53" s="699" t="str">
        <f t="shared" si="10"/>
        <v/>
      </c>
      <c r="AG53" s="699"/>
      <c r="AH53" s="699"/>
      <c r="AI53" s="512">
        <f>IF(H53="credit",0,IF(AE53="free",0,IF(AE53="me",0,IF(G53&gt;0,(VLOOKUP(A53,'Discount Lookup'!J:K,2)*G53),0))))</f>
        <v>0</v>
      </c>
      <c r="AJ53" s="513" t="str">
        <f t="shared" ca="1" si="11"/>
        <v/>
      </c>
      <c r="AK53" s="700" t="str">
        <f t="shared" si="12"/>
        <v/>
      </c>
      <c r="AL53" s="700"/>
      <c r="AM53" s="505" t="str">
        <f t="shared" si="13"/>
        <v/>
      </c>
      <c r="AN53" s="506"/>
      <c r="AO53" s="507"/>
      <c r="AP53" s="507"/>
      <c r="AQ53" s="507"/>
      <c r="AR53" s="507"/>
      <c r="AS53" s="507"/>
      <c r="AT53" s="507"/>
      <c r="AU53" s="507"/>
      <c r="AV53" s="225"/>
      <c r="AW53" s="508"/>
      <c r="AX53" s="225"/>
      <c r="AY53" s="225"/>
      <c r="AZ53" s="225"/>
      <c r="BA53" s="225"/>
      <c r="BB53" s="225"/>
      <c r="BC53" s="56"/>
      <c r="BD53" s="56"/>
      <c r="BE53" s="56"/>
      <c r="BF53" s="107" t="str">
        <f t="shared" si="14"/>
        <v>https://www.google.com/search?tbm=isch&amp;q=7%20G6</v>
      </c>
      <c r="BG53" s="107" t="str">
        <f t="shared" si="15"/>
        <v>A</v>
      </c>
      <c r="BH53" s="254"/>
      <c r="BI53" s="254"/>
    </row>
    <row r="54" spans="1:61" customFormat="1" ht="17.25" thickBot="1" x14ac:dyDescent="0.3">
      <c r="A54" s="673" t="s">
        <v>5034</v>
      </c>
      <c r="B54" s="245"/>
      <c r="C54" s="677"/>
      <c r="D54" s="499"/>
      <c r="E54" s="499"/>
      <c r="F54" s="500"/>
      <c r="G54" s="501"/>
      <c r="H54" s="502"/>
      <c r="I54" s="246"/>
      <c r="J54" s="247"/>
      <c r="K54" s="503"/>
      <c r="L54" s="544"/>
      <c r="M54" s="544"/>
      <c r="N54" s="500"/>
      <c r="O54" s="500"/>
      <c r="P54" s="500"/>
      <c r="Q54" s="500"/>
      <c r="R54" s="500"/>
      <c r="S54" s="669" t="s">
        <v>4978</v>
      </c>
      <c r="T54" s="508">
        <f t="shared" si="3"/>
        <v>0</v>
      </c>
      <c r="U54" s="225" t="str">
        <f>IF(NOT(ISNUMBER(G54)), "", VLOOKUP(A54,'Discount Lookup'!D:E,2,FALSE)*G54)</f>
        <v/>
      </c>
      <c r="V54" s="225" t="str">
        <f>IF(NOT(ISNUMBER(G54)), "", VLOOKUP(A54,'Discount Lookup'!G:H,2,FALSE)*G54)</f>
        <v/>
      </c>
      <c r="W54" s="508">
        <f t="shared" si="4"/>
        <v>0</v>
      </c>
      <c r="X54" s="508">
        <f t="shared" si="5"/>
        <v>0</v>
      </c>
      <c r="Y54" s="509" t="b">
        <f t="shared" si="6"/>
        <v>0</v>
      </c>
      <c r="Z54" s="510">
        <f t="shared" si="7"/>
        <v>0</v>
      </c>
      <c r="AA54" s="511"/>
      <c r="AB54" s="511" t="str">
        <f t="shared" si="8"/>
        <v/>
      </c>
      <c r="AC54" s="698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698"/>
      <c r="AE54" s="631" t="str">
        <f t="shared" si="9"/>
        <v/>
      </c>
      <c r="AF54" s="699" t="str">
        <f t="shared" si="10"/>
        <v/>
      </c>
      <c r="AG54" s="699"/>
      <c r="AH54" s="699"/>
      <c r="AI54" s="512">
        <f>IF(H54="credit",0,IF(AE54="free",0,IF(AE54="me",0,IF(G54&gt;0,(VLOOKUP(A54,'Discount Lookup'!J:K,2)*G54),0))))</f>
        <v>0</v>
      </c>
      <c r="AJ54" s="513" t="str">
        <f t="shared" ca="1" si="11"/>
        <v/>
      </c>
      <c r="AK54" s="700" t="str">
        <f t="shared" si="12"/>
        <v/>
      </c>
      <c r="AL54" s="700"/>
      <c r="AM54" s="505" t="str">
        <f t="shared" si="13"/>
        <v/>
      </c>
      <c r="AN54" s="506"/>
      <c r="AO54" s="507"/>
      <c r="AP54" s="507"/>
      <c r="AQ54" s="507"/>
      <c r="AR54" s="507"/>
      <c r="AS54" s="507"/>
      <c r="AT54" s="507"/>
      <c r="AU54" s="507"/>
      <c r="AV54" s="225"/>
      <c r="AW54" s="508"/>
      <c r="AX54" s="225"/>
      <c r="AY54" s="225"/>
      <c r="AZ54" s="225"/>
      <c r="BA54" s="225"/>
      <c r="BB54" s="225"/>
      <c r="BC54" s="56"/>
      <c r="BD54" s="56"/>
      <c r="BE54" s="56"/>
      <c r="BF54" s="107" t="str">
        <f t="shared" si="14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54" s="107" t="str">
        <f t="shared" si="15"/>
        <v>m</v>
      </c>
      <c r="BH54" s="254"/>
      <c r="BI54" s="254"/>
    </row>
    <row r="55" spans="1:61" customFormat="1" ht="18" x14ac:dyDescent="0.25">
      <c r="A55" s="523" t="s">
        <v>390</v>
      </c>
      <c r="B55" s="235"/>
      <c r="C55" s="676"/>
      <c r="D55" s="255" t="s">
        <v>389</v>
      </c>
      <c r="E55" s="236"/>
      <c r="F55" s="236"/>
      <c r="G55" s="236"/>
      <c r="H55" s="582" t="s">
        <v>1553</v>
      </c>
      <c r="I55" s="498" t="s">
        <v>2093</v>
      </c>
      <c r="J55" s="237"/>
      <c r="K55" s="237"/>
      <c r="L55" s="274"/>
      <c r="M55" s="668" t="s">
        <v>4975</v>
      </c>
      <c r="N55" s="681" t="str">
        <f>IF(AND(ISTEXT($A55), ISERROR($A55+0)), HYPERLINK($BF55, "Images"), "")</f>
        <v>Images</v>
      </c>
      <c r="O55" s="663" t="s">
        <v>4967</v>
      </c>
      <c r="P55" s="253"/>
      <c r="Q55" s="238"/>
      <c r="R55" s="239"/>
      <c r="S55" s="275" t="s">
        <v>305</v>
      </c>
      <c r="T55" s="508">
        <f t="shared" si="3"/>
        <v>0</v>
      </c>
      <c r="U55" s="225" t="str">
        <f>IF(NOT(ISNUMBER(G55)), "", VLOOKUP(A55,'Discount Lookup'!D:E,2,FALSE)*G55)</f>
        <v/>
      </c>
      <c r="V55" s="225" t="str">
        <f>IF(NOT(ISNUMBER(G55)), "", VLOOKUP(A55,'Discount Lookup'!G:H,2,FALSE)*G55)</f>
        <v/>
      </c>
      <c r="W55" s="508">
        <f t="shared" si="4"/>
        <v>0</v>
      </c>
      <c r="X55" s="508" t="str">
        <f t="shared" si="5"/>
        <v>Dark Green foliage</v>
      </c>
      <c r="Y55" s="509" t="b">
        <f t="shared" si="6"/>
        <v>0</v>
      </c>
      <c r="Z55" s="510">
        <f t="shared" si="7"/>
        <v>0</v>
      </c>
      <c r="AA55" s="511"/>
      <c r="AB55" s="511" t="str">
        <f t="shared" si="8"/>
        <v/>
      </c>
      <c r="AC55" s="698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698"/>
      <c r="AE55" s="631" t="str">
        <f t="shared" si="9"/>
        <v/>
      </c>
      <c r="AF55" s="699" t="str">
        <f t="shared" si="10"/>
        <v/>
      </c>
      <c r="AG55" s="699"/>
      <c r="AH55" s="699"/>
      <c r="AI55" s="512">
        <f>IF(H55="credit",0,IF(AE55="free",0,IF(AE55="me",0,IF(G55&gt;0,(VLOOKUP(A55,'Discount Lookup'!J:K,2)*G55),0))))</f>
        <v>0</v>
      </c>
      <c r="AJ55" s="513" t="str">
        <f t="shared" ca="1" si="11"/>
        <v/>
      </c>
      <c r="AK55" s="700" t="str">
        <f t="shared" si="12"/>
        <v/>
      </c>
      <c r="AL55" s="700"/>
      <c r="AM55" s="505" t="str">
        <f t="shared" si="13"/>
        <v/>
      </c>
      <c r="AN55" s="506"/>
      <c r="AO55" s="507"/>
      <c r="AP55" s="507"/>
      <c r="AQ55" s="507"/>
      <c r="AR55" s="507"/>
      <c r="AS55" s="507"/>
      <c r="AT55" s="507"/>
      <c r="AU55" s="507"/>
      <c r="AV55" s="225"/>
      <c r="AW55" s="508"/>
      <c r="AX55" s="225"/>
      <c r="AY55" s="225"/>
      <c r="AZ55" s="225"/>
      <c r="BA55" s="225"/>
      <c r="BB55" s="225"/>
      <c r="BC55" s="56"/>
      <c r="BD55" s="56"/>
      <c r="BE55" s="56"/>
      <c r="BF55" s="107" t="str">
        <f t="shared" si="14"/>
        <v>https://www.google.com/search?tbm=isch&amp;q=American%20Beech%20Fagus%20grandifolia</v>
      </c>
      <c r="BG55" s="107" t="str">
        <f t="shared" si="15"/>
        <v>A</v>
      </c>
      <c r="BH55" s="254"/>
      <c r="BI55" s="254"/>
    </row>
    <row r="56" spans="1:61" customFormat="1" ht="15.75" x14ac:dyDescent="0.25">
      <c r="A56" s="276">
        <v>7</v>
      </c>
      <c r="B56" s="240" t="s">
        <v>291</v>
      </c>
      <c r="C56" s="241" t="s">
        <v>3301</v>
      </c>
      <c r="D56" s="242" t="s">
        <v>292</v>
      </c>
      <c r="E56" s="243">
        <v>123.95</v>
      </c>
      <c r="F56" s="517" t="s">
        <v>293</v>
      </c>
      <c r="G56" s="232">
        <v>0</v>
      </c>
      <c r="H56" s="661" t="str">
        <f>IF(G56=0,"",IF(F56="Buy",IF(G56=1,"plant","plants"),IF(F56&gt;0.01,"warranty","Error")))</f>
        <v/>
      </c>
      <c r="I56" s="244">
        <f>IF(H56="free",0,IF(H56="credit",((E56*(F56))*G56*-1),IF(F56="Buy",(E56*G56),((E56*(1-F56))*G56))))</f>
        <v>0</v>
      </c>
      <c r="J56" s="244">
        <f>IF(H56="warranty",0,(I56*(_xlfn.SINGLE(SalesTaxPercentage))))</f>
        <v>0</v>
      </c>
      <c r="K56" s="696">
        <f t="shared" ref="K56" si="37">I56+J56</f>
        <v>0</v>
      </c>
      <c r="L56" s="696"/>
      <c r="M56" s="659" t="str">
        <f>IF(AND(G56&gt;0,E56=0),"WARNING - no PRICE inserted",IF(H56="free"," FREE ~ no charge this plant",IF(H56="credit",CONCATENATE(" -$",ROUND(K56*(1-T2GDiscount)*-1,2)," CREDIT after discount"),IF(T2GDiscount=0,"",IF(G56=0,"",IF(F56="Buy",CONCATENATE(" $",ROUND(K56*(1-T2GDiscount),2)," with ",(T2GDiscount*100),"% discount"),CONCATENATE(" $",ROUND(K56*(1-T2GDiscount),2)," with ",((T2GDiscount*100+F56*100)-(T2GDiscount*100*F56)),IF(F56&gt;0,"% discounts",IF(NoWarrantyDiscount&gt;0,"% discounts","% discount")))))))))</f>
        <v/>
      </c>
      <c r="N56" s="660"/>
      <c r="O56" s="233"/>
      <c r="P56" s="233"/>
      <c r="Q56" s="233"/>
      <c r="R56" s="233"/>
      <c r="S56" s="233"/>
      <c r="T56" s="508">
        <f t="shared" si="3"/>
        <v>0</v>
      </c>
      <c r="U56" s="225">
        <f>IF(NOT(ISNUMBER(G56)), "", VLOOKUP(A56,'Discount Lookup'!D:E,2,FALSE)*G56)</f>
        <v>0</v>
      </c>
      <c r="V56" s="225">
        <f>IF(NOT(ISNUMBER(G56)), "", VLOOKUP(A56,'Discount Lookup'!G:H,2,FALSE)*G56)</f>
        <v>0</v>
      </c>
      <c r="W56" s="508">
        <f t="shared" si="4"/>
        <v>0</v>
      </c>
      <c r="X56" s="508">
        <f t="shared" si="5"/>
        <v>0</v>
      </c>
      <c r="Y56" s="509" t="b">
        <f t="shared" si="6"/>
        <v>0</v>
      </c>
      <c r="Z56" s="510">
        <f t="shared" si="7"/>
        <v>0</v>
      </c>
      <c r="AA56" s="511"/>
      <c r="AB56" s="511" t="str">
        <f t="shared" si="8"/>
        <v/>
      </c>
      <c r="AC56" s="698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698"/>
      <c r="AE56" s="631" t="str">
        <f t="shared" si="9"/>
        <v/>
      </c>
      <c r="AF56" s="699" t="str">
        <f t="shared" si="10"/>
        <v/>
      </c>
      <c r="AG56" s="699"/>
      <c r="AH56" s="699"/>
      <c r="AI56" s="512">
        <f>IF(H56="credit",0,IF(AE56="free",0,IF(AE56="me",0,IF(G56&gt;0,(VLOOKUP(A56,'Discount Lookup'!J:K,2)*G56),0))))</f>
        <v>0</v>
      </c>
      <c r="AJ56" s="513" t="str">
        <f t="shared" ca="1" si="11"/>
        <v/>
      </c>
      <c r="AK56" s="700" t="str">
        <f t="shared" si="12"/>
        <v/>
      </c>
      <c r="AL56" s="700"/>
      <c r="AM56" s="505" t="str">
        <f t="shared" si="13"/>
        <v/>
      </c>
      <c r="AN56" s="506"/>
      <c r="AO56" s="507"/>
      <c r="AP56" s="507"/>
      <c r="AQ56" s="507"/>
      <c r="AR56" s="507"/>
      <c r="AS56" s="507"/>
      <c r="AT56" s="507"/>
      <c r="AU56" s="507"/>
      <c r="AV56" s="225"/>
      <c r="AW56" s="508"/>
      <c r="AX56" s="225"/>
      <c r="AY56" s="225"/>
      <c r="AZ56" s="225"/>
      <c r="BA56" s="225"/>
      <c r="BB56" s="225"/>
      <c r="BC56" s="56"/>
      <c r="BD56" s="56"/>
      <c r="BE56" s="56"/>
      <c r="BF56" s="107" t="str">
        <f t="shared" si="14"/>
        <v>https://www.google.com/search?tbm=isch&amp;q=7%20G4</v>
      </c>
      <c r="BG56" s="107" t="str">
        <f t="shared" si="15"/>
        <v>A</v>
      </c>
      <c r="BH56" s="254"/>
      <c r="BI56" s="254"/>
    </row>
    <row r="57" spans="1:61" customFormat="1" ht="15.75" x14ac:dyDescent="0.25">
      <c r="A57" s="276">
        <v>10</v>
      </c>
      <c r="B57" s="240" t="s">
        <v>291</v>
      </c>
      <c r="C57" s="241" t="s">
        <v>3302</v>
      </c>
      <c r="D57" s="242" t="s">
        <v>292</v>
      </c>
      <c r="E57" s="243">
        <v>192.95</v>
      </c>
      <c r="F57" s="517" t="s">
        <v>293</v>
      </c>
      <c r="G57" s="232">
        <v>0</v>
      </c>
      <c r="H57" s="661" t="str">
        <f>IF(G57=0,"",IF(F57="Buy",IF(G57=1,"plant","plants"),IF(F57&gt;0.01,"warranty","Error")))</f>
        <v/>
      </c>
      <c r="I57" s="244">
        <f>IF(H57="free",0,IF(H57="credit",((E57*(F57))*G57*-1),IF(F57="Buy",(E57*G57),((E57*(1-F57))*G57))))</f>
        <v>0</v>
      </c>
      <c r="J57" s="244">
        <f>IF(H57="warranty",0,(I57*(_xlfn.SINGLE(SalesTaxPercentage))))</f>
        <v>0</v>
      </c>
      <c r="K57" s="696">
        <f t="shared" ref="K57" si="38">I57+J57</f>
        <v>0</v>
      </c>
      <c r="L57" s="696"/>
      <c r="M57" s="659" t="str">
        <f>IF(AND(G57&gt;0,E57=0),"WARNING - no PRICE inserted",IF(H57="free"," FREE ~ no charge this plant",IF(H57="credit",CONCATENATE(" -$",ROUND(K57*(1-T2GDiscount)*-1,2)," CREDIT after discount"),IF(T2GDiscount=0,"",IF(G57=0,"",IF(F57="Buy",CONCATENATE(" $",ROUND(K57*(1-T2GDiscount),2)," with ",(T2GDiscount*100),"% discount"),CONCATENATE(" $",ROUND(K57*(1-T2GDiscount),2)," with ",((T2GDiscount*100+F57*100)-(T2GDiscount*100*F57)),IF(F57&gt;0,"% discounts",IF(NoWarrantyDiscount&gt;0,"% discounts","% discount")))))))))</f>
        <v/>
      </c>
      <c r="N57" s="660"/>
      <c r="O57" s="233"/>
      <c r="P57" s="233"/>
      <c r="Q57" s="233"/>
      <c r="R57" s="233"/>
      <c r="S57" s="233"/>
      <c r="T57" s="508">
        <f t="shared" si="3"/>
        <v>0</v>
      </c>
      <c r="U57" s="225">
        <f>IF(NOT(ISNUMBER(G57)), "", VLOOKUP(A57,'Discount Lookup'!D:E,2,FALSE)*G57)</f>
        <v>0</v>
      </c>
      <c r="V57" s="225">
        <f>IF(NOT(ISNUMBER(G57)), "", VLOOKUP(A57,'Discount Lookup'!G:H,2,FALSE)*G57)</f>
        <v>0</v>
      </c>
      <c r="W57" s="508">
        <f t="shared" si="4"/>
        <v>0</v>
      </c>
      <c r="X57" s="508">
        <f t="shared" si="5"/>
        <v>0</v>
      </c>
      <c r="Y57" s="509" t="b">
        <f t="shared" si="6"/>
        <v>0</v>
      </c>
      <c r="Z57" s="510">
        <f t="shared" si="7"/>
        <v>0</v>
      </c>
      <c r="AA57" s="511"/>
      <c r="AB57" s="511" t="str">
        <f t="shared" si="8"/>
        <v/>
      </c>
      <c r="AC57" s="698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698"/>
      <c r="AE57" s="631" t="str">
        <f t="shared" si="9"/>
        <v/>
      </c>
      <c r="AF57" s="699" t="str">
        <f t="shared" si="10"/>
        <v/>
      </c>
      <c r="AG57" s="699"/>
      <c r="AH57" s="699"/>
      <c r="AI57" s="512">
        <f>IF(H57="credit",0,IF(AE57="free",0,IF(AE57="me",0,IF(G57&gt;0,(VLOOKUP(A57,'Discount Lookup'!J:K,2)*G57),0))))</f>
        <v>0</v>
      </c>
      <c r="AJ57" s="513" t="str">
        <f t="shared" ca="1" si="11"/>
        <v/>
      </c>
      <c r="AK57" s="700" t="str">
        <f t="shared" si="12"/>
        <v/>
      </c>
      <c r="AL57" s="700"/>
      <c r="AM57" s="505" t="str">
        <f t="shared" si="13"/>
        <v/>
      </c>
      <c r="AN57" s="506"/>
      <c r="AO57" s="507"/>
      <c r="AP57" s="507"/>
      <c r="AQ57" s="507"/>
      <c r="AR57" s="507"/>
      <c r="AS57" s="507"/>
      <c r="AT57" s="507"/>
      <c r="AU57" s="507"/>
      <c r="AV57" s="225"/>
      <c r="AW57" s="508"/>
      <c r="AX57" s="225"/>
      <c r="AY57" s="225"/>
      <c r="AZ57" s="225"/>
      <c r="BA57" s="225"/>
      <c r="BB57" s="225"/>
      <c r="BC57" s="56"/>
      <c r="BD57" s="56"/>
      <c r="BE57" s="56"/>
      <c r="BF57" s="107" t="str">
        <f t="shared" si="14"/>
        <v>https://www.google.com/search?tbm=isch&amp;q=10%20G4</v>
      </c>
      <c r="BG57" s="107" t="str">
        <f t="shared" si="15"/>
        <v>A</v>
      </c>
      <c r="BH57" s="254"/>
      <c r="BI57" s="254"/>
    </row>
    <row r="58" spans="1:61" customFormat="1" ht="15.75" x14ac:dyDescent="0.25">
      <c r="A58" s="276">
        <v>15</v>
      </c>
      <c r="B58" s="240" t="s">
        <v>291</v>
      </c>
      <c r="C58" s="241" t="s">
        <v>4841</v>
      </c>
      <c r="D58" s="242" t="s">
        <v>292</v>
      </c>
      <c r="E58" s="243">
        <v>252.95</v>
      </c>
      <c r="F58" s="517" t="s">
        <v>293</v>
      </c>
      <c r="G58" s="232">
        <v>0</v>
      </c>
      <c r="H58" s="661" t="str">
        <f>IF(G58=0,"",IF(F58="Buy",IF(G58=1,"plant","plants"),IF(F58&gt;0.01,"warranty","Error")))</f>
        <v/>
      </c>
      <c r="I58" s="244">
        <f>IF(H58="free",0,IF(H58="credit",((E58*(F58))*G58*-1),IF(F58="Buy",(E58*G58),((E58*(1-F58))*G58))))</f>
        <v>0</v>
      </c>
      <c r="J58" s="244">
        <f>IF(H58="warranty",0,(I58*(_xlfn.SINGLE(SalesTaxPercentage))))</f>
        <v>0</v>
      </c>
      <c r="K58" s="696">
        <f t="shared" ref="K58" si="39">I58+J58</f>
        <v>0</v>
      </c>
      <c r="L58" s="696"/>
      <c r="M58" s="659" t="str">
        <f>IF(AND(G58&gt;0,E58=0),"WARNING - no PRICE inserted",IF(H58="free"," FREE ~ no charge this plant",IF(H58="credit",CONCATENATE(" -$",ROUND(K58*(1-T2GDiscount)*-1,2)," CREDIT after discount"),IF(T2GDiscount=0,"",IF(G58=0,"",IF(F58="Buy",CONCATENATE(" $",ROUND(K58*(1-T2GDiscount),2)," with ",(T2GDiscount*100),"% discount"),CONCATENATE(" $",ROUND(K58*(1-T2GDiscount),2)," with ",((T2GDiscount*100+F58*100)-(T2GDiscount*100*F58)),IF(F58&gt;0,"% discounts",IF(NoWarrantyDiscount&gt;0,"% discounts","% discount")))))))))</f>
        <v/>
      </c>
      <c r="N58" s="660"/>
      <c r="O58" s="233"/>
      <c r="P58" s="233"/>
      <c r="Q58" s="233"/>
      <c r="R58" s="233"/>
      <c r="S58" s="233"/>
      <c r="T58" s="508">
        <f t="shared" si="3"/>
        <v>0</v>
      </c>
      <c r="U58" s="225">
        <f>IF(NOT(ISNUMBER(G58)), "", VLOOKUP(A58,'Discount Lookup'!D:E,2,FALSE)*G58)</f>
        <v>0</v>
      </c>
      <c r="V58" s="225">
        <f>IF(NOT(ISNUMBER(G58)), "", VLOOKUP(A58,'Discount Lookup'!G:H,2,FALSE)*G58)</f>
        <v>0</v>
      </c>
      <c r="W58" s="508">
        <f t="shared" si="4"/>
        <v>0</v>
      </c>
      <c r="X58" s="508">
        <f t="shared" si="5"/>
        <v>0</v>
      </c>
      <c r="Y58" s="509" t="b">
        <f t="shared" si="6"/>
        <v>0</v>
      </c>
      <c r="Z58" s="510">
        <f t="shared" si="7"/>
        <v>0</v>
      </c>
      <c r="AA58" s="511"/>
      <c r="AB58" s="511" t="str">
        <f t="shared" si="8"/>
        <v/>
      </c>
      <c r="AC58" s="698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698"/>
      <c r="AE58" s="631" t="str">
        <f t="shared" si="9"/>
        <v/>
      </c>
      <c r="AF58" s="699" t="str">
        <f t="shared" si="10"/>
        <v/>
      </c>
      <c r="AG58" s="699"/>
      <c r="AH58" s="699"/>
      <c r="AI58" s="512">
        <f>IF(H58="credit",0,IF(AE58="free",0,IF(AE58="me",0,IF(G58&gt;0,(VLOOKUP(A58,'Discount Lookup'!J:K,2)*G58),0))))</f>
        <v>0</v>
      </c>
      <c r="AJ58" s="513" t="str">
        <f t="shared" ca="1" si="11"/>
        <v/>
      </c>
      <c r="AK58" s="700" t="str">
        <f t="shared" si="12"/>
        <v/>
      </c>
      <c r="AL58" s="700"/>
      <c r="AM58" s="505" t="str">
        <f t="shared" si="13"/>
        <v/>
      </c>
      <c r="AN58" s="506"/>
      <c r="AO58" s="507"/>
      <c r="AP58" s="507"/>
      <c r="AQ58" s="507"/>
      <c r="AR58" s="507"/>
      <c r="AS58" s="507"/>
      <c r="AT58" s="507"/>
      <c r="AU58" s="507"/>
      <c r="AV58" s="225"/>
      <c r="AW58" s="508"/>
      <c r="AX58" s="225"/>
      <c r="AY58" s="225"/>
      <c r="AZ58" s="225"/>
      <c r="BA58" s="225"/>
      <c r="BB58" s="225"/>
      <c r="BC58" s="56"/>
      <c r="BD58" s="56"/>
      <c r="BE58" s="56"/>
      <c r="BF58" s="107" t="str">
        <f t="shared" si="14"/>
        <v>https://www.google.com/search?tbm=isch&amp;q=15%20G4</v>
      </c>
      <c r="BG58" s="107" t="str">
        <f t="shared" si="15"/>
        <v>A</v>
      </c>
      <c r="BH58" s="254"/>
      <c r="BI58" s="254"/>
    </row>
    <row r="59" spans="1:61" customFormat="1" ht="15.75" x14ac:dyDescent="0.25">
      <c r="A59" s="276">
        <v>25</v>
      </c>
      <c r="B59" s="240" t="s">
        <v>291</v>
      </c>
      <c r="C59" s="241" t="s">
        <v>3304</v>
      </c>
      <c r="D59" s="242" t="s">
        <v>292</v>
      </c>
      <c r="E59" s="243">
        <v>462.95</v>
      </c>
      <c r="F59" s="517" t="s">
        <v>293</v>
      </c>
      <c r="G59" s="232">
        <v>0</v>
      </c>
      <c r="H59" s="661" t="str">
        <f>IF(G59=0,"",IF(F59="Buy",IF(G59=1,"plant","plants"),IF(F59&gt;0.01,"warranty","Error")))</f>
        <v/>
      </c>
      <c r="I59" s="244">
        <f>IF(H59="free",0,IF(H59="credit",((E59*(F59))*G59*-1),IF(F59="Buy",(E59*G59),((E59*(1-F59))*G59))))</f>
        <v>0</v>
      </c>
      <c r="J59" s="244">
        <f>IF(H59="warranty",0,(I59*(_xlfn.SINGLE(SalesTaxPercentage))))</f>
        <v>0</v>
      </c>
      <c r="K59" s="696">
        <f t="shared" ref="K59" si="40">I59+J59</f>
        <v>0</v>
      </c>
      <c r="L59" s="696"/>
      <c r="M59" s="659" t="str">
        <f>IF(AND(G59&gt;0,E59=0),"WARNING - no PRICE inserted",IF(H59="free"," FREE ~ no charge this plant",IF(H59="credit",CONCATENATE(" -$",ROUND(K59*(1-T2GDiscount)*-1,2)," CREDIT after discount"),IF(T2GDiscount=0,"",IF(G59=0,"",IF(F59="Buy",CONCATENATE(" $",ROUND(K59*(1-T2GDiscount),2)," with ",(T2GDiscount*100),"% discount"),CONCATENATE(" $",ROUND(K59*(1-T2GDiscount),2)," with ",((T2GDiscount*100+F59*100)-(T2GDiscount*100*F59)),IF(F59&gt;0,"% discounts",IF(NoWarrantyDiscount&gt;0,"% discounts","% discount")))))))))</f>
        <v/>
      </c>
      <c r="N59" s="660"/>
      <c r="O59" s="233"/>
      <c r="P59" s="233"/>
      <c r="Q59" s="233"/>
      <c r="R59" s="233"/>
      <c r="S59" s="233"/>
      <c r="T59" s="508">
        <f t="shared" si="3"/>
        <v>0</v>
      </c>
      <c r="U59" s="225">
        <f>IF(NOT(ISNUMBER(G59)), "", VLOOKUP(A59,'Discount Lookup'!D:E,2,FALSE)*G59)</f>
        <v>0</v>
      </c>
      <c r="V59" s="225">
        <f>IF(NOT(ISNUMBER(G59)), "", VLOOKUP(A59,'Discount Lookup'!G:H,2,FALSE)*G59)</f>
        <v>0</v>
      </c>
      <c r="W59" s="508">
        <f t="shared" si="4"/>
        <v>0</v>
      </c>
      <c r="X59" s="508">
        <f t="shared" si="5"/>
        <v>0</v>
      </c>
      <c r="Y59" s="509" t="b">
        <f t="shared" si="6"/>
        <v>0</v>
      </c>
      <c r="Z59" s="510">
        <f t="shared" si="7"/>
        <v>0</v>
      </c>
      <c r="AA59" s="511"/>
      <c r="AB59" s="511" t="str">
        <f t="shared" si="8"/>
        <v/>
      </c>
      <c r="AC59" s="698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698"/>
      <c r="AE59" s="631" t="str">
        <f t="shared" si="9"/>
        <v/>
      </c>
      <c r="AF59" s="699" t="str">
        <f t="shared" si="10"/>
        <v/>
      </c>
      <c r="AG59" s="699"/>
      <c r="AH59" s="699"/>
      <c r="AI59" s="512">
        <f>IF(H59="credit",0,IF(AE59="free",0,IF(AE59="me",0,IF(G59&gt;0,(VLOOKUP(A59,'Discount Lookup'!J:K,2)*G59),0))))</f>
        <v>0</v>
      </c>
      <c r="AJ59" s="513" t="str">
        <f t="shared" ca="1" si="11"/>
        <v/>
      </c>
      <c r="AK59" s="700" t="str">
        <f t="shared" si="12"/>
        <v/>
      </c>
      <c r="AL59" s="700"/>
      <c r="AM59" s="505" t="str">
        <f t="shared" si="13"/>
        <v/>
      </c>
      <c r="AN59" s="506"/>
      <c r="AO59" s="507"/>
      <c r="AP59" s="507"/>
      <c r="AQ59" s="507"/>
      <c r="AR59" s="507"/>
      <c r="AS59" s="507"/>
      <c r="AT59" s="507"/>
      <c r="AU59" s="507"/>
      <c r="AV59" s="225"/>
      <c r="AW59" s="508"/>
      <c r="AX59" s="225"/>
      <c r="AY59" s="225"/>
      <c r="AZ59" s="225"/>
      <c r="BA59" s="225"/>
      <c r="BB59" s="225"/>
      <c r="BC59" s="56"/>
      <c r="BD59" s="56"/>
      <c r="BE59" s="56"/>
      <c r="BF59" s="107" t="str">
        <f t="shared" si="14"/>
        <v>https://www.google.com/search?tbm=isch&amp;q=25%20G4</v>
      </c>
      <c r="BG59" s="107" t="str">
        <f t="shared" si="15"/>
        <v>A</v>
      </c>
      <c r="BH59" s="254"/>
      <c r="BI59" s="254"/>
    </row>
    <row r="60" spans="1:61" customFormat="1" ht="17.25" thickBot="1" x14ac:dyDescent="0.3">
      <c r="A60" s="524" t="s">
        <v>2283</v>
      </c>
      <c r="B60" s="245"/>
      <c r="C60" s="677"/>
      <c r="D60" s="499"/>
      <c r="E60" s="499"/>
      <c r="F60" s="500"/>
      <c r="G60" s="501"/>
      <c r="H60" s="502"/>
      <c r="I60" s="246"/>
      <c r="J60" s="247"/>
      <c r="K60" s="503"/>
      <c r="L60" s="544"/>
      <c r="M60" s="544"/>
      <c r="N60" s="500"/>
      <c r="O60" s="500"/>
      <c r="P60" s="500"/>
      <c r="Q60" s="500"/>
      <c r="R60" s="500"/>
      <c r="S60" s="278"/>
      <c r="T60" s="508">
        <f t="shared" si="3"/>
        <v>0</v>
      </c>
      <c r="U60" s="225" t="str">
        <f>IF(NOT(ISNUMBER(G60)), "", VLOOKUP(A60,'Discount Lookup'!D:E,2,FALSE)*G60)</f>
        <v/>
      </c>
      <c r="V60" s="225" t="str">
        <f>IF(NOT(ISNUMBER(G60)), "", VLOOKUP(A60,'Discount Lookup'!G:H,2,FALSE)*G60)</f>
        <v/>
      </c>
      <c r="W60" s="508">
        <f t="shared" si="4"/>
        <v>0</v>
      </c>
      <c r="X60" s="508">
        <f t="shared" si="5"/>
        <v>0</v>
      </c>
      <c r="Y60" s="509" t="b">
        <f t="shared" si="6"/>
        <v>0</v>
      </c>
      <c r="Z60" s="510">
        <f t="shared" si="7"/>
        <v>0</v>
      </c>
      <c r="AA60" s="511"/>
      <c r="AB60" s="511" t="str">
        <f t="shared" si="8"/>
        <v/>
      </c>
      <c r="AC60" s="698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698"/>
      <c r="AE60" s="631" t="str">
        <f t="shared" si="9"/>
        <v/>
      </c>
      <c r="AF60" s="699" t="str">
        <f t="shared" si="10"/>
        <v/>
      </c>
      <c r="AG60" s="699"/>
      <c r="AH60" s="699"/>
      <c r="AI60" s="512">
        <f>IF(H60="credit",0,IF(AE60="free",0,IF(AE60="me",0,IF(G60&gt;0,(VLOOKUP(A60,'Discount Lookup'!J:K,2)*G60),0))))</f>
        <v>0</v>
      </c>
      <c r="AJ60" s="513" t="str">
        <f t="shared" ca="1" si="11"/>
        <v/>
      </c>
      <c r="AK60" s="700" t="str">
        <f t="shared" si="12"/>
        <v/>
      </c>
      <c r="AL60" s="700"/>
      <c r="AM60" s="505" t="str">
        <f t="shared" si="13"/>
        <v/>
      </c>
      <c r="AN60" s="506"/>
      <c r="AO60" s="507"/>
      <c r="AP60" s="507"/>
      <c r="AQ60" s="507"/>
      <c r="AR60" s="507"/>
      <c r="AS60" s="507"/>
      <c r="AT60" s="507"/>
      <c r="AU60" s="507"/>
      <c r="AV60" s="225"/>
      <c r="AW60" s="508"/>
      <c r="AX60" s="225"/>
      <c r="AY60" s="225"/>
      <c r="AZ60" s="225"/>
      <c r="BA60" s="225"/>
      <c r="BB60" s="225"/>
      <c r="BC60" s="56"/>
      <c r="BD60" s="56"/>
      <c r="BE60" s="56"/>
      <c r="BF60" s="107" t="str">
        <f t="shared" si="14"/>
        <v>https://www.google.com/search?tbm=isch&amp;q=American%20Beech%20has%20a%20wide%20canopy%20that%20holds%20onto%20much%20of%20its%20Golden-Bronze%20fall%20foliage%20well%20into%20the%20new%20year%20</v>
      </c>
      <c r="BG60" s="107" t="str">
        <f t="shared" si="15"/>
        <v>A</v>
      </c>
      <c r="BH60" s="254"/>
      <c r="BI60" s="254"/>
    </row>
    <row r="61" spans="1:61" customFormat="1" ht="18" x14ac:dyDescent="0.25">
      <c r="A61" s="523" t="s">
        <v>2325</v>
      </c>
      <c r="B61" s="235"/>
      <c r="C61" s="676"/>
      <c r="D61" s="255" t="s">
        <v>2326</v>
      </c>
      <c r="E61" s="236"/>
      <c r="F61" s="236"/>
      <c r="G61" s="236"/>
      <c r="H61" s="582" t="s">
        <v>4039</v>
      </c>
      <c r="I61" s="498" t="s">
        <v>4040</v>
      </c>
      <c r="J61" s="237"/>
      <c r="K61" s="237"/>
      <c r="L61" s="274"/>
      <c r="M61" s="668" t="s">
        <v>4962</v>
      </c>
      <c r="N61" s="681" t="str">
        <f>IF(AND(ISTEXT($A61), ISERROR($A61+0)), HYPERLINK($BF61, "Images"), "")</f>
        <v>Images</v>
      </c>
      <c r="O61" s="663" t="s">
        <v>4967</v>
      </c>
      <c r="P61" s="253"/>
      <c r="Q61" s="238"/>
      <c r="R61" s="239"/>
      <c r="S61" s="275" t="s">
        <v>305</v>
      </c>
      <c r="T61" s="508">
        <f t="shared" si="3"/>
        <v>0</v>
      </c>
      <c r="U61" s="225" t="str">
        <f>IF(NOT(ISNUMBER(G61)), "", VLOOKUP(A61,'Discount Lookup'!D:E,2,FALSE)*G61)</f>
        <v/>
      </c>
      <c r="V61" s="225" t="str">
        <f>IF(NOT(ISNUMBER(G61)), "", VLOOKUP(A61,'Discount Lookup'!G:H,2,FALSE)*G61)</f>
        <v/>
      </c>
      <c r="W61" s="508">
        <f t="shared" si="4"/>
        <v>0</v>
      </c>
      <c r="X61" s="508" t="str">
        <f t="shared" si="5"/>
        <v>Golden-Yellow ray, Dark eye</v>
      </c>
      <c r="Y61" s="509" t="b">
        <f t="shared" si="6"/>
        <v>0</v>
      </c>
      <c r="Z61" s="510">
        <f t="shared" si="7"/>
        <v>0</v>
      </c>
      <c r="AA61" s="511"/>
      <c r="AB61" s="511" t="str">
        <f t="shared" si="8"/>
        <v/>
      </c>
      <c r="AC61" s="698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698"/>
      <c r="AE61" s="631" t="str">
        <f t="shared" si="9"/>
        <v/>
      </c>
      <c r="AF61" s="699" t="str">
        <f t="shared" si="10"/>
        <v/>
      </c>
      <c r="AG61" s="699"/>
      <c r="AH61" s="699"/>
      <c r="AI61" s="512">
        <f>IF(H61="credit",0,IF(AE61="free",0,IF(AE61="me",0,IF(G61&gt;0,(VLOOKUP(A61,'Discount Lookup'!J:K,2)*G61),0))))</f>
        <v>0</v>
      </c>
      <c r="AJ61" s="513" t="str">
        <f t="shared" ca="1" si="11"/>
        <v/>
      </c>
      <c r="AK61" s="700" t="str">
        <f t="shared" si="12"/>
        <v/>
      </c>
      <c r="AL61" s="700"/>
      <c r="AM61" s="505" t="str">
        <f t="shared" si="13"/>
        <v/>
      </c>
      <c r="AN61" s="506"/>
      <c r="AO61" s="507"/>
      <c r="AP61" s="507"/>
      <c r="AQ61" s="507"/>
      <c r="AR61" s="507"/>
      <c r="AS61" s="507"/>
      <c r="AT61" s="507"/>
      <c r="AU61" s="507"/>
      <c r="AV61" s="225"/>
      <c r="AW61" s="508"/>
      <c r="AX61" s="225"/>
      <c r="AY61" s="225"/>
      <c r="AZ61" s="225"/>
      <c r="BA61" s="225"/>
      <c r="BB61" s="225"/>
      <c r="BC61" s="56"/>
      <c r="BD61" s="56"/>
      <c r="BE61" s="56"/>
      <c r="BF61" s="107" t="str">
        <f t="shared" si="14"/>
        <v>https://www.google.com/search?tbm=isch&amp;q=American%20Gold%20Rush%20Black-Eyed%20Susan%20Rudbeckia%20%27American%20Gold%20Rush%27%20PP%2328498</v>
      </c>
      <c r="BG61" s="107" t="str">
        <f t="shared" si="15"/>
        <v>A</v>
      </c>
      <c r="BH61" s="254"/>
      <c r="BI61" s="254"/>
    </row>
    <row r="62" spans="1:61" customFormat="1" ht="15.75" x14ac:dyDescent="0.25">
      <c r="A62" s="276">
        <v>1</v>
      </c>
      <c r="B62" s="240" t="s">
        <v>291</v>
      </c>
      <c r="C62" s="241"/>
      <c r="D62" s="242" t="s">
        <v>312</v>
      </c>
      <c r="E62" s="243">
        <v>12.95</v>
      </c>
      <c r="F62" s="517" t="s">
        <v>293</v>
      </c>
      <c r="G62" s="232">
        <v>0</v>
      </c>
      <c r="H62" s="661" t="str">
        <f>IF(G62=0,"",IF(F62="Buy",IF(G62=1,"plant","plants"),IF(F62&gt;0.01,"warranty","Error")))</f>
        <v/>
      </c>
      <c r="I62" s="244">
        <f>IF(H62="free",0,IF(H62="credit",((E62*(F62))*G62*-1),IF(F62="Buy",(E62*G62),((E62*(1-F62))*G62))))</f>
        <v>0</v>
      </c>
      <c r="J62" s="244">
        <f>IF(H62="warranty",0,(I62*(_xlfn.SINGLE(SalesTaxPercentage))))</f>
        <v>0</v>
      </c>
      <c r="K62" s="696">
        <f t="shared" ref="K62" si="41">I62+J62</f>
        <v>0</v>
      </c>
      <c r="L62" s="696"/>
      <c r="M62" s="659" t="str">
        <f>IF(AND(G62&gt;0,E62=0),"WARNING - no PRICE inserted",IF(H62="free"," FREE ~ no charge this plant",IF(H62="credit",CONCATENATE(" -$",ROUND(K62*(1-T2GDiscount)*-1,2)," CREDIT after discount"),IF(T2GDiscount=0,"",IF(G62=0,"",IF(F62="Buy",CONCATENATE(" $",ROUND(K62*(1-T2GDiscount),2)," with ",(T2GDiscount*100),"% discount"),CONCATENATE(" $",ROUND(K62*(1-T2GDiscount),2)," with ",((T2GDiscount*100+F62*100)-(T2GDiscount*100*F62)),IF(F62&gt;0,"% discounts",IF(NoWarrantyDiscount&gt;0,"% discounts","% discount")))))))))</f>
        <v/>
      </c>
      <c r="N62" s="660"/>
      <c r="O62" s="233"/>
      <c r="P62" s="233"/>
      <c r="Q62" s="233"/>
      <c r="R62" s="233"/>
      <c r="S62" s="233"/>
      <c r="T62" s="508">
        <f t="shared" si="3"/>
        <v>0</v>
      </c>
      <c r="U62" s="225">
        <f>IF(NOT(ISNUMBER(G62)), "", VLOOKUP(A62,'Discount Lookup'!D:E,2,FALSE)*G62)</f>
        <v>0</v>
      </c>
      <c r="V62" s="225">
        <f>IF(NOT(ISNUMBER(G62)), "", VLOOKUP(A62,'Discount Lookup'!G:H,2,FALSE)*G62)</f>
        <v>0</v>
      </c>
      <c r="W62" s="508">
        <f t="shared" si="4"/>
        <v>0</v>
      </c>
      <c r="X62" s="508">
        <f t="shared" si="5"/>
        <v>0</v>
      </c>
      <c r="Y62" s="509" t="b">
        <f t="shared" si="6"/>
        <v>0</v>
      </c>
      <c r="Z62" s="510">
        <f t="shared" si="7"/>
        <v>0</v>
      </c>
      <c r="AA62" s="511"/>
      <c r="AB62" s="511" t="str">
        <f t="shared" si="8"/>
        <v/>
      </c>
      <c r="AC62" s="698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698"/>
      <c r="AE62" s="631" t="str">
        <f t="shared" si="9"/>
        <v/>
      </c>
      <c r="AF62" s="699" t="str">
        <f t="shared" si="10"/>
        <v/>
      </c>
      <c r="AG62" s="699"/>
      <c r="AH62" s="699"/>
      <c r="AI62" s="512">
        <f>IF(H62="credit",0,IF(AE62="free",0,IF(AE62="me",0,IF(G62&gt;0,(VLOOKUP(A62,'Discount Lookup'!J:K,2)*G62),0))))</f>
        <v>0</v>
      </c>
      <c r="AJ62" s="513" t="str">
        <f t="shared" ca="1" si="11"/>
        <v/>
      </c>
      <c r="AK62" s="700" t="str">
        <f t="shared" si="12"/>
        <v/>
      </c>
      <c r="AL62" s="700"/>
      <c r="AM62" s="505" t="str">
        <f t="shared" si="13"/>
        <v/>
      </c>
      <c r="AN62" s="506"/>
      <c r="AO62" s="507"/>
      <c r="AP62" s="507"/>
      <c r="AQ62" s="507"/>
      <c r="AR62" s="507"/>
      <c r="AS62" s="507"/>
      <c r="AT62" s="507"/>
      <c r="AU62" s="507"/>
      <c r="AV62" s="225"/>
      <c r="AW62" s="508"/>
      <c r="AX62" s="225"/>
      <c r="AY62" s="225"/>
      <c r="AZ62" s="225"/>
      <c r="BA62" s="225"/>
      <c r="BB62" s="225"/>
      <c r="BC62" s="56"/>
      <c r="BD62" s="56"/>
      <c r="BE62" s="56"/>
      <c r="BF62" s="107" t="str">
        <f t="shared" si="14"/>
        <v>https://www.google.com/search?tbm=isch&amp;q=1%20G2</v>
      </c>
      <c r="BG62" s="107" t="str">
        <f t="shared" si="15"/>
        <v>A</v>
      </c>
      <c r="BH62" s="254"/>
      <c r="BI62" s="254"/>
    </row>
    <row r="63" spans="1:61" customFormat="1" ht="17.25" thickBot="1" x14ac:dyDescent="0.3">
      <c r="A63" s="524" t="s">
        <v>4041</v>
      </c>
      <c r="B63" s="245"/>
      <c r="C63" s="677"/>
      <c r="D63" s="499"/>
      <c r="E63" s="499"/>
      <c r="F63" s="500"/>
      <c r="G63" s="501"/>
      <c r="H63" s="502"/>
      <c r="I63" s="246"/>
      <c r="J63" s="247"/>
      <c r="K63" s="503"/>
      <c r="L63" s="544"/>
      <c r="M63" s="544"/>
      <c r="N63" s="500"/>
      <c r="O63" s="500"/>
      <c r="P63" s="500"/>
      <c r="Q63" s="500"/>
      <c r="R63" s="500"/>
      <c r="S63" s="669" t="s">
        <v>4979</v>
      </c>
      <c r="T63" s="508">
        <f t="shared" si="3"/>
        <v>0</v>
      </c>
      <c r="U63" s="225" t="str">
        <f>IF(NOT(ISNUMBER(G63)), "", VLOOKUP(A63,'Discount Lookup'!D:E,2,FALSE)*G63)</f>
        <v/>
      </c>
      <c r="V63" s="225" t="str">
        <f>IF(NOT(ISNUMBER(G63)), "", VLOOKUP(A63,'Discount Lookup'!G:H,2,FALSE)*G63)</f>
        <v/>
      </c>
      <c r="W63" s="508">
        <f t="shared" si="4"/>
        <v>0</v>
      </c>
      <c r="X63" s="508">
        <f t="shared" si="5"/>
        <v>0</v>
      </c>
      <c r="Y63" s="509" t="b">
        <f t="shared" si="6"/>
        <v>0</v>
      </c>
      <c r="Z63" s="510">
        <f t="shared" si="7"/>
        <v>0</v>
      </c>
      <c r="AA63" s="511"/>
      <c r="AB63" s="511" t="str">
        <f t="shared" si="8"/>
        <v/>
      </c>
      <c r="AC63" s="698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698"/>
      <c r="AE63" s="631" t="str">
        <f t="shared" si="9"/>
        <v/>
      </c>
      <c r="AF63" s="699" t="str">
        <f t="shared" si="10"/>
        <v/>
      </c>
      <c r="AG63" s="699"/>
      <c r="AH63" s="699"/>
      <c r="AI63" s="512">
        <f>IF(H63="credit",0,IF(AE63="free",0,IF(AE63="me",0,IF(G63&gt;0,(VLOOKUP(A63,'Discount Lookup'!J:K,2)*G63),0))))</f>
        <v>0</v>
      </c>
      <c r="AJ63" s="513" t="str">
        <f t="shared" ca="1" si="11"/>
        <v/>
      </c>
      <c r="AK63" s="700" t="str">
        <f t="shared" si="12"/>
        <v/>
      </c>
      <c r="AL63" s="700"/>
      <c r="AM63" s="505" t="str">
        <f t="shared" si="13"/>
        <v/>
      </c>
      <c r="AN63" s="506"/>
      <c r="AO63" s="507"/>
      <c r="AP63" s="507"/>
      <c r="AQ63" s="507"/>
      <c r="AR63" s="507"/>
      <c r="AS63" s="507"/>
      <c r="AT63" s="507"/>
      <c r="AU63" s="507"/>
      <c r="AV63" s="225"/>
      <c r="AW63" s="508"/>
      <c r="AX63" s="225"/>
      <c r="AY63" s="225"/>
      <c r="AZ63" s="225"/>
      <c r="BA63" s="225"/>
      <c r="BB63" s="225"/>
      <c r="BC63" s="56"/>
      <c r="BD63" s="56"/>
      <c r="BE63" s="56"/>
      <c r="BF63" s="107" t="str">
        <f t="shared" si="14"/>
        <v>https://www.google.com/search?tbm=isch&amp;q=American%20Gold%20Rush%20blooms%20from%20midsummer%20to%20frost.%20Bred%20for%20increaset%20heat%20%26%20disease%20resistance%20</v>
      </c>
      <c r="BG63" s="107" t="str">
        <f t="shared" si="15"/>
        <v>A</v>
      </c>
      <c r="BH63" s="254"/>
      <c r="BI63" s="254"/>
    </row>
    <row r="64" spans="1:61" customFormat="1" ht="18" x14ac:dyDescent="0.25">
      <c r="A64" s="523" t="s">
        <v>527</v>
      </c>
      <c r="B64" s="235"/>
      <c r="C64" s="676"/>
      <c r="D64" s="255" t="s">
        <v>526</v>
      </c>
      <c r="E64" s="236"/>
      <c r="F64" s="236"/>
      <c r="G64" s="236"/>
      <c r="H64" s="582" t="s">
        <v>441</v>
      </c>
      <c r="I64" s="498" t="s">
        <v>660</v>
      </c>
      <c r="J64" s="237"/>
      <c r="K64" s="237"/>
      <c r="L64" s="274"/>
      <c r="M64" s="668" t="s">
        <v>4962</v>
      </c>
      <c r="N64" s="681" t="str">
        <f>IF(AND(ISTEXT($A64), ISERROR($A64+0)), HYPERLINK($BF64, "Images"), "")</f>
        <v>Images</v>
      </c>
      <c r="O64" s="663" t="s">
        <v>4969</v>
      </c>
      <c r="P64" s="253"/>
      <c r="Q64" s="238"/>
      <c r="R64" s="239"/>
      <c r="S64" s="275"/>
      <c r="T64" s="508">
        <f t="shared" si="3"/>
        <v>0</v>
      </c>
      <c r="U64" s="225" t="str">
        <f>IF(NOT(ISNUMBER(G64)), "", VLOOKUP(A64,'Discount Lookup'!D:E,2,FALSE)*G64)</f>
        <v/>
      </c>
      <c r="V64" s="225" t="str">
        <f>IF(NOT(ISNUMBER(G64)), "", VLOOKUP(A64,'Discount Lookup'!G:H,2,FALSE)*G64)</f>
        <v/>
      </c>
      <c r="W64" s="508">
        <f t="shared" si="4"/>
        <v>0</v>
      </c>
      <c r="X64" s="508" t="str">
        <f t="shared" si="5"/>
        <v>Golden Yellow bloom</v>
      </c>
      <c r="Y64" s="509" t="b">
        <f t="shared" si="6"/>
        <v>0</v>
      </c>
      <c r="Z64" s="510">
        <f t="shared" si="7"/>
        <v>0</v>
      </c>
      <c r="AA64" s="511"/>
      <c r="AB64" s="511" t="str">
        <f t="shared" si="8"/>
        <v/>
      </c>
      <c r="AC64" s="698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698"/>
      <c r="AE64" s="631" t="str">
        <f t="shared" si="9"/>
        <v/>
      </c>
      <c r="AF64" s="699" t="str">
        <f t="shared" si="10"/>
        <v/>
      </c>
      <c r="AG64" s="699"/>
      <c r="AH64" s="699"/>
      <c r="AI64" s="512">
        <f>IF(H64="credit",0,IF(AE64="free",0,IF(AE64="me",0,IF(G64&gt;0,(VLOOKUP(A64,'Discount Lookup'!J:K,2)*G64),0))))</f>
        <v>0</v>
      </c>
      <c r="AJ64" s="513" t="str">
        <f t="shared" ca="1" si="11"/>
        <v/>
      </c>
      <c r="AK64" s="700" t="str">
        <f t="shared" si="12"/>
        <v/>
      </c>
      <c r="AL64" s="700"/>
      <c r="AM64" s="505" t="str">
        <f t="shared" si="13"/>
        <v/>
      </c>
      <c r="AN64" s="506"/>
      <c r="AO64" s="507"/>
      <c r="AP64" s="507"/>
      <c r="AQ64" s="507"/>
      <c r="AR64" s="507"/>
      <c r="AS64" s="507"/>
      <c r="AT64" s="507"/>
      <c r="AU64" s="507"/>
      <c r="AV64" s="225"/>
      <c r="AW64" s="508"/>
      <c r="AX64" s="225"/>
      <c r="AY64" s="225"/>
      <c r="AZ64" s="225"/>
      <c r="BA64" s="225"/>
      <c r="BB64" s="225"/>
      <c r="BC64" s="56"/>
      <c r="BD64" s="56"/>
      <c r="BE64" s="56"/>
      <c r="BF64" s="107" t="str">
        <f t="shared" si="14"/>
        <v>https://www.google.com/search?tbm=isch&amp;q=American%20Goldfinch%20False%20Indigo%20Baptisia%20%27American%20Goldfinch%27%20PP%2330478</v>
      </c>
      <c r="BG64" s="107" t="str">
        <f t="shared" si="15"/>
        <v>A</v>
      </c>
      <c r="BH64" s="254"/>
      <c r="BI64" s="254"/>
    </row>
    <row r="65" spans="1:61" customFormat="1" ht="15.75" x14ac:dyDescent="0.25">
      <c r="A65" s="276">
        <v>4</v>
      </c>
      <c r="B65" s="240" t="s">
        <v>340</v>
      </c>
      <c r="C65" s="241" t="s">
        <v>3246</v>
      </c>
      <c r="D65" s="242" t="s">
        <v>312</v>
      </c>
      <c r="E65" s="243">
        <v>17.95</v>
      </c>
      <c r="F65" s="517" t="s">
        <v>293</v>
      </c>
      <c r="G65" s="232">
        <v>0</v>
      </c>
      <c r="H65" s="661" t="str">
        <f>IF(G65=0,"",IF(F65="Buy",IF(G65=1,"plant","plants"),IF(F65&gt;0.01,"warranty","Error")))</f>
        <v/>
      </c>
      <c r="I65" s="244">
        <f>IF(H65="free",0,IF(H65="credit",((E65*(F65))*G65*-1),IF(F65="Buy",(E65*G65),((E65*(1-F65))*G65))))</f>
        <v>0</v>
      </c>
      <c r="J65" s="244">
        <f>IF(H65="warranty",0,(I65*(_xlfn.SINGLE(SalesTaxPercentage))))</f>
        <v>0</v>
      </c>
      <c r="K65" s="696">
        <f t="shared" ref="K65" si="42">I65+J65</f>
        <v>0</v>
      </c>
      <c r="L65" s="696"/>
      <c r="M65" s="659" t="str">
        <f>IF(AND(G65&gt;0,E65=0),"WARNING - no PRICE inserted",IF(H65="free"," FREE ~ no charge this plant",IF(H65="credit",CONCATENATE(" -$",ROUND(K65*(1-T2GDiscount)*-1,2)," CREDIT after discount"),IF(T2GDiscount=0,"",IF(G65=0,"",IF(F65="Buy",CONCATENATE(" $",ROUND(K65*(1-T2GDiscount),2)," with ",(T2GDiscount*100),"% discount"),CONCATENATE(" $",ROUND(K65*(1-T2GDiscount),2)," with ",((T2GDiscount*100+F65*100)-(T2GDiscount*100*F65)),IF(F65&gt;0,"% discounts",IF(NoWarrantyDiscount&gt;0,"% discounts","% discount")))))))))</f>
        <v/>
      </c>
      <c r="N65" s="660"/>
      <c r="O65" s="233"/>
      <c r="P65" s="233"/>
      <c r="Q65" s="233"/>
      <c r="R65" s="233"/>
      <c r="S65" s="233"/>
      <c r="T65" s="508">
        <f t="shared" si="3"/>
        <v>0</v>
      </c>
      <c r="U65" s="225">
        <f>IF(NOT(ISNUMBER(G65)), "", VLOOKUP(A65,'Discount Lookup'!D:E,2,FALSE)*G65)</f>
        <v>0</v>
      </c>
      <c r="V65" s="225">
        <f>IF(NOT(ISNUMBER(G65)), "", VLOOKUP(A65,'Discount Lookup'!G:H,2,FALSE)*G65)</f>
        <v>0</v>
      </c>
      <c r="W65" s="508">
        <f t="shared" si="4"/>
        <v>0</v>
      </c>
      <c r="X65" s="508">
        <f t="shared" si="5"/>
        <v>0</v>
      </c>
      <c r="Y65" s="509" t="b">
        <f t="shared" si="6"/>
        <v>0</v>
      </c>
      <c r="Z65" s="510">
        <f t="shared" si="7"/>
        <v>0</v>
      </c>
      <c r="AA65" s="511"/>
      <c r="AB65" s="511" t="str">
        <f t="shared" si="8"/>
        <v/>
      </c>
      <c r="AC65" s="698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698"/>
      <c r="AE65" s="631" t="str">
        <f t="shared" si="9"/>
        <v/>
      </c>
      <c r="AF65" s="699" t="str">
        <f t="shared" si="10"/>
        <v/>
      </c>
      <c r="AG65" s="699"/>
      <c r="AH65" s="699"/>
      <c r="AI65" s="512">
        <f>IF(H65="credit",0,IF(AE65="free",0,IF(AE65="me",0,IF(G65&gt;0,(VLOOKUP(A65,'Discount Lookup'!J:K,2)*G65),0))))</f>
        <v>0</v>
      </c>
      <c r="AJ65" s="513" t="str">
        <f t="shared" ca="1" si="11"/>
        <v/>
      </c>
      <c r="AK65" s="700" t="str">
        <f t="shared" si="12"/>
        <v/>
      </c>
      <c r="AL65" s="700"/>
      <c r="AM65" s="505" t="str">
        <f t="shared" si="13"/>
        <v/>
      </c>
      <c r="AN65" s="506"/>
      <c r="AO65" s="507"/>
      <c r="AP65" s="507"/>
      <c r="AQ65" s="507"/>
      <c r="AR65" s="507"/>
      <c r="AS65" s="507"/>
      <c r="AT65" s="507"/>
      <c r="AU65" s="507"/>
      <c r="AV65" s="225"/>
      <c r="AW65" s="508"/>
      <c r="AX65" s="225"/>
      <c r="AY65" s="225"/>
      <c r="AZ65" s="225"/>
      <c r="BA65" s="225"/>
      <c r="BB65" s="225"/>
      <c r="BC65" s="56"/>
      <c r="BD65" s="56"/>
      <c r="BE65" s="56"/>
      <c r="BF65" s="107" t="str">
        <f t="shared" si="14"/>
        <v>https://www.google.com/search?tbm=isch&amp;q=4%20G2</v>
      </c>
      <c r="BG65" s="107" t="str">
        <f t="shared" si="15"/>
        <v>A</v>
      </c>
      <c r="BH65" s="254"/>
      <c r="BI65" s="254"/>
    </row>
    <row r="66" spans="1:61" customFormat="1" ht="17.25" thickBot="1" x14ac:dyDescent="0.3">
      <c r="A66" s="524" t="s">
        <v>3095</v>
      </c>
      <c r="B66" s="245"/>
      <c r="C66" s="677"/>
      <c r="D66" s="499"/>
      <c r="E66" s="499"/>
      <c r="F66" s="500"/>
      <c r="G66" s="501"/>
      <c r="H66" s="502"/>
      <c r="I66" s="246"/>
      <c r="J66" s="247"/>
      <c r="K66" s="503"/>
      <c r="L66" s="544"/>
      <c r="M66" s="544"/>
      <c r="N66" s="500"/>
      <c r="O66" s="500"/>
      <c r="P66" s="500"/>
      <c r="Q66" s="500"/>
      <c r="R66" s="500"/>
      <c r="S66" s="669" t="s">
        <v>4980</v>
      </c>
      <c r="T66" s="508">
        <f t="shared" si="3"/>
        <v>0</v>
      </c>
      <c r="U66" s="225" t="str">
        <f>IF(NOT(ISNUMBER(G66)), "", VLOOKUP(A66,'Discount Lookup'!D:E,2,FALSE)*G66)</f>
        <v/>
      </c>
      <c r="V66" s="225" t="str">
        <f>IF(NOT(ISNUMBER(G66)), "", VLOOKUP(A66,'Discount Lookup'!G:H,2,FALSE)*G66)</f>
        <v/>
      </c>
      <c r="W66" s="508">
        <f t="shared" si="4"/>
        <v>0</v>
      </c>
      <c r="X66" s="508">
        <f t="shared" si="5"/>
        <v>0</v>
      </c>
      <c r="Y66" s="509" t="b">
        <f t="shared" si="6"/>
        <v>0</v>
      </c>
      <c r="Z66" s="510">
        <f t="shared" si="7"/>
        <v>0</v>
      </c>
      <c r="AA66" s="511"/>
      <c r="AB66" s="511" t="str">
        <f t="shared" si="8"/>
        <v/>
      </c>
      <c r="AC66" s="698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698"/>
      <c r="AE66" s="631" t="str">
        <f t="shared" si="9"/>
        <v/>
      </c>
      <c r="AF66" s="699" t="str">
        <f t="shared" si="10"/>
        <v/>
      </c>
      <c r="AG66" s="699"/>
      <c r="AH66" s="699"/>
      <c r="AI66" s="512">
        <f>IF(H66="credit",0,IF(AE66="free",0,IF(AE66="me",0,IF(G66&gt;0,(VLOOKUP(A66,'Discount Lookup'!J:K,2)*G66),0))))</f>
        <v>0</v>
      </c>
      <c r="AJ66" s="513" t="str">
        <f t="shared" ca="1" si="11"/>
        <v/>
      </c>
      <c r="AK66" s="700" t="str">
        <f t="shared" si="12"/>
        <v/>
      </c>
      <c r="AL66" s="700"/>
      <c r="AM66" s="505" t="str">
        <f t="shared" si="13"/>
        <v/>
      </c>
      <c r="AN66" s="506"/>
      <c r="AO66" s="507"/>
      <c r="AP66" s="507"/>
      <c r="AQ66" s="507"/>
      <c r="AR66" s="507"/>
      <c r="AS66" s="507"/>
      <c r="AT66" s="507"/>
      <c r="AU66" s="507"/>
      <c r="AV66" s="225"/>
      <c r="AW66" s="508"/>
      <c r="AX66" s="225"/>
      <c r="AY66" s="225"/>
      <c r="AZ66" s="225"/>
      <c r="BA66" s="225"/>
      <c r="BB66" s="225"/>
      <c r="BC66" s="56"/>
      <c r="BD66" s="56"/>
      <c r="BE66" s="56"/>
      <c r="BF66" s="107" t="str">
        <f t="shared" si="14"/>
        <v>https://www.google.com/search?tbm=isch&amp;q=American%20Goldfinch%27%20is%20notable%20for%20its%20vibrant%20blooms%20held%20on%20strong%20stems%20and%20its%20dense%2C%20bushy%20habit%20with%20attractive%20Blue-Green%20foliage%20</v>
      </c>
      <c r="BG66" s="107" t="str">
        <f t="shared" si="15"/>
        <v>A</v>
      </c>
      <c r="BH66" s="254"/>
      <c r="BI66" s="254"/>
    </row>
    <row r="67" spans="1:61" customFormat="1" ht="18" x14ac:dyDescent="0.25">
      <c r="A67" s="523" t="s">
        <v>369</v>
      </c>
      <c r="B67" s="235"/>
      <c r="C67" s="676"/>
      <c r="D67" s="255" t="s">
        <v>368</v>
      </c>
      <c r="E67" s="236"/>
      <c r="F67" s="236"/>
      <c r="G67" s="236"/>
      <c r="H67" s="582" t="s">
        <v>370</v>
      </c>
      <c r="I67" s="498" t="s">
        <v>2093</v>
      </c>
      <c r="J67" s="237"/>
      <c r="K67" s="237"/>
      <c r="L67" s="274"/>
      <c r="M67" s="668" t="s">
        <v>4975</v>
      </c>
      <c r="N67" s="681" t="str">
        <f>IF(AND(ISTEXT($A67), ISERROR($A67+0)), HYPERLINK($BF67, "Images"), "")</f>
        <v>Images</v>
      </c>
      <c r="O67" s="663" t="s">
        <v>4967</v>
      </c>
      <c r="P67" s="253"/>
      <c r="Q67" s="238"/>
      <c r="R67" s="239"/>
      <c r="S67" s="275" t="s">
        <v>305</v>
      </c>
      <c r="T67" s="508">
        <f t="shared" si="3"/>
        <v>0</v>
      </c>
      <c r="U67" s="225" t="str">
        <f>IF(NOT(ISNUMBER(G67)), "", VLOOKUP(A67,'Discount Lookup'!D:E,2,FALSE)*G67)</f>
        <v/>
      </c>
      <c r="V67" s="225" t="str">
        <f>IF(NOT(ISNUMBER(G67)), "", VLOOKUP(A67,'Discount Lookup'!G:H,2,FALSE)*G67)</f>
        <v/>
      </c>
      <c r="W67" s="508">
        <f t="shared" si="4"/>
        <v>0</v>
      </c>
      <c r="X67" s="508" t="str">
        <f t="shared" si="5"/>
        <v>Dark Green foliage</v>
      </c>
      <c r="Y67" s="509" t="b">
        <f t="shared" si="6"/>
        <v>0</v>
      </c>
      <c r="Z67" s="510">
        <f t="shared" si="7"/>
        <v>0</v>
      </c>
      <c r="AA67" s="511"/>
      <c r="AB67" s="511" t="str">
        <f t="shared" si="8"/>
        <v/>
      </c>
      <c r="AC67" s="698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698"/>
      <c r="AE67" s="631" t="str">
        <f t="shared" si="9"/>
        <v/>
      </c>
      <c r="AF67" s="699" t="str">
        <f t="shared" si="10"/>
        <v/>
      </c>
      <c r="AG67" s="699"/>
      <c r="AH67" s="699"/>
      <c r="AI67" s="512">
        <f>IF(H67="credit",0,IF(AE67="free",0,IF(AE67="me",0,IF(G67&gt;0,(VLOOKUP(A67,'Discount Lookup'!J:K,2)*G67),0))))</f>
        <v>0</v>
      </c>
      <c r="AJ67" s="513" t="str">
        <f t="shared" ca="1" si="11"/>
        <v/>
      </c>
      <c r="AK67" s="700" t="str">
        <f t="shared" si="12"/>
        <v/>
      </c>
      <c r="AL67" s="700"/>
      <c r="AM67" s="505" t="str">
        <f t="shared" si="13"/>
        <v/>
      </c>
      <c r="AN67" s="506"/>
      <c r="AO67" s="507"/>
      <c r="AP67" s="507"/>
      <c r="AQ67" s="507"/>
      <c r="AR67" s="507"/>
      <c r="AS67" s="507"/>
      <c r="AT67" s="507"/>
      <c r="AU67" s="507"/>
      <c r="AV67" s="225"/>
      <c r="AW67" s="508"/>
      <c r="AX67" s="225"/>
      <c r="AY67" s="225"/>
      <c r="AZ67" s="225"/>
      <c r="BA67" s="225"/>
      <c r="BB67" s="225"/>
      <c r="BC67" s="56"/>
      <c r="BD67" s="56"/>
      <c r="BE67" s="56"/>
      <c r="BF67" s="107" t="str">
        <f t="shared" si="14"/>
        <v>https://www.google.com/search?tbm=isch&amp;q=American%20Hornbeam%20Carpinus%20caroliniana</v>
      </c>
      <c r="BG67" s="107" t="str">
        <f t="shared" si="15"/>
        <v>A</v>
      </c>
      <c r="BH67" s="254"/>
      <c r="BI67" s="254"/>
    </row>
    <row r="68" spans="1:61" customFormat="1" ht="15.75" x14ac:dyDescent="0.25">
      <c r="A68" s="276">
        <v>7</v>
      </c>
      <c r="B68" s="240" t="s">
        <v>291</v>
      </c>
      <c r="C68" s="241" t="s">
        <v>4478</v>
      </c>
      <c r="D68" s="242" t="s">
        <v>299</v>
      </c>
      <c r="E68" s="243">
        <v>102.95</v>
      </c>
      <c r="F68" s="517" t="s">
        <v>293</v>
      </c>
      <c r="G68" s="232">
        <v>0</v>
      </c>
      <c r="H68" s="661" t="str">
        <f>IF(G68=0,"",IF(F68="Buy",IF(G68=1,"plant","plants"),IF(F68&gt;0.01,"warranty","Error")))</f>
        <v/>
      </c>
      <c r="I68" s="244">
        <f>IF(H68="free",0,IF(H68="credit",((E68*(F68))*G68*-1),IF(F68="Buy",(E68*G68),((E68*(1-F68))*G68))))</f>
        <v>0</v>
      </c>
      <c r="J68" s="244">
        <f>IF(H68="warranty",0,(I68*(_xlfn.SINGLE(SalesTaxPercentage))))</f>
        <v>0</v>
      </c>
      <c r="K68" s="696">
        <f t="shared" ref="K68" si="43">I68+J68</f>
        <v>0</v>
      </c>
      <c r="L68" s="696"/>
      <c r="M68" s="659" t="str">
        <f>IF(AND(G68&gt;0,E68=0),"WARNING - no PRICE inserted",IF(H68="free"," FREE ~ no charge this plant",IF(H68="credit",CONCATENATE(" -$",ROUND(K68*(1-T2GDiscount)*-1,2)," CREDIT after discount"),IF(T2GDiscount=0,"",IF(G68=0,"",IF(F68="Buy",CONCATENATE(" $",ROUND(K68*(1-T2GDiscount),2)," with ",(T2GDiscount*100),"% discount"),CONCATENATE(" $",ROUND(K68*(1-T2GDiscount),2)," with ",((T2GDiscount*100+F68*100)-(T2GDiscount*100*F68)),IF(F68&gt;0,"% discounts",IF(NoWarrantyDiscount&gt;0,"% discounts","% discount")))))))))</f>
        <v/>
      </c>
      <c r="N68" s="660"/>
      <c r="O68" s="233"/>
      <c r="P68" s="233"/>
      <c r="Q68" s="233"/>
      <c r="R68" s="233"/>
      <c r="S68" s="233"/>
      <c r="T68" s="508">
        <f t="shared" si="3"/>
        <v>0</v>
      </c>
      <c r="U68" s="225">
        <f>IF(NOT(ISNUMBER(G68)), "", VLOOKUP(A68,'Discount Lookup'!D:E,2,FALSE)*G68)</f>
        <v>0</v>
      </c>
      <c r="V68" s="225">
        <f>IF(NOT(ISNUMBER(G68)), "", VLOOKUP(A68,'Discount Lookup'!G:H,2,FALSE)*G68)</f>
        <v>0</v>
      </c>
      <c r="W68" s="508">
        <f t="shared" si="4"/>
        <v>0</v>
      </c>
      <c r="X68" s="508">
        <f t="shared" si="5"/>
        <v>0</v>
      </c>
      <c r="Y68" s="509" t="b">
        <f t="shared" si="6"/>
        <v>0</v>
      </c>
      <c r="Z68" s="510">
        <f t="shared" si="7"/>
        <v>0</v>
      </c>
      <c r="AA68" s="511"/>
      <c r="AB68" s="511" t="str">
        <f t="shared" si="8"/>
        <v/>
      </c>
      <c r="AC68" s="698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698"/>
      <c r="AE68" s="631" t="str">
        <f t="shared" si="9"/>
        <v/>
      </c>
      <c r="AF68" s="699" t="str">
        <f t="shared" si="10"/>
        <v/>
      </c>
      <c r="AG68" s="699"/>
      <c r="AH68" s="699"/>
      <c r="AI68" s="512">
        <f>IF(H68="credit",0,IF(AE68="free",0,IF(AE68="me",0,IF(G68&gt;0,(VLOOKUP(A68,'Discount Lookup'!J:K,2)*G68),0))))</f>
        <v>0</v>
      </c>
      <c r="AJ68" s="513" t="str">
        <f t="shared" ca="1" si="11"/>
        <v/>
      </c>
      <c r="AK68" s="700" t="str">
        <f t="shared" si="12"/>
        <v/>
      </c>
      <c r="AL68" s="700"/>
      <c r="AM68" s="505" t="str">
        <f t="shared" si="13"/>
        <v/>
      </c>
      <c r="AN68" s="506"/>
      <c r="AO68" s="507"/>
      <c r="AP68" s="507"/>
      <c r="AQ68" s="507"/>
      <c r="AR68" s="507"/>
      <c r="AS68" s="507"/>
      <c r="AT68" s="507"/>
      <c r="AU68" s="507"/>
      <c r="AV68" s="225"/>
      <c r="AW68" s="508"/>
      <c r="AX68" s="225"/>
      <c r="AY68" s="225"/>
      <c r="AZ68" s="225"/>
      <c r="BA68" s="225"/>
      <c r="BB68" s="225"/>
      <c r="BC68" s="56"/>
      <c r="BD68" s="56"/>
      <c r="BE68" s="56"/>
      <c r="BF68" s="107" t="str">
        <f t="shared" si="14"/>
        <v>https://www.google.com/search?tbm=isch&amp;q=7%20G5</v>
      </c>
      <c r="BG68" s="107" t="str">
        <f t="shared" si="15"/>
        <v>A</v>
      </c>
      <c r="BH68" s="254"/>
      <c r="BI68" s="254"/>
    </row>
    <row r="69" spans="1:61" customFormat="1" ht="15.75" x14ac:dyDescent="0.25">
      <c r="A69" s="276">
        <v>7</v>
      </c>
      <c r="B69" s="240" t="s">
        <v>291</v>
      </c>
      <c r="C69" s="241" t="s">
        <v>3460</v>
      </c>
      <c r="D69" s="242" t="s">
        <v>292</v>
      </c>
      <c r="E69" s="243">
        <v>137.94999999999999</v>
      </c>
      <c r="F69" s="517" t="s">
        <v>293</v>
      </c>
      <c r="G69" s="232">
        <v>0</v>
      </c>
      <c r="H69" s="661" t="str">
        <f>IF(G69=0,"",IF(F69="Buy",IF(G69=1,"plant","plants"),IF(F69&gt;0.01,"warranty","Error")))</f>
        <v/>
      </c>
      <c r="I69" s="244">
        <f>IF(H69="free",0,IF(H69="credit",((E69*(F69))*G69*-1),IF(F69="Buy",(E69*G69),((E69*(1-F69))*G69))))</f>
        <v>0</v>
      </c>
      <c r="J69" s="244">
        <f>IF(H69="warranty",0,(I69*(_xlfn.SINGLE(SalesTaxPercentage))))</f>
        <v>0</v>
      </c>
      <c r="K69" s="696">
        <f t="shared" ref="K69" si="44">I69+J69</f>
        <v>0</v>
      </c>
      <c r="L69" s="696"/>
      <c r="M69" s="659" t="str">
        <f>IF(AND(G69&gt;0,E69=0),"WARNING - no PRICE inserted",IF(H69="free"," FREE ~ no charge this plant",IF(H69="credit",CONCATENATE(" -$",ROUND(K69*(1-T2GDiscount)*-1,2)," CREDIT after discount"),IF(T2GDiscount=0,"",IF(G69=0,"",IF(F69="Buy",CONCATENATE(" $",ROUND(K69*(1-T2GDiscount),2)," with ",(T2GDiscount*100),"% discount"),CONCATENATE(" $",ROUND(K69*(1-T2GDiscount),2)," with ",((T2GDiscount*100+F69*100)-(T2GDiscount*100*F69)),IF(F69&gt;0,"% discounts",IF(NoWarrantyDiscount&gt;0,"% discounts","% discount")))))))))</f>
        <v/>
      </c>
      <c r="N69" s="660"/>
      <c r="O69" s="233"/>
      <c r="P69" s="233"/>
      <c r="Q69" s="233"/>
      <c r="R69" s="233"/>
      <c r="S69" s="233"/>
      <c r="T69" s="508">
        <f t="shared" si="3"/>
        <v>0</v>
      </c>
      <c r="U69" s="225">
        <f>IF(NOT(ISNUMBER(G69)), "", VLOOKUP(A69,'Discount Lookup'!D:E,2,FALSE)*G69)</f>
        <v>0</v>
      </c>
      <c r="V69" s="225">
        <f>IF(NOT(ISNUMBER(G69)), "", VLOOKUP(A69,'Discount Lookup'!G:H,2,FALSE)*G69)</f>
        <v>0</v>
      </c>
      <c r="W69" s="508">
        <f t="shared" si="4"/>
        <v>0</v>
      </c>
      <c r="X69" s="508">
        <f t="shared" si="5"/>
        <v>0</v>
      </c>
      <c r="Y69" s="509" t="b">
        <f t="shared" si="6"/>
        <v>0</v>
      </c>
      <c r="Z69" s="510">
        <f t="shared" si="7"/>
        <v>0</v>
      </c>
      <c r="AA69" s="511"/>
      <c r="AB69" s="511" t="str">
        <f t="shared" si="8"/>
        <v/>
      </c>
      <c r="AC69" s="698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698"/>
      <c r="AE69" s="631" t="str">
        <f t="shared" si="9"/>
        <v/>
      </c>
      <c r="AF69" s="699" t="str">
        <f t="shared" si="10"/>
        <v/>
      </c>
      <c r="AG69" s="699"/>
      <c r="AH69" s="699"/>
      <c r="AI69" s="512">
        <f>IF(H69="credit",0,IF(AE69="free",0,IF(AE69="me",0,IF(G69&gt;0,(VLOOKUP(A69,'Discount Lookup'!J:K,2)*G69),0))))</f>
        <v>0</v>
      </c>
      <c r="AJ69" s="513" t="str">
        <f t="shared" ca="1" si="11"/>
        <v/>
      </c>
      <c r="AK69" s="700" t="str">
        <f t="shared" si="12"/>
        <v/>
      </c>
      <c r="AL69" s="700"/>
      <c r="AM69" s="505" t="str">
        <f t="shared" si="13"/>
        <v/>
      </c>
      <c r="AN69" s="506"/>
      <c r="AO69" s="507"/>
      <c r="AP69" s="507"/>
      <c r="AQ69" s="507"/>
      <c r="AR69" s="507"/>
      <c r="AS69" s="507"/>
      <c r="AT69" s="507"/>
      <c r="AU69" s="507"/>
      <c r="AV69" s="225"/>
      <c r="AW69" s="508"/>
      <c r="AX69" s="225"/>
      <c r="AY69" s="225"/>
      <c r="AZ69" s="225"/>
      <c r="BA69" s="225"/>
      <c r="BB69" s="225"/>
      <c r="BC69" s="56"/>
      <c r="BD69" s="56"/>
      <c r="BE69" s="56"/>
      <c r="BF69" s="107" t="str">
        <f t="shared" si="14"/>
        <v>https://www.google.com/search?tbm=isch&amp;q=7%20G4</v>
      </c>
      <c r="BG69" s="107" t="str">
        <f t="shared" si="15"/>
        <v>A</v>
      </c>
      <c r="BH69" s="254"/>
      <c r="BI69" s="254"/>
    </row>
    <row r="70" spans="1:61" customFormat="1" ht="15.75" x14ac:dyDescent="0.25">
      <c r="A70" s="276">
        <v>15</v>
      </c>
      <c r="B70" s="240" t="s">
        <v>291</v>
      </c>
      <c r="C70" s="241" t="s">
        <v>3337</v>
      </c>
      <c r="D70" s="242" t="s">
        <v>292</v>
      </c>
      <c r="E70" s="243">
        <v>215.95</v>
      </c>
      <c r="F70" s="517" t="s">
        <v>293</v>
      </c>
      <c r="G70" s="232">
        <v>0</v>
      </c>
      <c r="H70" s="661" t="str">
        <f>IF(G70=0,"",IF(F70="Buy",IF(G70=1,"plant","plants"),IF(F70&gt;0.01,"warranty","Error")))</f>
        <v/>
      </c>
      <c r="I70" s="244">
        <f>IF(H70="free",0,IF(H70="credit",((E70*(F70))*G70*-1),IF(F70="Buy",(E70*G70),((E70*(1-F70))*G70))))</f>
        <v>0</v>
      </c>
      <c r="J70" s="244">
        <f>IF(H70="warranty",0,(I70*(_xlfn.SINGLE(SalesTaxPercentage))))</f>
        <v>0</v>
      </c>
      <c r="K70" s="696">
        <f t="shared" ref="K70" si="45">I70+J70</f>
        <v>0</v>
      </c>
      <c r="L70" s="696"/>
      <c r="M70" s="659" t="str">
        <f>IF(AND(G70&gt;0,E70=0),"WARNING - no PRICE inserted",IF(H70="free"," FREE ~ no charge this plant",IF(H70="credit",CONCATENATE(" -$",ROUND(K70*(1-T2GDiscount)*-1,2)," CREDIT after discount"),IF(T2GDiscount=0,"",IF(G70=0,"",IF(F70="Buy",CONCATENATE(" $",ROUND(K70*(1-T2GDiscount),2)," with ",(T2GDiscount*100),"% discount"),CONCATENATE(" $",ROUND(K70*(1-T2GDiscount),2)," with ",((T2GDiscount*100+F70*100)-(T2GDiscount*100*F70)),IF(F70&gt;0,"% discounts",IF(NoWarrantyDiscount&gt;0,"% discounts","% discount")))))))))</f>
        <v/>
      </c>
      <c r="N70" s="660"/>
      <c r="O70" s="233"/>
      <c r="P70" s="233"/>
      <c r="Q70" s="233"/>
      <c r="R70" s="233"/>
      <c r="S70" s="233"/>
      <c r="T70" s="508">
        <f t="shared" si="3"/>
        <v>0</v>
      </c>
      <c r="U70" s="225">
        <f>IF(NOT(ISNUMBER(G70)), "", VLOOKUP(A70,'Discount Lookup'!D:E,2,FALSE)*G70)</f>
        <v>0</v>
      </c>
      <c r="V70" s="225">
        <f>IF(NOT(ISNUMBER(G70)), "", VLOOKUP(A70,'Discount Lookup'!G:H,2,FALSE)*G70)</f>
        <v>0</v>
      </c>
      <c r="W70" s="508">
        <f t="shared" si="4"/>
        <v>0</v>
      </c>
      <c r="X70" s="508">
        <f t="shared" si="5"/>
        <v>0</v>
      </c>
      <c r="Y70" s="509" t="b">
        <f t="shared" si="6"/>
        <v>0</v>
      </c>
      <c r="Z70" s="510">
        <f t="shared" si="7"/>
        <v>0</v>
      </c>
      <c r="AA70" s="511"/>
      <c r="AB70" s="511" t="str">
        <f t="shared" si="8"/>
        <v/>
      </c>
      <c r="AC70" s="698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698"/>
      <c r="AE70" s="631" t="str">
        <f t="shared" si="9"/>
        <v/>
      </c>
      <c r="AF70" s="699" t="str">
        <f t="shared" si="10"/>
        <v/>
      </c>
      <c r="AG70" s="699"/>
      <c r="AH70" s="699"/>
      <c r="AI70" s="512">
        <f>IF(H70="credit",0,IF(AE70="free",0,IF(AE70="me",0,IF(G70&gt;0,(VLOOKUP(A70,'Discount Lookup'!J:K,2)*G70),0))))</f>
        <v>0</v>
      </c>
      <c r="AJ70" s="513" t="str">
        <f t="shared" ca="1" si="11"/>
        <v/>
      </c>
      <c r="AK70" s="700" t="str">
        <f t="shared" si="12"/>
        <v/>
      </c>
      <c r="AL70" s="700"/>
      <c r="AM70" s="505" t="str">
        <f t="shared" si="13"/>
        <v/>
      </c>
      <c r="AN70" s="506"/>
      <c r="AO70" s="507"/>
      <c r="AP70" s="507"/>
      <c r="AQ70" s="507"/>
      <c r="AR70" s="507"/>
      <c r="AS70" s="507"/>
      <c r="AT70" s="507"/>
      <c r="AU70" s="507"/>
      <c r="AV70" s="225"/>
      <c r="AW70" s="508"/>
      <c r="AX70" s="225"/>
      <c r="AY70" s="225"/>
      <c r="AZ70" s="225"/>
      <c r="BA70" s="225"/>
      <c r="BB70" s="225"/>
      <c r="BC70" s="56"/>
      <c r="BD70" s="56"/>
      <c r="BE70" s="56"/>
      <c r="BF70" s="107" t="str">
        <f t="shared" si="14"/>
        <v>https://www.google.com/search?tbm=isch&amp;q=15%20G4</v>
      </c>
      <c r="BG70" s="107" t="str">
        <f t="shared" si="15"/>
        <v>A</v>
      </c>
      <c r="BH70" s="254"/>
      <c r="BI70" s="254"/>
    </row>
    <row r="71" spans="1:61" customFormat="1" ht="15.75" x14ac:dyDescent="0.25">
      <c r="A71" s="276">
        <v>30</v>
      </c>
      <c r="B71" s="240" t="s">
        <v>291</v>
      </c>
      <c r="C71" s="241" t="s">
        <v>4479</v>
      </c>
      <c r="D71" s="242" t="s">
        <v>299</v>
      </c>
      <c r="E71" s="243">
        <v>353.95</v>
      </c>
      <c r="F71" s="517" t="s">
        <v>293</v>
      </c>
      <c r="G71" s="232">
        <v>0</v>
      </c>
      <c r="H71" s="661" t="str">
        <f>IF(G71=0,"",IF(F71="Buy",IF(G71=1,"plant","plants"),IF(F71&gt;0.01,"warranty","Error")))</f>
        <v/>
      </c>
      <c r="I71" s="244">
        <f>IF(H71="free",0,IF(H71="credit",((E71*(F71))*G71*-1),IF(F71="Buy",(E71*G71),((E71*(1-F71))*G71))))</f>
        <v>0</v>
      </c>
      <c r="J71" s="244">
        <f>IF(H71="warranty",0,(I71*(_xlfn.SINGLE(SalesTaxPercentage))))</f>
        <v>0</v>
      </c>
      <c r="K71" s="696">
        <f t="shared" ref="K71" si="46">I71+J71</f>
        <v>0</v>
      </c>
      <c r="L71" s="696"/>
      <c r="M71" s="659" t="str">
        <f>IF(AND(G71&gt;0,E71=0),"WARNING - no PRICE inserted",IF(H71="free"," FREE ~ no charge this plant",IF(H71="credit",CONCATENATE(" -$",ROUND(K71*(1-T2GDiscount)*-1,2)," CREDIT after discount"),IF(T2GDiscount=0,"",IF(G71=0,"",IF(F71="Buy",CONCATENATE(" $",ROUND(K71*(1-T2GDiscount),2)," with ",(T2GDiscount*100),"% discount"),CONCATENATE(" $",ROUND(K71*(1-T2GDiscount),2)," with ",((T2GDiscount*100+F71*100)-(T2GDiscount*100*F71)),IF(F71&gt;0,"% discounts",IF(NoWarrantyDiscount&gt;0,"% discounts","% discount")))))))))</f>
        <v/>
      </c>
      <c r="N71" s="660"/>
      <c r="O71" s="233"/>
      <c r="P71" s="233"/>
      <c r="Q71" s="233"/>
      <c r="R71" s="233"/>
      <c r="S71" s="233"/>
      <c r="T71" s="508">
        <f t="shared" si="3"/>
        <v>0</v>
      </c>
      <c r="U71" s="225">
        <f>IF(NOT(ISNUMBER(G71)), "", VLOOKUP(A71,'Discount Lookup'!D:E,2,FALSE)*G71)</f>
        <v>0</v>
      </c>
      <c r="V71" s="225">
        <f>IF(NOT(ISNUMBER(G71)), "", VLOOKUP(A71,'Discount Lookup'!G:H,2,FALSE)*G71)</f>
        <v>0</v>
      </c>
      <c r="W71" s="508">
        <f t="shared" si="4"/>
        <v>0</v>
      </c>
      <c r="X71" s="508">
        <f t="shared" si="5"/>
        <v>0</v>
      </c>
      <c r="Y71" s="509" t="b">
        <f t="shared" si="6"/>
        <v>0</v>
      </c>
      <c r="Z71" s="510">
        <f t="shared" si="7"/>
        <v>0</v>
      </c>
      <c r="AA71" s="511"/>
      <c r="AB71" s="511" t="str">
        <f t="shared" si="8"/>
        <v/>
      </c>
      <c r="AC71" s="698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698"/>
      <c r="AE71" s="631" t="str">
        <f t="shared" si="9"/>
        <v/>
      </c>
      <c r="AF71" s="699" t="str">
        <f t="shared" si="10"/>
        <v/>
      </c>
      <c r="AG71" s="699"/>
      <c r="AH71" s="699"/>
      <c r="AI71" s="512">
        <f>IF(H71="credit",0,IF(AE71="free",0,IF(AE71="me",0,IF(G71&gt;0,(VLOOKUP(A71,'Discount Lookup'!J:K,2)*G71),0))))</f>
        <v>0</v>
      </c>
      <c r="AJ71" s="513" t="str">
        <f t="shared" ca="1" si="11"/>
        <v/>
      </c>
      <c r="AK71" s="700" t="str">
        <f t="shared" si="12"/>
        <v/>
      </c>
      <c r="AL71" s="700"/>
      <c r="AM71" s="505" t="str">
        <f t="shared" si="13"/>
        <v/>
      </c>
      <c r="AN71" s="506"/>
      <c r="AO71" s="507"/>
      <c r="AP71" s="507"/>
      <c r="AQ71" s="507"/>
      <c r="AR71" s="507"/>
      <c r="AS71" s="507"/>
      <c r="AT71" s="507"/>
      <c r="AU71" s="507"/>
      <c r="AV71" s="225"/>
      <c r="AW71" s="508"/>
      <c r="AX71" s="225"/>
      <c r="AY71" s="225"/>
      <c r="AZ71" s="225"/>
      <c r="BA71" s="225"/>
      <c r="BB71" s="225"/>
      <c r="BC71" s="56"/>
      <c r="BD71" s="56"/>
      <c r="BE71" s="56"/>
      <c r="BF71" s="107" t="str">
        <f t="shared" si="14"/>
        <v>https://www.google.com/search?tbm=isch&amp;q=30%20G5</v>
      </c>
      <c r="BG71" s="107" t="str">
        <f t="shared" si="15"/>
        <v>A</v>
      </c>
      <c r="BH71" s="254"/>
      <c r="BI71" s="254"/>
    </row>
    <row r="72" spans="1:61" customFormat="1" ht="15.75" x14ac:dyDescent="0.25">
      <c r="A72" s="276">
        <v>25</v>
      </c>
      <c r="B72" s="240" t="s">
        <v>291</v>
      </c>
      <c r="C72" s="241" t="s">
        <v>371</v>
      </c>
      <c r="D72" s="242" t="s">
        <v>300</v>
      </c>
      <c r="E72" s="243">
        <v>378.95</v>
      </c>
      <c r="F72" s="517" t="s">
        <v>293</v>
      </c>
      <c r="G72" s="232">
        <v>0</v>
      </c>
      <c r="H72" s="661" t="str">
        <f>IF(G72=0,"",IF(F72="Buy",IF(G72=1,"plant","plants"),IF(F72&gt;0.01,"warranty","Error")))</f>
        <v/>
      </c>
      <c r="I72" s="244">
        <f>IF(H72="free",0,IF(H72="credit",((E72*(F72))*G72*-1),IF(F72="Buy",(E72*G72),((E72*(1-F72))*G72))))</f>
        <v>0</v>
      </c>
      <c r="J72" s="244">
        <f>IF(H72="warranty",0,(I72*(_xlfn.SINGLE(SalesTaxPercentage))))</f>
        <v>0</v>
      </c>
      <c r="K72" s="696">
        <f t="shared" ref="K72" si="47">I72+J72</f>
        <v>0</v>
      </c>
      <c r="L72" s="696"/>
      <c r="M72" s="659" t="str">
        <f>IF(AND(G72&gt;0,E72=0),"WARNING - no PRICE inserted",IF(H72="free"," FREE ~ no charge this plant",IF(H72="credit",CONCATENATE(" -$",ROUND(K72*(1-T2GDiscount)*-1,2)," CREDIT after discount"),IF(T2GDiscount=0,"",IF(G72=0,"",IF(F72="Buy",CONCATENATE(" $",ROUND(K72*(1-T2GDiscount),2)," with ",(T2GDiscount*100),"% discount"),CONCATENATE(" $",ROUND(K72*(1-T2GDiscount),2)," with ",((T2GDiscount*100+F72*100)-(T2GDiscount*100*F72)),IF(F72&gt;0,"% discounts",IF(NoWarrantyDiscount&gt;0,"% discounts","% discount")))))))))</f>
        <v/>
      </c>
      <c r="N72" s="660"/>
      <c r="O72" s="233"/>
      <c r="P72" s="233"/>
      <c r="Q72" s="233"/>
      <c r="R72" s="233"/>
      <c r="S72" s="233"/>
      <c r="T72" s="508">
        <f t="shared" si="3"/>
        <v>0</v>
      </c>
      <c r="U72" s="225">
        <f>IF(NOT(ISNUMBER(G72)), "", VLOOKUP(A72,'Discount Lookup'!D:E,2,FALSE)*G72)</f>
        <v>0</v>
      </c>
      <c r="V72" s="225">
        <f>IF(NOT(ISNUMBER(G72)), "", VLOOKUP(A72,'Discount Lookup'!G:H,2,FALSE)*G72)</f>
        <v>0</v>
      </c>
      <c r="W72" s="508">
        <f t="shared" si="4"/>
        <v>0</v>
      </c>
      <c r="X72" s="508">
        <f t="shared" si="5"/>
        <v>0</v>
      </c>
      <c r="Y72" s="509" t="b">
        <f t="shared" si="6"/>
        <v>0</v>
      </c>
      <c r="Z72" s="510">
        <f t="shared" si="7"/>
        <v>0</v>
      </c>
      <c r="AA72" s="511"/>
      <c r="AB72" s="511" t="str">
        <f t="shared" si="8"/>
        <v/>
      </c>
      <c r="AC72" s="698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698"/>
      <c r="AE72" s="631" t="str">
        <f t="shared" si="9"/>
        <v/>
      </c>
      <c r="AF72" s="699" t="str">
        <f t="shared" si="10"/>
        <v/>
      </c>
      <c r="AG72" s="699"/>
      <c r="AH72" s="699"/>
      <c r="AI72" s="512">
        <f>IF(H72="credit",0,IF(AE72="free",0,IF(AE72="me",0,IF(G72&gt;0,(VLOOKUP(A72,'Discount Lookup'!J:K,2)*G72),0))))</f>
        <v>0</v>
      </c>
      <c r="AJ72" s="513" t="str">
        <f t="shared" ca="1" si="11"/>
        <v/>
      </c>
      <c r="AK72" s="700" t="str">
        <f t="shared" si="12"/>
        <v/>
      </c>
      <c r="AL72" s="700"/>
      <c r="AM72" s="505" t="str">
        <f t="shared" si="13"/>
        <v/>
      </c>
      <c r="AN72" s="506"/>
      <c r="AO72" s="507"/>
      <c r="AP72" s="507"/>
      <c r="AQ72" s="507"/>
      <c r="AR72" s="507"/>
      <c r="AS72" s="507"/>
      <c r="AT72" s="507"/>
      <c r="AU72" s="507"/>
      <c r="AV72" s="225"/>
      <c r="AW72" s="508"/>
      <c r="AX72" s="225"/>
      <c r="AY72" s="225"/>
      <c r="AZ72" s="225"/>
      <c r="BA72" s="225"/>
      <c r="BB72" s="225"/>
      <c r="BC72" s="56"/>
      <c r="BD72" s="56"/>
      <c r="BE72" s="56"/>
      <c r="BF72" s="107" t="str">
        <f t="shared" si="14"/>
        <v>https://www.google.com/search?tbm=isch&amp;q=25%20G6</v>
      </c>
      <c r="BG72" s="107" t="str">
        <f t="shared" si="15"/>
        <v>A</v>
      </c>
      <c r="BH72" s="254"/>
      <c r="BI72" s="254"/>
    </row>
    <row r="73" spans="1:61" customFormat="1" ht="17.25" thickBot="1" x14ac:dyDescent="0.3">
      <c r="A73" s="673" t="s">
        <v>5035</v>
      </c>
      <c r="B73" s="245"/>
      <c r="C73" s="677"/>
      <c r="D73" s="499"/>
      <c r="E73" s="499"/>
      <c r="F73" s="500"/>
      <c r="G73" s="501"/>
      <c r="H73" s="502"/>
      <c r="I73" s="246"/>
      <c r="J73" s="247"/>
      <c r="K73" s="503"/>
      <c r="L73" s="544"/>
      <c r="M73" s="544"/>
      <c r="N73" s="500"/>
      <c r="O73" s="500"/>
      <c r="P73" s="500"/>
      <c r="Q73" s="500"/>
      <c r="R73" s="500"/>
      <c r="S73" s="669" t="s">
        <v>4972</v>
      </c>
      <c r="T73" s="508">
        <f t="shared" si="3"/>
        <v>0</v>
      </c>
      <c r="U73" s="225" t="str">
        <f>IF(NOT(ISNUMBER(G73)), "", VLOOKUP(A73,'Discount Lookup'!D:E,2,FALSE)*G73)</f>
        <v/>
      </c>
      <c r="V73" s="225" t="str">
        <f>IF(NOT(ISNUMBER(G73)), "", VLOOKUP(A73,'Discount Lookup'!G:H,2,FALSE)*G73)</f>
        <v/>
      </c>
      <c r="W73" s="508">
        <f t="shared" si="4"/>
        <v>0</v>
      </c>
      <c r="X73" s="508">
        <f t="shared" si="5"/>
        <v>0</v>
      </c>
      <c r="Y73" s="509" t="b">
        <f t="shared" si="6"/>
        <v>0</v>
      </c>
      <c r="Z73" s="510">
        <f t="shared" si="7"/>
        <v>0</v>
      </c>
      <c r="AA73" s="511"/>
      <c r="AB73" s="511" t="str">
        <f t="shared" si="8"/>
        <v/>
      </c>
      <c r="AC73" s="698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698"/>
      <c r="AE73" s="631" t="str">
        <f t="shared" si="9"/>
        <v/>
      </c>
      <c r="AF73" s="699" t="str">
        <f t="shared" si="10"/>
        <v/>
      </c>
      <c r="AG73" s="699"/>
      <c r="AH73" s="699"/>
      <c r="AI73" s="512">
        <f>IF(H73="credit",0,IF(AE73="free",0,IF(AE73="me",0,IF(G73&gt;0,(VLOOKUP(A73,'Discount Lookup'!J:K,2)*G73),0))))</f>
        <v>0</v>
      </c>
      <c r="AJ73" s="513" t="str">
        <f t="shared" ca="1" si="11"/>
        <v/>
      </c>
      <c r="AK73" s="700" t="str">
        <f t="shared" si="12"/>
        <v/>
      </c>
      <c r="AL73" s="700"/>
      <c r="AM73" s="505" t="str">
        <f t="shared" si="13"/>
        <v/>
      </c>
      <c r="AN73" s="506"/>
      <c r="AO73" s="507"/>
      <c r="AP73" s="507"/>
      <c r="AQ73" s="507"/>
      <c r="AR73" s="507"/>
      <c r="AS73" s="507"/>
      <c r="AT73" s="507"/>
      <c r="AU73" s="507"/>
      <c r="AV73" s="225"/>
      <c r="AW73" s="508"/>
      <c r="AX73" s="225"/>
      <c r="AY73" s="225"/>
      <c r="AZ73" s="225"/>
      <c r="BA73" s="225"/>
      <c r="BB73" s="225"/>
      <c r="BC73" s="56"/>
      <c r="BD73" s="56"/>
      <c r="BE73" s="56"/>
      <c r="BF73" s="107" t="str">
        <f t="shared" si="14"/>
        <v>https://www.google.com/search?tbm=isch&amp;q=wet%20sites%F0%9F%92%A7GOOD%2C%20American%20Hornbeam%20is%20a%20very%20durable%2C%20beneficial%20tree.%20Yellow-Orange-Red%20fall%20foliage%20</v>
      </c>
      <c r="BG73" s="107" t="str">
        <f t="shared" si="15"/>
        <v>w</v>
      </c>
      <c r="BH73" s="254"/>
      <c r="BI73" s="254"/>
    </row>
    <row r="74" spans="1:61" customFormat="1" ht="18" x14ac:dyDescent="0.25">
      <c r="A74" s="521" t="s">
        <v>336</v>
      </c>
      <c r="B74" s="477"/>
      <c r="C74" s="674"/>
      <c r="D74" s="478" t="s">
        <v>335</v>
      </c>
      <c r="E74" s="479"/>
      <c r="F74" s="479"/>
      <c r="G74" s="479"/>
      <c r="H74" s="582" t="s">
        <v>337</v>
      </c>
      <c r="I74" s="480" t="s">
        <v>2284</v>
      </c>
      <c r="J74" s="479"/>
      <c r="K74" s="479"/>
      <c r="L74" s="560"/>
      <c r="M74" s="666" t="s">
        <v>4966</v>
      </c>
      <c r="N74" s="680" t="str">
        <f>IF(AND(ISTEXT($A74), ISERROR($A74+0)), HYPERLINK($BF74, "Images"), "")</f>
        <v>Images</v>
      </c>
      <c r="O74" s="662" t="s">
        <v>4971</v>
      </c>
      <c r="P74" s="482"/>
      <c r="Q74" s="483"/>
      <c r="R74" s="483"/>
      <c r="S74" s="484"/>
      <c r="T74" s="508">
        <f t="shared" si="3"/>
        <v>0</v>
      </c>
      <c r="U74" s="225" t="str">
        <f>IF(NOT(ISNUMBER(G74)), "", VLOOKUP(A74,'Discount Lookup'!D:E,2,FALSE)*G74)</f>
        <v/>
      </c>
      <c r="V74" s="225" t="str">
        <f>IF(NOT(ISNUMBER(G74)), "", VLOOKUP(A74,'Discount Lookup'!G:H,2,FALSE)*G74)</f>
        <v/>
      </c>
      <c r="W74" s="508">
        <f t="shared" si="4"/>
        <v>0</v>
      </c>
      <c r="X74" s="508" t="str">
        <f t="shared" si="5"/>
        <v>Rich Green foliage</v>
      </c>
      <c r="Y74" s="509" t="b">
        <f t="shared" si="6"/>
        <v>0</v>
      </c>
      <c r="Z74" s="510">
        <f t="shared" si="7"/>
        <v>0</v>
      </c>
      <c r="AA74" s="511"/>
      <c r="AB74" s="511" t="str">
        <f t="shared" si="8"/>
        <v/>
      </c>
      <c r="AC74" s="698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698"/>
      <c r="AE74" s="631" t="str">
        <f t="shared" si="9"/>
        <v/>
      </c>
      <c r="AF74" s="699" t="str">
        <f t="shared" si="10"/>
        <v/>
      </c>
      <c r="AG74" s="699"/>
      <c r="AH74" s="699"/>
      <c r="AI74" s="512">
        <f>IF(H74="credit",0,IF(AE74="free",0,IF(AE74="me",0,IF(G74&gt;0,(VLOOKUP(A74,'Discount Lookup'!J:K,2)*G74),0))))</f>
        <v>0</v>
      </c>
      <c r="AJ74" s="513" t="str">
        <f t="shared" ca="1" si="11"/>
        <v/>
      </c>
      <c r="AK74" s="700" t="str">
        <f t="shared" si="12"/>
        <v/>
      </c>
      <c r="AL74" s="700"/>
      <c r="AM74" s="505" t="str">
        <f t="shared" si="13"/>
        <v/>
      </c>
      <c r="AN74" s="506"/>
      <c r="AO74" s="507"/>
      <c r="AP74" s="507"/>
      <c r="AQ74" s="507"/>
      <c r="AR74" s="507"/>
      <c r="AS74" s="507"/>
      <c r="AT74" s="507"/>
      <c r="AU74" s="507"/>
      <c r="AV74" s="225"/>
      <c r="AW74" s="508"/>
      <c r="AX74" s="225"/>
      <c r="AY74" s="225"/>
      <c r="AZ74" s="225"/>
      <c r="BA74" s="225"/>
      <c r="BB74" s="225"/>
      <c r="BC74" s="56"/>
      <c r="BD74" s="56"/>
      <c r="BE74" s="56"/>
      <c r="BF74" s="107" t="str">
        <f t="shared" si="14"/>
        <v>https://www.google.com/search?tbm=isch&amp;q=American%20Pillar%20Arborvitae%20Thuja%20occidentalis%20%27American%20Pillar%27%20PP%2320209</v>
      </c>
      <c r="BG74" s="107" t="str">
        <f t="shared" si="15"/>
        <v>A</v>
      </c>
      <c r="BH74" s="254"/>
      <c r="BI74" s="254"/>
    </row>
    <row r="75" spans="1:61" customFormat="1" ht="27" x14ac:dyDescent="0.25">
      <c r="A75" s="485">
        <v>3</v>
      </c>
      <c r="B75" s="486" t="s">
        <v>291</v>
      </c>
      <c r="C75" s="487" t="s">
        <v>3305</v>
      </c>
      <c r="D75" s="488" t="s">
        <v>292</v>
      </c>
      <c r="E75" s="489">
        <v>39.950000000000003</v>
      </c>
      <c r="F75" s="516" t="s">
        <v>293</v>
      </c>
      <c r="G75" s="232">
        <v>0</v>
      </c>
      <c r="H75" s="658" t="str">
        <f>IF(G75=0,"",IF(F75="Buy",IF(G75=1,"plant","plants"),IF(F75&gt;0.01,"warranty","Error")))</f>
        <v/>
      </c>
      <c r="I75" s="490">
        <f>IF(H75="free",0,IF(H75="credit",((E75*(F75))*G75*-1),IF(F75="Buy",(E75*G75),((E75*(1-F75))*G75))))</f>
        <v>0</v>
      </c>
      <c r="J75" s="490">
        <f>IF(H75="warranty",0,(I75*(_xlfn.SINGLE(SalesTaxPercentage))))</f>
        <v>0</v>
      </c>
      <c r="K75" s="695">
        <f t="shared" ref="K75" si="48">I75+J75</f>
        <v>0</v>
      </c>
      <c r="L75" s="695"/>
      <c r="M75" s="659" t="str">
        <f>IF(AND(G75&gt;0,E75=0),"WARNING - no PRICE inserted",IF(H75="free"," FREE ~ no charge this plant",IF(H75="credit",CONCATENATE(" -$",ROUND(K75*(1-T2GDiscount)*-1,2)," CREDIT after discount"),IF(T2GDiscount=0,"",IF(G75=0,"",IF(F75="Buy",CONCATENATE(" $",ROUND(K75*(1-T2GDiscount),2)," with ",(T2GDiscount*100),"% discount"),CONCATENATE(" $",ROUND(K75*(1-T2GDiscount),2)," with ",((T2GDiscount*100+F75*100)-(T2GDiscount*100*F75)),IF(F75&gt;0,"% discounts",IF(NoWarrantyDiscount&gt;0,"% discounts","% discount")))))))))</f>
        <v/>
      </c>
      <c r="N75" s="660"/>
      <c r="O75" s="233"/>
      <c r="P75" s="233"/>
      <c r="Q75" s="233"/>
      <c r="R75" s="233"/>
      <c r="S75" s="233"/>
      <c r="T75" s="508">
        <f t="shared" si="3"/>
        <v>0</v>
      </c>
      <c r="U75" s="225">
        <f>IF(NOT(ISNUMBER(G75)), "", VLOOKUP(A75,'Discount Lookup'!D:E,2,FALSE)*G75)</f>
        <v>0</v>
      </c>
      <c r="V75" s="225">
        <f>IF(NOT(ISNUMBER(G75)), "", VLOOKUP(A75,'Discount Lookup'!G:H,2,FALSE)*G75)</f>
        <v>0</v>
      </c>
      <c r="W75" s="508">
        <f t="shared" si="4"/>
        <v>0</v>
      </c>
      <c r="X75" s="508">
        <f t="shared" si="5"/>
        <v>0</v>
      </c>
      <c r="Y75" s="509" t="b">
        <f t="shared" si="6"/>
        <v>0</v>
      </c>
      <c r="Z75" s="510">
        <f t="shared" si="7"/>
        <v>0</v>
      </c>
      <c r="AA75" s="511"/>
      <c r="AB75" s="511" t="str">
        <f t="shared" si="8"/>
        <v/>
      </c>
      <c r="AC75" s="698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698"/>
      <c r="AE75" s="631" t="str">
        <f t="shared" si="9"/>
        <v/>
      </c>
      <c r="AF75" s="699" t="str">
        <f t="shared" si="10"/>
        <v/>
      </c>
      <c r="AG75" s="699"/>
      <c r="AH75" s="699"/>
      <c r="AI75" s="512">
        <f>IF(H75="credit",0,IF(AE75="free",0,IF(AE75="me",0,IF(G75&gt;0,(VLOOKUP(A75,'Discount Lookup'!J:K,2)*G75),0))))</f>
        <v>0</v>
      </c>
      <c r="AJ75" s="513" t="str">
        <f t="shared" ca="1" si="11"/>
        <v/>
      </c>
      <c r="AK75" s="700" t="str">
        <f t="shared" si="12"/>
        <v/>
      </c>
      <c r="AL75" s="700"/>
      <c r="AM75" s="505" t="str">
        <f t="shared" si="13"/>
        <v/>
      </c>
      <c r="AN75" s="506"/>
      <c r="AO75" s="507"/>
      <c r="AP75" s="507"/>
      <c r="AQ75" s="507"/>
      <c r="AR75" s="507"/>
      <c r="AS75" s="507"/>
      <c r="AT75" s="507"/>
      <c r="AU75" s="507"/>
      <c r="AV75" s="225"/>
      <c r="AW75" s="508"/>
      <c r="AX75" s="225"/>
      <c r="AY75" s="225"/>
      <c r="AZ75" s="225"/>
      <c r="BA75" s="225"/>
      <c r="BB75" s="225"/>
      <c r="BC75" s="56"/>
      <c r="BD75" s="56"/>
      <c r="BE75" s="56"/>
      <c r="BF75" s="107" t="str">
        <f t="shared" si="14"/>
        <v>https://www.google.com/search?tbm=isch&amp;q=3%20G4</v>
      </c>
      <c r="BG75" s="107" t="str">
        <f t="shared" si="15"/>
        <v>A</v>
      </c>
      <c r="BH75" s="254"/>
      <c r="BI75" s="254"/>
    </row>
    <row r="76" spans="1:61" customFormat="1" ht="15.75" x14ac:dyDescent="0.25">
      <c r="A76" s="485">
        <v>7</v>
      </c>
      <c r="B76" s="486" t="s">
        <v>291</v>
      </c>
      <c r="C76" s="487" t="s">
        <v>4724</v>
      </c>
      <c r="D76" s="488" t="s">
        <v>299</v>
      </c>
      <c r="E76" s="489">
        <v>102.95</v>
      </c>
      <c r="F76" s="516" t="s">
        <v>293</v>
      </c>
      <c r="G76" s="232">
        <v>0</v>
      </c>
      <c r="H76" s="658" t="str">
        <f>IF(G76=0,"",IF(F76="Buy",IF(G76=1,"plant","plants"),IF(F76&gt;0.01,"warranty","Error")))</f>
        <v/>
      </c>
      <c r="I76" s="490">
        <f>IF(H76="free",0,IF(H76="credit",((E76*(F76))*G76*-1),IF(F76="Buy",(E76*G76),((E76*(1-F76))*G76))))</f>
        <v>0</v>
      </c>
      <c r="J76" s="490">
        <f>IF(H76="warranty",0,(I76*(_xlfn.SINGLE(SalesTaxPercentage))))</f>
        <v>0</v>
      </c>
      <c r="K76" s="695">
        <f t="shared" ref="K76" si="49">I76+J76</f>
        <v>0</v>
      </c>
      <c r="L76" s="695"/>
      <c r="M76" s="659" t="str">
        <f>IF(AND(G76&gt;0,E76=0),"WARNING - no PRICE inserted",IF(H76="free"," FREE ~ no charge this plant",IF(H76="credit",CONCATENATE(" -$",ROUND(K76*(1-T2GDiscount)*-1,2)," CREDIT after discount"),IF(T2GDiscount=0,"",IF(G76=0,"",IF(F76="Buy",CONCATENATE(" $",ROUND(K76*(1-T2GDiscount),2)," with ",(T2GDiscount*100),"% discount"),CONCATENATE(" $",ROUND(K76*(1-T2GDiscount),2)," with ",((T2GDiscount*100+F76*100)-(T2GDiscount*100*F76)),IF(F76&gt;0,"% discounts",IF(NoWarrantyDiscount&gt;0,"% discounts","% discount")))))))))</f>
        <v/>
      </c>
      <c r="N76" s="660"/>
      <c r="O76" s="233"/>
      <c r="P76" s="233"/>
      <c r="Q76" s="233"/>
      <c r="R76" s="233"/>
      <c r="S76" s="233"/>
      <c r="T76" s="508">
        <f t="shared" si="3"/>
        <v>0</v>
      </c>
      <c r="U76" s="225">
        <f>IF(NOT(ISNUMBER(G76)), "", VLOOKUP(A76,'Discount Lookup'!D:E,2,FALSE)*G76)</f>
        <v>0</v>
      </c>
      <c r="V76" s="225">
        <f>IF(NOT(ISNUMBER(G76)), "", VLOOKUP(A76,'Discount Lookup'!G:H,2,FALSE)*G76)</f>
        <v>0</v>
      </c>
      <c r="W76" s="508">
        <f t="shared" si="4"/>
        <v>0</v>
      </c>
      <c r="X76" s="508">
        <f t="shared" si="5"/>
        <v>0</v>
      </c>
      <c r="Y76" s="509" t="b">
        <f t="shared" si="6"/>
        <v>0</v>
      </c>
      <c r="Z76" s="510">
        <f t="shared" si="7"/>
        <v>0</v>
      </c>
      <c r="AA76" s="511"/>
      <c r="AB76" s="511" t="str">
        <f t="shared" si="8"/>
        <v/>
      </c>
      <c r="AC76" s="698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698"/>
      <c r="AE76" s="631" t="str">
        <f t="shared" si="9"/>
        <v/>
      </c>
      <c r="AF76" s="699" t="str">
        <f t="shared" si="10"/>
        <v/>
      </c>
      <c r="AG76" s="699"/>
      <c r="AH76" s="699"/>
      <c r="AI76" s="512">
        <f>IF(H76="credit",0,IF(AE76="free",0,IF(AE76="me",0,IF(G76&gt;0,(VLOOKUP(A76,'Discount Lookup'!J:K,2)*G76),0))))</f>
        <v>0</v>
      </c>
      <c r="AJ76" s="513" t="str">
        <f t="shared" ca="1" si="11"/>
        <v/>
      </c>
      <c r="AK76" s="700" t="str">
        <f t="shared" si="12"/>
        <v/>
      </c>
      <c r="AL76" s="700"/>
      <c r="AM76" s="505" t="str">
        <f t="shared" si="13"/>
        <v/>
      </c>
      <c r="AN76" s="506"/>
      <c r="AO76" s="507"/>
      <c r="AP76" s="507"/>
      <c r="AQ76" s="507"/>
      <c r="AR76" s="507"/>
      <c r="AS76" s="507"/>
      <c r="AT76" s="507"/>
      <c r="AU76" s="507"/>
      <c r="AV76" s="225"/>
      <c r="AW76" s="508"/>
      <c r="AX76" s="225"/>
      <c r="AY76" s="225"/>
      <c r="AZ76" s="225"/>
      <c r="BA76" s="225"/>
      <c r="BB76" s="225"/>
      <c r="BC76" s="56"/>
      <c r="BD76" s="56"/>
      <c r="BE76" s="56"/>
      <c r="BF76" s="107" t="str">
        <f t="shared" si="14"/>
        <v>https://www.google.com/search?tbm=isch&amp;q=7%20G5</v>
      </c>
      <c r="BG76" s="107" t="str">
        <f t="shared" si="15"/>
        <v>A</v>
      </c>
      <c r="BH76" s="254"/>
      <c r="BI76" s="254"/>
    </row>
    <row r="77" spans="1:61" customFormat="1" ht="15.75" x14ac:dyDescent="0.25">
      <c r="A77" s="485">
        <v>15</v>
      </c>
      <c r="B77" s="486" t="s">
        <v>291</v>
      </c>
      <c r="C77" s="487" t="s">
        <v>338</v>
      </c>
      <c r="D77" s="488" t="s">
        <v>300</v>
      </c>
      <c r="E77" s="489">
        <v>126.95</v>
      </c>
      <c r="F77" s="516" t="s">
        <v>293</v>
      </c>
      <c r="G77" s="232">
        <v>0</v>
      </c>
      <c r="H77" s="658" t="str">
        <f>IF(G77=0,"",IF(F77="Buy",IF(G77=1,"plant","plants"),IF(F77&gt;0.01,"warranty","Error")))</f>
        <v/>
      </c>
      <c r="I77" s="490">
        <f>IF(H77="free",0,IF(H77="credit",((E77*(F77))*G77*-1),IF(F77="Buy",(E77*G77),((E77*(1-F77))*G77))))</f>
        <v>0</v>
      </c>
      <c r="J77" s="490">
        <f>IF(H77="warranty",0,(I77*(_xlfn.SINGLE(SalesTaxPercentage))))</f>
        <v>0</v>
      </c>
      <c r="K77" s="695">
        <f t="shared" ref="K77" si="50">I77+J77</f>
        <v>0</v>
      </c>
      <c r="L77" s="695"/>
      <c r="M77" s="659" t="str">
        <f>IF(AND(G77&gt;0,E77=0),"WARNING - no PRICE inserted",IF(H77="free"," FREE ~ no charge this plant",IF(H77="credit",CONCATENATE(" -$",ROUND(K77*(1-T2GDiscount)*-1,2)," CREDIT after discount"),IF(T2GDiscount=0,"",IF(G77=0,"",IF(F77="Buy",CONCATENATE(" $",ROUND(K77*(1-T2GDiscount),2)," with ",(T2GDiscount*100),"% discount"),CONCATENATE(" $",ROUND(K77*(1-T2GDiscount),2)," with ",((T2GDiscount*100+F77*100)-(T2GDiscount*100*F77)),IF(F77&gt;0,"% discounts",IF(NoWarrantyDiscount&gt;0,"% discounts","% discount")))))))))</f>
        <v/>
      </c>
      <c r="N77" s="660"/>
      <c r="O77" s="233"/>
      <c r="P77" s="233"/>
      <c r="Q77" s="233"/>
      <c r="R77" s="233"/>
      <c r="S77" s="233"/>
      <c r="T77" s="508">
        <f t="shared" si="3"/>
        <v>0</v>
      </c>
      <c r="U77" s="225">
        <f>IF(NOT(ISNUMBER(G77)), "", VLOOKUP(A77,'Discount Lookup'!D:E,2,FALSE)*G77)</f>
        <v>0</v>
      </c>
      <c r="V77" s="225">
        <f>IF(NOT(ISNUMBER(G77)), "", VLOOKUP(A77,'Discount Lookup'!G:H,2,FALSE)*G77)</f>
        <v>0</v>
      </c>
      <c r="W77" s="508">
        <f t="shared" si="4"/>
        <v>0</v>
      </c>
      <c r="X77" s="508">
        <f t="shared" si="5"/>
        <v>0</v>
      </c>
      <c r="Y77" s="509" t="b">
        <f t="shared" si="6"/>
        <v>0</v>
      </c>
      <c r="Z77" s="510">
        <f t="shared" si="7"/>
        <v>0</v>
      </c>
      <c r="AA77" s="511"/>
      <c r="AB77" s="511" t="str">
        <f t="shared" si="8"/>
        <v/>
      </c>
      <c r="AC77" s="698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698"/>
      <c r="AE77" s="631" t="str">
        <f t="shared" si="9"/>
        <v/>
      </c>
      <c r="AF77" s="699" t="str">
        <f t="shared" si="10"/>
        <v/>
      </c>
      <c r="AG77" s="699"/>
      <c r="AH77" s="699"/>
      <c r="AI77" s="512">
        <f>IF(H77="credit",0,IF(AE77="free",0,IF(AE77="me",0,IF(G77&gt;0,(VLOOKUP(A77,'Discount Lookup'!J:K,2)*G77),0))))</f>
        <v>0</v>
      </c>
      <c r="AJ77" s="513" t="str">
        <f t="shared" ca="1" si="11"/>
        <v/>
      </c>
      <c r="AK77" s="700" t="str">
        <f t="shared" si="12"/>
        <v/>
      </c>
      <c r="AL77" s="700"/>
      <c r="AM77" s="505" t="str">
        <f t="shared" si="13"/>
        <v/>
      </c>
      <c r="AN77" s="506"/>
      <c r="AO77" s="507"/>
      <c r="AP77" s="507"/>
      <c r="AQ77" s="507"/>
      <c r="AR77" s="507"/>
      <c r="AS77" s="507"/>
      <c r="AT77" s="507"/>
      <c r="AU77" s="507"/>
      <c r="AV77" s="225"/>
      <c r="AW77" s="508"/>
      <c r="AX77" s="225"/>
      <c r="AY77" s="225"/>
      <c r="AZ77" s="225"/>
      <c r="BA77" s="225"/>
      <c r="BB77" s="225"/>
      <c r="BC77" s="56"/>
      <c r="BD77" s="56"/>
      <c r="BE77" s="56"/>
      <c r="BF77" s="107" t="str">
        <f t="shared" si="14"/>
        <v>https://www.google.com/search?tbm=isch&amp;q=15%20G6</v>
      </c>
      <c r="BG77" s="107" t="str">
        <f t="shared" si="15"/>
        <v>A</v>
      </c>
      <c r="BH77" s="254"/>
      <c r="BI77" s="254"/>
    </row>
    <row r="78" spans="1:61" customFormat="1" ht="15.75" x14ac:dyDescent="0.25">
      <c r="A78" s="485">
        <v>25</v>
      </c>
      <c r="B78" s="486" t="s">
        <v>291</v>
      </c>
      <c r="C78" s="487" t="s">
        <v>339</v>
      </c>
      <c r="D78" s="488" t="s">
        <v>300</v>
      </c>
      <c r="E78" s="489">
        <v>306.95</v>
      </c>
      <c r="F78" s="516" t="s">
        <v>293</v>
      </c>
      <c r="G78" s="232">
        <v>0</v>
      </c>
      <c r="H78" s="658" t="str">
        <f>IF(G78=0,"",IF(F78="Buy",IF(G78=1,"plant","plants"),IF(F78&gt;0.01,"warranty","Error")))</f>
        <v/>
      </c>
      <c r="I78" s="490">
        <f>IF(H78="free",0,IF(H78="credit",((E78*(F78))*G78*-1),IF(F78="Buy",(E78*G78),((E78*(1-F78))*G78))))</f>
        <v>0</v>
      </c>
      <c r="J78" s="490">
        <f>IF(H78="warranty",0,(I78*(_xlfn.SINGLE(SalesTaxPercentage))))</f>
        <v>0</v>
      </c>
      <c r="K78" s="695">
        <f t="shared" ref="K78" si="51">I78+J78</f>
        <v>0</v>
      </c>
      <c r="L78" s="695"/>
      <c r="M78" s="659" t="str">
        <f>IF(AND(G78&gt;0,E78=0),"WARNING - no PRICE inserted",IF(H78="free"," FREE ~ no charge this plant",IF(H78="credit",CONCATENATE(" -$",ROUND(K78*(1-T2GDiscount)*-1,2)," CREDIT after discount"),IF(T2GDiscount=0,"",IF(G78=0,"",IF(F78="Buy",CONCATENATE(" $",ROUND(K78*(1-T2GDiscount),2)," with ",(T2GDiscount*100),"% discount"),CONCATENATE(" $",ROUND(K78*(1-T2GDiscount),2)," with ",((T2GDiscount*100+F78*100)-(T2GDiscount*100*F78)),IF(F78&gt;0,"% discounts",IF(NoWarrantyDiscount&gt;0,"% discounts","% discount")))))))))</f>
        <v/>
      </c>
      <c r="N78" s="660"/>
      <c r="O78" s="233"/>
      <c r="P78" s="233"/>
      <c r="Q78" s="233"/>
      <c r="R78" s="233"/>
      <c r="S78" s="233"/>
      <c r="T78" s="508">
        <f t="shared" ref="T78:T141" si="52">E78*G78</f>
        <v>0</v>
      </c>
      <c r="U78" s="225">
        <f>IF(NOT(ISNUMBER(G78)), "", VLOOKUP(A78,'Discount Lookup'!D:E,2,FALSE)*G78)</f>
        <v>0</v>
      </c>
      <c r="V78" s="225">
        <f>IF(NOT(ISNUMBER(G78)), "", VLOOKUP(A78,'Discount Lookup'!G:H,2,FALSE)*G78)</f>
        <v>0</v>
      </c>
      <c r="W78" s="508">
        <f t="shared" ref="W78:W141" si="53">IF(H78="credit",0,E78*(SalesTaxPercentage)*G78)</f>
        <v>0</v>
      </c>
      <c r="X78" s="508">
        <f t="shared" ref="X78:X141" si="54">I78</f>
        <v>0</v>
      </c>
      <c r="Y78" s="509" t="b">
        <f t="shared" ref="Y78:Y141" si="55">IF(AE78="T2G",0,IF(H78="credit",0,IF(G78&gt;0,IF(AE78="me","",G78))))</f>
        <v>0</v>
      </c>
      <c r="Z78" s="510">
        <f t="shared" ref="Z78:Z141" si="56">IF(H78="credit",G78,0)</f>
        <v>0</v>
      </c>
      <c r="AA78" s="511"/>
      <c r="AB78" s="511" t="str">
        <f t="shared" ref="AB78:AB141" si="57">IF(AE78="T2G","by Trees2Go",IF(H78="credit","CREDIT only ~",IF(AND(K78="",AE78=OR(PlanterYesMe="No",PlanterYesMe="N",PlanterYesMe="me")),"not THIS line⇨",IF(AND(K78="images",AE78="me"),"not THIS line⇨",IF(H78="credit","",IF(G78=0,"",IF(AE78="me","",IF(OR(PlanterYesMe="No",PlanterYesMe="N",PlanterYesMe="me"),"",IF(AE78="free","warranty",IF(OR(PlanterYesMe="yes",PlanterYesMe="y"),"Edison install:","to install:"))))))))))</f>
        <v/>
      </c>
      <c r="AC78" s="698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698"/>
      <c r="AE78" s="631" t="str">
        <f t="shared" ref="AE78:AE141" si="58">IF(H78="credit","",IF(G78=0,"",IF(OR(PlanterYesMe="No",PlanterYesMe="N",PlanterYesMe="me"),"me",IF(H78="warranty","free",IF(OR(PlanterYesMe="yes",PlanterYesMe="y"),"ELP","")))))</f>
        <v/>
      </c>
      <c r="AF78" s="699" t="str">
        <f t="shared" ref="AF78:AF141" si="59">IF(OR(PlanterYesMe="No",PlanterYesMe="N",PlanterYesMe="me"),"",IF(H78="credit","",IF(G78&gt;0,(CONCATENATE((G78)," quantity, ",(A78)," ",B78)),"")))</f>
        <v/>
      </c>
      <c r="AG78" s="699"/>
      <c r="AH78" s="699"/>
      <c r="AI78" s="512">
        <f>IF(H78="credit",0,IF(AE78="free",0,IF(AE78="me",0,IF(G78&gt;0,(VLOOKUP(A78,'Discount Lookup'!J:K,2)*G78),0))))</f>
        <v>0</v>
      </c>
      <c r="AJ78" s="513" t="str">
        <f t="shared" ref="AJ78:AJ141" ca="1" si="60">IF(AND(ISREF(H78),H78="credit"),"",IF(AND(AND(OFFSET(G78,0,0)=0,OFFSET(G78,1,0)&gt;0,ISNUMBER(OFFSET(AC78,1,0)),OFFSET(AC78,1,0)&gt;0),OR(PlanterYesMe="yes",PlanterYesMe="y")),"T2G+ELP=",IF(AND(OFFSET(G78,0,0)=0,OFFSET(G78,1,0)&gt;0,ISNUMBER(OFFSET(AC78,1,0)),OFFSET(AC78,1,0)&gt;0),"if T2G+ELP=",IF(AND(OFFSET(G78,0,0)=0,OFFSET(G78,1,0)&gt;0),"T2G Subtotal",IF(H78="credit","",IF(G78=0,"",IF(AE78="free",(K78*(1-T2GDiscount)),IF(OR(PlanterYesMe="No",PlanterYesMe="N",PlanterYesMe="me"),(K78*(1-T2GDiscount)),IF(OR(AE78="me",AE78="T2G"),(K78*(1-T2GDiscount)),(K78*(1-T2GDiscount))+AC78)))))))))</f>
        <v/>
      </c>
      <c r="AK78" s="700" t="str">
        <f t="shared" ref="AK78:AK141" si="61">IF(H78="credit","",IF(G78=0,"",IF(OR(AE78="me",AE78="T2G"),"  delivery-only",IF(OR(PlanterYesMe="No",PlanterYesMe="N",PlanterYesMe="me"),"  delivery-only",CONCATENATE(" $",ROUND(AJ78/G78,2)," each")))))</f>
        <v/>
      </c>
      <c r="AL78" s="700"/>
      <c r="AM78" s="505" t="str">
        <f t="shared" ref="AM78:AM141" si="62">IF(H78="credit","",IF(AE78="free","      ~ discounts included, no tax or planting fee applies ~",IF(G78=0,"",IF(OR(PlanterYesMe="No",PlanterYesMe="N",PlanterYesMe="me"),CONCATENATE(" $",ROUND(AJ78/G78,2)," per plant, with tax &amp; discount"),IF(OR(AE78="me",AE78="T2G"),CONCATENATE(" $",ROUND(AJ78/G78,2)," per plant, with tax &amp; discount"),CONCATENATE("= $",ROUND((K78*(1-T2GDiscount))/G78,2)," per plant + $",AC78/G78,(" per planting      ~ includes tax &amp; discounts ~")))))))</f>
        <v/>
      </c>
      <c r="AN78" s="506"/>
      <c r="AO78" s="507"/>
      <c r="AP78" s="507"/>
      <c r="AQ78" s="507"/>
      <c r="AR78" s="507"/>
      <c r="AS78" s="507"/>
      <c r="AT78" s="507"/>
      <c r="AU78" s="507"/>
      <c r="AV78" s="225"/>
      <c r="AW78" s="508"/>
      <c r="AX78" s="225"/>
      <c r="AY78" s="225"/>
      <c r="AZ78" s="225"/>
      <c r="BA78" s="225"/>
      <c r="BB78" s="225"/>
      <c r="BC78" s="56"/>
      <c r="BD78" s="56"/>
      <c r="BE78" s="56"/>
      <c r="BF78" s="107" t="str">
        <f t="shared" ref="BF78:BF141" si="63">"https://www.google.com/search?tbm=isch&amp;q=" &amp; _xlfn.ENCODEURL($A78 &amp; " " &amp; $D78)</f>
        <v>https://www.google.com/search?tbm=isch&amp;q=25%20G6</v>
      </c>
      <c r="BG78" s="107" t="str">
        <f t="shared" ref="BG78:BG141" si="64">IF(ISTEXT(A78),LEFT(A78,1),BG77)</f>
        <v>A</v>
      </c>
      <c r="BH78" s="254"/>
      <c r="BI78" s="254"/>
    </row>
    <row r="79" spans="1:61" customFormat="1" ht="16.5" thickBot="1" x14ac:dyDescent="0.3">
      <c r="A79" s="522" t="s">
        <v>2327</v>
      </c>
      <c r="B79" s="491"/>
      <c r="C79" s="675"/>
      <c r="D79" s="491"/>
      <c r="E79" s="491"/>
      <c r="F79" s="492"/>
      <c r="G79" s="493"/>
      <c r="H79" s="491"/>
      <c r="I79" s="234"/>
      <c r="J79" s="234"/>
      <c r="K79" s="494"/>
      <c r="L79" s="543"/>
      <c r="M79" s="561"/>
      <c r="N79" s="495"/>
      <c r="O79" s="496"/>
      <c r="P79" s="497"/>
      <c r="Q79" s="495"/>
      <c r="R79" s="495"/>
      <c r="S79" s="277"/>
      <c r="T79" s="508">
        <f t="shared" si="52"/>
        <v>0</v>
      </c>
      <c r="U79" s="225" t="str">
        <f>IF(NOT(ISNUMBER(G79)), "", VLOOKUP(A79,'Discount Lookup'!D:E,2,FALSE)*G79)</f>
        <v/>
      </c>
      <c r="V79" s="225" t="str">
        <f>IF(NOT(ISNUMBER(G79)), "", VLOOKUP(A79,'Discount Lookup'!G:H,2,FALSE)*G79)</f>
        <v/>
      </c>
      <c r="W79" s="508">
        <f t="shared" si="53"/>
        <v>0</v>
      </c>
      <c r="X79" s="508">
        <f t="shared" si="54"/>
        <v>0</v>
      </c>
      <c r="Y79" s="509" t="b">
        <f t="shared" si="55"/>
        <v>0</v>
      </c>
      <c r="Z79" s="510">
        <f t="shared" si="56"/>
        <v>0</v>
      </c>
      <c r="AA79" s="511"/>
      <c r="AB79" s="511" t="str">
        <f t="shared" si="57"/>
        <v/>
      </c>
      <c r="AC79" s="698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698"/>
      <c r="AE79" s="631" t="str">
        <f t="shared" si="58"/>
        <v/>
      </c>
      <c r="AF79" s="699" t="str">
        <f t="shared" si="59"/>
        <v/>
      </c>
      <c r="AG79" s="699"/>
      <c r="AH79" s="699"/>
      <c r="AI79" s="512">
        <f>IF(H79="credit",0,IF(AE79="free",0,IF(AE79="me",0,IF(G79&gt;0,(VLOOKUP(A79,'Discount Lookup'!J:K,2)*G79),0))))</f>
        <v>0</v>
      </c>
      <c r="AJ79" s="513" t="str">
        <f t="shared" ca="1" si="60"/>
        <v/>
      </c>
      <c r="AK79" s="700" t="str">
        <f t="shared" si="61"/>
        <v/>
      </c>
      <c r="AL79" s="700"/>
      <c r="AM79" s="505" t="str">
        <f t="shared" si="62"/>
        <v/>
      </c>
      <c r="AN79" s="506"/>
      <c r="AO79" s="507"/>
      <c r="AP79" s="507"/>
      <c r="AQ79" s="507"/>
      <c r="AR79" s="507"/>
      <c r="AS79" s="507"/>
      <c r="AT79" s="507"/>
      <c r="AU79" s="507"/>
      <c r="AV79" s="225"/>
      <c r="AW79" s="508"/>
      <c r="AX79" s="225"/>
      <c r="AY79" s="225"/>
      <c r="AZ79" s="225"/>
      <c r="BA79" s="225"/>
      <c r="BB79" s="225"/>
      <c r="BC79" s="56"/>
      <c r="BD79" s="56"/>
      <c r="BE79" s="56"/>
      <c r="BF79" s="107" t="str">
        <f t="shared" si="63"/>
        <v>https://www.google.com/search?tbm=isch&amp;q=American%20Pillar%20is%20very%20fast%20growing%2C%20with%20a%20tight%20form%2C%20and%20a%20stronger%20root%20system%20than%20similar%20narrow%20plants%20</v>
      </c>
      <c r="BG79" s="107" t="str">
        <f t="shared" si="64"/>
        <v>A</v>
      </c>
      <c r="BH79" s="254"/>
      <c r="BI79" s="254"/>
    </row>
    <row r="80" spans="1:61" customFormat="1" ht="18" x14ac:dyDescent="0.25">
      <c r="A80" s="523" t="s">
        <v>641</v>
      </c>
      <c r="B80" s="235"/>
      <c r="C80" s="676"/>
      <c r="D80" s="255" t="s">
        <v>640</v>
      </c>
      <c r="E80" s="236"/>
      <c r="F80" s="236"/>
      <c r="G80" s="236"/>
      <c r="H80" s="582" t="s">
        <v>304</v>
      </c>
      <c r="I80" s="498" t="s">
        <v>671</v>
      </c>
      <c r="J80" s="237"/>
      <c r="K80" s="237"/>
      <c r="L80" s="274"/>
      <c r="M80" s="668" t="s">
        <v>4962</v>
      </c>
      <c r="N80" s="681" t="str">
        <f>IF(AND(ISTEXT($A80), ISERROR($A80+0)), HYPERLINK($BF80, "Images"), "")</f>
        <v>Images</v>
      </c>
      <c r="O80" s="663" t="s">
        <v>4969</v>
      </c>
      <c r="P80" s="253"/>
      <c r="Q80" s="238"/>
      <c r="R80" s="239"/>
      <c r="S80" s="275" t="s">
        <v>305</v>
      </c>
      <c r="T80" s="508">
        <f t="shared" si="52"/>
        <v>0</v>
      </c>
      <c r="U80" s="225" t="str">
        <f>IF(NOT(ISNUMBER(G80)), "", VLOOKUP(A80,'Discount Lookup'!D:E,2,FALSE)*G80)</f>
        <v/>
      </c>
      <c r="V80" s="225" t="str">
        <f>IF(NOT(ISNUMBER(G80)), "", VLOOKUP(A80,'Discount Lookup'!G:H,2,FALSE)*G80)</f>
        <v/>
      </c>
      <c r="W80" s="508">
        <f t="shared" si="53"/>
        <v>0</v>
      </c>
      <c r="X80" s="508" t="str">
        <f t="shared" si="54"/>
        <v>Lavender-Purple bloom</v>
      </c>
      <c r="Y80" s="509" t="b">
        <f t="shared" si="55"/>
        <v>0</v>
      </c>
      <c r="Z80" s="510">
        <f t="shared" si="56"/>
        <v>0</v>
      </c>
      <c r="AA80" s="511"/>
      <c r="AB80" s="511" t="str">
        <f t="shared" si="57"/>
        <v/>
      </c>
      <c r="AC80" s="698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698"/>
      <c r="AE80" s="631" t="str">
        <f t="shared" si="58"/>
        <v/>
      </c>
      <c r="AF80" s="699" t="str">
        <f t="shared" si="59"/>
        <v/>
      </c>
      <c r="AG80" s="699"/>
      <c r="AH80" s="699"/>
      <c r="AI80" s="512">
        <f>IF(H80="credit",0,IF(AE80="free",0,IF(AE80="me",0,IF(G80&gt;0,(VLOOKUP(A80,'Discount Lookup'!J:K,2)*G80),0))))</f>
        <v>0</v>
      </c>
      <c r="AJ80" s="513" t="str">
        <f t="shared" ca="1" si="60"/>
        <v/>
      </c>
      <c r="AK80" s="700" t="str">
        <f t="shared" si="61"/>
        <v/>
      </c>
      <c r="AL80" s="700"/>
      <c r="AM80" s="505" t="str">
        <f t="shared" si="62"/>
        <v/>
      </c>
      <c r="AN80" s="506"/>
      <c r="AO80" s="507"/>
      <c r="AP80" s="507"/>
      <c r="AQ80" s="507"/>
      <c r="AR80" s="507"/>
      <c r="AS80" s="507"/>
      <c r="AT80" s="507"/>
      <c r="AU80" s="507"/>
      <c r="AV80" s="225"/>
      <c r="AW80" s="508"/>
      <c r="AX80" s="225"/>
      <c r="AY80" s="225"/>
      <c r="AZ80" s="225"/>
      <c r="BA80" s="225"/>
      <c r="BB80" s="225"/>
      <c r="BC80" s="56"/>
      <c r="BD80" s="56"/>
      <c r="BE80" s="56"/>
      <c r="BF80" s="107" t="str">
        <f t="shared" si="63"/>
        <v>https://www.google.com/search?tbm=isch&amp;q=Amethyst%20Falls%20Wisteria%20Wisteria%20frutescens%20%27Amethyst%20Falls%27</v>
      </c>
      <c r="BG80" s="107" t="str">
        <f t="shared" si="64"/>
        <v>A</v>
      </c>
      <c r="BH80" s="254"/>
      <c r="BI80" s="254"/>
    </row>
    <row r="81" spans="1:61" customFormat="1" ht="15.75" x14ac:dyDescent="0.25">
      <c r="A81" s="276">
        <v>3</v>
      </c>
      <c r="B81" s="240" t="s">
        <v>291</v>
      </c>
      <c r="C81" s="241"/>
      <c r="D81" s="242" t="s">
        <v>298</v>
      </c>
      <c r="E81" s="243">
        <v>30.95</v>
      </c>
      <c r="F81" s="517" t="s">
        <v>293</v>
      </c>
      <c r="G81" s="232">
        <v>0</v>
      </c>
      <c r="H81" s="661" t="str">
        <f>IF(G81=0,"",IF(F81="Buy",IF(G81=1,"plant","plants"),IF(F81&gt;0.01,"warranty","Error")))</f>
        <v/>
      </c>
      <c r="I81" s="244">
        <f>IF(H81="free",0,IF(H81="credit",((E81*(F81))*G81*-1),IF(F81="Buy",(E81*G81),((E81*(1-F81))*G81))))</f>
        <v>0</v>
      </c>
      <c r="J81" s="244">
        <f>IF(H81="warranty",0,(I81*(_xlfn.SINGLE(SalesTaxPercentage))))</f>
        <v>0</v>
      </c>
      <c r="K81" s="696">
        <f t="shared" ref="K81" si="65">I81+J81</f>
        <v>0</v>
      </c>
      <c r="L81" s="696"/>
      <c r="M81" s="659" t="str">
        <f>IF(AND(G81&gt;0,E81=0),"WARNING - no PRICE inserted",IF(H81="free"," FREE ~ no charge this plant",IF(H81="credit",CONCATENATE(" -$",ROUND(K81*(1-T2GDiscount)*-1,2)," CREDIT after discount"),IF(T2GDiscount=0,"",IF(G81=0,"",IF(F81="Buy",CONCATENATE(" $",ROUND(K81*(1-T2GDiscount),2)," with ",(T2GDiscount*100),"% discount"),CONCATENATE(" $",ROUND(K81*(1-T2GDiscount),2)," with ",((T2GDiscount*100+F81*100)-(T2GDiscount*100*F81)),IF(F81&gt;0,"% discounts",IF(NoWarrantyDiscount&gt;0,"% discounts","% discount")))))))))</f>
        <v/>
      </c>
      <c r="N81" s="660"/>
      <c r="O81" s="233"/>
      <c r="P81" s="233"/>
      <c r="Q81" s="233"/>
      <c r="R81" s="233"/>
      <c r="S81" s="233"/>
      <c r="T81" s="508">
        <f t="shared" si="52"/>
        <v>0</v>
      </c>
      <c r="U81" s="225">
        <f>IF(NOT(ISNUMBER(G81)), "", VLOOKUP(A81,'Discount Lookup'!D:E,2,FALSE)*G81)</f>
        <v>0</v>
      </c>
      <c r="V81" s="225">
        <f>IF(NOT(ISNUMBER(G81)), "", VLOOKUP(A81,'Discount Lookup'!G:H,2,FALSE)*G81)</f>
        <v>0</v>
      </c>
      <c r="W81" s="508">
        <f t="shared" si="53"/>
        <v>0</v>
      </c>
      <c r="X81" s="508">
        <f t="shared" si="54"/>
        <v>0</v>
      </c>
      <c r="Y81" s="509" t="b">
        <f t="shared" si="55"/>
        <v>0</v>
      </c>
      <c r="Z81" s="510">
        <f t="shared" si="56"/>
        <v>0</v>
      </c>
      <c r="AA81" s="511"/>
      <c r="AB81" s="511" t="str">
        <f t="shared" si="57"/>
        <v/>
      </c>
      <c r="AC81" s="698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698"/>
      <c r="AE81" s="631" t="str">
        <f t="shared" si="58"/>
        <v/>
      </c>
      <c r="AF81" s="699" t="str">
        <f t="shared" si="59"/>
        <v/>
      </c>
      <c r="AG81" s="699"/>
      <c r="AH81" s="699"/>
      <c r="AI81" s="512">
        <f>IF(H81="credit",0,IF(AE81="free",0,IF(AE81="me",0,IF(G81&gt;0,(VLOOKUP(A81,'Discount Lookup'!J:K,2)*G81),0))))</f>
        <v>0</v>
      </c>
      <c r="AJ81" s="513" t="str">
        <f t="shared" ca="1" si="60"/>
        <v/>
      </c>
      <c r="AK81" s="700" t="str">
        <f t="shared" si="61"/>
        <v/>
      </c>
      <c r="AL81" s="700"/>
      <c r="AM81" s="505" t="str">
        <f t="shared" si="62"/>
        <v/>
      </c>
      <c r="AN81" s="506"/>
      <c r="AO81" s="507"/>
      <c r="AP81" s="507"/>
      <c r="AQ81" s="507"/>
      <c r="AR81" s="507"/>
      <c r="AS81" s="507"/>
      <c r="AT81" s="507"/>
      <c r="AU81" s="507"/>
      <c r="AV81" s="225"/>
      <c r="AW81" s="508"/>
      <c r="AX81" s="225"/>
      <c r="AY81" s="225"/>
      <c r="AZ81" s="225"/>
      <c r="BA81" s="225"/>
      <c r="BB81" s="225"/>
      <c r="BC81" s="56"/>
      <c r="BD81" s="56"/>
      <c r="BE81" s="56"/>
      <c r="BF81" s="107" t="str">
        <f t="shared" si="63"/>
        <v>https://www.google.com/search?tbm=isch&amp;q=3%20G1</v>
      </c>
      <c r="BG81" s="107" t="str">
        <f t="shared" si="64"/>
        <v>A</v>
      </c>
      <c r="BH81" s="254"/>
      <c r="BI81" s="254"/>
    </row>
    <row r="82" spans="1:61" customFormat="1" ht="17.25" thickBot="1" x14ac:dyDescent="0.3">
      <c r="A82" s="673" t="s">
        <v>5036</v>
      </c>
      <c r="B82" s="245"/>
      <c r="C82" s="677"/>
      <c r="D82" s="499"/>
      <c r="E82" s="499"/>
      <c r="F82" s="500"/>
      <c r="G82" s="501"/>
      <c r="H82" s="502"/>
      <c r="I82" s="246"/>
      <c r="J82" s="247"/>
      <c r="K82" s="503"/>
      <c r="L82" s="544"/>
      <c r="M82" s="544"/>
      <c r="N82" s="500"/>
      <c r="O82" s="500"/>
      <c r="P82" s="500"/>
      <c r="Q82" s="500"/>
      <c r="R82" s="500"/>
      <c r="S82" s="278"/>
      <c r="T82" s="508">
        <f t="shared" si="52"/>
        <v>0</v>
      </c>
      <c r="U82" s="225" t="str">
        <f>IF(NOT(ISNUMBER(G82)), "", VLOOKUP(A82,'Discount Lookup'!D:E,2,FALSE)*G82)</f>
        <v/>
      </c>
      <c r="V82" s="225" t="str">
        <f>IF(NOT(ISNUMBER(G82)), "", VLOOKUP(A82,'Discount Lookup'!G:H,2,FALSE)*G82)</f>
        <v/>
      </c>
      <c r="W82" s="508">
        <f t="shared" si="53"/>
        <v>0</v>
      </c>
      <c r="X82" s="508">
        <f t="shared" si="54"/>
        <v>0</v>
      </c>
      <c r="Y82" s="509" t="b">
        <f t="shared" si="55"/>
        <v>0</v>
      </c>
      <c r="Z82" s="510">
        <f t="shared" si="56"/>
        <v>0</v>
      </c>
      <c r="AA82" s="511"/>
      <c r="AB82" s="511" t="str">
        <f t="shared" si="57"/>
        <v/>
      </c>
      <c r="AC82" s="698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698"/>
      <c r="AE82" s="631" t="str">
        <f t="shared" si="58"/>
        <v/>
      </c>
      <c r="AF82" s="699" t="str">
        <f t="shared" si="59"/>
        <v/>
      </c>
      <c r="AG82" s="699"/>
      <c r="AH82" s="699"/>
      <c r="AI82" s="512">
        <f>IF(H82="credit",0,IF(AE82="free",0,IF(AE82="me",0,IF(G82&gt;0,(VLOOKUP(A82,'Discount Lookup'!J:K,2)*G82),0))))</f>
        <v>0</v>
      </c>
      <c r="AJ82" s="513" t="str">
        <f t="shared" ca="1" si="60"/>
        <v/>
      </c>
      <c r="AK82" s="700" t="str">
        <f t="shared" si="61"/>
        <v/>
      </c>
      <c r="AL82" s="700"/>
      <c r="AM82" s="505" t="str">
        <f t="shared" si="62"/>
        <v/>
      </c>
      <c r="AN82" s="506"/>
      <c r="AO82" s="507"/>
      <c r="AP82" s="507"/>
      <c r="AQ82" s="507"/>
      <c r="AR82" s="507"/>
      <c r="AS82" s="507"/>
      <c r="AT82" s="507"/>
      <c r="AU82" s="507"/>
      <c r="AV82" s="225"/>
      <c r="AW82" s="508"/>
      <c r="AX82" s="225"/>
      <c r="AY82" s="225"/>
      <c r="AZ82" s="225"/>
      <c r="BA82" s="225"/>
      <c r="BB82" s="225"/>
      <c r="BC82" s="56"/>
      <c r="BD82" s="56"/>
      <c r="BE82" s="56"/>
      <c r="BF82" s="107" t="str">
        <f t="shared" si="63"/>
        <v>https://www.google.com/search?tbm=isch&amp;q=moist%20sites%F0%9F%92%A7GOOD%2C%20Amethyst%20Falls%20is%20less%20aggressive%20than%20Asian%20Wisteria.%20Flowers%202%20to%203%20years%20after%20planting.%20Fragrant%20</v>
      </c>
      <c r="BG82" s="107" t="str">
        <f t="shared" si="64"/>
        <v>m</v>
      </c>
      <c r="BH82" s="254"/>
      <c r="BI82" s="254"/>
    </row>
    <row r="83" spans="1:61" customFormat="1" ht="18" x14ac:dyDescent="0.25">
      <c r="A83" s="523" t="s">
        <v>5577</v>
      </c>
      <c r="B83" s="235"/>
      <c r="C83" s="676"/>
      <c r="D83" s="255" t="s">
        <v>961</v>
      </c>
      <c r="E83" s="236"/>
      <c r="F83" s="236"/>
      <c r="G83" s="236"/>
      <c r="H83" s="582" t="s">
        <v>463</v>
      </c>
      <c r="I83" s="498" t="s">
        <v>2143</v>
      </c>
      <c r="J83" s="237"/>
      <c r="K83" s="237"/>
      <c r="L83" s="274"/>
      <c r="M83" s="668" t="s">
        <v>4975</v>
      </c>
      <c r="N83" s="681" t="str">
        <f>IF(AND(ISTEXT($A83), ISERROR($A83+0)), HYPERLINK($BF83, "Images"), "")</f>
        <v>Images</v>
      </c>
      <c r="O83" s="663" t="s">
        <v>4967</v>
      </c>
      <c r="P83" s="253"/>
      <c r="Q83" s="238"/>
      <c r="R83" s="239"/>
      <c r="S83" s="275" t="s">
        <v>305</v>
      </c>
      <c r="T83" s="508">
        <f t="shared" si="52"/>
        <v>0</v>
      </c>
      <c r="U83" s="225" t="str">
        <f>IF(NOT(ISNUMBER(G83)), "", VLOOKUP(A83,'Discount Lookup'!D:E,2,FALSE)*G83)</f>
        <v/>
      </c>
      <c r="V83" s="225" t="str">
        <f>IF(NOT(ISNUMBER(G83)), "", VLOOKUP(A83,'Discount Lookup'!G:H,2,FALSE)*G83)</f>
        <v/>
      </c>
      <c r="W83" s="508">
        <f t="shared" si="53"/>
        <v>0</v>
      </c>
      <c r="X83" s="508" t="str">
        <f t="shared" si="54"/>
        <v>Rosy=Purple Bloom</v>
      </c>
      <c r="Y83" s="509" t="b">
        <f t="shared" si="55"/>
        <v>0</v>
      </c>
      <c r="Z83" s="510">
        <f t="shared" si="56"/>
        <v>0</v>
      </c>
      <c r="AA83" s="511"/>
      <c r="AB83" s="511" t="str">
        <f t="shared" si="57"/>
        <v/>
      </c>
      <c r="AC83" s="698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698"/>
      <c r="AE83" s="631" t="str">
        <f t="shared" si="58"/>
        <v/>
      </c>
      <c r="AF83" s="699" t="str">
        <f t="shared" si="59"/>
        <v/>
      </c>
      <c r="AG83" s="699"/>
      <c r="AH83" s="699"/>
      <c r="AI83" s="512">
        <f>IF(H83="credit",0,IF(AE83="free",0,IF(AE83="me",0,IF(G83&gt;0,(VLOOKUP(A83,'Discount Lookup'!J:K,2)*G83),0))))</f>
        <v>0</v>
      </c>
      <c r="AJ83" s="513" t="str">
        <f t="shared" ca="1" si="60"/>
        <v/>
      </c>
      <c r="AK83" s="700" t="str">
        <f t="shared" si="61"/>
        <v/>
      </c>
      <c r="AL83" s="700"/>
      <c r="AM83" s="505" t="str">
        <f t="shared" si="62"/>
        <v/>
      </c>
      <c r="AN83" s="506"/>
      <c r="AO83" s="507"/>
      <c r="AP83" s="507"/>
      <c r="AQ83" s="507"/>
      <c r="AR83" s="507"/>
      <c r="AS83" s="507"/>
      <c r="AT83" s="507"/>
      <c r="AU83" s="507"/>
      <c r="AV83" s="225"/>
      <c r="AW83" s="508"/>
      <c r="AX83" s="225"/>
      <c r="AY83" s="225"/>
      <c r="AZ83" s="225"/>
      <c r="BA83" s="225"/>
      <c r="BB83" s="225"/>
      <c r="BC83" s="56"/>
      <c r="BD83" s="56"/>
      <c r="BE83" s="56"/>
      <c r="BF83" s="107" t="str">
        <f t="shared" si="63"/>
        <v>https://www.google.com/search?tbm=isch&amp;q=Amethyst%20Redbud%20%28GG%C2%AE%29%20Cercis%20canadensis%20%27NC2017-6%27%20PP%2335279</v>
      </c>
      <c r="BG83" s="107" t="str">
        <f t="shared" si="64"/>
        <v>A</v>
      </c>
      <c r="BH83" s="254"/>
      <c r="BI83" s="254"/>
    </row>
    <row r="84" spans="1:61" customFormat="1" ht="15.75" x14ac:dyDescent="0.25">
      <c r="A84" s="276">
        <v>7</v>
      </c>
      <c r="B84" s="240" t="s">
        <v>291</v>
      </c>
      <c r="C84" s="241" t="s">
        <v>3508</v>
      </c>
      <c r="D84" s="242" t="s">
        <v>292</v>
      </c>
      <c r="E84" s="243">
        <v>141.94999999999999</v>
      </c>
      <c r="F84" s="517" t="s">
        <v>293</v>
      </c>
      <c r="G84" s="232">
        <v>0</v>
      </c>
      <c r="H84" s="661" t="str">
        <f>IF(G84=0,"",IF(F84="Buy",IF(G84=1,"plant","plants"),IF(F84&gt;0.01,"warranty","Error")))</f>
        <v/>
      </c>
      <c r="I84" s="244">
        <f>IF(H84="free",0,IF(H84="credit",((E84*(F84))*G84*-1),IF(F84="Buy",(E84*G84),((E84*(1-F84))*G84))))</f>
        <v>0</v>
      </c>
      <c r="J84" s="244">
        <f>IF(H84="warranty",0,(I84*(_xlfn.SINGLE(SalesTaxPercentage))))</f>
        <v>0</v>
      </c>
      <c r="K84" s="696">
        <f t="shared" ref="K84" si="66">I84+J84</f>
        <v>0</v>
      </c>
      <c r="L84" s="696"/>
      <c r="M84" s="659" t="str">
        <f>IF(AND(G84&gt;0,E84=0),"WARNING - no PRICE inserted",IF(H84="free"," FREE ~ no charge this plant",IF(H84="credit",CONCATENATE(" -$",ROUND(K84*(1-T2GDiscount)*-1,2)," CREDIT after discount"),IF(T2GDiscount=0,"",IF(G84=0,"",IF(F84="Buy",CONCATENATE(" $",ROUND(K84*(1-T2GDiscount),2)," with ",(T2GDiscount*100),"% discount"),CONCATENATE(" $",ROUND(K84*(1-T2GDiscount),2)," with ",((T2GDiscount*100+F84*100)-(T2GDiscount*100*F84)),IF(F84&gt;0,"% discounts",IF(NoWarrantyDiscount&gt;0,"% discounts","% discount")))))))))</f>
        <v/>
      </c>
      <c r="N84" s="660"/>
      <c r="O84" s="233"/>
      <c r="P84" s="233"/>
      <c r="Q84" s="233"/>
      <c r="R84" s="233"/>
      <c r="S84" s="233"/>
      <c r="T84" s="508">
        <f t="shared" si="52"/>
        <v>0</v>
      </c>
      <c r="U84" s="225">
        <f>IF(NOT(ISNUMBER(G84)), "", VLOOKUP(A84,'Discount Lookup'!D:E,2,FALSE)*G84)</f>
        <v>0</v>
      </c>
      <c r="V84" s="225">
        <f>IF(NOT(ISNUMBER(G84)), "", VLOOKUP(A84,'Discount Lookup'!G:H,2,FALSE)*G84)</f>
        <v>0</v>
      </c>
      <c r="W84" s="508">
        <f t="shared" si="53"/>
        <v>0</v>
      </c>
      <c r="X84" s="508">
        <f t="shared" si="54"/>
        <v>0</v>
      </c>
      <c r="Y84" s="509" t="b">
        <f t="shared" si="55"/>
        <v>0</v>
      </c>
      <c r="Z84" s="510">
        <f t="shared" si="56"/>
        <v>0</v>
      </c>
      <c r="AA84" s="511"/>
      <c r="AB84" s="511" t="str">
        <f t="shared" si="57"/>
        <v/>
      </c>
      <c r="AC84" s="698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698"/>
      <c r="AE84" s="631" t="str">
        <f t="shared" si="58"/>
        <v/>
      </c>
      <c r="AF84" s="699" t="str">
        <f t="shared" si="59"/>
        <v/>
      </c>
      <c r="AG84" s="699"/>
      <c r="AH84" s="699"/>
      <c r="AI84" s="512">
        <f>IF(H84="credit",0,IF(AE84="free",0,IF(AE84="me",0,IF(G84&gt;0,(VLOOKUP(A84,'Discount Lookup'!J:K,2)*G84),0))))</f>
        <v>0</v>
      </c>
      <c r="AJ84" s="513" t="str">
        <f t="shared" ca="1" si="60"/>
        <v/>
      </c>
      <c r="AK84" s="700" t="str">
        <f t="shared" si="61"/>
        <v/>
      </c>
      <c r="AL84" s="700"/>
      <c r="AM84" s="505" t="str">
        <f t="shared" si="62"/>
        <v/>
      </c>
      <c r="AN84" s="506"/>
      <c r="AO84" s="507"/>
      <c r="AP84" s="507"/>
      <c r="AQ84" s="507"/>
      <c r="AR84" s="507"/>
      <c r="AS84" s="507"/>
      <c r="AT84" s="507"/>
      <c r="AU84" s="507"/>
      <c r="AV84" s="225"/>
      <c r="AW84" s="508"/>
      <c r="AX84" s="225"/>
      <c r="AY84" s="225"/>
      <c r="AZ84" s="225"/>
      <c r="BA84" s="225"/>
      <c r="BB84" s="225"/>
      <c r="BC84" s="56"/>
      <c r="BD84" s="56"/>
      <c r="BE84" s="56"/>
      <c r="BF84" s="107" t="str">
        <f t="shared" si="63"/>
        <v>https://www.google.com/search?tbm=isch&amp;q=7%20G4</v>
      </c>
      <c r="BG84" s="107" t="str">
        <f t="shared" si="64"/>
        <v>A</v>
      </c>
      <c r="BH84" s="254"/>
      <c r="BI84" s="254"/>
    </row>
    <row r="85" spans="1:61" customFormat="1" ht="15.75" x14ac:dyDescent="0.25">
      <c r="A85" s="276">
        <v>7</v>
      </c>
      <c r="B85" s="240" t="s">
        <v>291</v>
      </c>
      <c r="C85" s="241" t="s">
        <v>3509</v>
      </c>
      <c r="D85" s="242" t="s">
        <v>292</v>
      </c>
      <c r="E85" s="243">
        <v>155.94999999999999</v>
      </c>
      <c r="F85" s="517" t="s">
        <v>293</v>
      </c>
      <c r="G85" s="232">
        <v>0</v>
      </c>
      <c r="H85" s="661" t="str">
        <f>IF(G85=0,"",IF(F85="Buy",IF(G85=1,"plant","plants"),IF(F85&gt;0.01,"warranty","Error")))</f>
        <v/>
      </c>
      <c r="I85" s="244">
        <f>IF(H85="free",0,IF(H85="credit",((E85*(F85))*G85*-1),IF(F85="Buy",(E85*G85),((E85*(1-F85))*G85))))</f>
        <v>0</v>
      </c>
      <c r="J85" s="244">
        <f>IF(H85="warranty",0,(I85*(_xlfn.SINGLE(SalesTaxPercentage))))</f>
        <v>0</v>
      </c>
      <c r="K85" s="696">
        <f t="shared" ref="K85" si="67">I85+J85</f>
        <v>0</v>
      </c>
      <c r="L85" s="696"/>
      <c r="M85" s="659" t="str">
        <f>IF(AND(G85&gt;0,E85=0),"WARNING - no PRICE inserted",IF(H85="free"," FREE ~ no charge this plant",IF(H85="credit",CONCATENATE(" -$",ROUND(K85*(1-T2GDiscount)*-1,2)," CREDIT after discount"),IF(T2GDiscount=0,"",IF(G85=0,"",IF(F85="Buy",CONCATENATE(" $",ROUND(K85*(1-T2GDiscount),2)," with ",(T2GDiscount*100),"% discount"),CONCATENATE(" $",ROUND(K85*(1-T2GDiscount),2)," with ",((T2GDiscount*100+F85*100)-(T2GDiscount*100*F85)),IF(F85&gt;0,"% discounts",IF(NoWarrantyDiscount&gt;0,"% discounts","% discount")))))))))</f>
        <v/>
      </c>
      <c r="N85" s="660"/>
      <c r="O85" s="233"/>
      <c r="P85" s="233"/>
      <c r="Q85" s="233"/>
      <c r="R85" s="233"/>
      <c r="S85" s="233"/>
      <c r="T85" s="508">
        <f t="shared" si="52"/>
        <v>0</v>
      </c>
      <c r="U85" s="225">
        <f>IF(NOT(ISNUMBER(G85)), "", VLOOKUP(A85,'Discount Lookup'!D:E,2,FALSE)*G85)</f>
        <v>0</v>
      </c>
      <c r="V85" s="225">
        <f>IF(NOT(ISNUMBER(G85)), "", VLOOKUP(A85,'Discount Lookup'!G:H,2,FALSE)*G85)</f>
        <v>0</v>
      </c>
      <c r="W85" s="508">
        <f t="shared" si="53"/>
        <v>0</v>
      </c>
      <c r="X85" s="508">
        <f t="shared" si="54"/>
        <v>0</v>
      </c>
      <c r="Y85" s="509" t="b">
        <f t="shared" si="55"/>
        <v>0</v>
      </c>
      <c r="Z85" s="510">
        <f t="shared" si="56"/>
        <v>0</v>
      </c>
      <c r="AA85" s="511"/>
      <c r="AB85" s="511" t="str">
        <f t="shared" si="57"/>
        <v/>
      </c>
      <c r="AC85" s="698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698"/>
      <c r="AE85" s="631" t="str">
        <f t="shared" si="58"/>
        <v/>
      </c>
      <c r="AF85" s="699" t="str">
        <f t="shared" si="59"/>
        <v/>
      </c>
      <c r="AG85" s="699"/>
      <c r="AH85" s="699"/>
      <c r="AI85" s="512">
        <f>IF(H85="credit",0,IF(AE85="free",0,IF(AE85="me",0,IF(G85&gt;0,(VLOOKUP(A85,'Discount Lookup'!J:K,2)*G85),0))))</f>
        <v>0</v>
      </c>
      <c r="AJ85" s="513" t="str">
        <f t="shared" ca="1" si="60"/>
        <v/>
      </c>
      <c r="AK85" s="700" t="str">
        <f t="shared" si="61"/>
        <v/>
      </c>
      <c r="AL85" s="700"/>
      <c r="AM85" s="505" t="str">
        <f t="shared" si="62"/>
        <v/>
      </c>
      <c r="AN85" s="506"/>
      <c r="AO85" s="507"/>
      <c r="AP85" s="507"/>
      <c r="AQ85" s="507"/>
      <c r="AR85" s="507"/>
      <c r="AS85" s="507"/>
      <c r="AT85" s="507"/>
      <c r="AU85" s="507"/>
      <c r="AV85" s="225"/>
      <c r="AW85" s="508"/>
      <c r="AX85" s="225"/>
      <c r="AY85" s="225"/>
      <c r="AZ85" s="225"/>
      <c r="BA85" s="225"/>
      <c r="BB85" s="225"/>
      <c r="BC85" s="56"/>
      <c r="BD85" s="56"/>
      <c r="BE85" s="56"/>
      <c r="BF85" s="107" t="str">
        <f t="shared" si="63"/>
        <v>https://www.google.com/search?tbm=isch&amp;q=7%20G4</v>
      </c>
      <c r="BG85" s="107" t="str">
        <f t="shared" si="64"/>
        <v>A</v>
      </c>
      <c r="BH85" s="254"/>
      <c r="BI85" s="254"/>
    </row>
    <row r="86" spans="1:61" customFormat="1" ht="15.75" x14ac:dyDescent="0.25">
      <c r="A86" s="276">
        <v>10</v>
      </c>
      <c r="B86" s="240" t="s">
        <v>291</v>
      </c>
      <c r="C86" s="241" t="s">
        <v>3510</v>
      </c>
      <c r="D86" s="242" t="s">
        <v>292</v>
      </c>
      <c r="E86" s="243">
        <v>169.95</v>
      </c>
      <c r="F86" s="517" t="s">
        <v>293</v>
      </c>
      <c r="G86" s="232">
        <v>0</v>
      </c>
      <c r="H86" s="661" t="str">
        <f>IF(G86=0,"",IF(F86="Buy",IF(G86=1,"plant","plants"),IF(F86&gt;0.01,"warranty","Error")))</f>
        <v/>
      </c>
      <c r="I86" s="244">
        <f>IF(H86="free",0,IF(H86="credit",((E86*(F86))*G86*-1),IF(F86="Buy",(E86*G86),((E86*(1-F86))*G86))))</f>
        <v>0</v>
      </c>
      <c r="J86" s="244">
        <f>IF(H86="warranty",0,(I86*(_xlfn.SINGLE(SalesTaxPercentage))))</f>
        <v>0</v>
      </c>
      <c r="K86" s="696">
        <f t="shared" ref="K86" si="68">I86+J86</f>
        <v>0</v>
      </c>
      <c r="L86" s="696"/>
      <c r="M86" s="659" t="str">
        <f>IF(AND(G86&gt;0,E86=0),"WARNING - no PRICE inserted",IF(H86="free"," FREE ~ no charge this plant",IF(H86="credit",CONCATENATE(" -$",ROUND(K86*(1-T2GDiscount)*-1,2)," CREDIT after discount"),IF(T2GDiscount=0,"",IF(G86=0,"",IF(F86="Buy",CONCATENATE(" $",ROUND(K86*(1-T2GDiscount),2)," with ",(T2GDiscount*100),"% discount"),CONCATENATE(" $",ROUND(K86*(1-T2GDiscount),2)," with ",((T2GDiscount*100+F86*100)-(T2GDiscount*100*F86)),IF(F86&gt;0,"% discounts",IF(NoWarrantyDiscount&gt;0,"% discounts","% discount")))))))))</f>
        <v/>
      </c>
      <c r="N86" s="660"/>
      <c r="O86" s="233"/>
      <c r="P86" s="233"/>
      <c r="Q86" s="233"/>
      <c r="R86" s="233"/>
      <c r="S86" s="233"/>
      <c r="T86" s="508">
        <f t="shared" si="52"/>
        <v>0</v>
      </c>
      <c r="U86" s="225">
        <f>IF(NOT(ISNUMBER(G86)), "", VLOOKUP(A86,'Discount Lookup'!D:E,2,FALSE)*G86)</f>
        <v>0</v>
      </c>
      <c r="V86" s="225">
        <f>IF(NOT(ISNUMBER(G86)), "", VLOOKUP(A86,'Discount Lookup'!G:H,2,FALSE)*G86)</f>
        <v>0</v>
      </c>
      <c r="W86" s="508">
        <f t="shared" si="53"/>
        <v>0</v>
      </c>
      <c r="X86" s="508">
        <f t="shared" si="54"/>
        <v>0</v>
      </c>
      <c r="Y86" s="509" t="b">
        <f t="shared" si="55"/>
        <v>0</v>
      </c>
      <c r="Z86" s="510">
        <f t="shared" si="56"/>
        <v>0</v>
      </c>
      <c r="AA86" s="511"/>
      <c r="AB86" s="511" t="str">
        <f t="shared" si="57"/>
        <v/>
      </c>
      <c r="AC86" s="698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698"/>
      <c r="AE86" s="631" t="str">
        <f t="shared" si="58"/>
        <v/>
      </c>
      <c r="AF86" s="699" t="str">
        <f t="shared" si="59"/>
        <v/>
      </c>
      <c r="AG86" s="699"/>
      <c r="AH86" s="699"/>
      <c r="AI86" s="512">
        <f>IF(H86="credit",0,IF(AE86="free",0,IF(AE86="me",0,IF(G86&gt;0,(VLOOKUP(A86,'Discount Lookup'!J:K,2)*G86),0))))</f>
        <v>0</v>
      </c>
      <c r="AJ86" s="513" t="str">
        <f t="shared" ca="1" si="60"/>
        <v/>
      </c>
      <c r="AK86" s="700" t="str">
        <f t="shared" si="61"/>
        <v/>
      </c>
      <c r="AL86" s="700"/>
      <c r="AM86" s="505" t="str">
        <f t="shared" si="62"/>
        <v/>
      </c>
      <c r="AN86" s="506"/>
      <c r="AO86" s="507"/>
      <c r="AP86" s="507"/>
      <c r="AQ86" s="507"/>
      <c r="AR86" s="507"/>
      <c r="AS86" s="507"/>
      <c r="AT86" s="507"/>
      <c r="AU86" s="507"/>
      <c r="AV86" s="225"/>
      <c r="AW86" s="508"/>
      <c r="AX86" s="225"/>
      <c r="AY86" s="225"/>
      <c r="AZ86" s="225"/>
      <c r="BA86" s="225"/>
      <c r="BB86" s="225"/>
      <c r="BC86" s="56"/>
      <c r="BD86" s="56"/>
      <c r="BE86" s="56"/>
      <c r="BF86" s="107" t="str">
        <f t="shared" si="63"/>
        <v>https://www.google.com/search?tbm=isch&amp;q=10%20G4</v>
      </c>
      <c r="BG86" s="107" t="str">
        <f t="shared" si="64"/>
        <v>A</v>
      </c>
      <c r="BH86" s="254"/>
      <c r="BI86" s="254"/>
    </row>
    <row r="87" spans="1:61" customFormat="1" ht="17.25" thickBot="1" x14ac:dyDescent="0.3">
      <c r="A87" s="524" t="s">
        <v>4374</v>
      </c>
      <c r="B87" s="245"/>
      <c r="C87" s="677"/>
      <c r="D87" s="499"/>
      <c r="E87" s="499"/>
      <c r="F87" s="500"/>
      <c r="G87" s="501"/>
      <c r="H87" s="502"/>
      <c r="I87" s="246"/>
      <c r="J87" s="247"/>
      <c r="K87" s="503"/>
      <c r="L87" s="544"/>
      <c r="M87" s="544"/>
      <c r="N87" s="500"/>
      <c r="O87" s="500"/>
      <c r="P87" s="500"/>
      <c r="Q87" s="500"/>
      <c r="R87" s="500"/>
      <c r="S87" s="669" t="s">
        <v>4981</v>
      </c>
      <c r="T87" s="508">
        <f t="shared" si="52"/>
        <v>0</v>
      </c>
      <c r="U87" s="225" t="str">
        <f>IF(NOT(ISNUMBER(G87)), "", VLOOKUP(A87,'Discount Lookup'!D:E,2,FALSE)*G87)</f>
        <v/>
      </c>
      <c r="V87" s="225" t="str">
        <f>IF(NOT(ISNUMBER(G87)), "", VLOOKUP(A87,'Discount Lookup'!G:H,2,FALSE)*G87)</f>
        <v/>
      </c>
      <c r="W87" s="508">
        <f t="shared" si="53"/>
        <v>0</v>
      </c>
      <c r="X87" s="508">
        <f t="shared" si="54"/>
        <v>0</v>
      </c>
      <c r="Y87" s="509" t="b">
        <f t="shared" si="55"/>
        <v>0</v>
      </c>
      <c r="Z87" s="510">
        <f t="shared" si="56"/>
        <v>0</v>
      </c>
      <c r="AA87" s="511"/>
      <c r="AB87" s="511" t="str">
        <f t="shared" si="57"/>
        <v/>
      </c>
      <c r="AC87" s="698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698"/>
      <c r="AE87" s="631" t="str">
        <f t="shared" si="58"/>
        <v/>
      </c>
      <c r="AF87" s="699" t="str">
        <f t="shared" si="59"/>
        <v/>
      </c>
      <c r="AG87" s="699"/>
      <c r="AH87" s="699"/>
      <c r="AI87" s="512">
        <f>IF(H87="credit",0,IF(AE87="free",0,IF(AE87="me",0,IF(G87&gt;0,(VLOOKUP(A87,'Discount Lookup'!J:K,2)*G87),0))))</f>
        <v>0</v>
      </c>
      <c r="AJ87" s="513" t="str">
        <f t="shared" ca="1" si="60"/>
        <v/>
      </c>
      <c r="AK87" s="700" t="str">
        <f t="shared" si="61"/>
        <v/>
      </c>
      <c r="AL87" s="700"/>
      <c r="AM87" s="505" t="str">
        <f t="shared" si="62"/>
        <v/>
      </c>
      <c r="AN87" s="506"/>
      <c r="AO87" s="507"/>
      <c r="AP87" s="507"/>
      <c r="AQ87" s="507"/>
      <c r="AR87" s="507"/>
      <c r="AS87" s="507"/>
      <c r="AT87" s="507"/>
      <c r="AU87" s="507"/>
      <c r="AV87" s="225"/>
      <c r="AW87" s="508"/>
      <c r="AX87" s="225"/>
      <c r="AY87" s="225"/>
      <c r="AZ87" s="225"/>
      <c r="BA87" s="225"/>
      <c r="BB87" s="225"/>
      <c r="BC87" s="56"/>
      <c r="BD87" s="56"/>
      <c r="BE87" s="56"/>
      <c r="BF87" s="107" t="str">
        <f t="shared" si="63"/>
        <v>https://www.google.com/search?tbm=isch&amp;q=Amethyst%20is%20first%20compact%20Redbud%20with%20Red-Purple%20foliage.%20Holds%20foliage%20color%20through%20summer%20heat%20</v>
      </c>
      <c r="BG87" s="107" t="str">
        <f t="shared" si="64"/>
        <v>A</v>
      </c>
      <c r="BH87" s="254"/>
      <c r="BI87" s="254"/>
    </row>
    <row r="88" spans="1:61" customFormat="1" ht="18" x14ac:dyDescent="0.25">
      <c r="A88" s="521" t="s">
        <v>3200</v>
      </c>
      <c r="B88" s="477"/>
      <c r="C88" s="674"/>
      <c r="D88" s="478" t="s">
        <v>3201</v>
      </c>
      <c r="E88" s="479"/>
      <c r="F88" s="479"/>
      <c r="G88" s="479"/>
      <c r="H88" s="582" t="s">
        <v>3202</v>
      </c>
      <c r="I88" s="480" t="s">
        <v>2624</v>
      </c>
      <c r="J88" s="479"/>
      <c r="K88" s="479"/>
      <c r="L88" s="560"/>
      <c r="M88" s="666" t="s">
        <v>4963</v>
      </c>
      <c r="N88" s="680" t="str">
        <f>IF(AND(ISTEXT($A88), ISERROR($A88+0)), HYPERLINK($BF88, "Images"), "")</f>
        <v>Images</v>
      </c>
      <c r="O88" s="662" t="s">
        <v>4969</v>
      </c>
      <c r="P88" s="482"/>
      <c r="Q88" s="483"/>
      <c r="R88" s="483"/>
      <c r="S88" s="484"/>
      <c r="T88" s="508">
        <f t="shared" si="52"/>
        <v>0</v>
      </c>
      <c r="U88" s="225" t="str">
        <f>IF(NOT(ISNUMBER(G88)), "", VLOOKUP(A88,'Discount Lookup'!D:E,2,FALSE)*G88)</f>
        <v/>
      </c>
      <c r="V88" s="225" t="str">
        <f>IF(NOT(ISNUMBER(G88)), "", VLOOKUP(A88,'Discount Lookup'!G:H,2,FALSE)*G88)</f>
        <v/>
      </c>
      <c r="W88" s="508">
        <f t="shared" si="53"/>
        <v>0</v>
      </c>
      <c r="X88" s="508" t="str">
        <f t="shared" si="54"/>
        <v>Blue-Gray-Green foliage</v>
      </c>
      <c r="Y88" s="509" t="b">
        <f t="shared" si="55"/>
        <v>0</v>
      </c>
      <c r="Z88" s="510">
        <f t="shared" si="56"/>
        <v>0</v>
      </c>
      <c r="AA88" s="511"/>
      <c r="AB88" s="511" t="str">
        <f t="shared" si="57"/>
        <v/>
      </c>
      <c r="AC88" s="698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698"/>
      <c r="AE88" s="631" t="str">
        <f t="shared" si="58"/>
        <v/>
      </c>
      <c r="AF88" s="699" t="str">
        <f t="shared" si="59"/>
        <v/>
      </c>
      <c r="AG88" s="699"/>
      <c r="AH88" s="699"/>
      <c r="AI88" s="512">
        <f>IF(H88="credit",0,IF(AE88="free",0,IF(AE88="me",0,IF(G88&gt;0,(VLOOKUP(A88,'Discount Lookup'!J:K,2)*G88),0))))</f>
        <v>0</v>
      </c>
      <c r="AJ88" s="513" t="str">
        <f t="shared" ca="1" si="60"/>
        <v/>
      </c>
      <c r="AK88" s="700" t="str">
        <f t="shared" si="61"/>
        <v/>
      </c>
      <c r="AL88" s="700"/>
      <c r="AM88" s="505" t="str">
        <f t="shared" si="62"/>
        <v/>
      </c>
      <c r="AN88" s="506"/>
      <c r="AO88" s="507"/>
      <c r="AP88" s="507"/>
      <c r="AQ88" s="507"/>
      <c r="AR88" s="507"/>
      <c r="AS88" s="507"/>
      <c r="AT88" s="507"/>
      <c r="AU88" s="507"/>
      <c r="AV88" s="225"/>
      <c r="AW88" s="508"/>
      <c r="AX88" s="225"/>
      <c r="AY88" s="225"/>
      <c r="AZ88" s="225"/>
      <c r="BA88" s="225"/>
      <c r="BB88" s="225"/>
      <c r="BC88" s="56"/>
      <c r="BD88" s="56"/>
      <c r="BE88" s="56"/>
      <c r="BF88" s="107" t="str">
        <f t="shared" si="63"/>
        <v>https://www.google.com/search?tbm=isch&amp;q=Andorra%20Juniper%20Juniperus%20horizontalis%20%27Plumosa%20Compacta%27</v>
      </c>
      <c r="BG88" s="107" t="str">
        <f t="shared" si="64"/>
        <v>A</v>
      </c>
      <c r="BH88" s="254"/>
      <c r="BI88" s="254"/>
    </row>
    <row r="89" spans="1:61" customFormat="1" ht="15.75" x14ac:dyDescent="0.25">
      <c r="A89" s="485">
        <v>3</v>
      </c>
      <c r="B89" s="486" t="s">
        <v>291</v>
      </c>
      <c r="C89" s="487"/>
      <c r="D89" s="488" t="s">
        <v>298</v>
      </c>
      <c r="E89" s="489">
        <v>25.95</v>
      </c>
      <c r="F89" s="516" t="s">
        <v>293</v>
      </c>
      <c r="G89" s="232">
        <v>0</v>
      </c>
      <c r="H89" s="658" t="str">
        <f>IF(G89=0,"",IF(F89="Buy",IF(G89=1,"plant","plants"),IF(F89&gt;0.01,"warranty","Error")))</f>
        <v/>
      </c>
      <c r="I89" s="490">
        <f>IF(H89="free",0,IF(H89="credit",((E89*(F89))*G89*-1),IF(F89="Buy",(E89*G89),((E89*(1-F89))*G89))))</f>
        <v>0</v>
      </c>
      <c r="J89" s="490">
        <f>IF(H89="warranty",0,(I89*(_xlfn.SINGLE(SalesTaxPercentage))))</f>
        <v>0</v>
      </c>
      <c r="K89" s="695">
        <f t="shared" ref="K89" si="69">I89+J89</f>
        <v>0</v>
      </c>
      <c r="L89" s="695"/>
      <c r="M89" s="659" t="str">
        <f>IF(AND(G89&gt;0,E89=0),"WARNING - no PRICE inserted",IF(H89="free"," FREE ~ no charge this plant",IF(H89="credit",CONCATENATE(" -$",ROUND(K89*(1-T2GDiscount)*-1,2)," CREDIT after discount"),IF(T2GDiscount=0,"",IF(G89=0,"",IF(F89="Buy",CONCATENATE(" $",ROUND(K89*(1-T2GDiscount),2)," with ",(T2GDiscount*100),"% discount"),CONCATENATE(" $",ROUND(K89*(1-T2GDiscount),2)," with ",((T2GDiscount*100+F89*100)-(T2GDiscount*100*F89)),IF(F89&gt;0,"% discounts",IF(NoWarrantyDiscount&gt;0,"% discounts","% discount")))))))))</f>
        <v/>
      </c>
      <c r="N89" s="660"/>
      <c r="O89" s="233"/>
      <c r="P89" s="233"/>
      <c r="Q89" s="233"/>
      <c r="R89" s="233"/>
      <c r="S89" s="233"/>
      <c r="T89" s="508">
        <f t="shared" si="52"/>
        <v>0</v>
      </c>
      <c r="U89" s="225">
        <f>IF(NOT(ISNUMBER(G89)), "", VLOOKUP(A89,'Discount Lookup'!D:E,2,FALSE)*G89)</f>
        <v>0</v>
      </c>
      <c r="V89" s="225">
        <f>IF(NOT(ISNUMBER(G89)), "", VLOOKUP(A89,'Discount Lookup'!G:H,2,FALSE)*G89)</f>
        <v>0</v>
      </c>
      <c r="W89" s="508">
        <f t="shared" si="53"/>
        <v>0</v>
      </c>
      <c r="X89" s="508">
        <f t="shared" si="54"/>
        <v>0</v>
      </c>
      <c r="Y89" s="509" t="b">
        <f t="shared" si="55"/>
        <v>0</v>
      </c>
      <c r="Z89" s="510">
        <f t="shared" si="56"/>
        <v>0</v>
      </c>
      <c r="AA89" s="511"/>
      <c r="AB89" s="511" t="str">
        <f t="shared" si="57"/>
        <v/>
      </c>
      <c r="AC89" s="698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698"/>
      <c r="AE89" s="631" t="str">
        <f t="shared" si="58"/>
        <v/>
      </c>
      <c r="AF89" s="699" t="str">
        <f t="shared" si="59"/>
        <v/>
      </c>
      <c r="AG89" s="699"/>
      <c r="AH89" s="699"/>
      <c r="AI89" s="512">
        <f>IF(H89="credit",0,IF(AE89="free",0,IF(AE89="me",0,IF(G89&gt;0,(VLOOKUP(A89,'Discount Lookup'!J:K,2)*G89),0))))</f>
        <v>0</v>
      </c>
      <c r="AJ89" s="513" t="str">
        <f t="shared" ca="1" si="60"/>
        <v/>
      </c>
      <c r="AK89" s="700" t="str">
        <f t="shared" si="61"/>
        <v/>
      </c>
      <c r="AL89" s="700"/>
      <c r="AM89" s="505" t="str">
        <f t="shared" si="62"/>
        <v/>
      </c>
      <c r="AN89" s="506"/>
      <c r="AO89" s="507"/>
      <c r="AP89" s="507"/>
      <c r="AQ89" s="507"/>
      <c r="AR89" s="507"/>
      <c r="AS89" s="507"/>
      <c r="AT89" s="507"/>
      <c r="AU89" s="507"/>
      <c r="AV89" s="225"/>
      <c r="AW89" s="508"/>
      <c r="AX89" s="225"/>
      <c r="AY89" s="225"/>
      <c r="AZ89" s="225"/>
      <c r="BA89" s="225"/>
      <c r="BB89" s="225"/>
      <c r="BC89" s="56"/>
      <c r="BD89" s="56"/>
      <c r="BE89" s="56"/>
      <c r="BF89" s="107" t="str">
        <f t="shared" si="63"/>
        <v>https://www.google.com/search?tbm=isch&amp;q=3%20G1</v>
      </c>
      <c r="BG89" s="107" t="str">
        <f t="shared" si="64"/>
        <v>A</v>
      </c>
      <c r="BH89" s="254"/>
      <c r="BI89" s="254"/>
    </row>
    <row r="90" spans="1:61" customFormat="1" ht="17.25" thickBot="1" x14ac:dyDescent="0.3">
      <c r="A90" s="522" t="s">
        <v>3203</v>
      </c>
      <c r="B90" s="491"/>
      <c r="C90" s="675"/>
      <c r="D90" s="491"/>
      <c r="E90" s="491"/>
      <c r="F90" s="492"/>
      <c r="G90" s="493"/>
      <c r="H90" s="491"/>
      <c r="I90" s="234"/>
      <c r="J90" s="234"/>
      <c r="K90" s="494"/>
      <c r="L90" s="543"/>
      <c r="M90" s="561"/>
      <c r="N90" s="495"/>
      <c r="O90" s="496"/>
      <c r="P90" s="497"/>
      <c r="Q90" s="495"/>
      <c r="R90" s="495"/>
      <c r="S90" s="667" t="s">
        <v>4982</v>
      </c>
      <c r="T90" s="508">
        <f t="shared" si="52"/>
        <v>0</v>
      </c>
      <c r="U90" s="225" t="str">
        <f>IF(NOT(ISNUMBER(G90)), "", VLOOKUP(A90,'Discount Lookup'!D:E,2,FALSE)*G90)</f>
        <v/>
      </c>
      <c r="V90" s="225" t="str">
        <f>IF(NOT(ISNUMBER(G90)), "", VLOOKUP(A90,'Discount Lookup'!G:H,2,FALSE)*G90)</f>
        <v/>
      </c>
      <c r="W90" s="508">
        <f t="shared" si="53"/>
        <v>0</v>
      </c>
      <c r="X90" s="508">
        <f t="shared" si="54"/>
        <v>0</v>
      </c>
      <c r="Y90" s="509" t="b">
        <f t="shared" si="55"/>
        <v>0</v>
      </c>
      <c r="Z90" s="510">
        <f t="shared" si="56"/>
        <v>0</v>
      </c>
      <c r="AA90" s="511"/>
      <c r="AB90" s="511" t="str">
        <f t="shared" si="57"/>
        <v/>
      </c>
      <c r="AC90" s="698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698"/>
      <c r="AE90" s="631" t="str">
        <f t="shared" si="58"/>
        <v/>
      </c>
      <c r="AF90" s="699" t="str">
        <f t="shared" si="59"/>
        <v/>
      </c>
      <c r="AG90" s="699"/>
      <c r="AH90" s="699"/>
      <c r="AI90" s="512">
        <f>IF(H90="credit",0,IF(AE90="free",0,IF(AE90="me",0,IF(G90&gt;0,(VLOOKUP(A90,'Discount Lookup'!J:K,2)*G90),0))))</f>
        <v>0</v>
      </c>
      <c r="AJ90" s="513" t="str">
        <f t="shared" ca="1" si="60"/>
        <v/>
      </c>
      <c r="AK90" s="700" t="str">
        <f t="shared" si="61"/>
        <v/>
      </c>
      <c r="AL90" s="700"/>
      <c r="AM90" s="505" t="str">
        <f t="shared" si="62"/>
        <v/>
      </c>
      <c r="AN90" s="506"/>
      <c r="AO90" s="507"/>
      <c r="AP90" s="507"/>
      <c r="AQ90" s="507"/>
      <c r="AR90" s="507"/>
      <c r="AS90" s="507"/>
      <c r="AT90" s="507"/>
      <c r="AU90" s="507"/>
      <c r="AV90" s="225"/>
      <c r="AW90" s="508"/>
      <c r="AX90" s="225"/>
      <c r="AY90" s="225"/>
      <c r="AZ90" s="225"/>
      <c r="BA90" s="225"/>
      <c r="BB90" s="225"/>
      <c r="BC90" s="56"/>
      <c r="BD90" s="56"/>
      <c r="BE90" s="56"/>
      <c r="BF90" s="107" t="str">
        <f t="shared" si="63"/>
        <v>https://www.google.com/search?tbm=isch&amp;q=Andorra%20is%20compact%20%26%20finely%20textured%20with%20soft%20foliage%20that%20turns%20Plum-Purple%20in%20winter.%20Sun%2Fheat%2Fdrought%20tolerant%20</v>
      </c>
      <c r="BG90" s="107" t="str">
        <f t="shared" si="64"/>
        <v>A</v>
      </c>
      <c r="BH90" s="254"/>
      <c r="BI90" s="254"/>
    </row>
    <row r="91" spans="1:61" customFormat="1" ht="18" x14ac:dyDescent="0.25">
      <c r="A91" s="521" t="s">
        <v>495</v>
      </c>
      <c r="B91" s="477"/>
      <c r="C91" s="674"/>
      <c r="D91" s="478" t="s">
        <v>494</v>
      </c>
      <c r="E91" s="479"/>
      <c r="F91" s="479"/>
      <c r="G91" s="479"/>
      <c r="H91" s="582" t="s">
        <v>2625</v>
      </c>
      <c r="I91" s="480" t="s">
        <v>2303</v>
      </c>
      <c r="J91" s="479"/>
      <c r="K91" s="479"/>
      <c r="L91" s="560"/>
      <c r="M91" s="666" t="s">
        <v>4963</v>
      </c>
      <c r="N91" s="680" t="str">
        <f>IF(AND(ISTEXT($A91), ISERROR($A91+0)), HYPERLINK($BF91, "Images"), "")</f>
        <v>Images</v>
      </c>
      <c r="O91" s="662" t="s">
        <v>4969</v>
      </c>
      <c r="P91" s="482"/>
      <c r="Q91" s="483"/>
      <c r="R91" s="483"/>
      <c r="S91" s="484"/>
      <c r="T91" s="508">
        <f t="shared" si="52"/>
        <v>0</v>
      </c>
      <c r="U91" s="225" t="str">
        <f>IF(NOT(ISNUMBER(G91)), "", VLOOKUP(A91,'Discount Lookup'!D:E,2,FALSE)*G91)</f>
        <v/>
      </c>
      <c r="V91" s="225" t="str">
        <f>IF(NOT(ISNUMBER(G91)), "", VLOOKUP(A91,'Discount Lookup'!G:H,2,FALSE)*G91)</f>
        <v/>
      </c>
      <c r="W91" s="508">
        <f t="shared" si="53"/>
        <v>0</v>
      </c>
      <c r="X91" s="508" t="str">
        <f t="shared" si="54"/>
        <v>Silvery-Blue foliage</v>
      </c>
      <c r="Y91" s="509" t="b">
        <f t="shared" si="55"/>
        <v>0</v>
      </c>
      <c r="Z91" s="510">
        <f t="shared" si="56"/>
        <v>0</v>
      </c>
      <c r="AA91" s="511"/>
      <c r="AB91" s="511" t="str">
        <f t="shared" si="57"/>
        <v/>
      </c>
      <c r="AC91" s="698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698"/>
      <c r="AE91" s="631" t="str">
        <f t="shared" si="58"/>
        <v/>
      </c>
      <c r="AF91" s="699" t="str">
        <f t="shared" si="59"/>
        <v/>
      </c>
      <c r="AG91" s="699"/>
      <c r="AH91" s="699"/>
      <c r="AI91" s="512">
        <f>IF(H91="credit",0,IF(AE91="free",0,IF(AE91="me",0,IF(G91&gt;0,(VLOOKUP(A91,'Discount Lookup'!J:K,2)*G91),0))))</f>
        <v>0</v>
      </c>
      <c r="AJ91" s="513" t="str">
        <f t="shared" ca="1" si="60"/>
        <v/>
      </c>
      <c r="AK91" s="700" t="str">
        <f t="shared" si="61"/>
        <v/>
      </c>
      <c r="AL91" s="700"/>
      <c r="AM91" s="505" t="str">
        <f t="shared" si="62"/>
        <v/>
      </c>
      <c r="AN91" s="506"/>
      <c r="AO91" s="507"/>
      <c r="AP91" s="507"/>
      <c r="AQ91" s="507"/>
      <c r="AR91" s="507"/>
      <c r="AS91" s="507"/>
      <c r="AT91" s="507"/>
      <c r="AU91" s="507"/>
      <c r="AV91" s="225"/>
      <c r="AW91" s="508"/>
      <c r="AX91" s="225"/>
      <c r="AY91" s="225"/>
      <c r="AZ91" s="225"/>
      <c r="BA91" s="225"/>
      <c r="BB91" s="225"/>
      <c r="BC91" s="56"/>
      <c r="BD91" s="56"/>
      <c r="BE91" s="56"/>
      <c r="BF91" s="107" t="str">
        <f t="shared" si="63"/>
        <v>https://www.google.com/search?tbm=isch&amp;q=Angelica%20Blue%20Juniper%20Juniperus%20chinensis%20%27Angelica%20Blue%27</v>
      </c>
      <c r="BG91" s="107" t="str">
        <f t="shared" si="64"/>
        <v>A</v>
      </c>
      <c r="BH91" s="254"/>
      <c r="BI91" s="254"/>
    </row>
    <row r="92" spans="1:61" customFormat="1" ht="15.75" x14ac:dyDescent="0.25">
      <c r="A92" s="485">
        <v>3</v>
      </c>
      <c r="B92" s="486" t="s">
        <v>291</v>
      </c>
      <c r="C92" s="487" t="s">
        <v>2706</v>
      </c>
      <c r="D92" s="488" t="s">
        <v>299</v>
      </c>
      <c r="E92" s="489">
        <v>30.95</v>
      </c>
      <c r="F92" s="516" t="s">
        <v>293</v>
      </c>
      <c r="G92" s="232">
        <v>0</v>
      </c>
      <c r="H92" s="658" t="str">
        <f>IF(G92=0,"",IF(F92="Buy",IF(G92=1,"plant","plants"),IF(F92&gt;0.01,"warranty","Error")))</f>
        <v/>
      </c>
      <c r="I92" s="490">
        <f>IF(H92="free",0,IF(H92="credit",((E92*(F92))*G92*-1),IF(F92="Buy",(E92*G92),((E92*(1-F92))*G92))))</f>
        <v>0</v>
      </c>
      <c r="J92" s="490">
        <f>IF(H92="warranty",0,(I92*(_xlfn.SINGLE(SalesTaxPercentage))))</f>
        <v>0</v>
      </c>
      <c r="K92" s="695">
        <f t="shared" ref="K92" si="70">I92+J92</f>
        <v>0</v>
      </c>
      <c r="L92" s="695"/>
      <c r="M92" s="659" t="str">
        <f>IF(AND(G92&gt;0,E92=0),"WARNING - no PRICE inserted",IF(H92="free"," FREE ~ no charge this plant",IF(H92="credit",CONCATENATE(" -$",ROUND(K92*(1-T2GDiscount)*-1,2)," CREDIT after discount"),IF(T2GDiscount=0,"",IF(G92=0,"",IF(F92="Buy",CONCATENATE(" $",ROUND(K92*(1-T2GDiscount),2)," with ",(T2GDiscount*100),"% discount"),CONCATENATE(" $",ROUND(K92*(1-T2GDiscount),2)," with ",((T2GDiscount*100+F92*100)-(T2GDiscount*100*F92)),IF(F92&gt;0,"% discounts",IF(NoWarrantyDiscount&gt;0,"% discounts","% discount")))))))))</f>
        <v/>
      </c>
      <c r="N92" s="660"/>
      <c r="O92" s="233"/>
      <c r="P92" s="233"/>
      <c r="Q92" s="233"/>
      <c r="R92" s="233"/>
      <c r="S92" s="233"/>
      <c r="T92" s="508">
        <f t="shared" si="52"/>
        <v>0</v>
      </c>
      <c r="U92" s="225">
        <f>IF(NOT(ISNUMBER(G92)), "", VLOOKUP(A92,'Discount Lookup'!D:E,2,FALSE)*G92)</f>
        <v>0</v>
      </c>
      <c r="V92" s="225">
        <f>IF(NOT(ISNUMBER(G92)), "", VLOOKUP(A92,'Discount Lookup'!G:H,2,FALSE)*G92)</f>
        <v>0</v>
      </c>
      <c r="W92" s="508">
        <f t="shared" si="53"/>
        <v>0</v>
      </c>
      <c r="X92" s="508">
        <f t="shared" si="54"/>
        <v>0</v>
      </c>
      <c r="Y92" s="509" t="b">
        <f t="shared" si="55"/>
        <v>0</v>
      </c>
      <c r="Z92" s="510">
        <f t="shared" si="56"/>
        <v>0</v>
      </c>
      <c r="AA92" s="511"/>
      <c r="AB92" s="511" t="str">
        <f t="shared" si="57"/>
        <v/>
      </c>
      <c r="AC92" s="698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698"/>
      <c r="AE92" s="631" t="str">
        <f t="shared" si="58"/>
        <v/>
      </c>
      <c r="AF92" s="699" t="str">
        <f t="shared" si="59"/>
        <v/>
      </c>
      <c r="AG92" s="699"/>
      <c r="AH92" s="699"/>
      <c r="AI92" s="512">
        <f>IF(H92="credit",0,IF(AE92="free",0,IF(AE92="me",0,IF(G92&gt;0,(VLOOKUP(A92,'Discount Lookup'!J:K,2)*G92),0))))</f>
        <v>0</v>
      </c>
      <c r="AJ92" s="513" t="str">
        <f t="shared" ca="1" si="60"/>
        <v/>
      </c>
      <c r="AK92" s="700" t="str">
        <f t="shared" si="61"/>
        <v/>
      </c>
      <c r="AL92" s="700"/>
      <c r="AM92" s="505" t="str">
        <f t="shared" si="62"/>
        <v/>
      </c>
      <c r="AN92" s="506"/>
      <c r="AO92" s="507"/>
      <c r="AP92" s="507"/>
      <c r="AQ92" s="507"/>
      <c r="AR92" s="507"/>
      <c r="AS92" s="507"/>
      <c r="AT92" s="507"/>
      <c r="AU92" s="507"/>
      <c r="AV92" s="225"/>
      <c r="AW92" s="508"/>
      <c r="AX92" s="225"/>
      <c r="AY92" s="225"/>
      <c r="AZ92" s="225"/>
      <c r="BA92" s="225"/>
      <c r="BB92" s="225"/>
      <c r="BC92" s="56"/>
      <c r="BD92" s="56"/>
      <c r="BE92" s="56"/>
      <c r="BF92" s="107" t="str">
        <f t="shared" si="63"/>
        <v>https://www.google.com/search?tbm=isch&amp;q=3%20G5</v>
      </c>
      <c r="BG92" s="107" t="str">
        <f t="shared" si="64"/>
        <v>A</v>
      </c>
      <c r="BH92" s="254"/>
      <c r="BI92" s="254"/>
    </row>
    <row r="93" spans="1:61" customFormat="1" ht="17.25" thickBot="1" x14ac:dyDescent="0.3">
      <c r="A93" s="522" t="s">
        <v>2659</v>
      </c>
      <c r="B93" s="491"/>
      <c r="C93" s="675"/>
      <c r="D93" s="491"/>
      <c r="E93" s="491"/>
      <c r="F93" s="492"/>
      <c r="G93" s="493"/>
      <c r="H93" s="491"/>
      <c r="I93" s="234"/>
      <c r="J93" s="234"/>
      <c r="K93" s="494"/>
      <c r="L93" s="543"/>
      <c r="M93" s="561"/>
      <c r="N93" s="495"/>
      <c r="O93" s="496"/>
      <c r="P93" s="497"/>
      <c r="Q93" s="495"/>
      <c r="R93" s="495"/>
      <c r="S93" s="667" t="s">
        <v>4982</v>
      </c>
      <c r="T93" s="508">
        <f t="shared" si="52"/>
        <v>0</v>
      </c>
      <c r="U93" s="225" t="str">
        <f>IF(NOT(ISNUMBER(G93)), "", VLOOKUP(A93,'Discount Lookup'!D:E,2,FALSE)*G93)</f>
        <v/>
      </c>
      <c r="V93" s="225" t="str">
        <f>IF(NOT(ISNUMBER(G93)), "", VLOOKUP(A93,'Discount Lookup'!G:H,2,FALSE)*G93)</f>
        <v/>
      </c>
      <c r="W93" s="508">
        <f t="shared" si="53"/>
        <v>0</v>
      </c>
      <c r="X93" s="508">
        <f t="shared" si="54"/>
        <v>0</v>
      </c>
      <c r="Y93" s="509" t="b">
        <f t="shared" si="55"/>
        <v>0</v>
      </c>
      <c r="Z93" s="510">
        <f t="shared" si="56"/>
        <v>0</v>
      </c>
      <c r="AA93" s="511"/>
      <c r="AB93" s="511" t="str">
        <f t="shared" si="57"/>
        <v/>
      </c>
      <c r="AC93" s="698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698"/>
      <c r="AE93" s="631" t="str">
        <f t="shared" si="58"/>
        <v/>
      </c>
      <c r="AF93" s="699" t="str">
        <f t="shared" si="59"/>
        <v/>
      </c>
      <c r="AG93" s="699"/>
      <c r="AH93" s="699"/>
      <c r="AI93" s="512">
        <f>IF(H93="credit",0,IF(AE93="free",0,IF(AE93="me",0,IF(G93&gt;0,(VLOOKUP(A93,'Discount Lookup'!J:K,2)*G93),0))))</f>
        <v>0</v>
      </c>
      <c r="AJ93" s="513" t="str">
        <f t="shared" ca="1" si="60"/>
        <v/>
      </c>
      <c r="AK93" s="700" t="str">
        <f t="shared" si="61"/>
        <v/>
      </c>
      <c r="AL93" s="700"/>
      <c r="AM93" s="505" t="str">
        <f t="shared" si="62"/>
        <v/>
      </c>
      <c r="AN93" s="506"/>
      <c r="AO93" s="507"/>
      <c r="AP93" s="507"/>
      <c r="AQ93" s="507"/>
      <c r="AR93" s="507"/>
      <c r="AS93" s="507"/>
      <c r="AT93" s="507"/>
      <c r="AU93" s="507"/>
      <c r="AV93" s="225"/>
      <c r="AW93" s="508"/>
      <c r="AX93" s="225"/>
      <c r="AY93" s="225"/>
      <c r="AZ93" s="225"/>
      <c r="BA93" s="225"/>
      <c r="BB93" s="225"/>
      <c r="BC93" s="56"/>
      <c r="BD93" s="56"/>
      <c r="BE93" s="56"/>
      <c r="BF93" s="107" t="str">
        <f t="shared" si="63"/>
        <v>https://www.google.com/search?tbm=isch&amp;q=Angelica%20Blue%27s%20vivid%20Steel-Blue%20foliage%20intensifies%20in%20fall.%20Arching%20branches.%20Exfoliating%20bark.%20Sun%2Fheat%2Fdrought%20tolerant%20</v>
      </c>
      <c r="BG93" s="107" t="str">
        <f t="shared" si="64"/>
        <v>A</v>
      </c>
      <c r="BH93" s="254"/>
      <c r="BI93" s="254"/>
    </row>
    <row r="94" spans="1:61" customFormat="1" ht="18" x14ac:dyDescent="0.25">
      <c r="A94" s="521" t="s">
        <v>609</v>
      </c>
      <c r="B94" s="477"/>
      <c r="C94" s="674"/>
      <c r="D94" s="478" t="s">
        <v>608</v>
      </c>
      <c r="E94" s="479"/>
      <c r="F94" s="479"/>
      <c r="G94" s="479"/>
      <c r="H94" s="582" t="s">
        <v>919</v>
      </c>
      <c r="I94" s="480" t="s">
        <v>3914</v>
      </c>
      <c r="J94" s="479"/>
      <c r="K94" s="479"/>
      <c r="L94" s="560"/>
      <c r="M94" s="666" t="s">
        <v>4963</v>
      </c>
      <c r="N94" s="680" t="str">
        <f>IF(AND(ISTEXT($A94), ISERROR($A94+0)), HYPERLINK($BF94, "Images"), "")</f>
        <v>Images</v>
      </c>
      <c r="O94" s="662" t="s">
        <v>4974</v>
      </c>
      <c r="P94" s="482"/>
      <c r="Q94" s="483"/>
      <c r="R94" s="483"/>
      <c r="S94" s="484"/>
      <c r="T94" s="508">
        <f t="shared" si="52"/>
        <v>0</v>
      </c>
      <c r="U94" s="225" t="str">
        <f>IF(NOT(ISNUMBER(G94)), "", VLOOKUP(A94,'Discount Lookup'!D:E,2,FALSE)*G94)</f>
        <v/>
      </c>
      <c r="V94" s="225" t="str">
        <f>IF(NOT(ISNUMBER(G94)), "", VLOOKUP(A94,'Discount Lookup'!G:H,2,FALSE)*G94)</f>
        <v/>
      </c>
      <c r="W94" s="508">
        <f t="shared" si="53"/>
        <v>0</v>
      </c>
      <c r="X94" s="508" t="str">
        <f t="shared" si="54"/>
        <v>Chartreuse to Golden foliage</v>
      </c>
      <c r="Y94" s="509" t="b">
        <f t="shared" si="55"/>
        <v>0</v>
      </c>
      <c r="Z94" s="510">
        <f t="shared" si="56"/>
        <v>0</v>
      </c>
      <c r="AA94" s="511"/>
      <c r="AB94" s="511" t="str">
        <f t="shared" si="57"/>
        <v/>
      </c>
      <c r="AC94" s="698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698"/>
      <c r="AE94" s="631" t="str">
        <f t="shared" si="58"/>
        <v/>
      </c>
      <c r="AF94" s="699" t="str">
        <f t="shared" si="59"/>
        <v/>
      </c>
      <c r="AG94" s="699"/>
      <c r="AH94" s="699"/>
      <c r="AI94" s="512">
        <f>IF(H94="credit",0,IF(AE94="free",0,IF(AE94="me",0,IF(G94&gt;0,(VLOOKUP(A94,'Discount Lookup'!J:K,2)*G94),0))))</f>
        <v>0</v>
      </c>
      <c r="AJ94" s="513" t="str">
        <f t="shared" ca="1" si="60"/>
        <v/>
      </c>
      <c r="AK94" s="700" t="str">
        <f t="shared" si="61"/>
        <v/>
      </c>
      <c r="AL94" s="700"/>
      <c r="AM94" s="505" t="str">
        <f t="shared" si="62"/>
        <v/>
      </c>
      <c r="AN94" s="506"/>
      <c r="AO94" s="507"/>
      <c r="AP94" s="507"/>
      <c r="AQ94" s="507"/>
      <c r="AR94" s="507"/>
      <c r="AS94" s="507"/>
      <c r="AT94" s="507"/>
      <c r="AU94" s="507"/>
      <c r="AV94" s="225"/>
      <c r="AW94" s="508"/>
      <c r="AX94" s="225"/>
      <c r="AY94" s="225"/>
      <c r="AZ94" s="225"/>
      <c r="BA94" s="225"/>
      <c r="BB94" s="225"/>
      <c r="BC94" s="56"/>
      <c r="BD94" s="56"/>
      <c r="BE94" s="56"/>
      <c r="BF94" s="107" t="str">
        <f t="shared" si="63"/>
        <v>https://www.google.com/search?tbm=isch&amp;q=Angelina%20Sedum%20Sedum%20rupestre%20%27Angelina%27</v>
      </c>
      <c r="BG94" s="107" t="str">
        <f t="shared" si="64"/>
        <v>A</v>
      </c>
      <c r="BH94" s="254"/>
      <c r="BI94" s="254"/>
    </row>
    <row r="95" spans="1:61" customFormat="1" ht="15.75" x14ac:dyDescent="0.25">
      <c r="A95" s="485">
        <v>2</v>
      </c>
      <c r="B95" s="486" t="s">
        <v>291</v>
      </c>
      <c r="C95" s="487"/>
      <c r="D95" s="488" t="s">
        <v>300</v>
      </c>
      <c r="E95" s="489">
        <v>28.95</v>
      </c>
      <c r="F95" s="516" t="s">
        <v>293</v>
      </c>
      <c r="G95" s="232">
        <v>0</v>
      </c>
      <c r="H95" s="658" t="str">
        <f>IF(G95=0,"",IF(F95="Buy",IF(G95=1,"plant","plants"),IF(F95&gt;0.01,"warranty","Error")))</f>
        <v/>
      </c>
      <c r="I95" s="490">
        <f>IF(H95="free",0,IF(H95="credit",((E95*(F95))*G95*-1),IF(F95="Buy",(E95*G95),((E95*(1-F95))*G95))))</f>
        <v>0</v>
      </c>
      <c r="J95" s="490">
        <f>IF(H95="warranty",0,(I95*(_xlfn.SINGLE(SalesTaxPercentage))))</f>
        <v>0</v>
      </c>
      <c r="K95" s="695">
        <f t="shared" ref="K95" si="71">I95+J95</f>
        <v>0</v>
      </c>
      <c r="L95" s="695"/>
      <c r="M95" s="659" t="str">
        <f>IF(AND(G95&gt;0,E95=0),"WARNING - no PRICE inserted",IF(H95="free"," FREE ~ no charge this plant",IF(H95="credit",CONCATENATE(" -$",ROUND(K95*(1-T2GDiscount)*-1,2)," CREDIT after discount"),IF(T2GDiscount=0,"",IF(G95=0,"",IF(F95="Buy",CONCATENATE(" $",ROUND(K95*(1-T2GDiscount),2)," with ",(T2GDiscount*100),"% discount"),CONCATENATE(" $",ROUND(K95*(1-T2GDiscount),2)," with ",((T2GDiscount*100+F95*100)-(T2GDiscount*100*F95)),IF(F95&gt;0,"% discounts",IF(NoWarrantyDiscount&gt;0,"% discounts","% discount")))))))))</f>
        <v/>
      </c>
      <c r="N95" s="660"/>
      <c r="O95" s="233"/>
      <c r="P95" s="233"/>
      <c r="Q95" s="233"/>
      <c r="R95" s="233"/>
      <c r="S95" s="233"/>
      <c r="T95" s="508">
        <f t="shared" si="52"/>
        <v>0</v>
      </c>
      <c r="U95" s="225">
        <f>IF(NOT(ISNUMBER(G95)), "", VLOOKUP(A95,'Discount Lookup'!D:E,2,FALSE)*G95)</f>
        <v>0</v>
      </c>
      <c r="V95" s="225">
        <f>IF(NOT(ISNUMBER(G95)), "", VLOOKUP(A95,'Discount Lookup'!G:H,2,FALSE)*G95)</f>
        <v>0</v>
      </c>
      <c r="W95" s="508">
        <f t="shared" si="53"/>
        <v>0</v>
      </c>
      <c r="X95" s="508">
        <f t="shared" si="54"/>
        <v>0</v>
      </c>
      <c r="Y95" s="509" t="b">
        <f t="shared" si="55"/>
        <v>0</v>
      </c>
      <c r="Z95" s="510">
        <f t="shared" si="56"/>
        <v>0</v>
      </c>
      <c r="AA95" s="511"/>
      <c r="AB95" s="511" t="str">
        <f t="shared" si="57"/>
        <v/>
      </c>
      <c r="AC95" s="698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698"/>
      <c r="AE95" s="631" t="str">
        <f t="shared" si="58"/>
        <v/>
      </c>
      <c r="AF95" s="699" t="str">
        <f t="shared" si="59"/>
        <v/>
      </c>
      <c r="AG95" s="699"/>
      <c r="AH95" s="699"/>
      <c r="AI95" s="512">
        <f>IF(H95="credit",0,IF(AE95="free",0,IF(AE95="me",0,IF(G95&gt;0,(VLOOKUP(A95,'Discount Lookup'!J:K,2)*G95),0))))</f>
        <v>0</v>
      </c>
      <c r="AJ95" s="513" t="str">
        <f t="shared" ca="1" si="60"/>
        <v/>
      </c>
      <c r="AK95" s="700" t="str">
        <f t="shared" si="61"/>
        <v/>
      </c>
      <c r="AL95" s="700"/>
      <c r="AM95" s="505" t="str">
        <f t="shared" si="62"/>
        <v/>
      </c>
      <c r="AN95" s="506"/>
      <c r="AO95" s="507"/>
      <c r="AP95" s="507"/>
      <c r="AQ95" s="507"/>
      <c r="AR95" s="507"/>
      <c r="AS95" s="507"/>
      <c r="AT95" s="507"/>
      <c r="AU95" s="507"/>
      <c r="AV95" s="225"/>
      <c r="AW95" s="508"/>
      <c r="AX95" s="225"/>
      <c r="AY95" s="225"/>
      <c r="AZ95" s="225"/>
      <c r="BA95" s="225"/>
      <c r="BB95" s="225"/>
      <c r="BC95" s="56"/>
      <c r="BD95" s="56"/>
      <c r="BE95" s="56"/>
      <c r="BF95" s="107" t="str">
        <f t="shared" si="63"/>
        <v>https://www.google.com/search?tbm=isch&amp;q=2%20G6</v>
      </c>
      <c r="BG95" s="107" t="str">
        <f t="shared" si="64"/>
        <v>A</v>
      </c>
      <c r="BH95" s="254"/>
      <c r="BI95" s="254"/>
    </row>
    <row r="96" spans="1:61" customFormat="1" ht="17.25" thickBot="1" x14ac:dyDescent="0.3">
      <c r="A96" s="522" t="s">
        <v>3915</v>
      </c>
      <c r="B96" s="491"/>
      <c r="C96" s="675"/>
      <c r="D96" s="491"/>
      <c r="E96" s="491"/>
      <c r="F96" s="492"/>
      <c r="G96" s="493"/>
      <c r="H96" s="491"/>
      <c r="I96" s="234"/>
      <c r="J96" s="234"/>
      <c r="K96" s="494"/>
      <c r="L96" s="543"/>
      <c r="M96" s="561"/>
      <c r="N96" s="495"/>
      <c r="O96" s="496"/>
      <c r="P96" s="497"/>
      <c r="Q96" s="495"/>
      <c r="R96" s="495"/>
      <c r="S96" s="667" t="s">
        <v>4983</v>
      </c>
      <c r="T96" s="508">
        <f t="shared" si="52"/>
        <v>0</v>
      </c>
      <c r="U96" s="225" t="str">
        <f>IF(NOT(ISNUMBER(G96)), "", VLOOKUP(A96,'Discount Lookup'!D:E,2,FALSE)*G96)</f>
        <v/>
      </c>
      <c r="V96" s="225" t="str">
        <f>IF(NOT(ISNUMBER(G96)), "", VLOOKUP(A96,'Discount Lookup'!G:H,2,FALSE)*G96)</f>
        <v/>
      </c>
      <c r="W96" s="508">
        <f t="shared" si="53"/>
        <v>0</v>
      </c>
      <c r="X96" s="508">
        <f t="shared" si="54"/>
        <v>0</v>
      </c>
      <c r="Y96" s="509" t="b">
        <f t="shared" si="55"/>
        <v>0</v>
      </c>
      <c r="Z96" s="510">
        <f t="shared" si="56"/>
        <v>0</v>
      </c>
      <c r="AA96" s="511"/>
      <c r="AB96" s="511" t="str">
        <f t="shared" si="57"/>
        <v/>
      </c>
      <c r="AC96" s="698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698"/>
      <c r="AE96" s="631" t="str">
        <f t="shared" si="58"/>
        <v/>
      </c>
      <c r="AF96" s="699" t="str">
        <f t="shared" si="59"/>
        <v/>
      </c>
      <c r="AG96" s="699"/>
      <c r="AH96" s="699"/>
      <c r="AI96" s="512">
        <f>IF(H96="credit",0,IF(AE96="free",0,IF(AE96="me",0,IF(G96&gt;0,(VLOOKUP(A96,'Discount Lookup'!J:K,2)*G96),0))))</f>
        <v>0</v>
      </c>
      <c r="AJ96" s="513" t="str">
        <f t="shared" ca="1" si="60"/>
        <v/>
      </c>
      <c r="AK96" s="700" t="str">
        <f t="shared" si="61"/>
        <v/>
      </c>
      <c r="AL96" s="700"/>
      <c r="AM96" s="505" t="str">
        <f t="shared" si="62"/>
        <v/>
      </c>
      <c r="AN96" s="506"/>
      <c r="AO96" s="507"/>
      <c r="AP96" s="507"/>
      <c r="AQ96" s="507"/>
      <c r="AR96" s="507"/>
      <c r="AS96" s="507"/>
      <c r="AT96" s="507"/>
      <c r="AU96" s="507"/>
      <c r="AV96" s="225"/>
      <c r="AW96" s="508"/>
      <c r="AX96" s="225"/>
      <c r="AY96" s="225"/>
      <c r="AZ96" s="225"/>
      <c r="BA96" s="225"/>
      <c r="BB96" s="225"/>
      <c r="BC96" s="56"/>
      <c r="BD96" s="56"/>
      <c r="BE96" s="56"/>
      <c r="BF96" s="107" t="str">
        <f t="shared" si="63"/>
        <v>https://www.google.com/search?tbm=isch&amp;q=Angelina%20Sedum%20forms%20a%20vivid%20Chartreuse%20mat%20that%20turns%20Copper-Orange%20in%20fall.%20Yellow%20summer%20blooms.%20Semi-evergreen%20</v>
      </c>
      <c r="BG96" s="107" t="str">
        <f t="shared" si="64"/>
        <v>A</v>
      </c>
      <c r="BH96" s="254"/>
      <c r="BI96" s="254"/>
    </row>
    <row r="97" spans="1:61" customFormat="1" ht="18" x14ac:dyDescent="0.25">
      <c r="A97" s="521" t="s">
        <v>5294</v>
      </c>
      <c r="B97" s="477"/>
      <c r="C97" s="674"/>
      <c r="D97" s="478" t="s">
        <v>515</v>
      </c>
      <c r="E97" s="479"/>
      <c r="F97" s="479"/>
      <c r="G97" s="479"/>
      <c r="H97" s="582" t="s">
        <v>720</v>
      </c>
      <c r="I97" s="480" t="s">
        <v>2293</v>
      </c>
      <c r="J97" s="479"/>
      <c r="K97" s="479"/>
      <c r="L97" s="560"/>
      <c r="M97" s="666" t="s">
        <v>4966</v>
      </c>
      <c r="N97" s="680" t="str">
        <f>IF(AND(ISTEXT($A97), ISERROR($A97+0)), HYPERLINK($BF97, "Images"), "")</f>
        <v>Images</v>
      </c>
      <c r="O97" s="662" t="s">
        <v>4974</v>
      </c>
      <c r="P97" s="482"/>
      <c r="Q97" s="483"/>
      <c r="R97" s="483"/>
      <c r="S97" s="484" t="s">
        <v>305</v>
      </c>
      <c r="T97" s="508">
        <f t="shared" si="52"/>
        <v>0</v>
      </c>
      <c r="U97" s="225" t="str">
        <f>IF(NOT(ISNUMBER(G97)), "", VLOOKUP(A97,'Discount Lookup'!D:E,2,FALSE)*G97)</f>
        <v/>
      </c>
      <c r="V97" s="225" t="str">
        <f>IF(NOT(ISNUMBER(G97)), "", VLOOKUP(A97,'Discount Lookup'!G:H,2,FALSE)*G97)</f>
        <v/>
      </c>
      <c r="W97" s="508">
        <f t="shared" si="53"/>
        <v>0</v>
      </c>
      <c r="X97" s="508" t="str">
        <f t="shared" si="54"/>
        <v>Golden-Yellow foliage</v>
      </c>
      <c r="Y97" s="509" t="b">
        <f t="shared" si="55"/>
        <v>0</v>
      </c>
      <c r="Z97" s="510">
        <f t="shared" si="56"/>
        <v>0</v>
      </c>
      <c r="AA97" s="511"/>
      <c r="AB97" s="511" t="str">
        <f t="shared" si="57"/>
        <v/>
      </c>
      <c r="AC97" s="698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698"/>
      <c r="AE97" s="631" t="str">
        <f t="shared" si="58"/>
        <v/>
      </c>
      <c r="AF97" s="699" t="str">
        <f t="shared" si="59"/>
        <v/>
      </c>
      <c r="AG97" s="699"/>
      <c r="AH97" s="699"/>
      <c r="AI97" s="512">
        <f>IF(H97="credit",0,IF(AE97="free",0,IF(AE97="me",0,IF(G97&gt;0,(VLOOKUP(A97,'Discount Lookup'!J:K,2)*G97),0))))</f>
        <v>0</v>
      </c>
      <c r="AJ97" s="513" t="str">
        <f t="shared" ca="1" si="60"/>
        <v/>
      </c>
      <c r="AK97" s="700" t="str">
        <f t="shared" si="61"/>
        <v/>
      </c>
      <c r="AL97" s="700"/>
      <c r="AM97" s="505" t="str">
        <f t="shared" si="62"/>
        <v/>
      </c>
      <c r="AN97" s="506"/>
      <c r="AO97" s="507"/>
      <c r="AP97" s="507"/>
      <c r="AQ97" s="507"/>
      <c r="AR97" s="507"/>
      <c r="AS97" s="507"/>
      <c r="AT97" s="507"/>
      <c r="AU97" s="507"/>
      <c r="AV97" s="225"/>
      <c r="AW97" s="508"/>
      <c r="AX97" s="225"/>
      <c r="AY97" s="225"/>
      <c r="AZ97" s="225"/>
      <c r="BA97" s="225"/>
      <c r="BB97" s="225"/>
      <c r="BC97" s="56"/>
      <c r="BD97" s="56"/>
      <c r="BE97" s="56"/>
      <c r="BF97" s="107" t="str">
        <f t="shared" si="63"/>
        <v>https://www.google.com/search?tbm=isch&amp;q=Anna%27s%20Magic%20Ball%C2%AE%20Arborvitae%20Thuja%20occidentalis%20%27Anna%20van%20Vloten%27%20PP%2325868</v>
      </c>
      <c r="BG97" s="107" t="str">
        <f t="shared" si="64"/>
        <v>A</v>
      </c>
      <c r="BH97" s="254"/>
      <c r="BI97" s="254"/>
    </row>
    <row r="98" spans="1:61" customFormat="1" ht="15.75" x14ac:dyDescent="0.25">
      <c r="A98" s="485">
        <v>3</v>
      </c>
      <c r="B98" s="486" t="s">
        <v>291</v>
      </c>
      <c r="C98" s="487" t="s">
        <v>2707</v>
      </c>
      <c r="D98" s="488" t="s">
        <v>299</v>
      </c>
      <c r="E98" s="489">
        <v>45.95</v>
      </c>
      <c r="F98" s="516" t="s">
        <v>293</v>
      </c>
      <c r="G98" s="232">
        <v>0</v>
      </c>
      <c r="H98" s="658" t="str">
        <f>IF(G98=0,"",IF(F98="Buy",IF(G98=1,"plant","plants"),IF(F98&gt;0.01,"warranty","Error")))</f>
        <v/>
      </c>
      <c r="I98" s="490">
        <f>IF(H98="free",0,IF(H98="credit",((E98*(F98))*G98*-1),IF(F98="Buy",(E98*G98),((E98*(1-F98))*G98))))</f>
        <v>0</v>
      </c>
      <c r="J98" s="490">
        <f>IF(H98="warranty",0,(I98*(_xlfn.SINGLE(SalesTaxPercentage))))</f>
        <v>0</v>
      </c>
      <c r="K98" s="695">
        <f t="shared" ref="K98" si="72">I98+J98</f>
        <v>0</v>
      </c>
      <c r="L98" s="695"/>
      <c r="M98" s="659" t="str">
        <f>IF(AND(G98&gt;0,E98=0),"WARNING - no PRICE inserted",IF(H98="free"," FREE ~ no charge this plant",IF(H98="credit",CONCATENATE(" -$",ROUND(K98*(1-T2GDiscount)*-1,2)," CREDIT after discount"),IF(T2GDiscount=0,"",IF(G98=0,"",IF(F98="Buy",CONCATENATE(" $",ROUND(K98*(1-T2GDiscount),2)," with ",(T2GDiscount*100),"% discount"),CONCATENATE(" $",ROUND(K98*(1-T2GDiscount),2)," with ",((T2GDiscount*100+F98*100)-(T2GDiscount*100*F98)),IF(F98&gt;0,"% discounts",IF(NoWarrantyDiscount&gt;0,"% discounts","% discount")))))))))</f>
        <v/>
      </c>
      <c r="N98" s="660"/>
      <c r="O98" s="233"/>
      <c r="P98" s="233"/>
      <c r="Q98" s="233"/>
      <c r="R98" s="233"/>
      <c r="S98" s="233"/>
      <c r="T98" s="508">
        <f t="shared" si="52"/>
        <v>0</v>
      </c>
      <c r="U98" s="225">
        <f>IF(NOT(ISNUMBER(G98)), "", VLOOKUP(A98,'Discount Lookup'!D:E,2,FALSE)*G98)</f>
        <v>0</v>
      </c>
      <c r="V98" s="225">
        <f>IF(NOT(ISNUMBER(G98)), "", VLOOKUP(A98,'Discount Lookup'!G:H,2,FALSE)*G98)</f>
        <v>0</v>
      </c>
      <c r="W98" s="508">
        <f t="shared" si="53"/>
        <v>0</v>
      </c>
      <c r="X98" s="508">
        <f t="shared" si="54"/>
        <v>0</v>
      </c>
      <c r="Y98" s="509" t="b">
        <f t="shared" si="55"/>
        <v>0</v>
      </c>
      <c r="Z98" s="510">
        <f t="shared" si="56"/>
        <v>0</v>
      </c>
      <c r="AA98" s="511"/>
      <c r="AB98" s="511" t="str">
        <f t="shared" si="57"/>
        <v/>
      </c>
      <c r="AC98" s="698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698"/>
      <c r="AE98" s="631" t="str">
        <f t="shared" si="58"/>
        <v/>
      </c>
      <c r="AF98" s="699" t="str">
        <f t="shared" si="59"/>
        <v/>
      </c>
      <c r="AG98" s="699"/>
      <c r="AH98" s="699"/>
      <c r="AI98" s="512">
        <f>IF(H98="credit",0,IF(AE98="free",0,IF(AE98="me",0,IF(G98&gt;0,(VLOOKUP(A98,'Discount Lookup'!J:K,2)*G98),0))))</f>
        <v>0</v>
      </c>
      <c r="AJ98" s="513" t="str">
        <f t="shared" ca="1" si="60"/>
        <v/>
      </c>
      <c r="AK98" s="700" t="str">
        <f t="shared" si="61"/>
        <v/>
      </c>
      <c r="AL98" s="700"/>
      <c r="AM98" s="505" t="str">
        <f t="shared" si="62"/>
        <v/>
      </c>
      <c r="AN98" s="506"/>
      <c r="AO98" s="507"/>
      <c r="AP98" s="507"/>
      <c r="AQ98" s="507"/>
      <c r="AR98" s="507"/>
      <c r="AS98" s="507"/>
      <c r="AT98" s="507"/>
      <c r="AU98" s="507"/>
      <c r="AV98" s="225"/>
      <c r="AW98" s="508"/>
      <c r="AX98" s="225"/>
      <c r="AY98" s="225"/>
      <c r="AZ98" s="225"/>
      <c r="BA98" s="225"/>
      <c r="BB98" s="225"/>
      <c r="BC98" s="56"/>
      <c r="BD98" s="56"/>
      <c r="BE98" s="56"/>
      <c r="BF98" s="107" t="str">
        <f t="shared" si="63"/>
        <v>https://www.google.com/search?tbm=isch&amp;q=3%20G5</v>
      </c>
      <c r="BG98" s="107" t="str">
        <f t="shared" si="64"/>
        <v>A</v>
      </c>
      <c r="BH98" s="254"/>
      <c r="BI98" s="254"/>
    </row>
    <row r="99" spans="1:61" customFormat="1" ht="17.25" thickBot="1" x14ac:dyDescent="0.3">
      <c r="A99" s="522" t="s">
        <v>2866</v>
      </c>
      <c r="B99" s="491"/>
      <c r="C99" s="675"/>
      <c r="D99" s="491"/>
      <c r="E99" s="491"/>
      <c r="F99" s="492"/>
      <c r="G99" s="493"/>
      <c r="H99" s="491"/>
      <c r="I99" s="234"/>
      <c r="J99" s="234"/>
      <c r="K99" s="494"/>
      <c r="L99" s="543"/>
      <c r="M99" s="561"/>
      <c r="N99" s="495"/>
      <c r="O99" s="496"/>
      <c r="P99" s="497"/>
      <c r="Q99" s="495"/>
      <c r="R99" s="495"/>
      <c r="S99" s="667" t="s">
        <v>4984</v>
      </c>
      <c r="T99" s="508">
        <f t="shared" si="52"/>
        <v>0</v>
      </c>
      <c r="U99" s="225" t="str">
        <f>IF(NOT(ISNUMBER(G99)), "", VLOOKUP(A99,'Discount Lookup'!D:E,2,FALSE)*G99)</f>
        <v/>
      </c>
      <c r="V99" s="225" t="str">
        <f>IF(NOT(ISNUMBER(G99)), "", VLOOKUP(A99,'Discount Lookup'!G:H,2,FALSE)*G99)</f>
        <v/>
      </c>
      <c r="W99" s="508">
        <f t="shared" si="53"/>
        <v>0</v>
      </c>
      <c r="X99" s="508">
        <f t="shared" si="54"/>
        <v>0</v>
      </c>
      <c r="Y99" s="509" t="b">
        <f t="shared" si="55"/>
        <v>0</v>
      </c>
      <c r="Z99" s="510">
        <f t="shared" si="56"/>
        <v>0</v>
      </c>
      <c r="AA99" s="511"/>
      <c r="AB99" s="511" t="str">
        <f t="shared" si="57"/>
        <v/>
      </c>
      <c r="AC99" s="698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698"/>
      <c r="AE99" s="631" t="str">
        <f t="shared" si="58"/>
        <v/>
      </c>
      <c r="AF99" s="699" t="str">
        <f t="shared" si="59"/>
        <v/>
      </c>
      <c r="AG99" s="699"/>
      <c r="AH99" s="699"/>
      <c r="AI99" s="512">
        <f>IF(H99="credit",0,IF(AE99="free",0,IF(AE99="me",0,IF(G99&gt;0,(VLOOKUP(A99,'Discount Lookup'!J:K,2)*G99),0))))</f>
        <v>0</v>
      </c>
      <c r="AJ99" s="513" t="str">
        <f t="shared" ca="1" si="60"/>
        <v/>
      </c>
      <c r="AK99" s="700" t="str">
        <f t="shared" si="61"/>
        <v/>
      </c>
      <c r="AL99" s="700"/>
      <c r="AM99" s="505" t="str">
        <f t="shared" si="62"/>
        <v/>
      </c>
      <c r="AN99" s="506"/>
      <c r="AO99" s="507"/>
      <c r="AP99" s="507"/>
      <c r="AQ99" s="507"/>
      <c r="AR99" s="507"/>
      <c r="AS99" s="507"/>
      <c r="AT99" s="507"/>
      <c r="AU99" s="507"/>
      <c r="AV99" s="225"/>
      <c r="AW99" s="508"/>
      <c r="AX99" s="225"/>
      <c r="AY99" s="225"/>
      <c r="AZ99" s="225"/>
      <c r="BA99" s="225"/>
      <c r="BB99" s="225"/>
      <c r="BC99" s="56"/>
      <c r="BD99" s="56"/>
      <c r="BE99" s="56"/>
      <c r="BF99" s="107" t="str">
        <f t="shared" si="63"/>
        <v>https://www.google.com/search?tbm=isch&amp;q=Anna%27s%20Magic%20Ball%20foliage%20turns%20extra%20Golden%20in%20full%20sun.%20Very%20little%20if%20any%20Bronzing%20in%20winter%20</v>
      </c>
      <c r="BG99" s="107" t="str">
        <f t="shared" si="64"/>
        <v>A</v>
      </c>
      <c r="BH99" s="254"/>
      <c r="BI99" s="254"/>
    </row>
    <row r="100" spans="1:61" customFormat="1" ht="18" x14ac:dyDescent="0.25">
      <c r="A100" s="523" t="s">
        <v>538</v>
      </c>
      <c r="B100" s="235"/>
      <c r="C100" s="676"/>
      <c r="D100" s="255" t="s">
        <v>537</v>
      </c>
      <c r="E100" s="236"/>
      <c r="F100" s="236"/>
      <c r="G100" s="236"/>
      <c r="H100" s="582" t="s">
        <v>471</v>
      </c>
      <c r="I100" s="498" t="s">
        <v>655</v>
      </c>
      <c r="J100" s="237"/>
      <c r="K100" s="237"/>
      <c r="L100" s="274"/>
      <c r="M100" s="668" t="s">
        <v>4975</v>
      </c>
      <c r="N100" s="681" t="str">
        <f>IF(AND(ISTEXT($A100), ISERROR($A100+0)), HYPERLINK($BF100, "Images"), "")</f>
        <v>Images</v>
      </c>
      <c r="O100" s="663" t="s">
        <v>4967</v>
      </c>
      <c r="P100" s="253"/>
      <c r="Q100" s="238"/>
      <c r="R100" s="239"/>
      <c r="S100" s="275" t="s">
        <v>305</v>
      </c>
      <c r="T100" s="508">
        <f t="shared" si="52"/>
        <v>0</v>
      </c>
      <c r="U100" s="225" t="str">
        <f>IF(NOT(ISNUMBER(G100)), "", VLOOKUP(A100,'Discount Lookup'!D:E,2,FALSE)*G100)</f>
        <v/>
      </c>
      <c r="V100" s="225" t="str">
        <f>IF(NOT(ISNUMBER(G100)), "", VLOOKUP(A100,'Discount Lookup'!G:H,2,FALSE)*G100)</f>
        <v/>
      </c>
      <c r="W100" s="508">
        <f t="shared" si="53"/>
        <v>0</v>
      </c>
      <c r="X100" s="508" t="str">
        <f t="shared" si="54"/>
        <v>Red bloom</v>
      </c>
      <c r="Y100" s="509" t="b">
        <f t="shared" si="55"/>
        <v>0</v>
      </c>
      <c r="Z100" s="510">
        <f t="shared" si="56"/>
        <v>0</v>
      </c>
      <c r="AA100" s="511"/>
      <c r="AB100" s="511" t="str">
        <f t="shared" si="57"/>
        <v/>
      </c>
      <c r="AC100" s="698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698"/>
      <c r="AE100" s="631" t="str">
        <f t="shared" si="58"/>
        <v/>
      </c>
      <c r="AF100" s="699" t="str">
        <f t="shared" si="59"/>
        <v/>
      </c>
      <c r="AG100" s="699"/>
      <c r="AH100" s="699"/>
      <c r="AI100" s="512">
        <f>IF(H100="credit",0,IF(AE100="free",0,IF(AE100="me",0,IF(G100&gt;0,(VLOOKUP(A100,'Discount Lookup'!J:K,2)*G100),0))))</f>
        <v>0</v>
      </c>
      <c r="AJ100" s="513" t="str">
        <f t="shared" ca="1" si="60"/>
        <v/>
      </c>
      <c r="AK100" s="700" t="str">
        <f t="shared" si="61"/>
        <v/>
      </c>
      <c r="AL100" s="700"/>
      <c r="AM100" s="505" t="str">
        <f t="shared" si="62"/>
        <v/>
      </c>
      <c r="AN100" s="506"/>
      <c r="AO100" s="507"/>
      <c r="AP100" s="507"/>
      <c r="AQ100" s="507"/>
      <c r="AR100" s="507"/>
      <c r="AS100" s="507"/>
      <c r="AT100" s="507"/>
      <c r="AU100" s="507"/>
      <c r="AV100" s="225"/>
      <c r="AW100" s="508"/>
      <c r="AX100" s="225"/>
      <c r="AY100" s="225"/>
      <c r="AZ100" s="225"/>
      <c r="BA100" s="225"/>
      <c r="BB100" s="225"/>
      <c r="BC100" s="56"/>
      <c r="BD100" s="56"/>
      <c r="BE100" s="56"/>
      <c r="BF100" s="107" t="str">
        <f t="shared" si="63"/>
        <v>https://www.google.com/search?tbm=isch&amp;q=Aphrodite%20Sweetshrub%20Calycanthus%20%27Aphrodite%27%20PP%2324014</v>
      </c>
      <c r="BG100" s="107" t="str">
        <f t="shared" si="64"/>
        <v>A</v>
      </c>
      <c r="BH100" s="254"/>
      <c r="BI100" s="254"/>
    </row>
    <row r="101" spans="1:61" customFormat="1" ht="15.75" x14ac:dyDescent="0.25">
      <c r="A101" s="276">
        <v>3</v>
      </c>
      <c r="B101" s="240" t="s">
        <v>291</v>
      </c>
      <c r="C101" s="241" t="s">
        <v>328</v>
      </c>
      <c r="D101" s="242" t="s">
        <v>312</v>
      </c>
      <c r="E101" s="243">
        <v>39.950000000000003</v>
      </c>
      <c r="F101" s="517" t="s">
        <v>293</v>
      </c>
      <c r="G101" s="232">
        <v>0</v>
      </c>
      <c r="H101" s="661" t="str">
        <f t="shared" ref="H101:H108" si="73">IF(G101=0,"",IF(F101="Buy",IF(G101=1,"plant","plants"),IF(F101&gt;0.01,"warranty","Error")))</f>
        <v/>
      </c>
      <c r="I101" s="244">
        <f t="shared" ref="I101:I108" si="74">IF(H101="free",0,IF(H101="credit",((E101*(F101))*G101*-1),IF(F101="Buy",(E101*G101),((E101*(1-F101))*G101))))</f>
        <v>0</v>
      </c>
      <c r="J101" s="244">
        <f t="shared" ref="J101:J108" si="75">IF(H101="warranty",0,(I101*(_xlfn.SINGLE(SalesTaxPercentage))))</f>
        <v>0</v>
      </c>
      <c r="K101" s="696">
        <f t="shared" ref="K101" si="76">I101+J101</f>
        <v>0</v>
      </c>
      <c r="L101" s="696"/>
      <c r="M101" s="659" t="str">
        <f t="shared" ref="M101:M108" si="77">IF(AND(G101&gt;0,E101=0),"WARNING - no PRICE inserted",IF(H101="free"," FREE ~ no charge this plant",IF(H101="credit",CONCATENATE(" -$",ROUND(K101*(1-T2GDiscount)*-1,2)," CREDIT after discount"),IF(T2GDiscount=0,"",IF(G101=0,"",IF(F101="Buy",CONCATENATE(" $",ROUND(K101*(1-T2GDiscount),2)," with ",(T2GDiscount*100),"% discount"),CONCATENATE(" $",ROUND(K101*(1-T2GDiscount),2)," with ",((T2GDiscount*100+F101*100)-(T2GDiscount*100*F101)),IF(F101&gt;0,"% discounts",IF(NoWarrantyDiscount&gt;0,"% discounts","% discount")))))))))</f>
        <v/>
      </c>
      <c r="N101" s="660"/>
      <c r="O101" s="233"/>
      <c r="P101" s="233"/>
      <c r="Q101" s="233"/>
      <c r="R101" s="233"/>
      <c r="S101" s="233"/>
      <c r="T101" s="508">
        <f t="shared" si="52"/>
        <v>0</v>
      </c>
      <c r="U101" s="225">
        <f>IF(NOT(ISNUMBER(G101)), "", VLOOKUP(A101,'Discount Lookup'!D:E,2,FALSE)*G101)</f>
        <v>0</v>
      </c>
      <c r="V101" s="225">
        <f>IF(NOT(ISNUMBER(G101)), "", VLOOKUP(A101,'Discount Lookup'!G:H,2,FALSE)*G101)</f>
        <v>0</v>
      </c>
      <c r="W101" s="508">
        <f t="shared" si="53"/>
        <v>0</v>
      </c>
      <c r="X101" s="508">
        <f t="shared" si="54"/>
        <v>0</v>
      </c>
      <c r="Y101" s="509" t="b">
        <f t="shared" si="55"/>
        <v>0</v>
      </c>
      <c r="Z101" s="510">
        <f t="shared" si="56"/>
        <v>0</v>
      </c>
      <c r="AA101" s="511"/>
      <c r="AB101" s="511" t="str">
        <f t="shared" si="57"/>
        <v/>
      </c>
      <c r="AC101" s="698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698"/>
      <c r="AE101" s="631" t="str">
        <f t="shared" si="58"/>
        <v/>
      </c>
      <c r="AF101" s="699" t="str">
        <f t="shared" si="59"/>
        <v/>
      </c>
      <c r="AG101" s="699"/>
      <c r="AH101" s="699"/>
      <c r="AI101" s="512">
        <f>IF(H101="credit",0,IF(AE101="free",0,IF(AE101="me",0,IF(G101&gt;0,(VLOOKUP(A101,'Discount Lookup'!J:K,2)*G101),0))))</f>
        <v>0</v>
      </c>
      <c r="AJ101" s="513" t="str">
        <f t="shared" ca="1" si="60"/>
        <v/>
      </c>
      <c r="AK101" s="700" t="str">
        <f t="shared" si="61"/>
        <v/>
      </c>
      <c r="AL101" s="700"/>
      <c r="AM101" s="505" t="str">
        <f t="shared" si="62"/>
        <v/>
      </c>
      <c r="AN101" s="506"/>
      <c r="AO101" s="507"/>
      <c r="AP101" s="507"/>
      <c r="AQ101" s="507"/>
      <c r="AR101" s="507"/>
      <c r="AS101" s="507"/>
      <c r="AT101" s="507"/>
      <c r="AU101" s="507"/>
      <c r="AV101" s="225"/>
      <c r="AW101" s="508"/>
      <c r="AX101" s="225"/>
      <c r="AY101" s="225"/>
      <c r="AZ101" s="225"/>
      <c r="BA101" s="225"/>
      <c r="BB101" s="225"/>
      <c r="BC101" s="56"/>
      <c r="BD101" s="56"/>
      <c r="BE101" s="56"/>
      <c r="BF101" s="107" t="str">
        <f t="shared" si="63"/>
        <v>https://www.google.com/search?tbm=isch&amp;q=3%20G2</v>
      </c>
      <c r="BG101" s="107" t="str">
        <f t="shared" si="64"/>
        <v>A</v>
      </c>
      <c r="BH101" s="254"/>
      <c r="BI101" s="254"/>
    </row>
    <row r="102" spans="1:61" customFormat="1" ht="15.75" x14ac:dyDescent="0.25">
      <c r="A102" s="276">
        <v>3</v>
      </c>
      <c r="B102" s="240" t="s">
        <v>291</v>
      </c>
      <c r="C102" s="241" t="s">
        <v>2708</v>
      </c>
      <c r="D102" s="242" t="s">
        <v>299</v>
      </c>
      <c r="E102" s="243">
        <v>42.95</v>
      </c>
      <c r="F102" s="517" t="s">
        <v>293</v>
      </c>
      <c r="G102" s="232">
        <v>0</v>
      </c>
      <c r="H102" s="661" t="str">
        <f t="shared" si="73"/>
        <v/>
      </c>
      <c r="I102" s="244">
        <f t="shared" si="74"/>
        <v>0</v>
      </c>
      <c r="J102" s="244">
        <f t="shared" si="75"/>
        <v>0</v>
      </c>
      <c r="K102" s="696">
        <f t="shared" ref="K102" si="78">I102+J102</f>
        <v>0</v>
      </c>
      <c r="L102" s="696"/>
      <c r="M102" s="659" t="str">
        <f t="shared" si="77"/>
        <v/>
      </c>
      <c r="N102" s="660"/>
      <c r="O102" s="233"/>
      <c r="P102" s="233"/>
      <c r="Q102" s="233"/>
      <c r="R102" s="233"/>
      <c r="S102" s="233"/>
      <c r="T102" s="508">
        <f t="shared" si="52"/>
        <v>0</v>
      </c>
      <c r="U102" s="225">
        <f>IF(NOT(ISNUMBER(G102)), "", VLOOKUP(A102,'Discount Lookup'!D:E,2,FALSE)*G102)</f>
        <v>0</v>
      </c>
      <c r="V102" s="225">
        <f>IF(NOT(ISNUMBER(G102)), "", VLOOKUP(A102,'Discount Lookup'!G:H,2,FALSE)*G102)</f>
        <v>0</v>
      </c>
      <c r="W102" s="508">
        <f t="shared" si="53"/>
        <v>0</v>
      </c>
      <c r="X102" s="508">
        <f t="shared" si="54"/>
        <v>0</v>
      </c>
      <c r="Y102" s="509" t="b">
        <f t="shared" si="55"/>
        <v>0</v>
      </c>
      <c r="Z102" s="510">
        <f t="shared" si="56"/>
        <v>0</v>
      </c>
      <c r="AA102" s="511"/>
      <c r="AB102" s="511" t="str">
        <f t="shared" si="57"/>
        <v/>
      </c>
      <c r="AC102" s="698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698"/>
      <c r="AE102" s="631" t="str">
        <f t="shared" si="58"/>
        <v/>
      </c>
      <c r="AF102" s="699" t="str">
        <f t="shared" si="59"/>
        <v/>
      </c>
      <c r="AG102" s="699"/>
      <c r="AH102" s="699"/>
      <c r="AI102" s="512">
        <f>IF(H102="credit",0,IF(AE102="free",0,IF(AE102="me",0,IF(G102&gt;0,(VLOOKUP(A102,'Discount Lookup'!J:K,2)*G102),0))))</f>
        <v>0</v>
      </c>
      <c r="AJ102" s="513" t="str">
        <f t="shared" ca="1" si="60"/>
        <v/>
      </c>
      <c r="AK102" s="700" t="str">
        <f t="shared" si="61"/>
        <v/>
      </c>
      <c r="AL102" s="700"/>
      <c r="AM102" s="505" t="str">
        <f t="shared" si="62"/>
        <v/>
      </c>
      <c r="AN102" s="506"/>
      <c r="AO102" s="507"/>
      <c r="AP102" s="507"/>
      <c r="AQ102" s="507"/>
      <c r="AR102" s="507"/>
      <c r="AS102" s="507"/>
      <c r="AT102" s="507"/>
      <c r="AU102" s="507"/>
      <c r="AV102" s="225"/>
      <c r="AW102" s="508"/>
      <c r="AX102" s="225"/>
      <c r="AY102" s="225"/>
      <c r="AZ102" s="225"/>
      <c r="BA102" s="225"/>
      <c r="BB102" s="225"/>
      <c r="BC102" s="56"/>
      <c r="BD102" s="56"/>
      <c r="BE102" s="56"/>
      <c r="BF102" s="107" t="str">
        <f t="shared" si="63"/>
        <v>https://www.google.com/search?tbm=isch&amp;q=3%20G5</v>
      </c>
      <c r="BG102" s="107" t="str">
        <f t="shared" si="64"/>
        <v>A</v>
      </c>
      <c r="BH102" s="254"/>
      <c r="BI102" s="254"/>
    </row>
    <row r="103" spans="1:61" customFormat="1" ht="15.75" x14ac:dyDescent="0.25">
      <c r="A103" s="276">
        <v>3</v>
      </c>
      <c r="B103" s="240" t="s">
        <v>291</v>
      </c>
      <c r="C103" s="241" t="s">
        <v>3306</v>
      </c>
      <c r="D103" s="242" t="s">
        <v>292</v>
      </c>
      <c r="E103" s="243">
        <v>43.95</v>
      </c>
      <c r="F103" s="517" t="s">
        <v>293</v>
      </c>
      <c r="G103" s="232">
        <v>0</v>
      </c>
      <c r="H103" s="661" t="str">
        <f t="shared" si="73"/>
        <v/>
      </c>
      <c r="I103" s="244">
        <f t="shared" si="74"/>
        <v>0</v>
      </c>
      <c r="J103" s="244">
        <f t="shared" si="75"/>
        <v>0</v>
      </c>
      <c r="K103" s="696">
        <f t="shared" ref="K103" si="79">I103+J103</f>
        <v>0</v>
      </c>
      <c r="L103" s="696"/>
      <c r="M103" s="659" t="str">
        <f t="shared" si="77"/>
        <v/>
      </c>
      <c r="N103" s="660"/>
      <c r="O103" s="233"/>
      <c r="P103" s="233"/>
      <c r="Q103" s="233"/>
      <c r="R103" s="233"/>
      <c r="S103" s="233"/>
      <c r="T103" s="508">
        <f t="shared" si="52"/>
        <v>0</v>
      </c>
      <c r="U103" s="225">
        <f>IF(NOT(ISNUMBER(G103)), "", VLOOKUP(A103,'Discount Lookup'!D:E,2,FALSE)*G103)</f>
        <v>0</v>
      </c>
      <c r="V103" s="225">
        <f>IF(NOT(ISNUMBER(G103)), "", VLOOKUP(A103,'Discount Lookup'!G:H,2,FALSE)*G103)</f>
        <v>0</v>
      </c>
      <c r="W103" s="508">
        <f t="shared" si="53"/>
        <v>0</v>
      </c>
      <c r="X103" s="508">
        <f t="shared" si="54"/>
        <v>0</v>
      </c>
      <c r="Y103" s="509" t="b">
        <f t="shared" si="55"/>
        <v>0</v>
      </c>
      <c r="Z103" s="510">
        <f t="shared" si="56"/>
        <v>0</v>
      </c>
      <c r="AA103" s="511"/>
      <c r="AB103" s="511" t="str">
        <f t="shared" si="57"/>
        <v/>
      </c>
      <c r="AC103" s="698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698"/>
      <c r="AE103" s="631" t="str">
        <f t="shared" si="58"/>
        <v/>
      </c>
      <c r="AF103" s="699" t="str">
        <f t="shared" si="59"/>
        <v/>
      </c>
      <c r="AG103" s="699"/>
      <c r="AH103" s="699"/>
      <c r="AI103" s="512">
        <f>IF(H103="credit",0,IF(AE103="free",0,IF(AE103="me",0,IF(G103&gt;0,(VLOOKUP(A103,'Discount Lookup'!J:K,2)*G103),0))))</f>
        <v>0</v>
      </c>
      <c r="AJ103" s="513" t="str">
        <f t="shared" ca="1" si="60"/>
        <v/>
      </c>
      <c r="AK103" s="700" t="str">
        <f t="shared" si="61"/>
        <v/>
      </c>
      <c r="AL103" s="700"/>
      <c r="AM103" s="505" t="str">
        <f t="shared" si="62"/>
        <v/>
      </c>
      <c r="AN103" s="506"/>
      <c r="AO103" s="507"/>
      <c r="AP103" s="507"/>
      <c r="AQ103" s="507"/>
      <c r="AR103" s="507"/>
      <c r="AS103" s="507"/>
      <c r="AT103" s="507"/>
      <c r="AU103" s="507"/>
      <c r="AV103" s="225"/>
      <c r="AW103" s="508"/>
      <c r="AX103" s="225"/>
      <c r="AY103" s="225"/>
      <c r="AZ103" s="225"/>
      <c r="BA103" s="225"/>
      <c r="BB103" s="225"/>
      <c r="BC103" s="56"/>
      <c r="BD103" s="56"/>
      <c r="BE103" s="56"/>
      <c r="BF103" s="107" t="str">
        <f t="shared" si="63"/>
        <v>https://www.google.com/search?tbm=isch&amp;q=3%20G4</v>
      </c>
      <c r="BG103" s="107" t="str">
        <f t="shared" si="64"/>
        <v>A</v>
      </c>
      <c r="BH103" s="254"/>
      <c r="BI103" s="254"/>
    </row>
    <row r="104" spans="1:61" customFormat="1" ht="15.75" x14ac:dyDescent="0.25">
      <c r="A104" s="276">
        <v>10</v>
      </c>
      <c r="B104" s="240" t="s">
        <v>291</v>
      </c>
      <c r="C104" s="241" t="s">
        <v>3307</v>
      </c>
      <c r="D104" s="242" t="s">
        <v>292</v>
      </c>
      <c r="E104" s="243">
        <v>137.94999999999999</v>
      </c>
      <c r="F104" s="517" t="s">
        <v>293</v>
      </c>
      <c r="G104" s="232">
        <v>0</v>
      </c>
      <c r="H104" s="661" t="str">
        <f t="shared" si="73"/>
        <v/>
      </c>
      <c r="I104" s="244">
        <f t="shared" si="74"/>
        <v>0</v>
      </c>
      <c r="J104" s="244">
        <f t="shared" si="75"/>
        <v>0</v>
      </c>
      <c r="K104" s="696">
        <f t="shared" ref="K104" si="80">I104+J104</f>
        <v>0</v>
      </c>
      <c r="L104" s="696"/>
      <c r="M104" s="659" t="str">
        <f t="shared" si="77"/>
        <v/>
      </c>
      <c r="N104" s="660"/>
      <c r="O104" s="233"/>
      <c r="P104" s="233"/>
      <c r="Q104" s="233"/>
      <c r="R104" s="233"/>
      <c r="S104" s="233"/>
      <c r="T104" s="508">
        <f t="shared" si="52"/>
        <v>0</v>
      </c>
      <c r="U104" s="225">
        <f>IF(NOT(ISNUMBER(G104)), "", VLOOKUP(A104,'Discount Lookup'!D:E,2,FALSE)*G104)</f>
        <v>0</v>
      </c>
      <c r="V104" s="225">
        <f>IF(NOT(ISNUMBER(G104)), "", VLOOKUP(A104,'Discount Lookup'!G:H,2,FALSE)*G104)</f>
        <v>0</v>
      </c>
      <c r="W104" s="508">
        <f t="shared" si="53"/>
        <v>0</v>
      </c>
      <c r="X104" s="508">
        <f t="shared" si="54"/>
        <v>0</v>
      </c>
      <c r="Y104" s="509" t="b">
        <f t="shared" si="55"/>
        <v>0</v>
      </c>
      <c r="Z104" s="510">
        <f t="shared" si="56"/>
        <v>0</v>
      </c>
      <c r="AA104" s="511"/>
      <c r="AB104" s="511" t="str">
        <f t="shared" si="57"/>
        <v/>
      </c>
      <c r="AC104" s="698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698"/>
      <c r="AE104" s="631" t="str">
        <f t="shared" si="58"/>
        <v/>
      </c>
      <c r="AF104" s="699" t="str">
        <f t="shared" si="59"/>
        <v/>
      </c>
      <c r="AG104" s="699"/>
      <c r="AH104" s="699"/>
      <c r="AI104" s="512">
        <f>IF(H104="credit",0,IF(AE104="free",0,IF(AE104="me",0,IF(G104&gt;0,(VLOOKUP(A104,'Discount Lookup'!J:K,2)*G104),0))))</f>
        <v>0</v>
      </c>
      <c r="AJ104" s="513" t="str">
        <f t="shared" ca="1" si="60"/>
        <v/>
      </c>
      <c r="AK104" s="700" t="str">
        <f t="shared" si="61"/>
        <v/>
      </c>
      <c r="AL104" s="700"/>
      <c r="AM104" s="505" t="str">
        <f t="shared" si="62"/>
        <v/>
      </c>
      <c r="AN104" s="506"/>
      <c r="AO104" s="507"/>
      <c r="AP104" s="507"/>
      <c r="AQ104" s="507"/>
      <c r="AR104" s="507"/>
      <c r="AS104" s="507"/>
      <c r="AT104" s="507"/>
      <c r="AU104" s="507"/>
      <c r="AV104" s="225"/>
      <c r="AW104" s="508"/>
      <c r="AX104" s="225"/>
      <c r="AY104" s="225"/>
      <c r="AZ104" s="225"/>
      <c r="BA104" s="225"/>
      <c r="BB104" s="225"/>
      <c r="BC104" s="56"/>
      <c r="BD104" s="56"/>
      <c r="BE104" s="56"/>
      <c r="BF104" s="107" t="str">
        <f t="shared" si="63"/>
        <v>https://www.google.com/search?tbm=isch&amp;q=10%20G4</v>
      </c>
      <c r="BG104" s="107" t="str">
        <f t="shared" si="64"/>
        <v>A</v>
      </c>
      <c r="BH104" s="254"/>
      <c r="BI104" s="254"/>
    </row>
    <row r="105" spans="1:61" customFormat="1" ht="15.75" x14ac:dyDescent="0.25">
      <c r="A105" s="276">
        <v>10</v>
      </c>
      <c r="B105" s="240" t="s">
        <v>291</v>
      </c>
      <c r="C105" s="241" t="s">
        <v>539</v>
      </c>
      <c r="D105" s="242" t="s">
        <v>299</v>
      </c>
      <c r="E105" s="243">
        <v>137.94999999999999</v>
      </c>
      <c r="F105" s="517" t="s">
        <v>293</v>
      </c>
      <c r="G105" s="232">
        <v>0</v>
      </c>
      <c r="H105" s="661" t="str">
        <f t="shared" si="73"/>
        <v/>
      </c>
      <c r="I105" s="244">
        <f t="shared" si="74"/>
        <v>0</v>
      </c>
      <c r="J105" s="244">
        <f t="shared" si="75"/>
        <v>0</v>
      </c>
      <c r="K105" s="696">
        <f t="shared" ref="K105" si="81">I105+J105</f>
        <v>0</v>
      </c>
      <c r="L105" s="696"/>
      <c r="M105" s="659" t="str">
        <f t="shared" si="77"/>
        <v/>
      </c>
      <c r="N105" s="660"/>
      <c r="O105" s="233"/>
      <c r="P105" s="233"/>
      <c r="Q105" s="233"/>
      <c r="R105" s="233"/>
      <c r="S105" s="233"/>
      <c r="T105" s="508">
        <f t="shared" si="52"/>
        <v>0</v>
      </c>
      <c r="U105" s="225">
        <f>IF(NOT(ISNUMBER(G105)), "", VLOOKUP(A105,'Discount Lookup'!D:E,2,FALSE)*G105)</f>
        <v>0</v>
      </c>
      <c r="V105" s="225">
        <f>IF(NOT(ISNUMBER(G105)), "", VLOOKUP(A105,'Discount Lookup'!G:H,2,FALSE)*G105)</f>
        <v>0</v>
      </c>
      <c r="W105" s="508">
        <f t="shared" si="53"/>
        <v>0</v>
      </c>
      <c r="X105" s="508">
        <f t="shared" si="54"/>
        <v>0</v>
      </c>
      <c r="Y105" s="509" t="b">
        <f t="shared" si="55"/>
        <v>0</v>
      </c>
      <c r="Z105" s="510">
        <f t="shared" si="56"/>
        <v>0</v>
      </c>
      <c r="AA105" s="511"/>
      <c r="AB105" s="511" t="str">
        <f t="shared" si="57"/>
        <v/>
      </c>
      <c r="AC105" s="698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698"/>
      <c r="AE105" s="631" t="str">
        <f t="shared" si="58"/>
        <v/>
      </c>
      <c r="AF105" s="699" t="str">
        <f t="shared" si="59"/>
        <v/>
      </c>
      <c r="AG105" s="699"/>
      <c r="AH105" s="699"/>
      <c r="AI105" s="512">
        <f>IF(H105="credit",0,IF(AE105="free",0,IF(AE105="me",0,IF(G105&gt;0,(VLOOKUP(A105,'Discount Lookup'!J:K,2)*G105),0))))</f>
        <v>0</v>
      </c>
      <c r="AJ105" s="513" t="str">
        <f t="shared" ca="1" si="60"/>
        <v/>
      </c>
      <c r="AK105" s="700" t="str">
        <f t="shared" si="61"/>
        <v/>
      </c>
      <c r="AL105" s="700"/>
      <c r="AM105" s="505" t="str">
        <f t="shared" si="62"/>
        <v/>
      </c>
      <c r="AN105" s="506"/>
      <c r="AO105" s="507"/>
      <c r="AP105" s="507"/>
      <c r="AQ105" s="507"/>
      <c r="AR105" s="507"/>
      <c r="AS105" s="507"/>
      <c r="AT105" s="507"/>
      <c r="AU105" s="507"/>
      <c r="AV105" s="225"/>
      <c r="AW105" s="508"/>
      <c r="AX105" s="225"/>
      <c r="AY105" s="225"/>
      <c r="AZ105" s="225"/>
      <c r="BA105" s="225"/>
      <c r="BB105" s="225"/>
      <c r="BC105" s="56"/>
      <c r="BD105" s="56"/>
      <c r="BE105" s="56"/>
      <c r="BF105" s="107" t="str">
        <f t="shared" si="63"/>
        <v>https://www.google.com/search?tbm=isch&amp;q=10%20G5</v>
      </c>
      <c r="BG105" s="107" t="str">
        <f t="shared" si="64"/>
        <v>A</v>
      </c>
      <c r="BH105" s="254"/>
      <c r="BI105" s="254"/>
    </row>
    <row r="106" spans="1:61" customFormat="1" ht="27" x14ac:dyDescent="0.25">
      <c r="A106" s="276">
        <v>7</v>
      </c>
      <c r="B106" s="240" t="s">
        <v>291</v>
      </c>
      <c r="C106" s="241" t="s">
        <v>4375</v>
      </c>
      <c r="D106" s="242" t="s">
        <v>292</v>
      </c>
      <c r="E106" s="243">
        <v>146.94999999999999</v>
      </c>
      <c r="F106" s="517" t="s">
        <v>293</v>
      </c>
      <c r="G106" s="232">
        <v>0</v>
      </c>
      <c r="H106" s="661" t="str">
        <f t="shared" si="73"/>
        <v/>
      </c>
      <c r="I106" s="244">
        <f t="shared" si="74"/>
        <v>0</v>
      </c>
      <c r="J106" s="244">
        <f t="shared" si="75"/>
        <v>0</v>
      </c>
      <c r="K106" s="696">
        <f t="shared" ref="K106" si="82">I106+J106</f>
        <v>0</v>
      </c>
      <c r="L106" s="696"/>
      <c r="M106" s="659" t="str">
        <f t="shared" si="77"/>
        <v/>
      </c>
      <c r="N106" s="660"/>
      <c r="O106" s="233"/>
      <c r="P106" s="233"/>
      <c r="Q106" s="233"/>
      <c r="R106" s="233"/>
      <c r="S106" s="233"/>
      <c r="T106" s="508">
        <f t="shared" si="52"/>
        <v>0</v>
      </c>
      <c r="U106" s="225">
        <f>IF(NOT(ISNUMBER(G106)), "", VLOOKUP(A106,'Discount Lookup'!D:E,2,FALSE)*G106)</f>
        <v>0</v>
      </c>
      <c r="V106" s="225">
        <f>IF(NOT(ISNUMBER(G106)), "", VLOOKUP(A106,'Discount Lookup'!G:H,2,FALSE)*G106)</f>
        <v>0</v>
      </c>
      <c r="W106" s="508">
        <f t="shared" si="53"/>
        <v>0</v>
      </c>
      <c r="X106" s="508">
        <f t="shared" si="54"/>
        <v>0</v>
      </c>
      <c r="Y106" s="509" t="b">
        <f t="shared" si="55"/>
        <v>0</v>
      </c>
      <c r="Z106" s="510">
        <f t="shared" si="56"/>
        <v>0</v>
      </c>
      <c r="AA106" s="511"/>
      <c r="AB106" s="511" t="str">
        <f t="shared" si="57"/>
        <v/>
      </c>
      <c r="AC106" s="698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698"/>
      <c r="AE106" s="631" t="str">
        <f t="shared" si="58"/>
        <v/>
      </c>
      <c r="AF106" s="699" t="str">
        <f t="shared" si="59"/>
        <v/>
      </c>
      <c r="AG106" s="699"/>
      <c r="AH106" s="699"/>
      <c r="AI106" s="512">
        <f>IF(H106="credit",0,IF(AE106="free",0,IF(AE106="me",0,IF(G106&gt;0,(VLOOKUP(A106,'Discount Lookup'!J:K,2)*G106),0))))</f>
        <v>0</v>
      </c>
      <c r="AJ106" s="513" t="str">
        <f t="shared" ca="1" si="60"/>
        <v/>
      </c>
      <c r="AK106" s="700" t="str">
        <f t="shared" si="61"/>
        <v/>
      </c>
      <c r="AL106" s="700"/>
      <c r="AM106" s="505" t="str">
        <f t="shared" si="62"/>
        <v/>
      </c>
      <c r="AN106" s="506"/>
      <c r="AO106" s="507"/>
      <c r="AP106" s="507"/>
      <c r="AQ106" s="507"/>
      <c r="AR106" s="507"/>
      <c r="AS106" s="507"/>
      <c r="AT106" s="507"/>
      <c r="AU106" s="507"/>
      <c r="AV106" s="225"/>
      <c r="AW106" s="508"/>
      <c r="AX106" s="225"/>
      <c r="AY106" s="225"/>
      <c r="AZ106" s="225"/>
      <c r="BA106" s="225"/>
      <c r="BB106" s="225"/>
      <c r="BC106" s="56"/>
      <c r="BD106" s="56"/>
      <c r="BE106" s="56"/>
      <c r="BF106" s="107" t="str">
        <f t="shared" si="63"/>
        <v>https://www.google.com/search?tbm=isch&amp;q=7%20G4</v>
      </c>
      <c r="BG106" s="107" t="str">
        <f t="shared" si="64"/>
        <v>A</v>
      </c>
      <c r="BH106" s="254"/>
      <c r="BI106" s="254"/>
    </row>
    <row r="107" spans="1:61" customFormat="1" ht="15.75" x14ac:dyDescent="0.25">
      <c r="A107" s="276">
        <v>10</v>
      </c>
      <c r="B107" s="240" t="s">
        <v>291</v>
      </c>
      <c r="C107" s="241" t="s">
        <v>3308</v>
      </c>
      <c r="D107" s="242" t="s">
        <v>292</v>
      </c>
      <c r="E107" s="243">
        <v>178.95</v>
      </c>
      <c r="F107" s="517" t="s">
        <v>293</v>
      </c>
      <c r="G107" s="232">
        <v>0</v>
      </c>
      <c r="H107" s="661" t="str">
        <f t="shared" si="73"/>
        <v/>
      </c>
      <c r="I107" s="244">
        <f t="shared" si="74"/>
        <v>0</v>
      </c>
      <c r="J107" s="244">
        <f t="shared" si="75"/>
        <v>0</v>
      </c>
      <c r="K107" s="696">
        <f t="shared" ref="K107" si="83">I107+J107</f>
        <v>0</v>
      </c>
      <c r="L107" s="696"/>
      <c r="M107" s="659" t="str">
        <f t="shared" si="77"/>
        <v/>
      </c>
      <c r="N107" s="660"/>
      <c r="O107" s="233"/>
      <c r="P107" s="233"/>
      <c r="Q107" s="233"/>
      <c r="R107" s="233"/>
      <c r="S107" s="233"/>
      <c r="T107" s="508">
        <f t="shared" si="52"/>
        <v>0</v>
      </c>
      <c r="U107" s="225">
        <f>IF(NOT(ISNUMBER(G107)), "", VLOOKUP(A107,'Discount Lookup'!D:E,2,FALSE)*G107)</f>
        <v>0</v>
      </c>
      <c r="V107" s="225">
        <f>IF(NOT(ISNUMBER(G107)), "", VLOOKUP(A107,'Discount Lookup'!G:H,2,FALSE)*G107)</f>
        <v>0</v>
      </c>
      <c r="W107" s="508">
        <f t="shared" si="53"/>
        <v>0</v>
      </c>
      <c r="X107" s="508">
        <f t="shared" si="54"/>
        <v>0</v>
      </c>
      <c r="Y107" s="509" t="b">
        <f t="shared" si="55"/>
        <v>0</v>
      </c>
      <c r="Z107" s="510">
        <f t="shared" si="56"/>
        <v>0</v>
      </c>
      <c r="AA107" s="511"/>
      <c r="AB107" s="511" t="str">
        <f t="shared" si="57"/>
        <v/>
      </c>
      <c r="AC107" s="698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698"/>
      <c r="AE107" s="631" t="str">
        <f t="shared" si="58"/>
        <v/>
      </c>
      <c r="AF107" s="699" t="str">
        <f t="shared" si="59"/>
        <v/>
      </c>
      <c r="AG107" s="699"/>
      <c r="AH107" s="699"/>
      <c r="AI107" s="512">
        <f>IF(H107="credit",0,IF(AE107="free",0,IF(AE107="me",0,IF(G107&gt;0,(VLOOKUP(A107,'Discount Lookup'!J:K,2)*G107),0))))</f>
        <v>0</v>
      </c>
      <c r="AJ107" s="513" t="str">
        <f t="shared" ca="1" si="60"/>
        <v/>
      </c>
      <c r="AK107" s="700" t="str">
        <f t="shared" si="61"/>
        <v/>
      </c>
      <c r="AL107" s="700"/>
      <c r="AM107" s="505" t="str">
        <f t="shared" si="62"/>
        <v/>
      </c>
      <c r="AN107" s="506"/>
      <c r="AO107" s="507"/>
      <c r="AP107" s="507"/>
      <c r="AQ107" s="507"/>
      <c r="AR107" s="507"/>
      <c r="AS107" s="507"/>
      <c r="AT107" s="507"/>
      <c r="AU107" s="507"/>
      <c r="AV107" s="225"/>
      <c r="AW107" s="508"/>
      <c r="AX107" s="225"/>
      <c r="AY107" s="225"/>
      <c r="AZ107" s="225"/>
      <c r="BA107" s="225"/>
      <c r="BB107" s="225"/>
      <c r="BC107" s="56"/>
      <c r="BD107" s="56"/>
      <c r="BE107" s="56"/>
      <c r="BF107" s="107" t="str">
        <f t="shared" si="63"/>
        <v>https://www.google.com/search?tbm=isch&amp;q=10%20G4</v>
      </c>
      <c r="BG107" s="107" t="str">
        <f t="shared" si="64"/>
        <v>A</v>
      </c>
      <c r="BH107" s="254"/>
      <c r="BI107" s="254"/>
    </row>
    <row r="108" spans="1:61" customFormat="1" ht="15.75" x14ac:dyDescent="0.25">
      <c r="A108" s="276">
        <v>15</v>
      </c>
      <c r="B108" s="240" t="s">
        <v>291</v>
      </c>
      <c r="C108" s="241" t="s">
        <v>3970</v>
      </c>
      <c r="D108" s="242" t="s">
        <v>300</v>
      </c>
      <c r="E108" s="243">
        <v>249.95</v>
      </c>
      <c r="F108" s="517" t="s">
        <v>293</v>
      </c>
      <c r="G108" s="232">
        <v>0</v>
      </c>
      <c r="H108" s="661" t="str">
        <f t="shared" si="73"/>
        <v/>
      </c>
      <c r="I108" s="244">
        <f t="shared" si="74"/>
        <v>0</v>
      </c>
      <c r="J108" s="244">
        <f t="shared" si="75"/>
        <v>0</v>
      </c>
      <c r="K108" s="696">
        <f t="shared" ref="K108" si="84">I108+J108</f>
        <v>0</v>
      </c>
      <c r="L108" s="696"/>
      <c r="M108" s="659" t="str">
        <f t="shared" si="77"/>
        <v/>
      </c>
      <c r="N108" s="660"/>
      <c r="O108" s="233"/>
      <c r="P108" s="233"/>
      <c r="Q108" s="233"/>
      <c r="R108" s="233"/>
      <c r="S108" s="233"/>
      <c r="T108" s="508">
        <f t="shared" si="52"/>
        <v>0</v>
      </c>
      <c r="U108" s="225">
        <f>IF(NOT(ISNUMBER(G108)), "", VLOOKUP(A108,'Discount Lookup'!D:E,2,FALSE)*G108)</f>
        <v>0</v>
      </c>
      <c r="V108" s="225">
        <f>IF(NOT(ISNUMBER(G108)), "", VLOOKUP(A108,'Discount Lookup'!G:H,2,FALSE)*G108)</f>
        <v>0</v>
      </c>
      <c r="W108" s="508">
        <f t="shared" si="53"/>
        <v>0</v>
      </c>
      <c r="X108" s="508">
        <f t="shared" si="54"/>
        <v>0</v>
      </c>
      <c r="Y108" s="509" t="b">
        <f t="shared" si="55"/>
        <v>0</v>
      </c>
      <c r="Z108" s="510">
        <f t="shared" si="56"/>
        <v>0</v>
      </c>
      <c r="AA108" s="511"/>
      <c r="AB108" s="511" t="str">
        <f t="shared" si="57"/>
        <v/>
      </c>
      <c r="AC108" s="698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698"/>
      <c r="AE108" s="631" t="str">
        <f t="shared" si="58"/>
        <v/>
      </c>
      <c r="AF108" s="699" t="str">
        <f t="shared" si="59"/>
        <v/>
      </c>
      <c r="AG108" s="699"/>
      <c r="AH108" s="699"/>
      <c r="AI108" s="512">
        <f>IF(H108="credit",0,IF(AE108="free",0,IF(AE108="me",0,IF(G108&gt;0,(VLOOKUP(A108,'Discount Lookup'!J:K,2)*G108),0))))</f>
        <v>0</v>
      </c>
      <c r="AJ108" s="513" t="str">
        <f t="shared" ca="1" si="60"/>
        <v/>
      </c>
      <c r="AK108" s="700" t="str">
        <f t="shared" si="61"/>
        <v/>
      </c>
      <c r="AL108" s="700"/>
      <c r="AM108" s="505" t="str">
        <f t="shared" si="62"/>
        <v/>
      </c>
      <c r="AN108" s="506"/>
      <c r="AO108" s="507"/>
      <c r="AP108" s="507"/>
      <c r="AQ108" s="507"/>
      <c r="AR108" s="507"/>
      <c r="AS108" s="507"/>
      <c r="AT108" s="507"/>
      <c r="AU108" s="507"/>
      <c r="AV108" s="225"/>
      <c r="AW108" s="508"/>
      <c r="AX108" s="225"/>
      <c r="AY108" s="225"/>
      <c r="AZ108" s="225"/>
      <c r="BA108" s="225"/>
      <c r="BB108" s="225"/>
      <c r="BC108" s="56"/>
      <c r="BD108" s="56"/>
      <c r="BE108" s="56"/>
      <c r="BF108" s="107" t="str">
        <f t="shared" si="63"/>
        <v>https://www.google.com/search?tbm=isch&amp;q=15%20G6</v>
      </c>
      <c r="BG108" s="107" t="str">
        <f t="shared" si="64"/>
        <v>A</v>
      </c>
      <c r="BH108" s="254"/>
      <c r="BI108" s="254"/>
    </row>
    <row r="109" spans="1:61" customFormat="1" ht="17.25" thickBot="1" x14ac:dyDescent="0.3">
      <c r="A109" s="673" t="s">
        <v>5037</v>
      </c>
      <c r="B109" s="245"/>
      <c r="C109" s="677"/>
      <c r="D109" s="499"/>
      <c r="E109" s="499"/>
      <c r="F109" s="500"/>
      <c r="G109" s="501"/>
      <c r="H109" s="502"/>
      <c r="I109" s="246"/>
      <c r="J109" s="247"/>
      <c r="K109" s="503"/>
      <c r="L109" s="544"/>
      <c r="M109" s="544"/>
      <c r="N109" s="500"/>
      <c r="O109" s="500"/>
      <c r="P109" s="500"/>
      <c r="Q109" s="500"/>
      <c r="R109" s="500"/>
      <c r="S109" s="669" t="s">
        <v>4976</v>
      </c>
      <c r="T109" s="508">
        <f t="shared" si="52"/>
        <v>0</v>
      </c>
      <c r="U109" s="225" t="str">
        <f>IF(NOT(ISNUMBER(G109)), "", VLOOKUP(A109,'Discount Lookup'!D:E,2,FALSE)*G109)</f>
        <v/>
      </c>
      <c r="V109" s="225" t="str">
        <f>IF(NOT(ISNUMBER(G109)), "", VLOOKUP(A109,'Discount Lookup'!G:H,2,FALSE)*G109)</f>
        <v/>
      </c>
      <c r="W109" s="508">
        <f t="shared" si="53"/>
        <v>0</v>
      </c>
      <c r="X109" s="508">
        <f t="shared" si="54"/>
        <v>0</v>
      </c>
      <c r="Y109" s="509" t="b">
        <f t="shared" si="55"/>
        <v>0</v>
      </c>
      <c r="Z109" s="510">
        <f t="shared" si="56"/>
        <v>0</v>
      </c>
      <c r="AA109" s="511"/>
      <c r="AB109" s="511" t="str">
        <f t="shared" si="57"/>
        <v/>
      </c>
      <c r="AC109" s="698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698"/>
      <c r="AE109" s="631" t="str">
        <f t="shared" si="58"/>
        <v/>
      </c>
      <c r="AF109" s="699" t="str">
        <f t="shared" si="59"/>
        <v/>
      </c>
      <c r="AG109" s="699"/>
      <c r="AH109" s="699"/>
      <c r="AI109" s="512">
        <f>IF(H109="credit",0,IF(AE109="free",0,IF(AE109="me",0,IF(G109&gt;0,(VLOOKUP(A109,'Discount Lookup'!J:K,2)*G109),0))))</f>
        <v>0</v>
      </c>
      <c r="AJ109" s="513" t="str">
        <f t="shared" ca="1" si="60"/>
        <v/>
      </c>
      <c r="AK109" s="700" t="str">
        <f t="shared" si="61"/>
        <v/>
      </c>
      <c r="AL109" s="700"/>
      <c r="AM109" s="505" t="str">
        <f t="shared" si="62"/>
        <v/>
      </c>
      <c r="AN109" s="506"/>
      <c r="AO109" s="507"/>
      <c r="AP109" s="507"/>
      <c r="AQ109" s="507"/>
      <c r="AR109" s="507"/>
      <c r="AS109" s="507"/>
      <c r="AT109" s="507"/>
      <c r="AU109" s="507"/>
      <c r="AV109" s="225"/>
      <c r="AW109" s="508"/>
      <c r="AX109" s="225"/>
      <c r="AY109" s="225"/>
      <c r="AZ109" s="225"/>
      <c r="BA109" s="225"/>
      <c r="BB109" s="225"/>
      <c r="BC109" s="56"/>
      <c r="BD109" s="56"/>
      <c r="BE109" s="56"/>
      <c r="BF109" s="107" t="str">
        <f t="shared" si="63"/>
        <v>https://www.google.com/search?tbm=isch&amp;q=moist%20sites%F0%9F%92%A7OK%2C%20Aphrodite%20is%20known%20for%20it%27s%20enormous%2C%20long-lasting%20flowers.%20Fruity%20fragrance.%20More%20fragrant%20with%20high%20heat%20</v>
      </c>
      <c r="BG109" s="107" t="str">
        <f t="shared" si="64"/>
        <v>m</v>
      </c>
      <c r="BH109" s="254"/>
      <c r="BI109" s="254"/>
    </row>
    <row r="110" spans="1:61" customFormat="1" ht="18" x14ac:dyDescent="0.25">
      <c r="A110" s="523" t="s">
        <v>554</v>
      </c>
      <c r="B110" s="235"/>
      <c r="C110" s="676"/>
      <c r="D110" s="255" t="s">
        <v>553</v>
      </c>
      <c r="E110" s="236"/>
      <c r="F110" s="236"/>
      <c r="G110" s="236"/>
      <c r="H110" s="582" t="s">
        <v>467</v>
      </c>
      <c r="I110" s="498" t="s">
        <v>2109</v>
      </c>
      <c r="J110" s="237"/>
      <c r="K110" s="237"/>
      <c r="L110" s="274"/>
      <c r="M110" s="668" t="s">
        <v>4964</v>
      </c>
      <c r="N110" s="681" t="str">
        <f>IF(AND(ISTEXT($A110), ISERROR($A110+0)), HYPERLINK($BF110, "Images"), "")</f>
        <v>Images</v>
      </c>
      <c r="O110" s="663" t="s">
        <v>4967</v>
      </c>
      <c r="P110" s="253"/>
      <c r="Q110" s="238"/>
      <c r="R110" s="239"/>
      <c r="S110" s="275"/>
      <c r="T110" s="508">
        <f t="shared" si="52"/>
        <v>0</v>
      </c>
      <c r="U110" s="225" t="str">
        <f>IF(NOT(ISNUMBER(G110)), "", VLOOKUP(A110,'Discount Lookup'!D:E,2,FALSE)*G110)</f>
        <v/>
      </c>
      <c r="V110" s="225" t="str">
        <f>IF(NOT(ISNUMBER(G110)), "", VLOOKUP(A110,'Discount Lookup'!G:H,2,FALSE)*G110)</f>
        <v/>
      </c>
      <c r="W110" s="508">
        <f t="shared" si="53"/>
        <v>0</v>
      </c>
      <c r="X110" s="508" t="str">
        <f t="shared" si="54"/>
        <v>Green foliage</v>
      </c>
      <c r="Y110" s="509" t="b">
        <f t="shared" si="55"/>
        <v>0</v>
      </c>
      <c r="Z110" s="510">
        <f t="shared" si="56"/>
        <v>0</v>
      </c>
      <c r="AA110" s="511"/>
      <c r="AB110" s="511" t="str">
        <f t="shared" si="57"/>
        <v/>
      </c>
      <c r="AC110" s="698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698"/>
      <c r="AE110" s="631" t="str">
        <f t="shared" si="58"/>
        <v/>
      </c>
      <c r="AF110" s="699" t="str">
        <f t="shared" si="59"/>
        <v/>
      </c>
      <c r="AG110" s="699"/>
      <c r="AH110" s="699"/>
      <c r="AI110" s="512">
        <f>IF(H110="credit",0,IF(AE110="free",0,IF(AE110="me",0,IF(G110&gt;0,(VLOOKUP(A110,'Discount Lookup'!J:K,2)*G110),0))))</f>
        <v>0</v>
      </c>
      <c r="AJ110" s="513" t="str">
        <f t="shared" ca="1" si="60"/>
        <v/>
      </c>
      <c r="AK110" s="700" t="str">
        <f t="shared" si="61"/>
        <v/>
      </c>
      <c r="AL110" s="700"/>
      <c r="AM110" s="505" t="str">
        <f t="shared" si="62"/>
        <v/>
      </c>
      <c r="AN110" s="506"/>
      <c r="AO110" s="507"/>
      <c r="AP110" s="507"/>
      <c r="AQ110" s="507"/>
      <c r="AR110" s="507"/>
      <c r="AS110" s="507"/>
      <c r="AT110" s="507"/>
      <c r="AU110" s="507"/>
      <c r="AV110" s="225"/>
      <c r="AW110" s="508"/>
      <c r="AX110" s="225"/>
      <c r="AY110" s="225"/>
      <c r="AZ110" s="225"/>
      <c r="BA110" s="225"/>
      <c r="BB110" s="225"/>
      <c r="BC110" s="56"/>
      <c r="BD110" s="56"/>
      <c r="BE110" s="56"/>
      <c r="BF110" s="107" t="str">
        <f t="shared" si="63"/>
        <v>https://www.google.com/search?tbm=isch&amp;q=Apollo%20Winterberry%20Holly%20Ilex%20verticillata%20%27Apollo%27</v>
      </c>
      <c r="BG110" s="107" t="str">
        <f t="shared" si="64"/>
        <v>A</v>
      </c>
      <c r="BH110" s="254"/>
      <c r="BI110" s="254"/>
    </row>
    <row r="111" spans="1:61" customFormat="1" ht="15.75" x14ac:dyDescent="0.25">
      <c r="A111" s="276">
        <v>3</v>
      </c>
      <c r="B111" s="240" t="s">
        <v>291</v>
      </c>
      <c r="C111" s="241" t="s">
        <v>555</v>
      </c>
      <c r="D111" s="242" t="s">
        <v>299</v>
      </c>
      <c r="E111" s="243">
        <v>30.95</v>
      </c>
      <c r="F111" s="517" t="s">
        <v>293</v>
      </c>
      <c r="G111" s="232">
        <v>0</v>
      </c>
      <c r="H111" s="661" t="str">
        <f>IF(G111=0,"",IF(F111="Buy",IF(G111=1,"plant","plants"),IF(F111&gt;0.01,"warranty","Error")))</f>
        <v/>
      </c>
      <c r="I111" s="244">
        <f>IF(H111="free",0,IF(H111="credit",((E111*(F111))*G111*-1),IF(F111="Buy",(E111*G111),((E111*(1-F111))*G111))))</f>
        <v>0</v>
      </c>
      <c r="J111" s="244">
        <f>IF(H111="warranty",0,(I111*(_xlfn.SINGLE(SalesTaxPercentage))))</f>
        <v>0</v>
      </c>
      <c r="K111" s="696">
        <f t="shared" ref="K111" si="85">I111+J111</f>
        <v>0</v>
      </c>
      <c r="L111" s="696"/>
      <c r="M111" s="659" t="str">
        <f>IF(AND(G111&gt;0,E111=0),"WARNING - no PRICE inserted",IF(H111="free"," FREE ~ no charge this plant",IF(H111="credit",CONCATENATE(" -$",ROUND(K111*(1-T2GDiscount)*-1,2)," CREDIT after discount"),IF(T2GDiscount=0,"",IF(G111=0,"",IF(F111="Buy",CONCATENATE(" $",ROUND(K111*(1-T2GDiscount),2)," with ",(T2GDiscount*100),"% discount"),CONCATENATE(" $",ROUND(K111*(1-T2GDiscount),2)," with ",((T2GDiscount*100+F111*100)-(T2GDiscount*100*F111)),IF(F111&gt;0,"% discounts",IF(NoWarrantyDiscount&gt;0,"% discounts","% discount")))))))))</f>
        <v/>
      </c>
      <c r="N111" s="660"/>
      <c r="O111" s="233"/>
      <c r="P111" s="233"/>
      <c r="Q111" s="233"/>
      <c r="R111" s="233"/>
      <c r="S111" s="233"/>
      <c r="T111" s="508">
        <f t="shared" si="52"/>
        <v>0</v>
      </c>
      <c r="U111" s="225">
        <f>IF(NOT(ISNUMBER(G111)), "", VLOOKUP(A111,'Discount Lookup'!D:E,2,FALSE)*G111)</f>
        <v>0</v>
      </c>
      <c r="V111" s="225">
        <f>IF(NOT(ISNUMBER(G111)), "", VLOOKUP(A111,'Discount Lookup'!G:H,2,FALSE)*G111)</f>
        <v>0</v>
      </c>
      <c r="W111" s="508">
        <f t="shared" si="53"/>
        <v>0</v>
      </c>
      <c r="X111" s="508">
        <f t="shared" si="54"/>
        <v>0</v>
      </c>
      <c r="Y111" s="509" t="b">
        <f t="shared" si="55"/>
        <v>0</v>
      </c>
      <c r="Z111" s="510">
        <f t="shared" si="56"/>
        <v>0</v>
      </c>
      <c r="AA111" s="511"/>
      <c r="AB111" s="511" t="str">
        <f t="shared" si="57"/>
        <v/>
      </c>
      <c r="AC111" s="698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698"/>
      <c r="AE111" s="631" t="str">
        <f t="shared" si="58"/>
        <v/>
      </c>
      <c r="AF111" s="699" t="str">
        <f t="shared" si="59"/>
        <v/>
      </c>
      <c r="AG111" s="699"/>
      <c r="AH111" s="699"/>
      <c r="AI111" s="512">
        <f>IF(H111="credit",0,IF(AE111="free",0,IF(AE111="me",0,IF(G111&gt;0,(VLOOKUP(A111,'Discount Lookup'!J:K,2)*G111),0))))</f>
        <v>0</v>
      </c>
      <c r="AJ111" s="513" t="str">
        <f t="shared" ca="1" si="60"/>
        <v/>
      </c>
      <c r="AK111" s="700" t="str">
        <f t="shared" si="61"/>
        <v/>
      </c>
      <c r="AL111" s="700"/>
      <c r="AM111" s="505" t="str">
        <f t="shared" si="62"/>
        <v/>
      </c>
      <c r="AN111" s="506"/>
      <c r="AO111" s="507"/>
      <c r="AP111" s="507"/>
      <c r="AQ111" s="507"/>
      <c r="AR111" s="507"/>
      <c r="AS111" s="507"/>
      <c r="AT111" s="507"/>
      <c r="AU111" s="507"/>
      <c r="AV111" s="225"/>
      <c r="AW111" s="508"/>
      <c r="AX111" s="225"/>
      <c r="AY111" s="225"/>
      <c r="AZ111" s="225"/>
      <c r="BA111" s="225"/>
      <c r="BB111" s="225"/>
      <c r="BC111" s="56"/>
      <c r="BD111" s="56"/>
      <c r="BE111" s="56"/>
      <c r="BF111" s="107" t="str">
        <f t="shared" si="63"/>
        <v>https://www.google.com/search?tbm=isch&amp;q=3%20G5</v>
      </c>
      <c r="BG111" s="107" t="str">
        <f t="shared" si="64"/>
        <v>A</v>
      </c>
      <c r="BH111" s="254"/>
      <c r="BI111" s="254"/>
    </row>
    <row r="112" spans="1:61" customFormat="1" ht="17.25" thickBot="1" x14ac:dyDescent="0.3">
      <c r="A112" s="673" t="s">
        <v>5038</v>
      </c>
      <c r="B112" s="245"/>
      <c r="C112" s="677"/>
      <c r="D112" s="499"/>
      <c r="E112" s="499"/>
      <c r="F112" s="500"/>
      <c r="G112" s="501"/>
      <c r="H112" s="502"/>
      <c r="I112" s="246"/>
      <c r="J112" s="247"/>
      <c r="K112" s="503"/>
      <c r="L112" s="544"/>
      <c r="M112" s="544"/>
      <c r="N112" s="500"/>
      <c r="O112" s="500"/>
      <c r="P112" s="500"/>
      <c r="Q112" s="500"/>
      <c r="R112" s="500"/>
      <c r="S112" s="669" t="s">
        <v>4972</v>
      </c>
      <c r="T112" s="508">
        <f t="shared" si="52"/>
        <v>0</v>
      </c>
      <c r="U112" s="225" t="str">
        <f>IF(NOT(ISNUMBER(G112)), "", VLOOKUP(A112,'Discount Lookup'!D:E,2,FALSE)*G112)</f>
        <v/>
      </c>
      <c r="V112" s="225" t="str">
        <f>IF(NOT(ISNUMBER(G112)), "", VLOOKUP(A112,'Discount Lookup'!G:H,2,FALSE)*G112)</f>
        <v/>
      </c>
      <c r="W112" s="508">
        <f t="shared" si="53"/>
        <v>0</v>
      </c>
      <c r="X112" s="508">
        <f t="shared" si="54"/>
        <v>0</v>
      </c>
      <c r="Y112" s="509" t="b">
        <f t="shared" si="55"/>
        <v>0</v>
      </c>
      <c r="Z112" s="510">
        <f t="shared" si="56"/>
        <v>0</v>
      </c>
      <c r="AA112" s="511"/>
      <c r="AB112" s="511" t="str">
        <f t="shared" si="57"/>
        <v/>
      </c>
      <c r="AC112" s="698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698"/>
      <c r="AE112" s="631" t="str">
        <f t="shared" si="58"/>
        <v/>
      </c>
      <c r="AF112" s="699" t="str">
        <f t="shared" si="59"/>
        <v/>
      </c>
      <c r="AG112" s="699"/>
      <c r="AH112" s="699"/>
      <c r="AI112" s="512">
        <f>IF(H112="credit",0,IF(AE112="free",0,IF(AE112="me",0,IF(G112&gt;0,(VLOOKUP(A112,'Discount Lookup'!J:K,2)*G112),0))))</f>
        <v>0</v>
      </c>
      <c r="AJ112" s="513" t="str">
        <f t="shared" ca="1" si="60"/>
        <v/>
      </c>
      <c r="AK112" s="700" t="str">
        <f t="shared" si="61"/>
        <v/>
      </c>
      <c r="AL112" s="700"/>
      <c r="AM112" s="505" t="str">
        <f t="shared" si="62"/>
        <v/>
      </c>
      <c r="AN112" s="506"/>
      <c r="AO112" s="507"/>
      <c r="AP112" s="507"/>
      <c r="AQ112" s="507"/>
      <c r="AR112" s="507"/>
      <c r="AS112" s="507"/>
      <c r="AT112" s="507"/>
      <c r="AU112" s="507"/>
      <c r="AV112" s="225"/>
      <c r="AW112" s="508"/>
      <c r="AX112" s="225"/>
      <c r="AY112" s="225"/>
      <c r="AZ112" s="225"/>
      <c r="BA112" s="225"/>
      <c r="BB112" s="225"/>
      <c r="BC112" s="56"/>
      <c r="BD112" s="56"/>
      <c r="BE112" s="56"/>
      <c r="BF112" s="107" t="str">
        <f t="shared" si="63"/>
        <v>https://www.google.com/search?tbm=isch&amp;q=wet%20sites%F0%9F%92%A7BEST%2C%20Apollo%20Winterberry%20is%20a%20rare%20male%20pollinator%2C%20prized%20for%20its%20ability%20to%20fertilize%20female%20winterberry%20holly%20</v>
      </c>
      <c r="BG112" s="107" t="str">
        <f t="shared" si="64"/>
        <v>w</v>
      </c>
      <c r="BH112" s="254"/>
      <c r="BI112" s="254"/>
    </row>
    <row r="113" spans="1:61" customFormat="1" ht="18" x14ac:dyDescent="0.25">
      <c r="A113" s="521" t="s">
        <v>451</v>
      </c>
      <c r="B113" s="477"/>
      <c r="C113" s="674"/>
      <c r="D113" s="478" t="s">
        <v>450</v>
      </c>
      <c r="E113" s="479"/>
      <c r="F113" s="479"/>
      <c r="G113" s="479"/>
      <c r="H113" s="582" t="s">
        <v>1879</v>
      </c>
      <c r="I113" s="480" t="s">
        <v>2549</v>
      </c>
      <c r="J113" s="479"/>
      <c r="K113" s="479"/>
      <c r="L113" s="560"/>
      <c r="M113" s="671" t="s">
        <v>4985</v>
      </c>
      <c r="N113" s="680" t="str">
        <f>IF(AND(ISTEXT($A113), ISERROR($A113+0)), HYPERLINK($BF113, "Images"), "")</f>
        <v>Images</v>
      </c>
      <c r="O113" s="662" t="s">
        <v>4967</v>
      </c>
      <c r="P113" s="482"/>
      <c r="Q113" s="483"/>
      <c r="R113" s="483"/>
      <c r="S113" s="484"/>
      <c r="T113" s="508">
        <f t="shared" si="52"/>
        <v>0</v>
      </c>
      <c r="U113" s="225" t="str">
        <f>IF(NOT(ISNUMBER(G113)), "", VLOOKUP(A113,'Discount Lookup'!D:E,2,FALSE)*G113)</f>
        <v/>
      </c>
      <c r="V113" s="225" t="str">
        <f>IF(NOT(ISNUMBER(G113)), "", VLOOKUP(A113,'Discount Lookup'!G:H,2,FALSE)*G113)</f>
        <v/>
      </c>
      <c r="W113" s="508">
        <f t="shared" si="53"/>
        <v>0</v>
      </c>
      <c r="X113" s="508" t="str">
        <f t="shared" si="54"/>
        <v>Rich Red bloom</v>
      </c>
      <c r="Y113" s="509" t="b">
        <f t="shared" si="55"/>
        <v>0</v>
      </c>
      <c r="Z113" s="510">
        <f t="shared" si="56"/>
        <v>0</v>
      </c>
      <c r="AA113" s="511"/>
      <c r="AB113" s="511" t="str">
        <f t="shared" si="57"/>
        <v/>
      </c>
      <c r="AC113" s="698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698"/>
      <c r="AE113" s="631" t="str">
        <f t="shared" si="58"/>
        <v/>
      </c>
      <c r="AF113" s="699" t="str">
        <f t="shared" si="59"/>
        <v/>
      </c>
      <c r="AG113" s="699"/>
      <c r="AH113" s="699"/>
      <c r="AI113" s="512">
        <f>IF(H113="credit",0,IF(AE113="free",0,IF(AE113="me",0,IF(G113&gt;0,(VLOOKUP(A113,'Discount Lookup'!J:K,2)*G113),0))))</f>
        <v>0</v>
      </c>
      <c r="AJ113" s="513" t="str">
        <f t="shared" ca="1" si="60"/>
        <v/>
      </c>
      <c r="AK113" s="700" t="str">
        <f t="shared" si="61"/>
        <v/>
      </c>
      <c r="AL113" s="700"/>
      <c r="AM113" s="505" t="str">
        <f t="shared" si="62"/>
        <v/>
      </c>
      <c r="AN113" s="506"/>
      <c r="AO113" s="507"/>
      <c r="AP113" s="507"/>
      <c r="AQ113" s="507"/>
      <c r="AR113" s="507"/>
      <c r="AS113" s="507"/>
      <c r="AT113" s="507"/>
      <c r="AU113" s="507"/>
      <c r="AV113" s="225"/>
      <c r="AW113" s="508"/>
      <c r="AX113" s="225"/>
      <c r="AY113" s="225"/>
      <c r="AZ113" s="225"/>
      <c r="BA113" s="225"/>
      <c r="BB113" s="225"/>
      <c r="BC113" s="56"/>
      <c r="BD113" s="56"/>
      <c r="BE113" s="56"/>
      <c r="BF113" s="107" t="str">
        <f t="shared" si="63"/>
        <v>https://www.google.com/search?tbm=isch&amp;q=April%20Tryst%20Camellia%20Camellia%20japonica%20%27April%20Tryst%27</v>
      </c>
      <c r="BG113" s="107" t="str">
        <f t="shared" si="64"/>
        <v>A</v>
      </c>
      <c r="BH113" s="254"/>
      <c r="BI113" s="254"/>
    </row>
    <row r="114" spans="1:61" customFormat="1" ht="15.75" x14ac:dyDescent="0.25">
      <c r="A114" s="485">
        <v>7</v>
      </c>
      <c r="B114" s="486" t="s">
        <v>291</v>
      </c>
      <c r="C114" s="487" t="s">
        <v>4725</v>
      </c>
      <c r="D114" s="488" t="s">
        <v>292</v>
      </c>
      <c r="E114" s="489">
        <v>104.95</v>
      </c>
      <c r="F114" s="516" t="s">
        <v>293</v>
      </c>
      <c r="G114" s="232">
        <v>0</v>
      </c>
      <c r="H114" s="658" t="str">
        <f>IF(G114=0,"",IF(F114="Buy",IF(G114=1,"plant","plants"),IF(F114&gt;0.01,"warranty","Error")))</f>
        <v/>
      </c>
      <c r="I114" s="490">
        <f>IF(H114="free",0,IF(H114="credit",((E114*(F114))*G114*-1),IF(F114="Buy",(E114*G114),((E114*(1-F114))*G114))))</f>
        <v>0</v>
      </c>
      <c r="J114" s="490">
        <f>IF(H114="warranty",0,(I114*(_xlfn.SINGLE(SalesTaxPercentage))))</f>
        <v>0</v>
      </c>
      <c r="K114" s="695">
        <f t="shared" ref="K114" si="86">I114+J114</f>
        <v>0</v>
      </c>
      <c r="L114" s="695"/>
      <c r="M114" s="659" t="str">
        <f>IF(AND(G114&gt;0,E114=0),"WARNING - no PRICE inserted",IF(H114="free"," FREE ~ no charge this plant",IF(H114="credit",CONCATENATE(" -$",ROUND(K114*(1-T2GDiscount)*-1,2)," CREDIT after discount"),IF(T2GDiscount=0,"",IF(G114=0,"",IF(F114="Buy",CONCATENATE(" $",ROUND(K114*(1-T2GDiscount),2)," with ",(T2GDiscount*100),"% discount"),CONCATENATE(" $",ROUND(K114*(1-T2GDiscount),2)," with ",((T2GDiscount*100+F114*100)-(T2GDiscount*100*F114)),IF(F114&gt;0,"% discounts",IF(NoWarrantyDiscount&gt;0,"% discounts","% discount")))))))))</f>
        <v/>
      </c>
      <c r="N114" s="660"/>
      <c r="O114" s="233"/>
      <c r="P114" s="233"/>
      <c r="Q114" s="233"/>
      <c r="R114" s="233"/>
      <c r="S114" s="233"/>
      <c r="T114" s="508">
        <f t="shared" si="52"/>
        <v>0</v>
      </c>
      <c r="U114" s="225">
        <f>IF(NOT(ISNUMBER(G114)), "", VLOOKUP(A114,'Discount Lookup'!D:E,2,FALSE)*G114)</f>
        <v>0</v>
      </c>
      <c r="V114" s="225">
        <f>IF(NOT(ISNUMBER(G114)), "", VLOOKUP(A114,'Discount Lookup'!G:H,2,FALSE)*G114)</f>
        <v>0</v>
      </c>
      <c r="W114" s="508">
        <f t="shared" si="53"/>
        <v>0</v>
      </c>
      <c r="X114" s="508">
        <f t="shared" si="54"/>
        <v>0</v>
      </c>
      <c r="Y114" s="509" t="b">
        <f t="shared" si="55"/>
        <v>0</v>
      </c>
      <c r="Z114" s="510">
        <f t="shared" si="56"/>
        <v>0</v>
      </c>
      <c r="AA114" s="511"/>
      <c r="AB114" s="511" t="str">
        <f t="shared" si="57"/>
        <v/>
      </c>
      <c r="AC114" s="698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698"/>
      <c r="AE114" s="631" t="str">
        <f t="shared" si="58"/>
        <v/>
      </c>
      <c r="AF114" s="699" t="str">
        <f t="shared" si="59"/>
        <v/>
      </c>
      <c r="AG114" s="699"/>
      <c r="AH114" s="699"/>
      <c r="AI114" s="512">
        <f>IF(H114="credit",0,IF(AE114="free",0,IF(AE114="me",0,IF(G114&gt;0,(VLOOKUP(A114,'Discount Lookup'!J:K,2)*G114),0))))</f>
        <v>0</v>
      </c>
      <c r="AJ114" s="513" t="str">
        <f t="shared" ca="1" si="60"/>
        <v/>
      </c>
      <c r="AK114" s="700" t="str">
        <f t="shared" si="61"/>
        <v/>
      </c>
      <c r="AL114" s="700"/>
      <c r="AM114" s="505" t="str">
        <f t="shared" si="62"/>
        <v/>
      </c>
      <c r="AN114" s="506"/>
      <c r="AO114" s="507"/>
      <c r="AP114" s="507"/>
      <c r="AQ114" s="507"/>
      <c r="AR114" s="507"/>
      <c r="AS114" s="507"/>
      <c r="AT114" s="507"/>
      <c r="AU114" s="507"/>
      <c r="AV114" s="225"/>
      <c r="AW114" s="508"/>
      <c r="AX114" s="225"/>
      <c r="AY114" s="225"/>
      <c r="AZ114" s="225"/>
      <c r="BA114" s="225"/>
      <c r="BB114" s="225"/>
      <c r="BC114" s="56"/>
      <c r="BD114" s="56"/>
      <c r="BE114" s="56"/>
      <c r="BF114" s="107" t="str">
        <f t="shared" si="63"/>
        <v>https://www.google.com/search?tbm=isch&amp;q=7%20G4</v>
      </c>
      <c r="BG114" s="107" t="str">
        <f t="shared" si="64"/>
        <v>A</v>
      </c>
      <c r="BH114" s="254"/>
      <c r="BI114" s="254"/>
    </row>
    <row r="115" spans="1:61" customFormat="1" ht="15.75" x14ac:dyDescent="0.25">
      <c r="A115" s="485">
        <v>7</v>
      </c>
      <c r="B115" s="486" t="s">
        <v>291</v>
      </c>
      <c r="C115" s="487" t="s">
        <v>4655</v>
      </c>
      <c r="D115" s="488" t="s">
        <v>300</v>
      </c>
      <c r="E115" s="489">
        <v>128.94999999999999</v>
      </c>
      <c r="F115" s="516" t="s">
        <v>293</v>
      </c>
      <c r="G115" s="232">
        <v>0</v>
      </c>
      <c r="H115" s="658" t="str">
        <f>IF(G115=0,"",IF(F115="Buy",IF(G115=1,"plant","plants"),IF(F115&gt;0.01,"warranty","Error")))</f>
        <v/>
      </c>
      <c r="I115" s="490">
        <f>IF(H115="free",0,IF(H115="credit",((E115*(F115))*G115*-1),IF(F115="Buy",(E115*G115),((E115*(1-F115))*G115))))</f>
        <v>0</v>
      </c>
      <c r="J115" s="490">
        <f>IF(H115="warranty",0,(I115*(_xlfn.SINGLE(SalesTaxPercentage))))</f>
        <v>0</v>
      </c>
      <c r="K115" s="695">
        <f t="shared" ref="K115" si="87">I115+J115</f>
        <v>0</v>
      </c>
      <c r="L115" s="695"/>
      <c r="M115" s="659" t="str">
        <f>IF(AND(G115&gt;0,E115=0),"WARNING - no PRICE inserted",IF(H115="free"," FREE ~ no charge this plant",IF(H115="credit",CONCATENATE(" -$",ROUND(K115*(1-T2GDiscount)*-1,2)," CREDIT after discount"),IF(T2GDiscount=0,"",IF(G115=0,"",IF(F115="Buy",CONCATENATE(" $",ROUND(K115*(1-T2GDiscount),2)," with ",(T2GDiscount*100),"% discount"),CONCATENATE(" $",ROUND(K115*(1-T2GDiscount),2)," with ",((T2GDiscount*100+F115*100)-(T2GDiscount*100*F115)),IF(F115&gt;0,"% discounts",IF(NoWarrantyDiscount&gt;0,"% discounts","% discount")))))))))</f>
        <v/>
      </c>
      <c r="N115" s="660"/>
      <c r="O115" s="233"/>
      <c r="P115" s="233"/>
      <c r="Q115" s="233"/>
      <c r="R115" s="233"/>
      <c r="S115" s="233"/>
      <c r="T115" s="508">
        <f t="shared" si="52"/>
        <v>0</v>
      </c>
      <c r="U115" s="225">
        <f>IF(NOT(ISNUMBER(G115)), "", VLOOKUP(A115,'Discount Lookup'!D:E,2,FALSE)*G115)</f>
        <v>0</v>
      </c>
      <c r="V115" s="225">
        <f>IF(NOT(ISNUMBER(G115)), "", VLOOKUP(A115,'Discount Lookup'!G:H,2,FALSE)*G115)</f>
        <v>0</v>
      </c>
      <c r="W115" s="508">
        <f t="shared" si="53"/>
        <v>0</v>
      </c>
      <c r="X115" s="508">
        <f t="shared" si="54"/>
        <v>0</v>
      </c>
      <c r="Y115" s="509" t="b">
        <f t="shared" si="55"/>
        <v>0</v>
      </c>
      <c r="Z115" s="510">
        <f t="shared" si="56"/>
        <v>0</v>
      </c>
      <c r="AA115" s="511"/>
      <c r="AB115" s="511" t="str">
        <f t="shared" si="57"/>
        <v/>
      </c>
      <c r="AC115" s="698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698"/>
      <c r="AE115" s="631" t="str">
        <f t="shared" si="58"/>
        <v/>
      </c>
      <c r="AF115" s="699" t="str">
        <f t="shared" si="59"/>
        <v/>
      </c>
      <c r="AG115" s="699"/>
      <c r="AH115" s="699"/>
      <c r="AI115" s="512">
        <f>IF(H115="credit",0,IF(AE115="free",0,IF(AE115="me",0,IF(G115&gt;0,(VLOOKUP(A115,'Discount Lookup'!J:K,2)*G115),0))))</f>
        <v>0</v>
      </c>
      <c r="AJ115" s="513" t="str">
        <f t="shared" ca="1" si="60"/>
        <v/>
      </c>
      <c r="AK115" s="700" t="str">
        <f t="shared" si="61"/>
        <v/>
      </c>
      <c r="AL115" s="700"/>
      <c r="AM115" s="505" t="str">
        <f t="shared" si="62"/>
        <v/>
      </c>
      <c r="AN115" s="506"/>
      <c r="AO115" s="507"/>
      <c r="AP115" s="507"/>
      <c r="AQ115" s="507"/>
      <c r="AR115" s="507"/>
      <c r="AS115" s="507"/>
      <c r="AT115" s="507"/>
      <c r="AU115" s="507"/>
      <c r="AV115" s="225"/>
      <c r="AW115" s="508"/>
      <c r="AX115" s="225"/>
      <c r="AY115" s="225"/>
      <c r="AZ115" s="225"/>
      <c r="BA115" s="225"/>
      <c r="BB115" s="225"/>
      <c r="BC115" s="56"/>
      <c r="BD115" s="56"/>
      <c r="BE115" s="56"/>
      <c r="BF115" s="107" t="str">
        <f t="shared" si="63"/>
        <v>https://www.google.com/search?tbm=isch&amp;q=7%20G6</v>
      </c>
      <c r="BG115" s="107" t="str">
        <f t="shared" si="64"/>
        <v>A</v>
      </c>
      <c r="BH115" s="254"/>
      <c r="BI115" s="254"/>
    </row>
    <row r="116" spans="1:61" customFormat="1" ht="27" x14ac:dyDescent="0.25">
      <c r="A116" s="485">
        <v>7</v>
      </c>
      <c r="B116" s="486" t="s">
        <v>291</v>
      </c>
      <c r="C116" s="487" t="s">
        <v>4726</v>
      </c>
      <c r="D116" s="488" t="s">
        <v>292</v>
      </c>
      <c r="E116" s="489">
        <v>160.94999999999999</v>
      </c>
      <c r="F116" s="516" t="s">
        <v>293</v>
      </c>
      <c r="G116" s="232">
        <v>0</v>
      </c>
      <c r="H116" s="658" t="str">
        <f>IF(G116=0,"",IF(F116="Buy",IF(G116=1,"plant","plants"),IF(F116&gt;0.01,"warranty","Error")))</f>
        <v/>
      </c>
      <c r="I116" s="490">
        <f>IF(H116="free",0,IF(H116="credit",((E116*(F116))*G116*-1),IF(F116="Buy",(E116*G116),((E116*(1-F116))*G116))))</f>
        <v>0</v>
      </c>
      <c r="J116" s="490">
        <f>IF(H116="warranty",0,(I116*(_xlfn.SINGLE(SalesTaxPercentage))))</f>
        <v>0</v>
      </c>
      <c r="K116" s="695">
        <f t="shared" ref="K116" si="88">I116+J116</f>
        <v>0</v>
      </c>
      <c r="L116" s="695"/>
      <c r="M116" s="659" t="str">
        <f>IF(AND(G116&gt;0,E116=0),"WARNING - no PRICE inserted",IF(H116="free"," FREE ~ no charge this plant",IF(H116="credit",CONCATENATE(" -$",ROUND(K116*(1-T2GDiscount)*-1,2)," CREDIT after discount"),IF(T2GDiscount=0,"",IF(G116=0,"",IF(F116="Buy",CONCATENATE(" $",ROUND(K116*(1-T2GDiscount),2)," with ",(T2GDiscount*100),"% discount"),CONCATENATE(" $",ROUND(K116*(1-T2GDiscount),2)," with ",((T2GDiscount*100+F116*100)-(T2GDiscount*100*F116)),IF(F116&gt;0,"% discounts",IF(NoWarrantyDiscount&gt;0,"% discounts","% discount")))))))))</f>
        <v/>
      </c>
      <c r="N116" s="660"/>
      <c r="O116" s="233"/>
      <c r="P116" s="233"/>
      <c r="Q116" s="233"/>
      <c r="R116" s="233"/>
      <c r="S116" s="233"/>
      <c r="T116" s="508">
        <f t="shared" si="52"/>
        <v>0</v>
      </c>
      <c r="U116" s="225">
        <f>IF(NOT(ISNUMBER(G116)), "", VLOOKUP(A116,'Discount Lookup'!D:E,2,FALSE)*G116)</f>
        <v>0</v>
      </c>
      <c r="V116" s="225">
        <f>IF(NOT(ISNUMBER(G116)), "", VLOOKUP(A116,'Discount Lookup'!G:H,2,FALSE)*G116)</f>
        <v>0</v>
      </c>
      <c r="W116" s="508">
        <f t="shared" si="53"/>
        <v>0</v>
      </c>
      <c r="X116" s="508">
        <f t="shared" si="54"/>
        <v>0</v>
      </c>
      <c r="Y116" s="509" t="b">
        <f t="shared" si="55"/>
        <v>0</v>
      </c>
      <c r="Z116" s="510">
        <f t="shared" si="56"/>
        <v>0</v>
      </c>
      <c r="AA116" s="511"/>
      <c r="AB116" s="511" t="str">
        <f t="shared" si="57"/>
        <v/>
      </c>
      <c r="AC116" s="698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698"/>
      <c r="AE116" s="631" t="str">
        <f t="shared" si="58"/>
        <v/>
      </c>
      <c r="AF116" s="699" t="str">
        <f t="shared" si="59"/>
        <v/>
      </c>
      <c r="AG116" s="699"/>
      <c r="AH116" s="699"/>
      <c r="AI116" s="512">
        <f>IF(H116="credit",0,IF(AE116="free",0,IF(AE116="me",0,IF(G116&gt;0,(VLOOKUP(A116,'Discount Lookup'!J:K,2)*G116),0))))</f>
        <v>0</v>
      </c>
      <c r="AJ116" s="513" t="str">
        <f t="shared" ca="1" si="60"/>
        <v/>
      </c>
      <c r="AK116" s="700" t="str">
        <f t="shared" si="61"/>
        <v/>
      </c>
      <c r="AL116" s="700"/>
      <c r="AM116" s="505" t="str">
        <f t="shared" si="62"/>
        <v/>
      </c>
      <c r="AN116" s="506"/>
      <c r="AO116" s="507"/>
      <c r="AP116" s="507"/>
      <c r="AQ116" s="507"/>
      <c r="AR116" s="507"/>
      <c r="AS116" s="507"/>
      <c r="AT116" s="507"/>
      <c r="AU116" s="507"/>
      <c r="AV116" s="225"/>
      <c r="AW116" s="508"/>
      <c r="AX116" s="225"/>
      <c r="AY116" s="225"/>
      <c r="AZ116" s="225"/>
      <c r="BA116" s="225"/>
      <c r="BB116" s="225"/>
      <c r="BC116" s="56"/>
      <c r="BD116" s="56"/>
      <c r="BE116" s="56"/>
      <c r="BF116" s="107" t="str">
        <f t="shared" si="63"/>
        <v>https://www.google.com/search?tbm=isch&amp;q=7%20G4</v>
      </c>
      <c r="BG116" s="107" t="str">
        <f t="shared" si="64"/>
        <v>A</v>
      </c>
      <c r="BH116" s="254"/>
      <c r="BI116" s="254"/>
    </row>
    <row r="117" spans="1:61" customFormat="1" ht="15.75" x14ac:dyDescent="0.25">
      <c r="A117" s="485">
        <v>10</v>
      </c>
      <c r="B117" s="486" t="s">
        <v>291</v>
      </c>
      <c r="C117" s="487" t="s">
        <v>2199</v>
      </c>
      <c r="D117" s="488" t="s">
        <v>300</v>
      </c>
      <c r="E117" s="489">
        <v>265.95</v>
      </c>
      <c r="F117" s="516" t="s">
        <v>293</v>
      </c>
      <c r="G117" s="232">
        <v>0</v>
      </c>
      <c r="H117" s="658" t="str">
        <f>IF(G117=0,"",IF(F117="Buy",IF(G117=1,"plant","plants"),IF(F117&gt;0.01,"warranty","Error")))</f>
        <v/>
      </c>
      <c r="I117" s="490">
        <f>IF(H117="free",0,IF(H117="credit",((E117*(F117))*G117*-1),IF(F117="Buy",(E117*G117),((E117*(1-F117))*G117))))</f>
        <v>0</v>
      </c>
      <c r="J117" s="490">
        <f>IF(H117="warranty",0,(I117*(_xlfn.SINGLE(SalesTaxPercentage))))</f>
        <v>0</v>
      </c>
      <c r="K117" s="695">
        <f t="shared" ref="K117" si="89">I117+J117</f>
        <v>0</v>
      </c>
      <c r="L117" s="695"/>
      <c r="M117" s="659" t="str">
        <f>IF(AND(G117&gt;0,E117=0),"WARNING - no PRICE inserted",IF(H117="free"," FREE ~ no charge this plant",IF(H117="credit",CONCATENATE(" -$",ROUND(K117*(1-T2GDiscount)*-1,2)," CREDIT after discount"),IF(T2GDiscount=0,"",IF(G117=0,"",IF(F117="Buy",CONCATENATE(" $",ROUND(K117*(1-T2GDiscount),2)," with ",(T2GDiscount*100),"% discount"),CONCATENATE(" $",ROUND(K117*(1-T2GDiscount),2)," with ",((T2GDiscount*100+F117*100)-(T2GDiscount*100*F117)),IF(F117&gt;0,"% discounts",IF(NoWarrantyDiscount&gt;0,"% discounts","% discount")))))))))</f>
        <v/>
      </c>
      <c r="N117" s="660"/>
      <c r="O117" s="233"/>
      <c r="P117" s="233"/>
      <c r="Q117" s="233"/>
      <c r="R117" s="233"/>
      <c r="S117" s="233"/>
      <c r="T117" s="508">
        <f t="shared" si="52"/>
        <v>0</v>
      </c>
      <c r="U117" s="225">
        <f>IF(NOT(ISNUMBER(G117)), "", VLOOKUP(A117,'Discount Lookup'!D:E,2,FALSE)*G117)</f>
        <v>0</v>
      </c>
      <c r="V117" s="225">
        <f>IF(NOT(ISNUMBER(G117)), "", VLOOKUP(A117,'Discount Lookup'!G:H,2,FALSE)*G117)</f>
        <v>0</v>
      </c>
      <c r="W117" s="508">
        <f t="shared" si="53"/>
        <v>0</v>
      </c>
      <c r="X117" s="508">
        <f t="shared" si="54"/>
        <v>0</v>
      </c>
      <c r="Y117" s="509" t="b">
        <f t="shared" si="55"/>
        <v>0</v>
      </c>
      <c r="Z117" s="510">
        <f t="shared" si="56"/>
        <v>0</v>
      </c>
      <c r="AA117" s="511"/>
      <c r="AB117" s="511" t="str">
        <f t="shared" si="57"/>
        <v/>
      </c>
      <c r="AC117" s="698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698"/>
      <c r="AE117" s="631" t="str">
        <f t="shared" si="58"/>
        <v/>
      </c>
      <c r="AF117" s="699" t="str">
        <f t="shared" si="59"/>
        <v/>
      </c>
      <c r="AG117" s="699"/>
      <c r="AH117" s="699"/>
      <c r="AI117" s="512">
        <f>IF(H117="credit",0,IF(AE117="free",0,IF(AE117="me",0,IF(G117&gt;0,(VLOOKUP(A117,'Discount Lookup'!J:K,2)*G117),0))))</f>
        <v>0</v>
      </c>
      <c r="AJ117" s="513" t="str">
        <f t="shared" ca="1" si="60"/>
        <v/>
      </c>
      <c r="AK117" s="700" t="str">
        <f t="shared" si="61"/>
        <v/>
      </c>
      <c r="AL117" s="700"/>
      <c r="AM117" s="505" t="str">
        <f t="shared" si="62"/>
        <v/>
      </c>
      <c r="AN117" s="506"/>
      <c r="AO117" s="507"/>
      <c r="AP117" s="507"/>
      <c r="AQ117" s="507"/>
      <c r="AR117" s="507"/>
      <c r="AS117" s="507"/>
      <c r="AT117" s="507"/>
      <c r="AU117" s="507"/>
      <c r="AV117" s="225"/>
      <c r="AW117" s="508"/>
      <c r="AX117" s="225"/>
      <c r="AY117" s="225"/>
      <c r="AZ117" s="225"/>
      <c r="BA117" s="225"/>
      <c r="BB117" s="225"/>
      <c r="BC117" s="56"/>
      <c r="BD117" s="56"/>
      <c r="BE117" s="56"/>
      <c r="BF117" s="107" t="str">
        <f t="shared" si="63"/>
        <v>https://www.google.com/search?tbm=isch&amp;q=10%20G6</v>
      </c>
      <c r="BG117" s="107" t="str">
        <f t="shared" si="64"/>
        <v>A</v>
      </c>
      <c r="BH117" s="254"/>
      <c r="BI117" s="254"/>
    </row>
    <row r="118" spans="1:61" customFormat="1" ht="17.25" thickBot="1" x14ac:dyDescent="0.3">
      <c r="A118" s="522" t="s">
        <v>2550</v>
      </c>
      <c r="B118" s="491"/>
      <c r="C118" s="675"/>
      <c r="D118" s="491"/>
      <c r="E118" s="491"/>
      <c r="F118" s="492"/>
      <c r="G118" s="493"/>
      <c r="H118" s="491"/>
      <c r="I118" s="234"/>
      <c r="J118" s="234"/>
      <c r="K118" s="494"/>
      <c r="L118" s="543"/>
      <c r="M118" s="561"/>
      <c r="N118" s="495"/>
      <c r="O118" s="496"/>
      <c r="P118" s="497"/>
      <c r="Q118" s="495"/>
      <c r="R118" s="495"/>
      <c r="S118" s="667" t="s">
        <v>4986</v>
      </c>
      <c r="T118" s="508">
        <f t="shared" si="52"/>
        <v>0</v>
      </c>
      <c r="U118" s="225" t="str">
        <f>IF(NOT(ISNUMBER(G118)), "", VLOOKUP(A118,'Discount Lookup'!D:E,2,FALSE)*G118)</f>
        <v/>
      </c>
      <c r="V118" s="225" t="str">
        <f>IF(NOT(ISNUMBER(G118)), "", VLOOKUP(A118,'Discount Lookup'!G:H,2,FALSE)*G118)</f>
        <v/>
      </c>
      <c r="W118" s="508">
        <f t="shared" si="53"/>
        <v>0</v>
      </c>
      <c r="X118" s="508">
        <f t="shared" si="54"/>
        <v>0</v>
      </c>
      <c r="Y118" s="509" t="b">
        <f t="shared" si="55"/>
        <v>0</v>
      </c>
      <c r="Z118" s="510">
        <f t="shared" si="56"/>
        <v>0</v>
      </c>
      <c r="AA118" s="511"/>
      <c r="AB118" s="511" t="str">
        <f t="shared" si="57"/>
        <v/>
      </c>
      <c r="AC118" s="698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698"/>
      <c r="AE118" s="631" t="str">
        <f t="shared" si="58"/>
        <v/>
      </c>
      <c r="AF118" s="699" t="str">
        <f t="shared" si="59"/>
        <v/>
      </c>
      <c r="AG118" s="699"/>
      <c r="AH118" s="699"/>
      <c r="AI118" s="512">
        <f>IF(H118="credit",0,IF(AE118="free",0,IF(AE118="me",0,IF(G118&gt;0,(VLOOKUP(A118,'Discount Lookup'!J:K,2)*G118),0))))</f>
        <v>0</v>
      </c>
      <c r="AJ118" s="513" t="str">
        <f t="shared" ca="1" si="60"/>
        <v/>
      </c>
      <c r="AK118" s="700" t="str">
        <f t="shared" si="61"/>
        <v/>
      </c>
      <c r="AL118" s="700"/>
      <c r="AM118" s="505" t="str">
        <f t="shared" si="62"/>
        <v/>
      </c>
      <c r="AN118" s="506"/>
      <c r="AO118" s="507"/>
      <c r="AP118" s="507"/>
      <c r="AQ118" s="507"/>
      <c r="AR118" s="507"/>
      <c r="AS118" s="507"/>
      <c r="AT118" s="507"/>
      <c r="AU118" s="507"/>
      <c r="AV118" s="225"/>
      <c r="AW118" s="508"/>
      <c r="AX118" s="225"/>
      <c r="AY118" s="225"/>
      <c r="AZ118" s="225"/>
      <c r="BA118" s="225"/>
      <c r="BB118" s="225"/>
      <c r="BC118" s="56"/>
      <c r="BD118" s="56"/>
      <c r="BE118" s="56"/>
      <c r="BF118" s="107" t="str">
        <f t="shared" si="63"/>
        <v>https://www.google.com/search?tbm=isch&amp;q=April%20Tryst%20is%20one%20of%20the%20most%20cold-hardy%20of%20C.%20japonica%20cultivars%2C%20blooming%20in%20March%E2%80%93May.%20Fragrant%20flowers.%20</v>
      </c>
      <c r="BG118" s="107" t="str">
        <f t="shared" si="64"/>
        <v>A</v>
      </c>
      <c r="BH118" s="254"/>
      <c r="BI118" s="254"/>
    </row>
    <row r="119" spans="1:61" customFormat="1" ht="18" x14ac:dyDescent="0.25">
      <c r="A119" s="521" t="s">
        <v>3166</v>
      </c>
      <c r="B119" s="477"/>
      <c r="C119" s="674"/>
      <c r="D119" s="478" t="s">
        <v>3167</v>
      </c>
      <c r="E119" s="479"/>
      <c r="F119" s="479"/>
      <c r="G119" s="479"/>
      <c r="H119" s="582" t="s">
        <v>474</v>
      </c>
      <c r="I119" s="480" t="s">
        <v>2093</v>
      </c>
      <c r="J119" s="479"/>
      <c r="K119" s="479"/>
      <c r="L119" s="560"/>
      <c r="M119" s="671" t="s">
        <v>4985</v>
      </c>
      <c r="N119" s="680" t="str">
        <f>IF(AND(ISTEXT($A119), ISERROR($A119+0)), HYPERLINK($BF119, "Images"), "")</f>
        <v>Images</v>
      </c>
      <c r="O119" s="662" t="s">
        <v>4967</v>
      </c>
      <c r="P119" s="482"/>
      <c r="Q119" s="483"/>
      <c r="R119" s="483"/>
      <c r="S119" s="484"/>
      <c r="T119" s="508">
        <f t="shared" si="52"/>
        <v>0</v>
      </c>
      <c r="U119" s="225" t="str">
        <f>IF(NOT(ISNUMBER(G119)), "", VLOOKUP(A119,'Discount Lookup'!D:E,2,FALSE)*G119)</f>
        <v/>
      </c>
      <c r="V119" s="225" t="str">
        <f>IF(NOT(ISNUMBER(G119)), "", VLOOKUP(A119,'Discount Lookup'!G:H,2,FALSE)*G119)</f>
        <v/>
      </c>
      <c r="W119" s="508">
        <f t="shared" si="53"/>
        <v>0</v>
      </c>
      <c r="X119" s="508" t="str">
        <f t="shared" si="54"/>
        <v>Dark Green foliage</v>
      </c>
      <c r="Y119" s="509" t="b">
        <f t="shared" si="55"/>
        <v>0</v>
      </c>
      <c r="Z119" s="510">
        <f t="shared" si="56"/>
        <v>0</v>
      </c>
      <c r="AA119" s="511"/>
      <c r="AB119" s="511" t="str">
        <f t="shared" si="57"/>
        <v/>
      </c>
      <c r="AC119" s="698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698"/>
      <c r="AE119" s="631" t="str">
        <f t="shared" si="58"/>
        <v/>
      </c>
      <c r="AF119" s="699" t="str">
        <f t="shared" si="59"/>
        <v/>
      </c>
      <c r="AG119" s="699"/>
      <c r="AH119" s="699"/>
      <c r="AI119" s="512">
        <f>IF(H119="credit",0,IF(AE119="free",0,IF(AE119="me",0,IF(G119&gt;0,(VLOOKUP(A119,'Discount Lookup'!J:K,2)*G119),0))))</f>
        <v>0</v>
      </c>
      <c r="AJ119" s="513" t="str">
        <f t="shared" ca="1" si="60"/>
        <v/>
      </c>
      <c r="AK119" s="700" t="str">
        <f t="shared" si="61"/>
        <v/>
      </c>
      <c r="AL119" s="700"/>
      <c r="AM119" s="505" t="str">
        <f t="shared" si="62"/>
        <v/>
      </c>
      <c r="AN119" s="506"/>
      <c r="AO119" s="507"/>
      <c r="AP119" s="507"/>
      <c r="AQ119" s="507"/>
      <c r="AR119" s="507"/>
      <c r="AS119" s="507"/>
      <c r="AT119" s="507"/>
      <c r="AU119" s="507"/>
      <c r="AV119" s="225"/>
      <c r="AW119" s="508"/>
      <c r="AX119" s="225"/>
      <c r="AY119" s="225"/>
      <c r="AZ119" s="225"/>
      <c r="BA119" s="225"/>
      <c r="BB119" s="225"/>
      <c r="BC119" s="56"/>
      <c r="BD119" s="56"/>
      <c r="BE119" s="56"/>
      <c r="BF119" s="107" t="str">
        <f t="shared" si="63"/>
        <v>https://www.google.com/search?tbm=isch&amp;q=Aralia%20Ivy%20Tree%20Fatshedera%20lizei</v>
      </c>
      <c r="BG119" s="107" t="str">
        <f t="shared" si="64"/>
        <v>A</v>
      </c>
      <c r="BH119" s="254"/>
      <c r="BI119" s="254"/>
    </row>
    <row r="120" spans="1:61" customFormat="1" ht="15.75" x14ac:dyDescent="0.25">
      <c r="A120" s="485">
        <v>3</v>
      </c>
      <c r="B120" s="486" t="s">
        <v>291</v>
      </c>
      <c r="C120" s="487"/>
      <c r="D120" s="488" t="s">
        <v>298</v>
      </c>
      <c r="E120" s="489">
        <v>30.95</v>
      </c>
      <c r="F120" s="516" t="s">
        <v>293</v>
      </c>
      <c r="G120" s="232">
        <v>0</v>
      </c>
      <c r="H120" s="658" t="str">
        <f>IF(G120=0,"",IF(F120="Buy",IF(G120=1,"plant","plants"),IF(F120&gt;0.01,"warranty","Error")))</f>
        <v/>
      </c>
      <c r="I120" s="490">
        <f>IF(H120="free",0,IF(H120="credit",((E120*(F120))*G120*-1),IF(F120="Buy",(E120*G120),((E120*(1-F120))*G120))))</f>
        <v>0</v>
      </c>
      <c r="J120" s="490">
        <f>IF(H120="warranty",0,(I120*(_xlfn.SINGLE(SalesTaxPercentage))))</f>
        <v>0</v>
      </c>
      <c r="K120" s="695">
        <f t="shared" ref="K120" si="90">I120+J120</f>
        <v>0</v>
      </c>
      <c r="L120" s="695"/>
      <c r="M120" s="659" t="str">
        <f>IF(AND(G120&gt;0,E120=0),"WARNING - no PRICE inserted",IF(H120="free"," FREE ~ no charge this plant",IF(H120="credit",CONCATENATE(" -$",ROUND(K120*(1-T2GDiscount)*-1,2)," CREDIT after discount"),IF(T2GDiscount=0,"",IF(G120=0,"",IF(F120="Buy",CONCATENATE(" $",ROUND(K120*(1-T2GDiscount),2)," with ",(T2GDiscount*100),"% discount"),CONCATENATE(" $",ROUND(K120*(1-T2GDiscount),2)," with ",((T2GDiscount*100+F120*100)-(T2GDiscount*100*F120)),IF(F120&gt;0,"% discounts",IF(NoWarrantyDiscount&gt;0,"% discounts","% discount")))))))))</f>
        <v/>
      </c>
      <c r="N120" s="660"/>
      <c r="O120" s="233"/>
      <c r="P120" s="233"/>
      <c r="Q120" s="233"/>
      <c r="R120" s="233"/>
      <c r="S120" s="233"/>
      <c r="T120" s="508">
        <f t="shared" si="52"/>
        <v>0</v>
      </c>
      <c r="U120" s="225">
        <f>IF(NOT(ISNUMBER(G120)), "", VLOOKUP(A120,'Discount Lookup'!D:E,2,FALSE)*G120)</f>
        <v>0</v>
      </c>
      <c r="V120" s="225">
        <f>IF(NOT(ISNUMBER(G120)), "", VLOOKUP(A120,'Discount Lookup'!G:H,2,FALSE)*G120)</f>
        <v>0</v>
      </c>
      <c r="W120" s="508">
        <f t="shared" si="53"/>
        <v>0</v>
      </c>
      <c r="X120" s="508">
        <f t="shared" si="54"/>
        <v>0</v>
      </c>
      <c r="Y120" s="509" t="b">
        <f t="shared" si="55"/>
        <v>0</v>
      </c>
      <c r="Z120" s="510">
        <f t="shared" si="56"/>
        <v>0</v>
      </c>
      <c r="AA120" s="511"/>
      <c r="AB120" s="511" t="str">
        <f t="shared" si="57"/>
        <v/>
      </c>
      <c r="AC120" s="698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698"/>
      <c r="AE120" s="631" t="str">
        <f t="shared" si="58"/>
        <v/>
      </c>
      <c r="AF120" s="699" t="str">
        <f t="shared" si="59"/>
        <v/>
      </c>
      <c r="AG120" s="699"/>
      <c r="AH120" s="699"/>
      <c r="AI120" s="512">
        <f>IF(H120="credit",0,IF(AE120="free",0,IF(AE120="me",0,IF(G120&gt;0,(VLOOKUP(A120,'Discount Lookup'!J:K,2)*G120),0))))</f>
        <v>0</v>
      </c>
      <c r="AJ120" s="513" t="str">
        <f t="shared" ca="1" si="60"/>
        <v/>
      </c>
      <c r="AK120" s="700" t="str">
        <f t="shared" si="61"/>
        <v/>
      </c>
      <c r="AL120" s="700"/>
      <c r="AM120" s="505" t="str">
        <f t="shared" si="62"/>
        <v/>
      </c>
      <c r="AN120" s="506"/>
      <c r="AO120" s="507"/>
      <c r="AP120" s="507"/>
      <c r="AQ120" s="507"/>
      <c r="AR120" s="507"/>
      <c r="AS120" s="507"/>
      <c r="AT120" s="507"/>
      <c r="AU120" s="507"/>
      <c r="AV120" s="225"/>
      <c r="AW120" s="508"/>
      <c r="AX120" s="225"/>
      <c r="AY120" s="225"/>
      <c r="AZ120" s="225"/>
      <c r="BA120" s="225"/>
      <c r="BB120" s="225"/>
      <c r="BC120" s="56"/>
      <c r="BD120" s="56"/>
      <c r="BE120" s="56"/>
      <c r="BF120" s="107" t="str">
        <f t="shared" si="63"/>
        <v>https://www.google.com/search?tbm=isch&amp;q=3%20G1</v>
      </c>
      <c r="BG120" s="107" t="str">
        <f t="shared" si="64"/>
        <v>A</v>
      </c>
      <c r="BH120" s="254"/>
      <c r="BI120" s="254"/>
    </row>
    <row r="121" spans="1:61" customFormat="1" ht="16.5" thickBot="1" x14ac:dyDescent="0.3">
      <c r="A121" s="522" t="s">
        <v>3916</v>
      </c>
      <c r="B121" s="491"/>
      <c r="C121" s="675"/>
      <c r="D121" s="491"/>
      <c r="E121" s="491"/>
      <c r="F121" s="492"/>
      <c r="G121" s="493"/>
      <c r="H121" s="491"/>
      <c r="I121" s="234"/>
      <c r="J121" s="234"/>
      <c r="K121" s="494"/>
      <c r="L121" s="543"/>
      <c r="M121" s="561"/>
      <c r="N121" s="495"/>
      <c r="O121" s="496"/>
      <c r="P121" s="497"/>
      <c r="Q121" s="495"/>
      <c r="R121" s="495"/>
      <c r="S121" s="277"/>
      <c r="T121" s="508">
        <f t="shared" si="52"/>
        <v>0</v>
      </c>
      <c r="U121" s="225" t="str">
        <f>IF(NOT(ISNUMBER(G121)), "", VLOOKUP(A121,'Discount Lookup'!D:E,2,FALSE)*G121)</f>
        <v/>
      </c>
      <c r="V121" s="225" t="str">
        <f>IF(NOT(ISNUMBER(G121)), "", VLOOKUP(A121,'Discount Lookup'!G:H,2,FALSE)*G121)</f>
        <v/>
      </c>
      <c r="W121" s="508">
        <f t="shared" si="53"/>
        <v>0</v>
      </c>
      <c r="X121" s="508">
        <f t="shared" si="54"/>
        <v>0</v>
      </c>
      <c r="Y121" s="509" t="b">
        <f t="shared" si="55"/>
        <v>0</v>
      </c>
      <c r="Z121" s="510">
        <f t="shared" si="56"/>
        <v>0</v>
      </c>
      <c r="AA121" s="511"/>
      <c r="AB121" s="511" t="str">
        <f t="shared" si="57"/>
        <v/>
      </c>
      <c r="AC121" s="698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698"/>
      <c r="AE121" s="631" t="str">
        <f t="shared" si="58"/>
        <v/>
      </c>
      <c r="AF121" s="699" t="str">
        <f t="shared" si="59"/>
        <v/>
      </c>
      <c r="AG121" s="699"/>
      <c r="AH121" s="699"/>
      <c r="AI121" s="512">
        <f>IF(H121="credit",0,IF(AE121="free",0,IF(AE121="me",0,IF(G121&gt;0,(VLOOKUP(A121,'Discount Lookup'!J:K,2)*G121),0))))</f>
        <v>0</v>
      </c>
      <c r="AJ121" s="513" t="str">
        <f t="shared" ca="1" si="60"/>
        <v/>
      </c>
      <c r="AK121" s="700" t="str">
        <f t="shared" si="61"/>
        <v/>
      </c>
      <c r="AL121" s="700"/>
      <c r="AM121" s="505" t="str">
        <f t="shared" si="62"/>
        <v/>
      </c>
      <c r="AN121" s="506"/>
      <c r="AO121" s="507"/>
      <c r="AP121" s="507"/>
      <c r="AQ121" s="507"/>
      <c r="AR121" s="507"/>
      <c r="AS121" s="507"/>
      <c r="AT121" s="507"/>
      <c r="AU121" s="507"/>
      <c r="AV121" s="225"/>
      <c r="AW121" s="508"/>
      <c r="AX121" s="225"/>
      <c r="AY121" s="225"/>
      <c r="AZ121" s="225"/>
      <c r="BA121" s="225"/>
      <c r="BB121" s="225"/>
      <c r="BC121" s="56"/>
      <c r="BD121" s="56"/>
      <c r="BE121" s="56"/>
      <c r="BF121" s="107" t="str">
        <f t="shared" si="63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21" s="107" t="str">
        <f t="shared" si="64"/>
        <v>A</v>
      </c>
      <c r="BH121" s="254"/>
      <c r="BI121" s="254"/>
    </row>
    <row r="122" spans="1:61" customFormat="1" ht="18" x14ac:dyDescent="0.25">
      <c r="A122" s="521" t="s">
        <v>611</v>
      </c>
      <c r="B122" s="477"/>
      <c r="C122" s="674"/>
      <c r="D122" s="478" t="s">
        <v>610</v>
      </c>
      <c r="E122" s="479"/>
      <c r="F122" s="479"/>
      <c r="G122" s="479"/>
      <c r="H122" s="582" t="s">
        <v>1164</v>
      </c>
      <c r="I122" s="480" t="s">
        <v>2097</v>
      </c>
      <c r="J122" s="479"/>
      <c r="K122" s="479"/>
      <c r="L122" s="560"/>
      <c r="M122" s="671" t="s">
        <v>4985</v>
      </c>
      <c r="N122" s="680" t="str">
        <f>IF(AND(ISTEXT($A122), ISERROR($A122+0)), HYPERLINK($BF122, "Images"), "")</f>
        <v>Images</v>
      </c>
      <c r="O122" s="662" t="s">
        <v>4967</v>
      </c>
      <c r="P122" s="482"/>
      <c r="Q122" s="483"/>
      <c r="R122" s="483"/>
      <c r="S122" s="484"/>
      <c r="T122" s="508">
        <f t="shared" si="52"/>
        <v>0</v>
      </c>
      <c r="U122" s="225" t="str">
        <f>IF(NOT(ISNUMBER(G122)), "", VLOOKUP(A122,'Discount Lookup'!D:E,2,FALSE)*G122)</f>
        <v/>
      </c>
      <c r="V122" s="225" t="str">
        <f>IF(NOT(ISNUMBER(G122)), "", VLOOKUP(A122,'Discount Lookup'!G:H,2,FALSE)*G122)</f>
        <v/>
      </c>
      <c r="W122" s="508">
        <f t="shared" si="53"/>
        <v>0</v>
      </c>
      <c r="X122" s="508" t="str">
        <f t="shared" si="54"/>
        <v>Deep Green foliage</v>
      </c>
      <c r="Y122" s="509" t="b">
        <f t="shared" si="55"/>
        <v>0</v>
      </c>
      <c r="Z122" s="510">
        <f t="shared" si="56"/>
        <v>0</v>
      </c>
      <c r="AA122" s="511"/>
      <c r="AB122" s="511" t="str">
        <f t="shared" si="57"/>
        <v/>
      </c>
      <c r="AC122" s="698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698"/>
      <c r="AE122" s="631" t="str">
        <f t="shared" si="58"/>
        <v/>
      </c>
      <c r="AF122" s="699" t="str">
        <f t="shared" si="59"/>
        <v/>
      </c>
      <c r="AG122" s="699"/>
      <c r="AH122" s="699"/>
      <c r="AI122" s="512">
        <f>IF(H122="credit",0,IF(AE122="free",0,IF(AE122="me",0,IF(G122&gt;0,(VLOOKUP(A122,'Discount Lookup'!J:K,2)*G122),0))))</f>
        <v>0</v>
      </c>
      <c r="AJ122" s="513" t="str">
        <f t="shared" ca="1" si="60"/>
        <v/>
      </c>
      <c r="AK122" s="700" t="str">
        <f t="shared" si="61"/>
        <v/>
      </c>
      <c r="AL122" s="700"/>
      <c r="AM122" s="505" t="str">
        <f t="shared" si="62"/>
        <v/>
      </c>
      <c r="AN122" s="506"/>
      <c r="AO122" s="507"/>
      <c r="AP122" s="507"/>
      <c r="AQ122" s="507"/>
      <c r="AR122" s="507"/>
      <c r="AS122" s="507"/>
      <c r="AT122" s="507"/>
      <c r="AU122" s="507"/>
      <c r="AV122" s="225"/>
      <c r="AW122" s="508"/>
      <c r="AX122" s="225"/>
      <c r="AY122" s="225"/>
      <c r="AZ122" s="225"/>
      <c r="BA122" s="225"/>
      <c r="BB122" s="225"/>
      <c r="BC122" s="56"/>
      <c r="BD122" s="56"/>
      <c r="BE122" s="56"/>
      <c r="BF122" s="107" t="str">
        <f t="shared" si="63"/>
        <v>https://www.google.com/search?tbm=isch&amp;q=Arborvitae%20Fern%20Selaginella%20braunii</v>
      </c>
      <c r="BG122" s="107" t="str">
        <f t="shared" si="64"/>
        <v>A</v>
      </c>
      <c r="BH122" s="254"/>
      <c r="BI122" s="254"/>
    </row>
    <row r="123" spans="1:61" customFormat="1" ht="15.75" x14ac:dyDescent="0.25">
      <c r="A123" s="485">
        <v>3</v>
      </c>
      <c r="B123" s="486" t="s">
        <v>291</v>
      </c>
      <c r="C123" s="487" t="s">
        <v>3309</v>
      </c>
      <c r="D123" s="488" t="s">
        <v>292</v>
      </c>
      <c r="E123" s="489">
        <v>31.95</v>
      </c>
      <c r="F123" s="516" t="s">
        <v>293</v>
      </c>
      <c r="G123" s="232">
        <v>0</v>
      </c>
      <c r="H123" s="658" t="str">
        <f>IF(G123=0,"",IF(F123="Buy",IF(G123=1,"plant","plants"),IF(F123&gt;0.01,"warranty","Error")))</f>
        <v/>
      </c>
      <c r="I123" s="490">
        <f>IF(H123="free",0,IF(H123="credit",((E123*(F123))*G123*-1),IF(F123="Buy",(E123*G123),((E123*(1-F123))*G123))))</f>
        <v>0</v>
      </c>
      <c r="J123" s="490">
        <f>IF(H123="warranty",0,(I123*(_xlfn.SINGLE(SalesTaxPercentage))))</f>
        <v>0</v>
      </c>
      <c r="K123" s="695">
        <f t="shared" ref="K123" si="91">I123+J123</f>
        <v>0</v>
      </c>
      <c r="L123" s="695"/>
      <c r="M123" s="659" t="str">
        <f>IF(AND(G123&gt;0,E123=0),"WARNING - no PRICE inserted",IF(H123="free"," FREE ~ no charge this plant",IF(H123="credit",CONCATENATE(" -$",ROUND(K123*(1-T2GDiscount)*-1,2)," CREDIT after discount"),IF(T2GDiscount=0,"",IF(G123=0,"",IF(F123="Buy",CONCATENATE(" $",ROUND(K123*(1-T2GDiscount),2)," with ",(T2GDiscount*100),"% discount"),CONCATENATE(" $",ROUND(K123*(1-T2GDiscount),2)," with ",((T2GDiscount*100+F123*100)-(T2GDiscount*100*F123)),IF(F123&gt;0,"% discounts",IF(NoWarrantyDiscount&gt;0,"% discounts","% discount")))))))))</f>
        <v/>
      </c>
      <c r="N123" s="660"/>
      <c r="O123" s="233"/>
      <c r="P123" s="233"/>
      <c r="Q123" s="233"/>
      <c r="R123" s="233"/>
      <c r="S123" s="233"/>
      <c r="T123" s="508">
        <f t="shared" si="52"/>
        <v>0</v>
      </c>
      <c r="U123" s="225">
        <f>IF(NOT(ISNUMBER(G123)), "", VLOOKUP(A123,'Discount Lookup'!D:E,2,FALSE)*G123)</f>
        <v>0</v>
      </c>
      <c r="V123" s="225">
        <f>IF(NOT(ISNUMBER(G123)), "", VLOOKUP(A123,'Discount Lookup'!G:H,2,FALSE)*G123)</f>
        <v>0</v>
      </c>
      <c r="W123" s="508">
        <f t="shared" si="53"/>
        <v>0</v>
      </c>
      <c r="X123" s="508">
        <f t="shared" si="54"/>
        <v>0</v>
      </c>
      <c r="Y123" s="509" t="b">
        <f t="shared" si="55"/>
        <v>0</v>
      </c>
      <c r="Z123" s="510">
        <f t="shared" si="56"/>
        <v>0</v>
      </c>
      <c r="AA123" s="511"/>
      <c r="AB123" s="511" t="str">
        <f t="shared" si="57"/>
        <v/>
      </c>
      <c r="AC123" s="698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698"/>
      <c r="AE123" s="631" t="str">
        <f t="shared" si="58"/>
        <v/>
      </c>
      <c r="AF123" s="699" t="str">
        <f t="shared" si="59"/>
        <v/>
      </c>
      <c r="AG123" s="699"/>
      <c r="AH123" s="699"/>
      <c r="AI123" s="512">
        <f>IF(H123="credit",0,IF(AE123="free",0,IF(AE123="me",0,IF(G123&gt;0,(VLOOKUP(A123,'Discount Lookup'!J:K,2)*G123),0))))</f>
        <v>0</v>
      </c>
      <c r="AJ123" s="513" t="str">
        <f t="shared" ca="1" si="60"/>
        <v/>
      </c>
      <c r="AK123" s="700" t="str">
        <f t="shared" si="61"/>
        <v/>
      </c>
      <c r="AL123" s="700"/>
      <c r="AM123" s="505" t="str">
        <f t="shared" si="62"/>
        <v/>
      </c>
      <c r="AN123" s="506"/>
      <c r="AO123" s="507"/>
      <c r="AP123" s="507"/>
      <c r="AQ123" s="507"/>
      <c r="AR123" s="507"/>
      <c r="AS123" s="507"/>
      <c r="AT123" s="507"/>
      <c r="AU123" s="507"/>
      <c r="AV123" s="225"/>
      <c r="AW123" s="508"/>
      <c r="AX123" s="225"/>
      <c r="AY123" s="225"/>
      <c r="AZ123" s="225"/>
      <c r="BA123" s="225"/>
      <c r="BB123" s="225"/>
      <c r="BC123" s="56"/>
      <c r="BD123" s="56"/>
      <c r="BE123" s="56"/>
      <c r="BF123" s="107" t="str">
        <f t="shared" si="63"/>
        <v>https://www.google.com/search?tbm=isch&amp;q=3%20G4</v>
      </c>
      <c r="BG123" s="107" t="str">
        <f t="shared" si="64"/>
        <v>A</v>
      </c>
      <c r="BH123" s="254"/>
      <c r="BI123" s="254"/>
    </row>
    <row r="124" spans="1:61" customFormat="1" ht="16.5" thickBot="1" x14ac:dyDescent="0.3">
      <c r="A124" s="672" t="s">
        <v>5039</v>
      </c>
      <c r="B124" s="491"/>
      <c r="C124" s="675"/>
      <c r="D124" s="491"/>
      <c r="E124" s="491"/>
      <c r="F124" s="492"/>
      <c r="G124" s="493"/>
      <c r="H124" s="491"/>
      <c r="I124" s="234"/>
      <c r="J124" s="234"/>
      <c r="K124" s="494"/>
      <c r="L124" s="543"/>
      <c r="M124" s="561"/>
      <c r="N124" s="495"/>
      <c r="O124" s="496"/>
      <c r="P124" s="497"/>
      <c r="Q124" s="495"/>
      <c r="R124" s="495"/>
      <c r="S124" s="667" t="s">
        <v>4968</v>
      </c>
      <c r="T124" s="508">
        <f t="shared" si="52"/>
        <v>0</v>
      </c>
      <c r="U124" s="225" t="str">
        <f>IF(NOT(ISNUMBER(G124)), "", VLOOKUP(A124,'Discount Lookup'!D:E,2,FALSE)*G124)</f>
        <v/>
      </c>
      <c r="V124" s="225" t="str">
        <f>IF(NOT(ISNUMBER(G124)), "", VLOOKUP(A124,'Discount Lookup'!G:H,2,FALSE)*G124)</f>
        <v/>
      </c>
      <c r="W124" s="508">
        <f t="shared" si="53"/>
        <v>0</v>
      </c>
      <c r="X124" s="508">
        <f t="shared" si="54"/>
        <v>0</v>
      </c>
      <c r="Y124" s="509" t="b">
        <f t="shared" si="55"/>
        <v>0</v>
      </c>
      <c r="Z124" s="510">
        <f t="shared" si="56"/>
        <v>0</v>
      </c>
      <c r="AA124" s="511"/>
      <c r="AB124" s="511" t="str">
        <f t="shared" si="57"/>
        <v/>
      </c>
      <c r="AC124" s="698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698"/>
      <c r="AE124" s="631" t="str">
        <f t="shared" si="58"/>
        <v/>
      </c>
      <c r="AF124" s="699" t="str">
        <f t="shared" si="59"/>
        <v/>
      </c>
      <c r="AG124" s="699"/>
      <c r="AH124" s="699"/>
      <c r="AI124" s="512">
        <f>IF(H124="credit",0,IF(AE124="free",0,IF(AE124="me",0,IF(G124&gt;0,(VLOOKUP(A124,'Discount Lookup'!J:K,2)*G124),0))))</f>
        <v>0</v>
      </c>
      <c r="AJ124" s="513" t="str">
        <f t="shared" ca="1" si="60"/>
        <v/>
      </c>
      <c r="AK124" s="700" t="str">
        <f t="shared" si="61"/>
        <v/>
      </c>
      <c r="AL124" s="700"/>
      <c r="AM124" s="505" t="str">
        <f t="shared" si="62"/>
        <v/>
      </c>
      <c r="AN124" s="506"/>
      <c r="AO124" s="507"/>
      <c r="AP124" s="507"/>
      <c r="AQ124" s="507"/>
      <c r="AR124" s="507"/>
      <c r="AS124" s="507"/>
      <c r="AT124" s="507"/>
      <c r="AU124" s="507"/>
      <c r="AV124" s="225"/>
      <c r="AW124" s="508"/>
      <c r="AX124" s="225"/>
      <c r="AY124" s="225"/>
      <c r="AZ124" s="225"/>
      <c r="BA124" s="225"/>
      <c r="BB124" s="225"/>
      <c r="BC124" s="56"/>
      <c r="BD124" s="56"/>
      <c r="BE124" s="56"/>
      <c r="BF124" s="107" t="str">
        <f t="shared" si="63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124" s="107" t="str">
        <f t="shared" si="64"/>
        <v>m</v>
      </c>
      <c r="BH124" s="254"/>
      <c r="BI124" s="254"/>
    </row>
    <row r="125" spans="1:61" customFormat="1" ht="18" x14ac:dyDescent="0.25">
      <c r="A125" s="523" t="s">
        <v>5295</v>
      </c>
      <c r="B125" s="235"/>
      <c r="C125" s="676"/>
      <c r="D125" s="255" t="s">
        <v>659</v>
      </c>
      <c r="E125" s="236"/>
      <c r="F125" s="236"/>
      <c r="G125" s="236"/>
      <c r="H125" s="582" t="s">
        <v>474</v>
      </c>
      <c r="I125" s="498" t="s">
        <v>654</v>
      </c>
      <c r="J125" s="237"/>
      <c r="K125" s="237"/>
      <c r="L125" s="274"/>
      <c r="M125" s="668" t="s">
        <v>4964</v>
      </c>
      <c r="N125" s="681" t="str">
        <f>IF(AND(ISTEXT($A125), ISERROR($A125+0)), HYPERLINK($BF125, "Images"), "")</f>
        <v>Images</v>
      </c>
      <c r="O125" s="663" t="s">
        <v>4974</v>
      </c>
      <c r="P125" s="253"/>
      <c r="Q125" s="238"/>
      <c r="R125" s="239"/>
      <c r="S125" s="275"/>
      <c r="T125" s="508">
        <f t="shared" si="52"/>
        <v>0</v>
      </c>
      <c r="U125" s="225" t="str">
        <f>IF(NOT(ISNUMBER(G125)), "", VLOOKUP(A125,'Discount Lookup'!D:E,2,FALSE)*G125)</f>
        <v/>
      </c>
      <c r="V125" s="225" t="str">
        <f>IF(NOT(ISNUMBER(G125)), "", VLOOKUP(A125,'Discount Lookup'!G:H,2,FALSE)*G125)</f>
        <v/>
      </c>
      <c r="W125" s="508">
        <f t="shared" si="53"/>
        <v>0</v>
      </c>
      <c r="X125" s="508" t="str">
        <f t="shared" si="54"/>
        <v>White bloom</v>
      </c>
      <c r="Y125" s="509" t="b">
        <f t="shared" si="55"/>
        <v>0</v>
      </c>
      <c r="Z125" s="510">
        <f t="shared" si="56"/>
        <v>0</v>
      </c>
      <c r="AA125" s="511"/>
      <c r="AB125" s="511" t="str">
        <f t="shared" si="57"/>
        <v/>
      </c>
      <c r="AC125" s="698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698"/>
      <c r="AE125" s="631" t="str">
        <f t="shared" si="58"/>
        <v/>
      </c>
      <c r="AF125" s="699" t="str">
        <f t="shared" si="59"/>
        <v/>
      </c>
      <c r="AG125" s="699"/>
      <c r="AH125" s="699"/>
      <c r="AI125" s="512">
        <f>IF(H125="credit",0,IF(AE125="free",0,IF(AE125="me",0,IF(G125&gt;0,(VLOOKUP(A125,'Discount Lookup'!J:K,2)*G125),0))))</f>
        <v>0</v>
      </c>
      <c r="AJ125" s="513" t="str">
        <f t="shared" ca="1" si="60"/>
        <v/>
      </c>
      <c r="AK125" s="700" t="str">
        <f t="shared" si="61"/>
        <v/>
      </c>
      <c r="AL125" s="700"/>
      <c r="AM125" s="505" t="str">
        <f t="shared" si="62"/>
        <v/>
      </c>
      <c r="AN125" s="506"/>
      <c r="AO125" s="507"/>
      <c r="AP125" s="507"/>
      <c r="AQ125" s="507"/>
      <c r="AR125" s="507"/>
      <c r="AS125" s="507"/>
      <c r="AT125" s="507"/>
      <c r="AU125" s="507"/>
      <c r="AV125" s="225"/>
      <c r="AW125" s="508"/>
      <c r="AX125" s="225"/>
      <c r="AY125" s="225"/>
      <c r="AZ125" s="225"/>
      <c r="BA125" s="225"/>
      <c r="BB125" s="225"/>
      <c r="BC125" s="56"/>
      <c r="BD125" s="56"/>
      <c r="BE125" s="56"/>
      <c r="BF125" s="107" t="str">
        <f t="shared" si="63"/>
        <v>https://www.google.com/search?tbm=isch&amp;q=Arctic%20Fire%C2%AE%20Red%20Twig%20Dogwood%20Cornus%20stolonifera%20%27Farrow%27%20PP%2318523</v>
      </c>
      <c r="BG125" s="107" t="str">
        <f t="shared" si="64"/>
        <v>A</v>
      </c>
      <c r="BH125" s="254"/>
      <c r="BI125" s="254"/>
    </row>
    <row r="126" spans="1:61" customFormat="1" ht="15.75" x14ac:dyDescent="0.25">
      <c r="A126" s="276">
        <v>3</v>
      </c>
      <c r="B126" s="240" t="s">
        <v>291</v>
      </c>
      <c r="C126" s="241" t="s">
        <v>1084</v>
      </c>
      <c r="D126" s="242" t="s">
        <v>312</v>
      </c>
      <c r="E126" s="243">
        <v>40.950000000000003</v>
      </c>
      <c r="F126" s="517" t="s">
        <v>293</v>
      </c>
      <c r="G126" s="232">
        <v>0</v>
      </c>
      <c r="H126" s="661" t="str">
        <f>IF(G126=0,"",IF(F126="Buy",IF(G126=1,"plant","plants"),IF(F126&gt;0.01,"warranty","Error")))</f>
        <v/>
      </c>
      <c r="I126" s="244">
        <f>IF(H126="free",0,IF(H126="credit",((E126*(F126))*G126*-1),IF(F126="Buy",(E126*G126),((E126*(1-F126))*G126))))</f>
        <v>0</v>
      </c>
      <c r="J126" s="244">
        <f>IF(H126="warranty",0,(I126*(_xlfn.SINGLE(SalesTaxPercentage))))</f>
        <v>0</v>
      </c>
      <c r="K126" s="696">
        <f t="shared" ref="K126" si="92">I126+J126</f>
        <v>0</v>
      </c>
      <c r="L126" s="696"/>
      <c r="M126" s="659" t="str">
        <f>IF(AND(G126&gt;0,E126=0),"WARNING - no PRICE inserted",IF(H126="free"," FREE ~ no charge this plant",IF(H126="credit",CONCATENATE(" -$",ROUND(K126*(1-T2GDiscount)*-1,2)," CREDIT after discount"),IF(T2GDiscount=0,"",IF(G126=0,"",IF(F126="Buy",CONCATENATE(" $",ROUND(K126*(1-T2GDiscount),2)," with ",(T2GDiscount*100),"% discount"),CONCATENATE(" $",ROUND(K126*(1-T2GDiscount),2)," with ",((T2GDiscount*100+F126*100)-(T2GDiscount*100*F126)),IF(F126&gt;0,"% discounts",IF(NoWarrantyDiscount&gt;0,"% discounts","% discount")))))))))</f>
        <v/>
      </c>
      <c r="N126" s="660"/>
      <c r="O126" s="233"/>
      <c r="P126" s="233"/>
      <c r="Q126" s="233"/>
      <c r="R126" s="233"/>
      <c r="S126" s="233"/>
      <c r="T126" s="508">
        <f t="shared" si="52"/>
        <v>0</v>
      </c>
      <c r="U126" s="225">
        <f>IF(NOT(ISNUMBER(G126)), "", VLOOKUP(A126,'Discount Lookup'!D:E,2,FALSE)*G126)</f>
        <v>0</v>
      </c>
      <c r="V126" s="225">
        <f>IF(NOT(ISNUMBER(G126)), "", VLOOKUP(A126,'Discount Lookup'!G:H,2,FALSE)*G126)</f>
        <v>0</v>
      </c>
      <c r="W126" s="508">
        <f t="shared" si="53"/>
        <v>0</v>
      </c>
      <c r="X126" s="508">
        <f t="shared" si="54"/>
        <v>0</v>
      </c>
      <c r="Y126" s="509" t="b">
        <f t="shared" si="55"/>
        <v>0</v>
      </c>
      <c r="Z126" s="510">
        <f t="shared" si="56"/>
        <v>0</v>
      </c>
      <c r="AA126" s="511"/>
      <c r="AB126" s="511" t="str">
        <f t="shared" si="57"/>
        <v/>
      </c>
      <c r="AC126" s="698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698"/>
      <c r="AE126" s="631" t="str">
        <f t="shared" si="58"/>
        <v/>
      </c>
      <c r="AF126" s="699" t="str">
        <f t="shared" si="59"/>
        <v/>
      </c>
      <c r="AG126" s="699"/>
      <c r="AH126" s="699"/>
      <c r="AI126" s="512">
        <f>IF(H126="credit",0,IF(AE126="free",0,IF(AE126="me",0,IF(G126&gt;0,(VLOOKUP(A126,'Discount Lookup'!J:K,2)*G126),0))))</f>
        <v>0</v>
      </c>
      <c r="AJ126" s="513" t="str">
        <f t="shared" ca="1" si="60"/>
        <v/>
      </c>
      <c r="AK126" s="700" t="str">
        <f t="shared" si="61"/>
        <v/>
      </c>
      <c r="AL126" s="700"/>
      <c r="AM126" s="505" t="str">
        <f t="shared" si="62"/>
        <v/>
      </c>
      <c r="AN126" s="506"/>
      <c r="AO126" s="507"/>
      <c r="AP126" s="507"/>
      <c r="AQ126" s="507"/>
      <c r="AR126" s="507"/>
      <c r="AS126" s="507"/>
      <c r="AT126" s="507"/>
      <c r="AU126" s="507"/>
      <c r="AV126" s="225"/>
      <c r="AW126" s="508"/>
      <c r="AX126" s="225"/>
      <c r="AY126" s="225"/>
      <c r="AZ126" s="225"/>
      <c r="BA126" s="225"/>
      <c r="BB126" s="225"/>
      <c r="BC126" s="56"/>
      <c r="BD126" s="56"/>
      <c r="BE126" s="56"/>
      <c r="BF126" s="107" t="str">
        <f t="shared" si="63"/>
        <v>https://www.google.com/search?tbm=isch&amp;q=3%20G2</v>
      </c>
      <c r="BG126" s="107" t="str">
        <f t="shared" si="64"/>
        <v>A</v>
      </c>
      <c r="BH126" s="254"/>
      <c r="BI126" s="254"/>
    </row>
    <row r="127" spans="1:61" customFormat="1" ht="17.25" thickBot="1" x14ac:dyDescent="0.3">
      <c r="A127" s="673" t="s">
        <v>5040</v>
      </c>
      <c r="B127" s="245"/>
      <c r="C127" s="677"/>
      <c r="D127" s="499"/>
      <c r="E127" s="499"/>
      <c r="F127" s="500"/>
      <c r="G127" s="501"/>
      <c r="H127" s="502"/>
      <c r="I127" s="246"/>
      <c r="J127" s="247"/>
      <c r="K127" s="503"/>
      <c r="L127" s="544"/>
      <c r="M127" s="544"/>
      <c r="N127" s="500"/>
      <c r="O127" s="500"/>
      <c r="P127" s="500"/>
      <c r="Q127" s="500"/>
      <c r="R127" s="500"/>
      <c r="S127" s="669" t="s">
        <v>4980</v>
      </c>
      <c r="T127" s="508">
        <f t="shared" si="52"/>
        <v>0</v>
      </c>
      <c r="U127" s="225" t="str">
        <f>IF(NOT(ISNUMBER(G127)), "", VLOOKUP(A127,'Discount Lookup'!D:E,2,FALSE)*G127)</f>
        <v/>
      </c>
      <c r="V127" s="225" t="str">
        <f>IF(NOT(ISNUMBER(G127)), "", VLOOKUP(A127,'Discount Lookup'!G:H,2,FALSE)*G127)</f>
        <v/>
      </c>
      <c r="W127" s="508">
        <f t="shared" si="53"/>
        <v>0</v>
      </c>
      <c r="X127" s="508">
        <f t="shared" si="54"/>
        <v>0</v>
      </c>
      <c r="Y127" s="509" t="b">
        <f t="shared" si="55"/>
        <v>0</v>
      </c>
      <c r="Z127" s="510">
        <f t="shared" si="56"/>
        <v>0</v>
      </c>
      <c r="AA127" s="511"/>
      <c r="AB127" s="511" t="str">
        <f t="shared" si="57"/>
        <v/>
      </c>
      <c r="AC127" s="698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698"/>
      <c r="AE127" s="631" t="str">
        <f t="shared" si="58"/>
        <v/>
      </c>
      <c r="AF127" s="699" t="str">
        <f t="shared" si="59"/>
        <v/>
      </c>
      <c r="AG127" s="699"/>
      <c r="AH127" s="699"/>
      <c r="AI127" s="512">
        <f>IF(H127="credit",0,IF(AE127="free",0,IF(AE127="me",0,IF(G127&gt;0,(VLOOKUP(A127,'Discount Lookup'!J:K,2)*G127),0))))</f>
        <v>0</v>
      </c>
      <c r="AJ127" s="513" t="str">
        <f t="shared" ca="1" si="60"/>
        <v/>
      </c>
      <c r="AK127" s="700" t="str">
        <f t="shared" si="61"/>
        <v/>
      </c>
      <c r="AL127" s="700"/>
      <c r="AM127" s="505" t="str">
        <f t="shared" si="62"/>
        <v/>
      </c>
      <c r="AN127" s="506"/>
      <c r="AO127" s="507"/>
      <c r="AP127" s="507"/>
      <c r="AQ127" s="507"/>
      <c r="AR127" s="507"/>
      <c r="AS127" s="507"/>
      <c r="AT127" s="507"/>
      <c r="AU127" s="507"/>
      <c r="AV127" s="225"/>
      <c r="AW127" s="508"/>
      <c r="AX127" s="225"/>
      <c r="AY127" s="225"/>
      <c r="AZ127" s="225"/>
      <c r="BA127" s="225"/>
      <c r="BB127" s="225"/>
      <c r="BC127" s="56"/>
      <c r="BD127" s="56"/>
      <c r="BE127" s="56"/>
      <c r="BF127" s="107" t="str">
        <f t="shared" si="63"/>
        <v>https://www.google.com/search?tbm=isch&amp;q=wet%20sites%F0%9F%92%A7GOOD%2C%20Arctic%20Fire%20%28and%20other%20Red%20Twig%29%20are%20known%20for%20their%20bright%20red%20winter%20stems%20</v>
      </c>
      <c r="BG127" s="107" t="str">
        <f t="shared" si="64"/>
        <v>w</v>
      </c>
      <c r="BH127" s="254"/>
      <c r="BI127" s="254"/>
    </row>
    <row r="128" spans="1:61" customFormat="1" ht="18" x14ac:dyDescent="0.25">
      <c r="A128" s="523" t="s">
        <v>543</v>
      </c>
      <c r="B128" s="235"/>
      <c r="C128" s="676"/>
      <c r="D128" s="255" t="s">
        <v>542</v>
      </c>
      <c r="E128" s="236"/>
      <c r="F128" s="236"/>
      <c r="G128" s="236"/>
      <c r="H128" s="582" t="s">
        <v>355</v>
      </c>
      <c r="I128" s="498" t="s">
        <v>665</v>
      </c>
      <c r="J128" s="237"/>
      <c r="K128" s="237"/>
      <c r="L128" s="274"/>
      <c r="M128" s="668" t="s">
        <v>4975</v>
      </c>
      <c r="N128" s="681" t="str">
        <f>IF(AND(ISTEXT($A128), ISERROR($A128+0)), HYPERLINK($BF128, "Images"), "")</f>
        <v>Images</v>
      </c>
      <c r="O128" s="663" t="s">
        <v>4967</v>
      </c>
      <c r="P128" s="253"/>
      <c r="Q128" s="238"/>
      <c r="R128" s="239"/>
      <c r="S128" s="275"/>
      <c r="T128" s="508">
        <f t="shared" si="52"/>
        <v>0</v>
      </c>
      <c r="U128" s="225" t="str">
        <f>IF(NOT(ISNUMBER(G128)), "", VLOOKUP(A128,'Discount Lookup'!D:E,2,FALSE)*G128)</f>
        <v/>
      </c>
      <c r="V128" s="225" t="str">
        <f>IF(NOT(ISNUMBER(G128)), "", VLOOKUP(A128,'Discount Lookup'!G:H,2,FALSE)*G128)</f>
        <v/>
      </c>
      <c r="W128" s="508">
        <f t="shared" si="53"/>
        <v>0</v>
      </c>
      <c r="X128" s="508" t="str">
        <f t="shared" si="54"/>
        <v>Yellow bloom</v>
      </c>
      <c r="Y128" s="509" t="b">
        <f t="shared" si="55"/>
        <v>0</v>
      </c>
      <c r="Z128" s="510">
        <f t="shared" si="56"/>
        <v>0</v>
      </c>
      <c r="AA128" s="511"/>
      <c r="AB128" s="511" t="str">
        <f t="shared" si="57"/>
        <v/>
      </c>
      <c r="AC128" s="698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698"/>
      <c r="AE128" s="631" t="str">
        <f t="shared" si="58"/>
        <v/>
      </c>
      <c r="AF128" s="699" t="str">
        <f t="shared" si="59"/>
        <v/>
      </c>
      <c r="AG128" s="699"/>
      <c r="AH128" s="699"/>
      <c r="AI128" s="512">
        <f>IF(H128="credit",0,IF(AE128="free",0,IF(AE128="me",0,IF(G128&gt;0,(VLOOKUP(A128,'Discount Lookup'!J:K,2)*G128),0))))</f>
        <v>0</v>
      </c>
      <c r="AJ128" s="513" t="str">
        <f t="shared" ca="1" si="60"/>
        <v/>
      </c>
      <c r="AK128" s="700" t="str">
        <f t="shared" si="61"/>
        <v/>
      </c>
      <c r="AL128" s="700"/>
      <c r="AM128" s="505" t="str">
        <f t="shared" si="62"/>
        <v/>
      </c>
      <c r="AN128" s="506"/>
      <c r="AO128" s="507"/>
      <c r="AP128" s="507"/>
      <c r="AQ128" s="507"/>
      <c r="AR128" s="507"/>
      <c r="AS128" s="507"/>
      <c r="AT128" s="507"/>
      <c r="AU128" s="507"/>
      <c r="AV128" s="225"/>
      <c r="AW128" s="508"/>
      <c r="AX128" s="225"/>
      <c r="AY128" s="225"/>
      <c r="AZ128" s="225"/>
      <c r="BA128" s="225"/>
      <c r="BB128" s="225"/>
      <c r="BC128" s="56"/>
      <c r="BD128" s="56"/>
      <c r="BE128" s="56"/>
      <c r="BF128" s="107" t="str">
        <f t="shared" si="63"/>
        <v>https://www.google.com/search?tbm=isch&amp;q=Arnold%20Promise%20Witch%20Hazel%20Hamamelis%20x%20intermedia%20%27Arnold%20Promise%27</v>
      </c>
      <c r="BG128" s="107" t="str">
        <f t="shared" si="64"/>
        <v>A</v>
      </c>
      <c r="BH128" s="254"/>
      <c r="BI128" s="254"/>
    </row>
    <row r="129" spans="1:61" customFormat="1" ht="15.75" x14ac:dyDescent="0.25">
      <c r="A129" s="276">
        <v>7</v>
      </c>
      <c r="B129" s="240" t="s">
        <v>291</v>
      </c>
      <c r="C129" s="241" t="s">
        <v>3310</v>
      </c>
      <c r="D129" s="242" t="s">
        <v>292</v>
      </c>
      <c r="E129" s="243">
        <v>123.95</v>
      </c>
      <c r="F129" s="517" t="s">
        <v>293</v>
      </c>
      <c r="G129" s="232">
        <v>0</v>
      </c>
      <c r="H129" s="661" t="str">
        <f>IF(G129=0,"",IF(F129="Buy",IF(G129=1,"plant","plants"),IF(F129&gt;0.01,"warranty","Error")))</f>
        <v/>
      </c>
      <c r="I129" s="244">
        <f>IF(H129="free",0,IF(H129="credit",((E129*(F129))*G129*-1),IF(F129="Buy",(E129*G129),((E129*(1-F129))*G129))))</f>
        <v>0</v>
      </c>
      <c r="J129" s="244">
        <f>IF(H129="warranty",0,(I129*(_xlfn.SINGLE(SalesTaxPercentage))))</f>
        <v>0</v>
      </c>
      <c r="K129" s="696">
        <f t="shared" ref="K129" si="93">I129+J129</f>
        <v>0</v>
      </c>
      <c r="L129" s="696"/>
      <c r="M129" s="659" t="str">
        <f>IF(AND(G129&gt;0,E129=0),"WARNING - no PRICE inserted",IF(H129="free"," FREE ~ no charge this plant",IF(H129="credit",CONCATENATE(" -$",ROUND(K129*(1-T2GDiscount)*-1,2)," CREDIT after discount"),IF(T2GDiscount=0,"",IF(G129=0,"",IF(F129="Buy",CONCATENATE(" $",ROUND(K129*(1-T2GDiscount),2)," with ",(T2GDiscount*100),"% discount"),CONCATENATE(" $",ROUND(K129*(1-T2GDiscount),2)," with ",((T2GDiscount*100+F129*100)-(T2GDiscount*100*F129)),IF(F129&gt;0,"% discounts",IF(NoWarrantyDiscount&gt;0,"% discounts","% discount")))))))))</f>
        <v/>
      </c>
      <c r="N129" s="660"/>
      <c r="O129" s="233"/>
      <c r="P129" s="233"/>
      <c r="Q129" s="233"/>
      <c r="R129" s="233"/>
      <c r="S129" s="233"/>
      <c r="T129" s="508">
        <f t="shared" si="52"/>
        <v>0</v>
      </c>
      <c r="U129" s="225">
        <f>IF(NOT(ISNUMBER(G129)), "", VLOOKUP(A129,'Discount Lookup'!D:E,2,FALSE)*G129)</f>
        <v>0</v>
      </c>
      <c r="V129" s="225">
        <f>IF(NOT(ISNUMBER(G129)), "", VLOOKUP(A129,'Discount Lookup'!G:H,2,FALSE)*G129)</f>
        <v>0</v>
      </c>
      <c r="W129" s="508">
        <f t="shared" si="53"/>
        <v>0</v>
      </c>
      <c r="X129" s="508">
        <f t="shared" si="54"/>
        <v>0</v>
      </c>
      <c r="Y129" s="509" t="b">
        <f t="shared" si="55"/>
        <v>0</v>
      </c>
      <c r="Z129" s="510">
        <f t="shared" si="56"/>
        <v>0</v>
      </c>
      <c r="AA129" s="511"/>
      <c r="AB129" s="511" t="str">
        <f t="shared" si="57"/>
        <v/>
      </c>
      <c r="AC129" s="698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698"/>
      <c r="AE129" s="631" t="str">
        <f t="shared" si="58"/>
        <v/>
      </c>
      <c r="AF129" s="699" t="str">
        <f t="shared" si="59"/>
        <v/>
      </c>
      <c r="AG129" s="699"/>
      <c r="AH129" s="699"/>
      <c r="AI129" s="512">
        <f>IF(H129="credit",0,IF(AE129="free",0,IF(AE129="me",0,IF(G129&gt;0,(VLOOKUP(A129,'Discount Lookup'!J:K,2)*G129),0))))</f>
        <v>0</v>
      </c>
      <c r="AJ129" s="513" t="str">
        <f t="shared" ca="1" si="60"/>
        <v/>
      </c>
      <c r="AK129" s="700" t="str">
        <f t="shared" si="61"/>
        <v/>
      </c>
      <c r="AL129" s="700"/>
      <c r="AM129" s="505" t="str">
        <f t="shared" si="62"/>
        <v/>
      </c>
      <c r="AN129" s="506"/>
      <c r="AO129" s="507"/>
      <c r="AP129" s="507"/>
      <c r="AQ129" s="507"/>
      <c r="AR129" s="507"/>
      <c r="AS129" s="507"/>
      <c r="AT129" s="507"/>
      <c r="AU129" s="507"/>
      <c r="AV129" s="225"/>
      <c r="AW129" s="508"/>
      <c r="AX129" s="225"/>
      <c r="AY129" s="225"/>
      <c r="AZ129" s="225"/>
      <c r="BA129" s="225"/>
      <c r="BB129" s="225"/>
      <c r="BC129" s="56"/>
      <c r="BD129" s="56"/>
      <c r="BE129" s="56"/>
      <c r="BF129" s="107" t="str">
        <f t="shared" si="63"/>
        <v>https://www.google.com/search?tbm=isch&amp;q=7%20G4</v>
      </c>
      <c r="BG129" s="107" t="str">
        <f t="shared" si="64"/>
        <v>A</v>
      </c>
      <c r="BH129" s="254"/>
      <c r="BI129" s="254"/>
    </row>
    <row r="130" spans="1:61" customFormat="1" ht="15.75" x14ac:dyDescent="0.25">
      <c r="A130" s="276">
        <v>15</v>
      </c>
      <c r="B130" s="240" t="s">
        <v>291</v>
      </c>
      <c r="C130" s="241" t="s">
        <v>2219</v>
      </c>
      <c r="D130" s="242" t="s">
        <v>300</v>
      </c>
      <c r="E130" s="243">
        <v>160.94999999999999</v>
      </c>
      <c r="F130" s="517" t="s">
        <v>293</v>
      </c>
      <c r="G130" s="232">
        <v>0</v>
      </c>
      <c r="H130" s="661" t="str">
        <f>IF(G130=0,"",IF(F130="Buy",IF(G130=1,"plant","plants"),IF(F130&gt;0.01,"warranty","Error")))</f>
        <v/>
      </c>
      <c r="I130" s="244">
        <f>IF(H130="free",0,IF(H130="credit",((E130*(F130))*G130*-1),IF(F130="Buy",(E130*G130),((E130*(1-F130))*G130))))</f>
        <v>0</v>
      </c>
      <c r="J130" s="244">
        <f>IF(H130="warranty",0,(I130*(_xlfn.SINGLE(SalesTaxPercentage))))</f>
        <v>0</v>
      </c>
      <c r="K130" s="696">
        <f t="shared" ref="K130" si="94">I130+J130</f>
        <v>0</v>
      </c>
      <c r="L130" s="696"/>
      <c r="M130" s="659" t="str">
        <f>IF(AND(G130&gt;0,E130=0),"WARNING - no PRICE inserted",IF(H130="free"," FREE ~ no charge this plant",IF(H130="credit",CONCATENATE(" -$",ROUND(K130*(1-T2GDiscount)*-1,2)," CREDIT after discount"),IF(T2GDiscount=0,"",IF(G130=0,"",IF(F130="Buy",CONCATENATE(" $",ROUND(K130*(1-T2GDiscount),2)," with ",(T2GDiscount*100),"% discount"),CONCATENATE(" $",ROUND(K130*(1-T2GDiscount),2)," with ",((T2GDiscount*100+F130*100)-(T2GDiscount*100*F130)),IF(F130&gt;0,"% discounts",IF(NoWarrantyDiscount&gt;0,"% discounts","% discount")))))))))</f>
        <v/>
      </c>
      <c r="N130" s="660"/>
      <c r="O130" s="233"/>
      <c r="P130" s="233"/>
      <c r="Q130" s="233"/>
      <c r="R130" s="233"/>
      <c r="S130" s="233"/>
      <c r="T130" s="508">
        <f t="shared" si="52"/>
        <v>0</v>
      </c>
      <c r="U130" s="225">
        <f>IF(NOT(ISNUMBER(G130)), "", VLOOKUP(A130,'Discount Lookup'!D:E,2,FALSE)*G130)</f>
        <v>0</v>
      </c>
      <c r="V130" s="225">
        <f>IF(NOT(ISNUMBER(G130)), "", VLOOKUP(A130,'Discount Lookup'!G:H,2,FALSE)*G130)</f>
        <v>0</v>
      </c>
      <c r="W130" s="508">
        <f t="shared" si="53"/>
        <v>0</v>
      </c>
      <c r="X130" s="508">
        <f t="shared" si="54"/>
        <v>0</v>
      </c>
      <c r="Y130" s="509" t="b">
        <f t="shared" si="55"/>
        <v>0</v>
      </c>
      <c r="Z130" s="510">
        <f t="shared" si="56"/>
        <v>0</v>
      </c>
      <c r="AA130" s="511"/>
      <c r="AB130" s="511" t="str">
        <f t="shared" si="57"/>
        <v/>
      </c>
      <c r="AC130" s="698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698"/>
      <c r="AE130" s="631" t="str">
        <f t="shared" si="58"/>
        <v/>
      </c>
      <c r="AF130" s="699" t="str">
        <f t="shared" si="59"/>
        <v/>
      </c>
      <c r="AG130" s="699"/>
      <c r="AH130" s="699"/>
      <c r="AI130" s="512">
        <f>IF(H130="credit",0,IF(AE130="free",0,IF(AE130="me",0,IF(G130&gt;0,(VLOOKUP(A130,'Discount Lookup'!J:K,2)*G130),0))))</f>
        <v>0</v>
      </c>
      <c r="AJ130" s="513" t="str">
        <f t="shared" ca="1" si="60"/>
        <v/>
      </c>
      <c r="AK130" s="700" t="str">
        <f t="shared" si="61"/>
        <v/>
      </c>
      <c r="AL130" s="700"/>
      <c r="AM130" s="505" t="str">
        <f t="shared" si="62"/>
        <v/>
      </c>
      <c r="AN130" s="506"/>
      <c r="AO130" s="507"/>
      <c r="AP130" s="507"/>
      <c r="AQ130" s="507"/>
      <c r="AR130" s="507"/>
      <c r="AS130" s="507"/>
      <c r="AT130" s="507"/>
      <c r="AU130" s="507"/>
      <c r="AV130" s="225"/>
      <c r="AW130" s="508"/>
      <c r="AX130" s="225"/>
      <c r="AY130" s="225"/>
      <c r="AZ130" s="225"/>
      <c r="BA130" s="225"/>
      <c r="BB130" s="225"/>
      <c r="BC130" s="56"/>
      <c r="BD130" s="56"/>
      <c r="BE130" s="56"/>
      <c r="BF130" s="107" t="str">
        <f t="shared" si="63"/>
        <v>https://www.google.com/search?tbm=isch&amp;q=15%20G6</v>
      </c>
      <c r="BG130" s="107" t="str">
        <f t="shared" si="64"/>
        <v>A</v>
      </c>
      <c r="BH130" s="254"/>
      <c r="BI130" s="254"/>
    </row>
    <row r="131" spans="1:61" customFormat="1" ht="27" x14ac:dyDescent="0.25">
      <c r="A131" s="276">
        <v>7</v>
      </c>
      <c r="B131" s="240" t="s">
        <v>291</v>
      </c>
      <c r="C131" s="241" t="s">
        <v>3311</v>
      </c>
      <c r="D131" s="242" t="s">
        <v>292</v>
      </c>
      <c r="E131" s="243">
        <v>178.95</v>
      </c>
      <c r="F131" s="517" t="s">
        <v>293</v>
      </c>
      <c r="G131" s="232">
        <v>0</v>
      </c>
      <c r="H131" s="661" t="str">
        <f>IF(G131=0,"",IF(F131="Buy",IF(G131=1,"plant","plants"),IF(F131&gt;0.01,"warranty","Error")))</f>
        <v/>
      </c>
      <c r="I131" s="244">
        <f>IF(H131="free",0,IF(H131="credit",((E131*(F131))*G131*-1),IF(F131="Buy",(E131*G131),((E131*(1-F131))*G131))))</f>
        <v>0</v>
      </c>
      <c r="J131" s="244">
        <f>IF(H131="warranty",0,(I131*(_xlfn.SINGLE(SalesTaxPercentage))))</f>
        <v>0</v>
      </c>
      <c r="K131" s="696">
        <f t="shared" ref="K131" si="95">I131+J131</f>
        <v>0</v>
      </c>
      <c r="L131" s="696"/>
      <c r="M131" s="659" t="str">
        <f>IF(AND(G131&gt;0,E131=0),"WARNING - no PRICE inserted",IF(H131="free"," FREE ~ no charge this plant",IF(H131="credit",CONCATENATE(" -$",ROUND(K131*(1-T2GDiscount)*-1,2)," CREDIT after discount"),IF(T2GDiscount=0,"",IF(G131=0,"",IF(F131="Buy",CONCATENATE(" $",ROUND(K131*(1-T2GDiscount),2)," with ",(T2GDiscount*100),"% discount"),CONCATENATE(" $",ROUND(K131*(1-T2GDiscount),2)," with ",((T2GDiscount*100+F131*100)-(T2GDiscount*100*F131)),IF(F131&gt;0,"% discounts",IF(NoWarrantyDiscount&gt;0,"% discounts","% discount")))))))))</f>
        <v/>
      </c>
      <c r="N131" s="660"/>
      <c r="O131" s="233"/>
      <c r="P131" s="233"/>
      <c r="Q131" s="233"/>
      <c r="R131" s="233"/>
      <c r="S131" s="233"/>
      <c r="T131" s="508">
        <f t="shared" si="52"/>
        <v>0</v>
      </c>
      <c r="U131" s="225">
        <f>IF(NOT(ISNUMBER(G131)), "", VLOOKUP(A131,'Discount Lookup'!D:E,2,FALSE)*G131)</f>
        <v>0</v>
      </c>
      <c r="V131" s="225">
        <f>IF(NOT(ISNUMBER(G131)), "", VLOOKUP(A131,'Discount Lookup'!G:H,2,FALSE)*G131)</f>
        <v>0</v>
      </c>
      <c r="W131" s="508">
        <f t="shared" si="53"/>
        <v>0</v>
      </c>
      <c r="X131" s="508">
        <f t="shared" si="54"/>
        <v>0</v>
      </c>
      <c r="Y131" s="509" t="b">
        <f t="shared" si="55"/>
        <v>0</v>
      </c>
      <c r="Z131" s="510">
        <f t="shared" si="56"/>
        <v>0</v>
      </c>
      <c r="AA131" s="511"/>
      <c r="AB131" s="511" t="str">
        <f t="shared" si="57"/>
        <v/>
      </c>
      <c r="AC131" s="698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698"/>
      <c r="AE131" s="631" t="str">
        <f t="shared" si="58"/>
        <v/>
      </c>
      <c r="AF131" s="699" t="str">
        <f t="shared" si="59"/>
        <v/>
      </c>
      <c r="AG131" s="699"/>
      <c r="AH131" s="699"/>
      <c r="AI131" s="512">
        <f>IF(H131="credit",0,IF(AE131="free",0,IF(AE131="me",0,IF(G131&gt;0,(VLOOKUP(A131,'Discount Lookup'!J:K,2)*G131),0))))</f>
        <v>0</v>
      </c>
      <c r="AJ131" s="513" t="str">
        <f t="shared" ca="1" si="60"/>
        <v/>
      </c>
      <c r="AK131" s="700" t="str">
        <f t="shared" si="61"/>
        <v/>
      </c>
      <c r="AL131" s="700"/>
      <c r="AM131" s="505" t="str">
        <f t="shared" si="62"/>
        <v/>
      </c>
      <c r="AN131" s="506"/>
      <c r="AO131" s="507"/>
      <c r="AP131" s="507"/>
      <c r="AQ131" s="507"/>
      <c r="AR131" s="507"/>
      <c r="AS131" s="507"/>
      <c r="AT131" s="507"/>
      <c r="AU131" s="507"/>
      <c r="AV131" s="225"/>
      <c r="AW131" s="508"/>
      <c r="AX131" s="225"/>
      <c r="AY131" s="225"/>
      <c r="AZ131" s="225"/>
      <c r="BA131" s="225"/>
      <c r="BB131" s="225"/>
      <c r="BC131" s="56"/>
      <c r="BD131" s="56"/>
      <c r="BE131" s="56"/>
      <c r="BF131" s="107" t="str">
        <f t="shared" si="63"/>
        <v>https://www.google.com/search?tbm=isch&amp;q=7%20G4</v>
      </c>
      <c r="BG131" s="107" t="str">
        <f t="shared" si="64"/>
        <v>A</v>
      </c>
      <c r="BH131" s="254"/>
      <c r="BI131" s="254"/>
    </row>
    <row r="132" spans="1:61" customFormat="1" ht="27" x14ac:dyDescent="0.25">
      <c r="A132" s="276">
        <v>15</v>
      </c>
      <c r="B132" s="240" t="s">
        <v>291</v>
      </c>
      <c r="C132" s="241" t="s">
        <v>4727</v>
      </c>
      <c r="D132" s="242" t="s">
        <v>292</v>
      </c>
      <c r="E132" s="243">
        <v>284.95</v>
      </c>
      <c r="F132" s="517" t="s">
        <v>293</v>
      </c>
      <c r="G132" s="232">
        <v>0</v>
      </c>
      <c r="H132" s="661" t="str">
        <f>IF(G132=0,"",IF(F132="Buy",IF(G132=1,"plant","plants"),IF(F132&gt;0.01,"warranty","Error")))</f>
        <v/>
      </c>
      <c r="I132" s="244">
        <f>IF(H132="free",0,IF(H132="credit",((E132*(F132))*G132*-1),IF(F132="Buy",(E132*G132),((E132*(1-F132))*G132))))</f>
        <v>0</v>
      </c>
      <c r="J132" s="244">
        <f>IF(H132="warranty",0,(I132*(_xlfn.SINGLE(SalesTaxPercentage))))</f>
        <v>0</v>
      </c>
      <c r="K132" s="696">
        <f t="shared" ref="K132" si="96">I132+J132</f>
        <v>0</v>
      </c>
      <c r="L132" s="696"/>
      <c r="M132" s="659" t="str">
        <f>IF(AND(G132&gt;0,E132=0),"WARNING - no PRICE inserted",IF(H132="free"," FREE ~ no charge this plant",IF(H132="credit",CONCATENATE(" -$",ROUND(K132*(1-T2GDiscount)*-1,2)," CREDIT after discount"),IF(T2GDiscount=0,"",IF(G132=0,"",IF(F132="Buy",CONCATENATE(" $",ROUND(K132*(1-T2GDiscount),2)," with ",(T2GDiscount*100),"% discount"),CONCATENATE(" $",ROUND(K132*(1-T2GDiscount),2)," with ",((T2GDiscount*100+F132*100)-(T2GDiscount*100*F132)),IF(F132&gt;0,"% discounts",IF(NoWarrantyDiscount&gt;0,"% discounts","% discount")))))))))</f>
        <v/>
      </c>
      <c r="N132" s="660"/>
      <c r="O132" s="233"/>
      <c r="P132" s="233"/>
      <c r="Q132" s="233"/>
      <c r="R132" s="233"/>
      <c r="S132" s="233"/>
      <c r="T132" s="508">
        <f t="shared" si="52"/>
        <v>0</v>
      </c>
      <c r="U132" s="225">
        <f>IF(NOT(ISNUMBER(G132)), "", VLOOKUP(A132,'Discount Lookup'!D:E,2,FALSE)*G132)</f>
        <v>0</v>
      </c>
      <c r="V132" s="225">
        <f>IF(NOT(ISNUMBER(G132)), "", VLOOKUP(A132,'Discount Lookup'!G:H,2,FALSE)*G132)</f>
        <v>0</v>
      </c>
      <c r="W132" s="508">
        <f t="shared" si="53"/>
        <v>0</v>
      </c>
      <c r="X132" s="508">
        <f t="shared" si="54"/>
        <v>0</v>
      </c>
      <c r="Y132" s="509" t="b">
        <f t="shared" si="55"/>
        <v>0</v>
      </c>
      <c r="Z132" s="510">
        <f t="shared" si="56"/>
        <v>0</v>
      </c>
      <c r="AA132" s="511"/>
      <c r="AB132" s="511" t="str">
        <f t="shared" si="57"/>
        <v/>
      </c>
      <c r="AC132" s="698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698"/>
      <c r="AE132" s="631" t="str">
        <f t="shared" si="58"/>
        <v/>
      </c>
      <c r="AF132" s="699" t="str">
        <f t="shared" si="59"/>
        <v/>
      </c>
      <c r="AG132" s="699"/>
      <c r="AH132" s="699"/>
      <c r="AI132" s="512">
        <f>IF(H132="credit",0,IF(AE132="free",0,IF(AE132="me",0,IF(G132&gt;0,(VLOOKUP(A132,'Discount Lookup'!J:K,2)*G132),0))))</f>
        <v>0</v>
      </c>
      <c r="AJ132" s="513" t="str">
        <f t="shared" ca="1" si="60"/>
        <v/>
      </c>
      <c r="AK132" s="700" t="str">
        <f t="shared" si="61"/>
        <v/>
      </c>
      <c r="AL132" s="700"/>
      <c r="AM132" s="505" t="str">
        <f t="shared" si="62"/>
        <v/>
      </c>
      <c r="AN132" s="506"/>
      <c r="AO132" s="507"/>
      <c r="AP132" s="507"/>
      <c r="AQ132" s="507"/>
      <c r="AR132" s="507"/>
      <c r="AS132" s="507"/>
      <c r="AT132" s="507"/>
      <c r="AU132" s="507"/>
      <c r="AV132" s="225"/>
      <c r="AW132" s="508"/>
      <c r="AX132" s="225"/>
      <c r="AY132" s="225"/>
      <c r="AZ132" s="225"/>
      <c r="BA132" s="225"/>
      <c r="BB132" s="225"/>
      <c r="BC132" s="56"/>
      <c r="BD132" s="56"/>
      <c r="BE132" s="56"/>
      <c r="BF132" s="107" t="str">
        <f t="shared" si="63"/>
        <v>https://www.google.com/search?tbm=isch&amp;q=15%20G4</v>
      </c>
      <c r="BG132" s="107" t="str">
        <f t="shared" si="64"/>
        <v>A</v>
      </c>
      <c r="BH132" s="254"/>
      <c r="BI132" s="254"/>
    </row>
    <row r="133" spans="1:61" customFormat="1" ht="17.25" thickBot="1" x14ac:dyDescent="0.3">
      <c r="A133" s="673" t="s">
        <v>5041</v>
      </c>
      <c r="B133" s="245"/>
      <c r="C133" s="677"/>
      <c r="D133" s="499"/>
      <c r="E133" s="499"/>
      <c r="F133" s="500"/>
      <c r="G133" s="501"/>
      <c r="H133" s="502"/>
      <c r="I133" s="246"/>
      <c r="J133" s="247"/>
      <c r="K133" s="503"/>
      <c r="L133" s="544"/>
      <c r="M133" s="544"/>
      <c r="N133" s="500"/>
      <c r="O133" s="500"/>
      <c r="P133" s="500"/>
      <c r="Q133" s="500"/>
      <c r="R133" s="500"/>
      <c r="S133" s="278"/>
      <c r="T133" s="508">
        <f t="shared" si="52"/>
        <v>0</v>
      </c>
      <c r="U133" s="225" t="str">
        <f>IF(NOT(ISNUMBER(G133)), "", VLOOKUP(A133,'Discount Lookup'!D:E,2,FALSE)*G133)</f>
        <v/>
      </c>
      <c r="V133" s="225" t="str">
        <f>IF(NOT(ISNUMBER(G133)), "", VLOOKUP(A133,'Discount Lookup'!G:H,2,FALSE)*G133)</f>
        <v/>
      </c>
      <c r="W133" s="508">
        <f t="shared" si="53"/>
        <v>0</v>
      </c>
      <c r="X133" s="508">
        <f t="shared" si="54"/>
        <v>0</v>
      </c>
      <c r="Y133" s="509" t="b">
        <f t="shared" si="55"/>
        <v>0</v>
      </c>
      <c r="Z133" s="510">
        <f t="shared" si="56"/>
        <v>0</v>
      </c>
      <c r="AA133" s="511"/>
      <c r="AB133" s="511" t="str">
        <f t="shared" si="57"/>
        <v/>
      </c>
      <c r="AC133" s="698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698"/>
      <c r="AE133" s="631" t="str">
        <f t="shared" si="58"/>
        <v/>
      </c>
      <c r="AF133" s="699" t="str">
        <f t="shared" si="59"/>
        <v/>
      </c>
      <c r="AG133" s="699"/>
      <c r="AH133" s="699"/>
      <c r="AI133" s="512">
        <f>IF(H133="credit",0,IF(AE133="free",0,IF(AE133="me",0,IF(G133&gt;0,(VLOOKUP(A133,'Discount Lookup'!J:K,2)*G133),0))))</f>
        <v>0</v>
      </c>
      <c r="AJ133" s="513" t="str">
        <f t="shared" ca="1" si="60"/>
        <v/>
      </c>
      <c r="AK133" s="700" t="str">
        <f t="shared" si="61"/>
        <v/>
      </c>
      <c r="AL133" s="700"/>
      <c r="AM133" s="505" t="str">
        <f t="shared" si="62"/>
        <v/>
      </c>
      <c r="AN133" s="506"/>
      <c r="AO133" s="507"/>
      <c r="AP133" s="507"/>
      <c r="AQ133" s="507"/>
      <c r="AR133" s="507"/>
      <c r="AS133" s="507"/>
      <c r="AT133" s="507"/>
      <c r="AU133" s="507"/>
      <c r="AV133" s="225"/>
      <c r="AW133" s="508"/>
      <c r="AX133" s="225"/>
      <c r="AY133" s="225"/>
      <c r="AZ133" s="225"/>
      <c r="BA133" s="225"/>
      <c r="BB133" s="225"/>
      <c r="BC133" s="56"/>
      <c r="BD133" s="56"/>
      <c r="BE133" s="56"/>
      <c r="BF133" s="107" t="str">
        <f t="shared" si="63"/>
        <v>https://www.google.com/search?tbm=isch&amp;q=moist%20sites%F0%9F%92%A7GOOD%2C%20Arnold%20Promise%20reaches%20upward%20with%20flowers%20from%20late%20winter%20to%20early%20spring.%20Fragrant%20</v>
      </c>
      <c r="BG133" s="107" t="str">
        <f t="shared" si="64"/>
        <v>m</v>
      </c>
      <c r="BH133" s="254"/>
      <c r="BI133" s="254"/>
    </row>
    <row r="134" spans="1:61" customFormat="1" ht="18" x14ac:dyDescent="0.25">
      <c r="A134" s="521" t="s">
        <v>454</v>
      </c>
      <c r="B134" s="477"/>
      <c r="C134" s="674"/>
      <c r="D134" s="478" t="s">
        <v>453</v>
      </c>
      <c r="E134" s="479"/>
      <c r="F134" s="479"/>
      <c r="G134" s="479"/>
      <c r="H134" s="582" t="s">
        <v>316</v>
      </c>
      <c r="I134" s="480" t="s">
        <v>2551</v>
      </c>
      <c r="J134" s="479"/>
      <c r="K134" s="479"/>
      <c r="L134" s="560"/>
      <c r="M134" s="666" t="s">
        <v>4966</v>
      </c>
      <c r="N134" s="680" t="str">
        <f>IF(AND(ISTEXT($A134), ISERROR($A134+0)), HYPERLINK($BF134, "Images"), "")</f>
        <v>Images</v>
      </c>
      <c r="O134" s="662" t="s">
        <v>4967</v>
      </c>
      <c r="P134" s="482"/>
      <c r="Q134" s="483"/>
      <c r="R134" s="483"/>
      <c r="S134" s="484"/>
      <c r="T134" s="508">
        <f t="shared" si="52"/>
        <v>0</v>
      </c>
      <c r="U134" s="225" t="str">
        <f>IF(NOT(ISNUMBER(G134)), "", VLOOKUP(A134,'Discount Lookup'!D:E,2,FALSE)*G134)</f>
        <v/>
      </c>
      <c r="V134" s="225" t="str">
        <f>IF(NOT(ISNUMBER(G134)), "", VLOOKUP(A134,'Discount Lookup'!G:H,2,FALSE)*G134)</f>
        <v/>
      </c>
      <c r="W134" s="508">
        <f t="shared" si="53"/>
        <v>0</v>
      </c>
      <c r="X134" s="508" t="str">
        <f t="shared" si="54"/>
        <v>White bloom, Pink blush</v>
      </c>
      <c r="Y134" s="509" t="b">
        <f t="shared" si="55"/>
        <v>0</v>
      </c>
      <c r="Z134" s="510">
        <f t="shared" si="56"/>
        <v>0</v>
      </c>
      <c r="AA134" s="511"/>
      <c r="AB134" s="511" t="str">
        <f t="shared" si="57"/>
        <v/>
      </c>
      <c r="AC134" s="698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698"/>
      <c r="AE134" s="631" t="str">
        <f t="shared" si="58"/>
        <v/>
      </c>
      <c r="AF134" s="699" t="str">
        <f t="shared" si="59"/>
        <v/>
      </c>
      <c r="AG134" s="699"/>
      <c r="AH134" s="699"/>
      <c r="AI134" s="512">
        <f>IF(H134="credit",0,IF(AE134="free",0,IF(AE134="me",0,IF(G134&gt;0,(VLOOKUP(A134,'Discount Lookup'!J:K,2)*G134),0))))</f>
        <v>0</v>
      </c>
      <c r="AJ134" s="513" t="str">
        <f t="shared" ca="1" si="60"/>
        <v/>
      </c>
      <c r="AK134" s="700" t="str">
        <f t="shared" si="61"/>
        <v/>
      </c>
      <c r="AL134" s="700"/>
      <c r="AM134" s="505" t="str">
        <f t="shared" si="62"/>
        <v/>
      </c>
      <c r="AN134" s="506"/>
      <c r="AO134" s="507"/>
      <c r="AP134" s="507"/>
      <c r="AQ134" s="507"/>
      <c r="AR134" s="507"/>
      <c r="AS134" s="507"/>
      <c r="AT134" s="507"/>
      <c r="AU134" s="507"/>
      <c r="AV134" s="225"/>
      <c r="AW134" s="508"/>
      <c r="AX134" s="225"/>
      <c r="AY134" s="225"/>
      <c r="AZ134" s="225"/>
      <c r="BA134" s="225"/>
      <c r="BB134" s="225"/>
      <c r="BC134" s="56"/>
      <c r="BD134" s="56"/>
      <c r="BE134" s="56"/>
      <c r="BF134" s="107" t="str">
        <f t="shared" si="63"/>
        <v>https://www.google.com/search?tbm=isch&amp;q=Asakura%20Camellia%20Camellia%20sasanqua%20%27Asakura%27</v>
      </c>
      <c r="BG134" s="107" t="str">
        <f t="shared" si="64"/>
        <v>A</v>
      </c>
      <c r="BH134" s="254"/>
      <c r="BI134" s="254"/>
    </row>
    <row r="135" spans="1:61" customFormat="1" ht="27" x14ac:dyDescent="0.25">
      <c r="A135" s="485">
        <v>10</v>
      </c>
      <c r="B135" s="486" t="s">
        <v>291</v>
      </c>
      <c r="C135" s="487" t="s">
        <v>4728</v>
      </c>
      <c r="D135" s="488" t="s">
        <v>292</v>
      </c>
      <c r="E135" s="489">
        <v>183.95</v>
      </c>
      <c r="F135" s="516" t="s">
        <v>293</v>
      </c>
      <c r="G135" s="232">
        <v>0</v>
      </c>
      <c r="H135" s="658" t="str">
        <f>IF(G135=0,"",IF(F135="Buy",IF(G135=1,"plant","plants"),IF(F135&gt;0.01,"warranty","Error")))</f>
        <v/>
      </c>
      <c r="I135" s="490">
        <f>IF(H135="free",0,IF(H135="credit",((E135*(F135))*G135*-1),IF(F135="Buy",(E135*G135),((E135*(1-F135))*G135))))</f>
        <v>0</v>
      </c>
      <c r="J135" s="490">
        <f>IF(H135="warranty",0,(I135*(_xlfn.SINGLE(SalesTaxPercentage))))</f>
        <v>0</v>
      </c>
      <c r="K135" s="695">
        <f t="shared" ref="K135" si="97">I135+J135</f>
        <v>0</v>
      </c>
      <c r="L135" s="695"/>
      <c r="M135" s="659" t="str">
        <f>IF(AND(G135&gt;0,E135=0),"WARNING - no PRICE inserted",IF(H135="free"," FREE ~ no charge this plant",IF(H135="credit",CONCATENATE(" -$",ROUND(K135*(1-T2GDiscount)*-1,2)," CREDIT after discount"),IF(T2GDiscount=0,"",IF(G135=0,"",IF(F135="Buy",CONCATENATE(" $",ROUND(K135*(1-T2GDiscount),2)," with ",(T2GDiscount*100),"% discount"),CONCATENATE(" $",ROUND(K135*(1-T2GDiscount),2)," with ",((T2GDiscount*100+F135*100)-(T2GDiscount*100*F135)),IF(F135&gt;0,"% discounts",IF(NoWarrantyDiscount&gt;0,"% discounts","% discount")))))))))</f>
        <v/>
      </c>
      <c r="N135" s="660"/>
      <c r="O135" s="233"/>
      <c r="P135" s="233"/>
      <c r="Q135" s="233"/>
      <c r="R135" s="233"/>
      <c r="S135" s="233"/>
      <c r="T135" s="508">
        <f t="shared" si="52"/>
        <v>0</v>
      </c>
      <c r="U135" s="225">
        <f>IF(NOT(ISNUMBER(G135)), "", VLOOKUP(A135,'Discount Lookup'!D:E,2,FALSE)*G135)</f>
        <v>0</v>
      </c>
      <c r="V135" s="225">
        <f>IF(NOT(ISNUMBER(G135)), "", VLOOKUP(A135,'Discount Lookup'!G:H,2,FALSE)*G135)</f>
        <v>0</v>
      </c>
      <c r="W135" s="508">
        <f t="shared" si="53"/>
        <v>0</v>
      </c>
      <c r="X135" s="508">
        <f t="shared" si="54"/>
        <v>0</v>
      </c>
      <c r="Y135" s="509" t="b">
        <f t="shared" si="55"/>
        <v>0</v>
      </c>
      <c r="Z135" s="510">
        <f t="shared" si="56"/>
        <v>0</v>
      </c>
      <c r="AA135" s="511"/>
      <c r="AB135" s="511" t="str">
        <f t="shared" si="57"/>
        <v/>
      </c>
      <c r="AC135" s="698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698"/>
      <c r="AE135" s="631" t="str">
        <f t="shared" si="58"/>
        <v/>
      </c>
      <c r="AF135" s="699" t="str">
        <f t="shared" si="59"/>
        <v/>
      </c>
      <c r="AG135" s="699"/>
      <c r="AH135" s="699"/>
      <c r="AI135" s="512">
        <f>IF(H135="credit",0,IF(AE135="free",0,IF(AE135="me",0,IF(G135&gt;0,(VLOOKUP(A135,'Discount Lookup'!J:K,2)*G135),0))))</f>
        <v>0</v>
      </c>
      <c r="AJ135" s="513" t="str">
        <f t="shared" ca="1" si="60"/>
        <v/>
      </c>
      <c r="AK135" s="700" t="str">
        <f t="shared" si="61"/>
        <v/>
      </c>
      <c r="AL135" s="700"/>
      <c r="AM135" s="505" t="str">
        <f t="shared" si="62"/>
        <v/>
      </c>
      <c r="AN135" s="506"/>
      <c r="AO135" s="507"/>
      <c r="AP135" s="507"/>
      <c r="AQ135" s="507"/>
      <c r="AR135" s="507"/>
      <c r="AS135" s="507"/>
      <c r="AT135" s="507"/>
      <c r="AU135" s="507"/>
      <c r="AV135" s="225"/>
      <c r="AW135" s="508"/>
      <c r="AX135" s="225"/>
      <c r="AY135" s="225"/>
      <c r="AZ135" s="225"/>
      <c r="BA135" s="225"/>
      <c r="BB135" s="225"/>
      <c r="BC135" s="56"/>
      <c r="BD135" s="56"/>
      <c r="BE135" s="56"/>
      <c r="BF135" s="107" t="str">
        <f t="shared" si="63"/>
        <v>https://www.google.com/search?tbm=isch&amp;q=10%20G4</v>
      </c>
      <c r="BG135" s="107" t="str">
        <f t="shared" si="64"/>
        <v>A</v>
      </c>
      <c r="BH135" s="254"/>
      <c r="BI135" s="254"/>
    </row>
    <row r="136" spans="1:61" customFormat="1" ht="15.75" x14ac:dyDescent="0.25">
      <c r="A136" s="485">
        <v>25</v>
      </c>
      <c r="B136" s="486" t="s">
        <v>291</v>
      </c>
      <c r="C136" s="487" t="s">
        <v>4729</v>
      </c>
      <c r="D136" s="488" t="s">
        <v>292</v>
      </c>
      <c r="E136" s="489">
        <v>445.95</v>
      </c>
      <c r="F136" s="516" t="s">
        <v>293</v>
      </c>
      <c r="G136" s="232">
        <v>0</v>
      </c>
      <c r="H136" s="658" t="str">
        <f>IF(G136=0,"",IF(F136="Buy",IF(G136=1,"plant","plants"),IF(F136&gt;0.01,"warranty","Error")))</f>
        <v/>
      </c>
      <c r="I136" s="490">
        <f>IF(H136="free",0,IF(H136="credit",((E136*(F136))*G136*-1),IF(F136="Buy",(E136*G136),((E136*(1-F136))*G136))))</f>
        <v>0</v>
      </c>
      <c r="J136" s="490">
        <f>IF(H136="warranty",0,(I136*(_xlfn.SINGLE(SalesTaxPercentage))))</f>
        <v>0</v>
      </c>
      <c r="K136" s="695">
        <f t="shared" ref="K136" si="98">I136+J136</f>
        <v>0</v>
      </c>
      <c r="L136" s="695"/>
      <c r="M136" s="659" t="str">
        <f>IF(AND(G136&gt;0,E136=0),"WARNING - no PRICE inserted",IF(H136="free"," FREE ~ no charge this plant",IF(H136="credit",CONCATENATE(" -$",ROUND(K136*(1-T2GDiscount)*-1,2)," CREDIT after discount"),IF(T2GDiscount=0,"",IF(G136=0,"",IF(F136="Buy",CONCATENATE(" $",ROUND(K136*(1-T2GDiscount),2)," with ",(T2GDiscount*100),"% discount"),CONCATENATE(" $",ROUND(K136*(1-T2GDiscount),2)," with ",((T2GDiscount*100+F136*100)-(T2GDiscount*100*F136)),IF(F136&gt;0,"% discounts",IF(NoWarrantyDiscount&gt;0,"% discounts","% discount")))))))))</f>
        <v/>
      </c>
      <c r="N136" s="660"/>
      <c r="O136" s="233"/>
      <c r="P136" s="233"/>
      <c r="Q136" s="233"/>
      <c r="R136" s="233"/>
      <c r="S136" s="233"/>
      <c r="T136" s="508">
        <f t="shared" si="52"/>
        <v>0</v>
      </c>
      <c r="U136" s="225">
        <f>IF(NOT(ISNUMBER(G136)), "", VLOOKUP(A136,'Discount Lookup'!D:E,2,FALSE)*G136)</f>
        <v>0</v>
      </c>
      <c r="V136" s="225">
        <f>IF(NOT(ISNUMBER(G136)), "", VLOOKUP(A136,'Discount Lookup'!G:H,2,FALSE)*G136)</f>
        <v>0</v>
      </c>
      <c r="W136" s="508">
        <f t="shared" si="53"/>
        <v>0</v>
      </c>
      <c r="X136" s="508">
        <f t="shared" si="54"/>
        <v>0</v>
      </c>
      <c r="Y136" s="509" t="b">
        <f t="shared" si="55"/>
        <v>0</v>
      </c>
      <c r="Z136" s="510">
        <f t="shared" si="56"/>
        <v>0</v>
      </c>
      <c r="AA136" s="511"/>
      <c r="AB136" s="511" t="str">
        <f t="shared" si="57"/>
        <v/>
      </c>
      <c r="AC136" s="698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698"/>
      <c r="AE136" s="631" t="str">
        <f t="shared" si="58"/>
        <v/>
      </c>
      <c r="AF136" s="699" t="str">
        <f t="shared" si="59"/>
        <v/>
      </c>
      <c r="AG136" s="699"/>
      <c r="AH136" s="699"/>
      <c r="AI136" s="512">
        <f>IF(H136="credit",0,IF(AE136="free",0,IF(AE136="me",0,IF(G136&gt;0,(VLOOKUP(A136,'Discount Lookup'!J:K,2)*G136),0))))</f>
        <v>0</v>
      </c>
      <c r="AJ136" s="513" t="str">
        <f t="shared" ca="1" si="60"/>
        <v/>
      </c>
      <c r="AK136" s="700" t="str">
        <f t="shared" si="61"/>
        <v/>
      </c>
      <c r="AL136" s="700"/>
      <c r="AM136" s="505" t="str">
        <f t="shared" si="62"/>
        <v/>
      </c>
      <c r="AN136" s="506"/>
      <c r="AO136" s="507"/>
      <c r="AP136" s="507"/>
      <c r="AQ136" s="507"/>
      <c r="AR136" s="507"/>
      <c r="AS136" s="507"/>
      <c r="AT136" s="507"/>
      <c r="AU136" s="507"/>
      <c r="AV136" s="225"/>
      <c r="AW136" s="508"/>
      <c r="AX136" s="225"/>
      <c r="AY136" s="225"/>
      <c r="AZ136" s="225"/>
      <c r="BA136" s="225"/>
      <c r="BB136" s="225"/>
      <c r="BC136" s="56"/>
      <c r="BD136" s="56"/>
      <c r="BE136" s="56"/>
      <c r="BF136" s="107" t="str">
        <f t="shared" si="63"/>
        <v>https://www.google.com/search?tbm=isch&amp;q=25%20G4</v>
      </c>
      <c r="BG136" s="107" t="str">
        <f t="shared" si="64"/>
        <v>A</v>
      </c>
      <c r="BH136" s="254"/>
      <c r="BI136" s="254"/>
    </row>
    <row r="137" spans="1:61" customFormat="1" ht="17.25" thickBot="1" x14ac:dyDescent="0.3">
      <c r="A137" s="522" t="s">
        <v>2660</v>
      </c>
      <c r="B137" s="491"/>
      <c r="C137" s="675"/>
      <c r="D137" s="491"/>
      <c r="E137" s="491"/>
      <c r="F137" s="492"/>
      <c r="G137" s="493"/>
      <c r="H137" s="491"/>
      <c r="I137" s="234"/>
      <c r="J137" s="234"/>
      <c r="K137" s="494"/>
      <c r="L137" s="543"/>
      <c r="M137" s="561"/>
      <c r="N137" s="495"/>
      <c r="O137" s="496"/>
      <c r="P137" s="497"/>
      <c r="Q137" s="495"/>
      <c r="R137" s="495"/>
      <c r="S137" s="667" t="s">
        <v>4986</v>
      </c>
      <c r="T137" s="508">
        <f t="shared" si="52"/>
        <v>0</v>
      </c>
      <c r="U137" s="225" t="str">
        <f>IF(NOT(ISNUMBER(G137)), "", VLOOKUP(A137,'Discount Lookup'!D:E,2,FALSE)*G137)</f>
        <v/>
      </c>
      <c r="V137" s="225" t="str">
        <f>IF(NOT(ISNUMBER(G137)), "", VLOOKUP(A137,'Discount Lookup'!G:H,2,FALSE)*G137)</f>
        <v/>
      </c>
      <c r="W137" s="508">
        <f t="shared" si="53"/>
        <v>0</v>
      </c>
      <c r="X137" s="508">
        <f t="shared" si="54"/>
        <v>0</v>
      </c>
      <c r="Y137" s="509" t="b">
        <f t="shared" si="55"/>
        <v>0</v>
      </c>
      <c r="Z137" s="510">
        <f t="shared" si="56"/>
        <v>0</v>
      </c>
      <c r="AA137" s="511"/>
      <c r="AB137" s="511" t="str">
        <f t="shared" si="57"/>
        <v/>
      </c>
      <c r="AC137" s="698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698"/>
      <c r="AE137" s="631" t="str">
        <f t="shared" si="58"/>
        <v/>
      </c>
      <c r="AF137" s="699" t="str">
        <f t="shared" si="59"/>
        <v/>
      </c>
      <c r="AG137" s="699"/>
      <c r="AH137" s="699"/>
      <c r="AI137" s="512">
        <f>IF(H137="credit",0,IF(AE137="free",0,IF(AE137="me",0,IF(G137&gt;0,(VLOOKUP(A137,'Discount Lookup'!J:K,2)*G137),0))))</f>
        <v>0</v>
      </c>
      <c r="AJ137" s="513" t="str">
        <f t="shared" ca="1" si="60"/>
        <v/>
      </c>
      <c r="AK137" s="700" t="str">
        <f t="shared" si="61"/>
        <v/>
      </c>
      <c r="AL137" s="700"/>
      <c r="AM137" s="505" t="str">
        <f t="shared" si="62"/>
        <v/>
      </c>
      <c r="AN137" s="506"/>
      <c r="AO137" s="507"/>
      <c r="AP137" s="507"/>
      <c r="AQ137" s="507"/>
      <c r="AR137" s="507"/>
      <c r="AS137" s="507"/>
      <c r="AT137" s="507"/>
      <c r="AU137" s="507"/>
      <c r="AV137" s="225"/>
      <c r="AW137" s="508"/>
      <c r="AX137" s="225"/>
      <c r="AY137" s="225"/>
      <c r="AZ137" s="225"/>
      <c r="BA137" s="225"/>
      <c r="BB137" s="225"/>
      <c r="BC137" s="56"/>
      <c r="BD137" s="56"/>
      <c r="BE137" s="56"/>
      <c r="BF137" s="107" t="str">
        <f t="shared" si="63"/>
        <v>https://www.google.com/search?tbm=isch&amp;q=Asakura%20has%20soft%20White%20blooms%20tinged%20with%20Pink%2C%20opening%20in%20early%20fall%2C%20%20fading%20to%20pure%20White.%20Upright%20habit%20and%20glossy%20foliage%20</v>
      </c>
      <c r="BG137" s="107" t="str">
        <f t="shared" si="64"/>
        <v>A</v>
      </c>
      <c r="BH137" s="254"/>
      <c r="BI137" s="254"/>
    </row>
    <row r="138" spans="1:61" customFormat="1" ht="18" x14ac:dyDescent="0.25">
      <c r="A138" s="521" t="s">
        <v>3933</v>
      </c>
      <c r="B138" s="477"/>
      <c r="C138" s="674"/>
      <c r="D138" s="478" t="s">
        <v>612</v>
      </c>
      <c r="E138" s="479"/>
      <c r="F138" s="479"/>
      <c r="G138" s="479"/>
      <c r="H138" s="582" t="s">
        <v>3934</v>
      </c>
      <c r="I138" s="480" t="s">
        <v>2093</v>
      </c>
      <c r="J138" s="479"/>
      <c r="K138" s="479"/>
      <c r="L138" s="560"/>
      <c r="M138" s="666" t="s">
        <v>4966</v>
      </c>
      <c r="N138" s="680" t="str">
        <f>IF(AND(ISTEXT($A138), ISERROR($A138+0)), HYPERLINK($BF138, "Images"), "")</f>
        <v>Images</v>
      </c>
      <c r="O138" s="662" t="s">
        <v>4967</v>
      </c>
      <c r="P138" s="482"/>
      <c r="Q138" s="483"/>
      <c r="R138" s="483"/>
      <c r="S138" s="484"/>
      <c r="T138" s="508">
        <f t="shared" si="52"/>
        <v>0</v>
      </c>
      <c r="U138" s="225" t="str">
        <f>IF(NOT(ISNUMBER(G138)), "", VLOOKUP(A138,'Discount Lookup'!D:E,2,FALSE)*G138)</f>
        <v/>
      </c>
      <c r="V138" s="225" t="str">
        <f>IF(NOT(ISNUMBER(G138)), "", VLOOKUP(A138,'Discount Lookup'!G:H,2,FALSE)*G138)</f>
        <v/>
      </c>
      <c r="W138" s="508">
        <f t="shared" si="53"/>
        <v>0</v>
      </c>
      <c r="X138" s="508" t="str">
        <f t="shared" si="54"/>
        <v>Dark Green foliage</v>
      </c>
      <c r="Y138" s="509" t="b">
        <f t="shared" si="55"/>
        <v>0</v>
      </c>
      <c r="Z138" s="510">
        <f t="shared" si="56"/>
        <v>0</v>
      </c>
      <c r="AA138" s="511"/>
      <c r="AB138" s="511" t="str">
        <f t="shared" si="57"/>
        <v/>
      </c>
      <c r="AC138" s="698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698"/>
      <c r="AE138" s="631" t="str">
        <f t="shared" si="58"/>
        <v/>
      </c>
      <c r="AF138" s="699" t="str">
        <f t="shared" si="59"/>
        <v/>
      </c>
      <c r="AG138" s="699"/>
      <c r="AH138" s="699"/>
      <c r="AI138" s="512">
        <f>IF(H138="credit",0,IF(AE138="free",0,IF(AE138="me",0,IF(G138&gt;0,(VLOOKUP(A138,'Discount Lookup'!J:K,2)*G138),0))))</f>
        <v>0</v>
      </c>
      <c r="AJ138" s="513" t="str">
        <f t="shared" ca="1" si="60"/>
        <v/>
      </c>
      <c r="AK138" s="700" t="str">
        <f t="shared" si="61"/>
        <v/>
      </c>
      <c r="AL138" s="700"/>
      <c r="AM138" s="505" t="str">
        <f t="shared" si="62"/>
        <v/>
      </c>
      <c r="AN138" s="506"/>
      <c r="AO138" s="507"/>
      <c r="AP138" s="507"/>
      <c r="AQ138" s="507"/>
      <c r="AR138" s="507"/>
      <c r="AS138" s="507"/>
      <c r="AT138" s="507"/>
      <c r="AU138" s="507"/>
      <c r="AV138" s="225"/>
      <c r="AW138" s="508"/>
      <c r="AX138" s="225"/>
      <c r="AY138" s="225"/>
      <c r="AZ138" s="225"/>
      <c r="BA138" s="225"/>
      <c r="BB138" s="225"/>
      <c r="BC138" s="56"/>
      <c r="BD138" s="56"/>
      <c r="BE138" s="56"/>
      <c r="BF138" s="107" t="str">
        <f t="shared" si="63"/>
        <v>https://www.google.com/search?tbm=isch&amp;q=Asiatic%20Jasmine%20Vine%20Trachelospermum%20asiaticum</v>
      </c>
      <c r="BG138" s="107" t="str">
        <f t="shared" si="64"/>
        <v>A</v>
      </c>
      <c r="BH138" s="254"/>
      <c r="BI138" s="254"/>
    </row>
    <row r="139" spans="1:61" customFormat="1" ht="15.75" x14ac:dyDescent="0.25">
      <c r="A139" s="485">
        <v>1</v>
      </c>
      <c r="B139" s="486" t="s">
        <v>291</v>
      </c>
      <c r="C139" s="487"/>
      <c r="D139" s="488" t="s">
        <v>300</v>
      </c>
      <c r="E139" s="489">
        <v>16.95</v>
      </c>
      <c r="F139" s="516" t="s">
        <v>293</v>
      </c>
      <c r="G139" s="232">
        <v>0</v>
      </c>
      <c r="H139" s="658" t="str">
        <f>IF(G139=0,"",IF(F139="Buy",IF(G139=1,"plant","plants"),IF(F139&gt;0.01,"warranty","Error")))</f>
        <v/>
      </c>
      <c r="I139" s="490">
        <f>IF(H139="free",0,IF(H139="credit",((E139*(F139))*G139*-1),IF(F139="Buy",(E139*G139),((E139*(1-F139))*G139))))</f>
        <v>0</v>
      </c>
      <c r="J139" s="490">
        <f>IF(H139="warranty",0,(I139*(_xlfn.SINGLE(SalesTaxPercentage))))</f>
        <v>0</v>
      </c>
      <c r="K139" s="695">
        <f t="shared" ref="K139" si="99">I139+J139</f>
        <v>0</v>
      </c>
      <c r="L139" s="695"/>
      <c r="M139" s="659" t="str">
        <f>IF(AND(G139&gt;0,E139=0),"WARNING - no PRICE inserted",IF(H139="free"," FREE ~ no charge this plant",IF(H139="credit",CONCATENATE(" -$",ROUND(K139*(1-T2GDiscount)*-1,2)," CREDIT after discount"),IF(T2GDiscount=0,"",IF(G139=0,"",IF(F139="Buy",CONCATENATE(" $",ROUND(K139*(1-T2GDiscount),2)," with ",(T2GDiscount*100),"% discount"),CONCATENATE(" $",ROUND(K139*(1-T2GDiscount),2)," with ",((T2GDiscount*100+F139*100)-(T2GDiscount*100*F139)),IF(F139&gt;0,"% discounts",IF(NoWarrantyDiscount&gt;0,"% discounts","% discount")))))))))</f>
        <v/>
      </c>
      <c r="N139" s="660"/>
      <c r="O139" s="233"/>
      <c r="P139" s="233"/>
      <c r="Q139" s="233"/>
      <c r="R139" s="233"/>
      <c r="S139" s="233"/>
      <c r="T139" s="508">
        <f t="shared" si="52"/>
        <v>0</v>
      </c>
      <c r="U139" s="225">
        <f>IF(NOT(ISNUMBER(G139)), "", VLOOKUP(A139,'Discount Lookup'!D:E,2,FALSE)*G139)</f>
        <v>0</v>
      </c>
      <c r="V139" s="225">
        <f>IF(NOT(ISNUMBER(G139)), "", VLOOKUP(A139,'Discount Lookup'!G:H,2,FALSE)*G139)</f>
        <v>0</v>
      </c>
      <c r="W139" s="508">
        <f t="shared" si="53"/>
        <v>0</v>
      </c>
      <c r="X139" s="508">
        <f t="shared" si="54"/>
        <v>0</v>
      </c>
      <c r="Y139" s="509" t="b">
        <f t="shared" si="55"/>
        <v>0</v>
      </c>
      <c r="Z139" s="510">
        <f t="shared" si="56"/>
        <v>0</v>
      </c>
      <c r="AA139" s="511"/>
      <c r="AB139" s="511" t="str">
        <f t="shared" si="57"/>
        <v/>
      </c>
      <c r="AC139" s="698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698"/>
      <c r="AE139" s="631" t="str">
        <f t="shared" si="58"/>
        <v/>
      </c>
      <c r="AF139" s="699" t="str">
        <f t="shared" si="59"/>
        <v/>
      </c>
      <c r="AG139" s="699"/>
      <c r="AH139" s="699"/>
      <c r="AI139" s="512">
        <f>IF(H139="credit",0,IF(AE139="free",0,IF(AE139="me",0,IF(G139&gt;0,(VLOOKUP(A139,'Discount Lookup'!J:K,2)*G139),0))))</f>
        <v>0</v>
      </c>
      <c r="AJ139" s="513" t="str">
        <f t="shared" ca="1" si="60"/>
        <v/>
      </c>
      <c r="AK139" s="700" t="str">
        <f t="shared" si="61"/>
        <v/>
      </c>
      <c r="AL139" s="700"/>
      <c r="AM139" s="505" t="str">
        <f t="shared" si="62"/>
        <v/>
      </c>
      <c r="AN139" s="506"/>
      <c r="AO139" s="507"/>
      <c r="AP139" s="507"/>
      <c r="AQ139" s="507"/>
      <c r="AR139" s="507"/>
      <c r="AS139" s="507"/>
      <c r="AT139" s="507"/>
      <c r="AU139" s="507"/>
      <c r="AV139" s="225"/>
      <c r="AW139" s="508"/>
      <c r="AX139" s="225"/>
      <c r="AY139" s="225"/>
      <c r="AZ139" s="225"/>
      <c r="BA139" s="225"/>
      <c r="BB139" s="225"/>
      <c r="BC139" s="56"/>
      <c r="BD139" s="56"/>
      <c r="BE139" s="56"/>
      <c r="BF139" s="107" t="str">
        <f t="shared" si="63"/>
        <v>https://www.google.com/search?tbm=isch&amp;q=1%20G6</v>
      </c>
      <c r="BG139" s="107" t="str">
        <f t="shared" si="64"/>
        <v>A</v>
      </c>
      <c r="BH139" s="254"/>
      <c r="BI139" s="254"/>
    </row>
    <row r="140" spans="1:61" customFormat="1" ht="15.75" x14ac:dyDescent="0.25">
      <c r="A140" s="485">
        <v>1</v>
      </c>
      <c r="B140" s="486" t="s">
        <v>291</v>
      </c>
      <c r="C140" s="487"/>
      <c r="D140" s="488" t="s">
        <v>300</v>
      </c>
      <c r="E140" s="489">
        <v>16.95</v>
      </c>
      <c r="F140" s="516" t="s">
        <v>293</v>
      </c>
      <c r="G140" s="232">
        <v>0</v>
      </c>
      <c r="H140" s="658" t="str">
        <f>IF(G140=0,"",IF(F140="Buy",IF(G140=1,"plant","plants"),IF(F140&gt;0.01,"warranty","Error")))</f>
        <v/>
      </c>
      <c r="I140" s="490">
        <f>IF(H140="free",0,IF(H140="credit",((E140*(F140))*G140*-1),IF(F140="Buy",(E140*G140),((E140*(1-F140))*G140))))</f>
        <v>0</v>
      </c>
      <c r="J140" s="490">
        <f>IF(H140="warranty",0,(I140*(_xlfn.SINGLE(SalesTaxPercentage))))</f>
        <v>0</v>
      </c>
      <c r="K140" s="695">
        <f t="shared" ref="K140" si="100">I140+J140</f>
        <v>0</v>
      </c>
      <c r="L140" s="695"/>
      <c r="M140" s="659" t="str">
        <f>IF(AND(G140&gt;0,E140=0),"WARNING - no PRICE inserted",IF(H140="free"," FREE ~ no charge this plant",IF(H140="credit",CONCATENATE(" -$",ROUND(K140*(1-T2GDiscount)*-1,2)," CREDIT after discount"),IF(T2GDiscount=0,"",IF(G140=0,"",IF(F140="Buy",CONCATENATE(" $",ROUND(K140*(1-T2GDiscount),2)," with ",(T2GDiscount*100),"% discount"),CONCATENATE(" $",ROUND(K140*(1-T2GDiscount),2)," with ",((T2GDiscount*100+F140*100)-(T2GDiscount*100*F140)),IF(F140&gt;0,"% discounts",IF(NoWarrantyDiscount&gt;0,"% discounts","% discount")))))))))</f>
        <v/>
      </c>
      <c r="N140" s="660"/>
      <c r="O140" s="233"/>
      <c r="P140" s="233"/>
      <c r="Q140" s="233"/>
      <c r="R140" s="233"/>
      <c r="S140" s="233"/>
      <c r="T140" s="508">
        <f t="shared" si="52"/>
        <v>0</v>
      </c>
      <c r="U140" s="225">
        <f>IF(NOT(ISNUMBER(G140)), "", VLOOKUP(A140,'Discount Lookup'!D:E,2,FALSE)*G140)</f>
        <v>0</v>
      </c>
      <c r="V140" s="225">
        <f>IF(NOT(ISNUMBER(G140)), "", VLOOKUP(A140,'Discount Lookup'!G:H,2,FALSE)*G140)</f>
        <v>0</v>
      </c>
      <c r="W140" s="508">
        <f t="shared" si="53"/>
        <v>0</v>
      </c>
      <c r="X140" s="508">
        <f t="shared" si="54"/>
        <v>0</v>
      </c>
      <c r="Y140" s="509" t="b">
        <f t="shared" si="55"/>
        <v>0</v>
      </c>
      <c r="Z140" s="510">
        <f t="shared" si="56"/>
        <v>0</v>
      </c>
      <c r="AA140" s="511"/>
      <c r="AB140" s="511" t="str">
        <f t="shared" si="57"/>
        <v/>
      </c>
      <c r="AC140" s="698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698"/>
      <c r="AE140" s="631" t="str">
        <f t="shared" si="58"/>
        <v/>
      </c>
      <c r="AF140" s="699" t="str">
        <f t="shared" si="59"/>
        <v/>
      </c>
      <c r="AG140" s="699"/>
      <c r="AH140" s="699"/>
      <c r="AI140" s="512">
        <f>IF(H140="credit",0,IF(AE140="free",0,IF(AE140="me",0,IF(G140&gt;0,(VLOOKUP(A140,'Discount Lookup'!J:K,2)*G140),0))))</f>
        <v>0</v>
      </c>
      <c r="AJ140" s="513" t="str">
        <f t="shared" ca="1" si="60"/>
        <v/>
      </c>
      <c r="AK140" s="700" t="str">
        <f t="shared" si="61"/>
        <v/>
      </c>
      <c r="AL140" s="700"/>
      <c r="AM140" s="505" t="str">
        <f t="shared" si="62"/>
        <v/>
      </c>
      <c r="AN140" s="506"/>
      <c r="AO140" s="507"/>
      <c r="AP140" s="507"/>
      <c r="AQ140" s="507"/>
      <c r="AR140" s="507"/>
      <c r="AS140" s="507"/>
      <c r="AT140" s="507"/>
      <c r="AU140" s="507"/>
      <c r="AV140" s="225"/>
      <c r="AW140" s="508"/>
      <c r="AX140" s="225"/>
      <c r="AY140" s="225"/>
      <c r="AZ140" s="225"/>
      <c r="BA140" s="225"/>
      <c r="BB140" s="225"/>
      <c r="BC140" s="56"/>
      <c r="BD140" s="56"/>
      <c r="BE140" s="56"/>
      <c r="BF140" s="107" t="str">
        <f t="shared" si="63"/>
        <v>https://www.google.com/search?tbm=isch&amp;q=1%20G6</v>
      </c>
      <c r="BG140" s="107" t="str">
        <f t="shared" si="64"/>
        <v>A</v>
      </c>
      <c r="BH140" s="254"/>
      <c r="BI140" s="254"/>
    </row>
    <row r="141" spans="1:61" customFormat="1" ht="16.5" thickBot="1" x14ac:dyDescent="0.3">
      <c r="A141" s="522" t="s">
        <v>3935</v>
      </c>
      <c r="B141" s="491"/>
      <c r="C141" s="675"/>
      <c r="D141" s="491"/>
      <c r="E141" s="491"/>
      <c r="F141" s="492"/>
      <c r="G141" s="493"/>
      <c r="H141" s="491"/>
      <c r="I141" s="234"/>
      <c r="J141" s="234"/>
      <c r="K141" s="494"/>
      <c r="L141" s="543"/>
      <c r="M141" s="561"/>
      <c r="N141" s="495"/>
      <c r="O141" s="496"/>
      <c r="P141" s="497"/>
      <c r="Q141" s="495"/>
      <c r="R141" s="495"/>
      <c r="S141" s="277"/>
      <c r="T141" s="508">
        <f t="shared" si="52"/>
        <v>0</v>
      </c>
      <c r="U141" s="225" t="str">
        <f>IF(NOT(ISNUMBER(G141)), "", VLOOKUP(A141,'Discount Lookup'!D:E,2,FALSE)*G141)</f>
        <v/>
      </c>
      <c r="V141" s="225" t="str">
        <f>IF(NOT(ISNUMBER(G141)), "", VLOOKUP(A141,'Discount Lookup'!G:H,2,FALSE)*G141)</f>
        <v/>
      </c>
      <c r="W141" s="508">
        <f t="shared" si="53"/>
        <v>0</v>
      </c>
      <c r="X141" s="508">
        <f t="shared" si="54"/>
        <v>0</v>
      </c>
      <c r="Y141" s="509" t="b">
        <f t="shared" si="55"/>
        <v>0</v>
      </c>
      <c r="Z141" s="510">
        <f t="shared" si="56"/>
        <v>0</v>
      </c>
      <c r="AA141" s="511"/>
      <c r="AB141" s="511" t="str">
        <f t="shared" si="57"/>
        <v/>
      </c>
      <c r="AC141" s="698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698"/>
      <c r="AE141" s="631" t="str">
        <f t="shared" si="58"/>
        <v/>
      </c>
      <c r="AF141" s="699" t="str">
        <f t="shared" si="59"/>
        <v/>
      </c>
      <c r="AG141" s="699"/>
      <c r="AH141" s="699"/>
      <c r="AI141" s="512">
        <f>IF(H141="credit",0,IF(AE141="free",0,IF(AE141="me",0,IF(G141&gt;0,(VLOOKUP(A141,'Discount Lookup'!J:K,2)*G141),0))))</f>
        <v>0</v>
      </c>
      <c r="AJ141" s="513" t="str">
        <f t="shared" ca="1" si="60"/>
        <v/>
      </c>
      <c r="AK141" s="700" t="str">
        <f t="shared" si="61"/>
        <v/>
      </c>
      <c r="AL141" s="700"/>
      <c r="AM141" s="505" t="str">
        <f t="shared" si="62"/>
        <v/>
      </c>
      <c r="AN141" s="506"/>
      <c r="AO141" s="507"/>
      <c r="AP141" s="507"/>
      <c r="AQ141" s="507"/>
      <c r="AR141" s="507"/>
      <c r="AS141" s="507"/>
      <c r="AT141" s="507"/>
      <c r="AU141" s="507"/>
      <c r="AV141" s="225"/>
      <c r="AW141" s="508"/>
      <c r="AX141" s="225"/>
      <c r="AY141" s="225"/>
      <c r="AZ141" s="225"/>
      <c r="BA141" s="225"/>
      <c r="BB141" s="225"/>
      <c r="BC141" s="56"/>
      <c r="BD141" s="56"/>
      <c r="BE141" s="56"/>
      <c r="BF141" s="107" t="str">
        <f t="shared" si="63"/>
        <v>https://www.google.com/search?tbm=isch&amp;q=Asiatic%20jasmine%20forms%20a%20durable%2C%20evergreen%20carpet%20that%20can%20be%20invasive.%20Will%20climb%20if%20supported.%20Creamy%20Yellow%2C%20lightly%20fragrant%20blooms%20</v>
      </c>
      <c r="BG141" s="107" t="str">
        <f t="shared" si="64"/>
        <v>A</v>
      </c>
      <c r="BH141" s="254"/>
      <c r="BI141" s="254"/>
    </row>
    <row r="142" spans="1:61" customFormat="1" ht="18" x14ac:dyDescent="0.25">
      <c r="A142" s="521" t="s">
        <v>473</v>
      </c>
      <c r="B142" s="477"/>
      <c r="C142" s="674"/>
      <c r="D142" s="478" t="s">
        <v>472</v>
      </c>
      <c r="E142" s="479"/>
      <c r="F142" s="479"/>
      <c r="G142" s="479"/>
      <c r="H142" s="582" t="s">
        <v>359</v>
      </c>
      <c r="I142" s="480" t="s">
        <v>654</v>
      </c>
      <c r="J142" s="479"/>
      <c r="K142" s="479"/>
      <c r="L142" s="560"/>
      <c r="M142" s="671" t="s">
        <v>4985</v>
      </c>
      <c r="N142" s="680" t="str">
        <f>IF(AND(ISTEXT($A142), ISERROR($A142+0)), HYPERLINK($BF142, "Images"), "")</f>
        <v>Images</v>
      </c>
      <c r="O142" s="662" t="s">
        <v>4974</v>
      </c>
      <c r="P142" s="482"/>
      <c r="Q142" s="483"/>
      <c r="R142" s="483"/>
      <c r="S142" s="484"/>
      <c r="T142" s="508">
        <f t="shared" ref="T142:T205" si="101">E142*G142</f>
        <v>0</v>
      </c>
      <c r="U142" s="225" t="str">
        <f>IF(NOT(ISNUMBER(G142)), "", VLOOKUP(A142,'Discount Lookup'!D:E,2,FALSE)*G142)</f>
        <v/>
      </c>
      <c r="V142" s="225" t="str">
        <f>IF(NOT(ISNUMBER(G142)), "", VLOOKUP(A142,'Discount Lookup'!G:H,2,FALSE)*G142)</f>
        <v/>
      </c>
      <c r="W142" s="508">
        <f t="shared" ref="W142:W205" si="102">IF(H142="credit",0,E142*(SalesTaxPercentage)*G142)</f>
        <v>0</v>
      </c>
      <c r="X142" s="508" t="str">
        <f t="shared" ref="X142:X205" si="103">I142</f>
        <v>White bloom</v>
      </c>
      <c r="Y142" s="509" t="b">
        <f t="shared" ref="Y142:Y205" si="104">IF(AE142="T2G",0,IF(H142="credit",0,IF(G142&gt;0,IF(AE142="me","",G142))))</f>
        <v>0</v>
      </c>
      <c r="Z142" s="510">
        <f t="shared" ref="Z142:Z205" si="105">IF(H142="credit",G142,0)</f>
        <v>0</v>
      </c>
      <c r="AA142" s="511"/>
      <c r="AB142" s="511" t="str">
        <f t="shared" ref="AB142:AB205" si="106">IF(AE142="T2G","by Trees2Go",IF(H142="credit","CREDIT only ~",IF(AND(K142="",AE142=OR(PlanterYesMe="No",PlanterYesMe="N",PlanterYesMe="me")),"not THIS line⇨",IF(AND(K142="images",AE142="me"),"not THIS line⇨",IF(H142="credit","",IF(G142=0,"",IF(AE142="me","",IF(OR(PlanterYesMe="No",PlanterYesMe="N",PlanterYesMe="me"),"",IF(AE142="free","warranty",IF(OR(PlanterYesMe="yes",PlanterYesMe="y"),"Edison install:","to install:"))))))))))</f>
        <v/>
      </c>
      <c r="AC142" s="698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698"/>
      <c r="AE142" s="631" t="str">
        <f t="shared" ref="AE142:AE205" si="107">IF(H142="credit","",IF(G142=0,"",IF(OR(PlanterYesMe="No",PlanterYesMe="N",PlanterYesMe="me"),"me",IF(H142="warranty","free",IF(OR(PlanterYesMe="yes",PlanterYesMe="y"),"ELP","")))))</f>
        <v/>
      </c>
      <c r="AF142" s="699" t="str">
        <f t="shared" ref="AF142:AF205" si="108">IF(OR(PlanterYesMe="No",PlanterYesMe="N",PlanterYesMe="me"),"",IF(H142="credit","",IF(G142&gt;0,(CONCATENATE((G142)," quantity, ",(A142)," ",B142)),"")))</f>
        <v/>
      </c>
      <c r="AG142" s="699"/>
      <c r="AH142" s="699"/>
      <c r="AI142" s="512">
        <f>IF(H142="credit",0,IF(AE142="free",0,IF(AE142="me",0,IF(G142&gt;0,(VLOOKUP(A142,'Discount Lookup'!J:K,2)*G142),0))))</f>
        <v>0</v>
      </c>
      <c r="AJ142" s="513" t="str">
        <f t="shared" ref="AJ142:AJ205" ca="1" si="109">IF(AND(ISREF(H142),H142="credit"),"",IF(AND(AND(OFFSET(G142,0,0)=0,OFFSET(G142,1,0)&gt;0,ISNUMBER(OFFSET(AC142,1,0)),OFFSET(AC142,1,0)&gt;0),OR(PlanterYesMe="yes",PlanterYesMe="y")),"T2G+ELP=",IF(AND(OFFSET(G142,0,0)=0,OFFSET(G142,1,0)&gt;0,ISNUMBER(OFFSET(AC142,1,0)),OFFSET(AC142,1,0)&gt;0),"if T2G+ELP=",IF(AND(OFFSET(G142,0,0)=0,OFFSET(G142,1,0)&gt;0),"T2G Subtotal",IF(H142="credit","",IF(G142=0,"",IF(AE142="free",(K142*(1-T2GDiscount)),IF(OR(PlanterYesMe="No",PlanterYesMe="N",PlanterYesMe="me"),(K142*(1-T2GDiscount)),IF(OR(AE142="me",AE142="T2G"),(K142*(1-T2GDiscount)),(K142*(1-T2GDiscount))+AC142)))))))))</f>
        <v/>
      </c>
      <c r="AK142" s="700" t="str">
        <f t="shared" ref="AK142:AK205" si="110">IF(H142="credit","",IF(G142=0,"",IF(OR(AE142="me",AE142="T2G"),"  delivery-only",IF(OR(PlanterYesMe="No",PlanterYesMe="N",PlanterYesMe="me"),"  delivery-only",CONCATENATE(" $",ROUND(AJ142/G142,2)," each")))))</f>
        <v/>
      </c>
      <c r="AL142" s="700"/>
      <c r="AM142" s="505" t="str">
        <f t="shared" ref="AM142:AM205" si="111">IF(H142="credit","",IF(AE142="free","      ~ discounts included, no tax or planting fee applies ~",IF(G142=0,"",IF(OR(PlanterYesMe="No",PlanterYesMe="N",PlanterYesMe="me"),CONCATENATE(" $",ROUND(AJ142/G142,2)," per plant, with tax &amp; discount"),IF(OR(AE142="me",AE142="T2G"),CONCATENATE(" $",ROUND(AJ142/G142,2)," per plant, with tax &amp; discount"),CONCATENATE("= $",ROUND((K142*(1-T2GDiscount))/G142,2)," per plant + $",AC142/G142,(" per planting      ~ includes tax &amp; discounts ~")))))))</f>
        <v/>
      </c>
      <c r="AN142" s="506"/>
      <c r="AO142" s="507"/>
      <c r="AP142" s="507"/>
      <c r="AQ142" s="507"/>
      <c r="AR142" s="507"/>
      <c r="AS142" s="507"/>
      <c r="AT142" s="507"/>
      <c r="AU142" s="507"/>
      <c r="AV142" s="225"/>
      <c r="AW142" s="508"/>
      <c r="AX142" s="225"/>
      <c r="AY142" s="225"/>
      <c r="AZ142" s="225"/>
      <c r="BA142" s="225"/>
      <c r="BB142" s="225"/>
      <c r="BC142" s="56"/>
      <c r="BD142" s="56"/>
      <c r="BE142" s="56"/>
      <c r="BF142" s="107" t="str">
        <f t="shared" ref="BF142:BF205" si="112">"https://www.google.com/search?tbm=isch&amp;q=" &amp; _xlfn.ENCODEURL($A142 &amp; " " &amp; $D142)</f>
        <v>https://www.google.com/search?tbm=isch&amp;q=August%20Beauty%20Gardenia%20Gardenia%20jasminoides%20%27August%20Beauty%27</v>
      </c>
      <c r="BG142" s="107" t="str">
        <f t="shared" ref="BG142:BG205" si="113">IF(ISTEXT(A142),LEFT(A142,1),BG141)</f>
        <v>A</v>
      </c>
      <c r="BH142" s="254"/>
      <c r="BI142" s="254"/>
    </row>
    <row r="143" spans="1:61" customFormat="1" ht="15.75" x14ac:dyDescent="0.25">
      <c r="A143" s="485">
        <v>3</v>
      </c>
      <c r="B143" s="486" t="s">
        <v>291</v>
      </c>
      <c r="C143" s="487"/>
      <c r="D143" s="488" t="s">
        <v>298</v>
      </c>
      <c r="E143" s="489">
        <v>26.95</v>
      </c>
      <c r="F143" s="516" t="s">
        <v>293</v>
      </c>
      <c r="G143" s="232">
        <v>0</v>
      </c>
      <c r="H143" s="658" t="str">
        <f>IF(G143=0,"",IF(F143="Buy",IF(G143=1,"plant","plants"),IF(F143&gt;0.01,"warranty","Error")))</f>
        <v/>
      </c>
      <c r="I143" s="490">
        <f>IF(H143="free",0,IF(H143="credit",((E143*(F143))*G143*-1),IF(F143="Buy",(E143*G143),((E143*(1-F143))*G143))))</f>
        <v>0</v>
      </c>
      <c r="J143" s="490">
        <f>IF(H143="warranty",0,(I143*(_xlfn.SINGLE(SalesTaxPercentage))))</f>
        <v>0</v>
      </c>
      <c r="K143" s="695">
        <f t="shared" ref="K143" si="114">I143+J143</f>
        <v>0</v>
      </c>
      <c r="L143" s="695"/>
      <c r="M143" s="659" t="str">
        <f>IF(AND(G143&gt;0,E143=0),"WARNING - no PRICE inserted",IF(H143="free"," FREE ~ no charge this plant",IF(H143="credit",CONCATENATE(" -$",ROUND(K143*(1-T2GDiscount)*-1,2)," CREDIT after discount"),IF(T2GDiscount=0,"",IF(G143=0,"",IF(F143="Buy",CONCATENATE(" $",ROUND(K143*(1-T2GDiscount),2)," with ",(T2GDiscount*100),"% discount"),CONCATENATE(" $",ROUND(K143*(1-T2GDiscount),2)," with ",((T2GDiscount*100+F143*100)-(T2GDiscount*100*F143)),IF(F143&gt;0,"% discounts",IF(NoWarrantyDiscount&gt;0,"% discounts","% discount")))))))))</f>
        <v/>
      </c>
      <c r="N143" s="660"/>
      <c r="O143" s="233"/>
      <c r="P143" s="233"/>
      <c r="Q143" s="233"/>
      <c r="R143" s="233"/>
      <c r="S143" s="233"/>
      <c r="T143" s="508">
        <f t="shared" si="101"/>
        <v>0</v>
      </c>
      <c r="U143" s="225">
        <f>IF(NOT(ISNUMBER(G143)), "", VLOOKUP(A143,'Discount Lookup'!D:E,2,FALSE)*G143)</f>
        <v>0</v>
      </c>
      <c r="V143" s="225">
        <f>IF(NOT(ISNUMBER(G143)), "", VLOOKUP(A143,'Discount Lookup'!G:H,2,FALSE)*G143)</f>
        <v>0</v>
      </c>
      <c r="W143" s="508">
        <f t="shared" si="102"/>
        <v>0</v>
      </c>
      <c r="X143" s="508">
        <f t="shared" si="103"/>
        <v>0</v>
      </c>
      <c r="Y143" s="509" t="b">
        <f t="shared" si="104"/>
        <v>0</v>
      </c>
      <c r="Z143" s="510">
        <f t="shared" si="105"/>
        <v>0</v>
      </c>
      <c r="AA143" s="511"/>
      <c r="AB143" s="511" t="str">
        <f t="shared" si="106"/>
        <v/>
      </c>
      <c r="AC143" s="698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698"/>
      <c r="AE143" s="631" t="str">
        <f t="shared" si="107"/>
        <v/>
      </c>
      <c r="AF143" s="699" t="str">
        <f t="shared" si="108"/>
        <v/>
      </c>
      <c r="AG143" s="699"/>
      <c r="AH143" s="699"/>
      <c r="AI143" s="512">
        <f>IF(H143="credit",0,IF(AE143="free",0,IF(AE143="me",0,IF(G143&gt;0,(VLOOKUP(A143,'Discount Lookup'!J:K,2)*G143),0))))</f>
        <v>0</v>
      </c>
      <c r="AJ143" s="513" t="str">
        <f t="shared" ca="1" si="109"/>
        <v/>
      </c>
      <c r="AK143" s="700" t="str">
        <f t="shared" si="110"/>
        <v/>
      </c>
      <c r="AL143" s="700"/>
      <c r="AM143" s="505" t="str">
        <f t="shared" si="111"/>
        <v/>
      </c>
      <c r="AN143" s="506"/>
      <c r="AO143" s="507"/>
      <c r="AP143" s="507"/>
      <c r="AQ143" s="507"/>
      <c r="AR143" s="507"/>
      <c r="AS143" s="507"/>
      <c r="AT143" s="507"/>
      <c r="AU143" s="507"/>
      <c r="AV143" s="225"/>
      <c r="AW143" s="508"/>
      <c r="AX143" s="225"/>
      <c r="AY143" s="225"/>
      <c r="AZ143" s="225"/>
      <c r="BA143" s="225"/>
      <c r="BB143" s="225"/>
      <c r="BC143" s="56"/>
      <c r="BD143" s="56"/>
      <c r="BE143" s="56"/>
      <c r="BF143" s="107" t="str">
        <f t="shared" si="112"/>
        <v>https://www.google.com/search?tbm=isch&amp;q=3%20G1</v>
      </c>
      <c r="BG143" s="107" t="str">
        <f t="shared" si="113"/>
        <v>A</v>
      </c>
      <c r="BH143" s="254"/>
      <c r="BI143" s="254"/>
    </row>
    <row r="144" spans="1:61" customFormat="1" ht="15.75" x14ac:dyDescent="0.25">
      <c r="A144" s="485">
        <v>3</v>
      </c>
      <c r="B144" s="486" t="s">
        <v>291</v>
      </c>
      <c r="C144" s="487" t="s">
        <v>2709</v>
      </c>
      <c r="D144" s="488" t="s">
        <v>297</v>
      </c>
      <c r="E144" s="489">
        <v>26.95</v>
      </c>
      <c r="F144" s="516" t="s">
        <v>293</v>
      </c>
      <c r="G144" s="232">
        <v>0</v>
      </c>
      <c r="H144" s="658" t="str">
        <f>IF(G144=0,"",IF(F144="Buy",IF(G144=1,"plant","plants"),IF(F144&gt;0.01,"warranty","Error")))</f>
        <v/>
      </c>
      <c r="I144" s="490">
        <f>IF(H144="free",0,IF(H144="credit",((E144*(F144))*G144*-1),IF(F144="Buy",(E144*G144),((E144*(1-F144))*G144))))</f>
        <v>0</v>
      </c>
      <c r="J144" s="490">
        <f>IF(H144="warranty",0,(I144*(_xlfn.SINGLE(SalesTaxPercentage))))</f>
        <v>0</v>
      </c>
      <c r="K144" s="695">
        <f t="shared" ref="K144" si="115">I144+J144</f>
        <v>0</v>
      </c>
      <c r="L144" s="695"/>
      <c r="M144" s="659" t="str">
        <f>IF(AND(G144&gt;0,E144=0),"WARNING - no PRICE inserted",IF(H144="free"," FREE ~ no charge this plant",IF(H144="credit",CONCATENATE(" -$",ROUND(K144*(1-T2GDiscount)*-1,2)," CREDIT after discount"),IF(T2GDiscount=0,"",IF(G144=0,"",IF(F144="Buy",CONCATENATE(" $",ROUND(K144*(1-T2GDiscount),2)," with ",(T2GDiscount*100),"% discount"),CONCATENATE(" $",ROUND(K144*(1-T2GDiscount),2)," with ",((T2GDiscount*100+F144*100)-(T2GDiscount*100*F144)),IF(F144&gt;0,"% discounts",IF(NoWarrantyDiscount&gt;0,"% discounts","% discount")))))))))</f>
        <v/>
      </c>
      <c r="N144" s="660"/>
      <c r="O144" s="233"/>
      <c r="P144" s="233"/>
      <c r="Q144" s="233"/>
      <c r="R144" s="233"/>
      <c r="S144" s="233"/>
      <c r="T144" s="508">
        <f t="shared" si="101"/>
        <v>0</v>
      </c>
      <c r="U144" s="225">
        <f>IF(NOT(ISNUMBER(G144)), "", VLOOKUP(A144,'Discount Lookup'!D:E,2,FALSE)*G144)</f>
        <v>0</v>
      </c>
      <c r="V144" s="225">
        <f>IF(NOT(ISNUMBER(G144)), "", VLOOKUP(A144,'Discount Lookup'!G:H,2,FALSE)*G144)</f>
        <v>0</v>
      </c>
      <c r="W144" s="508">
        <f t="shared" si="102"/>
        <v>0</v>
      </c>
      <c r="X144" s="508">
        <f t="shared" si="103"/>
        <v>0</v>
      </c>
      <c r="Y144" s="509" t="b">
        <f t="shared" si="104"/>
        <v>0</v>
      </c>
      <c r="Z144" s="510">
        <f t="shared" si="105"/>
        <v>0</v>
      </c>
      <c r="AA144" s="511"/>
      <c r="AB144" s="511" t="str">
        <f t="shared" si="106"/>
        <v/>
      </c>
      <c r="AC144" s="698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698"/>
      <c r="AE144" s="631" t="str">
        <f t="shared" si="107"/>
        <v/>
      </c>
      <c r="AF144" s="699" t="str">
        <f t="shared" si="108"/>
        <v/>
      </c>
      <c r="AG144" s="699"/>
      <c r="AH144" s="699"/>
      <c r="AI144" s="512">
        <f>IF(H144="credit",0,IF(AE144="free",0,IF(AE144="me",0,IF(G144&gt;0,(VLOOKUP(A144,'Discount Lookup'!J:K,2)*G144),0))))</f>
        <v>0</v>
      </c>
      <c r="AJ144" s="513" t="str">
        <f t="shared" ca="1" si="109"/>
        <v/>
      </c>
      <c r="AK144" s="700" t="str">
        <f t="shared" si="110"/>
        <v/>
      </c>
      <c r="AL144" s="700"/>
      <c r="AM144" s="505" t="str">
        <f t="shared" si="111"/>
        <v/>
      </c>
      <c r="AN144" s="506"/>
      <c r="AO144" s="507"/>
      <c r="AP144" s="507"/>
      <c r="AQ144" s="507"/>
      <c r="AR144" s="507"/>
      <c r="AS144" s="507"/>
      <c r="AT144" s="507"/>
      <c r="AU144" s="507"/>
      <c r="AV144" s="225"/>
      <c r="AW144" s="508"/>
      <c r="AX144" s="225"/>
      <c r="AY144" s="225"/>
      <c r="AZ144" s="225"/>
      <c r="BA144" s="225"/>
      <c r="BB144" s="225"/>
      <c r="BC144" s="56"/>
      <c r="BD144" s="56"/>
      <c r="BE144" s="56"/>
      <c r="BF144" s="107" t="str">
        <f t="shared" si="112"/>
        <v>https://www.google.com/search?tbm=isch&amp;q=3%20G3</v>
      </c>
      <c r="BG144" s="107" t="str">
        <f t="shared" si="113"/>
        <v>A</v>
      </c>
      <c r="BH144" s="254"/>
      <c r="BI144" s="254"/>
    </row>
    <row r="145" spans="1:61" customFormat="1" ht="15.75" x14ac:dyDescent="0.25">
      <c r="A145" s="485">
        <v>3</v>
      </c>
      <c r="B145" s="486" t="s">
        <v>291</v>
      </c>
      <c r="C145" s="487" t="s">
        <v>334</v>
      </c>
      <c r="D145" s="488" t="s">
        <v>312</v>
      </c>
      <c r="E145" s="489">
        <v>29.95</v>
      </c>
      <c r="F145" s="516" t="s">
        <v>293</v>
      </c>
      <c r="G145" s="232">
        <v>0</v>
      </c>
      <c r="H145" s="658" t="str">
        <f>IF(G145=0,"",IF(F145="Buy",IF(G145=1,"plant","plants"),IF(F145&gt;0.01,"warranty","Error")))</f>
        <v/>
      </c>
      <c r="I145" s="490">
        <f>IF(H145="free",0,IF(H145="credit",((E145*(F145))*G145*-1),IF(F145="Buy",(E145*G145),((E145*(1-F145))*G145))))</f>
        <v>0</v>
      </c>
      <c r="J145" s="490">
        <f>IF(H145="warranty",0,(I145*(_xlfn.SINGLE(SalesTaxPercentage))))</f>
        <v>0</v>
      </c>
      <c r="K145" s="695">
        <f t="shared" ref="K145" si="116">I145+J145</f>
        <v>0</v>
      </c>
      <c r="L145" s="695"/>
      <c r="M145" s="659" t="str">
        <f>IF(AND(G145&gt;0,E145=0),"WARNING - no PRICE inserted",IF(H145="free"," FREE ~ no charge this plant",IF(H145="credit",CONCATENATE(" -$",ROUND(K145*(1-T2GDiscount)*-1,2)," CREDIT after discount"),IF(T2GDiscount=0,"",IF(G145=0,"",IF(F145="Buy",CONCATENATE(" $",ROUND(K145*(1-T2GDiscount),2)," with ",(T2GDiscount*100),"% discount"),CONCATENATE(" $",ROUND(K145*(1-T2GDiscount),2)," with ",((T2GDiscount*100+F145*100)-(T2GDiscount*100*F145)),IF(F145&gt;0,"% discounts",IF(NoWarrantyDiscount&gt;0,"% discounts","% discount")))))))))</f>
        <v/>
      </c>
      <c r="N145" s="660"/>
      <c r="O145" s="233"/>
      <c r="P145" s="233"/>
      <c r="Q145" s="233"/>
      <c r="R145" s="233"/>
      <c r="S145" s="233"/>
      <c r="T145" s="508">
        <f t="shared" si="101"/>
        <v>0</v>
      </c>
      <c r="U145" s="225">
        <f>IF(NOT(ISNUMBER(G145)), "", VLOOKUP(A145,'Discount Lookup'!D:E,2,FALSE)*G145)</f>
        <v>0</v>
      </c>
      <c r="V145" s="225">
        <f>IF(NOT(ISNUMBER(G145)), "", VLOOKUP(A145,'Discount Lookup'!G:H,2,FALSE)*G145)</f>
        <v>0</v>
      </c>
      <c r="W145" s="508">
        <f t="shared" si="102"/>
        <v>0</v>
      </c>
      <c r="X145" s="508">
        <f t="shared" si="103"/>
        <v>0</v>
      </c>
      <c r="Y145" s="509" t="b">
        <f t="shared" si="104"/>
        <v>0</v>
      </c>
      <c r="Z145" s="510">
        <f t="shared" si="105"/>
        <v>0</v>
      </c>
      <c r="AA145" s="511"/>
      <c r="AB145" s="511" t="str">
        <f t="shared" si="106"/>
        <v/>
      </c>
      <c r="AC145" s="698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698"/>
      <c r="AE145" s="631" t="str">
        <f t="shared" si="107"/>
        <v/>
      </c>
      <c r="AF145" s="699" t="str">
        <f t="shared" si="108"/>
        <v/>
      </c>
      <c r="AG145" s="699"/>
      <c r="AH145" s="699"/>
      <c r="AI145" s="512">
        <f>IF(H145="credit",0,IF(AE145="free",0,IF(AE145="me",0,IF(G145&gt;0,(VLOOKUP(A145,'Discount Lookup'!J:K,2)*G145),0))))</f>
        <v>0</v>
      </c>
      <c r="AJ145" s="513" t="str">
        <f t="shared" ca="1" si="109"/>
        <v/>
      </c>
      <c r="AK145" s="700" t="str">
        <f t="shared" si="110"/>
        <v/>
      </c>
      <c r="AL145" s="700"/>
      <c r="AM145" s="505" t="str">
        <f t="shared" si="111"/>
        <v/>
      </c>
      <c r="AN145" s="506"/>
      <c r="AO145" s="507"/>
      <c r="AP145" s="507"/>
      <c r="AQ145" s="507"/>
      <c r="AR145" s="507"/>
      <c r="AS145" s="507"/>
      <c r="AT145" s="507"/>
      <c r="AU145" s="507"/>
      <c r="AV145" s="225"/>
      <c r="AW145" s="508"/>
      <c r="AX145" s="225"/>
      <c r="AY145" s="225"/>
      <c r="AZ145" s="225"/>
      <c r="BA145" s="225"/>
      <c r="BB145" s="225"/>
      <c r="BC145" s="56"/>
      <c r="BD145" s="56"/>
      <c r="BE145" s="56"/>
      <c r="BF145" s="107" t="str">
        <f t="shared" si="112"/>
        <v>https://www.google.com/search?tbm=isch&amp;q=3%20G2</v>
      </c>
      <c r="BG145" s="107" t="str">
        <f t="shared" si="113"/>
        <v>A</v>
      </c>
      <c r="BH145" s="254"/>
      <c r="BI145" s="254"/>
    </row>
    <row r="146" spans="1:61" customFormat="1" ht="15.75" x14ac:dyDescent="0.25">
      <c r="A146" s="485">
        <v>3</v>
      </c>
      <c r="B146" s="486" t="s">
        <v>291</v>
      </c>
      <c r="C146" s="487" t="s">
        <v>4480</v>
      </c>
      <c r="D146" s="488" t="s">
        <v>300</v>
      </c>
      <c r="E146" s="489">
        <v>40.950000000000003</v>
      </c>
      <c r="F146" s="516" t="s">
        <v>293</v>
      </c>
      <c r="G146" s="232">
        <v>0</v>
      </c>
      <c r="H146" s="658" t="str">
        <f>IF(G146=0,"",IF(F146="Buy",IF(G146=1,"plant","plants"),IF(F146&gt;0.01,"warranty","Error")))</f>
        <v/>
      </c>
      <c r="I146" s="490">
        <f>IF(H146="free",0,IF(H146="credit",((E146*(F146))*G146*-1),IF(F146="Buy",(E146*G146),((E146*(1-F146))*G146))))</f>
        <v>0</v>
      </c>
      <c r="J146" s="490">
        <f>IF(H146="warranty",0,(I146*(_xlfn.SINGLE(SalesTaxPercentage))))</f>
        <v>0</v>
      </c>
      <c r="K146" s="695">
        <f t="shared" ref="K146" si="117">I146+J146</f>
        <v>0</v>
      </c>
      <c r="L146" s="695"/>
      <c r="M146" s="659" t="str">
        <f>IF(AND(G146&gt;0,E146=0),"WARNING - no PRICE inserted",IF(H146="free"," FREE ~ no charge this plant",IF(H146="credit",CONCATENATE(" -$",ROUND(K146*(1-T2GDiscount)*-1,2)," CREDIT after discount"),IF(T2GDiscount=0,"",IF(G146=0,"",IF(F146="Buy",CONCATENATE(" $",ROUND(K146*(1-T2GDiscount),2)," with ",(T2GDiscount*100),"% discount"),CONCATENATE(" $",ROUND(K146*(1-T2GDiscount),2)," with ",((T2GDiscount*100+F146*100)-(T2GDiscount*100*F146)),IF(F146&gt;0,"% discounts",IF(NoWarrantyDiscount&gt;0,"% discounts","% discount")))))))))</f>
        <v/>
      </c>
      <c r="N146" s="660"/>
      <c r="O146" s="233"/>
      <c r="P146" s="233"/>
      <c r="Q146" s="233"/>
      <c r="R146" s="233"/>
      <c r="S146" s="233"/>
      <c r="T146" s="508">
        <f t="shared" si="101"/>
        <v>0</v>
      </c>
      <c r="U146" s="225">
        <f>IF(NOT(ISNUMBER(G146)), "", VLOOKUP(A146,'Discount Lookup'!D:E,2,FALSE)*G146)</f>
        <v>0</v>
      </c>
      <c r="V146" s="225">
        <f>IF(NOT(ISNUMBER(G146)), "", VLOOKUP(A146,'Discount Lookup'!G:H,2,FALSE)*G146)</f>
        <v>0</v>
      </c>
      <c r="W146" s="508">
        <f t="shared" si="102"/>
        <v>0</v>
      </c>
      <c r="X146" s="508">
        <f t="shared" si="103"/>
        <v>0</v>
      </c>
      <c r="Y146" s="509" t="b">
        <f t="shared" si="104"/>
        <v>0</v>
      </c>
      <c r="Z146" s="510">
        <f t="shared" si="105"/>
        <v>0</v>
      </c>
      <c r="AA146" s="511"/>
      <c r="AB146" s="511" t="str">
        <f t="shared" si="106"/>
        <v/>
      </c>
      <c r="AC146" s="698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698"/>
      <c r="AE146" s="631" t="str">
        <f t="shared" si="107"/>
        <v/>
      </c>
      <c r="AF146" s="699" t="str">
        <f t="shared" si="108"/>
        <v/>
      </c>
      <c r="AG146" s="699"/>
      <c r="AH146" s="699"/>
      <c r="AI146" s="512">
        <f>IF(H146="credit",0,IF(AE146="free",0,IF(AE146="me",0,IF(G146&gt;0,(VLOOKUP(A146,'Discount Lookup'!J:K,2)*G146),0))))</f>
        <v>0</v>
      </c>
      <c r="AJ146" s="513" t="str">
        <f t="shared" ca="1" si="109"/>
        <v/>
      </c>
      <c r="AK146" s="700" t="str">
        <f t="shared" si="110"/>
        <v/>
      </c>
      <c r="AL146" s="700"/>
      <c r="AM146" s="505" t="str">
        <f t="shared" si="111"/>
        <v/>
      </c>
      <c r="AN146" s="506"/>
      <c r="AO146" s="507"/>
      <c r="AP146" s="507"/>
      <c r="AQ146" s="507"/>
      <c r="AR146" s="507"/>
      <c r="AS146" s="507"/>
      <c r="AT146" s="507"/>
      <c r="AU146" s="507"/>
      <c r="AV146" s="225"/>
      <c r="AW146" s="508"/>
      <c r="AX146" s="225"/>
      <c r="AY146" s="225"/>
      <c r="AZ146" s="225"/>
      <c r="BA146" s="225"/>
      <c r="BB146" s="225"/>
      <c r="BC146" s="56"/>
      <c r="BD146" s="56"/>
      <c r="BE146" s="56"/>
      <c r="BF146" s="107" t="str">
        <f t="shared" si="112"/>
        <v>https://www.google.com/search?tbm=isch&amp;q=3%20G6</v>
      </c>
      <c r="BG146" s="107" t="str">
        <f t="shared" si="113"/>
        <v>A</v>
      </c>
      <c r="BH146" s="254"/>
      <c r="BI146" s="254"/>
    </row>
    <row r="147" spans="1:61" customFormat="1" ht="17.25" thickBot="1" x14ac:dyDescent="0.3">
      <c r="A147" s="522" t="s">
        <v>2328</v>
      </c>
      <c r="B147" s="491"/>
      <c r="C147" s="675"/>
      <c r="D147" s="491"/>
      <c r="E147" s="491"/>
      <c r="F147" s="492"/>
      <c r="G147" s="493"/>
      <c r="H147" s="491"/>
      <c r="I147" s="234"/>
      <c r="J147" s="234"/>
      <c r="K147" s="494"/>
      <c r="L147" s="543"/>
      <c r="M147" s="561"/>
      <c r="N147" s="495"/>
      <c r="O147" s="496"/>
      <c r="P147" s="497"/>
      <c r="Q147" s="495"/>
      <c r="R147" s="495"/>
      <c r="S147" s="667" t="s">
        <v>4986</v>
      </c>
      <c r="T147" s="508">
        <f t="shared" si="101"/>
        <v>0</v>
      </c>
      <c r="U147" s="225" t="str">
        <f>IF(NOT(ISNUMBER(G147)), "", VLOOKUP(A147,'Discount Lookup'!D:E,2,FALSE)*G147)</f>
        <v/>
      </c>
      <c r="V147" s="225" t="str">
        <f>IF(NOT(ISNUMBER(G147)), "", VLOOKUP(A147,'Discount Lookup'!G:H,2,FALSE)*G147)</f>
        <v/>
      </c>
      <c r="W147" s="508">
        <f t="shared" si="102"/>
        <v>0</v>
      </c>
      <c r="X147" s="508">
        <f t="shared" si="103"/>
        <v>0</v>
      </c>
      <c r="Y147" s="509" t="b">
        <f t="shared" si="104"/>
        <v>0</v>
      </c>
      <c r="Z147" s="510">
        <f t="shared" si="105"/>
        <v>0</v>
      </c>
      <c r="AA147" s="511"/>
      <c r="AB147" s="511" t="str">
        <f t="shared" si="106"/>
        <v/>
      </c>
      <c r="AC147" s="698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698"/>
      <c r="AE147" s="631" t="str">
        <f t="shared" si="107"/>
        <v/>
      </c>
      <c r="AF147" s="699" t="str">
        <f t="shared" si="108"/>
        <v/>
      </c>
      <c r="AG147" s="699"/>
      <c r="AH147" s="699"/>
      <c r="AI147" s="512">
        <f>IF(H147="credit",0,IF(AE147="free",0,IF(AE147="me",0,IF(G147&gt;0,(VLOOKUP(A147,'Discount Lookup'!J:K,2)*G147),0))))</f>
        <v>0</v>
      </c>
      <c r="AJ147" s="513" t="str">
        <f t="shared" ca="1" si="109"/>
        <v/>
      </c>
      <c r="AK147" s="700" t="str">
        <f t="shared" si="110"/>
        <v/>
      </c>
      <c r="AL147" s="700"/>
      <c r="AM147" s="505" t="str">
        <f t="shared" si="111"/>
        <v/>
      </c>
      <c r="AN147" s="506"/>
      <c r="AO147" s="507"/>
      <c r="AP147" s="507"/>
      <c r="AQ147" s="507"/>
      <c r="AR147" s="507"/>
      <c r="AS147" s="507"/>
      <c r="AT147" s="507"/>
      <c r="AU147" s="507"/>
      <c r="AV147" s="225"/>
      <c r="AW147" s="508"/>
      <c r="AX147" s="225"/>
      <c r="AY147" s="225"/>
      <c r="AZ147" s="225"/>
      <c r="BA147" s="225"/>
      <c r="BB147" s="225"/>
      <c r="BC147" s="56"/>
      <c r="BD147" s="56"/>
      <c r="BE147" s="56"/>
      <c r="BF147" s="107" t="str">
        <f t="shared" si="112"/>
        <v>https://www.google.com/search?tbm=isch&amp;q=August%20Beauty%20is%20named%20for%20it%27s%203-month%20bloom%20cycle%2C%20reaching%20into%20August.%20Fragrant%20</v>
      </c>
      <c r="BG147" s="107" t="str">
        <f t="shared" si="113"/>
        <v>A</v>
      </c>
      <c r="BH147" s="254"/>
      <c r="BI147" s="254"/>
    </row>
    <row r="148" spans="1:61" customFormat="1" ht="18" x14ac:dyDescent="0.25">
      <c r="A148" s="523" t="s">
        <v>627</v>
      </c>
      <c r="B148" s="235"/>
      <c r="C148" s="676"/>
      <c r="D148" s="255" t="s">
        <v>626</v>
      </c>
      <c r="E148" s="236"/>
      <c r="F148" s="236"/>
      <c r="G148" s="236"/>
      <c r="H148" s="582" t="s">
        <v>4043</v>
      </c>
      <c r="I148" s="498" t="s">
        <v>4044</v>
      </c>
      <c r="J148" s="237"/>
      <c r="K148" s="237"/>
      <c r="L148" s="274"/>
      <c r="M148" s="670" t="s">
        <v>4987</v>
      </c>
      <c r="N148" s="681" t="str">
        <f>IF(AND(ISTEXT($A148), ISERROR($A148+0)), HYPERLINK($BF148, "Images"), "")</f>
        <v>Images</v>
      </c>
      <c r="O148" s="663" t="s">
        <v>4971</v>
      </c>
      <c r="P148" s="253"/>
      <c r="Q148" s="238"/>
      <c r="R148" s="239"/>
      <c r="S148" s="275"/>
      <c r="T148" s="508">
        <f t="shared" si="101"/>
        <v>0</v>
      </c>
      <c r="U148" s="225" t="str">
        <f>IF(NOT(ISNUMBER(G148)), "", VLOOKUP(A148,'Discount Lookup'!D:E,2,FALSE)*G148)</f>
        <v/>
      </c>
      <c r="V148" s="225" t="str">
        <f>IF(NOT(ISNUMBER(G148)), "", VLOOKUP(A148,'Discount Lookup'!G:H,2,FALSE)*G148)</f>
        <v/>
      </c>
      <c r="W148" s="508">
        <f t="shared" si="102"/>
        <v>0</v>
      </c>
      <c r="X148" s="508" t="str">
        <f t="shared" si="103"/>
        <v>Pale Lavender to White</v>
      </c>
      <c r="Y148" s="509" t="b">
        <f t="shared" si="104"/>
        <v>0</v>
      </c>
      <c r="Z148" s="510">
        <f t="shared" si="105"/>
        <v>0</v>
      </c>
      <c r="AA148" s="511"/>
      <c r="AB148" s="511" t="str">
        <f t="shared" si="106"/>
        <v/>
      </c>
      <c r="AC148" s="698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698"/>
      <c r="AE148" s="631" t="str">
        <f t="shared" si="107"/>
        <v/>
      </c>
      <c r="AF148" s="699" t="str">
        <f t="shared" si="108"/>
        <v/>
      </c>
      <c r="AG148" s="699"/>
      <c r="AH148" s="699"/>
      <c r="AI148" s="512">
        <f>IF(H148="credit",0,IF(AE148="free",0,IF(AE148="me",0,IF(G148&gt;0,(VLOOKUP(A148,'Discount Lookup'!J:K,2)*G148),0))))</f>
        <v>0</v>
      </c>
      <c r="AJ148" s="513" t="str">
        <f t="shared" ca="1" si="109"/>
        <v/>
      </c>
      <c r="AK148" s="700" t="str">
        <f t="shared" si="110"/>
        <v/>
      </c>
      <c r="AL148" s="700"/>
      <c r="AM148" s="505" t="str">
        <f t="shared" si="111"/>
        <v/>
      </c>
      <c r="AN148" s="506"/>
      <c r="AO148" s="507"/>
      <c r="AP148" s="507"/>
      <c r="AQ148" s="507"/>
      <c r="AR148" s="507"/>
      <c r="AS148" s="507"/>
      <c r="AT148" s="507"/>
      <c r="AU148" s="507"/>
      <c r="AV148" s="225"/>
      <c r="AW148" s="508"/>
      <c r="AX148" s="225"/>
      <c r="AY148" s="225"/>
      <c r="AZ148" s="225"/>
      <c r="BA148" s="225"/>
      <c r="BB148" s="225"/>
      <c r="BC148" s="56"/>
      <c r="BD148" s="56"/>
      <c r="BE148" s="56"/>
      <c r="BF148" s="107" t="str">
        <f t="shared" si="112"/>
        <v>https://www.google.com/search?tbm=isch&amp;q=August%20Moon%20Hosta%20Hosta%20%27August%20Moon%27</v>
      </c>
      <c r="BG148" s="107" t="str">
        <f t="shared" si="113"/>
        <v>A</v>
      </c>
      <c r="BH148" s="254"/>
      <c r="BI148" s="254"/>
    </row>
    <row r="149" spans="1:61" customFormat="1" ht="15.75" x14ac:dyDescent="0.25">
      <c r="A149" s="276">
        <v>1</v>
      </c>
      <c r="B149" s="240" t="s">
        <v>291</v>
      </c>
      <c r="C149" s="241" t="s">
        <v>535</v>
      </c>
      <c r="D149" s="242" t="s">
        <v>297</v>
      </c>
      <c r="E149" s="243">
        <v>6.95</v>
      </c>
      <c r="F149" s="517" t="s">
        <v>293</v>
      </c>
      <c r="G149" s="232">
        <v>0</v>
      </c>
      <c r="H149" s="661" t="str">
        <f>IF(G149=0,"",IF(F149="Buy",IF(G149=1,"plant","plants"),IF(F149&gt;0.01,"warranty","Error")))</f>
        <v/>
      </c>
      <c r="I149" s="244">
        <f>IF(H149="free",0,IF(H149="credit",((E149*(F149))*G149*-1),IF(F149="Buy",(E149*G149),((E149*(1-F149))*G149))))</f>
        <v>0</v>
      </c>
      <c r="J149" s="244">
        <f>IF(H149="warranty",0,(I149*(_xlfn.SINGLE(SalesTaxPercentage))))</f>
        <v>0</v>
      </c>
      <c r="K149" s="696">
        <f t="shared" ref="K149" si="118">I149+J149</f>
        <v>0</v>
      </c>
      <c r="L149" s="696"/>
      <c r="M149" s="659" t="str">
        <f>IF(AND(G149&gt;0,E149=0),"WARNING - no PRICE inserted",IF(H149="free"," FREE ~ no charge this plant",IF(H149="credit",CONCATENATE(" -$",ROUND(K149*(1-T2GDiscount)*-1,2)," CREDIT after discount"),IF(T2GDiscount=0,"",IF(G149=0,"",IF(F149="Buy",CONCATENATE(" $",ROUND(K149*(1-T2GDiscount),2)," with ",(T2GDiscount*100),"% discount"),CONCATENATE(" $",ROUND(K149*(1-T2GDiscount),2)," with ",((T2GDiscount*100+F149*100)-(T2GDiscount*100*F149)),IF(F149&gt;0,"% discounts",IF(NoWarrantyDiscount&gt;0,"% discounts","% discount")))))))))</f>
        <v/>
      </c>
      <c r="N149" s="660"/>
      <c r="O149" s="233"/>
      <c r="P149" s="233"/>
      <c r="Q149" s="233"/>
      <c r="R149" s="233"/>
      <c r="S149" s="233"/>
      <c r="T149" s="508">
        <f t="shared" si="101"/>
        <v>0</v>
      </c>
      <c r="U149" s="225">
        <f>IF(NOT(ISNUMBER(G149)), "", VLOOKUP(A149,'Discount Lookup'!D:E,2,FALSE)*G149)</f>
        <v>0</v>
      </c>
      <c r="V149" s="225">
        <f>IF(NOT(ISNUMBER(G149)), "", VLOOKUP(A149,'Discount Lookup'!G:H,2,FALSE)*G149)</f>
        <v>0</v>
      </c>
      <c r="W149" s="508">
        <f t="shared" si="102"/>
        <v>0</v>
      </c>
      <c r="X149" s="508">
        <f t="shared" si="103"/>
        <v>0</v>
      </c>
      <c r="Y149" s="509" t="b">
        <f t="shared" si="104"/>
        <v>0</v>
      </c>
      <c r="Z149" s="510">
        <f t="shared" si="105"/>
        <v>0</v>
      </c>
      <c r="AA149" s="511"/>
      <c r="AB149" s="511" t="str">
        <f t="shared" si="106"/>
        <v/>
      </c>
      <c r="AC149" s="698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698"/>
      <c r="AE149" s="631" t="str">
        <f t="shared" si="107"/>
        <v/>
      </c>
      <c r="AF149" s="699" t="str">
        <f t="shared" si="108"/>
        <v/>
      </c>
      <c r="AG149" s="699"/>
      <c r="AH149" s="699"/>
      <c r="AI149" s="512">
        <f>IF(H149="credit",0,IF(AE149="free",0,IF(AE149="me",0,IF(G149&gt;0,(VLOOKUP(A149,'Discount Lookup'!J:K,2)*G149),0))))</f>
        <v>0</v>
      </c>
      <c r="AJ149" s="513" t="str">
        <f t="shared" ca="1" si="109"/>
        <v/>
      </c>
      <c r="AK149" s="700" t="str">
        <f t="shared" si="110"/>
        <v/>
      </c>
      <c r="AL149" s="700"/>
      <c r="AM149" s="505" t="str">
        <f t="shared" si="111"/>
        <v/>
      </c>
      <c r="AN149" s="506"/>
      <c r="AO149" s="507"/>
      <c r="AP149" s="507"/>
      <c r="AQ149" s="507"/>
      <c r="AR149" s="507"/>
      <c r="AS149" s="507"/>
      <c r="AT149" s="507"/>
      <c r="AU149" s="507"/>
      <c r="AV149" s="225"/>
      <c r="AW149" s="508"/>
      <c r="AX149" s="225"/>
      <c r="AY149" s="225"/>
      <c r="AZ149" s="225"/>
      <c r="BA149" s="225"/>
      <c r="BB149" s="225"/>
      <c r="BC149" s="56"/>
      <c r="BD149" s="56"/>
      <c r="BE149" s="56"/>
      <c r="BF149" s="107" t="str">
        <f t="shared" si="112"/>
        <v>https://www.google.com/search?tbm=isch&amp;q=1%20G3</v>
      </c>
      <c r="BG149" s="107" t="str">
        <f t="shared" si="113"/>
        <v>A</v>
      </c>
      <c r="BH149" s="254"/>
      <c r="BI149" s="254"/>
    </row>
    <row r="150" spans="1:61" customFormat="1" ht="17.25" thickBot="1" x14ac:dyDescent="0.3">
      <c r="A150" s="673" t="s">
        <v>5042</v>
      </c>
      <c r="B150" s="245"/>
      <c r="C150" s="677"/>
      <c r="D150" s="499"/>
      <c r="E150" s="499"/>
      <c r="F150" s="500"/>
      <c r="G150" s="501"/>
      <c r="H150" s="502"/>
      <c r="I150" s="246"/>
      <c r="J150" s="247"/>
      <c r="K150" s="503"/>
      <c r="L150" s="544"/>
      <c r="M150" s="544"/>
      <c r="N150" s="500"/>
      <c r="O150" s="500"/>
      <c r="P150" s="500"/>
      <c r="Q150" s="500"/>
      <c r="R150" s="500"/>
      <c r="S150" s="669" t="s">
        <v>4977</v>
      </c>
      <c r="T150" s="508">
        <f t="shared" si="101"/>
        <v>0</v>
      </c>
      <c r="U150" s="225" t="str">
        <f>IF(NOT(ISNUMBER(G150)), "", VLOOKUP(A150,'Discount Lookup'!D:E,2,FALSE)*G150)</f>
        <v/>
      </c>
      <c r="V150" s="225" t="str">
        <f>IF(NOT(ISNUMBER(G150)), "", VLOOKUP(A150,'Discount Lookup'!G:H,2,FALSE)*G150)</f>
        <v/>
      </c>
      <c r="W150" s="508">
        <f t="shared" si="102"/>
        <v>0</v>
      </c>
      <c r="X150" s="508">
        <f t="shared" si="103"/>
        <v>0</v>
      </c>
      <c r="Y150" s="509" t="b">
        <f t="shared" si="104"/>
        <v>0</v>
      </c>
      <c r="Z150" s="510">
        <f t="shared" si="105"/>
        <v>0</v>
      </c>
      <c r="AA150" s="511"/>
      <c r="AB150" s="511" t="str">
        <f t="shared" si="106"/>
        <v/>
      </c>
      <c r="AC150" s="698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698"/>
      <c r="AE150" s="631" t="str">
        <f t="shared" si="107"/>
        <v/>
      </c>
      <c r="AF150" s="699" t="str">
        <f t="shared" si="108"/>
        <v/>
      </c>
      <c r="AG150" s="699"/>
      <c r="AH150" s="699"/>
      <c r="AI150" s="512">
        <f>IF(H150="credit",0,IF(AE150="free",0,IF(AE150="me",0,IF(G150&gt;0,(VLOOKUP(A150,'Discount Lookup'!J:K,2)*G150),0))))</f>
        <v>0</v>
      </c>
      <c r="AJ150" s="513" t="str">
        <f t="shared" ca="1" si="109"/>
        <v/>
      </c>
      <c r="AK150" s="700" t="str">
        <f t="shared" si="110"/>
        <v/>
      </c>
      <c r="AL150" s="700"/>
      <c r="AM150" s="505" t="str">
        <f t="shared" si="111"/>
        <v/>
      </c>
      <c r="AN150" s="506"/>
      <c r="AO150" s="507"/>
      <c r="AP150" s="507"/>
      <c r="AQ150" s="507"/>
      <c r="AR150" s="507"/>
      <c r="AS150" s="507"/>
      <c r="AT150" s="507"/>
      <c r="AU150" s="507"/>
      <c r="AV150" s="225"/>
      <c r="AW150" s="508"/>
      <c r="AX150" s="225"/>
      <c r="AY150" s="225"/>
      <c r="AZ150" s="225"/>
      <c r="BA150" s="225"/>
      <c r="BB150" s="225"/>
      <c r="BC150" s="56"/>
      <c r="BD150" s="56"/>
      <c r="BE150" s="56"/>
      <c r="BF150" s="107" t="str">
        <f t="shared" si="112"/>
        <v>https://www.google.com/search?tbm=isch&amp;q=moist%20sites%F0%9F%92%A7OK%2C%20August%20Moon%20Hosta%20has%20deeply%20ribbed%2C%20Chartreuse%20leaves%20that%20gradually%20brighten%20to%20a%20Golden-Yellow%20</v>
      </c>
      <c r="BG150" s="107" t="str">
        <f t="shared" si="113"/>
        <v>m</v>
      </c>
      <c r="BH150" s="254"/>
      <c r="BI150" s="254"/>
    </row>
    <row r="151" spans="1:61" customFormat="1" ht="18" x14ac:dyDescent="0.25">
      <c r="A151" s="523" t="s">
        <v>618</v>
      </c>
      <c r="B151" s="235"/>
      <c r="C151" s="676"/>
      <c r="D151" s="255" t="s">
        <v>617</v>
      </c>
      <c r="E151" s="236"/>
      <c r="F151" s="236"/>
      <c r="G151" s="236"/>
      <c r="H151" s="582" t="s">
        <v>4237</v>
      </c>
      <c r="I151" s="498" t="s">
        <v>4045</v>
      </c>
      <c r="J151" s="237"/>
      <c r="K151" s="237"/>
      <c r="L151" s="274"/>
      <c r="M151" s="668" t="s">
        <v>4962</v>
      </c>
      <c r="N151" s="681" t="str">
        <f>IF(AND(ISTEXT($A151), ISERROR($A151+0)), HYPERLINK($BF151, "Images"), "")</f>
        <v>Images</v>
      </c>
      <c r="O151" s="663" t="s">
        <v>4967</v>
      </c>
      <c r="P151" s="253"/>
      <c r="Q151" s="238"/>
      <c r="R151" s="239"/>
      <c r="S151" s="275"/>
      <c r="T151" s="508">
        <f t="shared" si="101"/>
        <v>0</v>
      </c>
      <c r="U151" s="225" t="str">
        <f>IF(NOT(ISNUMBER(G151)), "", VLOOKUP(A151,'Discount Lookup'!D:E,2,FALSE)*G151)</f>
        <v/>
      </c>
      <c r="V151" s="225" t="str">
        <f>IF(NOT(ISNUMBER(G151)), "", VLOOKUP(A151,'Discount Lookup'!G:H,2,FALSE)*G151)</f>
        <v/>
      </c>
      <c r="W151" s="508">
        <f t="shared" si="102"/>
        <v>0</v>
      </c>
      <c r="X151" s="508" t="str">
        <f t="shared" si="103"/>
        <v>Scarlet-Red bloom</v>
      </c>
      <c r="Y151" s="509" t="b">
        <f t="shared" si="104"/>
        <v>0</v>
      </c>
      <c r="Z151" s="510">
        <f t="shared" si="105"/>
        <v>0</v>
      </c>
      <c r="AA151" s="511"/>
      <c r="AB151" s="511" t="str">
        <f t="shared" si="106"/>
        <v/>
      </c>
      <c r="AC151" s="698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698"/>
      <c r="AE151" s="631" t="str">
        <f t="shared" si="107"/>
        <v/>
      </c>
      <c r="AF151" s="699" t="str">
        <f t="shared" si="108"/>
        <v/>
      </c>
      <c r="AG151" s="699"/>
      <c r="AH151" s="699"/>
      <c r="AI151" s="512">
        <f>IF(H151="credit",0,IF(AE151="free",0,IF(AE151="me",0,IF(G151&gt;0,(VLOOKUP(A151,'Discount Lookup'!J:K,2)*G151),0))))</f>
        <v>0</v>
      </c>
      <c r="AJ151" s="513" t="str">
        <f t="shared" ca="1" si="109"/>
        <v/>
      </c>
      <c r="AK151" s="700" t="str">
        <f t="shared" si="110"/>
        <v/>
      </c>
      <c r="AL151" s="700"/>
      <c r="AM151" s="505" t="str">
        <f t="shared" si="111"/>
        <v/>
      </c>
      <c r="AN151" s="506"/>
      <c r="AO151" s="507"/>
      <c r="AP151" s="507"/>
      <c r="AQ151" s="507"/>
      <c r="AR151" s="507"/>
      <c r="AS151" s="507"/>
      <c r="AT151" s="507"/>
      <c r="AU151" s="507"/>
      <c r="AV151" s="225"/>
      <c r="AW151" s="508"/>
      <c r="AX151" s="225"/>
      <c r="AY151" s="225"/>
      <c r="AZ151" s="225"/>
      <c r="BA151" s="225"/>
      <c r="BB151" s="225"/>
      <c r="BC151" s="56"/>
      <c r="BD151" s="56"/>
      <c r="BE151" s="56"/>
      <c r="BF151" s="107" t="str">
        <f t="shared" si="112"/>
        <v>https://www.google.com/search?tbm=isch&amp;q=Australia%20Canna%20Lily%20Canna%20x%20generalis%20%27Australia%27</v>
      </c>
      <c r="BG151" s="107" t="str">
        <f t="shared" si="113"/>
        <v>A</v>
      </c>
      <c r="BH151" s="254"/>
      <c r="BI151" s="254"/>
    </row>
    <row r="152" spans="1:61" customFormat="1" ht="15.75" x14ac:dyDescent="0.25">
      <c r="A152" s="276">
        <v>3</v>
      </c>
      <c r="B152" s="240" t="s">
        <v>291</v>
      </c>
      <c r="C152" s="241" t="s">
        <v>4730</v>
      </c>
      <c r="D152" s="242" t="s">
        <v>292</v>
      </c>
      <c r="E152" s="243">
        <v>31.95</v>
      </c>
      <c r="F152" s="517" t="s">
        <v>293</v>
      </c>
      <c r="G152" s="232">
        <v>0</v>
      </c>
      <c r="H152" s="661" t="str">
        <f>IF(G152=0,"",IF(F152="Buy",IF(G152=1,"plant","plants"),IF(F152&gt;0.01,"warranty","Error")))</f>
        <v/>
      </c>
      <c r="I152" s="244">
        <f>IF(H152="free",0,IF(H152="credit",((E152*(F152))*G152*-1),IF(F152="Buy",(E152*G152),((E152*(1-F152))*G152))))</f>
        <v>0</v>
      </c>
      <c r="J152" s="244">
        <f>IF(H152="warranty",0,(I152*(_xlfn.SINGLE(SalesTaxPercentage))))</f>
        <v>0</v>
      </c>
      <c r="K152" s="696">
        <f t="shared" ref="K152" si="119">I152+J152</f>
        <v>0</v>
      </c>
      <c r="L152" s="696"/>
      <c r="M152" s="659" t="str">
        <f>IF(AND(G152&gt;0,E152=0),"WARNING - no PRICE inserted",IF(H152="free"," FREE ~ no charge this plant",IF(H152="credit",CONCATENATE(" -$",ROUND(K152*(1-T2GDiscount)*-1,2)," CREDIT after discount"),IF(T2GDiscount=0,"",IF(G152=0,"",IF(F152="Buy",CONCATENATE(" $",ROUND(K152*(1-T2GDiscount),2)," with ",(T2GDiscount*100),"% discount"),CONCATENATE(" $",ROUND(K152*(1-T2GDiscount),2)," with ",((T2GDiscount*100+F152*100)-(T2GDiscount*100*F152)),IF(F152&gt;0,"% discounts",IF(NoWarrantyDiscount&gt;0,"% discounts","% discount")))))))))</f>
        <v/>
      </c>
      <c r="N152" s="660"/>
      <c r="O152" s="233"/>
      <c r="P152" s="233"/>
      <c r="Q152" s="233"/>
      <c r="R152" s="233"/>
      <c r="S152" s="233"/>
      <c r="T152" s="508">
        <f t="shared" si="101"/>
        <v>0</v>
      </c>
      <c r="U152" s="225">
        <f>IF(NOT(ISNUMBER(G152)), "", VLOOKUP(A152,'Discount Lookup'!D:E,2,FALSE)*G152)</f>
        <v>0</v>
      </c>
      <c r="V152" s="225">
        <f>IF(NOT(ISNUMBER(G152)), "", VLOOKUP(A152,'Discount Lookup'!G:H,2,FALSE)*G152)</f>
        <v>0</v>
      </c>
      <c r="W152" s="508">
        <f t="shared" si="102"/>
        <v>0</v>
      </c>
      <c r="X152" s="508">
        <f t="shared" si="103"/>
        <v>0</v>
      </c>
      <c r="Y152" s="509" t="b">
        <f t="shared" si="104"/>
        <v>0</v>
      </c>
      <c r="Z152" s="510">
        <f t="shared" si="105"/>
        <v>0</v>
      </c>
      <c r="AA152" s="511"/>
      <c r="AB152" s="511" t="str">
        <f t="shared" si="106"/>
        <v/>
      </c>
      <c r="AC152" s="698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698"/>
      <c r="AE152" s="631" t="str">
        <f t="shared" si="107"/>
        <v/>
      </c>
      <c r="AF152" s="699" t="str">
        <f t="shared" si="108"/>
        <v/>
      </c>
      <c r="AG152" s="699"/>
      <c r="AH152" s="699"/>
      <c r="AI152" s="512">
        <f>IF(H152="credit",0,IF(AE152="free",0,IF(AE152="me",0,IF(G152&gt;0,(VLOOKUP(A152,'Discount Lookup'!J:K,2)*G152),0))))</f>
        <v>0</v>
      </c>
      <c r="AJ152" s="513" t="str">
        <f t="shared" ca="1" si="109"/>
        <v/>
      </c>
      <c r="AK152" s="700" t="str">
        <f t="shared" si="110"/>
        <v/>
      </c>
      <c r="AL152" s="700"/>
      <c r="AM152" s="505" t="str">
        <f t="shared" si="111"/>
        <v/>
      </c>
      <c r="AN152" s="506"/>
      <c r="AO152" s="507"/>
      <c r="AP152" s="507"/>
      <c r="AQ152" s="507"/>
      <c r="AR152" s="507"/>
      <c r="AS152" s="507"/>
      <c r="AT152" s="507"/>
      <c r="AU152" s="507"/>
      <c r="AV152" s="225"/>
      <c r="AW152" s="508"/>
      <c r="AX152" s="225"/>
      <c r="AY152" s="225"/>
      <c r="AZ152" s="225"/>
      <c r="BA152" s="225"/>
      <c r="BB152" s="225"/>
      <c r="BC152" s="56"/>
      <c r="BD152" s="56"/>
      <c r="BE152" s="56"/>
      <c r="BF152" s="107" t="str">
        <f t="shared" si="112"/>
        <v>https://www.google.com/search?tbm=isch&amp;q=3%20G4</v>
      </c>
      <c r="BG152" s="107" t="str">
        <f t="shared" si="113"/>
        <v>A</v>
      </c>
      <c r="BH152" s="254"/>
      <c r="BI152" s="254"/>
    </row>
    <row r="153" spans="1:61" customFormat="1" ht="17.25" thickBot="1" x14ac:dyDescent="0.3">
      <c r="A153" s="673" t="s">
        <v>5043</v>
      </c>
      <c r="B153" s="245"/>
      <c r="C153" s="677"/>
      <c r="D153" s="499"/>
      <c r="E153" s="499"/>
      <c r="F153" s="500"/>
      <c r="G153" s="501"/>
      <c r="H153" s="502"/>
      <c r="I153" s="246"/>
      <c r="J153" s="247"/>
      <c r="K153" s="503"/>
      <c r="L153" s="544"/>
      <c r="M153" s="544"/>
      <c r="N153" s="500"/>
      <c r="O153" s="500"/>
      <c r="P153" s="500"/>
      <c r="Q153" s="500"/>
      <c r="R153" s="500"/>
      <c r="S153" s="669" t="s">
        <v>4976</v>
      </c>
      <c r="T153" s="508">
        <f t="shared" si="101"/>
        <v>0</v>
      </c>
      <c r="U153" s="225" t="str">
        <f>IF(NOT(ISNUMBER(G153)), "", VLOOKUP(A153,'Discount Lookup'!D:E,2,FALSE)*G153)</f>
        <v/>
      </c>
      <c r="V153" s="225" t="str">
        <f>IF(NOT(ISNUMBER(G153)), "", VLOOKUP(A153,'Discount Lookup'!G:H,2,FALSE)*G153)</f>
        <v/>
      </c>
      <c r="W153" s="508">
        <f t="shared" si="102"/>
        <v>0</v>
      </c>
      <c r="X153" s="508">
        <f t="shared" si="103"/>
        <v>0</v>
      </c>
      <c r="Y153" s="509" t="b">
        <f t="shared" si="104"/>
        <v>0</v>
      </c>
      <c r="Z153" s="510">
        <f t="shared" si="105"/>
        <v>0</v>
      </c>
      <c r="AA153" s="511"/>
      <c r="AB153" s="511" t="str">
        <f t="shared" si="106"/>
        <v/>
      </c>
      <c r="AC153" s="698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698"/>
      <c r="AE153" s="631" t="str">
        <f t="shared" si="107"/>
        <v/>
      </c>
      <c r="AF153" s="699" t="str">
        <f t="shared" si="108"/>
        <v/>
      </c>
      <c r="AG153" s="699"/>
      <c r="AH153" s="699"/>
      <c r="AI153" s="512">
        <f>IF(H153="credit",0,IF(AE153="free",0,IF(AE153="me",0,IF(G153&gt;0,(VLOOKUP(A153,'Discount Lookup'!J:K,2)*G153),0))))</f>
        <v>0</v>
      </c>
      <c r="AJ153" s="513" t="str">
        <f t="shared" ca="1" si="109"/>
        <v/>
      </c>
      <c r="AK153" s="700" t="str">
        <f t="shared" si="110"/>
        <v/>
      </c>
      <c r="AL153" s="700"/>
      <c r="AM153" s="505" t="str">
        <f t="shared" si="111"/>
        <v/>
      </c>
      <c r="AN153" s="506"/>
      <c r="AO153" s="507"/>
      <c r="AP153" s="507"/>
      <c r="AQ153" s="507"/>
      <c r="AR153" s="507"/>
      <c r="AS153" s="507"/>
      <c r="AT153" s="507"/>
      <c r="AU153" s="507"/>
      <c r="AV153" s="225"/>
      <c r="AW153" s="508"/>
      <c r="AX153" s="225"/>
      <c r="AY153" s="225"/>
      <c r="AZ153" s="225"/>
      <c r="BA153" s="225"/>
      <c r="BB153" s="225"/>
      <c r="BC153" s="56"/>
      <c r="BD153" s="56"/>
      <c r="BE153" s="56"/>
      <c r="BF153" s="107" t="str">
        <f t="shared" si="112"/>
        <v>https://www.google.com/search?tbm=isch&amp;q=moist%20sites%F0%9F%92%A7GOOD%2C%20Australiais%20known%20for%20its%20dramatic%2C%20large%2C%20deep%20Purplish-Black%20leaves%20and%20brilliant%20flowers%2C%20giving%20tropical%20feel%20</v>
      </c>
      <c r="BG153" s="107" t="str">
        <f t="shared" si="113"/>
        <v>m</v>
      </c>
      <c r="BH153" s="254"/>
      <c r="BI153" s="254"/>
    </row>
    <row r="154" spans="1:61" customFormat="1" ht="18" x14ac:dyDescent="0.25">
      <c r="A154" s="523" t="s">
        <v>396</v>
      </c>
      <c r="B154" s="235"/>
      <c r="C154" s="676"/>
      <c r="D154" s="255" t="s">
        <v>395</v>
      </c>
      <c r="E154" s="236"/>
      <c r="F154" s="236"/>
      <c r="G154" s="236"/>
      <c r="H154" s="582" t="s">
        <v>355</v>
      </c>
      <c r="I154" s="498" t="s">
        <v>657</v>
      </c>
      <c r="J154" s="237"/>
      <c r="K154" s="237"/>
      <c r="L154" s="274"/>
      <c r="M154" s="668" t="s">
        <v>4962</v>
      </c>
      <c r="N154" s="681" t="str">
        <f>IF(AND(ISTEXT($A154), ISERROR($A154+0)), HYPERLINK($BF154, "Images"), "")</f>
        <v>Images</v>
      </c>
      <c r="O154" s="663" t="s">
        <v>4967</v>
      </c>
      <c r="P154" s="253"/>
      <c r="Q154" s="238"/>
      <c r="R154" s="239"/>
      <c r="S154" s="275"/>
      <c r="T154" s="508">
        <f t="shared" si="101"/>
        <v>0</v>
      </c>
      <c r="U154" s="225" t="str">
        <f>IF(NOT(ISNUMBER(G154)), "", VLOOKUP(A154,'Discount Lookup'!D:E,2,FALSE)*G154)</f>
        <v/>
      </c>
      <c r="V154" s="225" t="str">
        <f>IF(NOT(ISNUMBER(G154)), "", VLOOKUP(A154,'Discount Lookup'!G:H,2,FALSE)*G154)</f>
        <v/>
      </c>
      <c r="W154" s="508">
        <f t="shared" si="102"/>
        <v>0</v>
      </c>
      <c r="X154" s="508" t="str">
        <f t="shared" si="103"/>
        <v>Purple bloom</v>
      </c>
      <c r="Y154" s="509" t="b">
        <f t="shared" si="104"/>
        <v>0</v>
      </c>
      <c r="Z154" s="510">
        <f t="shared" si="105"/>
        <v>0</v>
      </c>
      <c r="AA154" s="511"/>
      <c r="AB154" s="511" t="str">
        <f t="shared" si="106"/>
        <v/>
      </c>
      <c r="AC154" s="698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698"/>
      <c r="AE154" s="631" t="str">
        <f t="shared" si="107"/>
        <v/>
      </c>
      <c r="AF154" s="699" t="str">
        <f t="shared" si="108"/>
        <v/>
      </c>
      <c r="AG154" s="699"/>
      <c r="AH154" s="699"/>
      <c r="AI154" s="512">
        <f>IF(H154="credit",0,IF(AE154="free",0,IF(AE154="me",0,IF(G154&gt;0,(VLOOKUP(A154,'Discount Lookup'!J:K,2)*G154),0))))</f>
        <v>0</v>
      </c>
      <c r="AJ154" s="513" t="str">
        <f t="shared" ca="1" si="109"/>
        <v/>
      </c>
      <c r="AK154" s="700" t="str">
        <f t="shared" si="110"/>
        <v/>
      </c>
      <c r="AL154" s="700"/>
      <c r="AM154" s="505" t="str">
        <f t="shared" si="111"/>
        <v/>
      </c>
      <c r="AN154" s="506"/>
      <c r="AO154" s="507"/>
      <c r="AP154" s="507"/>
      <c r="AQ154" s="507"/>
      <c r="AR154" s="507"/>
      <c r="AS154" s="507"/>
      <c r="AT154" s="507"/>
      <c r="AU154" s="507"/>
      <c r="AV154" s="225"/>
      <c r="AW154" s="508"/>
      <c r="AX154" s="225"/>
      <c r="AY154" s="225"/>
      <c r="AZ154" s="225"/>
      <c r="BA154" s="225"/>
      <c r="BB154" s="225"/>
      <c r="BC154" s="56"/>
      <c r="BD154" s="56"/>
      <c r="BE154" s="56"/>
      <c r="BF154" s="107" t="str">
        <f t="shared" si="112"/>
        <v>https://www.google.com/search?tbm=isch&amp;q=Autaugaville%20Purple%20Crape%20Myrtle%20Lagerstroemia%20%27Autaugaville%20Purple%27</v>
      </c>
      <c r="BG154" s="107" t="str">
        <f t="shared" si="113"/>
        <v>A</v>
      </c>
      <c r="BH154" s="254"/>
      <c r="BI154" s="254"/>
    </row>
    <row r="155" spans="1:61" customFormat="1" ht="27" x14ac:dyDescent="0.25">
      <c r="A155" s="276">
        <v>15</v>
      </c>
      <c r="B155" s="240" t="s">
        <v>291</v>
      </c>
      <c r="C155" s="241" t="s">
        <v>3313</v>
      </c>
      <c r="D155" s="242" t="s">
        <v>292</v>
      </c>
      <c r="E155" s="243">
        <v>164.95</v>
      </c>
      <c r="F155" s="517" t="s">
        <v>293</v>
      </c>
      <c r="G155" s="232">
        <v>0</v>
      </c>
      <c r="H155" s="661" t="str">
        <f>IF(G155=0,"",IF(F155="Buy",IF(G155=1,"plant","plants"),IF(F155&gt;0.01,"warranty","Error")))</f>
        <v/>
      </c>
      <c r="I155" s="244">
        <f>IF(H155="free",0,IF(H155="credit",((E155*(F155))*G155*-1),IF(F155="Buy",(E155*G155),((E155*(1-F155))*G155))))</f>
        <v>0</v>
      </c>
      <c r="J155" s="244">
        <f>IF(H155="warranty",0,(I155*(_xlfn.SINGLE(SalesTaxPercentage))))</f>
        <v>0</v>
      </c>
      <c r="K155" s="696">
        <f t="shared" ref="K155" si="120">I155+J155</f>
        <v>0</v>
      </c>
      <c r="L155" s="696"/>
      <c r="M155" s="659" t="str">
        <f>IF(AND(G155&gt;0,E155=0),"WARNING - no PRICE inserted",IF(H155="free"," FREE ~ no charge this plant",IF(H155="credit",CONCATENATE(" -$",ROUND(K155*(1-T2GDiscount)*-1,2)," CREDIT after discount"),IF(T2GDiscount=0,"",IF(G155=0,"",IF(F155="Buy",CONCATENATE(" $",ROUND(K155*(1-T2GDiscount),2)," with ",(T2GDiscount*100),"% discount"),CONCATENATE(" $",ROUND(K155*(1-T2GDiscount),2)," with ",((T2GDiscount*100+F155*100)-(T2GDiscount*100*F155)),IF(F155&gt;0,"% discounts",IF(NoWarrantyDiscount&gt;0,"% discounts","% discount")))))))))</f>
        <v/>
      </c>
      <c r="N155" s="660"/>
      <c r="O155" s="233"/>
      <c r="P155" s="233"/>
      <c r="Q155" s="233"/>
      <c r="R155" s="233"/>
      <c r="S155" s="233"/>
      <c r="T155" s="508">
        <f t="shared" si="101"/>
        <v>0</v>
      </c>
      <c r="U155" s="225">
        <f>IF(NOT(ISNUMBER(G155)), "", VLOOKUP(A155,'Discount Lookup'!D:E,2,FALSE)*G155)</f>
        <v>0</v>
      </c>
      <c r="V155" s="225">
        <f>IF(NOT(ISNUMBER(G155)), "", VLOOKUP(A155,'Discount Lookup'!G:H,2,FALSE)*G155)</f>
        <v>0</v>
      </c>
      <c r="W155" s="508">
        <f t="shared" si="102"/>
        <v>0</v>
      </c>
      <c r="X155" s="508">
        <f t="shared" si="103"/>
        <v>0</v>
      </c>
      <c r="Y155" s="509" t="b">
        <f t="shared" si="104"/>
        <v>0</v>
      </c>
      <c r="Z155" s="510">
        <f t="shared" si="105"/>
        <v>0</v>
      </c>
      <c r="AA155" s="511"/>
      <c r="AB155" s="511" t="str">
        <f t="shared" si="106"/>
        <v/>
      </c>
      <c r="AC155" s="698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698"/>
      <c r="AE155" s="631" t="str">
        <f t="shared" si="107"/>
        <v/>
      </c>
      <c r="AF155" s="699" t="str">
        <f t="shared" si="108"/>
        <v/>
      </c>
      <c r="AG155" s="699"/>
      <c r="AH155" s="699"/>
      <c r="AI155" s="512">
        <f>IF(H155="credit",0,IF(AE155="free",0,IF(AE155="me",0,IF(G155&gt;0,(VLOOKUP(A155,'Discount Lookup'!J:K,2)*G155),0))))</f>
        <v>0</v>
      </c>
      <c r="AJ155" s="513" t="str">
        <f t="shared" ca="1" si="109"/>
        <v/>
      </c>
      <c r="AK155" s="700" t="str">
        <f t="shared" si="110"/>
        <v/>
      </c>
      <c r="AL155" s="700"/>
      <c r="AM155" s="505" t="str">
        <f t="shared" si="111"/>
        <v/>
      </c>
      <c r="AN155" s="506"/>
      <c r="AO155" s="507"/>
      <c r="AP155" s="507"/>
      <c r="AQ155" s="507"/>
      <c r="AR155" s="507"/>
      <c r="AS155" s="507"/>
      <c r="AT155" s="507"/>
      <c r="AU155" s="507"/>
      <c r="AV155" s="225"/>
      <c r="AW155" s="508"/>
      <c r="AX155" s="225"/>
      <c r="AY155" s="225"/>
      <c r="AZ155" s="225"/>
      <c r="BA155" s="225"/>
      <c r="BB155" s="225"/>
      <c r="BC155" s="56"/>
      <c r="BD155" s="56"/>
      <c r="BE155" s="56"/>
      <c r="BF155" s="107" t="str">
        <f t="shared" si="112"/>
        <v>https://www.google.com/search?tbm=isch&amp;q=15%20G4</v>
      </c>
      <c r="BG155" s="107" t="str">
        <f t="shared" si="113"/>
        <v>A</v>
      </c>
      <c r="BH155" s="254"/>
      <c r="BI155" s="254"/>
    </row>
    <row r="156" spans="1:61" customFormat="1" ht="15.75" x14ac:dyDescent="0.25">
      <c r="A156" s="276">
        <v>15</v>
      </c>
      <c r="B156" s="240" t="s">
        <v>291</v>
      </c>
      <c r="C156" s="241" t="s">
        <v>4731</v>
      </c>
      <c r="D156" s="242" t="s">
        <v>292</v>
      </c>
      <c r="E156" s="243">
        <v>178.95</v>
      </c>
      <c r="F156" s="517" t="s">
        <v>293</v>
      </c>
      <c r="G156" s="232">
        <v>0</v>
      </c>
      <c r="H156" s="661" t="str">
        <f>IF(G156=0,"",IF(F156="Buy",IF(G156=1,"plant","plants"),IF(F156&gt;0.01,"warranty","Error")))</f>
        <v/>
      </c>
      <c r="I156" s="244">
        <f>IF(H156="free",0,IF(H156="credit",((E156*(F156))*G156*-1),IF(F156="Buy",(E156*G156),((E156*(1-F156))*G156))))</f>
        <v>0</v>
      </c>
      <c r="J156" s="244">
        <f>IF(H156="warranty",0,(I156*(_xlfn.SINGLE(SalesTaxPercentage))))</f>
        <v>0</v>
      </c>
      <c r="K156" s="696">
        <f t="shared" ref="K156" si="121">I156+J156</f>
        <v>0</v>
      </c>
      <c r="L156" s="696"/>
      <c r="M156" s="659" t="str">
        <f>IF(AND(G156&gt;0,E156=0),"WARNING - no PRICE inserted",IF(H156="free"," FREE ~ no charge this plant",IF(H156="credit",CONCATENATE(" -$",ROUND(K156*(1-T2GDiscount)*-1,2)," CREDIT after discount"),IF(T2GDiscount=0,"",IF(G156=0,"",IF(F156="Buy",CONCATENATE(" $",ROUND(K156*(1-T2GDiscount),2)," with ",(T2GDiscount*100),"% discount"),CONCATENATE(" $",ROUND(K156*(1-T2GDiscount),2)," with ",((T2GDiscount*100+F156*100)-(T2GDiscount*100*F156)),IF(F156&gt;0,"% discounts",IF(NoWarrantyDiscount&gt;0,"% discounts","% discount")))))))))</f>
        <v/>
      </c>
      <c r="N156" s="660"/>
      <c r="O156" s="233"/>
      <c r="P156" s="233"/>
      <c r="Q156" s="233"/>
      <c r="R156" s="233"/>
      <c r="S156" s="233"/>
      <c r="T156" s="508">
        <f t="shared" si="101"/>
        <v>0</v>
      </c>
      <c r="U156" s="225">
        <f>IF(NOT(ISNUMBER(G156)), "", VLOOKUP(A156,'Discount Lookup'!D:E,2,FALSE)*G156)</f>
        <v>0</v>
      </c>
      <c r="V156" s="225">
        <f>IF(NOT(ISNUMBER(G156)), "", VLOOKUP(A156,'Discount Lookup'!G:H,2,FALSE)*G156)</f>
        <v>0</v>
      </c>
      <c r="W156" s="508">
        <f t="shared" si="102"/>
        <v>0</v>
      </c>
      <c r="X156" s="508">
        <f t="shared" si="103"/>
        <v>0</v>
      </c>
      <c r="Y156" s="509" t="b">
        <f t="shared" si="104"/>
        <v>0</v>
      </c>
      <c r="Z156" s="510">
        <f t="shared" si="105"/>
        <v>0</v>
      </c>
      <c r="AA156" s="511"/>
      <c r="AB156" s="511" t="str">
        <f t="shared" si="106"/>
        <v/>
      </c>
      <c r="AC156" s="698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698"/>
      <c r="AE156" s="631" t="str">
        <f t="shared" si="107"/>
        <v/>
      </c>
      <c r="AF156" s="699" t="str">
        <f t="shared" si="108"/>
        <v/>
      </c>
      <c r="AG156" s="699"/>
      <c r="AH156" s="699"/>
      <c r="AI156" s="512">
        <f>IF(H156="credit",0,IF(AE156="free",0,IF(AE156="me",0,IF(G156&gt;0,(VLOOKUP(A156,'Discount Lookup'!J:K,2)*G156),0))))</f>
        <v>0</v>
      </c>
      <c r="AJ156" s="513" t="str">
        <f t="shared" ca="1" si="109"/>
        <v/>
      </c>
      <c r="AK156" s="700" t="str">
        <f t="shared" si="110"/>
        <v/>
      </c>
      <c r="AL156" s="700"/>
      <c r="AM156" s="505" t="str">
        <f t="shared" si="111"/>
        <v/>
      </c>
      <c r="AN156" s="506"/>
      <c r="AO156" s="507"/>
      <c r="AP156" s="507"/>
      <c r="AQ156" s="507"/>
      <c r="AR156" s="507"/>
      <c r="AS156" s="507"/>
      <c r="AT156" s="507"/>
      <c r="AU156" s="507"/>
      <c r="AV156" s="225"/>
      <c r="AW156" s="508"/>
      <c r="AX156" s="225"/>
      <c r="AY156" s="225"/>
      <c r="AZ156" s="225"/>
      <c r="BA156" s="225"/>
      <c r="BB156" s="225"/>
      <c r="BC156" s="56"/>
      <c r="BD156" s="56"/>
      <c r="BE156" s="56"/>
      <c r="BF156" s="107" t="str">
        <f t="shared" si="112"/>
        <v>https://www.google.com/search?tbm=isch&amp;q=15%20G4</v>
      </c>
      <c r="BG156" s="107" t="str">
        <f t="shared" si="113"/>
        <v>A</v>
      </c>
      <c r="BH156" s="254"/>
      <c r="BI156" s="254"/>
    </row>
    <row r="157" spans="1:61" customFormat="1" ht="15.75" x14ac:dyDescent="0.25">
      <c r="A157" s="276">
        <v>25</v>
      </c>
      <c r="B157" s="240" t="s">
        <v>291</v>
      </c>
      <c r="C157" s="241" t="s">
        <v>4656</v>
      </c>
      <c r="D157" s="242" t="s">
        <v>300</v>
      </c>
      <c r="E157" s="243">
        <v>359.95</v>
      </c>
      <c r="F157" s="517" t="s">
        <v>293</v>
      </c>
      <c r="G157" s="232">
        <v>0</v>
      </c>
      <c r="H157" s="661" t="str">
        <f>IF(G157=0,"",IF(F157="Buy",IF(G157=1,"plant","plants"),IF(F157&gt;0.01,"warranty","Error")))</f>
        <v/>
      </c>
      <c r="I157" s="244">
        <f>IF(H157="free",0,IF(H157="credit",((E157*(F157))*G157*-1),IF(F157="Buy",(E157*G157),((E157*(1-F157))*G157))))</f>
        <v>0</v>
      </c>
      <c r="J157" s="244">
        <f>IF(H157="warranty",0,(I157*(_xlfn.SINGLE(SalesTaxPercentage))))</f>
        <v>0</v>
      </c>
      <c r="K157" s="696">
        <f t="shared" ref="K157" si="122">I157+J157</f>
        <v>0</v>
      </c>
      <c r="L157" s="696"/>
      <c r="M157" s="659" t="str">
        <f>IF(AND(G157&gt;0,E157=0),"WARNING - no PRICE inserted",IF(H157="free"," FREE ~ no charge this plant",IF(H157="credit",CONCATENATE(" -$",ROUND(K157*(1-T2GDiscount)*-1,2)," CREDIT after discount"),IF(T2GDiscount=0,"",IF(G157=0,"",IF(F157="Buy",CONCATENATE(" $",ROUND(K157*(1-T2GDiscount),2)," with ",(T2GDiscount*100),"% discount"),CONCATENATE(" $",ROUND(K157*(1-T2GDiscount),2)," with ",((T2GDiscount*100+F157*100)-(T2GDiscount*100*F157)),IF(F157&gt;0,"% discounts",IF(NoWarrantyDiscount&gt;0,"% discounts","% discount")))))))))</f>
        <v/>
      </c>
      <c r="N157" s="660"/>
      <c r="O157" s="233"/>
      <c r="P157" s="233"/>
      <c r="Q157" s="233"/>
      <c r="R157" s="233"/>
      <c r="S157" s="233"/>
      <c r="T157" s="508">
        <f t="shared" si="101"/>
        <v>0</v>
      </c>
      <c r="U157" s="225">
        <f>IF(NOT(ISNUMBER(G157)), "", VLOOKUP(A157,'Discount Lookup'!D:E,2,FALSE)*G157)</f>
        <v>0</v>
      </c>
      <c r="V157" s="225">
        <f>IF(NOT(ISNUMBER(G157)), "", VLOOKUP(A157,'Discount Lookup'!G:H,2,FALSE)*G157)</f>
        <v>0</v>
      </c>
      <c r="W157" s="508">
        <f t="shared" si="102"/>
        <v>0</v>
      </c>
      <c r="X157" s="508">
        <f t="shared" si="103"/>
        <v>0</v>
      </c>
      <c r="Y157" s="509" t="b">
        <f t="shared" si="104"/>
        <v>0</v>
      </c>
      <c r="Z157" s="510">
        <f t="shared" si="105"/>
        <v>0</v>
      </c>
      <c r="AA157" s="511"/>
      <c r="AB157" s="511" t="str">
        <f t="shared" si="106"/>
        <v/>
      </c>
      <c r="AC157" s="698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698"/>
      <c r="AE157" s="631" t="str">
        <f t="shared" si="107"/>
        <v/>
      </c>
      <c r="AF157" s="699" t="str">
        <f t="shared" si="108"/>
        <v/>
      </c>
      <c r="AG157" s="699"/>
      <c r="AH157" s="699"/>
      <c r="AI157" s="512">
        <f>IF(H157="credit",0,IF(AE157="free",0,IF(AE157="me",0,IF(G157&gt;0,(VLOOKUP(A157,'Discount Lookup'!J:K,2)*G157),0))))</f>
        <v>0</v>
      </c>
      <c r="AJ157" s="513" t="str">
        <f t="shared" ca="1" si="109"/>
        <v/>
      </c>
      <c r="AK157" s="700" t="str">
        <f t="shared" si="110"/>
        <v/>
      </c>
      <c r="AL157" s="700"/>
      <c r="AM157" s="505" t="str">
        <f t="shared" si="111"/>
        <v/>
      </c>
      <c r="AN157" s="506"/>
      <c r="AO157" s="507"/>
      <c r="AP157" s="507"/>
      <c r="AQ157" s="507"/>
      <c r="AR157" s="507"/>
      <c r="AS157" s="507"/>
      <c r="AT157" s="507"/>
      <c r="AU157" s="507"/>
      <c r="AV157" s="225"/>
      <c r="AW157" s="508"/>
      <c r="AX157" s="225"/>
      <c r="AY157" s="225"/>
      <c r="AZ157" s="225"/>
      <c r="BA157" s="225"/>
      <c r="BB157" s="225"/>
      <c r="BC157" s="56"/>
      <c r="BD157" s="56"/>
      <c r="BE157" s="56"/>
      <c r="BF157" s="107" t="str">
        <f t="shared" si="112"/>
        <v>https://www.google.com/search?tbm=isch&amp;q=25%20G6</v>
      </c>
      <c r="BG157" s="107" t="str">
        <f t="shared" si="113"/>
        <v>A</v>
      </c>
      <c r="BH157" s="254"/>
      <c r="BI157" s="254"/>
    </row>
    <row r="158" spans="1:61" customFormat="1" ht="17.25" thickBot="1" x14ac:dyDescent="0.3">
      <c r="A158" s="524" t="s">
        <v>2329</v>
      </c>
      <c r="B158" s="245"/>
      <c r="C158" s="677"/>
      <c r="D158" s="499"/>
      <c r="E158" s="499"/>
      <c r="F158" s="500"/>
      <c r="G158" s="501"/>
      <c r="H158" s="502"/>
      <c r="I158" s="246"/>
      <c r="J158" s="247"/>
      <c r="K158" s="503"/>
      <c r="L158" s="544"/>
      <c r="M158" s="544"/>
      <c r="N158" s="500"/>
      <c r="O158" s="500"/>
      <c r="P158" s="500"/>
      <c r="Q158" s="500"/>
      <c r="R158" s="500"/>
      <c r="S158" s="278"/>
      <c r="T158" s="508">
        <f t="shared" si="101"/>
        <v>0</v>
      </c>
      <c r="U158" s="225" t="str">
        <f>IF(NOT(ISNUMBER(G158)), "", VLOOKUP(A158,'Discount Lookup'!D:E,2,FALSE)*G158)</f>
        <v/>
      </c>
      <c r="V158" s="225" t="str">
        <f>IF(NOT(ISNUMBER(G158)), "", VLOOKUP(A158,'Discount Lookup'!G:H,2,FALSE)*G158)</f>
        <v/>
      </c>
      <c r="W158" s="508">
        <f t="shared" si="102"/>
        <v>0</v>
      </c>
      <c r="X158" s="508">
        <f t="shared" si="103"/>
        <v>0</v>
      </c>
      <c r="Y158" s="509" t="b">
        <f t="shared" si="104"/>
        <v>0</v>
      </c>
      <c r="Z158" s="510">
        <f t="shared" si="105"/>
        <v>0</v>
      </c>
      <c r="AA158" s="511"/>
      <c r="AB158" s="511" t="str">
        <f t="shared" si="106"/>
        <v/>
      </c>
      <c r="AC158" s="698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698"/>
      <c r="AE158" s="631" t="str">
        <f t="shared" si="107"/>
        <v/>
      </c>
      <c r="AF158" s="699" t="str">
        <f t="shared" si="108"/>
        <v/>
      </c>
      <c r="AG158" s="699"/>
      <c r="AH158" s="699"/>
      <c r="AI158" s="512">
        <f>IF(H158="credit",0,IF(AE158="free",0,IF(AE158="me",0,IF(G158&gt;0,(VLOOKUP(A158,'Discount Lookup'!J:K,2)*G158),0))))</f>
        <v>0</v>
      </c>
      <c r="AJ158" s="513" t="str">
        <f t="shared" ca="1" si="109"/>
        <v/>
      </c>
      <c r="AK158" s="700" t="str">
        <f t="shared" si="110"/>
        <v/>
      </c>
      <c r="AL158" s="700"/>
      <c r="AM158" s="505" t="str">
        <f t="shared" si="111"/>
        <v/>
      </c>
      <c r="AN158" s="506"/>
      <c r="AO158" s="507"/>
      <c r="AP158" s="507"/>
      <c r="AQ158" s="507"/>
      <c r="AR158" s="507"/>
      <c r="AS158" s="507"/>
      <c r="AT158" s="507"/>
      <c r="AU158" s="507"/>
      <c r="AV158" s="225"/>
      <c r="AW158" s="508"/>
      <c r="AX158" s="225"/>
      <c r="AY158" s="225"/>
      <c r="AZ158" s="225"/>
      <c r="BA158" s="225"/>
      <c r="BB158" s="225"/>
      <c r="BC158" s="56"/>
      <c r="BD158" s="56"/>
      <c r="BE158" s="56"/>
      <c r="BF158" s="107" t="str">
        <f t="shared" si="112"/>
        <v>https://www.google.com/search?tbm=isch&amp;q=Autaugaville%20blooms%20all%20summer%2C%20turning%20to%20orange-red%20fall%20foliage%20</v>
      </c>
      <c r="BG158" s="107" t="str">
        <f t="shared" si="113"/>
        <v>A</v>
      </c>
      <c r="BH158" s="254"/>
      <c r="BI158" s="254"/>
    </row>
    <row r="159" spans="1:61" customFormat="1" ht="18" x14ac:dyDescent="0.25">
      <c r="A159" s="521" t="s">
        <v>5296</v>
      </c>
      <c r="B159" s="477"/>
      <c r="C159" s="674"/>
      <c r="D159" s="478" t="s">
        <v>5297</v>
      </c>
      <c r="E159" s="479"/>
      <c r="F159" s="479"/>
      <c r="G159" s="479"/>
      <c r="H159" s="582" t="s">
        <v>441</v>
      </c>
      <c r="I159" s="480" t="s">
        <v>671</v>
      </c>
      <c r="J159" s="479"/>
      <c r="K159" s="479"/>
      <c r="L159" s="560"/>
      <c r="M159" s="666" t="s">
        <v>4966</v>
      </c>
      <c r="N159" s="680" t="str">
        <f>IF(AND(ISTEXT($A159), ISERROR($A159+0)), HYPERLINK($BF159, "Images"), "")</f>
        <v>Images</v>
      </c>
      <c r="O159" s="662" t="s">
        <v>4974</v>
      </c>
      <c r="P159" s="482"/>
      <c r="Q159" s="483"/>
      <c r="R159" s="483"/>
      <c r="S159" s="484"/>
      <c r="T159" s="508">
        <f t="shared" si="101"/>
        <v>0</v>
      </c>
      <c r="U159" s="225" t="str">
        <f>IF(NOT(ISNUMBER(G159)), "", VLOOKUP(A159,'Discount Lookup'!D:E,2,FALSE)*G159)</f>
        <v/>
      </c>
      <c r="V159" s="225" t="str">
        <f>IF(NOT(ISNUMBER(G159)), "", VLOOKUP(A159,'Discount Lookup'!G:H,2,FALSE)*G159)</f>
        <v/>
      </c>
      <c r="W159" s="508">
        <f t="shared" si="102"/>
        <v>0</v>
      </c>
      <c r="X159" s="508" t="str">
        <f t="shared" si="103"/>
        <v>Lavender-Purple bloom</v>
      </c>
      <c r="Y159" s="509" t="b">
        <f t="shared" si="104"/>
        <v>0</v>
      </c>
      <c r="Z159" s="510">
        <f t="shared" si="105"/>
        <v>0</v>
      </c>
      <c r="AA159" s="511"/>
      <c r="AB159" s="511" t="str">
        <f t="shared" si="106"/>
        <v/>
      </c>
      <c r="AC159" s="698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698"/>
      <c r="AE159" s="631" t="str">
        <f t="shared" si="107"/>
        <v/>
      </c>
      <c r="AF159" s="699" t="str">
        <f t="shared" si="108"/>
        <v/>
      </c>
      <c r="AG159" s="699"/>
      <c r="AH159" s="699"/>
      <c r="AI159" s="512">
        <f>IF(H159="credit",0,IF(AE159="free",0,IF(AE159="me",0,IF(G159&gt;0,(VLOOKUP(A159,'Discount Lookup'!J:K,2)*G159),0))))</f>
        <v>0</v>
      </c>
      <c r="AJ159" s="513" t="str">
        <f t="shared" ca="1" si="109"/>
        <v/>
      </c>
      <c r="AK159" s="700" t="str">
        <f t="shared" si="110"/>
        <v/>
      </c>
      <c r="AL159" s="700"/>
      <c r="AM159" s="505" t="str">
        <f t="shared" si="111"/>
        <v/>
      </c>
      <c r="AN159" s="506"/>
      <c r="AO159" s="507"/>
      <c r="AP159" s="507"/>
      <c r="AQ159" s="507"/>
      <c r="AR159" s="507"/>
      <c r="AS159" s="507"/>
      <c r="AT159" s="507"/>
      <c r="AU159" s="507"/>
      <c r="AV159" s="225"/>
      <c r="AW159" s="508"/>
      <c r="AX159" s="225"/>
      <c r="AY159" s="225"/>
      <c r="AZ159" s="225"/>
      <c r="BA159" s="225"/>
      <c r="BB159" s="225"/>
      <c r="BC159" s="56"/>
      <c r="BD159" s="56"/>
      <c r="BE159" s="56"/>
      <c r="BF159" s="107" t="str">
        <f t="shared" si="112"/>
        <v>https://www.google.com/search?tbm=isch&amp;q=Autumn%20Amethyst%C2%AE%20Encore%C2%AE%20Azalea%20Rhod.%20Encore%C2%AE%20%27Conlee%27%20PP%2310567</v>
      </c>
      <c r="BG159" s="107" t="str">
        <f t="shared" si="113"/>
        <v>A</v>
      </c>
      <c r="BH159" s="254"/>
      <c r="BI159" s="254"/>
    </row>
    <row r="160" spans="1:61" customFormat="1" ht="15.75" x14ac:dyDescent="0.25">
      <c r="A160" s="485">
        <v>3</v>
      </c>
      <c r="B160" s="486" t="s">
        <v>291</v>
      </c>
      <c r="C160" s="487" t="s">
        <v>329</v>
      </c>
      <c r="D160" s="488" t="s">
        <v>312</v>
      </c>
      <c r="E160" s="489">
        <v>29.95</v>
      </c>
      <c r="F160" s="516" t="s">
        <v>293</v>
      </c>
      <c r="G160" s="232">
        <v>0</v>
      </c>
      <c r="H160" s="658" t="str">
        <f>IF(G160=0,"",IF(F160="Buy",IF(G160=1,"plant","plants"),IF(F160&gt;0.01,"warranty","Error")))</f>
        <v/>
      </c>
      <c r="I160" s="490">
        <f>IF(H160="free",0,IF(H160="credit",((E160*(F160))*G160*-1),IF(F160="Buy",(E160*G160),((E160*(1-F160))*G160))))</f>
        <v>0</v>
      </c>
      <c r="J160" s="490">
        <f>IF(H160="warranty",0,(I160*(_xlfn.SINGLE(SalesTaxPercentage))))</f>
        <v>0</v>
      </c>
      <c r="K160" s="695">
        <f t="shared" ref="K160" si="123">I160+J160</f>
        <v>0</v>
      </c>
      <c r="L160" s="695"/>
      <c r="M160" s="659" t="str">
        <f>IF(AND(G160&gt;0,E160=0),"WARNING - no PRICE inserted",IF(H160="free"," FREE ~ no charge this plant",IF(H160="credit",CONCATENATE(" -$",ROUND(K160*(1-T2GDiscount)*-1,2)," CREDIT after discount"),IF(T2GDiscount=0,"",IF(G160=0,"",IF(F160="Buy",CONCATENATE(" $",ROUND(K160*(1-T2GDiscount),2)," with ",(T2GDiscount*100),"% discount"),CONCATENATE(" $",ROUND(K160*(1-T2GDiscount),2)," with ",((T2GDiscount*100+F160*100)-(T2GDiscount*100*F160)),IF(F160&gt;0,"% discounts",IF(NoWarrantyDiscount&gt;0,"% discounts","% discount")))))))))</f>
        <v/>
      </c>
      <c r="N160" s="660"/>
      <c r="O160" s="233"/>
      <c r="P160" s="233"/>
      <c r="Q160" s="233"/>
      <c r="R160" s="233"/>
      <c r="S160" s="233"/>
      <c r="T160" s="508">
        <f t="shared" si="101"/>
        <v>0</v>
      </c>
      <c r="U160" s="225">
        <f>IF(NOT(ISNUMBER(G160)), "", VLOOKUP(A160,'Discount Lookup'!D:E,2,FALSE)*G160)</f>
        <v>0</v>
      </c>
      <c r="V160" s="225">
        <f>IF(NOT(ISNUMBER(G160)), "", VLOOKUP(A160,'Discount Lookup'!G:H,2,FALSE)*G160)</f>
        <v>0</v>
      </c>
      <c r="W160" s="508">
        <f t="shared" si="102"/>
        <v>0</v>
      </c>
      <c r="X160" s="508">
        <f t="shared" si="103"/>
        <v>0</v>
      </c>
      <c r="Y160" s="509" t="b">
        <f t="shared" si="104"/>
        <v>0</v>
      </c>
      <c r="Z160" s="510">
        <f t="shared" si="105"/>
        <v>0</v>
      </c>
      <c r="AA160" s="511"/>
      <c r="AB160" s="511" t="str">
        <f t="shared" si="106"/>
        <v/>
      </c>
      <c r="AC160" s="698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698"/>
      <c r="AE160" s="631" t="str">
        <f t="shared" si="107"/>
        <v/>
      </c>
      <c r="AF160" s="699" t="str">
        <f t="shared" si="108"/>
        <v/>
      </c>
      <c r="AG160" s="699"/>
      <c r="AH160" s="699"/>
      <c r="AI160" s="512">
        <f>IF(H160="credit",0,IF(AE160="free",0,IF(AE160="me",0,IF(G160&gt;0,(VLOOKUP(A160,'Discount Lookup'!J:K,2)*G160),0))))</f>
        <v>0</v>
      </c>
      <c r="AJ160" s="513" t="str">
        <f t="shared" ca="1" si="109"/>
        <v/>
      </c>
      <c r="AK160" s="700" t="str">
        <f t="shared" si="110"/>
        <v/>
      </c>
      <c r="AL160" s="700"/>
      <c r="AM160" s="505" t="str">
        <f t="shared" si="111"/>
        <v/>
      </c>
      <c r="AN160" s="506"/>
      <c r="AO160" s="507"/>
      <c r="AP160" s="507"/>
      <c r="AQ160" s="507"/>
      <c r="AR160" s="507"/>
      <c r="AS160" s="507"/>
      <c r="AT160" s="507"/>
      <c r="AU160" s="507"/>
      <c r="AV160" s="225"/>
      <c r="AW160" s="508"/>
      <c r="AX160" s="225"/>
      <c r="AY160" s="225"/>
      <c r="AZ160" s="225"/>
      <c r="BA160" s="225"/>
      <c r="BB160" s="225"/>
      <c r="BC160" s="56"/>
      <c r="BD160" s="56"/>
      <c r="BE160" s="56"/>
      <c r="BF160" s="107" t="str">
        <f t="shared" si="112"/>
        <v>https://www.google.com/search?tbm=isch&amp;q=3%20G2</v>
      </c>
      <c r="BG160" s="107" t="str">
        <f t="shared" si="113"/>
        <v>A</v>
      </c>
      <c r="BH160" s="254"/>
      <c r="BI160" s="254"/>
    </row>
    <row r="161" spans="1:61" customFormat="1" ht="17.25" thickBot="1" x14ac:dyDescent="0.3">
      <c r="A161" s="522" t="s">
        <v>2661</v>
      </c>
      <c r="B161" s="491"/>
      <c r="C161" s="675"/>
      <c r="D161" s="491"/>
      <c r="E161" s="491"/>
      <c r="F161" s="492"/>
      <c r="G161" s="493"/>
      <c r="H161" s="491"/>
      <c r="I161" s="234"/>
      <c r="J161" s="234"/>
      <c r="K161" s="494"/>
      <c r="L161" s="543"/>
      <c r="M161" s="561"/>
      <c r="N161" s="495"/>
      <c r="O161" s="496"/>
      <c r="P161" s="497"/>
      <c r="Q161" s="495"/>
      <c r="R161" s="495"/>
      <c r="S161" s="667" t="s">
        <v>4988</v>
      </c>
      <c r="T161" s="508">
        <f t="shared" si="101"/>
        <v>0</v>
      </c>
      <c r="U161" s="225" t="str">
        <f>IF(NOT(ISNUMBER(G161)), "", VLOOKUP(A161,'Discount Lookup'!D:E,2,FALSE)*G161)</f>
        <v/>
      </c>
      <c r="V161" s="225" t="str">
        <f>IF(NOT(ISNUMBER(G161)), "", VLOOKUP(A161,'Discount Lookup'!G:H,2,FALSE)*G161)</f>
        <v/>
      </c>
      <c r="W161" s="508">
        <f t="shared" si="102"/>
        <v>0</v>
      </c>
      <c r="X161" s="508">
        <f t="shared" si="103"/>
        <v>0</v>
      </c>
      <c r="Y161" s="509" t="b">
        <f t="shared" si="104"/>
        <v>0</v>
      </c>
      <c r="Z161" s="510">
        <f t="shared" si="105"/>
        <v>0</v>
      </c>
      <c r="AA161" s="511"/>
      <c r="AB161" s="511" t="str">
        <f t="shared" si="106"/>
        <v/>
      </c>
      <c r="AC161" s="698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698"/>
      <c r="AE161" s="631" t="str">
        <f t="shared" si="107"/>
        <v/>
      </c>
      <c r="AF161" s="699" t="str">
        <f t="shared" si="108"/>
        <v/>
      </c>
      <c r="AG161" s="699"/>
      <c r="AH161" s="699"/>
      <c r="AI161" s="512">
        <f>IF(H161="credit",0,IF(AE161="free",0,IF(AE161="me",0,IF(G161&gt;0,(VLOOKUP(A161,'Discount Lookup'!J:K,2)*G161),0))))</f>
        <v>0</v>
      </c>
      <c r="AJ161" s="513" t="str">
        <f t="shared" ca="1" si="109"/>
        <v/>
      </c>
      <c r="AK161" s="700" t="str">
        <f t="shared" si="110"/>
        <v/>
      </c>
      <c r="AL161" s="700"/>
      <c r="AM161" s="505" t="str">
        <f t="shared" si="111"/>
        <v/>
      </c>
      <c r="AN161" s="506"/>
      <c r="AO161" s="507"/>
      <c r="AP161" s="507"/>
      <c r="AQ161" s="507"/>
      <c r="AR161" s="507"/>
      <c r="AS161" s="507"/>
      <c r="AT161" s="507"/>
      <c r="AU161" s="507"/>
      <c r="AV161" s="225"/>
      <c r="AW161" s="508"/>
      <c r="AX161" s="225"/>
      <c r="AY161" s="225"/>
      <c r="AZ161" s="225"/>
      <c r="BA161" s="225"/>
      <c r="BB161" s="225"/>
      <c r="BC161" s="56"/>
      <c r="BD161" s="56"/>
      <c r="BE161" s="56"/>
      <c r="BF161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61" s="107" t="str">
        <f t="shared" si="113"/>
        <v>A</v>
      </c>
      <c r="BH161" s="254"/>
      <c r="BI161" s="254"/>
    </row>
    <row r="162" spans="1:61" customFormat="1" ht="18" x14ac:dyDescent="0.25">
      <c r="A162" s="521" t="s">
        <v>5298</v>
      </c>
      <c r="B162" s="477"/>
      <c r="C162" s="674"/>
      <c r="D162" s="478" t="s">
        <v>5299</v>
      </c>
      <c r="E162" s="479"/>
      <c r="F162" s="479"/>
      <c r="G162" s="479"/>
      <c r="H162" s="582" t="s">
        <v>443</v>
      </c>
      <c r="I162" s="480" t="s">
        <v>2579</v>
      </c>
      <c r="J162" s="479"/>
      <c r="K162" s="479"/>
      <c r="L162" s="560"/>
      <c r="M162" s="666" t="s">
        <v>4966</v>
      </c>
      <c r="N162" s="680" t="str">
        <f>IF(AND(ISTEXT($A162), ISERROR($A162+0)), HYPERLINK($BF162, "Images"), "")</f>
        <v>Images</v>
      </c>
      <c r="O162" s="662" t="s">
        <v>4974</v>
      </c>
      <c r="P162" s="482"/>
      <c r="Q162" s="483"/>
      <c r="R162" s="483"/>
      <c r="S162" s="484"/>
      <c r="T162" s="508">
        <f t="shared" si="101"/>
        <v>0</v>
      </c>
      <c r="U162" s="225" t="str">
        <f>IF(NOT(ISNUMBER(G162)), "", VLOOKUP(A162,'Discount Lookup'!D:E,2,FALSE)*G162)</f>
        <v/>
      </c>
      <c r="V162" s="225" t="str">
        <f>IF(NOT(ISNUMBER(G162)), "", VLOOKUP(A162,'Discount Lookup'!G:H,2,FALSE)*G162)</f>
        <v/>
      </c>
      <c r="W162" s="508">
        <f t="shared" si="102"/>
        <v>0</v>
      </c>
      <c r="X162" s="508" t="str">
        <f t="shared" si="103"/>
        <v>pure White bloom</v>
      </c>
      <c r="Y162" s="509" t="b">
        <f t="shared" si="104"/>
        <v>0</v>
      </c>
      <c r="Z162" s="510">
        <f t="shared" si="105"/>
        <v>0</v>
      </c>
      <c r="AA162" s="511"/>
      <c r="AB162" s="511" t="str">
        <f t="shared" si="106"/>
        <v/>
      </c>
      <c r="AC162" s="698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698"/>
      <c r="AE162" s="631" t="str">
        <f t="shared" si="107"/>
        <v/>
      </c>
      <c r="AF162" s="699" t="str">
        <f t="shared" si="108"/>
        <v/>
      </c>
      <c r="AG162" s="699"/>
      <c r="AH162" s="699"/>
      <c r="AI162" s="512">
        <f>IF(H162="credit",0,IF(AE162="free",0,IF(AE162="me",0,IF(G162&gt;0,(VLOOKUP(A162,'Discount Lookup'!J:K,2)*G162),0))))</f>
        <v>0</v>
      </c>
      <c r="AJ162" s="513" t="str">
        <f t="shared" ca="1" si="109"/>
        <v/>
      </c>
      <c r="AK162" s="700" t="str">
        <f t="shared" si="110"/>
        <v/>
      </c>
      <c r="AL162" s="700"/>
      <c r="AM162" s="505" t="str">
        <f t="shared" si="111"/>
        <v/>
      </c>
      <c r="AN162" s="506"/>
      <c r="AO162" s="507"/>
      <c r="AP162" s="507"/>
      <c r="AQ162" s="507"/>
      <c r="AR162" s="507"/>
      <c r="AS162" s="507"/>
      <c r="AT162" s="507"/>
      <c r="AU162" s="507"/>
      <c r="AV162" s="225"/>
      <c r="AW162" s="508"/>
      <c r="AX162" s="225"/>
      <c r="AY162" s="225"/>
      <c r="AZ162" s="225"/>
      <c r="BA162" s="225"/>
      <c r="BB162" s="225"/>
      <c r="BC162" s="56"/>
      <c r="BD162" s="56"/>
      <c r="BE162" s="56"/>
      <c r="BF162" s="107" t="str">
        <f t="shared" si="112"/>
        <v>https://www.google.com/search?tbm=isch&amp;q=Autumn%20Angel%C2%AE%20Encore%C2%AE%20Azalea%20Rhod.%20Encore%C2%AE%20%27Robleg%27%20PP%2315227</v>
      </c>
      <c r="BG162" s="107" t="str">
        <f t="shared" si="113"/>
        <v>A</v>
      </c>
      <c r="BH162" s="254"/>
      <c r="BI162" s="254"/>
    </row>
    <row r="163" spans="1:61" customFormat="1" ht="15.75" x14ac:dyDescent="0.25">
      <c r="A163" s="485">
        <v>3</v>
      </c>
      <c r="B163" s="486" t="s">
        <v>291</v>
      </c>
      <c r="C163" s="487" t="s">
        <v>1371</v>
      </c>
      <c r="D163" s="488" t="s">
        <v>312</v>
      </c>
      <c r="E163" s="489">
        <v>29.95</v>
      </c>
      <c r="F163" s="516" t="s">
        <v>293</v>
      </c>
      <c r="G163" s="232">
        <v>0</v>
      </c>
      <c r="H163" s="658" t="str">
        <f>IF(G163=0,"",IF(F163="Buy",IF(G163=1,"plant","plants"),IF(F163&gt;0.01,"warranty","Error")))</f>
        <v/>
      </c>
      <c r="I163" s="490">
        <f>IF(H163="free",0,IF(H163="credit",((E163*(F163))*G163*-1),IF(F163="Buy",(E163*G163),((E163*(1-F163))*G163))))</f>
        <v>0</v>
      </c>
      <c r="J163" s="490">
        <f>IF(H163="warranty",0,(I163*(_xlfn.SINGLE(SalesTaxPercentage))))</f>
        <v>0</v>
      </c>
      <c r="K163" s="695">
        <f t="shared" ref="K163" si="124">I163+J163</f>
        <v>0</v>
      </c>
      <c r="L163" s="695"/>
      <c r="M163" s="659" t="str">
        <f>IF(AND(G163&gt;0,E163=0),"WARNING - no PRICE inserted",IF(H163="free"," FREE ~ no charge this plant",IF(H163="credit",CONCATENATE(" -$",ROUND(K163*(1-T2GDiscount)*-1,2)," CREDIT after discount"),IF(T2GDiscount=0,"",IF(G163=0,"",IF(F163="Buy",CONCATENATE(" $",ROUND(K163*(1-T2GDiscount),2)," with ",(T2GDiscount*100),"% discount"),CONCATENATE(" $",ROUND(K163*(1-T2GDiscount),2)," with ",((T2GDiscount*100+F163*100)-(T2GDiscount*100*F163)),IF(F163&gt;0,"% discounts",IF(NoWarrantyDiscount&gt;0,"% discounts","% discount")))))))))</f>
        <v/>
      </c>
      <c r="N163" s="660"/>
      <c r="O163" s="233"/>
      <c r="P163" s="233"/>
      <c r="Q163" s="233"/>
      <c r="R163" s="233"/>
      <c r="S163" s="233"/>
      <c r="T163" s="508">
        <f t="shared" si="101"/>
        <v>0</v>
      </c>
      <c r="U163" s="225">
        <f>IF(NOT(ISNUMBER(G163)), "", VLOOKUP(A163,'Discount Lookup'!D:E,2,FALSE)*G163)</f>
        <v>0</v>
      </c>
      <c r="V163" s="225">
        <f>IF(NOT(ISNUMBER(G163)), "", VLOOKUP(A163,'Discount Lookup'!G:H,2,FALSE)*G163)</f>
        <v>0</v>
      </c>
      <c r="W163" s="508">
        <f t="shared" si="102"/>
        <v>0</v>
      </c>
      <c r="X163" s="508">
        <f t="shared" si="103"/>
        <v>0</v>
      </c>
      <c r="Y163" s="509" t="b">
        <f t="shared" si="104"/>
        <v>0</v>
      </c>
      <c r="Z163" s="510">
        <f t="shared" si="105"/>
        <v>0</v>
      </c>
      <c r="AA163" s="511"/>
      <c r="AB163" s="511" t="str">
        <f t="shared" si="106"/>
        <v/>
      </c>
      <c r="AC163" s="698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698"/>
      <c r="AE163" s="631" t="str">
        <f t="shared" si="107"/>
        <v/>
      </c>
      <c r="AF163" s="699" t="str">
        <f t="shared" si="108"/>
        <v/>
      </c>
      <c r="AG163" s="699"/>
      <c r="AH163" s="699"/>
      <c r="AI163" s="512">
        <f>IF(H163="credit",0,IF(AE163="free",0,IF(AE163="me",0,IF(G163&gt;0,(VLOOKUP(A163,'Discount Lookup'!J:K,2)*G163),0))))</f>
        <v>0</v>
      </c>
      <c r="AJ163" s="513" t="str">
        <f t="shared" ca="1" si="109"/>
        <v/>
      </c>
      <c r="AK163" s="700" t="str">
        <f t="shared" si="110"/>
        <v/>
      </c>
      <c r="AL163" s="700"/>
      <c r="AM163" s="505" t="str">
        <f t="shared" si="111"/>
        <v/>
      </c>
      <c r="AN163" s="506"/>
      <c r="AO163" s="507"/>
      <c r="AP163" s="507"/>
      <c r="AQ163" s="507"/>
      <c r="AR163" s="507"/>
      <c r="AS163" s="507"/>
      <c r="AT163" s="507"/>
      <c r="AU163" s="507"/>
      <c r="AV163" s="225"/>
      <c r="AW163" s="508"/>
      <c r="AX163" s="225"/>
      <c r="AY163" s="225"/>
      <c r="AZ163" s="225"/>
      <c r="BA163" s="225"/>
      <c r="BB163" s="225"/>
      <c r="BC163" s="56"/>
      <c r="BD163" s="56"/>
      <c r="BE163" s="56"/>
      <c r="BF163" s="107" t="str">
        <f t="shared" si="112"/>
        <v>https://www.google.com/search?tbm=isch&amp;q=3%20G2</v>
      </c>
      <c r="BG163" s="107" t="str">
        <f t="shared" si="113"/>
        <v>A</v>
      </c>
      <c r="BH163" s="254"/>
      <c r="BI163" s="254"/>
    </row>
    <row r="164" spans="1:61" customFormat="1" ht="17.25" thickBot="1" x14ac:dyDescent="0.3">
      <c r="A164" s="522" t="s">
        <v>2661</v>
      </c>
      <c r="B164" s="491"/>
      <c r="C164" s="675"/>
      <c r="D164" s="491"/>
      <c r="E164" s="491"/>
      <c r="F164" s="492"/>
      <c r="G164" s="493"/>
      <c r="H164" s="491"/>
      <c r="I164" s="234"/>
      <c r="J164" s="234"/>
      <c r="K164" s="494"/>
      <c r="L164" s="543"/>
      <c r="M164" s="561"/>
      <c r="N164" s="495"/>
      <c r="O164" s="496"/>
      <c r="P164" s="497"/>
      <c r="Q164" s="495"/>
      <c r="R164" s="495"/>
      <c r="S164" s="667" t="s">
        <v>4988</v>
      </c>
      <c r="T164" s="508">
        <f t="shared" si="101"/>
        <v>0</v>
      </c>
      <c r="U164" s="225" t="str">
        <f>IF(NOT(ISNUMBER(G164)), "", VLOOKUP(A164,'Discount Lookup'!D:E,2,FALSE)*G164)</f>
        <v/>
      </c>
      <c r="V164" s="225" t="str">
        <f>IF(NOT(ISNUMBER(G164)), "", VLOOKUP(A164,'Discount Lookup'!G:H,2,FALSE)*G164)</f>
        <v/>
      </c>
      <c r="W164" s="508">
        <f t="shared" si="102"/>
        <v>0</v>
      </c>
      <c r="X164" s="508">
        <f t="shared" si="103"/>
        <v>0</v>
      </c>
      <c r="Y164" s="509" t="b">
        <f t="shared" si="104"/>
        <v>0</v>
      </c>
      <c r="Z164" s="510">
        <f t="shared" si="105"/>
        <v>0</v>
      </c>
      <c r="AA164" s="511"/>
      <c r="AB164" s="511" t="str">
        <f t="shared" si="106"/>
        <v/>
      </c>
      <c r="AC164" s="698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698"/>
      <c r="AE164" s="631" t="str">
        <f t="shared" si="107"/>
        <v/>
      </c>
      <c r="AF164" s="699" t="str">
        <f t="shared" si="108"/>
        <v/>
      </c>
      <c r="AG164" s="699"/>
      <c r="AH164" s="699"/>
      <c r="AI164" s="512">
        <f>IF(H164="credit",0,IF(AE164="free",0,IF(AE164="me",0,IF(G164&gt;0,(VLOOKUP(A164,'Discount Lookup'!J:K,2)*G164),0))))</f>
        <v>0</v>
      </c>
      <c r="AJ164" s="513" t="str">
        <f t="shared" ca="1" si="109"/>
        <v/>
      </c>
      <c r="AK164" s="700" t="str">
        <f t="shared" si="110"/>
        <v/>
      </c>
      <c r="AL164" s="700"/>
      <c r="AM164" s="505" t="str">
        <f t="shared" si="111"/>
        <v/>
      </c>
      <c r="AN164" s="506"/>
      <c r="AO164" s="507"/>
      <c r="AP164" s="507"/>
      <c r="AQ164" s="507"/>
      <c r="AR164" s="507"/>
      <c r="AS164" s="507"/>
      <c r="AT164" s="507"/>
      <c r="AU164" s="507"/>
      <c r="AV164" s="225"/>
      <c r="AW164" s="508"/>
      <c r="AX164" s="225"/>
      <c r="AY164" s="225"/>
      <c r="AZ164" s="225"/>
      <c r="BA164" s="225"/>
      <c r="BB164" s="225"/>
      <c r="BC164" s="56"/>
      <c r="BD164" s="56"/>
      <c r="BE164" s="56"/>
      <c r="BF164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64" s="107" t="str">
        <f t="shared" si="113"/>
        <v>A</v>
      </c>
      <c r="BH164" s="254"/>
      <c r="BI164" s="254"/>
    </row>
    <row r="165" spans="1:61" customFormat="1" ht="18" x14ac:dyDescent="0.25">
      <c r="A165" s="521" t="s">
        <v>5300</v>
      </c>
      <c r="B165" s="477"/>
      <c r="C165" s="674"/>
      <c r="D165" s="478" t="s">
        <v>5301</v>
      </c>
      <c r="E165" s="479"/>
      <c r="F165" s="479"/>
      <c r="G165" s="479"/>
      <c r="H165" s="582" t="s">
        <v>2580</v>
      </c>
      <c r="I165" s="480" t="s">
        <v>2581</v>
      </c>
      <c r="J165" s="479"/>
      <c r="K165" s="479"/>
      <c r="L165" s="560"/>
      <c r="M165" s="666" t="s">
        <v>4966</v>
      </c>
      <c r="N165" s="680" t="str">
        <f>IF(AND(ISTEXT($A165), ISERROR($A165+0)), HYPERLINK($BF165, "Images"), "")</f>
        <v>Images</v>
      </c>
      <c r="O165" s="662" t="s">
        <v>4974</v>
      </c>
      <c r="P165" s="482"/>
      <c r="Q165" s="483"/>
      <c r="R165" s="483"/>
      <c r="S165" s="484"/>
      <c r="T165" s="508">
        <f t="shared" si="101"/>
        <v>0</v>
      </c>
      <c r="U165" s="225" t="str">
        <f>IF(NOT(ISNUMBER(G165)), "", VLOOKUP(A165,'Discount Lookup'!D:E,2,FALSE)*G165)</f>
        <v/>
      </c>
      <c r="V165" s="225" t="str">
        <f>IF(NOT(ISNUMBER(G165)), "", VLOOKUP(A165,'Discount Lookup'!G:H,2,FALSE)*G165)</f>
        <v/>
      </c>
      <c r="W165" s="508">
        <f t="shared" si="102"/>
        <v>0</v>
      </c>
      <c r="X165" s="508" t="str">
        <f t="shared" si="103"/>
        <v>bright Red bloom</v>
      </c>
      <c r="Y165" s="509" t="b">
        <f t="shared" si="104"/>
        <v>0</v>
      </c>
      <c r="Z165" s="510">
        <f t="shared" si="105"/>
        <v>0</v>
      </c>
      <c r="AA165" s="511"/>
      <c r="AB165" s="511" t="str">
        <f t="shared" si="106"/>
        <v/>
      </c>
      <c r="AC165" s="698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698"/>
      <c r="AE165" s="631" t="str">
        <f t="shared" si="107"/>
        <v/>
      </c>
      <c r="AF165" s="699" t="str">
        <f t="shared" si="108"/>
        <v/>
      </c>
      <c r="AG165" s="699"/>
      <c r="AH165" s="699"/>
      <c r="AI165" s="512">
        <f>IF(H165="credit",0,IF(AE165="free",0,IF(AE165="me",0,IF(G165&gt;0,(VLOOKUP(A165,'Discount Lookup'!J:K,2)*G165),0))))</f>
        <v>0</v>
      </c>
      <c r="AJ165" s="513" t="str">
        <f t="shared" ca="1" si="109"/>
        <v/>
      </c>
      <c r="AK165" s="700" t="str">
        <f t="shared" si="110"/>
        <v/>
      </c>
      <c r="AL165" s="700"/>
      <c r="AM165" s="505" t="str">
        <f t="shared" si="111"/>
        <v/>
      </c>
      <c r="AN165" s="506"/>
      <c r="AO165" s="507"/>
      <c r="AP165" s="507"/>
      <c r="AQ165" s="507"/>
      <c r="AR165" s="507"/>
      <c r="AS165" s="507"/>
      <c r="AT165" s="507"/>
      <c r="AU165" s="507"/>
      <c r="AV165" s="225"/>
      <c r="AW165" s="508"/>
      <c r="AX165" s="225"/>
      <c r="AY165" s="225"/>
      <c r="AZ165" s="225"/>
      <c r="BA165" s="225"/>
      <c r="BB165" s="225"/>
      <c r="BC165" s="56"/>
      <c r="BD165" s="56"/>
      <c r="BE165" s="56"/>
      <c r="BF165" s="107" t="str">
        <f t="shared" si="112"/>
        <v>https://www.google.com/search?tbm=isch&amp;q=Autumn%20Bonfire%C2%AE%20Encore%C2%AE%20Azalea%20Rhod.%20Encore%C2%AE%20%27Robleza%27%20PP%2329770</v>
      </c>
      <c r="BG165" s="107" t="str">
        <f t="shared" si="113"/>
        <v>A</v>
      </c>
      <c r="BH165" s="254"/>
      <c r="BI165" s="254"/>
    </row>
    <row r="166" spans="1:61" customFormat="1" ht="15.75" x14ac:dyDescent="0.25">
      <c r="A166" s="485">
        <v>3</v>
      </c>
      <c r="B166" s="486" t="s">
        <v>291</v>
      </c>
      <c r="C166" s="487" t="s">
        <v>3042</v>
      </c>
      <c r="D166" s="488" t="s">
        <v>312</v>
      </c>
      <c r="E166" s="489">
        <v>29.95</v>
      </c>
      <c r="F166" s="516" t="s">
        <v>293</v>
      </c>
      <c r="G166" s="232">
        <v>0</v>
      </c>
      <c r="H166" s="658" t="str">
        <f>IF(G166=0,"",IF(F166="Buy",IF(G166=1,"plant","plants"),IF(F166&gt;0.01,"warranty","Error")))</f>
        <v/>
      </c>
      <c r="I166" s="490">
        <f>IF(H166="free",0,IF(H166="credit",((E166*(F166))*G166*-1),IF(F166="Buy",(E166*G166),((E166*(1-F166))*G166))))</f>
        <v>0</v>
      </c>
      <c r="J166" s="490">
        <f>IF(H166="warranty",0,(I166*(_xlfn.SINGLE(SalesTaxPercentage))))</f>
        <v>0</v>
      </c>
      <c r="K166" s="695">
        <f t="shared" ref="K166" si="125">I166+J166</f>
        <v>0</v>
      </c>
      <c r="L166" s="695"/>
      <c r="M166" s="659" t="str">
        <f>IF(AND(G166&gt;0,E166=0),"WARNING - no PRICE inserted",IF(H166="free"," FREE ~ no charge this plant",IF(H166="credit",CONCATENATE(" -$",ROUND(K166*(1-T2GDiscount)*-1,2)," CREDIT after discount"),IF(T2GDiscount=0,"",IF(G166=0,"",IF(F166="Buy",CONCATENATE(" $",ROUND(K166*(1-T2GDiscount),2)," with ",(T2GDiscount*100),"% discount"),CONCATENATE(" $",ROUND(K166*(1-T2GDiscount),2)," with ",((T2GDiscount*100+F166*100)-(T2GDiscount*100*F166)),IF(F166&gt;0,"% discounts",IF(NoWarrantyDiscount&gt;0,"% discounts","% discount")))))))))</f>
        <v/>
      </c>
      <c r="N166" s="660"/>
      <c r="O166" s="233"/>
      <c r="P166" s="233"/>
      <c r="Q166" s="233"/>
      <c r="R166" s="233"/>
      <c r="S166" s="233"/>
      <c r="T166" s="508">
        <f t="shared" si="101"/>
        <v>0</v>
      </c>
      <c r="U166" s="225">
        <f>IF(NOT(ISNUMBER(G166)), "", VLOOKUP(A166,'Discount Lookup'!D:E,2,FALSE)*G166)</f>
        <v>0</v>
      </c>
      <c r="V166" s="225">
        <f>IF(NOT(ISNUMBER(G166)), "", VLOOKUP(A166,'Discount Lookup'!G:H,2,FALSE)*G166)</f>
        <v>0</v>
      </c>
      <c r="W166" s="508">
        <f t="shared" si="102"/>
        <v>0</v>
      </c>
      <c r="X166" s="508">
        <f t="shared" si="103"/>
        <v>0</v>
      </c>
      <c r="Y166" s="509" t="b">
        <f t="shared" si="104"/>
        <v>0</v>
      </c>
      <c r="Z166" s="510">
        <f t="shared" si="105"/>
        <v>0</v>
      </c>
      <c r="AA166" s="511"/>
      <c r="AB166" s="511" t="str">
        <f t="shared" si="106"/>
        <v/>
      </c>
      <c r="AC166" s="698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698"/>
      <c r="AE166" s="631" t="str">
        <f t="shared" si="107"/>
        <v/>
      </c>
      <c r="AF166" s="699" t="str">
        <f t="shared" si="108"/>
        <v/>
      </c>
      <c r="AG166" s="699"/>
      <c r="AH166" s="699"/>
      <c r="AI166" s="512">
        <f>IF(H166="credit",0,IF(AE166="free",0,IF(AE166="me",0,IF(G166&gt;0,(VLOOKUP(A166,'Discount Lookup'!J:K,2)*G166),0))))</f>
        <v>0</v>
      </c>
      <c r="AJ166" s="513" t="str">
        <f t="shared" ca="1" si="109"/>
        <v/>
      </c>
      <c r="AK166" s="700" t="str">
        <f t="shared" si="110"/>
        <v/>
      </c>
      <c r="AL166" s="700"/>
      <c r="AM166" s="505" t="str">
        <f t="shared" si="111"/>
        <v/>
      </c>
      <c r="AN166" s="506"/>
      <c r="AO166" s="507"/>
      <c r="AP166" s="507"/>
      <c r="AQ166" s="507"/>
      <c r="AR166" s="507"/>
      <c r="AS166" s="507"/>
      <c r="AT166" s="507"/>
      <c r="AU166" s="507"/>
      <c r="AV166" s="225"/>
      <c r="AW166" s="508"/>
      <c r="AX166" s="225"/>
      <c r="AY166" s="225"/>
      <c r="AZ166" s="225"/>
      <c r="BA166" s="225"/>
      <c r="BB166" s="225"/>
      <c r="BC166" s="56"/>
      <c r="BD166" s="56"/>
      <c r="BE166" s="56"/>
      <c r="BF166" s="107" t="str">
        <f t="shared" si="112"/>
        <v>https://www.google.com/search?tbm=isch&amp;q=3%20G2</v>
      </c>
      <c r="BG166" s="107" t="str">
        <f t="shared" si="113"/>
        <v>A</v>
      </c>
      <c r="BH166" s="254"/>
      <c r="BI166" s="254"/>
    </row>
    <row r="167" spans="1:61" customFormat="1" ht="17.25" thickBot="1" x14ac:dyDescent="0.3">
      <c r="A167" s="522" t="s">
        <v>2661</v>
      </c>
      <c r="B167" s="491"/>
      <c r="C167" s="675"/>
      <c r="D167" s="491"/>
      <c r="E167" s="491"/>
      <c r="F167" s="492"/>
      <c r="G167" s="493"/>
      <c r="H167" s="491"/>
      <c r="I167" s="234"/>
      <c r="J167" s="234"/>
      <c r="K167" s="494"/>
      <c r="L167" s="543"/>
      <c r="M167" s="561"/>
      <c r="N167" s="495"/>
      <c r="O167" s="496"/>
      <c r="P167" s="497"/>
      <c r="Q167" s="495"/>
      <c r="R167" s="495"/>
      <c r="S167" s="667" t="s">
        <v>4988</v>
      </c>
      <c r="T167" s="508">
        <f t="shared" si="101"/>
        <v>0</v>
      </c>
      <c r="U167" s="225" t="str">
        <f>IF(NOT(ISNUMBER(G167)), "", VLOOKUP(A167,'Discount Lookup'!D:E,2,FALSE)*G167)</f>
        <v/>
      </c>
      <c r="V167" s="225" t="str">
        <f>IF(NOT(ISNUMBER(G167)), "", VLOOKUP(A167,'Discount Lookup'!G:H,2,FALSE)*G167)</f>
        <v/>
      </c>
      <c r="W167" s="508">
        <f t="shared" si="102"/>
        <v>0</v>
      </c>
      <c r="X167" s="508">
        <f t="shared" si="103"/>
        <v>0</v>
      </c>
      <c r="Y167" s="509" t="b">
        <f t="shared" si="104"/>
        <v>0</v>
      </c>
      <c r="Z167" s="510">
        <f t="shared" si="105"/>
        <v>0</v>
      </c>
      <c r="AA167" s="511"/>
      <c r="AB167" s="511" t="str">
        <f t="shared" si="106"/>
        <v/>
      </c>
      <c r="AC167" s="698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698"/>
      <c r="AE167" s="631" t="str">
        <f t="shared" si="107"/>
        <v/>
      </c>
      <c r="AF167" s="699" t="str">
        <f t="shared" si="108"/>
        <v/>
      </c>
      <c r="AG167" s="699"/>
      <c r="AH167" s="699"/>
      <c r="AI167" s="512">
        <f>IF(H167="credit",0,IF(AE167="free",0,IF(AE167="me",0,IF(G167&gt;0,(VLOOKUP(A167,'Discount Lookup'!J:K,2)*G167),0))))</f>
        <v>0</v>
      </c>
      <c r="AJ167" s="513" t="str">
        <f t="shared" ca="1" si="109"/>
        <v/>
      </c>
      <c r="AK167" s="700" t="str">
        <f t="shared" si="110"/>
        <v/>
      </c>
      <c r="AL167" s="700"/>
      <c r="AM167" s="505" t="str">
        <f t="shared" si="111"/>
        <v/>
      </c>
      <c r="AN167" s="506"/>
      <c r="AO167" s="507"/>
      <c r="AP167" s="507"/>
      <c r="AQ167" s="507"/>
      <c r="AR167" s="507"/>
      <c r="AS167" s="507"/>
      <c r="AT167" s="507"/>
      <c r="AU167" s="507"/>
      <c r="AV167" s="225"/>
      <c r="AW167" s="508"/>
      <c r="AX167" s="225"/>
      <c r="AY167" s="225"/>
      <c r="AZ167" s="225"/>
      <c r="BA167" s="225"/>
      <c r="BB167" s="225"/>
      <c r="BC167" s="56"/>
      <c r="BD167" s="56"/>
      <c r="BE167" s="56"/>
      <c r="BF167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67" s="107" t="str">
        <f t="shared" si="113"/>
        <v>A</v>
      </c>
      <c r="BH167" s="254"/>
      <c r="BI167" s="254"/>
    </row>
    <row r="168" spans="1:61" customFormat="1" ht="18" x14ac:dyDescent="0.25">
      <c r="A168" s="523" t="s">
        <v>5302</v>
      </c>
      <c r="B168" s="235"/>
      <c r="C168" s="676"/>
      <c r="D168" s="255" t="s">
        <v>365</v>
      </c>
      <c r="E168" s="236"/>
      <c r="F168" s="236"/>
      <c r="G168" s="236"/>
      <c r="H168" s="582" t="s">
        <v>366</v>
      </c>
      <c r="I168" s="498" t="s">
        <v>654</v>
      </c>
      <c r="J168" s="237"/>
      <c r="K168" s="237"/>
      <c r="L168" s="274"/>
      <c r="M168" s="668" t="s">
        <v>4975</v>
      </c>
      <c r="N168" s="681" t="str">
        <f>IF(AND(ISTEXT($A168), ISERROR($A168+0)), HYPERLINK($BF168, "Images"), "")</f>
        <v>Images</v>
      </c>
      <c r="O168" s="663" t="s">
        <v>4967</v>
      </c>
      <c r="P168" s="253"/>
      <c r="Q168" s="238"/>
      <c r="R168" s="239"/>
      <c r="S168" s="275" t="s">
        <v>305</v>
      </c>
      <c r="T168" s="508">
        <f t="shared" si="101"/>
        <v>0</v>
      </c>
      <c r="U168" s="225" t="str">
        <f>IF(NOT(ISNUMBER(G168)), "", VLOOKUP(A168,'Discount Lookup'!D:E,2,FALSE)*G168)</f>
        <v/>
      </c>
      <c r="V168" s="225" t="str">
        <f>IF(NOT(ISNUMBER(G168)), "", VLOOKUP(A168,'Discount Lookup'!G:H,2,FALSE)*G168)</f>
        <v/>
      </c>
      <c r="W168" s="508">
        <f t="shared" si="102"/>
        <v>0</v>
      </c>
      <c r="X168" s="508" t="str">
        <f t="shared" si="103"/>
        <v>White bloom</v>
      </c>
      <c r="Y168" s="509" t="b">
        <f t="shared" si="104"/>
        <v>0</v>
      </c>
      <c r="Z168" s="510">
        <f t="shared" si="105"/>
        <v>0</v>
      </c>
      <c r="AA168" s="511"/>
      <c r="AB168" s="511" t="str">
        <f t="shared" si="106"/>
        <v/>
      </c>
      <c r="AC168" s="698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698"/>
      <c r="AE168" s="631" t="str">
        <f t="shared" si="107"/>
        <v/>
      </c>
      <c r="AF168" s="699" t="str">
        <f t="shared" si="108"/>
        <v/>
      </c>
      <c r="AG168" s="699"/>
      <c r="AH168" s="699"/>
      <c r="AI168" s="512">
        <f>IF(H168="credit",0,IF(AE168="free",0,IF(AE168="me",0,IF(G168&gt;0,(VLOOKUP(A168,'Discount Lookup'!J:K,2)*G168),0))))</f>
        <v>0</v>
      </c>
      <c r="AJ168" s="513" t="str">
        <f t="shared" ca="1" si="109"/>
        <v/>
      </c>
      <c r="AK168" s="700" t="str">
        <f t="shared" si="110"/>
        <v/>
      </c>
      <c r="AL168" s="700"/>
      <c r="AM168" s="505" t="str">
        <f t="shared" si="111"/>
        <v/>
      </c>
      <c r="AN168" s="506"/>
      <c r="AO168" s="507"/>
      <c r="AP168" s="507"/>
      <c r="AQ168" s="507"/>
      <c r="AR168" s="507"/>
      <c r="AS168" s="507"/>
      <c r="AT168" s="507"/>
      <c r="AU168" s="507"/>
      <c r="AV168" s="225"/>
      <c r="AW168" s="508"/>
      <c r="AX168" s="225"/>
      <c r="AY168" s="225"/>
      <c r="AZ168" s="225"/>
      <c r="BA168" s="225"/>
      <c r="BB168" s="225"/>
      <c r="BC168" s="56"/>
      <c r="BD168" s="56"/>
      <c r="BE168" s="56"/>
      <c r="BF168" s="107" t="str">
        <f t="shared" si="112"/>
        <v>https://www.google.com/search?tbm=isch&amp;q=Autumn%20Brilliance%E2%84%A2%20Serviceberry%20Amelanchier%20%27Autumn%20Brilliance%27%20PP%235717Exp.</v>
      </c>
      <c r="BG168" s="107" t="str">
        <f t="shared" si="113"/>
        <v>A</v>
      </c>
      <c r="BH168" s="254"/>
      <c r="BI168" s="254"/>
    </row>
    <row r="169" spans="1:61" customFormat="1" ht="15.75" x14ac:dyDescent="0.25">
      <c r="A169" s="276">
        <v>7</v>
      </c>
      <c r="B169" s="240" t="s">
        <v>291</v>
      </c>
      <c r="C169" s="241" t="s">
        <v>3314</v>
      </c>
      <c r="D169" s="242" t="s">
        <v>292</v>
      </c>
      <c r="E169" s="243">
        <v>104.95</v>
      </c>
      <c r="F169" s="517" t="s">
        <v>293</v>
      </c>
      <c r="G169" s="232">
        <v>0</v>
      </c>
      <c r="H169" s="661" t="str">
        <f t="shared" ref="H169:H175" si="126">IF(G169=0,"",IF(F169="Buy",IF(G169=1,"plant","plants"),IF(F169&gt;0.01,"warranty","Error")))</f>
        <v/>
      </c>
      <c r="I169" s="244">
        <f t="shared" ref="I169:I175" si="127">IF(H169="free",0,IF(H169="credit",((E169*(F169))*G169*-1),IF(F169="Buy",(E169*G169),((E169*(1-F169))*G169))))</f>
        <v>0</v>
      </c>
      <c r="J169" s="244">
        <f t="shared" ref="J169:J175" si="128">IF(H169="warranty",0,(I169*(_xlfn.SINGLE(SalesTaxPercentage))))</f>
        <v>0</v>
      </c>
      <c r="K169" s="696">
        <f t="shared" ref="K169" si="129">I169+J169</f>
        <v>0</v>
      </c>
      <c r="L169" s="696"/>
      <c r="M169" s="659" t="str">
        <f t="shared" ref="M169:M175" si="130">IF(AND(G169&gt;0,E169=0),"WARNING - no PRICE inserted",IF(H169="free"," FREE ~ no charge this plant",IF(H169="credit",CONCATENATE(" -$",ROUND(K169*(1-T2GDiscount)*-1,2)," CREDIT after discount"),IF(T2GDiscount=0,"",IF(G169=0,"",IF(F169="Buy",CONCATENATE(" $",ROUND(K169*(1-T2GDiscount),2)," with ",(T2GDiscount*100),"% discount"),CONCATENATE(" $",ROUND(K169*(1-T2GDiscount),2)," with ",((T2GDiscount*100+F169*100)-(T2GDiscount*100*F169)),IF(F169&gt;0,"% discounts",IF(NoWarrantyDiscount&gt;0,"% discounts","% discount")))))))))</f>
        <v/>
      </c>
      <c r="N169" s="660"/>
      <c r="O169" s="233"/>
      <c r="P169" s="233"/>
      <c r="Q169" s="233"/>
      <c r="R169" s="233"/>
      <c r="S169" s="233"/>
      <c r="T169" s="508">
        <f t="shared" si="101"/>
        <v>0</v>
      </c>
      <c r="U169" s="225">
        <f>IF(NOT(ISNUMBER(G169)), "", VLOOKUP(A169,'Discount Lookup'!D:E,2,FALSE)*G169)</f>
        <v>0</v>
      </c>
      <c r="V169" s="225">
        <f>IF(NOT(ISNUMBER(G169)), "", VLOOKUP(A169,'Discount Lookup'!G:H,2,FALSE)*G169)</f>
        <v>0</v>
      </c>
      <c r="W169" s="508">
        <f t="shared" si="102"/>
        <v>0</v>
      </c>
      <c r="X169" s="508">
        <f t="shared" si="103"/>
        <v>0</v>
      </c>
      <c r="Y169" s="509" t="b">
        <f t="shared" si="104"/>
        <v>0</v>
      </c>
      <c r="Z169" s="510">
        <f t="shared" si="105"/>
        <v>0</v>
      </c>
      <c r="AA169" s="511"/>
      <c r="AB169" s="511" t="str">
        <f t="shared" si="106"/>
        <v/>
      </c>
      <c r="AC169" s="698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698"/>
      <c r="AE169" s="631" t="str">
        <f t="shared" si="107"/>
        <v/>
      </c>
      <c r="AF169" s="699" t="str">
        <f t="shared" si="108"/>
        <v/>
      </c>
      <c r="AG169" s="699"/>
      <c r="AH169" s="699"/>
      <c r="AI169" s="512">
        <f>IF(H169="credit",0,IF(AE169="free",0,IF(AE169="me",0,IF(G169&gt;0,(VLOOKUP(A169,'Discount Lookup'!J:K,2)*G169),0))))</f>
        <v>0</v>
      </c>
      <c r="AJ169" s="513" t="str">
        <f t="shared" ca="1" si="109"/>
        <v/>
      </c>
      <c r="AK169" s="700" t="str">
        <f t="shared" si="110"/>
        <v/>
      </c>
      <c r="AL169" s="700"/>
      <c r="AM169" s="505" t="str">
        <f t="shared" si="111"/>
        <v/>
      </c>
      <c r="AN169" s="506"/>
      <c r="AO169" s="507"/>
      <c r="AP169" s="507"/>
      <c r="AQ169" s="507"/>
      <c r="AR169" s="507"/>
      <c r="AS169" s="507"/>
      <c r="AT169" s="507"/>
      <c r="AU169" s="507"/>
      <c r="AV169" s="225"/>
      <c r="AW169" s="508"/>
      <c r="AX169" s="225"/>
      <c r="AY169" s="225"/>
      <c r="AZ169" s="225"/>
      <c r="BA169" s="225"/>
      <c r="BB169" s="225"/>
      <c r="BC169" s="56"/>
      <c r="BD169" s="56"/>
      <c r="BE169" s="56"/>
      <c r="BF169" s="107" t="str">
        <f t="shared" si="112"/>
        <v>https://www.google.com/search?tbm=isch&amp;q=7%20G4</v>
      </c>
      <c r="BG169" s="107" t="str">
        <f t="shared" si="113"/>
        <v>A</v>
      </c>
      <c r="BH169" s="254"/>
      <c r="BI169" s="254"/>
    </row>
    <row r="170" spans="1:61" customFormat="1" ht="15.75" x14ac:dyDescent="0.25">
      <c r="A170" s="276">
        <v>7</v>
      </c>
      <c r="B170" s="240" t="s">
        <v>291</v>
      </c>
      <c r="C170" s="241" t="s">
        <v>4842</v>
      </c>
      <c r="D170" s="242" t="s">
        <v>292</v>
      </c>
      <c r="E170" s="243">
        <v>111.95</v>
      </c>
      <c r="F170" s="517" t="s">
        <v>293</v>
      </c>
      <c r="G170" s="232">
        <v>0</v>
      </c>
      <c r="H170" s="661" t="str">
        <f t="shared" si="126"/>
        <v/>
      </c>
      <c r="I170" s="244">
        <f t="shared" si="127"/>
        <v>0</v>
      </c>
      <c r="J170" s="244">
        <f t="shared" si="128"/>
        <v>0</v>
      </c>
      <c r="K170" s="696">
        <f t="shared" ref="K170" si="131">I170+J170</f>
        <v>0</v>
      </c>
      <c r="L170" s="696"/>
      <c r="M170" s="659" t="str">
        <f t="shared" si="130"/>
        <v/>
      </c>
      <c r="N170" s="660"/>
      <c r="O170" s="233"/>
      <c r="P170" s="233"/>
      <c r="Q170" s="233"/>
      <c r="R170" s="233"/>
      <c r="S170" s="233"/>
      <c r="T170" s="508">
        <f t="shared" si="101"/>
        <v>0</v>
      </c>
      <c r="U170" s="225">
        <f>IF(NOT(ISNUMBER(G170)), "", VLOOKUP(A170,'Discount Lookup'!D:E,2,FALSE)*G170)</f>
        <v>0</v>
      </c>
      <c r="V170" s="225">
        <f>IF(NOT(ISNUMBER(G170)), "", VLOOKUP(A170,'Discount Lookup'!G:H,2,FALSE)*G170)</f>
        <v>0</v>
      </c>
      <c r="W170" s="508">
        <f t="shared" si="102"/>
        <v>0</v>
      </c>
      <c r="X170" s="508">
        <f t="shared" si="103"/>
        <v>0</v>
      </c>
      <c r="Y170" s="509" t="b">
        <f t="shared" si="104"/>
        <v>0</v>
      </c>
      <c r="Z170" s="510">
        <f t="shared" si="105"/>
        <v>0</v>
      </c>
      <c r="AA170" s="511"/>
      <c r="AB170" s="511" t="str">
        <f t="shared" si="106"/>
        <v/>
      </c>
      <c r="AC170" s="698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698"/>
      <c r="AE170" s="631" t="str">
        <f t="shared" si="107"/>
        <v/>
      </c>
      <c r="AF170" s="699" t="str">
        <f t="shared" si="108"/>
        <v/>
      </c>
      <c r="AG170" s="699"/>
      <c r="AH170" s="699"/>
      <c r="AI170" s="512">
        <f>IF(H170="credit",0,IF(AE170="free",0,IF(AE170="me",0,IF(G170&gt;0,(VLOOKUP(A170,'Discount Lookup'!J:K,2)*G170),0))))</f>
        <v>0</v>
      </c>
      <c r="AJ170" s="513" t="str">
        <f t="shared" ca="1" si="109"/>
        <v/>
      </c>
      <c r="AK170" s="700" t="str">
        <f t="shared" si="110"/>
        <v/>
      </c>
      <c r="AL170" s="700"/>
      <c r="AM170" s="505" t="str">
        <f t="shared" si="111"/>
        <v/>
      </c>
      <c r="AN170" s="506"/>
      <c r="AO170" s="507"/>
      <c r="AP170" s="507"/>
      <c r="AQ170" s="507"/>
      <c r="AR170" s="507"/>
      <c r="AS170" s="507"/>
      <c r="AT170" s="507"/>
      <c r="AU170" s="507"/>
      <c r="AV170" s="225"/>
      <c r="AW170" s="508"/>
      <c r="AX170" s="225"/>
      <c r="AY170" s="225"/>
      <c r="AZ170" s="225"/>
      <c r="BA170" s="225"/>
      <c r="BB170" s="225"/>
      <c r="BC170" s="56"/>
      <c r="BD170" s="56"/>
      <c r="BE170" s="56"/>
      <c r="BF170" s="107" t="str">
        <f t="shared" si="112"/>
        <v>https://www.google.com/search?tbm=isch&amp;q=7%20G4</v>
      </c>
      <c r="BG170" s="107" t="str">
        <f t="shared" si="113"/>
        <v>A</v>
      </c>
      <c r="BH170" s="254"/>
      <c r="BI170" s="254"/>
    </row>
    <row r="171" spans="1:61" customFormat="1" ht="15.75" x14ac:dyDescent="0.25">
      <c r="A171" s="276">
        <v>15</v>
      </c>
      <c r="B171" s="240" t="s">
        <v>291</v>
      </c>
      <c r="C171" s="241" t="s">
        <v>2710</v>
      </c>
      <c r="D171" s="242" t="s">
        <v>299</v>
      </c>
      <c r="E171" s="243">
        <v>148.94999999999999</v>
      </c>
      <c r="F171" s="517" t="s">
        <v>293</v>
      </c>
      <c r="G171" s="232">
        <v>0</v>
      </c>
      <c r="H171" s="661" t="str">
        <f t="shared" si="126"/>
        <v/>
      </c>
      <c r="I171" s="244">
        <f t="shared" si="127"/>
        <v>0</v>
      </c>
      <c r="J171" s="244">
        <f t="shared" si="128"/>
        <v>0</v>
      </c>
      <c r="K171" s="696">
        <f t="shared" ref="K171" si="132">I171+J171</f>
        <v>0</v>
      </c>
      <c r="L171" s="696"/>
      <c r="M171" s="659" t="str">
        <f t="shared" si="130"/>
        <v/>
      </c>
      <c r="N171" s="660"/>
      <c r="O171" s="233"/>
      <c r="P171" s="233"/>
      <c r="Q171" s="233"/>
      <c r="R171" s="233"/>
      <c r="S171" s="233"/>
      <c r="T171" s="508">
        <f t="shared" si="101"/>
        <v>0</v>
      </c>
      <c r="U171" s="225">
        <f>IF(NOT(ISNUMBER(G171)), "", VLOOKUP(A171,'Discount Lookup'!D:E,2,FALSE)*G171)</f>
        <v>0</v>
      </c>
      <c r="V171" s="225">
        <f>IF(NOT(ISNUMBER(G171)), "", VLOOKUP(A171,'Discount Lookup'!G:H,2,FALSE)*G171)</f>
        <v>0</v>
      </c>
      <c r="W171" s="508">
        <f t="shared" si="102"/>
        <v>0</v>
      </c>
      <c r="X171" s="508">
        <f t="shared" si="103"/>
        <v>0</v>
      </c>
      <c r="Y171" s="509" t="b">
        <f t="shared" si="104"/>
        <v>0</v>
      </c>
      <c r="Z171" s="510">
        <f t="shared" si="105"/>
        <v>0</v>
      </c>
      <c r="AA171" s="511"/>
      <c r="AB171" s="511" t="str">
        <f t="shared" si="106"/>
        <v/>
      </c>
      <c r="AC171" s="698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698"/>
      <c r="AE171" s="631" t="str">
        <f t="shared" si="107"/>
        <v/>
      </c>
      <c r="AF171" s="699" t="str">
        <f t="shared" si="108"/>
        <v/>
      </c>
      <c r="AG171" s="699"/>
      <c r="AH171" s="699"/>
      <c r="AI171" s="512">
        <f>IF(H171="credit",0,IF(AE171="free",0,IF(AE171="me",0,IF(G171&gt;0,(VLOOKUP(A171,'Discount Lookup'!J:K,2)*G171),0))))</f>
        <v>0</v>
      </c>
      <c r="AJ171" s="513" t="str">
        <f t="shared" ca="1" si="109"/>
        <v/>
      </c>
      <c r="AK171" s="700" t="str">
        <f t="shared" si="110"/>
        <v/>
      </c>
      <c r="AL171" s="700"/>
      <c r="AM171" s="505" t="str">
        <f t="shared" si="111"/>
        <v/>
      </c>
      <c r="AN171" s="506"/>
      <c r="AO171" s="507"/>
      <c r="AP171" s="507"/>
      <c r="AQ171" s="507"/>
      <c r="AR171" s="507"/>
      <c r="AS171" s="507"/>
      <c r="AT171" s="507"/>
      <c r="AU171" s="507"/>
      <c r="AV171" s="225"/>
      <c r="AW171" s="508"/>
      <c r="AX171" s="225"/>
      <c r="AY171" s="225"/>
      <c r="AZ171" s="225"/>
      <c r="BA171" s="225"/>
      <c r="BB171" s="225"/>
      <c r="BC171" s="56"/>
      <c r="BD171" s="56"/>
      <c r="BE171" s="56"/>
      <c r="BF171" s="107" t="str">
        <f t="shared" si="112"/>
        <v>https://www.google.com/search?tbm=isch&amp;q=15%20G5</v>
      </c>
      <c r="BG171" s="107" t="str">
        <f t="shared" si="113"/>
        <v>A</v>
      </c>
      <c r="BH171" s="254"/>
      <c r="BI171" s="254"/>
    </row>
    <row r="172" spans="1:61" customFormat="1" ht="15.75" x14ac:dyDescent="0.25">
      <c r="A172" s="276">
        <v>15</v>
      </c>
      <c r="B172" s="240" t="s">
        <v>291</v>
      </c>
      <c r="C172" s="241" t="s">
        <v>2330</v>
      </c>
      <c r="D172" s="242" t="s">
        <v>299</v>
      </c>
      <c r="E172" s="243">
        <v>194.95</v>
      </c>
      <c r="F172" s="517" t="s">
        <v>293</v>
      </c>
      <c r="G172" s="232">
        <v>0</v>
      </c>
      <c r="H172" s="661" t="str">
        <f t="shared" si="126"/>
        <v/>
      </c>
      <c r="I172" s="244">
        <f t="shared" si="127"/>
        <v>0</v>
      </c>
      <c r="J172" s="244">
        <f t="shared" si="128"/>
        <v>0</v>
      </c>
      <c r="K172" s="696">
        <f t="shared" ref="K172" si="133">I172+J172</f>
        <v>0</v>
      </c>
      <c r="L172" s="696"/>
      <c r="M172" s="659" t="str">
        <f t="shared" si="130"/>
        <v/>
      </c>
      <c r="N172" s="660"/>
      <c r="O172" s="233"/>
      <c r="P172" s="233"/>
      <c r="Q172" s="233"/>
      <c r="R172" s="233"/>
      <c r="S172" s="233"/>
      <c r="T172" s="508">
        <f t="shared" si="101"/>
        <v>0</v>
      </c>
      <c r="U172" s="225">
        <f>IF(NOT(ISNUMBER(G172)), "", VLOOKUP(A172,'Discount Lookup'!D:E,2,FALSE)*G172)</f>
        <v>0</v>
      </c>
      <c r="V172" s="225">
        <f>IF(NOT(ISNUMBER(G172)), "", VLOOKUP(A172,'Discount Lookup'!G:H,2,FALSE)*G172)</f>
        <v>0</v>
      </c>
      <c r="W172" s="508">
        <f t="shared" si="102"/>
        <v>0</v>
      </c>
      <c r="X172" s="508">
        <f t="shared" si="103"/>
        <v>0</v>
      </c>
      <c r="Y172" s="509" t="b">
        <f t="shared" si="104"/>
        <v>0</v>
      </c>
      <c r="Z172" s="510">
        <f t="shared" si="105"/>
        <v>0</v>
      </c>
      <c r="AA172" s="511"/>
      <c r="AB172" s="511" t="str">
        <f t="shared" si="106"/>
        <v/>
      </c>
      <c r="AC172" s="698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698"/>
      <c r="AE172" s="631" t="str">
        <f t="shared" si="107"/>
        <v/>
      </c>
      <c r="AF172" s="699" t="str">
        <f t="shared" si="108"/>
        <v/>
      </c>
      <c r="AG172" s="699"/>
      <c r="AH172" s="699"/>
      <c r="AI172" s="512">
        <f>IF(H172="credit",0,IF(AE172="free",0,IF(AE172="me",0,IF(G172&gt;0,(VLOOKUP(A172,'Discount Lookup'!J:K,2)*G172),0))))</f>
        <v>0</v>
      </c>
      <c r="AJ172" s="513" t="str">
        <f t="shared" ca="1" si="109"/>
        <v/>
      </c>
      <c r="AK172" s="700" t="str">
        <f t="shared" si="110"/>
        <v/>
      </c>
      <c r="AL172" s="700"/>
      <c r="AM172" s="505" t="str">
        <f t="shared" si="111"/>
        <v/>
      </c>
      <c r="AN172" s="506"/>
      <c r="AO172" s="507"/>
      <c r="AP172" s="507"/>
      <c r="AQ172" s="507"/>
      <c r="AR172" s="507"/>
      <c r="AS172" s="507"/>
      <c r="AT172" s="507"/>
      <c r="AU172" s="507"/>
      <c r="AV172" s="225"/>
      <c r="AW172" s="508"/>
      <c r="AX172" s="225"/>
      <c r="AY172" s="225"/>
      <c r="AZ172" s="225"/>
      <c r="BA172" s="225"/>
      <c r="BB172" s="225"/>
      <c r="BC172" s="56"/>
      <c r="BD172" s="56"/>
      <c r="BE172" s="56"/>
      <c r="BF172" s="107" t="str">
        <f t="shared" si="112"/>
        <v>https://www.google.com/search?tbm=isch&amp;q=15%20G5</v>
      </c>
      <c r="BG172" s="107" t="str">
        <f t="shared" si="113"/>
        <v>A</v>
      </c>
      <c r="BH172" s="254"/>
      <c r="BI172" s="254"/>
    </row>
    <row r="173" spans="1:61" customFormat="1" ht="27" x14ac:dyDescent="0.25">
      <c r="A173" s="276">
        <v>15</v>
      </c>
      <c r="B173" s="240" t="s">
        <v>291</v>
      </c>
      <c r="C173" s="241" t="s">
        <v>4843</v>
      </c>
      <c r="D173" s="242" t="s">
        <v>292</v>
      </c>
      <c r="E173" s="243">
        <v>201.95</v>
      </c>
      <c r="F173" s="517" t="s">
        <v>293</v>
      </c>
      <c r="G173" s="232">
        <v>0</v>
      </c>
      <c r="H173" s="661" t="str">
        <f t="shared" si="126"/>
        <v/>
      </c>
      <c r="I173" s="244">
        <f t="shared" si="127"/>
        <v>0</v>
      </c>
      <c r="J173" s="244">
        <f t="shared" si="128"/>
        <v>0</v>
      </c>
      <c r="K173" s="696">
        <f t="shared" ref="K173" si="134">I173+J173</f>
        <v>0</v>
      </c>
      <c r="L173" s="696"/>
      <c r="M173" s="659" t="str">
        <f t="shared" si="130"/>
        <v/>
      </c>
      <c r="N173" s="660"/>
      <c r="O173" s="233"/>
      <c r="P173" s="233"/>
      <c r="Q173" s="233"/>
      <c r="R173" s="233"/>
      <c r="S173" s="233"/>
      <c r="T173" s="508">
        <f t="shared" si="101"/>
        <v>0</v>
      </c>
      <c r="U173" s="225">
        <f>IF(NOT(ISNUMBER(G173)), "", VLOOKUP(A173,'Discount Lookup'!D:E,2,FALSE)*G173)</f>
        <v>0</v>
      </c>
      <c r="V173" s="225">
        <f>IF(NOT(ISNUMBER(G173)), "", VLOOKUP(A173,'Discount Lookup'!G:H,2,FALSE)*G173)</f>
        <v>0</v>
      </c>
      <c r="W173" s="508">
        <f t="shared" si="102"/>
        <v>0</v>
      </c>
      <c r="X173" s="508">
        <f t="shared" si="103"/>
        <v>0</v>
      </c>
      <c r="Y173" s="509" t="b">
        <f t="shared" si="104"/>
        <v>0</v>
      </c>
      <c r="Z173" s="510">
        <f t="shared" si="105"/>
        <v>0</v>
      </c>
      <c r="AA173" s="511"/>
      <c r="AB173" s="511" t="str">
        <f t="shared" si="106"/>
        <v/>
      </c>
      <c r="AC173" s="698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698"/>
      <c r="AE173" s="631" t="str">
        <f t="shared" si="107"/>
        <v/>
      </c>
      <c r="AF173" s="699" t="str">
        <f t="shared" si="108"/>
        <v/>
      </c>
      <c r="AG173" s="699"/>
      <c r="AH173" s="699"/>
      <c r="AI173" s="512">
        <f>IF(H173="credit",0,IF(AE173="free",0,IF(AE173="me",0,IF(G173&gt;0,(VLOOKUP(A173,'Discount Lookup'!J:K,2)*G173),0))))</f>
        <v>0</v>
      </c>
      <c r="AJ173" s="513" t="str">
        <f t="shared" ca="1" si="109"/>
        <v/>
      </c>
      <c r="AK173" s="700" t="str">
        <f t="shared" si="110"/>
        <v/>
      </c>
      <c r="AL173" s="700"/>
      <c r="AM173" s="505" t="str">
        <f t="shared" si="111"/>
        <v/>
      </c>
      <c r="AN173" s="506"/>
      <c r="AO173" s="507"/>
      <c r="AP173" s="507"/>
      <c r="AQ173" s="507"/>
      <c r="AR173" s="507"/>
      <c r="AS173" s="507"/>
      <c r="AT173" s="507"/>
      <c r="AU173" s="507"/>
      <c r="AV173" s="225"/>
      <c r="AW173" s="508"/>
      <c r="AX173" s="225"/>
      <c r="AY173" s="225"/>
      <c r="AZ173" s="225"/>
      <c r="BA173" s="225"/>
      <c r="BB173" s="225"/>
      <c r="BC173" s="56"/>
      <c r="BD173" s="56"/>
      <c r="BE173" s="56"/>
      <c r="BF173" s="107" t="str">
        <f t="shared" si="112"/>
        <v>https://www.google.com/search?tbm=isch&amp;q=15%20G4</v>
      </c>
      <c r="BG173" s="107" t="str">
        <f t="shared" si="113"/>
        <v>A</v>
      </c>
      <c r="BH173" s="254"/>
      <c r="BI173" s="254"/>
    </row>
    <row r="174" spans="1:61" customFormat="1" ht="15.75" x14ac:dyDescent="0.25">
      <c r="A174" s="276">
        <v>15</v>
      </c>
      <c r="B174" s="240" t="s">
        <v>291</v>
      </c>
      <c r="C174" s="241" t="s">
        <v>3971</v>
      </c>
      <c r="D174" s="242" t="s">
        <v>300</v>
      </c>
      <c r="E174" s="243">
        <v>271.95</v>
      </c>
      <c r="F174" s="517" t="s">
        <v>293</v>
      </c>
      <c r="G174" s="232">
        <v>0</v>
      </c>
      <c r="H174" s="661" t="str">
        <f t="shared" si="126"/>
        <v/>
      </c>
      <c r="I174" s="244">
        <f t="shared" si="127"/>
        <v>0</v>
      </c>
      <c r="J174" s="244">
        <f t="shared" si="128"/>
        <v>0</v>
      </c>
      <c r="K174" s="696">
        <f t="shared" ref="K174" si="135">I174+J174</f>
        <v>0</v>
      </c>
      <c r="L174" s="696"/>
      <c r="M174" s="659" t="str">
        <f t="shared" si="130"/>
        <v/>
      </c>
      <c r="N174" s="660"/>
      <c r="O174" s="233"/>
      <c r="P174" s="233"/>
      <c r="Q174" s="233"/>
      <c r="R174" s="233"/>
      <c r="S174" s="233"/>
      <c r="T174" s="508">
        <f t="shared" si="101"/>
        <v>0</v>
      </c>
      <c r="U174" s="225">
        <f>IF(NOT(ISNUMBER(G174)), "", VLOOKUP(A174,'Discount Lookup'!D:E,2,FALSE)*G174)</f>
        <v>0</v>
      </c>
      <c r="V174" s="225">
        <f>IF(NOT(ISNUMBER(G174)), "", VLOOKUP(A174,'Discount Lookup'!G:H,2,FALSE)*G174)</f>
        <v>0</v>
      </c>
      <c r="W174" s="508">
        <f t="shared" si="102"/>
        <v>0</v>
      </c>
      <c r="X174" s="508">
        <f t="shared" si="103"/>
        <v>0</v>
      </c>
      <c r="Y174" s="509" t="b">
        <f t="shared" si="104"/>
        <v>0</v>
      </c>
      <c r="Z174" s="510">
        <f t="shared" si="105"/>
        <v>0</v>
      </c>
      <c r="AA174" s="511"/>
      <c r="AB174" s="511" t="str">
        <f t="shared" si="106"/>
        <v/>
      </c>
      <c r="AC174" s="698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698"/>
      <c r="AE174" s="631" t="str">
        <f t="shared" si="107"/>
        <v/>
      </c>
      <c r="AF174" s="699" t="str">
        <f t="shared" si="108"/>
        <v/>
      </c>
      <c r="AG174" s="699"/>
      <c r="AH174" s="699"/>
      <c r="AI174" s="512">
        <f>IF(H174="credit",0,IF(AE174="free",0,IF(AE174="me",0,IF(G174&gt;0,(VLOOKUP(A174,'Discount Lookup'!J:K,2)*G174),0))))</f>
        <v>0</v>
      </c>
      <c r="AJ174" s="513" t="str">
        <f t="shared" ca="1" si="109"/>
        <v/>
      </c>
      <c r="AK174" s="700" t="str">
        <f t="shared" si="110"/>
        <v/>
      </c>
      <c r="AL174" s="700"/>
      <c r="AM174" s="505" t="str">
        <f t="shared" si="111"/>
        <v/>
      </c>
      <c r="AN174" s="506"/>
      <c r="AO174" s="507"/>
      <c r="AP174" s="507"/>
      <c r="AQ174" s="507"/>
      <c r="AR174" s="507"/>
      <c r="AS174" s="507"/>
      <c r="AT174" s="507"/>
      <c r="AU174" s="507"/>
      <c r="AV174" s="225"/>
      <c r="AW174" s="508"/>
      <c r="AX174" s="225"/>
      <c r="AY174" s="225"/>
      <c r="AZ174" s="225"/>
      <c r="BA174" s="225"/>
      <c r="BB174" s="225"/>
      <c r="BC174" s="56"/>
      <c r="BD174" s="56"/>
      <c r="BE174" s="56"/>
      <c r="BF174" s="107" t="str">
        <f t="shared" si="112"/>
        <v>https://www.google.com/search?tbm=isch&amp;q=15%20G6</v>
      </c>
      <c r="BG174" s="107" t="str">
        <f t="shared" si="113"/>
        <v>A</v>
      </c>
      <c r="BH174" s="254"/>
      <c r="BI174" s="254"/>
    </row>
    <row r="175" spans="1:61" customFormat="1" ht="15.75" x14ac:dyDescent="0.25">
      <c r="A175" s="276">
        <v>25</v>
      </c>
      <c r="B175" s="240" t="s">
        <v>291</v>
      </c>
      <c r="C175" s="241" t="s">
        <v>4376</v>
      </c>
      <c r="D175" s="242" t="s">
        <v>292</v>
      </c>
      <c r="E175" s="243">
        <v>299.95</v>
      </c>
      <c r="F175" s="517" t="s">
        <v>293</v>
      </c>
      <c r="G175" s="232">
        <v>0</v>
      </c>
      <c r="H175" s="661" t="str">
        <f t="shared" si="126"/>
        <v/>
      </c>
      <c r="I175" s="244">
        <f t="shared" si="127"/>
        <v>0</v>
      </c>
      <c r="J175" s="244">
        <f t="shared" si="128"/>
        <v>0</v>
      </c>
      <c r="K175" s="696">
        <f t="shared" ref="K175" si="136">I175+J175</f>
        <v>0</v>
      </c>
      <c r="L175" s="696"/>
      <c r="M175" s="659" t="str">
        <f t="shared" si="130"/>
        <v/>
      </c>
      <c r="N175" s="660"/>
      <c r="O175" s="233"/>
      <c r="P175" s="233"/>
      <c r="Q175" s="233"/>
      <c r="R175" s="233"/>
      <c r="S175" s="233"/>
      <c r="T175" s="508">
        <f t="shared" si="101"/>
        <v>0</v>
      </c>
      <c r="U175" s="225">
        <f>IF(NOT(ISNUMBER(G175)), "", VLOOKUP(A175,'Discount Lookup'!D:E,2,FALSE)*G175)</f>
        <v>0</v>
      </c>
      <c r="V175" s="225">
        <f>IF(NOT(ISNUMBER(G175)), "", VLOOKUP(A175,'Discount Lookup'!G:H,2,FALSE)*G175)</f>
        <v>0</v>
      </c>
      <c r="W175" s="508">
        <f t="shared" si="102"/>
        <v>0</v>
      </c>
      <c r="X175" s="508">
        <f t="shared" si="103"/>
        <v>0</v>
      </c>
      <c r="Y175" s="509" t="b">
        <f t="shared" si="104"/>
        <v>0</v>
      </c>
      <c r="Z175" s="510">
        <f t="shared" si="105"/>
        <v>0</v>
      </c>
      <c r="AA175" s="511"/>
      <c r="AB175" s="511" t="str">
        <f t="shared" si="106"/>
        <v/>
      </c>
      <c r="AC175" s="698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698"/>
      <c r="AE175" s="631" t="str">
        <f t="shared" si="107"/>
        <v/>
      </c>
      <c r="AF175" s="699" t="str">
        <f t="shared" si="108"/>
        <v/>
      </c>
      <c r="AG175" s="699"/>
      <c r="AH175" s="699"/>
      <c r="AI175" s="512">
        <f>IF(H175="credit",0,IF(AE175="free",0,IF(AE175="me",0,IF(G175&gt;0,(VLOOKUP(A175,'Discount Lookup'!J:K,2)*G175),0))))</f>
        <v>0</v>
      </c>
      <c r="AJ175" s="513" t="str">
        <f t="shared" ca="1" si="109"/>
        <v/>
      </c>
      <c r="AK175" s="700" t="str">
        <f t="shared" si="110"/>
        <v/>
      </c>
      <c r="AL175" s="700"/>
      <c r="AM175" s="505" t="str">
        <f t="shared" si="111"/>
        <v/>
      </c>
      <c r="AN175" s="506"/>
      <c r="AO175" s="507"/>
      <c r="AP175" s="507"/>
      <c r="AQ175" s="507"/>
      <c r="AR175" s="507"/>
      <c r="AS175" s="507"/>
      <c r="AT175" s="507"/>
      <c r="AU175" s="507"/>
      <c r="AV175" s="225"/>
      <c r="AW175" s="508"/>
      <c r="AX175" s="225"/>
      <c r="AY175" s="225"/>
      <c r="AZ175" s="225"/>
      <c r="BA175" s="225"/>
      <c r="BB175" s="225"/>
      <c r="BC175" s="56"/>
      <c r="BD175" s="56"/>
      <c r="BE175" s="56"/>
      <c r="BF175" s="107" t="str">
        <f t="shared" si="112"/>
        <v>https://www.google.com/search?tbm=isch&amp;q=25%20G4</v>
      </c>
      <c r="BG175" s="107" t="str">
        <f t="shared" si="113"/>
        <v>A</v>
      </c>
      <c r="BH175" s="254"/>
      <c r="BI175" s="254"/>
    </row>
    <row r="176" spans="1:61" customFormat="1" ht="17.25" thickBot="1" x14ac:dyDescent="0.3">
      <c r="A176" s="673" t="s">
        <v>5044</v>
      </c>
      <c r="B176" s="245"/>
      <c r="C176" s="677"/>
      <c r="D176" s="499"/>
      <c r="E176" s="499"/>
      <c r="F176" s="500"/>
      <c r="G176" s="501"/>
      <c r="H176" s="502"/>
      <c r="I176" s="246"/>
      <c r="J176" s="247"/>
      <c r="K176" s="503"/>
      <c r="L176" s="544"/>
      <c r="M176" s="544"/>
      <c r="N176" s="500"/>
      <c r="O176" s="500"/>
      <c r="P176" s="500"/>
      <c r="Q176" s="500"/>
      <c r="R176" s="500"/>
      <c r="S176" s="669" t="s">
        <v>4989</v>
      </c>
      <c r="T176" s="508">
        <f t="shared" si="101"/>
        <v>0</v>
      </c>
      <c r="U176" s="225" t="str">
        <f>IF(NOT(ISNUMBER(G176)), "", VLOOKUP(A176,'Discount Lookup'!D:E,2,FALSE)*G176)</f>
        <v/>
      </c>
      <c r="V176" s="225" t="str">
        <f>IF(NOT(ISNUMBER(G176)), "", VLOOKUP(A176,'Discount Lookup'!G:H,2,FALSE)*G176)</f>
        <v/>
      </c>
      <c r="W176" s="508">
        <f t="shared" si="102"/>
        <v>0</v>
      </c>
      <c r="X176" s="508">
        <f t="shared" si="103"/>
        <v>0</v>
      </c>
      <c r="Y176" s="509" t="b">
        <f t="shared" si="104"/>
        <v>0</v>
      </c>
      <c r="Z176" s="510">
        <f t="shared" si="105"/>
        <v>0</v>
      </c>
      <c r="AA176" s="511"/>
      <c r="AB176" s="511" t="str">
        <f t="shared" si="106"/>
        <v/>
      </c>
      <c r="AC176" s="698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698"/>
      <c r="AE176" s="631" t="str">
        <f t="shared" si="107"/>
        <v/>
      </c>
      <c r="AF176" s="699" t="str">
        <f t="shared" si="108"/>
        <v/>
      </c>
      <c r="AG176" s="699"/>
      <c r="AH176" s="699"/>
      <c r="AI176" s="512">
        <f>IF(H176="credit",0,IF(AE176="free",0,IF(AE176="me",0,IF(G176&gt;0,(VLOOKUP(A176,'Discount Lookup'!J:K,2)*G176),0))))</f>
        <v>0</v>
      </c>
      <c r="AJ176" s="513" t="str">
        <f t="shared" ca="1" si="109"/>
        <v/>
      </c>
      <c r="AK176" s="700" t="str">
        <f t="shared" si="110"/>
        <v/>
      </c>
      <c r="AL176" s="700"/>
      <c r="AM176" s="505" t="str">
        <f t="shared" si="111"/>
        <v/>
      </c>
      <c r="AN176" s="506"/>
      <c r="AO176" s="507"/>
      <c r="AP176" s="507"/>
      <c r="AQ176" s="507"/>
      <c r="AR176" s="507"/>
      <c r="AS176" s="507"/>
      <c r="AT176" s="507"/>
      <c r="AU176" s="507"/>
      <c r="AV176" s="225"/>
      <c r="AW176" s="508"/>
      <c r="AX176" s="225"/>
      <c r="AY176" s="225"/>
      <c r="AZ176" s="225"/>
      <c r="BA176" s="225"/>
      <c r="BB176" s="225"/>
      <c r="BC176" s="56"/>
      <c r="BD176" s="56"/>
      <c r="BE176" s="56"/>
      <c r="BF176" s="107" t="str">
        <f t="shared" si="112"/>
        <v>https://www.google.com/search?tbm=isch&amp;q=moist%20sites%F0%9F%92%A7GOOD%2C%20Autumn%20Brilliance%20%28and%20all%20seviceberry%29%20are%20great%20for%20attracting%20birds.%20Edible%20fruit%20can%20make%20tasty%20jelly%20</v>
      </c>
      <c r="BG176" s="107" t="str">
        <f t="shared" si="113"/>
        <v>m</v>
      </c>
      <c r="BH176" s="254"/>
      <c r="BI176" s="254"/>
    </row>
    <row r="177" spans="1:61" customFormat="1" ht="18" x14ac:dyDescent="0.25">
      <c r="A177" s="521" t="s">
        <v>5303</v>
      </c>
      <c r="B177" s="477"/>
      <c r="C177" s="674"/>
      <c r="D177" s="478" t="s">
        <v>5304</v>
      </c>
      <c r="E177" s="479"/>
      <c r="F177" s="479"/>
      <c r="G177" s="479"/>
      <c r="H177" s="582" t="s">
        <v>2582</v>
      </c>
      <c r="I177" s="480" t="s">
        <v>4377</v>
      </c>
      <c r="J177" s="479"/>
      <c r="K177" s="479"/>
      <c r="L177" s="560"/>
      <c r="M177" s="666" t="s">
        <v>4966</v>
      </c>
      <c r="N177" s="680" t="str">
        <f>IF(AND(ISTEXT($A177), ISERROR($A177+0)), HYPERLINK($BF177, "Images"), "")</f>
        <v>Images</v>
      </c>
      <c r="O177" s="662" t="s">
        <v>4974</v>
      </c>
      <c r="P177" s="482"/>
      <c r="Q177" s="483"/>
      <c r="R177" s="483"/>
      <c r="S177" s="484"/>
      <c r="T177" s="508">
        <f t="shared" si="101"/>
        <v>0</v>
      </c>
      <c r="U177" s="225" t="str">
        <f>IF(NOT(ISNUMBER(G177)), "", VLOOKUP(A177,'Discount Lookup'!D:E,2,FALSE)*G177)</f>
        <v/>
      </c>
      <c r="V177" s="225" t="str">
        <f>IF(NOT(ISNUMBER(G177)), "", VLOOKUP(A177,'Discount Lookup'!G:H,2,FALSE)*G177)</f>
        <v/>
      </c>
      <c r="W177" s="508">
        <f t="shared" si="102"/>
        <v>0</v>
      </c>
      <c r="X177" s="508" t="str">
        <f t="shared" si="103"/>
        <v>Soft Pink</v>
      </c>
      <c r="Y177" s="509" t="b">
        <f t="shared" si="104"/>
        <v>0</v>
      </c>
      <c r="Z177" s="510">
        <f t="shared" si="105"/>
        <v>0</v>
      </c>
      <c r="AA177" s="511"/>
      <c r="AB177" s="511" t="str">
        <f t="shared" si="106"/>
        <v/>
      </c>
      <c r="AC177" s="698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698"/>
      <c r="AE177" s="631" t="str">
        <f t="shared" si="107"/>
        <v/>
      </c>
      <c r="AF177" s="699" t="str">
        <f t="shared" si="108"/>
        <v/>
      </c>
      <c r="AG177" s="699"/>
      <c r="AH177" s="699"/>
      <c r="AI177" s="512">
        <f>IF(H177="credit",0,IF(AE177="free",0,IF(AE177="me",0,IF(G177&gt;0,(VLOOKUP(A177,'Discount Lookup'!J:K,2)*G177),0))))</f>
        <v>0</v>
      </c>
      <c r="AJ177" s="513" t="str">
        <f t="shared" ca="1" si="109"/>
        <v/>
      </c>
      <c r="AK177" s="700" t="str">
        <f t="shared" si="110"/>
        <v/>
      </c>
      <c r="AL177" s="700"/>
      <c r="AM177" s="505" t="str">
        <f t="shared" si="111"/>
        <v/>
      </c>
      <c r="AN177" s="506"/>
      <c r="AO177" s="507"/>
      <c r="AP177" s="507"/>
      <c r="AQ177" s="507"/>
      <c r="AR177" s="507"/>
      <c r="AS177" s="507"/>
      <c r="AT177" s="507"/>
      <c r="AU177" s="507"/>
      <c r="AV177" s="225"/>
      <c r="AW177" s="508"/>
      <c r="AX177" s="225"/>
      <c r="AY177" s="225"/>
      <c r="AZ177" s="225"/>
      <c r="BA177" s="225"/>
      <c r="BB177" s="225"/>
      <c r="BC177" s="56"/>
      <c r="BD177" s="56"/>
      <c r="BE177" s="56"/>
      <c r="BF177" s="107" t="str">
        <f t="shared" si="112"/>
        <v>https://www.google.com/search?tbm=isch&amp;q=Autumn%20Carnation%C2%AE%20Encore%C2%AE%20Azalea%20Rhod.%20Encore%C2%AE%20%27Roblec%27%20PP%2315339</v>
      </c>
      <c r="BG177" s="107" t="str">
        <f t="shared" si="113"/>
        <v>A</v>
      </c>
      <c r="BH177" s="254"/>
      <c r="BI177" s="254"/>
    </row>
    <row r="178" spans="1:61" customFormat="1" ht="15.75" x14ac:dyDescent="0.25">
      <c r="A178" s="485">
        <v>3</v>
      </c>
      <c r="B178" s="486" t="s">
        <v>291</v>
      </c>
      <c r="C178" s="487" t="s">
        <v>341</v>
      </c>
      <c r="D178" s="488" t="s">
        <v>312</v>
      </c>
      <c r="E178" s="489">
        <v>29.95</v>
      </c>
      <c r="F178" s="516" t="s">
        <v>293</v>
      </c>
      <c r="G178" s="232">
        <v>0</v>
      </c>
      <c r="H178" s="658" t="str">
        <f>IF(G178=0,"",IF(F178="Buy",IF(G178=1,"plant","plants"),IF(F178&gt;0.01,"warranty","Error")))</f>
        <v/>
      </c>
      <c r="I178" s="490">
        <f>IF(H178="free",0,IF(H178="credit",((E178*(F178))*G178*-1),IF(F178="Buy",(E178*G178),((E178*(1-F178))*G178))))</f>
        <v>0</v>
      </c>
      <c r="J178" s="490">
        <f>IF(H178="warranty",0,(I178*(_xlfn.SINGLE(SalesTaxPercentage))))</f>
        <v>0</v>
      </c>
      <c r="K178" s="695">
        <f t="shared" ref="K178" si="137">I178+J178</f>
        <v>0</v>
      </c>
      <c r="L178" s="695"/>
      <c r="M178" s="659" t="str">
        <f>IF(AND(G178&gt;0,E178=0),"WARNING - no PRICE inserted",IF(H178="free"," FREE ~ no charge this plant",IF(H178="credit",CONCATENATE(" -$",ROUND(K178*(1-T2GDiscount)*-1,2)," CREDIT after discount"),IF(T2GDiscount=0,"",IF(G178=0,"",IF(F178="Buy",CONCATENATE(" $",ROUND(K178*(1-T2GDiscount),2)," with ",(T2GDiscount*100),"% discount"),CONCATENATE(" $",ROUND(K178*(1-T2GDiscount),2)," with ",((T2GDiscount*100+F178*100)-(T2GDiscount*100*F178)),IF(F178&gt;0,"% discounts",IF(NoWarrantyDiscount&gt;0,"% discounts","% discount")))))))))</f>
        <v/>
      </c>
      <c r="N178" s="660"/>
      <c r="O178" s="233"/>
      <c r="P178" s="233"/>
      <c r="Q178" s="233"/>
      <c r="R178" s="233"/>
      <c r="S178" s="233"/>
      <c r="T178" s="508">
        <f t="shared" si="101"/>
        <v>0</v>
      </c>
      <c r="U178" s="225">
        <f>IF(NOT(ISNUMBER(G178)), "", VLOOKUP(A178,'Discount Lookup'!D:E,2,FALSE)*G178)</f>
        <v>0</v>
      </c>
      <c r="V178" s="225">
        <f>IF(NOT(ISNUMBER(G178)), "", VLOOKUP(A178,'Discount Lookup'!G:H,2,FALSE)*G178)</f>
        <v>0</v>
      </c>
      <c r="W178" s="508">
        <f t="shared" si="102"/>
        <v>0</v>
      </c>
      <c r="X178" s="508">
        <f t="shared" si="103"/>
        <v>0</v>
      </c>
      <c r="Y178" s="509" t="b">
        <f t="shared" si="104"/>
        <v>0</v>
      </c>
      <c r="Z178" s="510">
        <f t="shared" si="105"/>
        <v>0</v>
      </c>
      <c r="AA178" s="511"/>
      <c r="AB178" s="511" t="str">
        <f t="shared" si="106"/>
        <v/>
      </c>
      <c r="AC178" s="698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698"/>
      <c r="AE178" s="631" t="str">
        <f t="shared" si="107"/>
        <v/>
      </c>
      <c r="AF178" s="699" t="str">
        <f t="shared" si="108"/>
        <v/>
      </c>
      <c r="AG178" s="699"/>
      <c r="AH178" s="699"/>
      <c r="AI178" s="512">
        <f>IF(H178="credit",0,IF(AE178="free",0,IF(AE178="me",0,IF(G178&gt;0,(VLOOKUP(A178,'Discount Lookup'!J:K,2)*G178),0))))</f>
        <v>0</v>
      </c>
      <c r="AJ178" s="513" t="str">
        <f t="shared" ca="1" si="109"/>
        <v/>
      </c>
      <c r="AK178" s="700" t="str">
        <f t="shared" si="110"/>
        <v/>
      </c>
      <c r="AL178" s="700"/>
      <c r="AM178" s="505" t="str">
        <f t="shared" si="111"/>
        <v/>
      </c>
      <c r="AN178" s="506"/>
      <c r="AO178" s="507"/>
      <c r="AP178" s="507"/>
      <c r="AQ178" s="507"/>
      <c r="AR178" s="507"/>
      <c r="AS178" s="507"/>
      <c r="AT178" s="507"/>
      <c r="AU178" s="507"/>
      <c r="AV178" s="225"/>
      <c r="AW178" s="508"/>
      <c r="AX178" s="225"/>
      <c r="AY178" s="225"/>
      <c r="AZ178" s="225"/>
      <c r="BA178" s="225"/>
      <c r="BB178" s="225"/>
      <c r="BC178" s="56"/>
      <c r="BD178" s="56"/>
      <c r="BE178" s="56"/>
      <c r="BF178" s="107" t="str">
        <f t="shared" si="112"/>
        <v>https://www.google.com/search?tbm=isch&amp;q=3%20G2</v>
      </c>
      <c r="BG178" s="107" t="str">
        <f t="shared" si="113"/>
        <v>A</v>
      </c>
      <c r="BH178" s="254"/>
      <c r="BI178" s="254"/>
    </row>
    <row r="179" spans="1:61" customFormat="1" ht="17.25" thickBot="1" x14ac:dyDescent="0.3">
      <c r="A179" s="522" t="s">
        <v>2661</v>
      </c>
      <c r="B179" s="491"/>
      <c r="C179" s="675"/>
      <c r="D179" s="491"/>
      <c r="E179" s="491"/>
      <c r="F179" s="492"/>
      <c r="G179" s="493"/>
      <c r="H179" s="491"/>
      <c r="I179" s="234"/>
      <c r="J179" s="234"/>
      <c r="K179" s="494"/>
      <c r="L179" s="543"/>
      <c r="M179" s="561"/>
      <c r="N179" s="495"/>
      <c r="O179" s="496"/>
      <c r="P179" s="497"/>
      <c r="Q179" s="495"/>
      <c r="R179" s="495"/>
      <c r="S179" s="667" t="s">
        <v>4988</v>
      </c>
      <c r="T179" s="508">
        <f t="shared" si="101"/>
        <v>0</v>
      </c>
      <c r="U179" s="225" t="str">
        <f>IF(NOT(ISNUMBER(G179)), "", VLOOKUP(A179,'Discount Lookup'!D:E,2,FALSE)*G179)</f>
        <v/>
      </c>
      <c r="V179" s="225" t="str">
        <f>IF(NOT(ISNUMBER(G179)), "", VLOOKUP(A179,'Discount Lookup'!G:H,2,FALSE)*G179)</f>
        <v/>
      </c>
      <c r="W179" s="508">
        <f t="shared" si="102"/>
        <v>0</v>
      </c>
      <c r="X179" s="508">
        <f t="shared" si="103"/>
        <v>0</v>
      </c>
      <c r="Y179" s="509" t="b">
        <f t="shared" si="104"/>
        <v>0</v>
      </c>
      <c r="Z179" s="510">
        <f t="shared" si="105"/>
        <v>0</v>
      </c>
      <c r="AA179" s="511"/>
      <c r="AB179" s="511" t="str">
        <f t="shared" si="106"/>
        <v/>
      </c>
      <c r="AC179" s="698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698"/>
      <c r="AE179" s="631" t="str">
        <f t="shared" si="107"/>
        <v/>
      </c>
      <c r="AF179" s="699" t="str">
        <f t="shared" si="108"/>
        <v/>
      </c>
      <c r="AG179" s="699"/>
      <c r="AH179" s="699"/>
      <c r="AI179" s="512">
        <f>IF(H179="credit",0,IF(AE179="free",0,IF(AE179="me",0,IF(G179&gt;0,(VLOOKUP(A179,'Discount Lookup'!J:K,2)*G179),0))))</f>
        <v>0</v>
      </c>
      <c r="AJ179" s="513" t="str">
        <f t="shared" ca="1" si="109"/>
        <v/>
      </c>
      <c r="AK179" s="700" t="str">
        <f t="shared" si="110"/>
        <v/>
      </c>
      <c r="AL179" s="700"/>
      <c r="AM179" s="505" t="str">
        <f t="shared" si="111"/>
        <v/>
      </c>
      <c r="AN179" s="506"/>
      <c r="AO179" s="507"/>
      <c r="AP179" s="507"/>
      <c r="AQ179" s="507"/>
      <c r="AR179" s="507"/>
      <c r="AS179" s="507"/>
      <c r="AT179" s="507"/>
      <c r="AU179" s="507"/>
      <c r="AV179" s="225"/>
      <c r="AW179" s="508"/>
      <c r="AX179" s="225"/>
      <c r="AY179" s="225"/>
      <c r="AZ179" s="225"/>
      <c r="BA179" s="225"/>
      <c r="BB179" s="225"/>
      <c r="BC179" s="56"/>
      <c r="BD179" s="56"/>
      <c r="BE179" s="56"/>
      <c r="BF179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79" s="107" t="str">
        <f t="shared" si="113"/>
        <v>A</v>
      </c>
      <c r="BH179" s="254"/>
      <c r="BI179" s="254"/>
    </row>
    <row r="180" spans="1:61" customFormat="1" ht="18" x14ac:dyDescent="0.25">
      <c r="A180" s="521" t="s">
        <v>5305</v>
      </c>
      <c r="B180" s="477"/>
      <c r="C180" s="674"/>
      <c r="D180" s="478" t="s">
        <v>5306</v>
      </c>
      <c r="E180" s="479"/>
      <c r="F180" s="479"/>
      <c r="G180" s="479"/>
      <c r="H180" s="582" t="s">
        <v>2580</v>
      </c>
      <c r="I180" s="480" t="s">
        <v>2583</v>
      </c>
      <c r="J180" s="479"/>
      <c r="K180" s="479"/>
      <c r="L180" s="560"/>
      <c r="M180" s="666" t="s">
        <v>4966</v>
      </c>
      <c r="N180" s="680" t="str">
        <f>IF(AND(ISTEXT($A180), ISERROR($A180+0)), HYPERLINK($BF180, "Images"), "")</f>
        <v>Images</v>
      </c>
      <c r="O180" s="662" t="s">
        <v>4974</v>
      </c>
      <c r="P180" s="482"/>
      <c r="Q180" s="483"/>
      <c r="R180" s="483"/>
      <c r="S180" s="484"/>
      <c r="T180" s="508">
        <f t="shared" si="101"/>
        <v>0</v>
      </c>
      <c r="U180" s="225" t="str">
        <f>IF(NOT(ISNUMBER(G180)), "", VLOOKUP(A180,'Discount Lookup'!D:E,2,FALSE)*G180)</f>
        <v/>
      </c>
      <c r="V180" s="225" t="str">
        <f>IF(NOT(ISNUMBER(G180)), "", VLOOKUP(A180,'Discount Lookup'!G:H,2,FALSE)*G180)</f>
        <v/>
      </c>
      <c r="W180" s="508">
        <f t="shared" si="102"/>
        <v>0</v>
      </c>
      <c r="X180" s="508" t="str">
        <f t="shared" si="103"/>
        <v>Pink +dark Pink throat</v>
      </c>
      <c r="Y180" s="509" t="b">
        <f t="shared" si="104"/>
        <v>0</v>
      </c>
      <c r="Z180" s="510">
        <f t="shared" si="105"/>
        <v>0</v>
      </c>
      <c r="AA180" s="511"/>
      <c r="AB180" s="511" t="str">
        <f t="shared" si="106"/>
        <v/>
      </c>
      <c r="AC180" s="698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698"/>
      <c r="AE180" s="631" t="str">
        <f t="shared" si="107"/>
        <v/>
      </c>
      <c r="AF180" s="699" t="str">
        <f t="shared" si="108"/>
        <v/>
      </c>
      <c r="AG180" s="699"/>
      <c r="AH180" s="699"/>
      <c r="AI180" s="512">
        <f>IF(H180="credit",0,IF(AE180="free",0,IF(AE180="me",0,IF(G180&gt;0,(VLOOKUP(A180,'Discount Lookup'!J:K,2)*G180),0))))</f>
        <v>0</v>
      </c>
      <c r="AJ180" s="513" t="str">
        <f t="shared" ca="1" si="109"/>
        <v/>
      </c>
      <c r="AK180" s="700" t="str">
        <f t="shared" si="110"/>
        <v/>
      </c>
      <c r="AL180" s="700"/>
      <c r="AM180" s="505" t="str">
        <f t="shared" si="111"/>
        <v/>
      </c>
      <c r="AN180" s="506"/>
      <c r="AO180" s="507"/>
      <c r="AP180" s="507"/>
      <c r="AQ180" s="507"/>
      <c r="AR180" s="507"/>
      <c r="AS180" s="507"/>
      <c r="AT180" s="507"/>
      <c r="AU180" s="507"/>
      <c r="AV180" s="225"/>
      <c r="AW180" s="508"/>
      <c r="AX180" s="225"/>
      <c r="AY180" s="225"/>
      <c r="AZ180" s="225"/>
      <c r="BA180" s="225"/>
      <c r="BB180" s="225"/>
      <c r="BC180" s="56"/>
      <c r="BD180" s="56"/>
      <c r="BE180" s="56"/>
      <c r="BF180" s="107" t="str">
        <f t="shared" si="112"/>
        <v>https://www.google.com/search?tbm=isch&amp;q=Autumn%20Carnival%C2%AE%20Encore%C2%AE%20Azalea%20Rhod.%20Encore%C2%AE%20%27Conlet%27%20PP%2312111</v>
      </c>
      <c r="BG180" s="107" t="str">
        <f t="shared" si="113"/>
        <v>A</v>
      </c>
      <c r="BH180" s="254"/>
      <c r="BI180" s="254"/>
    </row>
    <row r="181" spans="1:61" customFormat="1" ht="15.75" x14ac:dyDescent="0.25">
      <c r="A181" s="485">
        <v>3</v>
      </c>
      <c r="B181" s="486" t="s">
        <v>291</v>
      </c>
      <c r="C181" s="487" t="s">
        <v>4844</v>
      </c>
      <c r="D181" s="488" t="s">
        <v>312</v>
      </c>
      <c r="E181" s="489">
        <v>29.95</v>
      </c>
      <c r="F181" s="516" t="s">
        <v>293</v>
      </c>
      <c r="G181" s="232">
        <v>0</v>
      </c>
      <c r="H181" s="658" t="str">
        <f>IF(G181=0,"",IF(F181="Buy",IF(G181=1,"plant","plants"),IF(F181&gt;0.01,"warranty","Error")))</f>
        <v/>
      </c>
      <c r="I181" s="490">
        <f>IF(H181="free",0,IF(H181="credit",((E181*(F181))*G181*-1),IF(F181="Buy",(E181*G181),((E181*(1-F181))*G181))))</f>
        <v>0</v>
      </c>
      <c r="J181" s="490">
        <f>IF(H181="warranty",0,(I181*(_xlfn.SINGLE(SalesTaxPercentage))))</f>
        <v>0</v>
      </c>
      <c r="K181" s="695">
        <f t="shared" ref="K181" si="138">I181+J181</f>
        <v>0</v>
      </c>
      <c r="L181" s="695"/>
      <c r="M181" s="659" t="str">
        <f>IF(AND(G181&gt;0,E181=0),"WARNING - no PRICE inserted",IF(H181="free"," FREE ~ no charge this plant",IF(H181="credit",CONCATENATE(" -$",ROUND(K181*(1-T2GDiscount)*-1,2)," CREDIT after discount"),IF(T2GDiscount=0,"",IF(G181=0,"",IF(F181="Buy",CONCATENATE(" $",ROUND(K181*(1-T2GDiscount),2)," with ",(T2GDiscount*100),"% discount"),CONCATENATE(" $",ROUND(K181*(1-T2GDiscount),2)," with ",((T2GDiscount*100+F181*100)-(T2GDiscount*100*F181)),IF(F181&gt;0,"% discounts",IF(NoWarrantyDiscount&gt;0,"% discounts","% discount")))))))))</f>
        <v/>
      </c>
      <c r="N181" s="660"/>
      <c r="O181" s="233"/>
      <c r="P181" s="233"/>
      <c r="Q181" s="233"/>
      <c r="R181" s="233"/>
      <c r="S181" s="233"/>
      <c r="T181" s="508">
        <f t="shared" si="101"/>
        <v>0</v>
      </c>
      <c r="U181" s="225">
        <f>IF(NOT(ISNUMBER(G181)), "", VLOOKUP(A181,'Discount Lookup'!D:E,2,FALSE)*G181)</f>
        <v>0</v>
      </c>
      <c r="V181" s="225">
        <f>IF(NOT(ISNUMBER(G181)), "", VLOOKUP(A181,'Discount Lookup'!G:H,2,FALSE)*G181)</f>
        <v>0</v>
      </c>
      <c r="W181" s="508">
        <f t="shared" si="102"/>
        <v>0</v>
      </c>
      <c r="X181" s="508">
        <f t="shared" si="103"/>
        <v>0</v>
      </c>
      <c r="Y181" s="509" t="b">
        <f t="shared" si="104"/>
        <v>0</v>
      </c>
      <c r="Z181" s="510">
        <f t="shared" si="105"/>
        <v>0</v>
      </c>
      <c r="AA181" s="511"/>
      <c r="AB181" s="511" t="str">
        <f t="shared" si="106"/>
        <v/>
      </c>
      <c r="AC181" s="698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698"/>
      <c r="AE181" s="631" t="str">
        <f t="shared" si="107"/>
        <v/>
      </c>
      <c r="AF181" s="699" t="str">
        <f t="shared" si="108"/>
        <v/>
      </c>
      <c r="AG181" s="699"/>
      <c r="AH181" s="699"/>
      <c r="AI181" s="512">
        <f>IF(H181="credit",0,IF(AE181="free",0,IF(AE181="me",0,IF(G181&gt;0,(VLOOKUP(A181,'Discount Lookup'!J:K,2)*G181),0))))</f>
        <v>0</v>
      </c>
      <c r="AJ181" s="513" t="str">
        <f t="shared" ca="1" si="109"/>
        <v/>
      </c>
      <c r="AK181" s="700" t="str">
        <f t="shared" si="110"/>
        <v/>
      </c>
      <c r="AL181" s="700"/>
      <c r="AM181" s="505" t="str">
        <f t="shared" si="111"/>
        <v/>
      </c>
      <c r="AN181" s="506"/>
      <c r="AO181" s="507"/>
      <c r="AP181" s="507"/>
      <c r="AQ181" s="507"/>
      <c r="AR181" s="507"/>
      <c r="AS181" s="507"/>
      <c r="AT181" s="507"/>
      <c r="AU181" s="507"/>
      <c r="AV181" s="225"/>
      <c r="AW181" s="508"/>
      <c r="AX181" s="225"/>
      <c r="AY181" s="225"/>
      <c r="AZ181" s="225"/>
      <c r="BA181" s="225"/>
      <c r="BB181" s="225"/>
      <c r="BC181" s="56"/>
      <c r="BD181" s="56"/>
      <c r="BE181" s="56"/>
      <c r="BF181" s="107" t="str">
        <f t="shared" si="112"/>
        <v>https://www.google.com/search?tbm=isch&amp;q=3%20G2</v>
      </c>
      <c r="BG181" s="107" t="str">
        <f t="shared" si="113"/>
        <v>A</v>
      </c>
      <c r="BH181" s="254"/>
      <c r="BI181" s="254"/>
    </row>
    <row r="182" spans="1:61" customFormat="1" ht="17.25" thickBot="1" x14ac:dyDescent="0.3">
      <c r="A182" s="522" t="s">
        <v>2661</v>
      </c>
      <c r="B182" s="491"/>
      <c r="C182" s="675"/>
      <c r="D182" s="491"/>
      <c r="E182" s="491"/>
      <c r="F182" s="492"/>
      <c r="G182" s="493"/>
      <c r="H182" s="491"/>
      <c r="I182" s="234"/>
      <c r="J182" s="234"/>
      <c r="K182" s="494"/>
      <c r="L182" s="543"/>
      <c r="M182" s="561"/>
      <c r="N182" s="495"/>
      <c r="O182" s="496"/>
      <c r="P182" s="497"/>
      <c r="Q182" s="495"/>
      <c r="R182" s="495"/>
      <c r="S182" s="667" t="s">
        <v>4988</v>
      </c>
      <c r="T182" s="508">
        <f t="shared" si="101"/>
        <v>0</v>
      </c>
      <c r="U182" s="225" t="str">
        <f>IF(NOT(ISNUMBER(G182)), "", VLOOKUP(A182,'Discount Lookup'!D:E,2,FALSE)*G182)</f>
        <v/>
      </c>
      <c r="V182" s="225" t="str">
        <f>IF(NOT(ISNUMBER(G182)), "", VLOOKUP(A182,'Discount Lookup'!G:H,2,FALSE)*G182)</f>
        <v/>
      </c>
      <c r="W182" s="508">
        <f t="shared" si="102"/>
        <v>0</v>
      </c>
      <c r="X182" s="508">
        <f t="shared" si="103"/>
        <v>0</v>
      </c>
      <c r="Y182" s="509" t="b">
        <f t="shared" si="104"/>
        <v>0</v>
      </c>
      <c r="Z182" s="510">
        <f t="shared" si="105"/>
        <v>0</v>
      </c>
      <c r="AA182" s="511"/>
      <c r="AB182" s="511" t="str">
        <f t="shared" si="106"/>
        <v/>
      </c>
      <c r="AC182" s="698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698"/>
      <c r="AE182" s="631" t="str">
        <f t="shared" si="107"/>
        <v/>
      </c>
      <c r="AF182" s="699" t="str">
        <f t="shared" si="108"/>
        <v/>
      </c>
      <c r="AG182" s="699"/>
      <c r="AH182" s="699"/>
      <c r="AI182" s="512">
        <f>IF(H182="credit",0,IF(AE182="free",0,IF(AE182="me",0,IF(G182&gt;0,(VLOOKUP(A182,'Discount Lookup'!J:K,2)*G182),0))))</f>
        <v>0</v>
      </c>
      <c r="AJ182" s="513" t="str">
        <f t="shared" ca="1" si="109"/>
        <v/>
      </c>
      <c r="AK182" s="700" t="str">
        <f t="shared" si="110"/>
        <v/>
      </c>
      <c r="AL182" s="700"/>
      <c r="AM182" s="505" t="str">
        <f t="shared" si="111"/>
        <v/>
      </c>
      <c r="AN182" s="506"/>
      <c r="AO182" s="507"/>
      <c r="AP182" s="507"/>
      <c r="AQ182" s="507"/>
      <c r="AR182" s="507"/>
      <c r="AS182" s="507"/>
      <c r="AT182" s="507"/>
      <c r="AU182" s="507"/>
      <c r="AV182" s="225"/>
      <c r="AW182" s="508"/>
      <c r="AX182" s="225"/>
      <c r="AY182" s="225"/>
      <c r="AZ182" s="225"/>
      <c r="BA182" s="225"/>
      <c r="BB182" s="225"/>
      <c r="BC182" s="56"/>
      <c r="BD182" s="56"/>
      <c r="BE182" s="56"/>
      <c r="BF182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2" s="107" t="str">
        <f t="shared" si="113"/>
        <v>A</v>
      </c>
      <c r="BH182" s="254"/>
      <c r="BI182" s="254"/>
    </row>
    <row r="183" spans="1:61" customFormat="1" ht="18" x14ac:dyDescent="0.25">
      <c r="A183" s="521" t="s">
        <v>5307</v>
      </c>
      <c r="B183" s="477"/>
      <c r="C183" s="674"/>
      <c r="D183" s="478" t="s">
        <v>5308</v>
      </c>
      <c r="E183" s="479"/>
      <c r="F183" s="479"/>
      <c r="G183" s="479"/>
      <c r="H183" s="582" t="s">
        <v>2580</v>
      </c>
      <c r="I183" s="480" t="s">
        <v>912</v>
      </c>
      <c r="J183" s="479"/>
      <c r="K183" s="479"/>
      <c r="L183" s="560"/>
      <c r="M183" s="666" t="s">
        <v>4966</v>
      </c>
      <c r="N183" s="680" t="str">
        <f>IF(AND(ISTEXT($A183), ISERROR($A183+0)), HYPERLINK($BF183, "Images"), "")</f>
        <v>Images</v>
      </c>
      <c r="O183" s="662" t="s">
        <v>4974</v>
      </c>
      <c r="P183" s="482"/>
      <c r="Q183" s="483"/>
      <c r="R183" s="483"/>
      <c r="S183" s="484"/>
      <c r="T183" s="508">
        <f t="shared" si="101"/>
        <v>0</v>
      </c>
      <c r="U183" s="225" t="str">
        <f>IF(NOT(ISNUMBER(G183)), "", VLOOKUP(A183,'Discount Lookup'!D:E,2,FALSE)*G183)</f>
        <v/>
      </c>
      <c r="V183" s="225" t="str">
        <f>IF(NOT(ISNUMBER(G183)), "", VLOOKUP(A183,'Discount Lookup'!G:H,2,FALSE)*G183)</f>
        <v/>
      </c>
      <c r="W183" s="508">
        <f t="shared" si="102"/>
        <v>0</v>
      </c>
      <c r="X183" s="508" t="str">
        <f t="shared" si="103"/>
        <v>Rosy-Pink bloom</v>
      </c>
      <c r="Y183" s="509" t="b">
        <f t="shared" si="104"/>
        <v>0</v>
      </c>
      <c r="Z183" s="510">
        <f t="shared" si="105"/>
        <v>0</v>
      </c>
      <c r="AA183" s="511"/>
      <c r="AB183" s="511" t="str">
        <f t="shared" si="106"/>
        <v/>
      </c>
      <c r="AC183" s="698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698"/>
      <c r="AE183" s="631" t="str">
        <f t="shared" si="107"/>
        <v/>
      </c>
      <c r="AF183" s="699" t="str">
        <f t="shared" si="108"/>
        <v/>
      </c>
      <c r="AG183" s="699"/>
      <c r="AH183" s="699"/>
      <c r="AI183" s="512">
        <f>IF(H183="credit",0,IF(AE183="free",0,IF(AE183="me",0,IF(G183&gt;0,(VLOOKUP(A183,'Discount Lookup'!J:K,2)*G183),0))))</f>
        <v>0</v>
      </c>
      <c r="AJ183" s="513" t="str">
        <f t="shared" ca="1" si="109"/>
        <v/>
      </c>
      <c r="AK183" s="700" t="str">
        <f t="shared" si="110"/>
        <v/>
      </c>
      <c r="AL183" s="700"/>
      <c r="AM183" s="505" t="str">
        <f t="shared" si="111"/>
        <v/>
      </c>
      <c r="AN183" s="506"/>
      <c r="AO183" s="507"/>
      <c r="AP183" s="507"/>
      <c r="AQ183" s="507"/>
      <c r="AR183" s="507"/>
      <c r="AS183" s="507"/>
      <c r="AT183" s="507"/>
      <c r="AU183" s="507"/>
      <c r="AV183" s="225"/>
      <c r="AW183" s="508"/>
      <c r="AX183" s="225"/>
      <c r="AY183" s="225"/>
      <c r="AZ183" s="225"/>
      <c r="BA183" s="225"/>
      <c r="BB183" s="225"/>
      <c r="BC183" s="56"/>
      <c r="BD183" s="56"/>
      <c r="BE183" s="56"/>
      <c r="BF183" s="107" t="str">
        <f t="shared" si="112"/>
        <v>https://www.google.com/search?tbm=isch&amp;q=Autumn%20Cheer%C2%AE%20Encore%C2%AE%20Azalea%20Rhod.%20Encore%C2%AE%20%27Conlef%27%20PP%2310579</v>
      </c>
      <c r="BG183" s="107" t="str">
        <f t="shared" si="113"/>
        <v>A</v>
      </c>
      <c r="BH183" s="254"/>
      <c r="BI183" s="254"/>
    </row>
    <row r="184" spans="1:61" customFormat="1" ht="15.75" x14ac:dyDescent="0.25">
      <c r="A184" s="485">
        <v>3</v>
      </c>
      <c r="B184" s="486" t="s">
        <v>291</v>
      </c>
      <c r="C184" s="487" t="s">
        <v>439</v>
      </c>
      <c r="D184" s="488" t="s">
        <v>312</v>
      </c>
      <c r="E184" s="489">
        <v>29.95</v>
      </c>
      <c r="F184" s="516" t="s">
        <v>293</v>
      </c>
      <c r="G184" s="232">
        <v>0</v>
      </c>
      <c r="H184" s="658" t="str">
        <f>IF(G184=0,"",IF(F184="Buy",IF(G184=1,"plant","plants"),IF(F184&gt;0.01,"warranty","Error")))</f>
        <v/>
      </c>
      <c r="I184" s="490">
        <f>IF(H184="free",0,IF(H184="credit",((E184*(F184))*G184*-1),IF(F184="Buy",(E184*G184),((E184*(1-F184))*G184))))</f>
        <v>0</v>
      </c>
      <c r="J184" s="490">
        <f>IF(H184="warranty",0,(I184*(_xlfn.SINGLE(SalesTaxPercentage))))</f>
        <v>0</v>
      </c>
      <c r="K184" s="695">
        <f t="shared" ref="K184" si="139">I184+J184</f>
        <v>0</v>
      </c>
      <c r="L184" s="695"/>
      <c r="M184" s="659" t="str">
        <f>IF(AND(G184&gt;0,E184=0),"WARNING - no PRICE inserted",IF(H184="free"," FREE ~ no charge this plant",IF(H184="credit",CONCATENATE(" -$",ROUND(K184*(1-T2GDiscount)*-1,2)," CREDIT after discount"),IF(T2GDiscount=0,"",IF(G184=0,"",IF(F184="Buy",CONCATENATE(" $",ROUND(K184*(1-T2GDiscount),2)," with ",(T2GDiscount*100),"% discount"),CONCATENATE(" $",ROUND(K184*(1-T2GDiscount),2)," with ",((T2GDiscount*100+F184*100)-(T2GDiscount*100*F184)),IF(F184&gt;0,"% discounts",IF(NoWarrantyDiscount&gt;0,"% discounts","% discount")))))))))</f>
        <v/>
      </c>
      <c r="N184" s="660"/>
      <c r="O184" s="233"/>
      <c r="P184" s="233"/>
      <c r="Q184" s="233"/>
      <c r="R184" s="233"/>
      <c r="S184" s="233"/>
      <c r="T184" s="508">
        <f t="shared" si="101"/>
        <v>0</v>
      </c>
      <c r="U184" s="225">
        <f>IF(NOT(ISNUMBER(G184)), "", VLOOKUP(A184,'Discount Lookup'!D:E,2,FALSE)*G184)</f>
        <v>0</v>
      </c>
      <c r="V184" s="225">
        <f>IF(NOT(ISNUMBER(G184)), "", VLOOKUP(A184,'Discount Lookup'!G:H,2,FALSE)*G184)</f>
        <v>0</v>
      </c>
      <c r="W184" s="508">
        <f t="shared" si="102"/>
        <v>0</v>
      </c>
      <c r="X184" s="508">
        <f t="shared" si="103"/>
        <v>0</v>
      </c>
      <c r="Y184" s="509" t="b">
        <f t="shared" si="104"/>
        <v>0</v>
      </c>
      <c r="Z184" s="510">
        <f t="shared" si="105"/>
        <v>0</v>
      </c>
      <c r="AA184" s="511"/>
      <c r="AB184" s="511" t="str">
        <f t="shared" si="106"/>
        <v/>
      </c>
      <c r="AC184" s="698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698"/>
      <c r="AE184" s="631" t="str">
        <f t="shared" si="107"/>
        <v/>
      </c>
      <c r="AF184" s="699" t="str">
        <f t="shared" si="108"/>
        <v/>
      </c>
      <c r="AG184" s="699"/>
      <c r="AH184" s="699"/>
      <c r="AI184" s="512">
        <f>IF(H184="credit",0,IF(AE184="free",0,IF(AE184="me",0,IF(G184&gt;0,(VLOOKUP(A184,'Discount Lookup'!J:K,2)*G184),0))))</f>
        <v>0</v>
      </c>
      <c r="AJ184" s="513" t="str">
        <f t="shared" ca="1" si="109"/>
        <v/>
      </c>
      <c r="AK184" s="700" t="str">
        <f t="shared" si="110"/>
        <v/>
      </c>
      <c r="AL184" s="700"/>
      <c r="AM184" s="505" t="str">
        <f t="shared" si="111"/>
        <v/>
      </c>
      <c r="AN184" s="506"/>
      <c r="AO184" s="507"/>
      <c r="AP184" s="507"/>
      <c r="AQ184" s="507"/>
      <c r="AR184" s="507"/>
      <c r="AS184" s="507"/>
      <c r="AT184" s="507"/>
      <c r="AU184" s="507"/>
      <c r="AV184" s="225"/>
      <c r="AW184" s="508"/>
      <c r="AX184" s="225"/>
      <c r="AY184" s="225"/>
      <c r="AZ184" s="225"/>
      <c r="BA184" s="225"/>
      <c r="BB184" s="225"/>
      <c r="BC184" s="56"/>
      <c r="BD184" s="56"/>
      <c r="BE184" s="56"/>
      <c r="BF184" s="107" t="str">
        <f t="shared" si="112"/>
        <v>https://www.google.com/search?tbm=isch&amp;q=3%20G2</v>
      </c>
      <c r="BG184" s="107" t="str">
        <f t="shared" si="113"/>
        <v>A</v>
      </c>
      <c r="BH184" s="254"/>
      <c r="BI184" s="254"/>
    </row>
    <row r="185" spans="1:61" customFormat="1" ht="17.25" thickBot="1" x14ac:dyDescent="0.3">
      <c r="A185" s="522" t="s">
        <v>2661</v>
      </c>
      <c r="B185" s="491"/>
      <c r="C185" s="675"/>
      <c r="D185" s="491"/>
      <c r="E185" s="491"/>
      <c r="F185" s="492"/>
      <c r="G185" s="493"/>
      <c r="H185" s="491"/>
      <c r="I185" s="234"/>
      <c r="J185" s="234"/>
      <c r="K185" s="494"/>
      <c r="L185" s="543"/>
      <c r="M185" s="561"/>
      <c r="N185" s="495"/>
      <c r="O185" s="496"/>
      <c r="P185" s="497"/>
      <c r="Q185" s="495"/>
      <c r="R185" s="495"/>
      <c r="S185" s="667" t="s">
        <v>4988</v>
      </c>
      <c r="T185" s="508">
        <f t="shared" si="101"/>
        <v>0</v>
      </c>
      <c r="U185" s="225" t="str">
        <f>IF(NOT(ISNUMBER(G185)), "", VLOOKUP(A185,'Discount Lookup'!D:E,2,FALSE)*G185)</f>
        <v/>
      </c>
      <c r="V185" s="225" t="str">
        <f>IF(NOT(ISNUMBER(G185)), "", VLOOKUP(A185,'Discount Lookup'!G:H,2,FALSE)*G185)</f>
        <v/>
      </c>
      <c r="W185" s="508">
        <f t="shared" si="102"/>
        <v>0</v>
      </c>
      <c r="X185" s="508">
        <f t="shared" si="103"/>
        <v>0</v>
      </c>
      <c r="Y185" s="509" t="b">
        <f t="shared" si="104"/>
        <v>0</v>
      </c>
      <c r="Z185" s="510">
        <f t="shared" si="105"/>
        <v>0</v>
      </c>
      <c r="AA185" s="511"/>
      <c r="AB185" s="511" t="str">
        <f t="shared" si="106"/>
        <v/>
      </c>
      <c r="AC185" s="698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698"/>
      <c r="AE185" s="631" t="str">
        <f t="shared" si="107"/>
        <v/>
      </c>
      <c r="AF185" s="699" t="str">
        <f t="shared" si="108"/>
        <v/>
      </c>
      <c r="AG185" s="699"/>
      <c r="AH185" s="699"/>
      <c r="AI185" s="512">
        <f>IF(H185="credit",0,IF(AE185="free",0,IF(AE185="me",0,IF(G185&gt;0,(VLOOKUP(A185,'Discount Lookup'!J:K,2)*G185),0))))</f>
        <v>0</v>
      </c>
      <c r="AJ185" s="513" t="str">
        <f t="shared" ca="1" si="109"/>
        <v/>
      </c>
      <c r="AK185" s="700" t="str">
        <f t="shared" si="110"/>
        <v/>
      </c>
      <c r="AL185" s="700"/>
      <c r="AM185" s="505" t="str">
        <f t="shared" si="111"/>
        <v/>
      </c>
      <c r="AN185" s="506"/>
      <c r="AO185" s="507"/>
      <c r="AP185" s="507"/>
      <c r="AQ185" s="507"/>
      <c r="AR185" s="507"/>
      <c r="AS185" s="507"/>
      <c r="AT185" s="507"/>
      <c r="AU185" s="507"/>
      <c r="AV185" s="225"/>
      <c r="AW185" s="508"/>
      <c r="AX185" s="225"/>
      <c r="AY185" s="225"/>
      <c r="AZ185" s="225"/>
      <c r="BA185" s="225"/>
      <c r="BB185" s="225"/>
      <c r="BC185" s="56"/>
      <c r="BD185" s="56"/>
      <c r="BE185" s="56"/>
      <c r="BF185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5" s="107" t="str">
        <f t="shared" si="113"/>
        <v>A</v>
      </c>
      <c r="BH185" s="254"/>
      <c r="BI185" s="254"/>
    </row>
    <row r="186" spans="1:61" customFormat="1" ht="18" x14ac:dyDescent="0.25">
      <c r="A186" s="521" t="s">
        <v>5309</v>
      </c>
      <c r="B186" s="477"/>
      <c r="C186" s="674"/>
      <c r="D186" s="478" t="s">
        <v>5310</v>
      </c>
      <c r="E186" s="479"/>
      <c r="F186" s="479"/>
      <c r="G186" s="479"/>
      <c r="H186" s="582" t="s">
        <v>2584</v>
      </c>
      <c r="I186" s="480" t="s">
        <v>2585</v>
      </c>
      <c r="J186" s="479"/>
      <c r="K186" s="479"/>
      <c r="L186" s="560"/>
      <c r="M186" s="666" t="s">
        <v>4966</v>
      </c>
      <c r="N186" s="680" t="str">
        <f>IF(AND(ISTEXT($A186), ISERROR($A186+0)), HYPERLINK($BF186, "Images"), "")</f>
        <v>Images</v>
      </c>
      <c r="O186" s="662" t="s">
        <v>4974</v>
      </c>
      <c r="P186" s="482"/>
      <c r="Q186" s="483"/>
      <c r="R186" s="483"/>
      <c r="S186" s="484"/>
      <c r="T186" s="508">
        <f t="shared" si="101"/>
        <v>0</v>
      </c>
      <c r="U186" s="225" t="str">
        <f>IF(NOT(ISNUMBER(G186)), "", VLOOKUP(A186,'Discount Lookup'!D:E,2,FALSE)*G186)</f>
        <v/>
      </c>
      <c r="V186" s="225" t="str">
        <f>IF(NOT(ISNUMBER(G186)), "", VLOOKUP(A186,'Discount Lookup'!G:H,2,FALSE)*G186)</f>
        <v/>
      </c>
      <c r="W186" s="508">
        <f t="shared" si="102"/>
        <v>0</v>
      </c>
      <c r="X186" s="508" t="str">
        <f t="shared" si="103"/>
        <v>pale Pink +dark Pink throat</v>
      </c>
      <c r="Y186" s="509" t="b">
        <f t="shared" si="104"/>
        <v>0</v>
      </c>
      <c r="Z186" s="510">
        <f t="shared" si="105"/>
        <v>0</v>
      </c>
      <c r="AA186" s="511"/>
      <c r="AB186" s="511" t="str">
        <f t="shared" si="106"/>
        <v/>
      </c>
      <c r="AC186" s="698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698"/>
      <c r="AE186" s="631" t="str">
        <f t="shared" si="107"/>
        <v/>
      </c>
      <c r="AF186" s="699" t="str">
        <f t="shared" si="108"/>
        <v/>
      </c>
      <c r="AG186" s="699"/>
      <c r="AH186" s="699"/>
      <c r="AI186" s="512">
        <f>IF(H186="credit",0,IF(AE186="free",0,IF(AE186="me",0,IF(G186&gt;0,(VLOOKUP(A186,'Discount Lookup'!J:K,2)*G186),0))))</f>
        <v>0</v>
      </c>
      <c r="AJ186" s="513" t="str">
        <f t="shared" ca="1" si="109"/>
        <v/>
      </c>
      <c r="AK186" s="700" t="str">
        <f t="shared" si="110"/>
        <v/>
      </c>
      <c r="AL186" s="700"/>
      <c r="AM186" s="505" t="str">
        <f t="shared" si="111"/>
        <v/>
      </c>
      <c r="AN186" s="506"/>
      <c r="AO186" s="507"/>
      <c r="AP186" s="507"/>
      <c r="AQ186" s="507"/>
      <c r="AR186" s="507"/>
      <c r="AS186" s="507"/>
      <c r="AT186" s="507"/>
      <c r="AU186" s="507"/>
      <c r="AV186" s="225"/>
      <c r="AW186" s="508"/>
      <c r="AX186" s="225"/>
      <c r="AY186" s="225"/>
      <c r="AZ186" s="225"/>
      <c r="BA186" s="225"/>
      <c r="BB186" s="225"/>
      <c r="BC186" s="56"/>
      <c r="BD186" s="56"/>
      <c r="BE186" s="56"/>
      <c r="BF186" s="107" t="str">
        <f t="shared" si="112"/>
        <v>https://www.google.com/search?tbm=isch&amp;q=Autumn%20Chiffon%E2%84%A2%20Encore%C2%AE%20Azalea%20Rhod.%20Encore%C2%AE%20%27Robled%27%20PP%2315862</v>
      </c>
      <c r="BG186" s="107" t="str">
        <f t="shared" si="113"/>
        <v>A</v>
      </c>
      <c r="BH186" s="254"/>
      <c r="BI186" s="254"/>
    </row>
    <row r="187" spans="1:61" customFormat="1" ht="15.75" x14ac:dyDescent="0.25">
      <c r="A187" s="485">
        <v>3</v>
      </c>
      <c r="B187" s="486" t="s">
        <v>291</v>
      </c>
      <c r="C187" s="487" t="s">
        <v>4845</v>
      </c>
      <c r="D187" s="488" t="s">
        <v>312</v>
      </c>
      <c r="E187" s="489">
        <v>29.95</v>
      </c>
      <c r="F187" s="516" t="s">
        <v>293</v>
      </c>
      <c r="G187" s="232">
        <v>0</v>
      </c>
      <c r="H187" s="658" t="str">
        <f>IF(G187=0,"",IF(F187="Buy",IF(G187=1,"plant","plants"),IF(F187&gt;0.01,"warranty","Error")))</f>
        <v/>
      </c>
      <c r="I187" s="490">
        <f>IF(H187="free",0,IF(H187="credit",((E187*(F187))*G187*-1),IF(F187="Buy",(E187*G187),((E187*(1-F187))*G187))))</f>
        <v>0</v>
      </c>
      <c r="J187" s="490">
        <f>IF(H187="warranty",0,(I187*(_xlfn.SINGLE(SalesTaxPercentage))))</f>
        <v>0</v>
      </c>
      <c r="K187" s="695">
        <f t="shared" ref="K187" si="140">I187+J187</f>
        <v>0</v>
      </c>
      <c r="L187" s="695"/>
      <c r="M187" s="659" t="str">
        <f>IF(AND(G187&gt;0,E187=0),"WARNING - no PRICE inserted",IF(H187="free"," FREE ~ no charge this plant",IF(H187="credit",CONCATENATE(" -$",ROUND(K187*(1-T2GDiscount)*-1,2)," CREDIT after discount"),IF(T2GDiscount=0,"",IF(G187=0,"",IF(F187="Buy",CONCATENATE(" $",ROUND(K187*(1-T2GDiscount),2)," with ",(T2GDiscount*100),"% discount"),CONCATENATE(" $",ROUND(K187*(1-T2GDiscount),2)," with ",((T2GDiscount*100+F187*100)-(T2GDiscount*100*F187)),IF(F187&gt;0,"% discounts",IF(NoWarrantyDiscount&gt;0,"% discounts","% discount")))))))))</f>
        <v/>
      </c>
      <c r="N187" s="660"/>
      <c r="O187" s="233"/>
      <c r="P187" s="233"/>
      <c r="Q187" s="233"/>
      <c r="R187" s="233"/>
      <c r="S187" s="233"/>
      <c r="T187" s="508">
        <f t="shared" si="101"/>
        <v>0</v>
      </c>
      <c r="U187" s="225">
        <f>IF(NOT(ISNUMBER(G187)), "", VLOOKUP(A187,'Discount Lookup'!D:E,2,FALSE)*G187)</f>
        <v>0</v>
      </c>
      <c r="V187" s="225">
        <f>IF(NOT(ISNUMBER(G187)), "", VLOOKUP(A187,'Discount Lookup'!G:H,2,FALSE)*G187)</f>
        <v>0</v>
      </c>
      <c r="W187" s="508">
        <f t="shared" si="102"/>
        <v>0</v>
      </c>
      <c r="X187" s="508">
        <f t="shared" si="103"/>
        <v>0</v>
      </c>
      <c r="Y187" s="509" t="b">
        <f t="shared" si="104"/>
        <v>0</v>
      </c>
      <c r="Z187" s="510">
        <f t="shared" si="105"/>
        <v>0</v>
      </c>
      <c r="AA187" s="511"/>
      <c r="AB187" s="511" t="str">
        <f t="shared" si="106"/>
        <v/>
      </c>
      <c r="AC187" s="698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698"/>
      <c r="AE187" s="631" t="str">
        <f t="shared" si="107"/>
        <v/>
      </c>
      <c r="AF187" s="699" t="str">
        <f t="shared" si="108"/>
        <v/>
      </c>
      <c r="AG187" s="699"/>
      <c r="AH187" s="699"/>
      <c r="AI187" s="512">
        <f>IF(H187="credit",0,IF(AE187="free",0,IF(AE187="me",0,IF(G187&gt;0,(VLOOKUP(A187,'Discount Lookup'!J:K,2)*G187),0))))</f>
        <v>0</v>
      </c>
      <c r="AJ187" s="513" t="str">
        <f t="shared" ca="1" si="109"/>
        <v/>
      </c>
      <c r="AK187" s="700" t="str">
        <f t="shared" si="110"/>
        <v/>
      </c>
      <c r="AL187" s="700"/>
      <c r="AM187" s="505" t="str">
        <f t="shared" si="111"/>
        <v/>
      </c>
      <c r="AN187" s="506"/>
      <c r="AO187" s="507"/>
      <c r="AP187" s="507"/>
      <c r="AQ187" s="507"/>
      <c r="AR187" s="507"/>
      <c r="AS187" s="507"/>
      <c r="AT187" s="507"/>
      <c r="AU187" s="507"/>
      <c r="AV187" s="225"/>
      <c r="AW187" s="508"/>
      <c r="AX187" s="225"/>
      <c r="AY187" s="225"/>
      <c r="AZ187" s="225"/>
      <c r="BA187" s="225"/>
      <c r="BB187" s="225"/>
      <c r="BC187" s="56"/>
      <c r="BD187" s="56"/>
      <c r="BE187" s="56"/>
      <c r="BF187" s="107" t="str">
        <f t="shared" si="112"/>
        <v>https://www.google.com/search?tbm=isch&amp;q=3%20G2</v>
      </c>
      <c r="BG187" s="107" t="str">
        <f t="shared" si="113"/>
        <v>A</v>
      </c>
      <c r="BH187" s="254"/>
      <c r="BI187" s="254"/>
    </row>
    <row r="188" spans="1:61" customFormat="1" ht="17.25" thickBot="1" x14ac:dyDescent="0.3">
      <c r="A188" s="522" t="s">
        <v>2661</v>
      </c>
      <c r="B188" s="491"/>
      <c r="C188" s="675"/>
      <c r="D188" s="491"/>
      <c r="E188" s="491"/>
      <c r="F188" s="492"/>
      <c r="G188" s="493"/>
      <c r="H188" s="491"/>
      <c r="I188" s="234"/>
      <c r="J188" s="234"/>
      <c r="K188" s="494"/>
      <c r="L188" s="543"/>
      <c r="M188" s="561"/>
      <c r="N188" s="495"/>
      <c r="O188" s="496"/>
      <c r="P188" s="497"/>
      <c r="Q188" s="495"/>
      <c r="R188" s="495"/>
      <c r="S188" s="667" t="s">
        <v>4988</v>
      </c>
      <c r="T188" s="508">
        <f t="shared" si="101"/>
        <v>0</v>
      </c>
      <c r="U188" s="225" t="str">
        <f>IF(NOT(ISNUMBER(G188)), "", VLOOKUP(A188,'Discount Lookup'!D:E,2,FALSE)*G188)</f>
        <v/>
      </c>
      <c r="V188" s="225" t="str">
        <f>IF(NOT(ISNUMBER(G188)), "", VLOOKUP(A188,'Discount Lookup'!G:H,2,FALSE)*G188)</f>
        <v/>
      </c>
      <c r="W188" s="508">
        <f t="shared" si="102"/>
        <v>0</v>
      </c>
      <c r="X188" s="508">
        <f t="shared" si="103"/>
        <v>0</v>
      </c>
      <c r="Y188" s="509" t="b">
        <f t="shared" si="104"/>
        <v>0</v>
      </c>
      <c r="Z188" s="510">
        <f t="shared" si="105"/>
        <v>0</v>
      </c>
      <c r="AA188" s="511"/>
      <c r="AB188" s="511" t="str">
        <f t="shared" si="106"/>
        <v/>
      </c>
      <c r="AC188" s="698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698"/>
      <c r="AE188" s="631" t="str">
        <f t="shared" si="107"/>
        <v/>
      </c>
      <c r="AF188" s="699" t="str">
        <f t="shared" si="108"/>
        <v/>
      </c>
      <c r="AG188" s="699"/>
      <c r="AH188" s="699"/>
      <c r="AI188" s="512">
        <f>IF(H188="credit",0,IF(AE188="free",0,IF(AE188="me",0,IF(G188&gt;0,(VLOOKUP(A188,'Discount Lookup'!J:K,2)*G188),0))))</f>
        <v>0</v>
      </c>
      <c r="AJ188" s="513" t="str">
        <f t="shared" ca="1" si="109"/>
        <v/>
      </c>
      <c r="AK188" s="700" t="str">
        <f t="shared" si="110"/>
        <v/>
      </c>
      <c r="AL188" s="700"/>
      <c r="AM188" s="505" t="str">
        <f t="shared" si="111"/>
        <v/>
      </c>
      <c r="AN188" s="506"/>
      <c r="AO188" s="507"/>
      <c r="AP188" s="507"/>
      <c r="AQ188" s="507"/>
      <c r="AR188" s="507"/>
      <c r="AS188" s="507"/>
      <c r="AT188" s="507"/>
      <c r="AU188" s="507"/>
      <c r="AV188" s="225"/>
      <c r="AW188" s="508"/>
      <c r="AX188" s="225"/>
      <c r="AY188" s="225"/>
      <c r="AZ188" s="225"/>
      <c r="BA188" s="225"/>
      <c r="BB188" s="225"/>
      <c r="BC188" s="56"/>
      <c r="BD188" s="56"/>
      <c r="BE188" s="56"/>
      <c r="BF188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8" s="107" t="str">
        <f t="shared" si="113"/>
        <v>A</v>
      </c>
      <c r="BH188" s="254"/>
      <c r="BI188" s="254"/>
    </row>
    <row r="189" spans="1:61" customFormat="1" ht="18" x14ac:dyDescent="0.25">
      <c r="A189" s="521" t="s">
        <v>5311</v>
      </c>
      <c r="B189" s="477"/>
      <c r="C189" s="674"/>
      <c r="D189" s="478" t="s">
        <v>5312</v>
      </c>
      <c r="E189" s="479"/>
      <c r="F189" s="479"/>
      <c r="G189" s="479"/>
      <c r="H189" s="582" t="s">
        <v>2584</v>
      </c>
      <c r="I189" s="480" t="s">
        <v>2586</v>
      </c>
      <c r="J189" s="479"/>
      <c r="K189" s="479"/>
      <c r="L189" s="560"/>
      <c r="M189" s="666" t="s">
        <v>4966</v>
      </c>
      <c r="N189" s="680" t="str">
        <f>IF(AND(ISTEXT($A189), ISERROR($A189+0)), HYPERLINK($BF189, "Images"), "")</f>
        <v>Images</v>
      </c>
      <c r="O189" s="662" t="s">
        <v>4974</v>
      </c>
      <c r="P189" s="482"/>
      <c r="Q189" s="483"/>
      <c r="R189" s="483"/>
      <c r="S189" s="484"/>
      <c r="T189" s="508">
        <f t="shared" si="101"/>
        <v>0</v>
      </c>
      <c r="U189" s="225" t="str">
        <f>IF(NOT(ISNUMBER(G189)), "", VLOOKUP(A189,'Discount Lookup'!D:E,2,FALSE)*G189)</f>
        <v/>
      </c>
      <c r="V189" s="225" t="str">
        <f>IF(NOT(ISNUMBER(G189)), "", VLOOKUP(A189,'Discount Lookup'!G:H,2,FALSE)*G189)</f>
        <v/>
      </c>
      <c r="W189" s="508">
        <f t="shared" si="102"/>
        <v>0</v>
      </c>
      <c r="X189" s="508" t="str">
        <f t="shared" si="103"/>
        <v>Coral Pink, Fuchsia center</v>
      </c>
      <c r="Y189" s="509" t="b">
        <f t="shared" si="104"/>
        <v>0</v>
      </c>
      <c r="Z189" s="510">
        <f t="shared" si="105"/>
        <v>0</v>
      </c>
      <c r="AA189" s="511"/>
      <c r="AB189" s="511" t="str">
        <f t="shared" si="106"/>
        <v/>
      </c>
      <c r="AC189" s="698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698"/>
      <c r="AE189" s="631" t="str">
        <f t="shared" si="107"/>
        <v/>
      </c>
      <c r="AF189" s="699" t="str">
        <f t="shared" si="108"/>
        <v/>
      </c>
      <c r="AG189" s="699"/>
      <c r="AH189" s="699"/>
      <c r="AI189" s="512">
        <f>IF(H189="credit",0,IF(AE189="free",0,IF(AE189="me",0,IF(G189&gt;0,(VLOOKUP(A189,'Discount Lookup'!J:K,2)*G189),0))))</f>
        <v>0</v>
      </c>
      <c r="AJ189" s="513" t="str">
        <f t="shared" ca="1" si="109"/>
        <v/>
      </c>
      <c r="AK189" s="700" t="str">
        <f t="shared" si="110"/>
        <v/>
      </c>
      <c r="AL189" s="700"/>
      <c r="AM189" s="505" t="str">
        <f t="shared" si="111"/>
        <v/>
      </c>
      <c r="AN189" s="506"/>
      <c r="AO189" s="507"/>
      <c r="AP189" s="507"/>
      <c r="AQ189" s="507"/>
      <c r="AR189" s="507"/>
      <c r="AS189" s="507"/>
      <c r="AT189" s="507"/>
      <c r="AU189" s="507"/>
      <c r="AV189" s="225"/>
      <c r="AW189" s="508"/>
      <c r="AX189" s="225"/>
      <c r="AY189" s="225"/>
      <c r="AZ189" s="225"/>
      <c r="BA189" s="225"/>
      <c r="BB189" s="225"/>
      <c r="BC189" s="56"/>
      <c r="BD189" s="56"/>
      <c r="BE189" s="56"/>
      <c r="BF189" s="107" t="str">
        <f t="shared" si="112"/>
        <v>https://www.google.com/search?tbm=isch&amp;q=Autumn%20Coral%C2%AE%20Encore%C2%AE%20Azalea%20Rhod.%20Encore%C2%AE%20%27Conled%27%20PP%2310568</v>
      </c>
      <c r="BG189" s="107" t="str">
        <f t="shared" si="113"/>
        <v>A</v>
      </c>
      <c r="BH189" s="254"/>
      <c r="BI189" s="254"/>
    </row>
    <row r="190" spans="1:61" customFormat="1" ht="15.75" x14ac:dyDescent="0.25">
      <c r="A190" s="485">
        <v>3</v>
      </c>
      <c r="B190" s="486" t="s">
        <v>291</v>
      </c>
      <c r="C190" s="487" t="s">
        <v>1371</v>
      </c>
      <c r="D190" s="488" t="s">
        <v>312</v>
      </c>
      <c r="E190" s="489">
        <v>29.95</v>
      </c>
      <c r="F190" s="516" t="s">
        <v>293</v>
      </c>
      <c r="G190" s="232">
        <v>0</v>
      </c>
      <c r="H190" s="658" t="str">
        <f>IF(G190=0,"",IF(F190="Buy",IF(G190=1,"plant","plants"),IF(F190&gt;0.01,"warranty","Error")))</f>
        <v/>
      </c>
      <c r="I190" s="490">
        <f>IF(H190="free",0,IF(H190="credit",((E190*(F190))*G190*-1),IF(F190="Buy",(E190*G190),((E190*(1-F190))*G190))))</f>
        <v>0</v>
      </c>
      <c r="J190" s="490">
        <f>IF(H190="warranty",0,(I190*(_xlfn.SINGLE(SalesTaxPercentage))))</f>
        <v>0</v>
      </c>
      <c r="K190" s="695">
        <f t="shared" ref="K190" si="141">I190+J190</f>
        <v>0</v>
      </c>
      <c r="L190" s="695"/>
      <c r="M190" s="659" t="str">
        <f>IF(AND(G190&gt;0,E190=0),"WARNING - no PRICE inserted",IF(H190="free"," FREE ~ no charge this plant",IF(H190="credit",CONCATENATE(" -$",ROUND(K190*(1-T2GDiscount)*-1,2)," CREDIT after discount"),IF(T2GDiscount=0,"",IF(G190=0,"",IF(F190="Buy",CONCATENATE(" $",ROUND(K190*(1-T2GDiscount),2)," with ",(T2GDiscount*100),"% discount"),CONCATENATE(" $",ROUND(K190*(1-T2GDiscount),2)," with ",((T2GDiscount*100+F190*100)-(T2GDiscount*100*F190)),IF(F190&gt;0,"% discounts",IF(NoWarrantyDiscount&gt;0,"% discounts","% discount")))))))))</f>
        <v/>
      </c>
      <c r="N190" s="660"/>
      <c r="O190" s="233"/>
      <c r="P190" s="233"/>
      <c r="Q190" s="233"/>
      <c r="R190" s="233"/>
      <c r="S190" s="233"/>
      <c r="T190" s="508">
        <f t="shared" si="101"/>
        <v>0</v>
      </c>
      <c r="U190" s="225">
        <f>IF(NOT(ISNUMBER(G190)), "", VLOOKUP(A190,'Discount Lookup'!D:E,2,FALSE)*G190)</f>
        <v>0</v>
      </c>
      <c r="V190" s="225">
        <f>IF(NOT(ISNUMBER(G190)), "", VLOOKUP(A190,'Discount Lookup'!G:H,2,FALSE)*G190)</f>
        <v>0</v>
      </c>
      <c r="W190" s="508">
        <f t="shared" si="102"/>
        <v>0</v>
      </c>
      <c r="X190" s="508">
        <f t="shared" si="103"/>
        <v>0</v>
      </c>
      <c r="Y190" s="509" t="b">
        <f t="shared" si="104"/>
        <v>0</v>
      </c>
      <c r="Z190" s="510">
        <f t="shared" si="105"/>
        <v>0</v>
      </c>
      <c r="AA190" s="511"/>
      <c r="AB190" s="511" t="str">
        <f t="shared" si="106"/>
        <v/>
      </c>
      <c r="AC190" s="698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698"/>
      <c r="AE190" s="631" t="str">
        <f t="shared" si="107"/>
        <v/>
      </c>
      <c r="AF190" s="699" t="str">
        <f t="shared" si="108"/>
        <v/>
      </c>
      <c r="AG190" s="699"/>
      <c r="AH190" s="699"/>
      <c r="AI190" s="512">
        <f>IF(H190="credit",0,IF(AE190="free",0,IF(AE190="me",0,IF(G190&gt;0,(VLOOKUP(A190,'Discount Lookup'!J:K,2)*G190),0))))</f>
        <v>0</v>
      </c>
      <c r="AJ190" s="513" t="str">
        <f t="shared" ca="1" si="109"/>
        <v/>
      </c>
      <c r="AK190" s="700" t="str">
        <f t="shared" si="110"/>
        <v/>
      </c>
      <c r="AL190" s="700"/>
      <c r="AM190" s="505" t="str">
        <f t="shared" si="111"/>
        <v/>
      </c>
      <c r="AN190" s="506"/>
      <c r="AO190" s="507"/>
      <c r="AP190" s="507"/>
      <c r="AQ190" s="507"/>
      <c r="AR190" s="507"/>
      <c r="AS190" s="507"/>
      <c r="AT190" s="507"/>
      <c r="AU190" s="507"/>
      <c r="AV190" s="225"/>
      <c r="AW190" s="508"/>
      <c r="AX190" s="225"/>
      <c r="AY190" s="225"/>
      <c r="AZ190" s="225"/>
      <c r="BA190" s="225"/>
      <c r="BB190" s="225"/>
      <c r="BC190" s="56"/>
      <c r="BD190" s="56"/>
      <c r="BE190" s="56"/>
      <c r="BF190" s="107" t="str">
        <f t="shared" si="112"/>
        <v>https://www.google.com/search?tbm=isch&amp;q=3%20G2</v>
      </c>
      <c r="BG190" s="107" t="str">
        <f t="shared" si="113"/>
        <v>A</v>
      </c>
      <c r="BH190" s="254"/>
      <c r="BI190" s="254"/>
    </row>
    <row r="191" spans="1:61" customFormat="1" ht="17.25" thickBot="1" x14ac:dyDescent="0.3">
      <c r="A191" s="522" t="s">
        <v>2661</v>
      </c>
      <c r="B191" s="491"/>
      <c r="C191" s="675"/>
      <c r="D191" s="491"/>
      <c r="E191" s="491"/>
      <c r="F191" s="492"/>
      <c r="G191" s="493"/>
      <c r="H191" s="491"/>
      <c r="I191" s="234"/>
      <c r="J191" s="234"/>
      <c r="K191" s="494"/>
      <c r="L191" s="543"/>
      <c r="M191" s="561"/>
      <c r="N191" s="495"/>
      <c r="O191" s="496"/>
      <c r="P191" s="497"/>
      <c r="Q191" s="495"/>
      <c r="R191" s="495"/>
      <c r="S191" s="667" t="s">
        <v>4988</v>
      </c>
      <c r="T191" s="508">
        <f t="shared" si="101"/>
        <v>0</v>
      </c>
      <c r="U191" s="225" t="str">
        <f>IF(NOT(ISNUMBER(G191)), "", VLOOKUP(A191,'Discount Lookup'!D:E,2,FALSE)*G191)</f>
        <v/>
      </c>
      <c r="V191" s="225" t="str">
        <f>IF(NOT(ISNUMBER(G191)), "", VLOOKUP(A191,'Discount Lookup'!G:H,2,FALSE)*G191)</f>
        <v/>
      </c>
      <c r="W191" s="508">
        <f t="shared" si="102"/>
        <v>0</v>
      </c>
      <c r="X191" s="508">
        <f t="shared" si="103"/>
        <v>0</v>
      </c>
      <c r="Y191" s="509" t="b">
        <f t="shared" si="104"/>
        <v>0</v>
      </c>
      <c r="Z191" s="510">
        <f t="shared" si="105"/>
        <v>0</v>
      </c>
      <c r="AA191" s="511"/>
      <c r="AB191" s="511" t="str">
        <f t="shared" si="106"/>
        <v/>
      </c>
      <c r="AC191" s="698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698"/>
      <c r="AE191" s="631" t="str">
        <f t="shared" si="107"/>
        <v/>
      </c>
      <c r="AF191" s="699" t="str">
        <f t="shared" si="108"/>
        <v/>
      </c>
      <c r="AG191" s="699"/>
      <c r="AH191" s="699"/>
      <c r="AI191" s="512">
        <f>IF(H191="credit",0,IF(AE191="free",0,IF(AE191="me",0,IF(G191&gt;0,(VLOOKUP(A191,'Discount Lookup'!J:K,2)*G191),0))))</f>
        <v>0</v>
      </c>
      <c r="AJ191" s="513" t="str">
        <f t="shared" ca="1" si="109"/>
        <v/>
      </c>
      <c r="AK191" s="700" t="str">
        <f t="shared" si="110"/>
        <v/>
      </c>
      <c r="AL191" s="700"/>
      <c r="AM191" s="505" t="str">
        <f t="shared" si="111"/>
        <v/>
      </c>
      <c r="AN191" s="506"/>
      <c r="AO191" s="507"/>
      <c r="AP191" s="507"/>
      <c r="AQ191" s="507"/>
      <c r="AR191" s="507"/>
      <c r="AS191" s="507"/>
      <c r="AT191" s="507"/>
      <c r="AU191" s="507"/>
      <c r="AV191" s="225"/>
      <c r="AW191" s="508"/>
      <c r="AX191" s="225"/>
      <c r="AY191" s="225"/>
      <c r="AZ191" s="225"/>
      <c r="BA191" s="225"/>
      <c r="BB191" s="225"/>
      <c r="BC191" s="56"/>
      <c r="BD191" s="56"/>
      <c r="BE191" s="56"/>
      <c r="BF191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91" s="107" t="str">
        <f t="shared" si="113"/>
        <v>A</v>
      </c>
      <c r="BH191" s="254"/>
      <c r="BI191" s="254"/>
    </row>
    <row r="192" spans="1:61" customFormat="1" ht="18" x14ac:dyDescent="0.25">
      <c r="A192" s="521" t="s">
        <v>456</v>
      </c>
      <c r="B192" s="477"/>
      <c r="C192" s="674"/>
      <c r="D192" s="478" t="s">
        <v>455</v>
      </c>
      <c r="E192" s="479"/>
      <c r="F192" s="479"/>
      <c r="G192" s="479"/>
      <c r="H192" s="582" t="s">
        <v>471</v>
      </c>
      <c r="I192" s="480" t="s">
        <v>4378</v>
      </c>
      <c r="J192" s="479"/>
      <c r="K192" s="479"/>
      <c r="L192" s="560"/>
      <c r="M192" s="671" t="s">
        <v>4990</v>
      </c>
      <c r="N192" s="680" t="str">
        <f>IF(AND(ISTEXT($A192), ISERROR($A192+0)), HYPERLINK($BF192, "Images"), "")</f>
        <v>Images</v>
      </c>
      <c r="O192" s="662" t="s">
        <v>4967</v>
      </c>
      <c r="P192" s="482"/>
      <c r="Q192" s="483"/>
      <c r="R192" s="483"/>
      <c r="S192" s="484"/>
      <c r="T192" s="508">
        <f t="shared" si="101"/>
        <v>0</v>
      </c>
      <c r="U192" s="225" t="str">
        <f>IF(NOT(ISNUMBER(G192)), "", VLOOKUP(A192,'Discount Lookup'!D:E,2,FALSE)*G192)</f>
        <v/>
      </c>
      <c r="V192" s="225" t="str">
        <f>IF(NOT(ISNUMBER(G192)), "", VLOOKUP(A192,'Discount Lookup'!G:H,2,FALSE)*G192)</f>
        <v/>
      </c>
      <c r="W192" s="508">
        <f t="shared" si="102"/>
        <v>0</v>
      </c>
      <c r="X192" s="508" t="str">
        <f t="shared" si="103"/>
        <v>White bloom, Pink edges</v>
      </c>
      <c r="Y192" s="509" t="b">
        <f t="shared" si="104"/>
        <v>0</v>
      </c>
      <c r="Z192" s="510">
        <f t="shared" si="105"/>
        <v>0</v>
      </c>
      <c r="AA192" s="511"/>
      <c r="AB192" s="511" t="str">
        <f t="shared" si="106"/>
        <v/>
      </c>
      <c r="AC192" s="698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698"/>
      <c r="AE192" s="631" t="str">
        <f t="shared" si="107"/>
        <v/>
      </c>
      <c r="AF192" s="699" t="str">
        <f t="shared" si="108"/>
        <v/>
      </c>
      <c r="AG192" s="699"/>
      <c r="AH192" s="699"/>
      <c r="AI192" s="512">
        <f>IF(H192="credit",0,IF(AE192="free",0,IF(AE192="me",0,IF(G192&gt;0,(VLOOKUP(A192,'Discount Lookup'!J:K,2)*G192),0))))</f>
        <v>0</v>
      </c>
      <c r="AJ192" s="513" t="str">
        <f t="shared" ca="1" si="109"/>
        <v/>
      </c>
      <c r="AK192" s="700" t="str">
        <f t="shared" si="110"/>
        <v/>
      </c>
      <c r="AL192" s="700"/>
      <c r="AM192" s="505" t="str">
        <f t="shared" si="111"/>
        <v/>
      </c>
      <c r="AN192" s="506"/>
      <c r="AO192" s="507"/>
      <c r="AP192" s="507"/>
      <c r="AQ192" s="507"/>
      <c r="AR192" s="507"/>
      <c r="AS192" s="507"/>
      <c r="AT192" s="507"/>
      <c r="AU192" s="507"/>
      <c r="AV192" s="225"/>
      <c r="AW192" s="508"/>
      <c r="AX192" s="225"/>
      <c r="AY192" s="225"/>
      <c r="AZ192" s="225"/>
      <c r="BA192" s="225"/>
      <c r="BB192" s="225"/>
      <c r="BC192" s="56"/>
      <c r="BD192" s="56"/>
      <c r="BE192" s="56"/>
      <c r="BF192" s="107" t="str">
        <f t="shared" si="112"/>
        <v>https://www.google.com/search?tbm=isch&amp;q=Autumn%20Delight%20Camellia%20Camellia%20sasanqua%20%27Autumn%20Delight%27</v>
      </c>
      <c r="BG192" s="107" t="str">
        <f t="shared" si="113"/>
        <v>A</v>
      </c>
      <c r="BH192" s="254"/>
      <c r="BI192" s="254"/>
    </row>
    <row r="193" spans="1:61" customFormat="1" ht="15.75" x14ac:dyDescent="0.25">
      <c r="A193" s="485">
        <v>7</v>
      </c>
      <c r="B193" s="486" t="s">
        <v>291</v>
      </c>
      <c r="C193" s="487" t="s">
        <v>4846</v>
      </c>
      <c r="D193" s="488" t="s">
        <v>292</v>
      </c>
      <c r="E193" s="489">
        <v>109.95</v>
      </c>
      <c r="F193" s="516" t="s">
        <v>293</v>
      </c>
      <c r="G193" s="232">
        <v>0</v>
      </c>
      <c r="H193" s="658" t="str">
        <f>IF(G193=0,"",IF(F193="Buy",IF(G193=1,"plant","plants"),IF(F193&gt;0.01,"warranty","Error")))</f>
        <v/>
      </c>
      <c r="I193" s="490">
        <f>IF(H193="free",0,IF(H193="credit",((E193*(F193))*G193*-1),IF(F193="Buy",(E193*G193),((E193*(1-F193))*G193))))</f>
        <v>0</v>
      </c>
      <c r="J193" s="490">
        <f>IF(H193="warranty",0,(I193*(_xlfn.SINGLE(SalesTaxPercentage))))</f>
        <v>0</v>
      </c>
      <c r="K193" s="695">
        <f t="shared" ref="K193" si="142">I193+J193</f>
        <v>0</v>
      </c>
      <c r="L193" s="695"/>
      <c r="M193" s="659" t="str">
        <f>IF(AND(G193&gt;0,E193=0),"WARNING - no PRICE inserted",IF(H193="free"," FREE ~ no charge this plant",IF(H193="credit",CONCATENATE(" -$",ROUND(K193*(1-T2GDiscount)*-1,2)," CREDIT after discount"),IF(T2GDiscount=0,"",IF(G193=0,"",IF(F193="Buy",CONCATENATE(" $",ROUND(K193*(1-T2GDiscount),2)," with ",(T2GDiscount*100),"% discount"),CONCATENATE(" $",ROUND(K193*(1-T2GDiscount),2)," with ",((T2GDiscount*100+F193*100)-(T2GDiscount*100*F193)),IF(F193&gt;0,"% discounts",IF(NoWarrantyDiscount&gt;0,"% discounts","% discount")))))))))</f>
        <v/>
      </c>
      <c r="N193" s="660"/>
      <c r="O193" s="233"/>
      <c r="P193" s="233"/>
      <c r="Q193" s="233"/>
      <c r="R193" s="233"/>
      <c r="S193" s="233"/>
      <c r="T193" s="508">
        <f t="shared" si="101"/>
        <v>0</v>
      </c>
      <c r="U193" s="225">
        <f>IF(NOT(ISNUMBER(G193)), "", VLOOKUP(A193,'Discount Lookup'!D:E,2,FALSE)*G193)</f>
        <v>0</v>
      </c>
      <c r="V193" s="225">
        <f>IF(NOT(ISNUMBER(G193)), "", VLOOKUP(A193,'Discount Lookup'!G:H,2,FALSE)*G193)</f>
        <v>0</v>
      </c>
      <c r="W193" s="508">
        <f t="shared" si="102"/>
        <v>0</v>
      </c>
      <c r="X193" s="508">
        <f t="shared" si="103"/>
        <v>0</v>
      </c>
      <c r="Y193" s="509" t="b">
        <f t="shared" si="104"/>
        <v>0</v>
      </c>
      <c r="Z193" s="510">
        <f t="shared" si="105"/>
        <v>0</v>
      </c>
      <c r="AA193" s="511"/>
      <c r="AB193" s="511" t="str">
        <f t="shared" si="106"/>
        <v/>
      </c>
      <c r="AC193" s="698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698"/>
      <c r="AE193" s="631" t="str">
        <f t="shared" si="107"/>
        <v/>
      </c>
      <c r="AF193" s="699" t="str">
        <f t="shared" si="108"/>
        <v/>
      </c>
      <c r="AG193" s="699"/>
      <c r="AH193" s="699"/>
      <c r="AI193" s="512">
        <f>IF(H193="credit",0,IF(AE193="free",0,IF(AE193="me",0,IF(G193&gt;0,(VLOOKUP(A193,'Discount Lookup'!J:K,2)*G193),0))))</f>
        <v>0</v>
      </c>
      <c r="AJ193" s="513" t="str">
        <f t="shared" ca="1" si="109"/>
        <v/>
      </c>
      <c r="AK193" s="700" t="str">
        <f t="shared" si="110"/>
        <v/>
      </c>
      <c r="AL193" s="700"/>
      <c r="AM193" s="505" t="str">
        <f t="shared" si="111"/>
        <v/>
      </c>
      <c r="AN193" s="506"/>
      <c r="AO193" s="507"/>
      <c r="AP193" s="507"/>
      <c r="AQ193" s="507"/>
      <c r="AR193" s="507"/>
      <c r="AS193" s="507"/>
      <c r="AT193" s="507"/>
      <c r="AU193" s="507"/>
      <c r="AV193" s="225"/>
      <c r="AW193" s="508"/>
      <c r="AX193" s="225"/>
      <c r="AY193" s="225"/>
      <c r="AZ193" s="225"/>
      <c r="BA193" s="225"/>
      <c r="BB193" s="225"/>
      <c r="BC193" s="56"/>
      <c r="BD193" s="56"/>
      <c r="BE193" s="56"/>
      <c r="BF193" s="107" t="str">
        <f t="shared" si="112"/>
        <v>https://www.google.com/search?tbm=isch&amp;q=7%20G4</v>
      </c>
      <c r="BG193" s="107" t="str">
        <f t="shared" si="113"/>
        <v>A</v>
      </c>
      <c r="BH193" s="254"/>
      <c r="BI193" s="254"/>
    </row>
    <row r="194" spans="1:61" customFormat="1" ht="17.25" thickBot="1" x14ac:dyDescent="0.3">
      <c r="A194" s="522" t="s">
        <v>4379</v>
      </c>
      <c r="B194" s="491"/>
      <c r="C194" s="675"/>
      <c r="D194" s="491"/>
      <c r="E194" s="491"/>
      <c r="F194" s="492"/>
      <c r="G194" s="493"/>
      <c r="H194" s="491"/>
      <c r="I194" s="234"/>
      <c r="J194" s="234"/>
      <c r="K194" s="494"/>
      <c r="L194" s="543"/>
      <c r="M194" s="561"/>
      <c r="N194" s="495"/>
      <c r="O194" s="496"/>
      <c r="P194" s="497"/>
      <c r="Q194" s="495"/>
      <c r="R194" s="495"/>
      <c r="S194" s="667" t="s">
        <v>4986</v>
      </c>
      <c r="T194" s="508">
        <f t="shared" si="101"/>
        <v>0</v>
      </c>
      <c r="U194" s="225" t="str">
        <f>IF(NOT(ISNUMBER(G194)), "", VLOOKUP(A194,'Discount Lookup'!D:E,2,FALSE)*G194)</f>
        <v/>
      </c>
      <c r="V194" s="225" t="str">
        <f>IF(NOT(ISNUMBER(G194)), "", VLOOKUP(A194,'Discount Lookup'!G:H,2,FALSE)*G194)</f>
        <v/>
      </c>
      <c r="W194" s="508">
        <f t="shared" si="102"/>
        <v>0</v>
      </c>
      <c r="X194" s="508">
        <f t="shared" si="103"/>
        <v>0</v>
      </c>
      <c r="Y194" s="509" t="b">
        <f t="shared" si="104"/>
        <v>0</v>
      </c>
      <c r="Z194" s="510">
        <f t="shared" si="105"/>
        <v>0</v>
      </c>
      <c r="AA194" s="511"/>
      <c r="AB194" s="511" t="str">
        <f t="shared" si="106"/>
        <v/>
      </c>
      <c r="AC194" s="698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698"/>
      <c r="AE194" s="631" t="str">
        <f t="shared" si="107"/>
        <v/>
      </c>
      <c r="AF194" s="699" t="str">
        <f t="shared" si="108"/>
        <v/>
      </c>
      <c r="AG194" s="699"/>
      <c r="AH194" s="699"/>
      <c r="AI194" s="512">
        <f>IF(H194="credit",0,IF(AE194="free",0,IF(AE194="me",0,IF(G194&gt;0,(VLOOKUP(A194,'Discount Lookup'!J:K,2)*G194),0))))</f>
        <v>0</v>
      </c>
      <c r="AJ194" s="513" t="str">
        <f t="shared" ca="1" si="109"/>
        <v/>
      </c>
      <c r="AK194" s="700" t="str">
        <f t="shared" si="110"/>
        <v/>
      </c>
      <c r="AL194" s="700"/>
      <c r="AM194" s="505" t="str">
        <f t="shared" si="111"/>
        <v/>
      </c>
      <c r="AN194" s="506"/>
      <c r="AO194" s="507"/>
      <c r="AP194" s="507"/>
      <c r="AQ194" s="507"/>
      <c r="AR194" s="507"/>
      <c r="AS194" s="507"/>
      <c r="AT194" s="507"/>
      <c r="AU194" s="507"/>
      <c r="AV194" s="225"/>
      <c r="AW194" s="508"/>
      <c r="AX194" s="225"/>
      <c r="AY194" s="225"/>
      <c r="AZ194" s="225"/>
      <c r="BA194" s="225"/>
      <c r="BB194" s="225"/>
      <c r="BC194" s="56"/>
      <c r="BD194" s="56"/>
      <c r="BE194" s="56"/>
      <c r="BF194" s="107" t="str">
        <f t="shared" si="112"/>
        <v>https://www.google.com/search?tbm=isch&amp;q=Autumn%20Delight%20has%20elegant%20double%20blooms%20from%20early%20to%20late%20fall%2C%20with%20glossy%20evergreen%20foliage%20and%20a%20refined%20upright%20habit%20</v>
      </c>
      <c r="BG194" s="107" t="str">
        <f t="shared" si="113"/>
        <v>A</v>
      </c>
      <c r="BH194" s="254"/>
      <c r="BI194" s="254"/>
    </row>
    <row r="195" spans="1:61" customFormat="1" ht="18" x14ac:dyDescent="0.25">
      <c r="A195" s="521" t="s">
        <v>5313</v>
      </c>
      <c r="B195" s="477"/>
      <c r="C195" s="674"/>
      <c r="D195" s="478" t="s">
        <v>5314</v>
      </c>
      <c r="E195" s="479"/>
      <c r="F195" s="479"/>
      <c r="G195" s="479"/>
      <c r="H195" s="582" t="s">
        <v>2580</v>
      </c>
      <c r="I195" s="480" t="s">
        <v>4698</v>
      </c>
      <c r="J195" s="479"/>
      <c r="K195" s="479"/>
      <c r="L195" s="560"/>
      <c r="M195" s="666" t="s">
        <v>4966</v>
      </c>
      <c r="N195" s="680" t="str">
        <f>IF(AND(ISTEXT($A195), ISERROR($A195+0)), HYPERLINK($BF195, "Images"), "")</f>
        <v>Images</v>
      </c>
      <c r="O195" s="662" t="s">
        <v>4974</v>
      </c>
      <c r="P195" s="482"/>
      <c r="Q195" s="483"/>
      <c r="R195" s="483"/>
      <c r="S195" s="484"/>
      <c r="T195" s="508">
        <f t="shared" si="101"/>
        <v>0</v>
      </c>
      <c r="U195" s="225" t="str">
        <f>IF(NOT(ISNUMBER(G195)), "", VLOOKUP(A195,'Discount Lookup'!D:E,2,FALSE)*G195)</f>
        <v/>
      </c>
      <c r="V195" s="225" t="str">
        <f>IF(NOT(ISNUMBER(G195)), "", VLOOKUP(A195,'Discount Lookup'!G:H,2,FALSE)*G195)</f>
        <v/>
      </c>
      <c r="W195" s="508">
        <f t="shared" si="102"/>
        <v>0</v>
      </c>
      <c r="X195" s="508" t="str">
        <f t="shared" si="103"/>
        <v>Reddish-Orange bloom</v>
      </c>
      <c r="Y195" s="509" t="b">
        <f t="shared" si="104"/>
        <v>0</v>
      </c>
      <c r="Z195" s="510">
        <f t="shared" si="105"/>
        <v>0</v>
      </c>
      <c r="AA195" s="511"/>
      <c r="AB195" s="511" t="str">
        <f t="shared" si="106"/>
        <v/>
      </c>
      <c r="AC195" s="698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698"/>
      <c r="AE195" s="631" t="str">
        <f t="shared" si="107"/>
        <v/>
      </c>
      <c r="AF195" s="699" t="str">
        <f t="shared" si="108"/>
        <v/>
      </c>
      <c r="AG195" s="699"/>
      <c r="AH195" s="699"/>
      <c r="AI195" s="512">
        <f>IF(H195="credit",0,IF(AE195="free",0,IF(AE195="me",0,IF(G195&gt;0,(VLOOKUP(A195,'Discount Lookup'!J:K,2)*G195),0))))</f>
        <v>0</v>
      </c>
      <c r="AJ195" s="513" t="str">
        <f t="shared" ca="1" si="109"/>
        <v/>
      </c>
      <c r="AK195" s="700" t="str">
        <f t="shared" si="110"/>
        <v/>
      </c>
      <c r="AL195" s="700"/>
      <c r="AM195" s="505" t="str">
        <f t="shared" si="111"/>
        <v/>
      </c>
      <c r="AN195" s="506"/>
      <c r="AO195" s="507"/>
      <c r="AP195" s="507"/>
      <c r="AQ195" s="507"/>
      <c r="AR195" s="507"/>
      <c r="AS195" s="507"/>
      <c r="AT195" s="507"/>
      <c r="AU195" s="507"/>
      <c r="AV195" s="225"/>
      <c r="AW195" s="508"/>
      <c r="AX195" s="225"/>
      <c r="AY195" s="225"/>
      <c r="AZ195" s="225"/>
      <c r="BA195" s="225"/>
      <c r="BB195" s="225"/>
      <c r="BC195" s="56"/>
      <c r="BD195" s="56"/>
      <c r="BE195" s="56"/>
      <c r="BF195" s="107" t="str">
        <f t="shared" si="112"/>
        <v>https://www.google.com/search?tbm=isch&amp;q=Autumn%20Embers%C2%AE%20Encore%C2%AE%20Azalea%20Rhod.%20Encore%C2%AE%20%27Conleb%27%20PP%2310581</v>
      </c>
      <c r="BG195" s="107" t="str">
        <f t="shared" si="113"/>
        <v>A</v>
      </c>
      <c r="BH195" s="254"/>
      <c r="BI195" s="254"/>
    </row>
    <row r="196" spans="1:61" customFormat="1" ht="15.75" x14ac:dyDescent="0.25">
      <c r="A196" s="485">
        <v>3</v>
      </c>
      <c r="B196" s="486" t="s">
        <v>291</v>
      </c>
      <c r="C196" s="487" t="s">
        <v>4847</v>
      </c>
      <c r="D196" s="488" t="s">
        <v>312</v>
      </c>
      <c r="E196" s="489">
        <v>29.95</v>
      </c>
      <c r="F196" s="516" t="s">
        <v>293</v>
      </c>
      <c r="G196" s="232">
        <v>0</v>
      </c>
      <c r="H196" s="658" t="str">
        <f>IF(G196=0,"",IF(F196="Buy",IF(G196=1,"plant","plants"),IF(F196&gt;0.01,"warranty","Error")))</f>
        <v/>
      </c>
      <c r="I196" s="490">
        <f>IF(H196="free",0,IF(H196="credit",((E196*(F196))*G196*-1),IF(F196="Buy",(E196*G196),((E196*(1-F196))*G196))))</f>
        <v>0</v>
      </c>
      <c r="J196" s="490">
        <f>IF(H196="warranty",0,(I196*(_xlfn.SINGLE(SalesTaxPercentage))))</f>
        <v>0</v>
      </c>
      <c r="K196" s="695">
        <f t="shared" ref="K196" si="143">I196+J196</f>
        <v>0</v>
      </c>
      <c r="L196" s="695"/>
      <c r="M196" s="659" t="str">
        <f>IF(AND(G196&gt;0,E196=0),"WARNING - no PRICE inserted",IF(H196="free"," FREE ~ no charge this plant",IF(H196="credit",CONCATENATE(" -$",ROUND(K196*(1-T2GDiscount)*-1,2)," CREDIT after discount"),IF(T2GDiscount=0,"",IF(G196=0,"",IF(F196="Buy",CONCATENATE(" $",ROUND(K196*(1-T2GDiscount),2)," with ",(T2GDiscount*100),"% discount"),CONCATENATE(" $",ROUND(K196*(1-T2GDiscount),2)," with ",((T2GDiscount*100+F196*100)-(T2GDiscount*100*F196)),IF(F196&gt;0,"% discounts",IF(NoWarrantyDiscount&gt;0,"% discounts","% discount")))))))))</f>
        <v/>
      </c>
      <c r="N196" s="660"/>
      <c r="O196" s="233"/>
      <c r="P196" s="233"/>
      <c r="Q196" s="233"/>
      <c r="R196" s="233"/>
      <c r="S196" s="233"/>
      <c r="T196" s="508">
        <f t="shared" si="101"/>
        <v>0</v>
      </c>
      <c r="U196" s="225">
        <f>IF(NOT(ISNUMBER(G196)), "", VLOOKUP(A196,'Discount Lookup'!D:E,2,FALSE)*G196)</f>
        <v>0</v>
      </c>
      <c r="V196" s="225">
        <f>IF(NOT(ISNUMBER(G196)), "", VLOOKUP(A196,'Discount Lookup'!G:H,2,FALSE)*G196)</f>
        <v>0</v>
      </c>
      <c r="W196" s="508">
        <f t="shared" si="102"/>
        <v>0</v>
      </c>
      <c r="X196" s="508">
        <f t="shared" si="103"/>
        <v>0</v>
      </c>
      <c r="Y196" s="509" t="b">
        <f t="shared" si="104"/>
        <v>0</v>
      </c>
      <c r="Z196" s="510">
        <f t="shared" si="105"/>
        <v>0</v>
      </c>
      <c r="AA196" s="511"/>
      <c r="AB196" s="511" t="str">
        <f t="shared" si="106"/>
        <v/>
      </c>
      <c r="AC196" s="698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698"/>
      <c r="AE196" s="631" t="str">
        <f t="shared" si="107"/>
        <v/>
      </c>
      <c r="AF196" s="699" t="str">
        <f t="shared" si="108"/>
        <v/>
      </c>
      <c r="AG196" s="699"/>
      <c r="AH196" s="699"/>
      <c r="AI196" s="512">
        <f>IF(H196="credit",0,IF(AE196="free",0,IF(AE196="me",0,IF(G196&gt;0,(VLOOKUP(A196,'Discount Lookup'!J:K,2)*G196),0))))</f>
        <v>0</v>
      </c>
      <c r="AJ196" s="513" t="str">
        <f t="shared" ca="1" si="109"/>
        <v/>
      </c>
      <c r="AK196" s="700" t="str">
        <f t="shared" si="110"/>
        <v/>
      </c>
      <c r="AL196" s="700"/>
      <c r="AM196" s="505" t="str">
        <f t="shared" si="111"/>
        <v/>
      </c>
      <c r="AN196" s="506"/>
      <c r="AO196" s="507"/>
      <c r="AP196" s="507"/>
      <c r="AQ196" s="507"/>
      <c r="AR196" s="507"/>
      <c r="AS196" s="507"/>
      <c r="AT196" s="507"/>
      <c r="AU196" s="507"/>
      <c r="AV196" s="225"/>
      <c r="AW196" s="508"/>
      <c r="AX196" s="225"/>
      <c r="AY196" s="225"/>
      <c r="AZ196" s="225"/>
      <c r="BA196" s="225"/>
      <c r="BB196" s="225"/>
      <c r="BC196" s="56"/>
      <c r="BD196" s="56"/>
      <c r="BE196" s="56"/>
      <c r="BF196" s="107" t="str">
        <f t="shared" si="112"/>
        <v>https://www.google.com/search?tbm=isch&amp;q=3%20G2</v>
      </c>
      <c r="BG196" s="107" t="str">
        <f t="shared" si="113"/>
        <v>A</v>
      </c>
      <c r="BH196" s="254"/>
      <c r="BI196" s="254"/>
    </row>
    <row r="197" spans="1:61" customFormat="1" ht="17.25" thickBot="1" x14ac:dyDescent="0.3">
      <c r="A197" s="522" t="s">
        <v>2661</v>
      </c>
      <c r="B197" s="491"/>
      <c r="C197" s="675"/>
      <c r="D197" s="491"/>
      <c r="E197" s="491"/>
      <c r="F197" s="492"/>
      <c r="G197" s="493"/>
      <c r="H197" s="491"/>
      <c r="I197" s="234"/>
      <c r="J197" s="234"/>
      <c r="K197" s="494"/>
      <c r="L197" s="543"/>
      <c r="M197" s="561"/>
      <c r="N197" s="495"/>
      <c r="O197" s="496"/>
      <c r="P197" s="497"/>
      <c r="Q197" s="495"/>
      <c r="R197" s="495"/>
      <c r="S197" s="667" t="s">
        <v>4988</v>
      </c>
      <c r="T197" s="508">
        <f t="shared" si="101"/>
        <v>0</v>
      </c>
      <c r="U197" s="225" t="str">
        <f>IF(NOT(ISNUMBER(G197)), "", VLOOKUP(A197,'Discount Lookup'!D:E,2,FALSE)*G197)</f>
        <v/>
      </c>
      <c r="V197" s="225" t="str">
        <f>IF(NOT(ISNUMBER(G197)), "", VLOOKUP(A197,'Discount Lookup'!G:H,2,FALSE)*G197)</f>
        <v/>
      </c>
      <c r="W197" s="508">
        <f t="shared" si="102"/>
        <v>0</v>
      </c>
      <c r="X197" s="508">
        <f t="shared" si="103"/>
        <v>0</v>
      </c>
      <c r="Y197" s="509" t="b">
        <f t="shared" si="104"/>
        <v>0</v>
      </c>
      <c r="Z197" s="510">
        <f t="shared" si="105"/>
        <v>0</v>
      </c>
      <c r="AA197" s="511"/>
      <c r="AB197" s="511" t="str">
        <f t="shared" si="106"/>
        <v/>
      </c>
      <c r="AC197" s="698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698"/>
      <c r="AE197" s="631" t="str">
        <f t="shared" si="107"/>
        <v/>
      </c>
      <c r="AF197" s="699" t="str">
        <f t="shared" si="108"/>
        <v/>
      </c>
      <c r="AG197" s="699"/>
      <c r="AH197" s="699"/>
      <c r="AI197" s="512">
        <f>IF(H197="credit",0,IF(AE197="free",0,IF(AE197="me",0,IF(G197&gt;0,(VLOOKUP(A197,'Discount Lookup'!J:K,2)*G197),0))))</f>
        <v>0</v>
      </c>
      <c r="AJ197" s="513" t="str">
        <f t="shared" ca="1" si="109"/>
        <v/>
      </c>
      <c r="AK197" s="700" t="str">
        <f t="shared" si="110"/>
        <v/>
      </c>
      <c r="AL197" s="700"/>
      <c r="AM197" s="505" t="str">
        <f t="shared" si="111"/>
        <v/>
      </c>
      <c r="AN197" s="506"/>
      <c r="AO197" s="507"/>
      <c r="AP197" s="507"/>
      <c r="AQ197" s="507"/>
      <c r="AR197" s="507"/>
      <c r="AS197" s="507"/>
      <c r="AT197" s="507"/>
      <c r="AU197" s="507"/>
      <c r="AV197" s="225"/>
      <c r="AW197" s="508"/>
      <c r="AX197" s="225"/>
      <c r="AY197" s="225"/>
      <c r="AZ197" s="225"/>
      <c r="BA197" s="225"/>
      <c r="BB197" s="225"/>
      <c r="BC197" s="56"/>
      <c r="BD197" s="56"/>
      <c r="BE197" s="56"/>
      <c r="BF197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97" s="107" t="str">
        <f t="shared" si="113"/>
        <v>A</v>
      </c>
      <c r="BH197" s="254"/>
      <c r="BI197" s="254"/>
    </row>
    <row r="198" spans="1:61" customFormat="1" ht="18" x14ac:dyDescent="0.25">
      <c r="A198" s="521" t="s">
        <v>5315</v>
      </c>
      <c r="B198" s="477"/>
      <c r="C198" s="674"/>
      <c r="D198" s="478" t="s">
        <v>5316</v>
      </c>
      <c r="E198" s="479"/>
      <c r="F198" s="479"/>
      <c r="G198" s="479"/>
      <c r="H198" s="582" t="s">
        <v>394</v>
      </c>
      <c r="I198" s="480" t="s">
        <v>2587</v>
      </c>
      <c r="J198" s="479"/>
      <c r="K198" s="479"/>
      <c r="L198" s="560"/>
      <c r="M198" s="666" t="s">
        <v>4966</v>
      </c>
      <c r="N198" s="680" t="str">
        <f>IF(AND(ISTEXT($A198), ISERROR($A198+0)), HYPERLINK($BF198, "Images"), "")</f>
        <v>Images</v>
      </c>
      <c r="O198" s="662" t="s">
        <v>4974</v>
      </c>
      <c r="P198" s="482"/>
      <c r="Q198" s="483"/>
      <c r="R198" s="483"/>
      <c r="S198" s="484"/>
      <c r="T198" s="508">
        <f t="shared" si="101"/>
        <v>0</v>
      </c>
      <c r="U198" s="225" t="str">
        <f>IF(NOT(ISNUMBER(G198)), "", VLOOKUP(A198,'Discount Lookup'!D:E,2,FALSE)*G198)</f>
        <v/>
      </c>
      <c r="V198" s="225" t="str">
        <f>IF(NOT(ISNUMBER(G198)), "", VLOOKUP(A198,'Discount Lookup'!G:H,2,FALSE)*G198)</f>
        <v/>
      </c>
      <c r="W198" s="508">
        <f t="shared" si="102"/>
        <v>0</v>
      </c>
      <c r="X198" s="508" t="str">
        <f t="shared" si="103"/>
        <v>Pink +dark Pink freckles</v>
      </c>
      <c r="Y198" s="509" t="b">
        <f t="shared" si="104"/>
        <v>0</v>
      </c>
      <c r="Z198" s="510">
        <f t="shared" si="105"/>
        <v>0</v>
      </c>
      <c r="AA198" s="511"/>
      <c r="AB198" s="511" t="str">
        <f t="shared" si="106"/>
        <v/>
      </c>
      <c r="AC198" s="698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698"/>
      <c r="AE198" s="631" t="str">
        <f t="shared" si="107"/>
        <v/>
      </c>
      <c r="AF198" s="699" t="str">
        <f t="shared" si="108"/>
        <v/>
      </c>
      <c r="AG198" s="699"/>
      <c r="AH198" s="699"/>
      <c r="AI198" s="512">
        <f>IF(H198="credit",0,IF(AE198="free",0,IF(AE198="me",0,IF(G198&gt;0,(VLOOKUP(A198,'Discount Lookup'!J:K,2)*G198),0))))</f>
        <v>0</v>
      </c>
      <c r="AJ198" s="513" t="str">
        <f t="shared" ca="1" si="109"/>
        <v/>
      </c>
      <c r="AK198" s="700" t="str">
        <f t="shared" si="110"/>
        <v/>
      </c>
      <c r="AL198" s="700"/>
      <c r="AM198" s="505" t="str">
        <f t="shared" si="111"/>
        <v/>
      </c>
      <c r="AN198" s="506"/>
      <c r="AO198" s="507"/>
      <c r="AP198" s="507"/>
      <c r="AQ198" s="507"/>
      <c r="AR198" s="507"/>
      <c r="AS198" s="507"/>
      <c r="AT198" s="507"/>
      <c r="AU198" s="507"/>
      <c r="AV198" s="225"/>
      <c r="AW198" s="508"/>
      <c r="AX198" s="225"/>
      <c r="AY198" s="225"/>
      <c r="AZ198" s="225"/>
      <c r="BA198" s="225"/>
      <c r="BB198" s="225"/>
      <c r="BC198" s="56"/>
      <c r="BD198" s="56"/>
      <c r="BE198" s="56"/>
      <c r="BF198" s="107" t="str">
        <f t="shared" si="112"/>
        <v>https://www.google.com/search?tbm=isch&amp;q=Autumn%20Empress%E2%84%A2%20Encore%C2%AE%20Azalea%20Rhod.%20Encore%C2%AE%20%27Conles%27%20PP%2312109</v>
      </c>
      <c r="BG198" s="107" t="str">
        <f t="shared" si="113"/>
        <v>A</v>
      </c>
      <c r="BH198" s="254"/>
      <c r="BI198" s="254"/>
    </row>
    <row r="199" spans="1:61" customFormat="1" ht="15.75" x14ac:dyDescent="0.25">
      <c r="A199" s="485">
        <v>3</v>
      </c>
      <c r="B199" s="486" t="s">
        <v>291</v>
      </c>
      <c r="C199" s="487" t="s">
        <v>4848</v>
      </c>
      <c r="D199" s="488" t="s">
        <v>312</v>
      </c>
      <c r="E199" s="489">
        <v>29.95</v>
      </c>
      <c r="F199" s="516" t="s">
        <v>293</v>
      </c>
      <c r="G199" s="232">
        <v>0</v>
      </c>
      <c r="H199" s="658" t="str">
        <f>IF(G199=0,"",IF(F199="Buy",IF(G199=1,"plant","plants"),IF(F199&gt;0.01,"warranty","Error")))</f>
        <v/>
      </c>
      <c r="I199" s="490">
        <f>IF(H199="free",0,IF(H199="credit",((E199*(F199))*G199*-1),IF(F199="Buy",(E199*G199),((E199*(1-F199))*G199))))</f>
        <v>0</v>
      </c>
      <c r="J199" s="490">
        <f>IF(H199="warranty",0,(I199*(_xlfn.SINGLE(SalesTaxPercentage))))</f>
        <v>0</v>
      </c>
      <c r="K199" s="695">
        <f t="shared" ref="K199" si="144">I199+J199</f>
        <v>0</v>
      </c>
      <c r="L199" s="695"/>
      <c r="M199" s="659" t="str">
        <f>IF(AND(G199&gt;0,E199=0),"WARNING - no PRICE inserted",IF(H199="free"," FREE ~ no charge this plant",IF(H199="credit",CONCATENATE(" -$",ROUND(K199*(1-T2GDiscount)*-1,2)," CREDIT after discount"),IF(T2GDiscount=0,"",IF(G199=0,"",IF(F199="Buy",CONCATENATE(" $",ROUND(K199*(1-T2GDiscount),2)," with ",(T2GDiscount*100),"% discount"),CONCATENATE(" $",ROUND(K199*(1-T2GDiscount),2)," with ",((T2GDiscount*100+F199*100)-(T2GDiscount*100*F199)),IF(F199&gt;0,"% discounts",IF(NoWarrantyDiscount&gt;0,"% discounts","% discount")))))))))</f>
        <v/>
      </c>
      <c r="N199" s="660"/>
      <c r="O199" s="233"/>
      <c r="P199" s="233"/>
      <c r="Q199" s="233"/>
      <c r="R199" s="233"/>
      <c r="S199" s="233"/>
      <c r="T199" s="508">
        <f t="shared" si="101"/>
        <v>0</v>
      </c>
      <c r="U199" s="225">
        <f>IF(NOT(ISNUMBER(G199)), "", VLOOKUP(A199,'Discount Lookup'!D:E,2,FALSE)*G199)</f>
        <v>0</v>
      </c>
      <c r="V199" s="225">
        <f>IF(NOT(ISNUMBER(G199)), "", VLOOKUP(A199,'Discount Lookup'!G:H,2,FALSE)*G199)</f>
        <v>0</v>
      </c>
      <c r="W199" s="508">
        <f t="shared" si="102"/>
        <v>0</v>
      </c>
      <c r="X199" s="508">
        <f t="shared" si="103"/>
        <v>0</v>
      </c>
      <c r="Y199" s="509" t="b">
        <f t="shared" si="104"/>
        <v>0</v>
      </c>
      <c r="Z199" s="510">
        <f t="shared" si="105"/>
        <v>0</v>
      </c>
      <c r="AA199" s="511"/>
      <c r="AB199" s="511" t="str">
        <f t="shared" si="106"/>
        <v/>
      </c>
      <c r="AC199" s="698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698"/>
      <c r="AE199" s="631" t="str">
        <f t="shared" si="107"/>
        <v/>
      </c>
      <c r="AF199" s="699" t="str">
        <f t="shared" si="108"/>
        <v/>
      </c>
      <c r="AG199" s="699"/>
      <c r="AH199" s="699"/>
      <c r="AI199" s="512">
        <f>IF(H199="credit",0,IF(AE199="free",0,IF(AE199="me",0,IF(G199&gt;0,(VLOOKUP(A199,'Discount Lookup'!J:K,2)*G199),0))))</f>
        <v>0</v>
      </c>
      <c r="AJ199" s="513" t="str">
        <f t="shared" ca="1" si="109"/>
        <v/>
      </c>
      <c r="AK199" s="700" t="str">
        <f t="shared" si="110"/>
        <v/>
      </c>
      <c r="AL199" s="700"/>
      <c r="AM199" s="505" t="str">
        <f t="shared" si="111"/>
        <v/>
      </c>
      <c r="AN199" s="506"/>
      <c r="AO199" s="507"/>
      <c r="AP199" s="507"/>
      <c r="AQ199" s="507"/>
      <c r="AR199" s="507"/>
      <c r="AS199" s="507"/>
      <c r="AT199" s="507"/>
      <c r="AU199" s="507"/>
      <c r="AV199" s="225"/>
      <c r="AW199" s="508"/>
      <c r="AX199" s="225"/>
      <c r="AY199" s="225"/>
      <c r="AZ199" s="225"/>
      <c r="BA199" s="225"/>
      <c r="BB199" s="225"/>
      <c r="BC199" s="56"/>
      <c r="BD199" s="56"/>
      <c r="BE199" s="56"/>
      <c r="BF199" s="107" t="str">
        <f t="shared" si="112"/>
        <v>https://www.google.com/search?tbm=isch&amp;q=3%20G2</v>
      </c>
      <c r="BG199" s="107" t="str">
        <f t="shared" si="113"/>
        <v>A</v>
      </c>
      <c r="BH199" s="254"/>
      <c r="BI199" s="254"/>
    </row>
    <row r="200" spans="1:61" customFormat="1" ht="17.25" thickBot="1" x14ac:dyDescent="0.3">
      <c r="A200" s="522" t="s">
        <v>2661</v>
      </c>
      <c r="B200" s="491"/>
      <c r="C200" s="675"/>
      <c r="D200" s="491"/>
      <c r="E200" s="491"/>
      <c r="F200" s="492"/>
      <c r="G200" s="493"/>
      <c r="H200" s="491"/>
      <c r="I200" s="234"/>
      <c r="J200" s="234"/>
      <c r="K200" s="494"/>
      <c r="L200" s="543"/>
      <c r="M200" s="561"/>
      <c r="N200" s="495"/>
      <c r="O200" s="496"/>
      <c r="P200" s="497"/>
      <c r="Q200" s="495"/>
      <c r="R200" s="495"/>
      <c r="S200" s="667" t="s">
        <v>4988</v>
      </c>
      <c r="T200" s="508">
        <f t="shared" si="101"/>
        <v>0</v>
      </c>
      <c r="U200" s="225" t="str">
        <f>IF(NOT(ISNUMBER(G200)), "", VLOOKUP(A200,'Discount Lookup'!D:E,2,FALSE)*G200)</f>
        <v/>
      </c>
      <c r="V200" s="225" t="str">
        <f>IF(NOT(ISNUMBER(G200)), "", VLOOKUP(A200,'Discount Lookup'!G:H,2,FALSE)*G200)</f>
        <v/>
      </c>
      <c r="W200" s="508">
        <f t="shared" si="102"/>
        <v>0</v>
      </c>
      <c r="X200" s="508">
        <f t="shared" si="103"/>
        <v>0</v>
      </c>
      <c r="Y200" s="509" t="b">
        <f t="shared" si="104"/>
        <v>0</v>
      </c>
      <c r="Z200" s="510">
        <f t="shared" si="105"/>
        <v>0</v>
      </c>
      <c r="AA200" s="511"/>
      <c r="AB200" s="511" t="str">
        <f t="shared" si="106"/>
        <v/>
      </c>
      <c r="AC200" s="698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698"/>
      <c r="AE200" s="631" t="str">
        <f t="shared" si="107"/>
        <v/>
      </c>
      <c r="AF200" s="699" t="str">
        <f t="shared" si="108"/>
        <v/>
      </c>
      <c r="AG200" s="699"/>
      <c r="AH200" s="699"/>
      <c r="AI200" s="512">
        <f>IF(H200="credit",0,IF(AE200="free",0,IF(AE200="me",0,IF(G200&gt;0,(VLOOKUP(A200,'Discount Lookup'!J:K,2)*G200),0))))</f>
        <v>0</v>
      </c>
      <c r="AJ200" s="513" t="str">
        <f t="shared" ca="1" si="109"/>
        <v/>
      </c>
      <c r="AK200" s="700" t="str">
        <f t="shared" si="110"/>
        <v/>
      </c>
      <c r="AL200" s="700"/>
      <c r="AM200" s="505" t="str">
        <f t="shared" si="111"/>
        <v/>
      </c>
      <c r="AN200" s="506"/>
      <c r="AO200" s="507"/>
      <c r="AP200" s="507"/>
      <c r="AQ200" s="507"/>
      <c r="AR200" s="507"/>
      <c r="AS200" s="507"/>
      <c r="AT200" s="507"/>
      <c r="AU200" s="507"/>
      <c r="AV200" s="225"/>
      <c r="AW200" s="508"/>
      <c r="AX200" s="225"/>
      <c r="AY200" s="225"/>
      <c r="AZ200" s="225"/>
      <c r="BA200" s="225"/>
      <c r="BB200" s="225"/>
      <c r="BC200" s="56"/>
      <c r="BD200" s="56"/>
      <c r="BE200" s="56"/>
      <c r="BF200" s="107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200" s="107" t="str">
        <f t="shared" si="113"/>
        <v>A</v>
      </c>
      <c r="BH200" s="254"/>
      <c r="BI200" s="254"/>
    </row>
    <row r="201" spans="1:61" customFormat="1" ht="18" x14ac:dyDescent="0.25">
      <c r="A201" s="521" t="s">
        <v>594</v>
      </c>
      <c r="B201" s="477"/>
      <c r="C201" s="674"/>
      <c r="D201" s="478" t="s">
        <v>593</v>
      </c>
      <c r="E201" s="479"/>
      <c r="F201" s="479"/>
      <c r="G201" s="479"/>
      <c r="H201" s="582" t="s">
        <v>506</v>
      </c>
      <c r="I201" s="480" t="s">
        <v>3945</v>
      </c>
      <c r="J201" s="479"/>
      <c r="K201" s="479"/>
      <c r="L201" s="560"/>
      <c r="M201" s="671" t="s">
        <v>4985</v>
      </c>
      <c r="N201" s="680" t="str">
        <f>IF(AND(ISTEXT($A201), ISERROR($A201+0)), HYPERLINK($BF201, "Images"), "")</f>
        <v>Images</v>
      </c>
      <c r="O201" s="662" t="s">
        <v>4969</v>
      </c>
      <c r="P201" s="482"/>
      <c r="Q201" s="483"/>
      <c r="R201" s="483"/>
      <c r="S201" s="484"/>
      <c r="T201" s="508">
        <f t="shared" si="101"/>
        <v>0</v>
      </c>
      <c r="U201" s="225" t="str">
        <f>IF(NOT(ISNUMBER(G201)), "", VLOOKUP(A201,'Discount Lookup'!D:E,2,FALSE)*G201)</f>
        <v/>
      </c>
      <c r="V201" s="225" t="str">
        <f>IF(NOT(ISNUMBER(G201)), "", VLOOKUP(A201,'Discount Lookup'!G:H,2,FALSE)*G201)</f>
        <v/>
      </c>
      <c r="W201" s="508">
        <f t="shared" si="102"/>
        <v>0</v>
      </c>
      <c r="X201" s="508" t="str">
        <f t="shared" si="103"/>
        <v>Dark Green fronds</v>
      </c>
      <c r="Y201" s="509" t="b">
        <f t="shared" si="104"/>
        <v>0</v>
      </c>
      <c r="Z201" s="510">
        <f t="shared" si="105"/>
        <v>0</v>
      </c>
      <c r="AA201" s="511"/>
      <c r="AB201" s="511" t="str">
        <f t="shared" si="106"/>
        <v/>
      </c>
      <c r="AC201" s="698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698"/>
      <c r="AE201" s="631" t="str">
        <f t="shared" si="107"/>
        <v/>
      </c>
      <c r="AF201" s="699" t="str">
        <f t="shared" si="108"/>
        <v/>
      </c>
      <c r="AG201" s="699"/>
      <c r="AH201" s="699"/>
      <c r="AI201" s="512">
        <f>IF(H201="credit",0,IF(AE201="free",0,IF(AE201="me",0,IF(G201&gt;0,(VLOOKUP(A201,'Discount Lookup'!J:K,2)*G201),0))))</f>
        <v>0</v>
      </c>
      <c r="AJ201" s="513" t="str">
        <f t="shared" ca="1" si="109"/>
        <v/>
      </c>
      <c r="AK201" s="700" t="str">
        <f t="shared" si="110"/>
        <v/>
      </c>
      <c r="AL201" s="700"/>
      <c r="AM201" s="505" t="str">
        <f t="shared" si="111"/>
        <v/>
      </c>
      <c r="AN201" s="506"/>
      <c r="AO201" s="507"/>
      <c r="AP201" s="507"/>
      <c r="AQ201" s="507"/>
      <c r="AR201" s="507"/>
      <c r="AS201" s="507"/>
      <c r="AT201" s="507"/>
      <c r="AU201" s="507"/>
      <c r="AV201" s="225"/>
      <c r="AW201" s="508"/>
      <c r="AX201" s="225"/>
      <c r="AY201" s="225"/>
      <c r="AZ201" s="225"/>
      <c r="BA201" s="225"/>
      <c r="BB201" s="225"/>
      <c r="BC201" s="56"/>
      <c r="BD201" s="56"/>
      <c r="BE201" s="56"/>
      <c r="BF201" s="107" t="str">
        <f t="shared" si="112"/>
        <v>https://www.google.com/search?tbm=isch&amp;q=Autumn%20Fern%20Dryopteris%20erythrosora</v>
      </c>
      <c r="BG201" s="107" t="str">
        <f t="shared" si="113"/>
        <v>A</v>
      </c>
      <c r="BH201" s="254"/>
      <c r="BI201" s="254"/>
    </row>
    <row r="202" spans="1:61" customFormat="1" ht="15.75" x14ac:dyDescent="0.25">
      <c r="A202" s="485">
        <v>1</v>
      </c>
      <c r="B202" s="486" t="s">
        <v>291</v>
      </c>
      <c r="C202" s="487"/>
      <c r="D202" s="488" t="s">
        <v>298</v>
      </c>
      <c r="E202" s="489">
        <v>11.95</v>
      </c>
      <c r="F202" s="516" t="s">
        <v>293</v>
      </c>
      <c r="G202" s="232">
        <v>0</v>
      </c>
      <c r="H202" s="658" t="str">
        <f>IF(G202=0,"",IF(F202="Buy",IF(G202=1,"plant","plants"),IF(F202&gt;0.01,"warranty","Error")))</f>
        <v/>
      </c>
      <c r="I202" s="490">
        <f>IF(H202="free",0,IF(H202="credit",((E202*(F202))*G202*-1),IF(F202="Buy",(E202*G202),((E202*(1-F202))*G202))))</f>
        <v>0</v>
      </c>
      <c r="J202" s="490">
        <f>IF(H202="warranty",0,(I202*(_xlfn.SINGLE(SalesTaxPercentage))))</f>
        <v>0</v>
      </c>
      <c r="K202" s="695">
        <f t="shared" ref="K202" si="145">I202+J202</f>
        <v>0</v>
      </c>
      <c r="L202" s="695"/>
      <c r="M202" s="659" t="str">
        <f>IF(AND(G202&gt;0,E202=0),"WARNING - no PRICE inserted",IF(H202="free"," FREE ~ no charge this plant",IF(H202="credit",CONCATENATE(" -$",ROUND(K202*(1-T2GDiscount)*-1,2)," CREDIT after discount"),IF(T2GDiscount=0,"",IF(G202=0,"",IF(F202="Buy",CONCATENATE(" $",ROUND(K202*(1-T2GDiscount),2)," with ",(T2GDiscount*100),"% discount"),CONCATENATE(" $",ROUND(K202*(1-T2GDiscount),2)," with ",((T2GDiscount*100+F202*100)-(T2GDiscount*100*F202)),IF(F202&gt;0,"% discounts",IF(NoWarrantyDiscount&gt;0,"% discounts","% discount")))))))))</f>
        <v/>
      </c>
      <c r="N202" s="660"/>
      <c r="O202" s="233"/>
      <c r="P202" s="233"/>
      <c r="Q202" s="233"/>
      <c r="R202" s="233"/>
      <c r="S202" s="233"/>
      <c r="T202" s="508">
        <f t="shared" si="101"/>
        <v>0</v>
      </c>
      <c r="U202" s="225">
        <f>IF(NOT(ISNUMBER(G202)), "", VLOOKUP(A202,'Discount Lookup'!D:E,2,FALSE)*G202)</f>
        <v>0</v>
      </c>
      <c r="V202" s="225">
        <f>IF(NOT(ISNUMBER(G202)), "", VLOOKUP(A202,'Discount Lookup'!G:H,2,FALSE)*G202)</f>
        <v>0</v>
      </c>
      <c r="W202" s="508">
        <f t="shared" si="102"/>
        <v>0</v>
      </c>
      <c r="X202" s="508">
        <f t="shared" si="103"/>
        <v>0</v>
      </c>
      <c r="Y202" s="509" t="b">
        <f t="shared" si="104"/>
        <v>0</v>
      </c>
      <c r="Z202" s="510">
        <f t="shared" si="105"/>
        <v>0</v>
      </c>
      <c r="AA202" s="511"/>
      <c r="AB202" s="511" t="str">
        <f t="shared" si="106"/>
        <v/>
      </c>
      <c r="AC202" s="698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698"/>
      <c r="AE202" s="631" t="str">
        <f t="shared" si="107"/>
        <v/>
      </c>
      <c r="AF202" s="699" t="str">
        <f t="shared" si="108"/>
        <v/>
      </c>
      <c r="AG202" s="699"/>
      <c r="AH202" s="699"/>
      <c r="AI202" s="512">
        <f>IF(H202="credit",0,IF(AE202="free",0,IF(AE202="me",0,IF(G202&gt;0,(VLOOKUP(A202,'Discount Lookup'!J:K,2)*G202),0))))</f>
        <v>0</v>
      </c>
      <c r="AJ202" s="513" t="str">
        <f t="shared" ca="1" si="109"/>
        <v/>
      </c>
      <c r="AK202" s="700" t="str">
        <f t="shared" si="110"/>
        <v/>
      </c>
      <c r="AL202" s="700"/>
      <c r="AM202" s="505" t="str">
        <f t="shared" si="111"/>
        <v/>
      </c>
      <c r="AN202" s="506"/>
      <c r="AO202" s="507"/>
      <c r="AP202" s="507"/>
      <c r="AQ202" s="507"/>
      <c r="AR202" s="507"/>
      <c r="AS202" s="507"/>
      <c r="AT202" s="507"/>
      <c r="AU202" s="507"/>
      <c r="AV202" s="225"/>
      <c r="AW202" s="508"/>
      <c r="AX202" s="225"/>
      <c r="AY202" s="225"/>
      <c r="AZ202" s="225"/>
      <c r="BA202" s="225"/>
      <c r="BB202" s="225"/>
      <c r="BC202" s="56"/>
      <c r="BD202" s="56"/>
      <c r="BE202" s="56"/>
      <c r="BF202" s="107" t="str">
        <f t="shared" si="112"/>
        <v>https://www.google.com/search?tbm=isch&amp;q=1%20G1</v>
      </c>
      <c r="BG202" s="107" t="str">
        <f t="shared" si="113"/>
        <v>A</v>
      </c>
      <c r="BH202" s="254"/>
      <c r="BI202" s="254"/>
    </row>
    <row r="203" spans="1:61" customFormat="1" ht="15.75" x14ac:dyDescent="0.25">
      <c r="A203" s="485">
        <v>3</v>
      </c>
      <c r="B203" s="486" t="s">
        <v>291</v>
      </c>
      <c r="C203" s="487" t="s">
        <v>3315</v>
      </c>
      <c r="D203" s="488" t="s">
        <v>292</v>
      </c>
      <c r="E203" s="489">
        <v>31.95</v>
      </c>
      <c r="F203" s="516" t="s">
        <v>293</v>
      </c>
      <c r="G203" s="232">
        <v>0</v>
      </c>
      <c r="H203" s="658" t="str">
        <f>IF(G203=0,"",IF(F203="Buy",IF(G203=1,"plant","plants"),IF(F203&gt;0.01,"warranty","Error")))</f>
        <v/>
      </c>
      <c r="I203" s="490">
        <f>IF(H203="free",0,IF(H203="credit",((E203*(F203))*G203*-1),IF(F203="Buy",(E203*G203),((E203*(1-F203))*G203))))</f>
        <v>0</v>
      </c>
      <c r="J203" s="490">
        <f>IF(H203="warranty",0,(I203*(_xlfn.SINGLE(SalesTaxPercentage))))</f>
        <v>0</v>
      </c>
      <c r="K203" s="695">
        <f t="shared" ref="K203" si="146">I203+J203</f>
        <v>0</v>
      </c>
      <c r="L203" s="695"/>
      <c r="M203" s="659" t="str">
        <f>IF(AND(G203&gt;0,E203=0),"WARNING - no PRICE inserted",IF(H203="free"," FREE ~ no charge this plant",IF(H203="credit",CONCATENATE(" -$",ROUND(K203*(1-T2GDiscount)*-1,2)," CREDIT after discount"),IF(T2GDiscount=0,"",IF(G203=0,"",IF(F203="Buy",CONCATENATE(" $",ROUND(K203*(1-T2GDiscount),2)," with ",(T2GDiscount*100),"% discount"),CONCATENATE(" $",ROUND(K203*(1-T2GDiscount),2)," with ",((T2GDiscount*100+F203*100)-(T2GDiscount*100*F203)),IF(F203&gt;0,"% discounts",IF(NoWarrantyDiscount&gt;0,"% discounts","% discount")))))))))</f>
        <v/>
      </c>
      <c r="N203" s="660"/>
      <c r="O203" s="233"/>
      <c r="P203" s="233"/>
      <c r="Q203" s="233"/>
      <c r="R203" s="233"/>
      <c r="S203" s="233"/>
      <c r="T203" s="508">
        <f t="shared" si="101"/>
        <v>0</v>
      </c>
      <c r="U203" s="225">
        <f>IF(NOT(ISNUMBER(G203)), "", VLOOKUP(A203,'Discount Lookup'!D:E,2,FALSE)*G203)</f>
        <v>0</v>
      </c>
      <c r="V203" s="225">
        <f>IF(NOT(ISNUMBER(G203)), "", VLOOKUP(A203,'Discount Lookup'!G:H,2,FALSE)*G203)</f>
        <v>0</v>
      </c>
      <c r="W203" s="508">
        <f t="shared" si="102"/>
        <v>0</v>
      </c>
      <c r="X203" s="508">
        <f t="shared" si="103"/>
        <v>0</v>
      </c>
      <c r="Y203" s="509" t="b">
        <f t="shared" si="104"/>
        <v>0</v>
      </c>
      <c r="Z203" s="510">
        <f t="shared" si="105"/>
        <v>0</v>
      </c>
      <c r="AA203" s="511"/>
      <c r="AB203" s="511" t="str">
        <f t="shared" si="106"/>
        <v/>
      </c>
      <c r="AC203" s="698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698"/>
      <c r="AE203" s="631" t="str">
        <f t="shared" si="107"/>
        <v/>
      </c>
      <c r="AF203" s="699" t="str">
        <f t="shared" si="108"/>
        <v/>
      </c>
      <c r="AG203" s="699"/>
      <c r="AH203" s="699"/>
      <c r="AI203" s="512">
        <f>IF(H203="credit",0,IF(AE203="free",0,IF(AE203="me",0,IF(G203&gt;0,(VLOOKUP(A203,'Discount Lookup'!J:K,2)*G203),0))))</f>
        <v>0</v>
      </c>
      <c r="AJ203" s="513" t="str">
        <f t="shared" ca="1" si="109"/>
        <v/>
      </c>
      <c r="AK203" s="700" t="str">
        <f t="shared" si="110"/>
        <v/>
      </c>
      <c r="AL203" s="700"/>
      <c r="AM203" s="505" t="str">
        <f t="shared" si="111"/>
        <v/>
      </c>
      <c r="AN203" s="506"/>
      <c r="AO203" s="507"/>
      <c r="AP203" s="507"/>
      <c r="AQ203" s="507"/>
      <c r="AR203" s="507"/>
      <c r="AS203" s="507"/>
      <c r="AT203" s="507"/>
      <c r="AU203" s="507"/>
      <c r="AV203" s="225"/>
      <c r="AW203" s="508"/>
      <c r="AX203" s="225"/>
      <c r="AY203" s="225"/>
      <c r="AZ203" s="225"/>
      <c r="BA203" s="225"/>
      <c r="BB203" s="225"/>
      <c r="BC203" s="56"/>
      <c r="BD203" s="56"/>
      <c r="BE203" s="56"/>
      <c r="BF203" s="107" t="str">
        <f t="shared" si="112"/>
        <v>https://www.google.com/search?tbm=isch&amp;q=3%20G4</v>
      </c>
      <c r="BG203" s="107" t="str">
        <f t="shared" si="113"/>
        <v>A</v>
      </c>
      <c r="BH203" s="254"/>
      <c r="BI203" s="254"/>
    </row>
    <row r="204" spans="1:61" customFormat="1" ht="16.5" thickBot="1" x14ac:dyDescent="0.3">
      <c r="A204" s="672" t="s">
        <v>5045</v>
      </c>
      <c r="B204" s="491"/>
      <c r="C204" s="675"/>
      <c r="D204" s="491"/>
      <c r="E204" s="491"/>
      <c r="F204" s="492"/>
      <c r="G204" s="493"/>
      <c r="H204" s="491"/>
      <c r="I204" s="234"/>
      <c r="J204" s="234"/>
      <c r="K204" s="494"/>
      <c r="L204" s="543"/>
      <c r="M204" s="561"/>
      <c r="N204" s="495"/>
      <c r="O204" s="496"/>
      <c r="P204" s="497"/>
      <c r="Q204" s="495"/>
      <c r="R204" s="495"/>
      <c r="S204" s="277"/>
      <c r="T204" s="508">
        <f t="shared" si="101"/>
        <v>0</v>
      </c>
      <c r="U204" s="225" t="str">
        <f>IF(NOT(ISNUMBER(G204)), "", VLOOKUP(A204,'Discount Lookup'!D:E,2,FALSE)*G204)</f>
        <v/>
      </c>
      <c r="V204" s="225" t="str">
        <f>IF(NOT(ISNUMBER(G204)), "", VLOOKUP(A204,'Discount Lookup'!G:H,2,FALSE)*G204)</f>
        <v/>
      </c>
      <c r="W204" s="508">
        <f t="shared" si="102"/>
        <v>0</v>
      </c>
      <c r="X204" s="508">
        <f t="shared" si="103"/>
        <v>0</v>
      </c>
      <c r="Y204" s="509" t="b">
        <f t="shared" si="104"/>
        <v>0</v>
      </c>
      <c r="Z204" s="510">
        <f t="shared" si="105"/>
        <v>0</v>
      </c>
      <c r="AA204" s="511"/>
      <c r="AB204" s="511" t="str">
        <f t="shared" si="106"/>
        <v/>
      </c>
      <c r="AC204" s="698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698"/>
      <c r="AE204" s="631" t="str">
        <f t="shared" si="107"/>
        <v/>
      </c>
      <c r="AF204" s="699" t="str">
        <f t="shared" si="108"/>
        <v/>
      </c>
      <c r="AG204" s="699"/>
      <c r="AH204" s="699"/>
      <c r="AI204" s="512">
        <f>IF(H204="credit",0,IF(AE204="free",0,IF(AE204="me",0,IF(G204&gt;0,(VLOOKUP(A204,'Discount Lookup'!J:K,2)*G204),0))))</f>
        <v>0</v>
      </c>
      <c r="AJ204" s="513" t="str">
        <f t="shared" ca="1" si="109"/>
        <v/>
      </c>
      <c r="AK204" s="700" t="str">
        <f t="shared" si="110"/>
        <v/>
      </c>
      <c r="AL204" s="700"/>
      <c r="AM204" s="505" t="str">
        <f t="shared" si="111"/>
        <v/>
      </c>
      <c r="AN204" s="506"/>
      <c r="AO204" s="507"/>
      <c r="AP204" s="507"/>
      <c r="AQ204" s="507"/>
      <c r="AR204" s="507"/>
      <c r="AS204" s="507"/>
      <c r="AT204" s="507"/>
      <c r="AU204" s="507"/>
      <c r="AV204" s="225"/>
      <c r="AW204" s="508"/>
      <c r="AX204" s="225"/>
      <c r="AY204" s="225"/>
      <c r="AZ204" s="225"/>
      <c r="BA204" s="225"/>
      <c r="BB204" s="225"/>
      <c r="BC204" s="56"/>
      <c r="BD204" s="56"/>
      <c r="BE204" s="56"/>
      <c r="BF204" s="107" t="str">
        <f t="shared" si="112"/>
        <v>https://www.google.com/search?tbm=isch&amp;q=moist%20sites%F0%9F%92%A7GOOD%2C%20Autumn%20Fern%20foliage%20emerges%20Copper-Red%20to%20Orange-Pink%2C%20then%20mature%20to%20a%20lush%20Green.%20Display%20often%20repeats%20in%20fall%20</v>
      </c>
      <c r="BG204" s="107" t="str">
        <f t="shared" si="113"/>
        <v>m</v>
      </c>
      <c r="BH204" s="254"/>
      <c r="BI204" s="254"/>
    </row>
    <row r="205" spans="1:61" customFormat="1" ht="18" x14ac:dyDescent="0.25">
      <c r="A205" s="521" t="s">
        <v>5317</v>
      </c>
      <c r="B205" s="477"/>
      <c r="C205" s="674"/>
      <c r="D205" s="478" t="s">
        <v>5318</v>
      </c>
      <c r="E205" s="479"/>
      <c r="F205" s="479"/>
      <c r="G205" s="479"/>
      <c r="H205" s="582" t="s">
        <v>2584</v>
      </c>
      <c r="I205" s="480" t="s">
        <v>2588</v>
      </c>
      <c r="J205" s="479"/>
      <c r="K205" s="479"/>
      <c r="L205" s="560"/>
      <c r="M205" s="666" t="s">
        <v>4966</v>
      </c>
      <c r="N205" s="680" t="str">
        <f>IF(AND(ISTEXT($A205), ISERROR($A205+0)), HYPERLINK($BF205, "Images"), "")</f>
        <v>Images</v>
      </c>
      <c r="O205" s="662" t="s">
        <v>4974</v>
      </c>
      <c r="P205" s="482"/>
      <c r="Q205" s="483"/>
      <c r="R205" s="483"/>
      <c r="S205" s="484"/>
      <c r="T205" s="508">
        <f t="shared" si="101"/>
        <v>0</v>
      </c>
      <c r="U205" s="225" t="str">
        <f>IF(NOT(ISNUMBER(G205)), "", VLOOKUP(A205,'Discount Lookup'!D:E,2,FALSE)*G205)</f>
        <v/>
      </c>
      <c r="V205" s="225" t="str">
        <f>IF(NOT(ISNUMBER(G205)), "", VLOOKUP(A205,'Discount Lookup'!G:H,2,FALSE)*G205)</f>
        <v/>
      </c>
      <c r="W205" s="508">
        <f t="shared" si="102"/>
        <v>0</v>
      </c>
      <c r="X205" s="508" t="str">
        <f t="shared" si="103"/>
        <v>true Red bloom</v>
      </c>
      <c r="Y205" s="509" t="b">
        <f t="shared" si="104"/>
        <v>0</v>
      </c>
      <c r="Z205" s="510">
        <f t="shared" si="105"/>
        <v>0</v>
      </c>
      <c r="AA205" s="511"/>
      <c r="AB205" s="511" t="str">
        <f t="shared" si="106"/>
        <v/>
      </c>
      <c r="AC205" s="698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698"/>
      <c r="AE205" s="631" t="str">
        <f t="shared" si="107"/>
        <v/>
      </c>
      <c r="AF205" s="699" t="str">
        <f t="shared" si="108"/>
        <v/>
      </c>
      <c r="AG205" s="699"/>
      <c r="AH205" s="699"/>
      <c r="AI205" s="512">
        <f>IF(H205="credit",0,IF(AE205="free",0,IF(AE205="me",0,IF(G205&gt;0,(VLOOKUP(A205,'Discount Lookup'!J:K,2)*G205),0))))</f>
        <v>0</v>
      </c>
      <c r="AJ205" s="513" t="str">
        <f t="shared" ca="1" si="109"/>
        <v/>
      </c>
      <c r="AK205" s="700" t="str">
        <f t="shared" si="110"/>
        <v/>
      </c>
      <c r="AL205" s="700"/>
      <c r="AM205" s="505" t="str">
        <f t="shared" si="111"/>
        <v/>
      </c>
      <c r="AN205" s="506"/>
      <c r="AO205" s="507"/>
      <c r="AP205" s="507"/>
      <c r="AQ205" s="507"/>
      <c r="AR205" s="507"/>
      <c r="AS205" s="507"/>
      <c r="AT205" s="507"/>
      <c r="AU205" s="507"/>
      <c r="AV205" s="225"/>
      <c r="AW205" s="508"/>
      <c r="AX205" s="225"/>
      <c r="AY205" s="225"/>
      <c r="AZ205" s="225"/>
      <c r="BA205" s="225"/>
      <c r="BB205" s="225"/>
      <c r="BC205" s="56"/>
      <c r="BD205" s="56"/>
      <c r="BE205" s="56"/>
      <c r="BF205" s="107" t="str">
        <f t="shared" si="112"/>
        <v>https://www.google.com/search?tbm=isch&amp;q=Autumn%20Fire%C2%AE%20Encore%C2%AE%20Azalea%20Rhod.%20Encore%C2%AE%20%27Roblez%27%20PP%2328279</v>
      </c>
      <c r="BG205" s="107" t="str">
        <f t="shared" si="113"/>
        <v>A</v>
      </c>
      <c r="BH205" s="254"/>
      <c r="BI205" s="254"/>
    </row>
    <row r="206" spans="1:61" customFormat="1" ht="15.75" x14ac:dyDescent="0.25">
      <c r="A206" s="485">
        <v>3</v>
      </c>
      <c r="B206" s="486" t="s">
        <v>291</v>
      </c>
      <c r="C206" s="487"/>
      <c r="D206" s="488" t="s">
        <v>312</v>
      </c>
      <c r="E206" s="489">
        <v>29.95</v>
      </c>
      <c r="F206" s="516" t="s">
        <v>293</v>
      </c>
      <c r="G206" s="232">
        <v>0</v>
      </c>
      <c r="H206" s="658" t="str">
        <f>IF(G206=0,"",IF(F206="Buy",IF(G206=1,"plant","plants"),IF(F206&gt;0.01,"warranty","Error")))</f>
        <v/>
      </c>
      <c r="I206" s="490">
        <f>IF(H206="free",0,IF(H206="credit",((E206*(F206))*G206*-1),IF(F206="Buy",(E206*G206),((E206*(1-F206))*G206))))</f>
        <v>0</v>
      </c>
      <c r="J206" s="490">
        <f>IF(H206="warranty",0,(I206*(_xlfn.SINGLE(SalesTaxPercentage))))</f>
        <v>0</v>
      </c>
      <c r="K206" s="695">
        <f t="shared" ref="K206" si="147">I206+J206</f>
        <v>0</v>
      </c>
      <c r="L206" s="695"/>
      <c r="M206" s="659" t="str">
        <f>IF(AND(G206&gt;0,E206=0),"WARNING - no PRICE inserted",IF(H206="free"," FREE ~ no charge this plant",IF(H206="credit",CONCATENATE(" -$",ROUND(K206*(1-T2GDiscount)*-1,2)," CREDIT after discount"),IF(T2GDiscount=0,"",IF(G206=0,"",IF(F206="Buy",CONCATENATE(" $",ROUND(K206*(1-T2GDiscount),2)," with ",(T2GDiscount*100),"% discount"),CONCATENATE(" $",ROUND(K206*(1-T2GDiscount),2)," with ",((T2GDiscount*100+F206*100)-(T2GDiscount*100*F206)),IF(F206&gt;0,"% discounts",IF(NoWarrantyDiscount&gt;0,"% discounts","% discount")))))))))</f>
        <v/>
      </c>
      <c r="N206" s="660"/>
      <c r="O206" s="233"/>
      <c r="P206" s="233"/>
      <c r="Q206" s="233"/>
      <c r="R206" s="233"/>
      <c r="S206" s="233"/>
      <c r="T206" s="508">
        <f t="shared" ref="T206:T269" si="148">E206*G206</f>
        <v>0</v>
      </c>
      <c r="U206" s="225">
        <f>IF(NOT(ISNUMBER(G206)), "", VLOOKUP(A206,'Discount Lookup'!D:E,2,FALSE)*G206)</f>
        <v>0</v>
      </c>
      <c r="V206" s="225">
        <f>IF(NOT(ISNUMBER(G206)), "", VLOOKUP(A206,'Discount Lookup'!G:H,2,FALSE)*G206)</f>
        <v>0</v>
      </c>
      <c r="W206" s="508">
        <f t="shared" ref="W206:W269" si="149">IF(H206="credit",0,E206*(SalesTaxPercentage)*G206)</f>
        <v>0</v>
      </c>
      <c r="X206" s="508">
        <f t="shared" ref="X206:X269" si="150">I206</f>
        <v>0</v>
      </c>
      <c r="Y206" s="509" t="b">
        <f t="shared" ref="Y206:Y269" si="151">IF(AE206="T2G",0,IF(H206="credit",0,IF(G206&gt;0,IF(AE206="me","",G206))))</f>
        <v>0</v>
      </c>
      <c r="Z206" s="510">
        <f t="shared" ref="Z206:Z269" si="152">IF(H206="credit",G206,0)</f>
        <v>0</v>
      </c>
      <c r="AA206" s="511"/>
      <c r="AB206" s="511" t="str">
        <f t="shared" ref="AB206:AB269" si="153">IF(AE206="T2G","by Trees2Go",IF(H206="credit","CREDIT only ~",IF(AND(K206="",AE206=OR(PlanterYesMe="No",PlanterYesMe="N",PlanterYesMe="me")),"not THIS line⇨",IF(AND(K206="images",AE206="me"),"not THIS line⇨",IF(H206="credit","",IF(G206=0,"",IF(AE206="me","",IF(OR(PlanterYesMe="No",PlanterYesMe="N",PlanterYesMe="me"),"",IF(AE206="free","warranty",IF(OR(PlanterYesMe="yes",PlanterYesMe="y"),"Edison install:","to install:"))))))))))</f>
        <v/>
      </c>
      <c r="AC206" s="698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698"/>
      <c r="AE206" s="631" t="str">
        <f t="shared" ref="AE206:AE269" si="154">IF(H206="credit","",IF(G206=0,"",IF(OR(PlanterYesMe="No",PlanterYesMe="N",PlanterYesMe="me"),"me",IF(H206="warranty","free",IF(OR(PlanterYesMe="yes",PlanterYesMe="y"),"ELP","")))))</f>
        <v/>
      </c>
      <c r="AF206" s="699" t="str">
        <f t="shared" ref="AF206:AF269" si="155">IF(OR(PlanterYesMe="No",PlanterYesMe="N",PlanterYesMe="me"),"",IF(H206="credit","",IF(G206&gt;0,(CONCATENATE((G206)," quantity, ",(A206)," ",B206)),"")))</f>
        <v/>
      </c>
      <c r="AG206" s="699"/>
      <c r="AH206" s="699"/>
      <c r="AI206" s="512">
        <f>IF(H206="credit",0,IF(AE206="free",0,IF(AE206="me",0,IF(G206&gt;0,(VLOOKUP(A206,'Discount Lookup'!J:K,2)*G206),0))))</f>
        <v>0</v>
      </c>
      <c r="AJ206" s="513" t="str">
        <f t="shared" ref="AJ206:AJ269" ca="1" si="156">IF(AND(ISREF(H206),H206="credit"),"",IF(AND(AND(OFFSET(G206,0,0)=0,OFFSET(G206,1,0)&gt;0,ISNUMBER(OFFSET(AC206,1,0)),OFFSET(AC206,1,0)&gt;0),OR(PlanterYesMe="yes",PlanterYesMe="y")),"T2G+ELP=",IF(AND(OFFSET(G206,0,0)=0,OFFSET(G206,1,0)&gt;0,ISNUMBER(OFFSET(AC206,1,0)),OFFSET(AC206,1,0)&gt;0),"if T2G+ELP=",IF(AND(OFFSET(G206,0,0)=0,OFFSET(G206,1,0)&gt;0),"T2G Subtotal",IF(H206="credit","",IF(G206=0,"",IF(AE206="free",(K206*(1-T2GDiscount)),IF(OR(PlanterYesMe="No",PlanterYesMe="N",PlanterYesMe="me"),(K206*(1-T2GDiscount)),IF(OR(AE206="me",AE206="T2G"),(K206*(1-T2GDiscount)),(K206*(1-T2GDiscount))+AC206)))))))))</f>
        <v/>
      </c>
      <c r="AK206" s="700" t="str">
        <f t="shared" ref="AK206:AK269" si="157">IF(H206="credit","",IF(G206=0,"",IF(OR(AE206="me",AE206="T2G"),"  delivery-only",IF(OR(PlanterYesMe="No",PlanterYesMe="N",PlanterYesMe="me"),"  delivery-only",CONCATENATE(" $",ROUND(AJ206/G206,2)," each")))))</f>
        <v/>
      </c>
      <c r="AL206" s="700"/>
      <c r="AM206" s="505" t="str">
        <f t="shared" ref="AM206:AM269" si="158">IF(H206="credit","",IF(AE206="free","      ~ discounts included, no tax or planting fee applies ~",IF(G206=0,"",IF(OR(PlanterYesMe="No",PlanterYesMe="N",PlanterYesMe="me"),CONCATENATE(" $",ROUND(AJ206/G206,2)," per plant, with tax &amp; discount"),IF(OR(AE206="me",AE206="T2G"),CONCATENATE(" $",ROUND(AJ206/G206,2)," per plant, with tax &amp; discount"),CONCATENATE("= $",ROUND((K206*(1-T2GDiscount))/G206,2)," per plant + $",AC206/G206,(" per planting      ~ includes tax &amp; discounts ~")))))))</f>
        <v/>
      </c>
      <c r="AN206" s="506"/>
      <c r="AO206" s="507"/>
      <c r="AP206" s="507"/>
      <c r="AQ206" s="507"/>
      <c r="AR206" s="507"/>
      <c r="AS206" s="507"/>
      <c r="AT206" s="507"/>
      <c r="AU206" s="507"/>
      <c r="AV206" s="225"/>
      <c r="AW206" s="508"/>
      <c r="AX206" s="225"/>
      <c r="AY206" s="225"/>
      <c r="AZ206" s="225"/>
      <c r="BA206" s="225"/>
      <c r="BB206" s="225"/>
      <c r="BC206" s="56"/>
      <c r="BD206" s="56"/>
      <c r="BE206" s="56"/>
      <c r="BF206" s="107" t="str">
        <f t="shared" ref="BF206:BF269" si="159">"https://www.google.com/search?tbm=isch&amp;q=" &amp; _xlfn.ENCODEURL($A206 &amp; " " &amp; $D206)</f>
        <v>https://www.google.com/search?tbm=isch&amp;q=3%20G2</v>
      </c>
      <c r="BG206" s="107" t="str">
        <f t="shared" ref="BG206:BG269" si="160">IF(ISTEXT(A206),LEFT(A206,1),BG205)</f>
        <v>A</v>
      </c>
      <c r="BH206" s="254"/>
      <c r="BI206" s="254"/>
    </row>
    <row r="207" spans="1:61" customFormat="1" ht="17.25" thickBot="1" x14ac:dyDescent="0.3">
      <c r="A207" s="522" t="s">
        <v>2661</v>
      </c>
      <c r="B207" s="491"/>
      <c r="C207" s="675"/>
      <c r="D207" s="491"/>
      <c r="E207" s="491"/>
      <c r="F207" s="492"/>
      <c r="G207" s="493"/>
      <c r="H207" s="491"/>
      <c r="I207" s="234"/>
      <c r="J207" s="234"/>
      <c r="K207" s="494"/>
      <c r="L207" s="543"/>
      <c r="M207" s="561"/>
      <c r="N207" s="495"/>
      <c r="O207" s="496"/>
      <c r="P207" s="497"/>
      <c r="Q207" s="495"/>
      <c r="R207" s="495"/>
      <c r="S207" s="667" t="s">
        <v>4988</v>
      </c>
      <c r="T207" s="508">
        <f t="shared" si="148"/>
        <v>0</v>
      </c>
      <c r="U207" s="225" t="str">
        <f>IF(NOT(ISNUMBER(G207)), "", VLOOKUP(A207,'Discount Lookup'!D:E,2,FALSE)*G207)</f>
        <v/>
      </c>
      <c r="V207" s="225" t="str">
        <f>IF(NOT(ISNUMBER(G207)), "", VLOOKUP(A207,'Discount Lookup'!G:H,2,FALSE)*G207)</f>
        <v/>
      </c>
      <c r="W207" s="508">
        <f t="shared" si="149"/>
        <v>0</v>
      </c>
      <c r="X207" s="508">
        <f t="shared" si="150"/>
        <v>0</v>
      </c>
      <c r="Y207" s="509" t="b">
        <f t="shared" si="151"/>
        <v>0</v>
      </c>
      <c r="Z207" s="510">
        <f t="shared" si="152"/>
        <v>0</v>
      </c>
      <c r="AA207" s="511"/>
      <c r="AB207" s="511" t="str">
        <f t="shared" si="153"/>
        <v/>
      </c>
      <c r="AC207" s="698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698"/>
      <c r="AE207" s="631" t="str">
        <f t="shared" si="154"/>
        <v/>
      </c>
      <c r="AF207" s="699" t="str">
        <f t="shared" si="155"/>
        <v/>
      </c>
      <c r="AG207" s="699"/>
      <c r="AH207" s="699"/>
      <c r="AI207" s="512">
        <f>IF(H207="credit",0,IF(AE207="free",0,IF(AE207="me",0,IF(G207&gt;0,(VLOOKUP(A207,'Discount Lookup'!J:K,2)*G207),0))))</f>
        <v>0</v>
      </c>
      <c r="AJ207" s="513" t="str">
        <f t="shared" ca="1" si="156"/>
        <v/>
      </c>
      <c r="AK207" s="700" t="str">
        <f t="shared" si="157"/>
        <v/>
      </c>
      <c r="AL207" s="700"/>
      <c r="AM207" s="505" t="str">
        <f t="shared" si="158"/>
        <v/>
      </c>
      <c r="AN207" s="506"/>
      <c r="AO207" s="507"/>
      <c r="AP207" s="507"/>
      <c r="AQ207" s="507"/>
      <c r="AR207" s="507"/>
      <c r="AS207" s="507"/>
      <c r="AT207" s="507"/>
      <c r="AU207" s="507"/>
      <c r="AV207" s="225"/>
      <c r="AW207" s="508"/>
      <c r="AX207" s="225"/>
      <c r="AY207" s="225"/>
      <c r="AZ207" s="225"/>
      <c r="BA207" s="225"/>
      <c r="BB207" s="225"/>
      <c r="BC207" s="56"/>
      <c r="BD207" s="56"/>
      <c r="BE207" s="56"/>
      <c r="BF207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07" s="107" t="str">
        <f t="shared" si="160"/>
        <v>A</v>
      </c>
      <c r="BH207" s="254"/>
      <c r="BI207" s="254"/>
    </row>
    <row r="208" spans="1:61" customFormat="1" ht="18" x14ac:dyDescent="0.25">
      <c r="A208" s="523" t="s">
        <v>392</v>
      </c>
      <c r="B208" s="235"/>
      <c r="C208" s="676"/>
      <c r="D208" s="255" t="s">
        <v>391</v>
      </c>
      <c r="E208" s="236"/>
      <c r="F208" s="236"/>
      <c r="G208" s="236"/>
      <c r="H208" s="582" t="s">
        <v>324</v>
      </c>
      <c r="I208" s="498" t="s">
        <v>2109</v>
      </c>
      <c r="J208" s="237"/>
      <c r="K208" s="237"/>
      <c r="L208" s="274"/>
      <c r="M208" s="668" t="s">
        <v>4962</v>
      </c>
      <c r="N208" s="681" t="str">
        <f>IF(AND(ISTEXT($A208), ISERROR($A208+0)), HYPERLINK($BF208, "Images"), "")</f>
        <v>Images</v>
      </c>
      <c r="O208" s="663" t="s">
        <v>4967</v>
      </c>
      <c r="P208" s="253"/>
      <c r="Q208" s="238"/>
      <c r="R208" s="239"/>
      <c r="S208" s="275"/>
      <c r="T208" s="508">
        <f t="shared" si="148"/>
        <v>0</v>
      </c>
      <c r="U208" s="225" t="str">
        <f>IF(NOT(ISNUMBER(G208)), "", VLOOKUP(A208,'Discount Lookup'!D:E,2,FALSE)*G208)</f>
        <v/>
      </c>
      <c r="V208" s="225" t="str">
        <f>IF(NOT(ISNUMBER(G208)), "", VLOOKUP(A208,'Discount Lookup'!G:H,2,FALSE)*G208)</f>
        <v/>
      </c>
      <c r="W208" s="508">
        <f t="shared" si="149"/>
        <v>0</v>
      </c>
      <c r="X208" s="508" t="str">
        <f t="shared" si="150"/>
        <v>Green foliage</v>
      </c>
      <c r="Y208" s="509" t="b">
        <f t="shared" si="151"/>
        <v>0</v>
      </c>
      <c r="Z208" s="510">
        <f t="shared" si="152"/>
        <v>0</v>
      </c>
      <c r="AA208" s="511"/>
      <c r="AB208" s="511" t="str">
        <f t="shared" si="153"/>
        <v/>
      </c>
      <c r="AC208" s="698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698"/>
      <c r="AE208" s="631" t="str">
        <f t="shared" si="154"/>
        <v/>
      </c>
      <c r="AF208" s="699" t="str">
        <f t="shared" si="155"/>
        <v/>
      </c>
      <c r="AG208" s="699"/>
      <c r="AH208" s="699"/>
      <c r="AI208" s="512">
        <f>IF(H208="credit",0,IF(AE208="free",0,IF(AE208="me",0,IF(G208&gt;0,(VLOOKUP(A208,'Discount Lookup'!J:K,2)*G208),0))))</f>
        <v>0</v>
      </c>
      <c r="AJ208" s="513" t="str">
        <f t="shared" ca="1" si="156"/>
        <v/>
      </c>
      <c r="AK208" s="700" t="str">
        <f t="shared" si="157"/>
        <v/>
      </c>
      <c r="AL208" s="700"/>
      <c r="AM208" s="505" t="str">
        <f t="shared" si="158"/>
        <v/>
      </c>
      <c r="AN208" s="506"/>
      <c r="AO208" s="507"/>
      <c r="AP208" s="507"/>
      <c r="AQ208" s="507"/>
      <c r="AR208" s="507"/>
      <c r="AS208" s="507"/>
      <c r="AT208" s="507"/>
      <c r="AU208" s="507"/>
      <c r="AV208" s="225"/>
      <c r="AW208" s="508"/>
      <c r="AX208" s="225"/>
      <c r="AY208" s="225"/>
      <c r="AZ208" s="225"/>
      <c r="BA208" s="225"/>
      <c r="BB208" s="225"/>
      <c r="BC208" s="56"/>
      <c r="BD208" s="56"/>
      <c r="BE208" s="56"/>
      <c r="BF208" s="107" t="str">
        <f t="shared" si="159"/>
        <v>https://www.google.com/search?tbm=isch&amp;q=Autumn%20Gold%20Ginkgo%20Ginkgo%20biloba%20%27Autumn%20Gold%27</v>
      </c>
      <c r="BG208" s="107" t="str">
        <f t="shared" si="160"/>
        <v>A</v>
      </c>
      <c r="BH208" s="254"/>
      <c r="BI208" s="254"/>
    </row>
    <row r="209" spans="1:61" customFormat="1" ht="15.75" x14ac:dyDescent="0.25">
      <c r="A209" s="276">
        <v>10</v>
      </c>
      <c r="B209" s="240" t="s">
        <v>291</v>
      </c>
      <c r="C209" s="241" t="s">
        <v>3316</v>
      </c>
      <c r="D209" s="242" t="s">
        <v>292</v>
      </c>
      <c r="E209" s="243">
        <v>215.95</v>
      </c>
      <c r="F209" s="517" t="s">
        <v>293</v>
      </c>
      <c r="G209" s="232">
        <v>0</v>
      </c>
      <c r="H209" s="661" t="str">
        <f>IF(G209=0,"",IF(F209="Buy",IF(G209=1,"plant","plants"),IF(F209&gt;0.01,"warranty","Error")))</f>
        <v/>
      </c>
      <c r="I209" s="244">
        <f>IF(H209="free",0,IF(H209="credit",((E209*(F209))*G209*-1),IF(F209="Buy",(E209*G209),((E209*(1-F209))*G209))))</f>
        <v>0</v>
      </c>
      <c r="J209" s="244">
        <f>IF(H209="warranty",0,(I209*(_xlfn.SINGLE(SalesTaxPercentage))))</f>
        <v>0</v>
      </c>
      <c r="K209" s="696">
        <f t="shared" ref="K209" si="161">I209+J209</f>
        <v>0</v>
      </c>
      <c r="L209" s="696"/>
      <c r="M209" s="659" t="str">
        <f>IF(AND(G209&gt;0,E209=0),"WARNING - no PRICE inserted",IF(H209="free"," FREE ~ no charge this plant",IF(H209="credit",CONCATENATE(" -$",ROUND(K209*(1-T2GDiscount)*-1,2)," CREDIT after discount"),IF(T2GDiscount=0,"",IF(G209=0,"",IF(F209="Buy",CONCATENATE(" $",ROUND(K209*(1-T2GDiscount),2)," with ",(T2GDiscount*100),"% discount"),CONCATENATE(" $",ROUND(K209*(1-T2GDiscount),2)," with ",((T2GDiscount*100+F209*100)-(T2GDiscount*100*F209)),IF(F209&gt;0,"% discounts",IF(NoWarrantyDiscount&gt;0,"% discounts","% discount")))))))))</f>
        <v/>
      </c>
      <c r="N209" s="660"/>
      <c r="O209" s="233"/>
      <c r="P209" s="233"/>
      <c r="Q209" s="233"/>
      <c r="R209" s="233"/>
      <c r="S209" s="233"/>
      <c r="T209" s="508">
        <f t="shared" si="148"/>
        <v>0</v>
      </c>
      <c r="U209" s="225">
        <f>IF(NOT(ISNUMBER(G209)), "", VLOOKUP(A209,'Discount Lookup'!D:E,2,FALSE)*G209)</f>
        <v>0</v>
      </c>
      <c r="V209" s="225">
        <f>IF(NOT(ISNUMBER(G209)), "", VLOOKUP(A209,'Discount Lookup'!G:H,2,FALSE)*G209)</f>
        <v>0</v>
      </c>
      <c r="W209" s="508">
        <f t="shared" si="149"/>
        <v>0</v>
      </c>
      <c r="X209" s="508">
        <f t="shared" si="150"/>
        <v>0</v>
      </c>
      <c r="Y209" s="509" t="b">
        <f t="shared" si="151"/>
        <v>0</v>
      </c>
      <c r="Z209" s="510">
        <f t="shared" si="152"/>
        <v>0</v>
      </c>
      <c r="AA209" s="511"/>
      <c r="AB209" s="511" t="str">
        <f t="shared" si="153"/>
        <v/>
      </c>
      <c r="AC209" s="698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698"/>
      <c r="AE209" s="631" t="str">
        <f t="shared" si="154"/>
        <v/>
      </c>
      <c r="AF209" s="699" t="str">
        <f t="shared" si="155"/>
        <v/>
      </c>
      <c r="AG209" s="699"/>
      <c r="AH209" s="699"/>
      <c r="AI209" s="512">
        <f>IF(H209="credit",0,IF(AE209="free",0,IF(AE209="me",0,IF(G209&gt;0,(VLOOKUP(A209,'Discount Lookup'!J:K,2)*G209),0))))</f>
        <v>0</v>
      </c>
      <c r="AJ209" s="513" t="str">
        <f t="shared" ca="1" si="156"/>
        <v/>
      </c>
      <c r="AK209" s="700" t="str">
        <f t="shared" si="157"/>
        <v/>
      </c>
      <c r="AL209" s="700"/>
      <c r="AM209" s="505" t="str">
        <f t="shared" si="158"/>
        <v/>
      </c>
      <c r="AN209" s="506"/>
      <c r="AO209" s="507"/>
      <c r="AP209" s="507"/>
      <c r="AQ209" s="507"/>
      <c r="AR209" s="507"/>
      <c r="AS209" s="507"/>
      <c r="AT209" s="507"/>
      <c r="AU209" s="507"/>
      <c r="AV209" s="225"/>
      <c r="AW209" s="508"/>
      <c r="AX209" s="225"/>
      <c r="AY209" s="225"/>
      <c r="AZ209" s="225"/>
      <c r="BA209" s="225"/>
      <c r="BB209" s="225"/>
      <c r="BC209" s="56"/>
      <c r="BD209" s="56"/>
      <c r="BE209" s="56"/>
      <c r="BF209" s="107" t="str">
        <f t="shared" si="159"/>
        <v>https://www.google.com/search?tbm=isch&amp;q=10%20G4</v>
      </c>
      <c r="BG209" s="107" t="str">
        <f t="shared" si="160"/>
        <v>A</v>
      </c>
      <c r="BH209" s="254"/>
      <c r="BI209" s="254"/>
    </row>
    <row r="210" spans="1:61" customFormat="1" ht="15.75" x14ac:dyDescent="0.25">
      <c r="A210" s="276">
        <v>15</v>
      </c>
      <c r="B210" s="240" t="s">
        <v>291</v>
      </c>
      <c r="C210" s="241" t="s">
        <v>2711</v>
      </c>
      <c r="D210" s="242" t="s">
        <v>299</v>
      </c>
      <c r="E210" s="243">
        <v>217.95</v>
      </c>
      <c r="F210" s="517" t="s">
        <v>293</v>
      </c>
      <c r="G210" s="232">
        <v>0</v>
      </c>
      <c r="H210" s="661" t="str">
        <f>IF(G210=0,"",IF(F210="Buy",IF(G210=1,"plant","plants"),IF(F210&gt;0.01,"warranty","Error")))</f>
        <v/>
      </c>
      <c r="I210" s="244">
        <f>IF(H210="free",0,IF(H210="credit",((E210*(F210))*G210*-1),IF(F210="Buy",(E210*G210),((E210*(1-F210))*G210))))</f>
        <v>0</v>
      </c>
      <c r="J210" s="244">
        <f>IF(H210="warranty",0,(I210*(_xlfn.SINGLE(SalesTaxPercentage))))</f>
        <v>0</v>
      </c>
      <c r="K210" s="696">
        <f t="shared" ref="K210" si="162">I210+J210</f>
        <v>0</v>
      </c>
      <c r="L210" s="696"/>
      <c r="M210" s="659" t="str">
        <f>IF(AND(G210&gt;0,E210=0),"WARNING - no PRICE inserted",IF(H210="free"," FREE ~ no charge this plant",IF(H210="credit",CONCATENATE(" -$",ROUND(K210*(1-T2GDiscount)*-1,2)," CREDIT after discount"),IF(T2GDiscount=0,"",IF(G210=0,"",IF(F210="Buy",CONCATENATE(" $",ROUND(K210*(1-T2GDiscount),2)," with ",(T2GDiscount*100),"% discount"),CONCATENATE(" $",ROUND(K210*(1-T2GDiscount),2)," with ",((T2GDiscount*100+F210*100)-(T2GDiscount*100*F210)),IF(F210&gt;0,"% discounts",IF(NoWarrantyDiscount&gt;0,"% discounts","% discount")))))))))</f>
        <v/>
      </c>
      <c r="N210" s="660"/>
      <c r="O210" s="233"/>
      <c r="P210" s="233"/>
      <c r="Q210" s="233"/>
      <c r="R210" s="233"/>
      <c r="S210" s="233"/>
      <c r="T210" s="508">
        <f t="shared" si="148"/>
        <v>0</v>
      </c>
      <c r="U210" s="225">
        <f>IF(NOT(ISNUMBER(G210)), "", VLOOKUP(A210,'Discount Lookup'!D:E,2,FALSE)*G210)</f>
        <v>0</v>
      </c>
      <c r="V210" s="225">
        <f>IF(NOT(ISNUMBER(G210)), "", VLOOKUP(A210,'Discount Lookup'!G:H,2,FALSE)*G210)</f>
        <v>0</v>
      </c>
      <c r="W210" s="508">
        <f t="shared" si="149"/>
        <v>0</v>
      </c>
      <c r="X210" s="508">
        <f t="shared" si="150"/>
        <v>0</v>
      </c>
      <c r="Y210" s="509" t="b">
        <f t="shared" si="151"/>
        <v>0</v>
      </c>
      <c r="Z210" s="510">
        <f t="shared" si="152"/>
        <v>0</v>
      </c>
      <c r="AA210" s="511"/>
      <c r="AB210" s="511" t="str">
        <f t="shared" si="153"/>
        <v/>
      </c>
      <c r="AC210" s="698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698"/>
      <c r="AE210" s="631" t="str">
        <f t="shared" si="154"/>
        <v/>
      </c>
      <c r="AF210" s="699" t="str">
        <f t="shared" si="155"/>
        <v/>
      </c>
      <c r="AG210" s="699"/>
      <c r="AH210" s="699"/>
      <c r="AI210" s="512">
        <f>IF(H210="credit",0,IF(AE210="free",0,IF(AE210="me",0,IF(G210&gt;0,(VLOOKUP(A210,'Discount Lookup'!J:K,2)*G210),0))))</f>
        <v>0</v>
      </c>
      <c r="AJ210" s="513" t="str">
        <f t="shared" ca="1" si="156"/>
        <v/>
      </c>
      <c r="AK210" s="700" t="str">
        <f t="shared" si="157"/>
        <v/>
      </c>
      <c r="AL210" s="700"/>
      <c r="AM210" s="505" t="str">
        <f t="shared" si="158"/>
        <v/>
      </c>
      <c r="AN210" s="506"/>
      <c r="AO210" s="507"/>
      <c r="AP210" s="507"/>
      <c r="AQ210" s="507"/>
      <c r="AR210" s="507"/>
      <c r="AS210" s="507"/>
      <c r="AT210" s="507"/>
      <c r="AU210" s="507"/>
      <c r="AV210" s="225"/>
      <c r="AW210" s="508"/>
      <c r="AX210" s="225"/>
      <c r="AY210" s="225"/>
      <c r="AZ210" s="225"/>
      <c r="BA210" s="225"/>
      <c r="BB210" s="225"/>
      <c r="BC210" s="56"/>
      <c r="BD210" s="56"/>
      <c r="BE210" s="56"/>
      <c r="BF210" s="107" t="str">
        <f t="shared" si="159"/>
        <v>https://www.google.com/search?tbm=isch&amp;q=15%20G5</v>
      </c>
      <c r="BG210" s="107" t="str">
        <f t="shared" si="160"/>
        <v>A</v>
      </c>
      <c r="BH210" s="254"/>
      <c r="BI210" s="254"/>
    </row>
    <row r="211" spans="1:61" customFormat="1" ht="15.75" x14ac:dyDescent="0.25">
      <c r="A211" s="276">
        <v>15</v>
      </c>
      <c r="B211" s="240" t="s">
        <v>291</v>
      </c>
      <c r="C211" s="241" t="s">
        <v>3317</v>
      </c>
      <c r="D211" s="242" t="s">
        <v>292</v>
      </c>
      <c r="E211" s="243">
        <v>270.95</v>
      </c>
      <c r="F211" s="517" t="s">
        <v>293</v>
      </c>
      <c r="G211" s="232">
        <v>0</v>
      </c>
      <c r="H211" s="661" t="str">
        <f>IF(G211=0,"",IF(F211="Buy",IF(G211=1,"plant","plants"),IF(F211&gt;0.01,"warranty","Error")))</f>
        <v/>
      </c>
      <c r="I211" s="244">
        <f>IF(H211="free",0,IF(H211="credit",((E211*(F211))*G211*-1),IF(F211="Buy",(E211*G211),((E211*(1-F211))*G211))))</f>
        <v>0</v>
      </c>
      <c r="J211" s="244">
        <f>IF(H211="warranty",0,(I211*(_xlfn.SINGLE(SalesTaxPercentage))))</f>
        <v>0</v>
      </c>
      <c r="K211" s="696">
        <f t="shared" ref="K211" si="163">I211+J211</f>
        <v>0</v>
      </c>
      <c r="L211" s="696"/>
      <c r="M211" s="659" t="str">
        <f>IF(AND(G211&gt;0,E211=0),"WARNING - no PRICE inserted",IF(H211="free"," FREE ~ no charge this plant",IF(H211="credit",CONCATENATE(" -$",ROUND(K211*(1-T2GDiscount)*-1,2)," CREDIT after discount"),IF(T2GDiscount=0,"",IF(G211=0,"",IF(F211="Buy",CONCATENATE(" $",ROUND(K211*(1-T2GDiscount),2)," with ",(T2GDiscount*100),"% discount"),CONCATENATE(" $",ROUND(K211*(1-T2GDiscount),2)," with ",((T2GDiscount*100+F211*100)-(T2GDiscount*100*F211)),IF(F211&gt;0,"% discounts",IF(NoWarrantyDiscount&gt;0,"% discounts","% discount")))))))))</f>
        <v/>
      </c>
      <c r="N211" s="660"/>
      <c r="O211" s="233"/>
      <c r="P211" s="233"/>
      <c r="Q211" s="233"/>
      <c r="R211" s="233"/>
      <c r="S211" s="233"/>
      <c r="T211" s="508">
        <f t="shared" si="148"/>
        <v>0</v>
      </c>
      <c r="U211" s="225">
        <f>IF(NOT(ISNUMBER(G211)), "", VLOOKUP(A211,'Discount Lookup'!D:E,2,FALSE)*G211)</f>
        <v>0</v>
      </c>
      <c r="V211" s="225">
        <f>IF(NOT(ISNUMBER(G211)), "", VLOOKUP(A211,'Discount Lookup'!G:H,2,FALSE)*G211)</f>
        <v>0</v>
      </c>
      <c r="W211" s="508">
        <f t="shared" si="149"/>
        <v>0</v>
      </c>
      <c r="X211" s="508">
        <f t="shared" si="150"/>
        <v>0</v>
      </c>
      <c r="Y211" s="509" t="b">
        <f t="shared" si="151"/>
        <v>0</v>
      </c>
      <c r="Z211" s="510">
        <f t="shared" si="152"/>
        <v>0</v>
      </c>
      <c r="AA211" s="511"/>
      <c r="AB211" s="511" t="str">
        <f t="shared" si="153"/>
        <v/>
      </c>
      <c r="AC211" s="698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698"/>
      <c r="AE211" s="631" t="str">
        <f t="shared" si="154"/>
        <v/>
      </c>
      <c r="AF211" s="699" t="str">
        <f t="shared" si="155"/>
        <v/>
      </c>
      <c r="AG211" s="699"/>
      <c r="AH211" s="699"/>
      <c r="AI211" s="512">
        <f>IF(H211="credit",0,IF(AE211="free",0,IF(AE211="me",0,IF(G211&gt;0,(VLOOKUP(A211,'Discount Lookup'!J:K,2)*G211),0))))</f>
        <v>0</v>
      </c>
      <c r="AJ211" s="513" t="str">
        <f t="shared" ca="1" si="156"/>
        <v/>
      </c>
      <c r="AK211" s="700" t="str">
        <f t="shared" si="157"/>
        <v/>
      </c>
      <c r="AL211" s="700"/>
      <c r="AM211" s="505" t="str">
        <f t="shared" si="158"/>
        <v/>
      </c>
      <c r="AN211" s="506"/>
      <c r="AO211" s="507"/>
      <c r="AP211" s="507"/>
      <c r="AQ211" s="507"/>
      <c r="AR211" s="507"/>
      <c r="AS211" s="507"/>
      <c r="AT211" s="507"/>
      <c r="AU211" s="507"/>
      <c r="AV211" s="225"/>
      <c r="AW211" s="508"/>
      <c r="AX211" s="225"/>
      <c r="AY211" s="225"/>
      <c r="AZ211" s="225"/>
      <c r="BA211" s="225"/>
      <c r="BB211" s="225"/>
      <c r="BC211" s="56"/>
      <c r="BD211" s="56"/>
      <c r="BE211" s="56"/>
      <c r="BF211" s="107" t="str">
        <f t="shared" si="159"/>
        <v>https://www.google.com/search?tbm=isch&amp;q=15%20G4</v>
      </c>
      <c r="BG211" s="107" t="str">
        <f t="shared" si="160"/>
        <v>A</v>
      </c>
      <c r="BH211" s="254"/>
      <c r="BI211" s="254"/>
    </row>
    <row r="212" spans="1:61" customFormat="1" ht="15.75" x14ac:dyDescent="0.25">
      <c r="A212" s="276">
        <v>25</v>
      </c>
      <c r="B212" s="240" t="s">
        <v>291</v>
      </c>
      <c r="C212" s="241" t="s">
        <v>393</v>
      </c>
      <c r="D212" s="242" t="s">
        <v>300</v>
      </c>
      <c r="E212" s="243">
        <v>489.95</v>
      </c>
      <c r="F212" s="517" t="s">
        <v>293</v>
      </c>
      <c r="G212" s="232">
        <v>0</v>
      </c>
      <c r="H212" s="661" t="str">
        <f>IF(G212=0,"",IF(F212="Buy",IF(G212=1,"plant","plants"),IF(F212&gt;0.01,"warranty","Error")))</f>
        <v/>
      </c>
      <c r="I212" s="244">
        <f>IF(H212="free",0,IF(H212="credit",((E212*(F212))*G212*-1),IF(F212="Buy",(E212*G212),((E212*(1-F212))*G212))))</f>
        <v>0</v>
      </c>
      <c r="J212" s="244">
        <f>IF(H212="warranty",0,(I212*(_xlfn.SINGLE(SalesTaxPercentage))))</f>
        <v>0</v>
      </c>
      <c r="K212" s="696">
        <f t="shared" ref="K212" si="164">I212+J212</f>
        <v>0</v>
      </c>
      <c r="L212" s="696"/>
      <c r="M212" s="659" t="str">
        <f>IF(AND(G212&gt;0,E212=0),"WARNING - no PRICE inserted",IF(H212="free"," FREE ~ no charge this plant",IF(H212="credit",CONCATENATE(" -$",ROUND(K212*(1-T2GDiscount)*-1,2)," CREDIT after discount"),IF(T2GDiscount=0,"",IF(G212=0,"",IF(F212="Buy",CONCATENATE(" $",ROUND(K212*(1-T2GDiscount),2)," with ",(T2GDiscount*100),"% discount"),CONCATENATE(" $",ROUND(K212*(1-T2GDiscount),2)," with ",((T2GDiscount*100+F212*100)-(T2GDiscount*100*F212)),IF(F212&gt;0,"% discounts",IF(NoWarrantyDiscount&gt;0,"% discounts","% discount")))))))))</f>
        <v/>
      </c>
      <c r="N212" s="660"/>
      <c r="O212" s="233"/>
      <c r="P212" s="233"/>
      <c r="Q212" s="233"/>
      <c r="R212" s="233"/>
      <c r="S212" s="233"/>
      <c r="T212" s="508">
        <f t="shared" si="148"/>
        <v>0</v>
      </c>
      <c r="U212" s="225">
        <f>IF(NOT(ISNUMBER(G212)), "", VLOOKUP(A212,'Discount Lookup'!D:E,2,FALSE)*G212)</f>
        <v>0</v>
      </c>
      <c r="V212" s="225">
        <f>IF(NOT(ISNUMBER(G212)), "", VLOOKUP(A212,'Discount Lookup'!G:H,2,FALSE)*G212)</f>
        <v>0</v>
      </c>
      <c r="W212" s="508">
        <f t="shared" si="149"/>
        <v>0</v>
      </c>
      <c r="X212" s="508">
        <f t="shared" si="150"/>
        <v>0</v>
      </c>
      <c r="Y212" s="509" t="b">
        <f t="shared" si="151"/>
        <v>0</v>
      </c>
      <c r="Z212" s="510">
        <f t="shared" si="152"/>
        <v>0</v>
      </c>
      <c r="AA212" s="511"/>
      <c r="AB212" s="511" t="str">
        <f t="shared" si="153"/>
        <v/>
      </c>
      <c r="AC212" s="698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698"/>
      <c r="AE212" s="631" t="str">
        <f t="shared" si="154"/>
        <v/>
      </c>
      <c r="AF212" s="699" t="str">
        <f t="shared" si="155"/>
        <v/>
      </c>
      <c r="AG212" s="699"/>
      <c r="AH212" s="699"/>
      <c r="AI212" s="512">
        <f>IF(H212="credit",0,IF(AE212="free",0,IF(AE212="me",0,IF(G212&gt;0,(VLOOKUP(A212,'Discount Lookup'!J:K,2)*G212),0))))</f>
        <v>0</v>
      </c>
      <c r="AJ212" s="513" t="str">
        <f t="shared" ca="1" si="156"/>
        <v/>
      </c>
      <c r="AK212" s="700" t="str">
        <f t="shared" si="157"/>
        <v/>
      </c>
      <c r="AL212" s="700"/>
      <c r="AM212" s="505" t="str">
        <f t="shared" si="158"/>
        <v/>
      </c>
      <c r="AN212" s="506"/>
      <c r="AO212" s="507"/>
      <c r="AP212" s="507"/>
      <c r="AQ212" s="507"/>
      <c r="AR212" s="507"/>
      <c r="AS212" s="507"/>
      <c r="AT212" s="507"/>
      <c r="AU212" s="507"/>
      <c r="AV212" s="225"/>
      <c r="AW212" s="508"/>
      <c r="AX212" s="225"/>
      <c r="AY212" s="225"/>
      <c r="AZ212" s="225"/>
      <c r="BA212" s="225"/>
      <c r="BB212" s="225"/>
      <c r="BC212" s="56"/>
      <c r="BD212" s="56"/>
      <c r="BE212" s="56"/>
      <c r="BF212" s="107" t="str">
        <f t="shared" si="159"/>
        <v>https://www.google.com/search?tbm=isch&amp;q=25%20G6</v>
      </c>
      <c r="BG212" s="107" t="str">
        <f t="shared" si="160"/>
        <v>A</v>
      </c>
      <c r="BH212" s="254"/>
      <c r="BI212" s="254"/>
    </row>
    <row r="213" spans="1:61" customFormat="1" ht="15.75" x14ac:dyDescent="0.25">
      <c r="A213" s="276">
        <v>25</v>
      </c>
      <c r="B213" s="240" t="s">
        <v>291</v>
      </c>
      <c r="C213" s="241" t="s">
        <v>3318</v>
      </c>
      <c r="D213" s="242" t="s">
        <v>292</v>
      </c>
      <c r="E213" s="243">
        <v>514.95000000000005</v>
      </c>
      <c r="F213" s="517" t="s">
        <v>293</v>
      </c>
      <c r="G213" s="232">
        <v>0</v>
      </c>
      <c r="H213" s="661" t="str">
        <f>IF(G213=0,"",IF(F213="Buy",IF(G213=1,"plant","plants"),IF(F213&gt;0.01,"warranty","Error")))</f>
        <v/>
      </c>
      <c r="I213" s="244">
        <f>IF(H213="free",0,IF(H213="credit",((E213*(F213))*G213*-1),IF(F213="Buy",(E213*G213),((E213*(1-F213))*G213))))</f>
        <v>0</v>
      </c>
      <c r="J213" s="244">
        <f>IF(H213="warranty",0,(I213*(_xlfn.SINGLE(SalesTaxPercentage))))</f>
        <v>0</v>
      </c>
      <c r="K213" s="696">
        <f t="shared" ref="K213" si="165">I213+J213</f>
        <v>0</v>
      </c>
      <c r="L213" s="696"/>
      <c r="M213" s="659" t="str">
        <f>IF(AND(G213&gt;0,E213=0),"WARNING - no PRICE inserted",IF(H213="free"," FREE ~ no charge this plant",IF(H213="credit",CONCATENATE(" -$",ROUND(K213*(1-T2GDiscount)*-1,2)," CREDIT after discount"),IF(T2GDiscount=0,"",IF(G213=0,"",IF(F213="Buy",CONCATENATE(" $",ROUND(K213*(1-T2GDiscount),2)," with ",(T2GDiscount*100),"% discount"),CONCATENATE(" $",ROUND(K213*(1-T2GDiscount),2)," with ",((T2GDiscount*100+F213*100)-(T2GDiscount*100*F213)),IF(F213&gt;0,"% discounts",IF(NoWarrantyDiscount&gt;0,"% discounts","% discount")))))))))</f>
        <v/>
      </c>
      <c r="N213" s="660"/>
      <c r="O213" s="233"/>
      <c r="P213" s="233"/>
      <c r="Q213" s="233"/>
      <c r="R213" s="233"/>
      <c r="S213" s="233"/>
      <c r="T213" s="508">
        <f t="shared" si="148"/>
        <v>0</v>
      </c>
      <c r="U213" s="225">
        <f>IF(NOT(ISNUMBER(G213)), "", VLOOKUP(A213,'Discount Lookup'!D:E,2,FALSE)*G213)</f>
        <v>0</v>
      </c>
      <c r="V213" s="225">
        <f>IF(NOT(ISNUMBER(G213)), "", VLOOKUP(A213,'Discount Lookup'!G:H,2,FALSE)*G213)</f>
        <v>0</v>
      </c>
      <c r="W213" s="508">
        <f t="shared" si="149"/>
        <v>0</v>
      </c>
      <c r="X213" s="508">
        <f t="shared" si="150"/>
        <v>0</v>
      </c>
      <c r="Y213" s="509" t="b">
        <f t="shared" si="151"/>
        <v>0</v>
      </c>
      <c r="Z213" s="510">
        <f t="shared" si="152"/>
        <v>0</v>
      </c>
      <c r="AA213" s="511"/>
      <c r="AB213" s="511" t="str">
        <f t="shared" si="153"/>
        <v/>
      </c>
      <c r="AC213" s="698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698"/>
      <c r="AE213" s="631" t="str">
        <f t="shared" si="154"/>
        <v/>
      </c>
      <c r="AF213" s="699" t="str">
        <f t="shared" si="155"/>
        <v/>
      </c>
      <c r="AG213" s="699"/>
      <c r="AH213" s="699"/>
      <c r="AI213" s="512">
        <f>IF(H213="credit",0,IF(AE213="free",0,IF(AE213="me",0,IF(G213&gt;0,(VLOOKUP(A213,'Discount Lookup'!J:K,2)*G213),0))))</f>
        <v>0</v>
      </c>
      <c r="AJ213" s="513" t="str">
        <f t="shared" ca="1" si="156"/>
        <v/>
      </c>
      <c r="AK213" s="700" t="str">
        <f t="shared" si="157"/>
        <v/>
      </c>
      <c r="AL213" s="700"/>
      <c r="AM213" s="505" t="str">
        <f t="shared" si="158"/>
        <v/>
      </c>
      <c r="AN213" s="506"/>
      <c r="AO213" s="507"/>
      <c r="AP213" s="507"/>
      <c r="AQ213" s="507"/>
      <c r="AR213" s="507"/>
      <c r="AS213" s="507"/>
      <c r="AT213" s="507"/>
      <c r="AU213" s="507"/>
      <c r="AV213" s="225"/>
      <c r="AW213" s="508"/>
      <c r="AX213" s="225"/>
      <c r="AY213" s="225"/>
      <c r="AZ213" s="225"/>
      <c r="BA213" s="225"/>
      <c r="BB213" s="225"/>
      <c r="BC213" s="56"/>
      <c r="BD213" s="56"/>
      <c r="BE213" s="56"/>
      <c r="BF213" s="107" t="str">
        <f t="shared" si="159"/>
        <v>https://www.google.com/search?tbm=isch&amp;q=25%20G4</v>
      </c>
      <c r="BG213" s="107" t="str">
        <f t="shared" si="160"/>
        <v>A</v>
      </c>
      <c r="BH213" s="254"/>
      <c r="BI213" s="254"/>
    </row>
    <row r="214" spans="1:61" customFormat="1" ht="17.25" thickBot="1" x14ac:dyDescent="0.3">
      <c r="A214" s="524" t="s">
        <v>2331</v>
      </c>
      <c r="B214" s="245"/>
      <c r="C214" s="677"/>
      <c r="D214" s="499"/>
      <c r="E214" s="499"/>
      <c r="F214" s="500"/>
      <c r="G214" s="501"/>
      <c r="H214" s="502"/>
      <c r="I214" s="246"/>
      <c r="J214" s="247"/>
      <c r="K214" s="503"/>
      <c r="L214" s="544"/>
      <c r="M214" s="544"/>
      <c r="N214" s="500"/>
      <c r="O214" s="500"/>
      <c r="P214" s="500"/>
      <c r="Q214" s="500"/>
      <c r="R214" s="500"/>
      <c r="S214" s="278"/>
      <c r="T214" s="508">
        <f t="shared" si="148"/>
        <v>0</v>
      </c>
      <c r="U214" s="225" t="str">
        <f>IF(NOT(ISNUMBER(G214)), "", VLOOKUP(A214,'Discount Lookup'!D:E,2,FALSE)*G214)</f>
        <v/>
      </c>
      <c r="V214" s="225" t="str">
        <f>IF(NOT(ISNUMBER(G214)), "", VLOOKUP(A214,'Discount Lookup'!G:H,2,FALSE)*G214)</f>
        <v/>
      </c>
      <c r="W214" s="508">
        <f t="shared" si="149"/>
        <v>0</v>
      </c>
      <c r="X214" s="508">
        <f t="shared" si="150"/>
        <v>0</v>
      </c>
      <c r="Y214" s="509" t="b">
        <f t="shared" si="151"/>
        <v>0</v>
      </c>
      <c r="Z214" s="510">
        <f t="shared" si="152"/>
        <v>0</v>
      </c>
      <c r="AA214" s="511"/>
      <c r="AB214" s="511" t="str">
        <f t="shared" si="153"/>
        <v/>
      </c>
      <c r="AC214" s="698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698"/>
      <c r="AE214" s="631" t="str">
        <f t="shared" si="154"/>
        <v/>
      </c>
      <c r="AF214" s="699" t="str">
        <f t="shared" si="155"/>
        <v/>
      </c>
      <c r="AG214" s="699"/>
      <c r="AH214" s="699"/>
      <c r="AI214" s="512">
        <f>IF(H214="credit",0,IF(AE214="free",0,IF(AE214="me",0,IF(G214&gt;0,(VLOOKUP(A214,'Discount Lookup'!J:K,2)*G214),0))))</f>
        <v>0</v>
      </c>
      <c r="AJ214" s="513" t="str">
        <f t="shared" ca="1" si="156"/>
        <v/>
      </c>
      <c r="AK214" s="700" t="str">
        <f t="shared" si="157"/>
        <v/>
      </c>
      <c r="AL214" s="700"/>
      <c r="AM214" s="505" t="str">
        <f t="shared" si="158"/>
        <v/>
      </c>
      <c r="AN214" s="506"/>
      <c r="AO214" s="507"/>
      <c r="AP214" s="507"/>
      <c r="AQ214" s="507"/>
      <c r="AR214" s="507"/>
      <c r="AS214" s="507"/>
      <c r="AT214" s="507"/>
      <c r="AU214" s="507"/>
      <c r="AV214" s="225"/>
      <c r="AW214" s="508"/>
      <c r="AX214" s="225"/>
      <c r="AY214" s="225"/>
      <c r="AZ214" s="225"/>
      <c r="BA214" s="225"/>
      <c r="BB214" s="225"/>
      <c r="BC214" s="56"/>
      <c r="BD214" s="56"/>
      <c r="BE214" s="56"/>
      <c r="BF214" s="107" t="str">
        <f t="shared" si="159"/>
        <v>https://www.google.com/search?tbm=isch&amp;q=Autumn%20Gold%20named%20for%20brilliant%20Golden%20Yellow%20fall%20color.%20All%20are%20male%2C%20so%20less%20mess%2Fstink.%20Slow-growing%2C%20but%20long-lived%20%281000%2B%20years%29%20</v>
      </c>
      <c r="BG214" s="107" t="str">
        <f t="shared" si="160"/>
        <v>A</v>
      </c>
      <c r="BH214" s="254"/>
      <c r="BI214" s="254"/>
    </row>
    <row r="215" spans="1:61" customFormat="1" ht="18" x14ac:dyDescent="0.25">
      <c r="A215" s="521" t="s">
        <v>5319</v>
      </c>
      <c r="B215" s="477"/>
      <c r="C215" s="674"/>
      <c r="D215" s="478" t="s">
        <v>5320</v>
      </c>
      <c r="E215" s="479"/>
      <c r="F215" s="479"/>
      <c r="G215" s="479"/>
      <c r="H215" s="582" t="s">
        <v>2584</v>
      </c>
      <c r="I215" s="480" t="s">
        <v>2589</v>
      </c>
      <c r="J215" s="479"/>
      <c r="K215" s="479"/>
      <c r="L215" s="560"/>
      <c r="M215" s="666" t="s">
        <v>4966</v>
      </c>
      <c r="N215" s="680" t="str">
        <f>IF(AND(ISTEXT($A215), ISERROR($A215+0)), HYPERLINK($BF215, "Images"), "")</f>
        <v>Images</v>
      </c>
      <c r="O215" s="662" t="s">
        <v>4974</v>
      </c>
      <c r="P215" s="482"/>
      <c r="Q215" s="483"/>
      <c r="R215" s="483"/>
      <c r="S215" s="484"/>
      <c r="T215" s="508">
        <f t="shared" si="148"/>
        <v>0</v>
      </c>
      <c r="U215" s="225" t="str">
        <f>IF(NOT(ISNUMBER(G215)), "", VLOOKUP(A215,'Discount Lookup'!D:E,2,FALSE)*G215)</f>
        <v/>
      </c>
      <c r="V215" s="225" t="str">
        <f>IF(NOT(ISNUMBER(G215)), "", VLOOKUP(A215,'Discount Lookup'!G:H,2,FALSE)*G215)</f>
        <v/>
      </c>
      <c r="W215" s="508">
        <f t="shared" si="149"/>
        <v>0</v>
      </c>
      <c r="X215" s="508" t="str">
        <f t="shared" si="150"/>
        <v>pure White, Yellow throat</v>
      </c>
      <c r="Y215" s="509" t="b">
        <f t="shared" si="151"/>
        <v>0</v>
      </c>
      <c r="Z215" s="510">
        <f t="shared" si="152"/>
        <v>0</v>
      </c>
      <c r="AA215" s="511"/>
      <c r="AB215" s="511" t="str">
        <f t="shared" si="153"/>
        <v/>
      </c>
      <c r="AC215" s="698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698"/>
      <c r="AE215" s="631" t="str">
        <f t="shared" si="154"/>
        <v/>
      </c>
      <c r="AF215" s="699" t="str">
        <f t="shared" si="155"/>
        <v/>
      </c>
      <c r="AG215" s="699"/>
      <c r="AH215" s="699"/>
      <c r="AI215" s="512">
        <f>IF(H215="credit",0,IF(AE215="free",0,IF(AE215="me",0,IF(G215&gt;0,(VLOOKUP(A215,'Discount Lookup'!J:K,2)*G215),0))))</f>
        <v>0</v>
      </c>
      <c r="AJ215" s="513" t="str">
        <f t="shared" ca="1" si="156"/>
        <v/>
      </c>
      <c r="AK215" s="700" t="str">
        <f t="shared" si="157"/>
        <v/>
      </c>
      <c r="AL215" s="700"/>
      <c r="AM215" s="505" t="str">
        <f t="shared" si="158"/>
        <v/>
      </c>
      <c r="AN215" s="506"/>
      <c r="AO215" s="507"/>
      <c r="AP215" s="507"/>
      <c r="AQ215" s="507"/>
      <c r="AR215" s="507"/>
      <c r="AS215" s="507"/>
      <c r="AT215" s="507"/>
      <c r="AU215" s="507"/>
      <c r="AV215" s="225"/>
      <c r="AW215" s="508"/>
      <c r="AX215" s="225"/>
      <c r="AY215" s="225"/>
      <c r="AZ215" s="225"/>
      <c r="BA215" s="225"/>
      <c r="BB215" s="225"/>
      <c r="BC215" s="56"/>
      <c r="BD215" s="56"/>
      <c r="BE215" s="56"/>
      <c r="BF215" s="107" t="str">
        <f t="shared" si="159"/>
        <v>https://www.google.com/search?tbm=isch&amp;q=Autumn%20Ivory%C2%AE%20Encore%C2%AE%20Azalea%20Rhod.%20Encore%C2%AE%20%27Roblev%27%20PP%2325046</v>
      </c>
      <c r="BG215" s="107" t="str">
        <f t="shared" si="160"/>
        <v>A</v>
      </c>
      <c r="BH215" s="254"/>
      <c r="BI215" s="254"/>
    </row>
    <row r="216" spans="1:61" customFormat="1" ht="15.75" x14ac:dyDescent="0.25">
      <c r="A216" s="485">
        <v>3</v>
      </c>
      <c r="B216" s="486" t="s">
        <v>291</v>
      </c>
      <c r="C216" s="487" t="s">
        <v>4849</v>
      </c>
      <c r="D216" s="488" t="s">
        <v>312</v>
      </c>
      <c r="E216" s="489">
        <v>29.95</v>
      </c>
      <c r="F216" s="516" t="s">
        <v>293</v>
      </c>
      <c r="G216" s="232">
        <v>0</v>
      </c>
      <c r="H216" s="658" t="str">
        <f>IF(G216=0,"",IF(F216="Buy",IF(G216=1,"plant","plants"),IF(F216&gt;0.01,"warranty","Error")))</f>
        <v/>
      </c>
      <c r="I216" s="490">
        <f>IF(H216="free",0,IF(H216="credit",((E216*(F216))*G216*-1),IF(F216="Buy",(E216*G216),((E216*(1-F216))*G216))))</f>
        <v>0</v>
      </c>
      <c r="J216" s="490">
        <f>IF(H216="warranty",0,(I216*(_xlfn.SINGLE(SalesTaxPercentage))))</f>
        <v>0</v>
      </c>
      <c r="K216" s="695">
        <f t="shared" ref="K216" si="166">I216+J216</f>
        <v>0</v>
      </c>
      <c r="L216" s="695"/>
      <c r="M216" s="659" t="str">
        <f>IF(AND(G216&gt;0,E216=0),"WARNING - no PRICE inserted",IF(H216="free"," FREE ~ no charge this plant",IF(H216="credit",CONCATENATE(" -$",ROUND(K216*(1-T2GDiscount)*-1,2)," CREDIT after discount"),IF(T2GDiscount=0,"",IF(G216=0,"",IF(F216="Buy",CONCATENATE(" $",ROUND(K216*(1-T2GDiscount),2)," with ",(T2GDiscount*100),"% discount"),CONCATENATE(" $",ROUND(K216*(1-T2GDiscount),2)," with ",((T2GDiscount*100+F216*100)-(T2GDiscount*100*F216)),IF(F216&gt;0,"% discounts",IF(NoWarrantyDiscount&gt;0,"% discounts","% discount")))))))))</f>
        <v/>
      </c>
      <c r="N216" s="660"/>
      <c r="O216" s="233"/>
      <c r="P216" s="233"/>
      <c r="Q216" s="233"/>
      <c r="R216" s="233"/>
      <c r="S216" s="233"/>
      <c r="T216" s="508">
        <f t="shared" si="148"/>
        <v>0</v>
      </c>
      <c r="U216" s="225">
        <f>IF(NOT(ISNUMBER(G216)), "", VLOOKUP(A216,'Discount Lookup'!D:E,2,FALSE)*G216)</f>
        <v>0</v>
      </c>
      <c r="V216" s="225">
        <f>IF(NOT(ISNUMBER(G216)), "", VLOOKUP(A216,'Discount Lookup'!G:H,2,FALSE)*G216)</f>
        <v>0</v>
      </c>
      <c r="W216" s="508">
        <f t="shared" si="149"/>
        <v>0</v>
      </c>
      <c r="X216" s="508">
        <f t="shared" si="150"/>
        <v>0</v>
      </c>
      <c r="Y216" s="509" t="b">
        <f t="shared" si="151"/>
        <v>0</v>
      </c>
      <c r="Z216" s="510">
        <f t="shared" si="152"/>
        <v>0</v>
      </c>
      <c r="AA216" s="511"/>
      <c r="AB216" s="511" t="str">
        <f t="shared" si="153"/>
        <v/>
      </c>
      <c r="AC216" s="698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698"/>
      <c r="AE216" s="631" t="str">
        <f t="shared" si="154"/>
        <v/>
      </c>
      <c r="AF216" s="699" t="str">
        <f t="shared" si="155"/>
        <v/>
      </c>
      <c r="AG216" s="699"/>
      <c r="AH216" s="699"/>
      <c r="AI216" s="512">
        <f>IF(H216="credit",0,IF(AE216="free",0,IF(AE216="me",0,IF(G216&gt;0,(VLOOKUP(A216,'Discount Lookup'!J:K,2)*G216),0))))</f>
        <v>0</v>
      </c>
      <c r="AJ216" s="513" t="str">
        <f t="shared" ca="1" si="156"/>
        <v/>
      </c>
      <c r="AK216" s="700" t="str">
        <f t="shared" si="157"/>
        <v/>
      </c>
      <c r="AL216" s="700"/>
      <c r="AM216" s="505" t="str">
        <f t="shared" si="158"/>
        <v/>
      </c>
      <c r="AN216" s="506"/>
      <c r="AO216" s="507"/>
      <c r="AP216" s="507"/>
      <c r="AQ216" s="507"/>
      <c r="AR216" s="507"/>
      <c r="AS216" s="507"/>
      <c r="AT216" s="507"/>
      <c r="AU216" s="507"/>
      <c r="AV216" s="225"/>
      <c r="AW216" s="508"/>
      <c r="AX216" s="225"/>
      <c r="AY216" s="225"/>
      <c r="AZ216" s="225"/>
      <c r="BA216" s="225"/>
      <c r="BB216" s="225"/>
      <c r="BC216" s="56"/>
      <c r="BD216" s="56"/>
      <c r="BE216" s="56"/>
      <c r="BF216" s="107" t="str">
        <f t="shared" si="159"/>
        <v>https://www.google.com/search?tbm=isch&amp;q=3%20G2</v>
      </c>
      <c r="BG216" s="107" t="str">
        <f t="shared" si="160"/>
        <v>A</v>
      </c>
      <c r="BH216" s="254"/>
      <c r="BI216" s="254"/>
    </row>
    <row r="217" spans="1:61" customFormat="1" ht="17.25" thickBot="1" x14ac:dyDescent="0.3">
      <c r="A217" s="522" t="s">
        <v>2661</v>
      </c>
      <c r="B217" s="491"/>
      <c r="C217" s="675"/>
      <c r="D217" s="491"/>
      <c r="E217" s="491"/>
      <c r="F217" s="492"/>
      <c r="G217" s="493"/>
      <c r="H217" s="491"/>
      <c r="I217" s="234"/>
      <c r="J217" s="234"/>
      <c r="K217" s="494"/>
      <c r="L217" s="543"/>
      <c r="M217" s="561"/>
      <c r="N217" s="495"/>
      <c r="O217" s="496"/>
      <c r="P217" s="497"/>
      <c r="Q217" s="495"/>
      <c r="R217" s="495"/>
      <c r="S217" s="667" t="s">
        <v>4988</v>
      </c>
      <c r="T217" s="508">
        <f t="shared" si="148"/>
        <v>0</v>
      </c>
      <c r="U217" s="225" t="str">
        <f>IF(NOT(ISNUMBER(G217)), "", VLOOKUP(A217,'Discount Lookup'!D:E,2,FALSE)*G217)</f>
        <v/>
      </c>
      <c r="V217" s="225" t="str">
        <f>IF(NOT(ISNUMBER(G217)), "", VLOOKUP(A217,'Discount Lookup'!G:H,2,FALSE)*G217)</f>
        <v/>
      </c>
      <c r="W217" s="508">
        <f t="shared" si="149"/>
        <v>0</v>
      </c>
      <c r="X217" s="508">
        <f t="shared" si="150"/>
        <v>0</v>
      </c>
      <c r="Y217" s="509" t="b">
        <f t="shared" si="151"/>
        <v>0</v>
      </c>
      <c r="Z217" s="510">
        <f t="shared" si="152"/>
        <v>0</v>
      </c>
      <c r="AA217" s="511"/>
      <c r="AB217" s="511" t="str">
        <f t="shared" si="153"/>
        <v/>
      </c>
      <c r="AC217" s="698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698"/>
      <c r="AE217" s="631" t="str">
        <f t="shared" si="154"/>
        <v/>
      </c>
      <c r="AF217" s="699" t="str">
        <f t="shared" si="155"/>
        <v/>
      </c>
      <c r="AG217" s="699"/>
      <c r="AH217" s="699"/>
      <c r="AI217" s="512">
        <f>IF(H217="credit",0,IF(AE217="free",0,IF(AE217="me",0,IF(G217&gt;0,(VLOOKUP(A217,'Discount Lookup'!J:K,2)*G217),0))))</f>
        <v>0</v>
      </c>
      <c r="AJ217" s="513" t="str">
        <f t="shared" ca="1" si="156"/>
        <v/>
      </c>
      <c r="AK217" s="700" t="str">
        <f t="shared" si="157"/>
        <v/>
      </c>
      <c r="AL217" s="700"/>
      <c r="AM217" s="505" t="str">
        <f t="shared" si="158"/>
        <v/>
      </c>
      <c r="AN217" s="506"/>
      <c r="AO217" s="507"/>
      <c r="AP217" s="507"/>
      <c r="AQ217" s="507"/>
      <c r="AR217" s="507"/>
      <c r="AS217" s="507"/>
      <c r="AT217" s="507"/>
      <c r="AU217" s="507"/>
      <c r="AV217" s="225"/>
      <c r="AW217" s="508"/>
      <c r="AX217" s="225"/>
      <c r="AY217" s="225"/>
      <c r="AZ217" s="225"/>
      <c r="BA217" s="225"/>
      <c r="BB217" s="225"/>
      <c r="BC217" s="56"/>
      <c r="BD217" s="56"/>
      <c r="BE217" s="56"/>
      <c r="BF217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17" s="107" t="str">
        <f t="shared" si="160"/>
        <v>A</v>
      </c>
      <c r="BH217" s="254"/>
      <c r="BI217" s="254"/>
    </row>
    <row r="218" spans="1:61" customFormat="1" ht="18" x14ac:dyDescent="0.25">
      <c r="A218" s="521" t="s">
        <v>5321</v>
      </c>
      <c r="B218" s="477"/>
      <c r="C218" s="674"/>
      <c r="D218" s="478" t="s">
        <v>5322</v>
      </c>
      <c r="E218" s="479"/>
      <c r="F218" s="479"/>
      <c r="G218" s="479"/>
      <c r="H218" s="582" t="s">
        <v>2580</v>
      </c>
      <c r="I218" s="480" t="s">
        <v>671</v>
      </c>
      <c r="J218" s="479"/>
      <c r="K218" s="479"/>
      <c r="L218" s="560"/>
      <c r="M218" s="666" t="s">
        <v>4966</v>
      </c>
      <c r="N218" s="680" t="str">
        <f>IF(AND(ISTEXT($A218), ISERROR($A218+0)), HYPERLINK($BF218, "Images"), "")</f>
        <v>Images</v>
      </c>
      <c r="O218" s="662" t="s">
        <v>4974</v>
      </c>
      <c r="P218" s="482"/>
      <c r="Q218" s="483"/>
      <c r="R218" s="483"/>
      <c r="S218" s="484"/>
      <c r="T218" s="508">
        <f t="shared" si="148"/>
        <v>0</v>
      </c>
      <c r="U218" s="225" t="str">
        <f>IF(NOT(ISNUMBER(G218)), "", VLOOKUP(A218,'Discount Lookup'!D:E,2,FALSE)*G218)</f>
        <v/>
      </c>
      <c r="V218" s="225" t="str">
        <f>IF(NOT(ISNUMBER(G218)), "", VLOOKUP(A218,'Discount Lookup'!G:H,2,FALSE)*G218)</f>
        <v/>
      </c>
      <c r="W218" s="508">
        <f t="shared" si="149"/>
        <v>0</v>
      </c>
      <c r="X218" s="508" t="str">
        <f t="shared" si="150"/>
        <v>Lavender-Purple bloom</v>
      </c>
      <c r="Y218" s="509" t="b">
        <f t="shared" si="151"/>
        <v>0</v>
      </c>
      <c r="Z218" s="510">
        <f t="shared" si="152"/>
        <v>0</v>
      </c>
      <c r="AA218" s="511"/>
      <c r="AB218" s="511" t="str">
        <f t="shared" si="153"/>
        <v/>
      </c>
      <c r="AC218" s="698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698"/>
      <c r="AE218" s="631" t="str">
        <f t="shared" si="154"/>
        <v/>
      </c>
      <c r="AF218" s="699" t="str">
        <f t="shared" si="155"/>
        <v/>
      </c>
      <c r="AG218" s="699"/>
      <c r="AH218" s="699"/>
      <c r="AI218" s="512">
        <f>IF(H218="credit",0,IF(AE218="free",0,IF(AE218="me",0,IF(G218&gt;0,(VLOOKUP(A218,'Discount Lookup'!J:K,2)*G218),0))))</f>
        <v>0</v>
      </c>
      <c r="AJ218" s="513" t="str">
        <f t="shared" ca="1" si="156"/>
        <v/>
      </c>
      <c r="AK218" s="700" t="str">
        <f t="shared" si="157"/>
        <v/>
      </c>
      <c r="AL218" s="700"/>
      <c r="AM218" s="505" t="str">
        <f t="shared" si="158"/>
        <v/>
      </c>
      <c r="AN218" s="506"/>
      <c r="AO218" s="507"/>
      <c r="AP218" s="507"/>
      <c r="AQ218" s="507"/>
      <c r="AR218" s="507"/>
      <c r="AS218" s="507"/>
      <c r="AT218" s="507"/>
      <c r="AU218" s="507"/>
      <c r="AV218" s="225"/>
      <c r="AW218" s="508"/>
      <c r="AX218" s="225"/>
      <c r="AY218" s="225"/>
      <c r="AZ218" s="225"/>
      <c r="BA218" s="225"/>
      <c r="BB218" s="225"/>
      <c r="BC218" s="56"/>
      <c r="BD218" s="56"/>
      <c r="BE218" s="56"/>
      <c r="BF218" s="107" t="str">
        <f t="shared" si="159"/>
        <v>https://www.google.com/search?tbm=isch&amp;q=Autumn%20Lilac%C2%AE%20Encore%C2%AE%20Azalea%20Rhod.%20Encore%C2%AE%20%27Robles%27%20PP%2322762</v>
      </c>
      <c r="BG218" s="107" t="str">
        <f t="shared" si="160"/>
        <v>A</v>
      </c>
      <c r="BH218" s="254"/>
      <c r="BI218" s="254"/>
    </row>
    <row r="219" spans="1:61" customFormat="1" ht="15.75" x14ac:dyDescent="0.25">
      <c r="A219" s="485">
        <v>3</v>
      </c>
      <c r="B219" s="486" t="s">
        <v>291</v>
      </c>
      <c r="C219" s="487" t="s">
        <v>341</v>
      </c>
      <c r="D219" s="488" t="s">
        <v>312</v>
      </c>
      <c r="E219" s="489">
        <v>29.95</v>
      </c>
      <c r="F219" s="516" t="s">
        <v>293</v>
      </c>
      <c r="G219" s="232">
        <v>0</v>
      </c>
      <c r="H219" s="658" t="str">
        <f>IF(G219=0,"",IF(F219="Buy",IF(G219=1,"plant","plants"),IF(F219&gt;0.01,"warranty","Error")))</f>
        <v/>
      </c>
      <c r="I219" s="490">
        <f>IF(H219="free",0,IF(H219="credit",((E219*(F219))*G219*-1),IF(F219="Buy",(E219*G219),((E219*(1-F219))*G219))))</f>
        <v>0</v>
      </c>
      <c r="J219" s="490">
        <f>IF(H219="warranty",0,(I219*(_xlfn.SINGLE(SalesTaxPercentage))))</f>
        <v>0</v>
      </c>
      <c r="K219" s="695">
        <f t="shared" ref="K219" si="167">I219+J219</f>
        <v>0</v>
      </c>
      <c r="L219" s="695"/>
      <c r="M219" s="659" t="str">
        <f>IF(AND(G219&gt;0,E219=0),"WARNING - no PRICE inserted",IF(H219="free"," FREE ~ no charge this plant",IF(H219="credit",CONCATENATE(" -$",ROUND(K219*(1-T2GDiscount)*-1,2)," CREDIT after discount"),IF(T2GDiscount=0,"",IF(G219=0,"",IF(F219="Buy",CONCATENATE(" $",ROUND(K219*(1-T2GDiscount),2)," with ",(T2GDiscount*100),"% discount"),CONCATENATE(" $",ROUND(K219*(1-T2GDiscount),2)," with ",((T2GDiscount*100+F219*100)-(T2GDiscount*100*F219)),IF(F219&gt;0,"% discounts",IF(NoWarrantyDiscount&gt;0,"% discounts","% discount")))))))))</f>
        <v/>
      </c>
      <c r="N219" s="660"/>
      <c r="O219" s="233"/>
      <c r="P219" s="233"/>
      <c r="Q219" s="233"/>
      <c r="R219" s="233"/>
      <c r="S219" s="233"/>
      <c r="T219" s="508">
        <f t="shared" si="148"/>
        <v>0</v>
      </c>
      <c r="U219" s="225">
        <f>IF(NOT(ISNUMBER(G219)), "", VLOOKUP(A219,'Discount Lookup'!D:E,2,FALSE)*G219)</f>
        <v>0</v>
      </c>
      <c r="V219" s="225">
        <f>IF(NOT(ISNUMBER(G219)), "", VLOOKUP(A219,'Discount Lookup'!G:H,2,FALSE)*G219)</f>
        <v>0</v>
      </c>
      <c r="W219" s="508">
        <f t="shared" si="149"/>
        <v>0</v>
      </c>
      <c r="X219" s="508">
        <f t="shared" si="150"/>
        <v>0</v>
      </c>
      <c r="Y219" s="509" t="b">
        <f t="shared" si="151"/>
        <v>0</v>
      </c>
      <c r="Z219" s="510">
        <f t="shared" si="152"/>
        <v>0</v>
      </c>
      <c r="AA219" s="511"/>
      <c r="AB219" s="511" t="str">
        <f t="shared" si="153"/>
        <v/>
      </c>
      <c r="AC219" s="698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698"/>
      <c r="AE219" s="631" t="str">
        <f t="shared" si="154"/>
        <v/>
      </c>
      <c r="AF219" s="699" t="str">
        <f t="shared" si="155"/>
        <v/>
      </c>
      <c r="AG219" s="699"/>
      <c r="AH219" s="699"/>
      <c r="AI219" s="512">
        <f>IF(H219="credit",0,IF(AE219="free",0,IF(AE219="me",0,IF(G219&gt;0,(VLOOKUP(A219,'Discount Lookup'!J:K,2)*G219),0))))</f>
        <v>0</v>
      </c>
      <c r="AJ219" s="513" t="str">
        <f t="shared" ca="1" si="156"/>
        <v/>
      </c>
      <c r="AK219" s="700" t="str">
        <f t="shared" si="157"/>
        <v/>
      </c>
      <c r="AL219" s="700"/>
      <c r="AM219" s="505" t="str">
        <f t="shared" si="158"/>
        <v/>
      </c>
      <c r="AN219" s="506"/>
      <c r="AO219" s="507"/>
      <c r="AP219" s="507"/>
      <c r="AQ219" s="507"/>
      <c r="AR219" s="507"/>
      <c r="AS219" s="507"/>
      <c r="AT219" s="507"/>
      <c r="AU219" s="507"/>
      <c r="AV219" s="225"/>
      <c r="AW219" s="508"/>
      <c r="AX219" s="225"/>
      <c r="AY219" s="225"/>
      <c r="AZ219" s="225"/>
      <c r="BA219" s="225"/>
      <c r="BB219" s="225"/>
      <c r="BC219" s="56"/>
      <c r="BD219" s="56"/>
      <c r="BE219" s="56"/>
      <c r="BF219" s="107" t="str">
        <f t="shared" si="159"/>
        <v>https://www.google.com/search?tbm=isch&amp;q=3%20G2</v>
      </c>
      <c r="BG219" s="107" t="str">
        <f t="shared" si="160"/>
        <v>A</v>
      </c>
      <c r="BH219" s="254"/>
      <c r="BI219" s="254"/>
    </row>
    <row r="220" spans="1:61" customFormat="1" ht="17.25" thickBot="1" x14ac:dyDescent="0.3">
      <c r="A220" s="522" t="s">
        <v>2661</v>
      </c>
      <c r="B220" s="491"/>
      <c r="C220" s="675"/>
      <c r="D220" s="491"/>
      <c r="E220" s="491"/>
      <c r="F220" s="492"/>
      <c r="G220" s="493"/>
      <c r="H220" s="491"/>
      <c r="I220" s="234"/>
      <c r="J220" s="234"/>
      <c r="K220" s="494"/>
      <c r="L220" s="543"/>
      <c r="M220" s="561"/>
      <c r="N220" s="495"/>
      <c r="O220" s="496"/>
      <c r="P220" s="497"/>
      <c r="Q220" s="495"/>
      <c r="R220" s="495"/>
      <c r="S220" s="667" t="s">
        <v>4988</v>
      </c>
      <c r="T220" s="508">
        <f t="shared" si="148"/>
        <v>0</v>
      </c>
      <c r="U220" s="225" t="str">
        <f>IF(NOT(ISNUMBER(G220)), "", VLOOKUP(A220,'Discount Lookup'!D:E,2,FALSE)*G220)</f>
        <v/>
      </c>
      <c r="V220" s="225" t="str">
        <f>IF(NOT(ISNUMBER(G220)), "", VLOOKUP(A220,'Discount Lookup'!G:H,2,FALSE)*G220)</f>
        <v/>
      </c>
      <c r="W220" s="508">
        <f t="shared" si="149"/>
        <v>0</v>
      </c>
      <c r="X220" s="508">
        <f t="shared" si="150"/>
        <v>0</v>
      </c>
      <c r="Y220" s="509" t="b">
        <f t="shared" si="151"/>
        <v>0</v>
      </c>
      <c r="Z220" s="510">
        <f t="shared" si="152"/>
        <v>0</v>
      </c>
      <c r="AA220" s="511"/>
      <c r="AB220" s="511" t="str">
        <f t="shared" si="153"/>
        <v/>
      </c>
      <c r="AC220" s="698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698"/>
      <c r="AE220" s="631" t="str">
        <f t="shared" si="154"/>
        <v/>
      </c>
      <c r="AF220" s="699" t="str">
        <f t="shared" si="155"/>
        <v/>
      </c>
      <c r="AG220" s="699"/>
      <c r="AH220" s="699"/>
      <c r="AI220" s="512">
        <f>IF(H220="credit",0,IF(AE220="free",0,IF(AE220="me",0,IF(G220&gt;0,(VLOOKUP(A220,'Discount Lookup'!J:K,2)*G220),0))))</f>
        <v>0</v>
      </c>
      <c r="AJ220" s="513" t="str">
        <f t="shared" ca="1" si="156"/>
        <v/>
      </c>
      <c r="AK220" s="700" t="str">
        <f t="shared" si="157"/>
        <v/>
      </c>
      <c r="AL220" s="700"/>
      <c r="AM220" s="505" t="str">
        <f t="shared" si="158"/>
        <v/>
      </c>
      <c r="AN220" s="506"/>
      <c r="AO220" s="507"/>
      <c r="AP220" s="507"/>
      <c r="AQ220" s="507"/>
      <c r="AR220" s="507"/>
      <c r="AS220" s="507"/>
      <c r="AT220" s="507"/>
      <c r="AU220" s="507"/>
      <c r="AV220" s="225"/>
      <c r="AW220" s="508"/>
      <c r="AX220" s="225"/>
      <c r="AY220" s="225"/>
      <c r="AZ220" s="225"/>
      <c r="BA220" s="225"/>
      <c r="BB220" s="225"/>
      <c r="BC220" s="56"/>
      <c r="BD220" s="56"/>
      <c r="BE220" s="56"/>
      <c r="BF220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20" s="107" t="str">
        <f t="shared" si="160"/>
        <v>A</v>
      </c>
      <c r="BH220" s="254"/>
      <c r="BI220" s="254"/>
    </row>
    <row r="221" spans="1:61" customFormat="1" ht="18" x14ac:dyDescent="0.25">
      <c r="A221" s="521" t="s">
        <v>5323</v>
      </c>
      <c r="B221" s="477"/>
      <c r="C221" s="674"/>
      <c r="D221" s="478" t="s">
        <v>5324</v>
      </c>
      <c r="E221" s="479"/>
      <c r="F221" s="479"/>
      <c r="G221" s="479"/>
      <c r="H221" s="582" t="s">
        <v>2582</v>
      </c>
      <c r="I221" s="480" t="s">
        <v>2590</v>
      </c>
      <c r="J221" s="479"/>
      <c r="K221" s="479"/>
      <c r="L221" s="560"/>
      <c r="M221" s="666" t="s">
        <v>4966</v>
      </c>
      <c r="N221" s="680" t="str">
        <f>IF(AND(ISTEXT($A221), ISERROR($A221+0)), HYPERLINK($BF221, "Images"), "")</f>
        <v>Images</v>
      </c>
      <c r="O221" s="662" t="s">
        <v>4974</v>
      </c>
      <c r="P221" s="482"/>
      <c r="Q221" s="483"/>
      <c r="R221" s="483"/>
      <c r="S221" s="484"/>
      <c r="T221" s="508">
        <f t="shared" si="148"/>
        <v>0</v>
      </c>
      <c r="U221" s="225" t="str">
        <f>IF(NOT(ISNUMBER(G221)), "", VLOOKUP(A221,'Discount Lookup'!D:E,2,FALSE)*G221)</f>
        <v/>
      </c>
      <c r="V221" s="225" t="str">
        <f>IF(NOT(ISNUMBER(G221)), "", VLOOKUP(A221,'Discount Lookup'!G:H,2,FALSE)*G221)</f>
        <v/>
      </c>
      <c r="W221" s="508">
        <f t="shared" si="149"/>
        <v>0</v>
      </c>
      <c r="X221" s="508" t="str">
        <f t="shared" si="150"/>
        <v>White, rare Purple stripes</v>
      </c>
      <c r="Y221" s="509" t="b">
        <f t="shared" si="151"/>
        <v>0</v>
      </c>
      <c r="Z221" s="510">
        <f t="shared" si="152"/>
        <v>0</v>
      </c>
      <c r="AA221" s="511"/>
      <c r="AB221" s="511" t="str">
        <f t="shared" si="153"/>
        <v/>
      </c>
      <c r="AC221" s="698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698"/>
      <c r="AE221" s="631" t="str">
        <f t="shared" si="154"/>
        <v/>
      </c>
      <c r="AF221" s="699" t="str">
        <f t="shared" si="155"/>
        <v/>
      </c>
      <c r="AG221" s="699"/>
      <c r="AH221" s="699"/>
      <c r="AI221" s="512">
        <f>IF(H221="credit",0,IF(AE221="free",0,IF(AE221="me",0,IF(G221&gt;0,(VLOOKUP(A221,'Discount Lookup'!J:K,2)*G221),0))))</f>
        <v>0</v>
      </c>
      <c r="AJ221" s="513" t="str">
        <f t="shared" ca="1" si="156"/>
        <v/>
      </c>
      <c r="AK221" s="700" t="str">
        <f t="shared" si="157"/>
        <v/>
      </c>
      <c r="AL221" s="700"/>
      <c r="AM221" s="505" t="str">
        <f t="shared" si="158"/>
        <v/>
      </c>
      <c r="AN221" s="506"/>
      <c r="AO221" s="507"/>
      <c r="AP221" s="507"/>
      <c r="AQ221" s="507"/>
      <c r="AR221" s="507"/>
      <c r="AS221" s="507"/>
      <c r="AT221" s="507"/>
      <c r="AU221" s="507"/>
      <c r="AV221" s="225"/>
      <c r="AW221" s="508"/>
      <c r="AX221" s="225"/>
      <c r="AY221" s="225"/>
      <c r="AZ221" s="225"/>
      <c r="BA221" s="225"/>
      <c r="BB221" s="225"/>
      <c r="BC221" s="56"/>
      <c r="BD221" s="56"/>
      <c r="BE221" s="56"/>
      <c r="BF221" s="107" t="str">
        <f t="shared" si="159"/>
        <v>https://www.google.com/search?tbm=isch&amp;q=Autumn%20Lily%C2%AE%20Encore%C2%AE%20Azalea%20Rhod.%20Encore%C2%AE%20%27Roblex%27%20PP%2325073</v>
      </c>
      <c r="BG221" s="107" t="str">
        <f t="shared" si="160"/>
        <v>A</v>
      </c>
      <c r="BH221" s="254"/>
      <c r="BI221" s="254"/>
    </row>
    <row r="222" spans="1:61" customFormat="1" ht="15.75" x14ac:dyDescent="0.25">
      <c r="A222" s="485">
        <v>3</v>
      </c>
      <c r="B222" s="486" t="s">
        <v>291</v>
      </c>
      <c r="C222" s="487" t="s">
        <v>445</v>
      </c>
      <c r="D222" s="488" t="s">
        <v>312</v>
      </c>
      <c r="E222" s="489">
        <v>29.95</v>
      </c>
      <c r="F222" s="516" t="s">
        <v>293</v>
      </c>
      <c r="G222" s="232">
        <v>0</v>
      </c>
      <c r="H222" s="658" t="str">
        <f>IF(G222=0,"",IF(F222="Buy",IF(G222=1,"plant","plants"),IF(F222&gt;0.01,"warranty","Error")))</f>
        <v/>
      </c>
      <c r="I222" s="490">
        <f>IF(H222="free",0,IF(H222="credit",((E222*(F222))*G222*-1),IF(F222="Buy",(E222*G222),((E222*(1-F222))*G222))))</f>
        <v>0</v>
      </c>
      <c r="J222" s="490">
        <f>IF(H222="warranty",0,(I222*(_xlfn.SINGLE(SalesTaxPercentage))))</f>
        <v>0</v>
      </c>
      <c r="K222" s="695">
        <f t="shared" ref="K222" si="168">I222+J222</f>
        <v>0</v>
      </c>
      <c r="L222" s="695"/>
      <c r="M222" s="659" t="str">
        <f>IF(AND(G222&gt;0,E222=0),"WARNING - no PRICE inserted",IF(H222="free"," FREE ~ no charge this plant",IF(H222="credit",CONCATENATE(" -$",ROUND(K222*(1-T2GDiscount)*-1,2)," CREDIT after discount"),IF(T2GDiscount=0,"",IF(G222=0,"",IF(F222="Buy",CONCATENATE(" $",ROUND(K222*(1-T2GDiscount),2)," with ",(T2GDiscount*100),"% discount"),CONCATENATE(" $",ROUND(K222*(1-T2GDiscount),2)," with ",((T2GDiscount*100+F222*100)-(T2GDiscount*100*F222)),IF(F222&gt;0,"% discounts",IF(NoWarrantyDiscount&gt;0,"% discounts","% discount")))))))))</f>
        <v/>
      </c>
      <c r="N222" s="660"/>
      <c r="O222" s="233"/>
      <c r="P222" s="233"/>
      <c r="Q222" s="233"/>
      <c r="R222" s="233"/>
      <c r="S222" s="233"/>
      <c r="T222" s="508">
        <f t="shared" si="148"/>
        <v>0</v>
      </c>
      <c r="U222" s="225">
        <f>IF(NOT(ISNUMBER(G222)), "", VLOOKUP(A222,'Discount Lookup'!D:E,2,FALSE)*G222)</f>
        <v>0</v>
      </c>
      <c r="V222" s="225">
        <f>IF(NOT(ISNUMBER(G222)), "", VLOOKUP(A222,'Discount Lookup'!G:H,2,FALSE)*G222)</f>
        <v>0</v>
      </c>
      <c r="W222" s="508">
        <f t="shared" si="149"/>
        <v>0</v>
      </c>
      <c r="X222" s="508">
        <f t="shared" si="150"/>
        <v>0</v>
      </c>
      <c r="Y222" s="509" t="b">
        <f t="shared" si="151"/>
        <v>0</v>
      </c>
      <c r="Z222" s="510">
        <f t="shared" si="152"/>
        <v>0</v>
      </c>
      <c r="AA222" s="511"/>
      <c r="AB222" s="511" t="str">
        <f t="shared" si="153"/>
        <v/>
      </c>
      <c r="AC222" s="698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698"/>
      <c r="AE222" s="631" t="str">
        <f t="shared" si="154"/>
        <v/>
      </c>
      <c r="AF222" s="699" t="str">
        <f t="shared" si="155"/>
        <v/>
      </c>
      <c r="AG222" s="699"/>
      <c r="AH222" s="699"/>
      <c r="AI222" s="512">
        <f>IF(H222="credit",0,IF(AE222="free",0,IF(AE222="me",0,IF(G222&gt;0,(VLOOKUP(A222,'Discount Lookup'!J:K,2)*G222),0))))</f>
        <v>0</v>
      </c>
      <c r="AJ222" s="513" t="str">
        <f t="shared" ca="1" si="156"/>
        <v/>
      </c>
      <c r="AK222" s="700" t="str">
        <f t="shared" si="157"/>
        <v/>
      </c>
      <c r="AL222" s="700"/>
      <c r="AM222" s="505" t="str">
        <f t="shared" si="158"/>
        <v/>
      </c>
      <c r="AN222" s="506"/>
      <c r="AO222" s="507"/>
      <c r="AP222" s="507"/>
      <c r="AQ222" s="507"/>
      <c r="AR222" s="507"/>
      <c r="AS222" s="507"/>
      <c r="AT222" s="507"/>
      <c r="AU222" s="507"/>
      <c r="AV222" s="225"/>
      <c r="AW222" s="508"/>
      <c r="AX222" s="225"/>
      <c r="AY222" s="225"/>
      <c r="AZ222" s="225"/>
      <c r="BA222" s="225"/>
      <c r="BB222" s="225"/>
      <c r="BC222" s="56"/>
      <c r="BD222" s="56"/>
      <c r="BE222" s="56"/>
      <c r="BF222" s="107" t="str">
        <f t="shared" si="159"/>
        <v>https://www.google.com/search?tbm=isch&amp;q=3%20G2</v>
      </c>
      <c r="BG222" s="107" t="str">
        <f t="shared" si="160"/>
        <v>A</v>
      </c>
      <c r="BH222" s="254"/>
      <c r="BI222" s="254"/>
    </row>
    <row r="223" spans="1:61" customFormat="1" ht="17.25" thickBot="1" x14ac:dyDescent="0.3">
      <c r="A223" s="522" t="s">
        <v>2661</v>
      </c>
      <c r="B223" s="491"/>
      <c r="C223" s="675"/>
      <c r="D223" s="491"/>
      <c r="E223" s="491"/>
      <c r="F223" s="492"/>
      <c r="G223" s="493"/>
      <c r="H223" s="491"/>
      <c r="I223" s="234"/>
      <c r="J223" s="234"/>
      <c r="K223" s="494"/>
      <c r="L223" s="543"/>
      <c r="M223" s="561"/>
      <c r="N223" s="495"/>
      <c r="O223" s="496"/>
      <c r="P223" s="497"/>
      <c r="Q223" s="495"/>
      <c r="R223" s="495"/>
      <c r="S223" s="667" t="s">
        <v>4988</v>
      </c>
      <c r="T223" s="508">
        <f t="shared" si="148"/>
        <v>0</v>
      </c>
      <c r="U223" s="225" t="str">
        <f>IF(NOT(ISNUMBER(G223)), "", VLOOKUP(A223,'Discount Lookup'!D:E,2,FALSE)*G223)</f>
        <v/>
      </c>
      <c r="V223" s="225" t="str">
        <f>IF(NOT(ISNUMBER(G223)), "", VLOOKUP(A223,'Discount Lookup'!G:H,2,FALSE)*G223)</f>
        <v/>
      </c>
      <c r="W223" s="508">
        <f t="shared" si="149"/>
        <v>0</v>
      </c>
      <c r="X223" s="508">
        <f t="shared" si="150"/>
        <v>0</v>
      </c>
      <c r="Y223" s="509" t="b">
        <f t="shared" si="151"/>
        <v>0</v>
      </c>
      <c r="Z223" s="510">
        <f t="shared" si="152"/>
        <v>0</v>
      </c>
      <c r="AA223" s="511"/>
      <c r="AB223" s="511" t="str">
        <f t="shared" si="153"/>
        <v/>
      </c>
      <c r="AC223" s="698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698"/>
      <c r="AE223" s="631" t="str">
        <f t="shared" si="154"/>
        <v/>
      </c>
      <c r="AF223" s="699" t="str">
        <f t="shared" si="155"/>
        <v/>
      </c>
      <c r="AG223" s="699"/>
      <c r="AH223" s="699"/>
      <c r="AI223" s="512">
        <f>IF(H223="credit",0,IF(AE223="free",0,IF(AE223="me",0,IF(G223&gt;0,(VLOOKUP(A223,'Discount Lookup'!J:K,2)*G223),0))))</f>
        <v>0</v>
      </c>
      <c r="AJ223" s="513" t="str">
        <f t="shared" ca="1" si="156"/>
        <v/>
      </c>
      <c r="AK223" s="700" t="str">
        <f t="shared" si="157"/>
        <v/>
      </c>
      <c r="AL223" s="700"/>
      <c r="AM223" s="505" t="str">
        <f t="shared" si="158"/>
        <v/>
      </c>
      <c r="AN223" s="506"/>
      <c r="AO223" s="507"/>
      <c r="AP223" s="507"/>
      <c r="AQ223" s="507"/>
      <c r="AR223" s="507"/>
      <c r="AS223" s="507"/>
      <c r="AT223" s="507"/>
      <c r="AU223" s="507"/>
      <c r="AV223" s="225"/>
      <c r="AW223" s="508"/>
      <c r="AX223" s="225"/>
      <c r="AY223" s="225"/>
      <c r="AZ223" s="225"/>
      <c r="BA223" s="225"/>
      <c r="BB223" s="225"/>
      <c r="BC223" s="56"/>
      <c r="BD223" s="56"/>
      <c r="BE223" s="56"/>
      <c r="BF223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23" s="107" t="str">
        <f t="shared" si="160"/>
        <v>A</v>
      </c>
      <c r="BH223" s="254"/>
      <c r="BI223" s="254"/>
    </row>
    <row r="224" spans="1:61" customFormat="1" ht="18" x14ac:dyDescent="0.25">
      <c r="A224" s="521" t="s">
        <v>5325</v>
      </c>
      <c r="B224" s="477"/>
      <c r="C224" s="674"/>
      <c r="D224" s="478" t="s">
        <v>5326</v>
      </c>
      <c r="E224" s="479"/>
      <c r="F224" s="479"/>
      <c r="G224" s="479"/>
      <c r="H224" s="582" t="s">
        <v>2580</v>
      </c>
      <c r="I224" s="480" t="s">
        <v>843</v>
      </c>
      <c r="J224" s="479"/>
      <c r="K224" s="479"/>
      <c r="L224" s="560"/>
      <c r="M224" s="666" t="s">
        <v>4966</v>
      </c>
      <c r="N224" s="680" t="str">
        <f>IF(AND(ISTEXT($A224), ISERROR($A224+0)), HYPERLINK($BF224, "Images"), "")</f>
        <v>Images</v>
      </c>
      <c r="O224" s="662" t="s">
        <v>4974</v>
      </c>
      <c r="P224" s="482"/>
      <c r="Q224" s="483"/>
      <c r="R224" s="483"/>
      <c r="S224" s="484"/>
      <c r="T224" s="508">
        <f t="shared" si="148"/>
        <v>0</v>
      </c>
      <c r="U224" s="225" t="str">
        <f>IF(NOT(ISNUMBER(G224)), "", VLOOKUP(A224,'Discount Lookup'!D:E,2,FALSE)*G224)</f>
        <v/>
      </c>
      <c r="V224" s="225" t="str">
        <f>IF(NOT(ISNUMBER(G224)), "", VLOOKUP(A224,'Discount Lookup'!G:H,2,FALSE)*G224)</f>
        <v/>
      </c>
      <c r="W224" s="508">
        <f t="shared" si="149"/>
        <v>0</v>
      </c>
      <c r="X224" s="508" t="str">
        <f t="shared" si="150"/>
        <v>Reddish-Purple bloom</v>
      </c>
      <c r="Y224" s="509" t="b">
        <f t="shared" si="151"/>
        <v>0</v>
      </c>
      <c r="Z224" s="510">
        <f t="shared" si="152"/>
        <v>0</v>
      </c>
      <c r="AA224" s="511"/>
      <c r="AB224" s="511" t="str">
        <f t="shared" si="153"/>
        <v/>
      </c>
      <c r="AC224" s="698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698"/>
      <c r="AE224" s="631" t="str">
        <f t="shared" si="154"/>
        <v/>
      </c>
      <c r="AF224" s="699" t="str">
        <f t="shared" si="155"/>
        <v/>
      </c>
      <c r="AG224" s="699"/>
      <c r="AH224" s="699"/>
      <c r="AI224" s="512">
        <f>IF(H224="credit",0,IF(AE224="free",0,IF(AE224="me",0,IF(G224&gt;0,(VLOOKUP(A224,'Discount Lookup'!J:K,2)*G224),0))))</f>
        <v>0</v>
      </c>
      <c r="AJ224" s="513" t="str">
        <f t="shared" ca="1" si="156"/>
        <v/>
      </c>
      <c r="AK224" s="700" t="str">
        <f t="shared" si="157"/>
        <v/>
      </c>
      <c r="AL224" s="700"/>
      <c r="AM224" s="505" t="str">
        <f t="shared" si="158"/>
        <v/>
      </c>
      <c r="AN224" s="506"/>
      <c r="AO224" s="507"/>
      <c r="AP224" s="507"/>
      <c r="AQ224" s="507"/>
      <c r="AR224" s="507"/>
      <c r="AS224" s="507"/>
      <c r="AT224" s="507"/>
      <c r="AU224" s="507"/>
      <c r="AV224" s="225"/>
      <c r="AW224" s="508"/>
      <c r="AX224" s="225"/>
      <c r="AY224" s="225"/>
      <c r="AZ224" s="225"/>
      <c r="BA224" s="225"/>
      <c r="BB224" s="225"/>
      <c r="BC224" s="56"/>
      <c r="BD224" s="56"/>
      <c r="BE224" s="56"/>
      <c r="BF224" s="107" t="str">
        <f t="shared" si="159"/>
        <v>https://www.google.com/search?tbm=isch&amp;q=Autumn%20Majesty%C2%AE%20Encore%C2%AE%20Azalea%20Rhod.%20Encore%C2%AE%20%27Roblezd%27%20PP%2332967</v>
      </c>
      <c r="BG224" s="107" t="str">
        <f t="shared" si="160"/>
        <v>A</v>
      </c>
      <c r="BH224" s="254"/>
      <c r="BI224" s="254"/>
    </row>
    <row r="225" spans="1:61" customFormat="1" ht="15.75" x14ac:dyDescent="0.25">
      <c r="A225" s="485">
        <v>3</v>
      </c>
      <c r="B225" s="486" t="s">
        <v>291</v>
      </c>
      <c r="C225" s="487" t="s">
        <v>329</v>
      </c>
      <c r="D225" s="488" t="s">
        <v>312</v>
      </c>
      <c r="E225" s="489">
        <v>29.95</v>
      </c>
      <c r="F225" s="516" t="s">
        <v>293</v>
      </c>
      <c r="G225" s="232">
        <v>0</v>
      </c>
      <c r="H225" s="658" t="str">
        <f>IF(G225=0,"",IF(F225="Buy",IF(G225=1,"plant","plants"),IF(F225&gt;0.01,"warranty","Error")))</f>
        <v/>
      </c>
      <c r="I225" s="490">
        <f>IF(H225="free",0,IF(H225="credit",((E225*(F225))*G225*-1),IF(F225="Buy",(E225*G225),((E225*(1-F225))*G225))))</f>
        <v>0</v>
      </c>
      <c r="J225" s="490">
        <f>IF(H225="warranty",0,(I225*(_xlfn.SINGLE(SalesTaxPercentage))))</f>
        <v>0</v>
      </c>
      <c r="K225" s="695">
        <f t="shared" ref="K225" si="169">I225+J225</f>
        <v>0</v>
      </c>
      <c r="L225" s="695"/>
      <c r="M225" s="659" t="str">
        <f>IF(AND(G225&gt;0,E225=0),"WARNING - no PRICE inserted",IF(H225="free"," FREE ~ no charge this plant",IF(H225="credit",CONCATENATE(" -$",ROUND(K225*(1-T2GDiscount)*-1,2)," CREDIT after discount"),IF(T2GDiscount=0,"",IF(G225=0,"",IF(F225="Buy",CONCATENATE(" $",ROUND(K225*(1-T2GDiscount),2)," with ",(T2GDiscount*100),"% discount"),CONCATENATE(" $",ROUND(K225*(1-T2GDiscount),2)," with ",((T2GDiscount*100+F225*100)-(T2GDiscount*100*F225)),IF(F225&gt;0,"% discounts",IF(NoWarrantyDiscount&gt;0,"% discounts","% discount")))))))))</f>
        <v/>
      </c>
      <c r="N225" s="660"/>
      <c r="O225" s="233"/>
      <c r="P225" s="233"/>
      <c r="Q225" s="233"/>
      <c r="R225" s="233"/>
      <c r="S225" s="233"/>
      <c r="T225" s="508">
        <f t="shared" si="148"/>
        <v>0</v>
      </c>
      <c r="U225" s="225">
        <f>IF(NOT(ISNUMBER(G225)), "", VLOOKUP(A225,'Discount Lookup'!D:E,2,FALSE)*G225)</f>
        <v>0</v>
      </c>
      <c r="V225" s="225">
        <f>IF(NOT(ISNUMBER(G225)), "", VLOOKUP(A225,'Discount Lookup'!G:H,2,FALSE)*G225)</f>
        <v>0</v>
      </c>
      <c r="W225" s="508">
        <f t="shared" si="149"/>
        <v>0</v>
      </c>
      <c r="X225" s="508">
        <f t="shared" si="150"/>
        <v>0</v>
      </c>
      <c r="Y225" s="509" t="b">
        <f t="shared" si="151"/>
        <v>0</v>
      </c>
      <c r="Z225" s="510">
        <f t="shared" si="152"/>
        <v>0</v>
      </c>
      <c r="AA225" s="511"/>
      <c r="AB225" s="511" t="str">
        <f t="shared" si="153"/>
        <v/>
      </c>
      <c r="AC225" s="698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698"/>
      <c r="AE225" s="631" t="str">
        <f t="shared" si="154"/>
        <v/>
      </c>
      <c r="AF225" s="699" t="str">
        <f t="shared" si="155"/>
        <v/>
      </c>
      <c r="AG225" s="699"/>
      <c r="AH225" s="699"/>
      <c r="AI225" s="512">
        <f>IF(H225="credit",0,IF(AE225="free",0,IF(AE225="me",0,IF(G225&gt;0,(VLOOKUP(A225,'Discount Lookup'!J:K,2)*G225),0))))</f>
        <v>0</v>
      </c>
      <c r="AJ225" s="513" t="str">
        <f t="shared" ca="1" si="156"/>
        <v/>
      </c>
      <c r="AK225" s="700" t="str">
        <f t="shared" si="157"/>
        <v/>
      </c>
      <c r="AL225" s="700"/>
      <c r="AM225" s="505" t="str">
        <f t="shared" si="158"/>
        <v/>
      </c>
      <c r="AN225" s="506"/>
      <c r="AO225" s="507"/>
      <c r="AP225" s="507"/>
      <c r="AQ225" s="507"/>
      <c r="AR225" s="507"/>
      <c r="AS225" s="507"/>
      <c r="AT225" s="507"/>
      <c r="AU225" s="507"/>
      <c r="AV225" s="225"/>
      <c r="AW225" s="508"/>
      <c r="AX225" s="225"/>
      <c r="AY225" s="225"/>
      <c r="AZ225" s="225"/>
      <c r="BA225" s="225"/>
      <c r="BB225" s="225"/>
      <c r="BC225" s="56"/>
      <c r="BD225" s="56"/>
      <c r="BE225" s="56"/>
      <c r="BF225" s="107" t="str">
        <f t="shared" si="159"/>
        <v>https://www.google.com/search?tbm=isch&amp;q=3%20G2</v>
      </c>
      <c r="BG225" s="107" t="str">
        <f t="shared" si="160"/>
        <v>A</v>
      </c>
      <c r="BH225" s="254"/>
      <c r="BI225" s="254"/>
    </row>
    <row r="226" spans="1:61" customFormat="1" ht="17.25" thickBot="1" x14ac:dyDescent="0.3">
      <c r="A226" s="522" t="s">
        <v>2661</v>
      </c>
      <c r="B226" s="491"/>
      <c r="C226" s="675"/>
      <c r="D226" s="491"/>
      <c r="E226" s="491"/>
      <c r="F226" s="492"/>
      <c r="G226" s="493"/>
      <c r="H226" s="491"/>
      <c r="I226" s="234"/>
      <c r="J226" s="234"/>
      <c r="K226" s="494"/>
      <c r="L226" s="543"/>
      <c r="M226" s="561"/>
      <c r="N226" s="495"/>
      <c r="O226" s="496"/>
      <c r="P226" s="497"/>
      <c r="Q226" s="495"/>
      <c r="R226" s="495"/>
      <c r="S226" s="667" t="s">
        <v>4988</v>
      </c>
      <c r="T226" s="508">
        <f t="shared" si="148"/>
        <v>0</v>
      </c>
      <c r="U226" s="225" t="str">
        <f>IF(NOT(ISNUMBER(G226)), "", VLOOKUP(A226,'Discount Lookup'!D:E,2,FALSE)*G226)</f>
        <v/>
      </c>
      <c r="V226" s="225" t="str">
        <f>IF(NOT(ISNUMBER(G226)), "", VLOOKUP(A226,'Discount Lookup'!G:H,2,FALSE)*G226)</f>
        <v/>
      </c>
      <c r="W226" s="508">
        <f t="shared" si="149"/>
        <v>0</v>
      </c>
      <c r="X226" s="508">
        <f t="shared" si="150"/>
        <v>0</v>
      </c>
      <c r="Y226" s="509" t="b">
        <f t="shared" si="151"/>
        <v>0</v>
      </c>
      <c r="Z226" s="510">
        <f t="shared" si="152"/>
        <v>0</v>
      </c>
      <c r="AA226" s="511"/>
      <c r="AB226" s="511" t="str">
        <f t="shared" si="153"/>
        <v/>
      </c>
      <c r="AC226" s="698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698"/>
      <c r="AE226" s="631" t="str">
        <f t="shared" si="154"/>
        <v/>
      </c>
      <c r="AF226" s="699" t="str">
        <f t="shared" si="155"/>
        <v/>
      </c>
      <c r="AG226" s="699"/>
      <c r="AH226" s="699"/>
      <c r="AI226" s="512">
        <f>IF(H226="credit",0,IF(AE226="free",0,IF(AE226="me",0,IF(G226&gt;0,(VLOOKUP(A226,'Discount Lookup'!J:K,2)*G226),0))))</f>
        <v>0</v>
      </c>
      <c r="AJ226" s="513" t="str">
        <f t="shared" ca="1" si="156"/>
        <v/>
      </c>
      <c r="AK226" s="700" t="str">
        <f t="shared" si="157"/>
        <v/>
      </c>
      <c r="AL226" s="700"/>
      <c r="AM226" s="505" t="str">
        <f t="shared" si="158"/>
        <v/>
      </c>
      <c r="AN226" s="506"/>
      <c r="AO226" s="507"/>
      <c r="AP226" s="507"/>
      <c r="AQ226" s="507"/>
      <c r="AR226" s="507"/>
      <c r="AS226" s="507"/>
      <c r="AT226" s="507"/>
      <c r="AU226" s="507"/>
      <c r="AV226" s="225"/>
      <c r="AW226" s="508"/>
      <c r="AX226" s="225"/>
      <c r="AY226" s="225"/>
      <c r="AZ226" s="225"/>
      <c r="BA226" s="225"/>
      <c r="BB226" s="225"/>
      <c r="BC226" s="56"/>
      <c r="BD226" s="56"/>
      <c r="BE226" s="56"/>
      <c r="BF226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26" s="107" t="str">
        <f t="shared" si="160"/>
        <v>A</v>
      </c>
      <c r="BH226" s="254"/>
      <c r="BI226" s="254"/>
    </row>
    <row r="227" spans="1:61" customFormat="1" ht="18" x14ac:dyDescent="0.25">
      <c r="A227" s="523" t="s">
        <v>5327</v>
      </c>
      <c r="B227" s="235"/>
      <c r="C227" s="676"/>
      <c r="D227" s="255" t="s">
        <v>550</v>
      </c>
      <c r="E227" s="236"/>
      <c r="F227" s="236"/>
      <c r="G227" s="236"/>
      <c r="H227" s="582" t="s">
        <v>356</v>
      </c>
      <c r="I227" s="498" t="s">
        <v>3113</v>
      </c>
      <c r="J227" s="237"/>
      <c r="K227" s="237"/>
      <c r="L227" s="274"/>
      <c r="M227" s="670" t="s">
        <v>4973</v>
      </c>
      <c r="N227" s="681" t="str">
        <f>IF(AND(ISTEXT($A227), ISERROR($A227+0)), HYPERLINK($BF227, "Images"), "")</f>
        <v>Images</v>
      </c>
      <c r="O227" s="663" t="s">
        <v>4974</v>
      </c>
      <c r="P227" s="253"/>
      <c r="Q227" s="238"/>
      <c r="R227" s="239"/>
      <c r="S227" s="275" t="s">
        <v>305</v>
      </c>
      <c r="T227" s="508">
        <f t="shared" si="148"/>
        <v>0</v>
      </c>
      <c r="U227" s="225" t="str">
        <f>IF(NOT(ISNUMBER(G227)), "", VLOOKUP(A227,'Discount Lookup'!D:E,2,FALSE)*G227)</f>
        <v/>
      </c>
      <c r="V227" s="225" t="str">
        <f>IF(NOT(ISNUMBER(G227)), "", VLOOKUP(A227,'Discount Lookup'!G:H,2,FALSE)*G227)</f>
        <v/>
      </c>
      <c r="W227" s="508">
        <f t="shared" si="149"/>
        <v>0</v>
      </c>
      <c r="X227" s="508" t="str">
        <f t="shared" si="150"/>
        <v>White bloom ages to Pink</v>
      </c>
      <c r="Y227" s="509" t="b">
        <f t="shared" si="151"/>
        <v>0</v>
      </c>
      <c r="Z227" s="510">
        <f t="shared" si="152"/>
        <v>0</v>
      </c>
      <c r="AA227" s="511"/>
      <c r="AB227" s="511" t="str">
        <f t="shared" si="153"/>
        <v/>
      </c>
      <c r="AC227" s="698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698"/>
      <c r="AE227" s="631" t="str">
        <f t="shared" si="154"/>
        <v/>
      </c>
      <c r="AF227" s="699" t="str">
        <f t="shared" si="155"/>
        <v/>
      </c>
      <c r="AG227" s="699"/>
      <c r="AH227" s="699"/>
      <c r="AI227" s="512">
        <f>IF(H227="credit",0,IF(AE227="free",0,IF(AE227="me",0,IF(G227&gt;0,(VLOOKUP(A227,'Discount Lookup'!J:K,2)*G227),0))))</f>
        <v>0</v>
      </c>
      <c r="AJ227" s="513" t="str">
        <f t="shared" ca="1" si="156"/>
        <v/>
      </c>
      <c r="AK227" s="700" t="str">
        <f t="shared" si="157"/>
        <v/>
      </c>
      <c r="AL227" s="700"/>
      <c r="AM227" s="505" t="str">
        <f t="shared" si="158"/>
        <v/>
      </c>
      <c r="AN227" s="506"/>
      <c r="AO227" s="507"/>
      <c r="AP227" s="507"/>
      <c r="AQ227" s="507"/>
      <c r="AR227" s="507"/>
      <c r="AS227" s="507"/>
      <c r="AT227" s="507"/>
      <c r="AU227" s="507"/>
      <c r="AV227" s="225"/>
      <c r="AW227" s="508"/>
      <c r="AX227" s="225"/>
      <c r="AY227" s="225"/>
      <c r="AZ227" s="225"/>
      <c r="BA227" s="225"/>
      <c r="BB227" s="225"/>
      <c r="BC227" s="56"/>
      <c r="BD227" s="56"/>
      <c r="BE227" s="56"/>
      <c r="BF227" s="107" t="str">
        <f t="shared" si="159"/>
        <v>https://www.google.com/search?tbm=isch&amp;q=Autumn%20Reprise%E2%84%A2%20Oakleaf%20Hydrangea%20Hyd.%20quercifolia%20%271925querrep%27%20PP%2335796</v>
      </c>
      <c r="BG227" s="107" t="str">
        <f t="shared" si="160"/>
        <v>A</v>
      </c>
      <c r="BH227" s="254"/>
      <c r="BI227" s="254"/>
    </row>
    <row r="228" spans="1:61" customFormat="1" ht="15.75" x14ac:dyDescent="0.25">
      <c r="A228" s="276">
        <v>3</v>
      </c>
      <c r="B228" s="240" t="s">
        <v>291</v>
      </c>
      <c r="C228" s="241" t="s">
        <v>4758</v>
      </c>
      <c r="D228" s="242" t="s">
        <v>312</v>
      </c>
      <c r="E228" s="243">
        <v>29.95</v>
      </c>
      <c r="F228" s="517" t="s">
        <v>293</v>
      </c>
      <c r="G228" s="232">
        <v>0</v>
      </c>
      <c r="H228" s="661" t="str">
        <f>IF(G228=0,"",IF(F228="Buy",IF(G228=1,"plant","plants"),IF(F228&gt;0.01,"warranty","Error")))</f>
        <v/>
      </c>
      <c r="I228" s="244">
        <f>IF(H228="free",0,IF(H228="credit",((E228*(F228))*G228*-1),IF(F228="Buy",(E228*G228),((E228*(1-F228))*G228))))</f>
        <v>0</v>
      </c>
      <c r="J228" s="244">
        <f>IF(H228="warranty",0,(I228*(_xlfn.SINGLE(SalesTaxPercentage))))</f>
        <v>0</v>
      </c>
      <c r="K228" s="696">
        <f t="shared" ref="K228" si="170">I228+J228</f>
        <v>0</v>
      </c>
      <c r="L228" s="696"/>
      <c r="M228" s="659" t="str">
        <f>IF(AND(G228&gt;0,E228=0),"WARNING - no PRICE inserted",IF(H228="free"," FREE ~ no charge this plant",IF(H228="credit",CONCATENATE(" -$",ROUND(K228*(1-T2GDiscount)*-1,2)," CREDIT after discount"),IF(T2GDiscount=0,"",IF(G228=0,"",IF(F228="Buy",CONCATENATE(" $",ROUND(K228*(1-T2GDiscount),2)," with ",(T2GDiscount*100),"% discount"),CONCATENATE(" $",ROUND(K228*(1-T2GDiscount),2)," with ",((T2GDiscount*100+F228*100)-(T2GDiscount*100*F228)),IF(F228&gt;0,"% discounts",IF(NoWarrantyDiscount&gt;0,"% discounts","% discount")))))))))</f>
        <v/>
      </c>
      <c r="N228" s="660"/>
      <c r="O228" s="233"/>
      <c r="P228" s="233"/>
      <c r="Q228" s="233"/>
      <c r="R228" s="233"/>
      <c r="S228" s="233"/>
      <c r="T228" s="508">
        <f t="shared" si="148"/>
        <v>0</v>
      </c>
      <c r="U228" s="225">
        <f>IF(NOT(ISNUMBER(G228)), "", VLOOKUP(A228,'Discount Lookup'!D:E,2,FALSE)*G228)</f>
        <v>0</v>
      </c>
      <c r="V228" s="225">
        <f>IF(NOT(ISNUMBER(G228)), "", VLOOKUP(A228,'Discount Lookup'!G:H,2,FALSE)*G228)</f>
        <v>0</v>
      </c>
      <c r="W228" s="508">
        <f t="shared" si="149"/>
        <v>0</v>
      </c>
      <c r="X228" s="508">
        <f t="shared" si="150"/>
        <v>0</v>
      </c>
      <c r="Y228" s="509" t="b">
        <f t="shared" si="151"/>
        <v>0</v>
      </c>
      <c r="Z228" s="510">
        <f t="shared" si="152"/>
        <v>0</v>
      </c>
      <c r="AA228" s="511"/>
      <c r="AB228" s="511" t="str">
        <f t="shared" si="153"/>
        <v/>
      </c>
      <c r="AC228" s="698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698"/>
      <c r="AE228" s="631" t="str">
        <f t="shared" si="154"/>
        <v/>
      </c>
      <c r="AF228" s="699" t="str">
        <f t="shared" si="155"/>
        <v/>
      </c>
      <c r="AG228" s="699"/>
      <c r="AH228" s="699"/>
      <c r="AI228" s="512">
        <f>IF(H228="credit",0,IF(AE228="free",0,IF(AE228="me",0,IF(G228&gt;0,(VLOOKUP(A228,'Discount Lookup'!J:K,2)*G228),0))))</f>
        <v>0</v>
      </c>
      <c r="AJ228" s="513" t="str">
        <f t="shared" ca="1" si="156"/>
        <v/>
      </c>
      <c r="AK228" s="700" t="str">
        <f t="shared" si="157"/>
        <v/>
      </c>
      <c r="AL228" s="700"/>
      <c r="AM228" s="505" t="str">
        <f t="shared" si="158"/>
        <v/>
      </c>
      <c r="AN228" s="506"/>
      <c r="AO228" s="507"/>
      <c r="AP228" s="507"/>
      <c r="AQ228" s="507"/>
      <c r="AR228" s="507"/>
      <c r="AS228" s="507"/>
      <c r="AT228" s="507"/>
      <c r="AU228" s="507"/>
      <c r="AV228" s="225"/>
      <c r="AW228" s="508"/>
      <c r="AX228" s="225"/>
      <c r="AY228" s="225"/>
      <c r="AZ228" s="225"/>
      <c r="BA228" s="225"/>
      <c r="BB228" s="225"/>
      <c r="BC228" s="56"/>
      <c r="BD228" s="56"/>
      <c r="BE228" s="56"/>
      <c r="BF228" s="107" t="str">
        <f t="shared" si="159"/>
        <v>https://www.google.com/search?tbm=isch&amp;q=3%20G2</v>
      </c>
      <c r="BG228" s="107" t="str">
        <f t="shared" si="160"/>
        <v>A</v>
      </c>
      <c r="BH228" s="254"/>
      <c r="BI228" s="254"/>
    </row>
    <row r="229" spans="1:61" customFormat="1" ht="15.75" x14ac:dyDescent="0.25">
      <c r="A229" s="276">
        <v>3</v>
      </c>
      <c r="B229" s="240" t="s">
        <v>291</v>
      </c>
      <c r="C229" s="241"/>
      <c r="D229" s="242" t="s">
        <v>298</v>
      </c>
      <c r="E229" s="243">
        <v>32.950000000000003</v>
      </c>
      <c r="F229" s="517" t="s">
        <v>293</v>
      </c>
      <c r="G229" s="232">
        <v>0</v>
      </c>
      <c r="H229" s="661" t="str">
        <f>IF(G229=0,"",IF(F229="Buy",IF(G229=1,"plant","plants"),IF(F229&gt;0.01,"warranty","Error")))</f>
        <v/>
      </c>
      <c r="I229" s="244">
        <f>IF(H229="free",0,IF(H229="credit",((E229*(F229))*G229*-1),IF(F229="Buy",(E229*G229),((E229*(1-F229))*G229))))</f>
        <v>0</v>
      </c>
      <c r="J229" s="244">
        <f>IF(H229="warranty",0,(I229*(_xlfn.SINGLE(SalesTaxPercentage))))</f>
        <v>0</v>
      </c>
      <c r="K229" s="696">
        <f t="shared" ref="K229" si="171">I229+J229</f>
        <v>0</v>
      </c>
      <c r="L229" s="696"/>
      <c r="M229" s="659" t="str">
        <f>IF(AND(G229&gt;0,E229=0),"WARNING - no PRICE inserted",IF(H229="free"," FREE ~ no charge this plant",IF(H229="credit",CONCATENATE(" -$",ROUND(K229*(1-T2GDiscount)*-1,2)," CREDIT after discount"),IF(T2GDiscount=0,"",IF(G229=0,"",IF(F229="Buy",CONCATENATE(" $",ROUND(K229*(1-T2GDiscount),2)," with ",(T2GDiscount*100),"% discount"),CONCATENATE(" $",ROUND(K229*(1-T2GDiscount),2)," with ",((T2GDiscount*100+F229*100)-(T2GDiscount*100*F229)),IF(F229&gt;0,"% discounts",IF(NoWarrantyDiscount&gt;0,"% discounts","% discount")))))))))</f>
        <v/>
      </c>
      <c r="N229" s="660"/>
      <c r="O229" s="233"/>
      <c r="P229" s="233"/>
      <c r="Q229" s="233"/>
      <c r="R229" s="233"/>
      <c r="S229" s="233"/>
      <c r="T229" s="508">
        <f t="shared" si="148"/>
        <v>0</v>
      </c>
      <c r="U229" s="225">
        <f>IF(NOT(ISNUMBER(G229)), "", VLOOKUP(A229,'Discount Lookup'!D:E,2,FALSE)*G229)</f>
        <v>0</v>
      </c>
      <c r="V229" s="225">
        <f>IF(NOT(ISNUMBER(G229)), "", VLOOKUP(A229,'Discount Lookup'!G:H,2,FALSE)*G229)</f>
        <v>0</v>
      </c>
      <c r="W229" s="508">
        <f t="shared" si="149"/>
        <v>0</v>
      </c>
      <c r="X229" s="508">
        <f t="shared" si="150"/>
        <v>0</v>
      </c>
      <c r="Y229" s="509" t="b">
        <f t="shared" si="151"/>
        <v>0</v>
      </c>
      <c r="Z229" s="510">
        <f t="shared" si="152"/>
        <v>0</v>
      </c>
      <c r="AA229" s="511"/>
      <c r="AB229" s="511" t="str">
        <f t="shared" si="153"/>
        <v/>
      </c>
      <c r="AC229" s="698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698"/>
      <c r="AE229" s="631" t="str">
        <f t="shared" si="154"/>
        <v/>
      </c>
      <c r="AF229" s="699" t="str">
        <f t="shared" si="155"/>
        <v/>
      </c>
      <c r="AG229" s="699"/>
      <c r="AH229" s="699"/>
      <c r="AI229" s="512">
        <f>IF(H229="credit",0,IF(AE229="free",0,IF(AE229="me",0,IF(G229&gt;0,(VLOOKUP(A229,'Discount Lookup'!J:K,2)*G229),0))))</f>
        <v>0</v>
      </c>
      <c r="AJ229" s="513" t="str">
        <f t="shared" ca="1" si="156"/>
        <v/>
      </c>
      <c r="AK229" s="700" t="str">
        <f t="shared" si="157"/>
        <v/>
      </c>
      <c r="AL229" s="700"/>
      <c r="AM229" s="505" t="str">
        <f t="shared" si="158"/>
        <v/>
      </c>
      <c r="AN229" s="506"/>
      <c r="AO229" s="507"/>
      <c r="AP229" s="507"/>
      <c r="AQ229" s="507"/>
      <c r="AR229" s="507"/>
      <c r="AS229" s="507"/>
      <c r="AT229" s="507"/>
      <c r="AU229" s="507"/>
      <c r="AV229" s="225"/>
      <c r="AW229" s="508"/>
      <c r="AX229" s="225"/>
      <c r="AY229" s="225"/>
      <c r="AZ229" s="225"/>
      <c r="BA229" s="225"/>
      <c r="BB229" s="225"/>
      <c r="BC229" s="56"/>
      <c r="BD229" s="56"/>
      <c r="BE229" s="56"/>
      <c r="BF229" s="107" t="str">
        <f t="shared" si="159"/>
        <v>https://www.google.com/search?tbm=isch&amp;q=3%20G1</v>
      </c>
      <c r="BG229" s="107" t="str">
        <f t="shared" si="160"/>
        <v>A</v>
      </c>
      <c r="BH229" s="254"/>
      <c r="BI229" s="254"/>
    </row>
    <row r="230" spans="1:61" customFormat="1" ht="15.75" x14ac:dyDescent="0.25">
      <c r="A230" s="276">
        <v>3</v>
      </c>
      <c r="B230" s="240" t="s">
        <v>291</v>
      </c>
      <c r="C230" s="241" t="s">
        <v>4284</v>
      </c>
      <c r="D230" s="242" t="s">
        <v>297</v>
      </c>
      <c r="E230" s="243">
        <v>32.950000000000003</v>
      </c>
      <c r="F230" s="517" t="s">
        <v>293</v>
      </c>
      <c r="G230" s="232">
        <v>0</v>
      </c>
      <c r="H230" s="661" t="str">
        <f>IF(G230=0,"",IF(F230="Buy",IF(G230=1,"plant","plants"),IF(F230&gt;0.01,"warranty","Error")))</f>
        <v/>
      </c>
      <c r="I230" s="244">
        <f>IF(H230="free",0,IF(H230="credit",((E230*(F230))*G230*-1),IF(F230="Buy",(E230*G230),((E230*(1-F230))*G230))))</f>
        <v>0</v>
      </c>
      <c r="J230" s="244">
        <f>IF(H230="warranty",0,(I230*(_xlfn.SINGLE(SalesTaxPercentage))))</f>
        <v>0</v>
      </c>
      <c r="K230" s="696">
        <f t="shared" ref="K230" si="172">I230+J230</f>
        <v>0</v>
      </c>
      <c r="L230" s="696"/>
      <c r="M230" s="659" t="str">
        <f>IF(AND(G230&gt;0,E230=0),"WARNING - no PRICE inserted",IF(H230="free"," FREE ~ no charge this plant",IF(H230="credit",CONCATENATE(" -$",ROUND(K230*(1-T2GDiscount)*-1,2)," CREDIT after discount"),IF(T2GDiscount=0,"",IF(G230=0,"",IF(F230="Buy",CONCATENATE(" $",ROUND(K230*(1-T2GDiscount),2)," with ",(T2GDiscount*100),"% discount"),CONCATENATE(" $",ROUND(K230*(1-T2GDiscount),2)," with ",((T2GDiscount*100+F230*100)-(T2GDiscount*100*F230)),IF(F230&gt;0,"% discounts",IF(NoWarrantyDiscount&gt;0,"% discounts","% discount")))))))))</f>
        <v/>
      </c>
      <c r="N230" s="660"/>
      <c r="O230" s="233"/>
      <c r="P230" s="233"/>
      <c r="Q230" s="233"/>
      <c r="R230" s="233"/>
      <c r="S230" s="233"/>
      <c r="T230" s="508">
        <f t="shared" si="148"/>
        <v>0</v>
      </c>
      <c r="U230" s="225">
        <f>IF(NOT(ISNUMBER(G230)), "", VLOOKUP(A230,'Discount Lookup'!D:E,2,FALSE)*G230)</f>
        <v>0</v>
      </c>
      <c r="V230" s="225">
        <f>IF(NOT(ISNUMBER(G230)), "", VLOOKUP(A230,'Discount Lookup'!G:H,2,FALSE)*G230)</f>
        <v>0</v>
      </c>
      <c r="W230" s="508">
        <f t="shared" si="149"/>
        <v>0</v>
      </c>
      <c r="X230" s="508">
        <f t="shared" si="150"/>
        <v>0</v>
      </c>
      <c r="Y230" s="509" t="b">
        <f t="shared" si="151"/>
        <v>0</v>
      </c>
      <c r="Z230" s="510">
        <f t="shared" si="152"/>
        <v>0</v>
      </c>
      <c r="AA230" s="511"/>
      <c r="AB230" s="511" t="str">
        <f t="shared" si="153"/>
        <v/>
      </c>
      <c r="AC230" s="698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698"/>
      <c r="AE230" s="631" t="str">
        <f t="shared" si="154"/>
        <v/>
      </c>
      <c r="AF230" s="699" t="str">
        <f t="shared" si="155"/>
        <v/>
      </c>
      <c r="AG230" s="699"/>
      <c r="AH230" s="699"/>
      <c r="AI230" s="512">
        <f>IF(H230="credit",0,IF(AE230="free",0,IF(AE230="me",0,IF(G230&gt;0,(VLOOKUP(A230,'Discount Lookup'!J:K,2)*G230),0))))</f>
        <v>0</v>
      </c>
      <c r="AJ230" s="513" t="str">
        <f t="shared" ca="1" si="156"/>
        <v/>
      </c>
      <c r="AK230" s="700" t="str">
        <f t="shared" si="157"/>
        <v/>
      </c>
      <c r="AL230" s="700"/>
      <c r="AM230" s="505" t="str">
        <f t="shared" si="158"/>
        <v/>
      </c>
      <c r="AN230" s="506"/>
      <c r="AO230" s="507"/>
      <c r="AP230" s="507"/>
      <c r="AQ230" s="507"/>
      <c r="AR230" s="507"/>
      <c r="AS230" s="507"/>
      <c r="AT230" s="507"/>
      <c r="AU230" s="507"/>
      <c r="AV230" s="225"/>
      <c r="AW230" s="508"/>
      <c r="AX230" s="225"/>
      <c r="AY230" s="225"/>
      <c r="AZ230" s="225"/>
      <c r="BA230" s="225"/>
      <c r="BB230" s="225"/>
      <c r="BC230" s="56"/>
      <c r="BD230" s="56"/>
      <c r="BE230" s="56"/>
      <c r="BF230" s="107" t="str">
        <f t="shared" si="159"/>
        <v>https://www.google.com/search?tbm=isch&amp;q=3%20G3</v>
      </c>
      <c r="BG230" s="107" t="str">
        <f t="shared" si="160"/>
        <v>A</v>
      </c>
      <c r="BH230" s="254"/>
      <c r="BI230" s="254"/>
    </row>
    <row r="231" spans="1:61" customFormat="1" ht="17.25" thickBot="1" x14ac:dyDescent="0.3">
      <c r="A231" s="673" t="s">
        <v>5046</v>
      </c>
      <c r="B231" s="245"/>
      <c r="C231" s="677"/>
      <c r="D231" s="499"/>
      <c r="E231" s="499"/>
      <c r="F231" s="500"/>
      <c r="G231" s="501"/>
      <c r="H231" s="502"/>
      <c r="I231" s="246"/>
      <c r="J231" s="247"/>
      <c r="K231" s="503"/>
      <c r="L231" s="544"/>
      <c r="M231" s="544"/>
      <c r="N231" s="500"/>
      <c r="O231" s="500"/>
      <c r="P231" s="500"/>
      <c r="Q231" s="500"/>
      <c r="R231" s="500"/>
      <c r="S231" s="278"/>
      <c r="T231" s="508">
        <f t="shared" si="148"/>
        <v>0</v>
      </c>
      <c r="U231" s="225" t="str">
        <f>IF(NOT(ISNUMBER(G231)), "", VLOOKUP(A231,'Discount Lookup'!D:E,2,FALSE)*G231)</f>
        <v/>
      </c>
      <c r="V231" s="225" t="str">
        <f>IF(NOT(ISNUMBER(G231)), "", VLOOKUP(A231,'Discount Lookup'!G:H,2,FALSE)*G231)</f>
        <v/>
      </c>
      <c r="W231" s="508">
        <f t="shared" si="149"/>
        <v>0</v>
      </c>
      <c r="X231" s="508">
        <f t="shared" si="150"/>
        <v>0</v>
      </c>
      <c r="Y231" s="509" t="b">
        <f t="shared" si="151"/>
        <v>0</v>
      </c>
      <c r="Z231" s="510">
        <f t="shared" si="152"/>
        <v>0</v>
      </c>
      <c r="AA231" s="511"/>
      <c r="AB231" s="511" t="str">
        <f t="shared" si="153"/>
        <v/>
      </c>
      <c r="AC231" s="698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698"/>
      <c r="AE231" s="631" t="str">
        <f t="shared" si="154"/>
        <v/>
      </c>
      <c r="AF231" s="699" t="str">
        <f t="shared" si="155"/>
        <v/>
      </c>
      <c r="AG231" s="699"/>
      <c r="AH231" s="699"/>
      <c r="AI231" s="512">
        <f>IF(H231="credit",0,IF(AE231="free",0,IF(AE231="me",0,IF(G231&gt;0,(VLOOKUP(A231,'Discount Lookup'!J:K,2)*G231),0))))</f>
        <v>0</v>
      </c>
      <c r="AJ231" s="513" t="str">
        <f t="shared" ca="1" si="156"/>
        <v/>
      </c>
      <c r="AK231" s="700" t="str">
        <f t="shared" si="157"/>
        <v/>
      </c>
      <c r="AL231" s="700"/>
      <c r="AM231" s="505" t="str">
        <f t="shared" si="158"/>
        <v/>
      </c>
      <c r="AN231" s="506"/>
      <c r="AO231" s="507"/>
      <c r="AP231" s="507"/>
      <c r="AQ231" s="507"/>
      <c r="AR231" s="507"/>
      <c r="AS231" s="507"/>
      <c r="AT231" s="507"/>
      <c r="AU231" s="507"/>
      <c r="AV231" s="225"/>
      <c r="AW231" s="508"/>
      <c r="AX231" s="225"/>
      <c r="AY231" s="225"/>
      <c r="AZ231" s="225"/>
      <c r="BA231" s="225"/>
      <c r="BB231" s="225"/>
      <c r="BC231" s="56"/>
      <c r="BD231" s="56"/>
      <c r="BE231" s="56"/>
      <c r="BF231" s="107" t="str">
        <f t="shared" si="159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31" s="107" t="str">
        <f t="shared" si="160"/>
        <v>m</v>
      </c>
      <c r="BH231" s="254"/>
      <c r="BI231" s="254"/>
    </row>
    <row r="232" spans="1:61" customFormat="1" ht="18" x14ac:dyDescent="0.25">
      <c r="A232" s="521" t="s">
        <v>458</v>
      </c>
      <c r="B232" s="477"/>
      <c r="C232" s="674"/>
      <c r="D232" s="478" t="s">
        <v>457</v>
      </c>
      <c r="E232" s="479"/>
      <c r="F232" s="479"/>
      <c r="G232" s="479"/>
      <c r="H232" s="582" t="s">
        <v>344</v>
      </c>
      <c r="I232" s="480" t="s">
        <v>2552</v>
      </c>
      <c r="J232" s="479"/>
      <c r="K232" s="479"/>
      <c r="L232" s="560"/>
      <c r="M232" s="671" t="s">
        <v>4990</v>
      </c>
      <c r="N232" s="680" t="str">
        <f>IF(AND(ISTEXT($A232), ISERROR($A232+0)), HYPERLINK($BF232, "Images"), "")</f>
        <v>Images</v>
      </c>
      <c r="O232" s="662" t="s">
        <v>4967</v>
      </c>
      <c r="P232" s="482"/>
      <c r="Q232" s="483"/>
      <c r="R232" s="483"/>
      <c r="S232" s="484"/>
      <c r="T232" s="508">
        <f t="shared" si="148"/>
        <v>0</v>
      </c>
      <c r="U232" s="225" t="str">
        <f>IF(NOT(ISNUMBER(G232)), "", VLOOKUP(A232,'Discount Lookup'!D:E,2,FALSE)*G232)</f>
        <v/>
      </c>
      <c r="V232" s="225" t="str">
        <f>IF(NOT(ISNUMBER(G232)), "", VLOOKUP(A232,'Discount Lookup'!G:H,2,FALSE)*G232)</f>
        <v/>
      </c>
      <c r="W232" s="508">
        <f t="shared" si="149"/>
        <v>0</v>
      </c>
      <c r="X232" s="508" t="str">
        <f t="shared" si="150"/>
        <v>White bloom, Yellow centers</v>
      </c>
      <c r="Y232" s="509" t="b">
        <f t="shared" si="151"/>
        <v>0</v>
      </c>
      <c r="Z232" s="510">
        <f t="shared" si="152"/>
        <v>0</v>
      </c>
      <c r="AA232" s="511"/>
      <c r="AB232" s="511" t="str">
        <f t="shared" si="153"/>
        <v/>
      </c>
      <c r="AC232" s="698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698"/>
      <c r="AE232" s="631" t="str">
        <f t="shared" si="154"/>
        <v/>
      </c>
      <c r="AF232" s="699" t="str">
        <f t="shared" si="155"/>
        <v/>
      </c>
      <c r="AG232" s="699"/>
      <c r="AH232" s="699"/>
      <c r="AI232" s="512">
        <f>IF(H232="credit",0,IF(AE232="free",0,IF(AE232="me",0,IF(G232&gt;0,(VLOOKUP(A232,'Discount Lookup'!J:K,2)*G232),0))))</f>
        <v>0</v>
      </c>
      <c r="AJ232" s="513" t="str">
        <f t="shared" ca="1" si="156"/>
        <v/>
      </c>
      <c r="AK232" s="700" t="str">
        <f t="shared" si="157"/>
        <v/>
      </c>
      <c r="AL232" s="700"/>
      <c r="AM232" s="505" t="str">
        <f t="shared" si="158"/>
        <v/>
      </c>
      <c r="AN232" s="506"/>
      <c r="AO232" s="507"/>
      <c r="AP232" s="507"/>
      <c r="AQ232" s="507"/>
      <c r="AR232" s="507"/>
      <c r="AS232" s="507"/>
      <c r="AT232" s="507"/>
      <c r="AU232" s="507"/>
      <c r="AV232" s="225"/>
      <c r="AW232" s="508"/>
      <c r="AX232" s="225"/>
      <c r="AY232" s="225"/>
      <c r="AZ232" s="225"/>
      <c r="BA232" s="225"/>
      <c r="BB232" s="225"/>
      <c r="BC232" s="56"/>
      <c r="BD232" s="56"/>
      <c r="BE232" s="56"/>
      <c r="BF232" s="107" t="str">
        <f t="shared" si="159"/>
        <v>https://www.google.com/search?tbm=isch&amp;q=Autumn%20Rocket%20Camellia%20Camellia%20sasanqua%20%27Autumn%20Rocket%27</v>
      </c>
      <c r="BG232" s="107" t="str">
        <f t="shared" si="160"/>
        <v>A</v>
      </c>
      <c r="BH232" s="254"/>
      <c r="BI232" s="254"/>
    </row>
    <row r="233" spans="1:61" customFormat="1" ht="15.75" x14ac:dyDescent="0.25">
      <c r="A233" s="485">
        <v>3</v>
      </c>
      <c r="B233" s="486" t="s">
        <v>291</v>
      </c>
      <c r="C233" s="487" t="s">
        <v>2483</v>
      </c>
      <c r="D233" s="488" t="s">
        <v>312</v>
      </c>
      <c r="E233" s="489">
        <v>34.950000000000003</v>
      </c>
      <c r="F233" s="516" t="s">
        <v>293</v>
      </c>
      <c r="G233" s="232">
        <v>0</v>
      </c>
      <c r="H233" s="658" t="str">
        <f>IF(G233=0,"",IF(F233="Buy",IF(G233=1,"plant","plants"),IF(F233&gt;0.01,"warranty","Error")))</f>
        <v/>
      </c>
      <c r="I233" s="490">
        <f>IF(H233="free",0,IF(H233="credit",((E233*(F233))*G233*-1),IF(F233="Buy",(E233*G233),((E233*(1-F233))*G233))))</f>
        <v>0</v>
      </c>
      <c r="J233" s="490">
        <f>IF(H233="warranty",0,(I233*(_xlfn.SINGLE(SalesTaxPercentage))))</f>
        <v>0</v>
      </c>
      <c r="K233" s="695">
        <f t="shared" ref="K233" si="173">I233+J233</f>
        <v>0</v>
      </c>
      <c r="L233" s="695"/>
      <c r="M233" s="659" t="str">
        <f>IF(AND(G233&gt;0,E233=0),"WARNING - no PRICE inserted",IF(H233="free"," FREE ~ no charge this plant",IF(H233="credit",CONCATENATE(" -$",ROUND(K233*(1-T2GDiscount)*-1,2)," CREDIT after discount"),IF(T2GDiscount=0,"",IF(G233=0,"",IF(F233="Buy",CONCATENATE(" $",ROUND(K233*(1-T2GDiscount),2)," with ",(T2GDiscount*100),"% discount"),CONCATENATE(" $",ROUND(K233*(1-T2GDiscount),2)," with ",((T2GDiscount*100+F233*100)-(T2GDiscount*100*F233)),IF(F233&gt;0,"% discounts",IF(NoWarrantyDiscount&gt;0,"% discounts","% discount")))))))))</f>
        <v/>
      </c>
      <c r="N233" s="660"/>
      <c r="O233" s="233"/>
      <c r="P233" s="233"/>
      <c r="Q233" s="233"/>
      <c r="R233" s="233"/>
      <c r="S233" s="233"/>
      <c r="T233" s="508">
        <f t="shared" si="148"/>
        <v>0</v>
      </c>
      <c r="U233" s="225">
        <f>IF(NOT(ISNUMBER(G233)), "", VLOOKUP(A233,'Discount Lookup'!D:E,2,FALSE)*G233)</f>
        <v>0</v>
      </c>
      <c r="V233" s="225">
        <f>IF(NOT(ISNUMBER(G233)), "", VLOOKUP(A233,'Discount Lookup'!G:H,2,FALSE)*G233)</f>
        <v>0</v>
      </c>
      <c r="W233" s="508">
        <f t="shared" si="149"/>
        <v>0</v>
      </c>
      <c r="X233" s="508">
        <f t="shared" si="150"/>
        <v>0</v>
      </c>
      <c r="Y233" s="509" t="b">
        <f t="shared" si="151"/>
        <v>0</v>
      </c>
      <c r="Z233" s="510">
        <f t="shared" si="152"/>
        <v>0</v>
      </c>
      <c r="AA233" s="511"/>
      <c r="AB233" s="511" t="str">
        <f t="shared" si="153"/>
        <v/>
      </c>
      <c r="AC233" s="698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698"/>
      <c r="AE233" s="631" t="str">
        <f t="shared" si="154"/>
        <v/>
      </c>
      <c r="AF233" s="699" t="str">
        <f t="shared" si="155"/>
        <v/>
      </c>
      <c r="AG233" s="699"/>
      <c r="AH233" s="699"/>
      <c r="AI233" s="512">
        <f>IF(H233="credit",0,IF(AE233="free",0,IF(AE233="me",0,IF(G233&gt;0,(VLOOKUP(A233,'Discount Lookup'!J:K,2)*G233),0))))</f>
        <v>0</v>
      </c>
      <c r="AJ233" s="513" t="str">
        <f t="shared" ca="1" si="156"/>
        <v/>
      </c>
      <c r="AK233" s="700" t="str">
        <f t="shared" si="157"/>
        <v/>
      </c>
      <c r="AL233" s="700"/>
      <c r="AM233" s="505" t="str">
        <f t="shared" si="158"/>
        <v/>
      </c>
      <c r="AN233" s="506"/>
      <c r="AO233" s="507"/>
      <c r="AP233" s="507"/>
      <c r="AQ233" s="507"/>
      <c r="AR233" s="507"/>
      <c r="AS233" s="507"/>
      <c r="AT233" s="507"/>
      <c r="AU233" s="507"/>
      <c r="AV233" s="225"/>
      <c r="AW233" s="508"/>
      <c r="AX233" s="225"/>
      <c r="AY233" s="225"/>
      <c r="AZ233" s="225"/>
      <c r="BA233" s="225"/>
      <c r="BB233" s="225"/>
      <c r="BC233" s="56"/>
      <c r="BD233" s="56"/>
      <c r="BE233" s="56"/>
      <c r="BF233" s="107" t="str">
        <f t="shared" si="159"/>
        <v>https://www.google.com/search?tbm=isch&amp;q=3%20G2</v>
      </c>
      <c r="BG233" s="107" t="str">
        <f t="shared" si="160"/>
        <v>A</v>
      </c>
      <c r="BH233" s="254"/>
      <c r="BI233" s="254"/>
    </row>
    <row r="234" spans="1:61" customFormat="1" ht="15.75" x14ac:dyDescent="0.25">
      <c r="A234" s="485">
        <v>10</v>
      </c>
      <c r="B234" s="486" t="s">
        <v>291</v>
      </c>
      <c r="C234" s="487" t="s">
        <v>2200</v>
      </c>
      <c r="D234" s="488" t="s">
        <v>300</v>
      </c>
      <c r="E234" s="489">
        <v>202.95</v>
      </c>
      <c r="F234" s="516" t="s">
        <v>293</v>
      </c>
      <c r="G234" s="232">
        <v>0</v>
      </c>
      <c r="H234" s="658" t="str">
        <f>IF(G234=0,"",IF(F234="Buy",IF(G234=1,"plant","plants"),IF(F234&gt;0.01,"warranty","Error")))</f>
        <v/>
      </c>
      <c r="I234" s="490">
        <f>IF(H234="free",0,IF(H234="credit",((E234*(F234))*G234*-1),IF(F234="Buy",(E234*G234),((E234*(1-F234))*G234))))</f>
        <v>0</v>
      </c>
      <c r="J234" s="490">
        <f>IF(H234="warranty",0,(I234*(_xlfn.SINGLE(SalesTaxPercentage))))</f>
        <v>0</v>
      </c>
      <c r="K234" s="695">
        <f t="shared" ref="K234" si="174">I234+J234</f>
        <v>0</v>
      </c>
      <c r="L234" s="695"/>
      <c r="M234" s="659" t="str">
        <f>IF(AND(G234&gt;0,E234=0),"WARNING - no PRICE inserted",IF(H234="free"," FREE ~ no charge this plant",IF(H234="credit",CONCATENATE(" -$",ROUND(K234*(1-T2GDiscount)*-1,2)," CREDIT after discount"),IF(T2GDiscount=0,"",IF(G234=0,"",IF(F234="Buy",CONCATENATE(" $",ROUND(K234*(1-T2GDiscount),2)," with ",(T2GDiscount*100),"% discount"),CONCATENATE(" $",ROUND(K234*(1-T2GDiscount),2)," with ",((T2GDiscount*100+F234*100)-(T2GDiscount*100*F234)),IF(F234&gt;0,"% discounts",IF(NoWarrantyDiscount&gt;0,"% discounts","% discount")))))))))</f>
        <v/>
      </c>
      <c r="N234" s="660"/>
      <c r="O234" s="233"/>
      <c r="P234" s="233"/>
      <c r="Q234" s="233"/>
      <c r="R234" s="233"/>
      <c r="S234" s="233"/>
      <c r="T234" s="508">
        <f t="shared" si="148"/>
        <v>0</v>
      </c>
      <c r="U234" s="225">
        <f>IF(NOT(ISNUMBER(G234)), "", VLOOKUP(A234,'Discount Lookup'!D:E,2,FALSE)*G234)</f>
        <v>0</v>
      </c>
      <c r="V234" s="225">
        <f>IF(NOT(ISNUMBER(G234)), "", VLOOKUP(A234,'Discount Lookup'!G:H,2,FALSE)*G234)</f>
        <v>0</v>
      </c>
      <c r="W234" s="508">
        <f t="shared" si="149"/>
        <v>0</v>
      </c>
      <c r="X234" s="508">
        <f t="shared" si="150"/>
        <v>0</v>
      </c>
      <c r="Y234" s="509" t="b">
        <f t="shared" si="151"/>
        <v>0</v>
      </c>
      <c r="Z234" s="510">
        <f t="shared" si="152"/>
        <v>0</v>
      </c>
      <c r="AA234" s="511"/>
      <c r="AB234" s="511" t="str">
        <f t="shared" si="153"/>
        <v/>
      </c>
      <c r="AC234" s="698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698"/>
      <c r="AE234" s="631" t="str">
        <f t="shared" si="154"/>
        <v/>
      </c>
      <c r="AF234" s="699" t="str">
        <f t="shared" si="155"/>
        <v/>
      </c>
      <c r="AG234" s="699"/>
      <c r="AH234" s="699"/>
      <c r="AI234" s="512">
        <f>IF(H234="credit",0,IF(AE234="free",0,IF(AE234="me",0,IF(G234&gt;0,(VLOOKUP(A234,'Discount Lookup'!J:K,2)*G234),0))))</f>
        <v>0</v>
      </c>
      <c r="AJ234" s="513" t="str">
        <f t="shared" ca="1" si="156"/>
        <v/>
      </c>
      <c r="AK234" s="700" t="str">
        <f t="shared" si="157"/>
        <v/>
      </c>
      <c r="AL234" s="700"/>
      <c r="AM234" s="505" t="str">
        <f t="shared" si="158"/>
        <v/>
      </c>
      <c r="AN234" s="506"/>
      <c r="AO234" s="507"/>
      <c r="AP234" s="507"/>
      <c r="AQ234" s="507"/>
      <c r="AR234" s="507"/>
      <c r="AS234" s="507"/>
      <c r="AT234" s="507"/>
      <c r="AU234" s="507"/>
      <c r="AV234" s="225"/>
      <c r="AW234" s="508"/>
      <c r="AX234" s="225"/>
      <c r="AY234" s="225"/>
      <c r="AZ234" s="225"/>
      <c r="BA234" s="225"/>
      <c r="BB234" s="225"/>
      <c r="BC234" s="56"/>
      <c r="BD234" s="56"/>
      <c r="BE234" s="56"/>
      <c r="BF234" s="107" t="str">
        <f t="shared" si="159"/>
        <v>https://www.google.com/search?tbm=isch&amp;q=10%20G6</v>
      </c>
      <c r="BG234" s="107" t="str">
        <f t="shared" si="160"/>
        <v>A</v>
      </c>
      <c r="BH234" s="254"/>
      <c r="BI234" s="254"/>
    </row>
    <row r="235" spans="1:61" customFormat="1" ht="15.75" x14ac:dyDescent="0.25">
      <c r="A235" s="485">
        <v>25</v>
      </c>
      <c r="B235" s="486" t="s">
        <v>291</v>
      </c>
      <c r="C235" s="487" t="s">
        <v>2201</v>
      </c>
      <c r="D235" s="488" t="s">
        <v>300</v>
      </c>
      <c r="E235" s="489">
        <v>458.95</v>
      </c>
      <c r="F235" s="516" t="s">
        <v>293</v>
      </c>
      <c r="G235" s="232">
        <v>0</v>
      </c>
      <c r="H235" s="658" t="str">
        <f>IF(G235=0,"",IF(F235="Buy",IF(G235=1,"plant","plants"),IF(F235&gt;0.01,"warranty","Error")))</f>
        <v/>
      </c>
      <c r="I235" s="490">
        <f>IF(H235="free",0,IF(H235="credit",((E235*(F235))*G235*-1),IF(F235="Buy",(E235*G235),((E235*(1-F235))*G235))))</f>
        <v>0</v>
      </c>
      <c r="J235" s="490">
        <f>IF(H235="warranty",0,(I235*(_xlfn.SINGLE(SalesTaxPercentage))))</f>
        <v>0</v>
      </c>
      <c r="K235" s="695">
        <f t="shared" ref="K235" si="175">I235+J235</f>
        <v>0</v>
      </c>
      <c r="L235" s="695"/>
      <c r="M235" s="659" t="str">
        <f>IF(AND(G235&gt;0,E235=0),"WARNING - no PRICE inserted",IF(H235="free"," FREE ~ no charge this plant",IF(H235="credit",CONCATENATE(" -$",ROUND(K235*(1-T2GDiscount)*-1,2)," CREDIT after discount"),IF(T2GDiscount=0,"",IF(G235=0,"",IF(F235="Buy",CONCATENATE(" $",ROUND(K235*(1-T2GDiscount),2)," with ",(T2GDiscount*100),"% discount"),CONCATENATE(" $",ROUND(K235*(1-T2GDiscount),2)," with ",((T2GDiscount*100+F235*100)-(T2GDiscount*100*F235)),IF(F235&gt;0,"% discounts",IF(NoWarrantyDiscount&gt;0,"% discounts","% discount")))))))))</f>
        <v/>
      </c>
      <c r="N235" s="660"/>
      <c r="O235" s="233"/>
      <c r="P235" s="233"/>
      <c r="Q235" s="233"/>
      <c r="R235" s="233"/>
      <c r="S235" s="233"/>
      <c r="T235" s="508">
        <f t="shared" si="148"/>
        <v>0</v>
      </c>
      <c r="U235" s="225">
        <f>IF(NOT(ISNUMBER(G235)), "", VLOOKUP(A235,'Discount Lookup'!D:E,2,FALSE)*G235)</f>
        <v>0</v>
      </c>
      <c r="V235" s="225">
        <f>IF(NOT(ISNUMBER(G235)), "", VLOOKUP(A235,'Discount Lookup'!G:H,2,FALSE)*G235)</f>
        <v>0</v>
      </c>
      <c r="W235" s="508">
        <f t="shared" si="149"/>
        <v>0</v>
      </c>
      <c r="X235" s="508">
        <f t="shared" si="150"/>
        <v>0</v>
      </c>
      <c r="Y235" s="509" t="b">
        <f t="shared" si="151"/>
        <v>0</v>
      </c>
      <c r="Z235" s="510">
        <f t="shared" si="152"/>
        <v>0</v>
      </c>
      <c r="AA235" s="511"/>
      <c r="AB235" s="511" t="str">
        <f t="shared" si="153"/>
        <v/>
      </c>
      <c r="AC235" s="698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698"/>
      <c r="AE235" s="631" t="str">
        <f t="shared" si="154"/>
        <v/>
      </c>
      <c r="AF235" s="699" t="str">
        <f t="shared" si="155"/>
        <v/>
      </c>
      <c r="AG235" s="699"/>
      <c r="AH235" s="699"/>
      <c r="AI235" s="512">
        <f>IF(H235="credit",0,IF(AE235="free",0,IF(AE235="me",0,IF(G235&gt;0,(VLOOKUP(A235,'Discount Lookup'!J:K,2)*G235),0))))</f>
        <v>0</v>
      </c>
      <c r="AJ235" s="513" t="str">
        <f t="shared" ca="1" si="156"/>
        <v/>
      </c>
      <c r="AK235" s="700" t="str">
        <f t="shared" si="157"/>
        <v/>
      </c>
      <c r="AL235" s="700"/>
      <c r="AM235" s="505" t="str">
        <f t="shared" si="158"/>
        <v/>
      </c>
      <c r="AN235" s="506"/>
      <c r="AO235" s="507"/>
      <c r="AP235" s="507"/>
      <c r="AQ235" s="507"/>
      <c r="AR235" s="507"/>
      <c r="AS235" s="507"/>
      <c r="AT235" s="507"/>
      <c r="AU235" s="507"/>
      <c r="AV235" s="225"/>
      <c r="AW235" s="508"/>
      <c r="AX235" s="225"/>
      <c r="AY235" s="225"/>
      <c r="AZ235" s="225"/>
      <c r="BA235" s="225"/>
      <c r="BB235" s="225"/>
      <c r="BC235" s="56"/>
      <c r="BD235" s="56"/>
      <c r="BE235" s="56"/>
      <c r="BF235" s="107" t="str">
        <f t="shared" si="159"/>
        <v>https://www.google.com/search?tbm=isch&amp;q=25%20G6</v>
      </c>
      <c r="BG235" s="107" t="str">
        <f t="shared" si="160"/>
        <v>A</v>
      </c>
      <c r="BH235" s="254"/>
      <c r="BI235" s="254"/>
    </row>
    <row r="236" spans="1:61" customFormat="1" ht="17.25" thickBot="1" x14ac:dyDescent="0.3">
      <c r="A236" s="522" t="s">
        <v>2662</v>
      </c>
      <c r="B236" s="491"/>
      <c r="C236" s="675"/>
      <c r="D236" s="491"/>
      <c r="E236" s="491"/>
      <c r="F236" s="492"/>
      <c r="G236" s="493"/>
      <c r="H236" s="491"/>
      <c r="I236" s="234"/>
      <c r="J236" s="234"/>
      <c r="K236" s="494"/>
      <c r="L236" s="543"/>
      <c r="M236" s="561"/>
      <c r="N236" s="495"/>
      <c r="O236" s="496"/>
      <c r="P236" s="497"/>
      <c r="Q236" s="495"/>
      <c r="R236" s="495"/>
      <c r="S236" s="667" t="s">
        <v>4986</v>
      </c>
      <c r="T236" s="508">
        <f t="shared" si="148"/>
        <v>0</v>
      </c>
      <c r="U236" s="225" t="str">
        <f>IF(NOT(ISNUMBER(G236)), "", VLOOKUP(A236,'Discount Lookup'!D:E,2,FALSE)*G236)</f>
        <v/>
      </c>
      <c r="V236" s="225" t="str">
        <f>IF(NOT(ISNUMBER(G236)), "", VLOOKUP(A236,'Discount Lookup'!G:H,2,FALSE)*G236)</f>
        <v/>
      </c>
      <c r="W236" s="508">
        <f t="shared" si="149"/>
        <v>0</v>
      </c>
      <c r="X236" s="508">
        <f t="shared" si="150"/>
        <v>0</v>
      </c>
      <c r="Y236" s="509" t="b">
        <f t="shared" si="151"/>
        <v>0</v>
      </c>
      <c r="Z236" s="510">
        <f t="shared" si="152"/>
        <v>0</v>
      </c>
      <c r="AA236" s="511"/>
      <c r="AB236" s="511" t="str">
        <f t="shared" si="153"/>
        <v/>
      </c>
      <c r="AC236" s="698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698"/>
      <c r="AE236" s="631" t="str">
        <f t="shared" si="154"/>
        <v/>
      </c>
      <c r="AF236" s="699" t="str">
        <f t="shared" si="155"/>
        <v/>
      </c>
      <c r="AG236" s="699"/>
      <c r="AH236" s="699"/>
      <c r="AI236" s="512">
        <f>IF(H236="credit",0,IF(AE236="free",0,IF(AE236="me",0,IF(G236&gt;0,(VLOOKUP(A236,'Discount Lookup'!J:K,2)*G236),0))))</f>
        <v>0</v>
      </c>
      <c r="AJ236" s="513" t="str">
        <f t="shared" ca="1" si="156"/>
        <v/>
      </c>
      <c r="AK236" s="700" t="str">
        <f t="shared" si="157"/>
        <v/>
      </c>
      <c r="AL236" s="700"/>
      <c r="AM236" s="505" t="str">
        <f t="shared" si="158"/>
        <v/>
      </c>
      <c r="AN236" s="506"/>
      <c r="AO236" s="507"/>
      <c r="AP236" s="507"/>
      <c r="AQ236" s="507"/>
      <c r="AR236" s="507"/>
      <c r="AS236" s="507"/>
      <c r="AT236" s="507"/>
      <c r="AU236" s="507"/>
      <c r="AV236" s="225"/>
      <c r="AW236" s="508"/>
      <c r="AX236" s="225"/>
      <c r="AY236" s="225"/>
      <c r="AZ236" s="225"/>
      <c r="BA236" s="225"/>
      <c r="BB236" s="225"/>
      <c r="BC236" s="56"/>
      <c r="BD236" s="56"/>
      <c r="BE236" s="56"/>
      <c r="BF236" s="107" t="str">
        <f t="shared" si="159"/>
        <v>https://www.google.com/search?tbm=isch&amp;q=Autumn%20Rocket%20produces%20anemone-style%20blooms%20from%20Pinkish%20buds%20in%20fall%2C%20atop%20glossy%20foliage%20in%20a%20columnar%20form.%20Mild%20fragrance%20</v>
      </c>
      <c r="BG236" s="107" t="str">
        <f t="shared" si="160"/>
        <v>A</v>
      </c>
      <c r="BH236" s="254"/>
      <c r="BI236" s="254"/>
    </row>
    <row r="237" spans="1:61" customFormat="1" ht="18" x14ac:dyDescent="0.25">
      <c r="A237" s="521" t="s">
        <v>5328</v>
      </c>
      <c r="B237" s="477"/>
      <c r="C237" s="674"/>
      <c r="D237" s="478" t="s">
        <v>5329</v>
      </c>
      <c r="E237" s="479"/>
      <c r="F237" s="479"/>
      <c r="G237" s="479"/>
      <c r="H237" s="582" t="s">
        <v>2553</v>
      </c>
      <c r="I237" s="480" t="s">
        <v>1531</v>
      </c>
      <c r="J237" s="479"/>
      <c r="K237" s="479"/>
      <c r="L237" s="560"/>
      <c r="M237" s="666" t="s">
        <v>4966</v>
      </c>
      <c r="N237" s="680" t="str">
        <f>IF(AND(ISTEXT($A237), ISERROR($A237+0)), HYPERLINK($BF237, "Images"), "")</f>
        <v>Images</v>
      </c>
      <c r="O237" s="662" t="s">
        <v>4974</v>
      </c>
      <c r="P237" s="482"/>
      <c r="Q237" s="483"/>
      <c r="R237" s="483"/>
      <c r="S237" s="484"/>
      <c r="T237" s="508">
        <f t="shared" si="148"/>
        <v>0</v>
      </c>
      <c r="U237" s="225" t="str">
        <f>IF(NOT(ISNUMBER(G237)), "", VLOOKUP(A237,'Discount Lookup'!D:E,2,FALSE)*G237)</f>
        <v/>
      </c>
      <c r="V237" s="225" t="str">
        <f>IF(NOT(ISNUMBER(G237)), "", VLOOKUP(A237,'Discount Lookup'!G:H,2,FALSE)*G237)</f>
        <v/>
      </c>
      <c r="W237" s="508">
        <f t="shared" si="149"/>
        <v>0</v>
      </c>
      <c r="X237" s="508" t="str">
        <f t="shared" si="150"/>
        <v>Magenta Pink bloom</v>
      </c>
      <c r="Y237" s="509" t="b">
        <f t="shared" si="151"/>
        <v>0</v>
      </c>
      <c r="Z237" s="510">
        <f t="shared" si="152"/>
        <v>0</v>
      </c>
      <c r="AA237" s="511"/>
      <c r="AB237" s="511" t="str">
        <f t="shared" si="153"/>
        <v/>
      </c>
      <c r="AC237" s="698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698"/>
      <c r="AE237" s="631" t="str">
        <f t="shared" si="154"/>
        <v/>
      </c>
      <c r="AF237" s="699" t="str">
        <f t="shared" si="155"/>
        <v/>
      </c>
      <c r="AG237" s="699"/>
      <c r="AH237" s="699"/>
      <c r="AI237" s="512">
        <f>IF(H237="credit",0,IF(AE237="free",0,IF(AE237="me",0,IF(G237&gt;0,(VLOOKUP(A237,'Discount Lookup'!J:K,2)*G237),0))))</f>
        <v>0</v>
      </c>
      <c r="AJ237" s="513" t="str">
        <f t="shared" ca="1" si="156"/>
        <v/>
      </c>
      <c r="AK237" s="700" t="str">
        <f t="shared" si="157"/>
        <v/>
      </c>
      <c r="AL237" s="700"/>
      <c r="AM237" s="505" t="str">
        <f t="shared" si="158"/>
        <v/>
      </c>
      <c r="AN237" s="506"/>
      <c r="AO237" s="507"/>
      <c r="AP237" s="507"/>
      <c r="AQ237" s="507"/>
      <c r="AR237" s="507"/>
      <c r="AS237" s="507"/>
      <c r="AT237" s="507"/>
      <c r="AU237" s="507"/>
      <c r="AV237" s="225"/>
      <c r="AW237" s="508"/>
      <c r="AX237" s="225"/>
      <c r="AY237" s="225"/>
      <c r="AZ237" s="225"/>
      <c r="BA237" s="225"/>
      <c r="BB237" s="225"/>
      <c r="BC237" s="56"/>
      <c r="BD237" s="56"/>
      <c r="BE237" s="56"/>
      <c r="BF237" s="107" t="str">
        <f t="shared" si="159"/>
        <v>https://www.google.com/search?tbm=isch&amp;q=Autumn%20Rouge%C2%AE%20Encore%C2%AE%20Azalea%20Rhod.%20Encore%C2%AE%20%27Conlea%27%20PP%2310438</v>
      </c>
      <c r="BG237" s="107" t="str">
        <f t="shared" si="160"/>
        <v>A</v>
      </c>
      <c r="BH237" s="254"/>
      <c r="BI237" s="254"/>
    </row>
    <row r="238" spans="1:61" customFormat="1" ht="15.75" x14ac:dyDescent="0.25">
      <c r="A238" s="485">
        <v>3</v>
      </c>
      <c r="B238" s="486" t="s">
        <v>291</v>
      </c>
      <c r="C238" s="487" t="s">
        <v>2713</v>
      </c>
      <c r="D238" s="488" t="s">
        <v>312</v>
      </c>
      <c r="E238" s="489">
        <v>29.95</v>
      </c>
      <c r="F238" s="516" t="s">
        <v>293</v>
      </c>
      <c r="G238" s="232">
        <v>0</v>
      </c>
      <c r="H238" s="658" t="str">
        <f>IF(G238=0,"",IF(F238="Buy",IF(G238=1,"plant","plants"),IF(F238&gt;0.01,"warranty","Error")))</f>
        <v/>
      </c>
      <c r="I238" s="490">
        <f>IF(H238="free",0,IF(H238="credit",((E238*(F238))*G238*-1),IF(F238="Buy",(E238*G238),((E238*(1-F238))*G238))))</f>
        <v>0</v>
      </c>
      <c r="J238" s="490">
        <f>IF(H238="warranty",0,(I238*(_xlfn.SINGLE(SalesTaxPercentage))))</f>
        <v>0</v>
      </c>
      <c r="K238" s="695">
        <f t="shared" ref="K238" si="176">I238+J238</f>
        <v>0</v>
      </c>
      <c r="L238" s="695"/>
      <c r="M238" s="659" t="str">
        <f>IF(AND(G238&gt;0,E238=0),"WARNING - no PRICE inserted",IF(H238="free"," FREE ~ no charge this plant",IF(H238="credit",CONCATENATE(" -$",ROUND(K238*(1-T2GDiscount)*-1,2)," CREDIT after discount"),IF(T2GDiscount=0,"",IF(G238=0,"",IF(F238="Buy",CONCATENATE(" $",ROUND(K238*(1-T2GDiscount),2)," with ",(T2GDiscount*100),"% discount"),CONCATENATE(" $",ROUND(K238*(1-T2GDiscount),2)," with ",((T2GDiscount*100+F238*100)-(T2GDiscount*100*F238)),IF(F238&gt;0,"% discounts",IF(NoWarrantyDiscount&gt;0,"% discounts","% discount")))))))))</f>
        <v/>
      </c>
      <c r="N238" s="660"/>
      <c r="O238" s="233"/>
      <c r="P238" s="233"/>
      <c r="Q238" s="233"/>
      <c r="R238" s="233"/>
      <c r="S238" s="233"/>
      <c r="T238" s="508">
        <f t="shared" si="148"/>
        <v>0</v>
      </c>
      <c r="U238" s="225">
        <f>IF(NOT(ISNUMBER(G238)), "", VLOOKUP(A238,'Discount Lookup'!D:E,2,FALSE)*G238)</f>
        <v>0</v>
      </c>
      <c r="V238" s="225">
        <f>IF(NOT(ISNUMBER(G238)), "", VLOOKUP(A238,'Discount Lookup'!G:H,2,FALSE)*G238)</f>
        <v>0</v>
      </c>
      <c r="W238" s="508">
        <f t="shared" si="149"/>
        <v>0</v>
      </c>
      <c r="X238" s="508">
        <f t="shared" si="150"/>
        <v>0</v>
      </c>
      <c r="Y238" s="509" t="b">
        <f t="shared" si="151"/>
        <v>0</v>
      </c>
      <c r="Z238" s="510">
        <f t="shared" si="152"/>
        <v>0</v>
      </c>
      <c r="AA238" s="511"/>
      <c r="AB238" s="511" t="str">
        <f t="shared" si="153"/>
        <v/>
      </c>
      <c r="AC238" s="698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698"/>
      <c r="AE238" s="631" t="str">
        <f t="shared" si="154"/>
        <v/>
      </c>
      <c r="AF238" s="699" t="str">
        <f t="shared" si="155"/>
        <v/>
      </c>
      <c r="AG238" s="699"/>
      <c r="AH238" s="699"/>
      <c r="AI238" s="512">
        <f>IF(H238="credit",0,IF(AE238="free",0,IF(AE238="me",0,IF(G238&gt;0,(VLOOKUP(A238,'Discount Lookup'!J:K,2)*G238),0))))</f>
        <v>0</v>
      </c>
      <c r="AJ238" s="513" t="str">
        <f t="shared" ca="1" si="156"/>
        <v/>
      </c>
      <c r="AK238" s="700" t="str">
        <f t="shared" si="157"/>
        <v/>
      </c>
      <c r="AL238" s="700"/>
      <c r="AM238" s="505" t="str">
        <f t="shared" si="158"/>
        <v/>
      </c>
      <c r="AN238" s="506"/>
      <c r="AO238" s="507"/>
      <c r="AP238" s="507"/>
      <c r="AQ238" s="507"/>
      <c r="AR238" s="507"/>
      <c r="AS238" s="507"/>
      <c r="AT238" s="507"/>
      <c r="AU238" s="507"/>
      <c r="AV238" s="225"/>
      <c r="AW238" s="508"/>
      <c r="AX238" s="225"/>
      <c r="AY238" s="225"/>
      <c r="AZ238" s="225"/>
      <c r="BA238" s="225"/>
      <c r="BB238" s="225"/>
      <c r="BC238" s="56"/>
      <c r="BD238" s="56"/>
      <c r="BE238" s="56"/>
      <c r="BF238" s="107" t="str">
        <f t="shared" si="159"/>
        <v>https://www.google.com/search?tbm=isch&amp;q=3%20G2</v>
      </c>
      <c r="BG238" s="107" t="str">
        <f t="shared" si="160"/>
        <v>A</v>
      </c>
      <c r="BH238" s="254"/>
      <c r="BI238" s="254"/>
    </row>
    <row r="239" spans="1:61" customFormat="1" ht="17.25" thickBot="1" x14ac:dyDescent="0.3">
      <c r="A239" s="522" t="s">
        <v>2661</v>
      </c>
      <c r="B239" s="491"/>
      <c r="C239" s="675"/>
      <c r="D239" s="491"/>
      <c r="E239" s="491"/>
      <c r="F239" s="492"/>
      <c r="G239" s="493"/>
      <c r="H239" s="491"/>
      <c r="I239" s="234"/>
      <c r="J239" s="234"/>
      <c r="K239" s="494"/>
      <c r="L239" s="543"/>
      <c r="M239" s="561"/>
      <c r="N239" s="495"/>
      <c r="O239" s="496"/>
      <c r="P239" s="497"/>
      <c r="Q239" s="495"/>
      <c r="R239" s="495"/>
      <c r="S239" s="667" t="s">
        <v>4988</v>
      </c>
      <c r="T239" s="508">
        <f t="shared" si="148"/>
        <v>0</v>
      </c>
      <c r="U239" s="225" t="str">
        <f>IF(NOT(ISNUMBER(G239)), "", VLOOKUP(A239,'Discount Lookup'!D:E,2,FALSE)*G239)</f>
        <v/>
      </c>
      <c r="V239" s="225" t="str">
        <f>IF(NOT(ISNUMBER(G239)), "", VLOOKUP(A239,'Discount Lookup'!G:H,2,FALSE)*G239)</f>
        <v/>
      </c>
      <c r="W239" s="508">
        <f t="shared" si="149"/>
        <v>0</v>
      </c>
      <c r="X239" s="508">
        <f t="shared" si="150"/>
        <v>0</v>
      </c>
      <c r="Y239" s="509" t="b">
        <f t="shared" si="151"/>
        <v>0</v>
      </c>
      <c r="Z239" s="510">
        <f t="shared" si="152"/>
        <v>0</v>
      </c>
      <c r="AA239" s="511"/>
      <c r="AB239" s="511" t="str">
        <f t="shared" si="153"/>
        <v/>
      </c>
      <c r="AC239" s="698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698"/>
      <c r="AE239" s="631" t="str">
        <f t="shared" si="154"/>
        <v/>
      </c>
      <c r="AF239" s="699" t="str">
        <f t="shared" si="155"/>
        <v/>
      </c>
      <c r="AG239" s="699"/>
      <c r="AH239" s="699"/>
      <c r="AI239" s="512">
        <f>IF(H239="credit",0,IF(AE239="free",0,IF(AE239="me",0,IF(G239&gt;0,(VLOOKUP(A239,'Discount Lookup'!J:K,2)*G239),0))))</f>
        <v>0</v>
      </c>
      <c r="AJ239" s="513" t="str">
        <f t="shared" ca="1" si="156"/>
        <v/>
      </c>
      <c r="AK239" s="700" t="str">
        <f t="shared" si="157"/>
        <v/>
      </c>
      <c r="AL239" s="700"/>
      <c r="AM239" s="505" t="str">
        <f t="shared" si="158"/>
        <v/>
      </c>
      <c r="AN239" s="506"/>
      <c r="AO239" s="507"/>
      <c r="AP239" s="507"/>
      <c r="AQ239" s="507"/>
      <c r="AR239" s="507"/>
      <c r="AS239" s="507"/>
      <c r="AT239" s="507"/>
      <c r="AU239" s="507"/>
      <c r="AV239" s="225"/>
      <c r="AW239" s="508"/>
      <c r="AX239" s="225"/>
      <c r="AY239" s="225"/>
      <c r="AZ239" s="225"/>
      <c r="BA239" s="225"/>
      <c r="BB239" s="225"/>
      <c r="BC239" s="56"/>
      <c r="BD239" s="56"/>
      <c r="BE239" s="56"/>
      <c r="BF239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39" s="107" t="str">
        <f t="shared" si="160"/>
        <v>A</v>
      </c>
      <c r="BH239" s="254"/>
      <c r="BI239" s="254"/>
    </row>
    <row r="240" spans="1:61" customFormat="1" ht="18" x14ac:dyDescent="0.25">
      <c r="A240" s="521" t="s">
        <v>5330</v>
      </c>
      <c r="B240" s="477"/>
      <c r="C240" s="674"/>
      <c r="D240" s="478" t="s">
        <v>5331</v>
      </c>
      <c r="E240" s="479"/>
      <c r="F240" s="479"/>
      <c r="G240" s="479"/>
      <c r="H240" s="582" t="s">
        <v>2582</v>
      </c>
      <c r="I240" s="480" t="s">
        <v>2591</v>
      </c>
      <c r="J240" s="479"/>
      <c r="K240" s="479"/>
      <c r="L240" s="560"/>
      <c r="M240" s="666" t="s">
        <v>4966</v>
      </c>
      <c r="N240" s="680" t="str">
        <f>IF(AND(ISTEXT($A240), ISERROR($A240+0)), HYPERLINK($BF240, "Images"), "")</f>
        <v>Images</v>
      </c>
      <c r="O240" s="662" t="s">
        <v>4974</v>
      </c>
      <c r="P240" s="482"/>
      <c r="Q240" s="483"/>
      <c r="R240" s="483"/>
      <c r="S240" s="484"/>
      <c r="T240" s="508">
        <f t="shared" si="148"/>
        <v>0</v>
      </c>
      <c r="U240" s="225" t="str">
        <f>IF(NOT(ISNUMBER(G240)), "", VLOOKUP(A240,'Discount Lookup'!D:E,2,FALSE)*G240)</f>
        <v/>
      </c>
      <c r="V240" s="225" t="str">
        <f>IF(NOT(ISNUMBER(G240)), "", VLOOKUP(A240,'Discount Lookup'!G:H,2,FALSE)*G240)</f>
        <v/>
      </c>
      <c r="W240" s="508">
        <f t="shared" si="149"/>
        <v>0</v>
      </c>
      <c r="X240" s="508" t="str">
        <f t="shared" si="150"/>
        <v>Royal Purple bloom</v>
      </c>
      <c r="Y240" s="509" t="b">
        <f t="shared" si="151"/>
        <v>0</v>
      </c>
      <c r="Z240" s="510">
        <f t="shared" si="152"/>
        <v>0</v>
      </c>
      <c r="AA240" s="511"/>
      <c r="AB240" s="511" t="str">
        <f t="shared" si="153"/>
        <v/>
      </c>
      <c r="AC240" s="698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698"/>
      <c r="AE240" s="631" t="str">
        <f t="shared" si="154"/>
        <v/>
      </c>
      <c r="AF240" s="699" t="str">
        <f t="shared" si="155"/>
        <v/>
      </c>
      <c r="AG240" s="699"/>
      <c r="AH240" s="699"/>
      <c r="AI240" s="512">
        <f>IF(H240="credit",0,IF(AE240="free",0,IF(AE240="me",0,IF(G240&gt;0,(VLOOKUP(A240,'Discount Lookup'!J:K,2)*G240),0))))</f>
        <v>0</v>
      </c>
      <c r="AJ240" s="513" t="str">
        <f t="shared" ca="1" si="156"/>
        <v/>
      </c>
      <c r="AK240" s="700" t="str">
        <f t="shared" si="157"/>
        <v/>
      </c>
      <c r="AL240" s="700"/>
      <c r="AM240" s="505" t="str">
        <f t="shared" si="158"/>
        <v/>
      </c>
      <c r="AN240" s="506"/>
      <c r="AO240" s="507"/>
      <c r="AP240" s="507"/>
      <c r="AQ240" s="507"/>
      <c r="AR240" s="507"/>
      <c r="AS240" s="507"/>
      <c r="AT240" s="507"/>
      <c r="AU240" s="507"/>
      <c r="AV240" s="225"/>
      <c r="AW240" s="508"/>
      <c r="AX240" s="225"/>
      <c r="AY240" s="225"/>
      <c r="AZ240" s="225"/>
      <c r="BA240" s="225"/>
      <c r="BB240" s="225"/>
      <c r="BC240" s="56"/>
      <c r="BD240" s="56"/>
      <c r="BE240" s="56"/>
      <c r="BF240" s="107" t="str">
        <f t="shared" si="159"/>
        <v>https://www.google.com/search?tbm=isch&amp;q=Autumn%20Royalty%C2%AE%20Encore%C2%AE%20Azalea%20Rhod.%20Encore%C2%AE%20%27Conlec%27%20PP%2310580</v>
      </c>
      <c r="BG240" s="107" t="str">
        <f t="shared" si="160"/>
        <v>A</v>
      </c>
      <c r="BH240" s="254"/>
      <c r="BI240" s="254"/>
    </row>
    <row r="241" spans="1:61" customFormat="1" ht="15.75" x14ac:dyDescent="0.25">
      <c r="A241" s="485">
        <v>3</v>
      </c>
      <c r="B241" s="486" t="s">
        <v>291</v>
      </c>
      <c r="C241" s="487" t="s">
        <v>4850</v>
      </c>
      <c r="D241" s="488" t="s">
        <v>312</v>
      </c>
      <c r="E241" s="489">
        <v>29.95</v>
      </c>
      <c r="F241" s="516" t="s">
        <v>293</v>
      </c>
      <c r="G241" s="232">
        <v>0</v>
      </c>
      <c r="H241" s="658" t="str">
        <f>IF(G241=0,"",IF(F241="Buy",IF(G241=1,"plant","plants"),IF(F241&gt;0.01,"warranty","Error")))</f>
        <v/>
      </c>
      <c r="I241" s="490">
        <f>IF(H241="free",0,IF(H241="credit",((E241*(F241))*G241*-1),IF(F241="Buy",(E241*G241),((E241*(1-F241))*G241))))</f>
        <v>0</v>
      </c>
      <c r="J241" s="490">
        <f>IF(H241="warranty",0,(I241*(_xlfn.SINGLE(SalesTaxPercentage))))</f>
        <v>0</v>
      </c>
      <c r="K241" s="695">
        <f t="shared" ref="K241" si="177">I241+J241</f>
        <v>0</v>
      </c>
      <c r="L241" s="695"/>
      <c r="M241" s="659" t="str">
        <f>IF(AND(G241&gt;0,E241=0),"WARNING - no PRICE inserted",IF(H241="free"," FREE ~ no charge this plant",IF(H241="credit",CONCATENATE(" -$",ROUND(K241*(1-T2GDiscount)*-1,2)," CREDIT after discount"),IF(T2GDiscount=0,"",IF(G241=0,"",IF(F241="Buy",CONCATENATE(" $",ROUND(K241*(1-T2GDiscount),2)," with ",(T2GDiscount*100),"% discount"),CONCATENATE(" $",ROUND(K241*(1-T2GDiscount),2)," with ",((T2GDiscount*100+F241*100)-(T2GDiscount*100*F241)),IF(F241&gt;0,"% discounts",IF(NoWarrantyDiscount&gt;0,"% discounts","% discount")))))))))</f>
        <v/>
      </c>
      <c r="N241" s="660"/>
      <c r="O241" s="233"/>
      <c r="P241" s="233"/>
      <c r="Q241" s="233"/>
      <c r="R241" s="233"/>
      <c r="S241" s="233"/>
      <c r="T241" s="508">
        <f t="shared" si="148"/>
        <v>0</v>
      </c>
      <c r="U241" s="225">
        <f>IF(NOT(ISNUMBER(G241)), "", VLOOKUP(A241,'Discount Lookup'!D:E,2,FALSE)*G241)</f>
        <v>0</v>
      </c>
      <c r="V241" s="225">
        <f>IF(NOT(ISNUMBER(G241)), "", VLOOKUP(A241,'Discount Lookup'!G:H,2,FALSE)*G241)</f>
        <v>0</v>
      </c>
      <c r="W241" s="508">
        <f t="shared" si="149"/>
        <v>0</v>
      </c>
      <c r="X241" s="508">
        <f t="shared" si="150"/>
        <v>0</v>
      </c>
      <c r="Y241" s="509" t="b">
        <f t="shared" si="151"/>
        <v>0</v>
      </c>
      <c r="Z241" s="510">
        <f t="shared" si="152"/>
        <v>0</v>
      </c>
      <c r="AA241" s="511"/>
      <c r="AB241" s="511" t="str">
        <f t="shared" si="153"/>
        <v/>
      </c>
      <c r="AC241" s="698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698"/>
      <c r="AE241" s="631" t="str">
        <f t="shared" si="154"/>
        <v/>
      </c>
      <c r="AF241" s="699" t="str">
        <f t="shared" si="155"/>
        <v/>
      </c>
      <c r="AG241" s="699"/>
      <c r="AH241" s="699"/>
      <c r="AI241" s="512">
        <f>IF(H241="credit",0,IF(AE241="free",0,IF(AE241="me",0,IF(G241&gt;0,(VLOOKUP(A241,'Discount Lookup'!J:K,2)*G241),0))))</f>
        <v>0</v>
      </c>
      <c r="AJ241" s="513" t="str">
        <f t="shared" ca="1" si="156"/>
        <v/>
      </c>
      <c r="AK241" s="700" t="str">
        <f t="shared" si="157"/>
        <v/>
      </c>
      <c r="AL241" s="700"/>
      <c r="AM241" s="505" t="str">
        <f t="shared" si="158"/>
        <v/>
      </c>
      <c r="AN241" s="506"/>
      <c r="AO241" s="507"/>
      <c r="AP241" s="507"/>
      <c r="AQ241" s="507"/>
      <c r="AR241" s="507"/>
      <c r="AS241" s="507"/>
      <c r="AT241" s="507"/>
      <c r="AU241" s="507"/>
      <c r="AV241" s="225"/>
      <c r="AW241" s="508"/>
      <c r="AX241" s="225"/>
      <c r="AY241" s="225"/>
      <c r="AZ241" s="225"/>
      <c r="BA241" s="225"/>
      <c r="BB241" s="225"/>
      <c r="BC241" s="56"/>
      <c r="BD241" s="56"/>
      <c r="BE241" s="56"/>
      <c r="BF241" s="107" t="str">
        <f t="shared" si="159"/>
        <v>https://www.google.com/search?tbm=isch&amp;q=3%20G2</v>
      </c>
      <c r="BG241" s="107" t="str">
        <f t="shared" si="160"/>
        <v>A</v>
      </c>
      <c r="BH241" s="254"/>
      <c r="BI241" s="254"/>
    </row>
    <row r="242" spans="1:61" customFormat="1" ht="15.75" x14ac:dyDescent="0.25">
      <c r="A242" s="485">
        <v>3</v>
      </c>
      <c r="B242" s="486" t="s">
        <v>291</v>
      </c>
      <c r="C242" s="487" t="s">
        <v>4481</v>
      </c>
      <c r="D242" s="488" t="s">
        <v>299</v>
      </c>
      <c r="E242" s="489">
        <v>45.95</v>
      </c>
      <c r="F242" s="516" t="s">
        <v>293</v>
      </c>
      <c r="G242" s="232">
        <v>0</v>
      </c>
      <c r="H242" s="658" t="str">
        <f>IF(G242=0,"",IF(F242="Buy",IF(G242=1,"plant","plants"),IF(F242&gt;0.01,"warranty","Error")))</f>
        <v/>
      </c>
      <c r="I242" s="490">
        <f>IF(H242="free",0,IF(H242="credit",((E242*(F242))*G242*-1),IF(F242="Buy",(E242*G242),((E242*(1-F242))*G242))))</f>
        <v>0</v>
      </c>
      <c r="J242" s="490">
        <f>IF(H242="warranty",0,(I242*(_xlfn.SINGLE(SalesTaxPercentage))))</f>
        <v>0</v>
      </c>
      <c r="K242" s="695">
        <f t="shared" ref="K242" si="178">I242+J242</f>
        <v>0</v>
      </c>
      <c r="L242" s="695"/>
      <c r="M242" s="659" t="str">
        <f>IF(AND(G242&gt;0,E242=0),"WARNING - no PRICE inserted",IF(H242="free"," FREE ~ no charge this plant",IF(H242="credit",CONCATENATE(" -$",ROUND(K242*(1-T2GDiscount)*-1,2)," CREDIT after discount"),IF(T2GDiscount=0,"",IF(G242=0,"",IF(F242="Buy",CONCATENATE(" $",ROUND(K242*(1-T2GDiscount),2)," with ",(T2GDiscount*100),"% discount"),CONCATENATE(" $",ROUND(K242*(1-T2GDiscount),2)," with ",((T2GDiscount*100+F242*100)-(T2GDiscount*100*F242)),IF(F242&gt;0,"% discounts",IF(NoWarrantyDiscount&gt;0,"% discounts","% discount")))))))))</f>
        <v/>
      </c>
      <c r="N242" s="660"/>
      <c r="O242" s="233"/>
      <c r="P242" s="233"/>
      <c r="Q242" s="233"/>
      <c r="R242" s="233"/>
      <c r="S242" s="233"/>
      <c r="T242" s="508">
        <f t="shared" si="148"/>
        <v>0</v>
      </c>
      <c r="U242" s="225">
        <f>IF(NOT(ISNUMBER(G242)), "", VLOOKUP(A242,'Discount Lookup'!D:E,2,FALSE)*G242)</f>
        <v>0</v>
      </c>
      <c r="V242" s="225">
        <f>IF(NOT(ISNUMBER(G242)), "", VLOOKUP(A242,'Discount Lookup'!G:H,2,FALSE)*G242)</f>
        <v>0</v>
      </c>
      <c r="W242" s="508">
        <f t="shared" si="149"/>
        <v>0</v>
      </c>
      <c r="X242" s="508">
        <f t="shared" si="150"/>
        <v>0</v>
      </c>
      <c r="Y242" s="509" t="b">
        <f t="shared" si="151"/>
        <v>0</v>
      </c>
      <c r="Z242" s="510">
        <f t="shared" si="152"/>
        <v>0</v>
      </c>
      <c r="AA242" s="511"/>
      <c r="AB242" s="511" t="str">
        <f t="shared" si="153"/>
        <v/>
      </c>
      <c r="AC242" s="698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698"/>
      <c r="AE242" s="631" t="str">
        <f t="shared" si="154"/>
        <v/>
      </c>
      <c r="AF242" s="699" t="str">
        <f t="shared" si="155"/>
        <v/>
      </c>
      <c r="AG242" s="699"/>
      <c r="AH242" s="699"/>
      <c r="AI242" s="512">
        <f>IF(H242="credit",0,IF(AE242="free",0,IF(AE242="me",0,IF(G242&gt;0,(VLOOKUP(A242,'Discount Lookup'!J:K,2)*G242),0))))</f>
        <v>0</v>
      </c>
      <c r="AJ242" s="513" t="str">
        <f t="shared" ca="1" si="156"/>
        <v/>
      </c>
      <c r="AK242" s="700" t="str">
        <f t="shared" si="157"/>
        <v/>
      </c>
      <c r="AL242" s="700"/>
      <c r="AM242" s="505" t="str">
        <f t="shared" si="158"/>
        <v/>
      </c>
      <c r="AN242" s="506"/>
      <c r="AO242" s="507"/>
      <c r="AP242" s="507"/>
      <c r="AQ242" s="507"/>
      <c r="AR242" s="507"/>
      <c r="AS242" s="507"/>
      <c r="AT242" s="507"/>
      <c r="AU242" s="507"/>
      <c r="AV242" s="225"/>
      <c r="AW242" s="508"/>
      <c r="AX242" s="225"/>
      <c r="AY242" s="225"/>
      <c r="AZ242" s="225"/>
      <c r="BA242" s="225"/>
      <c r="BB242" s="225"/>
      <c r="BC242" s="56"/>
      <c r="BD242" s="56"/>
      <c r="BE242" s="56"/>
      <c r="BF242" s="107" t="str">
        <f t="shared" si="159"/>
        <v>https://www.google.com/search?tbm=isch&amp;q=3%20G5</v>
      </c>
      <c r="BG242" s="107" t="str">
        <f t="shared" si="160"/>
        <v>A</v>
      </c>
      <c r="BH242" s="254"/>
      <c r="BI242" s="254"/>
    </row>
    <row r="243" spans="1:61" customFormat="1" ht="17.25" thickBot="1" x14ac:dyDescent="0.3">
      <c r="A243" s="522" t="s">
        <v>2661</v>
      </c>
      <c r="B243" s="491"/>
      <c r="C243" s="675"/>
      <c r="D243" s="491"/>
      <c r="E243" s="491"/>
      <c r="F243" s="492"/>
      <c r="G243" s="493"/>
      <c r="H243" s="491"/>
      <c r="I243" s="234"/>
      <c r="J243" s="234"/>
      <c r="K243" s="494"/>
      <c r="L243" s="543"/>
      <c r="M243" s="561"/>
      <c r="N243" s="495"/>
      <c r="O243" s="496"/>
      <c r="P243" s="497"/>
      <c r="Q243" s="495"/>
      <c r="R243" s="495"/>
      <c r="S243" s="667" t="s">
        <v>4988</v>
      </c>
      <c r="T243" s="508">
        <f t="shared" si="148"/>
        <v>0</v>
      </c>
      <c r="U243" s="225" t="str">
        <f>IF(NOT(ISNUMBER(G243)), "", VLOOKUP(A243,'Discount Lookup'!D:E,2,FALSE)*G243)</f>
        <v/>
      </c>
      <c r="V243" s="225" t="str">
        <f>IF(NOT(ISNUMBER(G243)), "", VLOOKUP(A243,'Discount Lookup'!G:H,2,FALSE)*G243)</f>
        <v/>
      </c>
      <c r="W243" s="508">
        <f t="shared" si="149"/>
        <v>0</v>
      </c>
      <c r="X243" s="508">
        <f t="shared" si="150"/>
        <v>0</v>
      </c>
      <c r="Y243" s="509" t="b">
        <f t="shared" si="151"/>
        <v>0</v>
      </c>
      <c r="Z243" s="510">
        <f t="shared" si="152"/>
        <v>0</v>
      </c>
      <c r="AA243" s="511"/>
      <c r="AB243" s="511" t="str">
        <f t="shared" si="153"/>
        <v/>
      </c>
      <c r="AC243" s="698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698"/>
      <c r="AE243" s="631" t="str">
        <f t="shared" si="154"/>
        <v/>
      </c>
      <c r="AF243" s="699" t="str">
        <f t="shared" si="155"/>
        <v/>
      </c>
      <c r="AG243" s="699"/>
      <c r="AH243" s="699"/>
      <c r="AI243" s="512">
        <f>IF(H243="credit",0,IF(AE243="free",0,IF(AE243="me",0,IF(G243&gt;0,(VLOOKUP(A243,'Discount Lookup'!J:K,2)*G243),0))))</f>
        <v>0</v>
      </c>
      <c r="AJ243" s="513" t="str">
        <f t="shared" ca="1" si="156"/>
        <v/>
      </c>
      <c r="AK243" s="700" t="str">
        <f t="shared" si="157"/>
        <v/>
      </c>
      <c r="AL243" s="700"/>
      <c r="AM243" s="505" t="str">
        <f t="shared" si="158"/>
        <v/>
      </c>
      <c r="AN243" s="506"/>
      <c r="AO243" s="507"/>
      <c r="AP243" s="507"/>
      <c r="AQ243" s="507"/>
      <c r="AR243" s="507"/>
      <c r="AS243" s="507"/>
      <c r="AT243" s="507"/>
      <c r="AU243" s="507"/>
      <c r="AV243" s="225"/>
      <c r="AW243" s="508"/>
      <c r="AX243" s="225"/>
      <c r="AY243" s="225"/>
      <c r="AZ243" s="225"/>
      <c r="BA243" s="225"/>
      <c r="BB243" s="225"/>
      <c r="BC243" s="56"/>
      <c r="BD243" s="56"/>
      <c r="BE243" s="56"/>
      <c r="BF243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43" s="107" t="str">
        <f t="shared" si="160"/>
        <v>A</v>
      </c>
      <c r="BH243" s="254"/>
      <c r="BI243" s="254"/>
    </row>
    <row r="244" spans="1:61" customFormat="1" ht="18" x14ac:dyDescent="0.25">
      <c r="A244" s="521" t="s">
        <v>5332</v>
      </c>
      <c r="B244" s="477"/>
      <c r="C244" s="674"/>
      <c r="D244" s="478" t="s">
        <v>5333</v>
      </c>
      <c r="E244" s="479"/>
      <c r="F244" s="479"/>
      <c r="G244" s="479"/>
      <c r="H244" s="582" t="s">
        <v>2582</v>
      </c>
      <c r="I244" s="480" t="s">
        <v>1140</v>
      </c>
      <c r="J244" s="479"/>
      <c r="K244" s="479"/>
      <c r="L244" s="560"/>
      <c r="M244" s="666" t="s">
        <v>4966</v>
      </c>
      <c r="N244" s="680" t="str">
        <f>IF(AND(ISTEXT($A244), ISERROR($A244+0)), HYPERLINK($BF244, "Images"), "")</f>
        <v>Images</v>
      </c>
      <c r="O244" s="662" t="s">
        <v>4974</v>
      </c>
      <c r="P244" s="482"/>
      <c r="Q244" s="483"/>
      <c r="R244" s="483"/>
      <c r="S244" s="484"/>
      <c r="T244" s="508">
        <f t="shared" si="148"/>
        <v>0</v>
      </c>
      <c r="U244" s="225" t="str">
        <f>IF(NOT(ISNUMBER(G244)), "", VLOOKUP(A244,'Discount Lookup'!D:E,2,FALSE)*G244)</f>
        <v/>
      </c>
      <c r="V244" s="225" t="str">
        <f>IF(NOT(ISNUMBER(G244)), "", VLOOKUP(A244,'Discount Lookup'!G:H,2,FALSE)*G244)</f>
        <v/>
      </c>
      <c r="W244" s="508">
        <f t="shared" si="149"/>
        <v>0</v>
      </c>
      <c r="X244" s="508" t="str">
        <f t="shared" si="150"/>
        <v>Magenta-Pink bloom</v>
      </c>
      <c r="Y244" s="509" t="b">
        <f t="shared" si="151"/>
        <v>0</v>
      </c>
      <c r="Z244" s="510">
        <f t="shared" si="152"/>
        <v>0</v>
      </c>
      <c r="AA244" s="511"/>
      <c r="AB244" s="511" t="str">
        <f t="shared" si="153"/>
        <v/>
      </c>
      <c r="AC244" s="698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698"/>
      <c r="AE244" s="631" t="str">
        <f t="shared" si="154"/>
        <v/>
      </c>
      <c r="AF244" s="699" t="str">
        <f t="shared" si="155"/>
        <v/>
      </c>
      <c r="AG244" s="699"/>
      <c r="AH244" s="699"/>
      <c r="AI244" s="512">
        <f>IF(H244="credit",0,IF(AE244="free",0,IF(AE244="me",0,IF(G244&gt;0,(VLOOKUP(A244,'Discount Lookup'!J:K,2)*G244),0))))</f>
        <v>0</v>
      </c>
      <c r="AJ244" s="513" t="str">
        <f t="shared" ca="1" si="156"/>
        <v/>
      </c>
      <c r="AK244" s="700" t="str">
        <f t="shared" si="157"/>
        <v/>
      </c>
      <c r="AL244" s="700"/>
      <c r="AM244" s="505" t="str">
        <f t="shared" si="158"/>
        <v/>
      </c>
      <c r="AN244" s="506"/>
      <c r="AO244" s="507"/>
      <c r="AP244" s="507"/>
      <c r="AQ244" s="507"/>
      <c r="AR244" s="507"/>
      <c r="AS244" s="507"/>
      <c r="AT244" s="507"/>
      <c r="AU244" s="507"/>
      <c r="AV244" s="225"/>
      <c r="AW244" s="508"/>
      <c r="AX244" s="225"/>
      <c r="AY244" s="225"/>
      <c r="AZ244" s="225"/>
      <c r="BA244" s="225"/>
      <c r="BB244" s="225"/>
      <c r="BC244" s="56"/>
      <c r="BD244" s="56"/>
      <c r="BE244" s="56"/>
      <c r="BF244" s="107" t="str">
        <f t="shared" si="159"/>
        <v>https://www.google.com/search?tbm=isch&amp;q=Autumn%20Sangria%C2%AE%20Encore%C2%AE%20Azalea%20Rhod.%20Encore%C2%AE%20%27Roblee%27%20PP%2315077</v>
      </c>
      <c r="BG244" s="107" t="str">
        <f t="shared" si="160"/>
        <v>A</v>
      </c>
      <c r="BH244" s="254"/>
      <c r="BI244" s="254"/>
    </row>
    <row r="245" spans="1:61" customFormat="1" ht="15.75" x14ac:dyDescent="0.25">
      <c r="A245" s="485">
        <v>3</v>
      </c>
      <c r="B245" s="486" t="s">
        <v>291</v>
      </c>
      <c r="C245" s="487" t="s">
        <v>334</v>
      </c>
      <c r="D245" s="488" t="s">
        <v>312</v>
      </c>
      <c r="E245" s="489">
        <v>29.95</v>
      </c>
      <c r="F245" s="516" t="s">
        <v>293</v>
      </c>
      <c r="G245" s="232">
        <v>0</v>
      </c>
      <c r="H245" s="658" t="str">
        <f>IF(G245=0,"",IF(F245="Buy",IF(G245=1,"plant","plants"),IF(F245&gt;0.01,"warranty","Error")))</f>
        <v/>
      </c>
      <c r="I245" s="490">
        <f>IF(H245="free",0,IF(H245="credit",((E245*(F245))*G245*-1),IF(F245="Buy",(E245*G245),((E245*(1-F245))*G245))))</f>
        <v>0</v>
      </c>
      <c r="J245" s="490">
        <f>IF(H245="warranty",0,(I245*(_xlfn.SINGLE(SalesTaxPercentage))))</f>
        <v>0</v>
      </c>
      <c r="K245" s="695">
        <f t="shared" ref="K245" si="179">I245+J245</f>
        <v>0</v>
      </c>
      <c r="L245" s="695"/>
      <c r="M245" s="659" t="str">
        <f>IF(AND(G245&gt;0,E245=0),"WARNING - no PRICE inserted",IF(H245="free"," FREE ~ no charge this plant",IF(H245="credit",CONCATENATE(" -$",ROUND(K245*(1-T2GDiscount)*-1,2)," CREDIT after discount"),IF(T2GDiscount=0,"",IF(G245=0,"",IF(F245="Buy",CONCATENATE(" $",ROUND(K245*(1-T2GDiscount),2)," with ",(T2GDiscount*100),"% discount"),CONCATENATE(" $",ROUND(K245*(1-T2GDiscount),2)," with ",((T2GDiscount*100+F245*100)-(T2GDiscount*100*F245)),IF(F245&gt;0,"% discounts",IF(NoWarrantyDiscount&gt;0,"% discounts","% discount")))))))))</f>
        <v/>
      </c>
      <c r="N245" s="660"/>
      <c r="O245" s="233"/>
      <c r="P245" s="233"/>
      <c r="Q245" s="233"/>
      <c r="R245" s="233"/>
      <c r="S245" s="233"/>
      <c r="T245" s="508">
        <f t="shared" si="148"/>
        <v>0</v>
      </c>
      <c r="U245" s="225">
        <f>IF(NOT(ISNUMBER(G245)), "", VLOOKUP(A245,'Discount Lookup'!D:E,2,FALSE)*G245)</f>
        <v>0</v>
      </c>
      <c r="V245" s="225">
        <f>IF(NOT(ISNUMBER(G245)), "", VLOOKUP(A245,'Discount Lookup'!G:H,2,FALSE)*G245)</f>
        <v>0</v>
      </c>
      <c r="W245" s="508">
        <f t="shared" si="149"/>
        <v>0</v>
      </c>
      <c r="X245" s="508">
        <f t="shared" si="150"/>
        <v>0</v>
      </c>
      <c r="Y245" s="509" t="b">
        <f t="shared" si="151"/>
        <v>0</v>
      </c>
      <c r="Z245" s="510">
        <f t="shared" si="152"/>
        <v>0</v>
      </c>
      <c r="AA245" s="511"/>
      <c r="AB245" s="511" t="str">
        <f t="shared" si="153"/>
        <v/>
      </c>
      <c r="AC245" s="698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698"/>
      <c r="AE245" s="631" t="str">
        <f t="shared" si="154"/>
        <v/>
      </c>
      <c r="AF245" s="699" t="str">
        <f t="shared" si="155"/>
        <v/>
      </c>
      <c r="AG245" s="699"/>
      <c r="AH245" s="699"/>
      <c r="AI245" s="512">
        <f>IF(H245="credit",0,IF(AE245="free",0,IF(AE245="me",0,IF(G245&gt;0,(VLOOKUP(A245,'Discount Lookup'!J:K,2)*G245),0))))</f>
        <v>0</v>
      </c>
      <c r="AJ245" s="513" t="str">
        <f t="shared" ca="1" si="156"/>
        <v/>
      </c>
      <c r="AK245" s="700" t="str">
        <f t="shared" si="157"/>
        <v/>
      </c>
      <c r="AL245" s="700"/>
      <c r="AM245" s="505" t="str">
        <f t="shared" si="158"/>
        <v/>
      </c>
      <c r="AN245" s="506"/>
      <c r="AO245" s="507"/>
      <c r="AP245" s="507"/>
      <c r="AQ245" s="507"/>
      <c r="AR245" s="507"/>
      <c r="AS245" s="507"/>
      <c r="AT245" s="507"/>
      <c r="AU245" s="507"/>
      <c r="AV245" s="225"/>
      <c r="AW245" s="508"/>
      <c r="AX245" s="225"/>
      <c r="AY245" s="225"/>
      <c r="AZ245" s="225"/>
      <c r="BA245" s="225"/>
      <c r="BB245" s="225"/>
      <c r="BC245" s="56"/>
      <c r="BD245" s="56"/>
      <c r="BE245" s="56"/>
      <c r="BF245" s="107" t="str">
        <f t="shared" si="159"/>
        <v>https://www.google.com/search?tbm=isch&amp;q=3%20G2</v>
      </c>
      <c r="BG245" s="107" t="str">
        <f t="shared" si="160"/>
        <v>A</v>
      </c>
      <c r="BH245" s="254"/>
      <c r="BI245" s="254"/>
    </row>
    <row r="246" spans="1:61" customFormat="1" ht="17.25" thickBot="1" x14ac:dyDescent="0.3">
      <c r="A246" s="522" t="s">
        <v>2661</v>
      </c>
      <c r="B246" s="491"/>
      <c r="C246" s="675"/>
      <c r="D246" s="491"/>
      <c r="E246" s="491"/>
      <c r="F246" s="492"/>
      <c r="G246" s="493"/>
      <c r="H246" s="491"/>
      <c r="I246" s="234"/>
      <c r="J246" s="234"/>
      <c r="K246" s="494"/>
      <c r="L246" s="543"/>
      <c r="M246" s="561"/>
      <c r="N246" s="495"/>
      <c r="O246" s="496"/>
      <c r="P246" s="497"/>
      <c r="Q246" s="495"/>
      <c r="R246" s="495"/>
      <c r="S246" s="667" t="s">
        <v>4988</v>
      </c>
      <c r="T246" s="508">
        <f t="shared" si="148"/>
        <v>0</v>
      </c>
      <c r="U246" s="225" t="str">
        <f>IF(NOT(ISNUMBER(G246)), "", VLOOKUP(A246,'Discount Lookup'!D:E,2,FALSE)*G246)</f>
        <v/>
      </c>
      <c r="V246" s="225" t="str">
        <f>IF(NOT(ISNUMBER(G246)), "", VLOOKUP(A246,'Discount Lookup'!G:H,2,FALSE)*G246)</f>
        <v/>
      </c>
      <c r="W246" s="508">
        <f t="shared" si="149"/>
        <v>0</v>
      </c>
      <c r="X246" s="508">
        <f t="shared" si="150"/>
        <v>0</v>
      </c>
      <c r="Y246" s="509" t="b">
        <f t="shared" si="151"/>
        <v>0</v>
      </c>
      <c r="Z246" s="510">
        <f t="shared" si="152"/>
        <v>0</v>
      </c>
      <c r="AA246" s="511"/>
      <c r="AB246" s="511" t="str">
        <f t="shared" si="153"/>
        <v/>
      </c>
      <c r="AC246" s="698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698"/>
      <c r="AE246" s="631" t="str">
        <f t="shared" si="154"/>
        <v/>
      </c>
      <c r="AF246" s="699" t="str">
        <f t="shared" si="155"/>
        <v/>
      </c>
      <c r="AG246" s="699"/>
      <c r="AH246" s="699"/>
      <c r="AI246" s="512">
        <f>IF(H246="credit",0,IF(AE246="free",0,IF(AE246="me",0,IF(G246&gt;0,(VLOOKUP(A246,'Discount Lookup'!J:K,2)*G246),0))))</f>
        <v>0</v>
      </c>
      <c r="AJ246" s="513" t="str">
        <f t="shared" ca="1" si="156"/>
        <v/>
      </c>
      <c r="AK246" s="700" t="str">
        <f t="shared" si="157"/>
        <v/>
      </c>
      <c r="AL246" s="700"/>
      <c r="AM246" s="505" t="str">
        <f t="shared" si="158"/>
        <v/>
      </c>
      <c r="AN246" s="506"/>
      <c r="AO246" s="507"/>
      <c r="AP246" s="507"/>
      <c r="AQ246" s="507"/>
      <c r="AR246" s="507"/>
      <c r="AS246" s="507"/>
      <c r="AT246" s="507"/>
      <c r="AU246" s="507"/>
      <c r="AV246" s="225"/>
      <c r="AW246" s="508"/>
      <c r="AX246" s="225"/>
      <c r="AY246" s="225"/>
      <c r="AZ246" s="225"/>
      <c r="BA246" s="225"/>
      <c r="BB246" s="225"/>
      <c r="BC246" s="56"/>
      <c r="BD246" s="56"/>
      <c r="BE246" s="56"/>
      <c r="BF246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46" s="107" t="str">
        <f t="shared" si="160"/>
        <v>A</v>
      </c>
      <c r="BH246" s="254"/>
      <c r="BI246" s="254"/>
    </row>
    <row r="247" spans="1:61" customFormat="1" ht="18" x14ac:dyDescent="0.25">
      <c r="A247" s="521" t="s">
        <v>449</v>
      </c>
      <c r="B247" s="477"/>
      <c r="C247" s="674"/>
      <c r="D247" s="478" t="s">
        <v>448</v>
      </c>
      <c r="E247" s="479"/>
      <c r="F247" s="479"/>
      <c r="G247" s="479"/>
      <c r="H247" s="582" t="s">
        <v>356</v>
      </c>
      <c r="I247" s="480" t="s">
        <v>1378</v>
      </c>
      <c r="J247" s="479"/>
      <c r="K247" s="479"/>
      <c r="L247" s="560"/>
      <c r="M247" s="671" t="s">
        <v>4990</v>
      </c>
      <c r="N247" s="680" t="str">
        <f>IF(AND(ISTEXT($A247), ISERROR($A247+0)), HYPERLINK($BF247, "Images"), "")</f>
        <v>Images</v>
      </c>
      <c r="O247" s="662" t="s">
        <v>4967</v>
      </c>
      <c r="P247" s="482"/>
      <c r="Q247" s="483"/>
      <c r="R247" s="483"/>
      <c r="S247" s="484"/>
      <c r="T247" s="508">
        <f t="shared" si="148"/>
        <v>0</v>
      </c>
      <c r="U247" s="225" t="str">
        <f>IF(NOT(ISNUMBER(G247)), "", VLOOKUP(A247,'Discount Lookup'!D:E,2,FALSE)*G247)</f>
        <v/>
      </c>
      <c r="V247" s="225" t="str">
        <f>IF(NOT(ISNUMBER(G247)), "", VLOOKUP(A247,'Discount Lookup'!G:H,2,FALSE)*G247)</f>
        <v/>
      </c>
      <c r="W247" s="508">
        <f t="shared" si="149"/>
        <v>0</v>
      </c>
      <c r="X247" s="508" t="str">
        <f t="shared" si="150"/>
        <v>Bright Pink bloom</v>
      </c>
      <c r="Y247" s="509" t="b">
        <f t="shared" si="151"/>
        <v>0</v>
      </c>
      <c r="Z247" s="510">
        <f t="shared" si="152"/>
        <v>0</v>
      </c>
      <c r="AA247" s="511"/>
      <c r="AB247" s="511" t="str">
        <f t="shared" si="153"/>
        <v/>
      </c>
      <c r="AC247" s="698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698"/>
      <c r="AE247" s="631" t="str">
        <f t="shared" si="154"/>
        <v/>
      </c>
      <c r="AF247" s="699" t="str">
        <f t="shared" si="155"/>
        <v/>
      </c>
      <c r="AG247" s="699"/>
      <c r="AH247" s="699"/>
      <c r="AI247" s="512">
        <f>IF(H247="credit",0,IF(AE247="free",0,IF(AE247="me",0,IF(G247&gt;0,(VLOOKUP(A247,'Discount Lookup'!J:K,2)*G247),0))))</f>
        <v>0</v>
      </c>
      <c r="AJ247" s="513" t="str">
        <f t="shared" ca="1" si="156"/>
        <v/>
      </c>
      <c r="AK247" s="700" t="str">
        <f t="shared" si="157"/>
        <v/>
      </c>
      <c r="AL247" s="700"/>
      <c r="AM247" s="505" t="str">
        <f t="shared" si="158"/>
        <v/>
      </c>
      <c r="AN247" s="506"/>
      <c r="AO247" s="507"/>
      <c r="AP247" s="507"/>
      <c r="AQ247" s="507"/>
      <c r="AR247" s="507"/>
      <c r="AS247" s="507"/>
      <c r="AT247" s="507"/>
      <c r="AU247" s="507"/>
      <c r="AV247" s="225"/>
      <c r="AW247" s="508"/>
      <c r="AX247" s="225"/>
      <c r="AY247" s="225"/>
      <c r="AZ247" s="225"/>
      <c r="BA247" s="225"/>
      <c r="BB247" s="225"/>
      <c r="BC247" s="56"/>
      <c r="BD247" s="56"/>
      <c r="BE247" s="56"/>
      <c r="BF247" s="107" t="str">
        <f t="shared" si="159"/>
        <v>https://www.google.com/search?tbm=isch&amp;q=Autumn%20Spirit%20Camellia%20Camellia%20%27Autumn%20Spirit%27</v>
      </c>
      <c r="BG247" s="107" t="str">
        <f t="shared" si="160"/>
        <v>A</v>
      </c>
      <c r="BH247" s="254"/>
      <c r="BI247" s="254"/>
    </row>
    <row r="248" spans="1:61" customFormat="1" ht="27" x14ac:dyDescent="0.25">
      <c r="A248" s="485">
        <v>7</v>
      </c>
      <c r="B248" s="486" t="s">
        <v>291</v>
      </c>
      <c r="C248" s="487" t="s">
        <v>4732</v>
      </c>
      <c r="D248" s="488" t="s">
        <v>292</v>
      </c>
      <c r="E248" s="489">
        <v>104.95</v>
      </c>
      <c r="F248" s="516" t="s">
        <v>293</v>
      </c>
      <c r="G248" s="232">
        <v>0</v>
      </c>
      <c r="H248" s="658" t="str">
        <f>IF(G248=0,"",IF(F248="Buy",IF(G248=1,"plant","plants"),IF(F248&gt;0.01,"warranty","Error")))</f>
        <v/>
      </c>
      <c r="I248" s="490">
        <f>IF(H248="free",0,IF(H248="credit",((E248*(F248))*G248*-1),IF(F248="Buy",(E248*G248),((E248*(1-F248))*G248))))</f>
        <v>0</v>
      </c>
      <c r="J248" s="490">
        <f>IF(H248="warranty",0,(I248*(_xlfn.SINGLE(SalesTaxPercentage))))</f>
        <v>0</v>
      </c>
      <c r="K248" s="695">
        <f t="shared" ref="K248" si="180">I248+J248</f>
        <v>0</v>
      </c>
      <c r="L248" s="695"/>
      <c r="M248" s="659" t="str">
        <f>IF(AND(G248&gt;0,E248=0),"WARNING - no PRICE inserted",IF(H248="free"," FREE ~ no charge this plant",IF(H248="credit",CONCATENATE(" -$",ROUND(K248*(1-T2GDiscount)*-1,2)," CREDIT after discount"),IF(T2GDiscount=0,"",IF(G248=0,"",IF(F248="Buy",CONCATENATE(" $",ROUND(K248*(1-T2GDiscount),2)," with ",(T2GDiscount*100),"% discount"),CONCATENATE(" $",ROUND(K248*(1-T2GDiscount),2)," with ",((T2GDiscount*100+F248*100)-(T2GDiscount*100*F248)),IF(F248&gt;0,"% discounts",IF(NoWarrantyDiscount&gt;0,"% discounts","% discount")))))))))</f>
        <v/>
      </c>
      <c r="N248" s="660"/>
      <c r="O248" s="233"/>
      <c r="P248" s="233"/>
      <c r="Q248" s="233"/>
      <c r="R248" s="233"/>
      <c r="S248" s="233"/>
      <c r="T248" s="508">
        <f t="shared" si="148"/>
        <v>0</v>
      </c>
      <c r="U248" s="225">
        <f>IF(NOT(ISNUMBER(G248)), "", VLOOKUP(A248,'Discount Lookup'!D:E,2,FALSE)*G248)</f>
        <v>0</v>
      </c>
      <c r="V248" s="225">
        <f>IF(NOT(ISNUMBER(G248)), "", VLOOKUP(A248,'Discount Lookup'!G:H,2,FALSE)*G248)</f>
        <v>0</v>
      </c>
      <c r="W248" s="508">
        <f t="shared" si="149"/>
        <v>0</v>
      </c>
      <c r="X248" s="508">
        <f t="shared" si="150"/>
        <v>0</v>
      </c>
      <c r="Y248" s="509" t="b">
        <f t="shared" si="151"/>
        <v>0</v>
      </c>
      <c r="Z248" s="510">
        <f t="shared" si="152"/>
        <v>0</v>
      </c>
      <c r="AA248" s="511"/>
      <c r="AB248" s="511" t="str">
        <f t="shared" si="153"/>
        <v/>
      </c>
      <c r="AC248" s="698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698"/>
      <c r="AE248" s="631" t="str">
        <f t="shared" si="154"/>
        <v/>
      </c>
      <c r="AF248" s="699" t="str">
        <f t="shared" si="155"/>
        <v/>
      </c>
      <c r="AG248" s="699"/>
      <c r="AH248" s="699"/>
      <c r="AI248" s="512">
        <f>IF(H248="credit",0,IF(AE248="free",0,IF(AE248="me",0,IF(G248&gt;0,(VLOOKUP(A248,'Discount Lookup'!J:K,2)*G248),0))))</f>
        <v>0</v>
      </c>
      <c r="AJ248" s="513" t="str">
        <f t="shared" ca="1" si="156"/>
        <v/>
      </c>
      <c r="AK248" s="700" t="str">
        <f t="shared" si="157"/>
        <v/>
      </c>
      <c r="AL248" s="700"/>
      <c r="AM248" s="505" t="str">
        <f t="shared" si="158"/>
        <v/>
      </c>
      <c r="AN248" s="506"/>
      <c r="AO248" s="507"/>
      <c r="AP248" s="507"/>
      <c r="AQ248" s="507"/>
      <c r="AR248" s="507"/>
      <c r="AS248" s="507"/>
      <c r="AT248" s="507"/>
      <c r="AU248" s="507"/>
      <c r="AV248" s="225"/>
      <c r="AW248" s="508"/>
      <c r="AX248" s="225"/>
      <c r="AY248" s="225"/>
      <c r="AZ248" s="225"/>
      <c r="BA248" s="225"/>
      <c r="BB248" s="225"/>
      <c r="BC248" s="56"/>
      <c r="BD248" s="56"/>
      <c r="BE248" s="56"/>
      <c r="BF248" s="107" t="str">
        <f t="shared" si="159"/>
        <v>https://www.google.com/search?tbm=isch&amp;q=7%20G4</v>
      </c>
      <c r="BG248" s="107" t="str">
        <f t="shared" si="160"/>
        <v>A</v>
      </c>
      <c r="BH248" s="254"/>
      <c r="BI248" s="254"/>
    </row>
    <row r="249" spans="1:61" customFormat="1" ht="17.25" thickBot="1" x14ac:dyDescent="0.3">
      <c r="A249" s="522" t="s">
        <v>4380</v>
      </c>
      <c r="B249" s="491"/>
      <c r="C249" s="675"/>
      <c r="D249" s="491"/>
      <c r="E249" s="491"/>
      <c r="F249" s="492"/>
      <c r="G249" s="493"/>
      <c r="H249" s="491"/>
      <c r="I249" s="234"/>
      <c r="J249" s="234"/>
      <c r="K249" s="494"/>
      <c r="L249" s="543"/>
      <c r="M249" s="561"/>
      <c r="N249" s="495"/>
      <c r="O249" s="496"/>
      <c r="P249" s="497"/>
      <c r="Q249" s="495"/>
      <c r="R249" s="495"/>
      <c r="S249" s="667" t="s">
        <v>4986</v>
      </c>
      <c r="T249" s="508">
        <f t="shared" si="148"/>
        <v>0</v>
      </c>
      <c r="U249" s="225" t="str">
        <f>IF(NOT(ISNUMBER(G249)), "", VLOOKUP(A249,'Discount Lookup'!D:E,2,FALSE)*G249)</f>
        <v/>
      </c>
      <c r="V249" s="225" t="str">
        <f>IF(NOT(ISNUMBER(G249)), "", VLOOKUP(A249,'Discount Lookup'!G:H,2,FALSE)*G249)</f>
        <v/>
      </c>
      <c r="W249" s="508">
        <f t="shared" si="149"/>
        <v>0</v>
      </c>
      <c r="X249" s="508">
        <f t="shared" si="150"/>
        <v>0</v>
      </c>
      <c r="Y249" s="509" t="b">
        <f t="shared" si="151"/>
        <v>0</v>
      </c>
      <c r="Z249" s="510">
        <f t="shared" si="152"/>
        <v>0</v>
      </c>
      <c r="AA249" s="511"/>
      <c r="AB249" s="511" t="str">
        <f t="shared" si="153"/>
        <v/>
      </c>
      <c r="AC249" s="698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698"/>
      <c r="AE249" s="631" t="str">
        <f t="shared" si="154"/>
        <v/>
      </c>
      <c r="AF249" s="699" t="str">
        <f t="shared" si="155"/>
        <v/>
      </c>
      <c r="AG249" s="699"/>
      <c r="AH249" s="699"/>
      <c r="AI249" s="512">
        <f>IF(H249="credit",0,IF(AE249="free",0,IF(AE249="me",0,IF(G249&gt;0,(VLOOKUP(A249,'Discount Lookup'!J:K,2)*G249),0))))</f>
        <v>0</v>
      </c>
      <c r="AJ249" s="513" t="str">
        <f t="shared" ca="1" si="156"/>
        <v/>
      </c>
      <c r="AK249" s="700" t="str">
        <f t="shared" si="157"/>
        <v/>
      </c>
      <c r="AL249" s="700"/>
      <c r="AM249" s="505" t="str">
        <f t="shared" si="158"/>
        <v/>
      </c>
      <c r="AN249" s="506"/>
      <c r="AO249" s="507"/>
      <c r="AP249" s="507"/>
      <c r="AQ249" s="507"/>
      <c r="AR249" s="507"/>
      <c r="AS249" s="507"/>
      <c r="AT249" s="507"/>
      <c r="AU249" s="507"/>
      <c r="AV249" s="225"/>
      <c r="AW249" s="508"/>
      <c r="AX249" s="225"/>
      <c r="AY249" s="225"/>
      <c r="AZ249" s="225"/>
      <c r="BA249" s="225"/>
      <c r="BB249" s="225"/>
      <c r="BC249" s="56"/>
      <c r="BD249" s="56"/>
      <c r="BE249" s="56"/>
      <c r="BF249" s="107" t="str">
        <f t="shared" si="159"/>
        <v>https://www.google.com/search?tbm=isch&amp;q=Autumn%20Spirit%20offers%20vibrant%20late-season%20double%20blooms%20atop%20glossy%20evergreen%20foliage%20</v>
      </c>
      <c r="BG249" s="107" t="str">
        <f t="shared" si="160"/>
        <v>A</v>
      </c>
      <c r="BH249" s="254"/>
      <c r="BI249" s="254"/>
    </row>
    <row r="250" spans="1:61" customFormat="1" ht="18" x14ac:dyDescent="0.25">
      <c r="A250" s="521" t="s">
        <v>5334</v>
      </c>
      <c r="B250" s="477"/>
      <c r="C250" s="674"/>
      <c r="D250" s="478" t="s">
        <v>5335</v>
      </c>
      <c r="E250" s="479"/>
      <c r="F250" s="479"/>
      <c r="G250" s="479"/>
      <c r="H250" s="582" t="s">
        <v>2580</v>
      </c>
      <c r="I250" s="480" t="s">
        <v>2592</v>
      </c>
      <c r="J250" s="479"/>
      <c r="K250" s="479"/>
      <c r="L250" s="560"/>
      <c r="M250" s="666" t="s">
        <v>4966</v>
      </c>
      <c r="N250" s="680" t="str">
        <f>IF(AND(ISTEXT($A250), ISERROR($A250+0)), HYPERLINK($BF250, "Images"), "")</f>
        <v>Images</v>
      </c>
      <c r="O250" s="662" t="s">
        <v>4974</v>
      </c>
      <c r="P250" s="482"/>
      <c r="Q250" s="483"/>
      <c r="R250" s="483"/>
      <c r="S250" s="484"/>
      <c r="T250" s="508">
        <f t="shared" si="148"/>
        <v>0</v>
      </c>
      <c r="U250" s="225" t="str">
        <f>IF(NOT(ISNUMBER(G250)), "", VLOOKUP(A250,'Discount Lookup'!D:E,2,FALSE)*G250)</f>
        <v/>
      </c>
      <c r="V250" s="225" t="str">
        <f>IF(NOT(ISNUMBER(G250)), "", VLOOKUP(A250,'Discount Lookup'!G:H,2,FALSE)*G250)</f>
        <v/>
      </c>
      <c r="W250" s="508">
        <f t="shared" si="149"/>
        <v>0</v>
      </c>
      <c r="X250" s="508" t="str">
        <f t="shared" si="150"/>
        <v>Coral-Pink, White margins</v>
      </c>
      <c r="Y250" s="509" t="b">
        <f t="shared" si="151"/>
        <v>0</v>
      </c>
      <c r="Z250" s="510">
        <f t="shared" si="152"/>
        <v>0</v>
      </c>
      <c r="AA250" s="511"/>
      <c r="AB250" s="511" t="str">
        <f t="shared" si="153"/>
        <v/>
      </c>
      <c r="AC250" s="698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698"/>
      <c r="AE250" s="631" t="str">
        <f t="shared" si="154"/>
        <v/>
      </c>
      <c r="AF250" s="699" t="str">
        <f t="shared" si="155"/>
        <v/>
      </c>
      <c r="AG250" s="699"/>
      <c r="AH250" s="699"/>
      <c r="AI250" s="512">
        <f>IF(H250="credit",0,IF(AE250="free",0,IF(AE250="me",0,IF(G250&gt;0,(VLOOKUP(A250,'Discount Lookup'!J:K,2)*G250),0))))</f>
        <v>0</v>
      </c>
      <c r="AJ250" s="513" t="str">
        <f t="shared" ca="1" si="156"/>
        <v/>
      </c>
      <c r="AK250" s="700" t="str">
        <f t="shared" si="157"/>
        <v/>
      </c>
      <c r="AL250" s="700"/>
      <c r="AM250" s="505" t="str">
        <f t="shared" si="158"/>
        <v/>
      </c>
      <c r="AN250" s="506"/>
      <c r="AO250" s="507"/>
      <c r="AP250" s="507"/>
      <c r="AQ250" s="507"/>
      <c r="AR250" s="507"/>
      <c r="AS250" s="507"/>
      <c r="AT250" s="507"/>
      <c r="AU250" s="507"/>
      <c r="AV250" s="225"/>
      <c r="AW250" s="508"/>
      <c r="AX250" s="225"/>
      <c r="AY250" s="225"/>
      <c r="AZ250" s="225"/>
      <c r="BA250" s="225"/>
      <c r="BB250" s="225"/>
      <c r="BC250" s="56"/>
      <c r="BD250" s="56"/>
      <c r="BE250" s="56"/>
      <c r="BF250" s="107" t="str">
        <f t="shared" si="159"/>
        <v>https://www.google.com/search?tbm=isch&amp;q=Autumn%20Starburst%C2%AE%20Encore%C2%AE%20Azalea%20Rhod.%20Encore%C2%AE%20%27Robleze%27%20PP%2332506</v>
      </c>
      <c r="BG250" s="107" t="str">
        <f t="shared" si="160"/>
        <v>A</v>
      </c>
      <c r="BH250" s="254"/>
      <c r="BI250" s="254"/>
    </row>
    <row r="251" spans="1:61" customFormat="1" ht="15.75" x14ac:dyDescent="0.25">
      <c r="A251" s="485">
        <v>3</v>
      </c>
      <c r="B251" s="486" t="s">
        <v>291</v>
      </c>
      <c r="C251" s="487" t="s">
        <v>4851</v>
      </c>
      <c r="D251" s="488" t="s">
        <v>312</v>
      </c>
      <c r="E251" s="489">
        <v>29.95</v>
      </c>
      <c r="F251" s="516" t="s">
        <v>293</v>
      </c>
      <c r="G251" s="232">
        <v>0</v>
      </c>
      <c r="H251" s="658" t="str">
        <f>IF(G251=0,"",IF(F251="Buy",IF(G251=1,"plant","plants"),IF(F251&gt;0.01,"warranty","Error")))</f>
        <v/>
      </c>
      <c r="I251" s="490">
        <f>IF(H251="free",0,IF(H251="credit",((E251*(F251))*G251*-1),IF(F251="Buy",(E251*G251),((E251*(1-F251))*G251))))</f>
        <v>0</v>
      </c>
      <c r="J251" s="490">
        <f>IF(H251="warranty",0,(I251*(_xlfn.SINGLE(SalesTaxPercentage))))</f>
        <v>0</v>
      </c>
      <c r="K251" s="695">
        <f t="shared" ref="K251" si="181">I251+J251</f>
        <v>0</v>
      </c>
      <c r="L251" s="695"/>
      <c r="M251" s="659" t="str">
        <f>IF(AND(G251&gt;0,E251=0),"WARNING - no PRICE inserted",IF(H251="free"," FREE ~ no charge this plant",IF(H251="credit",CONCATENATE(" -$",ROUND(K251*(1-T2GDiscount)*-1,2)," CREDIT after discount"),IF(T2GDiscount=0,"",IF(G251=0,"",IF(F251="Buy",CONCATENATE(" $",ROUND(K251*(1-T2GDiscount),2)," with ",(T2GDiscount*100),"% discount"),CONCATENATE(" $",ROUND(K251*(1-T2GDiscount),2)," with ",((T2GDiscount*100+F251*100)-(T2GDiscount*100*F251)),IF(F251&gt;0,"% discounts",IF(NoWarrantyDiscount&gt;0,"% discounts","% discount")))))))))</f>
        <v/>
      </c>
      <c r="N251" s="660"/>
      <c r="O251" s="233"/>
      <c r="P251" s="233"/>
      <c r="Q251" s="233"/>
      <c r="R251" s="233"/>
      <c r="S251" s="233"/>
      <c r="T251" s="508">
        <f t="shared" si="148"/>
        <v>0</v>
      </c>
      <c r="U251" s="225">
        <f>IF(NOT(ISNUMBER(G251)), "", VLOOKUP(A251,'Discount Lookup'!D:E,2,FALSE)*G251)</f>
        <v>0</v>
      </c>
      <c r="V251" s="225">
        <f>IF(NOT(ISNUMBER(G251)), "", VLOOKUP(A251,'Discount Lookup'!G:H,2,FALSE)*G251)</f>
        <v>0</v>
      </c>
      <c r="W251" s="508">
        <f t="shared" si="149"/>
        <v>0</v>
      </c>
      <c r="X251" s="508">
        <f t="shared" si="150"/>
        <v>0</v>
      </c>
      <c r="Y251" s="509" t="b">
        <f t="shared" si="151"/>
        <v>0</v>
      </c>
      <c r="Z251" s="510">
        <f t="shared" si="152"/>
        <v>0</v>
      </c>
      <c r="AA251" s="511"/>
      <c r="AB251" s="511" t="str">
        <f t="shared" si="153"/>
        <v/>
      </c>
      <c r="AC251" s="698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698"/>
      <c r="AE251" s="631" t="str">
        <f t="shared" si="154"/>
        <v/>
      </c>
      <c r="AF251" s="699" t="str">
        <f t="shared" si="155"/>
        <v/>
      </c>
      <c r="AG251" s="699"/>
      <c r="AH251" s="699"/>
      <c r="AI251" s="512">
        <f>IF(H251="credit",0,IF(AE251="free",0,IF(AE251="me",0,IF(G251&gt;0,(VLOOKUP(A251,'Discount Lookup'!J:K,2)*G251),0))))</f>
        <v>0</v>
      </c>
      <c r="AJ251" s="513" t="str">
        <f t="shared" ca="1" si="156"/>
        <v/>
      </c>
      <c r="AK251" s="700" t="str">
        <f t="shared" si="157"/>
        <v/>
      </c>
      <c r="AL251" s="700"/>
      <c r="AM251" s="505" t="str">
        <f t="shared" si="158"/>
        <v/>
      </c>
      <c r="AN251" s="506"/>
      <c r="AO251" s="507"/>
      <c r="AP251" s="507"/>
      <c r="AQ251" s="507"/>
      <c r="AR251" s="507"/>
      <c r="AS251" s="507"/>
      <c r="AT251" s="507"/>
      <c r="AU251" s="507"/>
      <c r="AV251" s="225"/>
      <c r="AW251" s="508"/>
      <c r="AX251" s="225"/>
      <c r="AY251" s="225"/>
      <c r="AZ251" s="225"/>
      <c r="BA251" s="225"/>
      <c r="BB251" s="225"/>
      <c r="BC251" s="56"/>
      <c r="BD251" s="56"/>
      <c r="BE251" s="56"/>
      <c r="BF251" s="107" t="str">
        <f t="shared" si="159"/>
        <v>https://www.google.com/search?tbm=isch&amp;q=3%20G2</v>
      </c>
      <c r="BG251" s="107" t="str">
        <f t="shared" si="160"/>
        <v>A</v>
      </c>
      <c r="BH251" s="254"/>
      <c r="BI251" s="254"/>
    </row>
    <row r="252" spans="1:61" customFormat="1" ht="17.25" thickBot="1" x14ac:dyDescent="0.3">
      <c r="A252" s="522" t="s">
        <v>2661</v>
      </c>
      <c r="B252" s="491"/>
      <c r="C252" s="675"/>
      <c r="D252" s="491"/>
      <c r="E252" s="491"/>
      <c r="F252" s="492"/>
      <c r="G252" s="493"/>
      <c r="H252" s="491"/>
      <c r="I252" s="234"/>
      <c r="J252" s="234"/>
      <c r="K252" s="494"/>
      <c r="L252" s="543"/>
      <c r="M252" s="561"/>
      <c r="N252" s="495"/>
      <c r="O252" s="496"/>
      <c r="P252" s="497"/>
      <c r="Q252" s="495"/>
      <c r="R252" s="495"/>
      <c r="S252" s="667" t="s">
        <v>4988</v>
      </c>
      <c r="T252" s="508">
        <f t="shared" si="148"/>
        <v>0</v>
      </c>
      <c r="U252" s="225" t="str">
        <f>IF(NOT(ISNUMBER(G252)), "", VLOOKUP(A252,'Discount Lookup'!D:E,2,FALSE)*G252)</f>
        <v/>
      </c>
      <c r="V252" s="225" t="str">
        <f>IF(NOT(ISNUMBER(G252)), "", VLOOKUP(A252,'Discount Lookup'!G:H,2,FALSE)*G252)</f>
        <v/>
      </c>
      <c r="W252" s="508">
        <f t="shared" si="149"/>
        <v>0</v>
      </c>
      <c r="X252" s="508">
        <f t="shared" si="150"/>
        <v>0</v>
      </c>
      <c r="Y252" s="509" t="b">
        <f t="shared" si="151"/>
        <v>0</v>
      </c>
      <c r="Z252" s="510">
        <f t="shared" si="152"/>
        <v>0</v>
      </c>
      <c r="AA252" s="511"/>
      <c r="AB252" s="511" t="str">
        <f t="shared" si="153"/>
        <v/>
      </c>
      <c r="AC252" s="698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698"/>
      <c r="AE252" s="631" t="str">
        <f t="shared" si="154"/>
        <v/>
      </c>
      <c r="AF252" s="699" t="str">
        <f t="shared" si="155"/>
        <v/>
      </c>
      <c r="AG252" s="699"/>
      <c r="AH252" s="699"/>
      <c r="AI252" s="512">
        <f>IF(H252="credit",0,IF(AE252="free",0,IF(AE252="me",0,IF(G252&gt;0,(VLOOKUP(A252,'Discount Lookup'!J:K,2)*G252),0))))</f>
        <v>0</v>
      </c>
      <c r="AJ252" s="513" t="str">
        <f t="shared" ca="1" si="156"/>
        <v/>
      </c>
      <c r="AK252" s="700" t="str">
        <f t="shared" si="157"/>
        <v/>
      </c>
      <c r="AL252" s="700"/>
      <c r="AM252" s="505" t="str">
        <f t="shared" si="158"/>
        <v/>
      </c>
      <c r="AN252" s="506"/>
      <c r="AO252" s="507"/>
      <c r="AP252" s="507"/>
      <c r="AQ252" s="507"/>
      <c r="AR252" s="507"/>
      <c r="AS252" s="507"/>
      <c r="AT252" s="507"/>
      <c r="AU252" s="507"/>
      <c r="AV252" s="225"/>
      <c r="AW252" s="508"/>
      <c r="AX252" s="225"/>
      <c r="AY252" s="225"/>
      <c r="AZ252" s="225"/>
      <c r="BA252" s="225"/>
      <c r="BB252" s="225"/>
      <c r="BC252" s="56"/>
      <c r="BD252" s="56"/>
      <c r="BE252" s="56"/>
      <c r="BF252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2" s="107" t="str">
        <f t="shared" si="160"/>
        <v>A</v>
      </c>
      <c r="BH252" s="254"/>
      <c r="BI252" s="254"/>
    </row>
    <row r="253" spans="1:61" customFormat="1" ht="18" x14ac:dyDescent="0.25">
      <c r="A253" s="521" t="s">
        <v>5336</v>
      </c>
      <c r="B253" s="477"/>
      <c r="C253" s="674"/>
      <c r="D253" s="478" t="s">
        <v>5337</v>
      </c>
      <c r="E253" s="479"/>
      <c r="F253" s="479"/>
      <c r="G253" s="479"/>
      <c r="H253" s="582" t="s">
        <v>443</v>
      </c>
      <c r="I253" s="480" t="s">
        <v>4593</v>
      </c>
      <c r="J253" s="479"/>
      <c r="K253" s="479"/>
      <c r="L253" s="560"/>
      <c r="M253" s="666" t="s">
        <v>4966</v>
      </c>
      <c r="N253" s="680" t="str">
        <f>IF(AND(ISTEXT($A253), ISERROR($A253+0)), HYPERLINK($BF253, "Images"), "")</f>
        <v>Images</v>
      </c>
      <c r="O253" s="662" t="s">
        <v>4974</v>
      </c>
      <c r="P253" s="482"/>
      <c r="Q253" s="483"/>
      <c r="R253" s="483"/>
      <c r="S253" s="484"/>
      <c r="T253" s="508">
        <f t="shared" si="148"/>
        <v>0</v>
      </c>
      <c r="U253" s="225" t="str">
        <f>IF(NOT(ISNUMBER(G253)), "", VLOOKUP(A253,'Discount Lookup'!D:E,2,FALSE)*G253)</f>
        <v/>
      </c>
      <c r="V253" s="225" t="str">
        <f>IF(NOT(ISNUMBER(G253)), "", VLOOKUP(A253,'Discount Lookup'!G:H,2,FALSE)*G253)</f>
        <v/>
      </c>
      <c r="W253" s="508">
        <f t="shared" si="149"/>
        <v>0</v>
      </c>
      <c r="X253" s="508" t="str">
        <f t="shared" si="150"/>
        <v>Coral Pink, White margins</v>
      </c>
      <c r="Y253" s="509" t="b">
        <f t="shared" si="151"/>
        <v>0</v>
      </c>
      <c r="Z253" s="510">
        <f t="shared" si="152"/>
        <v>0</v>
      </c>
      <c r="AA253" s="511"/>
      <c r="AB253" s="511" t="str">
        <f t="shared" si="153"/>
        <v/>
      </c>
      <c r="AC253" s="698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698"/>
      <c r="AE253" s="631" t="str">
        <f t="shared" si="154"/>
        <v/>
      </c>
      <c r="AF253" s="699" t="str">
        <f t="shared" si="155"/>
        <v/>
      </c>
      <c r="AG253" s="699"/>
      <c r="AH253" s="699"/>
      <c r="AI253" s="512">
        <f>IF(H253="credit",0,IF(AE253="free",0,IF(AE253="me",0,IF(G253&gt;0,(VLOOKUP(A253,'Discount Lookup'!J:K,2)*G253),0))))</f>
        <v>0</v>
      </c>
      <c r="AJ253" s="513" t="str">
        <f t="shared" ca="1" si="156"/>
        <v/>
      </c>
      <c r="AK253" s="700" t="str">
        <f t="shared" si="157"/>
        <v/>
      </c>
      <c r="AL253" s="700"/>
      <c r="AM253" s="505" t="str">
        <f t="shared" si="158"/>
        <v/>
      </c>
      <c r="AN253" s="506"/>
      <c r="AO253" s="507"/>
      <c r="AP253" s="507"/>
      <c r="AQ253" s="507"/>
      <c r="AR253" s="507"/>
      <c r="AS253" s="507"/>
      <c r="AT253" s="507"/>
      <c r="AU253" s="507"/>
      <c r="AV253" s="225"/>
      <c r="AW253" s="508"/>
      <c r="AX253" s="225"/>
      <c r="AY253" s="225"/>
      <c r="AZ253" s="225"/>
      <c r="BA253" s="225"/>
      <c r="BB253" s="225"/>
      <c r="BC253" s="56"/>
      <c r="BD253" s="56"/>
      <c r="BE253" s="56"/>
      <c r="BF253" s="107" t="str">
        <f t="shared" si="159"/>
        <v>https://www.google.com/search?tbm=isch&amp;q=Autumn%20Sunburst%C2%AE%20Encore%C2%AE%20Azalea%20Rhod.%20Encore%C2%AE%20%27Roblet%27%20PP%2325072</v>
      </c>
      <c r="BG253" s="107" t="str">
        <f t="shared" si="160"/>
        <v>A</v>
      </c>
      <c r="BH253" s="254"/>
      <c r="BI253" s="254"/>
    </row>
    <row r="254" spans="1:61" customFormat="1" ht="15.75" x14ac:dyDescent="0.25">
      <c r="A254" s="485">
        <v>3</v>
      </c>
      <c r="B254" s="486" t="s">
        <v>291</v>
      </c>
      <c r="C254" s="487" t="s">
        <v>4852</v>
      </c>
      <c r="D254" s="488" t="s">
        <v>312</v>
      </c>
      <c r="E254" s="489">
        <v>29.95</v>
      </c>
      <c r="F254" s="516" t="s">
        <v>293</v>
      </c>
      <c r="G254" s="232">
        <v>0</v>
      </c>
      <c r="H254" s="658" t="str">
        <f>IF(G254=0,"",IF(F254="Buy",IF(G254=1,"plant","plants"),IF(F254&gt;0.01,"warranty","Error")))</f>
        <v/>
      </c>
      <c r="I254" s="490">
        <f>IF(H254="free",0,IF(H254="credit",((E254*(F254))*G254*-1),IF(F254="Buy",(E254*G254),((E254*(1-F254))*G254))))</f>
        <v>0</v>
      </c>
      <c r="J254" s="490">
        <f>IF(H254="warranty",0,(I254*(_xlfn.SINGLE(SalesTaxPercentage))))</f>
        <v>0</v>
      </c>
      <c r="K254" s="695">
        <f t="shared" ref="K254" si="182">I254+J254</f>
        <v>0</v>
      </c>
      <c r="L254" s="695"/>
      <c r="M254" s="659" t="str">
        <f>IF(AND(G254&gt;0,E254=0),"WARNING - no PRICE inserted",IF(H254="free"," FREE ~ no charge this plant",IF(H254="credit",CONCATENATE(" -$",ROUND(K254*(1-T2GDiscount)*-1,2)," CREDIT after discount"),IF(T2GDiscount=0,"",IF(G254=0,"",IF(F254="Buy",CONCATENATE(" $",ROUND(K254*(1-T2GDiscount),2)," with ",(T2GDiscount*100),"% discount"),CONCATENATE(" $",ROUND(K254*(1-T2GDiscount),2)," with ",((T2GDiscount*100+F254*100)-(T2GDiscount*100*F254)),IF(F254&gt;0,"% discounts",IF(NoWarrantyDiscount&gt;0,"% discounts","% discount")))))))))</f>
        <v/>
      </c>
      <c r="N254" s="660"/>
      <c r="O254" s="233"/>
      <c r="P254" s="233"/>
      <c r="Q254" s="233"/>
      <c r="R254" s="233"/>
      <c r="S254" s="233"/>
      <c r="T254" s="508">
        <f t="shared" si="148"/>
        <v>0</v>
      </c>
      <c r="U254" s="225">
        <f>IF(NOT(ISNUMBER(G254)), "", VLOOKUP(A254,'Discount Lookup'!D:E,2,FALSE)*G254)</f>
        <v>0</v>
      </c>
      <c r="V254" s="225">
        <f>IF(NOT(ISNUMBER(G254)), "", VLOOKUP(A254,'Discount Lookup'!G:H,2,FALSE)*G254)</f>
        <v>0</v>
      </c>
      <c r="W254" s="508">
        <f t="shared" si="149"/>
        <v>0</v>
      </c>
      <c r="X254" s="508">
        <f t="shared" si="150"/>
        <v>0</v>
      </c>
      <c r="Y254" s="509" t="b">
        <f t="shared" si="151"/>
        <v>0</v>
      </c>
      <c r="Z254" s="510">
        <f t="shared" si="152"/>
        <v>0</v>
      </c>
      <c r="AA254" s="511"/>
      <c r="AB254" s="511" t="str">
        <f t="shared" si="153"/>
        <v/>
      </c>
      <c r="AC254" s="698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698"/>
      <c r="AE254" s="631" t="str">
        <f t="shared" si="154"/>
        <v/>
      </c>
      <c r="AF254" s="699" t="str">
        <f t="shared" si="155"/>
        <v/>
      </c>
      <c r="AG254" s="699"/>
      <c r="AH254" s="699"/>
      <c r="AI254" s="512">
        <f>IF(H254="credit",0,IF(AE254="free",0,IF(AE254="me",0,IF(G254&gt;0,(VLOOKUP(A254,'Discount Lookup'!J:K,2)*G254),0))))</f>
        <v>0</v>
      </c>
      <c r="AJ254" s="513" t="str">
        <f t="shared" ca="1" si="156"/>
        <v/>
      </c>
      <c r="AK254" s="700" t="str">
        <f t="shared" si="157"/>
        <v/>
      </c>
      <c r="AL254" s="700"/>
      <c r="AM254" s="505" t="str">
        <f t="shared" si="158"/>
        <v/>
      </c>
      <c r="AN254" s="506"/>
      <c r="AO254" s="507"/>
      <c r="AP254" s="507"/>
      <c r="AQ254" s="507"/>
      <c r="AR254" s="507"/>
      <c r="AS254" s="507"/>
      <c r="AT254" s="507"/>
      <c r="AU254" s="507"/>
      <c r="AV254" s="225"/>
      <c r="AW254" s="508"/>
      <c r="AX254" s="225"/>
      <c r="AY254" s="225"/>
      <c r="AZ254" s="225"/>
      <c r="BA254" s="225"/>
      <c r="BB254" s="225"/>
      <c r="BC254" s="56"/>
      <c r="BD254" s="56"/>
      <c r="BE254" s="56"/>
      <c r="BF254" s="107" t="str">
        <f t="shared" si="159"/>
        <v>https://www.google.com/search?tbm=isch&amp;q=3%20G2</v>
      </c>
      <c r="BG254" s="107" t="str">
        <f t="shared" si="160"/>
        <v>A</v>
      </c>
      <c r="BH254" s="254"/>
      <c r="BI254" s="254"/>
    </row>
    <row r="255" spans="1:61" customFormat="1" ht="17.25" thickBot="1" x14ac:dyDescent="0.3">
      <c r="A255" s="522" t="s">
        <v>2661</v>
      </c>
      <c r="B255" s="491"/>
      <c r="C255" s="675"/>
      <c r="D255" s="491"/>
      <c r="E255" s="491"/>
      <c r="F255" s="492"/>
      <c r="G255" s="493"/>
      <c r="H255" s="491"/>
      <c r="I255" s="234"/>
      <c r="J255" s="234"/>
      <c r="K255" s="494"/>
      <c r="L255" s="543"/>
      <c r="M255" s="561"/>
      <c r="N255" s="495"/>
      <c r="O255" s="496"/>
      <c r="P255" s="497"/>
      <c r="Q255" s="495"/>
      <c r="R255" s="495"/>
      <c r="S255" s="667" t="s">
        <v>4988</v>
      </c>
      <c r="T255" s="508">
        <f t="shared" si="148"/>
        <v>0</v>
      </c>
      <c r="U255" s="225" t="str">
        <f>IF(NOT(ISNUMBER(G255)), "", VLOOKUP(A255,'Discount Lookup'!D:E,2,FALSE)*G255)</f>
        <v/>
      </c>
      <c r="V255" s="225" t="str">
        <f>IF(NOT(ISNUMBER(G255)), "", VLOOKUP(A255,'Discount Lookup'!G:H,2,FALSE)*G255)</f>
        <v/>
      </c>
      <c r="W255" s="508">
        <f t="shared" si="149"/>
        <v>0</v>
      </c>
      <c r="X255" s="508">
        <f t="shared" si="150"/>
        <v>0</v>
      </c>
      <c r="Y255" s="509" t="b">
        <f t="shared" si="151"/>
        <v>0</v>
      </c>
      <c r="Z255" s="510">
        <f t="shared" si="152"/>
        <v>0</v>
      </c>
      <c r="AA255" s="511"/>
      <c r="AB255" s="511" t="str">
        <f t="shared" si="153"/>
        <v/>
      </c>
      <c r="AC255" s="698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698"/>
      <c r="AE255" s="631" t="str">
        <f t="shared" si="154"/>
        <v/>
      </c>
      <c r="AF255" s="699" t="str">
        <f t="shared" si="155"/>
        <v/>
      </c>
      <c r="AG255" s="699"/>
      <c r="AH255" s="699"/>
      <c r="AI255" s="512">
        <f>IF(H255="credit",0,IF(AE255="free",0,IF(AE255="me",0,IF(G255&gt;0,(VLOOKUP(A255,'Discount Lookup'!J:K,2)*G255),0))))</f>
        <v>0</v>
      </c>
      <c r="AJ255" s="513" t="str">
        <f t="shared" ca="1" si="156"/>
        <v/>
      </c>
      <c r="AK255" s="700" t="str">
        <f t="shared" si="157"/>
        <v/>
      </c>
      <c r="AL255" s="700"/>
      <c r="AM255" s="505" t="str">
        <f t="shared" si="158"/>
        <v/>
      </c>
      <c r="AN255" s="506"/>
      <c r="AO255" s="507"/>
      <c r="AP255" s="507"/>
      <c r="AQ255" s="507"/>
      <c r="AR255" s="507"/>
      <c r="AS255" s="507"/>
      <c r="AT255" s="507"/>
      <c r="AU255" s="507"/>
      <c r="AV255" s="225"/>
      <c r="AW255" s="508"/>
      <c r="AX255" s="225"/>
      <c r="AY255" s="225"/>
      <c r="AZ255" s="225"/>
      <c r="BA255" s="225"/>
      <c r="BB255" s="225"/>
      <c r="BC255" s="56"/>
      <c r="BD255" s="56"/>
      <c r="BE255" s="56"/>
      <c r="BF255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5" s="107" t="str">
        <f t="shared" si="160"/>
        <v>A</v>
      </c>
      <c r="BH255" s="254"/>
      <c r="BI255" s="254"/>
    </row>
    <row r="256" spans="1:61" customFormat="1" ht="18" x14ac:dyDescent="0.25">
      <c r="A256" s="521" t="s">
        <v>5338</v>
      </c>
      <c r="B256" s="477"/>
      <c r="C256" s="674"/>
      <c r="D256" s="478" t="s">
        <v>5339</v>
      </c>
      <c r="E256" s="479"/>
      <c r="F256" s="479"/>
      <c r="G256" s="479"/>
      <c r="H256" s="582" t="s">
        <v>2593</v>
      </c>
      <c r="I256" s="480" t="s">
        <v>2594</v>
      </c>
      <c r="J256" s="479"/>
      <c r="K256" s="479"/>
      <c r="L256" s="560"/>
      <c r="M256" s="666" t="s">
        <v>4966</v>
      </c>
      <c r="N256" s="680" t="str">
        <f>IF(AND(ISTEXT($A256), ISERROR($A256+0)), HYPERLINK($BF256, "Images"), "")</f>
        <v>Images</v>
      </c>
      <c r="O256" s="662" t="s">
        <v>4974</v>
      </c>
      <c r="P256" s="482"/>
      <c r="Q256" s="483"/>
      <c r="R256" s="483"/>
      <c r="S256" s="484"/>
      <c r="T256" s="508">
        <f t="shared" si="148"/>
        <v>0</v>
      </c>
      <c r="U256" s="225" t="str">
        <f>IF(NOT(ISNUMBER(G256)), "", VLOOKUP(A256,'Discount Lookup'!D:E,2,FALSE)*G256)</f>
        <v/>
      </c>
      <c r="V256" s="225" t="str">
        <f>IF(NOT(ISNUMBER(G256)), "", VLOOKUP(A256,'Discount Lookup'!G:H,2,FALSE)*G256)</f>
        <v/>
      </c>
      <c r="W256" s="508">
        <f t="shared" si="149"/>
        <v>0</v>
      </c>
      <c r="X256" s="508" t="str">
        <f t="shared" si="150"/>
        <v>Fuchsia-Pink bloom</v>
      </c>
      <c r="Y256" s="509" t="b">
        <f t="shared" si="151"/>
        <v>0</v>
      </c>
      <c r="Z256" s="510">
        <f t="shared" si="152"/>
        <v>0</v>
      </c>
      <c r="AA256" s="511"/>
      <c r="AB256" s="511" t="str">
        <f t="shared" si="153"/>
        <v/>
      </c>
      <c r="AC256" s="698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698"/>
      <c r="AE256" s="631" t="str">
        <f t="shared" si="154"/>
        <v/>
      </c>
      <c r="AF256" s="699" t="str">
        <f t="shared" si="155"/>
        <v/>
      </c>
      <c r="AG256" s="699"/>
      <c r="AH256" s="699"/>
      <c r="AI256" s="512">
        <f>IF(H256="credit",0,IF(AE256="free",0,IF(AE256="me",0,IF(G256&gt;0,(VLOOKUP(A256,'Discount Lookup'!J:K,2)*G256),0))))</f>
        <v>0</v>
      </c>
      <c r="AJ256" s="513" t="str">
        <f t="shared" ca="1" si="156"/>
        <v/>
      </c>
      <c r="AK256" s="700" t="str">
        <f t="shared" si="157"/>
        <v/>
      </c>
      <c r="AL256" s="700"/>
      <c r="AM256" s="505" t="str">
        <f t="shared" si="158"/>
        <v/>
      </c>
      <c r="AN256" s="506"/>
      <c r="AO256" s="507"/>
      <c r="AP256" s="507"/>
      <c r="AQ256" s="507"/>
      <c r="AR256" s="507"/>
      <c r="AS256" s="507"/>
      <c r="AT256" s="507"/>
      <c r="AU256" s="507"/>
      <c r="AV256" s="225"/>
      <c r="AW256" s="508"/>
      <c r="AX256" s="225"/>
      <c r="AY256" s="225"/>
      <c r="AZ256" s="225"/>
      <c r="BA256" s="225"/>
      <c r="BB256" s="225"/>
      <c r="BC256" s="56"/>
      <c r="BD256" s="56"/>
      <c r="BE256" s="56"/>
      <c r="BF256" s="107" t="str">
        <f t="shared" si="159"/>
        <v>https://www.google.com/search?tbm=isch&amp;q=Autumn%20Sundance%E2%84%A2%20Encore%C2%AE%20Azalea%20Rhod.%20Encore%C2%AE%20%27Roblef%27%20PP%2316184</v>
      </c>
      <c r="BG256" s="107" t="str">
        <f t="shared" si="160"/>
        <v>A</v>
      </c>
      <c r="BH256" s="254"/>
      <c r="BI256" s="254"/>
    </row>
    <row r="257" spans="1:61" customFormat="1" ht="15.75" x14ac:dyDescent="0.25">
      <c r="A257" s="485">
        <v>3</v>
      </c>
      <c r="B257" s="486" t="s">
        <v>291</v>
      </c>
      <c r="C257" s="487" t="s">
        <v>4853</v>
      </c>
      <c r="D257" s="488" t="s">
        <v>312</v>
      </c>
      <c r="E257" s="489">
        <v>29.95</v>
      </c>
      <c r="F257" s="516" t="s">
        <v>293</v>
      </c>
      <c r="G257" s="232">
        <v>0</v>
      </c>
      <c r="H257" s="658" t="str">
        <f>IF(G257=0,"",IF(F257="Buy",IF(G257=1,"plant","plants"),IF(F257&gt;0.01,"warranty","Error")))</f>
        <v/>
      </c>
      <c r="I257" s="490">
        <f>IF(H257="free",0,IF(H257="credit",((E257*(F257))*G257*-1),IF(F257="Buy",(E257*G257),((E257*(1-F257))*G257))))</f>
        <v>0</v>
      </c>
      <c r="J257" s="490">
        <f>IF(H257="warranty",0,(I257*(_xlfn.SINGLE(SalesTaxPercentage))))</f>
        <v>0</v>
      </c>
      <c r="K257" s="695">
        <f t="shared" ref="K257" si="183">I257+J257</f>
        <v>0</v>
      </c>
      <c r="L257" s="695"/>
      <c r="M257" s="659" t="str">
        <f>IF(AND(G257&gt;0,E257=0),"WARNING - no PRICE inserted",IF(H257="free"," FREE ~ no charge this plant",IF(H257="credit",CONCATENATE(" -$",ROUND(K257*(1-T2GDiscount)*-1,2)," CREDIT after discount"),IF(T2GDiscount=0,"",IF(G257=0,"",IF(F257="Buy",CONCATENATE(" $",ROUND(K257*(1-T2GDiscount),2)," with ",(T2GDiscount*100),"% discount"),CONCATENATE(" $",ROUND(K257*(1-T2GDiscount),2)," with ",((T2GDiscount*100+F257*100)-(T2GDiscount*100*F257)),IF(F257&gt;0,"% discounts",IF(NoWarrantyDiscount&gt;0,"% discounts","% discount")))))))))</f>
        <v/>
      </c>
      <c r="N257" s="660"/>
      <c r="O257" s="233"/>
      <c r="P257" s="233"/>
      <c r="Q257" s="233"/>
      <c r="R257" s="233"/>
      <c r="S257" s="233"/>
      <c r="T257" s="508">
        <f t="shared" si="148"/>
        <v>0</v>
      </c>
      <c r="U257" s="225">
        <f>IF(NOT(ISNUMBER(G257)), "", VLOOKUP(A257,'Discount Lookup'!D:E,2,FALSE)*G257)</f>
        <v>0</v>
      </c>
      <c r="V257" s="225">
        <f>IF(NOT(ISNUMBER(G257)), "", VLOOKUP(A257,'Discount Lookup'!G:H,2,FALSE)*G257)</f>
        <v>0</v>
      </c>
      <c r="W257" s="508">
        <f t="shared" si="149"/>
        <v>0</v>
      </c>
      <c r="X257" s="508">
        <f t="shared" si="150"/>
        <v>0</v>
      </c>
      <c r="Y257" s="509" t="b">
        <f t="shared" si="151"/>
        <v>0</v>
      </c>
      <c r="Z257" s="510">
        <f t="shared" si="152"/>
        <v>0</v>
      </c>
      <c r="AA257" s="511"/>
      <c r="AB257" s="511" t="str">
        <f t="shared" si="153"/>
        <v/>
      </c>
      <c r="AC257" s="698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698"/>
      <c r="AE257" s="631" t="str">
        <f t="shared" si="154"/>
        <v/>
      </c>
      <c r="AF257" s="699" t="str">
        <f t="shared" si="155"/>
        <v/>
      </c>
      <c r="AG257" s="699"/>
      <c r="AH257" s="699"/>
      <c r="AI257" s="512">
        <f>IF(H257="credit",0,IF(AE257="free",0,IF(AE257="me",0,IF(G257&gt;0,(VLOOKUP(A257,'Discount Lookup'!J:K,2)*G257),0))))</f>
        <v>0</v>
      </c>
      <c r="AJ257" s="513" t="str">
        <f t="shared" ca="1" si="156"/>
        <v/>
      </c>
      <c r="AK257" s="700" t="str">
        <f t="shared" si="157"/>
        <v/>
      </c>
      <c r="AL257" s="700"/>
      <c r="AM257" s="505" t="str">
        <f t="shared" si="158"/>
        <v/>
      </c>
      <c r="AN257" s="506"/>
      <c r="AO257" s="507"/>
      <c r="AP257" s="507"/>
      <c r="AQ257" s="507"/>
      <c r="AR257" s="507"/>
      <c r="AS257" s="507"/>
      <c r="AT257" s="507"/>
      <c r="AU257" s="507"/>
      <c r="AV257" s="225"/>
      <c r="AW257" s="508"/>
      <c r="AX257" s="225"/>
      <c r="AY257" s="225"/>
      <c r="AZ257" s="225"/>
      <c r="BA257" s="225"/>
      <c r="BB257" s="225"/>
      <c r="BC257" s="56"/>
      <c r="BD257" s="56"/>
      <c r="BE257" s="56"/>
      <c r="BF257" s="107" t="str">
        <f t="shared" si="159"/>
        <v>https://www.google.com/search?tbm=isch&amp;q=3%20G2</v>
      </c>
      <c r="BG257" s="107" t="str">
        <f t="shared" si="160"/>
        <v>A</v>
      </c>
      <c r="BH257" s="254"/>
      <c r="BI257" s="254"/>
    </row>
    <row r="258" spans="1:61" customFormat="1" ht="17.25" thickBot="1" x14ac:dyDescent="0.3">
      <c r="A258" s="522" t="s">
        <v>2661</v>
      </c>
      <c r="B258" s="491"/>
      <c r="C258" s="675"/>
      <c r="D258" s="491"/>
      <c r="E258" s="491"/>
      <c r="F258" s="492"/>
      <c r="G258" s="493"/>
      <c r="H258" s="491"/>
      <c r="I258" s="234"/>
      <c r="J258" s="234"/>
      <c r="K258" s="494"/>
      <c r="L258" s="543"/>
      <c r="M258" s="561"/>
      <c r="N258" s="495"/>
      <c r="O258" s="496"/>
      <c r="P258" s="497"/>
      <c r="Q258" s="495"/>
      <c r="R258" s="495"/>
      <c r="S258" s="667" t="s">
        <v>4988</v>
      </c>
      <c r="T258" s="508">
        <f t="shared" si="148"/>
        <v>0</v>
      </c>
      <c r="U258" s="225" t="str">
        <f>IF(NOT(ISNUMBER(G258)), "", VLOOKUP(A258,'Discount Lookup'!D:E,2,FALSE)*G258)</f>
        <v/>
      </c>
      <c r="V258" s="225" t="str">
        <f>IF(NOT(ISNUMBER(G258)), "", VLOOKUP(A258,'Discount Lookup'!G:H,2,FALSE)*G258)</f>
        <v/>
      </c>
      <c r="W258" s="508">
        <f t="shared" si="149"/>
        <v>0</v>
      </c>
      <c r="X258" s="508">
        <f t="shared" si="150"/>
        <v>0</v>
      </c>
      <c r="Y258" s="509" t="b">
        <f t="shared" si="151"/>
        <v>0</v>
      </c>
      <c r="Z258" s="510">
        <f t="shared" si="152"/>
        <v>0</v>
      </c>
      <c r="AA258" s="511"/>
      <c r="AB258" s="511" t="str">
        <f t="shared" si="153"/>
        <v/>
      </c>
      <c r="AC258" s="698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698"/>
      <c r="AE258" s="631" t="str">
        <f t="shared" si="154"/>
        <v/>
      </c>
      <c r="AF258" s="699" t="str">
        <f t="shared" si="155"/>
        <v/>
      </c>
      <c r="AG258" s="699"/>
      <c r="AH258" s="699"/>
      <c r="AI258" s="512">
        <f>IF(H258="credit",0,IF(AE258="free",0,IF(AE258="me",0,IF(G258&gt;0,(VLOOKUP(A258,'Discount Lookup'!J:K,2)*G258),0))))</f>
        <v>0</v>
      </c>
      <c r="AJ258" s="513" t="str">
        <f t="shared" ca="1" si="156"/>
        <v/>
      </c>
      <c r="AK258" s="700" t="str">
        <f t="shared" si="157"/>
        <v/>
      </c>
      <c r="AL258" s="700"/>
      <c r="AM258" s="505" t="str">
        <f t="shared" si="158"/>
        <v/>
      </c>
      <c r="AN258" s="506"/>
      <c r="AO258" s="507"/>
      <c r="AP258" s="507"/>
      <c r="AQ258" s="507"/>
      <c r="AR258" s="507"/>
      <c r="AS258" s="507"/>
      <c r="AT258" s="507"/>
      <c r="AU258" s="507"/>
      <c r="AV258" s="225"/>
      <c r="AW258" s="508"/>
      <c r="AX258" s="225"/>
      <c r="AY258" s="225"/>
      <c r="AZ258" s="225"/>
      <c r="BA258" s="225"/>
      <c r="BB258" s="225"/>
      <c r="BC258" s="56"/>
      <c r="BD258" s="56"/>
      <c r="BE258" s="56"/>
      <c r="BF258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8" s="107" t="str">
        <f t="shared" si="160"/>
        <v>A</v>
      </c>
      <c r="BH258" s="254"/>
      <c r="BI258" s="254"/>
    </row>
    <row r="259" spans="1:61" customFormat="1" ht="18" x14ac:dyDescent="0.25">
      <c r="A259" s="521" t="s">
        <v>5340</v>
      </c>
      <c r="B259" s="477"/>
      <c r="C259" s="674"/>
      <c r="D259" s="478" t="s">
        <v>5341</v>
      </c>
      <c r="E259" s="479"/>
      <c r="F259" s="479"/>
      <c r="G259" s="479"/>
      <c r="H259" s="582" t="s">
        <v>2582</v>
      </c>
      <c r="I259" s="480" t="s">
        <v>2595</v>
      </c>
      <c r="J259" s="479"/>
      <c r="K259" s="479"/>
      <c r="L259" s="560"/>
      <c r="M259" s="666" t="s">
        <v>4966</v>
      </c>
      <c r="N259" s="680" t="str">
        <f>IF(AND(ISTEXT($A259), ISERROR($A259+0)), HYPERLINK($BF259, "Images"), "")</f>
        <v>Images</v>
      </c>
      <c r="O259" s="662" t="s">
        <v>4974</v>
      </c>
      <c r="P259" s="482"/>
      <c r="Q259" s="483"/>
      <c r="R259" s="483"/>
      <c r="S259" s="484"/>
      <c r="T259" s="508">
        <f t="shared" si="148"/>
        <v>0</v>
      </c>
      <c r="U259" s="225" t="str">
        <f>IF(NOT(ISNUMBER(G259)), "", VLOOKUP(A259,'Discount Lookup'!D:E,2,FALSE)*G259)</f>
        <v/>
      </c>
      <c r="V259" s="225" t="str">
        <f>IF(NOT(ISNUMBER(G259)), "", VLOOKUP(A259,'Discount Lookup'!G:H,2,FALSE)*G259)</f>
        <v/>
      </c>
      <c r="W259" s="508">
        <f t="shared" si="149"/>
        <v>0</v>
      </c>
      <c r="X259" s="508" t="str">
        <f t="shared" si="150"/>
        <v>White +Purple stripes</v>
      </c>
      <c r="Y259" s="509" t="b">
        <f t="shared" si="151"/>
        <v>0</v>
      </c>
      <c r="Z259" s="510">
        <f t="shared" si="152"/>
        <v>0</v>
      </c>
      <c r="AA259" s="511"/>
      <c r="AB259" s="511" t="str">
        <f t="shared" si="153"/>
        <v/>
      </c>
      <c r="AC259" s="698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698"/>
      <c r="AE259" s="631" t="str">
        <f t="shared" si="154"/>
        <v/>
      </c>
      <c r="AF259" s="699" t="str">
        <f t="shared" si="155"/>
        <v/>
      </c>
      <c r="AG259" s="699"/>
      <c r="AH259" s="699"/>
      <c r="AI259" s="512">
        <f>IF(H259="credit",0,IF(AE259="free",0,IF(AE259="me",0,IF(G259&gt;0,(VLOOKUP(A259,'Discount Lookup'!J:K,2)*G259),0))))</f>
        <v>0</v>
      </c>
      <c r="AJ259" s="513" t="str">
        <f t="shared" ca="1" si="156"/>
        <v/>
      </c>
      <c r="AK259" s="700" t="str">
        <f t="shared" si="157"/>
        <v/>
      </c>
      <c r="AL259" s="700"/>
      <c r="AM259" s="505" t="str">
        <f t="shared" si="158"/>
        <v/>
      </c>
      <c r="AN259" s="506"/>
      <c r="AO259" s="507"/>
      <c r="AP259" s="507"/>
      <c r="AQ259" s="507"/>
      <c r="AR259" s="507"/>
      <c r="AS259" s="507"/>
      <c r="AT259" s="507"/>
      <c r="AU259" s="507"/>
      <c r="AV259" s="225"/>
      <c r="AW259" s="508"/>
      <c r="AX259" s="225"/>
      <c r="AY259" s="225"/>
      <c r="AZ259" s="225"/>
      <c r="BA259" s="225"/>
      <c r="BB259" s="225"/>
      <c r="BC259" s="56"/>
      <c r="BD259" s="56"/>
      <c r="BE259" s="56"/>
      <c r="BF259" s="107" t="str">
        <f t="shared" si="159"/>
        <v>https://www.google.com/search?tbm=isch&amp;q=Autumn%20Twist%C2%AE%20Encore%C2%AE%20Azalea%20Rhod.%20Encore%C2%AE%20%27Conlep%27%20PP%2312133</v>
      </c>
      <c r="BG259" s="107" t="str">
        <f t="shared" si="160"/>
        <v>A</v>
      </c>
      <c r="BH259" s="254"/>
      <c r="BI259" s="254"/>
    </row>
    <row r="260" spans="1:61" customFormat="1" ht="15.75" x14ac:dyDescent="0.25">
      <c r="A260" s="485">
        <v>3</v>
      </c>
      <c r="B260" s="486" t="s">
        <v>291</v>
      </c>
      <c r="C260" s="487" t="s">
        <v>445</v>
      </c>
      <c r="D260" s="488" t="s">
        <v>312</v>
      </c>
      <c r="E260" s="489">
        <v>29.95</v>
      </c>
      <c r="F260" s="516" t="s">
        <v>293</v>
      </c>
      <c r="G260" s="232">
        <v>0</v>
      </c>
      <c r="H260" s="658" t="str">
        <f>IF(G260=0,"",IF(F260="Buy",IF(G260=1,"plant","plants"),IF(F260&gt;0.01,"warranty","Error")))</f>
        <v/>
      </c>
      <c r="I260" s="490">
        <f>IF(H260="free",0,IF(H260="credit",((E260*(F260))*G260*-1),IF(F260="Buy",(E260*G260),((E260*(1-F260))*G260))))</f>
        <v>0</v>
      </c>
      <c r="J260" s="490">
        <f>IF(H260="warranty",0,(I260*(_xlfn.SINGLE(SalesTaxPercentage))))</f>
        <v>0</v>
      </c>
      <c r="K260" s="695">
        <f t="shared" ref="K260" si="184">I260+J260</f>
        <v>0</v>
      </c>
      <c r="L260" s="695"/>
      <c r="M260" s="659" t="str">
        <f>IF(AND(G260&gt;0,E260=0),"WARNING - no PRICE inserted",IF(H260="free"," FREE ~ no charge this plant",IF(H260="credit",CONCATENATE(" -$",ROUND(K260*(1-T2GDiscount)*-1,2)," CREDIT after discount"),IF(T2GDiscount=0,"",IF(G260=0,"",IF(F260="Buy",CONCATENATE(" $",ROUND(K260*(1-T2GDiscount),2)," with ",(T2GDiscount*100),"% discount"),CONCATENATE(" $",ROUND(K260*(1-T2GDiscount),2)," with ",((T2GDiscount*100+F260*100)-(T2GDiscount*100*F260)),IF(F260&gt;0,"% discounts",IF(NoWarrantyDiscount&gt;0,"% discounts","% discount")))))))))</f>
        <v/>
      </c>
      <c r="N260" s="660"/>
      <c r="O260" s="233"/>
      <c r="P260" s="233"/>
      <c r="Q260" s="233"/>
      <c r="R260" s="233"/>
      <c r="S260" s="233"/>
      <c r="T260" s="508">
        <f t="shared" si="148"/>
        <v>0</v>
      </c>
      <c r="U260" s="225">
        <f>IF(NOT(ISNUMBER(G260)), "", VLOOKUP(A260,'Discount Lookup'!D:E,2,FALSE)*G260)</f>
        <v>0</v>
      </c>
      <c r="V260" s="225">
        <f>IF(NOT(ISNUMBER(G260)), "", VLOOKUP(A260,'Discount Lookup'!G:H,2,FALSE)*G260)</f>
        <v>0</v>
      </c>
      <c r="W260" s="508">
        <f t="shared" si="149"/>
        <v>0</v>
      </c>
      <c r="X260" s="508">
        <f t="shared" si="150"/>
        <v>0</v>
      </c>
      <c r="Y260" s="509" t="b">
        <f t="shared" si="151"/>
        <v>0</v>
      </c>
      <c r="Z260" s="510">
        <f t="shared" si="152"/>
        <v>0</v>
      </c>
      <c r="AA260" s="511"/>
      <c r="AB260" s="511" t="str">
        <f t="shared" si="153"/>
        <v/>
      </c>
      <c r="AC260" s="698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698"/>
      <c r="AE260" s="631" t="str">
        <f t="shared" si="154"/>
        <v/>
      </c>
      <c r="AF260" s="699" t="str">
        <f t="shared" si="155"/>
        <v/>
      </c>
      <c r="AG260" s="699"/>
      <c r="AH260" s="699"/>
      <c r="AI260" s="512">
        <f>IF(H260="credit",0,IF(AE260="free",0,IF(AE260="me",0,IF(G260&gt;0,(VLOOKUP(A260,'Discount Lookup'!J:K,2)*G260),0))))</f>
        <v>0</v>
      </c>
      <c r="AJ260" s="513" t="str">
        <f t="shared" ca="1" si="156"/>
        <v/>
      </c>
      <c r="AK260" s="700" t="str">
        <f t="shared" si="157"/>
        <v/>
      </c>
      <c r="AL260" s="700"/>
      <c r="AM260" s="505" t="str">
        <f t="shared" si="158"/>
        <v/>
      </c>
      <c r="AN260" s="506"/>
      <c r="AO260" s="507"/>
      <c r="AP260" s="507"/>
      <c r="AQ260" s="507"/>
      <c r="AR260" s="507"/>
      <c r="AS260" s="507"/>
      <c r="AT260" s="507"/>
      <c r="AU260" s="507"/>
      <c r="AV260" s="225"/>
      <c r="AW260" s="508"/>
      <c r="AX260" s="225"/>
      <c r="AY260" s="225"/>
      <c r="AZ260" s="225"/>
      <c r="BA260" s="225"/>
      <c r="BB260" s="225"/>
      <c r="BC260" s="56"/>
      <c r="BD260" s="56"/>
      <c r="BE260" s="56"/>
      <c r="BF260" s="107" t="str">
        <f t="shared" si="159"/>
        <v>https://www.google.com/search?tbm=isch&amp;q=3%20G2</v>
      </c>
      <c r="BG260" s="107" t="str">
        <f t="shared" si="160"/>
        <v>A</v>
      </c>
      <c r="BH260" s="254"/>
      <c r="BI260" s="254"/>
    </row>
    <row r="261" spans="1:61" customFormat="1" ht="17.25" thickBot="1" x14ac:dyDescent="0.3">
      <c r="A261" s="522" t="s">
        <v>2661</v>
      </c>
      <c r="B261" s="491"/>
      <c r="C261" s="675"/>
      <c r="D261" s="491"/>
      <c r="E261" s="491"/>
      <c r="F261" s="492"/>
      <c r="G261" s="493"/>
      <c r="H261" s="491"/>
      <c r="I261" s="234"/>
      <c r="J261" s="234"/>
      <c r="K261" s="494"/>
      <c r="L261" s="543"/>
      <c r="M261" s="561"/>
      <c r="N261" s="495"/>
      <c r="O261" s="496"/>
      <c r="P261" s="497"/>
      <c r="Q261" s="495"/>
      <c r="R261" s="495"/>
      <c r="S261" s="667" t="s">
        <v>4988</v>
      </c>
      <c r="T261" s="508">
        <f t="shared" si="148"/>
        <v>0</v>
      </c>
      <c r="U261" s="225" t="str">
        <f>IF(NOT(ISNUMBER(G261)), "", VLOOKUP(A261,'Discount Lookup'!D:E,2,FALSE)*G261)</f>
        <v/>
      </c>
      <c r="V261" s="225" t="str">
        <f>IF(NOT(ISNUMBER(G261)), "", VLOOKUP(A261,'Discount Lookup'!G:H,2,FALSE)*G261)</f>
        <v/>
      </c>
      <c r="W261" s="508">
        <f t="shared" si="149"/>
        <v>0</v>
      </c>
      <c r="X261" s="508">
        <f t="shared" si="150"/>
        <v>0</v>
      </c>
      <c r="Y261" s="509" t="b">
        <f t="shared" si="151"/>
        <v>0</v>
      </c>
      <c r="Z261" s="510">
        <f t="shared" si="152"/>
        <v>0</v>
      </c>
      <c r="AA261" s="511"/>
      <c r="AB261" s="511" t="str">
        <f t="shared" si="153"/>
        <v/>
      </c>
      <c r="AC261" s="698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698"/>
      <c r="AE261" s="631" t="str">
        <f t="shared" si="154"/>
        <v/>
      </c>
      <c r="AF261" s="699" t="str">
        <f t="shared" si="155"/>
        <v/>
      </c>
      <c r="AG261" s="699"/>
      <c r="AH261" s="699"/>
      <c r="AI261" s="512">
        <f>IF(H261="credit",0,IF(AE261="free",0,IF(AE261="me",0,IF(G261&gt;0,(VLOOKUP(A261,'Discount Lookup'!J:K,2)*G261),0))))</f>
        <v>0</v>
      </c>
      <c r="AJ261" s="513" t="str">
        <f t="shared" ca="1" si="156"/>
        <v/>
      </c>
      <c r="AK261" s="700" t="str">
        <f t="shared" si="157"/>
        <v/>
      </c>
      <c r="AL261" s="700"/>
      <c r="AM261" s="505" t="str">
        <f t="shared" si="158"/>
        <v/>
      </c>
      <c r="AN261" s="506"/>
      <c r="AO261" s="507"/>
      <c r="AP261" s="507"/>
      <c r="AQ261" s="507"/>
      <c r="AR261" s="507"/>
      <c r="AS261" s="507"/>
      <c r="AT261" s="507"/>
      <c r="AU261" s="507"/>
      <c r="AV261" s="225"/>
      <c r="AW261" s="508"/>
      <c r="AX261" s="225"/>
      <c r="AY261" s="225"/>
      <c r="AZ261" s="225"/>
      <c r="BA261" s="225"/>
      <c r="BB261" s="225"/>
      <c r="BC261" s="56"/>
      <c r="BD261" s="56"/>
      <c r="BE261" s="56"/>
      <c r="BF261" s="107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61" s="107" t="str">
        <f t="shared" si="160"/>
        <v>A</v>
      </c>
      <c r="BH261" s="254"/>
      <c r="BI261" s="254"/>
    </row>
    <row r="262" spans="1:61" customFormat="1" ht="18" x14ac:dyDescent="0.25">
      <c r="A262" s="523" t="s">
        <v>427</v>
      </c>
      <c r="B262" s="235"/>
      <c r="C262" s="676"/>
      <c r="D262" s="255" t="s">
        <v>426</v>
      </c>
      <c r="E262" s="236"/>
      <c r="F262" s="236"/>
      <c r="G262" s="236"/>
      <c r="H262" s="582" t="s">
        <v>370</v>
      </c>
      <c r="I262" s="498" t="s">
        <v>2114</v>
      </c>
      <c r="J262" s="237"/>
      <c r="K262" s="237"/>
      <c r="L262" s="274"/>
      <c r="M262" s="668" t="s">
        <v>4975</v>
      </c>
      <c r="N262" s="681" t="str">
        <f>IF(AND(ISTEXT($A262), ISERROR($A262+0)), HYPERLINK($BF262, "Images"), "")</f>
        <v>Images</v>
      </c>
      <c r="O262" s="663" t="s">
        <v>4971</v>
      </c>
      <c r="P262" s="253"/>
      <c r="Q262" s="238"/>
      <c r="R262" s="239"/>
      <c r="S262" s="275"/>
      <c r="T262" s="508">
        <f t="shared" si="148"/>
        <v>0</v>
      </c>
      <c r="U262" s="225" t="str">
        <f>IF(NOT(ISNUMBER(G262)), "", VLOOKUP(A262,'Discount Lookup'!D:E,2,FALSE)*G262)</f>
        <v/>
      </c>
      <c r="V262" s="225" t="str">
        <f>IF(NOT(ISNUMBER(G262)), "", VLOOKUP(A262,'Discount Lookup'!G:H,2,FALSE)*G262)</f>
        <v/>
      </c>
      <c r="W262" s="508">
        <f t="shared" si="149"/>
        <v>0</v>
      </c>
      <c r="X262" s="508" t="str">
        <f t="shared" si="150"/>
        <v>Pink to White bloom</v>
      </c>
      <c r="Y262" s="509" t="b">
        <f t="shared" si="151"/>
        <v>0</v>
      </c>
      <c r="Z262" s="510">
        <f t="shared" si="152"/>
        <v>0</v>
      </c>
      <c r="AA262" s="511"/>
      <c r="AB262" s="511" t="str">
        <f t="shared" si="153"/>
        <v/>
      </c>
      <c r="AC262" s="698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698"/>
      <c r="AE262" s="631" t="str">
        <f t="shared" si="154"/>
        <v/>
      </c>
      <c r="AF262" s="699" t="str">
        <f t="shared" si="155"/>
        <v/>
      </c>
      <c r="AG262" s="699"/>
      <c r="AH262" s="699"/>
      <c r="AI262" s="512">
        <f>IF(H262="credit",0,IF(AE262="free",0,IF(AE262="me",0,IF(G262&gt;0,(VLOOKUP(A262,'Discount Lookup'!J:K,2)*G262),0))))</f>
        <v>0</v>
      </c>
      <c r="AJ262" s="513" t="str">
        <f t="shared" ca="1" si="156"/>
        <v/>
      </c>
      <c r="AK262" s="700" t="str">
        <f t="shared" si="157"/>
        <v/>
      </c>
      <c r="AL262" s="700"/>
      <c r="AM262" s="505" t="str">
        <f t="shared" si="158"/>
        <v/>
      </c>
      <c r="AN262" s="506"/>
      <c r="AO262" s="507"/>
      <c r="AP262" s="507"/>
      <c r="AQ262" s="507"/>
      <c r="AR262" s="507"/>
      <c r="AS262" s="507"/>
      <c r="AT262" s="507"/>
      <c r="AU262" s="507"/>
      <c r="AV262" s="225"/>
      <c r="AW262" s="508"/>
      <c r="AX262" s="225"/>
      <c r="AY262" s="225"/>
      <c r="AZ262" s="225"/>
      <c r="BA262" s="225"/>
      <c r="BB262" s="225"/>
      <c r="BC262" s="56"/>
      <c r="BD262" s="56"/>
      <c r="BE262" s="56"/>
      <c r="BF262" s="107" t="str">
        <f t="shared" si="159"/>
        <v>https://www.google.com/search?tbm=isch&amp;q=Autumnalis%20Higan%20Cherry%20Prunus%20x%20subhirtella%20%27Autumnalis%27</v>
      </c>
      <c r="BG262" s="107" t="str">
        <f t="shared" si="160"/>
        <v>A</v>
      </c>
      <c r="BH262" s="254"/>
      <c r="BI262" s="254"/>
    </row>
    <row r="263" spans="1:61" customFormat="1" ht="15.75" x14ac:dyDescent="0.25">
      <c r="A263" s="276">
        <v>7</v>
      </c>
      <c r="B263" s="240" t="s">
        <v>291</v>
      </c>
      <c r="C263" s="241" t="s">
        <v>3319</v>
      </c>
      <c r="D263" s="242" t="s">
        <v>292</v>
      </c>
      <c r="E263" s="243">
        <v>102.95</v>
      </c>
      <c r="F263" s="517" t="s">
        <v>293</v>
      </c>
      <c r="G263" s="232">
        <v>0</v>
      </c>
      <c r="H263" s="661" t="str">
        <f>IF(G263=0,"",IF(F263="Buy",IF(G263=1,"plant","plants"),IF(F263&gt;0.01,"warranty","Error")))</f>
        <v/>
      </c>
      <c r="I263" s="244">
        <f>IF(H263="free",0,IF(H263="credit",((E263*(F263))*G263*-1),IF(F263="Buy",(E263*G263),((E263*(1-F263))*G263))))</f>
        <v>0</v>
      </c>
      <c r="J263" s="244">
        <f>IF(H263="warranty",0,(I263*(_xlfn.SINGLE(SalesTaxPercentage))))</f>
        <v>0</v>
      </c>
      <c r="K263" s="696">
        <f t="shared" ref="K263" si="185">I263+J263</f>
        <v>0</v>
      </c>
      <c r="L263" s="696"/>
      <c r="M263" s="659" t="str">
        <f>IF(AND(G263&gt;0,E263=0),"WARNING - no PRICE inserted",IF(H263="free"," FREE ~ no charge this plant",IF(H263="credit",CONCATENATE(" -$",ROUND(K263*(1-T2GDiscount)*-1,2)," CREDIT after discount"),IF(T2GDiscount=0,"",IF(G263=0,"",IF(F263="Buy",CONCATENATE(" $",ROUND(K263*(1-T2GDiscount),2)," with ",(T2GDiscount*100),"% discount"),CONCATENATE(" $",ROUND(K263*(1-T2GDiscount),2)," with ",((T2GDiscount*100+F263*100)-(T2GDiscount*100*F263)),IF(F263&gt;0,"% discounts",IF(NoWarrantyDiscount&gt;0,"% discounts","% discount")))))))))</f>
        <v/>
      </c>
      <c r="N263" s="660"/>
      <c r="O263" s="233"/>
      <c r="P263" s="233"/>
      <c r="Q263" s="233"/>
      <c r="R263" s="233"/>
      <c r="S263" s="233"/>
      <c r="T263" s="508">
        <f t="shared" si="148"/>
        <v>0</v>
      </c>
      <c r="U263" s="225">
        <f>IF(NOT(ISNUMBER(G263)), "", VLOOKUP(A263,'Discount Lookup'!D:E,2,FALSE)*G263)</f>
        <v>0</v>
      </c>
      <c r="V263" s="225">
        <f>IF(NOT(ISNUMBER(G263)), "", VLOOKUP(A263,'Discount Lookup'!G:H,2,FALSE)*G263)</f>
        <v>0</v>
      </c>
      <c r="W263" s="508">
        <f t="shared" si="149"/>
        <v>0</v>
      </c>
      <c r="X263" s="508">
        <f t="shared" si="150"/>
        <v>0</v>
      </c>
      <c r="Y263" s="509" t="b">
        <f t="shared" si="151"/>
        <v>0</v>
      </c>
      <c r="Z263" s="510">
        <f t="shared" si="152"/>
        <v>0</v>
      </c>
      <c r="AA263" s="511"/>
      <c r="AB263" s="511" t="str">
        <f t="shared" si="153"/>
        <v/>
      </c>
      <c r="AC263" s="698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698"/>
      <c r="AE263" s="631" t="str">
        <f t="shared" si="154"/>
        <v/>
      </c>
      <c r="AF263" s="699" t="str">
        <f t="shared" si="155"/>
        <v/>
      </c>
      <c r="AG263" s="699"/>
      <c r="AH263" s="699"/>
      <c r="AI263" s="512">
        <f>IF(H263="credit",0,IF(AE263="free",0,IF(AE263="me",0,IF(G263&gt;0,(VLOOKUP(A263,'Discount Lookup'!J:K,2)*G263),0))))</f>
        <v>0</v>
      </c>
      <c r="AJ263" s="513" t="str">
        <f t="shared" ca="1" si="156"/>
        <v/>
      </c>
      <c r="AK263" s="700" t="str">
        <f t="shared" si="157"/>
        <v/>
      </c>
      <c r="AL263" s="700"/>
      <c r="AM263" s="505" t="str">
        <f t="shared" si="158"/>
        <v/>
      </c>
      <c r="AN263" s="506"/>
      <c r="AO263" s="507"/>
      <c r="AP263" s="507"/>
      <c r="AQ263" s="507"/>
      <c r="AR263" s="507"/>
      <c r="AS263" s="507"/>
      <c r="AT263" s="507"/>
      <c r="AU263" s="507"/>
      <c r="AV263" s="225"/>
      <c r="AW263" s="508"/>
      <c r="AX263" s="225"/>
      <c r="AY263" s="225"/>
      <c r="AZ263" s="225"/>
      <c r="BA263" s="225"/>
      <c r="BB263" s="225"/>
      <c r="BC263" s="56"/>
      <c r="BD263" s="56"/>
      <c r="BE263" s="56"/>
      <c r="BF263" s="107" t="str">
        <f t="shared" si="159"/>
        <v>https://www.google.com/search?tbm=isch&amp;q=7%20G4</v>
      </c>
      <c r="BG263" s="107" t="str">
        <f t="shared" si="160"/>
        <v>A</v>
      </c>
      <c r="BH263" s="254"/>
      <c r="BI263" s="254"/>
    </row>
    <row r="264" spans="1:61" customFormat="1" ht="15.75" x14ac:dyDescent="0.25">
      <c r="A264" s="276">
        <v>15</v>
      </c>
      <c r="B264" s="240" t="s">
        <v>291</v>
      </c>
      <c r="C264" s="241" t="s">
        <v>4733</v>
      </c>
      <c r="D264" s="242" t="s">
        <v>292</v>
      </c>
      <c r="E264" s="243">
        <v>178.95</v>
      </c>
      <c r="F264" s="517" t="s">
        <v>293</v>
      </c>
      <c r="G264" s="232">
        <v>0</v>
      </c>
      <c r="H264" s="661" t="str">
        <f>IF(G264=0,"",IF(F264="Buy",IF(G264=1,"plant","plants"),IF(F264&gt;0.01,"warranty","Error")))</f>
        <v/>
      </c>
      <c r="I264" s="244">
        <f>IF(H264="free",0,IF(H264="credit",((E264*(F264))*G264*-1),IF(F264="Buy",(E264*G264),((E264*(1-F264))*G264))))</f>
        <v>0</v>
      </c>
      <c r="J264" s="244">
        <f>IF(H264="warranty",0,(I264*(_xlfn.SINGLE(SalesTaxPercentage))))</f>
        <v>0</v>
      </c>
      <c r="K264" s="696">
        <f t="shared" ref="K264" si="186">I264+J264</f>
        <v>0</v>
      </c>
      <c r="L264" s="696"/>
      <c r="M264" s="659" t="str">
        <f>IF(AND(G264&gt;0,E264=0),"WARNING - no PRICE inserted",IF(H264="free"," FREE ~ no charge this plant",IF(H264="credit",CONCATENATE(" -$",ROUND(K264*(1-T2GDiscount)*-1,2)," CREDIT after discount"),IF(T2GDiscount=0,"",IF(G264=0,"",IF(F264="Buy",CONCATENATE(" $",ROUND(K264*(1-T2GDiscount),2)," with ",(T2GDiscount*100),"% discount"),CONCATENATE(" $",ROUND(K264*(1-T2GDiscount),2)," with ",((T2GDiscount*100+F264*100)-(T2GDiscount*100*F264)),IF(F264&gt;0,"% discounts",IF(NoWarrantyDiscount&gt;0,"% discounts","% discount")))))))))</f>
        <v/>
      </c>
      <c r="N264" s="660"/>
      <c r="O264" s="233"/>
      <c r="P264" s="233"/>
      <c r="Q264" s="233"/>
      <c r="R264" s="233"/>
      <c r="S264" s="233"/>
      <c r="T264" s="508">
        <f t="shared" si="148"/>
        <v>0</v>
      </c>
      <c r="U264" s="225">
        <f>IF(NOT(ISNUMBER(G264)), "", VLOOKUP(A264,'Discount Lookup'!D:E,2,FALSE)*G264)</f>
        <v>0</v>
      </c>
      <c r="V264" s="225">
        <f>IF(NOT(ISNUMBER(G264)), "", VLOOKUP(A264,'Discount Lookup'!G:H,2,FALSE)*G264)</f>
        <v>0</v>
      </c>
      <c r="W264" s="508">
        <f t="shared" si="149"/>
        <v>0</v>
      </c>
      <c r="X264" s="508">
        <f t="shared" si="150"/>
        <v>0</v>
      </c>
      <c r="Y264" s="509" t="b">
        <f t="shared" si="151"/>
        <v>0</v>
      </c>
      <c r="Z264" s="510">
        <f t="shared" si="152"/>
        <v>0</v>
      </c>
      <c r="AA264" s="511"/>
      <c r="AB264" s="511" t="str">
        <f t="shared" si="153"/>
        <v/>
      </c>
      <c r="AC264" s="698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698"/>
      <c r="AE264" s="631" t="str">
        <f t="shared" si="154"/>
        <v/>
      </c>
      <c r="AF264" s="699" t="str">
        <f t="shared" si="155"/>
        <v/>
      </c>
      <c r="AG264" s="699"/>
      <c r="AH264" s="699"/>
      <c r="AI264" s="512">
        <f>IF(H264="credit",0,IF(AE264="free",0,IF(AE264="me",0,IF(G264&gt;0,(VLOOKUP(A264,'Discount Lookup'!J:K,2)*G264),0))))</f>
        <v>0</v>
      </c>
      <c r="AJ264" s="513" t="str">
        <f t="shared" ca="1" si="156"/>
        <v/>
      </c>
      <c r="AK264" s="700" t="str">
        <f t="shared" si="157"/>
        <v/>
      </c>
      <c r="AL264" s="700"/>
      <c r="AM264" s="505" t="str">
        <f t="shared" si="158"/>
        <v/>
      </c>
      <c r="AN264" s="506"/>
      <c r="AO264" s="507"/>
      <c r="AP264" s="507"/>
      <c r="AQ264" s="507"/>
      <c r="AR264" s="507"/>
      <c r="AS264" s="507"/>
      <c r="AT264" s="507"/>
      <c r="AU264" s="507"/>
      <c r="AV264" s="225"/>
      <c r="AW264" s="508"/>
      <c r="AX264" s="225"/>
      <c r="AY264" s="225"/>
      <c r="AZ264" s="225"/>
      <c r="BA264" s="225"/>
      <c r="BB264" s="225"/>
      <c r="BC264" s="56"/>
      <c r="BD264" s="56"/>
      <c r="BE264" s="56"/>
      <c r="BF264" s="107" t="str">
        <f t="shared" si="159"/>
        <v>https://www.google.com/search?tbm=isch&amp;q=15%20G4</v>
      </c>
      <c r="BG264" s="107" t="str">
        <f t="shared" si="160"/>
        <v>A</v>
      </c>
      <c r="BH264" s="254"/>
      <c r="BI264" s="254"/>
    </row>
    <row r="265" spans="1:61" customFormat="1" ht="17.25" thickBot="1" x14ac:dyDescent="0.3">
      <c r="A265" s="524" t="s">
        <v>2332</v>
      </c>
      <c r="B265" s="245"/>
      <c r="C265" s="677"/>
      <c r="D265" s="499"/>
      <c r="E265" s="499"/>
      <c r="F265" s="500"/>
      <c r="G265" s="501"/>
      <c r="H265" s="502"/>
      <c r="I265" s="246"/>
      <c r="J265" s="247"/>
      <c r="K265" s="503"/>
      <c r="L265" s="544"/>
      <c r="M265" s="544"/>
      <c r="N265" s="500"/>
      <c r="O265" s="500"/>
      <c r="P265" s="500"/>
      <c r="Q265" s="500"/>
      <c r="R265" s="500"/>
      <c r="S265" s="669" t="s">
        <v>4972</v>
      </c>
      <c r="T265" s="508">
        <f t="shared" si="148"/>
        <v>0</v>
      </c>
      <c r="U265" s="225" t="str">
        <f>IF(NOT(ISNUMBER(G265)), "", VLOOKUP(A265,'Discount Lookup'!D:E,2,FALSE)*G265)</f>
        <v/>
      </c>
      <c r="V265" s="225" t="str">
        <f>IF(NOT(ISNUMBER(G265)), "", VLOOKUP(A265,'Discount Lookup'!G:H,2,FALSE)*G265)</f>
        <v/>
      </c>
      <c r="W265" s="508">
        <f t="shared" si="149"/>
        <v>0</v>
      </c>
      <c r="X265" s="508">
        <f t="shared" si="150"/>
        <v>0</v>
      </c>
      <c r="Y265" s="509" t="b">
        <f t="shared" si="151"/>
        <v>0</v>
      </c>
      <c r="Z265" s="510">
        <f t="shared" si="152"/>
        <v>0</v>
      </c>
      <c r="AA265" s="511"/>
      <c r="AB265" s="511" t="str">
        <f t="shared" si="153"/>
        <v/>
      </c>
      <c r="AC265" s="698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698"/>
      <c r="AE265" s="631" t="str">
        <f t="shared" si="154"/>
        <v/>
      </c>
      <c r="AF265" s="699" t="str">
        <f t="shared" si="155"/>
        <v/>
      </c>
      <c r="AG265" s="699"/>
      <c r="AH265" s="699"/>
      <c r="AI265" s="512">
        <f>IF(H265="credit",0,IF(AE265="free",0,IF(AE265="me",0,IF(G265&gt;0,(VLOOKUP(A265,'Discount Lookup'!J:K,2)*G265),0))))</f>
        <v>0</v>
      </c>
      <c r="AJ265" s="513" t="str">
        <f t="shared" ca="1" si="156"/>
        <v/>
      </c>
      <c r="AK265" s="700" t="str">
        <f t="shared" si="157"/>
        <v/>
      </c>
      <c r="AL265" s="700"/>
      <c r="AM265" s="505" t="str">
        <f t="shared" si="158"/>
        <v/>
      </c>
      <c r="AN265" s="506"/>
      <c r="AO265" s="507"/>
      <c r="AP265" s="507"/>
      <c r="AQ265" s="507"/>
      <c r="AR265" s="507"/>
      <c r="AS265" s="507"/>
      <c r="AT265" s="507"/>
      <c r="AU265" s="507"/>
      <c r="AV265" s="225"/>
      <c r="AW265" s="508"/>
      <c r="AX265" s="225"/>
      <c r="AY265" s="225"/>
      <c r="AZ265" s="225"/>
      <c r="BA265" s="225"/>
      <c r="BB265" s="225"/>
      <c r="BC265" s="56"/>
      <c r="BD265" s="56"/>
      <c r="BE265" s="56"/>
      <c r="BF265" s="107" t="str">
        <f t="shared" si="159"/>
        <v>https://www.google.com/search?tbm=isch&amp;q=Autumnalis%20known%20for%20mutilple%20blooms%20-%20in%20spring%2C%20and%20in%20mild%20winters.%20Long-lived%20among%20Cheery%2C%20will%20weep%20with%20old%20age%20</v>
      </c>
      <c r="BG265" s="107" t="str">
        <f t="shared" si="160"/>
        <v>A</v>
      </c>
      <c r="BH265" s="254"/>
      <c r="BI265" s="254"/>
    </row>
    <row r="266" spans="1:61" customFormat="1" ht="18" x14ac:dyDescent="0.25">
      <c r="A266" s="523" t="s">
        <v>373</v>
      </c>
      <c r="B266" s="235"/>
      <c r="C266" s="676"/>
      <c r="D266" s="255" t="s">
        <v>372</v>
      </c>
      <c r="E266" s="236"/>
      <c r="F266" s="236"/>
      <c r="G266" s="236"/>
      <c r="H266" s="582" t="s">
        <v>308</v>
      </c>
      <c r="I266" s="498" t="s">
        <v>2109</v>
      </c>
      <c r="J266" s="237"/>
      <c r="K266" s="237"/>
      <c r="L266" s="274"/>
      <c r="M266" s="668" t="s">
        <v>4975</v>
      </c>
      <c r="N266" s="681" t="str">
        <f>IF(AND(ISTEXT($A266), ISERROR($A266+0)), HYPERLINK($BF266, "Images"), "")</f>
        <v>Images</v>
      </c>
      <c r="O266" s="663" t="s">
        <v>4967</v>
      </c>
      <c r="P266" s="253"/>
      <c r="Q266" s="238"/>
      <c r="R266" s="239"/>
      <c r="S266" s="275" t="s">
        <v>305</v>
      </c>
      <c r="T266" s="508">
        <f t="shared" si="148"/>
        <v>0</v>
      </c>
      <c r="U266" s="225" t="str">
        <f>IF(NOT(ISNUMBER(G266)), "", VLOOKUP(A266,'Discount Lookup'!D:E,2,FALSE)*G266)</f>
        <v/>
      </c>
      <c r="V266" s="225" t="str">
        <f>IF(NOT(ISNUMBER(G266)), "", VLOOKUP(A266,'Discount Lookup'!G:H,2,FALSE)*G266)</f>
        <v/>
      </c>
      <c r="W266" s="508">
        <f t="shared" si="149"/>
        <v>0</v>
      </c>
      <c r="X266" s="508" t="str">
        <f t="shared" si="150"/>
        <v>Green foliage</v>
      </c>
      <c r="Y266" s="509" t="b">
        <f t="shared" si="151"/>
        <v>0</v>
      </c>
      <c r="Z266" s="510">
        <f t="shared" si="152"/>
        <v>0</v>
      </c>
      <c r="AA266" s="511"/>
      <c r="AB266" s="511" t="str">
        <f t="shared" si="153"/>
        <v/>
      </c>
      <c r="AC266" s="698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698"/>
      <c r="AE266" s="631" t="str">
        <f t="shared" si="154"/>
        <v/>
      </c>
      <c r="AF266" s="699" t="str">
        <f t="shared" si="155"/>
        <v/>
      </c>
      <c r="AG266" s="699"/>
      <c r="AH266" s="699"/>
      <c r="AI266" s="512">
        <f>IF(H266="credit",0,IF(AE266="free",0,IF(AE266="me",0,IF(G266&gt;0,(VLOOKUP(A266,'Discount Lookup'!J:K,2)*G266),0))))</f>
        <v>0</v>
      </c>
      <c r="AJ266" s="513" t="str">
        <f t="shared" ca="1" si="156"/>
        <v/>
      </c>
      <c r="AK266" s="700" t="str">
        <f t="shared" si="157"/>
        <v/>
      </c>
      <c r="AL266" s="700"/>
      <c r="AM266" s="505" t="str">
        <f t="shared" si="158"/>
        <v/>
      </c>
      <c r="AN266" s="506"/>
      <c r="AO266" s="507"/>
      <c r="AP266" s="507"/>
      <c r="AQ266" s="507"/>
      <c r="AR266" s="507"/>
      <c r="AS266" s="507"/>
      <c r="AT266" s="507"/>
      <c r="AU266" s="507"/>
      <c r="AV266" s="225"/>
      <c r="AW266" s="508"/>
      <c r="AX266" s="225"/>
      <c r="AY266" s="225"/>
      <c r="AZ266" s="225"/>
      <c r="BA266" s="225"/>
      <c r="BB266" s="225"/>
      <c r="BC266" s="56"/>
      <c r="BD266" s="56"/>
      <c r="BE266" s="56"/>
      <c r="BF266" s="107" t="str">
        <f t="shared" si="159"/>
        <v>https://www.google.com/search?tbm=isch&amp;q=Aztec%20Fire%20Hornbeam%20Carpinus%20caroliniana%20%27Aztec%20Fire%27</v>
      </c>
      <c r="BG266" s="107" t="str">
        <f t="shared" si="160"/>
        <v>A</v>
      </c>
      <c r="BH266" s="254"/>
      <c r="BI266" s="254"/>
    </row>
    <row r="267" spans="1:61" customFormat="1" ht="15.75" x14ac:dyDescent="0.25">
      <c r="A267" s="276">
        <v>15</v>
      </c>
      <c r="B267" s="240" t="s">
        <v>291</v>
      </c>
      <c r="C267" s="241" t="s">
        <v>3320</v>
      </c>
      <c r="D267" s="242" t="s">
        <v>292</v>
      </c>
      <c r="E267" s="243">
        <v>224.95</v>
      </c>
      <c r="F267" s="517" t="s">
        <v>293</v>
      </c>
      <c r="G267" s="232">
        <v>0</v>
      </c>
      <c r="H267" s="661" t="str">
        <f>IF(G267=0,"",IF(F267="Buy",IF(G267=1,"plant","plants"),IF(F267&gt;0.01,"warranty","Error")))</f>
        <v/>
      </c>
      <c r="I267" s="244">
        <f>IF(H267="free",0,IF(H267="credit",((E267*(F267))*G267*-1),IF(F267="Buy",(E267*G267),((E267*(1-F267))*G267))))</f>
        <v>0</v>
      </c>
      <c r="J267" s="244">
        <f>IF(H267="warranty",0,(I267*(_xlfn.SINGLE(SalesTaxPercentage))))</f>
        <v>0</v>
      </c>
      <c r="K267" s="696">
        <f t="shared" ref="K267" si="187">I267+J267</f>
        <v>0</v>
      </c>
      <c r="L267" s="696"/>
      <c r="M267" s="659" t="str">
        <f>IF(AND(G267&gt;0,E267=0),"WARNING - no PRICE inserted",IF(H267="free"," FREE ~ no charge this plant",IF(H267="credit",CONCATENATE(" -$",ROUND(K267*(1-T2GDiscount)*-1,2)," CREDIT after discount"),IF(T2GDiscount=0,"",IF(G267=0,"",IF(F267="Buy",CONCATENATE(" $",ROUND(K267*(1-T2GDiscount),2)," with ",(T2GDiscount*100),"% discount"),CONCATENATE(" $",ROUND(K267*(1-T2GDiscount),2)," with ",((T2GDiscount*100+F267*100)-(T2GDiscount*100*F267)),IF(F267&gt;0,"% discounts",IF(NoWarrantyDiscount&gt;0,"% discounts","% discount")))))))))</f>
        <v/>
      </c>
      <c r="N267" s="660"/>
      <c r="O267" s="233"/>
      <c r="P267" s="233"/>
      <c r="Q267" s="233"/>
      <c r="R267" s="233"/>
      <c r="S267" s="233"/>
      <c r="T267" s="508">
        <f t="shared" si="148"/>
        <v>0</v>
      </c>
      <c r="U267" s="225">
        <f>IF(NOT(ISNUMBER(G267)), "", VLOOKUP(A267,'Discount Lookup'!D:E,2,FALSE)*G267)</f>
        <v>0</v>
      </c>
      <c r="V267" s="225">
        <f>IF(NOT(ISNUMBER(G267)), "", VLOOKUP(A267,'Discount Lookup'!G:H,2,FALSE)*G267)</f>
        <v>0</v>
      </c>
      <c r="W267" s="508">
        <f t="shared" si="149"/>
        <v>0</v>
      </c>
      <c r="X267" s="508">
        <f t="shared" si="150"/>
        <v>0</v>
      </c>
      <c r="Y267" s="509" t="b">
        <f t="shared" si="151"/>
        <v>0</v>
      </c>
      <c r="Z267" s="510">
        <f t="shared" si="152"/>
        <v>0</v>
      </c>
      <c r="AA267" s="511"/>
      <c r="AB267" s="511" t="str">
        <f t="shared" si="153"/>
        <v/>
      </c>
      <c r="AC267" s="698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698"/>
      <c r="AE267" s="631" t="str">
        <f t="shared" si="154"/>
        <v/>
      </c>
      <c r="AF267" s="699" t="str">
        <f t="shared" si="155"/>
        <v/>
      </c>
      <c r="AG267" s="699"/>
      <c r="AH267" s="699"/>
      <c r="AI267" s="512">
        <f>IF(H267="credit",0,IF(AE267="free",0,IF(AE267="me",0,IF(G267&gt;0,(VLOOKUP(A267,'Discount Lookup'!J:K,2)*G267),0))))</f>
        <v>0</v>
      </c>
      <c r="AJ267" s="513" t="str">
        <f t="shared" ca="1" si="156"/>
        <v/>
      </c>
      <c r="AK267" s="700" t="str">
        <f t="shared" si="157"/>
        <v/>
      </c>
      <c r="AL267" s="700"/>
      <c r="AM267" s="505" t="str">
        <f t="shared" si="158"/>
        <v/>
      </c>
      <c r="AN267" s="506"/>
      <c r="AO267" s="507"/>
      <c r="AP267" s="507"/>
      <c r="AQ267" s="507"/>
      <c r="AR267" s="507"/>
      <c r="AS267" s="507"/>
      <c r="AT267" s="507"/>
      <c r="AU267" s="507"/>
      <c r="AV267" s="225"/>
      <c r="AW267" s="508"/>
      <c r="AX267" s="225"/>
      <c r="AY267" s="225"/>
      <c r="AZ267" s="225"/>
      <c r="BA267" s="225"/>
      <c r="BB267" s="225"/>
      <c r="BC267" s="56"/>
      <c r="BD267" s="56"/>
      <c r="BE267" s="56"/>
      <c r="BF267" s="107" t="str">
        <f t="shared" si="159"/>
        <v>https://www.google.com/search?tbm=isch&amp;q=15%20G4</v>
      </c>
      <c r="BG267" s="107" t="str">
        <f t="shared" si="160"/>
        <v>A</v>
      </c>
      <c r="BH267" s="254"/>
      <c r="BI267" s="254"/>
    </row>
    <row r="268" spans="1:61" customFormat="1" ht="16.5" x14ac:dyDescent="0.25">
      <c r="A268" s="673" t="s">
        <v>5047</v>
      </c>
      <c r="B268" s="245"/>
      <c r="C268" s="677"/>
      <c r="D268" s="499"/>
      <c r="E268" s="499"/>
      <c r="F268" s="500"/>
      <c r="G268" s="501"/>
      <c r="H268" s="502"/>
      <c r="I268" s="246"/>
      <c r="J268" s="247"/>
      <c r="K268" s="503"/>
      <c r="L268" s="544"/>
      <c r="M268" s="544"/>
      <c r="N268" s="500"/>
      <c r="O268" s="500"/>
      <c r="P268" s="500"/>
      <c r="Q268" s="500"/>
      <c r="R268" s="500"/>
      <c r="S268" s="669" t="s">
        <v>4972</v>
      </c>
      <c r="T268" s="508">
        <f t="shared" si="148"/>
        <v>0</v>
      </c>
      <c r="U268" s="225" t="str">
        <f>IF(NOT(ISNUMBER(G268)), "", VLOOKUP(A268,'Discount Lookup'!D:E,2,FALSE)*G268)</f>
        <v/>
      </c>
      <c r="V268" s="225" t="str">
        <f>IF(NOT(ISNUMBER(G268)), "", VLOOKUP(A268,'Discount Lookup'!G:H,2,FALSE)*G268)</f>
        <v/>
      </c>
      <c r="W268" s="508">
        <f t="shared" si="149"/>
        <v>0</v>
      </c>
      <c r="X268" s="508">
        <f t="shared" si="150"/>
        <v>0</v>
      </c>
      <c r="Y268" s="509" t="b">
        <f t="shared" si="151"/>
        <v>0</v>
      </c>
      <c r="Z268" s="510">
        <f t="shared" si="152"/>
        <v>0</v>
      </c>
      <c r="AA268" s="511"/>
      <c r="AB268" s="511" t="str">
        <f t="shared" si="153"/>
        <v/>
      </c>
      <c r="AC268" s="698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698"/>
      <c r="AE268" s="631" t="str">
        <f t="shared" si="154"/>
        <v/>
      </c>
      <c r="AF268" s="699" t="str">
        <f t="shared" si="155"/>
        <v/>
      </c>
      <c r="AG268" s="699"/>
      <c r="AH268" s="699"/>
      <c r="AI268" s="512">
        <f>IF(H268="credit",0,IF(AE268="free",0,IF(AE268="me",0,IF(G268&gt;0,(VLOOKUP(A268,'Discount Lookup'!J:K,2)*G268),0))))</f>
        <v>0</v>
      </c>
      <c r="AJ268" s="513" t="str">
        <f t="shared" ca="1" si="156"/>
        <v/>
      </c>
      <c r="AK268" s="700" t="str">
        <f t="shared" si="157"/>
        <v/>
      </c>
      <c r="AL268" s="700"/>
      <c r="AM268" s="505" t="str">
        <f t="shared" si="158"/>
        <v/>
      </c>
      <c r="AN268" s="506"/>
      <c r="AO268" s="507"/>
      <c r="AP268" s="507"/>
      <c r="AQ268" s="507"/>
      <c r="AR268" s="507"/>
      <c r="AS268" s="507"/>
      <c r="AT268" s="507"/>
      <c r="AU268" s="507"/>
      <c r="AV268" s="225"/>
      <c r="AW268" s="508"/>
      <c r="AX268" s="225"/>
      <c r="AY268" s="225"/>
      <c r="AZ268" s="225"/>
      <c r="BA268" s="225"/>
      <c r="BB268" s="225"/>
      <c r="BC268" s="56"/>
      <c r="BD268" s="56"/>
      <c r="BE268" s="56"/>
      <c r="BF268" s="107" t="str">
        <f t="shared" si="159"/>
        <v>https://www.google.com/search?tbm=isch&amp;q=wet%20sites%F0%9F%92%A7GOOD%2C%20Aztec%20Fire%20named%20for%20it%27s%20vivd%20red%20new%20growth%20and%20vibrant%20red-to-orange%20fall%20foliage%20</v>
      </c>
      <c r="BG268" s="107" t="str">
        <f t="shared" si="160"/>
        <v>w</v>
      </c>
      <c r="BH268" s="254"/>
      <c r="BI268" s="254"/>
    </row>
    <row r="269" spans="1:61" customFormat="1" ht="45.75" thickBot="1" x14ac:dyDescent="0.35">
      <c r="A269" s="525" t="s">
        <v>674</v>
      </c>
      <c r="B269" s="248"/>
      <c r="C269" s="678" t="s">
        <v>673</v>
      </c>
      <c r="D269" s="249"/>
      <c r="E269" s="250"/>
      <c r="F269" s="249"/>
      <c r="G269" s="249"/>
      <c r="H269" s="250"/>
      <c r="I269" s="249"/>
      <c r="J269" s="249"/>
      <c r="K269" s="526" t="s">
        <v>2840</v>
      </c>
      <c r="L269" s="279"/>
      <c r="M269" s="251"/>
      <c r="S269" s="504" t="s">
        <v>2841</v>
      </c>
      <c r="T269" s="508">
        <f t="shared" si="148"/>
        <v>0</v>
      </c>
      <c r="U269" s="225" t="str">
        <f>IF(NOT(ISNUMBER(G269)), "", VLOOKUP(A269,'Discount Lookup'!D:E,2,FALSE)*G269)</f>
        <v/>
      </c>
      <c r="V269" s="225" t="str">
        <f>IF(NOT(ISNUMBER(G269)), "", VLOOKUP(A269,'Discount Lookup'!G:H,2,FALSE)*G269)</f>
        <v/>
      </c>
      <c r="W269" s="508">
        <f t="shared" si="149"/>
        <v>0</v>
      </c>
      <c r="X269" s="508">
        <f t="shared" si="150"/>
        <v>0</v>
      </c>
      <c r="Y269" s="509" t="b">
        <f t="shared" si="151"/>
        <v>0</v>
      </c>
      <c r="Z269" s="510">
        <f t="shared" si="152"/>
        <v>0</v>
      </c>
      <c r="AA269" s="511"/>
      <c r="AB269" s="511" t="str">
        <f t="shared" si="153"/>
        <v/>
      </c>
      <c r="AC269" s="698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698"/>
      <c r="AE269" s="631" t="str">
        <f t="shared" si="154"/>
        <v/>
      </c>
      <c r="AF269" s="699" t="str">
        <f t="shared" si="155"/>
        <v/>
      </c>
      <c r="AG269" s="699"/>
      <c r="AH269" s="699"/>
      <c r="AI269" s="512">
        <f>IF(H269="credit",0,IF(AE269="free",0,IF(AE269="me",0,IF(G269&gt;0,(VLOOKUP(A269,'Discount Lookup'!J:K,2)*G269),0))))</f>
        <v>0</v>
      </c>
      <c r="AJ269" s="513" t="str">
        <f t="shared" ca="1" si="156"/>
        <v/>
      </c>
      <c r="AK269" s="700" t="str">
        <f t="shared" si="157"/>
        <v/>
      </c>
      <c r="AL269" s="700"/>
      <c r="AM269" s="505" t="str">
        <f t="shared" si="158"/>
        <v/>
      </c>
      <c r="AN269" s="506"/>
      <c r="AO269" s="507"/>
      <c r="AP269" s="507"/>
      <c r="AQ269" s="507"/>
      <c r="AR269" s="507"/>
      <c r="AS269" s="507"/>
      <c r="AT269" s="507"/>
      <c r="AU269" s="507"/>
      <c r="AV269" s="225"/>
      <c r="AW269" s="508"/>
      <c r="AX269" s="225"/>
      <c r="AY269" s="225"/>
      <c r="AZ269" s="225"/>
      <c r="BA269" s="225"/>
      <c r="BB269" s="225"/>
      <c r="BC269" s="56"/>
      <c r="BD269" s="56"/>
      <c r="BE269" s="56"/>
      <c r="BF269" s="107" t="str">
        <f t="shared" si="159"/>
        <v>https://www.google.com/search?tbm=isch&amp;q=B%20</v>
      </c>
      <c r="BG269" s="107" t="str">
        <f t="shared" si="160"/>
        <v>B</v>
      </c>
      <c r="BH269" s="254"/>
      <c r="BI269" s="254"/>
    </row>
    <row r="270" spans="1:61" customFormat="1" ht="18" x14ac:dyDescent="0.25">
      <c r="A270" s="521" t="s">
        <v>5342</v>
      </c>
      <c r="B270" s="477"/>
      <c r="C270" s="674"/>
      <c r="D270" s="478" t="s">
        <v>4594</v>
      </c>
      <c r="E270" s="479"/>
      <c r="F270" s="479"/>
      <c r="G270" s="479"/>
      <c r="H270" s="582" t="s">
        <v>1164</v>
      </c>
      <c r="I270" s="480" t="s">
        <v>4595</v>
      </c>
      <c r="J270" s="479"/>
      <c r="K270" s="479"/>
      <c r="L270" s="560"/>
      <c r="M270" s="666" t="s">
        <v>4966</v>
      </c>
      <c r="N270" s="680" t="str">
        <f>IF(AND(ISTEXT($A270), ISERROR($A270+0)), HYPERLINK($BF270, "Images"), "")</f>
        <v>Images</v>
      </c>
      <c r="O270" s="662" t="s">
        <v>4967</v>
      </c>
      <c r="P270" s="482"/>
      <c r="Q270" s="483"/>
      <c r="R270" s="483"/>
      <c r="S270" s="484"/>
      <c r="T270" s="508">
        <f t="shared" ref="T270:T333" si="188">E270*G270</f>
        <v>0</v>
      </c>
      <c r="U270" s="225" t="str">
        <f>IF(NOT(ISNUMBER(G270)), "", VLOOKUP(A270,'Discount Lookup'!D:E,2,FALSE)*G270)</f>
        <v/>
      </c>
      <c r="V270" s="225" t="str">
        <f>IF(NOT(ISNUMBER(G270)), "", VLOOKUP(A270,'Discount Lookup'!G:H,2,FALSE)*G270)</f>
        <v/>
      </c>
      <c r="W270" s="508">
        <f t="shared" ref="W270:W333" si="189">IF(H270="credit",0,E270*(SalesTaxPercentage)*G270)</f>
        <v>0</v>
      </c>
      <c r="X270" s="508" t="str">
        <f t="shared" ref="X270:X333" si="190">I270</f>
        <v>Silvery Blue-Green foliage</v>
      </c>
      <c r="Y270" s="509" t="b">
        <f t="shared" ref="Y270:Y333" si="191">IF(AE270="T2G",0,IF(H270="credit",0,IF(G270&gt;0,IF(AE270="me","",G270))))</f>
        <v>0</v>
      </c>
      <c r="Z270" s="510">
        <f t="shared" ref="Z270:Z333" si="192">IF(H270="credit",G270,0)</f>
        <v>0</v>
      </c>
      <c r="AA270" s="511"/>
      <c r="AB270" s="511" t="str">
        <f t="shared" ref="AB270:AB333" si="193">IF(AE270="T2G","by Trees2Go",IF(H270="credit","CREDIT only ~",IF(AND(K270="",AE270=OR(PlanterYesMe="No",PlanterYesMe="N",PlanterYesMe="me")),"not THIS line⇨",IF(AND(K270="images",AE270="me"),"not THIS line⇨",IF(H270="credit","",IF(G270=0,"",IF(AE270="me","",IF(OR(PlanterYesMe="No",PlanterYesMe="N",PlanterYesMe="me"),"",IF(AE270="free","warranty",IF(OR(PlanterYesMe="yes",PlanterYesMe="y"),"Edison install:","to install:"))))))))))</f>
        <v/>
      </c>
      <c r="AC270" s="698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698"/>
      <c r="AE270" s="631" t="str">
        <f t="shared" ref="AE270:AE333" si="194">IF(H270="credit","",IF(G270=0,"",IF(OR(PlanterYesMe="No",PlanterYesMe="N",PlanterYesMe="me"),"me",IF(H270="warranty","free",IF(OR(PlanterYesMe="yes",PlanterYesMe="y"),"ELP","")))))</f>
        <v/>
      </c>
      <c r="AF270" s="699" t="str">
        <f t="shared" ref="AF270:AF333" si="195">IF(OR(PlanterYesMe="No",PlanterYesMe="N",PlanterYesMe="me"),"",IF(H270="credit","",IF(G270&gt;0,(CONCATENATE((G270)," quantity, ",(A270)," ",B270)),"")))</f>
        <v/>
      </c>
      <c r="AG270" s="699"/>
      <c r="AH270" s="699"/>
      <c r="AI270" s="512">
        <f>IF(H270="credit",0,IF(AE270="free",0,IF(AE270="me",0,IF(G270&gt;0,(VLOOKUP(A270,'Discount Lookup'!J:K,2)*G270),0))))</f>
        <v>0</v>
      </c>
      <c r="AJ270" s="513" t="str">
        <f t="shared" ref="AJ270:AJ333" ca="1" si="196">IF(AND(ISREF(H270),H270="credit"),"",IF(AND(AND(OFFSET(G270,0,0)=0,OFFSET(G270,1,0)&gt;0,ISNUMBER(OFFSET(AC270,1,0)),OFFSET(AC270,1,0)&gt;0),OR(PlanterYesMe="yes",PlanterYesMe="y")),"T2G+ELP=",IF(AND(OFFSET(G270,0,0)=0,OFFSET(G270,1,0)&gt;0,ISNUMBER(OFFSET(AC270,1,0)),OFFSET(AC270,1,0)&gt;0),"if T2G+ELP=",IF(AND(OFFSET(G270,0,0)=0,OFFSET(G270,1,0)&gt;0),"T2G Subtotal",IF(H270="credit","",IF(G270=0,"",IF(AE270="free",(K270*(1-T2GDiscount)),IF(OR(PlanterYesMe="No",PlanterYesMe="N",PlanterYesMe="me"),(K270*(1-T2GDiscount)),IF(OR(AE270="me",AE270="T2G"),(K270*(1-T2GDiscount)),(K270*(1-T2GDiscount))+AC270)))))))))</f>
        <v/>
      </c>
      <c r="AK270" s="700" t="str">
        <f t="shared" ref="AK270:AK333" si="197">IF(H270="credit","",IF(G270=0,"",IF(OR(AE270="me",AE270="T2G"),"  delivery-only",IF(OR(PlanterYesMe="No",PlanterYesMe="N",PlanterYesMe="me"),"  delivery-only",CONCATENATE(" $",ROUND(AJ270/G270,2)," each")))))</f>
        <v/>
      </c>
      <c r="AL270" s="700"/>
      <c r="AM270" s="505" t="str">
        <f t="shared" ref="AM270:AM333" si="198">IF(H270="credit","",IF(AE270="free","      ~ discounts included, no tax or planting fee applies ~",IF(G270=0,"",IF(OR(PlanterYesMe="No",PlanterYesMe="N",PlanterYesMe="me"),CONCATENATE(" $",ROUND(AJ270/G270,2)," per plant, with tax &amp; discount"),IF(OR(AE270="me",AE270="T2G"),CONCATENATE(" $",ROUND(AJ270/G270,2)," per plant, with tax &amp; discount"),CONCATENATE("= $",ROUND((K270*(1-T2GDiscount))/G270,2)," per plant + $",AC270/G270,(" per planting      ~ includes tax &amp; discounts ~")))))))</f>
        <v/>
      </c>
      <c r="AN270" s="506"/>
      <c r="AO270" s="507"/>
      <c r="AP270" s="507"/>
      <c r="AQ270" s="507"/>
      <c r="AR270" s="507"/>
      <c r="AS270" s="507"/>
      <c r="AT270" s="507"/>
      <c r="AU270" s="507"/>
      <c r="AV270" s="225"/>
      <c r="AW270" s="508"/>
      <c r="AX270" s="225"/>
      <c r="AY270" s="225"/>
      <c r="AZ270" s="225"/>
      <c r="BA270" s="225"/>
      <c r="BB270" s="225"/>
      <c r="BC270" s="56"/>
      <c r="BD270" s="56"/>
      <c r="BE270" s="56"/>
      <c r="BF270" s="107" t="str">
        <f t="shared" ref="BF270:BF333" si="199">"https://www.google.com/search?tbm=isch&amp;q=" &amp; _xlfn.ENCODEURL($A270 &amp; " " &amp; $D270)</f>
        <v>https://www.google.com/search?tbm=isch&amp;q=Baby%20Bliss%E2%84%A2%20Flax%20Lily%20Dianella%20revoluta%20PP%2318883</v>
      </c>
      <c r="BG270" s="107" t="str">
        <f t="shared" ref="BG270:BG333" si="200">IF(ISTEXT(A270),LEFT(A270,1),BG269)</f>
        <v>B</v>
      </c>
      <c r="BH270" s="254"/>
      <c r="BI270" s="254"/>
    </row>
    <row r="271" spans="1:61" customFormat="1" ht="15.75" x14ac:dyDescent="0.25">
      <c r="A271" s="485">
        <v>1</v>
      </c>
      <c r="B271" s="486" t="s">
        <v>291</v>
      </c>
      <c r="C271" s="487"/>
      <c r="D271" s="488" t="s">
        <v>312</v>
      </c>
      <c r="E271" s="489">
        <v>12.95</v>
      </c>
      <c r="F271" s="516" t="s">
        <v>293</v>
      </c>
      <c r="G271" s="232">
        <v>0</v>
      </c>
      <c r="H271" s="658" t="str">
        <f>IF(G271=0,"",IF(F271="Buy",IF(G271=1,"plant","plants"),IF(F271&gt;0.01,"warranty","Error")))</f>
        <v/>
      </c>
      <c r="I271" s="490">
        <f>IF(H271="free",0,IF(H271="credit",((E271*(F271))*G271*-1),IF(F271="Buy",(E271*G271),((E271*(1-F271))*G271))))</f>
        <v>0</v>
      </c>
      <c r="J271" s="490">
        <f>IF(H271="warranty",0,(I271*(_xlfn.SINGLE(SalesTaxPercentage))))</f>
        <v>0</v>
      </c>
      <c r="K271" s="695">
        <f t="shared" ref="K271" si="201">I271+J271</f>
        <v>0</v>
      </c>
      <c r="L271" s="695"/>
      <c r="M271" s="659" t="str">
        <f>IF(AND(G271&gt;0,E271=0),"WARNING - no PRICE inserted",IF(H271="free"," FREE ~ no charge this plant",IF(H271="credit",CONCATENATE(" -$",ROUND(K271*(1-T2GDiscount)*-1,2)," CREDIT after discount"),IF(T2GDiscount=0,"",IF(G271=0,"",IF(F271="Buy",CONCATENATE(" $",ROUND(K271*(1-T2GDiscount),2)," with ",(T2GDiscount*100),"% discount"),CONCATENATE(" $",ROUND(K271*(1-T2GDiscount),2)," with ",((T2GDiscount*100+F271*100)-(T2GDiscount*100*F271)),IF(F271&gt;0,"% discounts",IF(NoWarrantyDiscount&gt;0,"% discounts","% discount")))))))))</f>
        <v/>
      </c>
      <c r="N271" s="660"/>
      <c r="O271" s="233"/>
      <c r="P271" s="233"/>
      <c r="Q271" s="233"/>
      <c r="R271" s="233"/>
      <c r="S271" s="233"/>
      <c r="T271" s="508">
        <f t="shared" si="188"/>
        <v>0</v>
      </c>
      <c r="U271" s="225">
        <f>IF(NOT(ISNUMBER(G271)), "", VLOOKUP(A271,'Discount Lookup'!D:E,2,FALSE)*G271)</f>
        <v>0</v>
      </c>
      <c r="V271" s="225">
        <f>IF(NOT(ISNUMBER(G271)), "", VLOOKUP(A271,'Discount Lookup'!G:H,2,FALSE)*G271)</f>
        <v>0</v>
      </c>
      <c r="W271" s="508">
        <f t="shared" si="189"/>
        <v>0</v>
      </c>
      <c r="X271" s="508">
        <f t="shared" si="190"/>
        <v>0</v>
      </c>
      <c r="Y271" s="509" t="b">
        <f t="shared" si="191"/>
        <v>0</v>
      </c>
      <c r="Z271" s="510">
        <f t="shared" si="192"/>
        <v>0</v>
      </c>
      <c r="AA271" s="511"/>
      <c r="AB271" s="511" t="str">
        <f t="shared" si="193"/>
        <v/>
      </c>
      <c r="AC271" s="698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698"/>
      <c r="AE271" s="631" t="str">
        <f t="shared" si="194"/>
        <v/>
      </c>
      <c r="AF271" s="699" t="str">
        <f t="shared" si="195"/>
        <v/>
      </c>
      <c r="AG271" s="699"/>
      <c r="AH271" s="699"/>
      <c r="AI271" s="512">
        <f>IF(H271="credit",0,IF(AE271="free",0,IF(AE271="me",0,IF(G271&gt;0,(VLOOKUP(A271,'Discount Lookup'!J:K,2)*G271),0))))</f>
        <v>0</v>
      </c>
      <c r="AJ271" s="513" t="str">
        <f t="shared" ca="1" si="196"/>
        <v/>
      </c>
      <c r="AK271" s="700" t="str">
        <f t="shared" si="197"/>
        <v/>
      </c>
      <c r="AL271" s="700"/>
      <c r="AM271" s="505" t="str">
        <f t="shared" si="198"/>
        <v/>
      </c>
      <c r="AN271" s="506"/>
      <c r="AO271" s="507"/>
      <c r="AP271" s="507"/>
      <c r="AQ271" s="507"/>
      <c r="AR271" s="507"/>
      <c r="AS271" s="507"/>
      <c r="AT271" s="507"/>
      <c r="AU271" s="507"/>
      <c r="AV271" s="225"/>
      <c r="AW271" s="508"/>
      <c r="AX271" s="225"/>
      <c r="AY271" s="225"/>
      <c r="AZ271" s="225"/>
      <c r="BA271" s="225"/>
      <c r="BB271" s="225"/>
      <c r="BC271" s="56"/>
      <c r="BD271" s="56"/>
      <c r="BE271" s="56"/>
      <c r="BF271" s="107" t="str">
        <f t="shared" si="199"/>
        <v>https://www.google.com/search?tbm=isch&amp;q=1%20G2</v>
      </c>
      <c r="BG271" s="107" t="str">
        <f t="shared" si="200"/>
        <v>B</v>
      </c>
      <c r="BH271" s="254"/>
      <c r="BI271" s="254"/>
    </row>
    <row r="272" spans="1:61" customFormat="1" ht="17.25" thickBot="1" x14ac:dyDescent="0.3">
      <c r="A272" s="522" t="s">
        <v>4596</v>
      </c>
      <c r="B272" s="491"/>
      <c r="C272" s="675"/>
      <c r="D272" s="491"/>
      <c r="E272" s="491"/>
      <c r="F272" s="492"/>
      <c r="G272" s="493"/>
      <c r="H272" s="491"/>
      <c r="I272" s="234"/>
      <c r="J272" s="234"/>
      <c r="K272" s="494"/>
      <c r="L272" s="543"/>
      <c r="M272" s="561"/>
      <c r="N272" s="495"/>
      <c r="O272" s="496"/>
      <c r="P272" s="497"/>
      <c r="Q272" s="495"/>
      <c r="R272" s="495"/>
      <c r="S272" s="667" t="s">
        <v>4984</v>
      </c>
      <c r="T272" s="508">
        <f t="shared" si="188"/>
        <v>0</v>
      </c>
      <c r="U272" s="225" t="str">
        <f>IF(NOT(ISNUMBER(G272)), "", VLOOKUP(A272,'Discount Lookup'!D:E,2,FALSE)*G272)</f>
        <v/>
      </c>
      <c r="V272" s="225" t="str">
        <f>IF(NOT(ISNUMBER(G272)), "", VLOOKUP(A272,'Discount Lookup'!G:H,2,FALSE)*G272)</f>
        <v/>
      </c>
      <c r="W272" s="508">
        <f t="shared" si="189"/>
        <v>0</v>
      </c>
      <c r="X272" s="508">
        <f t="shared" si="190"/>
        <v>0</v>
      </c>
      <c r="Y272" s="509" t="b">
        <f t="shared" si="191"/>
        <v>0</v>
      </c>
      <c r="Z272" s="510">
        <f t="shared" si="192"/>
        <v>0</v>
      </c>
      <c r="AA272" s="511"/>
      <c r="AB272" s="511" t="str">
        <f t="shared" si="193"/>
        <v/>
      </c>
      <c r="AC272" s="698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698"/>
      <c r="AE272" s="631" t="str">
        <f t="shared" si="194"/>
        <v/>
      </c>
      <c r="AF272" s="699" t="str">
        <f t="shared" si="195"/>
        <v/>
      </c>
      <c r="AG272" s="699"/>
      <c r="AH272" s="699"/>
      <c r="AI272" s="512">
        <f>IF(H272="credit",0,IF(AE272="free",0,IF(AE272="me",0,IF(G272&gt;0,(VLOOKUP(A272,'Discount Lookup'!J:K,2)*G272),0))))</f>
        <v>0</v>
      </c>
      <c r="AJ272" s="513" t="str">
        <f t="shared" ca="1" si="196"/>
        <v/>
      </c>
      <c r="AK272" s="700" t="str">
        <f t="shared" si="197"/>
        <v/>
      </c>
      <c r="AL272" s="700"/>
      <c r="AM272" s="505" t="str">
        <f t="shared" si="198"/>
        <v/>
      </c>
      <c r="AN272" s="506"/>
      <c r="AO272" s="507"/>
      <c r="AP272" s="507"/>
      <c r="AQ272" s="507"/>
      <c r="AR272" s="507"/>
      <c r="AS272" s="507"/>
      <c r="AT272" s="507"/>
      <c r="AU272" s="507"/>
      <c r="AV272" s="225"/>
      <c r="AW272" s="508"/>
      <c r="AX272" s="225"/>
      <c r="AY272" s="225"/>
      <c r="AZ272" s="225"/>
      <c r="BA272" s="225"/>
      <c r="BB272" s="225"/>
      <c r="BC272" s="56"/>
      <c r="BD272" s="56"/>
      <c r="BE272" s="56"/>
      <c r="BF272" s="107" t="str">
        <f t="shared" si="199"/>
        <v>https://www.google.com/search?tbm=isch&amp;q=Baby%20Bliss%20features%20striking%20foliage%20and%20delicate%20Violet%20blooms%2C%20in%20a%20tidy%20clumping%20habit.%20From%20Australia%20</v>
      </c>
      <c r="BG272" s="107" t="str">
        <f t="shared" si="200"/>
        <v>B</v>
      </c>
      <c r="BH272" s="254"/>
      <c r="BI272" s="254"/>
    </row>
    <row r="273" spans="1:61" customFormat="1" ht="18" x14ac:dyDescent="0.25">
      <c r="A273" s="523" t="s">
        <v>4307</v>
      </c>
      <c r="B273" s="235"/>
      <c r="C273" s="676"/>
      <c r="D273" s="255" t="s">
        <v>4308</v>
      </c>
      <c r="E273" s="236"/>
      <c r="F273" s="236"/>
      <c r="G273" s="236"/>
      <c r="H273" s="582" t="s">
        <v>1858</v>
      </c>
      <c r="I273" s="498" t="s">
        <v>654</v>
      </c>
      <c r="J273" s="237"/>
      <c r="K273" s="237"/>
      <c r="L273" s="274"/>
      <c r="M273" s="668" t="s">
        <v>4975</v>
      </c>
      <c r="N273" s="681" t="str">
        <f>IF(AND(ISTEXT($A273), ISERROR($A273+0)), HYPERLINK($BF273, "Images"), "")</f>
        <v>Images</v>
      </c>
      <c r="O273" s="663" t="s">
        <v>4967</v>
      </c>
      <c r="P273" s="253"/>
      <c r="Q273" s="238"/>
      <c r="R273" s="239"/>
      <c r="S273" s="275" t="s">
        <v>305</v>
      </c>
      <c r="T273" s="508">
        <f t="shared" si="188"/>
        <v>0</v>
      </c>
      <c r="U273" s="225" t="str">
        <f>IF(NOT(ISNUMBER(G273)), "", VLOOKUP(A273,'Discount Lookup'!D:E,2,FALSE)*G273)</f>
        <v/>
      </c>
      <c r="V273" s="225" t="str">
        <f>IF(NOT(ISNUMBER(G273)), "", VLOOKUP(A273,'Discount Lookup'!G:H,2,FALSE)*G273)</f>
        <v/>
      </c>
      <c r="W273" s="508">
        <f t="shared" si="189"/>
        <v>0</v>
      </c>
      <c r="X273" s="508" t="str">
        <f t="shared" si="190"/>
        <v>White bloom</v>
      </c>
      <c r="Y273" s="509" t="b">
        <f t="shared" si="191"/>
        <v>0</v>
      </c>
      <c r="Z273" s="510">
        <f t="shared" si="192"/>
        <v>0</v>
      </c>
      <c r="AA273" s="511"/>
      <c r="AB273" s="511" t="str">
        <f t="shared" si="193"/>
        <v/>
      </c>
      <c r="AC273" s="698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698"/>
      <c r="AE273" s="631" t="str">
        <f t="shared" si="194"/>
        <v/>
      </c>
      <c r="AF273" s="699" t="str">
        <f t="shared" si="195"/>
        <v/>
      </c>
      <c r="AG273" s="699"/>
      <c r="AH273" s="699"/>
      <c r="AI273" s="512">
        <f>IF(H273="credit",0,IF(AE273="free",0,IF(AE273="me",0,IF(G273&gt;0,(VLOOKUP(A273,'Discount Lookup'!J:K,2)*G273),0))))</f>
        <v>0</v>
      </c>
      <c r="AJ273" s="513" t="str">
        <f t="shared" ca="1" si="196"/>
        <v/>
      </c>
      <c r="AK273" s="700" t="str">
        <f t="shared" si="197"/>
        <v/>
      </c>
      <c r="AL273" s="700"/>
      <c r="AM273" s="505" t="str">
        <f t="shared" si="198"/>
        <v/>
      </c>
      <c r="AN273" s="506"/>
      <c r="AO273" s="507"/>
      <c r="AP273" s="507"/>
      <c r="AQ273" s="507"/>
      <c r="AR273" s="507"/>
      <c r="AS273" s="507"/>
      <c r="AT273" s="507"/>
      <c r="AU273" s="507"/>
      <c r="AV273" s="225"/>
      <c r="AW273" s="508"/>
      <c r="AX273" s="225"/>
      <c r="AY273" s="225"/>
      <c r="AZ273" s="225"/>
      <c r="BA273" s="225"/>
      <c r="BB273" s="225"/>
      <c r="BC273" s="56"/>
      <c r="BD273" s="56"/>
      <c r="BE273" s="56"/>
      <c r="BF273" s="107" t="str">
        <f t="shared" si="199"/>
        <v>https://www.google.com/search?tbm=isch&amp;q=Baby%20Blue%20American%20Snowbell%20Styrax%20americanus%20%27Baby%20Blue%27</v>
      </c>
      <c r="BG273" s="107" t="str">
        <f t="shared" si="200"/>
        <v>B</v>
      </c>
      <c r="BH273" s="254"/>
      <c r="BI273" s="254"/>
    </row>
    <row r="274" spans="1:61" customFormat="1" ht="15.75" x14ac:dyDescent="0.25">
      <c r="A274" s="276">
        <v>7</v>
      </c>
      <c r="B274" s="240" t="s">
        <v>291</v>
      </c>
      <c r="C274" s="241" t="s">
        <v>4309</v>
      </c>
      <c r="D274" s="242" t="s">
        <v>292</v>
      </c>
      <c r="E274" s="243">
        <v>109.95</v>
      </c>
      <c r="F274" s="517" t="s">
        <v>293</v>
      </c>
      <c r="G274" s="232">
        <v>0</v>
      </c>
      <c r="H274" s="661" t="str">
        <f>IF(G274=0,"",IF(F274="Buy",IF(G274=1,"plant","plants"),IF(F274&gt;0.01,"warranty","Error")))</f>
        <v/>
      </c>
      <c r="I274" s="244">
        <f>IF(H274="free",0,IF(H274="credit",((E274*(F274))*G274*-1),IF(F274="Buy",(E274*G274),((E274*(1-F274))*G274))))</f>
        <v>0</v>
      </c>
      <c r="J274" s="244">
        <f>IF(H274="warranty",0,(I274*(_xlfn.SINGLE(SalesTaxPercentage))))</f>
        <v>0</v>
      </c>
      <c r="K274" s="696">
        <f t="shared" ref="K274" si="202">I274+J274</f>
        <v>0</v>
      </c>
      <c r="L274" s="696"/>
      <c r="M274" s="659" t="str">
        <f>IF(AND(G274&gt;0,E274=0),"WARNING - no PRICE inserted",IF(H274="free"," FREE ~ no charge this plant",IF(H274="credit",CONCATENATE(" -$",ROUND(K274*(1-T2GDiscount)*-1,2)," CREDIT after discount"),IF(T2GDiscount=0,"",IF(G274=0,"",IF(F274="Buy",CONCATENATE(" $",ROUND(K274*(1-T2GDiscount),2)," with ",(T2GDiscount*100),"% discount"),CONCATENATE(" $",ROUND(K274*(1-T2GDiscount),2)," with ",((T2GDiscount*100+F274*100)-(T2GDiscount*100*F274)),IF(F274&gt;0,"% discounts",IF(NoWarrantyDiscount&gt;0,"% discounts","% discount")))))))))</f>
        <v/>
      </c>
      <c r="N274" s="660"/>
      <c r="O274" s="233"/>
      <c r="P274" s="233"/>
      <c r="Q274" s="233"/>
      <c r="R274" s="233"/>
      <c r="S274" s="233"/>
      <c r="T274" s="508">
        <f t="shared" si="188"/>
        <v>0</v>
      </c>
      <c r="U274" s="225">
        <f>IF(NOT(ISNUMBER(G274)), "", VLOOKUP(A274,'Discount Lookup'!D:E,2,FALSE)*G274)</f>
        <v>0</v>
      </c>
      <c r="V274" s="225">
        <f>IF(NOT(ISNUMBER(G274)), "", VLOOKUP(A274,'Discount Lookup'!G:H,2,FALSE)*G274)</f>
        <v>0</v>
      </c>
      <c r="W274" s="508">
        <f t="shared" si="189"/>
        <v>0</v>
      </c>
      <c r="X274" s="508">
        <f t="shared" si="190"/>
        <v>0</v>
      </c>
      <c r="Y274" s="509" t="b">
        <f t="shared" si="191"/>
        <v>0</v>
      </c>
      <c r="Z274" s="510">
        <f t="shared" si="192"/>
        <v>0</v>
      </c>
      <c r="AA274" s="511"/>
      <c r="AB274" s="511" t="str">
        <f t="shared" si="193"/>
        <v/>
      </c>
      <c r="AC274" s="698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698"/>
      <c r="AE274" s="631" t="str">
        <f t="shared" si="194"/>
        <v/>
      </c>
      <c r="AF274" s="699" t="str">
        <f t="shared" si="195"/>
        <v/>
      </c>
      <c r="AG274" s="699"/>
      <c r="AH274" s="699"/>
      <c r="AI274" s="512">
        <f>IF(H274="credit",0,IF(AE274="free",0,IF(AE274="me",0,IF(G274&gt;0,(VLOOKUP(A274,'Discount Lookup'!J:K,2)*G274),0))))</f>
        <v>0</v>
      </c>
      <c r="AJ274" s="513" t="str">
        <f t="shared" ca="1" si="196"/>
        <v/>
      </c>
      <c r="AK274" s="700" t="str">
        <f t="shared" si="197"/>
        <v/>
      </c>
      <c r="AL274" s="700"/>
      <c r="AM274" s="505" t="str">
        <f t="shared" si="198"/>
        <v/>
      </c>
      <c r="AN274" s="506"/>
      <c r="AO274" s="507"/>
      <c r="AP274" s="507"/>
      <c r="AQ274" s="507"/>
      <c r="AR274" s="507"/>
      <c r="AS274" s="507"/>
      <c r="AT274" s="507"/>
      <c r="AU274" s="507"/>
      <c r="AV274" s="225"/>
      <c r="AW274" s="508"/>
      <c r="AX274" s="225"/>
      <c r="AY274" s="225"/>
      <c r="AZ274" s="225"/>
      <c r="BA274" s="225"/>
      <c r="BB274" s="225"/>
      <c r="BC274" s="56"/>
      <c r="BD274" s="56"/>
      <c r="BE274" s="56"/>
      <c r="BF274" s="107" t="str">
        <f t="shared" si="199"/>
        <v>https://www.google.com/search?tbm=isch&amp;q=7%20G4</v>
      </c>
      <c r="BG274" s="107" t="str">
        <f t="shared" si="200"/>
        <v>B</v>
      </c>
      <c r="BH274" s="254"/>
      <c r="BI274" s="254"/>
    </row>
    <row r="275" spans="1:61" customFormat="1" ht="17.25" thickBot="1" x14ac:dyDescent="0.3">
      <c r="A275" s="673" t="s">
        <v>5048</v>
      </c>
      <c r="B275" s="245"/>
      <c r="C275" s="677"/>
      <c r="D275" s="499"/>
      <c r="E275" s="499"/>
      <c r="F275" s="500"/>
      <c r="G275" s="501"/>
      <c r="H275" s="502"/>
      <c r="I275" s="246"/>
      <c r="J275" s="247"/>
      <c r="K275" s="503"/>
      <c r="L275" s="544"/>
      <c r="M275" s="544"/>
      <c r="N275" s="500"/>
      <c r="O275" s="500"/>
      <c r="P275" s="500"/>
      <c r="Q275" s="500"/>
      <c r="R275" s="500"/>
      <c r="S275" s="669" t="s">
        <v>4972</v>
      </c>
      <c r="T275" s="508">
        <f t="shared" si="188"/>
        <v>0</v>
      </c>
      <c r="U275" s="225" t="str">
        <f>IF(NOT(ISNUMBER(G275)), "", VLOOKUP(A275,'Discount Lookup'!D:E,2,FALSE)*G275)</f>
        <v/>
      </c>
      <c r="V275" s="225" t="str">
        <f>IF(NOT(ISNUMBER(G275)), "", VLOOKUP(A275,'Discount Lookup'!G:H,2,FALSE)*G275)</f>
        <v/>
      </c>
      <c r="W275" s="508">
        <f t="shared" si="189"/>
        <v>0</v>
      </c>
      <c r="X275" s="508">
        <f t="shared" si="190"/>
        <v>0</v>
      </c>
      <c r="Y275" s="509" t="b">
        <f t="shared" si="191"/>
        <v>0</v>
      </c>
      <c r="Z275" s="510">
        <f t="shared" si="192"/>
        <v>0</v>
      </c>
      <c r="AA275" s="511"/>
      <c r="AB275" s="511" t="str">
        <f t="shared" si="193"/>
        <v/>
      </c>
      <c r="AC275" s="698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698"/>
      <c r="AE275" s="631" t="str">
        <f t="shared" si="194"/>
        <v/>
      </c>
      <c r="AF275" s="699" t="str">
        <f t="shared" si="195"/>
        <v/>
      </c>
      <c r="AG275" s="699"/>
      <c r="AH275" s="699"/>
      <c r="AI275" s="512">
        <f>IF(H275="credit",0,IF(AE275="free",0,IF(AE275="me",0,IF(G275&gt;0,(VLOOKUP(A275,'Discount Lookup'!J:K,2)*G275),0))))</f>
        <v>0</v>
      </c>
      <c r="AJ275" s="513" t="str">
        <f t="shared" ca="1" si="196"/>
        <v/>
      </c>
      <c r="AK275" s="700" t="str">
        <f t="shared" si="197"/>
        <v/>
      </c>
      <c r="AL275" s="700"/>
      <c r="AM275" s="505" t="str">
        <f t="shared" si="198"/>
        <v/>
      </c>
      <c r="AN275" s="506"/>
      <c r="AO275" s="507"/>
      <c r="AP275" s="507"/>
      <c r="AQ275" s="507"/>
      <c r="AR275" s="507"/>
      <c r="AS275" s="507"/>
      <c r="AT275" s="507"/>
      <c r="AU275" s="507"/>
      <c r="AV275" s="225"/>
      <c r="AW275" s="508"/>
      <c r="AX275" s="225"/>
      <c r="AY275" s="225"/>
      <c r="AZ275" s="225"/>
      <c r="BA275" s="225"/>
      <c r="BB275" s="225"/>
      <c r="BC275" s="56"/>
      <c r="BD275" s="56"/>
      <c r="BE275" s="56"/>
      <c r="BF275" s="107" t="str">
        <f t="shared" si="199"/>
        <v>https://www.google.com/search?tbm=isch&amp;q=moist%20sites%F0%9F%92%A7GOOD%2C%20Baby%20Blue%20named%20for%20striking%20Silvery-Blue%20new%20growth%2C%20turning%20more%20Blue-Green.%20Fragrant%2C%20bell-shaped%20spring%20blooms%20</v>
      </c>
      <c r="BG275" s="107" t="str">
        <f t="shared" si="200"/>
        <v>m</v>
      </c>
      <c r="BH275" s="254"/>
      <c r="BI275" s="254"/>
    </row>
    <row r="276" spans="1:61" customFormat="1" ht="18" x14ac:dyDescent="0.25">
      <c r="A276" s="521" t="s">
        <v>4482</v>
      </c>
      <c r="B276" s="477"/>
      <c r="C276" s="674"/>
      <c r="D276" s="478" t="s">
        <v>4483</v>
      </c>
      <c r="E276" s="479"/>
      <c r="F276" s="479"/>
      <c r="G276" s="479"/>
      <c r="H276" s="582" t="s">
        <v>2042</v>
      </c>
      <c r="I276" s="480" t="s">
        <v>4484</v>
      </c>
      <c r="J276" s="479"/>
      <c r="K276" s="479"/>
      <c r="L276" s="560"/>
      <c r="M276" s="666" t="s">
        <v>4966</v>
      </c>
      <c r="N276" s="680" t="str">
        <f>IF(AND(ISTEXT($A276), ISERROR($A276+0)), HYPERLINK($BF276, "Images"), "")</f>
        <v>Images</v>
      </c>
      <c r="O276" s="662" t="s">
        <v>4967</v>
      </c>
      <c r="P276" s="482"/>
      <c r="Q276" s="483"/>
      <c r="R276" s="483"/>
      <c r="S276" s="484"/>
      <c r="T276" s="508">
        <f t="shared" si="188"/>
        <v>0</v>
      </c>
      <c r="U276" s="225" t="str">
        <f>IF(NOT(ISNUMBER(G276)), "", VLOOKUP(A276,'Discount Lookup'!D:E,2,FALSE)*G276)</f>
        <v/>
      </c>
      <c r="V276" s="225" t="str">
        <f>IF(NOT(ISNUMBER(G276)), "", VLOOKUP(A276,'Discount Lookup'!G:H,2,FALSE)*G276)</f>
        <v/>
      </c>
      <c r="W276" s="508">
        <f t="shared" si="189"/>
        <v>0</v>
      </c>
      <c r="X276" s="508" t="str">
        <f t="shared" si="190"/>
        <v>Silvery-Blue needles</v>
      </c>
      <c r="Y276" s="509" t="b">
        <f t="shared" si="191"/>
        <v>0</v>
      </c>
      <c r="Z276" s="510">
        <f t="shared" si="192"/>
        <v>0</v>
      </c>
      <c r="AA276" s="511"/>
      <c r="AB276" s="511" t="str">
        <f t="shared" si="193"/>
        <v/>
      </c>
      <c r="AC276" s="698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698"/>
      <c r="AE276" s="631" t="str">
        <f t="shared" si="194"/>
        <v/>
      </c>
      <c r="AF276" s="699" t="str">
        <f t="shared" si="195"/>
        <v/>
      </c>
      <c r="AG276" s="699"/>
      <c r="AH276" s="699"/>
      <c r="AI276" s="512">
        <f>IF(H276="credit",0,IF(AE276="free",0,IF(AE276="me",0,IF(G276&gt;0,(VLOOKUP(A276,'Discount Lookup'!J:K,2)*G276),0))))</f>
        <v>0</v>
      </c>
      <c r="AJ276" s="513" t="str">
        <f t="shared" ca="1" si="196"/>
        <v/>
      </c>
      <c r="AK276" s="700" t="str">
        <f t="shared" si="197"/>
        <v/>
      </c>
      <c r="AL276" s="700"/>
      <c r="AM276" s="505" t="str">
        <f t="shared" si="198"/>
        <v/>
      </c>
      <c r="AN276" s="506"/>
      <c r="AO276" s="507"/>
      <c r="AP276" s="507"/>
      <c r="AQ276" s="507"/>
      <c r="AR276" s="507"/>
      <c r="AS276" s="507"/>
      <c r="AT276" s="507"/>
      <c r="AU276" s="507"/>
      <c r="AV276" s="225"/>
      <c r="AW276" s="508"/>
      <c r="AX276" s="225"/>
      <c r="AY276" s="225"/>
      <c r="AZ276" s="225"/>
      <c r="BA276" s="225"/>
      <c r="BB276" s="225"/>
      <c r="BC276" s="56"/>
      <c r="BD276" s="56"/>
      <c r="BE276" s="56"/>
      <c r="BF276" s="107" t="str">
        <f t="shared" si="199"/>
        <v>https://www.google.com/search?tbm=isch&amp;q=Baby%20Blue%20Spruce%20Picea%20pungens%20%27Baby%20Blue%27</v>
      </c>
      <c r="BG276" s="107" t="str">
        <f t="shared" si="200"/>
        <v>B</v>
      </c>
      <c r="BH276" s="254"/>
      <c r="BI276" s="254"/>
    </row>
    <row r="277" spans="1:61" customFormat="1" ht="15.75" x14ac:dyDescent="0.25">
      <c r="A277" s="485">
        <v>5</v>
      </c>
      <c r="B277" s="486" t="s">
        <v>291</v>
      </c>
      <c r="C277" s="487" t="s">
        <v>328</v>
      </c>
      <c r="D277" s="488" t="s">
        <v>312</v>
      </c>
      <c r="E277" s="489">
        <v>153.94999999999999</v>
      </c>
      <c r="F277" s="516" t="s">
        <v>293</v>
      </c>
      <c r="G277" s="232">
        <v>0</v>
      </c>
      <c r="H277" s="658" t="str">
        <f>IF(G277=0,"",IF(F277="Buy",IF(G277=1,"plant","plants"),IF(F277&gt;0.01,"warranty","Error")))</f>
        <v/>
      </c>
      <c r="I277" s="490">
        <f>IF(H277="free",0,IF(H277="credit",((E277*(F277))*G277*-1),IF(F277="Buy",(E277*G277),((E277*(1-F277))*G277))))</f>
        <v>0</v>
      </c>
      <c r="J277" s="490">
        <f>IF(H277="warranty",0,(I277*(_xlfn.SINGLE(SalesTaxPercentage))))</f>
        <v>0</v>
      </c>
      <c r="K277" s="695">
        <f t="shared" ref="K277" si="203">I277+J277</f>
        <v>0</v>
      </c>
      <c r="L277" s="695"/>
      <c r="M277" s="659" t="str">
        <f>IF(AND(G277&gt;0,E277=0),"WARNING - no PRICE inserted",IF(H277="free"," FREE ~ no charge this plant",IF(H277="credit",CONCATENATE(" -$",ROUND(K277*(1-T2GDiscount)*-1,2)," CREDIT after discount"),IF(T2GDiscount=0,"",IF(G277=0,"",IF(F277="Buy",CONCATENATE(" $",ROUND(K277*(1-T2GDiscount),2)," with ",(T2GDiscount*100),"% discount"),CONCATENATE(" $",ROUND(K277*(1-T2GDiscount),2)," with ",((T2GDiscount*100+F277*100)-(T2GDiscount*100*F277)),IF(F277&gt;0,"% discounts",IF(NoWarrantyDiscount&gt;0,"% discounts","% discount")))))))))</f>
        <v/>
      </c>
      <c r="N277" s="660"/>
      <c r="O277" s="233"/>
      <c r="P277" s="233"/>
      <c r="Q277" s="233"/>
      <c r="R277" s="233"/>
      <c r="S277" s="233"/>
      <c r="T277" s="508">
        <f t="shared" si="188"/>
        <v>0</v>
      </c>
      <c r="U277" s="225">
        <f>IF(NOT(ISNUMBER(G277)), "", VLOOKUP(A277,'Discount Lookup'!D:E,2,FALSE)*G277)</f>
        <v>0</v>
      </c>
      <c r="V277" s="225">
        <f>IF(NOT(ISNUMBER(G277)), "", VLOOKUP(A277,'Discount Lookup'!G:H,2,FALSE)*G277)</f>
        <v>0</v>
      </c>
      <c r="W277" s="508">
        <f t="shared" si="189"/>
        <v>0</v>
      </c>
      <c r="X277" s="508">
        <f t="shared" si="190"/>
        <v>0</v>
      </c>
      <c r="Y277" s="509" t="b">
        <f t="shared" si="191"/>
        <v>0</v>
      </c>
      <c r="Z277" s="510">
        <f t="shared" si="192"/>
        <v>0</v>
      </c>
      <c r="AA277" s="511"/>
      <c r="AB277" s="511" t="str">
        <f t="shared" si="193"/>
        <v/>
      </c>
      <c r="AC277" s="698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698"/>
      <c r="AE277" s="631" t="str">
        <f t="shared" si="194"/>
        <v/>
      </c>
      <c r="AF277" s="699" t="str">
        <f t="shared" si="195"/>
        <v/>
      </c>
      <c r="AG277" s="699"/>
      <c r="AH277" s="699"/>
      <c r="AI277" s="512">
        <f>IF(H277="credit",0,IF(AE277="free",0,IF(AE277="me",0,IF(G277&gt;0,(VLOOKUP(A277,'Discount Lookup'!J:K,2)*G277),0))))</f>
        <v>0</v>
      </c>
      <c r="AJ277" s="513" t="str">
        <f t="shared" ca="1" si="196"/>
        <v/>
      </c>
      <c r="AK277" s="700" t="str">
        <f t="shared" si="197"/>
        <v/>
      </c>
      <c r="AL277" s="700"/>
      <c r="AM277" s="505" t="str">
        <f t="shared" si="198"/>
        <v/>
      </c>
      <c r="AN277" s="506"/>
      <c r="AO277" s="507"/>
      <c r="AP277" s="507"/>
      <c r="AQ277" s="507"/>
      <c r="AR277" s="507"/>
      <c r="AS277" s="507"/>
      <c r="AT277" s="507"/>
      <c r="AU277" s="507"/>
      <c r="AV277" s="225"/>
      <c r="AW277" s="508"/>
      <c r="AX277" s="225"/>
      <c r="AY277" s="225"/>
      <c r="AZ277" s="225"/>
      <c r="BA277" s="225"/>
      <c r="BB277" s="225"/>
      <c r="BC277" s="56"/>
      <c r="BD277" s="56"/>
      <c r="BE277" s="56"/>
      <c r="BF277" s="107" t="str">
        <f t="shared" si="199"/>
        <v>https://www.google.com/search?tbm=isch&amp;q=5%20G2</v>
      </c>
      <c r="BG277" s="107" t="str">
        <f t="shared" si="200"/>
        <v>B</v>
      </c>
      <c r="BH277" s="254"/>
      <c r="BI277" s="254"/>
    </row>
    <row r="278" spans="1:61" customFormat="1" ht="16.5" thickBot="1" x14ac:dyDescent="0.3">
      <c r="A278" s="522" t="s">
        <v>4485</v>
      </c>
      <c r="B278" s="491"/>
      <c r="C278" s="675"/>
      <c r="D278" s="491"/>
      <c r="E278" s="491"/>
      <c r="F278" s="492"/>
      <c r="G278" s="493"/>
      <c r="H278" s="491"/>
      <c r="I278" s="234"/>
      <c r="J278" s="234"/>
      <c r="K278" s="494"/>
      <c r="L278" s="543"/>
      <c r="M278" s="561"/>
      <c r="N278" s="495"/>
      <c r="O278" s="496"/>
      <c r="P278" s="497"/>
      <c r="Q278" s="495"/>
      <c r="R278" s="495"/>
      <c r="S278" s="667" t="s">
        <v>4968</v>
      </c>
      <c r="T278" s="508">
        <f t="shared" si="188"/>
        <v>0</v>
      </c>
      <c r="U278" s="225" t="str">
        <f>IF(NOT(ISNUMBER(G278)), "", VLOOKUP(A278,'Discount Lookup'!D:E,2,FALSE)*G278)</f>
        <v/>
      </c>
      <c r="V278" s="225" t="str">
        <f>IF(NOT(ISNUMBER(G278)), "", VLOOKUP(A278,'Discount Lookup'!G:H,2,FALSE)*G278)</f>
        <v/>
      </c>
      <c r="W278" s="508">
        <f t="shared" si="189"/>
        <v>0</v>
      </c>
      <c r="X278" s="508">
        <f t="shared" si="190"/>
        <v>0</v>
      </c>
      <c r="Y278" s="509" t="b">
        <f t="shared" si="191"/>
        <v>0</v>
      </c>
      <c r="Z278" s="510">
        <f t="shared" si="192"/>
        <v>0</v>
      </c>
      <c r="AA278" s="511"/>
      <c r="AB278" s="511" t="str">
        <f t="shared" si="193"/>
        <v/>
      </c>
      <c r="AC278" s="698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698"/>
      <c r="AE278" s="631" t="str">
        <f t="shared" si="194"/>
        <v/>
      </c>
      <c r="AF278" s="699" t="str">
        <f t="shared" si="195"/>
        <v/>
      </c>
      <c r="AG278" s="699"/>
      <c r="AH278" s="699"/>
      <c r="AI278" s="512">
        <f>IF(H278="credit",0,IF(AE278="free",0,IF(AE278="me",0,IF(G278&gt;0,(VLOOKUP(A278,'Discount Lookup'!J:K,2)*G278),0))))</f>
        <v>0</v>
      </c>
      <c r="AJ278" s="513" t="str">
        <f t="shared" ca="1" si="196"/>
        <v/>
      </c>
      <c r="AK278" s="700" t="str">
        <f t="shared" si="197"/>
        <v/>
      </c>
      <c r="AL278" s="700"/>
      <c r="AM278" s="505" t="str">
        <f t="shared" si="198"/>
        <v/>
      </c>
      <c r="AN278" s="506"/>
      <c r="AO278" s="507"/>
      <c r="AP278" s="507"/>
      <c r="AQ278" s="507"/>
      <c r="AR278" s="507"/>
      <c r="AS278" s="507"/>
      <c r="AT278" s="507"/>
      <c r="AU278" s="507"/>
      <c r="AV278" s="225"/>
      <c r="AW278" s="508"/>
      <c r="AX278" s="225"/>
      <c r="AY278" s="225"/>
      <c r="AZ278" s="225"/>
      <c r="BA278" s="225"/>
      <c r="BB278" s="225"/>
      <c r="BC278" s="56"/>
      <c r="BD278" s="56"/>
      <c r="BE278" s="56"/>
      <c r="BF278" s="107" t="str">
        <f t="shared" si="199"/>
        <v>https://www.google.com/search?tbm=isch&amp;q=Baby%20Blue%20has%20silvery-blue%20to%20bright%20blue%20needles.%20Slow%20grower%2C%20as%20all%20Spruce%20are%20</v>
      </c>
      <c r="BG278" s="107" t="str">
        <f t="shared" si="200"/>
        <v>B</v>
      </c>
      <c r="BH278" s="254"/>
      <c r="BI278" s="254"/>
    </row>
    <row r="279" spans="1:61" customFormat="1" ht="18" x14ac:dyDescent="0.25">
      <c r="A279" s="523" t="s">
        <v>5578</v>
      </c>
      <c r="B279" s="235"/>
      <c r="C279" s="676"/>
      <c r="D279" s="255" t="s">
        <v>646</v>
      </c>
      <c r="E279" s="236"/>
      <c r="F279" s="236"/>
      <c r="G279" s="236"/>
      <c r="H279" s="582" t="s">
        <v>441</v>
      </c>
      <c r="I279" s="498" t="s">
        <v>654</v>
      </c>
      <c r="J279" s="237"/>
      <c r="K279" s="237"/>
      <c r="L279" s="274"/>
      <c r="M279" s="668" t="s">
        <v>4962</v>
      </c>
      <c r="N279" s="681" t="str">
        <f>IF(AND(ISTEXT($A279), ISERROR($A279+0)), HYPERLINK($BF279, "Images"), "")</f>
        <v>Images</v>
      </c>
      <c r="O279" s="663" t="s">
        <v>4967</v>
      </c>
      <c r="P279" s="253"/>
      <c r="Q279" s="238"/>
      <c r="R279" s="239"/>
      <c r="S279" s="275"/>
      <c r="T279" s="508">
        <f t="shared" si="188"/>
        <v>0</v>
      </c>
      <c r="U279" s="225" t="str">
        <f>IF(NOT(ISNUMBER(G279)), "", VLOOKUP(A279,'Discount Lookup'!D:E,2,FALSE)*G279)</f>
        <v/>
      </c>
      <c r="V279" s="225" t="str">
        <f>IF(NOT(ISNUMBER(G279)), "", VLOOKUP(A279,'Discount Lookup'!G:H,2,FALSE)*G279)</f>
        <v/>
      </c>
      <c r="W279" s="508">
        <f t="shared" si="189"/>
        <v>0</v>
      </c>
      <c r="X279" s="508" t="str">
        <f t="shared" si="190"/>
        <v>White bloom</v>
      </c>
      <c r="Y279" s="509" t="b">
        <f t="shared" si="191"/>
        <v>0</v>
      </c>
      <c r="Z279" s="510">
        <f t="shared" si="192"/>
        <v>0</v>
      </c>
      <c r="AA279" s="511"/>
      <c r="AB279" s="511" t="str">
        <f t="shared" si="193"/>
        <v/>
      </c>
      <c r="AC279" s="698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698"/>
      <c r="AE279" s="631" t="str">
        <f t="shared" si="194"/>
        <v/>
      </c>
      <c r="AF279" s="699" t="str">
        <f t="shared" si="195"/>
        <v/>
      </c>
      <c r="AG279" s="699"/>
      <c r="AH279" s="699"/>
      <c r="AI279" s="512">
        <f>IF(H279="credit",0,IF(AE279="free",0,IF(AE279="me",0,IF(G279&gt;0,(VLOOKUP(A279,'Discount Lookup'!J:K,2)*G279),0))))</f>
        <v>0</v>
      </c>
      <c r="AJ279" s="513" t="str">
        <f t="shared" ca="1" si="196"/>
        <v/>
      </c>
      <c r="AK279" s="700" t="str">
        <f t="shared" si="197"/>
        <v/>
      </c>
      <c r="AL279" s="700"/>
      <c r="AM279" s="505" t="str">
        <f t="shared" si="198"/>
        <v/>
      </c>
      <c r="AN279" s="506"/>
      <c r="AO279" s="507"/>
      <c r="AP279" s="507"/>
      <c r="AQ279" s="507"/>
      <c r="AR279" s="507"/>
      <c r="AS279" s="507"/>
      <c r="AT279" s="507"/>
      <c r="AU279" s="507"/>
      <c r="AV279" s="225"/>
      <c r="AW279" s="508"/>
      <c r="AX279" s="225"/>
      <c r="AY279" s="225"/>
      <c r="AZ279" s="225"/>
      <c r="BA279" s="225"/>
      <c r="BB279" s="225"/>
      <c r="BC279" s="56"/>
      <c r="BD279" s="56"/>
      <c r="BE279" s="56"/>
      <c r="BF279" s="107" t="str">
        <f t="shared" si="199"/>
        <v>https://www.google.com/search?tbm=isch&amp;q=Baby%20Cakes%C2%AE%20Blackberry%20%28BB%C2%AE%29%20Rubus%20%27APF-236T%27%20PP%2327032</v>
      </c>
      <c r="BG279" s="107" t="str">
        <f t="shared" si="200"/>
        <v>B</v>
      </c>
      <c r="BH279" s="254"/>
      <c r="BI279" s="254"/>
    </row>
    <row r="280" spans="1:61" customFormat="1" ht="15.75" x14ac:dyDescent="0.25">
      <c r="A280" s="276">
        <v>1</v>
      </c>
      <c r="B280" s="240" t="s">
        <v>291</v>
      </c>
      <c r="C280" s="241" t="s">
        <v>3047</v>
      </c>
      <c r="D280" s="242" t="s">
        <v>312</v>
      </c>
      <c r="E280" s="243">
        <v>29.95</v>
      </c>
      <c r="F280" s="517" t="s">
        <v>293</v>
      </c>
      <c r="G280" s="232">
        <v>0</v>
      </c>
      <c r="H280" s="661" t="str">
        <f>IF(G280=0,"",IF(F280="Buy",IF(G280=1,"plant","plants"),IF(F280&gt;0.01,"warranty","Error")))</f>
        <v/>
      </c>
      <c r="I280" s="244">
        <f>IF(H280="free",0,IF(H280="credit",((E280*(F280))*G280*-1),IF(F280="Buy",(E280*G280),((E280*(1-F280))*G280))))</f>
        <v>0</v>
      </c>
      <c r="J280" s="244">
        <f>IF(H280="warranty",0,(I280*(_xlfn.SINGLE(SalesTaxPercentage))))</f>
        <v>0</v>
      </c>
      <c r="K280" s="696">
        <f t="shared" ref="K280" si="204">I280+J280</f>
        <v>0</v>
      </c>
      <c r="L280" s="696"/>
      <c r="M280" s="659" t="str">
        <f>IF(AND(G280&gt;0,E280=0),"WARNING - no PRICE inserted",IF(H280="free"," FREE ~ no charge this plant",IF(H280="credit",CONCATENATE(" -$",ROUND(K280*(1-T2GDiscount)*-1,2)," CREDIT after discount"),IF(T2GDiscount=0,"",IF(G280=0,"",IF(F280="Buy",CONCATENATE(" $",ROUND(K280*(1-T2GDiscount),2)," with ",(T2GDiscount*100),"% discount"),CONCATENATE(" $",ROUND(K280*(1-T2GDiscount),2)," with ",((T2GDiscount*100+F280*100)-(T2GDiscount*100*F280)),IF(F280&gt;0,"% discounts",IF(NoWarrantyDiscount&gt;0,"% discounts","% discount")))))))))</f>
        <v/>
      </c>
      <c r="N280" s="660"/>
      <c r="O280" s="233"/>
      <c r="P280" s="233"/>
      <c r="Q280" s="233"/>
      <c r="R280" s="233"/>
      <c r="S280" s="233"/>
      <c r="T280" s="508">
        <f t="shared" si="188"/>
        <v>0</v>
      </c>
      <c r="U280" s="225">
        <f>IF(NOT(ISNUMBER(G280)), "", VLOOKUP(A280,'Discount Lookup'!D:E,2,FALSE)*G280)</f>
        <v>0</v>
      </c>
      <c r="V280" s="225">
        <f>IF(NOT(ISNUMBER(G280)), "", VLOOKUP(A280,'Discount Lookup'!G:H,2,FALSE)*G280)</f>
        <v>0</v>
      </c>
      <c r="W280" s="508">
        <f t="shared" si="189"/>
        <v>0</v>
      </c>
      <c r="X280" s="508">
        <f t="shared" si="190"/>
        <v>0</v>
      </c>
      <c r="Y280" s="509" t="b">
        <f t="shared" si="191"/>
        <v>0</v>
      </c>
      <c r="Z280" s="510">
        <f t="shared" si="192"/>
        <v>0</v>
      </c>
      <c r="AA280" s="511"/>
      <c r="AB280" s="511" t="str">
        <f t="shared" si="193"/>
        <v/>
      </c>
      <c r="AC280" s="698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698"/>
      <c r="AE280" s="631" t="str">
        <f t="shared" si="194"/>
        <v/>
      </c>
      <c r="AF280" s="699" t="str">
        <f t="shared" si="195"/>
        <v/>
      </c>
      <c r="AG280" s="699"/>
      <c r="AH280" s="699"/>
      <c r="AI280" s="512">
        <f>IF(H280="credit",0,IF(AE280="free",0,IF(AE280="me",0,IF(G280&gt;0,(VLOOKUP(A280,'Discount Lookup'!J:K,2)*G280),0))))</f>
        <v>0</v>
      </c>
      <c r="AJ280" s="513" t="str">
        <f t="shared" ca="1" si="196"/>
        <v/>
      </c>
      <c r="AK280" s="700" t="str">
        <f t="shared" si="197"/>
        <v/>
      </c>
      <c r="AL280" s="700"/>
      <c r="AM280" s="505" t="str">
        <f t="shared" si="198"/>
        <v/>
      </c>
      <c r="AN280" s="506"/>
      <c r="AO280" s="507"/>
      <c r="AP280" s="507"/>
      <c r="AQ280" s="507"/>
      <c r="AR280" s="507"/>
      <c r="AS280" s="507"/>
      <c r="AT280" s="507"/>
      <c r="AU280" s="507"/>
      <c r="AV280" s="225"/>
      <c r="AW280" s="508"/>
      <c r="AX280" s="225"/>
      <c r="AY280" s="225"/>
      <c r="AZ280" s="225"/>
      <c r="BA280" s="225"/>
      <c r="BB280" s="225"/>
      <c r="BC280" s="56"/>
      <c r="BD280" s="56"/>
      <c r="BE280" s="56"/>
      <c r="BF280" s="107" t="str">
        <f t="shared" si="199"/>
        <v>https://www.google.com/search?tbm=isch&amp;q=1%20G2</v>
      </c>
      <c r="BG280" s="107" t="str">
        <f t="shared" si="200"/>
        <v>B</v>
      </c>
      <c r="BH280" s="254"/>
      <c r="BI280" s="254"/>
    </row>
    <row r="281" spans="1:61" customFormat="1" ht="15.75" x14ac:dyDescent="0.25">
      <c r="A281" s="276">
        <v>2</v>
      </c>
      <c r="B281" s="240" t="s">
        <v>291</v>
      </c>
      <c r="C281" s="241"/>
      <c r="D281" s="242" t="s">
        <v>298</v>
      </c>
      <c r="E281" s="243">
        <v>34.950000000000003</v>
      </c>
      <c r="F281" s="517" t="s">
        <v>293</v>
      </c>
      <c r="G281" s="232">
        <v>0</v>
      </c>
      <c r="H281" s="661" t="str">
        <f>IF(G281=0,"",IF(F281="Buy",IF(G281=1,"plant","plants"),IF(F281&gt;0.01,"warranty","Error")))</f>
        <v/>
      </c>
      <c r="I281" s="244">
        <f>IF(H281="free",0,IF(H281="credit",((E281*(F281))*G281*-1),IF(F281="Buy",(E281*G281),((E281*(1-F281))*G281))))</f>
        <v>0</v>
      </c>
      <c r="J281" s="244">
        <f>IF(H281="warranty",0,(I281*(_xlfn.SINGLE(SalesTaxPercentage))))</f>
        <v>0</v>
      </c>
      <c r="K281" s="696">
        <f t="shared" ref="K281" si="205">I281+J281</f>
        <v>0</v>
      </c>
      <c r="L281" s="696"/>
      <c r="M281" s="659" t="str">
        <f>IF(AND(G281&gt;0,E281=0),"WARNING - no PRICE inserted",IF(H281="free"," FREE ~ no charge this plant",IF(H281="credit",CONCATENATE(" -$",ROUND(K281*(1-T2GDiscount)*-1,2)," CREDIT after discount"),IF(T2GDiscount=0,"",IF(G281=0,"",IF(F281="Buy",CONCATENATE(" $",ROUND(K281*(1-T2GDiscount),2)," with ",(T2GDiscount*100),"% discount"),CONCATENATE(" $",ROUND(K281*(1-T2GDiscount),2)," with ",((T2GDiscount*100+F281*100)-(T2GDiscount*100*F281)),IF(F281&gt;0,"% discounts",IF(NoWarrantyDiscount&gt;0,"% discounts","% discount")))))))))</f>
        <v/>
      </c>
      <c r="N281" s="660"/>
      <c r="O281" s="233"/>
      <c r="P281" s="233"/>
      <c r="Q281" s="233"/>
      <c r="R281" s="233"/>
      <c r="S281" s="233"/>
      <c r="T281" s="508">
        <f t="shared" si="188"/>
        <v>0</v>
      </c>
      <c r="U281" s="225">
        <f>IF(NOT(ISNUMBER(G281)), "", VLOOKUP(A281,'Discount Lookup'!D:E,2,FALSE)*G281)</f>
        <v>0</v>
      </c>
      <c r="V281" s="225">
        <f>IF(NOT(ISNUMBER(G281)), "", VLOOKUP(A281,'Discount Lookup'!G:H,2,FALSE)*G281)</f>
        <v>0</v>
      </c>
      <c r="W281" s="508">
        <f t="shared" si="189"/>
        <v>0</v>
      </c>
      <c r="X281" s="508">
        <f t="shared" si="190"/>
        <v>0</v>
      </c>
      <c r="Y281" s="509" t="b">
        <f t="shared" si="191"/>
        <v>0</v>
      </c>
      <c r="Z281" s="510">
        <f t="shared" si="192"/>
        <v>0</v>
      </c>
      <c r="AA281" s="511"/>
      <c r="AB281" s="511" t="str">
        <f t="shared" si="193"/>
        <v/>
      </c>
      <c r="AC281" s="698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698"/>
      <c r="AE281" s="631" t="str">
        <f t="shared" si="194"/>
        <v/>
      </c>
      <c r="AF281" s="699" t="str">
        <f t="shared" si="195"/>
        <v/>
      </c>
      <c r="AG281" s="699"/>
      <c r="AH281" s="699"/>
      <c r="AI281" s="512">
        <f>IF(H281="credit",0,IF(AE281="free",0,IF(AE281="me",0,IF(G281&gt;0,(VLOOKUP(A281,'Discount Lookup'!J:K,2)*G281),0))))</f>
        <v>0</v>
      </c>
      <c r="AJ281" s="513" t="str">
        <f t="shared" ca="1" si="196"/>
        <v/>
      </c>
      <c r="AK281" s="700" t="str">
        <f t="shared" si="197"/>
        <v/>
      </c>
      <c r="AL281" s="700"/>
      <c r="AM281" s="505" t="str">
        <f t="shared" si="198"/>
        <v/>
      </c>
      <c r="AN281" s="506"/>
      <c r="AO281" s="507"/>
      <c r="AP281" s="507"/>
      <c r="AQ281" s="507"/>
      <c r="AR281" s="507"/>
      <c r="AS281" s="507"/>
      <c r="AT281" s="507"/>
      <c r="AU281" s="507"/>
      <c r="AV281" s="225"/>
      <c r="AW281" s="508"/>
      <c r="AX281" s="225"/>
      <c r="AY281" s="225"/>
      <c r="AZ281" s="225"/>
      <c r="BA281" s="225"/>
      <c r="BB281" s="225"/>
      <c r="BC281" s="56"/>
      <c r="BD281" s="56"/>
      <c r="BE281" s="56"/>
      <c r="BF281" s="107" t="str">
        <f t="shared" si="199"/>
        <v>https://www.google.com/search?tbm=isch&amp;q=2%20G1</v>
      </c>
      <c r="BG281" s="107" t="str">
        <f t="shared" si="200"/>
        <v>B</v>
      </c>
      <c r="BH281" s="254"/>
      <c r="BI281" s="254"/>
    </row>
    <row r="282" spans="1:61" customFormat="1" ht="17.25" thickBot="1" x14ac:dyDescent="0.3">
      <c r="A282" s="524" t="s">
        <v>2336</v>
      </c>
      <c r="B282" s="245"/>
      <c r="C282" s="677"/>
      <c r="D282" s="499"/>
      <c r="E282" s="499"/>
      <c r="F282" s="500"/>
      <c r="G282" s="501"/>
      <c r="H282" s="502"/>
      <c r="I282" s="246"/>
      <c r="J282" s="247"/>
      <c r="K282" s="503"/>
      <c r="L282" s="544"/>
      <c r="M282" s="544"/>
      <c r="N282" s="500"/>
      <c r="O282" s="500"/>
      <c r="P282" s="500"/>
      <c r="Q282" s="500"/>
      <c r="R282" s="500"/>
      <c r="S282" s="669" t="s">
        <v>4972</v>
      </c>
      <c r="T282" s="508">
        <f t="shared" si="188"/>
        <v>0</v>
      </c>
      <c r="U282" s="225" t="str">
        <f>IF(NOT(ISNUMBER(G282)), "", VLOOKUP(A282,'Discount Lookup'!D:E,2,FALSE)*G282)</f>
        <v/>
      </c>
      <c r="V282" s="225" t="str">
        <f>IF(NOT(ISNUMBER(G282)), "", VLOOKUP(A282,'Discount Lookup'!G:H,2,FALSE)*G282)</f>
        <v/>
      </c>
      <c r="W282" s="508">
        <f t="shared" si="189"/>
        <v>0</v>
      </c>
      <c r="X282" s="508">
        <f t="shared" si="190"/>
        <v>0</v>
      </c>
      <c r="Y282" s="509" t="b">
        <f t="shared" si="191"/>
        <v>0</v>
      </c>
      <c r="Z282" s="510">
        <f t="shared" si="192"/>
        <v>0</v>
      </c>
      <c r="AA282" s="511"/>
      <c r="AB282" s="511" t="str">
        <f t="shared" si="193"/>
        <v/>
      </c>
      <c r="AC282" s="698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698"/>
      <c r="AE282" s="631" t="str">
        <f t="shared" si="194"/>
        <v/>
      </c>
      <c r="AF282" s="699" t="str">
        <f t="shared" si="195"/>
        <v/>
      </c>
      <c r="AG282" s="699"/>
      <c r="AH282" s="699"/>
      <c r="AI282" s="512">
        <f>IF(H282="credit",0,IF(AE282="free",0,IF(AE282="me",0,IF(G282&gt;0,(VLOOKUP(A282,'Discount Lookup'!J:K,2)*G282),0))))</f>
        <v>0</v>
      </c>
      <c r="AJ282" s="513" t="str">
        <f t="shared" ca="1" si="196"/>
        <v/>
      </c>
      <c r="AK282" s="700" t="str">
        <f t="shared" si="197"/>
        <v/>
      </c>
      <c r="AL282" s="700"/>
      <c r="AM282" s="505" t="str">
        <f t="shared" si="198"/>
        <v/>
      </c>
      <c r="AN282" s="506"/>
      <c r="AO282" s="507"/>
      <c r="AP282" s="507"/>
      <c r="AQ282" s="507"/>
      <c r="AR282" s="507"/>
      <c r="AS282" s="507"/>
      <c r="AT282" s="507"/>
      <c r="AU282" s="507"/>
      <c r="AV282" s="225"/>
      <c r="AW282" s="508"/>
      <c r="AX282" s="225"/>
      <c r="AY282" s="225"/>
      <c r="AZ282" s="225"/>
      <c r="BA282" s="225"/>
      <c r="BB282" s="225"/>
      <c r="BC282" s="56"/>
      <c r="BD282" s="56"/>
      <c r="BE282" s="56"/>
      <c r="BF282" s="107" t="str">
        <f t="shared" si="199"/>
        <v>https://www.google.com/search?tbm=isch&amp;q=Baby%20Cakes%20are%20thornless%2C%20producing%20large%20berries%20in%20first%20year.%20May%20produce%20twice%20per%20season.%20Self-pollinating%20</v>
      </c>
      <c r="BG282" s="107" t="str">
        <f t="shared" si="200"/>
        <v>B</v>
      </c>
      <c r="BH282" s="254"/>
      <c r="BI282" s="254"/>
    </row>
    <row r="283" spans="1:61" customFormat="1" ht="18" x14ac:dyDescent="0.25">
      <c r="A283" s="521" t="s">
        <v>5343</v>
      </c>
      <c r="B283" s="477"/>
      <c r="C283" s="674"/>
      <c r="D283" s="478" t="s">
        <v>442</v>
      </c>
      <c r="E283" s="479"/>
      <c r="F283" s="479"/>
      <c r="G283" s="479"/>
      <c r="H283" s="582" t="s">
        <v>443</v>
      </c>
      <c r="I283" s="480" t="s">
        <v>2106</v>
      </c>
      <c r="J283" s="479"/>
      <c r="K283" s="479"/>
      <c r="L283" s="560"/>
      <c r="M283" s="666" t="s">
        <v>4966</v>
      </c>
      <c r="N283" s="680" t="str">
        <f>IF(AND(ISTEXT($A283), ISERROR($A283+0)), HYPERLINK($BF283, "Images"), "")</f>
        <v>Images</v>
      </c>
      <c r="O283" s="662" t="s">
        <v>4969</v>
      </c>
      <c r="P283" s="482"/>
      <c r="Q283" s="483"/>
      <c r="R283" s="483"/>
      <c r="S283" s="484"/>
      <c r="T283" s="508">
        <f t="shared" si="188"/>
        <v>0</v>
      </c>
      <c r="U283" s="225" t="str">
        <f>IF(NOT(ISNUMBER(G283)), "", VLOOKUP(A283,'Discount Lookup'!D:E,2,FALSE)*G283)</f>
        <v/>
      </c>
      <c r="V283" s="225" t="str">
        <f>IF(NOT(ISNUMBER(G283)), "", VLOOKUP(A283,'Discount Lookup'!G:H,2,FALSE)*G283)</f>
        <v/>
      </c>
      <c r="W283" s="508">
        <f t="shared" si="189"/>
        <v>0</v>
      </c>
      <c r="X283" s="508" t="str">
        <f t="shared" si="190"/>
        <v>Bright Green foliage</v>
      </c>
      <c r="Y283" s="509" t="b">
        <f t="shared" si="191"/>
        <v>0</v>
      </c>
      <c r="Z283" s="510">
        <f t="shared" si="192"/>
        <v>0</v>
      </c>
      <c r="AA283" s="511"/>
      <c r="AB283" s="511" t="str">
        <f t="shared" si="193"/>
        <v/>
      </c>
      <c r="AC283" s="698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698"/>
      <c r="AE283" s="631" t="str">
        <f t="shared" si="194"/>
        <v/>
      </c>
      <c r="AF283" s="699" t="str">
        <f t="shared" si="195"/>
        <v/>
      </c>
      <c r="AG283" s="699"/>
      <c r="AH283" s="699"/>
      <c r="AI283" s="512">
        <f>IF(H283="credit",0,IF(AE283="free",0,IF(AE283="me",0,IF(G283&gt;0,(VLOOKUP(A283,'Discount Lookup'!J:K,2)*G283),0))))</f>
        <v>0</v>
      </c>
      <c r="AJ283" s="513" t="str">
        <f t="shared" ca="1" si="196"/>
        <v/>
      </c>
      <c r="AK283" s="700" t="str">
        <f t="shared" si="197"/>
        <v/>
      </c>
      <c r="AL283" s="700"/>
      <c r="AM283" s="505" t="str">
        <f t="shared" si="198"/>
        <v/>
      </c>
      <c r="AN283" s="506"/>
      <c r="AO283" s="507"/>
      <c r="AP283" s="507"/>
      <c r="AQ283" s="507"/>
      <c r="AR283" s="507"/>
      <c r="AS283" s="507"/>
      <c r="AT283" s="507"/>
      <c r="AU283" s="507"/>
      <c r="AV283" s="225"/>
      <c r="AW283" s="508"/>
      <c r="AX283" s="225"/>
      <c r="AY283" s="225"/>
      <c r="AZ283" s="225"/>
      <c r="BA283" s="225"/>
      <c r="BB283" s="225"/>
      <c r="BC283" s="56"/>
      <c r="BD283" s="56"/>
      <c r="BE283" s="56"/>
      <c r="BF283" s="107" t="str">
        <f t="shared" si="199"/>
        <v>https://www.google.com/search?tbm=isch&amp;q=Baby%20Gem%E2%84%A2%20Boxwood%20Buxus%20microphylla%20japonica%20%27Gregem%27%20PP%2321159</v>
      </c>
      <c r="BG283" s="107" t="str">
        <f t="shared" si="200"/>
        <v>B</v>
      </c>
      <c r="BH283" s="254"/>
      <c r="BI283" s="254"/>
    </row>
    <row r="284" spans="1:61" customFormat="1" ht="15.75" x14ac:dyDescent="0.25">
      <c r="A284" s="485">
        <v>7</v>
      </c>
      <c r="B284" s="486" t="s">
        <v>291</v>
      </c>
      <c r="C284" s="487" t="s">
        <v>444</v>
      </c>
      <c r="D284" s="488" t="s">
        <v>300</v>
      </c>
      <c r="E284" s="489">
        <v>96.95</v>
      </c>
      <c r="F284" s="516" t="s">
        <v>293</v>
      </c>
      <c r="G284" s="232">
        <v>0</v>
      </c>
      <c r="H284" s="658" t="str">
        <f>IF(G284=0,"",IF(F284="Buy",IF(G284=1,"plant","plants"),IF(F284&gt;0.01,"warranty","Error")))</f>
        <v/>
      </c>
      <c r="I284" s="490">
        <f>IF(H284="free",0,IF(H284="credit",((E284*(F284))*G284*-1),IF(F284="Buy",(E284*G284),((E284*(1-F284))*G284))))</f>
        <v>0</v>
      </c>
      <c r="J284" s="490">
        <f>IF(H284="warranty",0,(I284*(_xlfn.SINGLE(SalesTaxPercentage))))</f>
        <v>0</v>
      </c>
      <c r="K284" s="695">
        <f t="shared" ref="K284" si="206">I284+J284</f>
        <v>0</v>
      </c>
      <c r="L284" s="695"/>
      <c r="M284" s="659" t="str">
        <f>IF(AND(G284&gt;0,E284=0),"WARNING - no PRICE inserted",IF(H284="free"," FREE ~ no charge this plant",IF(H284="credit",CONCATENATE(" -$",ROUND(K284*(1-T2GDiscount)*-1,2)," CREDIT after discount"),IF(T2GDiscount=0,"",IF(G284=0,"",IF(F284="Buy",CONCATENATE(" $",ROUND(K284*(1-T2GDiscount),2)," with ",(T2GDiscount*100),"% discount"),CONCATENATE(" $",ROUND(K284*(1-T2GDiscount),2)," with ",((T2GDiscount*100+F284*100)-(T2GDiscount*100*F284)),IF(F284&gt;0,"% discounts",IF(NoWarrantyDiscount&gt;0,"% discounts","% discount")))))))))</f>
        <v/>
      </c>
      <c r="N284" s="660"/>
      <c r="O284" s="233"/>
      <c r="P284" s="233"/>
      <c r="Q284" s="233"/>
      <c r="R284" s="233"/>
      <c r="S284" s="233"/>
      <c r="T284" s="508">
        <f t="shared" si="188"/>
        <v>0</v>
      </c>
      <c r="U284" s="225">
        <f>IF(NOT(ISNUMBER(G284)), "", VLOOKUP(A284,'Discount Lookup'!D:E,2,FALSE)*G284)</f>
        <v>0</v>
      </c>
      <c r="V284" s="225">
        <f>IF(NOT(ISNUMBER(G284)), "", VLOOKUP(A284,'Discount Lookup'!G:H,2,FALSE)*G284)</f>
        <v>0</v>
      </c>
      <c r="W284" s="508">
        <f t="shared" si="189"/>
        <v>0</v>
      </c>
      <c r="X284" s="508">
        <f t="shared" si="190"/>
        <v>0</v>
      </c>
      <c r="Y284" s="509" t="b">
        <f t="shared" si="191"/>
        <v>0</v>
      </c>
      <c r="Z284" s="510">
        <f t="shared" si="192"/>
        <v>0</v>
      </c>
      <c r="AA284" s="511"/>
      <c r="AB284" s="511" t="str">
        <f t="shared" si="193"/>
        <v/>
      </c>
      <c r="AC284" s="698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698"/>
      <c r="AE284" s="631" t="str">
        <f t="shared" si="194"/>
        <v/>
      </c>
      <c r="AF284" s="699" t="str">
        <f t="shared" si="195"/>
        <v/>
      </c>
      <c r="AG284" s="699"/>
      <c r="AH284" s="699"/>
      <c r="AI284" s="512">
        <f>IF(H284="credit",0,IF(AE284="free",0,IF(AE284="me",0,IF(G284&gt;0,(VLOOKUP(A284,'Discount Lookup'!J:K,2)*G284),0))))</f>
        <v>0</v>
      </c>
      <c r="AJ284" s="513" t="str">
        <f t="shared" ca="1" si="196"/>
        <v/>
      </c>
      <c r="AK284" s="700" t="str">
        <f t="shared" si="197"/>
        <v/>
      </c>
      <c r="AL284" s="700"/>
      <c r="AM284" s="505" t="str">
        <f t="shared" si="198"/>
        <v/>
      </c>
      <c r="AN284" s="506"/>
      <c r="AO284" s="507"/>
      <c r="AP284" s="507"/>
      <c r="AQ284" s="507"/>
      <c r="AR284" s="507"/>
      <c r="AS284" s="507"/>
      <c r="AT284" s="507"/>
      <c r="AU284" s="507"/>
      <c r="AV284" s="225"/>
      <c r="AW284" s="508"/>
      <c r="AX284" s="225"/>
      <c r="AY284" s="225"/>
      <c r="AZ284" s="225"/>
      <c r="BA284" s="225"/>
      <c r="BB284" s="225"/>
      <c r="BC284" s="56"/>
      <c r="BD284" s="56"/>
      <c r="BE284" s="56"/>
      <c r="BF284" s="107" t="str">
        <f t="shared" si="199"/>
        <v>https://www.google.com/search?tbm=isch&amp;q=7%20G6</v>
      </c>
      <c r="BG284" s="107" t="str">
        <f t="shared" si="200"/>
        <v>B</v>
      </c>
      <c r="BH284" s="254"/>
      <c r="BI284" s="254"/>
    </row>
    <row r="285" spans="1:61" customFormat="1" ht="16.5" thickBot="1" x14ac:dyDescent="0.3">
      <c r="A285" s="522" t="s">
        <v>4046</v>
      </c>
      <c r="B285" s="491"/>
      <c r="C285" s="675"/>
      <c r="D285" s="491"/>
      <c r="E285" s="491"/>
      <c r="F285" s="492"/>
      <c r="G285" s="493"/>
      <c r="H285" s="491"/>
      <c r="I285" s="234"/>
      <c r="J285" s="234"/>
      <c r="K285" s="494"/>
      <c r="L285" s="543"/>
      <c r="M285" s="561"/>
      <c r="N285" s="495"/>
      <c r="O285" s="496"/>
      <c r="P285" s="497"/>
      <c r="Q285" s="495"/>
      <c r="R285" s="495"/>
      <c r="S285" s="667" t="s">
        <v>4968</v>
      </c>
      <c r="T285" s="508">
        <f t="shared" si="188"/>
        <v>0</v>
      </c>
      <c r="U285" s="225" t="str">
        <f>IF(NOT(ISNUMBER(G285)), "", VLOOKUP(A285,'Discount Lookup'!D:E,2,FALSE)*G285)</f>
        <v/>
      </c>
      <c r="V285" s="225" t="str">
        <f>IF(NOT(ISNUMBER(G285)), "", VLOOKUP(A285,'Discount Lookup'!G:H,2,FALSE)*G285)</f>
        <v/>
      </c>
      <c r="W285" s="508">
        <f t="shared" si="189"/>
        <v>0</v>
      </c>
      <c r="X285" s="508">
        <f t="shared" si="190"/>
        <v>0</v>
      </c>
      <c r="Y285" s="509" t="b">
        <f t="shared" si="191"/>
        <v>0</v>
      </c>
      <c r="Z285" s="510">
        <f t="shared" si="192"/>
        <v>0</v>
      </c>
      <c r="AA285" s="511"/>
      <c r="AB285" s="511" t="str">
        <f t="shared" si="193"/>
        <v/>
      </c>
      <c r="AC285" s="698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698"/>
      <c r="AE285" s="631" t="str">
        <f t="shared" si="194"/>
        <v/>
      </c>
      <c r="AF285" s="699" t="str">
        <f t="shared" si="195"/>
        <v/>
      </c>
      <c r="AG285" s="699"/>
      <c r="AH285" s="699"/>
      <c r="AI285" s="512">
        <f>IF(H285="credit",0,IF(AE285="free",0,IF(AE285="me",0,IF(G285&gt;0,(VLOOKUP(A285,'Discount Lookup'!J:K,2)*G285),0))))</f>
        <v>0</v>
      </c>
      <c r="AJ285" s="513" t="str">
        <f t="shared" ca="1" si="196"/>
        <v/>
      </c>
      <c r="AK285" s="700" t="str">
        <f t="shared" si="197"/>
        <v/>
      </c>
      <c r="AL285" s="700"/>
      <c r="AM285" s="505" t="str">
        <f t="shared" si="198"/>
        <v/>
      </c>
      <c r="AN285" s="506"/>
      <c r="AO285" s="507"/>
      <c r="AP285" s="507"/>
      <c r="AQ285" s="507"/>
      <c r="AR285" s="507"/>
      <c r="AS285" s="507"/>
      <c r="AT285" s="507"/>
      <c r="AU285" s="507"/>
      <c r="AV285" s="225"/>
      <c r="AW285" s="508"/>
      <c r="AX285" s="225"/>
      <c r="AY285" s="225"/>
      <c r="AZ285" s="225"/>
      <c r="BA285" s="225"/>
      <c r="BB285" s="225"/>
      <c r="BC285" s="56"/>
      <c r="BD285" s="56"/>
      <c r="BE285" s="56"/>
      <c r="BF285" s="107" t="str">
        <f t="shared" si="199"/>
        <v>https://www.google.com/search?tbm=isch&amp;q=Baby%20Gem%20keeps%20its%20glossy%20Bright%20Green%20foliage%20year-round.%20Cold%2Fheat%20tolerant.%20Slow-growing%2C%20dense%2C%20and%20ideal%20for%20hedges%20and%20borders%20</v>
      </c>
      <c r="BG285" s="107" t="str">
        <f t="shared" si="200"/>
        <v>B</v>
      </c>
      <c r="BH285" s="254"/>
      <c r="BI285" s="254"/>
    </row>
    <row r="286" spans="1:61" customFormat="1" ht="18" x14ac:dyDescent="0.25">
      <c r="A286" s="523" t="s">
        <v>386</v>
      </c>
      <c r="B286" s="235"/>
      <c r="C286" s="676"/>
      <c r="D286" s="255" t="s">
        <v>385</v>
      </c>
      <c r="E286" s="236"/>
      <c r="F286" s="236"/>
      <c r="G286" s="236"/>
      <c r="H286" s="582" t="s">
        <v>387</v>
      </c>
      <c r="I286" s="498" t="s">
        <v>654</v>
      </c>
      <c r="J286" s="237"/>
      <c r="K286" s="237"/>
      <c r="L286" s="274"/>
      <c r="M286" s="668" t="s">
        <v>4964</v>
      </c>
      <c r="N286" s="681" t="str">
        <f>IF(AND(ISTEXT($A286), ISERROR($A286+0)), HYPERLINK($BF286, "Images"), "")</f>
        <v>Images</v>
      </c>
      <c r="O286" s="663" t="s">
        <v>4974</v>
      </c>
      <c r="P286" s="253"/>
      <c r="Q286" s="238"/>
      <c r="R286" s="239"/>
      <c r="S286" s="275" t="s">
        <v>305</v>
      </c>
      <c r="T286" s="508">
        <f t="shared" si="188"/>
        <v>0</v>
      </c>
      <c r="U286" s="225" t="str">
        <f>IF(NOT(ISNUMBER(G286)), "", VLOOKUP(A286,'Discount Lookup'!D:E,2,FALSE)*G286)</f>
        <v/>
      </c>
      <c r="V286" s="225" t="str">
        <f>IF(NOT(ISNUMBER(G286)), "", VLOOKUP(A286,'Discount Lookup'!G:H,2,FALSE)*G286)</f>
        <v/>
      </c>
      <c r="W286" s="508">
        <f t="shared" si="189"/>
        <v>0</v>
      </c>
      <c r="X286" s="508" t="str">
        <f t="shared" si="190"/>
        <v>White bloom</v>
      </c>
      <c r="Y286" s="509" t="b">
        <f t="shared" si="191"/>
        <v>0</v>
      </c>
      <c r="Z286" s="510">
        <f t="shared" si="192"/>
        <v>0</v>
      </c>
      <c r="AA286" s="511"/>
      <c r="AB286" s="511" t="str">
        <f t="shared" si="193"/>
        <v/>
      </c>
      <c r="AC286" s="698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698"/>
      <c r="AE286" s="631" t="str">
        <f t="shared" si="194"/>
        <v/>
      </c>
      <c r="AF286" s="699" t="str">
        <f t="shared" si="195"/>
        <v/>
      </c>
      <c r="AG286" s="699"/>
      <c r="AH286" s="699"/>
      <c r="AI286" s="512">
        <f>IF(H286="credit",0,IF(AE286="free",0,IF(AE286="me",0,IF(G286&gt;0,(VLOOKUP(A286,'Discount Lookup'!J:K,2)*G286),0))))</f>
        <v>0</v>
      </c>
      <c r="AJ286" s="513" t="str">
        <f t="shared" ca="1" si="196"/>
        <v/>
      </c>
      <c r="AK286" s="700" t="str">
        <f t="shared" si="197"/>
        <v/>
      </c>
      <c r="AL286" s="700"/>
      <c r="AM286" s="505" t="str">
        <f t="shared" si="198"/>
        <v/>
      </c>
      <c r="AN286" s="506"/>
      <c r="AO286" s="507"/>
      <c r="AP286" s="507"/>
      <c r="AQ286" s="507"/>
      <c r="AR286" s="507"/>
      <c r="AS286" s="507"/>
      <c r="AT286" s="507"/>
      <c r="AU286" s="507"/>
      <c r="AV286" s="225"/>
      <c r="AW286" s="508"/>
      <c r="AX286" s="225"/>
      <c r="AY286" s="225"/>
      <c r="AZ286" s="225"/>
      <c r="BA286" s="225"/>
      <c r="BB286" s="225"/>
      <c r="BC286" s="56"/>
      <c r="BD286" s="56"/>
      <c r="BE286" s="56"/>
      <c r="BF286" s="107" t="str">
        <f t="shared" si="199"/>
        <v>https://www.google.com/search?tbm=isch&amp;q=Bailey%20Red%20Twig%20Dogwood%20Cornus%20sericea%20%27Baileyi%27</v>
      </c>
      <c r="BG286" s="107" t="str">
        <f t="shared" si="200"/>
        <v>B</v>
      </c>
      <c r="BH286" s="254"/>
      <c r="BI286" s="254"/>
    </row>
    <row r="287" spans="1:61" customFormat="1" ht="15.75" x14ac:dyDescent="0.25">
      <c r="A287" s="276">
        <v>3</v>
      </c>
      <c r="B287" s="240" t="s">
        <v>291</v>
      </c>
      <c r="C287" s="241" t="s">
        <v>1084</v>
      </c>
      <c r="D287" s="242" t="s">
        <v>312</v>
      </c>
      <c r="E287" s="243">
        <v>28.95</v>
      </c>
      <c r="F287" s="517" t="s">
        <v>293</v>
      </c>
      <c r="G287" s="232">
        <v>0</v>
      </c>
      <c r="H287" s="661" t="str">
        <f>IF(G287=0,"",IF(F287="Buy",IF(G287=1,"plant","plants"),IF(F287&gt;0.01,"warranty","Error")))</f>
        <v/>
      </c>
      <c r="I287" s="244">
        <f>IF(H287="free",0,IF(H287="credit",((E287*(F287))*G287*-1),IF(F287="Buy",(E287*G287),((E287*(1-F287))*G287))))</f>
        <v>0</v>
      </c>
      <c r="J287" s="244">
        <f>IF(H287="warranty",0,(I287*(_xlfn.SINGLE(SalesTaxPercentage))))</f>
        <v>0</v>
      </c>
      <c r="K287" s="696">
        <f t="shared" ref="K287" si="207">I287+J287</f>
        <v>0</v>
      </c>
      <c r="L287" s="696"/>
      <c r="M287" s="659" t="str">
        <f>IF(AND(G287&gt;0,E287=0),"WARNING - no PRICE inserted",IF(H287="free"," FREE ~ no charge this plant",IF(H287="credit",CONCATENATE(" -$",ROUND(K287*(1-T2GDiscount)*-1,2)," CREDIT after discount"),IF(T2GDiscount=0,"",IF(G287=0,"",IF(F287="Buy",CONCATENATE(" $",ROUND(K287*(1-T2GDiscount),2)," with ",(T2GDiscount*100),"% discount"),CONCATENATE(" $",ROUND(K287*(1-T2GDiscount),2)," with ",((T2GDiscount*100+F287*100)-(T2GDiscount*100*F287)),IF(F287&gt;0,"% discounts",IF(NoWarrantyDiscount&gt;0,"% discounts","% discount")))))))))</f>
        <v/>
      </c>
      <c r="N287" s="660"/>
      <c r="O287" s="233"/>
      <c r="P287" s="233"/>
      <c r="Q287" s="233"/>
      <c r="R287" s="233"/>
      <c r="S287" s="233"/>
      <c r="T287" s="508">
        <f t="shared" si="188"/>
        <v>0</v>
      </c>
      <c r="U287" s="225">
        <f>IF(NOT(ISNUMBER(G287)), "", VLOOKUP(A287,'Discount Lookup'!D:E,2,FALSE)*G287)</f>
        <v>0</v>
      </c>
      <c r="V287" s="225">
        <f>IF(NOT(ISNUMBER(G287)), "", VLOOKUP(A287,'Discount Lookup'!G:H,2,FALSE)*G287)</f>
        <v>0</v>
      </c>
      <c r="W287" s="508">
        <f t="shared" si="189"/>
        <v>0</v>
      </c>
      <c r="X287" s="508">
        <f t="shared" si="190"/>
        <v>0</v>
      </c>
      <c r="Y287" s="509" t="b">
        <f t="shared" si="191"/>
        <v>0</v>
      </c>
      <c r="Z287" s="510">
        <f t="shared" si="192"/>
        <v>0</v>
      </c>
      <c r="AA287" s="511"/>
      <c r="AB287" s="511" t="str">
        <f t="shared" si="193"/>
        <v/>
      </c>
      <c r="AC287" s="698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698"/>
      <c r="AE287" s="631" t="str">
        <f t="shared" si="194"/>
        <v/>
      </c>
      <c r="AF287" s="699" t="str">
        <f t="shared" si="195"/>
        <v/>
      </c>
      <c r="AG287" s="699"/>
      <c r="AH287" s="699"/>
      <c r="AI287" s="512">
        <f>IF(H287="credit",0,IF(AE287="free",0,IF(AE287="me",0,IF(G287&gt;0,(VLOOKUP(A287,'Discount Lookup'!J:K,2)*G287),0))))</f>
        <v>0</v>
      </c>
      <c r="AJ287" s="513" t="str">
        <f t="shared" ca="1" si="196"/>
        <v/>
      </c>
      <c r="AK287" s="700" t="str">
        <f t="shared" si="197"/>
        <v/>
      </c>
      <c r="AL287" s="700"/>
      <c r="AM287" s="505" t="str">
        <f t="shared" si="198"/>
        <v/>
      </c>
      <c r="AN287" s="506"/>
      <c r="AO287" s="507"/>
      <c r="AP287" s="507"/>
      <c r="AQ287" s="507"/>
      <c r="AR287" s="507"/>
      <c r="AS287" s="507"/>
      <c r="AT287" s="507"/>
      <c r="AU287" s="507"/>
      <c r="AV287" s="225"/>
      <c r="AW287" s="508"/>
      <c r="AX287" s="225"/>
      <c r="AY287" s="225"/>
      <c r="AZ287" s="225"/>
      <c r="BA287" s="225"/>
      <c r="BB287" s="225"/>
      <c r="BC287" s="56"/>
      <c r="BD287" s="56"/>
      <c r="BE287" s="56"/>
      <c r="BF287" s="107" t="str">
        <f t="shared" si="199"/>
        <v>https://www.google.com/search?tbm=isch&amp;q=3%20G2</v>
      </c>
      <c r="BG287" s="107" t="str">
        <f t="shared" si="200"/>
        <v>B</v>
      </c>
      <c r="BH287" s="254"/>
      <c r="BI287" s="254"/>
    </row>
    <row r="288" spans="1:61" customFormat="1" ht="15.75" x14ac:dyDescent="0.25">
      <c r="A288" s="276">
        <v>3</v>
      </c>
      <c r="B288" s="240" t="s">
        <v>291</v>
      </c>
      <c r="C288" s="241" t="s">
        <v>2712</v>
      </c>
      <c r="D288" s="242" t="s">
        <v>299</v>
      </c>
      <c r="E288" s="243">
        <v>32.950000000000003</v>
      </c>
      <c r="F288" s="517" t="s">
        <v>293</v>
      </c>
      <c r="G288" s="232">
        <v>0</v>
      </c>
      <c r="H288" s="661" t="str">
        <f>IF(G288=0,"",IF(F288="Buy",IF(G288=1,"plant","plants"),IF(F288&gt;0.01,"warranty","Error")))</f>
        <v/>
      </c>
      <c r="I288" s="244">
        <f>IF(H288="free",0,IF(H288="credit",((E288*(F288))*G288*-1),IF(F288="Buy",(E288*G288),((E288*(1-F288))*G288))))</f>
        <v>0</v>
      </c>
      <c r="J288" s="244">
        <f>IF(H288="warranty",0,(I288*(_xlfn.SINGLE(SalesTaxPercentage))))</f>
        <v>0</v>
      </c>
      <c r="K288" s="696">
        <f t="shared" ref="K288" si="208">I288+J288</f>
        <v>0</v>
      </c>
      <c r="L288" s="696"/>
      <c r="M288" s="659" t="str">
        <f>IF(AND(G288&gt;0,E288=0),"WARNING - no PRICE inserted",IF(H288="free"," FREE ~ no charge this plant",IF(H288="credit",CONCATENATE(" -$",ROUND(K288*(1-T2GDiscount)*-1,2)," CREDIT after discount"),IF(T2GDiscount=0,"",IF(G288=0,"",IF(F288="Buy",CONCATENATE(" $",ROUND(K288*(1-T2GDiscount),2)," with ",(T2GDiscount*100),"% discount"),CONCATENATE(" $",ROUND(K288*(1-T2GDiscount),2)," with ",((T2GDiscount*100+F288*100)-(T2GDiscount*100*F288)),IF(F288&gt;0,"% discounts",IF(NoWarrantyDiscount&gt;0,"% discounts","% discount")))))))))</f>
        <v/>
      </c>
      <c r="N288" s="660"/>
      <c r="O288" s="233"/>
      <c r="P288" s="233"/>
      <c r="Q288" s="233"/>
      <c r="R288" s="233"/>
      <c r="S288" s="233"/>
      <c r="T288" s="508">
        <f t="shared" si="188"/>
        <v>0</v>
      </c>
      <c r="U288" s="225">
        <f>IF(NOT(ISNUMBER(G288)), "", VLOOKUP(A288,'Discount Lookup'!D:E,2,FALSE)*G288)</f>
        <v>0</v>
      </c>
      <c r="V288" s="225">
        <f>IF(NOT(ISNUMBER(G288)), "", VLOOKUP(A288,'Discount Lookup'!G:H,2,FALSE)*G288)</f>
        <v>0</v>
      </c>
      <c r="W288" s="508">
        <f t="shared" si="189"/>
        <v>0</v>
      </c>
      <c r="X288" s="508">
        <f t="shared" si="190"/>
        <v>0</v>
      </c>
      <c r="Y288" s="509" t="b">
        <f t="shared" si="191"/>
        <v>0</v>
      </c>
      <c r="Z288" s="510">
        <f t="shared" si="192"/>
        <v>0</v>
      </c>
      <c r="AA288" s="511"/>
      <c r="AB288" s="511" t="str">
        <f t="shared" si="193"/>
        <v/>
      </c>
      <c r="AC288" s="698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698"/>
      <c r="AE288" s="631" t="str">
        <f t="shared" si="194"/>
        <v/>
      </c>
      <c r="AF288" s="699" t="str">
        <f t="shared" si="195"/>
        <v/>
      </c>
      <c r="AG288" s="699"/>
      <c r="AH288" s="699"/>
      <c r="AI288" s="512">
        <f>IF(H288="credit",0,IF(AE288="free",0,IF(AE288="me",0,IF(G288&gt;0,(VLOOKUP(A288,'Discount Lookup'!J:K,2)*G288),0))))</f>
        <v>0</v>
      </c>
      <c r="AJ288" s="513" t="str">
        <f t="shared" ca="1" si="196"/>
        <v/>
      </c>
      <c r="AK288" s="700" t="str">
        <f t="shared" si="197"/>
        <v/>
      </c>
      <c r="AL288" s="700"/>
      <c r="AM288" s="505" t="str">
        <f t="shared" si="198"/>
        <v/>
      </c>
      <c r="AN288" s="506"/>
      <c r="AO288" s="507"/>
      <c r="AP288" s="507"/>
      <c r="AQ288" s="507"/>
      <c r="AR288" s="507"/>
      <c r="AS288" s="507"/>
      <c r="AT288" s="507"/>
      <c r="AU288" s="507"/>
      <c r="AV288" s="225"/>
      <c r="AW288" s="508"/>
      <c r="AX288" s="225"/>
      <c r="AY288" s="225"/>
      <c r="AZ288" s="225"/>
      <c r="BA288" s="225"/>
      <c r="BB288" s="225"/>
      <c r="BC288" s="56"/>
      <c r="BD288" s="56"/>
      <c r="BE288" s="56"/>
      <c r="BF288" s="107" t="str">
        <f t="shared" si="199"/>
        <v>https://www.google.com/search?tbm=isch&amp;q=3%20G5</v>
      </c>
      <c r="BG288" s="107" t="str">
        <f t="shared" si="200"/>
        <v>B</v>
      </c>
      <c r="BH288" s="254"/>
      <c r="BI288" s="254"/>
    </row>
    <row r="289" spans="1:61" customFormat="1" ht="17.25" thickBot="1" x14ac:dyDescent="0.3">
      <c r="A289" s="673" t="s">
        <v>5049</v>
      </c>
      <c r="B289" s="245"/>
      <c r="C289" s="677"/>
      <c r="D289" s="499"/>
      <c r="E289" s="499"/>
      <c r="F289" s="500"/>
      <c r="G289" s="501"/>
      <c r="H289" s="502"/>
      <c r="I289" s="246"/>
      <c r="J289" s="247"/>
      <c r="K289" s="503"/>
      <c r="L289" s="544"/>
      <c r="M289" s="544"/>
      <c r="N289" s="500"/>
      <c r="O289" s="500"/>
      <c r="P289" s="500"/>
      <c r="Q289" s="500"/>
      <c r="R289" s="500"/>
      <c r="S289" s="669" t="s">
        <v>4980</v>
      </c>
      <c r="T289" s="508">
        <f t="shared" si="188"/>
        <v>0</v>
      </c>
      <c r="U289" s="225" t="str">
        <f>IF(NOT(ISNUMBER(G289)), "", VLOOKUP(A289,'Discount Lookup'!D:E,2,FALSE)*G289)</f>
        <v/>
      </c>
      <c r="V289" s="225" t="str">
        <f>IF(NOT(ISNUMBER(G289)), "", VLOOKUP(A289,'Discount Lookup'!G:H,2,FALSE)*G289)</f>
        <v/>
      </c>
      <c r="W289" s="508">
        <f t="shared" si="189"/>
        <v>0</v>
      </c>
      <c r="X289" s="508">
        <f t="shared" si="190"/>
        <v>0</v>
      </c>
      <c r="Y289" s="509" t="b">
        <f t="shared" si="191"/>
        <v>0</v>
      </c>
      <c r="Z289" s="510">
        <f t="shared" si="192"/>
        <v>0</v>
      </c>
      <c r="AA289" s="511"/>
      <c r="AB289" s="511" t="str">
        <f t="shared" si="193"/>
        <v/>
      </c>
      <c r="AC289" s="698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698"/>
      <c r="AE289" s="631" t="str">
        <f t="shared" si="194"/>
        <v/>
      </c>
      <c r="AF289" s="699" t="str">
        <f t="shared" si="195"/>
        <v/>
      </c>
      <c r="AG289" s="699"/>
      <c r="AH289" s="699"/>
      <c r="AI289" s="512">
        <f>IF(H289="credit",0,IF(AE289="free",0,IF(AE289="me",0,IF(G289&gt;0,(VLOOKUP(A289,'Discount Lookup'!J:K,2)*G289),0))))</f>
        <v>0</v>
      </c>
      <c r="AJ289" s="513" t="str">
        <f t="shared" ca="1" si="196"/>
        <v/>
      </c>
      <c r="AK289" s="700" t="str">
        <f t="shared" si="197"/>
        <v/>
      </c>
      <c r="AL289" s="700"/>
      <c r="AM289" s="505" t="str">
        <f t="shared" si="198"/>
        <v/>
      </c>
      <c r="AN289" s="506"/>
      <c r="AO289" s="507"/>
      <c r="AP289" s="507"/>
      <c r="AQ289" s="507"/>
      <c r="AR289" s="507"/>
      <c r="AS289" s="507"/>
      <c r="AT289" s="507"/>
      <c r="AU289" s="507"/>
      <c r="AV289" s="225"/>
      <c r="AW289" s="508"/>
      <c r="AX289" s="225"/>
      <c r="AY289" s="225"/>
      <c r="AZ289" s="225"/>
      <c r="BA289" s="225"/>
      <c r="BB289" s="225"/>
      <c r="BC289" s="56"/>
      <c r="BD289" s="56"/>
      <c r="BE289" s="56"/>
      <c r="BF289" s="107" t="str">
        <f t="shared" si="199"/>
        <v>https://www.google.com/search?tbm=isch&amp;q=wet%20sites%F0%9F%92%A7GOOD%2C%20Bailey%20%28and%20other%20Red%20Twig%29%20are%20known%20for%20their%20bright%20red%20winter%20stems%20</v>
      </c>
      <c r="BG289" s="107" t="str">
        <f t="shared" si="200"/>
        <v>w</v>
      </c>
      <c r="BH289" s="254"/>
      <c r="BI289" s="254"/>
    </row>
    <row r="290" spans="1:61" customFormat="1" ht="18" x14ac:dyDescent="0.25">
      <c r="A290" s="523" t="s">
        <v>431</v>
      </c>
      <c r="B290" s="235"/>
      <c r="C290" s="676"/>
      <c r="D290" s="255" t="s">
        <v>430</v>
      </c>
      <c r="E290" s="236"/>
      <c r="F290" s="236"/>
      <c r="G290" s="236"/>
      <c r="H290" s="582" t="s">
        <v>2227</v>
      </c>
      <c r="I290" s="498" t="s">
        <v>2217</v>
      </c>
      <c r="J290" s="237"/>
      <c r="K290" s="237"/>
      <c r="L290" s="274"/>
      <c r="M290" s="668" t="s">
        <v>4975</v>
      </c>
      <c r="N290" s="681" t="str">
        <f>IF(AND(ISTEXT($A290), ISERROR($A290+0)), HYPERLINK($BF290, "Images"), "")</f>
        <v>Images</v>
      </c>
      <c r="O290" s="663" t="s">
        <v>4974</v>
      </c>
      <c r="P290" s="253"/>
      <c r="Q290" s="238"/>
      <c r="R290" s="239"/>
      <c r="S290" s="275" t="s">
        <v>305</v>
      </c>
      <c r="T290" s="508">
        <f t="shared" si="188"/>
        <v>0</v>
      </c>
      <c r="U290" s="225" t="str">
        <f>IF(NOT(ISNUMBER(G290)), "", VLOOKUP(A290,'Discount Lookup'!D:E,2,FALSE)*G290)</f>
        <v/>
      </c>
      <c r="V290" s="225" t="str">
        <f>IF(NOT(ISNUMBER(G290)), "", VLOOKUP(A290,'Discount Lookup'!G:H,2,FALSE)*G290)</f>
        <v/>
      </c>
      <c r="W290" s="508">
        <f t="shared" si="189"/>
        <v>0</v>
      </c>
      <c r="X290" s="508" t="str">
        <f t="shared" si="190"/>
        <v>Light Green needles</v>
      </c>
      <c r="Y290" s="509" t="b">
        <f t="shared" si="191"/>
        <v>0</v>
      </c>
      <c r="Z290" s="510">
        <f t="shared" si="192"/>
        <v>0</v>
      </c>
      <c r="AA290" s="511"/>
      <c r="AB290" s="511" t="str">
        <f t="shared" si="193"/>
        <v/>
      </c>
      <c r="AC290" s="698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698"/>
      <c r="AE290" s="631" t="str">
        <f t="shared" si="194"/>
        <v/>
      </c>
      <c r="AF290" s="699" t="str">
        <f t="shared" si="195"/>
        <v/>
      </c>
      <c r="AG290" s="699"/>
      <c r="AH290" s="699"/>
      <c r="AI290" s="512">
        <f>IF(H290="credit",0,IF(AE290="free",0,IF(AE290="me",0,IF(G290&gt;0,(VLOOKUP(A290,'Discount Lookup'!J:K,2)*G290),0))))</f>
        <v>0</v>
      </c>
      <c r="AJ290" s="513" t="str">
        <f t="shared" ca="1" si="196"/>
        <v/>
      </c>
      <c r="AK290" s="700" t="str">
        <f t="shared" si="197"/>
        <v/>
      </c>
      <c r="AL290" s="700"/>
      <c r="AM290" s="505" t="str">
        <f t="shared" si="198"/>
        <v/>
      </c>
      <c r="AN290" s="506"/>
      <c r="AO290" s="507"/>
      <c r="AP290" s="507"/>
      <c r="AQ290" s="507"/>
      <c r="AR290" s="507"/>
      <c r="AS290" s="507"/>
      <c r="AT290" s="507"/>
      <c r="AU290" s="507"/>
      <c r="AV290" s="225"/>
      <c r="AW290" s="508"/>
      <c r="AX290" s="225"/>
      <c r="AY290" s="225"/>
      <c r="AZ290" s="225"/>
      <c r="BA290" s="225"/>
      <c r="BB290" s="225"/>
      <c r="BC290" s="56"/>
      <c r="BD290" s="56"/>
      <c r="BE290" s="56"/>
      <c r="BF290" s="107" t="str">
        <f t="shared" si="199"/>
        <v>https://www.google.com/search?tbm=isch&amp;q=Bald%20Cypress%20%20Taxodium%20distichum</v>
      </c>
      <c r="BG290" s="107" t="str">
        <f t="shared" si="200"/>
        <v>B</v>
      </c>
      <c r="BH290" s="254"/>
      <c r="BI290" s="254"/>
    </row>
    <row r="291" spans="1:61" customFormat="1" ht="15.75" x14ac:dyDescent="0.25">
      <c r="A291" s="276">
        <v>15</v>
      </c>
      <c r="B291" s="240" t="s">
        <v>291</v>
      </c>
      <c r="C291" s="241" t="s">
        <v>4486</v>
      </c>
      <c r="D291" s="242" t="s">
        <v>300</v>
      </c>
      <c r="E291" s="243">
        <v>150.94999999999999</v>
      </c>
      <c r="F291" s="517" t="s">
        <v>293</v>
      </c>
      <c r="G291" s="232">
        <v>0</v>
      </c>
      <c r="H291" s="661" t="str">
        <f>IF(G291=0,"",IF(F291="Buy",IF(G291=1,"plant","plants"),IF(F291&gt;0.01,"warranty","Error")))</f>
        <v/>
      </c>
      <c r="I291" s="244">
        <f>IF(H291="free",0,IF(H291="credit",((E291*(F291))*G291*-1),IF(F291="Buy",(E291*G291),((E291*(1-F291))*G291))))</f>
        <v>0</v>
      </c>
      <c r="J291" s="244">
        <f>IF(H291="warranty",0,(I291*(_xlfn.SINGLE(SalesTaxPercentage))))</f>
        <v>0</v>
      </c>
      <c r="K291" s="696">
        <f t="shared" ref="K291" si="209">I291+J291</f>
        <v>0</v>
      </c>
      <c r="L291" s="696"/>
      <c r="M291" s="659" t="str">
        <f>IF(AND(G291&gt;0,E291=0),"WARNING - no PRICE inserted",IF(H291="free"," FREE ~ no charge this plant",IF(H291="credit",CONCATENATE(" -$",ROUND(K291*(1-T2GDiscount)*-1,2)," CREDIT after discount"),IF(T2GDiscount=0,"",IF(G291=0,"",IF(F291="Buy",CONCATENATE(" $",ROUND(K291*(1-T2GDiscount),2)," with ",(T2GDiscount*100),"% discount"),CONCATENATE(" $",ROUND(K291*(1-T2GDiscount),2)," with ",((T2GDiscount*100+F291*100)-(T2GDiscount*100*F291)),IF(F291&gt;0,"% discounts",IF(NoWarrantyDiscount&gt;0,"% discounts","% discount")))))))))</f>
        <v/>
      </c>
      <c r="N291" s="660"/>
      <c r="O291" s="233"/>
      <c r="P291" s="233"/>
      <c r="Q291" s="233"/>
      <c r="R291" s="233"/>
      <c r="S291" s="233"/>
      <c r="T291" s="508">
        <f t="shared" si="188"/>
        <v>0</v>
      </c>
      <c r="U291" s="225">
        <f>IF(NOT(ISNUMBER(G291)), "", VLOOKUP(A291,'Discount Lookup'!D:E,2,FALSE)*G291)</f>
        <v>0</v>
      </c>
      <c r="V291" s="225">
        <f>IF(NOT(ISNUMBER(G291)), "", VLOOKUP(A291,'Discount Lookup'!G:H,2,FALSE)*G291)</f>
        <v>0</v>
      </c>
      <c r="W291" s="508">
        <f t="shared" si="189"/>
        <v>0</v>
      </c>
      <c r="X291" s="508">
        <f t="shared" si="190"/>
        <v>0</v>
      </c>
      <c r="Y291" s="509" t="b">
        <f t="shared" si="191"/>
        <v>0</v>
      </c>
      <c r="Z291" s="510">
        <f t="shared" si="192"/>
        <v>0</v>
      </c>
      <c r="AA291" s="511"/>
      <c r="AB291" s="511" t="str">
        <f t="shared" si="193"/>
        <v/>
      </c>
      <c r="AC291" s="698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698"/>
      <c r="AE291" s="631" t="str">
        <f t="shared" si="194"/>
        <v/>
      </c>
      <c r="AF291" s="699" t="str">
        <f t="shared" si="195"/>
        <v/>
      </c>
      <c r="AG291" s="699"/>
      <c r="AH291" s="699"/>
      <c r="AI291" s="512">
        <f>IF(H291="credit",0,IF(AE291="free",0,IF(AE291="me",0,IF(G291&gt;0,(VLOOKUP(A291,'Discount Lookup'!J:K,2)*G291),0))))</f>
        <v>0</v>
      </c>
      <c r="AJ291" s="513" t="str">
        <f t="shared" ca="1" si="196"/>
        <v/>
      </c>
      <c r="AK291" s="700" t="str">
        <f t="shared" si="197"/>
        <v/>
      </c>
      <c r="AL291" s="700"/>
      <c r="AM291" s="505" t="str">
        <f t="shared" si="198"/>
        <v/>
      </c>
      <c r="AN291" s="506"/>
      <c r="AO291" s="507"/>
      <c r="AP291" s="507"/>
      <c r="AQ291" s="507"/>
      <c r="AR291" s="507"/>
      <c r="AS291" s="507"/>
      <c r="AT291" s="507"/>
      <c r="AU291" s="507"/>
      <c r="AV291" s="225"/>
      <c r="AW291" s="508"/>
      <c r="AX291" s="225"/>
      <c r="AY291" s="225"/>
      <c r="AZ291" s="225"/>
      <c r="BA291" s="225"/>
      <c r="BB291" s="225"/>
      <c r="BC291" s="56"/>
      <c r="BD291" s="56"/>
      <c r="BE291" s="56"/>
      <c r="BF291" s="107" t="str">
        <f t="shared" si="199"/>
        <v>https://www.google.com/search?tbm=isch&amp;q=15%20G6</v>
      </c>
      <c r="BG291" s="107" t="str">
        <f t="shared" si="200"/>
        <v>B</v>
      </c>
      <c r="BH291" s="254"/>
      <c r="BI291" s="254"/>
    </row>
    <row r="292" spans="1:61" customFormat="1" ht="27" x14ac:dyDescent="0.25">
      <c r="A292" s="276">
        <v>15</v>
      </c>
      <c r="B292" s="240" t="s">
        <v>291</v>
      </c>
      <c r="C292" s="241" t="s">
        <v>3321</v>
      </c>
      <c r="D292" s="242" t="s">
        <v>292</v>
      </c>
      <c r="E292" s="243">
        <v>164.95</v>
      </c>
      <c r="F292" s="517" t="s">
        <v>293</v>
      </c>
      <c r="G292" s="232">
        <v>0</v>
      </c>
      <c r="H292" s="661" t="str">
        <f>IF(G292=0,"",IF(F292="Buy",IF(G292=1,"plant","plants"),IF(F292&gt;0.01,"warranty","Error")))</f>
        <v/>
      </c>
      <c r="I292" s="244">
        <f>IF(H292="free",0,IF(H292="credit",((E292*(F292))*G292*-1),IF(F292="Buy",(E292*G292),((E292*(1-F292))*G292))))</f>
        <v>0</v>
      </c>
      <c r="J292" s="244">
        <f>IF(H292="warranty",0,(I292*(_xlfn.SINGLE(SalesTaxPercentage))))</f>
        <v>0</v>
      </c>
      <c r="K292" s="696">
        <f t="shared" ref="K292" si="210">I292+J292</f>
        <v>0</v>
      </c>
      <c r="L292" s="696"/>
      <c r="M292" s="659" t="str">
        <f>IF(AND(G292&gt;0,E292=0),"WARNING - no PRICE inserted",IF(H292="free"," FREE ~ no charge this plant",IF(H292="credit",CONCATENATE(" -$",ROUND(K292*(1-T2GDiscount)*-1,2)," CREDIT after discount"),IF(T2GDiscount=0,"",IF(G292=0,"",IF(F292="Buy",CONCATENATE(" $",ROUND(K292*(1-T2GDiscount),2)," with ",(T2GDiscount*100),"% discount"),CONCATENATE(" $",ROUND(K292*(1-T2GDiscount),2)," with ",((T2GDiscount*100+F292*100)-(T2GDiscount*100*F292)),IF(F292&gt;0,"% discounts",IF(NoWarrantyDiscount&gt;0,"% discounts","% discount")))))))))</f>
        <v/>
      </c>
      <c r="N292" s="660"/>
      <c r="O292" s="233"/>
      <c r="P292" s="233"/>
      <c r="Q292" s="233"/>
      <c r="R292" s="233"/>
      <c r="S292" s="233"/>
      <c r="T292" s="508">
        <f t="shared" si="188"/>
        <v>0</v>
      </c>
      <c r="U292" s="225">
        <f>IF(NOT(ISNUMBER(G292)), "", VLOOKUP(A292,'Discount Lookup'!D:E,2,FALSE)*G292)</f>
        <v>0</v>
      </c>
      <c r="V292" s="225">
        <f>IF(NOT(ISNUMBER(G292)), "", VLOOKUP(A292,'Discount Lookup'!G:H,2,FALSE)*G292)</f>
        <v>0</v>
      </c>
      <c r="W292" s="508">
        <f t="shared" si="189"/>
        <v>0</v>
      </c>
      <c r="X292" s="508">
        <f t="shared" si="190"/>
        <v>0</v>
      </c>
      <c r="Y292" s="509" t="b">
        <f t="shared" si="191"/>
        <v>0</v>
      </c>
      <c r="Z292" s="510">
        <f t="shared" si="192"/>
        <v>0</v>
      </c>
      <c r="AA292" s="511"/>
      <c r="AB292" s="511" t="str">
        <f t="shared" si="193"/>
        <v/>
      </c>
      <c r="AC292" s="698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698"/>
      <c r="AE292" s="631" t="str">
        <f t="shared" si="194"/>
        <v/>
      </c>
      <c r="AF292" s="699" t="str">
        <f t="shared" si="195"/>
        <v/>
      </c>
      <c r="AG292" s="699"/>
      <c r="AH292" s="699"/>
      <c r="AI292" s="512">
        <f>IF(H292="credit",0,IF(AE292="free",0,IF(AE292="me",0,IF(G292&gt;0,(VLOOKUP(A292,'Discount Lookup'!J:K,2)*G292),0))))</f>
        <v>0</v>
      </c>
      <c r="AJ292" s="513" t="str">
        <f t="shared" ca="1" si="196"/>
        <v/>
      </c>
      <c r="AK292" s="700" t="str">
        <f t="shared" si="197"/>
        <v/>
      </c>
      <c r="AL292" s="700"/>
      <c r="AM292" s="505" t="str">
        <f t="shared" si="198"/>
        <v/>
      </c>
      <c r="AN292" s="506"/>
      <c r="AO292" s="507"/>
      <c r="AP292" s="507"/>
      <c r="AQ292" s="507"/>
      <c r="AR292" s="507"/>
      <c r="AS292" s="507"/>
      <c r="AT292" s="507"/>
      <c r="AU292" s="507"/>
      <c r="AV292" s="225"/>
      <c r="AW292" s="508"/>
      <c r="AX292" s="225"/>
      <c r="AY292" s="225"/>
      <c r="AZ292" s="225"/>
      <c r="BA292" s="225"/>
      <c r="BB292" s="225"/>
      <c r="BC292" s="56"/>
      <c r="BD292" s="56"/>
      <c r="BE292" s="56"/>
      <c r="BF292" s="107" t="str">
        <f t="shared" si="199"/>
        <v>https://www.google.com/search?tbm=isch&amp;q=15%20G4</v>
      </c>
      <c r="BG292" s="107" t="str">
        <f t="shared" si="200"/>
        <v>B</v>
      </c>
      <c r="BH292" s="254"/>
      <c r="BI292" s="254"/>
    </row>
    <row r="293" spans="1:61" customFormat="1" ht="15.75" x14ac:dyDescent="0.25">
      <c r="A293" s="276">
        <v>15</v>
      </c>
      <c r="B293" s="240" t="s">
        <v>291</v>
      </c>
      <c r="C293" s="241" t="s">
        <v>432</v>
      </c>
      <c r="D293" s="242" t="s">
        <v>299</v>
      </c>
      <c r="E293" s="243">
        <v>164.95</v>
      </c>
      <c r="F293" s="517" t="s">
        <v>293</v>
      </c>
      <c r="G293" s="232">
        <v>0</v>
      </c>
      <c r="H293" s="661" t="str">
        <f>IF(G293=0,"",IF(F293="Buy",IF(G293=1,"plant","plants"),IF(F293&gt;0.01,"warranty","Error")))</f>
        <v/>
      </c>
      <c r="I293" s="244">
        <f>IF(H293="free",0,IF(H293="credit",((E293*(F293))*G293*-1),IF(F293="Buy",(E293*G293),((E293*(1-F293))*G293))))</f>
        <v>0</v>
      </c>
      <c r="J293" s="244">
        <f>IF(H293="warranty",0,(I293*(_xlfn.SINGLE(SalesTaxPercentage))))</f>
        <v>0</v>
      </c>
      <c r="K293" s="696">
        <f t="shared" ref="K293" si="211">I293+J293</f>
        <v>0</v>
      </c>
      <c r="L293" s="696"/>
      <c r="M293" s="659" t="str">
        <f>IF(AND(G293&gt;0,E293=0),"WARNING - no PRICE inserted",IF(H293="free"," FREE ~ no charge this plant",IF(H293="credit",CONCATENATE(" -$",ROUND(K293*(1-T2GDiscount)*-1,2)," CREDIT after discount"),IF(T2GDiscount=0,"",IF(G293=0,"",IF(F293="Buy",CONCATENATE(" $",ROUND(K293*(1-T2GDiscount),2)," with ",(T2GDiscount*100),"% discount"),CONCATENATE(" $",ROUND(K293*(1-T2GDiscount),2)," with ",((T2GDiscount*100+F293*100)-(T2GDiscount*100*F293)),IF(F293&gt;0,"% discounts",IF(NoWarrantyDiscount&gt;0,"% discounts","% discount")))))))))</f>
        <v/>
      </c>
      <c r="N293" s="660"/>
      <c r="O293" s="233"/>
      <c r="P293" s="233"/>
      <c r="Q293" s="233"/>
      <c r="R293" s="233"/>
      <c r="S293" s="233"/>
      <c r="T293" s="508">
        <f t="shared" si="188"/>
        <v>0</v>
      </c>
      <c r="U293" s="225">
        <f>IF(NOT(ISNUMBER(G293)), "", VLOOKUP(A293,'Discount Lookup'!D:E,2,FALSE)*G293)</f>
        <v>0</v>
      </c>
      <c r="V293" s="225">
        <f>IF(NOT(ISNUMBER(G293)), "", VLOOKUP(A293,'Discount Lookup'!G:H,2,FALSE)*G293)</f>
        <v>0</v>
      </c>
      <c r="W293" s="508">
        <f t="shared" si="189"/>
        <v>0</v>
      </c>
      <c r="X293" s="508">
        <f t="shared" si="190"/>
        <v>0</v>
      </c>
      <c r="Y293" s="509" t="b">
        <f t="shared" si="191"/>
        <v>0</v>
      </c>
      <c r="Z293" s="510">
        <f t="shared" si="192"/>
        <v>0</v>
      </c>
      <c r="AA293" s="511"/>
      <c r="AB293" s="511" t="str">
        <f t="shared" si="193"/>
        <v/>
      </c>
      <c r="AC293" s="698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698"/>
      <c r="AE293" s="631" t="str">
        <f t="shared" si="194"/>
        <v/>
      </c>
      <c r="AF293" s="699" t="str">
        <f t="shared" si="195"/>
        <v/>
      </c>
      <c r="AG293" s="699"/>
      <c r="AH293" s="699"/>
      <c r="AI293" s="512">
        <f>IF(H293="credit",0,IF(AE293="free",0,IF(AE293="me",0,IF(G293&gt;0,(VLOOKUP(A293,'Discount Lookup'!J:K,2)*G293),0))))</f>
        <v>0</v>
      </c>
      <c r="AJ293" s="513" t="str">
        <f t="shared" ca="1" si="196"/>
        <v/>
      </c>
      <c r="AK293" s="700" t="str">
        <f t="shared" si="197"/>
        <v/>
      </c>
      <c r="AL293" s="700"/>
      <c r="AM293" s="505" t="str">
        <f t="shared" si="198"/>
        <v/>
      </c>
      <c r="AN293" s="506"/>
      <c r="AO293" s="507"/>
      <c r="AP293" s="507"/>
      <c r="AQ293" s="507"/>
      <c r="AR293" s="507"/>
      <c r="AS293" s="507"/>
      <c r="AT293" s="507"/>
      <c r="AU293" s="507"/>
      <c r="AV293" s="225"/>
      <c r="AW293" s="508"/>
      <c r="AX293" s="225"/>
      <c r="AY293" s="225"/>
      <c r="AZ293" s="225"/>
      <c r="BA293" s="225"/>
      <c r="BB293" s="225"/>
      <c r="BC293" s="56"/>
      <c r="BD293" s="56"/>
      <c r="BE293" s="56"/>
      <c r="BF293" s="107" t="str">
        <f t="shared" si="199"/>
        <v>https://www.google.com/search?tbm=isch&amp;q=15%20G5</v>
      </c>
      <c r="BG293" s="107" t="str">
        <f t="shared" si="200"/>
        <v>B</v>
      </c>
      <c r="BH293" s="254"/>
      <c r="BI293" s="254"/>
    </row>
    <row r="294" spans="1:61" customFormat="1" ht="17.25" thickBot="1" x14ac:dyDescent="0.3">
      <c r="A294" s="673" t="s">
        <v>5050</v>
      </c>
      <c r="B294" s="245"/>
      <c r="C294" s="677"/>
      <c r="D294" s="499"/>
      <c r="E294" s="499"/>
      <c r="F294" s="500"/>
      <c r="G294" s="501"/>
      <c r="H294" s="502"/>
      <c r="I294" s="246"/>
      <c r="J294" s="247"/>
      <c r="K294" s="503"/>
      <c r="L294" s="544"/>
      <c r="M294" s="544"/>
      <c r="N294" s="500"/>
      <c r="O294" s="500"/>
      <c r="P294" s="500"/>
      <c r="Q294" s="500"/>
      <c r="R294" s="500"/>
      <c r="S294" s="669" t="s">
        <v>4972</v>
      </c>
      <c r="T294" s="508">
        <f t="shared" si="188"/>
        <v>0</v>
      </c>
      <c r="U294" s="225" t="str">
        <f>IF(NOT(ISNUMBER(G294)), "", VLOOKUP(A294,'Discount Lookup'!D:E,2,FALSE)*G294)</f>
        <v/>
      </c>
      <c r="V294" s="225" t="str">
        <f>IF(NOT(ISNUMBER(G294)), "", VLOOKUP(A294,'Discount Lookup'!G:H,2,FALSE)*G294)</f>
        <v/>
      </c>
      <c r="W294" s="508">
        <f t="shared" si="189"/>
        <v>0</v>
      </c>
      <c r="X294" s="508">
        <f t="shared" si="190"/>
        <v>0</v>
      </c>
      <c r="Y294" s="509" t="b">
        <f t="shared" si="191"/>
        <v>0</v>
      </c>
      <c r="Z294" s="510">
        <f t="shared" si="192"/>
        <v>0</v>
      </c>
      <c r="AA294" s="511"/>
      <c r="AB294" s="511" t="str">
        <f t="shared" si="193"/>
        <v/>
      </c>
      <c r="AC294" s="698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698"/>
      <c r="AE294" s="631" t="str">
        <f t="shared" si="194"/>
        <v/>
      </c>
      <c r="AF294" s="699" t="str">
        <f t="shared" si="195"/>
        <v/>
      </c>
      <c r="AG294" s="699"/>
      <c r="AH294" s="699"/>
      <c r="AI294" s="512">
        <f>IF(H294="credit",0,IF(AE294="free",0,IF(AE294="me",0,IF(G294&gt;0,(VLOOKUP(A294,'Discount Lookup'!J:K,2)*G294),0))))</f>
        <v>0</v>
      </c>
      <c r="AJ294" s="513" t="str">
        <f t="shared" ca="1" si="196"/>
        <v/>
      </c>
      <c r="AK294" s="700" t="str">
        <f t="shared" si="197"/>
        <v/>
      </c>
      <c r="AL294" s="700"/>
      <c r="AM294" s="505" t="str">
        <f t="shared" si="198"/>
        <v/>
      </c>
      <c r="AN294" s="506"/>
      <c r="AO294" s="507"/>
      <c r="AP294" s="507"/>
      <c r="AQ294" s="507"/>
      <c r="AR294" s="507"/>
      <c r="AS294" s="507"/>
      <c r="AT294" s="507"/>
      <c r="AU294" s="507"/>
      <c r="AV294" s="225"/>
      <c r="AW294" s="508"/>
      <c r="AX294" s="225"/>
      <c r="AY294" s="225"/>
      <c r="AZ294" s="225"/>
      <c r="BA294" s="225"/>
      <c r="BB294" s="225"/>
      <c r="BC294" s="56"/>
      <c r="BD294" s="56"/>
      <c r="BE294" s="56"/>
      <c r="BF294" s="107" t="str">
        <f t="shared" si="199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294" s="107" t="str">
        <f t="shared" si="200"/>
        <v>w</v>
      </c>
      <c r="BH294" s="254"/>
      <c r="BI294" s="254"/>
    </row>
    <row r="295" spans="1:61" customFormat="1" ht="18" x14ac:dyDescent="0.25">
      <c r="A295" s="523" t="s">
        <v>5344</v>
      </c>
      <c r="B295" s="235"/>
      <c r="C295" s="676"/>
      <c r="D295" s="255" t="s">
        <v>544</v>
      </c>
      <c r="E295" s="236"/>
      <c r="F295" s="236"/>
      <c r="G295" s="236"/>
      <c r="H295" s="582" t="s">
        <v>2576</v>
      </c>
      <c r="I295" s="498" t="s">
        <v>3121</v>
      </c>
      <c r="J295" s="237"/>
      <c r="K295" s="237"/>
      <c r="L295" s="274"/>
      <c r="M295" s="668" t="s">
        <v>4962</v>
      </c>
      <c r="N295" s="681" t="str">
        <f>IF(AND(ISTEXT($A295), ISERROR($A295+0)), HYPERLINK($BF295, "Images"), "")</f>
        <v>Images</v>
      </c>
      <c r="O295" s="663" t="s">
        <v>4967</v>
      </c>
      <c r="P295" s="253"/>
      <c r="Q295" s="238"/>
      <c r="R295" s="239"/>
      <c r="S295" s="275"/>
      <c r="T295" s="508">
        <f t="shared" si="188"/>
        <v>0</v>
      </c>
      <c r="U295" s="225" t="str">
        <f>IF(NOT(ISNUMBER(G295)), "", VLOOKUP(A295,'Discount Lookup'!D:E,2,FALSE)*G295)</f>
        <v/>
      </c>
      <c r="V295" s="225" t="str">
        <f>IF(NOT(ISNUMBER(G295)), "", VLOOKUP(A295,'Discount Lookup'!G:H,2,FALSE)*G295)</f>
        <v/>
      </c>
      <c r="W295" s="508">
        <f t="shared" si="189"/>
        <v>0</v>
      </c>
      <c r="X295" s="508" t="str">
        <f t="shared" si="190"/>
        <v>White bloom, Purple-Red eye</v>
      </c>
      <c r="Y295" s="509" t="b">
        <f t="shared" si="191"/>
        <v>0</v>
      </c>
      <c r="Z295" s="510">
        <f t="shared" si="192"/>
        <v>0</v>
      </c>
      <c r="AA295" s="511"/>
      <c r="AB295" s="511" t="str">
        <f t="shared" si="193"/>
        <v/>
      </c>
      <c r="AC295" s="698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698"/>
      <c r="AE295" s="631" t="str">
        <f t="shared" si="194"/>
        <v/>
      </c>
      <c r="AF295" s="699" t="str">
        <f t="shared" si="195"/>
        <v/>
      </c>
      <c r="AG295" s="699"/>
      <c r="AH295" s="699"/>
      <c r="AI295" s="512">
        <f>IF(H295="credit",0,IF(AE295="free",0,IF(AE295="me",0,IF(G295&gt;0,(VLOOKUP(A295,'Discount Lookup'!J:K,2)*G295),0))))</f>
        <v>0</v>
      </c>
      <c r="AJ295" s="513" t="str">
        <f t="shared" ca="1" si="196"/>
        <v/>
      </c>
      <c r="AK295" s="700" t="str">
        <f t="shared" si="197"/>
        <v/>
      </c>
      <c r="AL295" s="700"/>
      <c r="AM295" s="505" t="str">
        <f t="shared" si="198"/>
        <v/>
      </c>
      <c r="AN295" s="506"/>
      <c r="AO295" s="507"/>
      <c r="AP295" s="507"/>
      <c r="AQ295" s="507"/>
      <c r="AR295" s="507"/>
      <c r="AS295" s="507"/>
      <c r="AT295" s="507"/>
      <c r="AU295" s="507"/>
      <c r="AV295" s="225"/>
      <c r="AW295" s="508"/>
      <c r="AX295" s="225"/>
      <c r="AY295" s="225"/>
      <c r="AZ295" s="225"/>
      <c r="BA295" s="225"/>
      <c r="BB295" s="225"/>
      <c r="BC295" s="56"/>
      <c r="BD295" s="56"/>
      <c r="BE295" s="56"/>
      <c r="BF295" s="107" t="str">
        <f t="shared" si="199"/>
        <v>https://www.google.com/search?tbm=isch&amp;q=Bali%E2%84%A2%20Rose%20of%20Sharon%20Hibiscus%20syriacus%20%27Minfren%27</v>
      </c>
      <c r="BG295" s="107" t="str">
        <f t="shared" si="200"/>
        <v>B</v>
      </c>
      <c r="BH295" s="254"/>
      <c r="BI295" s="254"/>
    </row>
    <row r="296" spans="1:61" customFormat="1" ht="15.75" x14ac:dyDescent="0.25">
      <c r="A296" s="276">
        <v>15</v>
      </c>
      <c r="B296" s="240" t="s">
        <v>291</v>
      </c>
      <c r="C296" s="241" t="s">
        <v>4381</v>
      </c>
      <c r="D296" s="242" t="s">
        <v>292</v>
      </c>
      <c r="E296" s="243">
        <v>298.95</v>
      </c>
      <c r="F296" s="517" t="s">
        <v>293</v>
      </c>
      <c r="G296" s="232">
        <v>0</v>
      </c>
      <c r="H296" s="661" t="str">
        <f>IF(G296=0,"",IF(F296="Buy",IF(G296=1,"plant","plants"),IF(F296&gt;0.01,"warranty","Error")))</f>
        <v/>
      </c>
      <c r="I296" s="244">
        <f>IF(H296="free",0,IF(H296="credit",((E296*(F296))*G296*-1),IF(F296="Buy",(E296*G296),((E296*(1-F296))*G296))))</f>
        <v>0</v>
      </c>
      <c r="J296" s="244">
        <f>IF(H296="warranty",0,(I296*(_xlfn.SINGLE(SalesTaxPercentage))))</f>
        <v>0</v>
      </c>
      <c r="K296" s="696">
        <f t="shared" ref="K296" si="212">I296+J296</f>
        <v>0</v>
      </c>
      <c r="L296" s="696"/>
      <c r="M296" s="659" t="str">
        <f>IF(AND(G296&gt;0,E296=0),"WARNING - no PRICE inserted",IF(H296="free"," FREE ~ no charge this plant",IF(H296="credit",CONCATENATE(" -$",ROUND(K296*(1-T2GDiscount)*-1,2)," CREDIT after discount"),IF(T2GDiscount=0,"",IF(G296=0,"",IF(F296="Buy",CONCATENATE(" $",ROUND(K296*(1-T2GDiscount),2)," with ",(T2GDiscount*100),"% discount"),CONCATENATE(" $",ROUND(K296*(1-T2GDiscount),2)," with ",((T2GDiscount*100+F296*100)-(T2GDiscount*100*F296)),IF(F296&gt;0,"% discounts",IF(NoWarrantyDiscount&gt;0,"% discounts","% discount")))))))))</f>
        <v/>
      </c>
      <c r="N296" s="660"/>
      <c r="O296" s="233"/>
      <c r="P296" s="233"/>
      <c r="Q296" s="233"/>
      <c r="R296" s="233"/>
      <c r="S296" s="233"/>
      <c r="T296" s="508">
        <f t="shared" si="188"/>
        <v>0</v>
      </c>
      <c r="U296" s="225">
        <f>IF(NOT(ISNUMBER(G296)), "", VLOOKUP(A296,'Discount Lookup'!D:E,2,FALSE)*G296)</f>
        <v>0</v>
      </c>
      <c r="V296" s="225">
        <f>IF(NOT(ISNUMBER(G296)), "", VLOOKUP(A296,'Discount Lookup'!G:H,2,FALSE)*G296)</f>
        <v>0</v>
      </c>
      <c r="W296" s="508">
        <f t="shared" si="189"/>
        <v>0</v>
      </c>
      <c r="X296" s="508">
        <f t="shared" si="190"/>
        <v>0</v>
      </c>
      <c r="Y296" s="509" t="b">
        <f t="shared" si="191"/>
        <v>0</v>
      </c>
      <c r="Z296" s="510">
        <f t="shared" si="192"/>
        <v>0</v>
      </c>
      <c r="AA296" s="511"/>
      <c r="AB296" s="511" t="str">
        <f t="shared" si="193"/>
        <v/>
      </c>
      <c r="AC296" s="698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698"/>
      <c r="AE296" s="631" t="str">
        <f t="shared" si="194"/>
        <v/>
      </c>
      <c r="AF296" s="699" t="str">
        <f t="shared" si="195"/>
        <v/>
      </c>
      <c r="AG296" s="699"/>
      <c r="AH296" s="699"/>
      <c r="AI296" s="512">
        <f>IF(H296="credit",0,IF(AE296="free",0,IF(AE296="me",0,IF(G296&gt;0,(VLOOKUP(A296,'Discount Lookup'!J:K,2)*G296),0))))</f>
        <v>0</v>
      </c>
      <c r="AJ296" s="513" t="str">
        <f t="shared" ca="1" si="196"/>
        <v/>
      </c>
      <c r="AK296" s="700" t="str">
        <f t="shared" si="197"/>
        <v/>
      </c>
      <c r="AL296" s="700"/>
      <c r="AM296" s="505" t="str">
        <f t="shared" si="198"/>
        <v/>
      </c>
      <c r="AN296" s="506"/>
      <c r="AO296" s="507"/>
      <c r="AP296" s="507"/>
      <c r="AQ296" s="507"/>
      <c r="AR296" s="507"/>
      <c r="AS296" s="507"/>
      <c r="AT296" s="507"/>
      <c r="AU296" s="507"/>
      <c r="AV296" s="225"/>
      <c r="AW296" s="508"/>
      <c r="AX296" s="225"/>
      <c r="AY296" s="225"/>
      <c r="AZ296" s="225"/>
      <c r="BA296" s="225"/>
      <c r="BB296" s="225"/>
      <c r="BC296" s="56"/>
      <c r="BD296" s="56"/>
      <c r="BE296" s="56"/>
      <c r="BF296" s="107" t="str">
        <f t="shared" si="199"/>
        <v>https://www.google.com/search?tbm=isch&amp;q=15%20G4</v>
      </c>
      <c r="BG296" s="107" t="str">
        <f t="shared" si="200"/>
        <v>B</v>
      </c>
      <c r="BH296" s="254"/>
      <c r="BI296" s="254"/>
    </row>
    <row r="297" spans="1:61" customFormat="1" ht="17.25" thickBot="1" x14ac:dyDescent="0.3">
      <c r="A297" s="524" t="s">
        <v>4196</v>
      </c>
      <c r="B297" s="245"/>
      <c r="C297" s="677"/>
      <c r="D297" s="499"/>
      <c r="E297" s="499"/>
      <c r="F297" s="500"/>
      <c r="G297" s="501"/>
      <c r="H297" s="502"/>
      <c r="I297" s="246"/>
      <c r="J297" s="247"/>
      <c r="K297" s="503"/>
      <c r="L297" s="544"/>
      <c r="M297" s="544"/>
      <c r="N297" s="500"/>
      <c r="O297" s="500"/>
      <c r="P297" s="500"/>
      <c r="Q297" s="500"/>
      <c r="R297" s="500"/>
      <c r="S297" s="669" t="s">
        <v>4976</v>
      </c>
      <c r="T297" s="508">
        <f t="shared" si="188"/>
        <v>0</v>
      </c>
      <c r="U297" s="225" t="str">
        <f>IF(NOT(ISNUMBER(G297)), "", VLOOKUP(A297,'Discount Lookup'!D:E,2,FALSE)*G297)</f>
        <v/>
      </c>
      <c r="V297" s="225" t="str">
        <f>IF(NOT(ISNUMBER(G297)), "", VLOOKUP(A297,'Discount Lookup'!G:H,2,FALSE)*G297)</f>
        <v/>
      </c>
      <c r="W297" s="508">
        <f t="shared" si="189"/>
        <v>0</v>
      </c>
      <c r="X297" s="508">
        <f t="shared" si="190"/>
        <v>0</v>
      </c>
      <c r="Y297" s="509" t="b">
        <f t="shared" si="191"/>
        <v>0</v>
      </c>
      <c r="Z297" s="510">
        <f t="shared" si="192"/>
        <v>0</v>
      </c>
      <c r="AA297" s="511"/>
      <c r="AB297" s="511" t="str">
        <f t="shared" si="193"/>
        <v/>
      </c>
      <c r="AC297" s="698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698"/>
      <c r="AE297" s="631" t="str">
        <f t="shared" si="194"/>
        <v/>
      </c>
      <c r="AF297" s="699" t="str">
        <f t="shared" si="195"/>
        <v/>
      </c>
      <c r="AG297" s="699"/>
      <c r="AH297" s="699"/>
      <c r="AI297" s="512">
        <f>IF(H297="credit",0,IF(AE297="free",0,IF(AE297="me",0,IF(G297&gt;0,(VLOOKUP(A297,'Discount Lookup'!J:K,2)*G297),0))))</f>
        <v>0</v>
      </c>
      <c r="AJ297" s="513" t="str">
        <f t="shared" ca="1" si="196"/>
        <v/>
      </c>
      <c r="AK297" s="700" t="str">
        <f t="shared" si="197"/>
        <v/>
      </c>
      <c r="AL297" s="700"/>
      <c r="AM297" s="505" t="str">
        <f t="shared" si="198"/>
        <v/>
      </c>
      <c r="AN297" s="506"/>
      <c r="AO297" s="507"/>
      <c r="AP297" s="507"/>
      <c r="AQ297" s="507"/>
      <c r="AR297" s="507"/>
      <c r="AS297" s="507"/>
      <c r="AT297" s="507"/>
      <c r="AU297" s="507"/>
      <c r="AV297" s="225"/>
      <c r="AW297" s="508"/>
      <c r="AX297" s="225"/>
      <c r="AY297" s="225"/>
      <c r="AZ297" s="225"/>
      <c r="BA297" s="225"/>
      <c r="BB297" s="225"/>
      <c r="BC297" s="56"/>
      <c r="BD297" s="56"/>
      <c r="BE297" s="56"/>
      <c r="BF297" s="107" t="str">
        <f t="shared" si="199"/>
        <v>https://www.google.com/search?tbm=isch&amp;q=Bali%20has%20Green%20foliage.%20%22Rose%20of%20Sharon%22%20Hibiscus%20have%20trumpet-shaped%20flowers%20on%20new%20wood.%20Woody%20stems%20remain%20</v>
      </c>
      <c r="BG297" s="107" t="str">
        <f t="shared" si="200"/>
        <v>B</v>
      </c>
      <c r="BH297" s="254"/>
      <c r="BI297" s="254"/>
    </row>
    <row r="298" spans="1:61" customFormat="1" ht="18" x14ac:dyDescent="0.25">
      <c r="A298" s="523" t="s">
        <v>410</v>
      </c>
      <c r="B298" s="235"/>
      <c r="C298" s="676"/>
      <c r="D298" s="255" t="s">
        <v>2115</v>
      </c>
      <c r="E298" s="236"/>
      <c r="F298" s="236"/>
      <c r="G298" s="236"/>
      <c r="H298" s="582" t="s">
        <v>326</v>
      </c>
      <c r="I298" s="498" t="s">
        <v>2499</v>
      </c>
      <c r="J298" s="237"/>
      <c r="K298" s="237"/>
      <c r="L298" s="274"/>
      <c r="M298" s="668" t="s">
        <v>4975</v>
      </c>
      <c r="N298" s="681" t="str">
        <f>IF(AND(ISTEXT($A298), ISERROR($A298+0)), HYPERLINK($BF298, "Images"), "")</f>
        <v>Images</v>
      </c>
      <c r="O298" s="663" t="s">
        <v>4974</v>
      </c>
      <c r="P298" s="253"/>
      <c r="Q298" s="238"/>
      <c r="R298" s="239"/>
      <c r="S298" s="275"/>
      <c r="T298" s="508">
        <f t="shared" si="188"/>
        <v>0</v>
      </c>
      <c r="U298" s="225" t="str">
        <f>IF(NOT(ISNUMBER(G298)), "", VLOOKUP(A298,'Discount Lookup'!D:E,2,FALSE)*G298)</f>
        <v/>
      </c>
      <c r="V298" s="225" t="str">
        <f>IF(NOT(ISNUMBER(G298)), "", VLOOKUP(A298,'Discount Lookup'!G:H,2,FALSE)*G298)</f>
        <v/>
      </c>
      <c r="W298" s="508">
        <f t="shared" si="189"/>
        <v>0</v>
      </c>
      <c r="X298" s="508" t="str">
        <f t="shared" si="190"/>
        <v>White, Pink blush</v>
      </c>
      <c r="Y298" s="509" t="b">
        <f t="shared" si="191"/>
        <v>0</v>
      </c>
      <c r="Z298" s="510">
        <f t="shared" si="192"/>
        <v>0</v>
      </c>
      <c r="AA298" s="511"/>
      <c r="AB298" s="511" t="str">
        <f t="shared" si="193"/>
        <v/>
      </c>
      <c r="AC298" s="698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698"/>
      <c r="AE298" s="631" t="str">
        <f t="shared" si="194"/>
        <v/>
      </c>
      <c r="AF298" s="699" t="str">
        <f t="shared" si="195"/>
        <v/>
      </c>
      <c r="AG298" s="699"/>
      <c r="AH298" s="699"/>
      <c r="AI298" s="512">
        <f>IF(H298="credit",0,IF(AE298="free",0,IF(AE298="me",0,IF(G298&gt;0,(VLOOKUP(A298,'Discount Lookup'!J:K,2)*G298),0))))</f>
        <v>0</v>
      </c>
      <c r="AJ298" s="513" t="str">
        <f t="shared" ca="1" si="196"/>
        <v/>
      </c>
      <c r="AK298" s="700" t="str">
        <f t="shared" si="197"/>
        <v/>
      </c>
      <c r="AL298" s="700"/>
      <c r="AM298" s="505" t="str">
        <f t="shared" si="198"/>
        <v/>
      </c>
      <c r="AN298" s="506"/>
      <c r="AO298" s="507"/>
      <c r="AP298" s="507"/>
      <c r="AQ298" s="507"/>
      <c r="AR298" s="507"/>
      <c r="AS298" s="507"/>
      <c r="AT298" s="507"/>
      <c r="AU298" s="507"/>
      <c r="AV298" s="225"/>
      <c r="AW298" s="508"/>
      <c r="AX298" s="225"/>
      <c r="AY298" s="225"/>
      <c r="AZ298" s="225"/>
      <c r="BA298" s="225"/>
      <c r="BB298" s="225"/>
      <c r="BC298" s="56"/>
      <c r="BD298" s="56"/>
      <c r="BE298" s="56"/>
      <c r="BF298" s="107" t="str">
        <f t="shared" si="199"/>
        <v>https://www.google.com/search?tbm=isch&amp;q=Ballerina%20Magnolia%20Magnolia%20x%20loebneri%20%27Ballerina%27</v>
      </c>
      <c r="BG298" s="107" t="str">
        <f t="shared" si="200"/>
        <v>B</v>
      </c>
      <c r="BH298" s="254"/>
      <c r="BI298" s="254"/>
    </row>
    <row r="299" spans="1:61" customFormat="1" ht="15.75" x14ac:dyDescent="0.25">
      <c r="A299" s="276">
        <v>10</v>
      </c>
      <c r="B299" s="240" t="s">
        <v>291</v>
      </c>
      <c r="C299" s="241" t="s">
        <v>3322</v>
      </c>
      <c r="D299" s="242" t="s">
        <v>292</v>
      </c>
      <c r="E299" s="243">
        <v>171.95</v>
      </c>
      <c r="F299" s="517" t="s">
        <v>293</v>
      </c>
      <c r="G299" s="232">
        <v>0</v>
      </c>
      <c r="H299" s="661" t="str">
        <f>IF(G299=0,"",IF(F299="Buy",IF(G299=1,"plant","plants"),IF(F299&gt;0.01,"warranty","Error")))</f>
        <v/>
      </c>
      <c r="I299" s="244">
        <f>IF(H299="free",0,IF(H299="credit",((E299*(F299))*G299*-1),IF(F299="Buy",(E299*G299),((E299*(1-F299))*G299))))</f>
        <v>0</v>
      </c>
      <c r="J299" s="244">
        <f>IF(H299="warranty",0,(I299*(_xlfn.SINGLE(SalesTaxPercentage))))</f>
        <v>0</v>
      </c>
      <c r="K299" s="696">
        <f t="shared" ref="K299" si="213">I299+J299</f>
        <v>0</v>
      </c>
      <c r="L299" s="696"/>
      <c r="M299" s="659" t="str">
        <f>IF(AND(G299&gt;0,E299=0),"WARNING - no PRICE inserted",IF(H299="free"," FREE ~ no charge this plant",IF(H299="credit",CONCATENATE(" -$",ROUND(K299*(1-T2GDiscount)*-1,2)," CREDIT after discount"),IF(T2GDiscount=0,"",IF(G299=0,"",IF(F299="Buy",CONCATENATE(" $",ROUND(K299*(1-T2GDiscount),2)," with ",(T2GDiscount*100),"% discount"),CONCATENATE(" $",ROUND(K299*(1-T2GDiscount),2)," with ",((T2GDiscount*100+F299*100)-(T2GDiscount*100*F299)),IF(F299&gt;0,"% discounts",IF(NoWarrantyDiscount&gt;0,"% discounts","% discount")))))))))</f>
        <v/>
      </c>
      <c r="N299" s="660"/>
      <c r="O299" s="233"/>
      <c r="P299" s="233"/>
      <c r="Q299" s="233"/>
      <c r="R299" s="233"/>
      <c r="S299" s="233"/>
      <c r="T299" s="508">
        <f t="shared" si="188"/>
        <v>0</v>
      </c>
      <c r="U299" s="225">
        <f>IF(NOT(ISNUMBER(G299)), "", VLOOKUP(A299,'Discount Lookup'!D:E,2,FALSE)*G299)</f>
        <v>0</v>
      </c>
      <c r="V299" s="225">
        <f>IF(NOT(ISNUMBER(G299)), "", VLOOKUP(A299,'Discount Lookup'!G:H,2,FALSE)*G299)</f>
        <v>0</v>
      </c>
      <c r="W299" s="508">
        <f t="shared" si="189"/>
        <v>0</v>
      </c>
      <c r="X299" s="508">
        <f t="shared" si="190"/>
        <v>0</v>
      </c>
      <c r="Y299" s="509" t="b">
        <f t="shared" si="191"/>
        <v>0</v>
      </c>
      <c r="Z299" s="510">
        <f t="shared" si="192"/>
        <v>0</v>
      </c>
      <c r="AA299" s="511"/>
      <c r="AB299" s="511" t="str">
        <f t="shared" si="193"/>
        <v/>
      </c>
      <c r="AC299" s="698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698"/>
      <c r="AE299" s="631" t="str">
        <f t="shared" si="194"/>
        <v/>
      </c>
      <c r="AF299" s="699" t="str">
        <f t="shared" si="195"/>
        <v/>
      </c>
      <c r="AG299" s="699"/>
      <c r="AH299" s="699"/>
      <c r="AI299" s="512">
        <f>IF(H299="credit",0,IF(AE299="free",0,IF(AE299="me",0,IF(G299&gt;0,(VLOOKUP(A299,'Discount Lookup'!J:K,2)*G299),0))))</f>
        <v>0</v>
      </c>
      <c r="AJ299" s="513" t="str">
        <f t="shared" ca="1" si="196"/>
        <v/>
      </c>
      <c r="AK299" s="700" t="str">
        <f t="shared" si="197"/>
        <v/>
      </c>
      <c r="AL299" s="700"/>
      <c r="AM299" s="505" t="str">
        <f t="shared" si="198"/>
        <v/>
      </c>
      <c r="AN299" s="506"/>
      <c r="AO299" s="507"/>
      <c r="AP299" s="507"/>
      <c r="AQ299" s="507"/>
      <c r="AR299" s="507"/>
      <c r="AS299" s="507"/>
      <c r="AT299" s="507"/>
      <c r="AU299" s="507"/>
      <c r="AV299" s="225"/>
      <c r="AW299" s="508"/>
      <c r="AX299" s="225"/>
      <c r="AY299" s="225"/>
      <c r="AZ299" s="225"/>
      <c r="BA299" s="225"/>
      <c r="BB299" s="225"/>
      <c r="BC299" s="56"/>
      <c r="BD299" s="56"/>
      <c r="BE299" s="56"/>
      <c r="BF299" s="107" t="str">
        <f t="shared" si="199"/>
        <v>https://www.google.com/search?tbm=isch&amp;q=10%20G4</v>
      </c>
      <c r="BG299" s="107" t="str">
        <f t="shared" si="200"/>
        <v>B</v>
      </c>
      <c r="BH299" s="254"/>
      <c r="BI299" s="254"/>
    </row>
    <row r="300" spans="1:61" customFormat="1" ht="17.25" thickBot="1" x14ac:dyDescent="0.3">
      <c r="A300" s="524" t="s">
        <v>2333</v>
      </c>
      <c r="B300" s="245"/>
      <c r="C300" s="677"/>
      <c r="D300" s="499"/>
      <c r="E300" s="499"/>
      <c r="F300" s="500"/>
      <c r="G300" s="501"/>
      <c r="H300" s="502"/>
      <c r="I300" s="246"/>
      <c r="J300" s="247"/>
      <c r="K300" s="503"/>
      <c r="L300" s="544"/>
      <c r="M300" s="544"/>
      <c r="N300" s="500"/>
      <c r="O300" s="500"/>
      <c r="P300" s="500"/>
      <c r="Q300" s="500"/>
      <c r="R300" s="500"/>
      <c r="S300" s="669" t="s">
        <v>4972</v>
      </c>
      <c r="T300" s="508">
        <f t="shared" si="188"/>
        <v>0</v>
      </c>
      <c r="U300" s="225" t="str">
        <f>IF(NOT(ISNUMBER(G300)), "", VLOOKUP(A300,'Discount Lookup'!D:E,2,FALSE)*G300)</f>
        <v/>
      </c>
      <c r="V300" s="225" t="str">
        <f>IF(NOT(ISNUMBER(G300)), "", VLOOKUP(A300,'Discount Lookup'!G:H,2,FALSE)*G300)</f>
        <v/>
      </c>
      <c r="W300" s="508">
        <f t="shared" si="189"/>
        <v>0</v>
      </c>
      <c r="X300" s="508">
        <f t="shared" si="190"/>
        <v>0</v>
      </c>
      <c r="Y300" s="509" t="b">
        <f t="shared" si="191"/>
        <v>0</v>
      </c>
      <c r="Z300" s="510">
        <f t="shared" si="192"/>
        <v>0</v>
      </c>
      <c r="AA300" s="511"/>
      <c r="AB300" s="511" t="str">
        <f t="shared" si="193"/>
        <v/>
      </c>
      <c r="AC300" s="698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698"/>
      <c r="AE300" s="631" t="str">
        <f t="shared" si="194"/>
        <v/>
      </c>
      <c r="AF300" s="699" t="str">
        <f t="shared" si="195"/>
        <v/>
      </c>
      <c r="AG300" s="699"/>
      <c r="AH300" s="699"/>
      <c r="AI300" s="512">
        <f>IF(H300="credit",0,IF(AE300="free",0,IF(AE300="me",0,IF(G300&gt;0,(VLOOKUP(A300,'Discount Lookup'!J:K,2)*G300),0))))</f>
        <v>0</v>
      </c>
      <c r="AJ300" s="513" t="str">
        <f t="shared" ca="1" si="196"/>
        <v/>
      </c>
      <c r="AK300" s="700" t="str">
        <f t="shared" si="197"/>
        <v/>
      </c>
      <c r="AL300" s="700"/>
      <c r="AM300" s="505" t="str">
        <f t="shared" si="198"/>
        <v/>
      </c>
      <c r="AN300" s="506"/>
      <c r="AO300" s="507"/>
      <c r="AP300" s="507"/>
      <c r="AQ300" s="507"/>
      <c r="AR300" s="507"/>
      <c r="AS300" s="507"/>
      <c r="AT300" s="507"/>
      <c r="AU300" s="507"/>
      <c r="AV300" s="225"/>
      <c r="AW300" s="508"/>
      <c r="AX300" s="225"/>
      <c r="AY300" s="225"/>
      <c r="AZ300" s="225"/>
      <c r="BA300" s="225"/>
      <c r="BB300" s="225"/>
      <c r="BC300" s="56"/>
      <c r="BD300" s="56"/>
      <c r="BE300" s="56"/>
      <c r="BF300" s="107" t="str">
        <f t="shared" si="199"/>
        <v>https://www.google.com/search?tbm=isch&amp;q=Ballerina%20blooms%20early%20in%20spring%2C%20before%20foliage%2C%20with%20notably%20large%20fragrant%20flowers.%20Cold%20hardy%20plant%20</v>
      </c>
      <c r="BG300" s="107" t="str">
        <f t="shared" si="200"/>
        <v>B</v>
      </c>
      <c r="BH300" s="254"/>
      <c r="BI300" s="254"/>
    </row>
    <row r="301" spans="1:61" customFormat="1" ht="18" x14ac:dyDescent="0.25">
      <c r="A301" s="523" t="s">
        <v>2334</v>
      </c>
      <c r="B301" s="235"/>
      <c r="C301" s="676"/>
      <c r="D301" s="255" t="s">
        <v>2335</v>
      </c>
      <c r="E301" s="236"/>
      <c r="F301" s="236"/>
      <c r="G301" s="236"/>
      <c r="H301" s="582" t="s">
        <v>394</v>
      </c>
      <c r="I301" s="498" t="s">
        <v>3019</v>
      </c>
      <c r="J301" s="237"/>
      <c r="K301" s="237"/>
      <c r="L301" s="274"/>
      <c r="M301" s="668" t="s">
        <v>4962</v>
      </c>
      <c r="N301" s="681" t="str">
        <f>IF(AND(ISTEXT($A301), ISERROR($A301+0)), HYPERLINK($BF301, "Images"), "")</f>
        <v>Images</v>
      </c>
      <c r="O301" s="663" t="s">
        <v>4969</v>
      </c>
      <c r="P301" s="253"/>
      <c r="Q301" s="238"/>
      <c r="R301" s="239"/>
      <c r="S301" s="275"/>
      <c r="T301" s="508">
        <f t="shared" si="188"/>
        <v>0</v>
      </c>
      <c r="U301" s="225" t="str">
        <f>IF(NOT(ISNUMBER(G301)), "", VLOOKUP(A301,'Discount Lookup'!D:E,2,FALSE)*G301)</f>
        <v/>
      </c>
      <c r="V301" s="225" t="str">
        <f>IF(NOT(ISNUMBER(G301)), "", VLOOKUP(A301,'Discount Lookup'!G:H,2,FALSE)*G301)</f>
        <v/>
      </c>
      <c r="W301" s="508">
        <f t="shared" si="189"/>
        <v>0</v>
      </c>
      <c r="X301" s="508" t="str">
        <f t="shared" si="190"/>
        <v>Green blades &amp; Gold bands</v>
      </c>
      <c r="Y301" s="509" t="b">
        <f t="shared" si="191"/>
        <v>0</v>
      </c>
      <c r="Z301" s="510">
        <f t="shared" si="192"/>
        <v>0</v>
      </c>
      <c r="AA301" s="511"/>
      <c r="AB301" s="511" t="str">
        <f t="shared" si="193"/>
        <v/>
      </c>
      <c r="AC301" s="698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698"/>
      <c r="AE301" s="631" t="str">
        <f t="shared" si="194"/>
        <v/>
      </c>
      <c r="AF301" s="699" t="str">
        <f t="shared" si="195"/>
        <v/>
      </c>
      <c r="AG301" s="699"/>
      <c r="AH301" s="699"/>
      <c r="AI301" s="512">
        <f>IF(H301="credit",0,IF(AE301="free",0,IF(AE301="me",0,IF(G301&gt;0,(VLOOKUP(A301,'Discount Lookup'!J:K,2)*G301),0))))</f>
        <v>0</v>
      </c>
      <c r="AJ301" s="513" t="str">
        <f t="shared" ca="1" si="196"/>
        <v/>
      </c>
      <c r="AK301" s="700" t="str">
        <f t="shared" si="197"/>
        <v/>
      </c>
      <c r="AL301" s="700"/>
      <c r="AM301" s="505" t="str">
        <f t="shared" si="198"/>
        <v/>
      </c>
      <c r="AN301" s="506"/>
      <c r="AO301" s="507"/>
      <c r="AP301" s="507"/>
      <c r="AQ301" s="507"/>
      <c r="AR301" s="507"/>
      <c r="AS301" s="507"/>
      <c r="AT301" s="507"/>
      <c r="AU301" s="507"/>
      <c r="AV301" s="225"/>
      <c r="AW301" s="508"/>
      <c r="AX301" s="225"/>
      <c r="AY301" s="225"/>
      <c r="AZ301" s="225"/>
      <c r="BA301" s="225"/>
      <c r="BB301" s="225"/>
      <c r="BC301" s="56"/>
      <c r="BD301" s="56"/>
      <c r="BE301" s="56"/>
      <c r="BF301" s="107" t="str">
        <f t="shared" si="199"/>
        <v>https://www.google.com/search?tbm=isch&amp;q=Bandwidth%20Maiden%20Grass%20Miscanthus%20sinensis%20%27NCMS2B%27%20PP%2329460</v>
      </c>
      <c r="BG301" s="107" t="str">
        <f t="shared" si="200"/>
        <v>B</v>
      </c>
      <c r="BH301" s="254"/>
      <c r="BI301" s="254"/>
    </row>
    <row r="302" spans="1:61" customFormat="1" ht="15.75" x14ac:dyDescent="0.25">
      <c r="A302" s="276">
        <v>3</v>
      </c>
      <c r="B302" s="240" t="s">
        <v>291</v>
      </c>
      <c r="C302" s="241"/>
      <c r="D302" s="242" t="s">
        <v>298</v>
      </c>
      <c r="E302" s="243">
        <v>25.95</v>
      </c>
      <c r="F302" s="517" t="s">
        <v>293</v>
      </c>
      <c r="G302" s="232">
        <v>0</v>
      </c>
      <c r="H302" s="661" t="str">
        <f>IF(G302=0,"",IF(F302="Buy",IF(G302=1,"plant","plants"),IF(F302&gt;0.01,"warranty","Error")))</f>
        <v/>
      </c>
      <c r="I302" s="244">
        <f>IF(H302="free",0,IF(H302="credit",((E302*(F302))*G302*-1),IF(F302="Buy",(E302*G302),((E302*(1-F302))*G302))))</f>
        <v>0</v>
      </c>
      <c r="J302" s="244">
        <f>IF(H302="warranty",0,(I302*(_xlfn.SINGLE(SalesTaxPercentage))))</f>
        <v>0</v>
      </c>
      <c r="K302" s="696">
        <f t="shared" ref="K302" si="214">I302+J302</f>
        <v>0</v>
      </c>
      <c r="L302" s="696"/>
      <c r="M302" s="659" t="str">
        <f>IF(AND(G302&gt;0,E302=0),"WARNING - no PRICE inserted",IF(H302="free"," FREE ~ no charge this plant",IF(H302="credit",CONCATENATE(" -$",ROUND(K302*(1-T2GDiscount)*-1,2)," CREDIT after discount"),IF(T2GDiscount=0,"",IF(G302=0,"",IF(F302="Buy",CONCATENATE(" $",ROUND(K302*(1-T2GDiscount),2)," with ",(T2GDiscount*100),"% discount"),CONCATENATE(" $",ROUND(K302*(1-T2GDiscount),2)," with ",((T2GDiscount*100+F302*100)-(T2GDiscount*100*F302)),IF(F302&gt;0,"% discounts",IF(NoWarrantyDiscount&gt;0,"% discounts","% discount")))))))))</f>
        <v/>
      </c>
      <c r="N302" s="660"/>
      <c r="O302" s="233"/>
      <c r="P302" s="233"/>
      <c r="Q302" s="233"/>
      <c r="R302" s="233"/>
      <c r="S302" s="233"/>
      <c r="T302" s="508">
        <f t="shared" si="188"/>
        <v>0</v>
      </c>
      <c r="U302" s="225">
        <f>IF(NOT(ISNUMBER(G302)), "", VLOOKUP(A302,'Discount Lookup'!D:E,2,FALSE)*G302)</f>
        <v>0</v>
      </c>
      <c r="V302" s="225">
        <f>IF(NOT(ISNUMBER(G302)), "", VLOOKUP(A302,'Discount Lookup'!G:H,2,FALSE)*G302)</f>
        <v>0</v>
      </c>
      <c r="W302" s="508">
        <f t="shared" si="189"/>
        <v>0</v>
      </c>
      <c r="X302" s="508">
        <f t="shared" si="190"/>
        <v>0</v>
      </c>
      <c r="Y302" s="509" t="b">
        <f t="shared" si="191"/>
        <v>0</v>
      </c>
      <c r="Z302" s="510">
        <f t="shared" si="192"/>
        <v>0</v>
      </c>
      <c r="AA302" s="511"/>
      <c r="AB302" s="511" t="str">
        <f t="shared" si="193"/>
        <v/>
      </c>
      <c r="AC302" s="698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698"/>
      <c r="AE302" s="631" t="str">
        <f t="shared" si="194"/>
        <v/>
      </c>
      <c r="AF302" s="699" t="str">
        <f t="shared" si="195"/>
        <v/>
      </c>
      <c r="AG302" s="699"/>
      <c r="AH302" s="699"/>
      <c r="AI302" s="512">
        <f>IF(H302="credit",0,IF(AE302="free",0,IF(AE302="me",0,IF(G302&gt;0,(VLOOKUP(A302,'Discount Lookup'!J:K,2)*G302),0))))</f>
        <v>0</v>
      </c>
      <c r="AJ302" s="513" t="str">
        <f t="shared" ca="1" si="196"/>
        <v/>
      </c>
      <c r="AK302" s="700" t="str">
        <f t="shared" si="197"/>
        <v/>
      </c>
      <c r="AL302" s="700"/>
      <c r="AM302" s="505" t="str">
        <f t="shared" si="198"/>
        <v/>
      </c>
      <c r="AN302" s="506"/>
      <c r="AO302" s="507"/>
      <c r="AP302" s="507"/>
      <c r="AQ302" s="507"/>
      <c r="AR302" s="507"/>
      <c r="AS302" s="507"/>
      <c r="AT302" s="507"/>
      <c r="AU302" s="507"/>
      <c r="AV302" s="225"/>
      <c r="AW302" s="508"/>
      <c r="AX302" s="225"/>
      <c r="AY302" s="225"/>
      <c r="AZ302" s="225"/>
      <c r="BA302" s="225"/>
      <c r="BB302" s="225"/>
      <c r="BC302" s="56"/>
      <c r="BD302" s="56"/>
      <c r="BE302" s="56"/>
      <c r="BF302" s="107" t="str">
        <f t="shared" si="199"/>
        <v>https://www.google.com/search?tbm=isch&amp;q=3%20G1</v>
      </c>
      <c r="BG302" s="107" t="str">
        <f t="shared" si="200"/>
        <v>B</v>
      </c>
      <c r="BH302" s="254"/>
      <c r="BI302" s="254"/>
    </row>
    <row r="303" spans="1:61" customFormat="1" ht="17.25" thickBot="1" x14ac:dyDescent="0.3">
      <c r="A303" s="524" t="s">
        <v>3020</v>
      </c>
      <c r="B303" s="245"/>
      <c r="C303" s="677"/>
      <c r="D303" s="499"/>
      <c r="E303" s="499"/>
      <c r="F303" s="500"/>
      <c r="G303" s="501"/>
      <c r="H303" s="502"/>
      <c r="I303" s="246"/>
      <c r="J303" s="247"/>
      <c r="K303" s="503"/>
      <c r="L303" s="544"/>
      <c r="M303" s="544"/>
      <c r="N303" s="500"/>
      <c r="O303" s="500"/>
      <c r="P303" s="500"/>
      <c r="Q303" s="500"/>
      <c r="R303" s="500"/>
      <c r="S303" s="669" t="s">
        <v>4991</v>
      </c>
      <c r="T303" s="508">
        <f t="shared" si="188"/>
        <v>0</v>
      </c>
      <c r="U303" s="225" t="str">
        <f>IF(NOT(ISNUMBER(G303)), "", VLOOKUP(A303,'Discount Lookup'!D:E,2,FALSE)*G303)</f>
        <v/>
      </c>
      <c r="V303" s="225" t="str">
        <f>IF(NOT(ISNUMBER(G303)), "", VLOOKUP(A303,'Discount Lookup'!G:H,2,FALSE)*G303)</f>
        <v/>
      </c>
      <c r="W303" s="508">
        <f t="shared" si="189"/>
        <v>0</v>
      </c>
      <c r="X303" s="508">
        <f t="shared" si="190"/>
        <v>0</v>
      </c>
      <c r="Y303" s="509" t="b">
        <f t="shared" si="191"/>
        <v>0</v>
      </c>
      <c r="Z303" s="510">
        <f t="shared" si="192"/>
        <v>0</v>
      </c>
      <c r="AA303" s="511"/>
      <c r="AB303" s="511" t="str">
        <f t="shared" si="193"/>
        <v/>
      </c>
      <c r="AC303" s="698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698"/>
      <c r="AE303" s="631" t="str">
        <f t="shared" si="194"/>
        <v/>
      </c>
      <c r="AF303" s="699" t="str">
        <f t="shared" si="195"/>
        <v/>
      </c>
      <c r="AG303" s="699"/>
      <c r="AH303" s="699"/>
      <c r="AI303" s="512">
        <f>IF(H303="credit",0,IF(AE303="free",0,IF(AE303="me",0,IF(G303&gt;0,(VLOOKUP(A303,'Discount Lookup'!J:K,2)*G303),0))))</f>
        <v>0</v>
      </c>
      <c r="AJ303" s="513" t="str">
        <f t="shared" ca="1" si="196"/>
        <v/>
      </c>
      <c r="AK303" s="700" t="str">
        <f t="shared" si="197"/>
        <v/>
      </c>
      <c r="AL303" s="700"/>
      <c r="AM303" s="505" t="str">
        <f t="shared" si="198"/>
        <v/>
      </c>
      <c r="AN303" s="506"/>
      <c r="AO303" s="507"/>
      <c r="AP303" s="507"/>
      <c r="AQ303" s="507"/>
      <c r="AR303" s="507"/>
      <c r="AS303" s="507"/>
      <c r="AT303" s="507"/>
      <c r="AU303" s="507"/>
      <c r="AV303" s="225"/>
      <c r="AW303" s="508"/>
      <c r="AX303" s="225"/>
      <c r="AY303" s="225"/>
      <c r="AZ303" s="225"/>
      <c r="BA303" s="225"/>
      <c r="BB303" s="225"/>
      <c r="BC303" s="56"/>
      <c r="BD303" s="56"/>
      <c r="BE303" s="56"/>
      <c r="BF303" s="107" t="str">
        <f t="shared" si="199"/>
        <v>https://www.google.com/search?tbm=isch&amp;q=Bandwidth%20has%20Copper-Red%20plumes%20aging%20to%20Silvery-Tan%2C%20turning%20straw%20colored%20in%20winter.%20Bred%20at%20NCSU%20to%20be%20non-invasive%20</v>
      </c>
      <c r="BG303" s="107" t="str">
        <f t="shared" si="200"/>
        <v>B</v>
      </c>
      <c r="BH303" s="254"/>
      <c r="BI303" s="254"/>
    </row>
    <row r="304" spans="1:61" customFormat="1" ht="18" x14ac:dyDescent="0.25">
      <c r="A304" s="521" t="s">
        <v>602</v>
      </c>
      <c r="B304" s="477"/>
      <c r="C304" s="674"/>
      <c r="D304" s="478" t="s">
        <v>601</v>
      </c>
      <c r="E304" s="479"/>
      <c r="F304" s="479"/>
      <c r="G304" s="479"/>
      <c r="H304" s="582" t="s">
        <v>2622</v>
      </c>
      <c r="I304" s="480" t="s">
        <v>2624</v>
      </c>
      <c r="J304" s="479"/>
      <c r="K304" s="479"/>
      <c r="L304" s="560"/>
      <c r="M304" s="666" t="s">
        <v>4963</v>
      </c>
      <c r="N304" s="680" t="str">
        <f>IF(AND(ISTEXT($A304), ISERROR($A304+0)), HYPERLINK($BF304, "Images"), "")</f>
        <v>Images</v>
      </c>
      <c r="O304" s="662" t="s">
        <v>4969</v>
      </c>
      <c r="P304" s="482"/>
      <c r="Q304" s="483"/>
      <c r="R304" s="483"/>
      <c r="S304" s="484"/>
      <c r="T304" s="508">
        <f t="shared" si="188"/>
        <v>0</v>
      </c>
      <c r="U304" s="225" t="str">
        <f>IF(NOT(ISNUMBER(G304)), "", VLOOKUP(A304,'Discount Lookup'!D:E,2,FALSE)*G304)</f>
        <v/>
      </c>
      <c r="V304" s="225" t="str">
        <f>IF(NOT(ISNUMBER(G304)), "", VLOOKUP(A304,'Discount Lookup'!G:H,2,FALSE)*G304)</f>
        <v/>
      </c>
      <c r="W304" s="508">
        <f t="shared" si="189"/>
        <v>0</v>
      </c>
      <c r="X304" s="508" t="str">
        <f t="shared" si="190"/>
        <v>Blue-Gray-Green foliage</v>
      </c>
      <c r="Y304" s="509" t="b">
        <f t="shared" si="191"/>
        <v>0</v>
      </c>
      <c r="Z304" s="510">
        <f t="shared" si="192"/>
        <v>0</v>
      </c>
      <c r="AA304" s="511"/>
      <c r="AB304" s="511" t="str">
        <f t="shared" si="193"/>
        <v/>
      </c>
      <c r="AC304" s="698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698"/>
      <c r="AE304" s="631" t="str">
        <f t="shared" si="194"/>
        <v/>
      </c>
      <c r="AF304" s="699" t="str">
        <f t="shared" si="195"/>
        <v/>
      </c>
      <c r="AG304" s="699"/>
      <c r="AH304" s="699"/>
      <c r="AI304" s="512">
        <f>IF(H304="credit",0,IF(AE304="free",0,IF(AE304="me",0,IF(G304&gt;0,(VLOOKUP(A304,'Discount Lookup'!J:K,2)*G304),0))))</f>
        <v>0</v>
      </c>
      <c r="AJ304" s="513" t="str">
        <f t="shared" ca="1" si="196"/>
        <v/>
      </c>
      <c r="AK304" s="700" t="str">
        <f t="shared" si="197"/>
        <v/>
      </c>
      <c r="AL304" s="700"/>
      <c r="AM304" s="505" t="str">
        <f t="shared" si="198"/>
        <v/>
      </c>
      <c r="AN304" s="506"/>
      <c r="AO304" s="507"/>
      <c r="AP304" s="507"/>
      <c r="AQ304" s="507"/>
      <c r="AR304" s="507"/>
      <c r="AS304" s="507"/>
      <c r="AT304" s="507"/>
      <c r="AU304" s="507"/>
      <c r="AV304" s="225"/>
      <c r="AW304" s="508"/>
      <c r="AX304" s="225"/>
      <c r="AY304" s="225"/>
      <c r="AZ304" s="225"/>
      <c r="BA304" s="225"/>
      <c r="BB304" s="225"/>
      <c r="BC304" s="56"/>
      <c r="BD304" s="56"/>
      <c r="BE304" s="56"/>
      <c r="BF304" s="107" t="str">
        <f t="shared" si="199"/>
        <v>https://www.google.com/search?tbm=isch&amp;q=Bar%20Harbor%20Juniper%20Juniperus%20horizontalis%20%27Bar%20Harbor%27</v>
      </c>
      <c r="BG304" s="107" t="str">
        <f t="shared" si="200"/>
        <v>B</v>
      </c>
      <c r="BH304" s="254"/>
      <c r="BI304" s="254"/>
    </row>
    <row r="305" spans="1:61" customFormat="1" ht="15.75" x14ac:dyDescent="0.25">
      <c r="A305" s="485">
        <v>1</v>
      </c>
      <c r="B305" s="486" t="s">
        <v>291</v>
      </c>
      <c r="C305" s="487"/>
      <c r="D305" s="488" t="s">
        <v>299</v>
      </c>
      <c r="E305" s="489">
        <v>10.95</v>
      </c>
      <c r="F305" s="516" t="s">
        <v>293</v>
      </c>
      <c r="G305" s="232">
        <v>0</v>
      </c>
      <c r="H305" s="658" t="str">
        <f>IF(G305=0,"",IF(F305="Buy",IF(G305=1,"plant","plants"),IF(F305&gt;0.01,"warranty","Error")))</f>
        <v/>
      </c>
      <c r="I305" s="490">
        <f>IF(H305="free",0,IF(H305="credit",((E305*(F305))*G305*-1),IF(F305="Buy",(E305*G305),((E305*(1-F305))*G305))))</f>
        <v>0</v>
      </c>
      <c r="J305" s="490">
        <f>IF(H305="warranty",0,(I305*(_xlfn.SINGLE(SalesTaxPercentage))))</f>
        <v>0</v>
      </c>
      <c r="K305" s="695">
        <f t="shared" ref="K305" si="215">I305+J305</f>
        <v>0</v>
      </c>
      <c r="L305" s="695"/>
      <c r="M305" s="659" t="str">
        <f>IF(AND(G305&gt;0,E305=0),"WARNING - no PRICE inserted",IF(H305="free"," FREE ~ no charge this plant",IF(H305="credit",CONCATENATE(" -$",ROUND(K305*(1-T2GDiscount)*-1,2)," CREDIT after discount"),IF(T2GDiscount=0,"",IF(G305=0,"",IF(F305="Buy",CONCATENATE(" $",ROUND(K305*(1-T2GDiscount),2)," with ",(T2GDiscount*100),"% discount"),CONCATENATE(" $",ROUND(K305*(1-T2GDiscount),2)," with ",((T2GDiscount*100+F305*100)-(T2GDiscount*100*F305)),IF(F305&gt;0,"% discounts",IF(NoWarrantyDiscount&gt;0,"% discounts","% discount")))))))))</f>
        <v/>
      </c>
      <c r="N305" s="660"/>
      <c r="O305" s="233"/>
      <c r="P305" s="233"/>
      <c r="Q305" s="233"/>
      <c r="R305" s="233"/>
      <c r="S305" s="233"/>
      <c r="T305" s="508">
        <f t="shared" si="188"/>
        <v>0</v>
      </c>
      <c r="U305" s="225">
        <f>IF(NOT(ISNUMBER(G305)), "", VLOOKUP(A305,'Discount Lookup'!D:E,2,FALSE)*G305)</f>
        <v>0</v>
      </c>
      <c r="V305" s="225">
        <f>IF(NOT(ISNUMBER(G305)), "", VLOOKUP(A305,'Discount Lookup'!G:H,2,FALSE)*G305)</f>
        <v>0</v>
      </c>
      <c r="W305" s="508">
        <f t="shared" si="189"/>
        <v>0</v>
      </c>
      <c r="X305" s="508">
        <f t="shared" si="190"/>
        <v>0</v>
      </c>
      <c r="Y305" s="509" t="b">
        <f t="shared" si="191"/>
        <v>0</v>
      </c>
      <c r="Z305" s="510">
        <f t="shared" si="192"/>
        <v>0</v>
      </c>
      <c r="AA305" s="511"/>
      <c r="AB305" s="511" t="str">
        <f t="shared" si="193"/>
        <v/>
      </c>
      <c r="AC305" s="698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698"/>
      <c r="AE305" s="631" t="str">
        <f t="shared" si="194"/>
        <v/>
      </c>
      <c r="AF305" s="699" t="str">
        <f t="shared" si="195"/>
        <v/>
      </c>
      <c r="AG305" s="699"/>
      <c r="AH305" s="699"/>
      <c r="AI305" s="512">
        <f>IF(H305="credit",0,IF(AE305="free",0,IF(AE305="me",0,IF(G305&gt;0,(VLOOKUP(A305,'Discount Lookup'!J:K,2)*G305),0))))</f>
        <v>0</v>
      </c>
      <c r="AJ305" s="513" t="str">
        <f t="shared" ca="1" si="196"/>
        <v/>
      </c>
      <c r="AK305" s="700" t="str">
        <f t="shared" si="197"/>
        <v/>
      </c>
      <c r="AL305" s="700"/>
      <c r="AM305" s="505" t="str">
        <f t="shared" si="198"/>
        <v/>
      </c>
      <c r="AN305" s="506"/>
      <c r="AO305" s="507"/>
      <c r="AP305" s="507"/>
      <c r="AQ305" s="507"/>
      <c r="AR305" s="507"/>
      <c r="AS305" s="507"/>
      <c r="AT305" s="507"/>
      <c r="AU305" s="507"/>
      <c r="AV305" s="225"/>
      <c r="AW305" s="508"/>
      <c r="AX305" s="225"/>
      <c r="AY305" s="225"/>
      <c r="AZ305" s="225"/>
      <c r="BA305" s="225"/>
      <c r="BB305" s="225"/>
      <c r="BC305" s="56"/>
      <c r="BD305" s="56"/>
      <c r="BE305" s="56"/>
      <c r="BF305" s="107" t="str">
        <f t="shared" si="199"/>
        <v>https://www.google.com/search?tbm=isch&amp;q=1%20G5</v>
      </c>
      <c r="BG305" s="107" t="str">
        <f t="shared" si="200"/>
        <v>B</v>
      </c>
      <c r="BH305" s="254"/>
      <c r="BI305" s="254"/>
    </row>
    <row r="306" spans="1:61" customFormat="1" ht="15.75" x14ac:dyDescent="0.25">
      <c r="A306" s="485">
        <v>3</v>
      </c>
      <c r="B306" s="486" t="s">
        <v>291</v>
      </c>
      <c r="C306" s="487" t="s">
        <v>4854</v>
      </c>
      <c r="D306" s="488" t="s">
        <v>312</v>
      </c>
      <c r="E306" s="489">
        <v>25.95</v>
      </c>
      <c r="F306" s="516" t="s">
        <v>293</v>
      </c>
      <c r="G306" s="232">
        <v>0</v>
      </c>
      <c r="H306" s="658" t="str">
        <f>IF(G306=0,"",IF(F306="Buy",IF(G306=1,"plant","plants"),IF(F306&gt;0.01,"warranty","Error")))</f>
        <v/>
      </c>
      <c r="I306" s="490">
        <f>IF(H306="free",0,IF(H306="credit",((E306*(F306))*G306*-1),IF(F306="Buy",(E306*G306),((E306*(1-F306))*G306))))</f>
        <v>0</v>
      </c>
      <c r="J306" s="490">
        <f>IF(H306="warranty",0,(I306*(_xlfn.SINGLE(SalesTaxPercentage))))</f>
        <v>0</v>
      </c>
      <c r="K306" s="695">
        <f t="shared" ref="K306" si="216">I306+J306</f>
        <v>0</v>
      </c>
      <c r="L306" s="695"/>
      <c r="M306" s="659" t="str">
        <f>IF(AND(G306&gt;0,E306=0),"WARNING - no PRICE inserted",IF(H306="free"," FREE ~ no charge this plant",IF(H306="credit",CONCATENATE(" -$",ROUND(K306*(1-T2GDiscount)*-1,2)," CREDIT after discount"),IF(T2GDiscount=0,"",IF(G306=0,"",IF(F306="Buy",CONCATENATE(" $",ROUND(K306*(1-T2GDiscount),2)," with ",(T2GDiscount*100),"% discount"),CONCATENATE(" $",ROUND(K306*(1-T2GDiscount),2)," with ",((T2GDiscount*100+F306*100)-(T2GDiscount*100*F306)),IF(F306&gt;0,"% discounts",IF(NoWarrantyDiscount&gt;0,"% discounts","% discount")))))))))</f>
        <v/>
      </c>
      <c r="N306" s="660"/>
      <c r="O306" s="233"/>
      <c r="P306" s="233"/>
      <c r="Q306" s="233"/>
      <c r="R306" s="233"/>
      <c r="S306" s="233"/>
      <c r="T306" s="508">
        <f t="shared" si="188"/>
        <v>0</v>
      </c>
      <c r="U306" s="225">
        <f>IF(NOT(ISNUMBER(G306)), "", VLOOKUP(A306,'Discount Lookup'!D:E,2,FALSE)*G306)</f>
        <v>0</v>
      </c>
      <c r="V306" s="225">
        <f>IF(NOT(ISNUMBER(G306)), "", VLOOKUP(A306,'Discount Lookup'!G:H,2,FALSE)*G306)</f>
        <v>0</v>
      </c>
      <c r="W306" s="508">
        <f t="shared" si="189"/>
        <v>0</v>
      </c>
      <c r="X306" s="508">
        <f t="shared" si="190"/>
        <v>0</v>
      </c>
      <c r="Y306" s="509" t="b">
        <f t="shared" si="191"/>
        <v>0</v>
      </c>
      <c r="Z306" s="510">
        <f t="shared" si="192"/>
        <v>0</v>
      </c>
      <c r="AA306" s="511"/>
      <c r="AB306" s="511" t="str">
        <f t="shared" si="193"/>
        <v/>
      </c>
      <c r="AC306" s="698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698"/>
      <c r="AE306" s="631" t="str">
        <f t="shared" si="194"/>
        <v/>
      </c>
      <c r="AF306" s="699" t="str">
        <f t="shared" si="195"/>
        <v/>
      </c>
      <c r="AG306" s="699"/>
      <c r="AH306" s="699"/>
      <c r="AI306" s="512">
        <f>IF(H306="credit",0,IF(AE306="free",0,IF(AE306="me",0,IF(G306&gt;0,(VLOOKUP(A306,'Discount Lookup'!J:K,2)*G306),0))))</f>
        <v>0</v>
      </c>
      <c r="AJ306" s="513" t="str">
        <f t="shared" ca="1" si="196"/>
        <v/>
      </c>
      <c r="AK306" s="700" t="str">
        <f t="shared" si="197"/>
        <v/>
      </c>
      <c r="AL306" s="700"/>
      <c r="AM306" s="505" t="str">
        <f t="shared" si="198"/>
        <v/>
      </c>
      <c r="AN306" s="506"/>
      <c r="AO306" s="507"/>
      <c r="AP306" s="507"/>
      <c r="AQ306" s="507"/>
      <c r="AR306" s="507"/>
      <c r="AS306" s="507"/>
      <c r="AT306" s="507"/>
      <c r="AU306" s="507"/>
      <c r="AV306" s="225"/>
      <c r="AW306" s="508"/>
      <c r="AX306" s="225"/>
      <c r="AY306" s="225"/>
      <c r="AZ306" s="225"/>
      <c r="BA306" s="225"/>
      <c r="BB306" s="225"/>
      <c r="BC306" s="56"/>
      <c r="BD306" s="56"/>
      <c r="BE306" s="56"/>
      <c r="BF306" s="107" t="str">
        <f t="shared" si="199"/>
        <v>https://www.google.com/search?tbm=isch&amp;q=3%20G2</v>
      </c>
      <c r="BG306" s="107" t="str">
        <f t="shared" si="200"/>
        <v>B</v>
      </c>
      <c r="BH306" s="254"/>
      <c r="BI306" s="254"/>
    </row>
    <row r="307" spans="1:61" customFormat="1" ht="15.75" x14ac:dyDescent="0.25">
      <c r="A307" s="485">
        <v>3</v>
      </c>
      <c r="B307" s="486" t="s">
        <v>291</v>
      </c>
      <c r="C307" s="487" t="s">
        <v>4855</v>
      </c>
      <c r="D307" s="488" t="s">
        <v>299</v>
      </c>
      <c r="E307" s="489">
        <v>26.95</v>
      </c>
      <c r="F307" s="516" t="s">
        <v>293</v>
      </c>
      <c r="G307" s="232">
        <v>0</v>
      </c>
      <c r="H307" s="658" t="str">
        <f>IF(G307=0,"",IF(F307="Buy",IF(G307=1,"plant","plants"),IF(F307&gt;0.01,"warranty","Error")))</f>
        <v/>
      </c>
      <c r="I307" s="490">
        <f>IF(H307="free",0,IF(H307="credit",((E307*(F307))*G307*-1),IF(F307="Buy",(E307*G307),((E307*(1-F307))*G307))))</f>
        <v>0</v>
      </c>
      <c r="J307" s="490">
        <f>IF(H307="warranty",0,(I307*(_xlfn.SINGLE(SalesTaxPercentage))))</f>
        <v>0</v>
      </c>
      <c r="K307" s="695">
        <f t="shared" ref="K307" si="217">I307+J307</f>
        <v>0</v>
      </c>
      <c r="L307" s="695"/>
      <c r="M307" s="659" t="str">
        <f>IF(AND(G307&gt;0,E307=0),"WARNING - no PRICE inserted",IF(H307="free"," FREE ~ no charge this plant",IF(H307="credit",CONCATENATE(" -$",ROUND(K307*(1-T2GDiscount)*-1,2)," CREDIT after discount"),IF(T2GDiscount=0,"",IF(G307=0,"",IF(F307="Buy",CONCATENATE(" $",ROUND(K307*(1-T2GDiscount),2)," with ",(T2GDiscount*100),"% discount"),CONCATENATE(" $",ROUND(K307*(1-T2GDiscount),2)," with ",((T2GDiscount*100+F307*100)-(T2GDiscount*100*F307)),IF(F307&gt;0,"% discounts",IF(NoWarrantyDiscount&gt;0,"% discounts","% discount")))))))))</f>
        <v/>
      </c>
      <c r="N307" s="660"/>
      <c r="O307" s="233"/>
      <c r="P307" s="233"/>
      <c r="Q307" s="233"/>
      <c r="R307" s="233"/>
      <c r="S307" s="233"/>
      <c r="T307" s="508">
        <f t="shared" si="188"/>
        <v>0</v>
      </c>
      <c r="U307" s="225">
        <f>IF(NOT(ISNUMBER(G307)), "", VLOOKUP(A307,'Discount Lookup'!D:E,2,FALSE)*G307)</f>
        <v>0</v>
      </c>
      <c r="V307" s="225">
        <f>IF(NOT(ISNUMBER(G307)), "", VLOOKUP(A307,'Discount Lookup'!G:H,2,FALSE)*G307)</f>
        <v>0</v>
      </c>
      <c r="W307" s="508">
        <f t="shared" si="189"/>
        <v>0</v>
      </c>
      <c r="X307" s="508">
        <f t="shared" si="190"/>
        <v>0</v>
      </c>
      <c r="Y307" s="509" t="b">
        <f t="shared" si="191"/>
        <v>0</v>
      </c>
      <c r="Z307" s="510">
        <f t="shared" si="192"/>
        <v>0</v>
      </c>
      <c r="AA307" s="511"/>
      <c r="AB307" s="511" t="str">
        <f t="shared" si="193"/>
        <v/>
      </c>
      <c r="AC307" s="698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698"/>
      <c r="AE307" s="631" t="str">
        <f t="shared" si="194"/>
        <v/>
      </c>
      <c r="AF307" s="699" t="str">
        <f t="shared" si="195"/>
        <v/>
      </c>
      <c r="AG307" s="699"/>
      <c r="AH307" s="699"/>
      <c r="AI307" s="512">
        <f>IF(H307="credit",0,IF(AE307="free",0,IF(AE307="me",0,IF(G307&gt;0,(VLOOKUP(A307,'Discount Lookup'!J:K,2)*G307),0))))</f>
        <v>0</v>
      </c>
      <c r="AJ307" s="513" t="str">
        <f t="shared" ca="1" si="196"/>
        <v/>
      </c>
      <c r="AK307" s="700" t="str">
        <f t="shared" si="197"/>
        <v/>
      </c>
      <c r="AL307" s="700"/>
      <c r="AM307" s="505" t="str">
        <f t="shared" si="198"/>
        <v/>
      </c>
      <c r="AN307" s="506"/>
      <c r="AO307" s="507"/>
      <c r="AP307" s="507"/>
      <c r="AQ307" s="507"/>
      <c r="AR307" s="507"/>
      <c r="AS307" s="507"/>
      <c r="AT307" s="507"/>
      <c r="AU307" s="507"/>
      <c r="AV307" s="225"/>
      <c r="AW307" s="508"/>
      <c r="AX307" s="225"/>
      <c r="AY307" s="225"/>
      <c r="AZ307" s="225"/>
      <c r="BA307" s="225"/>
      <c r="BB307" s="225"/>
      <c r="BC307" s="56"/>
      <c r="BD307" s="56"/>
      <c r="BE307" s="56"/>
      <c r="BF307" s="107" t="str">
        <f t="shared" si="199"/>
        <v>https://www.google.com/search?tbm=isch&amp;q=3%20G5</v>
      </c>
      <c r="BG307" s="107" t="str">
        <f t="shared" si="200"/>
        <v>B</v>
      </c>
      <c r="BH307" s="254"/>
      <c r="BI307" s="254"/>
    </row>
    <row r="308" spans="1:61" customFormat="1" ht="17.25" thickBot="1" x14ac:dyDescent="0.3">
      <c r="A308" s="522" t="s">
        <v>2663</v>
      </c>
      <c r="B308" s="491"/>
      <c r="C308" s="675"/>
      <c r="D308" s="491"/>
      <c r="E308" s="491"/>
      <c r="F308" s="492"/>
      <c r="G308" s="493"/>
      <c r="H308" s="491"/>
      <c r="I308" s="234"/>
      <c r="J308" s="234"/>
      <c r="K308" s="494"/>
      <c r="L308" s="543"/>
      <c r="M308" s="561"/>
      <c r="N308" s="495"/>
      <c r="O308" s="496"/>
      <c r="P308" s="497"/>
      <c r="Q308" s="495"/>
      <c r="R308" s="495"/>
      <c r="S308" s="667" t="s">
        <v>4982</v>
      </c>
      <c r="T308" s="508">
        <f t="shared" si="188"/>
        <v>0</v>
      </c>
      <c r="U308" s="225" t="str">
        <f>IF(NOT(ISNUMBER(G308)), "", VLOOKUP(A308,'Discount Lookup'!D:E,2,FALSE)*G308)</f>
        <v/>
      </c>
      <c r="V308" s="225" t="str">
        <f>IF(NOT(ISNUMBER(G308)), "", VLOOKUP(A308,'Discount Lookup'!G:H,2,FALSE)*G308)</f>
        <v/>
      </c>
      <c r="W308" s="508">
        <f t="shared" si="189"/>
        <v>0</v>
      </c>
      <c r="X308" s="508">
        <f t="shared" si="190"/>
        <v>0</v>
      </c>
      <c r="Y308" s="509" t="b">
        <f t="shared" si="191"/>
        <v>0</v>
      </c>
      <c r="Z308" s="510">
        <f t="shared" si="192"/>
        <v>0</v>
      </c>
      <c r="AA308" s="511"/>
      <c r="AB308" s="511" t="str">
        <f t="shared" si="193"/>
        <v/>
      </c>
      <c r="AC308" s="698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698"/>
      <c r="AE308" s="631" t="str">
        <f t="shared" si="194"/>
        <v/>
      </c>
      <c r="AF308" s="699" t="str">
        <f t="shared" si="195"/>
        <v/>
      </c>
      <c r="AG308" s="699"/>
      <c r="AH308" s="699"/>
      <c r="AI308" s="512">
        <f>IF(H308="credit",0,IF(AE308="free",0,IF(AE308="me",0,IF(G308&gt;0,(VLOOKUP(A308,'Discount Lookup'!J:K,2)*G308),0))))</f>
        <v>0</v>
      </c>
      <c r="AJ308" s="513" t="str">
        <f t="shared" ca="1" si="196"/>
        <v/>
      </c>
      <c r="AK308" s="700" t="str">
        <f t="shared" si="197"/>
        <v/>
      </c>
      <c r="AL308" s="700"/>
      <c r="AM308" s="505" t="str">
        <f t="shared" si="198"/>
        <v/>
      </c>
      <c r="AN308" s="506"/>
      <c r="AO308" s="507"/>
      <c r="AP308" s="507"/>
      <c r="AQ308" s="507"/>
      <c r="AR308" s="507"/>
      <c r="AS308" s="507"/>
      <c r="AT308" s="507"/>
      <c r="AU308" s="507"/>
      <c r="AV308" s="225"/>
      <c r="AW308" s="508"/>
      <c r="AX308" s="225"/>
      <c r="AY308" s="225"/>
      <c r="AZ308" s="225"/>
      <c r="BA308" s="225"/>
      <c r="BB308" s="225"/>
      <c r="BC308" s="56"/>
      <c r="BD308" s="56"/>
      <c r="BE308" s="56"/>
      <c r="BF308" s="107" t="str">
        <f t="shared" si="199"/>
        <v>https://www.google.com/search?tbm=isch&amp;q=Bar%20Harbor%20is%20a%20cold-hardy%2C%20mat-forming%20male.%20Soft%20foliage%20turns%20Purplish%20in%20winter.%20Sun%2Fheat%2Fdrought%20tolerant%20</v>
      </c>
      <c r="BG308" s="107" t="str">
        <f t="shared" si="200"/>
        <v>B</v>
      </c>
      <c r="BH308" s="254"/>
      <c r="BI308" s="254"/>
    </row>
    <row r="309" spans="1:61" customFormat="1" ht="18" x14ac:dyDescent="0.25">
      <c r="A309" s="521" t="s">
        <v>4285</v>
      </c>
      <c r="B309" s="477"/>
      <c r="C309" s="674"/>
      <c r="D309" s="478" t="s">
        <v>4286</v>
      </c>
      <c r="E309" s="479"/>
      <c r="F309" s="479"/>
      <c r="G309" s="479"/>
      <c r="H309" s="582" t="s">
        <v>720</v>
      </c>
      <c r="I309" s="480" t="s">
        <v>2628</v>
      </c>
      <c r="J309" s="479"/>
      <c r="K309" s="479"/>
      <c r="L309" s="560"/>
      <c r="M309" s="666" t="s">
        <v>4963</v>
      </c>
      <c r="N309" s="680" t="str">
        <f>IF(AND(ISTEXT($A309), ISERROR($A309+0)), HYPERLINK($BF309, "Images"), "")</f>
        <v>Images</v>
      </c>
      <c r="O309" s="662" t="s">
        <v>4969</v>
      </c>
      <c r="P309" s="482"/>
      <c r="Q309" s="483"/>
      <c r="R309" s="483"/>
      <c r="S309" s="484"/>
      <c r="T309" s="508">
        <f t="shared" si="188"/>
        <v>0</v>
      </c>
      <c r="U309" s="225" t="str">
        <f>IF(NOT(ISNUMBER(G309)), "", VLOOKUP(A309,'Discount Lookup'!D:E,2,FALSE)*G309)</f>
        <v/>
      </c>
      <c r="V309" s="225" t="str">
        <f>IF(NOT(ISNUMBER(G309)), "", VLOOKUP(A309,'Discount Lookup'!G:H,2,FALSE)*G309)</f>
        <v/>
      </c>
      <c r="W309" s="508">
        <f t="shared" si="189"/>
        <v>0</v>
      </c>
      <c r="X309" s="508" t="str">
        <f t="shared" si="190"/>
        <v>Blue-Gray foliage</v>
      </c>
      <c r="Y309" s="509" t="b">
        <f t="shared" si="191"/>
        <v>0</v>
      </c>
      <c r="Z309" s="510">
        <f t="shared" si="192"/>
        <v>0</v>
      </c>
      <c r="AA309" s="511"/>
      <c r="AB309" s="511" t="str">
        <f t="shared" si="193"/>
        <v/>
      </c>
      <c r="AC309" s="698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698"/>
      <c r="AE309" s="631" t="str">
        <f t="shared" si="194"/>
        <v/>
      </c>
      <c r="AF309" s="699" t="str">
        <f t="shared" si="195"/>
        <v/>
      </c>
      <c r="AG309" s="699"/>
      <c r="AH309" s="699"/>
      <c r="AI309" s="512">
        <f>IF(H309="credit",0,IF(AE309="free",0,IF(AE309="me",0,IF(G309&gt;0,(VLOOKUP(A309,'Discount Lookup'!J:K,2)*G309),0))))</f>
        <v>0</v>
      </c>
      <c r="AJ309" s="513" t="str">
        <f t="shared" ca="1" si="196"/>
        <v/>
      </c>
      <c r="AK309" s="700" t="str">
        <f t="shared" si="197"/>
        <v/>
      </c>
      <c r="AL309" s="700"/>
      <c r="AM309" s="505" t="str">
        <f t="shared" si="198"/>
        <v/>
      </c>
      <c r="AN309" s="506"/>
      <c r="AO309" s="507"/>
      <c r="AP309" s="507"/>
      <c r="AQ309" s="507"/>
      <c r="AR309" s="507"/>
      <c r="AS309" s="507"/>
      <c r="AT309" s="507"/>
      <c r="AU309" s="507"/>
      <c r="AV309" s="225"/>
      <c r="AW309" s="508"/>
      <c r="AX309" s="225"/>
      <c r="AY309" s="225"/>
      <c r="AZ309" s="225"/>
      <c r="BA309" s="225"/>
      <c r="BB309" s="225"/>
      <c r="BC309" s="56"/>
      <c r="BD309" s="56"/>
      <c r="BE309" s="56"/>
      <c r="BF309" s="107" t="str">
        <f t="shared" si="199"/>
        <v>https://www.google.com/search?tbm=isch&amp;q=Barrell%20Agave%20Agave%20parryi%20var.%20truncata</v>
      </c>
      <c r="BG309" s="107" t="str">
        <f t="shared" si="200"/>
        <v>B</v>
      </c>
      <c r="BH309" s="254"/>
      <c r="BI309" s="254"/>
    </row>
    <row r="310" spans="1:61" customFormat="1" ht="15.75" x14ac:dyDescent="0.25">
      <c r="A310" s="485">
        <v>3</v>
      </c>
      <c r="B310" s="486" t="s">
        <v>291</v>
      </c>
      <c r="C310" s="487" t="s">
        <v>4734</v>
      </c>
      <c r="D310" s="488" t="s">
        <v>292</v>
      </c>
      <c r="E310" s="489">
        <v>51.95</v>
      </c>
      <c r="F310" s="516" t="s">
        <v>293</v>
      </c>
      <c r="G310" s="232">
        <v>0</v>
      </c>
      <c r="H310" s="658" t="str">
        <f>IF(G310=0,"",IF(F310="Buy",IF(G310=1,"plant","plants"),IF(F310&gt;0.01,"warranty","Error")))</f>
        <v/>
      </c>
      <c r="I310" s="490">
        <f>IF(H310="free",0,IF(H310="credit",((E310*(F310))*G310*-1),IF(F310="Buy",(E310*G310),((E310*(1-F310))*G310))))</f>
        <v>0</v>
      </c>
      <c r="J310" s="490">
        <f>IF(H310="warranty",0,(I310*(_xlfn.SINGLE(SalesTaxPercentage))))</f>
        <v>0</v>
      </c>
      <c r="K310" s="695">
        <f t="shared" ref="K310" si="218">I310+J310</f>
        <v>0</v>
      </c>
      <c r="L310" s="695"/>
      <c r="M310" s="659" t="str">
        <f>IF(AND(G310&gt;0,E310=0),"WARNING - no PRICE inserted",IF(H310="free"," FREE ~ no charge this plant",IF(H310="credit",CONCATENATE(" -$",ROUND(K310*(1-T2GDiscount)*-1,2)," CREDIT after discount"),IF(T2GDiscount=0,"",IF(G310=0,"",IF(F310="Buy",CONCATENATE(" $",ROUND(K310*(1-T2GDiscount),2)," with ",(T2GDiscount*100),"% discount"),CONCATENATE(" $",ROUND(K310*(1-T2GDiscount),2)," with ",((T2GDiscount*100+F310*100)-(T2GDiscount*100*F310)),IF(F310&gt;0,"% discounts",IF(NoWarrantyDiscount&gt;0,"% discounts","% discount")))))))))</f>
        <v/>
      </c>
      <c r="N310" s="660"/>
      <c r="O310" s="233"/>
      <c r="P310" s="233"/>
      <c r="Q310" s="233"/>
      <c r="R310" s="233"/>
      <c r="S310" s="233"/>
      <c r="T310" s="508">
        <f t="shared" si="188"/>
        <v>0</v>
      </c>
      <c r="U310" s="225">
        <f>IF(NOT(ISNUMBER(G310)), "", VLOOKUP(A310,'Discount Lookup'!D:E,2,FALSE)*G310)</f>
        <v>0</v>
      </c>
      <c r="V310" s="225">
        <f>IF(NOT(ISNUMBER(G310)), "", VLOOKUP(A310,'Discount Lookup'!G:H,2,FALSE)*G310)</f>
        <v>0</v>
      </c>
      <c r="W310" s="508">
        <f t="shared" si="189"/>
        <v>0</v>
      </c>
      <c r="X310" s="508">
        <f t="shared" si="190"/>
        <v>0</v>
      </c>
      <c r="Y310" s="509" t="b">
        <f t="shared" si="191"/>
        <v>0</v>
      </c>
      <c r="Z310" s="510">
        <f t="shared" si="192"/>
        <v>0</v>
      </c>
      <c r="AA310" s="511"/>
      <c r="AB310" s="511" t="str">
        <f t="shared" si="193"/>
        <v/>
      </c>
      <c r="AC310" s="698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698"/>
      <c r="AE310" s="631" t="str">
        <f t="shared" si="194"/>
        <v/>
      </c>
      <c r="AF310" s="699" t="str">
        <f t="shared" si="195"/>
        <v/>
      </c>
      <c r="AG310" s="699"/>
      <c r="AH310" s="699"/>
      <c r="AI310" s="512">
        <f>IF(H310="credit",0,IF(AE310="free",0,IF(AE310="me",0,IF(G310&gt;0,(VLOOKUP(A310,'Discount Lookup'!J:K,2)*G310),0))))</f>
        <v>0</v>
      </c>
      <c r="AJ310" s="513" t="str">
        <f t="shared" ca="1" si="196"/>
        <v/>
      </c>
      <c r="AK310" s="700" t="str">
        <f t="shared" si="197"/>
        <v/>
      </c>
      <c r="AL310" s="700"/>
      <c r="AM310" s="505" t="str">
        <f t="shared" si="198"/>
        <v/>
      </c>
      <c r="AN310" s="506"/>
      <c r="AO310" s="507"/>
      <c r="AP310" s="507"/>
      <c r="AQ310" s="507"/>
      <c r="AR310" s="507"/>
      <c r="AS310" s="507"/>
      <c r="AT310" s="507"/>
      <c r="AU310" s="507"/>
      <c r="AV310" s="225"/>
      <c r="AW310" s="508"/>
      <c r="AX310" s="225"/>
      <c r="AY310" s="225"/>
      <c r="AZ310" s="225"/>
      <c r="BA310" s="225"/>
      <c r="BB310" s="225"/>
      <c r="BC310" s="56"/>
      <c r="BD310" s="56"/>
      <c r="BE310" s="56"/>
      <c r="BF310" s="107" t="str">
        <f t="shared" si="199"/>
        <v>https://www.google.com/search?tbm=isch&amp;q=3%20G4</v>
      </c>
      <c r="BG310" s="107" t="str">
        <f t="shared" si="200"/>
        <v>B</v>
      </c>
      <c r="BH310" s="254"/>
      <c r="BI310" s="254"/>
    </row>
    <row r="311" spans="1:61" customFormat="1" ht="16.5" thickBot="1" x14ac:dyDescent="0.3">
      <c r="A311" s="522" t="s">
        <v>4287</v>
      </c>
      <c r="B311" s="491"/>
      <c r="C311" s="675"/>
      <c r="D311" s="491"/>
      <c r="E311" s="491"/>
      <c r="F311" s="492"/>
      <c r="G311" s="493"/>
      <c r="H311" s="491"/>
      <c r="I311" s="234"/>
      <c r="J311" s="234"/>
      <c r="K311" s="494"/>
      <c r="L311" s="543"/>
      <c r="M311" s="561"/>
      <c r="N311" s="495"/>
      <c r="O311" s="496"/>
      <c r="P311" s="497"/>
      <c r="Q311" s="495"/>
      <c r="R311" s="495"/>
      <c r="S311" s="667" t="s">
        <v>4968</v>
      </c>
      <c r="T311" s="508">
        <f t="shared" si="188"/>
        <v>0</v>
      </c>
      <c r="U311" s="225" t="str">
        <f>IF(NOT(ISNUMBER(G311)), "", VLOOKUP(A311,'Discount Lookup'!D:E,2,FALSE)*G311)</f>
        <v/>
      </c>
      <c r="V311" s="225" t="str">
        <f>IF(NOT(ISNUMBER(G311)), "", VLOOKUP(A311,'Discount Lookup'!G:H,2,FALSE)*G311)</f>
        <v/>
      </c>
      <c r="W311" s="508">
        <f t="shared" si="189"/>
        <v>0</v>
      </c>
      <c r="X311" s="508">
        <f t="shared" si="190"/>
        <v>0</v>
      </c>
      <c r="Y311" s="509" t="b">
        <f t="shared" si="191"/>
        <v>0</v>
      </c>
      <c r="Z311" s="510">
        <f t="shared" si="192"/>
        <v>0</v>
      </c>
      <c r="AA311" s="511"/>
      <c r="AB311" s="511" t="str">
        <f t="shared" si="193"/>
        <v/>
      </c>
      <c r="AC311" s="698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698"/>
      <c r="AE311" s="631" t="str">
        <f t="shared" si="194"/>
        <v/>
      </c>
      <c r="AF311" s="699" t="str">
        <f t="shared" si="195"/>
        <v/>
      </c>
      <c r="AG311" s="699"/>
      <c r="AH311" s="699"/>
      <c r="AI311" s="512">
        <f>IF(H311="credit",0,IF(AE311="free",0,IF(AE311="me",0,IF(G311&gt;0,(VLOOKUP(A311,'Discount Lookup'!J:K,2)*G311),0))))</f>
        <v>0</v>
      </c>
      <c r="AJ311" s="513" t="str">
        <f t="shared" ca="1" si="196"/>
        <v/>
      </c>
      <c r="AK311" s="700" t="str">
        <f t="shared" si="197"/>
        <v/>
      </c>
      <c r="AL311" s="700"/>
      <c r="AM311" s="505" t="str">
        <f t="shared" si="198"/>
        <v/>
      </c>
      <c r="AN311" s="506"/>
      <c r="AO311" s="507"/>
      <c r="AP311" s="507"/>
      <c r="AQ311" s="507"/>
      <c r="AR311" s="507"/>
      <c r="AS311" s="507"/>
      <c r="AT311" s="507"/>
      <c r="AU311" s="507"/>
      <c r="AV311" s="225"/>
      <c r="AW311" s="508"/>
      <c r="AX311" s="225"/>
      <c r="AY311" s="225"/>
      <c r="AZ311" s="225"/>
      <c r="BA311" s="225"/>
      <c r="BB311" s="225"/>
      <c r="BC311" s="56"/>
      <c r="BD311" s="56"/>
      <c r="BE311" s="56"/>
      <c r="BF311" s="107" t="str">
        <f t="shared" si="199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11" s="107" t="str">
        <f t="shared" si="200"/>
        <v>B</v>
      </c>
      <c r="BH311" s="254"/>
      <c r="BI311" s="254"/>
    </row>
    <row r="312" spans="1:61" customFormat="1" ht="18" x14ac:dyDescent="0.25">
      <c r="A312" s="523" t="s">
        <v>557</v>
      </c>
      <c r="B312" s="235"/>
      <c r="C312" s="676"/>
      <c r="D312" s="255" t="s">
        <v>556</v>
      </c>
      <c r="E312" s="236"/>
      <c r="F312" s="236"/>
      <c r="G312" s="236"/>
      <c r="H312" s="582" t="s">
        <v>720</v>
      </c>
      <c r="I312" s="498" t="s">
        <v>1365</v>
      </c>
      <c r="J312" s="237"/>
      <c r="K312" s="237"/>
      <c r="L312" s="274"/>
      <c r="M312" s="668" t="s">
        <v>4962</v>
      </c>
      <c r="N312" s="681" t="str">
        <f>IF(AND(ISTEXT($A312), ISERROR($A312+0)), HYPERLINK($BF312, "Images"), "")</f>
        <v>Images</v>
      </c>
      <c r="O312" s="663" t="s">
        <v>4967</v>
      </c>
      <c r="P312" s="253"/>
      <c r="Q312" s="238"/>
      <c r="R312" s="239"/>
      <c r="S312" s="275"/>
      <c r="T312" s="508">
        <f t="shared" si="188"/>
        <v>0</v>
      </c>
      <c r="U312" s="225" t="str">
        <f>IF(NOT(ISNUMBER(G312)), "", VLOOKUP(A312,'Discount Lookup'!D:E,2,FALSE)*G312)</f>
        <v/>
      </c>
      <c r="V312" s="225" t="str">
        <f>IF(NOT(ISNUMBER(G312)), "", VLOOKUP(A312,'Discount Lookup'!G:H,2,FALSE)*G312)</f>
        <v/>
      </c>
      <c r="W312" s="508">
        <f t="shared" si="189"/>
        <v>0</v>
      </c>
      <c r="X312" s="508" t="str">
        <f t="shared" si="190"/>
        <v>Lemon-Yellow bloom</v>
      </c>
      <c r="Y312" s="509" t="b">
        <f t="shared" si="191"/>
        <v>0</v>
      </c>
      <c r="Z312" s="510">
        <f t="shared" si="192"/>
        <v>0</v>
      </c>
      <c r="AA312" s="511"/>
      <c r="AB312" s="511" t="str">
        <f t="shared" si="193"/>
        <v/>
      </c>
      <c r="AC312" s="698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698"/>
      <c r="AE312" s="631" t="str">
        <f t="shared" si="194"/>
        <v/>
      </c>
      <c r="AF312" s="699" t="str">
        <f t="shared" si="195"/>
        <v/>
      </c>
      <c r="AG312" s="699"/>
      <c r="AH312" s="699"/>
      <c r="AI312" s="512">
        <f>IF(H312="credit",0,IF(AE312="free",0,IF(AE312="me",0,IF(G312&gt;0,(VLOOKUP(A312,'Discount Lookup'!J:K,2)*G312),0))))</f>
        <v>0</v>
      </c>
      <c r="AJ312" s="513" t="str">
        <f t="shared" ca="1" si="196"/>
        <v/>
      </c>
      <c r="AK312" s="700" t="str">
        <f t="shared" si="197"/>
        <v/>
      </c>
      <c r="AL312" s="700"/>
      <c r="AM312" s="505" t="str">
        <f t="shared" si="198"/>
        <v/>
      </c>
      <c r="AN312" s="506"/>
      <c r="AO312" s="507"/>
      <c r="AP312" s="507"/>
      <c r="AQ312" s="507"/>
      <c r="AR312" s="507"/>
      <c r="AS312" s="507"/>
      <c r="AT312" s="507"/>
      <c r="AU312" s="507"/>
      <c r="AV312" s="225"/>
      <c r="AW312" s="508"/>
      <c r="AX312" s="225"/>
      <c r="AY312" s="225"/>
      <c r="AZ312" s="225"/>
      <c r="BA312" s="225"/>
      <c r="BB312" s="225"/>
      <c r="BC312" s="56"/>
      <c r="BD312" s="56"/>
      <c r="BE312" s="56"/>
      <c r="BF312" s="107" t="str">
        <f t="shared" si="199"/>
        <v>https://www.google.com/search?tbm=isch&amp;q=Bartzella%20Itoh%20Peony%20Paeonia%20%27Bartzella%27</v>
      </c>
      <c r="BG312" s="107" t="str">
        <f t="shared" si="200"/>
        <v>B</v>
      </c>
      <c r="BH312" s="254"/>
      <c r="BI312" s="254"/>
    </row>
    <row r="313" spans="1:61" customFormat="1" ht="15.75" x14ac:dyDescent="0.25">
      <c r="A313" s="276">
        <v>3</v>
      </c>
      <c r="B313" s="240" t="s">
        <v>291</v>
      </c>
      <c r="C313" s="241"/>
      <c r="D313" s="242" t="s">
        <v>312</v>
      </c>
      <c r="E313" s="243">
        <v>55.95</v>
      </c>
      <c r="F313" s="517" t="s">
        <v>293</v>
      </c>
      <c r="G313" s="232">
        <v>0</v>
      </c>
      <c r="H313" s="661" t="str">
        <f>IF(G313=0,"",IF(F313="Buy",IF(G313=1,"plant","plants"),IF(F313&gt;0.01,"warranty","Error")))</f>
        <v/>
      </c>
      <c r="I313" s="244">
        <f>IF(H313="free",0,IF(H313="credit",((E313*(F313))*G313*-1),IF(F313="Buy",(E313*G313),((E313*(1-F313))*G313))))</f>
        <v>0</v>
      </c>
      <c r="J313" s="244">
        <f>IF(H313="warranty",0,(I313*(_xlfn.SINGLE(SalesTaxPercentage))))</f>
        <v>0</v>
      </c>
      <c r="K313" s="696">
        <f t="shared" ref="K313" si="219">I313+J313</f>
        <v>0</v>
      </c>
      <c r="L313" s="696"/>
      <c r="M313" s="659" t="str">
        <f>IF(AND(G313&gt;0,E313=0),"WARNING - no PRICE inserted",IF(H313="free"," FREE ~ no charge this plant",IF(H313="credit",CONCATENATE(" -$",ROUND(K313*(1-T2GDiscount)*-1,2)," CREDIT after discount"),IF(T2GDiscount=0,"",IF(G313=0,"",IF(F313="Buy",CONCATENATE(" $",ROUND(K313*(1-T2GDiscount),2)," with ",(T2GDiscount*100),"% discount"),CONCATENATE(" $",ROUND(K313*(1-T2GDiscount),2)," with ",((T2GDiscount*100+F313*100)-(T2GDiscount*100*F313)),IF(F313&gt;0,"% discounts",IF(NoWarrantyDiscount&gt;0,"% discounts","% discount")))))))))</f>
        <v/>
      </c>
      <c r="N313" s="660"/>
      <c r="O313" s="233"/>
      <c r="P313" s="233"/>
      <c r="Q313" s="233"/>
      <c r="R313" s="233"/>
      <c r="S313" s="233"/>
      <c r="T313" s="508">
        <f t="shared" si="188"/>
        <v>0</v>
      </c>
      <c r="U313" s="225">
        <f>IF(NOT(ISNUMBER(G313)), "", VLOOKUP(A313,'Discount Lookup'!D:E,2,FALSE)*G313)</f>
        <v>0</v>
      </c>
      <c r="V313" s="225">
        <f>IF(NOT(ISNUMBER(G313)), "", VLOOKUP(A313,'Discount Lookup'!G:H,2,FALSE)*G313)</f>
        <v>0</v>
      </c>
      <c r="W313" s="508">
        <f t="shared" si="189"/>
        <v>0</v>
      </c>
      <c r="X313" s="508">
        <f t="shared" si="190"/>
        <v>0</v>
      </c>
      <c r="Y313" s="509" t="b">
        <f t="shared" si="191"/>
        <v>0</v>
      </c>
      <c r="Z313" s="510">
        <f t="shared" si="192"/>
        <v>0</v>
      </c>
      <c r="AA313" s="511"/>
      <c r="AB313" s="511" t="str">
        <f t="shared" si="193"/>
        <v/>
      </c>
      <c r="AC313" s="698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698"/>
      <c r="AE313" s="631" t="str">
        <f t="shared" si="194"/>
        <v/>
      </c>
      <c r="AF313" s="699" t="str">
        <f t="shared" si="195"/>
        <v/>
      </c>
      <c r="AG313" s="699"/>
      <c r="AH313" s="699"/>
      <c r="AI313" s="512">
        <f>IF(H313="credit",0,IF(AE313="free",0,IF(AE313="me",0,IF(G313&gt;0,(VLOOKUP(A313,'Discount Lookup'!J:K,2)*G313),0))))</f>
        <v>0</v>
      </c>
      <c r="AJ313" s="513" t="str">
        <f t="shared" ca="1" si="196"/>
        <v/>
      </c>
      <c r="AK313" s="700" t="str">
        <f t="shared" si="197"/>
        <v/>
      </c>
      <c r="AL313" s="700"/>
      <c r="AM313" s="505" t="str">
        <f t="shared" si="198"/>
        <v/>
      </c>
      <c r="AN313" s="506"/>
      <c r="AO313" s="507"/>
      <c r="AP313" s="507"/>
      <c r="AQ313" s="507"/>
      <c r="AR313" s="507"/>
      <c r="AS313" s="507"/>
      <c r="AT313" s="507"/>
      <c r="AU313" s="507"/>
      <c r="AV313" s="225"/>
      <c r="AW313" s="508"/>
      <c r="AX313" s="225"/>
      <c r="AY313" s="225"/>
      <c r="AZ313" s="225"/>
      <c r="BA313" s="225"/>
      <c r="BB313" s="225"/>
      <c r="BC313" s="56"/>
      <c r="BD313" s="56"/>
      <c r="BE313" s="56"/>
      <c r="BF313" s="107" t="str">
        <f t="shared" si="199"/>
        <v>https://www.google.com/search?tbm=isch&amp;q=3%20G2</v>
      </c>
      <c r="BG313" s="107" t="str">
        <f t="shared" si="200"/>
        <v>B</v>
      </c>
      <c r="BH313" s="254"/>
      <c r="BI313" s="254"/>
    </row>
    <row r="314" spans="1:61" customFormat="1" ht="17.25" thickBot="1" x14ac:dyDescent="0.3">
      <c r="A314" s="524" t="s">
        <v>4468</v>
      </c>
      <c r="B314" s="245"/>
      <c r="C314" s="677"/>
      <c r="D314" s="499"/>
      <c r="E314" s="499"/>
      <c r="F314" s="500"/>
      <c r="G314" s="501"/>
      <c r="H314" s="502"/>
      <c r="I314" s="246"/>
      <c r="J314" s="247"/>
      <c r="K314" s="503"/>
      <c r="L314" s="544"/>
      <c r="M314" s="544"/>
      <c r="N314" s="500"/>
      <c r="O314" s="500"/>
      <c r="P314" s="500"/>
      <c r="Q314" s="500"/>
      <c r="R314" s="500"/>
      <c r="S314" s="669" t="s">
        <v>4992</v>
      </c>
      <c r="T314" s="508">
        <f t="shared" si="188"/>
        <v>0</v>
      </c>
      <c r="U314" s="225" t="str">
        <f>IF(NOT(ISNUMBER(G314)), "", VLOOKUP(A314,'Discount Lookup'!D:E,2,FALSE)*G314)</f>
        <v/>
      </c>
      <c r="V314" s="225" t="str">
        <f>IF(NOT(ISNUMBER(G314)), "", VLOOKUP(A314,'Discount Lookup'!G:H,2,FALSE)*G314)</f>
        <v/>
      </c>
      <c r="W314" s="508">
        <f t="shared" si="189"/>
        <v>0</v>
      </c>
      <c r="X314" s="508">
        <f t="shared" si="190"/>
        <v>0</v>
      </c>
      <c r="Y314" s="509" t="b">
        <f t="shared" si="191"/>
        <v>0</v>
      </c>
      <c r="Z314" s="510">
        <f t="shared" si="192"/>
        <v>0</v>
      </c>
      <c r="AA314" s="511"/>
      <c r="AB314" s="511" t="str">
        <f t="shared" si="193"/>
        <v/>
      </c>
      <c r="AC314" s="698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698"/>
      <c r="AE314" s="631" t="str">
        <f t="shared" si="194"/>
        <v/>
      </c>
      <c r="AF314" s="699" t="str">
        <f t="shared" si="195"/>
        <v/>
      </c>
      <c r="AG314" s="699"/>
      <c r="AH314" s="699"/>
      <c r="AI314" s="512">
        <f>IF(H314="credit",0,IF(AE314="free",0,IF(AE314="me",0,IF(G314&gt;0,(VLOOKUP(A314,'Discount Lookup'!J:K,2)*G314),0))))</f>
        <v>0</v>
      </c>
      <c r="AJ314" s="513" t="str">
        <f t="shared" ca="1" si="196"/>
        <v/>
      </c>
      <c r="AK314" s="700" t="str">
        <f t="shared" si="197"/>
        <v/>
      </c>
      <c r="AL314" s="700"/>
      <c r="AM314" s="505" t="str">
        <f t="shared" si="198"/>
        <v/>
      </c>
      <c r="AN314" s="506"/>
      <c r="AO314" s="507"/>
      <c r="AP314" s="507"/>
      <c r="AQ314" s="507"/>
      <c r="AR314" s="507"/>
      <c r="AS314" s="507"/>
      <c r="AT314" s="507"/>
      <c r="AU314" s="507"/>
      <c r="AV314" s="225"/>
      <c r="AW314" s="508"/>
      <c r="AX314" s="225"/>
      <c r="AY314" s="225"/>
      <c r="AZ314" s="225"/>
      <c r="BA314" s="225"/>
      <c r="BB314" s="225"/>
      <c r="BC314" s="56"/>
      <c r="BD314" s="56"/>
      <c r="BE314" s="56"/>
      <c r="BF314" s="107" t="str">
        <f t="shared" si="199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14" s="107" t="str">
        <f t="shared" si="200"/>
        <v>B</v>
      </c>
      <c r="BH314" s="254"/>
      <c r="BI314" s="254"/>
    </row>
    <row r="315" spans="1:61" customFormat="1" ht="18" x14ac:dyDescent="0.25">
      <c r="A315" s="521" t="s">
        <v>5345</v>
      </c>
      <c r="B315" s="477"/>
      <c r="C315" s="674"/>
      <c r="D315" s="478" t="s">
        <v>468</v>
      </c>
      <c r="E315" s="479"/>
      <c r="F315" s="479"/>
      <c r="G315" s="479"/>
      <c r="H315" s="582" t="s">
        <v>720</v>
      </c>
      <c r="I315" s="480" t="s">
        <v>2092</v>
      </c>
      <c r="J315" s="479"/>
      <c r="K315" s="479"/>
      <c r="L315" s="560"/>
      <c r="M315" s="666" t="s">
        <v>4966</v>
      </c>
      <c r="N315" s="680" t="str">
        <f>IF(AND(ISTEXT($A315), ISERROR($A315+0)), HYPERLINK($BF315, "Images"), "")</f>
        <v>Images</v>
      </c>
      <c r="O315" s="662" t="s">
        <v>4969</v>
      </c>
      <c r="P315" s="482"/>
      <c r="Q315" s="483"/>
      <c r="R315" s="483"/>
      <c r="S315" s="484"/>
      <c r="T315" s="508">
        <f t="shared" si="188"/>
        <v>0</v>
      </c>
      <c r="U315" s="225" t="str">
        <f>IF(NOT(ISNUMBER(G315)), "", VLOOKUP(A315,'Discount Lookup'!D:E,2,FALSE)*G315)</f>
        <v/>
      </c>
      <c r="V315" s="225" t="str">
        <f>IF(NOT(ISNUMBER(G315)), "", VLOOKUP(A315,'Discount Lookup'!G:H,2,FALSE)*G315)</f>
        <v/>
      </c>
      <c r="W315" s="508">
        <f t="shared" si="189"/>
        <v>0</v>
      </c>
      <c r="X315" s="508" t="str">
        <f t="shared" si="190"/>
        <v>Blue-Green foliage</v>
      </c>
      <c r="Y315" s="509" t="b">
        <f t="shared" si="191"/>
        <v>0</v>
      </c>
      <c r="Z315" s="510">
        <f t="shared" si="192"/>
        <v>0</v>
      </c>
      <c r="AA315" s="511"/>
      <c r="AB315" s="511" t="str">
        <f t="shared" si="193"/>
        <v/>
      </c>
      <c r="AC315" s="698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698"/>
      <c r="AE315" s="631" t="str">
        <f t="shared" si="194"/>
        <v/>
      </c>
      <c r="AF315" s="699" t="str">
        <f t="shared" si="195"/>
        <v/>
      </c>
      <c r="AG315" s="699"/>
      <c r="AH315" s="699"/>
      <c r="AI315" s="512">
        <f>IF(H315="credit",0,IF(AE315="free",0,IF(AE315="me",0,IF(G315&gt;0,(VLOOKUP(A315,'Discount Lookup'!J:K,2)*G315),0))))</f>
        <v>0</v>
      </c>
      <c r="AJ315" s="513" t="str">
        <f t="shared" ca="1" si="196"/>
        <v/>
      </c>
      <c r="AK315" s="700" t="str">
        <f t="shared" si="197"/>
        <v/>
      </c>
      <c r="AL315" s="700"/>
      <c r="AM315" s="505" t="str">
        <f t="shared" si="198"/>
        <v/>
      </c>
      <c r="AN315" s="506"/>
      <c r="AO315" s="507"/>
      <c r="AP315" s="507"/>
      <c r="AQ315" s="507"/>
      <c r="AR315" s="507"/>
      <c r="AS315" s="507"/>
      <c r="AT315" s="507"/>
      <c r="AU315" s="507"/>
      <c r="AV315" s="225"/>
      <c r="AW315" s="508"/>
      <c r="AX315" s="225"/>
      <c r="AY315" s="225"/>
      <c r="AZ315" s="225"/>
      <c r="BA315" s="225"/>
      <c r="BB315" s="225"/>
      <c r="BC315" s="56"/>
      <c r="BD315" s="56"/>
      <c r="BE315" s="56"/>
      <c r="BF315" s="107" t="str">
        <f t="shared" si="199"/>
        <v>https://www.google.com/search?tbm=isch&amp;q=Bayou%20Bliss%E2%84%A2%20Distylium%20Distylium%20%27BLDY01%27%20PP%2332816</v>
      </c>
      <c r="BG315" s="107" t="str">
        <f t="shared" si="200"/>
        <v>B</v>
      </c>
      <c r="BH315" s="254"/>
      <c r="BI315" s="254"/>
    </row>
    <row r="316" spans="1:61" customFormat="1" ht="15.75" x14ac:dyDescent="0.25">
      <c r="A316" s="485">
        <v>3</v>
      </c>
      <c r="B316" s="486" t="s">
        <v>291</v>
      </c>
      <c r="C316" s="487" t="s">
        <v>3046</v>
      </c>
      <c r="D316" s="488" t="s">
        <v>312</v>
      </c>
      <c r="E316" s="489">
        <v>35.950000000000003</v>
      </c>
      <c r="F316" s="516" t="s">
        <v>293</v>
      </c>
      <c r="G316" s="232">
        <v>0</v>
      </c>
      <c r="H316" s="658" t="str">
        <f>IF(G316=0,"",IF(F316="Buy",IF(G316=1,"plant","plants"),IF(F316&gt;0.01,"warranty","Error")))</f>
        <v/>
      </c>
      <c r="I316" s="490">
        <f>IF(H316="free",0,IF(H316="credit",((E316*(F316))*G316*-1),IF(F316="Buy",(E316*G316),((E316*(1-F316))*G316))))</f>
        <v>0</v>
      </c>
      <c r="J316" s="490">
        <f>IF(H316="warranty",0,(I316*(_xlfn.SINGLE(SalesTaxPercentage))))</f>
        <v>0</v>
      </c>
      <c r="K316" s="695">
        <f t="shared" ref="K316" si="220">I316+J316</f>
        <v>0</v>
      </c>
      <c r="L316" s="695"/>
      <c r="M316" s="659" t="str">
        <f>IF(AND(G316&gt;0,E316=0),"WARNING - no PRICE inserted",IF(H316="free"," FREE ~ no charge this plant",IF(H316="credit",CONCATENATE(" -$",ROUND(K316*(1-T2GDiscount)*-1,2)," CREDIT after discount"),IF(T2GDiscount=0,"",IF(G316=0,"",IF(F316="Buy",CONCATENATE(" $",ROUND(K316*(1-T2GDiscount),2)," with ",(T2GDiscount*100),"% discount"),CONCATENATE(" $",ROUND(K316*(1-T2GDiscount),2)," with ",((T2GDiscount*100+F316*100)-(T2GDiscount*100*F316)),IF(F316&gt;0,"% discounts",IF(NoWarrantyDiscount&gt;0,"% discounts","% discount")))))))))</f>
        <v/>
      </c>
      <c r="N316" s="660"/>
      <c r="O316" s="233"/>
      <c r="P316" s="233"/>
      <c r="Q316" s="233"/>
      <c r="R316" s="233"/>
      <c r="S316" s="233"/>
      <c r="T316" s="508">
        <f t="shared" si="188"/>
        <v>0</v>
      </c>
      <c r="U316" s="225">
        <f>IF(NOT(ISNUMBER(G316)), "", VLOOKUP(A316,'Discount Lookup'!D:E,2,FALSE)*G316)</f>
        <v>0</v>
      </c>
      <c r="V316" s="225">
        <f>IF(NOT(ISNUMBER(G316)), "", VLOOKUP(A316,'Discount Lookup'!G:H,2,FALSE)*G316)</f>
        <v>0</v>
      </c>
      <c r="W316" s="508">
        <f t="shared" si="189"/>
        <v>0</v>
      </c>
      <c r="X316" s="508">
        <f t="shared" si="190"/>
        <v>0</v>
      </c>
      <c r="Y316" s="509" t="b">
        <f t="shared" si="191"/>
        <v>0</v>
      </c>
      <c r="Z316" s="510">
        <f t="shared" si="192"/>
        <v>0</v>
      </c>
      <c r="AA316" s="511"/>
      <c r="AB316" s="511" t="str">
        <f t="shared" si="193"/>
        <v/>
      </c>
      <c r="AC316" s="698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698"/>
      <c r="AE316" s="631" t="str">
        <f t="shared" si="194"/>
        <v/>
      </c>
      <c r="AF316" s="699" t="str">
        <f t="shared" si="195"/>
        <v/>
      </c>
      <c r="AG316" s="699"/>
      <c r="AH316" s="699"/>
      <c r="AI316" s="512">
        <f>IF(H316="credit",0,IF(AE316="free",0,IF(AE316="me",0,IF(G316&gt;0,(VLOOKUP(A316,'Discount Lookup'!J:K,2)*G316),0))))</f>
        <v>0</v>
      </c>
      <c r="AJ316" s="513" t="str">
        <f t="shared" ca="1" si="196"/>
        <v/>
      </c>
      <c r="AK316" s="700" t="str">
        <f t="shared" si="197"/>
        <v/>
      </c>
      <c r="AL316" s="700"/>
      <c r="AM316" s="505" t="str">
        <f t="shared" si="198"/>
        <v/>
      </c>
      <c r="AN316" s="506"/>
      <c r="AO316" s="507"/>
      <c r="AP316" s="507"/>
      <c r="AQ316" s="507"/>
      <c r="AR316" s="507"/>
      <c r="AS316" s="507"/>
      <c r="AT316" s="507"/>
      <c r="AU316" s="507"/>
      <c r="AV316" s="225"/>
      <c r="AW316" s="508"/>
      <c r="AX316" s="225"/>
      <c r="AY316" s="225"/>
      <c r="AZ316" s="225"/>
      <c r="BA316" s="225"/>
      <c r="BB316" s="225"/>
      <c r="BC316" s="56"/>
      <c r="BD316" s="56"/>
      <c r="BE316" s="56"/>
      <c r="BF316" s="107" t="str">
        <f t="shared" si="199"/>
        <v>https://www.google.com/search?tbm=isch&amp;q=3%20G2</v>
      </c>
      <c r="BG316" s="107" t="str">
        <f t="shared" si="200"/>
        <v>B</v>
      </c>
      <c r="BH316" s="254"/>
      <c r="BI316" s="254"/>
    </row>
    <row r="317" spans="1:61" customFormat="1" ht="16.5" thickBot="1" x14ac:dyDescent="0.3">
      <c r="A317" s="522" t="s">
        <v>4047</v>
      </c>
      <c r="B317" s="491"/>
      <c r="C317" s="675"/>
      <c r="D317" s="491"/>
      <c r="E317" s="491"/>
      <c r="F317" s="492"/>
      <c r="G317" s="493"/>
      <c r="H317" s="491"/>
      <c r="I317" s="234"/>
      <c r="J317" s="234"/>
      <c r="K317" s="494"/>
      <c r="L317" s="543"/>
      <c r="M317" s="561"/>
      <c r="N317" s="495"/>
      <c r="O317" s="496"/>
      <c r="P317" s="497"/>
      <c r="Q317" s="495"/>
      <c r="R317" s="495"/>
      <c r="S317" s="667" t="s">
        <v>4968</v>
      </c>
      <c r="T317" s="508">
        <f t="shared" si="188"/>
        <v>0</v>
      </c>
      <c r="U317" s="225" t="str">
        <f>IF(NOT(ISNUMBER(G317)), "", VLOOKUP(A317,'Discount Lookup'!D:E,2,FALSE)*G317)</f>
        <v/>
      </c>
      <c r="V317" s="225" t="str">
        <f>IF(NOT(ISNUMBER(G317)), "", VLOOKUP(A317,'Discount Lookup'!G:H,2,FALSE)*G317)</f>
        <v/>
      </c>
      <c r="W317" s="508">
        <f t="shared" si="189"/>
        <v>0</v>
      </c>
      <c r="X317" s="508">
        <f t="shared" si="190"/>
        <v>0</v>
      </c>
      <c r="Y317" s="509" t="b">
        <f t="shared" si="191"/>
        <v>0</v>
      </c>
      <c r="Z317" s="510">
        <f t="shared" si="192"/>
        <v>0</v>
      </c>
      <c r="AA317" s="511"/>
      <c r="AB317" s="511" t="str">
        <f t="shared" si="193"/>
        <v/>
      </c>
      <c r="AC317" s="698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698"/>
      <c r="AE317" s="631" t="str">
        <f t="shared" si="194"/>
        <v/>
      </c>
      <c r="AF317" s="699" t="str">
        <f t="shared" si="195"/>
        <v/>
      </c>
      <c r="AG317" s="699"/>
      <c r="AH317" s="699"/>
      <c r="AI317" s="512">
        <f>IF(H317="credit",0,IF(AE317="free",0,IF(AE317="me",0,IF(G317&gt;0,(VLOOKUP(A317,'Discount Lookup'!J:K,2)*G317),0))))</f>
        <v>0</v>
      </c>
      <c r="AJ317" s="513" t="str">
        <f t="shared" ca="1" si="196"/>
        <v/>
      </c>
      <c r="AK317" s="700" t="str">
        <f t="shared" si="197"/>
        <v/>
      </c>
      <c r="AL317" s="700"/>
      <c r="AM317" s="505" t="str">
        <f t="shared" si="198"/>
        <v/>
      </c>
      <c r="AN317" s="506"/>
      <c r="AO317" s="507"/>
      <c r="AP317" s="507"/>
      <c r="AQ317" s="507"/>
      <c r="AR317" s="507"/>
      <c r="AS317" s="507"/>
      <c r="AT317" s="507"/>
      <c r="AU317" s="507"/>
      <c r="AV317" s="225"/>
      <c r="AW317" s="508"/>
      <c r="AX317" s="225"/>
      <c r="AY317" s="225"/>
      <c r="AZ317" s="225"/>
      <c r="BA317" s="225"/>
      <c r="BB317" s="225"/>
      <c r="BC317" s="56"/>
      <c r="BD317" s="56"/>
      <c r="BE317" s="56"/>
      <c r="BF317" s="107" t="str">
        <f t="shared" si="199"/>
        <v>https://www.google.com/search?tbm=isch&amp;q=Bayou%20Bliss%20has%20Deep%20Burgundy-Red%20new%20growth%20and%20subtle%20Red%20late-winter%20blooms.%20Good%20boxwood%20alternative.%20Heat%20and%20drought%20tolerant%20</v>
      </c>
      <c r="BG317" s="107" t="str">
        <f t="shared" si="200"/>
        <v>B</v>
      </c>
      <c r="BH317" s="254"/>
      <c r="BI317" s="254"/>
    </row>
    <row r="318" spans="1:61" customFormat="1" ht="18" x14ac:dyDescent="0.25">
      <c r="A318" s="523" t="s">
        <v>523</v>
      </c>
      <c r="B318" s="235"/>
      <c r="C318" s="676"/>
      <c r="D318" s="255" t="s">
        <v>522</v>
      </c>
      <c r="E318" s="236"/>
      <c r="F318" s="236"/>
      <c r="G318" s="236"/>
      <c r="H318" s="582" t="s">
        <v>394</v>
      </c>
      <c r="I318" s="498" t="s">
        <v>2500</v>
      </c>
      <c r="J318" s="237"/>
      <c r="K318" s="237"/>
      <c r="L318" s="274"/>
      <c r="M318" s="668" t="s">
        <v>4975</v>
      </c>
      <c r="N318" s="681" t="str">
        <f>IF(AND(ISTEXT($A318), ISERROR($A318+0)), HYPERLINK($BF318, "Images"), "")</f>
        <v>Images</v>
      </c>
      <c r="O318" s="663" t="s">
        <v>4969</v>
      </c>
      <c r="P318" s="253"/>
      <c r="Q318" s="238"/>
      <c r="R318" s="239"/>
      <c r="S318" s="275"/>
      <c r="T318" s="508">
        <f t="shared" si="188"/>
        <v>0</v>
      </c>
      <c r="U318" s="225" t="str">
        <f>IF(NOT(ISNUMBER(G318)), "", VLOOKUP(A318,'Discount Lookup'!D:E,2,FALSE)*G318)</f>
        <v/>
      </c>
      <c r="V318" s="225" t="str">
        <f>IF(NOT(ISNUMBER(G318)), "", VLOOKUP(A318,'Discount Lookup'!G:H,2,FALSE)*G318)</f>
        <v/>
      </c>
      <c r="W318" s="508">
        <f t="shared" si="189"/>
        <v>0</v>
      </c>
      <c r="X318" s="508" t="str">
        <f t="shared" si="190"/>
        <v>White, Purple bracts</v>
      </c>
      <c r="Y318" s="509" t="b">
        <f t="shared" si="191"/>
        <v>0</v>
      </c>
      <c r="Z318" s="510">
        <f t="shared" si="192"/>
        <v>0</v>
      </c>
      <c r="AA318" s="511"/>
      <c r="AB318" s="511" t="str">
        <f t="shared" si="193"/>
        <v/>
      </c>
      <c r="AC318" s="698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698"/>
      <c r="AE318" s="631" t="str">
        <f t="shared" si="194"/>
        <v/>
      </c>
      <c r="AF318" s="699" t="str">
        <f t="shared" si="195"/>
        <v/>
      </c>
      <c r="AG318" s="699"/>
      <c r="AH318" s="699"/>
      <c r="AI318" s="512">
        <f>IF(H318="credit",0,IF(AE318="free",0,IF(AE318="me",0,IF(G318&gt;0,(VLOOKUP(A318,'Discount Lookup'!J:K,2)*G318),0))))</f>
        <v>0</v>
      </c>
      <c r="AJ318" s="513" t="str">
        <f t="shared" ca="1" si="196"/>
        <v/>
      </c>
      <c r="AK318" s="700" t="str">
        <f t="shared" si="197"/>
        <v/>
      </c>
      <c r="AL318" s="700"/>
      <c r="AM318" s="505" t="str">
        <f t="shared" si="198"/>
        <v/>
      </c>
      <c r="AN318" s="506"/>
      <c r="AO318" s="507"/>
      <c r="AP318" s="507"/>
      <c r="AQ318" s="507"/>
      <c r="AR318" s="507"/>
      <c r="AS318" s="507"/>
      <c r="AT318" s="507"/>
      <c r="AU318" s="507"/>
      <c r="AV318" s="225"/>
      <c r="AW318" s="508"/>
      <c r="AX318" s="225"/>
      <c r="AY318" s="225"/>
      <c r="AZ318" s="225"/>
      <c r="BA318" s="225"/>
      <c r="BB318" s="225"/>
      <c r="BC318" s="56"/>
      <c r="BD318" s="56"/>
      <c r="BE318" s="56"/>
      <c r="BF318" s="107" t="str">
        <f t="shared" si="199"/>
        <v>https://www.google.com/search?tbm=isch&amp;q=Bear%27s%20Breeches%20Acanthus%20mollis%20Bear%27s%20Breeches</v>
      </c>
      <c r="BG318" s="107" t="str">
        <f t="shared" si="200"/>
        <v>B</v>
      </c>
      <c r="BH318" s="254"/>
      <c r="BI318" s="254"/>
    </row>
    <row r="319" spans="1:61" customFormat="1" ht="15.75" x14ac:dyDescent="0.25">
      <c r="A319" s="276">
        <v>7</v>
      </c>
      <c r="B319" s="240" t="s">
        <v>291</v>
      </c>
      <c r="C319" s="241"/>
      <c r="D319" s="242" t="s">
        <v>300</v>
      </c>
      <c r="E319" s="243">
        <v>131.94999999999999</v>
      </c>
      <c r="F319" s="517" t="s">
        <v>293</v>
      </c>
      <c r="G319" s="232">
        <v>0</v>
      </c>
      <c r="H319" s="661" t="str">
        <f>IF(G319=0,"",IF(F319="Buy",IF(G319=1,"plant","plants"),IF(F319&gt;0.01,"warranty","Error")))</f>
        <v/>
      </c>
      <c r="I319" s="244">
        <f>IF(H319="free",0,IF(H319="credit",((E319*(F319))*G319*-1),IF(F319="Buy",(E319*G319),((E319*(1-F319))*G319))))</f>
        <v>0</v>
      </c>
      <c r="J319" s="244">
        <f>IF(H319="warranty",0,(I319*(_xlfn.SINGLE(SalesTaxPercentage))))</f>
        <v>0</v>
      </c>
      <c r="K319" s="696">
        <f t="shared" ref="K319" si="221">I319+J319</f>
        <v>0</v>
      </c>
      <c r="L319" s="696"/>
      <c r="M319" s="659" t="str">
        <f>IF(AND(G319&gt;0,E319=0),"WARNING - no PRICE inserted",IF(H319="free"," FREE ~ no charge this plant",IF(H319="credit",CONCATENATE(" -$",ROUND(K319*(1-T2GDiscount)*-1,2)," CREDIT after discount"),IF(T2GDiscount=0,"",IF(G319=0,"",IF(F319="Buy",CONCATENATE(" $",ROUND(K319*(1-T2GDiscount),2)," with ",(T2GDiscount*100),"% discount"),CONCATENATE(" $",ROUND(K319*(1-T2GDiscount),2)," with ",((T2GDiscount*100+F319*100)-(T2GDiscount*100*F319)),IF(F319&gt;0,"% discounts",IF(NoWarrantyDiscount&gt;0,"% discounts","% discount")))))))))</f>
        <v/>
      </c>
      <c r="N319" s="660"/>
      <c r="O319" s="233"/>
      <c r="P319" s="233"/>
      <c r="Q319" s="233"/>
      <c r="R319" s="233"/>
      <c r="S319" s="233"/>
      <c r="T319" s="508">
        <f t="shared" si="188"/>
        <v>0</v>
      </c>
      <c r="U319" s="225">
        <f>IF(NOT(ISNUMBER(G319)), "", VLOOKUP(A319,'Discount Lookup'!D:E,2,FALSE)*G319)</f>
        <v>0</v>
      </c>
      <c r="V319" s="225">
        <f>IF(NOT(ISNUMBER(G319)), "", VLOOKUP(A319,'Discount Lookup'!G:H,2,FALSE)*G319)</f>
        <v>0</v>
      </c>
      <c r="W319" s="508">
        <f t="shared" si="189"/>
        <v>0</v>
      </c>
      <c r="X319" s="508">
        <f t="shared" si="190"/>
        <v>0</v>
      </c>
      <c r="Y319" s="509" t="b">
        <f t="shared" si="191"/>
        <v>0</v>
      </c>
      <c r="Z319" s="510">
        <f t="shared" si="192"/>
        <v>0</v>
      </c>
      <c r="AA319" s="511"/>
      <c r="AB319" s="511" t="str">
        <f t="shared" si="193"/>
        <v/>
      </c>
      <c r="AC319" s="698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698"/>
      <c r="AE319" s="631" t="str">
        <f t="shared" si="194"/>
        <v/>
      </c>
      <c r="AF319" s="699" t="str">
        <f t="shared" si="195"/>
        <v/>
      </c>
      <c r="AG319" s="699"/>
      <c r="AH319" s="699"/>
      <c r="AI319" s="512">
        <f>IF(H319="credit",0,IF(AE319="free",0,IF(AE319="me",0,IF(G319&gt;0,(VLOOKUP(A319,'Discount Lookup'!J:K,2)*G319),0))))</f>
        <v>0</v>
      </c>
      <c r="AJ319" s="513" t="str">
        <f t="shared" ca="1" si="196"/>
        <v/>
      </c>
      <c r="AK319" s="700" t="str">
        <f t="shared" si="197"/>
        <v/>
      </c>
      <c r="AL319" s="700"/>
      <c r="AM319" s="505" t="str">
        <f t="shared" si="198"/>
        <v/>
      </c>
      <c r="AN319" s="506"/>
      <c r="AO319" s="507"/>
      <c r="AP319" s="507"/>
      <c r="AQ319" s="507"/>
      <c r="AR319" s="507"/>
      <c r="AS319" s="507"/>
      <c r="AT319" s="507"/>
      <c r="AU319" s="507"/>
      <c r="AV319" s="225"/>
      <c r="AW319" s="508"/>
      <c r="AX319" s="225"/>
      <c r="AY319" s="225"/>
      <c r="AZ319" s="225"/>
      <c r="BA319" s="225"/>
      <c r="BB319" s="225"/>
      <c r="BC319" s="56"/>
      <c r="BD319" s="56"/>
      <c r="BE319" s="56"/>
      <c r="BF319" s="107" t="str">
        <f t="shared" si="199"/>
        <v>https://www.google.com/search?tbm=isch&amp;q=7%20G6</v>
      </c>
      <c r="BG319" s="107" t="str">
        <f t="shared" si="200"/>
        <v>B</v>
      </c>
      <c r="BH319" s="254"/>
      <c r="BI319" s="254"/>
    </row>
    <row r="320" spans="1:61" customFormat="1" ht="17.25" thickBot="1" x14ac:dyDescent="0.3">
      <c r="A320" s="673" t="s">
        <v>5051</v>
      </c>
      <c r="B320" s="245"/>
      <c r="C320" s="677"/>
      <c r="D320" s="499"/>
      <c r="E320" s="499"/>
      <c r="F320" s="500"/>
      <c r="G320" s="501"/>
      <c r="H320" s="502"/>
      <c r="I320" s="246"/>
      <c r="J320" s="247"/>
      <c r="K320" s="503"/>
      <c r="L320" s="544"/>
      <c r="M320" s="544"/>
      <c r="N320" s="500"/>
      <c r="O320" s="500"/>
      <c r="P320" s="500"/>
      <c r="Q320" s="500"/>
      <c r="R320" s="500"/>
      <c r="S320" s="669" t="s">
        <v>4993</v>
      </c>
      <c r="T320" s="508">
        <f t="shared" si="188"/>
        <v>0</v>
      </c>
      <c r="U320" s="225" t="str">
        <f>IF(NOT(ISNUMBER(G320)), "", VLOOKUP(A320,'Discount Lookup'!D:E,2,FALSE)*G320)</f>
        <v/>
      </c>
      <c r="V320" s="225" t="str">
        <f>IF(NOT(ISNUMBER(G320)), "", VLOOKUP(A320,'Discount Lookup'!G:H,2,FALSE)*G320)</f>
        <v/>
      </c>
      <c r="W320" s="508">
        <f t="shared" si="189"/>
        <v>0</v>
      </c>
      <c r="X320" s="508">
        <f t="shared" si="190"/>
        <v>0</v>
      </c>
      <c r="Y320" s="509" t="b">
        <f t="shared" si="191"/>
        <v>0</v>
      </c>
      <c r="Z320" s="510">
        <f t="shared" si="192"/>
        <v>0</v>
      </c>
      <c r="AA320" s="511"/>
      <c r="AB320" s="511" t="str">
        <f t="shared" si="193"/>
        <v/>
      </c>
      <c r="AC320" s="698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698"/>
      <c r="AE320" s="631" t="str">
        <f t="shared" si="194"/>
        <v/>
      </c>
      <c r="AF320" s="699" t="str">
        <f t="shared" si="195"/>
        <v/>
      </c>
      <c r="AG320" s="699"/>
      <c r="AH320" s="699"/>
      <c r="AI320" s="512">
        <f>IF(H320="credit",0,IF(AE320="free",0,IF(AE320="me",0,IF(G320&gt;0,(VLOOKUP(A320,'Discount Lookup'!J:K,2)*G320),0))))</f>
        <v>0</v>
      </c>
      <c r="AJ320" s="513" t="str">
        <f t="shared" ca="1" si="196"/>
        <v/>
      </c>
      <c r="AK320" s="700" t="str">
        <f t="shared" si="197"/>
        <v/>
      </c>
      <c r="AL320" s="700"/>
      <c r="AM320" s="505" t="str">
        <f t="shared" si="198"/>
        <v/>
      </c>
      <c r="AN320" s="506"/>
      <c r="AO320" s="507"/>
      <c r="AP320" s="507"/>
      <c r="AQ320" s="507"/>
      <c r="AR320" s="507"/>
      <c r="AS320" s="507"/>
      <c r="AT320" s="507"/>
      <c r="AU320" s="507"/>
      <c r="AV320" s="225"/>
      <c r="AW320" s="508"/>
      <c r="AX320" s="225"/>
      <c r="AY320" s="225"/>
      <c r="AZ320" s="225"/>
      <c r="BA320" s="225"/>
      <c r="BB320" s="225"/>
      <c r="BC320" s="56"/>
      <c r="BD320" s="56"/>
      <c r="BE320" s="56"/>
      <c r="BF320" s="107" t="str">
        <f t="shared" si="199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20" s="107" t="str">
        <f t="shared" si="200"/>
        <v>m</v>
      </c>
      <c r="BH320" s="254"/>
      <c r="BI320" s="254"/>
    </row>
    <row r="321" spans="1:61" customFormat="1" ht="18" x14ac:dyDescent="0.25">
      <c r="A321" s="521" t="s">
        <v>5346</v>
      </c>
      <c r="B321" s="477"/>
      <c r="C321" s="674"/>
      <c r="D321" s="478" t="s">
        <v>459</v>
      </c>
      <c r="E321" s="479"/>
      <c r="F321" s="479"/>
      <c r="G321" s="479"/>
      <c r="H321" s="582" t="s">
        <v>474</v>
      </c>
      <c r="I321" s="480" t="s">
        <v>2554</v>
      </c>
      <c r="J321" s="479"/>
      <c r="K321" s="479"/>
      <c r="L321" s="560"/>
      <c r="M321" s="666" t="s">
        <v>4966</v>
      </c>
      <c r="N321" s="680" t="str">
        <f>IF(AND(ISTEXT($A321), ISERROR($A321+0)), HYPERLINK($BF321, "Images"), "")</f>
        <v>Images</v>
      </c>
      <c r="O321" s="662" t="s">
        <v>4967</v>
      </c>
      <c r="P321" s="482"/>
      <c r="Q321" s="483"/>
      <c r="R321" s="483"/>
      <c r="S321" s="484"/>
      <c r="T321" s="508">
        <f t="shared" si="188"/>
        <v>0</v>
      </c>
      <c r="U321" s="225" t="str">
        <f>IF(NOT(ISNUMBER(G321)), "", VLOOKUP(A321,'Discount Lookup'!D:E,2,FALSE)*G321)</f>
        <v/>
      </c>
      <c r="V321" s="225" t="str">
        <f>IF(NOT(ISNUMBER(G321)), "", VLOOKUP(A321,'Discount Lookup'!G:H,2,FALSE)*G321)</f>
        <v/>
      </c>
      <c r="W321" s="508">
        <f t="shared" si="189"/>
        <v>0</v>
      </c>
      <c r="X321" s="508" t="str">
        <f t="shared" si="190"/>
        <v>Red bloom, Yellow stamen</v>
      </c>
      <c r="Y321" s="509" t="b">
        <f t="shared" si="191"/>
        <v>0</v>
      </c>
      <c r="Z321" s="510">
        <f t="shared" si="192"/>
        <v>0</v>
      </c>
      <c r="AA321" s="511"/>
      <c r="AB321" s="511" t="str">
        <f t="shared" si="193"/>
        <v/>
      </c>
      <c r="AC321" s="698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698"/>
      <c r="AE321" s="631" t="str">
        <f t="shared" si="194"/>
        <v/>
      </c>
      <c r="AF321" s="699" t="str">
        <f t="shared" si="195"/>
        <v/>
      </c>
      <c r="AG321" s="699"/>
      <c r="AH321" s="699"/>
      <c r="AI321" s="512">
        <f>IF(H321="credit",0,IF(AE321="free",0,IF(AE321="me",0,IF(G321&gt;0,(VLOOKUP(A321,'Discount Lookup'!J:K,2)*G321),0))))</f>
        <v>0</v>
      </c>
      <c r="AJ321" s="513" t="str">
        <f t="shared" ca="1" si="196"/>
        <v/>
      </c>
      <c r="AK321" s="700" t="str">
        <f t="shared" si="197"/>
        <v/>
      </c>
      <c r="AL321" s="700"/>
      <c r="AM321" s="505" t="str">
        <f t="shared" si="198"/>
        <v/>
      </c>
      <c r="AN321" s="506"/>
      <c r="AO321" s="507"/>
      <c r="AP321" s="507"/>
      <c r="AQ321" s="507"/>
      <c r="AR321" s="507"/>
      <c r="AS321" s="507"/>
      <c r="AT321" s="507"/>
      <c r="AU321" s="507"/>
      <c r="AV321" s="225"/>
      <c r="AW321" s="508"/>
      <c r="AX321" s="225"/>
      <c r="AY321" s="225"/>
      <c r="AZ321" s="225"/>
      <c r="BA321" s="225"/>
      <c r="BB321" s="225"/>
      <c r="BC321" s="56"/>
      <c r="BD321" s="56"/>
      <c r="BE321" s="56"/>
      <c r="BF321" s="107" t="str">
        <f t="shared" si="199"/>
        <v>https://www.google.com/search?tbm=isch&amp;q=Bella%20Rouge%E2%84%A2%20Camellia%20Camellia%20sasanqua%20%27TDN%201116%27%20PP%2314213</v>
      </c>
      <c r="BG321" s="107" t="str">
        <f t="shared" si="200"/>
        <v>B</v>
      </c>
      <c r="BH321" s="254"/>
      <c r="BI321" s="254"/>
    </row>
    <row r="322" spans="1:61" customFormat="1" ht="27" x14ac:dyDescent="0.25">
      <c r="A322" s="485">
        <v>7</v>
      </c>
      <c r="B322" s="486" t="s">
        <v>291</v>
      </c>
      <c r="C322" s="487" t="s">
        <v>4735</v>
      </c>
      <c r="D322" s="488" t="s">
        <v>292</v>
      </c>
      <c r="E322" s="489">
        <v>104.95</v>
      </c>
      <c r="F322" s="516" t="s">
        <v>293</v>
      </c>
      <c r="G322" s="232">
        <v>0</v>
      </c>
      <c r="H322" s="658" t="str">
        <f>IF(G322=0,"",IF(F322="Buy",IF(G322=1,"plant","plants"),IF(F322&gt;0.01,"warranty","Error")))</f>
        <v/>
      </c>
      <c r="I322" s="490">
        <f>IF(H322="free",0,IF(H322="credit",((E322*(F322))*G322*-1),IF(F322="Buy",(E322*G322),((E322*(1-F322))*G322))))</f>
        <v>0</v>
      </c>
      <c r="J322" s="490">
        <f>IF(H322="warranty",0,(I322*(_xlfn.SINGLE(SalesTaxPercentage))))</f>
        <v>0</v>
      </c>
      <c r="K322" s="695">
        <f t="shared" ref="K322" si="222">I322+J322</f>
        <v>0</v>
      </c>
      <c r="L322" s="695"/>
      <c r="M322" s="659" t="str">
        <f>IF(AND(G322&gt;0,E322=0),"WARNING - no PRICE inserted",IF(H322="free"," FREE ~ no charge this plant",IF(H322="credit",CONCATENATE(" -$",ROUND(K322*(1-T2GDiscount)*-1,2)," CREDIT after discount"),IF(T2GDiscount=0,"",IF(G322=0,"",IF(F322="Buy",CONCATENATE(" $",ROUND(K322*(1-T2GDiscount),2)," with ",(T2GDiscount*100),"% discount"),CONCATENATE(" $",ROUND(K322*(1-T2GDiscount),2)," with ",((T2GDiscount*100+F322*100)-(T2GDiscount*100*F322)),IF(F322&gt;0,"% discounts",IF(NoWarrantyDiscount&gt;0,"% discounts","% discount")))))))))</f>
        <v/>
      </c>
      <c r="N322" s="660"/>
      <c r="O322" s="233"/>
      <c r="P322" s="233"/>
      <c r="Q322" s="233"/>
      <c r="R322" s="233"/>
      <c r="S322" s="233"/>
      <c r="T322" s="508">
        <f t="shared" si="188"/>
        <v>0</v>
      </c>
      <c r="U322" s="225">
        <f>IF(NOT(ISNUMBER(G322)), "", VLOOKUP(A322,'Discount Lookup'!D:E,2,FALSE)*G322)</f>
        <v>0</v>
      </c>
      <c r="V322" s="225">
        <f>IF(NOT(ISNUMBER(G322)), "", VLOOKUP(A322,'Discount Lookup'!G:H,2,FALSE)*G322)</f>
        <v>0</v>
      </c>
      <c r="W322" s="508">
        <f t="shared" si="189"/>
        <v>0</v>
      </c>
      <c r="X322" s="508">
        <f t="shared" si="190"/>
        <v>0</v>
      </c>
      <c r="Y322" s="509" t="b">
        <f t="shared" si="191"/>
        <v>0</v>
      </c>
      <c r="Z322" s="510">
        <f t="shared" si="192"/>
        <v>0</v>
      </c>
      <c r="AA322" s="511"/>
      <c r="AB322" s="511" t="str">
        <f t="shared" si="193"/>
        <v/>
      </c>
      <c r="AC322" s="698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698"/>
      <c r="AE322" s="631" t="str">
        <f t="shared" si="194"/>
        <v/>
      </c>
      <c r="AF322" s="699" t="str">
        <f t="shared" si="195"/>
        <v/>
      </c>
      <c r="AG322" s="699"/>
      <c r="AH322" s="699"/>
      <c r="AI322" s="512">
        <f>IF(H322="credit",0,IF(AE322="free",0,IF(AE322="me",0,IF(G322&gt;0,(VLOOKUP(A322,'Discount Lookup'!J:K,2)*G322),0))))</f>
        <v>0</v>
      </c>
      <c r="AJ322" s="513" t="str">
        <f t="shared" ca="1" si="196"/>
        <v/>
      </c>
      <c r="AK322" s="700" t="str">
        <f t="shared" si="197"/>
        <v/>
      </c>
      <c r="AL322" s="700"/>
      <c r="AM322" s="505" t="str">
        <f t="shared" si="198"/>
        <v/>
      </c>
      <c r="AN322" s="506"/>
      <c r="AO322" s="507"/>
      <c r="AP322" s="507"/>
      <c r="AQ322" s="507"/>
      <c r="AR322" s="507"/>
      <c r="AS322" s="507"/>
      <c r="AT322" s="507"/>
      <c r="AU322" s="507"/>
      <c r="AV322" s="225"/>
      <c r="AW322" s="508"/>
      <c r="AX322" s="225"/>
      <c r="AY322" s="225"/>
      <c r="AZ322" s="225"/>
      <c r="BA322" s="225"/>
      <c r="BB322" s="225"/>
      <c r="BC322" s="56"/>
      <c r="BD322" s="56"/>
      <c r="BE322" s="56"/>
      <c r="BF322" s="107" t="str">
        <f t="shared" si="199"/>
        <v>https://www.google.com/search?tbm=isch&amp;q=7%20G4</v>
      </c>
      <c r="BG322" s="107" t="str">
        <f t="shared" si="200"/>
        <v>B</v>
      </c>
      <c r="BH322" s="254"/>
      <c r="BI322" s="254"/>
    </row>
    <row r="323" spans="1:61" customFormat="1" ht="17.25" thickBot="1" x14ac:dyDescent="0.3">
      <c r="A323" s="522" t="s">
        <v>2555</v>
      </c>
      <c r="B323" s="491"/>
      <c r="C323" s="675"/>
      <c r="D323" s="491"/>
      <c r="E323" s="491"/>
      <c r="F323" s="492"/>
      <c r="G323" s="493"/>
      <c r="H323" s="491"/>
      <c r="I323" s="234"/>
      <c r="J323" s="234"/>
      <c r="K323" s="494"/>
      <c r="L323" s="543"/>
      <c r="M323" s="561"/>
      <c r="N323" s="495"/>
      <c r="O323" s="496"/>
      <c r="P323" s="497"/>
      <c r="Q323" s="495"/>
      <c r="R323" s="495"/>
      <c r="S323" s="667" t="s">
        <v>4986</v>
      </c>
      <c r="T323" s="508">
        <f t="shared" si="188"/>
        <v>0</v>
      </c>
      <c r="U323" s="225" t="str">
        <f>IF(NOT(ISNUMBER(G323)), "", VLOOKUP(A323,'Discount Lookup'!D:E,2,FALSE)*G323)</f>
        <v/>
      </c>
      <c r="V323" s="225" t="str">
        <f>IF(NOT(ISNUMBER(G323)), "", VLOOKUP(A323,'Discount Lookup'!G:H,2,FALSE)*G323)</f>
        <v/>
      </c>
      <c r="W323" s="508">
        <f t="shared" si="189"/>
        <v>0</v>
      </c>
      <c r="X323" s="508">
        <f t="shared" si="190"/>
        <v>0</v>
      </c>
      <c r="Y323" s="509" t="b">
        <f t="shared" si="191"/>
        <v>0</v>
      </c>
      <c r="Z323" s="510">
        <f t="shared" si="192"/>
        <v>0</v>
      </c>
      <c r="AA323" s="511"/>
      <c r="AB323" s="511" t="str">
        <f t="shared" si="193"/>
        <v/>
      </c>
      <c r="AC323" s="698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698"/>
      <c r="AE323" s="631" t="str">
        <f t="shared" si="194"/>
        <v/>
      </c>
      <c r="AF323" s="699" t="str">
        <f t="shared" si="195"/>
        <v/>
      </c>
      <c r="AG323" s="699"/>
      <c r="AH323" s="699"/>
      <c r="AI323" s="512">
        <f>IF(H323="credit",0,IF(AE323="free",0,IF(AE323="me",0,IF(G323&gt;0,(VLOOKUP(A323,'Discount Lookup'!J:K,2)*G323),0))))</f>
        <v>0</v>
      </c>
      <c r="AJ323" s="513" t="str">
        <f t="shared" ca="1" si="196"/>
        <v/>
      </c>
      <c r="AK323" s="700" t="str">
        <f t="shared" si="197"/>
        <v/>
      </c>
      <c r="AL323" s="700"/>
      <c r="AM323" s="505" t="str">
        <f t="shared" si="198"/>
        <v/>
      </c>
      <c r="AN323" s="506"/>
      <c r="AO323" s="507"/>
      <c r="AP323" s="507"/>
      <c r="AQ323" s="507"/>
      <c r="AR323" s="507"/>
      <c r="AS323" s="507"/>
      <c r="AT323" s="507"/>
      <c r="AU323" s="507"/>
      <c r="AV323" s="225"/>
      <c r="AW323" s="508"/>
      <c r="AX323" s="225"/>
      <c r="AY323" s="225"/>
      <c r="AZ323" s="225"/>
      <c r="BA323" s="225"/>
      <c r="BB323" s="225"/>
      <c r="BC323" s="56"/>
      <c r="BD323" s="56"/>
      <c r="BE323" s="56"/>
      <c r="BF323" s="107" t="str">
        <f t="shared" si="199"/>
        <v>https://www.google.com/search?tbm=isch&amp;q=Bella%20Rouge%20is%20a%20slow-to-moderate%20growing%20shrub%20with%20stunning%20Red%20semi-double%20blooms%20in%20the%20fall%20and%20winter%20</v>
      </c>
      <c r="BG323" s="107" t="str">
        <f t="shared" si="200"/>
        <v>B</v>
      </c>
      <c r="BH323" s="254"/>
      <c r="BI323" s="254"/>
    </row>
    <row r="324" spans="1:61" customFormat="1" ht="18" x14ac:dyDescent="0.25">
      <c r="A324" s="523" t="s">
        <v>620</v>
      </c>
      <c r="B324" s="235"/>
      <c r="C324" s="676"/>
      <c r="D324" s="255" t="s">
        <v>619</v>
      </c>
      <c r="E324" s="236"/>
      <c r="F324" s="236"/>
      <c r="G324" s="236"/>
      <c r="H324" s="582" t="s">
        <v>4238</v>
      </c>
      <c r="I324" s="498" t="s">
        <v>669</v>
      </c>
      <c r="J324" s="237"/>
      <c r="K324" s="237"/>
      <c r="L324" s="274"/>
      <c r="M324" s="668" t="s">
        <v>4962</v>
      </c>
      <c r="N324" s="681" t="str">
        <f>IF(AND(ISTEXT($A324), ISERROR($A324+0)), HYPERLINK($BF324, "Images"), "")</f>
        <v>Images</v>
      </c>
      <c r="O324" s="663" t="s">
        <v>4967</v>
      </c>
      <c r="P324" s="253"/>
      <c r="Q324" s="238"/>
      <c r="R324" s="239"/>
      <c r="S324" s="275"/>
      <c r="T324" s="508">
        <f t="shared" si="188"/>
        <v>0</v>
      </c>
      <c r="U324" s="225" t="str">
        <f>IF(NOT(ISNUMBER(G324)), "", VLOOKUP(A324,'Discount Lookup'!D:E,2,FALSE)*G324)</f>
        <v/>
      </c>
      <c r="V324" s="225" t="str">
        <f>IF(NOT(ISNUMBER(G324)), "", VLOOKUP(A324,'Discount Lookup'!G:H,2,FALSE)*G324)</f>
        <v/>
      </c>
      <c r="W324" s="508">
        <f t="shared" si="189"/>
        <v>0</v>
      </c>
      <c r="X324" s="508" t="str">
        <f t="shared" si="190"/>
        <v>Orange bloom</v>
      </c>
      <c r="Y324" s="509" t="b">
        <f t="shared" si="191"/>
        <v>0</v>
      </c>
      <c r="Z324" s="510">
        <f t="shared" si="192"/>
        <v>0</v>
      </c>
      <c r="AA324" s="511"/>
      <c r="AB324" s="511" t="str">
        <f t="shared" si="193"/>
        <v/>
      </c>
      <c r="AC324" s="698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698"/>
      <c r="AE324" s="631" t="str">
        <f t="shared" si="194"/>
        <v/>
      </c>
      <c r="AF324" s="699" t="str">
        <f t="shared" si="195"/>
        <v/>
      </c>
      <c r="AG324" s="699"/>
      <c r="AH324" s="699"/>
      <c r="AI324" s="512">
        <f>IF(H324="credit",0,IF(AE324="free",0,IF(AE324="me",0,IF(G324&gt;0,(VLOOKUP(A324,'Discount Lookup'!J:K,2)*G324),0))))</f>
        <v>0</v>
      </c>
      <c r="AJ324" s="513" t="str">
        <f t="shared" ca="1" si="196"/>
        <v/>
      </c>
      <c r="AK324" s="700" t="str">
        <f t="shared" si="197"/>
        <v/>
      </c>
      <c r="AL324" s="700"/>
      <c r="AM324" s="505" t="str">
        <f t="shared" si="198"/>
        <v/>
      </c>
      <c r="AN324" s="506"/>
      <c r="AO324" s="507"/>
      <c r="AP324" s="507"/>
      <c r="AQ324" s="507"/>
      <c r="AR324" s="507"/>
      <c r="AS324" s="507"/>
      <c r="AT324" s="507"/>
      <c r="AU324" s="507"/>
      <c r="AV324" s="225"/>
      <c r="AW324" s="508"/>
      <c r="AX324" s="225"/>
      <c r="AY324" s="225"/>
      <c r="AZ324" s="225"/>
      <c r="BA324" s="225"/>
      <c r="BB324" s="225"/>
      <c r="BC324" s="56"/>
      <c r="BD324" s="56"/>
      <c r="BE324" s="56"/>
      <c r="BF324" s="107" t="str">
        <f t="shared" si="199"/>
        <v>https://www.google.com/search?tbm=isch&amp;q=Bengal%20Tiger%20Canna%20Lily%20Canna%20x%20generalis%20%27Bengal%20Tiger%27</v>
      </c>
      <c r="BG324" s="107" t="str">
        <f t="shared" si="200"/>
        <v>B</v>
      </c>
      <c r="BH324" s="254"/>
      <c r="BI324" s="254"/>
    </row>
    <row r="325" spans="1:61" customFormat="1" ht="15.75" x14ac:dyDescent="0.25">
      <c r="A325" s="276">
        <v>3</v>
      </c>
      <c r="B325" s="240" t="s">
        <v>291</v>
      </c>
      <c r="C325" s="241" t="s">
        <v>4730</v>
      </c>
      <c r="D325" s="242" t="s">
        <v>292</v>
      </c>
      <c r="E325" s="243">
        <v>31.95</v>
      </c>
      <c r="F325" s="517" t="s">
        <v>293</v>
      </c>
      <c r="G325" s="232">
        <v>0</v>
      </c>
      <c r="H325" s="661" t="str">
        <f>IF(G325=0,"",IF(F325="Buy",IF(G325=1,"plant","plants"),IF(F325&gt;0.01,"warranty","Error")))</f>
        <v/>
      </c>
      <c r="I325" s="244">
        <f>IF(H325="free",0,IF(H325="credit",((E325*(F325))*G325*-1),IF(F325="Buy",(E325*G325),((E325*(1-F325))*G325))))</f>
        <v>0</v>
      </c>
      <c r="J325" s="244">
        <f>IF(H325="warranty",0,(I325*(_xlfn.SINGLE(SalesTaxPercentage))))</f>
        <v>0</v>
      </c>
      <c r="K325" s="696">
        <f t="shared" ref="K325" si="223">I325+J325</f>
        <v>0</v>
      </c>
      <c r="L325" s="696"/>
      <c r="M325" s="659" t="str">
        <f>IF(AND(G325&gt;0,E325=0),"WARNING - no PRICE inserted",IF(H325="free"," FREE ~ no charge this plant",IF(H325="credit",CONCATENATE(" -$",ROUND(K325*(1-T2GDiscount)*-1,2)," CREDIT after discount"),IF(T2GDiscount=0,"",IF(G325=0,"",IF(F325="Buy",CONCATENATE(" $",ROUND(K325*(1-T2GDiscount),2)," with ",(T2GDiscount*100),"% discount"),CONCATENATE(" $",ROUND(K325*(1-T2GDiscount),2)," with ",((T2GDiscount*100+F325*100)-(T2GDiscount*100*F325)),IF(F325&gt;0,"% discounts",IF(NoWarrantyDiscount&gt;0,"% discounts","% discount")))))))))</f>
        <v/>
      </c>
      <c r="N325" s="660"/>
      <c r="O325" s="233"/>
      <c r="P325" s="233"/>
      <c r="Q325" s="233"/>
      <c r="R325" s="233"/>
      <c r="S325" s="233"/>
      <c r="T325" s="508">
        <f t="shared" si="188"/>
        <v>0</v>
      </c>
      <c r="U325" s="225">
        <f>IF(NOT(ISNUMBER(G325)), "", VLOOKUP(A325,'Discount Lookup'!D:E,2,FALSE)*G325)</f>
        <v>0</v>
      </c>
      <c r="V325" s="225">
        <f>IF(NOT(ISNUMBER(G325)), "", VLOOKUP(A325,'Discount Lookup'!G:H,2,FALSE)*G325)</f>
        <v>0</v>
      </c>
      <c r="W325" s="508">
        <f t="shared" si="189"/>
        <v>0</v>
      </c>
      <c r="X325" s="508">
        <f t="shared" si="190"/>
        <v>0</v>
      </c>
      <c r="Y325" s="509" t="b">
        <f t="shared" si="191"/>
        <v>0</v>
      </c>
      <c r="Z325" s="510">
        <f t="shared" si="192"/>
        <v>0</v>
      </c>
      <c r="AA325" s="511"/>
      <c r="AB325" s="511" t="str">
        <f t="shared" si="193"/>
        <v/>
      </c>
      <c r="AC325" s="698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698"/>
      <c r="AE325" s="631" t="str">
        <f t="shared" si="194"/>
        <v/>
      </c>
      <c r="AF325" s="699" t="str">
        <f t="shared" si="195"/>
        <v/>
      </c>
      <c r="AG325" s="699"/>
      <c r="AH325" s="699"/>
      <c r="AI325" s="512">
        <f>IF(H325="credit",0,IF(AE325="free",0,IF(AE325="me",0,IF(G325&gt;0,(VLOOKUP(A325,'Discount Lookup'!J:K,2)*G325),0))))</f>
        <v>0</v>
      </c>
      <c r="AJ325" s="513" t="str">
        <f t="shared" ca="1" si="196"/>
        <v/>
      </c>
      <c r="AK325" s="700" t="str">
        <f t="shared" si="197"/>
        <v/>
      </c>
      <c r="AL325" s="700"/>
      <c r="AM325" s="505" t="str">
        <f t="shared" si="198"/>
        <v/>
      </c>
      <c r="AN325" s="506"/>
      <c r="AO325" s="507"/>
      <c r="AP325" s="507"/>
      <c r="AQ325" s="507"/>
      <c r="AR325" s="507"/>
      <c r="AS325" s="507"/>
      <c r="AT325" s="507"/>
      <c r="AU325" s="507"/>
      <c r="AV325" s="225"/>
      <c r="AW325" s="508"/>
      <c r="AX325" s="225"/>
      <c r="AY325" s="225"/>
      <c r="AZ325" s="225"/>
      <c r="BA325" s="225"/>
      <c r="BB325" s="225"/>
      <c r="BC325" s="56"/>
      <c r="BD325" s="56"/>
      <c r="BE325" s="56"/>
      <c r="BF325" s="107" t="str">
        <f t="shared" si="199"/>
        <v>https://www.google.com/search?tbm=isch&amp;q=3%20G4</v>
      </c>
      <c r="BG325" s="107" t="str">
        <f t="shared" si="200"/>
        <v>B</v>
      </c>
      <c r="BH325" s="254"/>
      <c r="BI325" s="254"/>
    </row>
    <row r="326" spans="1:61" customFormat="1" ht="17.25" thickBot="1" x14ac:dyDescent="0.3">
      <c r="A326" s="673" t="s">
        <v>5052</v>
      </c>
      <c r="B326" s="245"/>
      <c r="C326" s="677"/>
      <c r="D326" s="499"/>
      <c r="E326" s="499"/>
      <c r="F326" s="500"/>
      <c r="G326" s="501"/>
      <c r="H326" s="502"/>
      <c r="I326" s="246"/>
      <c r="J326" s="247"/>
      <c r="K326" s="503"/>
      <c r="L326" s="544"/>
      <c r="M326" s="544"/>
      <c r="N326" s="500"/>
      <c r="O326" s="500"/>
      <c r="P326" s="500"/>
      <c r="Q326" s="500"/>
      <c r="R326" s="500"/>
      <c r="S326" s="669" t="s">
        <v>4994</v>
      </c>
      <c r="T326" s="508">
        <f t="shared" si="188"/>
        <v>0</v>
      </c>
      <c r="U326" s="225" t="str">
        <f>IF(NOT(ISNUMBER(G326)), "", VLOOKUP(A326,'Discount Lookup'!D:E,2,FALSE)*G326)</f>
        <v/>
      </c>
      <c r="V326" s="225" t="str">
        <f>IF(NOT(ISNUMBER(G326)), "", VLOOKUP(A326,'Discount Lookup'!G:H,2,FALSE)*G326)</f>
        <v/>
      </c>
      <c r="W326" s="508">
        <f t="shared" si="189"/>
        <v>0</v>
      </c>
      <c r="X326" s="508">
        <f t="shared" si="190"/>
        <v>0</v>
      </c>
      <c r="Y326" s="509" t="b">
        <f t="shared" si="191"/>
        <v>0</v>
      </c>
      <c r="Z326" s="510">
        <f t="shared" si="192"/>
        <v>0</v>
      </c>
      <c r="AA326" s="511"/>
      <c r="AB326" s="511" t="str">
        <f t="shared" si="193"/>
        <v/>
      </c>
      <c r="AC326" s="698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698"/>
      <c r="AE326" s="631" t="str">
        <f t="shared" si="194"/>
        <v/>
      </c>
      <c r="AF326" s="699" t="str">
        <f t="shared" si="195"/>
        <v/>
      </c>
      <c r="AG326" s="699"/>
      <c r="AH326" s="699"/>
      <c r="AI326" s="512">
        <f>IF(H326="credit",0,IF(AE326="free",0,IF(AE326="me",0,IF(G326&gt;0,(VLOOKUP(A326,'Discount Lookup'!J:K,2)*G326),0))))</f>
        <v>0</v>
      </c>
      <c r="AJ326" s="513" t="str">
        <f t="shared" ca="1" si="196"/>
        <v/>
      </c>
      <c r="AK326" s="700" t="str">
        <f t="shared" si="197"/>
        <v/>
      </c>
      <c r="AL326" s="700"/>
      <c r="AM326" s="505" t="str">
        <f t="shared" si="198"/>
        <v/>
      </c>
      <c r="AN326" s="506"/>
      <c r="AO326" s="507"/>
      <c r="AP326" s="507"/>
      <c r="AQ326" s="507"/>
      <c r="AR326" s="507"/>
      <c r="AS326" s="507"/>
      <c r="AT326" s="507"/>
      <c r="AU326" s="507"/>
      <c r="AV326" s="225"/>
      <c r="AW326" s="508"/>
      <c r="AX326" s="225"/>
      <c r="AY326" s="225"/>
      <c r="AZ326" s="225"/>
      <c r="BA326" s="225"/>
      <c r="BB326" s="225"/>
      <c r="BC326" s="56"/>
      <c r="BD326" s="56"/>
      <c r="BE326" s="56"/>
      <c r="BF326" s="107" t="str">
        <f t="shared" si="199"/>
        <v>https://www.google.com/search?tbm=isch&amp;q=moist%20sites%F0%9F%92%A7GOOD%2C%20Bengal%20Tiger%20foliage%20is%20a%20striking%20Green%20and%20Yellow%20striping%2C%20with%20a%20Maroon%20edge%20</v>
      </c>
      <c r="BG326" s="107" t="str">
        <f t="shared" si="200"/>
        <v>m</v>
      </c>
      <c r="BH326" s="254"/>
      <c r="BI326" s="254"/>
    </row>
    <row r="327" spans="1:61" customFormat="1" ht="18" x14ac:dyDescent="0.25">
      <c r="A327" s="521" t="s">
        <v>5347</v>
      </c>
      <c r="B327" s="477"/>
      <c r="C327" s="674"/>
      <c r="D327" s="478" t="s">
        <v>649</v>
      </c>
      <c r="E327" s="479"/>
      <c r="F327" s="479"/>
      <c r="G327" s="479"/>
      <c r="H327" s="582" t="s">
        <v>506</v>
      </c>
      <c r="I327" s="480" t="s">
        <v>654</v>
      </c>
      <c r="J327" s="479"/>
      <c r="K327" s="479"/>
      <c r="L327" s="560"/>
      <c r="M327" s="666" t="s">
        <v>4963</v>
      </c>
      <c r="N327" s="680" t="str">
        <f>IF(AND(ISTEXT($A327), ISERROR($A327+0)), HYPERLINK($BF327, "Images"), "")</f>
        <v>Images</v>
      </c>
      <c r="O327" s="662" t="s">
        <v>4971</v>
      </c>
      <c r="P327" s="482"/>
      <c r="Q327" s="483"/>
      <c r="R327" s="483"/>
      <c r="S327" s="484" t="s">
        <v>305</v>
      </c>
      <c r="T327" s="508">
        <f t="shared" si="188"/>
        <v>0</v>
      </c>
      <c r="U327" s="225" t="str">
        <f>IF(NOT(ISNUMBER(G327)), "", VLOOKUP(A327,'Discount Lookup'!D:E,2,FALSE)*G327)</f>
        <v/>
      </c>
      <c r="V327" s="225" t="str">
        <f>IF(NOT(ISNUMBER(G327)), "", VLOOKUP(A327,'Discount Lookup'!G:H,2,FALSE)*G327)</f>
        <v/>
      </c>
      <c r="W327" s="508">
        <f t="shared" si="189"/>
        <v>0</v>
      </c>
      <c r="X327" s="508" t="str">
        <f t="shared" si="190"/>
        <v>White bloom</v>
      </c>
      <c r="Y327" s="509" t="b">
        <f t="shared" si="191"/>
        <v>0</v>
      </c>
      <c r="Z327" s="510">
        <f t="shared" si="192"/>
        <v>0</v>
      </c>
      <c r="AA327" s="511"/>
      <c r="AB327" s="511" t="str">
        <f t="shared" si="193"/>
        <v/>
      </c>
      <c r="AC327" s="698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698"/>
      <c r="AE327" s="631" t="str">
        <f t="shared" si="194"/>
        <v/>
      </c>
      <c r="AF327" s="699" t="str">
        <f t="shared" si="195"/>
        <v/>
      </c>
      <c r="AG327" s="699"/>
      <c r="AH327" s="699"/>
      <c r="AI327" s="512">
        <f>IF(H327="credit",0,IF(AE327="free",0,IF(AE327="me",0,IF(G327&gt;0,(VLOOKUP(A327,'Discount Lookup'!J:K,2)*G327),0))))</f>
        <v>0</v>
      </c>
      <c r="AJ327" s="513" t="str">
        <f t="shared" ca="1" si="196"/>
        <v/>
      </c>
      <c r="AK327" s="700" t="str">
        <f t="shared" si="197"/>
        <v/>
      </c>
      <c r="AL327" s="700"/>
      <c r="AM327" s="505" t="str">
        <f t="shared" si="198"/>
        <v/>
      </c>
      <c r="AN327" s="506"/>
      <c r="AO327" s="507"/>
      <c r="AP327" s="507"/>
      <c r="AQ327" s="507"/>
      <c r="AR327" s="507"/>
      <c r="AS327" s="507"/>
      <c r="AT327" s="507"/>
      <c r="AU327" s="507"/>
      <c r="AV327" s="225"/>
      <c r="AW327" s="508"/>
      <c r="AX327" s="225"/>
      <c r="AY327" s="225"/>
      <c r="AZ327" s="225"/>
      <c r="BA327" s="225"/>
      <c r="BB327" s="225"/>
      <c r="BC327" s="56"/>
      <c r="BD327" s="56"/>
      <c r="BE327" s="56"/>
      <c r="BF327" s="107" t="str">
        <f t="shared" si="199"/>
        <v>https://www.google.com/search?tbm=isch&amp;q=BerryBux%C2%AE%20Blueberry%20Vac.%20corymbosum%20%27ZF08-095%27%20PP%2325467</v>
      </c>
      <c r="BG327" s="107" t="str">
        <f t="shared" si="200"/>
        <v>B</v>
      </c>
      <c r="BH327" s="254"/>
      <c r="BI327" s="254"/>
    </row>
    <row r="328" spans="1:61" customFormat="1" ht="15.75" x14ac:dyDescent="0.25">
      <c r="A328" s="485">
        <v>1</v>
      </c>
      <c r="B328" s="486" t="s">
        <v>291</v>
      </c>
      <c r="C328" s="487"/>
      <c r="D328" s="488" t="s">
        <v>312</v>
      </c>
      <c r="E328" s="489">
        <v>30.95</v>
      </c>
      <c r="F328" s="516" t="s">
        <v>293</v>
      </c>
      <c r="G328" s="232">
        <v>0</v>
      </c>
      <c r="H328" s="658" t="str">
        <f>IF(G328=0,"",IF(F328="Buy",IF(G328=1,"plant","plants"),IF(F328&gt;0.01,"warranty","Error")))</f>
        <v/>
      </c>
      <c r="I328" s="490">
        <f>IF(H328="free",0,IF(H328="credit",((E328*(F328))*G328*-1),IF(F328="Buy",(E328*G328),((E328*(1-F328))*G328))))</f>
        <v>0</v>
      </c>
      <c r="J328" s="490">
        <f>IF(H328="warranty",0,(I328*(_xlfn.SINGLE(SalesTaxPercentage))))</f>
        <v>0</v>
      </c>
      <c r="K328" s="695">
        <f t="shared" ref="K328" si="224">I328+J328</f>
        <v>0</v>
      </c>
      <c r="L328" s="695"/>
      <c r="M328" s="659" t="str">
        <f>IF(AND(G328&gt;0,E328=0),"WARNING - no PRICE inserted",IF(H328="free"," FREE ~ no charge this plant",IF(H328="credit",CONCATENATE(" -$",ROUND(K328*(1-T2GDiscount)*-1,2)," CREDIT after discount"),IF(T2GDiscount=0,"",IF(G328=0,"",IF(F328="Buy",CONCATENATE(" $",ROUND(K328*(1-T2GDiscount),2)," with ",(T2GDiscount*100),"% discount"),CONCATENATE(" $",ROUND(K328*(1-T2GDiscount),2)," with ",((T2GDiscount*100+F328*100)-(T2GDiscount*100*F328)),IF(F328&gt;0,"% discounts",IF(NoWarrantyDiscount&gt;0,"% discounts","% discount")))))))))</f>
        <v/>
      </c>
      <c r="N328" s="660"/>
      <c r="O328" s="233"/>
      <c r="P328" s="233"/>
      <c r="Q328" s="233"/>
      <c r="R328" s="233"/>
      <c r="S328" s="233"/>
      <c r="T328" s="508">
        <f t="shared" si="188"/>
        <v>0</v>
      </c>
      <c r="U328" s="225">
        <f>IF(NOT(ISNUMBER(G328)), "", VLOOKUP(A328,'Discount Lookup'!D:E,2,FALSE)*G328)</f>
        <v>0</v>
      </c>
      <c r="V328" s="225">
        <f>IF(NOT(ISNUMBER(G328)), "", VLOOKUP(A328,'Discount Lookup'!G:H,2,FALSE)*G328)</f>
        <v>0</v>
      </c>
      <c r="W328" s="508">
        <f t="shared" si="189"/>
        <v>0</v>
      </c>
      <c r="X328" s="508">
        <f t="shared" si="190"/>
        <v>0</v>
      </c>
      <c r="Y328" s="509" t="b">
        <f t="shared" si="191"/>
        <v>0</v>
      </c>
      <c r="Z328" s="510">
        <f t="shared" si="192"/>
        <v>0</v>
      </c>
      <c r="AA328" s="511"/>
      <c r="AB328" s="511" t="str">
        <f t="shared" si="193"/>
        <v/>
      </c>
      <c r="AC328" s="698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698"/>
      <c r="AE328" s="631" t="str">
        <f t="shared" si="194"/>
        <v/>
      </c>
      <c r="AF328" s="699" t="str">
        <f t="shared" si="195"/>
        <v/>
      </c>
      <c r="AG328" s="699"/>
      <c r="AH328" s="699"/>
      <c r="AI328" s="512">
        <f>IF(H328="credit",0,IF(AE328="free",0,IF(AE328="me",0,IF(G328&gt;0,(VLOOKUP(A328,'Discount Lookup'!J:K,2)*G328),0))))</f>
        <v>0</v>
      </c>
      <c r="AJ328" s="513" t="str">
        <f t="shared" ca="1" si="196"/>
        <v/>
      </c>
      <c r="AK328" s="700" t="str">
        <f t="shared" si="197"/>
        <v/>
      </c>
      <c r="AL328" s="700"/>
      <c r="AM328" s="505" t="str">
        <f t="shared" si="198"/>
        <v/>
      </c>
      <c r="AN328" s="506"/>
      <c r="AO328" s="507"/>
      <c r="AP328" s="507"/>
      <c r="AQ328" s="507"/>
      <c r="AR328" s="507"/>
      <c r="AS328" s="507"/>
      <c r="AT328" s="507"/>
      <c r="AU328" s="507"/>
      <c r="AV328" s="225"/>
      <c r="AW328" s="508"/>
      <c r="AX328" s="225"/>
      <c r="AY328" s="225"/>
      <c r="AZ328" s="225"/>
      <c r="BA328" s="225"/>
      <c r="BB328" s="225"/>
      <c r="BC328" s="56"/>
      <c r="BD328" s="56"/>
      <c r="BE328" s="56"/>
      <c r="BF328" s="107" t="str">
        <f t="shared" si="199"/>
        <v>https://www.google.com/search?tbm=isch&amp;q=1%20G2</v>
      </c>
      <c r="BG328" s="107" t="str">
        <f t="shared" si="200"/>
        <v>B</v>
      </c>
      <c r="BH328" s="254"/>
      <c r="BI328" s="254"/>
    </row>
    <row r="329" spans="1:61" customFormat="1" ht="17.25" thickBot="1" x14ac:dyDescent="0.3">
      <c r="A329" s="672" t="s">
        <v>5053</v>
      </c>
      <c r="B329" s="491"/>
      <c r="C329" s="675"/>
      <c r="D329" s="491"/>
      <c r="E329" s="491"/>
      <c r="F329" s="492"/>
      <c r="G329" s="493"/>
      <c r="H329" s="491"/>
      <c r="I329" s="234"/>
      <c r="J329" s="234"/>
      <c r="K329" s="494"/>
      <c r="L329" s="543"/>
      <c r="M329" s="561"/>
      <c r="N329" s="495"/>
      <c r="O329" s="496"/>
      <c r="P329" s="497"/>
      <c r="Q329" s="495"/>
      <c r="R329" s="495"/>
      <c r="S329" s="667" t="s">
        <v>4995</v>
      </c>
      <c r="T329" s="508">
        <f t="shared" si="188"/>
        <v>0</v>
      </c>
      <c r="U329" s="225" t="str">
        <f>IF(NOT(ISNUMBER(G329)), "", VLOOKUP(A329,'Discount Lookup'!D:E,2,FALSE)*G329)</f>
        <v/>
      </c>
      <c r="V329" s="225" t="str">
        <f>IF(NOT(ISNUMBER(G329)), "", VLOOKUP(A329,'Discount Lookup'!G:H,2,FALSE)*G329)</f>
        <v/>
      </c>
      <c r="W329" s="508">
        <f t="shared" si="189"/>
        <v>0</v>
      </c>
      <c r="X329" s="508">
        <f t="shared" si="190"/>
        <v>0</v>
      </c>
      <c r="Y329" s="509" t="b">
        <f t="shared" si="191"/>
        <v>0</v>
      </c>
      <c r="Z329" s="510">
        <f t="shared" si="192"/>
        <v>0</v>
      </c>
      <c r="AA329" s="511"/>
      <c r="AB329" s="511" t="str">
        <f t="shared" si="193"/>
        <v/>
      </c>
      <c r="AC329" s="698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698"/>
      <c r="AE329" s="631" t="str">
        <f t="shared" si="194"/>
        <v/>
      </c>
      <c r="AF329" s="699" t="str">
        <f t="shared" si="195"/>
        <v/>
      </c>
      <c r="AG329" s="699"/>
      <c r="AH329" s="699"/>
      <c r="AI329" s="512">
        <f>IF(H329="credit",0,IF(AE329="free",0,IF(AE329="me",0,IF(G329&gt;0,(VLOOKUP(A329,'Discount Lookup'!J:K,2)*G329),0))))</f>
        <v>0</v>
      </c>
      <c r="AJ329" s="513" t="str">
        <f t="shared" ca="1" si="196"/>
        <v/>
      </c>
      <c r="AK329" s="700" t="str">
        <f t="shared" si="197"/>
        <v/>
      </c>
      <c r="AL329" s="700"/>
      <c r="AM329" s="505" t="str">
        <f t="shared" si="198"/>
        <v/>
      </c>
      <c r="AN329" s="506"/>
      <c r="AO329" s="507"/>
      <c r="AP329" s="507"/>
      <c r="AQ329" s="507"/>
      <c r="AR329" s="507"/>
      <c r="AS329" s="507"/>
      <c r="AT329" s="507"/>
      <c r="AU329" s="507"/>
      <c r="AV329" s="225"/>
      <c r="AW329" s="508"/>
      <c r="AX329" s="225"/>
      <c r="AY329" s="225"/>
      <c r="AZ329" s="225"/>
      <c r="BA329" s="225"/>
      <c r="BB329" s="225"/>
      <c r="BC329" s="56"/>
      <c r="BD329" s="56"/>
      <c r="BE329" s="56"/>
      <c r="BF329" s="107" t="str">
        <f t="shared" si="199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29" s="107" t="str">
        <f t="shared" si="200"/>
        <v>m</v>
      </c>
      <c r="BH329" s="254"/>
      <c r="BI329" s="254"/>
    </row>
    <row r="330" spans="1:61" customFormat="1" ht="18" x14ac:dyDescent="0.25">
      <c r="A330" s="523" t="s">
        <v>412</v>
      </c>
      <c r="B330" s="235"/>
      <c r="C330" s="676"/>
      <c r="D330" s="255" t="s">
        <v>411</v>
      </c>
      <c r="E330" s="236"/>
      <c r="F330" s="236"/>
      <c r="G330" s="236"/>
      <c r="H330" s="582" t="s">
        <v>355</v>
      </c>
      <c r="I330" s="498" t="s">
        <v>843</v>
      </c>
      <c r="J330" s="237"/>
      <c r="K330" s="237"/>
      <c r="L330" s="274"/>
      <c r="M330" s="668" t="s">
        <v>4975</v>
      </c>
      <c r="N330" s="681" t="str">
        <f>IF(AND(ISTEXT($A330), ISERROR($A330+0)), HYPERLINK($BF330, "Images"), "")</f>
        <v>Images</v>
      </c>
      <c r="O330" s="663" t="s">
        <v>4967</v>
      </c>
      <c r="P330" s="253"/>
      <c r="Q330" s="238"/>
      <c r="R330" s="239"/>
      <c r="S330" s="275"/>
      <c r="T330" s="508">
        <f t="shared" si="188"/>
        <v>0</v>
      </c>
      <c r="U330" s="225" t="str">
        <f>IF(NOT(ISNUMBER(G330)), "", VLOOKUP(A330,'Discount Lookup'!D:E,2,FALSE)*G330)</f>
        <v/>
      </c>
      <c r="V330" s="225" t="str">
        <f>IF(NOT(ISNUMBER(G330)), "", VLOOKUP(A330,'Discount Lookup'!G:H,2,FALSE)*G330)</f>
        <v/>
      </c>
      <c r="W330" s="508">
        <f t="shared" si="189"/>
        <v>0</v>
      </c>
      <c r="X330" s="508" t="str">
        <f t="shared" si="190"/>
        <v>Reddish-Purple bloom</v>
      </c>
      <c r="Y330" s="509" t="b">
        <f t="shared" si="191"/>
        <v>0</v>
      </c>
      <c r="Z330" s="510">
        <f t="shared" si="192"/>
        <v>0</v>
      </c>
      <c r="AA330" s="511"/>
      <c r="AB330" s="511" t="str">
        <f t="shared" si="193"/>
        <v/>
      </c>
      <c r="AC330" s="698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698"/>
      <c r="AE330" s="631" t="str">
        <f t="shared" si="194"/>
        <v/>
      </c>
      <c r="AF330" s="699" t="str">
        <f t="shared" si="195"/>
        <v/>
      </c>
      <c r="AG330" s="699"/>
      <c r="AH330" s="699"/>
      <c r="AI330" s="512">
        <f>IF(H330="credit",0,IF(AE330="free",0,IF(AE330="me",0,IF(G330&gt;0,(VLOOKUP(A330,'Discount Lookup'!J:K,2)*G330),0))))</f>
        <v>0</v>
      </c>
      <c r="AJ330" s="513" t="str">
        <f t="shared" ca="1" si="196"/>
        <v/>
      </c>
      <c r="AK330" s="700" t="str">
        <f t="shared" si="197"/>
        <v/>
      </c>
      <c r="AL330" s="700"/>
      <c r="AM330" s="505" t="str">
        <f t="shared" si="198"/>
        <v/>
      </c>
      <c r="AN330" s="506"/>
      <c r="AO330" s="507"/>
      <c r="AP330" s="507"/>
      <c r="AQ330" s="507"/>
      <c r="AR330" s="507"/>
      <c r="AS330" s="507"/>
      <c r="AT330" s="507"/>
      <c r="AU330" s="507"/>
      <c r="AV330" s="225"/>
      <c r="AW330" s="508"/>
      <c r="AX330" s="225"/>
      <c r="AY330" s="225"/>
      <c r="AZ330" s="225"/>
      <c r="BA330" s="225"/>
      <c r="BB330" s="225"/>
      <c r="BC330" s="56"/>
      <c r="BD330" s="56"/>
      <c r="BE330" s="56"/>
      <c r="BF330" s="107" t="str">
        <f t="shared" si="199"/>
        <v>https://www.google.com/search?tbm=isch&amp;q=Betty%20Magnolia%20Magnolia%20%27Betty%27</v>
      </c>
      <c r="BG330" s="107" t="str">
        <f t="shared" si="200"/>
        <v>B</v>
      </c>
      <c r="BH330" s="254"/>
      <c r="BI330" s="254"/>
    </row>
    <row r="331" spans="1:61" customFormat="1" ht="15.75" x14ac:dyDescent="0.25">
      <c r="A331" s="276">
        <v>3</v>
      </c>
      <c r="B331" s="240" t="s">
        <v>291</v>
      </c>
      <c r="C331" s="241" t="s">
        <v>2750</v>
      </c>
      <c r="D331" s="242" t="s">
        <v>299</v>
      </c>
      <c r="E331" s="243">
        <v>33.950000000000003</v>
      </c>
      <c r="F331" s="517" t="s">
        <v>293</v>
      </c>
      <c r="G331" s="232">
        <v>0</v>
      </c>
      <c r="H331" s="661" t="str">
        <f>IF(G331=0,"",IF(F331="Buy",IF(G331=1,"plant","plants"),IF(F331&gt;0.01,"warranty","Error")))</f>
        <v/>
      </c>
      <c r="I331" s="244">
        <f>IF(H331="free",0,IF(H331="credit",((E331*(F331))*G331*-1),IF(F331="Buy",(E331*G331),((E331*(1-F331))*G331))))</f>
        <v>0</v>
      </c>
      <c r="J331" s="244">
        <f>IF(H331="warranty",0,(I331*(_xlfn.SINGLE(SalesTaxPercentage))))</f>
        <v>0</v>
      </c>
      <c r="K331" s="696">
        <f t="shared" ref="K331" si="225">I331+J331</f>
        <v>0</v>
      </c>
      <c r="L331" s="696"/>
      <c r="M331" s="659" t="str">
        <f>IF(AND(G331&gt;0,E331=0),"WARNING - no PRICE inserted",IF(H331="free"," FREE ~ no charge this plant",IF(H331="credit",CONCATENATE(" -$",ROUND(K331*(1-T2GDiscount)*-1,2)," CREDIT after discount"),IF(T2GDiscount=0,"",IF(G331=0,"",IF(F331="Buy",CONCATENATE(" $",ROUND(K331*(1-T2GDiscount),2)," with ",(T2GDiscount*100),"% discount"),CONCATENATE(" $",ROUND(K331*(1-T2GDiscount),2)," with ",((T2GDiscount*100+F331*100)-(T2GDiscount*100*F331)),IF(F331&gt;0,"% discounts",IF(NoWarrantyDiscount&gt;0,"% discounts","% discount")))))))))</f>
        <v/>
      </c>
      <c r="N331" s="660"/>
      <c r="O331" s="233"/>
      <c r="P331" s="233"/>
      <c r="Q331" s="233"/>
      <c r="R331" s="233"/>
      <c r="S331" s="233"/>
      <c r="T331" s="508">
        <f t="shared" si="188"/>
        <v>0</v>
      </c>
      <c r="U331" s="225">
        <f>IF(NOT(ISNUMBER(G331)), "", VLOOKUP(A331,'Discount Lookup'!D:E,2,FALSE)*G331)</f>
        <v>0</v>
      </c>
      <c r="V331" s="225">
        <f>IF(NOT(ISNUMBER(G331)), "", VLOOKUP(A331,'Discount Lookup'!G:H,2,FALSE)*G331)</f>
        <v>0</v>
      </c>
      <c r="W331" s="508">
        <f t="shared" si="189"/>
        <v>0</v>
      </c>
      <c r="X331" s="508">
        <f t="shared" si="190"/>
        <v>0</v>
      </c>
      <c r="Y331" s="509" t="b">
        <f t="shared" si="191"/>
        <v>0</v>
      </c>
      <c r="Z331" s="510">
        <f t="shared" si="192"/>
        <v>0</v>
      </c>
      <c r="AA331" s="511"/>
      <c r="AB331" s="511" t="str">
        <f t="shared" si="193"/>
        <v/>
      </c>
      <c r="AC331" s="698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698"/>
      <c r="AE331" s="631" t="str">
        <f t="shared" si="194"/>
        <v/>
      </c>
      <c r="AF331" s="699" t="str">
        <f t="shared" si="195"/>
        <v/>
      </c>
      <c r="AG331" s="699"/>
      <c r="AH331" s="699"/>
      <c r="AI331" s="512">
        <f>IF(H331="credit",0,IF(AE331="free",0,IF(AE331="me",0,IF(G331&gt;0,(VLOOKUP(A331,'Discount Lookup'!J:K,2)*G331),0))))</f>
        <v>0</v>
      </c>
      <c r="AJ331" s="513" t="str">
        <f t="shared" ca="1" si="196"/>
        <v/>
      </c>
      <c r="AK331" s="700" t="str">
        <f t="shared" si="197"/>
        <v/>
      </c>
      <c r="AL331" s="700"/>
      <c r="AM331" s="505" t="str">
        <f t="shared" si="198"/>
        <v/>
      </c>
      <c r="AN331" s="506"/>
      <c r="AO331" s="507"/>
      <c r="AP331" s="507"/>
      <c r="AQ331" s="507"/>
      <c r="AR331" s="507"/>
      <c r="AS331" s="507"/>
      <c r="AT331" s="507"/>
      <c r="AU331" s="507"/>
      <c r="AV331" s="225"/>
      <c r="AW331" s="508"/>
      <c r="AX331" s="225"/>
      <c r="AY331" s="225"/>
      <c r="AZ331" s="225"/>
      <c r="BA331" s="225"/>
      <c r="BB331" s="225"/>
      <c r="BC331" s="56"/>
      <c r="BD331" s="56"/>
      <c r="BE331" s="56"/>
      <c r="BF331" s="107" t="str">
        <f t="shared" si="199"/>
        <v>https://www.google.com/search?tbm=isch&amp;q=3%20G5</v>
      </c>
      <c r="BG331" s="107" t="str">
        <f t="shared" si="200"/>
        <v>B</v>
      </c>
      <c r="BH331" s="254"/>
      <c r="BI331" s="254"/>
    </row>
    <row r="332" spans="1:61" customFormat="1" ht="15.75" x14ac:dyDescent="0.25">
      <c r="A332" s="276">
        <v>7</v>
      </c>
      <c r="B332" s="240" t="s">
        <v>291</v>
      </c>
      <c r="C332" s="241" t="s">
        <v>413</v>
      </c>
      <c r="D332" s="242" t="s">
        <v>299</v>
      </c>
      <c r="E332" s="243">
        <v>68.95</v>
      </c>
      <c r="F332" s="517" t="s">
        <v>293</v>
      </c>
      <c r="G332" s="232">
        <v>0</v>
      </c>
      <c r="H332" s="661" t="str">
        <f>IF(G332=0,"",IF(F332="Buy",IF(G332=1,"plant","plants"),IF(F332&gt;0.01,"warranty","Error")))</f>
        <v/>
      </c>
      <c r="I332" s="244">
        <f>IF(H332="free",0,IF(H332="credit",((E332*(F332))*G332*-1),IF(F332="Buy",(E332*G332),((E332*(1-F332))*G332))))</f>
        <v>0</v>
      </c>
      <c r="J332" s="244">
        <f>IF(H332="warranty",0,(I332*(_xlfn.SINGLE(SalesTaxPercentage))))</f>
        <v>0</v>
      </c>
      <c r="K332" s="696">
        <f t="shared" ref="K332" si="226">I332+J332</f>
        <v>0</v>
      </c>
      <c r="L332" s="696"/>
      <c r="M332" s="659" t="str">
        <f>IF(AND(G332&gt;0,E332=0),"WARNING - no PRICE inserted",IF(H332="free"," FREE ~ no charge this plant",IF(H332="credit",CONCATENATE(" -$",ROUND(K332*(1-T2GDiscount)*-1,2)," CREDIT after discount"),IF(T2GDiscount=0,"",IF(G332=0,"",IF(F332="Buy",CONCATENATE(" $",ROUND(K332*(1-T2GDiscount),2)," with ",(T2GDiscount*100),"% discount"),CONCATENATE(" $",ROUND(K332*(1-T2GDiscount),2)," with ",((T2GDiscount*100+F332*100)-(T2GDiscount*100*F332)),IF(F332&gt;0,"% discounts",IF(NoWarrantyDiscount&gt;0,"% discounts","% discount")))))))))</f>
        <v/>
      </c>
      <c r="N332" s="660"/>
      <c r="O332" s="233"/>
      <c r="P332" s="233"/>
      <c r="Q332" s="233"/>
      <c r="R332" s="233"/>
      <c r="S332" s="233"/>
      <c r="T332" s="508">
        <f t="shared" si="188"/>
        <v>0</v>
      </c>
      <c r="U332" s="225">
        <f>IF(NOT(ISNUMBER(G332)), "", VLOOKUP(A332,'Discount Lookup'!D:E,2,FALSE)*G332)</f>
        <v>0</v>
      </c>
      <c r="V332" s="225">
        <f>IF(NOT(ISNUMBER(G332)), "", VLOOKUP(A332,'Discount Lookup'!G:H,2,FALSE)*G332)</f>
        <v>0</v>
      </c>
      <c r="W332" s="508">
        <f t="shared" si="189"/>
        <v>0</v>
      </c>
      <c r="X332" s="508">
        <f t="shared" si="190"/>
        <v>0</v>
      </c>
      <c r="Y332" s="509" t="b">
        <f t="shared" si="191"/>
        <v>0</v>
      </c>
      <c r="Z332" s="510">
        <f t="shared" si="192"/>
        <v>0</v>
      </c>
      <c r="AA332" s="511"/>
      <c r="AB332" s="511" t="str">
        <f t="shared" si="193"/>
        <v/>
      </c>
      <c r="AC332" s="698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698"/>
      <c r="AE332" s="631" t="str">
        <f t="shared" si="194"/>
        <v/>
      </c>
      <c r="AF332" s="699" t="str">
        <f t="shared" si="195"/>
        <v/>
      </c>
      <c r="AG332" s="699"/>
      <c r="AH332" s="699"/>
      <c r="AI332" s="512">
        <f>IF(H332="credit",0,IF(AE332="free",0,IF(AE332="me",0,IF(G332&gt;0,(VLOOKUP(A332,'Discount Lookup'!J:K,2)*G332),0))))</f>
        <v>0</v>
      </c>
      <c r="AJ332" s="513" t="str">
        <f t="shared" ca="1" si="196"/>
        <v/>
      </c>
      <c r="AK332" s="700" t="str">
        <f t="shared" si="197"/>
        <v/>
      </c>
      <c r="AL332" s="700"/>
      <c r="AM332" s="505" t="str">
        <f t="shared" si="198"/>
        <v/>
      </c>
      <c r="AN332" s="506"/>
      <c r="AO332" s="507"/>
      <c r="AP332" s="507"/>
      <c r="AQ332" s="507"/>
      <c r="AR332" s="507"/>
      <c r="AS332" s="507"/>
      <c r="AT332" s="507"/>
      <c r="AU332" s="507"/>
      <c r="AV332" s="225"/>
      <c r="AW332" s="508"/>
      <c r="AX332" s="225"/>
      <c r="AY332" s="225"/>
      <c r="AZ332" s="225"/>
      <c r="BA332" s="225"/>
      <c r="BB332" s="225"/>
      <c r="BC332" s="56"/>
      <c r="BD332" s="56"/>
      <c r="BE332" s="56"/>
      <c r="BF332" s="107" t="str">
        <f t="shared" si="199"/>
        <v>https://www.google.com/search?tbm=isch&amp;q=7%20G5</v>
      </c>
      <c r="BG332" s="107" t="str">
        <f t="shared" si="200"/>
        <v>B</v>
      </c>
      <c r="BH332" s="254"/>
      <c r="BI332" s="254"/>
    </row>
    <row r="333" spans="1:61" customFormat="1" ht="15.75" x14ac:dyDescent="0.25">
      <c r="A333" s="276">
        <v>15</v>
      </c>
      <c r="B333" s="240" t="s">
        <v>291</v>
      </c>
      <c r="C333" s="241" t="s">
        <v>2714</v>
      </c>
      <c r="D333" s="242" t="s">
        <v>299</v>
      </c>
      <c r="E333" s="243">
        <v>155.94999999999999</v>
      </c>
      <c r="F333" s="517" t="s">
        <v>293</v>
      </c>
      <c r="G333" s="232">
        <v>0</v>
      </c>
      <c r="H333" s="661" t="str">
        <f>IF(G333=0,"",IF(F333="Buy",IF(G333=1,"plant","plants"),IF(F333&gt;0.01,"warranty","Error")))</f>
        <v/>
      </c>
      <c r="I333" s="244">
        <f>IF(H333="free",0,IF(H333="credit",((E333*(F333))*G333*-1),IF(F333="Buy",(E333*G333),((E333*(1-F333))*G333))))</f>
        <v>0</v>
      </c>
      <c r="J333" s="244">
        <f>IF(H333="warranty",0,(I333*(_xlfn.SINGLE(SalesTaxPercentage))))</f>
        <v>0</v>
      </c>
      <c r="K333" s="696">
        <f t="shared" ref="K333" si="227">I333+J333</f>
        <v>0</v>
      </c>
      <c r="L333" s="696"/>
      <c r="M333" s="659" t="str">
        <f>IF(AND(G333&gt;0,E333=0),"WARNING - no PRICE inserted",IF(H333="free"," FREE ~ no charge this plant",IF(H333="credit",CONCATENATE(" -$",ROUND(K333*(1-T2GDiscount)*-1,2)," CREDIT after discount"),IF(T2GDiscount=0,"",IF(G333=0,"",IF(F333="Buy",CONCATENATE(" $",ROUND(K333*(1-T2GDiscount),2)," with ",(T2GDiscount*100),"% discount"),CONCATENATE(" $",ROUND(K333*(1-T2GDiscount),2)," with ",((T2GDiscount*100+F333*100)-(T2GDiscount*100*F333)),IF(F333&gt;0,"% discounts",IF(NoWarrantyDiscount&gt;0,"% discounts","% discount")))))))))</f>
        <v/>
      </c>
      <c r="N333" s="660"/>
      <c r="O333" s="233"/>
      <c r="P333" s="233"/>
      <c r="Q333" s="233"/>
      <c r="R333" s="233"/>
      <c r="S333" s="233"/>
      <c r="T333" s="508">
        <f t="shared" si="188"/>
        <v>0</v>
      </c>
      <c r="U333" s="225">
        <f>IF(NOT(ISNUMBER(G333)), "", VLOOKUP(A333,'Discount Lookup'!D:E,2,FALSE)*G333)</f>
        <v>0</v>
      </c>
      <c r="V333" s="225">
        <f>IF(NOT(ISNUMBER(G333)), "", VLOOKUP(A333,'Discount Lookup'!G:H,2,FALSE)*G333)</f>
        <v>0</v>
      </c>
      <c r="W333" s="508">
        <f t="shared" si="189"/>
        <v>0</v>
      </c>
      <c r="X333" s="508">
        <f t="shared" si="190"/>
        <v>0</v>
      </c>
      <c r="Y333" s="509" t="b">
        <f t="shared" si="191"/>
        <v>0</v>
      </c>
      <c r="Z333" s="510">
        <f t="shared" si="192"/>
        <v>0</v>
      </c>
      <c r="AA333" s="511"/>
      <c r="AB333" s="511" t="str">
        <f t="shared" si="193"/>
        <v/>
      </c>
      <c r="AC333" s="698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698"/>
      <c r="AE333" s="631" t="str">
        <f t="shared" si="194"/>
        <v/>
      </c>
      <c r="AF333" s="699" t="str">
        <f t="shared" si="195"/>
        <v/>
      </c>
      <c r="AG333" s="699"/>
      <c r="AH333" s="699"/>
      <c r="AI333" s="512">
        <f>IF(H333="credit",0,IF(AE333="free",0,IF(AE333="me",0,IF(G333&gt;0,(VLOOKUP(A333,'Discount Lookup'!J:K,2)*G333),0))))</f>
        <v>0</v>
      </c>
      <c r="AJ333" s="513" t="str">
        <f t="shared" ca="1" si="196"/>
        <v/>
      </c>
      <c r="AK333" s="700" t="str">
        <f t="shared" si="197"/>
        <v/>
      </c>
      <c r="AL333" s="700"/>
      <c r="AM333" s="505" t="str">
        <f t="shared" si="198"/>
        <v/>
      </c>
      <c r="AN333" s="506"/>
      <c r="AO333" s="507"/>
      <c r="AP333" s="507"/>
      <c r="AQ333" s="507"/>
      <c r="AR333" s="507"/>
      <c r="AS333" s="507"/>
      <c r="AT333" s="507"/>
      <c r="AU333" s="507"/>
      <c r="AV333" s="225"/>
      <c r="AW333" s="508"/>
      <c r="AX333" s="225"/>
      <c r="AY333" s="225"/>
      <c r="AZ333" s="225"/>
      <c r="BA333" s="225"/>
      <c r="BB333" s="225"/>
      <c r="BC333" s="56"/>
      <c r="BD333" s="56"/>
      <c r="BE333" s="56"/>
      <c r="BF333" s="107" t="str">
        <f t="shared" si="199"/>
        <v>https://www.google.com/search?tbm=isch&amp;q=15%20G5</v>
      </c>
      <c r="BG333" s="107" t="str">
        <f t="shared" si="200"/>
        <v>B</v>
      </c>
      <c r="BH333" s="254"/>
      <c r="BI333" s="254"/>
    </row>
    <row r="334" spans="1:61" customFormat="1" ht="17.25" thickBot="1" x14ac:dyDescent="0.3">
      <c r="A334" s="524" t="s">
        <v>2339</v>
      </c>
      <c r="B334" s="245"/>
      <c r="C334" s="677"/>
      <c r="D334" s="499"/>
      <c r="E334" s="499"/>
      <c r="F334" s="500"/>
      <c r="G334" s="501"/>
      <c r="H334" s="502"/>
      <c r="I334" s="246"/>
      <c r="J334" s="247"/>
      <c r="K334" s="503"/>
      <c r="L334" s="544"/>
      <c r="M334" s="544"/>
      <c r="N334" s="500"/>
      <c r="O334" s="500"/>
      <c r="P334" s="500"/>
      <c r="Q334" s="500"/>
      <c r="R334" s="500"/>
      <c r="S334" s="669" t="s">
        <v>4996</v>
      </c>
      <c r="T334" s="508">
        <f t="shared" ref="T334:T397" si="228">E334*G334</f>
        <v>0</v>
      </c>
      <c r="U334" s="225" t="str">
        <f>IF(NOT(ISNUMBER(G334)), "", VLOOKUP(A334,'Discount Lookup'!D:E,2,FALSE)*G334)</f>
        <v/>
      </c>
      <c r="V334" s="225" t="str">
        <f>IF(NOT(ISNUMBER(G334)), "", VLOOKUP(A334,'Discount Lookup'!G:H,2,FALSE)*G334)</f>
        <v/>
      </c>
      <c r="W334" s="508">
        <f t="shared" ref="W334:W397" si="229">IF(H334="credit",0,E334*(SalesTaxPercentage)*G334)</f>
        <v>0</v>
      </c>
      <c r="X334" s="508">
        <f t="shared" ref="X334:X397" si="230">I334</f>
        <v>0</v>
      </c>
      <c r="Y334" s="509" t="b">
        <f t="shared" ref="Y334:Y397" si="231">IF(AE334="T2G",0,IF(H334="credit",0,IF(G334&gt;0,IF(AE334="me","",G334))))</f>
        <v>0</v>
      </c>
      <c r="Z334" s="510">
        <f t="shared" ref="Z334:Z397" si="232">IF(H334="credit",G334,0)</f>
        <v>0</v>
      </c>
      <c r="AA334" s="511"/>
      <c r="AB334" s="511" t="str">
        <f t="shared" ref="AB334:AB397" si="233">IF(AE334="T2G","by Trees2Go",IF(H334="credit","CREDIT only ~",IF(AND(K334="",AE334=OR(PlanterYesMe="No",PlanterYesMe="N",PlanterYesMe="me")),"not THIS line⇨",IF(AND(K334="images",AE334="me"),"not THIS line⇨",IF(H334="credit","",IF(G334=0,"",IF(AE334="me","",IF(OR(PlanterYesMe="No",PlanterYesMe="N",PlanterYesMe="me"),"",IF(AE334="free","warranty",IF(OR(PlanterYesMe="yes",PlanterYesMe="y"),"Edison install:","to install:"))))))))))</f>
        <v/>
      </c>
      <c r="AC334" s="698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698"/>
      <c r="AE334" s="631" t="str">
        <f t="shared" ref="AE334:AE397" si="234">IF(H334="credit","",IF(G334=0,"",IF(OR(PlanterYesMe="No",PlanterYesMe="N",PlanterYesMe="me"),"me",IF(H334="warranty","free",IF(OR(PlanterYesMe="yes",PlanterYesMe="y"),"ELP","")))))</f>
        <v/>
      </c>
      <c r="AF334" s="699" t="str">
        <f t="shared" ref="AF334:AF397" si="235">IF(OR(PlanterYesMe="No",PlanterYesMe="N",PlanterYesMe="me"),"",IF(H334="credit","",IF(G334&gt;0,(CONCATENATE((G334)," quantity, ",(A334)," ",B334)),"")))</f>
        <v/>
      </c>
      <c r="AG334" s="699"/>
      <c r="AH334" s="699"/>
      <c r="AI334" s="512">
        <f>IF(H334="credit",0,IF(AE334="free",0,IF(AE334="me",0,IF(G334&gt;0,(VLOOKUP(A334,'Discount Lookup'!J:K,2)*G334),0))))</f>
        <v>0</v>
      </c>
      <c r="AJ334" s="513" t="str">
        <f t="shared" ref="AJ334:AJ397" ca="1" si="236">IF(AND(ISREF(H334),H334="credit"),"",IF(AND(AND(OFFSET(G334,0,0)=0,OFFSET(G334,1,0)&gt;0,ISNUMBER(OFFSET(AC334,1,0)),OFFSET(AC334,1,0)&gt;0),OR(PlanterYesMe="yes",PlanterYesMe="y")),"T2G+ELP=",IF(AND(OFFSET(G334,0,0)=0,OFFSET(G334,1,0)&gt;0,ISNUMBER(OFFSET(AC334,1,0)),OFFSET(AC334,1,0)&gt;0),"if T2G+ELP=",IF(AND(OFFSET(G334,0,0)=0,OFFSET(G334,1,0)&gt;0),"T2G Subtotal",IF(H334="credit","",IF(G334=0,"",IF(AE334="free",(K334*(1-T2GDiscount)),IF(OR(PlanterYesMe="No",PlanterYesMe="N",PlanterYesMe="me"),(K334*(1-T2GDiscount)),IF(OR(AE334="me",AE334="T2G"),(K334*(1-T2GDiscount)),(K334*(1-T2GDiscount))+AC334)))))))))</f>
        <v/>
      </c>
      <c r="AK334" s="700" t="str">
        <f t="shared" ref="AK334:AK397" si="237">IF(H334="credit","",IF(G334=0,"",IF(OR(AE334="me",AE334="T2G"),"  delivery-only",IF(OR(PlanterYesMe="No",PlanterYesMe="N",PlanterYesMe="me"),"  delivery-only",CONCATENATE(" $",ROUND(AJ334/G334,2)," each")))))</f>
        <v/>
      </c>
      <c r="AL334" s="700"/>
      <c r="AM334" s="505" t="str">
        <f t="shared" ref="AM334:AM397" si="238">IF(H334="credit","",IF(AE334="free","      ~ discounts included, no tax or planting fee applies ~",IF(G334=0,"",IF(OR(PlanterYesMe="No",PlanterYesMe="N",PlanterYesMe="me"),CONCATENATE(" $",ROUND(AJ334/G334,2)," per plant, with tax &amp; discount"),IF(OR(AE334="me",AE334="T2G"),CONCATENATE(" $",ROUND(AJ334/G334,2)," per plant, with tax &amp; discount"),CONCATENATE("= $",ROUND((K334*(1-T2GDiscount))/G334,2)," per plant + $",AC334/G334,(" per planting      ~ includes tax &amp; discounts ~")))))))</f>
        <v/>
      </c>
      <c r="AN334" s="506"/>
      <c r="AO334" s="507"/>
      <c r="AP334" s="507"/>
      <c r="AQ334" s="507"/>
      <c r="AR334" s="507"/>
      <c r="AS334" s="507"/>
      <c r="AT334" s="507"/>
      <c r="AU334" s="507"/>
      <c r="AV334" s="225"/>
      <c r="AW334" s="508"/>
      <c r="AX334" s="225"/>
      <c r="AY334" s="225"/>
      <c r="AZ334" s="225"/>
      <c r="BA334" s="225"/>
      <c r="BB334" s="225"/>
      <c r="BC334" s="56"/>
      <c r="BD334" s="56"/>
      <c r="BE334" s="56"/>
      <c r="BF334" s="107" t="str">
        <f t="shared" ref="BF334:BF397" si="239">"https://www.google.com/search?tbm=isch&amp;q=" &amp; _xlfn.ENCODEURL($A334 &amp; " " &amp; $D334)</f>
        <v>https://www.google.com/search?tbm=isch&amp;q=Betty%20has%20large%20cup-like%20flowers%2C%20up%20to%208%22%20across.%20Part%20of%20%27Little%20Girl%27%20series%2C%20for%20compact%20size%20and%20later%20blooming%20</v>
      </c>
      <c r="BG334" s="107" t="str">
        <f t="shared" ref="BG334:BG397" si="240">IF(ISTEXT(A334),LEFT(A334,1),BG333)</f>
        <v>B</v>
      </c>
      <c r="BH334" s="254"/>
      <c r="BI334" s="254"/>
    </row>
    <row r="335" spans="1:61" customFormat="1" ht="18" x14ac:dyDescent="0.25">
      <c r="A335" s="521" t="s">
        <v>576</v>
      </c>
      <c r="B335" s="477"/>
      <c r="C335" s="674"/>
      <c r="D335" s="478" t="s">
        <v>575</v>
      </c>
      <c r="E335" s="479"/>
      <c r="F335" s="479"/>
      <c r="G335" s="479"/>
      <c r="H335" s="582" t="s">
        <v>1164</v>
      </c>
      <c r="I335" s="480" t="s">
        <v>667</v>
      </c>
      <c r="J335" s="479"/>
      <c r="K335" s="479"/>
      <c r="L335" s="560"/>
      <c r="M335" s="666" t="s">
        <v>4966</v>
      </c>
      <c r="N335" s="680" t="str">
        <f>IF(AND(ISTEXT($A335), ISERROR($A335+0)), HYPERLINK($BF335, "Images"), "")</f>
        <v>Images</v>
      </c>
      <c r="O335" s="662" t="s">
        <v>4967</v>
      </c>
      <c r="P335" s="482"/>
      <c r="Q335" s="483"/>
      <c r="R335" s="483"/>
      <c r="S335" s="484"/>
      <c r="T335" s="508">
        <f t="shared" si="228"/>
        <v>0</v>
      </c>
      <c r="U335" s="225" t="str">
        <f>IF(NOT(ISNUMBER(G335)), "", VLOOKUP(A335,'Discount Lookup'!D:E,2,FALSE)*G335)</f>
        <v/>
      </c>
      <c r="V335" s="225" t="str">
        <f>IF(NOT(ISNUMBER(G335)), "", VLOOKUP(A335,'Discount Lookup'!G:H,2,FALSE)*G335)</f>
        <v/>
      </c>
      <c r="W335" s="508">
        <f t="shared" si="229"/>
        <v>0</v>
      </c>
      <c r="X335" s="508" t="str">
        <f t="shared" si="230"/>
        <v>Lilac-Purple bloom</v>
      </c>
      <c r="Y335" s="509" t="b">
        <f t="shared" si="231"/>
        <v>0</v>
      </c>
      <c r="Z335" s="510">
        <f t="shared" si="232"/>
        <v>0</v>
      </c>
      <c r="AA335" s="511"/>
      <c r="AB335" s="511" t="str">
        <f t="shared" si="233"/>
        <v/>
      </c>
      <c r="AC335" s="698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698"/>
      <c r="AE335" s="631" t="str">
        <f t="shared" si="234"/>
        <v/>
      </c>
      <c r="AF335" s="699" t="str">
        <f t="shared" si="235"/>
        <v/>
      </c>
      <c r="AG335" s="699"/>
      <c r="AH335" s="699"/>
      <c r="AI335" s="512">
        <f>IF(H335="credit",0,IF(AE335="free",0,IF(AE335="me",0,IF(G335&gt;0,(VLOOKUP(A335,'Discount Lookup'!J:K,2)*G335),0))))</f>
        <v>0</v>
      </c>
      <c r="AJ335" s="513" t="str">
        <f t="shared" ca="1" si="236"/>
        <v/>
      </c>
      <c r="AK335" s="700" t="str">
        <f t="shared" si="237"/>
        <v/>
      </c>
      <c r="AL335" s="700"/>
      <c r="AM335" s="505" t="str">
        <f t="shared" si="238"/>
        <v/>
      </c>
      <c r="AN335" s="506"/>
      <c r="AO335" s="507"/>
      <c r="AP335" s="507"/>
      <c r="AQ335" s="507"/>
      <c r="AR335" s="507"/>
      <c r="AS335" s="507"/>
      <c r="AT335" s="507"/>
      <c r="AU335" s="507"/>
      <c r="AV335" s="225"/>
      <c r="AW335" s="508"/>
      <c r="AX335" s="225"/>
      <c r="AY335" s="225"/>
      <c r="AZ335" s="225"/>
      <c r="BA335" s="225"/>
      <c r="BB335" s="225"/>
      <c r="BC335" s="56"/>
      <c r="BD335" s="56"/>
      <c r="BE335" s="56"/>
      <c r="BF335" s="107" t="str">
        <f t="shared" si="239"/>
        <v>https://www.google.com/search?tbm=isch&amp;q=Big%20Blue%20Liriope%20Liriope%20muscari%20%27Big%20Blue%27</v>
      </c>
      <c r="BG335" s="107" t="str">
        <f t="shared" si="240"/>
        <v>B</v>
      </c>
      <c r="BH335" s="254"/>
      <c r="BI335" s="254"/>
    </row>
    <row r="336" spans="1:61" customFormat="1" ht="15.75" x14ac:dyDescent="0.25">
      <c r="A336" s="485">
        <v>1</v>
      </c>
      <c r="B336" s="486" t="s">
        <v>291</v>
      </c>
      <c r="C336" s="487"/>
      <c r="D336" s="488" t="s">
        <v>312</v>
      </c>
      <c r="E336" s="489">
        <v>9.9499999999999993</v>
      </c>
      <c r="F336" s="516" t="s">
        <v>293</v>
      </c>
      <c r="G336" s="232">
        <v>0</v>
      </c>
      <c r="H336" s="658" t="str">
        <f>IF(G336=0,"",IF(F336="Buy",IF(G336=1,"plant","plants"),IF(F336&gt;0.01,"warranty","Error")))</f>
        <v/>
      </c>
      <c r="I336" s="490">
        <f>IF(H336="free",0,IF(H336="credit",((E336*(F336))*G336*-1),IF(F336="Buy",(E336*G336),((E336*(1-F336))*G336))))</f>
        <v>0</v>
      </c>
      <c r="J336" s="490">
        <f>IF(H336="warranty",0,(I336*(_xlfn.SINGLE(SalesTaxPercentage))))</f>
        <v>0</v>
      </c>
      <c r="K336" s="695">
        <f t="shared" ref="K336" si="241">I336+J336</f>
        <v>0</v>
      </c>
      <c r="L336" s="695"/>
      <c r="M336" s="659" t="str">
        <f>IF(AND(G336&gt;0,E336=0),"WARNING - no PRICE inserted",IF(H336="free"," FREE ~ no charge this plant",IF(H336="credit",CONCATENATE(" -$",ROUND(K336*(1-T2GDiscount)*-1,2)," CREDIT after discount"),IF(T2GDiscount=0,"",IF(G336=0,"",IF(F336="Buy",CONCATENATE(" $",ROUND(K336*(1-T2GDiscount),2)," with ",(T2GDiscount*100),"% discount"),CONCATENATE(" $",ROUND(K336*(1-T2GDiscount),2)," with ",((T2GDiscount*100+F336*100)-(T2GDiscount*100*F336)),IF(F336&gt;0,"% discounts",IF(NoWarrantyDiscount&gt;0,"% discounts","% discount")))))))))</f>
        <v/>
      </c>
      <c r="N336" s="660"/>
      <c r="O336" s="233"/>
      <c r="P336" s="233"/>
      <c r="Q336" s="233"/>
      <c r="R336" s="233"/>
      <c r="S336" s="233"/>
      <c r="T336" s="508">
        <f t="shared" si="228"/>
        <v>0</v>
      </c>
      <c r="U336" s="225">
        <f>IF(NOT(ISNUMBER(G336)), "", VLOOKUP(A336,'Discount Lookup'!D:E,2,FALSE)*G336)</f>
        <v>0</v>
      </c>
      <c r="V336" s="225">
        <f>IF(NOT(ISNUMBER(G336)), "", VLOOKUP(A336,'Discount Lookup'!G:H,2,FALSE)*G336)</f>
        <v>0</v>
      </c>
      <c r="W336" s="508">
        <f t="shared" si="229"/>
        <v>0</v>
      </c>
      <c r="X336" s="508">
        <f t="shared" si="230"/>
        <v>0</v>
      </c>
      <c r="Y336" s="509" t="b">
        <f t="shared" si="231"/>
        <v>0</v>
      </c>
      <c r="Z336" s="510">
        <f t="shared" si="232"/>
        <v>0</v>
      </c>
      <c r="AA336" s="511"/>
      <c r="AB336" s="511" t="str">
        <f t="shared" si="233"/>
        <v/>
      </c>
      <c r="AC336" s="698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698"/>
      <c r="AE336" s="631" t="str">
        <f t="shared" si="234"/>
        <v/>
      </c>
      <c r="AF336" s="699" t="str">
        <f t="shared" si="235"/>
        <v/>
      </c>
      <c r="AG336" s="699"/>
      <c r="AH336" s="699"/>
      <c r="AI336" s="512">
        <f>IF(H336="credit",0,IF(AE336="free",0,IF(AE336="me",0,IF(G336&gt;0,(VLOOKUP(A336,'Discount Lookup'!J:K,2)*G336),0))))</f>
        <v>0</v>
      </c>
      <c r="AJ336" s="513" t="str">
        <f t="shared" ca="1" si="236"/>
        <v/>
      </c>
      <c r="AK336" s="700" t="str">
        <f t="shared" si="237"/>
        <v/>
      </c>
      <c r="AL336" s="700"/>
      <c r="AM336" s="505" t="str">
        <f t="shared" si="238"/>
        <v/>
      </c>
      <c r="AN336" s="506"/>
      <c r="AO336" s="507"/>
      <c r="AP336" s="507"/>
      <c r="AQ336" s="507"/>
      <c r="AR336" s="507"/>
      <c r="AS336" s="507"/>
      <c r="AT336" s="507"/>
      <c r="AU336" s="507"/>
      <c r="AV336" s="225"/>
      <c r="AW336" s="508"/>
      <c r="AX336" s="225"/>
      <c r="AY336" s="225"/>
      <c r="AZ336" s="225"/>
      <c r="BA336" s="225"/>
      <c r="BB336" s="225"/>
      <c r="BC336" s="56"/>
      <c r="BD336" s="56"/>
      <c r="BE336" s="56"/>
      <c r="BF336" s="107" t="str">
        <f t="shared" si="239"/>
        <v>https://www.google.com/search?tbm=isch&amp;q=1%20G2</v>
      </c>
      <c r="BG336" s="107" t="str">
        <f t="shared" si="240"/>
        <v>B</v>
      </c>
      <c r="BH336" s="254"/>
      <c r="BI336" s="254"/>
    </row>
    <row r="337" spans="1:61" customFormat="1" ht="15.75" x14ac:dyDescent="0.25">
      <c r="A337" s="485">
        <v>1</v>
      </c>
      <c r="B337" s="486" t="s">
        <v>291</v>
      </c>
      <c r="C337" s="487"/>
      <c r="D337" s="488" t="s">
        <v>300</v>
      </c>
      <c r="E337" s="489">
        <v>10.95</v>
      </c>
      <c r="F337" s="516" t="s">
        <v>293</v>
      </c>
      <c r="G337" s="232">
        <v>0</v>
      </c>
      <c r="H337" s="658" t="str">
        <f>IF(G337=0,"",IF(F337="Buy",IF(G337=1,"plant","plants"),IF(F337&gt;0.01,"warranty","Error")))</f>
        <v/>
      </c>
      <c r="I337" s="490">
        <f>IF(H337="free",0,IF(H337="credit",((E337*(F337))*G337*-1),IF(F337="Buy",(E337*G337),((E337*(1-F337))*G337))))</f>
        <v>0</v>
      </c>
      <c r="J337" s="490">
        <f>IF(H337="warranty",0,(I337*(_xlfn.SINGLE(SalesTaxPercentage))))</f>
        <v>0</v>
      </c>
      <c r="K337" s="695">
        <f t="shared" ref="K337" si="242">I337+J337</f>
        <v>0</v>
      </c>
      <c r="L337" s="695"/>
      <c r="M337" s="659" t="str">
        <f>IF(AND(G337&gt;0,E337=0),"WARNING - no PRICE inserted",IF(H337="free"," FREE ~ no charge this plant",IF(H337="credit",CONCATENATE(" -$",ROUND(K337*(1-T2GDiscount)*-1,2)," CREDIT after discount"),IF(T2GDiscount=0,"",IF(G337=0,"",IF(F337="Buy",CONCATENATE(" $",ROUND(K337*(1-T2GDiscount),2)," with ",(T2GDiscount*100),"% discount"),CONCATENATE(" $",ROUND(K337*(1-T2GDiscount),2)," with ",((T2GDiscount*100+F337*100)-(T2GDiscount*100*F337)),IF(F337&gt;0,"% discounts",IF(NoWarrantyDiscount&gt;0,"% discounts","% discount")))))))))</f>
        <v/>
      </c>
      <c r="N337" s="660"/>
      <c r="O337" s="233"/>
      <c r="P337" s="233"/>
      <c r="Q337" s="233"/>
      <c r="R337" s="233"/>
      <c r="S337" s="233"/>
      <c r="T337" s="508">
        <f t="shared" si="228"/>
        <v>0</v>
      </c>
      <c r="U337" s="225">
        <f>IF(NOT(ISNUMBER(G337)), "", VLOOKUP(A337,'Discount Lookup'!D:E,2,FALSE)*G337)</f>
        <v>0</v>
      </c>
      <c r="V337" s="225">
        <f>IF(NOT(ISNUMBER(G337)), "", VLOOKUP(A337,'Discount Lookup'!G:H,2,FALSE)*G337)</f>
        <v>0</v>
      </c>
      <c r="W337" s="508">
        <f t="shared" si="229"/>
        <v>0</v>
      </c>
      <c r="X337" s="508">
        <f t="shared" si="230"/>
        <v>0</v>
      </c>
      <c r="Y337" s="509" t="b">
        <f t="shared" si="231"/>
        <v>0</v>
      </c>
      <c r="Z337" s="510">
        <f t="shared" si="232"/>
        <v>0</v>
      </c>
      <c r="AA337" s="511"/>
      <c r="AB337" s="511" t="str">
        <f t="shared" si="233"/>
        <v/>
      </c>
      <c r="AC337" s="698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698"/>
      <c r="AE337" s="631" t="str">
        <f t="shared" si="234"/>
        <v/>
      </c>
      <c r="AF337" s="699" t="str">
        <f t="shared" si="235"/>
        <v/>
      </c>
      <c r="AG337" s="699"/>
      <c r="AH337" s="699"/>
      <c r="AI337" s="512">
        <f>IF(H337="credit",0,IF(AE337="free",0,IF(AE337="me",0,IF(G337&gt;0,(VLOOKUP(A337,'Discount Lookup'!J:K,2)*G337),0))))</f>
        <v>0</v>
      </c>
      <c r="AJ337" s="513" t="str">
        <f t="shared" ca="1" si="236"/>
        <v/>
      </c>
      <c r="AK337" s="700" t="str">
        <f t="shared" si="237"/>
        <v/>
      </c>
      <c r="AL337" s="700"/>
      <c r="AM337" s="505" t="str">
        <f t="shared" si="238"/>
        <v/>
      </c>
      <c r="AN337" s="506"/>
      <c r="AO337" s="507"/>
      <c r="AP337" s="507"/>
      <c r="AQ337" s="507"/>
      <c r="AR337" s="507"/>
      <c r="AS337" s="507"/>
      <c r="AT337" s="507"/>
      <c r="AU337" s="507"/>
      <c r="AV337" s="225"/>
      <c r="AW337" s="508"/>
      <c r="AX337" s="225"/>
      <c r="AY337" s="225"/>
      <c r="AZ337" s="225"/>
      <c r="BA337" s="225"/>
      <c r="BB337" s="225"/>
      <c r="BC337" s="56"/>
      <c r="BD337" s="56"/>
      <c r="BE337" s="56"/>
      <c r="BF337" s="107" t="str">
        <f t="shared" si="239"/>
        <v>https://www.google.com/search?tbm=isch&amp;q=1%20G6</v>
      </c>
      <c r="BG337" s="107" t="str">
        <f t="shared" si="240"/>
        <v>B</v>
      </c>
      <c r="BH337" s="254"/>
      <c r="BI337" s="254"/>
    </row>
    <row r="338" spans="1:61" customFormat="1" ht="17.25" thickBot="1" x14ac:dyDescent="0.3">
      <c r="A338" s="522" t="s">
        <v>4259</v>
      </c>
      <c r="B338" s="491"/>
      <c r="C338" s="675"/>
      <c r="D338" s="491"/>
      <c r="E338" s="491"/>
      <c r="F338" s="492"/>
      <c r="G338" s="493"/>
      <c r="H338" s="491"/>
      <c r="I338" s="234"/>
      <c r="J338" s="234"/>
      <c r="K338" s="494"/>
      <c r="L338" s="543"/>
      <c r="M338" s="561"/>
      <c r="N338" s="495"/>
      <c r="O338" s="496"/>
      <c r="P338" s="497"/>
      <c r="Q338" s="495"/>
      <c r="R338" s="495"/>
      <c r="S338" s="667" t="s">
        <v>4984</v>
      </c>
      <c r="T338" s="508">
        <f t="shared" si="228"/>
        <v>0</v>
      </c>
      <c r="U338" s="225" t="str">
        <f>IF(NOT(ISNUMBER(G338)), "", VLOOKUP(A338,'Discount Lookup'!D:E,2,FALSE)*G338)</f>
        <v/>
      </c>
      <c r="V338" s="225" t="str">
        <f>IF(NOT(ISNUMBER(G338)), "", VLOOKUP(A338,'Discount Lookup'!G:H,2,FALSE)*G338)</f>
        <v/>
      </c>
      <c r="W338" s="508">
        <f t="shared" si="229"/>
        <v>0</v>
      </c>
      <c r="X338" s="508">
        <f t="shared" si="230"/>
        <v>0</v>
      </c>
      <c r="Y338" s="509" t="b">
        <f t="shared" si="231"/>
        <v>0</v>
      </c>
      <c r="Z338" s="510">
        <f t="shared" si="232"/>
        <v>0</v>
      </c>
      <c r="AA338" s="511"/>
      <c r="AB338" s="511" t="str">
        <f t="shared" si="233"/>
        <v/>
      </c>
      <c r="AC338" s="698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698"/>
      <c r="AE338" s="631" t="str">
        <f t="shared" si="234"/>
        <v/>
      </c>
      <c r="AF338" s="699" t="str">
        <f t="shared" si="235"/>
        <v/>
      </c>
      <c r="AG338" s="699"/>
      <c r="AH338" s="699"/>
      <c r="AI338" s="512">
        <f>IF(H338="credit",0,IF(AE338="free",0,IF(AE338="me",0,IF(G338&gt;0,(VLOOKUP(A338,'Discount Lookup'!J:K,2)*G338),0))))</f>
        <v>0</v>
      </c>
      <c r="AJ338" s="513" t="str">
        <f t="shared" ca="1" si="236"/>
        <v/>
      </c>
      <c r="AK338" s="700" t="str">
        <f t="shared" si="237"/>
        <v/>
      </c>
      <c r="AL338" s="700"/>
      <c r="AM338" s="505" t="str">
        <f t="shared" si="238"/>
        <v/>
      </c>
      <c r="AN338" s="506"/>
      <c r="AO338" s="507"/>
      <c r="AP338" s="507"/>
      <c r="AQ338" s="507"/>
      <c r="AR338" s="507"/>
      <c r="AS338" s="507"/>
      <c r="AT338" s="507"/>
      <c r="AU338" s="507"/>
      <c r="AV338" s="225"/>
      <c r="AW338" s="508"/>
      <c r="AX338" s="225"/>
      <c r="AY338" s="225"/>
      <c r="AZ338" s="225"/>
      <c r="BA338" s="225"/>
      <c r="BB338" s="225"/>
      <c r="BC338" s="56"/>
      <c r="BD338" s="56"/>
      <c r="BE338" s="56"/>
      <c r="BF338" s="107" t="str">
        <f t="shared" si="239"/>
        <v>https://www.google.com/search?tbm=isch&amp;q=Big%20Blue%20forms%20lush%2C%20arching%20clumps%20of%20Dark%20Green%20foliage%20with%20late-summer%20flower%20spikes%20and%20shiny%20Black%20berries%20</v>
      </c>
      <c r="BG338" s="107" t="str">
        <f t="shared" si="240"/>
        <v>B</v>
      </c>
      <c r="BH338" s="254"/>
      <c r="BI338" s="254"/>
    </row>
    <row r="339" spans="1:61" customFormat="1" ht="18" x14ac:dyDescent="0.25">
      <c r="A339" s="523" t="s">
        <v>4597</v>
      </c>
      <c r="B339" s="235"/>
      <c r="C339" s="676"/>
      <c r="D339" s="255" t="s">
        <v>4598</v>
      </c>
      <c r="E339" s="236"/>
      <c r="F339" s="236"/>
      <c r="G339" s="236"/>
      <c r="H339" s="582"/>
      <c r="I339" s="498"/>
      <c r="J339" s="237"/>
      <c r="K339" s="237"/>
      <c r="L339" s="274"/>
      <c r="M339" s="274"/>
      <c r="N339" s="681" t="str">
        <f>IF(AND(ISTEXT($A339), ISERROR($A339+0)), HYPERLINK($BF339, "Images"), "")</f>
        <v>Images</v>
      </c>
      <c r="O339" s="633"/>
      <c r="P339" s="253"/>
      <c r="Q339" s="238"/>
      <c r="R339" s="239"/>
      <c r="S339" s="275"/>
      <c r="T339" s="508">
        <f t="shared" si="228"/>
        <v>0</v>
      </c>
      <c r="U339" s="225" t="str">
        <f>IF(NOT(ISNUMBER(G339)), "", VLOOKUP(A339,'Discount Lookup'!D:E,2,FALSE)*G339)</f>
        <v/>
      </c>
      <c r="V339" s="225" t="str">
        <f>IF(NOT(ISNUMBER(G339)), "", VLOOKUP(A339,'Discount Lookup'!G:H,2,FALSE)*G339)</f>
        <v/>
      </c>
      <c r="W339" s="508">
        <f t="shared" si="229"/>
        <v>0</v>
      </c>
      <c r="X339" s="508">
        <f t="shared" si="230"/>
        <v>0</v>
      </c>
      <c r="Y339" s="509" t="b">
        <f t="shared" si="231"/>
        <v>0</v>
      </c>
      <c r="Z339" s="510">
        <f t="shared" si="232"/>
        <v>0</v>
      </c>
      <c r="AA339" s="511"/>
      <c r="AB339" s="511" t="str">
        <f t="shared" si="233"/>
        <v/>
      </c>
      <c r="AC339" s="698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698"/>
      <c r="AE339" s="631" t="str">
        <f t="shared" si="234"/>
        <v/>
      </c>
      <c r="AF339" s="699" t="str">
        <f t="shared" si="235"/>
        <v/>
      </c>
      <c r="AG339" s="699"/>
      <c r="AH339" s="699"/>
      <c r="AI339" s="512">
        <f>IF(H339="credit",0,IF(AE339="free",0,IF(AE339="me",0,IF(G339&gt;0,(VLOOKUP(A339,'Discount Lookup'!J:K,2)*G339),0))))</f>
        <v>0</v>
      </c>
      <c r="AJ339" s="513" t="str">
        <f t="shared" ca="1" si="236"/>
        <v/>
      </c>
      <c r="AK339" s="700" t="str">
        <f t="shared" si="237"/>
        <v/>
      </c>
      <c r="AL339" s="700"/>
      <c r="AM339" s="505" t="str">
        <f t="shared" si="238"/>
        <v/>
      </c>
      <c r="AN339" s="506"/>
      <c r="AO339" s="507"/>
      <c r="AP339" s="507"/>
      <c r="AQ339" s="507"/>
      <c r="AR339" s="507"/>
      <c r="AS339" s="507"/>
      <c r="AT339" s="507"/>
      <c r="AU339" s="507"/>
      <c r="AV339" s="225"/>
      <c r="AW339" s="508"/>
      <c r="AX339" s="225"/>
      <c r="AY339" s="225"/>
      <c r="AZ339" s="225"/>
      <c r="BA339" s="225"/>
      <c r="BB339" s="225"/>
      <c r="BC339" s="56"/>
      <c r="BD339" s="56"/>
      <c r="BE339" s="56"/>
      <c r="BF339" s="107" t="str">
        <f t="shared" si="239"/>
        <v>https://www.google.com/search?tbm=isch&amp;q=Big%20Ears%20Lamb%27s%20Ear%20Stachys%20byzantina%20%27Helene%20von%20Stein%27</v>
      </c>
      <c r="BG339" s="107" t="str">
        <f t="shared" si="240"/>
        <v>B</v>
      </c>
      <c r="BH339" s="254"/>
      <c r="BI339" s="254"/>
    </row>
    <row r="340" spans="1:61" customFormat="1" ht="16.5" thickBot="1" x14ac:dyDescent="0.3">
      <c r="A340" s="276">
        <v>1</v>
      </c>
      <c r="B340" s="240" t="s">
        <v>291</v>
      </c>
      <c r="C340" s="241"/>
      <c r="D340" s="242" t="s">
        <v>300</v>
      </c>
      <c r="E340" s="243">
        <v>18.95</v>
      </c>
      <c r="F340" s="517" t="s">
        <v>293</v>
      </c>
      <c r="G340" s="232">
        <v>0</v>
      </c>
      <c r="H340" s="661" t="str">
        <f>IF(G340=0,"",IF(F340="Buy",IF(G340=1,"plant","plants"),IF(F340&gt;0.01,"warranty","Error")))</f>
        <v/>
      </c>
      <c r="I340" s="244">
        <f>IF(H340="free",0,IF(H340="credit",((E340*(F340))*G340*-1),IF(F340="Buy",(E340*G340),((E340*(1-F340))*G340))))</f>
        <v>0</v>
      </c>
      <c r="J340" s="244">
        <f>IF(H340="warranty",0,(I340*(_xlfn.SINGLE(SalesTaxPercentage))))</f>
        <v>0</v>
      </c>
      <c r="K340" s="834">
        <f t="shared" ref="K340" si="243">I340+J340</f>
        <v>0</v>
      </c>
      <c r="L340" s="834"/>
      <c r="M340" s="659" t="str">
        <f>IF(AND(G340&gt;0,E340=0),"WARNING - no PRICE inserted",IF(H340="free"," FREE ~ no charge this plant",IF(H340="credit",CONCATENATE(" -$",ROUND(K340*(1-T2GDiscount)*-1,2)," CREDIT after discount"),IF(T2GDiscount=0,"",IF(G340=0,"",IF(F340="Buy",CONCATENATE(" $",ROUND(K340*(1-T2GDiscount),2)," with ",(T2GDiscount*100),"% discount"),CONCATENATE(" $",ROUND(K340*(1-T2GDiscount),2)," with ",((T2GDiscount*100+F340*100)-(T2GDiscount*100*F340)),IF(F340&gt;0,"% discounts",IF(NoWarrantyDiscount&gt;0,"% discounts","% discount")))))))))</f>
        <v/>
      </c>
      <c r="N340" s="660"/>
      <c r="O340" s="233"/>
      <c r="P340" s="233"/>
      <c r="Q340" s="233"/>
      <c r="R340" s="233"/>
      <c r="S340" s="233"/>
      <c r="T340" s="508">
        <f t="shared" si="228"/>
        <v>0</v>
      </c>
      <c r="U340" s="225">
        <f>IF(NOT(ISNUMBER(G340)), "", VLOOKUP(A340,'Discount Lookup'!D:E,2,FALSE)*G340)</f>
        <v>0</v>
      </c>
      <c r="V340" s="225">
        <f>IF(NOT(ISNUMBER(G340)), "", VLOOKUP(A340,'Discount Lookup'!G:H,2,FALSE)*G340)</f>
        <v>0</v>
      </c>
      <c r="W340" s="508">
        <f t="shared" si="229"/>
        <v>0</v>
      </c>
      <c r="X340" s="508">
        <f t="shared" si="230"/>
        <v>0</v>
      </c>
      <c r="Y340" s="509" t="b">
        <f t="shared" si="231"/>
        <v>0</v>
      </c>
      <c r="Z340" s="510">
        <f t="shared" si="232"/>
        <v>0</v>
      </c>
      <c r="AA340" s="511"/>
      <c r="AB340" s="511" t="str">
        <f t="shared" si="233"/>
        <v/>
      </c>
      <c r="AC340" s="698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698"/>
      <c r="AE340" s="631" t="str">
        <f t="shared" si="234"/>
        <v/>
      </c>
      <c r="AF340" s="699" t="str">
        <f t="shared" si="235"/>
        <v/>
      </c>
      <c r="AG340" s="699"/>
      <c r="AH340" s="699"/>
      <c r="AI340" s="512">
        <f>IF(H340="credit",0,IF(AE340="free",0,IF(AE340="me",0,IF(G340&gt;0,(VLOOKUP(A340,'Discount Lookup'!J:K,2)*G340),0))))</f>
        <v>0</v>
      </c>
      <c r="AJ340" s="513" t="str">
        <f t="shared" ca="1" si="236"/>
        <v/>
      </c>
      <c r="AK340" s="700" t="str">
        <f t="shared" si="237"/>
        <v/>
      </c>
      <c r="AL340" s="700"/>
      <c r="AM340" s="505" t="str">
        <f t="shared" si="238"/>
        <v/>
      </c>
      <c r="AN340" s="506"/>
      <c r="AO340" s="507"/>
      <c r="AP340" s="507"/>
      <c r="AQ340" s="507"/>
      <c r="AR340" s="507"/>
      <c r="AS340" s="507"/>
      <c r="AT340" s="507"/>
      <c r="AU340" s="507"/>
      <c r="AV340" s="225"/>
      <c r="AW340" s="508"/>
      <c r="AX340" s="225"/>
      <c r="AY340" s="225"/>
      <c r="AZ340" s="225"/>
      <c r="BA340" s="225"/>
      <c r="BB340" s="225"/>
      <c r="BC340" s="56"/>
      <c r="BD340" s="56"/>
      <c r="BE340" s="56"/>
      <c r="BF340" s="107" t="str">
        <f t="shared" si="239"/>
        <v>https://www.google.com/search?tbm=isch&amp;q=1%20G6</v>
      </c>
      <c r="BG340" s="107" t="str">
        <f t="shared" si="240"/>
        <v>B</v>
      </c>
      <c r="BH340" s="254"/>
      <c r="BI340" s="254"/>
    </row>
    <row r="341" spans="1:61" customFormat="1" ht="18" x14ac:dyDescent="0.25">
      <c r="A341" s="523" t="s">
        <v>403</v>
      </c>
      <c r="B341" s="235"/>
      <c r="C341" s="676"/>
      <c r="D341" s="255" t="s">
        <v>402</v>
      </c>
      <c r="E341" s="236"/>
      <c r="F341" s="236"/>
      <c r="G341" s="236"/>
      <c r="H341" s="582" t="s">
        <v>311</v>
      </c>
      <c r="I341" s="498" t="s">
        <v>658</v>
      </c>
      <c r="J341" s="237"/>
      <c r="K341" s="237"/>
      <c r="L341" s="274"/>
      <c r="M341" s="668" t="s">
        <v>4962</v>
      </c>
      <c r="N341" s="681" t="str">
        <f>IF(AND(ISTEXT($A341), ISERROR($A341+0)), HYPERLINK($BF341, "Images"), "")</f>
        <v>Images</v>
      </c>
      <c r="O341" s="663" t="s">
        <v>4967</v>
      </c>
      <c r="P341" s="253"/>
      <c r="Q341" s="238"/>
      <c r="R341" s="239"/>
      <c r="S341" s="275"/>
      <c r="T341" s="508">
        <f t="shared" si="228"/>
        <v>0</v>
      </c>
      <c r="U341" s="225" t="str">
        <f>IF(NOT(ISNUMBER(G341)), "", VLOOKUP(A341,'Discount Lookup'!D:E,2,FALSE)*G341)</f>
        <v/>
      </c>
      <c r="V341" s="225" t="str">
        <f>IF(NOT(ISNUMBER(G341)), "", VLOOKUP(A341,'Discount Lookup'!G:H,2,FALSE)*G341)</f>
        <v/>
      </c>
      <c r="W341" s="508">
        <f t="shared" si="229"/>
        <v>0</v>
      </c>
      <c r="X341" s="508" t="str">
        <f t="shared" si="230"/>
        <v>Light Pink bloom</v>
      </c>
      <c r="Y341" s="509" t="b">
        <f t="shared" si="231"/>
        <v>0</v>
      </c>
      <c r="Z341" s="510">
        <f t="shared" si="232"/>
        <v>0</v>
      </c>
      <c r="AA341" s="511"/>
      <c r="AB341" s="511" t="str">
        <f t="shared" si="233"/>
        <v/>
      </c>
      <c r="AC341" s="698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698"/>
      <c r="AE341" s="631" t="str">
        <f t="shared" si="234"/>
        <v/>
      </c>
      <c r="AF341" s="699" t="str">
        <f t="shared" si="235"/>
        <v/>
      </c>
      <c r="AG341" s="699"/>
      <c r="AH341" s="699"/>
      <c r="AI341" s="512">
        <f>IF(H341="credit",0,IF(AE341="free",0,IF(AE341="me",0,IF(G341&gt;0,(VLOOKUP(A341,'Discount Lookup'!J:K,2)*G341),0))))</f>
        <v>0</v>
      </c>
      <c r="AJ341" s="513" t="str">
        <f t="shared" ca="1" si="236"/>
        <v/>
      </c>
      <c r="AK341" s="700" t="str">
        <f t="shared" si="237"/>
        <v/>
      </c>
      <c r="AL341" s="700"/>
      <c r="AM341" s="505" t="str">
        <f t="shared" si="238"/>
        <v/>
      </c>
      <c r="AN341" s="506"/>
      <c r="AO341" s="507"/>
      <c r="AP341" s="507"/>
      <c r="AQ341" s="507"/>
      <c r="AR341" s="507"/>
      <c r="AS341" s="507"/>
      <c r="AT341" s="507"/>
      <c r="AU341" s="507"/>
      <c r="AV341" s="225"/>
      <c r="AW341" s="508"/>
      <c r="AX341" s="225"/>
      <c r="AY341" s="225"/>
      <c r="AZ341" s="225"/>
      <c r="BA341" s="225"/>
      <c r="BB341" s="225"/>
      <c r="BC341" s="56"/>
      <c r="BD341" s="56"/>
      <c r="BE341" s="56"/>
      <c r="BF341" s="107" t="str">
        <f t="shared" si="239"/>
        <v>https://www.google.com/search?tbm=isch&amp;q=Biloxi%20Crape%20Myrtle%20Lagerstroemia%20indica%20x%20fauriei%20%27Biloxi%27</v>
      </c>
      <c r="BG341" s="107" t="str">
        <f t="shared" si="240"/>
        <v>B</v>
      </c>
      <c r="BH341" s="254"/>
      <c r="BI341" s="254"/>
    </row>
    <row r="342" spans="1:61" customFormat="1" ht="27" x14ac:dyDescent="0.25">
      <c r="A342" s="276">
        <v>15</v>
      </c>
      <c r="B342" s="240" t="s">
        <v>291</v>
      </c>
      <c r="C342" s="241" t="s">
        <v>3323</v>
      </c>
      <c r="D342" s="242" t="s">
        <v>292</v>
      </c>
      <c r="E342" s="243">
        <v>164.95</v>
      </c>
      <c r="F342" s="517" t="s">
        <v>293</v>
      </c>
      <c r="G342" s="232">
        <v>0</v>
      </c>
      <c r="H342" s="661" t="str">
        <f>IF(G342=0,"",IF(F342="Buy",IF(G342=1,"plant","plants"),IF(F342&gt;0.01,"warranty","Error")))</f>
        <v/>
      </c>
      <c r="I342" s="244">
        <f>IF(H342="free",0,IF(H342="credit",((E342*(F342))*G342*-1),IF(F342="Buy",(E342*G342),((E342*(1-F342))*G342))))</f>
        <v>0</v>
      </c>
      <c r="J342" s="244">
        <f>IF(H342="warranty",0,(I342*(_xlfn.SINGLE(SalesTaxPercentage))))</f>
        <v>0</v>
      </c>
      <c r="K342" s="696">
        <f t="shared" ref="K342" si="244">I342+J342</f>
        <v>0</v>
      </c>
      <c r="L342" s="696"/>
      <c r="M342" s="659" t="str">
        <f>IF(AND(G342&gt;0,E342=0),"WARNING - no PRICE inserted",IF(H342="free"," FREE ~ no charge this plant",IF(H342="credit",CONCATENATE(" -$",ROUND(K342*(1-T2GDiscount)*-1,2)," CREDIT after discount"),IF(T2GDiscount=0,"",IF(G342=0,"",IF(F342="Buy",CONCATENATE(" $",ROUND(K342*(1-T2GDiscount),2)," with ",(T2GDiscount*100),"% discount"),CONCATENATE(" $",ROUND(K342*(1-T2GDiscount),2)," with ",((T2GDiscount*100+F342*100)-(T2GDiscount*100*F342)),IF(F342&gt;0,"% discounts",IF(NoWarrantyDiscount&gt;0,"% discounts","% discount")))))))))</f>
        <v/>
      </c>
      <c r="N342" s="660"/>
      <c r="O342" s="233"/>
      <c r="P342" s="233"/>
      <c r="Q342" s="233"/>
      <c r="R342" s="233"/>
      <c r="S342" s="233"/>
      <c r="T342" s="508">
        <f t="shared" si="228"/>
        <v>0</v>
      </c>
      <c r="U342" s="225">
        <f>IF(NOT(ISNUMBER(G342)), "", VLOOKUP(A342,'Discount Lookup'!D:E,2,FALSE)*G342)</f>
        <v>0</v>
      </c>
      <c r="V342" s="225">
        <f>IF(NOT(ISNUMBER(G342)), "", VLOOKUP(A342,'Discount Lookup'!G:H,2,FALSE)*G342)</f>
        <v>0</v>
      </c>
      <c r="W342" s="508">
        <f t="shared" si="229"/>
        <v>0</v>
      </c>
      <c r="X342" s="508">
        <f t="shared" si="230"/>
        <v>0</v>
      </c>
      <c r="Y342" s="509" t="b">
        <f t="shared" si="231"/>
        <v>0</v>
      </c>
      <c r="Z342" s="510">
        <f t="shared" si="232"/>
        <v>0</v>
      </c>
      <c r="AA342" s="511"/>
      <c r="AB342" s="511" t="str">
        <f t="shared" si="233"/>
        <v/>
      </c>
      <c r="AC342" s="698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698"/>
      <c r="AE342" s="631" t="str">
        <f t="shared" si="234"/>
        <v/>
      </c>
      <c r="AF342" s="699" t="str">
        <f t="shared" si="235"/>
        <v/>
      </c>
      <c r="AG342" s="699"/>
      <c r="AH342" s="699"/>
      <c r="AI342" s="512">
        <f>IF(H342="credit",0,IF(AE342="free",0,IF(AE342="me",0,IF(G342&gt;0,(VLOOKUP(A342,'Discount Lookup'!J:K,2)*G342),0))))</f>
        <v>0</v>
      </c>
      <c r="AJ342" s="513" t="str">
        <f t="shared" ca="1" si="236"/>
        <v/>
      </c>
      <c r="AK342" s="700" t="str">
        <f t="shared" si="237"/>
        <v/>
      </c>
      <c r="AL342" s="700"/>
      <c r="AM342" s="505" t="str">
        <f t="shared" si="238"/>
        <v/>
      </c>
      <c r="AN342" s="506"/>
      <c r="AO342" s="507"/>
      <c r="AP342" s="507"/>
      <c r="AQ342" s="507"/>
      <c r="AR342" s="507"/>
      <c r="AS342" s="507"/>
      <c r="AT342" s="507"/>
      <c r="AU342" s="507"/>
      <c r="AV342" s="225"/>
      <c r="AW342" s="508"/>
      <c r="AX342" s="225"/>
      <c r="AY342" s="225"/>
      <c r="AZ342" s="225"/>
      <c r="BA342" s="225"/>
      <c r="BB342" s="225"/>
      <c r="BC342" s="56"/>
      <c r="BD342" s="56"/>
      <c r="BE342" s="56"/>
      <c r="BF342" s="107" t="str">
        <f t="shared" si="239"/>
        <v>https://www.google.com/search?tbm=isch&amp;q=15%20G4</v>
      </c>
      <c r="BG342" s="107" t="str">
        <f t="shared" si="240"/>
        <v>B</v>
      </c>
      <c r="BH342" s="254"/>
      <c r="BI342" s="254"/>
    </row>
    <row r="343" spans="1:61" customFormat="1" ht="15.75" x14ac:dyDescent="0.25">
      <c r="A343" s="276">
        <v>15</v>
      </c>
      <c r="B343" s="240" t="s">
        <v>291</v>
      </c>
      <c r="C343" s="241" t="s">
        <v>3324</v>
      </c>
      <c r="D343" s="242" t="s">
        <v>292</v>
      </c>
      <c r="E343" s="243">
        <v>171.95</v>
      </c>
      <c r="F343" s="517" t="s">
        <v>293</v>
      </c>
      <c r="G343" s="232">
        <v>0</v>
      </c>
      <c r="H343" s="661" t="str">
        <f>IF(G343=0,"",IF(F343="Buy",IF(G343=1,"plant","plants"),IF(F343&gt;0.01,"warranty","Error")))</f>
        <v/>
      </c>
      <c r="I343" s="244">
        <f>IF(H343="free",0,IF(H343="credit",((E343*(F343))*G343*-1),IF(F343="Buy",(E343*G343),((E343*(1-F343))*G343))))</f>
        <v>0</v>
      </c>
      <c r="J343" s="244">
        <f>IF(H343="warranty",0,(I343*(_xlfn.SINGLE(SalesTaxPercentage))))</f>
        <v>0</v>
      </c>
      <c r="K343" s="696">
        <f t="shared" ref="K343" si="245">I343+J343</f>
        <v>0</v>
      </c>
      <c r="L343" s="696"/>
      <c r="M343" s="659" t="str">
        <f>IF(AND(G343&gt;0,E343=0),"WARNING - no PRICE inserted",IF(H343="free"," FREE ~ no charge this plant",IF(H343="credit",CONCATENATE(" -$",ROUND(K343*(1-T2GDiscount)*-1,2)," CREDIT after discount"),IF(T2GDiscount=0,"",IF(G343=0,"",IF(F343="Buy",CONCATENATE(" $",ROUND(K343*(1-T2GDiscount),2)," with ",(T2GDiscount*100),"% discount"),CONCATENATE(" $",ROUND(K343*(1-T2GDiscount),2)," with ",((T2GDiscount*100+F343*100)-(T2GDiscount*100*F343)),IF(F343&gt;0,"% discounts",IF(NoWarrantyDiscount&gt;0,"% discounts","% discount")))))))))</f>
        <v/>
      </c>
      <c r="N343" s="660"/>
      <c r="O343" s="233"/>
      <c r="P343" s="233"/>
      <c r="Q343" s="233"/>
      <c r="R343" s="233"/>
      <c r="S343" s="233"/>
      <c r="T343" s="508">
        <f t="shared" si="228"/>
        <v>0</v>
      </c>
      <c r="U343" s="225">
        <f>IF(NOT(ISNUMBER(G343)), "", VLOOKUP(A343,'Discount Lookup'!D:E,2,FALSE)*G343)</f>
        <v>0</v>
      </c>
      <c r="V343" s="225">
        <f>IF(NOT(ISNUMBER(G343)), "", VLOOKUP(A343,'Discount Lookup'!G:H,2,FALSE)*G343)</f>
        <v>0</v>
      </c>
      <c r="W343" s="508">
        <f t="shared" si="229"/>
        <v>0</v>
      </c>
      <c r="X343" s="508">
        <f t="shared" si="230"/>
        <v>0</v>
      </c>
      <c r="Y343" s="509" t="b">
        <f t="shared" si="231"/>
        <v>0</v>
      </c>
      <c r="Z343" s="510">
        <f t="shared" si="232"/>
        <v>0</v>
      </c>
      <c r="AA343" s="511"/>
      <c r="AB343" s="511" t="str">
        <f t="shared" si="233"/>
        <v/>
      </c>
      <c r="AC343" s="698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698"/>
      <c r="AE343" s="631" t="str">
        <f t="shared" si="234"/>
        <v/>
      </c>
      <c r="AF343" s="699" t="str">
        <f t="shared" si="235"/>
        <v/>
      </c>
      <c r="AG343" s="699"/>
      <c r="AH343" s="699"/>
      <c r="AI343" s="512">
        <f>IF(H343="credit",0,IF(AE343="free",0,IF(AE343="me",0,IF(G343&gt;0,(VLOOKUP(A343,'Discount Lookup'!J:K,2)*G343),0))))</f>
        <v>0</v>
      </c>
      <c r="AJ343" s="513" t="str">
        <f t="shared" ca="1" si="236"/>
        <v/>
      </c>
      <c r="AK343" s="700" t="str">
        <f t="shared" si="237"/>
        <v/>
      </c>
      <c r="AL343" s="700"/>
      <c r="AM343" s="505" t="str">
        <f t="shared" si="238"/>
        <v/>
      </c>
      <c r="AN343" s="506"/>
      <c r="AO343" s="507"/>
      <c r="AP343" s="507"/>
      <c r="AQ343" s="507"/>
      <c r="AR343" s="507"/>
      <c r="AS343" s="507"/>
      <c r="AT343" s="507"/>
      <c r="AU343" s="507"/>
      <c r="AV343" s="225"/>
      <c r="AW343" s="508"/>
      <c r="AX343" s="225"/>
      <c r="AY343" s="225"/>
      <c r="AZ343" s="225"/>
      <c r="BA343" s="225"/>
      <c r="BB343" s="225"/>
      <c r="BC343" s="56"/>
      <c r="BD343" s="56"/>
      <c r="BE343" s="56"/>
      <c r="BF343" s="107" t="str">
        <f t="shared" si="239"/>
        <v>https://www.google.com/search?tbm=isch&amp;q=15%20G4</v>
      </c>
      <c r="BG343" s="107" t="str">
        <f t="shared" si="240"/>
        <v>B</v>
      </c>
      <c r="BH343" s="254"/>
      <c r="BI343" s="254"/>
    </row>
    <row r="344" spans="1:61" customFormat="1" ht="27" x14ac:dyDescent="0.25">
      <c r="A344" s="276">
        <v>25</v>
      </c>
      <c r="B344" s="240" t="s">
        <v>291</v>
      </c>
      <c r="C344" s="241" t="s">
        <v>3325</v>
      </c>
      <c r="D344" s="242" t="s">
        <v>292</v>
      </c>
      <c r="E344" s="243">
        <v>307.95</v>
      </c>
      <c r="F344" s="517" t="s">
        <v>293</v>
      </c>
      <c r="G344" s="232">
        <v>0</v>
      </c>
      <c r="H344" s="661" t="str">
        <f>IF(G344=0,"",IF(F344="Buy",IF(G344=1,"plant","plants"),IF(F344&gt;0.01,"warranty","Error")))</f>
        <v/>
      </c>
      <c r="I344" s="244">
        <f>IF(H344="free",0,IF(H344="credit",((E344*(F344))*G344*-1),IF(F344="Buy",(E344*G344),((E344*(1-F344))*G344))))</f>
        <v>0</v>
      </c>
      <c r="J344" s="244">
        <f>IF(H344="warranty",0,(I344*(_xlfn.SINGLE(SalesTaxPercentage))))</f>
        <v>0</v>
      </c>
      <c r="K344" s="696">
        <f t="shared" ref="K344" si="246">I344+J344</f>
        <v>0</v>
      </c>
      <c r="L344" s="696"/>
      <c r="M344" s="659" t="str">
        <f>IF(AND(G344&gt;0,E344=0),"WARNING - no PRICE inserted",IF(H344="free"," FREE ~ no charge this plant",IF(H344="credit",CONCATENATE(" -$",ROUND(K344*(1-T2GDiscount)*-1,2)," CREDIT after discount"),IF(T2GDiscount=0,"",IF(G344=0,"",IF(F344="Buy",CONCATENATE(" $",ROUND(K344*(1-T2GDiscount),2)," with ",(T2GDiscount*100),"% discount"),CONCATENATE(" $",ROUND(K344*(1-T2GDiscount),2)," with ",((T2GDiscount*100+F344*100)-(T2GDiscount*100*F344)),IF(F344&gt;0,"% discounts",IF(NoWarrantyDiscount&gt;0,"% discounts","% discount")))))))))</f>
        <v/>
      </c>
      <c r="N344" s="660"/>
      <c r="O344" s="233"/>
      <c r="P344" s="233"/>
      <c r="Q344" s="233"/>
      <c r="R344" s="233"/>
      <c r="S344" s="233"/>
      <c r="T344" s="508">
        <f t="shared" si="228"/>
        <v>0</v>
      </c>
      <c r="U344" s="225">
        <f>IF(NOT(ISNUMBER(G344)), "", VLOOKUP(A344,'Discount Lookup'!D:E,2,FALSE)*G344)</f>
        <v>0</v>
      </c>
      <c r="V344" s="225">
        <f>IF(NOT(ISNUMBER(G344)), "", VLOOKUP(A344,'Discount Lookup'!G:H,2,FALSE)*G344)</f>
        <v>0</v>
      </c>
      <c r="W344" s="508">
        <f t="shared" si="229"/>
        <v>0</v>
      </c>
      <c r="X344" s="508">
        <f t="shared" si="230"/>
        <v>0</v>
      </c>
      <c r="Y344" s="509" t="b">
        <f t="shared" si="231"/>
        <v>0</v>
      </c>
      <c r="Z344" s="510">
        <f t="shared" si="232"/>
        <v>0</v>
      </c>
      <c r="AA344" s="511"/>
      <c r="AB344" s="511" t="str">
        <f t="shared" si="233"/>
        <v/>
      </c>
      <c r="AC344" s="698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698"/>
      <c r="AE344" s="631" t="str">
        <f t="shared" si="234"/>
        <v/>
      </c>
      <c r="AF344" s="699" t="str">
        <f t="shared" si="235"/>
        <v/>
      </c>
      <c r="AG344" s="699"/>
      <c r="AH344" s="699"/>
      <c r="AI344" s="512">
        <f>IF(H344="credit",0,IF(AE344="free",0,IF(AE344="me",0,IF(G344&gt;0,(VLOOKUP(A344,'Discount Lookup'!J:K,2)*G344),0))))</f>
        <v>0</v>
      </c>
      <c r="AJ344" s="513" t="str">
        <f t="shared" ca="1" si="236"/>
        <v/>
      </c>
      <c r="AK344" s="700" t="str">
        <f t="shared" si="237"/>
        <v/>
      </c>
      <c r="AL344" s="700"/>
      <c r="AM344" s="505" t="str">
        <f t="shared" si="238"/>
        <v/>
      </c>
      <c r="AN344" s="506"/>
      <c r="AO344" s="507"/>
      <c r="AP344" s="507"/>
      <c r="AQ344" s="507"/>
      <c r="AR344" s="507"/>
      <c r="AS344" s="507"/>
      <c r="AT344" s="507"/>
      <c r="AU344" s="507"/>
      <c r="AV344" s="225"/>
      <c r="AW344" s="508"/>
      <c r="AX344" s="225"/>
      <c r="AY344" s="225"/>
      <c r="AZ344" s="225"/>
      <c r="BA344" s="225"/>
      <c r="BB344" s="225"/>
      <c r="BC344" s="56"/>
      <c r="BD344" s="56"/>
      <c r="BE344" s="56"/>
      <c r="BF344" s="107" t="str">
        <f t="shared" si="239"/>
        <v>https://www.google.com/search?tbm=isch&amp;q=25%20G4</v>
      </c>
      <c r="BG344" s="107" t="str">
        <f t="shared" si="240"/>
        <v>B</v>
      </c>
      <c r="BH344" s="254"/>
      <c r="BI344" s="254"/>
    </row>
    <row r="345" spans="1:61" customFormat="1" ht="17.25" thickBot="1" x14ac:dyDescent="0.3">
      <c r="A345" s="524" t="s">
        <v>2340</v>
      </c>
      <c r="B345" s="245"/>
      <c r="C345" s="677"/>
      <c r="D345" s="499"/>
      <c r="E345" s="499"/>
      <c r="F345" s="500"/>
      <c r="G345" s="501"/>
      <c r="H345" s="502"/>
      <c r="I345" s="246"/>
      <c r="J345" s="247"/>
      <c r="K345" s="503"/>
      <c r="L345" s="544"/>
      <c r="M345" s="544"/>
      <c r="N345" s="500"/>
      <c r="O345" s="500"/>
      <c r="P345" s="500"/>
      <c r="Q345" s="500"/>
      <c r="R345" s="500"/>
      <c r="S345" s="278"/>
      <c r="T345" s="508">
        <f t="shared" si="228"/>
        <v>0</v>
      </c>
      <c r="U345" s="225" t="str">
        <f>IF(NOT(ISNUMBER(G345)), "", VLOOKUP(A345,'Discount Lookup'!D:E,2,FALSE)*G345)</f>
        <v/>
      </c>
      <c r="V345" s="225" t="str">
        <f>IF(NOT(ISNUMBER(G345)), "", VLOOKUP(A345,'Discount Lookup'!G:H,2,FALSE)*G345)</f>
        <v/>
      </c>
      <c r="W345" s="508">
        <f t="shared" si="229"/>
        <v>0</v>
      </c>
      <c r="X345" s="508">
        <f t="shared" si="230"/>
        <v>0</v>
      </c>
      <c r="Y345" s="509" t="b">
        <f t="shared" si="231"/>
        <v>0</v>
      </c>
      <c r="Z345" s="510">
        <f t="shared" si="232"/>
        <v>0</v>
      </c>
      <c r="AA345" s="511"/>
      <c r="AB345" s="511" t="str">
        <f t="shared" si="233"/>
        <v/>
      </c>
      <c r="AC345" s="698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698"/>
      <c r="AE345" s="631" t="str">
        <f t="shared" si="234"/>
        <v/>
      </c>
      <c r="AF345" s="699" t="str">
        <f t="shared" si="235"/>
        <v/>
      </c>
      <c r="AG345" s="699"/>
      <c r="AH345" s="699"/>
      <c r="AI345" s="512">
        <f>IF(H345="credit",0,IF(AE345="free",0,IF(AE345="me",0,IF(G345&gt;0,(VLOOKUP(A345,'Discount Lookup'!J:K,2)*G345),0))))</f>
        <v>0</v>
      </c>
      <c r="AJ345" s="513" t="str">
        <f t="shared" ca="1" si="236"/>
        <v/>
      </c>
      <c r="AK345" s="700" t="str">
        <f t="shared" si="237"/>
        <v/>
      </c>
      <c r="AL345" s="700"/>
      <c r="AM345" s="505" t="str">
        <f t="shared" si="238"/>
        <v/>
      </c>
      <c r="AN345" s="506"/>
      <c r="AO345" s="507"/>
      <c r="AP345" s="507"/>
      <c r="AQ345" s="507"/>
      <c r="AR345" s="507"/>
      <c r="AS345" s="507"/>
      <c r="AT345" s="507"/>
      <c r="AU345" s="507"/>
      <c r="AV345" s="225"/>
      <c r="AW345" s="508"/>
      <c r="AX345" s="225"/>
      <c r="AY345" s="225"/>
      <c r="AZ345" s="225"/>
      <c r="BA345" s="225"/>
      <c r="BB345" s="225"/>
      <c r="BC345" s="56"/>
      <c r="BD345" s="56"/>
      <c r="BE345" s="56"/>
      <c r="BF345" s="107" t="str">
        <f t="shared" si="239"/>
        <v>https://www.google.com/search?tbm=isch&amp;q=Biloxi%20has%20dark%20green%20foliage%2C%20emerging%20coppery-bronze%20in%20spring.%20Oval%20leaves%20turn%20orange%20in%20fall%20</v>
      </c>
      <c r="BG345" s="107" t="str">
        <f t="shared" si="240"/>
        <v>B</v>
      </c>
      <c r="BH345" s="254"/>
      <c r="BI345" s="254"/>
    </row>
    <row r="346" spans="1:61" customFormat="1" ht="18" x14ac:dyDescent="0.25">
      <c r="A346" s="523" t="s">
        <v>559</v>
      </c>
      <c r="B346" s="235"/>
      <c r="C346" s="676"/>
      <c r="D346" s="255" t="s">
        <v>558</v>
      </c>
      <c r="E346" s="236"/>
      <c r="F346" s="236"/>
      <c r="G346" s="236"/>
      <c r="H346" s="582" t="s">
        <v>3049</v>
      </c>
      <c r="I346" s="498" t="s">
        <v>3936</v>
      </c>
      <c r="J346" s="237"/>
      <c r="K346" s="237"/>
      <c r="L346" s="274"/>
      <c r="M346" s="668" t="s">
        <v>4964</v>
      </c>
      <c r="N346" s="681" t="str">
        <f>IF(AND(ISTEXT($A346), ISERROR($A346+0)), HYPERLINK($BF346, "Images"), "")</f>
        <v>Images</v>
      </c>
      <c r="O346" s="663" t="s">
        <v>4969</v>
      </c>
      <c r="P346" s="253"/>
      <c r="Q346" s="238"/>
      <c r="R346" s="239"/>
      <c r="S346" s="275"/>
      <c r="T346" s="508">
        <f t="shared" si="228"/>
        <v>0</v>
      </c>
      <c r="U346" s="225" t="str">
        <f>IF(NOT(ISNUMBER(G346)), "", VLOOKUP(A346,'Discount Lookup'!D:E,2,FALSE)*G346)</f>
        <v/>
      </c>
      <c r="V346" s="225" t="str">
        <f>IF(NOT(ISNUMBER(G346)), "", VLOOKUP(A346,'Discount Lookup'!G:H,2,FALSE)*G346)</f>
        <v/>
      </c>
      <c r="W346" s="508">
        <f t="shared" si="229"/>
        <v>0</v>
      </c>
      <c r="X346" s="508" t="str">
        <f t="shared" si="230"/>
        <v>Green culms age to Black</v>
      </c>
      <c r="Y346" s="509" t="b">
        <f t="shared" si="231"/>
        <v>0</v>
      </c>
      <c r="Z346" s="510">
        <f t="shared" si="232"/>
        <v>0</v>
      </c>
      <c r="AA346" s="511"/>
      <c r="AB346" s="511" t="str">
        <f t="shared" si="233"/>
        <v/>
      </c>
      <c r="AC346" s="698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698"/>
      <c r="AE346" s="631" t="str">
        <f t="shared" si="234"/>
        <v/>
      </c>
      <c r="AF346" s="699" t="str">
        <f t="shared" si="235"/>
        <v/>
      </c>
      <c r="AG346" s="699"/>
      <c r="AH346" s="699"/>
      <c r="AI346" s="512">
        <f>IF(H346="credit",0,IF(AE346="free",0,IF(AE346="me",0,IF(G346&gt;0,(VLOOKUP(A346,'Discount Lookup'!J:K,2)*G346),0))))</f>
        <v>0</v>
      </c>
      <c r="AJ346" s="513" t="str">
        <f t="shared" ca="1" si="236"/>
        <v/>
      </c>
      <c r="AK346" s="700" t="str">
        <f t="shared" si="237"/>
        <v/>
      </c>
      <c r="AL346" s="700"/>
      <c r="AM346" s="505" t="str">
        <f t="shared" si="238"/>
        <v/>
      </c>
      <c r="AN346" s="506"/>
      <c r="AO346" s="507"/>
      <c r="AP346" s="507"/>
      <c r="AQ346" s="507"/>
      <c r="AR346" s="507"/>
      <c r="AS346" s="507"/>
      <c r="AT346" s="507"/>
      <c r="AU346" s="507"/>
      <c r="AV346" s="225"/>
      <c r="AW346" s="508"/>
      <c r="AX346" s="225"/>
      <c r="AY346" s="225"/>
      <c r="AZ346" s="225"/>
      <c r="BA346" s="225"/>
      <c r="BB346" s="225"/>
      <c r="BC346" s="56"/>
      <c r="BD346" s="56"/>
      <c r="BE346" s="56"/>
      <c r="BF346" s="107" t="str">
        <f t="shared" si="239"/>
        <v>https://www.google.com/search?tbm=isch&amp;q=Black%20Bamboo%20Phyllostachys%20nigra</v>
      </c>
      <c r="BG346" s="107" t="str">
        <f t="shared" si="240"/>
        <v>B</v>
      </c>
      <c r="BH346" s="254"/>
      <c r="BI346" s="254"/>
    </row>
    <row r="347" spans="1:61" customFormat="1" ht="15.75" x14ac:dyDescent="0.25">
      <c r="A347" s="276">
        <v>10</v>
      </c>
      <c r="B347" s="240" t="s">
        <v>291</v>
      </c>
      <c r="C347" s="241" t="s">
        <v>3326</v>
      </c>
      <c r="D347" s="242" t="s">
        <v>292</v>
      </c>
      <c r="E347" s="243">
        <v>293.95</v>
      </c>
      <c r="F347" s="517" t="s">
        <v>293</v>
      </c>
      <c r="G347" s="232">
        <v>0</v>
      </c>
      <c r="H347" s="661" t="str">
        <f>IF(G347=0,"",IF(F347="Buy",IF(G347=1,"plant","plants"),IF(F347&gt;0.01,"warranty","Error")))</f>
        <v/>
      </c>
      <c r="I347" s="244">
        <f>IF(H347="free",0,IF(H347="credit",((E347*(F347))*G347*-1),IF(F347="Buy",(E347*G347),((E347*(1-F347))*G347))))</f>
        <v>0</v>
      </c>
      <c r="J347" s="244">
        <f>IF(H347="warranty",0,(I347*(_xlfn.SINGLE(SalesTaxPercentage))))</f>
        <v>0</v>
      </c>
      <c r="K347" s="696">
        <f t="shared" ref="K347" si="247">I347+J347</f>
        <v>0</v>
      </c>
      <c r="L347" s="696"/>
      <c r="M347" s="659" t="str">
        <f>IF(AND(G347&gt;0,E347=0),"WARNING - no PRICE inserted",IF(H347="free"," FREE ~ no charge this plant",IF(H347="credit",CONCATENATE(" -$",ROUND(K347*(1-T2GDiscount)*-1,2)," CREDIT after discount"),IF(T2GDiscount=0,"",IF(G347=0,"",IF(F347="Buy",CONCATENATE(" $",ROUND(K347*(1-T2GDiscount),2)," with ",(T2GDiscount*100),"% discount"),CONCATENATE(" $",ROUND(K347*(1-T2GDiscount),2)," with ",((T2GDiscount*100+F347*100)-(T2GDiscount*100*F347)),IF(F347&gt;0,"% discounts",IF(NoWarrantyDiscount&gt;0,"% discounts","% discount")))))))))</f>
        <v/>
      </c>
      <c r="N347" s="660"/>
      <c r="O347" s="233"/>
      <c r="P347" s="233"/>
      <c r="Q347" s="233"/>
      <c r="R347" s="233"/>
      <c r="S347" s="233"/>
      <c r="T347" s="508">
        <f t="shared" si="228"/>
        <v>0</v>
      </c>
      <c r="U347" s="225">
        <f>IF(NOT(ISNUMBER(G347)), "", VLOOKUP(A347,'Discount Lookup'!D:E,2,FALSE)*G347)</f>
        <v>0</v>
      </c>
      <c r="V347" s="225">
        <f>IF(NOT(ISNUMBER(G347)), "", VLOOKUP(A347,'Discount Lookup'!G:H,2,FALSE)*G347)</f>
        <v>0</v>
      </c>
      <c r="W347" s="508">
        <f t="shared" si="229"/>
        <v>0</v>
      </c>
      <c r="X347" s="508">
        <f t="shared" si="230"/>
        <v>0</v>
      </c>
      <c r="Y347" s="509" t="b">
        <f t="shared" si="231"/>
        <v>0</v>
      </c>
      <c r="Z347" s="510">
        <f t="shared" si="232"/>
        <v>0</v>
      </c>
      <c r="AA347" s="511"/>
      <c r="AB347" s="511" t="str">
        <f t="shared" si="233"/>
        <v/>
      </c>
      <c r="AC347" s="698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698"/>
      <c r="AE347" s="631" t="str">
        <f t="shared" si="234"/>
        <v/>
      </c>
      <c r="AF347" s="699" t="str">
        <f t="shared" si="235"/>
        <v/>
      </c>
      <c r="AG347" s="699"/>
      <c r="AH347" s="699"/>
      <c r="AI347" s="512">
        <f>IF(H347="credit",0,IF(AE347="free",0,IF(AE347="me",0,IF(G347&gt;0,(VLOOKUP(A347,'Discount Lookup'!J:K,2)*G347),0))))</f>
        <v>0</v>
      </c>
      <c r="AJ347" s="513" t="str">
        <f t="shared" ca="1" si="236"/>
        <v/>
      </c>
      <c r="AK347" s="700" t="str">
        <f t="shared" si="237"/>
        <v/>
      </c>
      <c r="AL347" s="700"/>
      <c r="AM347" s="505" t="str">
        <f t="shared" si="238"/>
        <v/>
      </c>
      <c r="AN347" s="506"/>
      <c r="AO347" s="507"/>
      <c r="AP347" s="507"/>
      <c r="AQ347" s="507"/>
      <c r="AR347" s="507"/>
      <c r="AS347" s="507"/>
      <c r="AT347" s="507"/>
      <c r="AU347" s="507"/>
      <c r="AV347" s="225"/>
      <c r="AW347" s="508"/>
      <c r="AX347" s="225"/>
      <c r="AY347" s="225"/>
      <c r="AZ347" s="225"/>
      <c r="BA347" s="225"/>
      <c r="BB347" s="225"/>
      <c r="BC347" s="56"/>
      <c r="BD347" s="56"/>
      <c r="BE347" s="56"/>
      <c r="BF347" s="107" t="str">
        <f t="shared" si="239"/>
        <v>https://www.google.com/search?tbm=isch&amp;q=10%20G4</v>
      </c>
      <c r="BG347" s="107" t="str">
        <f t="shared" si="240"/>
        <v>B</v>
      </c>
      <c r="BH347" s="254"/>
      <c r="BI347" s="254"/>
    </row>
    <row r="348" spans="1:61" customFormat="1" ht="17.25" thickBot="1" x14ac:dyDescent="0.3">
      <c r="A348" s="673" t="s">
        <v>5054</v>
      </c>
      <c r="B348" s="245"/>
      <c r="C348" s="677"/>
      <c r="D348" s="499"/>
      <c r="E348" s="499"/>
      <c r="F348" s="500"/>
      <c r="G348" s="501"/>
      <c r="H348" s="502"/>
      <c r="I348" s="246"/>
      <c r="J348" s="247"/>
      <c r="K348" s="503"/>
      <c r="L348" s="544"/>
      <c r="M348" s="544"/>
      <c r="N348" s="500"/>
      <c r="O348" s="500"/>
      <c r="P348" s="500"/>
      <c r="Q348" s="500"/>
      <c r="R348" s="500"/>
      <c r="S348" s="278"/>
      <c r="T348" s="508">
        <f t="shared" si="228"/>
        <v>0</v>
      </c>
      <c r="U348" s="225" t="str">
        <f>IF(NOT(ISNUMBER(G348)), "", VLOOKUP(A348,'Discount Lookup'!D:E,2,FALSE)*G348)</f>
        <v/>
      </c>
      <c r="V348" s="225" t="str">
        <f>IF(NOT(ISNUMBER(G348)), "", VLOOKUP(A348,'Discount Lookup'!G:H,2,FALSE)*G348)</f>
        <v/>
      </c>
      <c r="W348" s="508">
        <f t="shared" si="229"/>
        <v>0</v>
      </c>
      <c r="X348" s="508">
        <f t="shared" si="230"/>
        <v>0</v>
      </c>
      <c r="Y348" s="509" t="b">
        <f t="shared" si="231"/>
        <v>0</v>
      </c>
      <c r="Z348" s="510">
        <f t="shared" si="232"/>
        <v>0</v>
      </c>
      <c r="AA348" s="511"/>
      <c r="AB348" s="511" t="str">
        <f t="shared" si="233"/>
        <v/>
      </c>
      <c r="AC348" s="698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698"/>
      <c r="AE348" s="631" t="str">
        <f t="shared" si="234"/>
        <v/>
      </c>
      <c r="AF348" s="699" t="str">
        <f t="shared" si="235"/>
        <v/>
      </c>
      <c r="AG348" s="699"/>
      <c r="AH348" s="699"/>
      <c r="AI348" s="512">
        <f>IF(H348="credit",0,IF(AE348="free",0,IF(AE348="me",0,IF(G348&gt;0,(VLOOKUP(A348,'Discount Lookup'!J:K,2)*G348),0))))</f>
        <v>0</v>
      </c>
      <c r="AJ348" s="513" t="str">
        <f t="shared" ca="1" si="236"/>
        <v/>
      </c>
      <c r="AK348" s="700" t="str">
        <f t="shared" si="237"/>
        <v/>
      </c>
      <c r="AL348" s="700"/>
      <c r="AM348" s="505" t="str">
        <f t="shared" si="238"/>
        <v/>
      </c>
      <c r="AN348" s="506"/>
      <c r="AO348" s="507"/>
      <c r="AP348" s="507"/>
      <c r="AQ348" s="507"/>
      <c r="AR348" s="507"/>
      <c r="AS348" s="507"/>
      <c r="AT348" s="507"/>
      <c r="AU348" s="507"/>
      <c r="AV348" s="225"/>
      <c r="AW348" s="508"/>
      <c r="AX348" s="225"/>
      <c r="AY348" s="225"/>
      <c r="AZ348" s="225"/>
      <c r="BA348" s="225"/>
      <c r="BB348" s="225"/>
      <c r="BC348" s="56"/>
      <c r="BD348" s="56"/>
      <c r="BE348" s="56"/>
      <c r="BF348" s="107" t="str">
        <f t="shared" si="239"/>
        <v>https://www.google.com/search?tbm=isch&amp;q=moist%20sites%F0%9F%92%A7GOOD%2C%20Black%20Bamboo%20is%20a%20runner%20-%20needs%20containment.%20Green%20shoots%20turn%20Jet-Black%20in%201%20to%203%20years%20</v>
      </c>
      <c r="BG348" s="107" t="str">
        <f t="shared" si="240"/>
        <v>m</v>
      </c>
      <c r="BH348" s="254"/>
      <c r="BI348" s="254"/>
    </row>
    <row r="349" spans="1:61" customFormat="1" ht="18" x14ac:dyDescent="0.25">
      <c r="A349" s="523" t="s">
        <v>5348</v>
      </c>
      <c r="B349" s="235"/>
      <c r="C349" s="676"/>
      <c r="D349" s="255" t="s">
        <v>397</v>
      </c>
      <c r="E349" s="236"/>
      <c r="F349" s="236"/>
      <c r="G349" s="236"/>
      <c r="H349" s="582" t="s">
        <v>316</v>
      </c>
      <c r="I349" s="498" t="s">
        <v>656</v>
      </c>
      <c r="J349" s="237"/>
      <c r="K349" s="237"/>
      <c r="L349" s="274"/>
      <c r="M349" s="668" t="s">
        <v>4962</v>
      </c>
      <c r="N349" s="681" t="str">
        <f>IF(AND(ISTEXT($A349), ISERROR($A349+0)), HYPERLINK($BF349, "Images"), "")</f>
        <v>Images</v>
      </c>
      <c r="O349" s="663" t="s">
        <v>4967</v>
      </c>
      <c r="P349" s="253"/>
      <c r="Q349" s="238"/>
      <c r="R349" s="239"/>
      <c r="S349" s="275"/>
      <c r="T349" s="508">
        <f t="shared" si="228"/>
        <v>0</v>
      </c>
      <c r="U349" s="225" t="str">
        <f>IF(NOT(ISNUMBER(G349)), "", VLOOKUP(A349,'Discount Lookup'!D:E,2,FALSE)*G349)</f>
        <v/>
      </c>
      <c r="V349" s="225" t="str">
        <f>IF(NOT(ISNUMBER(G349)), "", VLOOKUP(A349,'Discount Lookup'!G:H,2,FALSE)*G349)</f>
        <v/>
      </c>
      <c r="W349" s="508">
        <f t="shared" si="229"/>
        <v>0</v>
      </c>
      <c r="X349" s="508" t="str">
        <f t="shared" si="230"/>
        <v>Pink bloom</v>
      </c>
      <c r="Y349" s="509" t="b">
        <f t="shared" si="231"/>
        <v>0</v>
      </c>
      <c r="Z349" s="510">
        <f t="shared" si="232"/>
        <v>0</v>
      </c>
      <c r="AA349" s="511"/>
      <c r="AB349" s="511" t="str">
        <f t="shared" si="233"/>
        <v/>
      </c>
      <c r="AC349" s="698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698"/>
      <c r="AE349" s="631" t="str">
        <f t="shared" si="234"/>
        <v/>
      </c>
      <c r="AF349" s="699" t="str">
        <f t="shared" si="235"/>
        <v/>
      </c>
      <c r="AG349" s="699"/>
      <c r="AH349" s="699"/>
      <c r="AI349" s="512">
        <f>IF(H349="credit",0,IF(AE349="free",0,IF(AE349="me",0,IF(G349&gt;0,(VLOOKUP(A349,'Discount Lookup'!J:K,2)*G349),0))))</f>
        <v>0</v>
      </c>
      <c r="AJ349" s="513" t="str">
        <f t="shared" ca="1" si="236"/>
        <v/>
      </c>
      <c r="AK349" s="700" t="str">
        <f t="shared" si="237"/>
        <v/>
      </c>
      <c r="AL349" s="700"/>
      <c r="AM349" s="505" t="str">
        <f t="shared" si="238"/>
        <v/>
      </c>
      <c r="AN349" s="506"/>
      <c r="AO349" s="507"/>
      <c r="AP349" s="507"/>
      <c r="AQ349" s="507"/>
      <c r="AR349" s="507"/>
      <c r="AS349" s="507"/>
      <c r="AT349" s="507"/>
      <c r="AU349" s="507"/>
      <c r="AV349" s="225"/>
      <c r="AW349" s="508"/>
      <c r="AX349" s="225"/>
      <c r="AY349" s="225"/>
      <c r="AZ349" s="225"/>
      <c r="BA349" s="225"/>
      <c r="BB349" s="225"/>
      <c r="BC349" s="56"/>
      <c r="BD349" s="56"/>
      <c r="BE349" s="56"/>
      <c r="BF349" s="107" t="str">
        <f t="shared" si="239"/>
        <v>https://www.google.com/search?tbm=isch&amp;q=Black%20Diamond%C2%AE%20Shell%20Pink%E2%84%A2%20Crape%20Myrtle%20Lagerstroemia%20hybrid%20%271Li%27%20PP%2328065</v>
      </c>
      <c r="BG349" s="107" t="str">
        <f t="shared" si="240"/>
        <v>B</v>
      </c>
      <c r="BH349" s="254"/>
      <c r="BI349" s="254"/>
    </row>
    <row r="350" spans="1:61" customFormat="1" ht="15.75" x14ac:dyDescent="0.25">
      <c r="A350" s="276">
        <v>7</v>
      </c>
      <c r="B350" s="240" t="s">
        <v>291</v>
      </c>
      <c r="C350" s="241" t="s">
        <v>3327</v>
      </c>
      <c r="D350" s="242" t="s">
        <v>292</v>
      </c>
      <c r="E350" s="243">
        <v>127.95</v>
      </c>
      <c r="F350" s="517" t="s">
        <v>293</v>
      </c>
      <c r="G350" s="232">
        <v>0</v>
      </c>
      <c r="H350" s="661" t="str">
        <f>IF(G350=0,"",IF(F350="Buy",IF(G350=1,"plant","plants"),IF(F350&gt;0.01,"warranty","Error")))</f>
        <v/>
      </c>
      <c r="I350" s="244">
        <f>IF(H350="free",0,IF(H350="credit",((E350*(F350))*G350*-1),IF(F350="Buy",(E350*G350),((E350*(1-F350))*G350))))</f>
        <v>0</v>
      </c>
      <c r="J350" s="244">
        <f>IF(H350="warranty",0,(I350*(_xlfn.SINGLE(SalesTaxPercentage))))</f>
        <v>0</v>
      </c>
      <c r="K350" s="696">
        <f t="shared" ref="K350" si="248">I350+J350</f>
        <v>0</v>
      </c>
      <c r="L350" s="696"/>
      <c r="M350" s="659" t="str">
        <f>IF(AND(G350&gt;0,E350=0),"WARNING - no PRICE inserted",IF(H350="free"," FREE ~ no charge this plant",IF(H350="credit",CONCATENATE(" -$",ROUND(K350*(1-T2GDiscount)*-1,2)," CREDIT after discount"),IF(T2GDiscount=0,"",IF(G350=0,"",IF(F350="Buy",CONCATENATE(" $",ROUND(K350*(1-T2GDiscount),2)," with ",(T2GDiscount*100),"% discount"),CONCATENATE(" $",ROUND(K350*(1-T2GDiscount),2)," with ",((T2GDiscount*100+F350*100)-(T2GDiscount*100*F350)),IF(F350&gt;0,"% discounts",IF(NoWarrantyDiscount&gt;0,"% discounts","% discount")))))))))</f>
        <v/>
      </c>
      <c r="N350" s="660"/>
      <c r="O350" s="233"/>
      <c r="P350" s="233"/>
      <c r="Q350" s="233"/>
      <c r="R350" s="233"/>
      <c r="S350" s="233"/>
      <c r="T350" s="508">
        <f t="shared" si="228"/>
        <v>0</v>
      </c>
      <c r="U350" s="225">
        <f>IF(NOT(ISNUMBER(G350)), "", VLOOKUP(A350,'Discount Lookup'!D:E,2,FALSE)*G350)</f>
        <v>0</v>
      </c>
      <c r="V350" s="225">
        <f>IF(NOT(ISNUMBER(G350)), "", VLOOKUP(A350,'Discount Lookup'!G:H,2,FALSE)*G350)</f>
        <v>0</v>
      </c>
      <c r="W350" s="508">
        <f t="shared" si="229"/>
        <v>0</v>
      </c>
      <c r="X350" s="508">
        <f t="shared" si="230"/>
        <v>0</v>
      </c>
      <c r="Y350" s="509" t="b">
        <f t="shared" si="231"/>
        <v>0</v>
      </c>
      <c r="Z350" s="510">
        <f t="shared" si="232"/>
        <v>0</v>
      </c>
      <c r="AA350" s="511"/>
      <c r="AB350" s="511" t="str">
        <f t="shared" si="233"/>
        <v/>
      </c>
      <c r="AC350" s="698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698"/>
      <c r="AE350" s="631" t="str">
        <f t="shared" si="234"/>
        <v/>
      </c>
      <c r="AF350" s="699" t="str">
        <f t="shared" si="235"/>
        <v/>
      </c>
      <c r="AG350" s="699"/>
      <c r="AH350" s="699"/>
      <c r="AI350" s="512">
        <f>IF(H350="credit",0,IF(AE350="free",0,IF(AE350="me",0,IF(G350&gt;0,(VLOOKUP(A350,'Discount Lookup'!J:K,2)*G350),0))))</f>
        <v>0</v>
      </c>
      <c r="AJ350" s="513" t="str">
        <f t="shared" ca="1" si="236"/>
        <v/>
      </c>
      <c r="AK350" s="700" t="str">
        <f t="shared" si="237"/>
        <v/>
      </c>
      <c r="AL350" s="700"/>
      <c r="AM350" s="505" t="str">
        <f t="shared" si="238"/>
        <v/>
      </c>
      <c r="AN350" s="506"/>
      <c r="AO350" s="507"/>
      <c r="AP350" s="507"/>
      <c r="AQ350" s="507"/>
      <c r="AR350" s="507"/>
      <c r="AS350" s="507"/>
      <c r="AT350" s="507"/>
      <c r="AU350" s="507"/>
      <c r="AV350" s="225"/>
      <c r="AW350" s="508"/>
      <c r="AX350" s="225"/>
      <c r="AY350" s="225"/>
      <c r="AZ350" s="225"/>
      <c r="BA350" s="225"/>
      <c r="BB350" s="225"/>
      <c r="BC350" s="56"/>
      <c r="BD350" s="56"/>
      <c r="BE350" s="56"/>
      <c r="BF350" s="107" t="str">
        <f t="shared" si="239"/>
        <v>https://www.google.com/search?tbm=isch&amp;q=7%20G4</v>
      </c>
      <c r="BG350" s="107" t="str">
        <f t="shared" si="240"/>
        <v>B</v>
      </c>
      <c r="BH350" s="254"/>
      <c r="BI350" s="254"/>
    </row>
    <row r="351" spans="1:61" customFormat="1" ht="17.25" thickBot="1" x14ac:dyDescent="0.3">
      <c r="A351" s="524" t="s">
        <v>2341</v>
      </c>
      <c r="B351" s="245"/>
      <c r="C351" s="677"/>
      <c r="D351" s="499"/>
      <c r="E351" s="499"/>
      <c r="F351" s="500"/>
      <c r="G351" s="501"/>
      <c r="H351" s="502"/>
      <c r="I351" s="246"/>
      <c r="J351" s="247"/>
      <c r="K351" s="503"/>
      <c r="L351" s="544"/>
      <c r="M351" s="544"/>
      <c r="N351" s="500"/>
      <c r="O351" s="500"/>
      <c r="P351" s="500"/>
      <c r="Q351" s="500"/>
      <c r="R351" s="500"/>
      <c r="S351" s="278"/>
      <c r="T351" s="508">
        <f t="shared" si="228"/>
        <v>0</v>
      </c>
      <c r="U351" s="225" t="str">
        <f>IF(NOT(ISNUMBER(G351)), "", VLOOKUP(A351,'Discount Lookup'!D:E,2,FALSE)*G351)</f>
        <v/>
      </c>
      <c r="V351" s="225" t="str">
        <f>IF(NOT(ISNUMBER(G351)), "", VLOOKUP(A351,'Discount Lookup'!G:H,2,FALSE)*G351)</f>
        <v/>
      </c>
      <c r="W351" s="508">
        <f t="shared" si="229"/>
        <v>0</v>
      </c>
      <c r="X351" s="508">
        <f t="shared" si="230"/>
        <v>0</v>
      </c>
      <c r="Y351" s="509" t="b">
        <f t="shared" si="231"/>
        <v>0</v>
      </c>
      <c r="Z351" s="510">
        <f t="shared" si="232"/>
        <v>0</v>
      </c>
      <c r="AA351" s="511"/>
      <c r="AB351" s="511" t="str">
        <f t="shared" si="233"/>
        <v/>
      </c>
      <c r="AC351" s="698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698"/>
      <c r="AE351" s="631" t="str">
        <f t="shared" si="234"/>
        <v/>
      </c>
      <c r="AF351" s="699" t="str">
        <f t="shared" si="235"/>
        <v/>
      </c>
      <c r="AG351" s="699"/>
      <c r="AH351" s="699"/>
      <c r="AI351" s="512">
        <f>IF(H351="credit",0,IF(AE351="free",0,IF(AE351="me",0,IF(G351&gt;0,(VLOOKUP(A351,'Discount Lookup'!J:K,2)*G351),0))))</f>
        <v>0</v>
      </c>
      <c r="AJ351" s="513" t="str">
        <f t="shared" ca="1" si="236"/>
        <v/>
      </c>
      <c r="AK351" s="700" t="str">
        <f t="shared" si="237"/>
        <v/>
      </c>
      <c r="AL351" s="700"/>
      <c r="AM351" s="505" t="str">
        <f t="shared" si="238"/>
        <v/>
      </c>
      <c r="AN351" s="506"/>
      <c r="AO351" s="507"/>
      <c r="AP351" s="507"/>
      <c r="AQ351" s="507"/>
      <c r="AR351" s="507"/>
      <c r="AS351" s="507"/>
      <c r="AT351" s="507"/>
      <c r="AU351" s="507"/>
      <c r="AV351" s="225"/>
      <c r="AW351" s="508"/>
      <c r="AX351" s="225"/>
      <c r="AY351" s="225"/>
      <c r="AZ351" s="225"/>
      <c r="BA351" s="225"/>
      <c r="BB351" s="225"/>
      <c r="BC351" s="56"/>
      <c r="BD351" s="56"/>
      <c r="BE351" s="56"/>
      <c r="BF351" s="107" t="str">
        <f t="shared" si="239"/>
        <v>https://www.google.com/search?tbm=isch&amp;q=Shell%20Pink%20is%20a%20Black%20Diamond%20brand%2C%20named%20for%20the%20Dark%20Purple%20bloom%2C%20almost%20black%20foliage%20</v>
      </c>
      <c r="BG351" s="107" t="str">
        <f t="shared" si="240"/>
        <v>S</v>
      </c>
      <c r="BH351" s="254"/>
      <c r="BI351" s="254"/>
    </row>
    <row r="352" spans="1:61" customFormat="1" ht="18" x14ac:dyDescent="0.25">
      <c r="A352" s="521" t="s">
        <v>302</v>
      </c>
      <c r="B352" s="477"/>
      <c r="C352" s="674"/>
      <c r="D352" s="478" t="s">
        <v>301</v>
      </c>
      <c r="E352" s="479"/>
      <c r="F352" s="479"/>
      <c r="G352" s="479"/>
      <c r="H352" s="582" t="s">
        <v>303</v>
      </c>
      <c r="I352" s="480" t="s">
        <v>2093</v>
      </c>
      <c r="J352" s="479"/>
      <c r="K352" s="479"/>
      <c r="L352" s="560"/>
      <c r="M352" s="666" t="s">
        <v>4963</v>
      </c>
      <c r="N352" s="680" t="str">
        <f>IF(AND(ISTEXT($A352), ISERROR($A352+0)), HYPERLINK($BF352, "Images"), "")</f>
        <v>Images</v>
      </c>
      <c r="O352" s="662" t="s">
        <v>4967</v>
      </c>
      <c r="P352" s="482"/>
      <c r="Q352" s="483"/>
      <c r="R352" s="483"/>
      <c r="S352" s="484"/>
      <c r="T352" s="508">
        <f t="shared" si="228"/>
        <v>0</v>
      </c>
      <c r="U352" s="225" t="str">
        <f>IF(NOT(ISNUMBER(G352)), "", VLOOKUP(A352,'Discount Lookup'!D:E,2,FALSE)*G352)</f>
        <v/>
      </c>
      <c r="V352" s="225" t="str">
        <f>IF(NOT(ISNUMBER(G352)), "", VLOOKUP(A352,'Discount Lookup'!G:H,2,FALSE)*G352)</f>
        <v/>
      </c>
      <c r="W352" s="508">
        <f t="shared" si="229"/>
        <v>0</v>
      </c>
      <c r="X352" s="508" t="str">
        <f t="shared" si="230"/>
        <v>Dark Green foliage</v>
      </c>
      <c r="Y352" s="509" t="b">
        <f t="shared" si="231"/>
        <v>0</v>
      </c>
      <c r="Z352" s="510">
        <f t="shared" si="232"/>
        <v>0</v>
      </c>
      <c r="AA352" s="511"/>
      <c r="AB352" s="511" t="str">
        <f t="shared" si="233"/>
        <v/>
      </c>
      <c r="AC352" s="698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698"/>
      <c r="AE352" s="631" t="str">
        <f t="shared" si="234"/>
        <v/>
      </c>
      <c r="AF352" s="699" t="str">
        <f t="shared" si="235"/>
        <v/>
      </c>
      <c r="AG352" s="699"/>
      <c r="AH352" s="699"/>
      <c r="AI352" s="512">
        <f>IF(H352="credit",0,IF(AE352="free",0,IF(AE352="me",0,IF(G352&gt;0,(VLOOKUP(A352,'Discount Lookup'!J:K,2)*G352),0))))</f>
        <v>0</v>
      </c>
      <c r="AJ352" s="513" t="str">
        <f t="shared" ca="1" si="236"/>
        <v/>
      </c>
      <c r="AK352" s="700" t="str">
        <f t="shared" si="237"/>
        <v/>
      </c>
      <c r="AL352" s="700"/>
      <c r="AM352" s="505" t="str">
        <f t="shared" si="238"/>
        <v/>
      </c>
      <c r="AN352" s="506"/>
      <c r="AO352" s="507"/>
      <c r="AP352" s="507"/>
      <c r="AQ352" s="507"/>
      <c r="AR352" s="507"/>
      <c r="AS352" s="507"/>
      <c r="AT352" s="507"/>
      <c r="AU352" s="507"/>
      <c r="AV352" s="225"/>
      <c r="AW352" s="508"/>
      <c r="AX352" s="225"/>
      <c r="AY352" s="225"/>
      <c r="AZ352" s="225"/>
      <c r="BA352" s="225"/>
      <c r="BB352" s="225"/>
      <c r="BC352" s="56"/>
      <c r="BD352" s="56"/>
      <c r="BE352" s="56"/>
      <c r="BF352" s="107" t="str">
        <f t="shared" si="239"/>
        <v>https://www.google.com/search?tbm=isch&amp;q=Black%20Dragon%20Cryptomeria%20Cryptomeria%20japonica%20%27Black%20Dragon%27</v>
      </c>
      <c r="BG352" s="107" t="str">
        <f t="shared" si="240"/>
        <v>B</v>
      </c>
      <c r="BH352" s="254"/>
      <c r="BI352" s="254"/>
    </row>
    <row r="353" spans="1:61" customFormat="1" ht="27" x14ac:dyDescent="0.25">
      <c r="A353" s="485">
        <v>7</v>
      </c>
      <c r="B353" s="486" t="s">
        <v>291</v>
      </c>
      <c r="C353" s="487" t="s">
        <v>3328</v>
      </c>
      <c r="D353" s="488" t="s">
        <v>292</v>
      </c>
      <c r="E353" s="489">
        <v>150.94999999999999</v>
      </c>
      <c r="F353" s="516" t="s">
        <v>293</v>
      </c>
      <c r="G353" s="232">
        <v>0</v>
      </c>
      <c r="H353" s="658" t="str">
        <f>IF(G353=0,"",IF(F353="Buy",IF(G353=1,"plant","plants"),IF(F353&gt;0.01,"warranty","Error")))</f>
        <v/>
      </c>
      <c r="I353" s="490">
        <f>IF(H353="free",0,IF(H353="credit",((E353*(F353))*G353*-1),IF(F353="Buy",(E353*G353),((E353*(1-F353))*G353))))</f>
        <v>0</v>
      </c>
      <c r="J353" s="490">
        <f>IF(H353="warranty",0,(I353*(_xlfn.SINGLE(SalesTaxPercentage))))</f>
        <v>0</v>
      </c>
      <c r="K353" s="695">
        <f t="shared" ref="K353" si="249">I353+J353</f>
        <v>0</v>
      </c>
      <c r="L353" s="695"/>
      <c r="M353" s="659" t="str">
        <f>IF(AND(G353&gt;0,E353=0),"WARNING - no PRICE inserted",IF(H353="free"," FREE ~ no charge this plant",IF(H353="credit",CONCATENATE(" -$",ROUND(K353*(1-T2GDiscount)*-1,2)," CREDIT after discount"),IF(T2GDiscount=0,"",IF(G353=0,"",IF(F353="Buy",CONCATENATE(" $",ROUND(K353*(1-T2GDiscount),2)," with ",(T2GDiscount*100),"% discount"),CONCATENATE(" $",ROUND(K353*(1-T2GDiscount),2)," with ",((T2GDiscount*100+F353*100)-(T2GDiscount*100*F353)),IF(F353&gt;0,"% discounts",IF(NoWarrantyDiscount&gt;0,"% discounts","% discount")))))))))</f>
        <v/>
      </c>
      <c r="N353" s="660"/>
      <c r="O353" s="233"/>
      <c r="P353" s="233"/>
      <c r="Q353" s="233"/>
      <c r="R353" s="233"/>
      <c r="S353" s="233"/>
      <c r="T353" s="508">
        <f t="shared" si="228"/>
        <v>0</v>
      </c>
      <c r="U353" s="225">
        <f>IF(NOT(ISNUMBER(G353)), "", VLOOKUP(A353,'Discount Lookup'!D:E,2,FALSE)*G353)</f>
        <v>0</v>
      </c>
      <c r="V353" s="225">
        <f>IF(NOT(ISNUMBER(G353)), "", VLOOKUP(A353,'Discount Lookup'!G:H,2,FALSE)*G353)</f>
        <v>0</v>
      </c>
      <c r="W353" s="508">
        <f t="shared" si="229"/>
        <v>0</v>
      </c>
      <c r="X353" s="508">
        <f t="shared" si="230"/>
        <v>0</v>
      </c>
      <c r="Y353" s="509" t="b">
        <f t="shared" si="231"/>
        <v>0</v>
      </c>
      <c r="Z353" s="510">
        <f t="shared" si="232"/>
        <v>0</v>
      </c>
      <c r="AA353" s="511"/>
      <c r="AB353" s="511" t="str">
        <f t="shared" si="233"/>
        <v/>
      </c>
      <c r="AC353" s="698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698"/>
      <c r="AE353" s="631" t="str">
        <f t="shared" si="234"/>
        <v/>
      </c>
      <c r="AF353" s="699" t="str">
        <f t="shared" si="235"/>
        <v/>
      </c>
      <c r="AG353" s="699"/>
      <c r="AH353" s="699"/>
      <c r="AI353" s="512">
        <f>IF(H353="credit",0,IF(AE353="free",0,IF(AE353="me",0,IF(G353&gt;0,(VLOOKUP(A353,'Discount Lookup'!J:K,2)*G353),0))))</f>
        <v>0</v>
      </c>
      <c r="AJ353" s="513" t="str">
        <f t="shared" ca="1" si="236"/>
        <v/>
      </c>
      <c r="AK353" s="700" t="str">
        <f t="shared" si="237"/>
        <v/>
      </c>
      <c r="AL353" s="700"/>
      <c r="AM353" s="505" t="str">
        <f t="shared" si="238"/>
        <v/>
      </c>
      <c r="AN353" s="506"/>
      <c r="AO353" s="507"/>
      <c r="AP353" s="507"/>
      <c r="AQ353" s="507"/>
      <c r="AR353" s="507"/>
      <c r="AS353" s="507"/>
      <c r="AT353" s="507"/>
      <c r="AU353" s="507"/>
      <c r="AV353" s="225"/>
      <c r="AW353" s="508"/>
      <c r="AX353" s="225"/>
      <c r="AY353" s="225"/>
      <c r="AZ353" s="225"/>
      <c r="BA353" s="225"/>
      <c r="BB353" s="225"/>
      <c r="BC353" s="56"/>
      <c r="BD353" s="56"/>
      <c r="BE353" s="56"/>
      <c r="BF353" s="107" t="str">
        <f t="shared" si="239"/>
        <v>https://www.google.com/search?tbm=isch&amp;q=7%20G4</v>
      </c>
      <c r="BG353" s="107" t="str">
        <f t="shared" si="240"/>
        <v>B</v>
      </c>
      <c r="BH353" s="254"/>
      <c r="BI353" s="254"/>
    </row>
    <row r="354" spans="1:61" customFormat="1" ht="15.75" x14ac:dyDescent="0.25">
      <c r="A354" s="485">
        <v>15</v>
      </c>
      <c r="B354" s="486" t="s">
        <v>291</v>
      </c>
      <c r="C354" s="487" t="s">
        <v>3972</v>
      </c>
      <c r="D354" s="488" t="s">
        <v>292</v>
      </c>
      <c r="E354" s="489">
        <v>293.95</v>
      </c>
      <c r="F354" s="516" t="s">
        <v>293</v>
      </c>
      <c r="G354" s="232">
        <v>0</v>
      </c>
      <c r="H354" s="658" t="str">
        <f>IF(G354=0,"",IF(F354="Buy",IF(G354=1,"plant","plants"),IF(F354&gt;0.01,"warranty","Error")))</f>
        <v/>
      </c>
      <c r="I354" s="490">
        <f>IF(H354="free",0,IF(H354="credit",((E354*(F354))*G354*-1),IF(F354="Buy",(E354*G354),((E354*(1-F354))*G354))))</f>
        <v>0</v>
      </c>
      <c r="J354" s="490">
        <f>IF(H354="warranty",0,(I354*(_xlfn.SINGLE(SalesTaxPercentage))))</f>
        <v>0</v>
      </c>
      <c r="K354" s="695">
        <f t="shared" ref="K354" si="250">I354+J354</f>
        <v>0</v>
      </c>
      <c r="L354" s="695"/>
      <c r="M354" s="659" t="str">
        <f>IF(AND(G354&gt;0,E354=0),"WARNING - no PRICE inserted",IF(H354="free"," FREE ~ no charge this plant",IF(H354="credit",CONCATENATE(" -$",ROUND(K354*(1-T2GDiscount)*-1,2)," CREDIT after discount"),IF(T2GDiscount=0,"",IF(G354=0,"",IF(F354="Buy",CONCATENATE(" $",ROUND(K354*(1-T2GDiscount),2)," with ",(T2GDiscount*100),"% discount"),CONCATENATE(" $",ROUND(K354*(1-T2GDiscount),2)," with ",((T2GDiscount*100+F354*100)-(T2GDiscount*100*F354)),IF(F354&gt;0,"% discounts",IF(NoWarrantyDiscount&gt;0,"% discounts","% discount")))))))))</f>
        <v/>
      </c>
      <c r="N354" s="660"/>
      <c r="O354" s="233"/>
      <c r="P354" s="233"/>
      <c r="Q354" s="233"/>
      <c r="R354" s="233"/>
      <c r="S354" s="233"/>
      <c r="T354" s="508">
        <f t="shared" si="228"/>
        <v>0</v>
      </c>
      <c r="U354" s="225">
        <f>IF(NOT(ISNUMBER(G354)), "", VLOOKUP(A354,'Discount Lookup'!D:E,2,FALSE)*G354)</f>
        <v>0</v>
      </c>
      <c r="V354" s="225">
        <f>IF(NOT(ISNUMBER(G354)), "", VLOOKUP(A354,'Discount Lookup'!G:H,2,FALSE)*G354)</f>
        <v>0</v>
      </c>
      <c r="W354" s="508">
        <f t="shared" si="229"/>
        <v>0</v>
      </c>
      <c r="X354" s="508">
        <f t="shared" si="230"/>
        <v>0</v>
      </c>
      <c r="Y354" s="509" t="b">
        <f t="shared" si="231"/>
        <v>0</v>
      </c>
      <c r="Z354" s="510">
        <f t="shared" si="232"/>
        <v>0</v>
      </c>
      <c r="AA354" s="511"/>
      <c r="AB354" s="511" t="str">
        <f t="shared" si="233"/>
        <v/>
      </c>
      <c r="AC354" s="698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698"/>
      <c r="AE354" s="631" t="str">
        <f t="shared" si="234"/>
        <v/>
      </c>
      <c r="AF354" s="699" t="str">
        <f t="shared" si="235"/>
        <v/>
      </c>
      <c r="AG354" s="699"/>
      <c r="AH354" s="699"/>
      <c r="AI354" s="512">
        <f>IF(H354="credit",0,IF(AE354="free",0,IF(AE354="me",0,IF(G354&gt;0,(VLOOKUP(A354,'Discount Lookup'!J:K,2)*G354),0))))</f>
        <v>0</v>
      </c>
      <c r="AJ354" s="513" t="str">
        <f t="shared" ca="1" si="236"/>
        <v/>
      </c>
      <c r="AK354" s="700" t="str">
        <f t="shared" si="237"/>
        <v/>
      </c>
      <c r="AL354" s="700"/>
      <c r="AM354" s="505" t="str">
        <f t="shared" si="238"/>
        <v/>
      </c>
      <c r="AN354" s="506"/>
      <c r="AO354" s="507"/>
      <c r="AP354" s="507"/>
      <c r="AQ354" s="507"/>
      <c r="AR354" s="507"/>
      <c r="AS354" s="507"/>
      <c r="AT354" s="507"/>
      <c r="AU354" s="507"/>
      <c r="AV354" s="225"/>
      <c r="AW354" s="508"/>
      <c r="AX354" s="225"/>
      <c r="AY354" s="225"/>
      <c r="AZ354" s="225"/>
      <c r="BA354" s="225"/>
      <c r="BB354" s="225"/>
      <c r="BC354" s="56"/>
      <c r="BD354" s="56"/>
      <c r="BE354" s="56"/>
      <c r="BF354" s="107" t="str">
        <f t="shared" si="239"/>
        <v>https://www.google.com/search?tbm=isch&amp;q=15%20G4</v>
      </c>
      <c r="BG354" s="107" t="str">
        <f t="shared" si="240"/>
        <v>B</v>
      </c>
      <c r="BH354" s="254"/>
      <c r="BI354" s="254"/>
    </row>
    <row r="355" spans="1:61" customFormat="1" ht="16.5" thickBot="1" x14ac:dyDescent="0.3">
      <c r="A355" s="522" t="s">
        <v>4582</v>
      </c>
      <c r="B355" s="491"/>
      <c r="C355" s="675"/>
      <c r="D355" s="491"/>
      <c r="E355" s="491"/>
      <c r="F355" s="492"/>
      <c r="G355" s="493"/>
      <c r="H355" s="491"/>
      <c r="I355" s="234"/>
      <c r="J355" s="234"/>
      <c r="K355" s="494"/>
      <c r="L355" s="543"/>
      <c r="M355" s="561"/>
      <c r="N355" s="495"/>
      <c r="O355" s="496"/>
      <c r="P355" s="497"/>
      <c r="Q355" s="495"/>
      <c r="R355" s="495"/>
      <c r="S355" s="277"/>
      <c r="T355" s="508">
        <f t="shared" si="228"/>
        <v>0</v>
      </c>
      <c r="U355" s="225" t="str">
        <f>IF(NOT(ISNUMBER(G355)), "", VLOOKUP(A355,'Discount Lookup'!D:E,2,FALSE)*G355)</f>
        <v/>
      </c>
      <c r="V355" s="225" t="str">
        <f>IF(NOT(ISNUMBER(G355)), "", VLOOKUP(A355,'Discount Lookup'!G:H,2,FALSE)*G355)</f>
        <v/>
      </c>
      <c r="W355" s="508">
        <f t="shared" si="229"/>
        <v>0</v>
      </c>
      <c r="X355" s="508">
        <f t="shared" si="230"/>
        <v>0</v>
      </c>
      <c r="Y355" s="509" t="b">
        <f t="shared" si="231"/>
        <v>0</v>
      </c>
      <c r="Z355" s="510">
        <f t="shared" si="232"/>
        <v>0</v>
      </c>
      <c r="AA355" s="511"/>
      <c r="AB355" s="511" t="str">
        <f t="shared" si="233"/>
        <v/>
      </c>
      <c r="AC355" s="698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698"/>
      <c r="AE355" s="631" t="str">
        <f t="shared" si="234"/>
        <v/>
      </c>
      <c r="AF355" s="699" t="str">
        <f t="shared" si="235"/>
        <v/>
      </c>
      <c r="AG355" s="699"/>
      <c r="AH355" s="699"/>
      <c r="AI355" s="512">
        <f>IF(H355="credit",0,IF(AE355="free",0,IF(AE355="me",0,IF(G355&gt;0,(VLOOKUP(A355,'Discount Lookup'!J:K,2)*G355),0))))</f>
        <v>0</v>
      </c>
      <c r="AJ355" s="513" t="str">
        <f t="shared" ca="1" si="236"/>
        <v/>
      </c>
      <c r="AK355" s="700" t="str">
        <f t="shared" si="237"/>
        <v/>
      </c>
      <c r="AL355" s="700"/>
      <c r="AM355" s="505" t="str">
        <f t="shared" si="238"/>
        <v/>
      </c>
      <c r="AN355" s="506"/>
      <c r="AO355" s="507"/>
      <c r="AP355" s="507"/>
      <c r="AQ355" s="507"/>
      <c r="AR355" s="507"/>
      <c r="AS355" s="507"/>
      <c r="AT355" s="507"/>
      <c r="AU355" s="507"/>
      <c r="AV355" s="225"/>
      <c r="AW355" s="508"/>
      <c r="AX355" s="225"/>
      <c r="AY355" s="225"/>
      <c r="AZ355" s="225"/>
      <c r="BA355" s="225"/>
      <c r="BB355" s="225"/>
      <c r="BC355" s="56"/>
      <c r="BD355" s="56"/>
      <c r="BE355" s="56"/>
      <c r="BF355" s="107" t="str">
        <f t="shared" si="239"/>
        <v>https://www.google.com/search?tbm=isch&amp;q=Black%20Dragon%20foliage%20emerges%20Bright%20Green%2C%20then%20Dark%20Green%2C%20then%20near%20Black%20in%20winter.%20Optimal%20with%20afternoon%20shade%20</v>
      </c>
      <c r="BG355" s="107" t="str">
        <f t="shared" si="240"/>
        <v>B</v>
      </c>
      <c r="BH355" s="254"/>
      <c r="BI355" s="254"/>
    </row>
    <row r="356" spans="1:61" customFormat="1" ht="18" x14ac:dyDescent="0.25">
      <c r="A356" s="523" t="s">
        <v>534</v>
      </c>
      <c r="B356" s="235"/>
      <c r="C356" s="676"/>
      <c r="D356" s="255" t="s">
        <v>533</v>
      </c>
      <c r="E356" s="236"/>
      <c r="F356" s="236"/>
      <c r="G356" s="236"/>
      <c r="H356" s="582" t="s">
        <v>471</v>
      </c>
      <c r="I356" s="498" t="s">
        <v>2494</v>
      </c>
      <c r="J356" s="237"/>
      <c r="K356" s="237"/>
      <c r="L356" s="274"/>
      <c r="M356" s="668" t="s">
        <v>4962</v>
      </c>
      <c r="N356" s="681" t="str">
        <f>IF(AND(ISTEXT($A356), ISERROR($A356+0)), HYPERLINK($BF356, "Images"), "")</f>
        <v>Images</v>
      </c>
      <c r="O356" s="663" t="s">
        <v>4969</v>
      </c>
      <c r="P356" s="253"/>
      <c r="Q356" s="238"/>
      <c r="R356" s="239"/>
      <c r="S356" s="275"/>
      <c r="T356" s="508">
        <f t="shared" si="228"/>
        <v>0</v>
      </c>
      <c r="U356" s="225" t="str">
        <f>IF(NOT(ISNUMBER(G356)), "", VLOOKUP(A356,'Discount Lookup'!D:E,2,FALSE)*G356)</f>
        <v/>
      </c>
      <c r="V356" s="225" t="str">
        <f>IF(NOT(ISNUMBER(G356)), "", VLOOKUP(A356,'Discount Lookup'!G:H,2,FALSE)*G356)</f>
        <v/>
      </c>
      <c r="W356" s="508">
        <f t="shared" si="229"/>
        <v>0</v>
      </c>
      <c r="X356" s="508" t="str">
        <f t="shared" si="230"/>
        <v>Deep Purple bloom</v>
      </c>
      <c r="Y356" s="509" t="b">
        <f t="shared" si="231"/>
        <v>0</v>
      </c>
      <c r="Z356" s="510">
        <f t="shared" si="232"/>
        <v>0</v>
      </c>
      <c r="AA356" s="511"/>
      <c r="AB356" s="511" t="str">
        <f t="shared" si="233"/>
        <v/>
      </c>
      <c r="AC356" s="698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698"/>
      <c r="AE356" s="631" t="str">
        <f t="shared" si="234"/>
        <v/>
      </c>
      <c r="AF356" s="699" t="str">
        <f t="shared" si="235"/>
        <v/>
      </c>
      <c r="AG356" s="699"/>
      <c r="AH356" s="699"/>
      <c r="AI356" s="512">
        <f>IF(H356="credit",0,IF(AE356="free",0,IF(AE356="me",0,IF(G356&gt;0,(VLOOKUP(A356,'Discount Lookup'!J:K,2)*G356),0))))</f>
        <v>0</v>
      </c>
      <c r="AJ356" s="513" t="str">
        <f t="shared" ca="1" si="236"/>
        <v/>
      </c>
      <c r="AK356" s="700" t="str">
        <f t="shared" si="237"/>
        <v/>
      </c>
      <c r="AL356" s="700"/>
      <c r="AM356" s="505" t="str">
        <f t="shared" si="238"/>
        <v/>
      </c>
      <c r="AN356" s="506"/>
      <c r="AO356" s="507"/>
      <c r="AP356" s="507"/>
      <c r="AQ356" s="507"/>
      <c r="AR356" s="507"/>
      <c r="AS356" s="507"/>
      <c r="AT356" s="507"/>
      <c r="AU356" s="507"/>
      <c r="AV356" s="225"/>
      <c r="AW356" s="508"/>
      <c r="AX356" s="225"/>
      <c r="AY356" s="225"/>
      <c r="AZ356" s="225"/>
      <c r="BA356" s="225"/>
      <c r="BB356" s="225"/>
      <c r="BC356" s="56"/>
      <c r="BD356" s="56"/>
      <c r="BE356" s="56"/>
      <c r="BF356" s="107" t="str">
        <f t="shared" si="239"/>
        <v>https://www.google.com/search?tbm=isch&amp;q=Black%20Knight%20Butterfly%20Bush%20Buddleia%20davidii%20%27Black%20Knight%27</v>
      </c>
      <c r="BG356" s="107" t="str">
        <f t="shared" si="240"/>
        <v>B</v>
      </c>
      <c r="BH356" s="254"/>
      <c r="BI356" s="254"/>
    </row>
    <row r="357" spans="1:61" customFormat="1" ht="15.75" x14ac:dyDescent="0.25">
      <c r="A357" s="276">
        <v>3</v>
      </c>
      <c r="B357" s="240" t="s">
        <v>291</v>
      </c>
      <c r="C357" s="241" t="s">
        <v>535</v>
      </c>
      <c r="D357" s="242" t="s">
        <v>297</v>
      </c>
      <c r="E357" s="243">
        <v>22.95</v>
      </c>
      <c r="F357" s="517" t="s">
        <v>293</v>
      </c>
      <c r="G357" s="232">
        <v>0</v>
      </c>
      <c r="H357" s="661" t="str">
        <f>IF(G357=0,"",IF(F357="Buy",IF(G357=1,"plant","plants"),IF(F357&gt;0.01,"warranty","Error")))</f>
        <v/>
      </c>
      <c r="I357" s="244">
        <f>IF(H357="free",0,IF(H357="credit",((E357*(F357))*G357*-1),IF(F357="Buy",(E357*G357),((E357*(1-F357))*G357))))</f>
        <v>0</v>
      </c>
      <c r="J357" s="244">
        <f>IF(H357="warranty",0,(I357*(_xlfn.SINGLE(SalesTaxPercentage))))</f>
        <v>0</v>
      </c>
      <c r="K357" s="696">
        <f t="shared" ref="K357" si="251">I357+J357</f>
        <v>0</v>
      </c>
      <c r="L357" s="696"/>
      <c r="M357" s="659" t="str">
        <f>IF(AND(G357&gt;0,E357=0),"WARNING - no PRICE inserted",IF(H357="free"," FREE ~ no charge this plant",IF(H357="credit",CONCATENATE(" -$",ROUND(K357*(1-T2GDiscount)*-1,2)," CREDIT after discount"),IF(T2GDiscount=0,"",IF(G357=0,"",IF(F357="Buy",CONCATENATE(" $",ROUND(K357*(1-T2GDiscount),2)," with ",(T2GDiscount*100),"% discount"),CONCATENATE(" $",ROUND(K357*(1-T2GDiscount),2)," with ",((T2GDiscount*100+F357*100)-(T2GDiscount*100*F357)),IF(F357&gt;0,"% discounts",IF(NoWarrantyDiscount&gt;0,"% discounts","% discount")))))))))</f>
        <v/>
      </c>
      <c r="N357" s="660"/>
      <c r="O357" s="233"/>
      <c r="P357" s="233"/>
      <c r="Q357" s="233"/>
      <c r="R357" s="233"/>
      <c r="S357" s="233"/>
      <c r="T357" s="508">
        <f t="shared" si="228"/>
        <v>0</v>
      </c>
      <c r="U357" s="225">
        <f>IF(NOT(ISNUMBER(G357)), "", VLOOKUP(A357,'Discount Lookup'!D:E,2,FALSE)*G357)</f>
        <v>0</v>
      </c>
      <c r="V357" s="225">
        <f>IF(NOT(ISNUMBER(G357)), "", VLOOKUP(A357,'Discount Lookup'!G:H,2,FALSE)*G357)</f>
        <v>0</v>
      </c>
      <c r="W357" s="508">
        <f t="shared" si="229"/>
        <v>0</v>
      </c>
      <c r="X357" s="508">
        <f t="shared" si="230"/>
        <v>0</v>
      </c>
      <c r="Y357" s="509" t="b">
        <f t="shared" si="231"/>
        <v>0</v>
      </c>
      <c r="Z357" s="510">
        <f t="shared" si="232"/>
        <v>0</v>
      </c>
      <c r="AA357" s="511"/>
      <c r="AB357" s="511" t="str">
        <f t="shared" si="233"/>
        <v/>
      </c>
      <c r="AC357" s="698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698"/>
      <c r="AE357" s="631" t="str">
        <f t="shared" si="234"/>
        <v/>
      </c>
      <c r="AF357" s="699" t="str">
        <f t="shared" si="235"/>
        <v/>
      </c>
      <c r="AG357" s="699"/>
      <c r="AH357" s="699"/>
      <c r="AI357" s="512">
        <f>IF(H357="credit",0,IF(AE357="free",0,IF(AE357="me",0,IF(G357&gt;0,(VLOOKUP(A357,'Discount Lookup'!J:K,2)*G357),0))))</f>
        <v>0</v>
      </c>
      <c r="AJ357" s="513" t="str">
        <f t="shared" ca="1" si="236"/>
        <v/>
      </c>
      <c r="AK357" s="700" t="str">
        <f t="shared" si="237"/>
        <v/>
      </c>
      <c r="AL357" s="700"/>
      <c r="AM357" s="505" t="str">
        <f t="shared" si="238"/>
        <v/>
      </c>
      <c r="AN357" s="506"/>
      <c r="AO357" s="507"/>
      <c r="AP357" s="507"/>
      <c r="AQ357" s="507"/>
      <c r="AR357" s="507"/>
      <c r="AS357" s="507"/>
      <c r="AT357" s="507"/>
      <c r="AU357" s="507"/>
      <c r="AV357" s="225"/>
      <c r="AW357" s="508"/>
      <c r="AX357" s="225"/>
      <c r="AY357" s="225"/>
      <c r="AZ357" s="225"/>
      <c r="BA357" s="225"/>
      <c r="BB357" s="225"/>
      <c r="BC357" s="56"/>
      <c r="BD357" s="56"/>
      <c r="BE357" s="56"/>
      <c r="BF357" s="107" t="str">
        <f t="shared" si="239"/>
        <v>https://www.google.com/search?tbm=isch&amp;q=3%20G3</v>
      </c>
      <c r="BG357" s="107" t="str">
        <f t="shared" si="240"/>
        <v>B</v>
      </c>
      <c r="BH357" s="254"/>
      <c r="BI357" s="254"/>
    </row>
    <row r="358" spans="1:61" customFormat="1" ht="15.75" x14ac:dyDescent="0.25">
      <c r="A358" s="276">
        <v>3</v>
      </c>
      <c r="B358" s="240" t="s">
        <v>291</v>
      </c>
      <c r="C358" s="241" t="s">
        <v>445</v>
      </c>
      <c r="D358" s="242" t="s">
        <v>312</v>
      </c>
      <c r="E358" s="243">
        <v>29.95</v>
      </c>
      <c r="F358" s="517" t="s">
        <v>293</v>
      </c>
      <c r="G358" s="232">
        <v>0</v>
      </c>
      <c r="H358" s="661" t="str">
        <f>IF(G358=0,"",IF(F358="Buy",IF(G358=1,"plant","plants"),IF(F358&gt;0.01,"warranty","Error")))</f>
        <v/>
      </c>
      <c r="I358" s="244">
        <f>IF(H358="free",0,IF(H358="credit",((E358*(F358))*G358*-1),IF(F358="Buy",(E358*G358),((E358*(1-F358))*G358))))</f>
        <v>0</v>
      </c>
      <c r="J358" s="244">
        <f>IF(H358="warranty",0,(I358*(_xlfn.SINGLE(SalesTaxPercentage))))</f>
        <v>0</v>
      </c>
      <c r="K358" s="696">
        <f t="shared" ref="K358" si="252">I358+J358</f>
        <v>0</v>
      </c>
      <c r="L358" s="696"/>
      <c r="M358" s="659" t="str">
        <f>IF(AND(G358&gt;0,E358=0),"WARNING - no PRICE inserted",IF(H358="free"," FREE ~ no charge this plant",IF(H358="credit",CONCATENATE(" -$",ROUND(K358*(1-T2GDiscount)*-1,2)," CREDIT after discount"),IF(T2GDiscount=0,"",IF(G358=0,"",IF(F358="Buy",CONCATENATE(" $",ROUND(K358*(1-T2GDiscount),2)," with ",(T2GDiscount*100),"% discount"),CONCATENATE(" $",ROUND(K358*(1-T2GDiscount),2)," with ",((T2GDiscount*100+F358*100)-(T2GDiscount*100*F358)),IF(F358&gt;0,"% discounts",IF(NoWarrantyDiscount&gt;0,"% discounts","% discount")))))))))</f>
        <v/>
      </c>
      <c r="N358" s="660"/>
      <c r="O358" s="233"/>
      <c r="P358" s="233"/>
      <c r="Q358" s="233"/>
      <c r="R358" s="233"/>
      <c r="S358" s="233"/>
      <c r="T358" s="508">
        <f t="shared" si="228"/>
        <v>0</v>
      </c>
      <c r="U358" s="225">
        <f>IF(NOT(ISNUMBER(G358)), "", VLOOKUP(A358,'Discount Lookup'!D:E,2,FALSE)*G358)</f>
        <v>0</v>
      </c>
      <c r="V358" s="225">
        <f>IF(NOT(ISNUMBER(G358)), "", VLOOKUP(A358,'Discount Lookup'!G:H,2,FALSE)*G358)</f>
        <v>0</v>
      </c>
      <c r="W358" s="508">
        <f t="shared" si="229"/>
        <v>0</v>
      </c>
      <c r="X358" s="508">
        <f t="shared" si="230"/>
        <v>0</v>
      </c>
      <c r="Y358" s="509" t="b">
        <f t="shared" si="231"/>
        <v>0</v>
      </c>
      <c r="Z358" s="510">
        <f t="shared" si="232"/>
        <v>0</v>
      </c>
      <c r="AA358" s="511"/>
      <c r="AB358" s="511" t="str">
        <f t="shared" si="233"/>
        <v/>
      </c>
      <c r="AC358" s="698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698"/>
      <c r="AE358" s="631" t="str">
        <f t="shared" si="234"/>
        <v/>
      </c>
      <c r="AF358" s="699" t="str">
        <f t="shared" si="235"/>
        <v/>
      </c>
      <c r="AG358" s="699"/>
      <c r="AH358" s="699"/>
      <c r="AI358" s="512">
        <f>IF(H358="credit",0,IF(AE358="free",0,IF(AE358="me",0,IF(G358&gt;0,(VLOOKUP(A358,'Discount Lookup'!J:K,2)*G358),0))))</f>
        <v>0</v>
      </c>
      <c r="AJ358" s="513" t="str">
        <f t="shared" ca="1" si="236"/>
        <v/>
      </c>
      <c r="AK358" s="700" t="str">
        <f t="shared" si="237"/>
        <v/>
      </c>
      <c r="AL358" s="700"/>
      <c r="AM358" s="505" t="str">
        <f t="shared" si="238"/>
        <v/>
      </c>
      <c r="AN358" s="506"/>
      <c r="AO358" s="507"/>
      <c r="AP358" s="507"/>
      <c r="AQ358" s="507"/>
      <c r="AR358" s="507"/>
      <c r="AS358" s="507"/>
      <c r="AT358" s="507"/>
      <c r="AU358" s="507"/>
      <c r="AV358" s="225"/>
      <c r="AW358" s="508"/>
      <c r="AX358" s="225"/>
      <c r="AY358" s="225"/>
      <c r="AZ358" s="225"/>
      <c r="BA358" s="225"/>
      <c r="BB358" s="225"/>
      <c r="BC358" s="56"/>
      <c r="BD358" s="56"/>
      <c r="BE358" s="56"/>
      <c r="BF358" s="107" t="str">
        <f t="shared" si="239"/>
        <v>https://www.google.com/search?tbm=isch&amp;q=3%20G2</v>
      </c>
      <c r="BG358" s="107" t="str">
        <f t="shared" si="240"/>
        <v>B</v>
      </c>
      <c r="BH358" s="254"/>
      <c r="BI358" s="254"/>
    </row>
    <row r="359" spans="1:61" customFormat="1" ht="17.25" thickBot="1" x14ac:dyDescent="0.3">
      <c r="A359" s="524" t="s">
        <v>4260</v>
      </c>
      <c r="B359" s="245"/>
      <c r="C359" s="677"/>
      <c r="D359" s="499"/>
      <c r="E359" s="499"/>
      <c r="F359" s="500"/>
      <c r="G359" s="501"/>
      <c r="H359" s="502"/>
      <c r="I359" s="246"/>
      <c r="J359" s="247"/>
      <c r="K359" s="503"/>
      <c r="L359" s="544"/>
      <c r="M359" s="544"/>
      <c r="N359" s="500"/>
      <c r="O359" s="500"/>
      <c r="P359" s="500"/>
      <c r="Q359" s="500"/>
      <c r="R359" s="500"/>
      <c r="S359" s="669" t="s">
        <v>4980</v>
      </c>
      <c r="T359" s="508">
        <f t="shared" si="228"/>
        <v>0</v>
      </c>
      <c r="U359" s="225" t="str">
        <f>IF(NOT(ISNUMBER(G359)), "", VLOOKUP(A359,'Discount Lookup'!D:E,2,FALSE)*G359)</f>
        <v/>
      </c>
      <c r="V359" s="225" t="str">
        <f>IF(NOT(ISNUMBER(G359)), "", VLOOKUP(A359,'Discount Lookup'!G:H,2,FALSE)*G359)</f>
        <v/>
      </c>
      <c r="W359" s="508">
        <f t="shared" si="229"/>
        <v>0</v>
      </c>
      <c r="X359" s="508">
        <f t="shared" si="230"/>
        <v>0</v>
      </c>
      <c r="Y359" s="509" t="b">
        <f t="shared" si="231"/>
        <v>0</v>
      </c>
      <c r="Z359" s="510">
        <f t="shared" si="232"/>
        <v>0</v>
      </c>
      <c r="AA359" s="511"/>
      <c r="AB359" s="511" t="str">
        <f t="shared" si="233"/>
        <v/>
      </c>
      <c r="AC359" s="698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698"/>
      <c r="AE359" s="631" t="str">
        <f t="shared" si="234"/>
        <v/>
      </c>
      <c r="AF359" s="699" t="str">
        <f t="shared" si="235"/>
        <v/>
      </c>
      <c r="AG359" s="699"/>
      <c r="AH359" s="699"/>
      <c r="AI359" s="512">
        <f>IF(H359="credit",0,IF(AE359="free",0,IF(AE359="me",0,IF(G359&gt;0,(VLOOKUP(A359,'Discount Lookup'!J:K,2)*G359),0))))</f>
        <v>0</v>
      </c>
      <c r="AJ359" s="513" t="str">
        <f t="shared" ca="1" si="236"/>
        <v/>
      </c>
      <c r="AK359" s="700" t="str">
        <f t="shared" si="237"/>
        <v/>
      </c>
      <c r="AL359" s="700"/>
      <c r="AM359" s="505" t="str">
        <f t="shared" si="238"/>
        <v/>
      </c>
      <c r="AN359" s="506"/>
      <c r="AO359" s="507"/>
      <c r="AP359" s="507"/>
      <c r="AQ359" s="507"/>
      <c r="AR359" s="507"/>
      <c r="AS359" s="507"/>
      <c r="AT359" s="507"/>
      <c r="AU359" s="507"/>
      <c r="AV359" s="225"/>
      <c r="AW359" s="508"/>
      <c r="AX359" s="225"/>
      <c r="AY359" s="225"/>
      <c r="AZ359" s="225"/>
      <c r="BA359" s="225"/>
      <c r="BB359" s="225"/>
      <c r="BC359" s="56"/>
      <c r="BD359" s="56"/>
      <c r="BE359" s="56"/>
      <c r="BF359" s="107" t="str">
        <f t="shared" si="239"/>
        <v>https://www.google.com/search?tbm=isch&amp;q=Black%20Knight%20has%20Dark%20Green%20foliage%2C%20Whitish%20undersides%2C%20and%20a%20sweet%20fragrance.%20All%20BB%20bloom%20summer%20to%20frost%2C%20on%20new%20wood%20</v>
      </c>
      <c r="BG359" s="107" t="str">
        <f t="shared" si="240"/>
        <v>B</v>
      </c>
      <c r="BH359" s="254"/>
      <c r="BI359" s="254"/>
    </row>
    <row r="360" spans="1:61" customFormat="1" ht="18" x14ac:dyDescent="0.25">
      <c r="A360" s="521" t="s">
        <v>580</v>
      </c>
      <c r="B360" s="477"/>
      <c r="C360" s="674"/>
      <c r="D360" s="478" t="s">
        <v>579</v>
      </c>
      <c r="E360" s="479"/>
      <c r="F360" s="479"/>
      <c r="G360" s="479"/>
      <c r="H360" s="582" t="s">
        <v>1359</v>
      </c>
      <c r="I360" s="480" t="s">
        <v>2342</v>
      </c>
      <c r="J360" s="479"/>
      <c r="K360" s="479"/>
      <c r="L360" s="560"/>
      <c r="M360" s="666" t="s">
        <v>4966</v>
      </c>
      <c r="N360" s="680" t="str">
        <f>IF(AND(ISTEXT($A360), ISERROR($A360+0)), HYPERLINK($BF360, "Images"), "")</f>
        <v>Images</v>
      </c>
      <c r="O360" s="662" t="s">
        <v>4967</v>
      </c>
      <c r="P360" s="482"/>
      <c r="Q360" s="483"/>
      <c r="R360" s="483"/>
      <c r="S360" s="484"/>
      <c r="T360" s="508">
        <f t="shared" si="228"/>
        <v>0</v>
      </c>
      <c r="U360" s="225" t="str">
        <f>IF(NOT(ISNUMBER(G360)), "", VLOOKUP(A360,'Discount Lookup'!D:E,2,FALSE)*G360)</f>
        <v/>
      </c>
      <c r="V360" s="225" t="str">
        <f>IF(NOT(ISNUMBER(G360)), "", VLOOKUP(A360,'Discount Lookup'!G:H,2,FALSE)*G360)</f>
        <v/>
      </c>
      <c r="W360" s="508">
        <f t="shared" si="229"/>
        <v>0</v>
      </c>
      <c r="X360" s="508" t="str">
        <f t="shared" si="230"/>
        <v>Pink-Lilac bloom</v>
      </c>
      <c r="Y360" s="509" t="b">
        <f t="shared" si="231"/>
        <v>0</v>
      </c>
      <c r="Z360" s="510">
        <f t="shared" si="232"/>
        <v>0</v>
      </c>
      <c r="AA360" s="511"/>
      <c r="AB360" s="511" t="str">
        <f t="shared" si="233"/>
        <v/>
      </c>
      <c r="AC360" s="698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698"/>
      <c r="AE360" s="631" t="str">
        <f t="shared" si="234"/>
        <v/>
      </c>
      <c r="AF360" s="699" t="str">
        <f t="shared" si="235"/>
        <v/>
      </c>
      <c r="AG360" s="699"/>
      <c r="AH360" s="699"/>
      <c r="AI360" s="512">
        <f>IF(H360="credit",0,IF(AE360="free",0,IF(AE360="me",0,IF(G360&gt;0,(VLOOKUP(A360,'Discount Lookup'!J:K,2)*G360),0))))</f>
        <v>0</v>
      </c>
      <c r="AJ360" s="513" t="str">
        <f t="shared" ca="1" si="236"/>
        <v/>
      </c>
      <c r="AK360" s="700" t="str">
        <f t="shared" si="237"/>
        <v/>
      </c>
      <c r="AL360" s="700"/>
      <c r="AM360" s="505" t="str">
        <f t="shared" si="238"/>
        <v/>
      </c>
      <c r="AN360" s="506"/>
      <c r="AO360" s="507"/>
      <c r="AP360" s="507"/>
      <c r="AQ360" s="507"/>
      <c r="AR360" s="507"/>
      <c r="AS360" s="507"/>
      <c r="AT360" s="507"/>
      <c r="AU360" s="507"/>
      <c r="AV360" s="225"/>
      <c r="AW360" s="508"/>
      <c r="AX360" s="225"/>
      <c r="AY360" s="225"/>
      <c r="AZ360" s="225"/>
      <c r="BA360" s="225"/>
      <c r="BB360" s="225"/>
      <c r="BC360" s="56"/>
      <c r="BD360" s="56"/>
      <c r="BE360" s="56"/>
      <c r="BF360" s="107" t="str">
        <f t="shared" si="239"/>
        <v>https://www.google.com/search?tbm=isch&amp;q=Black%20Mondo%20Grass%20Ophiopogon%20planiscapus%20%27Nigrescens%27</v>
      </c>
      <c r="BG360" s="107" t="str">
        <f t="shared" si="240"/>
        <v>B</v>
      </c>
      <c r="BH360" s="254"/>
      <c r="BI360" s="254"/>
    </row>
    <row r="361" spans="1:61" customFormat="1" ht="15.75" x14ac:dyDescent="0.25">
      <c r="A361" s="485">
        <v>1</v>
      </c>
      <c r="B361" s="486" t="s">
        <v>291</v>
      </c>
      <c r="C361" s="487"/>
      <c r="D361" s="488" t="s">
        <v>312</v>
      </c>
      <c r="E361" s="489">
        <v>15.95</v>
      </c>
      <c r="F361" s="516" t="s">
        <v>293</v>
      </c>
      <c r="G361" s="232">
        <v>0</v>
      </c>
      <c r="H361" s="658" t="str">
        <f>IF(G361=0,"",IF(F361="Buy",IF(G361=1,"plant","plants"),IF(F361&gt;0.01,"warranty","Error")))</f>
        <v/>
      </c>
      <c r="I361" s="490">
        <f>IF(H361="free",0,IF(H361="credit",((E361*(F361))*G361*-1),IF(F361="Buy",(E361*G361),((E361*(1-F361))*G361))))</f>
        <v>0</v>
      </c>
      <c r="J361" s="490">
        <f>IF(H361="warranty",0,(I361*(_xlfn.SINGLE(SalesTaxPercentage))))</f>
        <v>0</v>
      </c>
      <c r="K361" s="695">
        <f t="shared" ref="K361" si="253">I361+J361</f>
        <v>0</v>
      </c>
      <c r="L361" s="695"/>
      <c r="M361" s="659" t="str">
        <f>IF(AND(G361&gt;0,E361=0),"WARNING - no PRICE inserted",IF(H361="free"," FREE ~ no charge this plant",IF(H361="credit",CONCATENATE(" -$",ROUND(K361*(1-T2GDiscount)*-1,2)," CREDIT after discount"),IF(T2GDiscount=0,"",IF(G361=0,"",IF(F361="Buy",CONCATENATE(" $",ROUND(K361*(1-T2GDiscount),2)," with ",(T2GDiscount*100),"% discount"),CONCATENATE(" $",ROUND(K361*(1-T2GDiscount),2)," with ",((T2GDiscount*100+F361*100)-(T2GDiscount*100*F361)),IF(F361&gt;0,"% discounts",IF(NoWarrantyDiscount&gt;0,"% discounts","% discount")))))))))</f>
        <v/>
      </c>
      <c r="N361" s="660"/>
      <c r="O361" s="233"/>
      <c r="P361" s="233"/>
      <c r="Q361" s="233"/>
      <c r="R361" s="233"/>
      <c r="S361" s="233"/>
      <c r="T361" s="508">
        <f t="shared" si="228"/>
        <v>0</v>
      </c>
      <c r="U361" s="225">
        <f>IF(NOT(ISNUMBER(G361)), "", VLOOKUP(A361,'Discount Lookup'!D:E,2,FALSE)*G361)</f>
        <v>0</v>
      </c>
      <c r="V361" s="225">
        <f>IF(NOT(ISNUMBER(G361)), "", VLOOKUP(A361,'Discount Lookup'!G:H,2,FALSE)*G361)</f>
        <v>0</v>
      </c>
      <c r="W361" s="508">
        <f t="shared" si="229"/>
        <v>0</v>
      </c>
      <c r="X361" s="508">
        <f t="shared" si="230"/>
        <v>0</v>
      </c>
      <c r="Y361" s="509" t="b">
        <f t="shared" si="231"/>
        <v>0</v>
      </c>
      <c r="Z361" s="510">
        <f t="shared" si="232"/>
        <v>0</v>
      </c>
      <c r="AA361" s="511"/>
      <c r="AB361" s="511" t="str">
        <f t="shared" si="233"/>
        <v/>
      </c>
      <c r="AC361" s="698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698"/>
      <c r="AE361" s="631" t="str">
        <f t="shared" si="234"/>
        <v/>
      </c>
      <c r="AF361" s="699" t="str">
        <f t="shared" si="235"/>
        <v/>
      </c>
      <c r="AG361" s="699"/>
      <c r="AH361" s="699"/>
      <c r="AI361" s="512">
        <f>IF(H361="credit",0,IF(AE361="free",0,IF(AE361="me",0,IF(G361&gt;0,(VLOOKUP(A361,'Discount Lookup'!J:K,2)*G361),0))))</f>
        <v>0</v>
      </c>
      <c r="AJ361" s="513" t="str">
        <f t="shared" ca="1" si="236"/>
        <v/>
      </c>
      <c r="AK361" s="700" t="str">
        <f t="shared" si="237"/>
        <v/>
      </c>
      <c r="AL361" s="700"/>
      <c r="AM361" s="505" t="str">
        <f t="shared" si="238"/>
        <v/>
      </c>
      <c r="AN361" s="506"/>
      <c r="AO361" s="507"/>
      <c r="AP361" s="507"/>
      <c r="AQ361" s="507"/>
      <c r="AR361" s="507"/>
      <c r="AS361" s="507"/>
      <c r="AT361" s="507"/>
      <c r="AU361" s="507"/>
      <c r="AV361" s="225"/>
      <c r="AW361" s="508"/>
      <c r="AX361" s="225"/>
      <c r="AY361" s="225"/>
      <c r="AZ361" s="225"/>
      <c r="BA361" s="225"/>
      <c r="BB361" s="225"/>
      <c r="BC361" s="56"/>
      <c r="BD361" s="56"/>
      <c r="BE361" s="56"/>
      <c r="BF361" s="107" t="str">
        <f t="shared" si="239"/>
        <v>https://www.google.com/search?tbm=isch&amp;q=1%20G2</v>
      </c>
      <c r="BG361" s="107" t="str">
        <f t="shared" si="240"/>
        <v>B</v>
      </c>
      <c r="BH361" s="254"/>
      <c r="BI361" s="254"/>
    </row>
    <row r="362" spans="1:61" customFormat="1" ht="15.75" x14ac:dyDescent="0.25">
      <c r="A362" s="485">
        <v>1</v>
      </c>
      <c r="B362" s="486" t="s">
        <v>291</v>
      </c>
      <c r="C362" s="487"/>
      <c r="D362" s="488" t="s">
        <v>300</v>
      </c>
      <c r="E362" s="489">
        <v>20.95</v>
      </c>
      <c r="F362" s="516" t="s">
        <v>293</v>
      </c>
      <c r="G362" s="232">
        <v>0</v>
      </c>
      <c r="H362" s="658" t="str">
        <f>IF(G362=0,"",IF(F362="Buy",IF(G362=1,"plant","plants"),IF(F362&gt;0.01,"warranty","Error")))</f>
        <v/>
      </c>
      <c r="I362" s="490">
        <f>IF(H362="free",0,IF(H362="credit",((E362*(F362))*G362*-1),IF(F362="Buy",(E362*G362),((E362*(1-F362))*G362))))</f>
        <v>0</v>
      </c>
      <c r="J362" s="490">
        <f>IF(H362="warranty",0,(I362*(_xlfn.SINGLE(SalesTaxPercentage))))</f>
        <v>0</v>
      </c>
      <c r="K362" s="695">
        <f t="shared" ref="K362" si="254">I362+J362</f>
        <v>0</v>
      </c>
      <c r="L362" s="695"/>
      <c r="M362" s="659" t="str">
        <f>IF(AND(G362&gt;0,E362=0),"WARNING - no PRICE inserted",IF(H362="free"," FREE ~ no charge this plant",IF(H362="credit",CONCATENATE(" -$",ROUND(K362*(1-T2GDiscount)*-1,2)," CREDIT after discount"),IF(T2GDiscount=0,"",IF(G362=0,"",IF(F362="Buy",CONCATENATE(" $",ROUND(K362*(1-T2GDiscount),2)," with ",(T2GDiscount*100),"% discount"),CONCATENATE(" $",ROUND(K362*(1-T2GDiscount),2)," with ",((T2GDiscount*100+F362*100)-(T2GDiscount*100*F362)),IF(F362&gt;0,"% discounts",IF(NoWarrantyDiscount&gt;0,"% discounts","% discount")))))))))</f>
        <v/>
      </c>
      <c r="N362" s="660"/>
      <c r="O362" s="233"/>
      <c r="P362" s="233"/>
      <c r="Q362" s="233"/>
      <c r="R362" s="233"/>
      <c r="S362" s="233"/>
      <c r="T362" s="508">
        <f t="shared" si="228"/>
        <v>0</v>
      </c>
      <c r="U362" s="225">
        <f>IF(NOT(ISNUMBER(G362)), "", VLOOKUP(A362,'Discount Lookup'!D:E,2,FALSE)*G362)</f>
        <v>0</v>
      </c>
      <c r="V362" s="225">
        <f>IF(NOT(ISNUMBER(G362)), "", VLOOKUP(A362,'Discount Lookup'!G:H,2,FALSE)*G362)</f>
        <v>0</v>
      </c>
      <c r="W362" s="508">
        <f t="shared" si="229"/>
        <v>0</v>
      </c>
      <c r="X362" s="508">
        <f t="shared" si="230"/>
        <v>0</v>
      </c>
      <c r="Y362" s="509" t="b">
        <f t="shared" si="231"/>
        <v>0</v>
      </c>
      <c r="Z362" s="510">
        <f t="shared" si="232"/>
        <v>0</v>
      </c>
      <c r="AA362" s="511"/>
      <c r="AB362" s="511" t="str">
        <f t="shared" si="233"/>
        <v/>
      </c>
      <c r="AC362" s="698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698"/>
      <c r="AE362" s="631" t="str">
        <f t="shared" si="234"/>
        <v/>
      </c>
      <c r="AF362" s="699" t="str">
        <f t="shared" si="235"/>
        <v/>
      </c>
      <c r="AG362" s="699"/>
      <c r="AH362" s="699"/>
      <c r="AI362" s="512">
        <f>IF(H362="credit",0,IF(AE362="free",0,IF(AE362="me",0,IF(G362&gt;0,(VLOOKUP(A362,'Discount Lookup'!J:K,2)*G362),0))))</f>
        <v>0</v>
      </c>
      <c r="AJ362" s="513" t="str">
        <f t="shared" ca="1" si="236"/>
        <v/>
      </c>
      <c r="AK362" s="700" t="str">
        <f t="shared" si="237"/>
        <v/>
      </c>
      <c r="AL362" s="700"/>
      <c r="AM362" s="505" t="str">
        <f t="shared" si="238"/>
        <v/>
      </c>
      <c r="AN362" s="506"/>
      <c r="AO362" s="507"/>
      <c r="AP362" s="507"/>
      <c r="AQ362" s="507"/>
      <c r="AR362" s="507"/>
      <c r="AS362" s="507"/>
      <c r="AT362" s="507"/>
      <c r="AU362" s="507"/>
      <c r="AV362" s="225"/>
      <c r="AW362" s="508"/>
      <c r="AX362" s="225"/>
      <c r="AY362" s="225"/>
      <c r="AZ362" s="225"/>
      <c r="BA362" s="225"/>
      <c r="BB362" s="225"/>
      <c r="BC362" s="56"/>
      <c r="BD362" s="56"/>
      <c r="BE362" s="56"/>
      <c r="BF362" s="107" t="str">
        <f t="shared" si="239"/>
        <v>https://www.google.com/search?tbm=isch&amp;q=1%20G6</v>
      </c>
      <c r="BG362" s="107" t="str">
        <f t="shared" si="240"/>
        <v>B</v>
      </c>
      <c r="BH362" s="254"/>
      <c r="BI362" s="254"/>
    </row>
    <row r="363" spans="1:61" customFormat="1" ht="15.75" x14ac:dyDescent="0.25">
      <c r="A363" s="485">
        <v>2</v>
      </c>
      <c r="B363" s="486" t="s">
        <v>291</v>
      </c>
      <c r="C363" s="487" t="s">
        <v>3329</v>
      </c>
      <c r="D363" s="488" t="s">
        <v>292</v>
      </c>
      <c r="E363" s="489">
        <v>28.95</v>
      </c>
      <c r="F363" s="516" t="s">
        <v>293</v>
      </c>
      <c r="G363" s="232">
        <v>0</v>
      </c>
      <c r="H363" s="658" t="str">
        <f>IF(G363=0,"",IF(F363="Buy",IF(G363=1,"plant","plants"),IF(F363&gt;0.01,"warranty","Error")))</f>
        <v/>
      </c>
      <c r="I363" s="490">
        <f>IF(H363="free",0,IF(H363="credit",((E363*(F363))*G363*-1),IF(F363="Buy",(E363*G363),((E363*(1-F363))*G363))))</f>
        <v>0</v>
      </c>
      <c r="J363" s="490">
        <f>IF(H363="warranty",0,(I363*(_xlfn.SINGLE(SalesTaxPercentage))))</f>
        <v>0</v>
      </c>
      <c r="K363" s="695">
        <f t="shared" ref="K363" si="255">I363+J363</f>
        <v>0</v>
      </c>
      <c r="L363" s="695"/>
      <c r="M363" s="659" t="str">
        <f>IF(AND(G363&gt;0,E363=0),"WARNING - no PRICE inserted",IF(H363="free"," FREE ~ no charge this plant",IF(H363="credit",CONCATENATE(" -$",ROUND(K363*(1-T2GDiscount)*-1,2)," CREDIT after discount"),IF(T2GDiscount=0,"",IF(G363=0,"",IF(F363="Buy",CONCATENATE(" $",ROUND(K363*(1-T2GDiscount),2)," with ",(T2GDiscount*100),"% discount"),CONCATENATE(" $",ROUND(K363*(1-T2GDiscount),2)," with ",((T2GDiscount*100+F363*100)-(T2GDiscount*100*F363)),IF(F363&gt;0,"% discounts",IF(NoWarrantyDiscount&gt;0,"% discounts","% discount")))))))))</f>
        <v/>
      </c>
      <c r="N363" s="660"/>
      <c r="O363" s="233"/>
      <c r="P363" s="233"/>
      <c r="Q363" s="233"/>
      <c r="R363" s="233"/>
      <c r="S363" s="233"/>
      <c r="T363" s="508">
        <f t="shared" si="228"/>
        <v>0</v>
      </c>
      <c r="U363" s="225">
        <f>IF(NOT(ISNUMBER(G363)), "", VLOOKUP(A363,'Discount Lookup'!D:E,2,FALSE)*G363)</f>
        <v>0</v>
      </c>
      <c r="V363" s="225">
        <f>IF(NOT(ISNUMBER(G363)), "", VLOOKUP(A363,'Discount Lookup'!G:H,2,FALSE)*G363)</f>
        <v>0</v>
      </c>
      <c r="W363" s="508">
        <f t="shared" si="229"/>
        <v>0</v>
      </c>
      <c r="X363" s="508">
        <f t="shared" si="230"/>
        <v>0</v>
      </c>
      <c r="Y363" s="509" t="b">
        <f t="shared" si="231"/>
        <v>0</v>
      </c>
      <c r="Z363" s="510">
        <f t="shared" si="232"/>
        <v>0</v>
      </c>
      <c r="AA363" s="511"/>
      <c r="AB363" s="511" t="str">
        <f t="shared" si="233"/>
        <v/>
      </c>
      <c r="AC363" s="698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698"/>
      <c r="AE363" s="631" t="str">
        <f t="shared" si="234"/>
        <v/>
      </c>
      <c r="AF363" s="699" t="str">
        <f t="shared" si="235"/>
        <v/>
      </c>
      <c r="AG363" s="699"/>
      <c r="AH363" s="699"/>
      <c r="AI363" s="512">
        <f>IF(H363="credit",0,IF(AE363="free",0,IF(AE363="me",0,IF(G363&gt;0,(VLOOKUP(A363,'Discount Lookup'!J:K,2)*G363),0))))</f>
        <v>0</v>
      </c>
      <c r="AJ363" s="513" t="str">
        <f t="shared" ca="1" si="236"/>
        <v/>
      </c>
      <c r="AK363" s="700" t="str">
        <f t="shared" si="237"/>
        <v/>
      </c>
      <c r="AL363" s="700"/>
      <c r="AM363" s="505" t="str">
        <f t="shared" si="238"/>
        <v/>
      </c>
      <c r="AN363" s="506"/>
      <c r="AO363" s="507"/>
      <c r="AP363" s="507"/>
      <c r="AQ363" s="507"/>
      <c r="AR363" s="507"/>
      <c r="AS363" s="507"/>
      <c r="AT363" s="507"/>
      <c r="AU363" s="507"/>
      <c r="AV363" s="225"/>
      <c r="AW363" s="508"/>
      <c r="AX363" s="225"/>
      <c r="AY363" s="225"/>
      <c r="AZ363" s="225"/>
      <c r="BA363" s="225"/>
      <c r="BB363" s="225"/>
      <c r="BC363" s="56"/>
      <c r="BD363" s="56"/>
      <c r="BE363" s="56"/>
      <c r="BF363" s="107" t="str">
        <f t="shared" si="239"/>
        <v>https://www.google.com/search?tbm=isch&amp;q=2%20G4</v>
      </c>
      <c r="BG363" s="107" t="str">
        <f t="shared" si="240"/>
        <v>B</v>
      </c>
      <c r="BH363" s="254"/>
      <c r="BI363" s="254"/>
    </row>
    <row r="364" spans="1:61" customFormat="1" ht="16.5" thickBot="1" x14ac:dyDescent="0.3">
      <c r="A364" s="672" t="s">
        <v>5055</v>
      </c>
      <c r="B364" s="491"/>
      <c r="C364" s="675"/>
      <c r="D364" s="491"/>
      <c r="E364" s="491"/>
      <c r="F364" s="492"/>
      <c r="G364" s="493"/>
      <c r="H364" s="491"/>
      <c r="I364" s="234"/>
      <c r="J364" s="234"/>
      <c r="K364" s="494"/>
      <c r="L364" s="543"/>
      <c r="M364" s="561"/>
      <c r="N364" s="495"/>
      <c r="O364" s="496"/>
      <c r="P364" s="497"/>
      <c r="Q364" s="495"/>
      <c r="R364" s="495"/>
      <c r="S364" s="277"/>
      <c r="T364" s="508">
        <f t="shared" si="228"/>
        <v>0</v>
      </c>
      <c r="U364" s="225" t="str">
        <f>IF(NOT(ISNUMBER(G364)), "", VLOOKUP(A364,'Discount Lookup'!D:E,2,FALSE)*G364)</f>
        <v/>
      </c>
      <c r="V364" s="225" t="str">
        <f>IF(NOT(ISNUMBER(G364)), "", VLOOKUP(A364,'Discount Lookup'!G:H,2,FALSE)*G364)</f>
        <v/>
      </c>
      <c r="W364" s="508">
        <f t="shared" si="229"/>
        <v>0</v>
      </c>
      <c r="X364" s="508">
        <f t="shared" si="230"/>
        <v>0</v>
      </c>
      <c r="Y364" s="509" t="b">
        <f t="shared" si="231"/>
        <v>0</v>
      </c>
      <c r="Z364" s="510">
        <f t="shared" si="232"/>
        <v>0</v>
      </c>
      <c r="AA364" s="511"/>
      <c r="AB364" s="511" t="str">
        <f t="shared" si="233"/>
        <v/>
      </c>
      <c r="AC364" s="698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698"/>
      <c r="AE364" s="631" t="str">
        <f t="shared" si="234"/>
        <v/>
      </c>
      <c r="AF364" s="699" t="str">
        <f t="shared" si="235"/>
        <v/>
      </c>
      <c r="AG364" s="699"/>
      <c r="AH364" s="699"/>
      <c r="AI364" s="512">
        <f>IF(H364="credit",0,IF(AE364="free",0,IF(AE364="me",0,IF(G364&gt;0,(VLOOKUP(A364,'Discount Lookup'!J:K,2)*G364),0))))</f>
        <v>0</v>
      </c>
      <c r="AJ364" s="513" t="str">
        <f t="shared" ca="1" si="236"/>
        <v/>
      </c>
      <c r="AK364" s="700" t="str">
        <f t="shared" si="237"/>
        <v/>
      </c>
      <c r="AL364" s="700"/>
      <c r="AM364" s="505" t="str">
        <f t="shared" si="238"/>
        <v/>
      </c>
      <c r="AN364" s="506"/>
      <c r="AO364" s="507"/>
      <c r="AP364" s="507"/>
      <c r="AQ364" s="507"/>
      <c r="AR364" s="507"/>
      <c r="AS364" s="507"/>
      <c r="AT364" s="507"/>
      <c r="AU364" s="507"/>
      <c r="AV364" s="225"/>
      <c r="AW364" s="508"/>
      <c r="AX364" s="225"/>
      <c r="AY364" s="225"/>
      <c r="AZ364" s="225"/>
      <c r="BA364" s="225"/>
      <c r="BB364" s="225"/>
      <c r="BC364" s="56"/>
      <c r="BD364" s="56"/>
      <c r="BE364" s="56"/>
      <c r="BF364" s="107" t="str">
        <f t="shared" si="239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64" s="107" t="str">
        <f t="shared" si="240"/>
        <v>m</v>
      </c>
      <c r="BH364" s="254"/>
      <c r="BI364" s="254"/>
    </row>
    <row r="365" spans="1:61" customFormat="1" ht="18" x14ac:dyDescent="0.25">
      <c r="A365" s="523" t="s">
        <v>5349</v>
      </c>
      <c r="B365" s="235"/>
      <c r="C365" s="676"/>
      <c r="D365" s="255" t="s">
        <v>374</v>
      </c>
      <c r="E365" s="236"/>
      <c r="F365" s="236"/>
      <c r="G365" s="236"/>
      <c r="H365" s="582" t="s">
        <v>326</v>
      </c>
      <c r="I365" s="498" t="s">
        <v>1522</v>
      </c>
      <c r="J365" s="237"/>
      <c r="K365" s="237"/>
      <c r="L365" s="274"/>
      <c r="M365" s="668" t="s">
        <v>4975</v>
      </c>
      <c r="N365" s="681" t="str">
        <f>IF(AND(ISTEXT($A365), ISERROR($A365+0)), HYPERLINK($BF365, "Images"), "")</f>
        <v>Images</v>
      </c>
      <c r="O365" s="663" t="s">
        <v>4967</v>
      </c>
      <c r="P365" s="253"/>
      <c r="Q365" s="238"/>
      <c r="R365" s="239"/>
      <c r="S365" s="275" t="s">
        <v>305</v>
      </c>
      <c r="T365" s="508">
        <f t="shared" si="228"/>
        <v>0</v>
      </c>
      <c r="U365" s="225" t="str">
        <f>IF(NOT(ISNUMBER(G365)), "", VLOOKUP(A365,'Discount Lookup'!D:E,2,FALSE)*G365)</f>
        <v/>
      </c>
      <c r="V365" s="225" t="str">
        <f>IF(NOT(ISNUMBER(G365)), "", VLOOKUP(A365,'Discount Lookup'!G:H,2,FALSE)*G365)</f>
        <v/>
      </c>
      <c r="W365" s="508">
        <f t="shared" si="229"/>
        <v>0</v>
      </c>
      <c r="X365" s="508" t="str">
        <f t="shared" si="230"/>
        <v>Lavender-Pink bloom</v>
      </c>
      <c r="Y365" s="509" t="b">
        <f t="shared" si="231"/>
        <v>0</v>
      </c>
      <c r="Z365" s="510">
        <f t="shared" si="232"/>
        <v>0</v>
      </c>
      <c r="AA365" s="511"/>
      <c r="AB365" s="511" t="str">
        <f t="shared" si="233"/>
        <v/>
      </c>
      <c r="AC365" s="698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698"/>
      <c r="AE365" s="631" t="str">
        <f t="shared" si="234"/>
        <v/>
      </c>
      <c r="AF365" s="699" t="str">
        <f t="shared" si="235"/>
        <v/>
      </c>
      <c r="AG365" s="699"/>
      <c r="AH365" s="699"/>
      <c r="AI365" s="512">
        <f>IF(H365="credit",0,IF(AE365="free",0,IF(AE365="me",0,IF(G365&gt;0,(VLOOKUP(A365,'Discount Lookup'!J:K,2)*G365),0))))</f>
        <v>0</v>
      </c>
      <c r="AJ365" s="513" t="str">
        <f t="shared" ca="1" si="236"/>
        <v/>
      </c>
      <c r="AK365" s="700" t="str">
        <f t="shared" si="237"/>
        <v/>
      </c>
      <c r="AL365" s="700"/>
      <c r="AM365" s="505" t="str">
        <f t="shared" si="238"/>
        <v/>
      </c>
      <c r="AN365" s="506"/>
      <c r="AO365" s="507"/>
      <c r="AP365" s="507"/>
      <c r="AQ365" s="507"/>
      <c r="AR365" s="507"/>
      <c r="AS365" s="507"/>
      <c r="AT365" s="507"/>
      <c r="AU365" s="507"/>
      <c r="AV365" s="225"/>
      <c r="AW365" s="508"/>
      <c r="AX365" s="225"/>
      <c r="AY365" s="225"/>
      <c r="AZ365" s="225"/>
      <c r="BA365" s="225"/>
      <c r="BB365" s="225"/>
      <c r="BC365" s="56"/>
      <c r="BD365" s="56"/>
      <c r="BE365" s="56"/>
      <c r="BF365" s="107" t="str">
        <f t="shared" si="239"/>
        <v>https://www.google.com/search?tbm=isch&amp;q=Black%20Pearl%C2%AE%20Redbud%20Cercis%20canadensis%20%27JN16%27%20PP%2328627</v>
      </c>
      <c r="BG365" s="107" t="str">
        <f t="shared" si="240"/>
        <v>B</v>
      </c>
      <c r="BH365" s="254"/>
      <c r="BI365" s="254"/>
    </row>
    <row r="366" spans="1:61" customFormat="1" ht="15.75" x14ac:dyDescent="0.25">
      <c r="A366" s="276">
        <v>7</v>
      </c>
      <c r="B366" s="240" t="s">
        <v>291</v>
      </c>
      <c r="C366" s="241" t="s">
        <v>3330</v>
      </c>
      <c r="D366" s="242" t="s">
        <v>292</v>
      </c>
      <c r="E366" s="243">
        <v>109.95</v>
      </c>
      <c r="F366" s="517" t="s">
        <v>293</v>
      </c>
      <c r="G366" s="232">
        <v>0</v>
      </c>
      <c r="H366" s="661" t="str">
        <f>IF(G366=0,"",IF(F366="Buy",IF(G366=1,"plant","plants"),IF(F366&gt;0.01,"warranty","Error")))</f>
        <v/>
      </c>
      <c r="I366" s="244">
        <f>IF(H366="free",0,IF(H366="credit",((E366*(F366))*G366*-1),IF(F366="Buy",(E366*G366),((E366*(1-F366))*G366))))</f>
        <v>0</v>
      </c>
      <c r="J366" s="244">
        <f>IF(H366="warranty",0,(I366*(_xlfn.SINGLE(SalesTaxPercentage))))</f>
        <v>0</v>
      </c>
      <c r="K366" s="696">
        <f t="shared" ref="K366" si="256">I366+J366</f>
        <v>0</v>
      </c>
      <c r="L366" s="696"/>
      <c r="M366" s="659" t="str">
        <f>IF(AND(G366&gt;0,E366=0),"WARNING - no PRICE inserted",IF(H366="free"," FREE ~ no charge this plant",IF(H366="credit",CONCATENATE(" -$",ROUND(K366*(1-T2GDiscount)*-1,2)," CREDIT after discount"),IF(T2GDiscount=0,"",IF(G366=0,"",IF(F366="Buy",CONCATENATE(" $",ROUND(K366*(1-T2GDiscount),2)," with ",(T2GDiscount*100),"% discount"),CONCATENATE(" $",ROUND(K366*(1-T2GDiscount),2)," with ",((T2GDiscount*100+F366*100)-(T2GDiscount*100*F366)),IF(F366&gt;0,"% discounts",IF(NoWarrantyDiscount&gt;0,"% discounts","% discount")))))))))</f>
        <v/>
      </c>
      <c r="N366" s="660"/>
      <c r="O366" s="233"/>
      <c r="P366" s="233"/>
      <c r="Q366" s="233"/>
      <c r="R366" s="233"/>
      <c r="S366" s="233"/>
      <c r="T366" s="508">
        <f t="shared" si="228"/>
        <v>0</v>
      </c>
      <c r="U366" s="225">
        <f>IF(NOT(ISNUMBER(G366)), "", VLOOKUP(A366,'Discount Lookup'!D:E,2,FALSE)*G366)</f>
        <v>0</v>
      </c>
      <c r="V366" s="225">
        <f>IF(NOT(ISNUMBER(G366)), "", VLOOKUP(A366,'Discount Lookup'!G:H,2,FALSE)*G366)</f>
        <v>0</v>
      </c>
      <c r="W366" s="508">
        <f t="shared" si="229"/>
        <v>0</v>
      </c>
      <c r="X366" s="508">
        <f t="shared" si="230"/>
        <v>0</v>
      </c>
      <c r="Y366" s="509" t="b">
        <f t="shared" si="231"/>
        <v>0</v>
      </c>
      <c r="Z366" s="510">
        <f t="shared" si="232"/>
        <v>0</v>
      </c>
      <c r="AA366" s="511"/>
      <c r="AB366" s="511" t="str">
        <f t="shared" si="233"/>
        <v/>
      </c>
      <c r="AC366" s="698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698"/>
      <c r="AE366" s="631" t="str">
        <f t="shared" si="234"/>
        <v/>
      </c>
      <c r="AF366" s="699" t="str">
        <f t="shared" si="235"/>
        <v/>
      </c>
      <c r="AG366" s="699"/>
      <c r="AH366" s="699"/>
      <c r="AI366" s="512">
        <f>IF(H366="credit",0,IF(AE366="free",0,IF(AE366="me",0,IF(G366&gt;0,(VLOOKUP(A366,'Discount Lookup'!J:K,2)*G366),0))))</f>
        <v>0</v>
      </c>
      <c r="AJ366" s="513" t="str">
        <f t="shared" ca="1" si="236"/>
        <v/>
      </c>
      <c r="AK366" s="700" t="str">
        <f t="shared" si="237"/>
        <v/>
      </c>
      <c r="AL366" s="700"/>
      <c r="AM366" s="505" t="str">
        <f t="shared" si="238"/>
        <v/>
      </c>
      <c r="AN366" s="506"/>
      <c r="AO366" s="507"/>
      <c r="AP366" s="507"/>
      <c r="AQ366" s="507"/>
      <c r="AR366" s="507"/>
      <c r="AS366" s="507"/>
      <c r="AT366" s="507"/>
      <c r="AU366" s="507"/>
      <c r="AV366" s="225"/>
      <c r="AW366" s="508"/>
      <c r="AX366" s="225"/>
      <c r="AY366" s="225"/>
      <c r="AZ366" s="225"/>
      <c r="BA366" s="225"/>
      <c r="BB366" s="225"/>
      <c r="BC366" s="56"/>
      <c r="BD366" s="56"/>
      <c r="BE366" s="56"/>
      <c r="BF366" s="107" t="str">
        <f t="shared" si="239"/>
        <v>https://www.google.com/search?tbm=isch&amp;q=7%20G4</v>
      </c>
      <c r="BG366" s="107" t="str">
        <f t="shared" si="240"/>
        <v>B</v>
      </c>
      <c r="BH366" s="254"/>
      <c r="BI366" s="254"/>
    </row>
    <row r="367" spans="1:61" customFormat="1" ht="15.75" x14ac:dyDescent="0.25">
      <c r="A367" s="276">
        <v>10</v>
      </c>
      <c r="B367" s="240" t="s">
        <v>291</v>
      </c>
      <c r="C367" s="241" t="s">
        <v>3331</v>
      </c>
      <c r="D367" s="242" t="s">
        <v>292</v>
      </c>
      <c r="E367" s="243">
        <v>155.94999999999999</v>
      </c>
      <c r="F367" s="517" t="s">
        <v>293</v>
      </c>
      <c r="G367" s="232">
        <v>0</v>
      </c>
      <c r="H367" s="661" t="str">
        <f>IF(G367=0,"",IF(F367="Buy",IF(G367=1,"plant","plants"),IF(F367&gt;0.01,"warranty","Error")))</f>
        <v/>
      </c>
      <c r="I367" s="244">
        <f>IF(H367="free",0,IF(H367="credit",((E367*(F367))*G367*-1),IF(F367="Buy",(E367*G367),((E367*(1-F367))*G367))))</f>
        <v>0</v>
      </c>
      <c r="J367" s="244">
        <f>IF(H367="warranty",0,(I367*(_xlfn.SINGLE(SalesTaxPercentage))))</f>
        <v>0</v>
      </c>
      <c r="K367" s="696">
        <f t="shared" ref="K367" si="257">I367+J367</f>
        <v>0</v>
      </c>
      <c r="L367" s="696"/>
      <c r="M367" s="659" t="str">
        <f>IF(AND(G367&gt;0,E367=0),"WARNING - no PRICE inserted",IF(H367="free"," FREE ~ no charge this plant",IF(H367="credit",CONCATENATE(" -$",ROUND(K367*(1-T2GDiscount)*-1,2)," CREDIT after discount"),IF(T2GDiscount=0,"",IF(G367=0,"",IF(F367="Buy",CONCATENATE(" $",ROUND(K367*(1-T2GDiscount),2)," with ",(T2GDiscount*100),"% discount"),CONCATENATE(" $",ROUND(K367*(1-T2GDiscount),2)," with ",((T2GDiscount*100+F367*100)-(T2GDiscount*100*F367)),IF(F367&gt;0,"% discounts",IF(NoWarrantyDiscount&gt;0,"% discounts","% discount")))))))))</f>
        <v/>
      </c>
      <c r="N367" s="660"/>
      <c r="O367" s="233"/>
      <c r="P367" s="233"/>
      <c r="Q367" s="233"/>
      <c r="R367" s="233"/>
      <c r="S367" s="233"/>
      <c r="T367" s="508">
        <f t="shared" si="228"/>
        <v>0</v>
      </c>
      <c r="U367" s="225">
        <f>IF(NOT(ISNUMBER(G367)), "", VLOOKUP(A367,'Discount Lookup'!D:E,2,FALSE)*G367)</f>
        <v>0</v>
      </c>
      <c r="V367" s="225">
        <f>IF(NOT(ISNUMBER(G367)), "", VLOOKUP(A367,'Discount Lookup'!G:H,2,FALSE)*G367)</f>
        <v>0</v>
      </c>
      <c r="W367" s="508">
        <f t="shared" si="229"/>
        <v>0</v>
      </c>
      <c r="X367" s="508">
        <f t="shared" si="230"/>
        <v>0</v>
      </c>
      <c r="Y367" s="509" t="b">
        <f t="shared" si="231"/>
        <v>0</v>
      </c>
      <c r="Z367" s="510">
        <f t="shared" si="232"/>
        <v>0</v>
      </c>
      <c r="AA367" s="511"/>
      <c r="AB367" s="511" t="str">
        <f t="shared" si="233"/>
        <v/>
      </c>
      <c r="AC367" s="698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698"/>
      <c r="AE367" s="631" t="str">
        <f t="shared" si="234"/>
        <v/>
      </c>
      <c r="AF367" s="699" t="str">
        <f t="shared" si="235"/>
        <v/>
      </c>
      <c r="AG367" s="699"/>
      <c r="AH367" s="699"/>
      <c r="AI367" s="512">
        <f>IF(H367="credit",0,IF(AE367="free",0,IF(AE367="me",0,IF(G367&gt;0,(VLOOKUP(A367,'Discount Lookup'!J:K,2)*G367),0))))</f>
        <v>0</v>
      </c>
      <c r="AJ367" s="513" t="str">
        <f t="shared" ca="1" si="236"/>
        <v/>
      </c>
      <c r="AK367" s="700" t="str">
        <f t="shared" si="237"/>
        <v/>
      </c>
      <c r="AL367" s="700"/>
      <c r="AM367" s="505" t="str">
        <f t="shared" si="238"/>
        <v/>
      </c>
      <c r="AN367" s="506"/>
      <c r="AO367" s="507"/>
      <c r="AP367" s="507"/>
      <c r="AQ367" s="507"/>
      <c r="AR367" s="507"/>
      <c r="AS367" s="507"/>
      <c r="AT367" s="507"/>
      <c r="AU367" s="507"/>
      <c r="AV367" s="225"/>
      <c r="AW367" s="508"/>
      <c r="AX367" s="225"/>
      <c r="AY367" s="225"/>
      <c r="AZ367" s="225"/>
      <c r="BA367" s="225"/>
      <c r="BB367" s="225"/>
      <c r="BC367" s="56"/>
      <c r="BD367" s="56"/>
      <c r="BE367" s="56"/>
      <c r="BF367" s="107" t="str">
        <f t="shared" si="239"/>
        <v>https://www.google.com/search?tbm=isch&amp;q=10%20G4</v>
      </c>
      <c r="BG367" s="107" t="str">
        <f t="shared" si="240"/>
        <v>B</v>
      </c>
      <c r="BH367" s="254"/>
      <c r="BI367" s="254"/>
    </row>
    <row r="368" spans="1:61" customFormat="1" ht="17.25" thickBot="1" x14ac:dyDescent="0.3">
      <c r="A368" s="524" t="s">
        <v>4048</v>
      </c>
      <c r="B368" s="245"/>
      <c r="C368" s="677"/>
      <c r="D368" s="499"/>
      <c r="E368" s="499"/>
      <c r="F368" s="500"/>
      <c r="G368" s="501"/>
      <c r="H368" s="502"/>
      <c r="I368" s="246"/>
      <c r="J368" s="247"/>
      <c r="K368" s="503"/>
      <c r="L368" s="544"/>
      <c r="M368" s="544"/>
      <c r="N368" s="500"/>
      <c r="O368" s="500"/>
      <c r="P368" s="500"/>
      <c r="Q368" s="500"/>
      <c r="R368" s="500"/>
      <c r="S368" s="669" t="s">
        <v>4996</v>
      </c>
      <c r="T368" s="508">
        <f t="shared" si="228"/>
        <v>0</v>
      </c>
      <c r="U368" s="225" t="str">
        <f>IF(NOT(ISNUMBER(G368)), "", VLOOKUP(A368,'Discount Lookup'!D:E,2,FALSE)*G368)</f>
        <v/>
      </c>
      <c r="V368" s="225" t="str">
        <f>IF(NOT(ISNUMBER(G368)), "", VLOOKUP(A368,'Discount Lookup'!G:H,2,FALSE)*G368)</f>
        <v/>
      </c>
      <c r="W368" s="508">
        <f t="shared" si="229"/>
        <v>0</v>
      </c>
      <c r="X368" s="508">
        <f t="shared" si="230"/>
        <v>0</v>
      </c>
      <c r="Y368" s="509" t="b">
        <f t="shared" si="231"/>
        <v>0</v>
      </c>
      <c r="Z368" s="510">
        <f t="shared" si="232"/>
        <v>0</v>
      </c>
      <c r="AA368" s="511"/>
      <c r="AB368" s="511" t="str">
        <f t="shared" si="233"/>
        <v/>
      </c>
      <c r="AC368" s="698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698"/>
      <c r="AE368" s="631" t="str">
        <f t="shared" si="234"/>
        <v/>
      </c>
      <c r="AF368" s="699" t="str">
        <f t="shared" si="235"/>
        <v/>
      </c>
      <c r="AG368" s="699"/>
      <c r="AH368" s="699"/>
      <c r="AI368" s="512">
        <f>IF(H368="credit",0,IF(AE368="free",0,IF(AE368="me",0,IF(G368&gt;0,(VLOOKUP(A368,'Discount Lookup'!J:K,2)*G368),0))))</f>
        <v>0</v>
      </c>
      <c r="AJ368" s="513" t="str">
        <f t="shared" ca="1" si="236"/>
        <v/>
      </c>
      <c r="AK368" s="700" t="str">
        <f t="shared" si="237"/>
        <v/>
      </c>
      <c r="AL368" s="700"/>
      <c r="AM368" s="505" t="str">
        <f t="shared" si="238"/>
        <v/>
      </c>
      <c r="AN368" s="506"/>
      <c r="AO368" s="507"/>
      <c r="AP368" s="507"/>
      <c r="AQ368" s="507"/>
      <c r="AR368" s="507"/>
      <c r="AS368" s="507"/>
      <c r="AT368" s="507"/>
      <c r="AU368" s="507"/>
      <c r="AV368" s="225"/>
      <c r="AW368" s="508"/>
      <c r="AX368" s="225"/>
      <c r="AY368" s="225"/>
      <c r="AZ368" s="225"/>
      <c r="BA368" s="225"/>
      <c r="BB368" s="225"/>
      <c r="BC368" s="56"/>
      <c r="BD368" s="56"/>
      <c r="BE368" s="56"/>
      <c r="BF368" s="107" t="str">
        <f t="shared" si="239"/>
        <v>https://www.google.com/search?tbm=isch&amp;q=Black%20Pearl%20known%20for%20it%27s%20exceptionally%20dark%20foliage%2C%20that%20holds%20it%27s%20color%20well%20through%20the%20growing%20season%20</v>
      </c>
      <c r="BG368" s="107" t="str">
        <f t="shared" si="240"/>
        <v>B</v>
      </c>
      <c r="BH368" s="254"/>
      <c r="BI368" s="254"/>
    </row>
    <row r="369" spans="1:61" customFormat="1" ht="18" x14ac:dyDescent="0.25">
      <c r="A369" s="521" t="s">
        <v>585</v>
      </c>
      <c r="B369" s="477"/>
      <c r="C369" s="674"/>
      <c r="D369" s="478" t="s">
        <v>584</v>
      </c>
      <c r="E369" s="479"/>
      <c r="F369" s="479"/>
      <c r="G369" s="479"/>
      <c r="H369" s="582" t="s">
        <v>586</v>
      </c>
      <c r="I369" s="480" t="s">
        <v>668</v>
      </c>
      <c r="J369" s="479"/>
      <c r="K369" s="479"/>
      <c r="L369" s="560"/>
      <c r="M369" s="671" t="s">
        <v>4985</v>
      </c>
      <c r="N369" s="680" t="str">
        <f>IF(AND(ISTEXT($A369), ISERROR($A369+0)), HYPERLINK($BF369, "Images"), "")</f>
        <v>Images</v>
      </c>
      <c r="O369" s="662" t="s">
        <v>4967</v>
      </c>
      <c r="P369" s="482"/>
      <c r="Q369" s="483"/>
      <c r="R369" s="483"/>
      <c r="S369" s="484"/>
      <c r="T369" s="508">
        <f t="shared" si="228"/>
        <v>0</v>
      </c>
      <c r="U369" s="225" t="str">
        <f>IF(NOT(ISNUMBER(G369)), "", VLOOKUP(A369,'Discount Lookup'!D:E,2,FALSE)*G369)</f>
        <v/>
      </c>
      <c r="V369" s="225" t="str">
        <f>IF(NOT(ISNUMBER(G369)), "", VLOOKUP(A369,'Discount Lookup'!G:H,2,FALSE)*G369)</f>
        <v/>
      </c>
      <c r="W369" s="508">
        <f t="shared" si="229"/>
        <v>0</v>
      </c>
      <c r="X369" s="508" t="str">
        <f t="shared" si="230"/>
        <v>Violet bloom</v>
      </c>
      <c r="Y369" s="509" t="b">
        <f t="shared" si="231"/>
        <v>0</v>
      </c>
      <c r="Z369" s="510">
        <f t="shared" si="232"/>
        <v>0</v>
      </c>
      <c r="AA369" s="511"/>
      <c r="AB369" s="511" t="str">
        <f t="shared" si="233"/>
        <v/>
      </c>
      <c r="AC369" s="698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698"/>
      <c r="AE369" s="631" t="str">
        <f t="shared" si="234"/>
        <v/>
      </c>
      <c r="AF369" s="699" t="str">
        <f t="shared" si="235"/>
        <v/>
      </c>
      <c r="AG369" s="699"/>
      <c r="AH369" s="699"/>
      <c r="AI369" s="512">
        <f>IF(H369="credit",0,IF(AE369="free",0,IF(AE369="me",0,IF(G369&gt;0,(VLOOKUP(A369,'Discount Lookup'!J:K,2)*G369),0))))</f>
        <v>0</v>
      </c>
      <c r="AJ369" s="513" t="str">
        <f t="shared" ca="1" si="236"/>
        <v/>
      </c>
      <c r="AK369" s="700" t="str">
        <f t="shared" si="237"/>
        <v/>
      </c>
      <c r="AL369" s="700"/>
      <c r="AM369" s="505" t="str">
        <f t="shared" si="238"/>
        <v/>
      </c>
      <c r="AN369" s="506"/>
      <c r="AO369" s="507"/>
      <c r="AP369" s="507"/>
      <c r="AQ369" s="507"/>
      <c r="AR369" s="507"/>
      <c r="AS369" s="507"/>
      <c r="AT369" s="507"/>
      <c r="AU369" s="507"/>
      <c r="AV369" s="225"/>
      <c r="AW369" s="508"/>
      <c r="AX369" s="225"/>
      <c r="AY369" s="225"/>
      <c r="AZ369" s="225"/>
      <c r="BA369" s="225"/>
      <c r="BB369" s="225"/>
      <c r="BC369" s="56"/>
      <c r="BD369" s="56"/>
      <c r="BE369" s="56"/>
      <c r="BF369" s="107" t="str">
        <f t="shared" si="239"/>
        <v>https://www.google.com/search?tbm=isch&amp;q=Black%20Scallop%20Bugleweed%20Ajuga%20reptans%20%27Black%20Scallop%27%20PP%2315815</v>
      </c>
      <c r="BG369" s="107" t="str">
        <f t="shared" si="240"/>
        <v>B</v>
      </c>
      <c r="BH369" s="254"/>
      <c r="BI369" s="254"/>
    </row>
    <row r="370" spans="1:61" customFormat="1" ht="15.75" x14ac:dyDescent="0.25">
      <c r="A370" s="485">
        <v>1</v>
      </c>
      <c r="B370" s="486" t="s">
        <v>291</v>
      </c>
      <c r="C370" s="487"/>
      <c r="D370" s="488" t="s">
        <v>312</v>
      </c>
      <c r="E370" s="489">
        <v>12.95</v>
      </c>
      <c r="F370" s="516" t="s">
        <v>293</v>
      </c>
      <c r="G370" s="232">
        <v>0</v>
      </c>
      <c r="H370" s="658" t="str">
        <f>IF(G370=0,"",IF(F370="Buy",IF(G370=1,"plant","plants"),IF(F370&gt;0.01,"warranty","Error")))</f>
        <v/>
      </c>
      <c r="I370" s="490">
        <f>IF(H370="free",0,IF(H370="credit",((E370*(F370))*G370*-1),IF(F370="Buy",(E370*G370),((E370*(1-F370))*G370))))</f>
        <v>0</v>
      </c>
      <c r="J370" s="490">
        <f>IF(H370="warranty",0,(I370*(_xlfn.SINGLE(SalesTaxPercentage))))</f>
        <v>0</v>
      </c>
      <c r="K370" s="695">
        <f t="shared" ref="K370" si="258">I370+J370</f>
        <v>0</v>
      </c>
      <c r="L370" s="695"/>
      <c r="M370" s="659" t="str">
        <f>IF(AND(G370&gt;0,E370=0),"WARNING - no PRICE inserted",IF(H370="free"," FREE ~ no charge this plant",IF(H370="credit",CONCATENATE(" -$",ROUND(K370*(1-T2GDiscount)*-1,2)," CREDIT after discount"),IF(T2GDiscount=0,"",IF(G370=0,"",IF(F370="Buy",CONCATENATE(" $",ROUND(K370*(1-T2GDiscount),2)," with ",(T2GDiscount*100),"% discount"),CONCATENATE(" $",ROUND(K370*(1-T2GDiscount),2)," with ",((T2GDiscount*100+F370*100)-(T2GDiscount*100*F370)),IF(F370&gt;0,"% discounts",IF(NoWarrantyDiscount&gt;0,"% discounts","% discount")))))))))</f>
        <v/>
      </c>
      <c r="N370" s="660"/>
      <c r="O370" s="233"/>
      <c r="P370" s="233"/>
      <c r="Q370" s="233"/>
      <c r="R370" s="233"/>
      <c r="S370" s="233"/>
      <c r="T370" s="508">
        <f t="shared" si="228"/>
        <v>0</v>
      </c>
      <c r="U370" s="225">
        <f>IF(NOT(ISNUMBER(G370)), "", VLOOKUP(A370,'Discount Lookup'!D:E,2,FALSE)*G370)</f>
        <v>0</v>
      </c>
      <c r="V370" s="225">
        <f>IF(NOT(ISNUMBER(G370)), "", VLOOKUP(A370,'Discount Lookup'!G:H,2,FALSE)*G370)</f>
        <v>0</v>
      </c>
      <c r="W370" s="508">
        <f t="shared" si="229"/>
        <v>0</v>
      </c>
      <c r="X370" s="508">
        <f t="shared" si="230"/>
        <v>0</v>
      </c>
      <c r="Y370" s="509" t="b">
        <f t="shared" si="231"/>
        <v>0</v>
      </c>
      <c r="Z370" s="510">
        <f t="shared" si="232"/>
        <v>0</v>
      </c>
      <c r="AA370" s="511"/>
      <c r="AB370" s="511" t="str">
        <f t="shared" si="233"/>
        <v/>
      </c>
      <c r="AC370" s="698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698"/>
      <c r="AE370" s="631" t="str">
        <f t="shared" si="234"/>
        <v/>
      </c>
      <c r="AF370" s="699" t="str">
        <f t="shared" si="235"/>
        <v/>
      </c>
      <c r="AG370" s="699"/>
      <c r="AH370" s="699"/>
      <c r="AI370" s="512">
        <f>IF(H370="credit",0,IF(AE370="free",0,IF(AE370="me",0,IF(G370&gt;0,(VLOOKUP(A370,'Discount Lookup'!J:K,2)*G370),0))))</f>
        <v>0</v>
      </c>
      <c r="AJ370" s="513" t="str">
        <f t="shared" ca="1" si="236"/>
        <v/>
      </c>
      <c r="AK370" s="700" t="str">
        <f t="shared" si="237"/>
        <v/>
      </c>
      <c r="AL370" s="700"/>
      <c r="AM370" s="505" t="str">
        <f t="shared" si="238"/>
        <v/>
      </c>
      <c r="AN370" s="506"/>
      <c r="AO370" s="507"/>
      <c r="AP370" s="507"/>
      <c r="AQ370" s="507"/>
      <c r="AR370" s="507"/>
      <c r="AS370" s="507"/>
      <c r="AT370" s="507"/>
      <c r="AU370" s="507"/>
      <c r="AV370" s="225"/>
      <c r="AW370" s="508"/>
      <c r="AX370" s="225"/>
      <c r="AY370" s="225"/>
      <c r="AZ370" s="225"/>
      <c r="BA370" s="225"/>
      <c r="BB370" s="225"/>
      <c r="BC370" s="56"/>
      <c r="BD370" s="56"/>
      <c r="BE370" s="56"/>
      <c r="BF370" s="107" t="str">
        <f t="shared" si="239"/>
        <v>https://www.google.com/search?tbm=isch&amp;q=1%20G2</v>
      </c>
      <c r="BG370" s="107" t="str">
        <f t="shared" si="240"/>
        <v>B</v>
      </c>
      <c r="BH370" s="254"/>
      <c r="BI370" s="254"/>
    </row>
    <row r="371" spans="1:61" customFormat="1" ht="17.25" thickBot="1" x14ac:dyDescent="0.3">
      <c r="A371" s="672" t="s">
        <v>5056</v>
      </c>
      <c r="B371" s="491"/>
      <c r="C371" s="675"/>
      <c r="D371" s="491"/>
      <c r="E371" s="491"/>
      <c r="F371" s="492"/>
      <c r="G371" s="493"/>
      <c r="H371" s="491"/>
      <c r="I371" s="234"/>
      <c r="J371" s="234"/>
      <c r="K371" s="494"/>
      <c r="L371" s="543"/>
      <c r="M371" s="561"/>
      <c r="N371" s="495"/>
      <c r="O371" s="496"/>
      <c r="P371" s="497"/>
      <c r="Q371" s="495"/>
      <c r="R371" s="495"/>
      <c r="S371" s="667" t="s">
        <v>4997</v>
      </c>
      <c r="T371" s="508">
        <f t="shared" si="228"/>
        <v>0</v>
      </c>
      <c r="U371" s="225" t="str">
        <f>IF(NOT(ISNUMBER(G371)), "", VLOOKUP(A371,'Discount Lookup'!D:E,2,FALSE)*G371)</f>
        <v/>
      </c>
      <c r="V371" s="225" t="str">
        <f>IF(NOT(ISNUMBER(G371)), "", VLOOKUP(A371,'Discount Lookup'!G:H,2,FALSE)*G371)</f>
        <v/>
      </c>
      <c r="W371" s="508">
        <f t="shared" si="229"/>
        <v>0</v>
      </c>
      <c r="X371" s="508">
        <f t="shared" si="230"/>
        <v>0</v>
      </c>
      <c r="Y371" s="509" t="b">
        <f t="shared" si="231"/>
        <v>0</v>
      </c>
      <c r="Z371" s="510">
        <f t="shared" si="232"/>
        <v>0</v>
      </c>
      <c r="AA371" s="511"/>
      <c r="AB371" s="511" t="str">
        <f t="shared" si="233"/>
        <v/>
      </c>
      <c r="AC371" s="698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698"/>
      <c r="AE371" s="631" t="str">
        <f t="shared" si="234"/>
        <v/>
      </c>
      <c r="AF371" s="699" t="str">
        <f t="shared" si="235"/>
        <v/>
      </c>
      <c r="AG371" s="699"/>
      <c r="AH371" s="699"/>
      <c r="AI371" s="512">
        <f>IF(H371="credit",0,IF(AE371="free",0,IF(AE371="me",0,IF(G371&gt;0,(VLOOKUP(A371,'Discount Lookup'!J:K,2)*G371),0))))</f>
        <v>0</v>
      </c>
      <c r="AJ371" s="513" t="str">
        <f t="shared" ca="1" si="236"/>
        <v/>
      </c>
      <c r="AK371" s="700" t="str">
        <f t="shared" si="237"/>
        <v/>
      </c>
      <c r="AL371" s="700"/>
      <c r="AM371" s="505" t="str">
        <f t="shared" si="238"/>
        <v/>
      </c>
      <c r="AN371" s="506"/>
      <c r="AO371" s="507"/>
      <c r="AP371" s="507"/>
      <c r="AQ371" s="507"/>
      <c r="AR371" s="507"/>
      <c r="AS371" s="507"/>
      <c r="AT371" s="507"/>
      <c r="AU371" s="507"/>
      <c r="AV371" s="225"/>
      <c r="AW371" s="508"/>
      <c r="AX371" s="225"/>
      <c r="AY371" s="225"/>
      <c r="AZ371" s="225"/>
      <c r="BA371" s="225"/>
      <c r="BB371" s="225"/>
      <c r="BC371" s="56"/>
      <c r="BD371" s="56"/>
      <c r="BE371" s="56"/>
      <c r="BF371" s="107" t="str">
        <f t="shared" si="239"/>
        <v>https://www.google.com/search?tbm=isch&amp;q=moist%20sites%F0%9F%92%A7BEST%2C%20Black%20Scallop%27s%20fragrant%20blooms%20showy%20above%20a%20bed%20of%20glossy%2C%20near-Black%20foliage%20</v>
      </c>
      <c r="BG371" s="107" t="str">
        <f t="shared" si="240"/>
        <v>m</v>
      </c>
      <c r="BH371" s="254"/>
      <c r="BI371" s="254"/>
    </row>
    <row r="372" spans="1:61" customFormat="1" ht="18" x14ac:dyDescent="0.25">
      <c r="A372" s="523" t="s">
        <v>423</v>
      </c>
      <c r="B372" s="235"/>
      <c r="C372" s="676"/>
      <c r="D372" s="255" t="s">
        <v>422</v>
      </c>
      <c r="E372" s="236"/>
      <c r="F372" s="236"/>
      <c r="G372" s="236"/>
      <c r="H372" s="582" t="s">
        <v>324</v>
      </c>
      <c r="I372" s="498" t="s">
        <v>2093</v>
      </c>
      <c r="J372" s="237"/>
      <c r="K372" s="237"/>
      <c r="L372" s="274"/>
      <c r="M372" s="668" t="s">
        <v>4975</v>
      </c>
      <c r="N372" s="681" t="str">
        <f>IF(AND(ISTEXT($A372), ISERROR($A372+0)), HYPERLINK($BF372, "Images"), "")</f>
        <v>Images</v>
      </c>
      <c r="O372" s="663" t="s">
        <v>4967</v>
      </c>
      <c r="P372" s="253"/>
      <c r="Q372" s="238"/>
      <c r="R372" s="239"/>
      <c r="S372" s="275" t="s">
        <v>305</v>
      </c>
      <c r="T372" s="508">
        <f t="shared" si="228"/>
        <v>0</v>
      </c>
      <c r="U372" s="225" t="str">
        <f>IF(NOT(ISNUMBER(G372)), "", VLOOKUP(A372,'Discount Lookup'!D:E,2,FALSE)*G372)</f>
        <v/>
      </c>
      <c r="V372" s="225" t="str">
        <f>IF(NOT(ISNUMBER(G372)), "", VLOOKUP(A372,'Discount Lookup'!G:H,2,FALSE)*G372)</f>
        <v/>
      </c>
      <c r="W372" s="508">
        <f t="shared" si="229"/>
        <v>0</v>
      </c>
      <c r="X372" s="508" t="str">
        <f t="shared" si="230"/>
        <v>Dark Green foliage</v>
      </c>
      <c r="Y372" s="509" t="b">
        <f t="shared" si="231"/>
        <v>0</v>
      </c>
      <c r="Z372" s="510">
        <f t="shared" si="232"/>
        <v>0</v>
      </c>
      <c r="AA372" s="511"/>
      <c r="AB372" s="511" t="str">
        <f t="shared" si="233"/>
        <v/>
      </c>
      <c r="AC372" s="698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698"/>
      <c r="AE372" s="631" t="str">
        <f t="shared" si="234"/>
        <v/>
      </c>
      <c r="AF372" s="699" t="str">
        <f t="shared" si="235"/>
        <v/>
      </c>
      <c r="AG372" s="699"/>
      <c r="AH372" s="699"/>
      <c r="AI372" s="512">
        <f>IF(H372="credit",0,IF(AE372="free",0,IF(AE372="me",0,IF(G372&gt;0,(VLOOKUP(A372,'Discount Lookup'!J:K,2)*G372),0))))</f>
        <v>0</v>
      </c>
      <c r="AJ372" s="513" t="str">
        <f t="shared" ca="1" si="236"/>
        <v/>
      </c>
      <c r="AK372" s="700" t="str">
        <f t="shared" si="237"/>
        <v/>
      </c>
      <c r="AL372" s="700"/>
      <c r="AM372" s="505" t="str">
        <f t="shared" si="238"/>
        <v/>
      </c>
      <c r="AN372" s="506"/>
      <c r="AO372" s="507"/>
      <c r="AP372" s="507"/>
      <c r="AQ372" s="507"/>
      <c r="AR372" s="507"/>
      <c r="AS372" s="507"/>
      <c r="AT372" s="507"/>
      <c r="AU372" s="507"/>
      <c r="AV372" s="225"/>
      <c r="AW372" s="508"/>
      <c r="AX372" s="225"/>
      <c r="AY372" s="225"/>
      <c r="AZ372" s="225"/>
      <c r="BA372" s="225"/>
      <c r="BB372" s="225"/>
      <c r="BC372" s="56"/>
      <c r="BD372" s="56"/>
      <c r="BE372" s="56"/>
      <c r="BF372" s="107" t="str">
        <f t="shared" si="239"/>
        <v>https://www.google.com/search?tbm=isch&amp;q=Black%20Tupelo%20Nyssa%20sylvatica</v>
      </c>
      <c r="BG372" s="107" t="str">
        <f t="shared" si="240"/>
        <v>B</v>
      </c>
      <c r="BH372" s="254"/>
      <c r="BI372" s="254"/>
    </row>
    <row r="373" spans="1:61" customFormat="1" ht="15.75" x14ac:dyDescent="0.25">
      <c r="A373" s="276">
        <v>7</v>
      </c>
      <c r="B373" s="240" t="s">
        <v>291</v>
      </c>
      <c r="C373" s="241" t="s">
        <v>2715</v>
      </c>
      <c r="D373" s="242" t="s">
        <v>299</v>
      </c>
      <c r="E373" s="243">
        <v>109.95</v>
      </c>
      <c r="F373" s="517" t="s">
        <v>293</v>
      </c>
      <c r="G373" s="232">
        <v>0</v>
      </c>
      <c r="H373" s="661" t="str">
        <f>IF(G373=0,"",IF(F373="Buy",IF(G373=1,"plant","plants"),IF(F373&gt;0.01,"warranty","Error")))</f>
        <v/>
      </c>
      <c r="I373" s="244">
        <f>IF(H373="free",0,IF(H373="credit",((E373*(F373))*G373*-1),IF(F373="Buy",(E373*G373),((E373*(1-F373))*G373))))</f>
        <v>0</v>
      </c>
      <c r="J373" s="244">
        <f>IF(H373="warranty",0,(I373*(_xlfn.SINGLE(SalesTaxPercentage))))</f>
        <v>0</v>
      </c>
      <c r="K373" s="696">
        <f t="shared" ref="K373" si="259">I373+J373</f>
        <v>0</v>
      </c>
      <c r="L373" s="696"/>
      <c r="M373" s="659" t="str">
        <f>IF(AND(G373&gt;0,E373=0),"WARNING - no PRICE inserted",IF(H373="free"," FREE ~ no charge this plant",IF(H373="credit",CONCATENATE(" -$",ROUND(K373*(1-T2GDiscount)*-1,2)," CREDIT after discount"),IF(T2GDiscount=0,"",IF(G373=0,"",IF(F373="Buy",CONCATENATE(" $",ROUND(K373*(1-T2GDiscount),2)," with ",(T2GDiscount*100),"% discount"),CONCATENATE(" $",ROUND(K373*(1-T2GDiscount),2)," with ",((T2GDiscount*100+F373*100)-(T2GDiscount*100*F373)),IF(F373&gt;0,"% discounts",IF(NoWarrantyDiscount&gt;0,"% discounts","% discount")))))))))</f>
        <v/>
      </c>
      <c r="N373" s="660"/>
      <c r="O373" s="233"/>
      <c r="P373" s="233"/>
      <c r="Q373" s="233"/>
      <c r="R373" s="233"/>
      <c r="S373" s="233"/>
      <c r="T373" s="508">
        <f t="shared" si="228"/>
        <v>0</v>
      </c>
      <c r="U373" s="225">
        <f>IF(NOT(ISNUMBER(G373)), "", VLOOKUP(A373,'Discount Lookup'!D:E,2,FALSE)*G373)</f>
        <v>0</v>
      </c>
      <c r="V373" s="225">
        <f>IF(NOT(ISNUMBER(G373)), "", VLOOKUP(A373,'Discount Lookup'!G:H,2,FALSE)*G373)</f>
        <v>0</v>
      </c>
      <c r="W373" s="508">
        <f t="shared" si="229"/>
        <v>0</v>
      </c>
      <c r="X373" s="508">
        <f t="shared" si="230"/>
        <v>0</v>
      </c>
      <c r="Y373" s="509" t="b">
        <f t="shared" si="231"/>
        <v>0</v>
      </c>
      <c r="Z373" s="510">
        <f t="shared" si="232"/>
        <v>0</v>
      </c>
      <c r="AA373" s="511"/>
      <c r="AB373" s="511" t="str">
        <f t="shared" si="233"/>
        <v/>
      </c>
      <c r="AC373" s="698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698"/>
      <c r="AE373" s="631" t="str">
        <f t="shared" si="234"/>
        <v/>
      </c>
      <c r="AF373" s="699" t="str">
        <f t="shared" si="235"/>
        <v/>
      </c>
      <c r="AG373" s="699"/>
      <c r="AH373" s="699"/>
      <c r="AI373" s="512">
        <f>IF(H373="credit",0,IF(AE373="free",0,IF(AE373="me",0,IF(G373&gt;0,(VLOOKUP(A373,'Discount Lookup'!J:K,2)*G373),0))))</f>
        <v>0</v>
      </c>
      <c r="AJ373" s="513" t="str">
        <f t="shared" ca="1" si="236"/>
        <v/>
      </c>
      <c r="AK373" s="700" t="str">
        <f t="shared" si="237"/>
        <v/>
      </c>
      <c r="AL373" s="700"/>
      <c r="AM373" s="505" t="str">
        <f t="shared" si="238"/>
        <v/>
      </c>
      <c r="AN373" s="506"/>
      <c r="AO373" s="507"/>
      <c r="AP373" s="507"/>
      <c r="AQ373" s="507"/>
      <c r="AR373" s="507"/>
      <c r="AS373" s="507"/>
      <c r="AT373" s="507"/>
      <c r="AU373" s="507"/>
      <c r="AV373" s="225"/>
      <c r="AW373" s="508"/>
      <c r="AX373" s="225"/>
      <c r="AY373" s="225"/>
      <c r="AZ373" s="225"/>
      <c r="BA373" s="225"/>
      <c r="BB373" s="225"/>
      <c r="BC373" s="56"/>
      <c r="BD373" s="56"/>
      <c r="BE373" s="56"/>
      <c r="BF373" s="107" t="str">
        <f t="shared" si="239"/>
        <v>https://www.google.com/search?tbm=isch&amp;q=7%20G5</v>
      </c>
      <c r="BG373" s="107" t="str">
        <f t="shared" si="240"/>
        <v>B</v>
      </c>
      <c r="BH373" s="254"/>
      <c r="BI373" s="254"/>
    </row>
    <row r="374" spans="1:61" customFormat="1" ht="17.25" thickBot="1" x14ac:dyDescent="0.3">
      <c r="A374" s="673" t="s">
        <v>5057</v>
      </c>
      <c r="B374" s="245"/>
      <c r="C374" s="677"/>
      <c r="D374" s="499"/>
      <c r="E374" s="499"/>
      <c r="F374" s="500"/>
      <c r="G374" s="501"/>
      <c r="H374" s="502"/>
      <c r="I374" s="246"/>
      <c r="J374" s="247"/>
      <c r="K374" s="503"/>
      <c r="L374" s="544"/>
      <c r="M374" s="544"/>
      <c r="N374" s="500"/>
      <c r="O374" s="500"/>
      <c r="P374" s="500"/>
      <c r="Q374" s="500"/>
      <c r="R374" s="500"/>
      <c r="S374" s="669" t="s">
        <v>4972</v>
      </c>
      <c r="T374" s="508">
        <f t="shared" si="228"/>
        <v>0</v>
      </c>
      <c r="U374" s="225" t="str">
        <f>IF(NOT(ISNUMBER(G374)), "", VLOOKUP(A374,'Discount Lookup'!D:E,2,FALSE)*G374)</f>
        <v/>
      </c>
      <c r="V374" s="225" t="str">
        <f>IF(NOT(ISNUMBER(G374)), "", VLOOKUP(A374,'Discount Lookup'!G:H,2,FALSE)*G374)</f>
        <v/>
      </c>
      <c r="W374" s="508">
        <f t="shared" si="229"/>
        <v>0</v>
      </c>
      <c r="X374" s="508">
        <f t="shared" si="230"/>
        <v>0</v>
      </c>
      <c r="Y374" s="509" t="b">
        <f t="shared" si="231"/>
        <v>0</v>
      </c>
      <c r="Z374" s="510">
        <f t="shared" si="232"/>
        <v>0</v>
      </c>
      <c r="AA374" s="511"/>
      <c r="AB374" s="511" t="str">
        <f t="shared" si="233"/>
        <v/>
      </c>
      <c r="AC374" s="698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698"/>
      <c r="AE374" s="631" t="str">
        <f t="shared" si="234"/>
        <v/>
      </c>
      <c r="AF374" s="699" t="str">
        <f t="shared" si="235"/>
        <v/>
      </c>
      <c r="AG374" s="699"/>
      <c r="AH374" s="699"/>
      <c r="AI374" s="512">
        <f>IF(H374="credit",0,IF(AE374="free",0,IF(AE374="me",0,IF(G374&gt;0,(VLOOKUP(A374,'Discount Lookup'!J:K,2)*G374),0))))</f>
        <v>0</v>
      </c>
      <c r="AJ374" s="513" t="str">
        <f t="shared" ca="1" si="236"/>
        <v/>
      </c>
      <c r="AK374" s="700" t="str">
        <f t="shared" si="237"/>
        <v/>
      </c>
      <c r="AL374" s="700"/>
      <c r="AM374" s="505" t="str">
        <f t="shared" si="238"/>
        <v/>
      </c>
      <c r="AN374" s="506"/>
      <c r="AO374" s="507"/>
      <c r="AP374" s="507"/>
      <c r="AQ374" s="507"/>
      <c r="AR374" s="507"/>
      <c r="AS374" s="507"/>
      <c r="AT374" s="507"/>
      <c r="AU374" s="507"/>
      <c r="AV374" s="225"/>
      <c r="AW374" s="508"/>
      <c r="AX374" s="225"/>
      <c r="AY374" s="225"/>
      <c r="AZ374" s="225"/>
      <c r="BA374" s="225"/>
      <c r="BB374" s="225"/>
      <c r="BC374" s="56"/>
      <c r="BD374" s="56"/>
      <c r="BE374" s="56"/>
      <c r="BF374" s="107" t="str">
        <f t="shared" si="239"/>
        <v>https://www.google.com/search?tbm=isch&amp;q=wet%20sites%F0%9F%92%A7GOOD%2C%20Black%20Tupelo%20is%20loved%20by%20birds.%20Fall%20foliage%20shows%20off%20shades%20of%20Scarlet-Orange-Yellow%2C%20often%20with%20Purple%20highlights%20</v>
      </c>
      <c r="BG374" s="107" t="str">
        <f t="shared" si="240"/>
        <v>w</v>
      </c>
      <c r="BH374" s="254"/>
      <c r="BI374" s="254"/>
    </row>
    <row r="375" spans="1:61" customFormat="1" ht="18" x14ac:dyDescent="0.25">
      <c r="A375" s="523" t="s">
        <v>5350</v>
      </c>
      <c r="B375" s="235"/>
      <c r="C375" s="676"/>
      <c r="D375" s="255" t="s">
        <v>561</v>
      </c>
      <c r="E375" s="236"/>
      <c r="F375" s="236"/>
      <c r="G375" s="236"/>
      <c r="H375" s="582" t="s">
        <v>394</v>
      </c>
      <c r="I375" s="498" t="s">
        <v>3002</v>
      </c>
      <c r="J375" s="237"/>
      <c r="K375" s="237"/>
      <c r="L375" s="274"/>
      <c r="M375" s="668" t="s">
        <v>4962</v>
      </c>
      <c r="N375" s="681" t="str">
        <f>IF(AND(ISTEXT($A375), ISERROR($A375+0)), HYPERLINK($BF375, "Images"), "")</f>
        <v>Images</v>
      </c>
      <c r="O375" s="663" t="s">
        <v>4974</v>
      </c>
      <c r="P375" s="253"/>
      <c r="Q375" s="238"/>
      <c r="R375" s="239"/>
      <c r="S375" s="275"/>
      <c r="T375" s="508">
        <f t="shared" si="228"/>
        <v>0</v>
      </c>
      <c r="U375" s="225" t="str">
        <f>IF(NOT(ISNUMBER(G375)), "", VLOOKUP(A375,'Discount Lookup'!D:E,2,FALSE)*G375)</f>
        <v/>
      </c>
      <c r="V375" s="225" t="str">
        <f>IF(NOT(ISNUMBER(G375)), "", VLOOKUP(A375,'Discount Lookup'!G:H,2,FALSE)*G375)</f>
        <v/>
      </c>
      <c r="W375" s="508">
        <f t="shared" si="229"/>
        <v>0</v>
      </c>
      <c r="X375" s="508" t="str">
        <f t="shared" si="230"/>
        <v>Creamy Apricot-Pink bloom</v>
      </c>
      <c r="Y375" s="509" t="b">
        <f t="shared" si="231"/>
        <v>0</v>
      </c>
      <c r="Z375" s="510">
        <f t="shared" si="232"/>
        <v>0</v>
      </c>
      <c r="AA375" s="511"/>
      <c r="AB375" s="511" t="str">
        <f t="shared" si="233"/>
        <v/>
      </c>
      <c r="AC375" s="698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698"/>
      <c r="AE375" s="631" t="str">
        <f t="shared" si="234"/>
        <v/>
      </c>
      <c r="AF375" s="699" t="str">
        <f t="shared" si="235"/>
        <v/>
      </c>
      <c r="AG375" s="699"/>
      <c r="AH375" s="699"/>
      <c r="AI375" s="512">
        <f>IF(H375="credit",0,IF(AE375="free",0,IF(AE375="me",0,IF(G375&gt;0,(VLOOKUP(A375,'Discount Lookup'!J:K,2)*G375),0))))</f>
        <v>0</v>
      </c>
      <c r="AJ375" s="513" t="str">
        <f t="shared" ca="1" si="236"/>
        <v/>
      </c>
      <c r="AK375" s="700" t="str">
        <f t="shared" si="237"/>
        <v/>
      </c>
      <c r="AL375" s="700"/>
      <c r="AM375" s="505" t="str">
        <f t="shared" si="238"/>
        <v/>
      </c>
      <c r="AN375" s="506"/>
      <c r="AO375" s="507"/>
      <c r="AP375" s="507"/>
      <c r="AQ375" s="507"/>
      <c r="AR375" s="507"/>
      <c r="AS375" s="507"/>
      <c r="AT375" s="507"/>
      <c r="AU375" s="507"/>
      <c r="AV375" s="225"/>
      <c r="AW375" s="508"/>
      <c r="AX375" s="225"/>
      <c r="AY375" s="225"/>
      <c r="AZ375" s="225"/>
      <c r="BA375" s="225"/>
      <c r="BB375" s="225"/>
      <c r="BC375" s="56"/>
      <c r="BD375" s="56"/>
      <c r="BE375" s="56"/>
      <c r="BF375" s="107" t="str">
        <f t="shared" si="239"/>
        <v>https://www.google.com/search?tbm=isch&amp;q=Bliss%20Parfuma%C2%AE%20Rose%20Rosa%20%27KORmarzau%27%20PP%2328991</v>
      </c>
      <c r="BG375" s="107" t="str">
        <f t="shared" si="240"/>
        <v>B</v>
      </c>
      <c r="BH375" s="254"/>
      <c r="BI375" s="254"/>
    </row>
    <row r="376" spans="1:61" customFormat="1" ht="15.75" x14ac:dyDescent="0.25">
      <c r="A376" s="276">
        <v>3</v>
      </c>
      <c r="B376" s="240" t="s">
        <v>291</v>
      </c>
      <c r="C376" s="241" t="s">
        <v>341</v>
      </c>
      <c r="D376" s="242" t="s">
        <v>312</v>
      </c>
      <c r="E376" s="243">
        <v>43.95</v>
      </c>
      <c r="F376" s="517" t="s">
        <v>293</v>
      </c>
      <c r="G376" s="232">
        <v>0</v>
      </c>
      <c r="H376" s="661" t="str">
        <f>IF(G376=0,"",IF(F376="Buy",IF(G376=1,"plant","plants"),IF(F376&gt;0.01,"warranty","Error")))</f>
        <v/>
      </c>
      <c r="I376" s="244">
        <f>IF(H376="free",0,IF(H376="credit",((E376*(F376))*G376*-1),IF(F376="Buy",(E376*G376),((E376*(1-F376))*G376))))</f>
        <v>0</v>
      </c>
      <c r="J376" s="244">
        <f>IF(H376="warranty",0,(I376*(_xlfn.SINGLE(SalesTaxPercentage))))</f>
        <v>0</v>
      </c>
      <c r="K376" s="696">
        <f t="shared" ref="K376" si="260">I376+J376</f>
        <v>0</v>
      </c>
      <c r="L376" s="696"/>
      <c r="M376" s="659" t="str">
        <f>IF(AND(G376&gt;0,E376=0),"WARNING - no PRICE inserted",IF(H376="free"," FREE ~ no charge this plant",IF(H376="credit",CONCATENATE(" -$",ROUND(K376*(1-T2GDiscount)*-1,2)," CREDIT after discount"),IF(T2GDiscount=0,"",IF(G376=0,"",IF(F376="Buy",CONCATENATE(" $",ROUND(K376*(1-T2GDiscount),2)," with ",(T2GDiscount*100),"% discount"),CONCATENATE(" $",ROUND(K376*(1-T2GDiscount),2)," with ",((T2GDiscount*100+F376*100)-(T2GDiscount*100*F376)),IF(F376&gt;0,"% discounts",IF(NoWarrantyDiscount&gt;0,"% discounts","% discount")))))))))</f>
        <v/>
      </c>
      <c r="N376" s="660"/>
      <c r="O376" s="233"/>
      <c r="P376" s="233"/>
      <c r="Q376" s="233"/>
      <c r="R376" s="233"/>
      <c r="S376" s="233"/>
      <c r="T376" s="508">
        <f t="shared" si="228"/>
        <v>0</v>
      </c>
      <c r="U376" s="225">
        <f>IF(NOT(ISNUMBER(G376)), "", VLOOKUP(A376,'Discount Lookup'!D:E,2,FALSE)*G376)</f>
        <v>0</v>
      </c>
      <c r="V376" s="225">
        <f>IF(NOT(ISNUMBER(G376)), "", VLOOKUP(A376,'Discount Lookup'!G:H,2,FALSE)*G376)</f>
        <v>0</v>
      </c>
      <c r="W376" s="508">
        <f t="shared" si="229"/>
        <v>0</v>
      </c>
      <c r="X376" s="508">
        <f t="shared" si="230"/>
        <v>0</v>
      </c>
      <c r="Y376" s="509" t="b">
        <f t="shared" si="231"/>
        <v>0</v>
      </c>
      <c r="Z376" s="510">
        <f t="shared" si="232"/>
        <v>0</v>
      </c>
      <c r="AA376" s="511"/>
      <c r="AB376" s="511" t="str">
        <f t="shared" si="233"/>
        <v/>
      </c>
      <c r="AC376" s="698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698"/>
      <c r="AE376" s="631" t="str">
        <f t="shared" si="234"/>
        <v/>
      </c>
      <c r="AF376" s="699" t="str">
        <f t="shared" si="235"/>
        <v/>
      </c>
      <c r="AG376" s="699"/>
      <c r="AH376" s="699"/>
      <c r="AI376" s="512">
        <f>IF(H376="credit",0,IF(AE376="free",0,IF(AE376="me",0,IF(G376&gt;0,(VLOOKUP(A376,'Discount Lookup'!J:K,2)*G376),0))))</f>
        <v>0</v>
      </c>
      <c r="AJ376" s="513" t="str">
        <f t="shared" ca="1" si="236"/>
        <v/>
      </c>
      <c r="AK376" s="700" t="str">
        <f t="shared" si="237"/>
        <v/>
      </c>
      <c r="AL376" s="700"/>
      <c r="AM376" s="505" t="str">
        <f t="shared" si="238"/>
        <v/>
      </c>
      <c r="AN376" s="506"/>
      <c r="AO376" s="507"/>
      <c r="AP376" s="507"/>
      <c r="AQ376" s="507"/>
      <c r="AR376" s="507"/>
      <c r="AS376" s="507"/>
      <c r="AT376" s="507"/>
      <c r="AU376" s="507"/>
      <c r="AV376" s="225"/>
      <c r="AW376" s="508"/>
      <c r="AX376" s="225"/>
      <c r="AY376" s="225"/>
      <c r="AZ376" s="225"/>
      <c r="BA376" s="225"/>
      <c r="BB376" s="225"/>
      <c r="BC376" s="56"/>
      <c r="BD376" s="56"/>
      <c r="BE376" s="56"/>
      <c r="BF376" s="107" t="str">
        <f t="shared" si="239"/>
        <v>https://www.google.com/search?tbm=isch&amp;q=3%20G2</v>
      </c>
      <c r="BG376" s="107" t="str">
        <f t="shared" si="240"/>
        <v>B</v>
      </c>
      <c r="BH376" s="254"/>
      <c r="BI376" s="254"/>
    </row>
    <row r="377" spans="1:61" customFormat="1" ht="17.25" thickBot="1" x14ac:dyDescent="0.3">
      <c r="A377" s="524" t="s">
        <v>4049</v>
      </c>
      <c r="B377" s="245"/>
      <c r="C377" s="677"/>
      <c r="D377" s="499"/>
      <c r="E377" s="499"/>
      <c r="F377" s="500"/>
      <c r="G377" s="501"/>
      <c r="H377" s="502"/>
      <c r="I377" s="246"/>
      <c r="J377" s="247"/>
      <c r="K377" s="503"/>
      <c r="L377" s="544"/>
      <c r="M377" s="544"/>
      <c r="N377" s="500"/>
      <c r="O377" s="500"/>
      <c r="P377" s="500"/>
      <c r="Q377" s="500"/>
      <c r="R377" s="500"/>
      <c r="S377" s="669" t="s">
        <v>4980</v>
      </c>
      <c r="T377" s="508">
        <f t="shared" si="228"/>
        <v>0</v>
      </c>
      <c r="U377" s="225" t="str">
        <f>IF(NOT(ISNUMBER(G377)), "", VLOOKUP(A377,'Discount Lookup'!D:E,2,FALSE)*G377)</f>
        <v/>
      </c>
      <c r="V377" s="225" t="str">
        <f>IF(NOT(ISNUMBER(G377)), "", VLOOKUP(A377,'Discount Lookup'!G:H,2,FALSE)*G377)</f>
        <v/>
      </c>
      <c r="W377" s="508">
        <f t="shared" si="229"/>
        <v>0</v>
      </c>
      <c r="X377" s="508">
        <f t="shared" si="230"/>
        <v>0</v>
      </c>
      <c r="Y377" s="509" t="b">
        <f t="shared" si="231"/>
        <v>0</v>
      </c>
      <c r="Z377" s="510">
        <f t="shared" si="232"/>
        <v>0</v>
      </c>
      <c r="AA377" s="511"/>
      <c r="AB377" s="511" t="str">
        <f t="shared" si="233"/>
        <v/>
      </c>
      <c r="AC377" s="698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698"/>
      <c r="AE377" s="631" t="str">
        <f t="shared" si="234"/>
        <v/>
      </c>
      <c r="AF377" s="699" t="str">
        <f t="shared" si="235"/>
        <v/>
      </c>
      <c r="AG377" s="699"/>
      <c r="AH377" s="699"/>
      <c r="AI377" s="512">
        <f>IF(H377="credit",0,IF(AE377="free",0,IF(AE377="me",0,IF(G377&gt;0,(VLOOKUP(A377,'Discount Lookup'!J:K,2)*G377),0))))</f>
        <v>0</v>
      </c>
      <c r="AJ377" s="513" t="str">
        <f t="shared" ca="1" si="236"/>
        <v/>
      </c>
      <c r="AK377" s="700" t="str">
        <f t="shared" si="237"/>
        <v/>
      </c>
      <c r="AL377" s="700"/>
      <c r="AM377" s="505" t="str">
        <f t="shared" si="238"/>
        <v/>
      </c>
      <c r="AN377" s="506"/>
      <c r="AO377" s="507"/>
      <c r="AP377" s="507"/>
      <c r="AQ377" s="507"/>
      <c r="AR377" s="507"/>
      <c r="AS377" s="507"/>
      <c r="AT377" s="507"/>
      <c r="AU377" s="507"/>
      <c r="AV377" s="225"/>
      <c r="AW377" s="508"/>
      <c r="AX377" s="225"/>
      <c r="AY377" s="225"/>
      <c r="AZ377" s="225"/>
      <c r="BA377" s="225"/>
      <c r="BB377" s="225"/>
      <c r="BC377" s="56"/>
      <c r="BD377" s="56"/>
      <c r="BE377" s="56"/>
      <c r="BF377" s="107" t="str">
        <f t="shared" si="239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77" s="107" t="str">
        <f t="shared" si="240"/>
        <v>B</v>
      </c>
      <c r="BH377" s="254"/>
      <c r="BI377" s="254"/>
    </row>
    <row r="378" spans="1:61" customFormat="1" ht="18" x14ac:dyDescent="0.25">
      <c r="A378" s="523" t="s">
        <v>566</v>
      </c>
      <c r="B378" s="235"/>
      <c r="C378" s="676"/>
      <c r="D378" s="255" t="s">
        <v>565</v>
      </c>
      <c r="E378" s="236"/>
      <c r="F378" s="236"/>
      <c r="G378" s="236"/>
      <c r="H378" s="582" t="s">
        <v>3169</v>
      </c>
      <c r="I378" s="498" t="s">
        <v>827</v>
      </c>
      <c r="J378" s="237"/>
      <c r="K378" s="237"/>
      <c r="L378" s="274"/>
      <c r="M378" s="668" t="s">
        <v>4975</v>
      </c>
      <c r="N378" s="681" t="str">
        <f>IF(AND(ISTEXT($A378), ISERROR($A378+0)), HYPERLINK($BF378, "Images"), "")</f>
        <v>Images</v>
      </c>
      <c r="O378" s="663" t="s">
        <v>4967</v>
      </c>
      <c r="P378" s="253"/>
      <c r="Q378" s="238"/>
      <c r="R378" s="239"/>
      <c r="S378" s="275" t="s">
        <v>305</v>
      </c>
      <c r="T378" s="508">
        <f t="shared" si="228"/>
        <v>0</v>
      </c>
      <c r="U378" s="225" t="str">
        <f>IF(NOT(ISNUMBER(G378)), "", VLOOKUP(A378,'Discount Lookup'!D:E,2,FALSE)*G378)</f>
        <v/>
      </c>
      <c r="V378" s="225" t="str">
        <f>IF(NOT(ISNUMBER(G378)), "", VLOOKUP(A378,'Discount Lookup'!G:H,2,FALSE)*G378)</f>
        <v/>
      </c>
      <c r="W378" s="508">
        <f t="shared" si="229"/>
        <v>0</v>
      </c>
      <c r="X378" s="508" t="str">
        <f t="shared" si="230"/>
        <v>Creamy White bloom</v>
      </c>
      <c r="Y378" s="509" t="b">
        <f t="shared" si="231"/>
        <v>0</v>
      </c>
      <c r="Z378" s="510">
        <f t="shared" si="232"/>
        <v>0</v>
      </c>
      <c r="AA378" s="511"/>
      <c r="AB378" s="511" t="str">
        <f t="shared" si="233"/>
        <v/>
      </c>
      <c r="AC378" s="698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698"/>
      <c r="AE378" s="631" t="str">
        <f t="shared" si="234"/>
        <v/>
      </c>
      <c r="AF378" s="699" t="str">
        <f t="shared" si="235"/>
        <v/>
      </c>
      <c r="AG378" s="699"/>
      <c r="AH378" s="699"/>
      <c r="AI378" s="512">
        <f>IF(H378="credit",0,IF(AE378="free",0,IF(AE378="me",0,IF(G378&gt;0,(VLOOKUP(A378,'Discount Lookup'!J:K,2)*G378),0))))</f>
        <v>0</v>
      </c>
      <c r="AJ378" s="513" t="str">
        <f t="shared" ca="1" si="236"/>
        <v/>
      </c>
      <c r="AK378" s="700" t="str">
        <f t="shared" si="237"/>
        <v/>
      </c>
      <c r="AL378" s="700"/>
      <c r="AM378" s="505" t="str">
        <f t="shared" si="238"/>
        <v/>
      </c>
      <c r="AN378" s="506"/>
      <c r="AO378" s="507"/>
      <c r="AP378" s="507"/>
      <c r="AQ378" s="507"/>
      <c r="AR378" s="507"/>
      <c r="AS378" s="507"/>
      <c r="AT378" s="507"/>
      <c r="AU378" s="507"/>
      <c r="AV378" s="225"/>
      <c r="AW378" s="508"/>
      <c r="AX378" s="225"/>
      <c r="AY378" s="225"/>
      <c r="AZ378" s="225"/>
      <c r="BA378" s="225"/>
      <c r="BB378" s="225"/>
      <c r="BC378" s="56"/>
      <c r="BD378" s="56"/>
      <c r="BE378" s="56"/>
      <c r="BF378" s="107" t="str">
        <f t="shared" si="239"/>
        <v>https://www.google.com/search?tbm=isch&amp;q=Blonde%20Envy%20Elderberry%20Sambucus%20canadensis%20%27Blonde%20Envy%27</v>
      </c>
      <c r="BG378" s="107" t="str">
        <f t="shared" si="240"/>
        <v>B</v>
      </c>
      <c r="BH378" s="254"/>
      <c r="BI378" s="254"/>
    </row>
    <row r="379" spans="1:61" customFormat="1" ht="27" x14ac:dyDescent="0.25">
      <c r="A379" s="276">
        <v>7</v>
      </c>
      <c r="B379" s="240" t="s">
        <v>291</v>
      </c>
      <c r="C379" s="241" t="s">
        <v>3332</v>
      </c>
      <c r="D379" s="242" t="s">
        <v>292</v>
      </c>
      <c r="E379" s="243">
        <v>91.95</v>
      </c>
      <c r="F379" s="517" t="s">
        <v>293</v>
      </c>
      <c r="G379" s="232">
        <v>0</v>
      </c>
      <c r="H379" s="661" t="str">
        <f>IF(G379=0,"",IF(F379="Buy",IF(G379=1,"plant","plants"),IF(F379&gt;0.01,"warranty","Error")))</f>
        <v/>
      </c>
      <c r="I379" s="244">
        <f>IF(H379="free",0,IF(H379="credit",((E379*(F379))*G379*-1),IF(F379="Buy",(E379*G379),((E379*(1-F379))*G379))))</f>
        <v>0</v>
      </c>
      <c r="J379" s="244">
        <f>IF(H379="warranty",0,(I379*(_xlfn.SINGLE(SalesTaxPercentage))))</f>
        <v>0</v>
      </c>
      <c r="K379" s="696">
        <f t="shared" ref="K379" si="261">I379+J379</f>
        <v>0</v>
      </c>
      <c r="L379" s="696"/>
      <c r="M379" s="659" t="str">
        <f>IF(AND(G379&gt;0,E379=0),"WARNING - no PRICE inserted",IF(H379="free"," FREE ~ no charge this plant",IF(H379="credit",CONCATENATE(" -$",ROUND(K379*(1-T2GDiscount)*-1,2)," CREDIT after discount"),IF(T2GDiscount=0,"",IF(G379=0,"",IF(F379="Buy",CONCATENATE(" $",ROUND(K379*(1-T2GDiscount),2)," with ",(T2GDiscount*100),"% discount"),CONCATENATE(" $",ROUND(K379*(1-T2GDiscount),2)," with ",((T2GDiscount*100+F379*100)-(T2GDiscount*100*F379)),IF(F379&gt;0,"% discounts",IF(NoWarrantyDiscount&gt;0,"% discounts","% discount")))))))))</f>
        <v/>
      </c>
      <c r="N379" s="660"/>
      <c r="O379" s="233"/>
      <c r="P379" s="233"/>
      <c r="Q379" s="233"/>
      <c r="R379" s="233"/>
      <c r="S379" s="233"/>
      <c r="T379" s="508">
        <f t="shared" si="228"/>
        <v>0</v>
      </c>
      <c r="U379" s="225">
        <f>IF(NOT(ISNUMBER(G379)), "", VLOOKUP(A379,'Discount Lookup'!D:E,2,FALSE)*G379)</f>
        <v>0</v>
      </c>
      <c r="V379" s="225">
        <f>IF(NOT(ISNUMBER(G379)), "", VLOOKUP(A379,'Discount Lookup'!G:H,2,FALSE)*G379)</f>
        <v>0</v>
      </c>
      <c r="W379" s="508">
        <f t="shared" si="229"/>
        <v>0</v>
      </c>
      <c r="X379" s="508">
        <f t="shared" si="230"/>
        <v>0</v>
      </c>
      <c r="Y379" s="509" t="b">
        <f t="shared" si="231"/>
        <v>0</v>
      </c>
      <c r="Z379" s="510">
        <f t="shared" si="232"/>
        <v>0</v>
      </c>
      <c r="AA379" s="511"/>
      <c r="AB379" s="511" t="str">
        <f t="shared" si="233"/>
        <v/>
      </c>
      <c r="AC379" s="698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698"/>
      <c r="AE379" s="631" t="str">
        <f t="shared" si="234"/>
        <v/>
      </c>
      <c r="AF379" s="699" t="str">
        <f t="shared" si="235"/>
        <v/>
      </c>
      <c r="AG379" s="699"/>
      <c r="AH379" s="699"/>
      <c r="AI379" s="512">
        <f>IF(H379="credit",0,IF(AE379="free",0,IF(AE379="me",0,IF(G379&gt;0,(VLOOKUP(A379,'Discount Lookup'!J:K,2)*G379),0))))</f>
        <v>0</v>
      </c>
      <c r="AJ379" s="513" t="str">
        <f t="shared" ca="1" si="236"/>
        <v/>
      </c>
      <c r="AK379" s="700" t="str">
        <f t="shared" si="237"/>
        <v/>
      </c>
      <c r="AL379" s="700"/>
      <c r="AM379" s="505" t="str">
        <f t="shared" si="238"/>
        <v/>
      </c>
      <c r="AN379" s="506"/>
      <c r="AO379" s="507"/>
      <c r="AP379" s="507"/>
      <c r="AQ379" s="507"/>
      <c r="AR379" s="507"/>
      <c r="AS379" s="507"/>
      <c r="AT379" s="507"/>
      <c r="AU379" s="507"/>
      <c r="AV379" s="225"/>
      <c r="AW379" s="508"/>
      <c r="AX379" s="225"/>
      <c r="AY379" s="225"/>
      <c r="AZ379" s="225"/>
      <c r="BA379" s="225"/>
      <c r="BB379" s="225"/>
      <c r="BC379" s="56"/>
      <c r="BD379" s="56"/>
      <c r="BE379" s="56"/>
      <c r="BF379" s="107" t="str">
        <f t="shared" si="239"/>
        <v>https://www.google.com/search?tbm=isch&amp;q=7%20G4</v>
      </c>
      <c r="BG379" s="107" t="str">
        <f t="shared" si="240"/>
        <v>B</v>
      </c>
      <c r="BH379" s="254"/>
      <c r="BI379" s="254"/>
    </row>
    <row r="380" spans="1:61" customFormat="1" ht="17.25" thickBot="1" x14ac:dyDescent="0.3">
      <c r="A380" s="673" t="s">
        <v>5058</v>
      </c>
      <c r="B380" s="245"/>
      <c r="C380" s="677"/>
      <c r="D380" s="499"/>
      <c r="E380" s="499"/>
      <c r="F380" s="500"/>
      <c r="G380" s="501"/>
      <c r="H380" s="502"/>
      <c r="I380" s="246"/>
      <c r="J380" s="247"/>
      <c r="K380" s="503"/>
      <c r="L380" s="544"/>
      <c r="M380" s="544"/>
      <c r="N380" s="500"/>
      <c r="O380" s="500"/>
      <c r="P380" s="500"/>
      <c r="Q380" s="500"/>
      <c r="R380" s="500"/>
      <c r="S380" s="669" t="s">
        <v>4996</v>
      </c>
      <c r="T380" s="508">
        <f t="shared" si="228"/>
        <v>0</v>
      </c>
      <c r="U380" s="225" t="str">
        <f>IF(NOT(ISNUMBER(G380)), "", VLOOKUP(A380,'Discount Lookup'!D:E,2,FALSE)*G380)</f>
        <v/>
      </c>
      <c r="V380" s="225" t="str">
        <f>IF(NOT(ISNUMBER(G380)), "", VLOOKUP(A380,'Discount Lookup'!G:H,2,FALSE)*G380)</f>
        <v/>
      </c>
      <c r="W380" s="508">
        <f t="shared" si="229"/>
        <v>0</v>
      </c>
      <c r="X380" s="508">
        <f t="shared" si="230"/>
        <v>0</v>
      </c>
      <c r="Y380" s="509" t="b">
        <f t="shared" si="231"/>
        <v>0</v>
      </c>
      <c r="Z380" s="510">
        <f t="shared" si="232"/>
        <v>0</v>
      </c>
      <c r="AA380" s="511"/>
      <c r="AB380" s="511" t="str">
        <f t="shared" si="233"/>
        <v/>
      </c>
      <c r="AC380" s="698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698"/>
      <c r="AE380" s="631" t="str">
        <f t="shared" si="234"/>
        <v/>
      </c>
      <c r="AF380" s="699" t="str">
        <f t="shared" si="235"/>
        <v/>
      </c>
      <c r="AG380" s="699"/>
      <c r="AH380" s="699"/>
      <c r="AI380" s="512">
        <f>IF(H380="credit",0,IF(AE380="free",0,IF(AE380="me",0,IF(G380&gt;0,(VLOOKUP(A380,'Discount Lookup'!J:K,2)*G380),0))))</f>
        <v>0</v>
      </c>
      <c r="AJ380" s="513" t="str">
        <f t="shared" ca="1" si="236"/>
        <v/>
      </c>
      <c r="AK380" s="700" t="str">
        <f t="shared" si="237"/>
        <v/>
      </c>
      <c r="AL380" s="700"/>
      <c r="AM380" s="505" t="str">
        <f t="shared" si="238"/>
        <v/>
      </c>
      <c r="AN380" s="506"/>
      <c r="AO380" s="507"/>
      <c r="AP380" s="507"/>
      <c r="AQ380" s="507"/>
      <c r="AR380" s="507"/>
      <c r="AS380" s="507"/>
      <c r="AT380" s="507"/>
      <c r="AU380" s="507"/>
      <c r="AV380" s="225"/>
      <c r="AW380" s="508"/>
      <c r="AX380" s="225"/>
      <c r="AY380" s="225"/>
      <c r="AZ380" s="225"/>
      <c r="BA380" s="225"/>
      <c r="BB380" s="225"/>
      <c r="BC380" s="56"/>
      <c r="BD380" s="56"/>
      <c r="BE380" s="56"/>
      <c r="BF380" s="107" t="str">
        <f t="shared" si="239"/>
        <v>https://www.google.com/search?tbm=isch&amp;q=wet%20sites%F0%9F%92%A7GOOD%2C%20Blonde%20Envy%20has%20edible%20Purple-Black%20berries%20if%20pollinated.%20Fragrant.%20Bright%20Yellow%20foliage%20in%20sun%2C%20Chartreuse%20in%20less%20</v>
      </c>
      <c r="BG380" s="107" t="str">
        <f t="shared" si="240"/>
        <v>w</v>
      </c>
      <c r="BH380" s="254"/>
      <c r="BI380" s="254"/>
    </row>
    <row r="381" spans="1:61" customFormat="1" ht="18" x14ac:dyDescent="0.25">
      <c r="A381" s="523" t="s">
        <v>351</v>
      </c>
      <c r="B381" s="235"/>
      <c r="C381" s="676"/>
      <c r="D381" s="255" t="s">
        <v>350</v>
      </c>
      <c r="E381" s="236"/>
      <c r="F381" s="236"/>
      <c r="G381" s="236"/>
      <c r="H381" s="582" t="s">
        <v>326</v>
      </c>
      <c r="I381" s="498" t="s">
        <v>2215</v>
      </c>
      <c r="J381" s="237"/>
      <c r="K381" s="237"/>
      <c r="L381" s="274"/>
      <c r="M381" s="668" t="s">
        <v>4975</v>
      </c>
      <c r="N381" s="681" t="str">
        <f>IF(AND(ISTEXT($A381), ISERROR($A381+0)), HYPERLINK($BF381, "Images"), "")</f>
        <v>Images</v>
      </c>
      <c r="O381" s="663" t="s">
        <v>4967</v>
      </c>
      <c r="P381" s="253"/>
      <c r="Q381" s="238"/>
      <c r="R381" s="239"/>
      <c r="S381" s="275"/>
      <c r="T381" s="508">
        <f t="shared" si="228"/>
        <v>0</v>
      </c>
      <c r="U381" s="225" t="str">
        <f>IF(NOT(ISNUMBER(G381)), "", VLOOKUP(A381,'Discount Lookup'!D:E,2,FALSE)*G381)</f>
        <v/>
      </c>
      <c r="V381" s="225" t="str">
        <f>IF(NOT(ISNUMBER(G381)), "", VLOOKUP(A381,'Discount Lookup'!G:H,2,FALSE)*G381)</f>
        <v/>
      </c>
      <c r="W381" s="508">
        <f t="shared" si="229"/>
        <v>0</v>
      </c>
      <c r="X381" s="508" t="str">
        <f t="shared" si="230"/>
        <v>Red-Purple foliage</v>
      </c>
      <c r="Y381" s="509" t="b">
        <f t="shared" si="231"/>
        <v>0</v>
      </c>
      <c r="Z381" s="510">
        <f t="shared" si="232"/>
        <v>0</v>
      </c>
      <c r="AA381" s="511"/>
      <c r="AB381" s="511" t="str">
        <f t="shared" si="233"/>
        <v/>
      </c>
      <c r="AC381" s="698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698"/>
      <c r="AE381" s="631" t="str">
        <f t="shared" si="234"/>
        <v/>
      </c>
      <c r="AF381" s="699" t="str">
        <f t="shared" si="235"/>
        <v/>
      </c>
      <c r="AG381" s="699"/>
      <c r="AH381" s="699"/>
      <c r="AI381" s="512">
        <f>IF(H381="credit",0,IF(AE381="free",0,IF(AE381="me",0,IF(G381&gt;0,(VLOOKUP(A381,'Discount Lookup'!J:K,2)*G381),0))))</f>
        <v>0</v>
      </c>
      <c r="AJ381" s="513" t="str">
        <f t="shared" ca="1" si="236"/>
        <v/>
      </c>
      <c r="AK381" s="700" t="str">
        <f t="shared" si="237"/>
        <v/>
      </c>
      <c r="AL381" s="700"/>
      <c r="AM381" s="505" t="str">
        <f t="shared" si="238"/>
        <v/>
      </c>
      <c r="AN381" s="506"/>
      <c r="AO381" s="507"/>
      <c r="AP381" s="507"/>
      <c r="AQ381" s="507"/>
      <c r="AR381" s="507"/>
      <c r="AS381" s="507"/>
      <c r="AT381" s="507"/>
      <c r="AU381" s="507"/>
      <c r="AV381" s="225"/>
      <c r="AW381" s="508"/>
      <c r="AX381" s="225"/>
      <c r="AY381" s="225"/>
      <c r="AZ381" s="225"/>
      <c r="BA381" s="225"/>
      <c r="BB381" s="225"/>
      <c r="BC381" s="56"/>
      <c r="BD381" s="56"/>
      <c r="BE381" s="56"/>
      <c r="BF381" s="107" t="str">
        <f t="shared" si="239"/>
        <v>https://www.google.com/search?tbm=isch&amp;q=Bloodgood%20Japanese%20Maple%20Acer%20palmatum%20%27Bloodgood%27</v>
      </c>
      <c r="BG381" s="107" t="str">
        <f t="shared" si="240"/>
        <v>B</v>
      </c>
      <c r="BH381" s="254"/>
      <c r="BI381" s="254"/>
    </row>
    <row r="382" spans="1:61" customFormat="1" ht="15.75" x14ac:dyDescent="0.25">
      <c r="A382" s="276">
        <v>7</v>
      </c>
      <c r="B382" s="240" t="s">
        <v>291</v>
      </c>
      <c r="C382" s="241" t="s">
        <v>3333</v>
      </c>
      <c r="D382" s="242" t="s">
        <v>292</v>
      </c>
      <c r="E382" s="243">
        <v>201.95</v>
      </c>
      <c r="F382" s="517" t="s">
        <v>293</v>
      </c>
      <c r="G382" s="232">
        <v>0</v>
      </c>
      <c r="H382" s="661" t="str">
        <f>IF(G382=0,"",IF(F382="Buy",IF(G382=1,"plant","plants"),IF(F382&gt;0.01,"warranty","Error")))</f>
        <v/>
      </c>
      <c r="I382" s="244">
        <f>IF(H382="free",0,IF(H382="credit",((E382*(F382))*G382*-1),IF(F382="Buy",(E382*G382),((E382*(1-F382))*G382))))</f>
        <v>0</v>
      </c>
      <c r="J382" s="244">
        <f>IF(H382="warranty",0,(I382*(_xlfn.SINGLE(SalesTaxPercentage))))</f>
        <v>0</v>
      </c>
      <c r="K382" s="696">
        <f t="shared" ref="K382" si="262">I382+J382</f>
        <v>0</v>
      </c>
      <c r="L382" s="696"/>
      <c r="M382" s="659" t="str">
        <f>IF(AND(G382&gt;0,E382=0),"WARNING - no PRICE inserted",IF(H382="free"," FREE ~ no charge this plant",IF(H382="credit",CONCATENATE(" -$",ROUND(K382*(1-T2GDiscount)*-1,2)," CREDIT after discount"),IF(T2GDiscount=0,"",IF(G382=0,"",IF(F382="Buy",CONCATENATE(" $",ROUND(K382*(1-T2GDiscount),2)," with ",(T2GDiscount*100),"% discount"),CONCATENATE(" $",ROUND(K382*(1-T2GDiscount),2)," with ",((T2GDiscount*100+F382*100)-(T2GDiscount*100*F382)),IF(F382&gt;0,"% discounts",IF(NoWarrantyDiscount&gt;0,"% discounts","% discount")))))))))</f>
        <v/>
      </c>
      <c r="N382" s="660"/>
      <c r="O382" s="233"/>
      <c r="P382" s="233"/>
      <c r="Q382" s="233"/>
      <c r="R382" s="233"/>
      <c r="S382" s="233"/>
      <c r="T382" s="508">
        <f t="shared" si="228"/>
        <v>0</v>
      </c>
      <c r="U382" s="225">
        <f>IF(NOT(ISNUMBER(G382)), "", VLOOKUP(A382,'Discount Lookup'!D:E,2,FALSE)*G382)</f>
        <v>0</v>
      </c>
      <c r="V382" s="225">
        <f>IF(NOT(ISNUMBER(G382)), "", VLOOKUP(A382,'Discount Lookup'!G:H,2,FALSE)*G382)</f>
        <v>0</v>
      </c>
      <c r="W382" s="508">
        <f t="shared" si="229"/>
        <v>0</v>
      </c>
      <c r="X382" s="508">
        <f t="shared" si="230"/>
        <v>0</v>
      </c>
      <c r="Y382" s="509" t="b">
        <f t="shared" si="231"/>
        <v>0</v>
      </c>
      <c r="Z382" s="510">
        <f t="shared" si="232"/>
        <v>0</v>
      </c>
      <c r="AA382" s="511"/>
      <c r="AB382" s="511" t="str">
        <f t="shared" si="233"/>
        <v/>
      </c>
      <c r="AC382" s="698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698"/>
      <c r="AE382" s="631" t="str">
        <f t="shared" si="234"/>
        <v/>
      </c>
      <c r="AF382" s="699" t="str">
        <f t="shared" si="235"/>
        <v/>
      </c>
      <c r="AG382" s="699"/>
      <c r="AH382" s="699"/>
      <c r="AI382" s="512">
        <f>IF(H382="credit",0,IF(AE382="free",0,IF(AE382="me",0,IF(G382&gt;0,(VLOOKUP(A382,'Discount Lookup'!J:K,2)*G382),0))))</f>
        <v>0</v>
      </c>
      <c r="AJ382" s="513" t="str">
        <f t="shared" ca="1" si="236"/>
        <v/>
      </c>
      <c r="AK382" s="700" t="str">
        <f t="shared" si="237"/>
        <v/>
      </c>
      <c r="AL382" s="700"/>
      <c r="AM382" s="505" t="str">
        <f t="shared" si="238"/>
        <v/>
      </c>
      <c r="AN382" s="506"/>
      <c r="AO382" s="507"/>
      <c r="AP382" s="507"/>
      <c r="AQ382" s="507"/>
      <c r="AR382" s="507"/>
      <c r="AS382" s="507"/>
      <c r="AT382" s="507"/>
      <c r="AU382" s="507"/>
      <c r="AV382" s="225"/>
      <c r="AW382" s="508"/>
      <c r="AX382" s="225"/>
      <c r="AY382" s="225"/>
      <c r="AZ382" s="225"/>
      <c r="BA382" s="225"/>
      <c r="BB382" s="225"/>
      <c r="BC382" s="56"/>
      <c r="BD382" s="56"/>
      <c r="BE382" s="56"/>
      <c r="BF382" s="107" t="str">
        <f t="shared" si="239"/>
        <v>https://www.google.com/search?tbm=isch&amp;q=7%20G4</v>
      </c>
      <c r="BG382" s="107" t="str">
        <f t="shared" si="240"/>
        <v>B</v>
      </c>
      <c r="BH382" s="254"/>
      <c r="BI382" s="254"/>
    </row>
    <row r="383" spans="1:61" customFormat="1" ht="15.75" x14ac:dyDescent="0.25">
      <c r="A383" s="276">
        <v>10</v>
      </c>
      <c r="B383" s="240" t="s">
        <v>291</v>
      </c>
      <c r="C383" s="241" t="s">
        <v>3334</v>
      </c>
      <c r="D383" s="242" t="s">
        <v>292</v>
      </c>
      <c r="E383" s="243">
        <v>299.95</v>
      </c>
      <c r="F383" s="517" t="s">
        <v>293</v>
      </c>
      <c r="G383" s="232">
        <v>0</v>
      </c>
      <c r="H383" s="661" t="str">
        <f>IF(G383=0,"",IF(F383="Buy",IF(G383=1,"plant","plants"),IF(F383&gt;0.01,"warranty","Error")))</f>
        <v/>
      </c>
      <c r="I383" s="244">
        <f>IF(H383="free",0,IF(H383="credit",((E383*(F383))*G383*-1),IF(F383="Buy",(E383*G383),((E383*(1-F383))*G383))))</f>
        <v>0</v>
      </c>
      <c r="J383" s="244">
        <f>IF(H383="warranty",0,(I383*(_xlfn.SINGLE(SalesTaxPercentage))))</f>
        <v>0</v>
      </c>
      <c r="K383" s="696">
        <f t="shared" ref="K383" si="263">I383+J383</f>
        <v>0</v>
      </c>
      <c r="L383" s="696"/>
      <c r="M383" s="659" t="str">
        <f>IF(AND(G383&gt;0,E383=0),"WARNING - no PRICE inserted",IF(H383="free"," FREE ~ no charge this plant",IF(H383="credit",CONCATENATE(" -$",ROUND(K383*(1-T2GDiscount)*-1,2)," CREDIT after discount"),IF(T2GDiscount=0,"",IF(G383=0,"",IF(F383="Buy",CONCATENATE(" $",ROUND(K383*(1-T2GDiscount),2)," with ",(T2GDiscount*100),"% discount"),CONCATENATE(" $",ROUND(K383*(1-T2GDiscount),2)," with ",((T2GDiscount*100+F383*100)-(T2GDiscount*100*F383)),IF(F383&gt;0,"% discounts",IF(NoWarrantyDiscount&gt;0,"% discounts","% discount")))))))))</f>
        <v/>
      </c>
      <c r="N383" s="660"/>
      <c r="O383" s="233"/>
      <c r="P383" s="233"/>
      <c r="Q383" s="233"/>
      <c r="R383" s="233"/>
      <c r="S383" s="233"/>
      <c r="T383" s="508">
        <f t="shared" si="228"/>
        <v>0</v>
      </c>
      <c r="U383" s="225">
        <f>IF(NOT(ISNUMBER(G383)), "", VLOOKUP(A383,'Discount Lookup'!D:E,2,FALSE)*G383)</f>
        <v>0</v>
      </c>
      <c r="V383" s="225">
        <f>IF(NOT(ISNUMBER(G383)), "", VLOOKUP(A383,'Discount Lookup'!G:H,2,FALSE)*G383)</f>
        <v>0</v>
      </c>
      <c r="W383" s="508">
        <f t="shared" si="229"/>
        <v>0</v>
      </c>
      <c r="X383" s="508">
        <f t="shared" si="230"/>
        <v>0</v>
      </c>
      <c r="Y383" s="509" t="b">
        <f t="shared" si="231"/>
        <v>0</v>
      </c>
      <c r="Z383" s="510">
        <f t="shared" si="232"/>
        <v>0</v>
      </c>
      <c r="AA383" s="511"/>
      <c r="AB383" s="511" t="str">
        <f t="shared" si="233"/>
        <v/>
      </c>
      <c r="AC383" s="698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698"/>
      <c r="AE383" s="631" t="str">
        <f t="shared" si="234"/>
        <v/>
      </c>
      <c r="AF383" s="699" t="str">
        <f t="shared" si="235"/>
        <v/>
      </c>
      <c r="AG383" s="699"/>
      <c r="AH383" s="699"/>
      <c r="AI383" s="512">
        <f>IF(H383="credit",0,IF(AE383="free",0,IF(AE383="me",0,IF(G383&gt;0,(VLOOKUP(A383,'Discount Lookup'!J:K,2)*G383),0))))</f>
        <v>0</v>
      </c>
      <c r="AJ383" s="513" t="str">
        <f t="shared" ca="1" si="236"/>
        <v/>
      </c>
      <c r="AK383" s="700" t="str">
        <f t="shared" si="237"/>
        <v/>
      </c>
      <c r="AL383" s="700"/>
      <c r="AM383" s="505" t="str">
        <f t="shared" si="238"/>
        <v/>
      </c>
      <c r="AN383" s="506"/>
      <c r="AO383" s="507"/>
      <c r="AP383" s="507"/>
      <c r="AQ383" s="507"/>
      <c r="AR383" s="507"/>
      <c r="AS383" s="507"/>
      <c r="AT383" s="507"/>
      <c r="AU383" s="507"/>
      <c r="AV383" s="225"/>
      <c r="AW383" s="508"/>
      <c r="AX383" s="225"/>
      <c r="AY383" s="225"/>
      <c r="AZ383" s="225"/>
      <c r="BA383" s="225"/>
      <c r="BB383" s="225"/>
      <c r="BC383" s="56"/>
      <c r="BD383" s="56"/>
      <c r="BE383" s="56"/>
      <c r="BF383" s="107" t="str">
        <f t="shared" si="239"/>
        <v>https://www.google.com/search?tbm=isch&amp;q=10%20G4</v>
      </c>
      <c r="BG383" s="107" t="str">
        <f t="shared" si="240"/>
        <v>B</v>
      </c>
      <c r="BH383" s="254"/>
      <c r="BI383" s="254"/>
    </row>
    <row r="384" spans="1:61" customFormat="1" ht="15.75" x14ac:dyDescent="0.25">
      <c r="A384" s="276">
        <v>15</v>
      </c>
      <c r="B384" s="240" t="s">
        <v>291</v>
      </c>
      <c r="C384" s="241" t="s">
        <v>3335</v>
      </c>
      <c r="D384" s="242" t="s">
        <v>292</v>
      </c>
      <c r="E384" s="243">
        <v>378.95</v>
      </c>
      <c r="F384" s="517" t="s">
        <v>293</v>
      </c>
      <c r="G384" s="232">
        <v>0</v>
      </c>
      <c r="H384" s="661" t="str">
        <f>IF(G384=0,"",IF(F384="Buy",IF(G384=1,"plant","plants"),IF(F384&gt;0.01,"warranty","Error")))</f>
        <v/>
      </c>
      <c r="I384" s="244">
        <f>IF(H384="free",0,IF(H384="credit",((E384*(F384))*G384*-1),IF(F384="Buy",(E384*G384),((E384*(1-F384))*G384))))</f>
        <v>0</v>
      </c>
      <c r="J384" s="244">
        <f>IF(H384="warranty",0,(I384*(_xlfn.SINGLE(SalesTaxPercentage))))</f>
        <v>0</v>
      </c>
      <c r="K384" s="696">
        <f t="shared" ref="K384" si="264">I384+J384</f>
        <v>0</v>
      </c>
      <c r="L384" s="696"/>
      <c r="M384" s="659" t="str">
        <f>IF(AND(G384&gt;0,E384=0),"WARNING - no PRICE inserted",IF(H384="free"," FREE ~ no charge this plant",IF(H384="credit",CONCATENATE(" -$",ROUND(K384*(1-T2GDiscount)*-1,2)," CREDIT after discount"),IF(T2GDiscount=0,"",IF(G384=0,"",IF(F384="Buy",CONCATENATE(" $",ROUND(K384*(1-T2GDiscount),2)," with ",(T2GDiscount*100),"% discount"),CONCATENATE(" $",ROUND(K384*(1-T2GDiscount),2)," with ",((T2GDiscount*100+F384*100)-(T2GDiscount*100*F384)),IF(F384&gt;0,"% discounts",IF(NoWarrantyDiscount&gt;0,"% discounts","% discount")))))))))</f>
        <v/>
      </c>
      <c r="N384" s="660"/>
      <c r="O384" s="233"/>
      <c r="P384" s="233"/>
      <c r="Q384" s="233"/>
      <c r="R384" s="233"/>
      <c r="S384" s="233"/>
      <c r="T384" s="508">
        <f t="shared" si="228"/>
        <v>0</v>
      </c>
      <c r="U384" s="225">
        <f>IF(NOT(ISNUMBER(G384)), "", VLOOKUP(A384,'Discount Lookup'!D:E,2,FALSE)*G384)</f>
        <v>0</v>
      </c>
      <c r="V384" s="225">
        <f>IF(NOT(ISNUMBER(G384)), "", VLOOKUP(A384,'Discount Lookup'!G:H,2,FALSE)*G384)</f>
        <v>0</v>
      </c>
      <c r="W384" s="508">
        <f t="shared" si="229"/>
        <v>0</v>
      </c>
      <c r="X384" s="508">
        <f t="shared" si="230"/>
        <v>0</v>
      </c>
      <c r="Y384" s="509" t="b">
        <f t="shared" si="231"/>
        <v>0</v>
      </c>
      <c r="Z384" s="510">
        <f t="shared" si="232"/>
        <v>0</v>
      </c>
      <c r="AA384" s="511"/>
      <c r="AB384" s="511" t="str">
        <f t="shared" si="233"/>
        <v/>
      </c>
      <c r="AC384" s="698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698"/>
      <c r="AE384" s="631" t="str">
        <f t="shared" si="234"/>
        <v/>
      </c>
      <c r="AF384" s="699" t="str">
        <f t="shared" si="235"/>
        <v/>
      </c>
      <c r="AG384" s="699"/>
      <c r="AH384" s="699"/>
      <c r="AI384" s="512">
        <f>IF(H384="credit",0,IF(AE384="free",0,IF(AE384="me",0,IF(G384&gt;0,(VLOOKUP(A384,'Discount Lookup'!J:K,2)*G384),0))))</f>
        <v>0</v>
      </c>
      <c r="AJ384" s="513" t="str">
        <f t="shared" ca="1" si="236"/>
        <v/>
      </c>
      <c r="AK384" s="700" t="str">
        <f t="shared" si="237"/>
        <v/>
      </c>
      <c r="AL384" s="700"/>
      <c r="AM384" s="505" t="str">
        <f t="shared" si="238"/>
        <v/>
      </c>
      <c r="AN384" s="506"/>
      <c r="AO384" s="507"/>
      <c r="AP384" s="507"/>
      <c r="AQ384" s="507"/>
      <c r="AR384" s="507"/>
      <c r="AS384" s="507"/>
      <c r="AT384" s="507"/>
      <c r="AU384" s="507"/>
      <c r="AV384" s="225"/>
      <c r="AW384" s="508"/>
      <c r="AX384" s="225"/>
      <c r="AY384" s="225"/>
      <c r="AZ384" s="225"/>
      <c r="BA384" s="225"/>
      <c r="BB384" s="225"/>
      <c r="BC384" s="56"/>
      <c r="BD384" s="56"/>
      <c r="BE384" s="56"/>
      <c r="BF384" s="107" t="str">
        <f t="shared" si="239"/>
        <v>https://www.google.com/search?tbm=isch&amp;q=15%20G4</v>
      </c>
      <c r="BG384" s="107" t="str">
        <f t="shared" si="240"/>
        <v>B</v>
      </c>
      <c r="BH384" s="254"/>
      <c r="BI384" s="254"/>
    </row>
    <row r="385" spans="1:61" customFormat="1" ht="27" x14ac:dyDescent="0.25">
      <c r="A385" s="276">
        <v>25</v>
      </c>
      <c r="B385" s="240" t="s">
        <v>291</v>
      </c>
      <c r="C385" s="241" t="s">
        <v>3336</v>
      </c>
      <c r="D385" s="242" t="s">
        <v>292</v>
      </c>
      <c r="E385" s="243">
        <v>790.95</v>
      </c>
      <c r="F385" s="517" t="s">
        <v>293</v>
      </c>
      <c r="G385" s="232">
        <v>0</v>
      </c>
      <c r="H385" s="661" t="str">
        <f>IF(G385=0,"",IF(F385="Buy",IF(G385=1,"plant","plants"),IF(F385&gt;0.01,"warranty","Error")))</f>
        <v/>
      </c>
      <c r="I385" s="244">
        <f>IF(H385="free",0,IF(H385="credit",((E385*(F385))*G385*-1),IF(F385="Buy",(E385*G385),((E385*(1-F385))*G385))))</f>
        <v>0</v>
      </c>
      <c r="J385" s="244">
        <f>IF(H385="warranty",0,(I385*(_xlfn.SINGLE(SalesTaxPercentage))))</f>
        <v>0</v>
      </c>
      <c r="K385" s="696">
        <f t="shared" ref="K385" si="265">I385+J385</f>
        <v>0</v>
      </c>
      <c r="L385" s="696"/>
      <c r="M385" s="659" t="str">
        <f>IF(AND(G385&gt;0,E385=0),"WARNING - no PRICE inserted",IF(H385="free"," FREE ~ no charge this plant",IF(H385="credit",CONCATENATE(" -$",ROUND(K385*(1-T2GDiscount)*-1,2)," CREDIT after discount"),IF(T2GDiscount=0,"",IF(G385=0,"",IF(F385="Buy",CONCATENATE(" $",ROUND(K385*(1-T2GDiscount),2)," with ",(T2GDiscount*100),"% discount"),CONCATENATE(" $",ROUND(K385*(1-T2GDiscount),2)," with ",((T2GDiscount*100+F385*100)-(T2GDiscount*100*F385)),IF(F385&gt;0,"% discounts",IF(NoWarrantyDiscount&gt;0,"% discounts","% discount")))))))))</f>
        <v/>
      </c>
      <c r="N385" s="660"/>
      <c r="O385" s="233"/>
      <c r="P385" s="233"/>
      <c r="Q385" s="233"/>
      <c r="R385" s="233"/>
      <c r="S385" s="233"/>
      <c r="T385" s="508">
        <f t="shared" si="228"/>
        <v>0</v>
      </c>
      <c r="U385" s="225">
        <f>IF(NOT(ISNUMBER(G385)), "", VLOOKUP(A385,'Discount Lookup'!D:E,2,FALSE)*G385)</f>
        <v>0</v>
      </c>
      <c r="V385" s="225">
        <f>IF(NOT(ISNUMBER(G385)), "", VLOOKUP(A385,'Discount Lookup'!G:H,2,FALSE)*G385)</f>
        <v>0</v>
      </c>
      <c r="W385" s="508">
        <f t="shared" si="229"/>
        <v>0</v>
      </c>
      <c r="X385" s="508">
        <f t="shared" si="230"/>
        <v>0</v>
      </c>
      <c r="Y385" s="509" t="b">
        <f t="shared" si="231"/>
        <v>0</v>
      </c>
      <c r="Z385" s="510">
        <f t="shared" si="232"/>
        <v>0</v>
      </c>
      <c r="AA385" s="511"/>
      <c r="AB385" s="511" t="str">
        <f t="shared" si="233"/>
        <v/>
      </c>
      <c r="AC385" s="698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698"/>
      <c r="AE385" s="631" t="str">
        <f t="shared" si="234"/>
        <v/>
      </c>
      <c r="AF385" s="699" t="str">
        <f t="shared" si="235"/>
        <v/>
      </c>
      <c r="AG385" s="699"/>
      <c r="AH385" s="699"/>
      <c r="AI385" s="512">
        <f>IF(H385="credit",0,IF(AE385="free",0,IF(AE385="me",0,IF(G385&gt;0,(VLOOKUP(A385,'Discount Lookup'!J:K,2)*G385),0))))</f>
        <v>0</v>
      </c>
      <c r="AJ385" s="513" t="str">
        <f t="shared" ca="1" si="236"/>
        <v/>
      </c>
      <c r="AK385" s="700" t="str">
        <f t="shared" si="237"/>
        <v/>
      </c>
      <c r="AL385" s="700"/>
      <c r="AM385" s="505" t="str">
        <f t="shared" si="238"/>
        <v/>
      </c>
      <c r="AN385" s="506"/>
      <c r="AO385" s="507"/>
      <c r="AP385" s="507"/>
      <c r="AQ385" s="507"/>
      <c r="AR385" s="507"/>
      <c r="AS385" s="507"/>
      <c r="AT385" s="507"/>
      <c r="AU385" s="507"/>
      <c r="AV385" s="225"/>
      <c r="AW385" s="508"/>
      <c r="AX385" s="225"/>
      <c r="AY385" s="225"/>
      <c r="AZ385" s="225"/>
      <c r="BA385" s="225"/>
      <c r="BB385" s="225"/>
      <c r="BC385" s="56"/>
      <c r="BD385" s="56"/>
      <c r="BE385" s="56"/>
      <c r="BF385" s="107" t="str">
        <f t="shared" si="239"/>
        <v>https://www.google.com/search?tbm=isch&amp;q=25%20G4</v>
      </c>
      <c r="BG385" s="107" t="str">
        <f t="shared" si="240"/>
        <v>B</v>
      </c>
      <c r="BH385" s="254"/>
      <c r="BI385" s="254"/>
    </row>
    <row r="386" spans="1:61" customFormat="1" ht="15.75" x14ac:dyDescent="0.25">
      <c r="A386" s="276">
        <v>100</v>
      </c>
      <c r="B386" s="240" t="s">
        <v>291</v>
      </c>
      <c r="C386" s="241" t="s">
        <v>3337</v>
      </c>
      <c r="D386" s="242" t="s">
        <v>292</v>
      </c>
      <c r="E386" s="243">
        <v>1816.95</v>
      </c>
      <c r="F386" s="517" t="s">
        <v>293</v>
      </c>
      <c r="G386" s="232">
        <v>0</v>
      </c>
      <c r="H386" s="661" t="str">
        <f>IF(G386=0,"",IF(F386="Buy",IF(G386=1,"plant","plants"),IF(F386&gt;0.01,"warranty","Error")))</f>
        <v/>
      </c>
      <c r="I386" s="244">
        <f>IF(H386="free",0,IF(H386="credit",((E386*(F386))*G386*-1),IF(F386="Buy",(E386*G386),((E386*(1-F386))*G386))))</f>
        <v>0</v>
      </c>
      <c r="J386" s="244">
        <f>IF(H386="warranty",0,(I386*(_xlfn.SINGLE(SalesTaxPercentage))))</f>
        <v>0</v>
      </c>
      <c r="K386" s="696">
        <f t="shared" ref="K386" si="266">I386+J386</f>
        <v>0</v>
      </c>
      <c r="L386" s="696"/>
      <c r="M386" s="659" t="str">
        <f>IF(AND(G386&gt;0,E386=0),"WARNING - no PRICE inserted",IF(H386="free"," FREE ~ no charge this plant",IF(H386="credit",CONCATENATE(" -$",ROUND(K386*(1-T2GDiscount)*-1,2)," CREDIT after discount"),IF(T2GDiscount=0,"",IF(G386=0,"",IF(F386="Buy",CONCATENATE(" $",ROUND(K386*(1-T2GDiscount),2)," with ",(T2GDiscount*100),"% discount"),CONCATENATE(" $",ROUND(K386*(1-T2GDiscount),2)," with ",((T2GDiscount*100+F386*100)-(T2GDiscount*100*F386)),IF(F386&gt;0,"% discounts",IF(NoWarrantyDiscount&gt;0,"% discounts","% discount")))))))))</f>
        <v/>
      </c>
      <c r="N386" s="660"/>
      <c r="O386" s="233"/>
      <c r="P386" s="233"/>
      <c r="Q386" s="233"/>
      <c r="R386" s="233"/>
      <c r="S386" s="233"/>
      <c r="T386" s="508">
        <f t="shared" si="228"/>
        <v>0</v>
      </c>
      <c r="U386" s="225">
        <f>IF(NOT(ISNUMBER(G386)), "", VLOOKUP(A386,'Discount Lookup'!D:E,2,FALSE)*G386)</f>
        <v>0</v>
      </c>
      <c r="V386" s="225">
        <f>IF(NOT(ISNUMBER(G386)), "", VLOOKUP(A386,'Discount Lookup'!G:H,2,FALSE)*G386)</f>
        <v>0</v>
      </c>
      <c r="W386" s="508">
        <f t="shared" si="229"/>
        <v>0</v>
      </c>
      <c r="X386" s="508">
        <f t="shared" si="230"/>
        <v>0</v>
      </c>
      <c r="Y386" s="509" t="b">
        <f t="shared" si="231"/>
        <v>0</v>
      </c>
      <c r="Z386" s="510">
        <f t="shared" si="232"/>
        <v>0</v>
      </c>
      <c r="AA386" s="511"/>
      <c r="AB386" s="511" t="str">
        <f t="shared" si="233"/>
        <v/>
      </c>
      <c r="AC386" s="698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698"/>
      <c r="AE386" s="631" t="str">
        <f t="shared" si="234"/>
        <v/>
      </c>
      <c r="AF386" s="699" t="str">
        <f t="shared" si="235"/>
        <v/>
      </c>
      <c r="AG386" s="699"/>
      <c r="AH386" s="699"/>
      <c r="AI386" s="512">
        <f>IF(H386="credit",0,IF(AE386="free",0,IF(AE386="me",0,IF(G386&gt;0,(VLOOKUP(A386,'Discount Lookup'!J:K,2)*G386),0))))</f>
        <v>0</v>
      </c>
      <c r="AJ386" s="513" t="str">
        <f t="shared" ca="1" si="236"/>
        <v/>
      </c>
      <c r="AK386" s="700" t="str">
        <f t="shared" si="237"/>
        <v/>
      </c>
      <c r="AL386" s="700"/>
      <c r="AM386" s="505" t="str">
        <f t="shared" si="238"/>
        <v/>
      </c>
      <c r="AN386" s="506"/>
      <c r="AO386" s="507"/>
      <c r="AP386" s="507"/>
      <c r="AQ386" s="507"/>
      <c r="AR386" s="507"/>
      <c r="AS386" s="507"/>
      <c r="AT386" s="507"/>
      <c r="AU386" s="507"/>
      <c r="AV386" s="225"/>
      <c r="AW386" s="508"/>
      <c r="AX386" s="225"/>
      <c r="AY386" s="225"/>
      <c r="AZ386" s="225"/>
      <c r="BA386" s="225"/>
      <c r="BB386" s="225"/>
      <c r="BC386" s="56"/>
      <c r="BD386" s="56"/>
      <c r="BE386" s="56"/>
      <c r="BF386" s="107" t="str">
        <f t="shared" si="239"/>
        <v>https://www.google.com/search?tbm=isch&amp;q=100%20G4</v>
      </c>
      <c r="BG386" s="107" t="str">
        <f t="shared" si="240"/>
        <v>B</v>
      </c>
      <c r="BH386" s="254"/>
      <c r="BI386" s="254"/>
    </row>
    <row r="387" spans="1:61" customFormat="1" ht="17.25" thickBot="1" x14ac:dyDescent="0.3">
      <c r="A387" s="524" t="s">
        <v>2343</v>
      </c>
      <c r="B387" s="245"/>
      <c r="C387" s="677"/>
      <c r="D387" s="499"/>
      <c r="E387" s="499"/>
      <c r="F387" s="500"/>
      <c r="G387" s="501"/>
      <c r="H387" s="502"/>
      <c r="I387" s="246"/>
      <c r="J387" s="247"/>
      <c r="K387" s="503"/>
      <c r="L387" s="544"/>
      <c r="M387" s="544"/>
      <c r="N387" s="500"/>
      <c r="O387" s="500"/>
      <c r="P387" s="500"/>
      <c r="Q387" s="500"/>
      <c r="R387" s="500"/>
      <c r="S387" s="278"/>
      <c r="T387" s="508">
        <f t="shared" si="228"/>
        <v>0</v>
      </c>
      <c r="U387" s="225" t="str">
        <f>IF(NOT(ISNUMBER(G387)), "", VLOOKUP(A387,'Discount Lookup'!D:E,2,FALSE)*G387)</f>
        <v/>
      </c>
      <c r="V387" s="225" t="str">
        <f>IF(NOT(ISNUMBER(G387)), "", VLOOKUP(A387,'Discount Lookup'!G:H,2,FALSE)*G387)</f>
        <v/>
      </c>
      <c r="W387" s="508">
        <f t="shared" si="229"/>
        <v>0</v>
      </c>
      <c r="X387" s="508">
        <f t="shared" si="230"/>
        <v>0</v>
      </c>
      <c r="Y387" s="509" t="b">
        <f t="shared" si="231"/>
        <v>0</v>
      </c>
      <c r="Z387" s="510">
        <f t="shared" si="232"/>
        <v>0</v>
      </c>
      <c r="AA387" s="511"/>
      <c r="AB387" s="511" t="str">
        <f t="shared" si="233"/>
        <v/>
      </c>
      <c r="AC387" s="698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698"/>
      <c r="AE387" s="631" t="str">
        <f t="shared" si="234"/>
        <v/>
      </c>
      <c r="AF387" s="699" t="str">
        <f t="shared" si="235"/>
        <v/>
      </c>
      <c r="AG387" s="699"/>
      <c r="AH387" s="699"/>
      <c r="AI387" s="512">
        <f>IF(H387="credit",0,IF(AE387="free",0,IF(AE387="me",0,IF(G387&gt;0,(VLOOKUP(A387,'Discount Lookup'!J:K,2)*G387),0))))</f>
        <v>0</v>
      </c>
      <c r="AJ387" s="513" t="str">
        <f t="shared" ca="1" si="236"/>
        <v/>
      </c>
      <c r="AK387" s="700" t="str">
        <f t="shared" si="237"/>
        <v/>
      </c>
      <c r="AL387" s="700"/>
      <c r="AM387" s="505" t="str">
        <f t="shared" si="238"/>
        <v/>
      </c>
      <c r="AN387" s="506"/>
      <c r="AO387" s="507"/>
      <c r="AP387" s="507"/>
      <c r="AQ387" s="507"/>
      <c r="AR387" s="507"/>
      <c r="AS387" s="507"/>
      <c r="AT387" s="507"/>
      <c r="AU387" s="507"/>
      <c r="AV387" s="225"/>
      <c r="AW387" s="508"/>
      <c r="AX387" s="225"/>
      <c r="AY387" s="225"/>
      <c r="AZ387" s="225"/>
      <c r="BA387" s="225"/>
      <c r="BB387" s="225"/>
      <c r="BC387" s="56"/>
      <c r="BD387" s="56"/>
      <c r="BE387" s="56"/>
      <c r="BF387" s="107" t="str">
        <f t="shared" si="239"/>
        <v>https://www.google.com/search?tbm=isch&amp;q=Bloodgood%20can%20tolerate%20full%20sun%20better%20than%20most%20J.%20Maples%2C%20and%20is%20less%20messy.%20Vibrant%20Crimson-Red%20fall%20foliage%20</v>
      </c>
      <c r="BG387" s="107" t="str">
        <f t="shared" si="240"/>
        <v>B</v>
      </c>
      <c r="BH387" s="254"/>
      <c r="BI387" s="254"/>
    </row>
    <row r="388" spans="1:61" customFormat="1" ht="18" x14ac:dyDescent="0.25">
      <c r="A388" s="523" t="s">
        <v>5579</v>
      </c>
      <c r="B388" s="235"/>
      <c r="C388" s="676"/>
      <c r="D388" s="255" t="s">
        <v>568</v>
      </c>
      <c r="E388" s="236"/>
      <c r="F388" s="236"/>
      <c r="G388" s="236"/>
      <c r="H388" s="582" t="s">
        <v>905</v>
      </c>
      <c r="I388" s="498" t="s">
        <v>3194</v>
      </c>
      <c r="J388" s="237"/>
      <c r="K388" s="237"/>
      <c r="L388" s="274"/>
      <c r="M388" s="668" t="s">
        <v>4962</v>
      </c>
      <c r="N388" s="681" t="str">
        <f>IF(AND(ISTEXT($A388), ISERROR($A388+0)), HYPERLINK($BF388, "Images"), "")</f>
        <v>Images</v>
      </c>
      <c r="O388" s="663" t="s">
        <v>4967</v>
      </c>
      <c r="P388" s="253"/>
      <c r="Q388" s="238"/>
      <c r="R388" s="239"/>
      <c r="S388" s="275"/>
      <c r="T388" s="508">
        <f t="shared" si="228"/>
        <v>0</v>
      </c>
      <c r="U388" s="225" t="str">
        <f>IF(NOT(ISNUMBER(G388)), "", VLOOKUP(A388,'Discount Lookup'!D:E,2,FALSE)*G388)</f>
        <v/>
      </c>
      <c r="V388" s="225" t="str">
        <f>IF(NOT(ISNUMBER(G388)), "", VLOOKUP(A388,'Discount Lookup'!G:H,2,FALSE)*G388)</f>
        <v/>
      </c>
      <c r="W388" s="508">
        <f t="shared" si="229"/>
        <v>0</v>
      </c>
      <c r="X388" s="508" t="str">
        <f t="shared" si="230"/>
        <v>Pale Purple-Pink bloom</v>
      </c>
      <c r="Y388" s="509" t="b">
        <f t="shared" si="231"/>
        <v>0</v>
      </c>
      <c r="Z388" s="510">
        <f t="shared" si="232"/>
        <v>0</v>
      </c>
      <c r="AA388" s="511"/>
      <c r="AB388" s="511" t="str">
        <f t="shared" si="233"/>
        <v/>
      </c>
      <c r="AC388" s="698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698"/>
      <c r="AE388" s="631" t="str">
        <f t="shared" si="234"/>
        <v/>
      </c>
      <c r="AF388" s="699" t="str">
        <f t="shared" si="235"/>
        <v/>
      </c>
      <c r="AG388" s="699"/>
      <c r="AH388" s="699"/>
      <c r="AI388" s="512">
        <f>IF(H388="credit",0,IF(AE388="free",0,IF(AE388="me",0,IF(G388&gt;0,(VLOOKUP(A388,'Discount Lookup'!J:K,2)*G388),0))))</f>
        <v>0</v>
      </c>
      <c r="AJ388" s="513" t="str">
        <f t="shared" ca="1" si="236"/>
        <v/>
      </c>
      <c r="AK388" s="700" t="str">
        <f t="shared" si="237"/>
        <v/>
      </c>
      <c r="AL388" s="700"/>
      <c r="AM388" s="505" t="str">
        <f t="shared" si="238"/>
        <v/>
      </c>
      <c r="AN388" s="506"/>
      <c r="AO388" s="507"/>
      <c r="AP388" s="507"/>
      <c r="AQ388" s="507"/>
      <c r="AR388" s="507"/>
      <c r="AS388" s="507"/>
      <c r="AT388" s="507"/>
      <c r="AU388" s="507"/>
      <c r="AV388" s="225"/>
      <c r="AW388" s="508"/>
      <c r="AX388" s="225"/>
      <c r="AY388" s="225"/>
      <c r="AZ388" s="225"/>
      <c r="BA388" s="225"/>
      <c r="BB388" s="225"/>
      <c r="BC388" s="56"/>
      <c r="BD388" s="56"/>
      <c r="BE388" s="56"/>
      <c r="BF388" s="107" t="str">
        <f t="shared" si="239"/>
        <v>https://www.google.com/search?tbm=isch&amp;q=Bloomerang%20Purpink%C2%AE%20Lilac%20%28PW%C2%AE%29%20Syringa%20%C3%97%20pubescens%20%27SMNSPTP%27%20PP%2335123</v>
      </c>
      <c r="BG388" s="107" t="str">
        <f t="shared" si="240"/>
        <v>B</v>
      </c>
      <c r="BH388" s="254"/>
      <c r="BI388" s="254"/>
    </row>
    <row r="389" spans="1:61" customFormat="1" ht="15.75" x14ac:dyDescent="0.25">
      <c r="A389" s="276">
        <v>3</v>
      </c>
      <c r="B389" s="240" t="s">
        <v>291</v>
      </c>
      <c r="C389" s="241" t="s">
        <v>4289</v>
      </c>
      <c r="D389" s="242" t="s">
        <v>312</v>
      </c>
      <c r="E389" s="243">
        <v>42.95</v>
      </c>
      <c r="F389" s="517" t="s">
        <v>293</v>
      </c>
      <c r="G389" s="232">
        <v>0</v>
      </c>
      <c r="H389" s="661" t="str">
        <f>IF(G389=0,"",IF(F389="Buy",IF(G389=1,"plant","plants"),IF(F389&gt;0.01,"warranty","Error")))</f>
        <v/>
      </c>
      <c r="I389" s="244">
        <f>IF(H389="free",0,IF(H389="credit",((E389*(F389))*G389*-1),IF(F389="Buy",(E389*G389),((E389*(1-F389))*G389))))</f>
        <v>0</v>
      </c>
      <c r="J389" s="244">
        <f>IF(H389="warranty",0,(I389*(_xlfn.SINGLE(SalesTaxPercentage))))</f>
        <v>0</v>
      </c>
      <c r="K389" s="696">
        <f t="shared" ref="K389" si="267">I389+J389</f>
        <v>0</v>
      </c>
      <c r="L389" s="696"/>
      <c r="M389" s="659" t="str">
        <f>IF(AND(G389&gt;0,E389=0),"WARNING - no PRICE inserted",IF(H389="free"," FREE ~ no charge this plant",IF(H389="credit",CONCATENATE(" -$",ROUND(K389*(1-T2GDiscount)*-1,2)," CREDIT after discount"),IF(T2GDiscount=0,"",IF(G389=0,"",IF(F389="Buy",CONCATENATE(" $",ROUND(K389*(1-T2GDiscount),2)," with ",(T2GDiscount*100),"% discount"),CONCATENATE(" $",ROUND(K389*(1-T2GDiscount),2)," with ",((T2GDiscount*100+F389*100)-(T2GDiscount*100*F389)),IF(F389&gt;0,"% discounts",IF(NoWarrantyDiscount&gt;0,"% discounts","% discount")))))))))</f>
        <v/>
      </c>
      <c r="N389" s="660"/>
      <c r="O389" s="233"/>
      <c r="P389" s="233"/>
      <c r="Q389" s="233"/>
      <c r="R389" s="233"/>
      <c r="S389" s="233"/>
      <c r="T389" s="508">
        <f t="shared" si="228"/>
        <v>0</v>
      </c>
      <c r="U389" s="225">
        <f>IF(NOT(ISNUMBER(G389)), "", VLOOKUP(A389,'Discount Lookup'!D:E,2,FALSE)*G389)</f>
        <v>0</v>
      </c>
      <c r="V389" s="225">
        <f>IF(NOT(ISNUMBER(G389)), "", VLOOKUP(A389,'Discount Lookup'!G:H,2,FALSE)*G389)</f>
        <v>0</v>
      </c>
      <c r="W389" s="508">
        <f t="shared" si="229"/>
        <v>0</v>
      </c>
      <c r="X389" s="508">
        <f t="shared" si="230"/>
        <v>0</v>
      </c>
      <c r="Y389" s="509" t="b">
        <f t="shared" si="231"/>
        <v>0</v>
      </c>
      <c r="Z389" s="510">
        <f t="shared" si="232"/>
        <v>0</v>
      </c>
      <c r="AA389" s="511"/>
      <c r="AB389" s="511" t="str">
        <f t="shared" si="233"/>
        <v/>
      </c>
      <c r="AC389" s="698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698"/>
      <c r="AE389" s="631" t="str">
        <f t="shared" si="234"/>
        <v/>
      </c>
      <c r="AF389" s="699" t="str">
        <f t="shared" si="235"/>
        <v/>
      </c>
      <c r="AG389" s="699"/>
      <c r="AH389" s="699"/>
      <c r="AI389" s="512">
        <f>IF(H389="credit",0,IF(AE389="free",0,IF(AE389="me",0,IF(G389&gt;0,(VLOOKUP(A389,'Discount Lookup'!J:K,2)*G389),0))))</f>
        <v>0</v>
      </c>
      <c r="AJ389" s="513" t="str">
        <f t="shared" ca="1" si="236"/>
        <v/>
      </c>
      <c r="AK389" s="700" t="str">
        <f t="shared" si="237"/>
        <v/>
      </c>
      <c r="AL389" s="700"/>
      <c r="AM389" s="505" t="str">
        <f t="shared" si="238"/>
        <v/>
      </c>
      <c r="AN389" s="506"/>
      <c r="AO389" s="507"/>
      <c r="AP389" s="507"/>
      <c r="AQ389" s="507"/>
      <c r="AR389" s="507"/>
      <c r="AS389" s="507"/>
      <c r="AT389" s="507"/>
      <c r="AU389" s="507"/>
      <c r="AV389" s="225"/>
      <c r="AW389" s="508"/>
      <c r="AX389" s="225"/>
      <c r="AY389" s="225"/>
      <c r="AZ389" s="225"/>
      <c r="BA389" s="225"/>
      <c r="BB389" s="225"/>
      <c r="BC389" s="56"/>
      <c r="BD389" s="56"/>
      <c r="BE389" s="56"/>
      <c r="BF389" s="107" t="str">
        <f t="shared" si="239"/>
        <v>https://www.google.com/search?tbm=isch&amp;q=3%20G2</v>
      </c>
      <c r="BG389" s="107" t="str">
        <f t="shared" si="240"/>
        <v>B</v>
      </c>
      <c r="BH389" s="254"/>
      <c r="BI389" s="254"/>
    </row>
    <row r="390" spans="1:61" customFormat="1" ht="17.25" thickBot="1" x14ac:dyDescent="0.3">
      <c r="A390" s="524" t="s">
        <v>4197</v>
      </c>
      <c r="B390" s="245"/>
      <c r="C390" s="677"/>
      <c r="D390" s="499"/>
      <c r="E390" s="499"/>
      <c r="F390" s="500"/>
      <c r="G390" s="501"/>
      <c r="H390" s="502"/>
      <c r="I390" s="246"/>
      <c r="J390" s="247"/>
      <c r="K390" s="503"/>
      <c r="L390" s="544"/>
      <c r="M390" s="544"/>
      <c r="N390" s="500"/>
      <c r="O390" s="500"/>
      <c r="P390" s="500"/>
      <c r="Q390" s="500"/>
      <c r="R390" s="500"/>
      <c r="S390" s="669" t="s">
        <v>4980</v>
      </c>
      <c r="T390" s="508">
        <f t="shared" si="228"/>
        <v>0</v>
      </c>
      <c r="U390" s="225" t="str">
        <f>IF(NOT(ISNUMBER(G390)), "", VLOOKUP(A390,'Discount Lookup'!D:E,2,FALSE)*G390)</f>
        <v/>
      </c>
      <c r="V390" s="225" t="str">
        <f>IF(NOT(ISNUMBER(G390)), "", VLOOKUP(A390,'Discount Lookup'!G:H,2,FALSE)*G390)</f>
        <v/>
      </c>
      <c r="W390" s="508">
        <f t="shared" si="229"/>
        <v>0</v>
      </c>
      <c r="X390" s="508">
        <f t="shared" si="230"/>
        <v>0</v>
      </c>
      <c r="Y390" s="509" t="b">
        <f t="shared" si="231"/>
        <v>0</v>
      </c>
      <c r="Z390" s="510">
        <f t="shared" si="232"/>
        <v>0</v>
      </c>
      <c r="AA390" s="511"/>
      <c r="AB390" s="511" t="str">
        <f t="shared" si="233"/>
        <v/>
      </c>
      <c r="AC390" s="698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698"/>
      <c r="AE390" s="631" t="str">
        <f t="shared" si="234"/>
        <v/>
      </c>
      <c r="AF390" s="699" t="str">
        <f t="shared" si="235"/>
        <v/>
      </c>
      <c r="AG390" s="699"/>
      <c r="AH390" s="699"/>
      <c r="AI390" s="512">
        <f>IF(H390="credit",0,IF(AE390="free",0,IF(AE390="me",0,IF(G390&gt;0,(VLOOKUP(A390,'Discount Lookup'!J:K,2)*G390),0))))</f>
        <v>0</v>
      </c>
      <c r="AJ390" s="513" t="str">
        <f t="shared" ca="1" si="236"/>
        <v/>
      </c>
      <c r="AK390" s="700" t="str">
        <f t="shared" si="237"/>
        <v/>
      </c>
      <c r="AL390" s="700"/>
      <c r="AM390" s="505" t="str">
        <f t="shared" si="238"/>
        <v/>
      </c>
      <c r="AN390" s="506"/>
      <c r="AO390" s="507"/>
      <c r="AP390" s="507"/>
      <c r="AQ390" s="507"/>
      <c r="AR390" s="507"/>
      <c r="AS390" s="507"/>
      <c r="AT390" s="507"/>
      <c r="AU390" s="507"/>
      <c r="AV390" s="225"/>
      <c r="AW390" s="508"/>
      <c r="AX390" s="225"/>
      <c r="AY390" s="225"/>
      <c r="AZ390" s="225"/>
      <c r="BA390" s="225"/>
      <c r="BB390" s="225"/>
      <c r="BC390" s="56"/>
      <c r="BD390" s="56"/>
      <c r="BE390" s="56"/>
      <c r="BF390" s="107" t="str">
        <f t="shared" si="239"/>
        <v>https://www.google.com/search?tbm=isch&amp;q=Purpink%20has%20intensely%20fragrant%2C%20tubular%20flowers%2C%20reblooming%20from%20spring%20into%20fall.%20Green%20foliage%20yellows%20in%20fall%20</v>
      </c>
      <c r="BG390" s="107" t="str">
        <f t="shared" si="240"/>
        <v>P</v>
      </c>
      <c r="BH390" s="254"/>
      <c r="BI390" s="254"/>
    </row>
    <row r="391" spans="1:61" customFormat="1" ht="18" x14ac:dyDescent="0.25">
      <c r="A391" s="523" t="s">
        <v>5351</v>
      </c>
      <c r="B391" s="235"/>
      <c r="C391" s="676"/>
      <c r="D391" s="255" t="s">
        <v>3050</v>
      </c>
      <c r="E391" s="236"/>
      <c r="F391" s="236"/>
      <c r="G391" s="236"/>
      <c r="H391" s="582" t="s">
        <v>441</v>
      </c>
      <c r="I391" s="498" t="s">
        <v>3170</v>
      </c>
      <c r="J391" s="237"/>
      <c r="K391" s="237"/>
      <c r="L391" s="274"/>
      <c r="M391" s="668" t="s">
        <v>4962</v>
      </c>
      <c r="N391" s="681" t="str">
        <f>IF(AND(ISTEXT($A391), ISERROR($A391+0)), HYPERLINK($BF391, "Images"), "")</f>
        <v>Images</v>
      </c>
      <c r="O391" s="663" t="s">
        <v>4967</v>
      </c>
      <c r="P391" s="253"/>
      <c r="Q391" s="238"/>
      <c r="R391" s="239"/>
      <c r="S391" s="275"/>
      <c r="T391" s="508">
        <f t="shared" si="228"/>
        <v>0</v>
      </c>
      <c r="U391" s="225" t="str">
        <f>IF(NOT(ISNUMBER(G391)), "", VLOOKUP(A391,'Discount Lookup'!D:E,2,FALSE)*G391)</f>
        <v/>
      </c>
      <c r="V391" s="225" t="str">
        <f>IF(NOT(ISNUMBER(G391)), "", VLOOKUP(A391,'Discount Lookup'!G:H,2,FALSE)*G391)</f>
        <v/>
      </c>
      <c r="W391" s="508">
        <f t="shared" si="229"/>
        <v>0</v>
      </c>
      <c r="X391" s="508" t="str">
        <f t="shared" si="230"/>
        <v>Soft Pink to Purple bloom</v>
      </c>
      <c r="Y391" s="509" t="b">
        <f t="shared" si="231"/>
        <v>0</v>
      </c>
      <c r="Z391" s="510">
        <f t="shared" si="232"/>
        <v>0</v>
      </c>
      <c r="AA391" s="511"/>
      <c r="AB391" s="511" t="str">
        <f t="shared" si="233"/>
        <v/>
      </c>
      <c r="AC391" s="698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698"/>
      <c r="AE391" s="631" t="str">
        <f t="shared" si="234"/>
        <v/>
      </c>
      <c r="AF391" s="699" t="str">
        <f t="shared" si="235"/>
        <v/>
      </c>
      <c r="AG391" s="699"/>
      <c r="AH391" s="699"/>
      <c r="AI391" s="512">
        <f>IF(H391="credit",0,IF(AE391="free",0,IF(AE391="me",0,IF(G391&gt;0,(VLOOKUP(A391,'Discount Lookup'!J:K,2)*G391),0))))</f>
        <v>0</v>
      </c>
      <c r="AJ391" s="513" t="str">
        <f t="shared" ca="1" si="236"/>
        <v/>
      </c>
      <c r="AK391" s="700" t="str">
        <f t="shared" si="237"/>
        <v/>
      </c>
      <c r="AL391" s="700"/>
      <c r="AM391" s="505" t="str">
        <f t="shared" si="238"/>
        <v/>
      </c>
      <c r="AN391" s="506"/>
      <c r="AO391" s="507"/>
      <c r="AP391" s="507"/>
      <c r="AQ391" s="507"/>
      <c r="AR391" s="507"/>
      <c r="AS391" s="507"/>
      <c r="AT391" s="507"/>
      <c r="AU391" s="507"/>
      <c r="AV391" s="225"/>
      <c r="AW391" s="508"/>
      <c r="AX391" s="225"/>
      <c r="AY391" s="225"/>
      <c r="AZ391" s="225"/>
      <c r="BA391" s="225"/>
      <c r="BB391" s="225"/>
      <c r="BC391" s="56"/>
      <c r="BD391" s="56"/>
      <c r="BE391" s="56"/>
      <c r="BF391" s="107" t="str">
        <f t="shared" si="239"/>
        <v>https://www.google.com/search?tbm=isch&amp;q=Bloomerang%C2%AE%20Ballet%E2%84%A2%20Lilac%20Syringa%20%27SMNSPH%27%20PP%2335934</v>
      </c>
      <c r="BG391" s="107" t="str">
        <f t="shared" si="240"/>
        <v>B</v>
      </c>
      <c r="BH391" s="254"/>
      <c r="BI391" s="254"/>
    </row>
    <row r="392" spans="1:61" customFormat="1" ht="15.75" x14ac:dyDescent="0.25">
      <c r="A392" s="276">
        <v>3</v>
      </c>
      <c r="B392" s="240" t="s">
        <v>291</v>
      </c>
      <c r="C392" s="241" t="s">
        <v>3973</v>
      </c>
      <c r="D392" s="242" t="s">
        <v>312</v>
      </c>
      <c r="E392" s="243">
        <v>42.95</v>
      </c>
      <c r="F392" s="517" t="s">
        <v>293</v>
      </c>
      <c r="G392" s="232">
        <v>0</v>
      </c>
      <c r="H392" s="661" t="str">
        <f>IF(G392=0,"",IF(F392="Buy",IF(G392=1,"plant","plants"),IF(F392&gt;0.01,"warranty","Error")))</f>
        <v/>
      </c>
      <c r="I392" s="244">
        <f>IF(H392="free",0,IF(H392="credit",((E392*(F392))*G392*-1),IF(F392="Buy",(E392*G392),((E392*(1-F392))*G392))))</f>
        <v>0</v>
      </c>
      <c r="J392" s="244">
        <f>IF(H392="warranty",0,(I392*(_xlfn.SINGLE(SalesTaxPercentage))))</f>
        <v>0</v>
      </c>
      <c r="K392" s="696">
        <f t="shared" ref="K392" si="268">I392+J392</f>
        <v>0</v>
      </c>
      <c r="L392" s="696"/>
      <c r="M392" s="659" t="str">
        <f>IF(AND(G392&gt;0,E392=0),"WARNING - no PRICE inserted",IF(H392="free"," FREE ~ no charge this plant",IF(H392="credit",CONCATENATE(" -$",ROUND(K392*(1-T2GDiscount)*-1,2)," CREDIT after discount"),IF(T2GDiscount=0,"",IF(G392=0,"",IF(F392="Buy",CONCATENATE(" $",ROUND(K392*(1-T2GDiscount),2)," with ",(T2GDiscount*100),"% discount"),CONCATENATE(" $",ROUND(K392*(1-T2GDiscount),2)," with ",((T2GDiscount*100+F392*100)-(T2GDiscount*100*F392)),IF(F392&gt;0,"% discounts",IF(NoWarrantyDiscount&gt;0,"% discounts","% discount")))))))))</f>
        <v/>
      </c>
      <c r="N392" s="660"/>
      <c r="O392" s="233"/>
      <c r="P392" s="233"/>
      <c r="Q392" s="233"/>
      <c r="R392" s="233"/>
      <c r="S392" s="233"/>
      <c r="T392" s="508">
        <f t="shared" si="228"/>
        <v>0</v>
      </c>
      <c r="U392" s="225">
        <f>IF(NOT(ISNUMBER(G392)), "", VLOOKUP(A392,'Discount Lookup'!D:E,2,FALSE)*G392)</f>
        <v>0</v>
      </c>
      <c r="V392" s="225">
        <f>IF(NOT(ISNUMBER(G392)), "", VLOOKUP(A392,'Discount Lookup'!G:H,2,FALSE)*G392)</f>
        <v>0</v>
      </c>
      <c r="W392" s="508">
        <f t="shared" si="229"/>
        <v>0</v>
      </c>
      <c r="X392" s="508">
        <f t="shared" si="230"/>
        <v>0</v>
      </c>
      <c r="Y392" s="509" t="b">
        <f t="shared" si="231"/>
        <v>0</v>
      </c>
      <c r="Z392" s="510">
        <f t="shared" si="232"/>
        <v>0</v>
      </c>
      <c r="AA392" s="511"/>
      <c r="AB392" s="511" t="str">
        <f t="shared" si="233"/>
        <v/>
      </c>
      <c r="AC392" s="698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698"/>
      <c r="AE392" s="631" t="str">
        <f t="shared" si="234"/>
        <v/>
      </c>
      <c r="AF392" s="699" t="str">
        <f t="shared" si="235"/>
        <v/>
      </c>
      <c r="AG392" s="699"/>
      <c r="AH392" s="699"/>
      <c r="AI392" s="512">
        <f>IF(H392="credit",0,IF(AE392="free",0,IF(AE392="me",0,IF(G392&gt;0,(VLOOKUP(A392,'Discount Lookup'!J:K,2)*G392),0))))</f>
        <v>0</v>
      </c>
      <c r="AJ392" s="513" t="str">
        <f t="shared" ca="1" si="236"/>
        <v/>
      </c>
      <c r="AK392" s="700" t="str">
        <f t="shared" si="237"/>
        <v/>
      </c>
      <c r="AL392" s="700"/>
      <c r="AM392" s="505" t="str">
        <f t="shared" si="238"/>
        <v/>
      </c>
      <c r="AN392" s="506"/>
      <c r="AO392" s="507"/>
      <c r="AP392" s="507"/>
      <c r="AQ392" s="507"/>
      <c r="AR392" s="507"/>
      <c r="AS392" s="507"/>
      <c r="AT392" s="507"/>
      <c r="AU392" s="507"/>
      <c r="AV392" s="225"/>
      <c r="AW392" s="508"/>
      <c r="AX392" s="225"/>
      <c r="AY392" s="225"/>
      <c r="AZ392" s="225"/>
      <c r="BA392" s="225"/>
      <c r="BB392" s="225"/>
      <c r="BC392" s="56"/>
      <c r="BD392" s="56"/>
      <c r="BE392" s="56"/>
      <c r="BF392" s="107" t="str">
        <f t="shared" si="239"/>
        <v>https://www.google.com/search?tbm=isch&amp;q=3%20G2</v>
      </c>
      <c r="BG392" s="107" t="str">
        <f t="shared" si="240"/>
        <v>B</v>
      </c>
      <c r="BH392" s="254"/>
      <c r="BI392" s="254"/>
    </row>
    <row r="393" spans="1:61" customFormat="1" ht="17.25" thickBot="1" x14ac:dyDescent="0.3">
      <c r="A393" s="524" t="s">
        <v>3171</v>
      </c>
      <c r="B393" s="245"/>
      <c r="C393" s="677"/>
      <c r="D393" s="499"/>
      <c r="E393" s="499"/>
      <c r="F393" s="500"/>
      <c r="G393" s="501"/>
      <c r="H393" s="502"/>
      <c r="I393" s="246"/>
      <c r="J393" s="247"/>
      <c r="K393" s="503"/>
      <c r="L393" s="544"/>
      <c r="M393" s="544"/>
      <c r="N393" s="500"/>
      <c r="O393" s="500"/>
      <c r="P393" s="500"/>
      <c r="Q393" s="500"/>
      <c r="R393" s="500"/>
      <c r="S393" s="669" t="s">
        <v>4980</v>
      </c>
      <c r="T393" s="508">
        <f t="shared" si="228"/>
        <v>0</v>
      </c>
      <c r="U393" s="225" t="str">
        <f>IF(NOT(ISNUMBER(G393)), "", VLOOKUP(A393,'Discount Lookup'!D:E,2,FALSE)*G393)</f>
        <v/>
      </c>
      <c r="V393" s="225" t="str">
        <f>IF(NOT(ISNUMBER(G393)), "", VLOOKUP(A393,'Discount Lookup'!G:H,2,FALSE)*G393)</f>
        <v/>
      </c>
      <c r="W393" s="508">
        <f t="shared" si="229"/>
        <v>0</v>
      </c>
      <c r="X393" s="508">
        <f t="shared" si="230"/>
        <v>0</v>
      </c>
      <c r="Y393" s="509" t="b">
        <f t="shared" si="231"/>
        <v>0</v>
      </c>
      <c r="Z393" s="510">
        <f t="shared" si="232"/>
        <v>0</v>
      </c>
      <c r="AA393" s="511"/>
      <c r="AB393" s="511" t="str">
        <f t="shared" si="233"/>
        <v/>
      </c>
      <c r="AC393" s="698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698"/>
      <c r="AE393" s="631" t="str">
        <f t="shared" si="234"/>
        <v/>
      </c>
      <c r="AF393" s="699" t="str">
        <f t="shared" si="235"/>
        <v/>
      </c>
      <c r="AG393" s="699"/>
      <c r="AH393" s="699"/>
      <c r="AI393" s="512">
        <f>IF(H393="credit",0,IF(AE393="free",0,IF(AE393="me",0,IF(G393&gt;0,(VLOOKUP(A393,'Discount Lookup'!J:K,2)*G393),0))))</f>
        <v>0</v>
      </c>
      <c r="AJ393" s="513" t="str">
        <f t="shared" ca="1" si="236"/>
        <v/>
      </c>
      <c r="AK393" s="700" t="str">
        <f t="shared" si="237"/>
        <v/>
      </c>
      <c r="AL393" s="700"/>
      <c r="AM393" s="505" t="str">
        <f t="shared" si="238"/>
        <v/>
      </c>
      <c r="AN393" s="506"/>
      <c r="AO393" s="507"/>
      <c r="AP393" s="507"/>
      <c r="AQ393" s="507"/>
      <c r="AR393" s="507"/>
      <c r="AS393" s="507"/>
      <c r="AT393" s="507"/>
      <c r="AU393" s="507"/>
      <c r="AV393" s="225"/>
      <c r="AW393" s="508"/>
      <c r="AX393" s="225"/>
      <c r="AY393" s="225"/>
      <c r="AZ393" s="225"/>
      <c r="BA393" s="225"/>
      <c r="BB393" s="225"/>
      <c r="BC393" s="56"/>
      <c r="BD393" s="56"/>
      <c r="BE393" s="56"/>
      <c r="BF393" s="107" t="str">
        <f t="shared" si="239"/>
        <v>https://www.google.com/search?tbm=isch&amp;q=Ballet%20is%20intensely%20fragrant%2C%20one%20of%20the%20strongest%20rebloomers%2C%20with%20flowers%20on%20old%20and%20new%20wood.%20Green%20foliage%20to%20leaf%20drop%20</v>
      </c>
      <c r="BG393" s="107" t="str">
        <f t="shared" si="240"/>
        <v>B</v>
      </c>
      <c r="BH393" s="254"/>
      <c r="BI393" s="254"/>
    </row>
    <row r="394" spans="1:61" customFormat="1" ht="18" x14ac:dyDescent="0.25">
      <c r="A394" s="523" t="s">
        <v>5580</v>
      </c>
      <c r="B394" s="235"/>
      <c r="C394" s="676"/>
      <c r="D394" s="255" t="s">
        <v>846</v>
      </c>
      <c r="E394" s="236"/>
      <c r="F394" s="236"/>
      <c r="G394" s="236"/>
      <c r="H394" s="582" t="s">
        <v>483</v>
      </c>
      <c r="I394" s="498" t="s">
        <v>847</v>
      </c>
      <c r="J394" s="237"/>
      <c r="K394" s="237"/>
      <c r="L394" s="274"/>
      <c r="M394" s="670" t="s">
        <v>4973</v>
      </c>
      <c r="N394" s="681" t="str">
        <f>IF(AND(ISTEXT($A394), ISERROR($A394+0)), HYPERLINK($BF394, "Images"), "")</f>
        <v>Images</v>
      </c>
      <c r="O394" s="663" t="s">
        <v>4974</v>
      </c>
      <c r="P394" s="253"/>
      <c r="Q394" s="238"/>
      <c r="R394" s="239"/>
      <c r="S394" s="275"/>
      <c r="T394" s="508">
        <f t="shared" si="228"/>
        <v>0</v>
      </c>
      <c r="U394" s="225" t="str">
        <f>IF(NOT(ISNUMBER(G394)), "", VLOOKUP(A394,'Discount Lookup'!D:E,2,FALSE)*G394)</f>
        <v/>
      </c>
      <c r="V394" s="225" t="str">
        <f>IF(NOT(ISNUMBER(G394)), "", VLOOKUP(A394,'Discount Lookup'!G:H,2,FALSE)*G394)</f>
        <v/>
      </c>
      <c r="W394" s="508">
        <f t="shared" si="229"/>
        <v>0</v>
      </c>
      <c r="X394" s="508" t="str">
        <f t="shared" si="230"/>
        <v>Blue to Pink bloom</v>
      </c>
      <c r="Y394" s="509" t="b">
        <f t="shared" si="231"/>
        <v>0</v>
      </c>
      <c r="Z394" s="510">
        <f t="shared" si="232"/>
        <v>0</v>
      </c>
      <c r="AA394" s="511"/>
      <c r="AB394" s="511" t="str">
        <f t="shared" si="233"/>
        <v/>
      </c>
      <c r="AC394" s="698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698"/>
      <c r="AE394" s="631" t="str">
        <f t="shared" si="234"/>
        <v/>
      </c>
      <c r="AF394" s="699" t="str">
        <f t="shared" si="235"/>
        <v/>
      </c>
      <c r="AG394" s="699"/>
      <c r="AH394" s="699"/>
      <c r="AI394" s="512">
        <f>IF(H394="credit",0,IF(AE394="free",0,IF(AE394="me",0,IF(G394&gt;0,(VLOOKUP(A394,'Discount Lookup'!J:K,2)*G394),0))))</f>
        <v>0</v>
      </c>
      <c r="AJ394" s="513" t="str">
        <f t="shared" ca="1" si="236"/>
        <v/>
      </c>
      <c r="AK394" s="700" t="str">
        <f t="shared" si="237"/>
        <v/>
      </c>
      <c r="AL394" s="700"/>
      <c r="AM394" s="505" t="str">
        <f t="shared" si="238"/>
        <v/>
      </c>
      <c r="AN394" s="506"/>
      <c r="AO394" s="507"/>
      <c r="AP394" s="507"/>
      <c r="AQ394" s="507"/>
      <c r="AR394" s="507"/>
      <c r="AS394" s="507"/>
      <c r="AT394" s="507"/>
      <c r="AU394" s="507"/>
      <c r="AV394" s="225"/>
      <c r="AW394" s="508"/>
      <c r="AX394" s="225"/>
      <c r="AY394" s="225"/>
      <c r="AZ394" s="225"/>
      <c r="BA394" s="225"/>
      <c r="BB394" s="225"/>
      <c r="BC394" s="56"/>
      <c r="BD394" s="56"/>
      <c r="BE394" s="56"/>
      <c r="BF394" s="107" t="str">
        <f t="shared" si="239"/>
        <v>https://www.google.com/search?tbm=isch&amp;q=Bloomstruck%C2%AE%20Bigleaf%20Hydrangea%20%28ES%C2%AE%29%20Hyd.%20macrophylla%20%27PIIHM-II%27%20PP%2325566</v>
      </c>
      <c r="BG394" s="107" t="str">
        <f t="shared" si="240"/>
        <v>B</v>
      </c>
      <c r="BH394" s="254"/>
      <c r="BI394" s="254"/>
    </row>
    <row r="395" spans="1:61" customFormat="1" ht="15.75" x14ac:dyDescent="0.25">
      <c r="A395" s="276">
        <v>3</v>
      </c>
      <c r="B395" s="240" t="s">
        <v>291</v>
      </c>
      <c r="C395" s="241" t="s">
        <v>4736</v>
      </c>
      <c r="D395" s="242" t="s">
        <v>312</v>
      </c>
      <c r="E395" s="243">
        <v>38.950000000000003</v>
      </c>
      <c r="F395" s="517" t="s">
        <v>293</v>
      </c>
      <c r="G395" s="232">
        <v>0</v>
      </c>
      <c r="H395" s="661" t="str">
        <f>IF(G395=0,"",IF(F395="Buy",IF(G395=1,"plant","plants"),IF(F395&gt;0.01,"warranty","Error")))</f>
        <v/>
      </c>
      <c r="I395" s="244">
        <f>IF(H395="free",0,IF(H395="credit",((E395*(F395))*G395*-1),IF(F395="Buy",(E395*G395),((E395*(1-F395))*G395))))</f>
        <v>0</v>
      </c>
      <c r="J395" s="244">
        <f>IF(H395="warranty",0,(I395*(_xlfn.SINGLE(SalesTaxPercentage))))</f>
        <v>0</v>
      </c>
      <c r="K395" s="696">
        <f t="shared" ref="K395" si="269">I395+J395</f>
        <v>0</v>
      </c>
      <c r="L395" s="696"/>
      <c r="M395" s="659" t="str">
        <f>IF(AND(G395&gt;0,E395=0),"WARNING - no PRICE inserted",IF(H395="free"," FREE ~ no charge this plant",IF(H395="credit",CONCATENATE(" -$",ROUND(K395*(1-T2GDiscount)*-1,2)," CREDIT after discount"),IF(T2GDiscount=0,"",IF(G395=0,"",IF(F395="Buy",CONCATENATE(" $",ROUND(K395*(1-T2GDiscount),2)," with ",(T2GDiscount*100),"% discount"),CONCATENATE(" $",ROUND(K395*(1-T2GDiscount),2)," with ",((T2GDiscount*100+F395*100)-(T2GDiscount*100*F395)),IF(F395&gt;0,"% discounts",IF(NoWarrantyDiscount&gt;0,"% discounts","% discount")))))))))</f>
        <v/>
      </c>
      <c r="N395" s="660"/>
      <c r="O395" s="233"/>
      <c r="P395" s="233"/>
      <c r="Q395" s="233"/>
      <c r="R395" s="233"/>
      <c r="S395" s="233"/>
      <c r="T395" s="508">
        <f t="shared" si="228"/>
        <v>0</v>
      </c>
      <c r="U395" s="225">
        <f>IF(NOT(ISNUMBER(G395)), "", VLOOKUP(A395,'Discount Lookup'!D:E,2,FALSE)*G395)</f>
        <v>0</v>
      </c>
      <c r="V395" s="225">
        <f>IF(NOT(ISNUMBER(G395)), "", VLOOKUP(A395,'Discount Lookup'!G:H,2,FALSE)*G395)</f>
        <v>0</v>
      </c>
      <c r="W395" s="508">
        <f t="shared" si="229"/>
        <v>0</v>
      </c>
      <c r="X395" s="508">
        <f t="shared" si="230"/>
        <v>0</v>
      </c>
      <c r="Y395" s="509" t="b">
        <f t="shared" si="231"/>
        <v>0</v>
      </c>
      <c r="Z395" s="510">
        <f t="shared" si="232"/>
        <v>0</v>
      </c>
      <c r="AA395" s="511"/>
      <c r="AB395" s="511" t="str">
        <f t="shared" si="233"/>
        <v/>
      </c>
      <c r="AC395" s="698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698"/>
      <c r="AE395" s="631" t="str">
        <f t="shared" si="234"/>
        <v/>
      </c>
      <c r="AF395" s="699" t="str">
        <f t="shared" si="235"/>
        <v/>
      </c>
      <c r="AG395" s="699"/>
      <c r="AH395" s="699"/>
      <c r="AI395" s="512">
        <f>IF(H395="credit",0,IF(AE395="free",0,IF(AE395="me",0,IF(G395&gt;0,(VLOOKUP(A395,'Discount Lookup'!J:K,2)*G395),0))))</f>
        <v>0</v>
      </c>
      <c r="AJ395" s="513" t="str">
        <f t="shared" ca="1" si="236"/>
        <v/>
      </c>
      <c r="AK395" s="700" t="str">
        <f t="shared" si="237"/>
        <v/>
      </c>
      <c r="AL395" s="700"/>
      <c r="AM395" s="505" t="str">
        <f t="shared" si="238"/>
        <v/>
      </c>
      <c r="AN395" s="506"/>
      <c r="AO395" s="507"/>
      <c r="AP395" s="507"/>
      <c r="AQ395" s="507"/>
      <c r="AR395" s="507"/>
      <c r="AS395" s="507"/>
      <c r="AT395" s="507"/>
      <c r="AU395" s="507"/>
      <c r="AV395" s="225"/>
      <c r="AW395" s="508"/>
      <c r="AX395" s="225"/>
      <c r="AY395" s="225"/>
      <c r="AZ395" s="225"/>
      <c r="BA395" s="225"/>
      <c r="BB395" s="225"/>
      <c r="BC395" s="56"/>
      <c r="BD395" s="56"/>
      <c r="BE395" s="56"/>
      <c r="BF395" s="107" t="str">
        <f t="shared" si="239"/>
        <v>https://www.google.com/search?tbm=isch&amp;q=3%20G2</v>
      </c>
      <c r="BG395" s="107" t="str">
        <f t="shared" si="240"/>
        <v>B</v>
      </c>
      <c r="BH395" s="254"/>
      <c r="BI395" s="254"/>
    </row>
    <row r="396" spans="1:61" customFormat="1" ht="17.25" thickBot="1" x14ac:dyDescent="0.3">
      <c r="A396" s="673" t="s">
        <v>5059</v>
      </c>
      <c r="B396" s="245"/>
      <c r="C396" s="677"/>
      <c r="D396" s="499"/>
      <c r="E396" s="499"/>
      <c r="F396" s="500"/>
      <c r="G396" s="501"/>
      <c r="H396" s="502"/>
      <c r="I396" s="246"/>
      <c r="J396" s="247"/>
      <c r="K396" s="503"/>
      <c r="L396" s="544"/>
      <c r="M396" s="544"/>
      <c r="N396" s="500"/>
      <c r="O396" s="500"/>
      <c r="P396" s="500"/>
      <c r="Q396" s="500"/>
      <c r="R396" s="500"/>
      <c r="S396" s="278"/>
      <c r="T396" s="508">
        <f t="shared" si="228"/>
        <v>0</v>
      </c>
      <c r="U396" s="225" t="str">
        <f>IF(NOT(ISNUMBER(G396)), "", VLOOKUP(A396,'Discount Lookup'!D:E,2,FALSE)*G396)</f>
        <v/>
      </c>
      <c r="V396" s="225" t="str">
        <f>IF(NOT(ISNUMBER(G396)), "", VLOOKUP(A396,'Discount Lookup'!G:H,2,FALSE)*G396)</f>
        <v/>
      </c>
      <c r="W396" s="508">
        <f t="shared" si="229"/>
        <v>0</v>
      </c>
      <c r="X396" s="508">
        <f t="shared" si="230"/>
        <v>0</v>
      </c>
      <c r="Y396" s="509" t="b">
        <f t="shared" si="231"/>
        <v>0</v>
      </c>
      <c r="Z396" s="510">
        <f t="shared" si="232"/>
        <v>0</v>
      </c>
      <c r="AA396" s="511"/>
      <c r="AB396" s="511" t="str">
        <f t="shared" si="233"/>
        <v/>
      </c>
      <c r="AC396" s="698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698"/>
      <c r="AE396" s="631" t="str">
        <f t="shared" si="234"/>
        <v/>
      </c>
      <c r="AF396" s="699" t="str">
        <f t="shared" si="235"/>
        <v/>
      </c>
      <c r="AG396" s="699"/>
      <c r="AH396" s="699"/>
      <c r="AI396" s="512">
        <f>IF(H396="credit",0,IF(AE396="free",0,IF(AE396="me",0,IF(G396&gt;0,(VLOOKUP(A396,'Discount Lookup'!J:K,2)*G396),0))))</f>
        <v>0</v>
      </c>
      <c r="AJ396" s="513" t="str">
        <f t="shared" ca="1" si="236"/>
        <v/>
      </c>
      <c r="AK396" s="700" t="str">
        <f t="shared" si="237"/>
        <v/>
      </c>
      <c r="AL396" s="700"/>
      <c r="AM396" s="505" t="str">
        <f t="shared" si="238"/>
        <v/>
      </c>
      <c r="AN396" s="506"/>
      <c r="AO396" s="507"/>
      <c r="AP396" s="507"/>
      <c r="AQ396" s="507"/>
      <c r="AR396" s="507"/>
      <c r="AS396" s="507"/>
      <c r="AT396" s="507"/>
      <c r="AU396" s="507"/>
      <c r="AV396" s="225"/>
      <c r="AW396" s="508"/>
      <c r="AX396" s="225"/>
      <c r="AY396" s="225"/>
      <c r="AZ396" s="225"/>
      <c r="BA396" s="225"/>
      <c r="BB396" s="225"/>
      <c r="BC396" s="56"/>
      <c r="BD396" s="56"/>
      <c r="BE396" s="56"/>
      <c r="BF396" s="107" t="str">
        <f t="shared" si="239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396" s="107" t="str">
        <f t="shared" si="240"/>
        <v>m</v>
      </c>
      <c r="BH396" s="254"/>
      <c r="BI396" s="254"/>
    </row>
    <row r="397" spans="1:61" customFormat="1" ht="18" x14ac:dyDescent="0.25">
      <c r="A397" s="523" t="s">
        <v>635</v>
      </c>
      <c r="B397" s="235"/>
      <c r="C397" s="676"/>
      <c r="D397" s="255" t="s">
        <v>634</v>
      </c>
      <c r="E397" s="236"/>
      <c r="F397" s="236"/>
      <c r="G397" s="236"/>
      <c r="H397" s="582" t="s">
        <v>4239</v>
      </c>
      <c r="I397" s="498" t="s">
        <v>1059</v>
      </c>
      <c r="J397" s="237"/>
      <c r="K397" s="237"/>
      <c r="L397" s="274"/>
      <c r="M397" s="670" t="s">
        <v>4987</v>
      </c>
      <c r="N397" s="681" t="str">
        <f>IF(AND(ISTEXT($A397), ISERROR($A397+0)), HYPERLINK($BF397, "Images"), "")</f>
        <v>Images</v>
      </c>
      <c r="O397" s="663" t="s">
        <v>4974</v>
      </c>
      <c r="P397" s="253"/>
      <c r="Q397" s="238"/>
      <c r="R397" s="239"/>
      <c r="S397" s="275"/>
      <c r="T397" s="508">
        <f t="shared" si="228"/>
        <v>0</v>
      </c>
      <c r="U397" s="225" t="str">
        <f>IF(NOT(ISNUMBER(G397)), "", VLOOKUP(A397,'Discount Lookup'!D:E,2,FALSE)*G397)</f>
        <v/>
      </c>
      <c r="V397" s="225" t="str">
        <f>IF(NOT(ISNUMBER(G397)), "", VLOOKUP(A397,'Discount Lookup'!G:H,2,FALSE)*G397)</f>
        <v/>
      </c>
      <c r="W397" s="508">
        <f t="shared" si="229"/>
        <v>0</v>
      </c>
      <c r="X397" s="508" t="str">
        <f t="shared" si="230"/>
        <v>White-Lavender bloom</v>
      </c>
      <c r="Y397" s="509" t="b">
        <f t="shared" si="231"/>
        <v>0</v>
      </c>
      <c r="Z397" s="510">
        <f t="shared" si="232"/>
        <v>0</v>
      </c>
      <c r="AA397" s="511"/>
      <c r="AB397" s="511" t="str">
        <f t="shared" si="233"/>
        <v/>
      </c>
      <c r="AC397" s="698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698"/>
      <c r="AE397" s="631" t="str">
        <f t="shared" si="234"/>
        <v/>
      </c>
      <c r="AF397" s="699" t="str">
        <f t="shared" si="235"/>
        <v/>
      </c>
      <c r="AG397" s="699"/>
      <c r="AH397" s="699"/>
      <c r="AI397" s="512">
        <f>IF(H397="credit",0,IF(AE397="free",0,IF(AE397="me",0,IF(G397&gt;0,(VLOOKUP(A397,'Discount Lookup'!J:K,2)*G397),0))))</f>
        <v>0</v>
      </c>
      <c r="AJ397" s="513" t="str">
        <f t="shared" ca="1" si="236"/>
        <v/>
      </c>
      <c r="AK397" s="700" t="str">
        <f t="shared" si="237"/>
        <v/>
      </c>
      <c r="AL397" s="700"/>
      <c r="AM397" s="505" t="str">
        <f t="shared" si="238"/>
        <v/>
      </c>
      <c r="AN397" s="506"/>
      <c r="AO397" s="507"/>
      <c r="AP397" s="507"/>
      <c r="AQ397" s="507"/>
      <c r="AR397" s="507"/>
      <c r="AS397" s="507"/>
      <c r="AT397" s="507"/>
      <c r="AU397" s="507"/>
      <c r="AV397" s="225"/>
      <c r="AW397" s="508"/>
      <c r="AX397" s="225"/>
      <c r="AY397" s="225"/>
      <c r="AZ397" s="225"/>
      <c r="BA397" s="225"/>
      <c r="BB397" s="225"/>
      <c r="BC397" s="56"/>
      <c r="BD397" s="56"/>
      <c r="BE397" s="56"/>
      <c r="BF397" s="107" t="str">
        <f t="shared" si="239"/>
        <v>https://www.google.com/search?tbm=isch&amp;q=Blue%20Angel%20Hosta%20Hosta%20x%20sieboldiana%20%27Blue%20Angel%27</v>
      </c>
      <c r="BG397" s="107" t="str">
        <f t="shared" si="240"/>
        <v>B</v>
      </c>
      <c r="BH397" s="254"/>
      <c r="BI397" s="254"/>
    </row>
    <row r="398" spans="1:61" customFormat="1" ht="15.75" x14ac:dyDescent="0.25">
      <c r="A398" s="276">
        <v>1</v>
      </c>
      <c r="B398" s="240" t="s">
        <v>291</v>
      </c>
      <c r="C398" s="241"/>
      <c r="D398" s="242" t="s">
        <v>297</v>
      </c>
      <c r="E398" s="243">
        <v>9.9499999999999993</v>
      </c>
      <c r="F398" s="517" t="s">
        <v>293</v>
      </c>
      <c r="G398" s="232">
        <v>0</v>
      </c>
      <c r="H398" s="661" t="str">
        <f>IF(G398=0,"",IF(F398="Buy",IF(G398=1,"plant","plants"),IF(F398&gt;0.01,"warranty","Error")))</f>
        <v/>
      </c>
      <c r="I398" s="244">
        <f>IF(H398="free",0,IF(H398="credit",((E398*(F398))*G398*-1),IF(F398="Buy",(E398*G398),((E398*(1-F398))*G398))))</f>
        <v>0</v>
      </c>
      <c r="J398" s="244">
        <f>IF(H398="warranty",0,(I398*(_xlfn.SINGLE(SalesTaxPercentage))))</f>
        <v>0</v>
      </c>
      <c r="K398" s="696">
        <f t="shared" ref="K398" si="270">I398+J398</f>
        <v>0</v>
      </c>
      <c r="L398" s="696"/>
      <c r="M398" s="659" t="str">
        <f>IF(AND(G398&gt;0,E398=0),"WARNING - no PRICE inserted",IF(H398="free"," FREE ~ no charge this plant",IF(H398="credit",CONCATENATE(" -$",ROUND(K398*(1-T2GDiscount)*-1,2)," CREDIT after discount"),IF(T2GDiscount=0,"",IF(G398=0,"",IF(F398="Buy",CONCATENATE(" $",ROUND(K398*(1-T2GDiscount),2)," with ",(T2GDiscount*100),"% discount"),CONCATENATE(" $",ROUND(K398*(1-T2GDiscount),2)," with ",((T2GDiscount*100+F398*100)-(T2GDiscount*100*F398)),IF(F398&gt;0,"% discounts",IF(NoWarrantyDiscount&gt;0,"% discounts","% discount")))))))))</f>
        <v/>
      </c>
      <c r="N398" s="660"/>
      <c r="O398" s="233"/>
      <c r="P398" s="233"/>
      <c r="Q398" s="233"/>
      <c r="R398" s="233"/>
      <c r="S398" s="233"/>
      <c r="T398" s="508">
        <f t="shared" ref="T398:T461" si="271">E398*G398</f>
        <v>0</v>
      </c>
      <c r="U398" s="225">
        <f>IF(NOT(ISNUMBER(G398)), "", VLOOKUP(A398,'Discount Lookup'!D:E,2,FALSE)*G398)</f>
        <v>0</v>
      </c>
      <c r="V398" s="225">
        <f>IF(NOT(ISNUMBER(G398)), "", VLOOKUP(A398,'Discount Lookup'!G:H,2,FALSE)*G398)</f>
        <v>0</v>
      </c>
      <c r="W398" s="508">
        <f t="shared" ref="W398:W461" si="272">IF(H398="credit",0,E398*(SalesTaxPercentage)*G398)</f>
        <v>0</v>
      </c>
      <c r="X398" s="508">
        <f t="shared" ref="X398:X461" si="273">I398</f>
        <v>0</v>
      </c>
      <c r="Y398" s="509" t="b">
        <f t="shared" ref="Y398:Y461" si="274">IF(AE398="T2G",0,IF(H398="credit",0,IF(G398&gt;0,IF(AE398="me","",G398))))</f>
        <v>0</v>
      </c>
      <c r="Z398" s="510">
        <f t="shared" ref="Z398:Z461" si="275">IF(H398="credit",G398,0)</f>
        <v>0</v>
      </c>
      <c r="AA398" s="511"/>
      <c r="AB398" s="511" t="str">
        <f t="shared" ref="AB398:AB461" si="276">IF(AE398="T2G","by Trees2Go",IF(H398="credit","CREDIT only ~",IF(AND(K398="",AE398=OR(PlanterYesMe="No",PlanterYesMe="N",PlanterYesMe="me")),"not THIS line⇨",IF(AND(K398="images",AE398="me"),"not THIS line⇨",IF(H398="credit","",IF(G398=0,"",IF(AE398="me","",IF(OR(PlanterYesMe="No",PlanterYesMe="N",PlanterYesMe="me"),"",IF(AE398="free","warranty",IF(OR(PlanterYesMe="yes",PlanterYesMe="y"),"Edison install:","to install:"))))))))))</f>
        <v/>
      </c>
      <c r="AC398" s="698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698"/>
      <c r="AE398" s="631" t="str">
        <f t="shared" ref="AE398:AE461" si="277">IF(H398="credit","",IF(G398=0,"",IF(OR(PlanterYesMe="No",PlanterYesMe="N",PlanterYesMe="me"),"me",IF(H398="warranty","free",IF(OR(PlanterYesMe="yes",PlanterYesMe="y"),"ELP","")))))</f>
        <v/>
      </c>
      <c r="AF398" s="699" t="str">
        <f t="shared" ref="AF398:AF461" si="278">IF(OR(PlanterYesMe="No",PlanterYesMe="N",PlanterYesMe="me"),"",IF(H398="credit","",IF(G398&gt;0,(CONCATENATE((G398)," quantity, ",(A398)," ",B398)),"")))</f>
        <v/>
      </c>
      <c r="AG398" s="699"/>
      <c r="AH398" s="699"/>
      <c r="AI398" s="512">
        <f>IF(H398="credit",0,IF(AE398="free",0,IF(AE398="me",0,IF(G398&gt;0,(VLOOKUP(A398,'Discount Lookup'!J:K,2)*G398),0))))</f>
        <v>0</v>
      </c>
      <c r="AJ398" s="513" t="str">
        <f t="shared" ref="AJ398:AJ461" ca="1" si="279">IF(AND(ISREF(H398),H398="credit"),"",IF(AND(AND(OFFSET(G398,0,0)=0,OFFSET(G398,1,0)&gt;0,ISNUMBER(OFFSET(AC398,1,0)),OFFSET(AC398,1,0)&gt;0),OR(PlanterYesMe="yes",PlanterYesMe="y")),"T2G+ELP=",IF(AND(OFFSET(G398,0,0)=0,OFFSET(G398,1,0)&gt;0,ISNUMBER(OFFSET(AC398,1,0)),OFFSET(AC398,1,0)&gt;0),"if T2G+ELP=",IF(AND(OFFSET(G398,0,0)=0,OFFSET(G398,1,0)&gt;0),"T2G Subtotal",IF(H398="credit","",IF(G398=0,"",IF(AE398="free",(K398*(1-T2GDiscount)),IF(OR(PlanterYesMe="No",PlanterYesMe="N",PlanterYesMe="me"),(K398*(1-T2GDiscount)),IF(OR(AE398="me",AE398="T2G"),(K398*(1-T2GDiscount)),(K398*(1-T2GDiscount))+AC398)))))))))</f>
        <v/>
      </c>
      <c r="AK398" s="700" t="str">
        <f t="shared" ref="AK398:AK461" si="280">IF(H398="credit","",IF(G398=0,"",IF(OR(AE398="me",AE398="T2G"),"  delivery-only",IF(OR(PlanterYesMe="No",PlanterYesMe="N",PlanterYesMe="me"),"  delivery-only",CONCATENATE(" $",ROUND(AJ398/G398,2)," each")))))</f>
        <v/>
      </c>
      <c r="AL398" s="700"/>
      <c r="AM398" s="505" t="str">
        <f t="shared" ref="AM398:AM461" si="281">IF(H398="credit","",IF(AE398="free","      ~ discounts included, no tax or planting fee applies ~",IF(G398=0,"",IF(OR(PlanterYesMe="No",PlanterYesMe="N",PlanterYesMe="me"),CONCATENATE(" $",ROUND(AJ398/G398,2)," per plant, with tax &amp; discount"),IF(OR(AE398="me",AE398="T2G"),CONCATENATE(" $",ROUND(AJ398/G398,2)," per plant, with tax &amp; discount"),CONCATENATE("= $",ROUND((K398*(1-T2GDiscount))/G398,2)," per plant + $",AC398/G398,(" per planting      ~ includes tax &amp; discounts ~")))))))</f>
        <v/>
      </c>
      <c r="AN398" s="506"/>
      <c r="AO398" s="507"/>
      <c r="AP398" s="507"/>
      <c r="AQ398" s="507"/>
      <c r="AR398" s="507"/>
      <c r="AS398" s="507"/>
      <c r="AT398" s="507"/>
      <c r="AU398" s="507"/>
      <c r="AV398" s="225"/>
      <c r="AW398" s="508"/>
      <c r="AX398" s="225"/>
      <c r="AY398" s="225"/>
      <c r="AZ398" s="225"/>
      <c r="BA398" s="225"/>
      <c r="BB398" s="225"/>
      <c r="BC398" s="56"/>
      <c r="BD398" s="56"/>
      <c r="BE398" s="56"/>
      <c r="BF398" s="107" t="str">
        <f t="shared" ref="BF398:BF461" si="282">"https://www.google.com/search?tbm=isch&amp;q=" &amp; _xlfn.ENCODEURL($A398 &amp; " " &amp; $D398)</f>
        <v>https://www.google.com/search?tbm=isch&amp;q=1%20G3</v>
      </c>
      <c r="BG398" s="107" t="str">
        <f t="shared" ref="BG398:BG461" si="283">IF(ISTEXT(A398),LEFT(A398,1),BG397)</f>
        <v>B</v>
      </c>
      <c r="BH398" s="254"/>
      <c r="BI398" s="254"/>
    </row>
    <row r="399" spans="1:61" customFormat="1" ht="17.25" thickBot="1" x14ac:dyDescent="0.3">
      <c r="A399" s="673" t="s">
        <v>5060</v>
      </c>
      <c r="B399" s="245"/>
      <c r="C399" s="677"/>
      <c r="D399" s="499"/>
      <c r="E399" s="499"/>
      <c r="F399" s="500"/>
      <c r="G399" s="501"/>
      <c r="H399" s="502"/>
      <c r="I399" s="246"/>
      <c r="J399" s="247"/>
      <c r="K399" s="503"/>
      <c r="L399" s="544"/>
      <c r="M399" s="544"/>
      <c r="N399" s="500"/>
      <c r="O399" s="500"/>
      <c r="P399" s="500"/>
      <c r="Q399" s="500"/>
      <c r="R399" s="500"/>
      <c r="S399" s="669" t="s">
        <v>4977</v>
      </c>
      <c r="T399" s="508">
        <f t="shared" si="271"/>
        <v>0</v>
      </c>
      <c r="U399" s="225" t="str">
        <f>IF(NOT(ISNUMBER(G399)), "", VLOOKUP(A399,'Discount Lookup'!D:E,2,FALSE)*G399)</f>
        <v/>
      </c>
      <c r="V399" s="225" t="str">
        <f>IF(NOT(ISNUMBER(G399)), "", VLOOKUP(A399,'Discount Lookup'!G:H,2,FALSE)*G399)</f>
        <v/>
      </c>
      <c r="W399" s="508">
        <f t="shared" si="272"/>
        <v>0</v>
      </c>
      <c r="X399" s="508">
        <f t="shared" si="273"/>
        <v>0</v>
      </c>
      <c r="Y399" s="509" t="b">
        <f t="shared" si="274"/>
        <v>0</v>
      </c>
      <c r="Z399" s="510">
        <f t="shared" si="275"/>
        <v>0</v>
      </c>
      <c r="AA399" s="511"/>
      <c r="AB399" s="511" t="str">
        <f t="shared" si="276"/>
        <v/>
      </c>
      <c r="AC399" s="698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698"/>
      <c r="AE399" s="631" t="str">
        <f t="shared" si="277"/>
        <v/>
      </c>
      <c r="AF399" s="699" t="str">
        <f t="shared" si="278"/>
        <v/>
      </c>
      <c r="AG399" s="699"/>
      <c r="AH399" s="699"/>
      <c r="AI399" s="512">
        <f>IF(H399="credit",0,IF(AE399="free",0,IF(AE399="me",0,IF(G399&gt;0,(VLOOKUP(A399,'Discount Lookup'!J:K,2)*G399),0))))</f>
        <v>0</v>
      </c>
      <c r="AJ399" s="513" t="str">
        <f t="shared" ca="1" si="279"/>
        <v/>
      </c>
      <c r="AK399" s="700" t="str">
        <f t="shared" si="280"/>
        <v/>
      </c>
      <c r="AL399" s="700"/>
      <c r="AM399" s="505" t="str">
        <f t="shared" si="281"/>
        <v/>
      </c>
      <c r="AN399" s="506"/>
      <c r="AO399" s="507"/>
      <c r="AP399" s="507"/>
      <c r="AQ399" s="507"/>
      <c r="AR399" s="507"/>
      <c r="AS399" s="507"/>
      <c r="AT399" s="507"/>
      <c r="AU399" s="507"/>
      <c r="AV399" s="225"/>
      <c r="AW399" s="508"/>
      <c r="AX399" s="225"/>
      <c r="AY399" s="225"/>
      <c r="AZ399" s="225"/>
      <c r="BA399" s="225"/>
      <c r="BB399" s="225"/>
      <c r="BC399" s="56"/>
      <c r="BD399" s="56"/>
      <c r="BE399" s="56"/>
      <c r="BF399" s="107" t="str">
        <f t="shared" si="282"/>
        <v>https://www.google.com/search?tbm=isch&amp;q=moist%20sites%F0%9F%92%A7OK%2C%20Blue%20Angel%20known%20for%20its%20immense%20size%20and%20large%2C%20deeply%20veined%2C%20powdery%20Blue-Green%20leaves%20</v>
      </c>
      <c r="BG399" s="107" t="str">
        <f t="shared" si="283"/>
        <v>m</v>
      </c>
      <c r="BH399" s="254"/>
      <c r="BI399" s="254"/>
    </row>
    <row r="400" spans="1:61" customFormat="1" ht="18" x14ac:dyDescent="0.25">
      <c r="A400" s="521" t="s">
        <v>295</v>
      </c>
      <c r="B400" s="477"/>
      <c r="C400" s="674"/>
      <c r="D400" s="478" t="s">
        <v>294</v>
      </c>
      <c r="E400" s="479"/>
      <c r="F400" s="479"/>
      <c r="G400" s="479"/>
      <c r="H400" s="582" t="s">
        <v>296</v>
      </c>
      <c r="I400" s="480" t="s">
        <v>2501</v>
      </c>
      <c r="J400" s="479"/>
      <c r="K400" s="479"/>
      <c r="L400" s="560"/>
      <c r="M400" s="666" t="s">
        <v>4963</v>
      </c>
      <c r="N400" s="680" t="str">
        <f>IF(AND(ISTEXT($A400), ISERROR($A400+0)), HYPERLINK($BF400, "Images"), "")</f>
        <v>Images</v>
      </c>
      <c r="O400" s="662" t="s">
        <v>4974</v>
      </c>
      <c r="P400" s="482"/>
      <c r="Q400" s="483"/>
      <c r="R400" s="483"/>
      <c r="S400" s="484"/>
      <c r="T400" s="508">
        <f t="shared" si="271"/>
        <v>0</v>
      </c>
      <c r="U400" s="225" t="str">
        <f>IF(NOT(ISNUMBER(G400)), "", VLOOKUP(A400,'Discount Lookup'!D:E,2,FALSE)*G400)</f>
        <v/>
      </c>
      <c r="V400" s="225" t="str">
        <f>IF(NOT(ISNUMBER(G400)), "", VLOOKUP(A400,'Discount Lookup'!G:H,2,FALSE)*G400)</f>
        <v/>
      </c>
      <c r="W400" s="508">
        <f t="shared" si="272"/>
        <v>0</v>
      </c>
      <c r="X400" s="508" t="str">
        <f t="shared" si="273"/>
        <v>Silvery-Blue-Green needles</v>
      </c>
      <c r="Y400" s="509" t="b">
        <f t="shared" si="274"/>
        <v>0</v>
      </c>
      <c r="Z400" s="510">
        <f t="shared" si="275"/>
        <v>0</v>
      </c>
      <c r="AA400" s="511"/>
      <c r="AB400" s="511" t="str">
        <f t="shared" si="276"/>
        <v/>
      </c>
      <c r="AC400" s="698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698"/>
      <c r="AE400" s="631" t="str">
        <f t="shared" si="277"/>
        <v/>
      </c>
      <c r="AF400" s="699" t="str">
        <f t="shared" si="278"/>
        <v/>
      </c>
      <c r="AG400" s="699"/>
      <c r="AH400" s="699"/>
      <c r="AI400" s="512">
        <f>IF(H400="credit",0,IF(AE400="free",0,IF(AE400="me",0,IF(G400&gt;0,(VLOOKUP(A400,'Discount Lookup'!J:K,2)*G400),0))))</f>
        <v>0</v>
      </c>
      <c r="AJ400" s="513" t="str">
        <f t="shared" ca="1" si="279"/>
        <v/>
      </c>
      <c r="AK400" s="700" t="str">
        <f t="shared" si="280"/>
        <v/>
      </c>
      <c r="AL400" s="700"/>
      <c r="AM400" s="505" t="str">
        <f t="shared" si="281"/>
        <v/>
      </c>
      <c r="AN400" s="506"/>
      <c r="AO400" s="507"/>
      <c r="AP400" s="507"/>
      <c r="AQ400" s="507"/>
      <c r="AR400" s="507"/>
      <c r="AS400" s="507"/>
      <c r="AT400" s="507"/>
      <c r="AU400" s="507"/>
      <c r="AV400" s="225"/>
      <c r="AW400" s="508"/>
      <c r="AX400" s="225"/>
      <c r="AY400" s="225"/>
      <c r="AZ400" s="225"/>
      <c r="BA400" s="225"/>
      <c r="BB400" s="225"/>
      <c r="BC400" s="56"/>
      <c r="BD400" s="56"/>
      <c r="BE400" s="56"/>
      <c r="BF400" s="107" t="str">
        <f t="shared" si="282"/>
        <v>https://www.google.com/search?tbm=isch&amp;q=Blue%20Atlas%20Cedar%20Cedrus%20atlantica%20%27Glauca%27</v>
      </c>
      <c r="BG400" s="107" t="str">
        <f t="shared" si="283"/>
        <v>B</v>
      </c>
      <c r="BH400" s="254"/>
      <c r="BI400" s="254"/>
    </row>
    <row r="401" spans="1:61" customFormat="1" ht="15.75" x14ac:dyDescent="0.25">
      <c r="A401" s="485">
        <v>7</v>
      </c>
      <c r="B401" s="486" t="s">
        <v>291</v>
      </c>
      <c r="C401" s="487" t="s">
        <v>3338</v>
      </c>
      <c r="D401" s="488" t="s">
        <v>292</v>
      </c>
      <c r="E401" s="489">
        <v>210.95</v>
      </c>
      <c r="F401" s="516" t="s">
        <v>293</v>
      </c>
      <c r="G401" s="232">
        <v>0</v>
      </c>
      <c r="H401" s="658" t="str">
        <f>IF(G401=0,"",IF(F401="Buy",IF(G401=1,"plant","plants"),IF(F401&gt;0.01,"warranty","Error")))</f>
        <v/>
      </c>
      <c r="I401" s="490">
        <f>IF(H401="free",0,IF(H401="credit",((E401*(F401))*G401*-1),IF(F401="Buy",(E401*G401),((E401*(1-F401))*G401))))</f>
        <v>0</v>
      </c>
      <c r="J401" s="490">
        <f>IF(H401="warranty",0,(I401*(_xlfn.SINGLE(SalesTaxPercentage))))</f>
        <v>0</v>
      </c>
      <c r="K401" s="695">
        <f t="shared" ref="K401" si="284">I401+J401</f>
        <v>0</v>
      </c>
      <c r="L401" s="695"/>
      <c r="M401" s="659" t="str">
        <f>IF(AND(G401&gt;0,E401=0),"WARNING - no PRICE inserted",IF(H401="free"," FREE ~ no charge this plant",IF(H401="credit",CONCATENATE(" -$",ROUND(K401*(1-T2GDiscount)*-1,2)," CREDIT after discount"),IF(T2GDiscount=0,"",IF(G401=0,"",IF(F401="Buy",CONCATENATE(" $",ROUND(K401*(1-T2GDiscount),2)," with ",(T2GDiscount*100),"% discount"),CONCATENATE(" $",ROUND(K401*(1-T2GDiscount),2)," with ",((T2GDiscount*100+F401*100)-(T2GDiscount*100*F401)),IF(F401&gt;0,"% discounts",IF(NoWarrantyDiscount&gt;0,"% discounts","% discount")))))))))</f>
        <v/>
      </c>
      <c r="N401" s="660"/>
      <c r="O401" s="233"/>
      <c r="P401" s="233"/>
      <c r="Q401" s="233"/>
      <c r="R401" s="233"/>
      <c r="S401" s="233"/>
      <c r="T401" s="508">
        <f t="shared" si="271"/>
        <v>0</v>
      </c>
      <c r="U401" s="225">
        <f>IF(NOT(ISNUMBER(G401)), "", VLOOKUP(A401,'Discount Lookup'!D:E,2,FALSE)*G401)</f>
        <v>0</v>
      </c>
      <c r="V401" s="225">
        <f>IF(NOT(ISNUMBER(G401)), "", VLOOKUP(A401,'Discount Lookup'!G:H,2,FALSE)*G401)</f>
        <v>0</v>
      </c>
      <c r="W401" s="508">
        <f t="shared" si="272"/>
        <v>0</v>
      </c>
      <c r="X401" s="508">
        <f t="shared" si="273"/>
        <v>0</v>
      </c>
      <c r="Y401" s="509" t="b">
        <f t="shared" si="274"/>
        <v>0</v>
      </c>
      <c r="Z401" s="510">
        <f t="shared" si="275"/>
        <v>0</v>
      </c>
      <c r="AA401" s="511"/>
      <c r="AB401" s="511" t="str">
        <f t="shared" si="276"/>
        <v/>
      </c>
      <c r="AC401" s="698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698"/>
      <c r="AE401" s="631" t="str">
        <f t="shared" si="277"/>
        <v/>
      </c>
      <c r="AF401" s="699" t="str">
        <f t="shared" si="278"/>
        <v/>
      </c>
      <c r="AG401" s="699"/>
      <c r="AH401" s="699"/>
      <c r="AI401" s="512">
        <f>IF(H401="credit",0,IF(AE401="free",0,IF(AE401="me",0,IF(G401&gt;0,(VLOOKUP(A401,'Discount Lookup'!J:K,2)*G401),0))))</f>
        <v>0</v>
      </c>
      <c r="AJ401" s="513" t="str">
        <f t="shared" ca="1" si="279"/>
        <v/>
      </c>
      <c r="AK401" s="700" t="str">
        <f t="shared" si="280"/>
        <v/>
      </c>
      <c r="AL401" s="700"/>
      <c r="AM401" s="505" t="str">
        <f t="shared" si="281"/>
        <v/>
      </c>
      <c r="AN401" s="506"/>
      <c r="AO401" s="507"/>
      <c r="AP401" s="507"/>
      <c r="AQ401" s="507"/>
      <c r="AR401" s="507"/>
      <c r="AS401" s="507"/>
      <c r="AT401" s="507"/>
      <c r="AU401" s="507"/>
      <c r="AV401" s="225"/>
      <c r="AW401" s="508"/>
      <c r="AX401" s="225"/>
      <c r="AY401" s="225"/>
      <c r="AZ401" s="225"/>
      <c r="BA401" s="225"/>
      <c r="BB401" s="225"/>
      <c r="BC401" s="56"/>
      <c r="BD401" s="56"/>
      <c r="BE401" s="56"/>
      <c r="BF401" s="107" t="str">
        <f t="shared" si="282"/>
        <v>https://www.google.com/search?tbm=isch&amp;q=7%20G4</v>
      </c>
      <c r="BG401" s="107" t="str">
        <f t="shared" si="283"/>
        <v>B</v>
      </c>
      <c r="BH401" s="254"/>
      <c r="BI401" s="254"/>
    </row>
    <row r="402" spans="1:61" customFormat="1" ht="27" x14ac:dyDescent="0.25">
      <c r="A402" s="485">
        <v>15</v>
      </c>
      <c r="B402" s="486" t="s">
        <v>291</v>
      </c>
      <c r="C402" s="487" t="s">
        <v>3339</v>
      </c>
      <c r="D402" s="488" t="s">
        <v>292</v>
      </c>
      <c r="E402" s="489">
        <v>332.95</v>
      </c>
      <c r="F402" s="516" t="s">
        <v>293</v>
      </c>
      <c r="G402" s="232">
        <v>0</v>
      </c>
      <c r="H402" s="658" t="str">
        <f>IF(G402=0,"",IF(F402="Buy",IF(G402=1,"plant","plants"),IF(F402&gt;0.01,"warranty","Error")))</f>
        <v/>
      </c>
      <c r="I402" s="490">
        <f>IF(H402="free",0,IF(H402="credit",((E402*(F402))*G402*-1),IF(F402="Buy",(E402*G402),((E402*(1-F402))*G402))))</f>
        <v>0</v>
      </c>
      <c r="J402" s="490">
        <f>IF(H402="warranty",0,(I402*(_xlfn.SINGLE(SalesTaxPercentage))))</f>
        <v>0</v>
      </c>
      <c r="K402" s="695">
        <f t="shared" ref="K402" si="285">I402+J402</f>
        <v>0</v>
      </c>
      <c r="L402" s="695"/>
      <c r="M402" s="659" t="str">
        <f>IF(AND(G402&gt;0,E402=0),"WARNING - no PRICE inserted",IF(H402="free"," FREE ~ no charge this plant",IF(H402="credit",CONCATENATE(" -$",ROUND(K402*(1-T2GDiscount)*-1,2)," CREDIT after discount"),IF(T2GDiscount=0,"",IF(G402=0,"",IF(F402="Buy",CONCATENATE(" $",ROUND(K402*(1-T2GDiscount),2)," with ",(T2GDiscount*100),"% discount"),CONCATENATE(" $",ROUND(K402*(1-T2GDiscount),2)," with ",((T2GDiscount*100+F402*100)-(T2GDiscount*100*F402)),IF(F402&gt;0,"% discounts",IF(NoWarrantyDiscount&gt;0,"% discounts","% discount")))))))))</f>
        <v/>
      </c>
      <c r="N402" s="660"/>
      <c r="O402" s="233"/>
      <c r="P402" s="233"/>
      <c r="Q402" s="233"/>
      <c r="R402" s="233"/>
      <c r="S402" s="233"/>
      <c r="T402" s="508">
        <f t="shared" si="271"/>
        <v>0</v>
      </c>
      <c r="U402" s="225">
        <f>IF(NOT(ISNUMBER(G402)), "", VLOOKUP(A402,'Discount Lookup'!D:E,2,FALSE)*G402)</f>
        <v>0</v>
      </c>
      <c r="V402" s="225">
        <f>IF(NOT(ISNUMBER(G402)), "", VLOOKUP(A402,'Discount Lookup'!G:H,2,FALSE)*G402)</f>
        <v>0</v>
      </c>
      <c r="W402" s="508">
        <f t="shared" si="272"/>
        <v>0</v>
      </c>
      <c r="X402" s="508">
        <f t="shared" si="273"/>
        <v>0</v>
      </c>
      <c r="Y402" s="509" t="b">
        <f t="shared" si="274"/>
        <v>0</v>
      </c>
      <c r="Z402" s="510">
        <f t="shared" si="275"/>
        <v>0</v>
      </c>
      <c r="AA402" s="511"/>
      <c r="AB402" s="511" t="str">
        <f t="shared" si="276"/>
        <v/>
      </c>
      <c r="AC402" s="698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698"/>
      <c r="AE402" s="631" t="str">
        <f t="shared" si="277"/>
        <v/>
      </c>
      <c r="AF402" s="699" t="str">
        <f t="shared" si="278"/>
        <v/>
      </c>
      <c r="AG402" s="699"/>
      <c r="AH402" s="699"/>
      <c r="AI402" s="512">
        <f>IF(H402="credit",0,IF(AE402="free",0,IF(AE402="me",0,IF(G402&gt;0,(VLOOKUP(A402,'Discount Lookup'!J:K,2)*G402),0))))</f>
        <v>0</v>
      </c>
      <c r="AJ402" s="513" t="str">
        <f t="shared" ca="1" si="279"/>
        <v/>
      </c>
      <c r="AK402" s="700" t="str">
        <f t="shared" si="280"/>
        <v/>
      </c>
      <c r="AL402" s="700"/>
      <c r="AM402" s="505" t="str">
        <f t="shared" si="281"/>
        <v/>
      </c>
      <c r="AN402" s="506"/>
      <c r="AO402" s="507"/>
      <c r="AP402" s="507"/>
      <c r="AQ402" s="507"/>
      <c r="AR402" s="507"/>
      <c r="AS402" s="507"/>
      <c r="AT402" s="507"/>
      <c r="AU402" s="507"/>
      <c r="AV402" s="225"/>
      <c r="AW402" s="508"/>
      <c r="AX402" s="225"/>
      <c r="AY402" s="225"/>
      <c r="AZ402" s="225"/>
      <c r="BA402" s="225"/>
      <c r="BB402" s="225"/>
      <c r="BC402" s="56"/>
      <c r="BD402" s="56"/>
      <c r="BE402" s="56"/>
      <c r="BF402" s="107" t="str">
        <f t="shared" si="282"/>
        <v>https://www.google.com/search?tbm=isch&amp;q=15%20G4</v>
      </c>
      <c r="BG402" s="107" t="str">
        <f t="shared" si="283"/>
        <v>B</v>
      </c>
      <c r="BH402" s="254"/>
      <c r="BI402" s="254"/>
    </row>
    <row r="403" spans="1:61" customFormat="1" ht="15.75" x14ac:dyDescent="0.25">
      <c r="A403" s="485">
        <v>25</v>
      </c>
      <c r="B403" s="486" t="s">
        <v>291</v>
      </c>
      <c r="C403" s="487" t="s">
        <v>3340</v>
      </c>
      <c r="D403" s="488" t="s">
        <v>292</v>
      </c>
      <c r="E403" s="489">
        <v>575.95000000000005</v>
      </c>
      <c r="F403" s="516" t="s">
        <v>293</v>
      </c>
      <c r="G403" s="232">
        <v>0</v>
      </c>
      <c r="H403" s="658" t="str">
        <f>IF(G403=0,"",IF(F403="Buy",IF(G403=1,"plant","plants"),IF(F403&gt;0.01,"warranty","Error")))</f>
        <v/>
      </c>
      <c r="I403" s="490">
        <f>IF(H403="free",0,IF(H403="credit",((E403*(F403))*G403*-1),IF(F403="Buy",(E403*G403),((E403*(1-F403))*G403))))</f>
        <v>0</v>
      </c>
      <c r="J403" s="490">
        <f>IF(H403="warranty",0,(I403*(_xlfn.SINGLE(SalesTaxPercentage))))</f>
        <v>0</v>
      </c>
      <c r="K403" s="695">
        <f t="shared" ref="K403" si="286">I403+J403</f>
        <v>0</v>
      </c>
      <c r="L403" s="695"/>
      <c r="M403" s="659" t="str">
        <f>IF(AND(G403&gt;0,E403=0),"WARNING - no PRICE inserted",IF(H403="free"," FREE ~ no charge this plant",IF(H403="credit",CONCATENATE(" -$",ROUND(K403*(1-T2GDiscount)*-1,2)," CREDIT after discount"),IF(T2GDiscount=0,"",IF(G403=0,"",IF(F403="Buy",CONCATENATE(" $",ROUND(K403*(1-T2GDiscount),2)," with ",(T2GDiscount*100),"% discount"),CONCATENATE(" $",ROUND(K403*(1-T2GDiscount),2)," with ",((T2GDiscount*100+F403*100)-(T2GDiscount*100*F403)),IF(F403&gt;0,"% discounts",IF(NoWarrantyDiscount&gt;0,"% discounts","% discount")))))))))</f>
        <v/>
      </c>
      <c r="N403" s="660"/>
      <c r="O403" s="233"/>
      <c r="P403" s="233"/>
      <c r="Q403" s="233"/>
      <c r="R403" s="233"/>
      <c r="S403" s="233"/>
      <c r="T403" s="508">
        <f t="shared" si="271"/>
        <v>0</v>
      </c>
      <c r="U403" s="225">
        <f>IF(NOT(ISNUMBER(G403)), "", VLOOKUP(A403,'Discount Lookup'!D:E,2,FALSE)*G403)</f>
        <v>0</v>
      </c>
      <c r="V403" s="225">
        <f>IF(NOT(ISNUMBER(G403)), "", VLOOKUP(A403,'Discount Lookup'!G:H,2,FALSE)*G403)</f>
        <v>0</v>
      </c>
      <c r="W403" s="508">
        <f t="shared" si="272"/>
        <v>0</v>
      </c>
      <c r="X403" s="508">
        <f t="shared" si="273"/>
        <v>0</v>
      </c>
      <c r="Y403" s="509" t="b">
        <f t="shared" si="274"/>
        <v>0</v>
      </c>
      <c r="Z403" s="510">
        <f t="shared" si="275"/>
        <v>0</v>
      </c>
      <c r="AA403" s="511"/>
      <c r="AB403" s="511" t="str">
        <f t="shared" si="276"/>
        <v/>
      </c>
      <c r="AC403" s="698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698"/>
      <c r="AE403" s="631" t="str">
        <f t="shared" si="277"/>
        <v/>
      </c>
      <c r="AF403" s="699" t="str">
        <f t="shared" si="278"/>
        <v/>
      </c>
      <c r="AG403" s="699"/>
      <c r="AH403" s="699"/>
      <c r="AI403" s="512">
        <f>IF(H403="credit",0,IF(AE403="free",0,IF(AE403="me",0,IF(G403&gt;0,(VLOOKUP(A403,'Discount Lookup'!J:K,2)*G403),0))))</f>
        <v>0</v>
      </c>
      <c r="AJ403" s="513" t="str">
        <f t="shared" ca="1" si="279"/>
        <v/>
      </c>
      <c r="AK403" s="700" t="str">
        <f t="shared" si="280"/>
        <v/>
      </c>
      <c r="AL403" s="700"/>
      <c r="AM403" s="505" t="str">
        <f t="shared" si="281"/>
        <v/>
      </c>
      <c r="AN403" s="506"/>
      <c r="AO403" s="507"/>
      <c r="AP403" s="507"/>
      <c r="AQ403" s="507"/>
      <c r="AR403" s="507"/>
      <c r="AS403" s="507"/>
      <c r="AT403" s="507"/>
      <c r="AU403" s="507"/>
      <c r="AV403" s="225"/>
      <c r="AW403" s="508"/>
      <c r="AX403" s="225"/>
      <c r="AY403" s="225"/>
      <c r="AZ403" s="225"/>
      <c r="BA403" s="225"/>
      <c r="BB403" s="225"/>
      <c r="BC403" s="56"/>
      <c r="BD403" s="56"/>
      <c r="BE403" s="56"/>
      <c r="BF403" s="107" t="str">
        <f t="shared" si="282"/>
        <v>https://www.google.com/search?tbm=isch&amp;q=25%20G4</v>
      </c>
      <c r="BG403" s="107" t="str">
        <f t="shared" si="283"/>
        <v>B</v>
      </c>
      <c r="BH403" s="254"/>
      <c r="BI403" s="254"/>
    </row>
    <row r="404" spans="1:61" customFormat="1" ht="17.25" thickBot="1" x14ac:dyDescent="0.3">
      <c r="A404" s="522" t="s">
        <v>2285</v>
      </c>
      <c r="B404" s="491"/>
      <c r="C404" s="675"/>
      <c r="D404" s="491"/>
      <c r="E404" s="491"/>
      <c r="F404" s="492"/>
      <c r="G404" s="493"/>
      <c r="H404" s="491"/>
      <c r="I404" s="234"/>
      <c r="J404" s="234"/>
      <c r="K404" s="494"/>
      <c r="L404" s="543"/>
      <c r="M404" s="561"/>
      <c r="N404" s="495"/>
      <c r="O404" s="496"/>
      <c r="P404" s="497"/>
      <c r="Q404" s="495"/>
      <c r="R404" s="495"/>
      <c r="S404" s="667" t="s">
        <v>4988</v>
      </c>
      <c r="T404" s="508">
        <f t="shared" si="271"/>
        <v>0</v>
      </c>
      <c r="U404" s="225" t="str">
        <f>IF(NOT(ISNUMBER(G404)), "", VLOOKUP(A404,'Discount Lookup'!D:E,2,FALSE)*G404)</f>
        <v/>
      </c>
      <c r="V404" s="225" t="str">
        <f>IF(NOT(ISNUMBER(G404)), "", VLOOKUP(A404,'Discount Lookup'!G:H,2,FALSE)*G404)</f>
        <v/>
      </c>
      <c r="W404" s="508">
        <f t="shared" si="272"/>
        <v>0</v>
      </c>
      <c r="X404" s="508">
        <f t="shared" si="273"/>
        <v>0</v>
      </c>
      <c r="Y404" s="509" t="b">
        <f t="shared" si="274"/>
        <v>0</v>
      </c>
      <c r="Z404" s="510">
        <f t="shared" si="275"/>
        <v>0</v>
      </c>
      <c r="AA404" s="511"/>
      <c r="AB404" s="511" t="str">
        <f t="shared" si="276"/>
        <v/>
      </c>
      <c r="AC404" s="698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698"/>
      <c r="AE404" s="631" t="str">
        <f t="shared" si="277"/>
        <v/>
      </c>
      <c r="AF404" s="699" t="str">
        <f t="shared" si="278"/>
        <v/>
      </c>
      <c r="AG404" s="699"/>
      <c r="AH404" s="699"/>
      <c r="AI404" s="512">
        <f>IF(H404="credit",0,IF(AE404="free",0,IF(AE404="me",0,IF(G404&gt;0,(VLOOKUP(A404,'Discount Lookup'!J:K,2)*G404),0))))</f>
        <v>0</v>
      </c>
      <c r="AJ404" s="513" t="str">
        <f t="shared" ca="1" si="279"/>
        <v/>
      </c>
      <c r="AK404" s="700" t="str">
        <f t="shared" si="280"/>
        <v/>
      </c>
      <c r="AL404" s="700"/>
      <c r="AM404" s="505" t="str">
        <f t="shared" si="281"/>
        <v/>
      </c>
      <c r="AN404" s="506"/>
      <c r="AO404" s="507"/>
      <c r="AP404" s="507"/>
      <c r="AQ404" s="507"/>
      <c r="AR404" s="507"/>
      <c r="AS404" s="507"/>
      <c r="AT404" s="507"/>
      <c r="AU404" s="507"/>
      <c r="AV404" s="225"/>
      <c r="AW404" s="508"/>
      <c r="AX404" s="225"/>
      <c r="AY404" s="225"/>
      <c r="AZ404" s="225"/>
      <c r="BA404" s="225"/>
      <c r="BB404" s="225"/>
      <c r="BC404" s="56"/>
      <c r="BD404" s="56"/>
      <c r="BE404" s="56"/>
      <c r="BF404" s="107" t="str">
        <f t="shared" si="282"/>
        <v>https://www.google.com/search?tbm=isch&amp;q=Blue%20Atlas%20Cedar%20has%20a%20dramatic%20presence.%20Emits%20an%20aromatic%20oil%20that%20is%20a%20natural%20insect%20deterrent%20</v>
      </c>
      <c r="BG404" s="107" t="str">
        <f t="shared" si="283"/>
        <v>B</v>
      </c>
      <c r="BH404" s="254"/>
      <c r="BI404" s="254"/>
    </row>
    <row r="405" spans="1:61" customFormat="1" ht="18" x14ac:dyDescent="0.25">
      <c r="A405" s="523" t="s">
        <v>629</v>
      </c>
      <c r="B405" s="235"/>
      <c r="C405" s="676"/>
      <c r="D405" s="255" t="s">
        <v>628</v>
      </c>
      <c r="E405" s="236"/>
      <c r="F405" s="236"/>
      <c r="G405" s="236"/>
      <c r="H405" s="582" t="s">
        <v>2947</v>
      </c>
      <c r="I405" s="498" t="s">
        <v>662</v>
      </c>
      <c r="J405" s="237"/>
      <c r="K405" s="237"/>
      <c r="L405" s="274"/>
      <c r="M405" s="668" t="s">
        <v>4975</v>
      </c>
      <c r="N405" s="681" t="str">
        <f>IF(AND(ISTEXT($A405), ISERROR($A405+0)), HYPERLINK($BF405, "Images"), "")</f>
        <v>Images</v>
      </c>
      <c r="O405" s="663" t="s">
        <v>4974</v>
      </c>
      <c r="P405" s="253"/>
      <c r="Q405" s="238"/>
      <c r="R405" s="239"/>
      <c r="S405" s="275"/>
      <c r="T405" s="508">
        <f t="shared" si="271"/>
        <v>0</v>
      </c>
      <c r="U405" s="225" t="str">
        <f>IF(NOT(ISNUMBER(G405)), "", VLOOKUP(A405,'Discount Lookup'!D:E,2,FALSE)*G405)</f>
        <v/>
      </c>
      <c r="V405" s="225" t="str">
        <f>IF(NOT(ISNUMBER(G405)), "", VLOOKUP(A405,'Discount Lookup'!G:H,2,FALSE)*G405)</f>
        <v/>
      </c>
      <c r="W405" s="508">
        <f t="shared" si="272"/>
        <v>0</v>
      </c>
      <c r="X405" s="508" t="str">
        <f t="shared" si="273"/>
        <v>Lavender bloom</v>
      </c>
      <c r="Y405" s="509" t="b">
        <f t="shared" si="274"/>
        <v>0</v>
      </c>
      <c r="Z405" s="510">
        <f t="shared" si="275"/>
        <v>0</v>
      </c>
      <c r="AA405" s="511"/>
      <c r="AB405" s="511" t="str">
        <f t="shared" si="276"/>
        <v/>
      </c>
      <c r="AC405" s="698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698"/>
      <c r="AE405" s="631" t="str">
        <f t="shared" si="277"/>
        <v/>
      </c>
      <c r="AF405" s="699" t="str">
        <f t="shared" si="278"/>
        <v/>
      </c>
      <c r="AG405" s="699"/>
      <c r="AH405" s="699"/>
      <c r="AI405" s="512">
        <f>IF(H405="credit",0,IF(AE405="free",0,IF(AE405="me",0,IF(G405&gt;0,(VLOOKUP(A405,'Discount Lookup'!J:K,2)*G405),0))))</f>
        <v>0</v>
      </c>
      <c r="AJ405" s="513" t="str">
        <f t="shared" ca="1" si="279"/>
        <v/>
      </c>
      <c r="AK405" s="700" t="str">
        <f t="shared" si="280"/>
        <v/>
      </c>
      <c r="AL405" s="700"/>
      <c r="AM405" s="505" t="str">
        <f t="shared" si="281"/>
        <v/>
      </c>
      <c r="AN405" s="506"/>
      <c r="AO405" s="507"/>
      <c r="AP405" s="507"/>
      <c r="AQ405" s="507"/>
      <c r="AR405" s="507"/>
      <c r="AS405" s="507"/>
      <c r="AT405" s="507"/>
      <c r="AU405" s="507"/>
      <c r="AV405" s="225"/>
      <c r="AW405" s="508"/>
      <c r="AX405" s="225"/>
      <c r="AY405" s="225"/>
      <c r="AZ405" s="225"/>
      <c r="BA405" s="225"/>
      <c r="BB405" s="225"/>
      <c r="BC405" s="56"/>
      <c r="BD405" s="56"/>
      <c r="BE405" s="56"/>
      <c r="BF405" s="107" t="str">
        <f t="shared" si="282"/>
        <v>https://www.google.com/search?tbm=isch&amp;q=Blue%20Cadet%20Hosta%20Hosta%20%27Blue%20Cadet%27</v>
      </c>
      <c r="BG405" s="107" t="str">
        <f t="shared" si="283"/>
        <v>B</v>
      </c>
      <c r="BH405" s="254"/>
      <c r="BI405" s="254"/>
    </row>
    <row r="406" spans="1:61" customFormat="1" ht="15.75" x14ac:dyDescent="0.25">
      <c r="A406" s="276">
        <v>1</v>
      </c>
      <c r="B406" s="240" t="s">
        <v>291</v>
      </c>
      <c r="C406" s="241" t="s">
        <v>630</v>
      </c>
      <c r="D406" s="242" t="s">
        <v>299</v>
      </c>
      <c r="E406" s="243">
        <v>10.95</v>
      </c>
      <c r="F406" s="517" t="s">
        <v>293</v>
      </c>
      <c r="G406" s="232">
        <v>0</v>
      </c>
      <c r="H406" s="661" t="str">
        <f>IF(G406=0,"",IF(F406="Buy",IF(G406=1,"plant","plants"),IF(F406&gt;0.01,"warranty","Error")))</f>
        <v/>
      </c>
      <c r="I406" s="244">
        <f>IF(H406="free",0,IF(H406="credit",((E406*(F406))*G406*-1),IF(F406="Buy",(E406*G406),((E406*(1-F406))*G406))))</f>
        <v>0</v>
      </c>
      <c r="J406" s="244">
        <f>IF(H406="warranty",0,(I406*(_xlfn.SINGLE(SalesTaxPercentage))))</f>
        <v>0</v>
      </c>
      <c r="K406" s="696">
        <f t="shared" ref="K406" si="287">I406+J406</f>
        <v>0</v>
      </c>
      <c r="L406" s="696"/>
      <c r="M406" s="659" t="str">
        <f>IF(AND(G406&gt;0,E406=0),"WARNING - no PRICE inserted",IF(H406="free"," FREE ~ no charge this plant",IF(H406="credit",CONCATENATE(" -$",ROUND(K406*(1-T2GDiscount)*-1,2)," CREDIT after discount"),IF(T2GDiscount=0,"",IF(G406=0,"",IF(F406="Buy",CONCATENATE(" $",ROUND(K406*(1-T2GDiscount),2)," with ",(T2GDiscount*100),"% discount"),CONCATENATE(" $",ROUND(K406*(1-T2GDiscount),2)," with ",((T2GDiscount*100+F406*100)-(T2GDiscount*100*F406)),IF(F406&gt;0,"% discounts",IF(NoWarrantyDiscount&gt;0,"% discounts","% discount")))))))))</f>
        <v/>
      </c>
      <c r="N406" s="660"/>
      <c r="O406" s="233"/>
      <c r="P406" s="233"/>
      <c r="Q406" s="233"/>
      <c r="R406" s="233"/>
      <c r="S406" s="233"/>
      <c r="T406" s="508">
        <f t="shared" si="271"/>
        <v>0</v>
      </c>
      <c r="U406" s="225">
        <f>IF(NOT(ISNUMBER(G406)), "", VLOOKUP(A406,'Discount Lookup'!D:E,2,FALSE)*G406)</f>
        <v>0</v>
      </c>
      <c r="V406" s="225">
        <f>IF(NOT(ISNUMBER(G406)), "", VLOOKUP(A406,'Discount Lookup'!G:H,2,FALSE)*G406)</f>
        <v>0</v>
      </c>
      <c r="W406" s="508">
        <f t="shared" si="272"/>
        <v>0</v>
      </c>
      <c r="X406" s="508">
        <f t="shared" si="273"/>
        <v>0</v>
      </c>
      <c r="Y406" s="509" t="b">
        <f t="shared" si="274"/>
        <v>0</v>
      </c>
      <c r="Z406" s="510">
        <f t="shared" si="275"/>
        <v>0</v>
      </c>
      <c r="AA406" s="511"/>
      <c r="AB406" s="511" t="str">
        <f t="shared" si="276"/>
        <v/>
      </c>
      <c r="AC406" s="698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698"/>
      <c r="AE406" s="631" t="str">
        <f t="shared" si="277"/>
        <v/>
      </c>
      <c r="AF406" s="699" t="str">
        <f t="shared" si="278"/>
        <v/>
      </c>
      <c r="AG406" s="699"/>
      <c r="AH406" s="699"/>
      <c r="AI406" s="512">
        <f>IF(H406="credit",0,IF(AE406="free",0,IF(AE406="me",0,IF(G406&gt;0,(VLOOKUP(A406,'Discount Lookup'!J:K,2)*G406),0))))</f>
        <v>0</v>
      </c>
      <c r="AJ406" s="513" t="str">
        <f t="shared" ca="1" si="279"/>
        <v/>
      </c>
      <c r="AK406" s="700" t="str">
        <f t="shared" si="280"/>
        <v/>
      </c>
      <c r="AL406" s="700"/>
      <c r="AM406" s="505" t="str">
        <f t="shared" si="281"/>
        <v/>
      </c>
      <c r="AN406" s="506"/>
      <c r="AO406" s="507"/>
      <c r="AP406" s="507"/>
      <c r="AQ406" s="507"/>
      <c r="AR406" s="507"/>
      <c r="AS406" s="507"/>
      <c r="AT406" s="507"/>
      <c r="AU406" s="507"/>
      <c r="AV406" s="225"/>
      <c r="AW406" s="508"/>
      <c r="AX406" s="225"/>
      <c r="AY406" s="225"/>
      <c r="AZ406" s="225"/>
      <c r="BA406" s="225"/>
      <c r="BB406" s="225"/>
      <c r="BC406" s="56"/>
      <c r="BD406" s="56"/>
      <c r="BE406" s="56"/>
      <c r="BF406" s="107" t="str">
        <f t="shared" si="282"/>
        <v>https://www.google.com/search?tbm=isch&amp;q=1%20G5</v>
      </c>
      <c r="BG406" s="107" t="str">
        <f t="shared" si="283"/>
        <v>B</v>
      </c>
      <c r="BH406" s="254"/>
      <c r="BI406" s="254"/>
    </row>
    <row r="407" spans="1:61" customFormat="1" ht="17.25" thickBot="1" x14ac:dyDescent="0.3">
      <c r="A407" s="673" t="s">
        <v>5061</v>
      </c>
      <c r="B407" s="245"/>
      <c r="C407" s="677"/>
      <c r="D407" s="499"/>
      <c r="E407" s="499"/>
      <c r="F407" s="500"/>
      <c r="G407" s="501"/>
      <c r="H407" s="502"/>
      <c r="I407" s="246"/>
      <c r="J407" s="247"/>
      <c r="K407" s="503"/>
      <c r="L407" s="544"/>
      <c r="M407" s="544"/>
      <c r="N407" s="500"/>
      <c r="O407" s="500"/>
      <c r="P407" s="500"/>
      <c r="Q407" s="500"/>
      <c r="R407" s="500"/>
      <c r="S407" s="669" t="s">
        <v>4977</v>
      </c>
      <c r="T407" s="508">
        <f t="shared" si="271"/>
        <v>0</v>
      </c>
      <c r="U407" s="225" t="str">
        <f>IF(NOT(ISNUMBER(G407)), "", VLOOKUP(A407,'Discount Lookup'!D:E,2,FALSE)*G407)</f>
        <v/>
      </c>
      <c r="V407" s="225" t="str">
        <f>IF(NOT(ISNUMBER(G407)), "", VLOOKUP(A407,'Discount Lookup'!G:H,2,FALSE)*G407)</f>
        <v/>
      </c>
      <c r="W407" s="508">
        <f t="shared" si="272"/>
        <v>0</v>
      </c>
      <c r="X407" s="508">
        <f t="shared" si="273"/>
        <v>0</v>
      </c>
      <c r="Y407" s="509" t="b">
        <f t="shared" si="274"/>
        <v>0</v>
      </c>
      <c r="Z407" s="510">
        <f t="shared" si="275"/>
        <v>0</v>
      </c>
      <c r="AA407" s="511"/>
      <c r="AB407" s="511" t="str">
        <f t="shared" si="276"/>
        <v/>
      </c>
      <c r="AC407" s="698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698"/>
      <c r="AE407" s="631" t="str">
        <f t="shared" si="277"/>
        <v/>
      </c>
      <c r="AF407" s="699" t="str">
        <f t="shared" si="278"/>
        <v/>
      </c>
      <c r="AG407" s="699"/>
      <c r="AH407" s="699"/>
      <c r="AI407" s="512">
        <f>IF(H407="credit",0,IF(AE407="free",0,IF(AE407="me",0,IF(G407&gt;0,(VLOOKUP(A407,'Discount Lookup'!J:K,2)*G407),0))))</f>
        <v>0</v>
      </c>
      <c r="AJ407" s="513" t="str">
        <f t="shared" ca="1" si="279"/>
        <v/>
      </c>
      <c r="AK407" s="700" t="str">
        <f t="shared" si="280"/>
        <v/>
      </c>
      <c r="AL407" s="700"/>
      <c r="AM407" s="505" t="str">
        <f t="shared" si="281"/>
        <v/>
      </c>
      <c r="AN407" s="506"/>
      <c r="AO407" s="507"/>
      <c r="AP407" s="507"/>
      <c r="AQ407" s="507"/>
      <c r="AR407" s="507"/>
      <c r="AS407" s="507"/>
      <c r="AT407" s="507"/>
      <c r="AU407" s="507"/>
      <c r="AV407" s="225"/>
      <c r="AW407" s="508"/>
      <c r="AX407" s="225"/>
      <c r="AY407" s="225"/>
      <c r="AZ407" s="225"/>
      <c r="BA407" s="225"/>
      <c r="BB407" s="225"/>
      <c r="BC407" s="56"/>
      <c r="BD407" s="56"/>
      <c r="BE407" s="56"/>
      <c r="BF407" s="107" t="str">
        <f t="shared" si="282"/>
        <v>https://www.google.com/search?tbm=isch&amp;q=moist%20sites%F0%9F%92%A7OK%2C%20Blue%20Cadet%20foliage%20fades%20from%20Blue-Green%20to%20Green%2C%20and%20then%20to%20Yellow%20before%20dormancy%20</v>
      </c>
      <c r="BG407" s="107" t="str">
        <f t="shared" si="283"/>
        <v>m</v>
      </c>
      <c r="BH407" s="254"/>
      <c r="BI407" s="254"/>
    </row>
    <row r="408" spans="1:61" customFormat="1" ht="18" x14ac:dyDescent="0.25">
      <c r="A408" s="521" t="s">
        <v>5581</v>
      </c>
      <c r="B408" s="477"/>
      <c r="C408" s="674"/>
      <c r="D408" s="478" t="s">
        <v>870</v>
      </c>
      <c r="E408" s="479"/>
      <c r="F408" s="479"/>
      <c r="G408" s="479"/>
      <c r="H408" s="582" t="s">
        <v>483</v>
      </c>
      <c r="I408" s="480" t="s">
        <v>2642</v>
      </c>
      <c r="J408" s="479"/>
      <c r="K408" s="479"/>
      <c r="L408" s="560"/>
      <c r="M408" s="666" t="s">
        <v>4966</v>
      </c>
      <c r="N408" s="680" t="str">
        <f>IF(AND(ISTEXT($A408), ISERROR($A408+0)), HYPERLINK($BF408, "Images"), "")</f>
        <v>Images</v>
      </c>
      <c r="O408" s="662" t="s">
        <v>4969</v>
      </c>
      <c r="P408" s="482"/>
      <c r="Q408" s="483"/>
      <c r="R408" s="483"/>
      <c r="S408" s="484"/>
      <c r="T408" s="508">
        <f t="shared" si="271"/>
        <v>0</v>
      </c>
      <c r="U408" s="225" t="str">
        <f>IF(NOT(ISNUMBER(G408)), "", VLOOKUP(A408,'Discount Lookup'!D:E,2,FALSE)*G408)</f>
        <v/>
      </c>
      <c r="V408" s="225" t="str">
        <f>IF(NOT(ISNUMBER(G408)), "", VLOOKUP(A408,'Discount Lookup'!G:H,2,FALSE)*G408)</f>
        <v/>
      </c>
      <c r="W408" s="508">
        <f t="shared" si="272"/>
        <v>0</v>
      </c>
      <c r="X408" s="508" t="str">
        <f t="shared" si="273"/>
        <v>Matte Blue-Green foliage</v>
      </c>
      <c r="Y408" s="509" t="b">
        <f t="shared" si="274"/>
        <v>0</v>
      </c>
      <c r="Z408" s="510">
        <f t="shared" si="275"/>
        <v>0</v>
      </c>
      <c r="AA408" s="511"/>
      <c r="AB408" s="511" t="str">
        <f t="shared" si="276"/>
        <v/>
      </c>
      <c r="AC408" s="698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698"/>
      <c r="AE408" s="631" t="str">
        <f t="shared" si="277"/>
        <v/>
      </c>
      <c r="AF408" s="699" t="str">
        <f t="shared" si="278"/>
        <v/>
      </c>
      <c r="AG408" s="699"/>
      <c r="AH408" s="699"/>
      <c r="AI408" s="512">
        <f>IF(H408="credit",0,IF(AE408="free",0,IF(AE408="me",0,IF(G408&gt;0,(VLOOKUP(A408,'Discount Lookup'!J:K,2)*G408),0))))</f>
        <v>0</v>
      </c>
      <c r="AJ408" s="513" t="str">
        <f t="shared" ca="1" si="279"/>
        <v/>
      </c>
      <c r="AK408" s="700" t="str">
        <f t="shared" si="280"/>
        <v/>
      </c>
      <c r="AL408" s="700"/>
      <c r="AM408" s="505" t="str">
        <f t="shared" si="281"/>
        <v/>
      </c>
      <c r="AN408" s="506"/>
      <c r="AO408" s="507"/>
      <c r="AP408" s="507"/>
      <c r="AQ408" s="507"/>
      <c r="AR408" s="507"/>
      <c r="AS408" s="507"/>
      <c r="AT408" s="507"/>
      <c r="AU408" s="507"/>
      <c r="AV408" s="225"/>
      <c r="AW408" s="508"/>
      <c r="AX408" s="225"/>
      <c r="AY408" s="225"/>
      <c r="AZ408" s="225"/>
      <c r="BA408" s="225"/>
      <c r="BB408" s="225"/>
      <c r="BC408" s="56"/>
      <c r="BD408" s="56"/>
      <c r="BE408" s="56"/>
      <c r="BF408" s="107" t="str">
        <f t="shared" si="282"/>
        <v>https://www.google.com/search?tbm=isch&amp;q=Blue%20Cascade%C2%AE%20Distylium%20%28FE%C2%AE%29%20Distylium%20%27PIIDIST-II%27%20PP%2324409</v>
      </c>
      <c r="BG408" s="107" t="str">
        <f t="shared" si="283"/>
        <v>B</v>
      </c>
      <c r="BH408" s="254"/>
      <c r="BI408" s="254"/>
    </row>
    <row r="409" spans="1:61" customFormat="1" ht="15.75" x14ac:dyDescent="0.25">
      <c r="A409" s="485">
        <v>3</v>
      </c>
      <c r="B409" s="486" t="s">
        <v>291</v>
      </c>
      <c r="C409" s="487"/>
      <c r="D409" s="488" t="s">
        <v>312</v>
      </c>
      <c r="E409" s="489">
        <v>33.950000000000003</v>
      </c>
      <c r="F409" s="516" t="s">
        <v>293</v>
      </c>
      <c r="G409" s="232">
        <v>0</v>
      </c>
      <c r="H409" s="658" t="str">
        <f>IF(G409=0,"",IF(F409="Buy",IF(G409=1,"plant","plants"),IF(F409&gt;0.01,"warranty","Error")))</f>
        <v/>
      </c>
      <c r="I409" s="490">
        <f>IF(H409="free",0,IF(H409="credit",((E409*(F409))*G409*-1),IF(F409="Buy",(E409*G409),((E409*(1-F409))*G409))))</f>
        <v>0</v>
      </c>
      <c r="J409" s="490">
        <f>IF(H409="warranty",0,(I409*(_xlfn.SINGLE(SalesTaxPercentage))))</f>
        <v>0</v>
      </c>
      <c r="K409" s="695">
        <f t="shared" ref="K409" si="288">I409+J409</f>
        <v>0</v>
      </c>
      <c r="L409" s="695"/>
      <c r="M409" s="659" t="str">
        <f>IF(AND(G409&gt;0,E409=0),"WARNING - no PRICE inserted",IF(H409="free"," FREE ~ no charge this plant",IF(H409="credit",CONCATENATE(" -$",ROUND(K409*(1-T2GDiscount)*-1,2)," CREDIT after discount"),IF(T2GDiscount=0,"",IF(G409=0,"",IF(F409="Buy",CONCATENATE(" $",ROUND(K409*(1-T2GDiscount),2)," with ",(T2GDiscount*100),"% discount"),CONCATENATE(" $",ROUND(K409*(1-T2GDiscount),2)," with ",((T2GDiscount*100+F409*100)-(T2GDiscount*100*F409)),IF(F409&gt;0,"% discounts",IF(NoWarrantyDiscount&gt;0,"% discounts","% discount")))))))))</f>
        <v/>
      </c>
      <c r="N409" s="660"/>
      <c r="O409" s="233"/>
      <c r="P409" s="233"/>
      <c r="Q409" s="233"/>
      <c r="R409" s="233"/>
      <c r="S409" s="233"/>
      <c r="T409" s="508">
        <f t="shared" si="271"/>
        <v>0</v>
      </c>
      <c r="U409" s="225">
        <f>IF(NOT(ISNUMBER(G409)), "", VLOOKUP(A409,'Discount Lookup'!D:E,2,FALSE)*G409)</f>
        <v>0</v>
      </c>
      <c r="V409" s="225">
        <f>IF(NOT(ISNUMBER(G409)), "", VLOOKUP(A409,'Discount Lookup'!G:H,2,FALSE)*G409)</f>
        <v>0</v>
      </c>
      <c r="W409" s="508">
        <f t="shared" si="272"/>
        <v>0</v>
      </c>
      <c r="X409" s="508">
        <f t="shared" si="273"/>
        <v>0</v>
      </c>
      <c r="Y409" s="509" t="b">
        <f t="shared" si="274"/>
        <v>0</v>
      </c>
      <c r="Z409" s="510">
        <f t="shared" si="275"/>
        <v>0</v>
      </c>
      <c r="AA409" s="511"/>
      <c r="AB409" s="511" t="str">
        <f t="shared" si="276"/>
        <v/>
      </c>
      <c r="AC409" s="698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698"/>
      <c r="AE409" s="631" t="str">
        <f t="shared" si="277"/>
        <v/>
      </c>
      <c r="AF409" s="699" t="str">
        <f t="shared" si="278"/>
        <v/>
      </c>
      <c r="AG409" s="699"/>
      <c r="AH409" s="699"/>
      <c r="AI409" s="512">
        <f>IF(H409="credit",0,IF(AE409="free",0,IF(AE409="me",0,IF(G409&gt;0,(VLOOKUP(A409,'Discount Lookup'!J:K,2)*G409),0))))</f>
        <v>0</v>
      </c>
      <c r="AJ409" s="513" t="str">
        <f t="shared" ca="1" si="279"/>
        <v/>
      </c>
      <c r="AK409" s="700" t="str">
        <f t="shared" si="280"/>
        <v/>
      </c>
      <c r="AL409" s="700"/>
      <c r="AM409" s="505" t="str">
        <f t="shared" si="281"/>
        <v/>
      </c>
      <c r="AN409" s="506"/>
      <c r="AO409" s="507"/>
      <c r="AP409" s="507"/>
      <c r="AQ409" s="507"/>
      <c r="AR409" s="507"/>
      <c r="AS409" s="507"/>
      <c r="AT409" s="507"/>
      <c r="AU409" s="507"/>
      <c r="AV409" s="225"/>
      <c r="AW409" s="508"/>
      <c r="AX409" s="225"/>
      <c r="AY409" s="225"/>
      <c r="AZ409" s="225"/>
      <c r="BA409" s="225"/>
      <c r="BB409" s="225"/>
      <c r="BC409" s="56"/>
      <c r="BD409" s="56"/>
      <c r="BE409" s="56"/>
      <c r="BF409" s="107" t="str">
        <f t="shared" si="282"/>
        <v>https://www.google.com/search?tbm=isch&amp;q=3%20G2</v>
      </c>
      <c r="BG409" s="107" t="str">
        <f t="shared" si="283"/>
        <v>B</v>
      </c>
      <c r="BH409" s="254"/>
      <c r="BI409" s="254"/>
    </row>
    <row r="410" spans="1:61" customFormat="1" ht="15.75" x14ac:dyDescent="0.25">
      <c r="A410" s="485">
        <v>3</v>
      </c>
      <c r="B410" s="486" t="s">
        <v>291</v>
      </c>
      <c r="C410" s="487" t="s">
        <v>884</v>
      </c>
      <c r="D410" s="488" t="s">
        <v>299</v>
      </c>
      <c r="E410" s="489">
        <v>36.950000000000003</v>
      </c>
      <c r="F410" s="516" t="s">
        <v>293</v>
      </c>
      <c r="G410" s="232">
        <v>0</v>
      </c>
      <c r="H410" s="658" t="str">
        <f>IF(G410=0,"",IF(F410="Buy",IF(G410=1,"plant","plants"),IF(F410&gt;0.01,"warranty","Error")))</f>
        <v/>
      </c>
      <c r="I410" s="490">
        <f>IF(H410="free",0,IF(H410="credit",((E410*(F410))*G410*-1),IF(F410="Buy",(E410*G410),((E410*(1-F410))*G410))))</f>
        <v>0</v>
      </c>
      <c r="J410" s="490">
        <f>IF(H410="warranty",0,(I410*(_xlfn.SINGLE(SalesTaxPercentage))))</f>
        <v>0</v>
      </c>
      <c r="K410" s="695">
        <f t="shared" ref="K410" si="289">I410+J410</f>
        <v>0</v>
      </c>
      <c r="L410" s="695"/>
      <c r="M410" s="659" t="str">
        <f>IF(AND(G410&gt;0,E410=0),"WARNING - no PRICE inserted",IF(H410="free"," FREE ~ no charge this plant",IF(H410="credit",CONCATENATE(" -$",ROUND(K410*(1-T2GDiscount)*-1,2)," CREDIT after discount"),IF(T2GDiscount=0,"",IF(G410=0,"",IF(F410="Buy",CONCATENATE(" $",ROUND(K410*(1-T2GDiscount),2)," with ",(T2GDiscount*100),"% discount"),CONCATENATE(" $",ROUND(K410*(1-T2GDiscount),2)," with ",((T2GDiscount*100+F410*100)-(T2GDiscount*100*F410)),IF(F410&gt;0,"% discounts",IF(NoWarrantyDiscount&gt;0,"% discounts","% discount")))))))))</f>
        <v/>
      </c>
      <c r="N410" s="660"/>
      <c r="O410" s="233"/>
      <c r="P410" s="233"/>
      <c r="Q410" s="233"/>
      <c r="R410" s="233"/>
      <c r="S410" s="233"/>
      <c r="T410" s="508">
        <f t="shared" si="271"/>
        <v>0</v>
      </c>
      <c r="U410" s="225">
        <f>IF(NOT(ISNUMBER(G410)), "", VLOOKUP(A410,'Discount Lookup'!D:E,2,FALSE)*G410)</f>
        <v>0</v>
      </c>
      <c r="V410" s="225">
        <f>IF(NOT(ISNUMBER(G410)), "", VLOOKUP(A410,'Discount Lookup'!G:H,2,FALSE)*G410)</f>
        <v>0</v>
      </c>
      <c r="W410" s="508">
        <f t="shared" si="272"/>
        <v>0</v>
      </c>
      <c r="X410" s="508">
        <f t="shared" si="273"/>
        <v>0</v>
      </c>
      <c r="Y410" s="509" t="b">
        <f t="shared" si="274"/>
        <v>0</v>
      </c>
      <c r="Z410" s="510">
        <f t="shared" si="275"/>
        <v>0</v>
      </c>
      <c r="AA410" s="511"/>
      <c r="AB410" s="511" t="str">
        <f t="shared" si="276"/>
        <v/>
      </c>
      <c r="AC410" s="698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698"/>
      <c r="AE410" s="631" t="str">
        <f t="shared" si="277"/>
        <v/>
      </c>
      <c r="AF410" s="699" t="str">
        <f t="shared" si="278"/>
        <v/>
      </c>
      <c r="AG410" s="699"/>
      <c r="AH410" s="699"/>
      <c r="AI410" s="512">
        <f>IF(H410="credit",0,IF(AE410="free",0,IF(AE410="me",0,IF(G410&gt;0,(VLOOKUP(A410,'Discount Lookup'!J:K,2)*G410),0))))</f>
        <v>0</v>
      </c>
      <c r="AJ410" s="513" t="str">
        <f t="shared" ca="1" si="279"/>
        <v/>
      </c>
      <c r="AK410" s="700" t="str">
        <f t="shared" si="280"/>
        <v/>
      </c>
      <c r="AL410" s="700"/>
      <c r="AM410" s="505" t="str">
        <f t="shared" si="281"/>
        <v/>
      </c>
      <c r="AN410" s="506"/>
      <c r="AO410" s="507"/>
      <c r="AP410" s="507"/>
      <c r="AQ410" s="507"/>
      <c r="AR410" s="507"/>
      <c r="AS410" s="507"/>
      <c r="AT410" s="507"/>
      <c r="AU410" s="507"/>
      <c r="AV410" s="225"/>
      <c r="AW410" s="508"/>
      <c r="AX410" s="225"/>
      <c r="AY410" s="225"/>
      <c r="AZ410" s="225"/>
      <c r="BA410" s="225"/>
      <c r="BB410" s="225"/>
      <c r="BC410" s="56"/>
      <c r="BD410" s="56"/>
      <c r="BE410" s="56"/>
      <c r="BF410" s="107" t="str">
        <f t="shared" si="282"/>
        <v>https://www.google.com/search?tbm=isch&amp;q=3%20G5</v>
      </c>
      <c r="BG410" s="107" t="str">
        <f t="shared" si="283"/>
        <v>B</v>
      </c>
      <c r="BH410" s="254"/>
      <c r="BI410" s="254"/>
    </row>
    <row r="411" spans="1:61" customFormat="1" ht="15.75" x14ac:dyDescent="0.25">
      <c r="A411" s="485">
        <v>7</v>
      </c>
      <c r="B411" s="486" t="s">
        <v>291</v>
      </c>
      <c r="C411" s="487"/>
      <c r="D411" s="488" t="s">
        <v>299</v>
      </c>
      <c r="E411" s="489">
        <v>79.95</v>
      </c>
      <c r="F411" s="516" t="s">
        <v>293</v>
      </c>
      <c r="G411" s="232">
        <v>0</v>
      </c>
      <c r="H411" s="658" t="str">
        <f>IF(G411=0,"",IF(F411="Buy",IF(G411=1,"plant","plants"),IF(F411&gt;0.01,"warranty","Error")))</f>
        <v/>
      </c>
      <c r="I411" s="490">
        <f>IF(H411="free",0,IF(H411="credit",((E411*(F411))*G411*-1),IF(F411="Buy",(E411*G411),((E411*(1-F411))*G411))))</f>
        <v>0</v>
      </c>
      <c r="J411" s="490">
        <f>IF(H411="warranty",0,(I411*(_xlfn.SINGLE(SalesTaxPercentage))))</f>
        <v>0</v>
      </c>
      <c r="K411" s="695">
        <f t="shared" ref="K411" si="290">I411+J411</f>
        <v>0</v>
      </c>
      <c r="L411" s="695"/>
      <c r="M411" s="659" t="str">
        <f>IF(AND(G411&gt;0,E411=0),"WARNING - no PRICE inserted",IF(H411="free"," FREE ~ no charge this plant",IF(H411="credit",CONCATENATE(" -$",ROUND(K411*(1-T2GDiscount)*-1,2)," CREDIT after discount"),IF(T2GDiscount=0,"",IF(G411=0,"",IF(F411="Buy",CONCATENATE(" $",ROUND(K411*(1-T2GDiscount),2)," with ",(T2GDiscount*100),"% discount"),CONCATENATE(" $",ROUND(K411*(1-T2GDiscount),2)," with ",((T2GDiscount*100+F411*100)-(T2GDiscount*100*F411)),IF(F411&gt;0,"% discounts",IF(NoWarrantyDiscount&gt;0,"% discounts","% discount")))))))))</f>
        <v/>
      </c>
      <c r="N411" s="660"/>
      <c r="O411" s="233"/>
      <c r="P411" s="233"/>
      <c r="Q411" s="233"/>
      <c r="R411" s="233"/>
      <c r="S411" s="233"/>
      <c r="T411" s="508">
        <f t="shared" si="271"/>
        <v>0</v>
      </c>
      <c r="U411" s="225">
        <f>IF(NOT(ISNUMBER(G411)), "", VLOOKUP(A411,'Discount Lookup'!D:E,2,FALSE)*G411)</f>
        <v>0</v>
      </c>
      <c r="V411" s="225">
        <f>IF(NOT(ISNUMBER(G411)), "", VLOOKUP(A411,'Discount Lookup'!G:H,2,FALSE)*G411)</f>
        <v>0</v>
      </c>
      <c r="W411" s="508">
        <f t="shared" si="272"/>
        <v>0</v>
      </c>
      <c r="X411" s="508">
        <f t="shared" si="273"/>
        <v>0</v>
      </c>
      <c r="Y411" s="509" t="b">
        <f t="shared" si="274"/>
        <v>0</v>
      </c>
      <c r="Z411" s="510">
        <f t="shared" si="275"/>
        <v>0</v>
      </c>
      <c r="AA411" s="511"/>
      <c r="AB411" s="511" t="str">
        <f t="shared" si="276"/>
        <v/>
      </c>
      <c r="AC411" s="698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698"/>
      <c r="AE411" s="631" t="str">
        <f t="shared" si="277"/>
        <v/>
      </c>
      <c r="AF411" s="699" t="str">
        <f t="shared" si="278"/>
        <v/>
      </c>
      <c r="AG411" s="699"/>
      <c r="AH411" s="699"/>
      <c r="AI411" s="512">
        <f>IF(H411="credit",0,IF(AE411="free",0,IF(AE411="me",0,IF(G411&gt;0,(VLOOKUP(A411,'Discount Lookup'!J:K,2)*G411),0))))</f>
        <v>0</v>
      </c>
      <c r="AJ411" s="513" t="str">
        <f t="shared" ca="1" si="279"/>
        <v/>
      </c>
      <c r="AK411" s="700" t="str">
        <f t="shared" si="280"/>
        <v/>
      </c>
      <c r="AL411" s="700"/>
      <c r="AM411" s="505" t="str">
        <f t="shared" si="281"/>
        <v/>
      </c>
      <c r="AN411" s="506"/>
      <c r="AO411" s="507"/>
      <c r="AP411" s="507"/>
      <c r="AQ411" s="507"/>
      <c r="AR411" s="507"/>
      <c r="AS411" s="507"/>
      <c r="AT411" s="507"/>
      <c r="AU411" s="507"/>
      <c r="AV411" s="225"/>
      <c r="AW411" s="508"/>
      <c r="AX411" s="225"/>
      <c r="AY411" s="225"/>
      <c r="AZ411" s="225"/>
      <c r="BA411" s="225"/>
      <c r="BB411" s="225"/>
      <c r="BC411" s="56"/>
      <c r="BD411" s="56"/>
      <c r="BE411" s="56"/>
      <c r="BF411" s="107" t="str">
        <f t="shared" si="282"/>
        <v>https://www.google.com/search?tbm=isch&amp;q=7%20G5</v>
      </c>
      <c r="BG411" s="107" t="str">
        <f t="shared" si="283"/>
        <v>B</v>
      </c>
      <c r="BH411" s="254"/>
      <c r="BI411" s="254"/>
    </row>
    <row r="412" spans="1:61" customFormat="1" ht="15.75" x14ac:dyDescent="0.25">
      <c r="A412" s="485">
        <v>15</v>
      </c>
      <c r="B412" s="486" t="s">
        <v>291</v>
      </c>
      <c r="C412" s="487" t="s">
        <v>871</v>
      </c>
      <c r="D412" s="488" t="s">
        <v>299</v>
      </c>
      <c r="E412" s="489">
        <v>183.95</v>
      </c>
      <c r="F412" s="516" t="s">
        <v>293</v>
      </c>
      <c r="G412" s="232">
        <v>0</v>
      </c>
      <c r="H412" s="658" t="str">
        <f>IF(G412=0,"",IF(F412="Buy",IF(G412=1,"plant","plants"),IF(F412&gt;0.01,"warranty","Error")))</f>
        <v/>
      </c>
      <c r="I412" s="490">
        <f>IF(H412="free",0,IF(H412="credit",((E412*(F412))*G412*-1),IF(F412="Buy",(E412*G412),((E412*(1-F412))*G412))))</f>
        <v>0</v>
      </c>
      <c r="J412" s="490">
        <f>IF(H412="warranty",0,(I412*(_xlfn.SINGLE(SalesTaxPercentage))))</f>
        <v>0</v>
      </c>
      <c r="K412" s="695">
        <f t="shared" ref="K412" si="291">I412+J412</f>
        <v>0</v>
      </c>
      <c r="L412" s="695"/>
      <c r="M412" s="659" t="str">
        <f>IF(AND(G412&gt;0,E412=0),"WARNING - no PRICE inserted",IF(H412="free"," FREE ~ no charge this plant",IF(H412="credit",CONCATENATE(" -$",ROUND(K412*(1-T2GDiscount)*-1,2)," CREDIT after discount"),IF(T2GDiscount=0,"",IF(G412=0,"",IF(F412="Buy",CONCATENATE(" $",ROUND(K412*(1-T2GDiscount),2)," with ",(T2GDiscount*100),"% discount"),CONCATENATE(" $",ROUND(K412*(1-T2GDiscount),2)," with ",((T2GDiscount*100+F412*100)-(T2GDiscount*100*F412)),IF(F412&gt;0,"% discounts",IF(NoWarrantyDiscount&gt;0,"% discounts","% discount")))))))))</f>
        <v/>
      </c>
      <c r="N412" s="660"/>
      <c r="O412" s="233"/>
      <c r="P412" s="233"/>
      <c r="Q412" s="233"/>
      <c r="R412" s="233"/>
      <c r="S412" s="233"/>
      <c r="T412" s="508">
        <f t="shared" si="271"/>
        <v>0</v>
      </c>
      <c r="U412" s="225">
        <f>IF(NOT(ISNUMBER(G412)), "", VLOOKUP(A412,'Discount Lookup'!D:E,2,FALSE)*G412)</f>
        <v>0</v>
      </c>
      <c r="V412" s="225">
        <f>IF(NOT(ISNUMBER(G412)), "", VLOOKUP(A412,'Discount Lookup'!G:H,2,FALSE)*G412)</f>
        <v>0</v>
      </c>
      <c r="W412" s="508">
        <f t="shared" si="272"/>
        <v>0</v>
      </c>
      <c r="X412" s="508">
        <f t="shared" si="273"/>
        <v>0</v>
      </c>
      <c r="Y412" s="509" t="b">
        <f t="shared" si="274"/>
        <v>0</v>
      </c>
      <c r="Z412" s="510">
        <f t="shared" si="275"/>
        <v>0</v>
      </c>
      <c r="AA412" s="511"/>
      <c r="AB412" s="511" t="str">
        <f t="shared" si="276"/>
        <v/>
      </c>
      <c r="AC412" s="698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698"/>
      <c r="AE412" s="631" t="str">
        <f t="shared" si="277"/>
        <v/>
      </c>
      <c r="AF412" s="699" t="str">
        <f t="shared" si="278"/>
        <v/>
      </c>
      <c r="AG412" s="699"/>
      <c r="AH412" s="699"/>
      <c r="AI412" s="512">
        <f>IF(H412="credit",0,IF(AE412="free",0,IF(AE412="me",0,IF(G412&gt;0,(VLOOKUP(A412,'Discount Lookup'!J:K,2)*G412),0))))</f>
        <v>0</v>
      </c>
      <c r="AJ412" s="513" t="str">
        <f t="shared" ca="1" si="279"/>
        <v/>
      </c>
      <c r="AK412" s="700" t="str">
        <f t="shared" si="280"/>
        <v/>
      </c>
      <c r="AL412" s="700"/>
      <c r="AM412" s="505" t="str">
        <f t="shared" si="281"/>
        <v/>
      </c>
      <c r="AN412" s="506"/>
      <c r="AO412" s="507"/>
      <c r="AP412" s="507"/>
      <c r="AQ412" s="507"/>
      <c r="AR412" s="507"/>
      <c r="AS412" s="507"/>
      <c r="AT412" s="507"/>
      <c r="AU412" s="507"/>
      <c r="AV412" s="225"/>
      <c r="AW412" s="508"/>
      <c r="AX412" s="225"/>
      <c r="AY412" s="225"/>
      <c r="AZ412" s="225"/>
      <c r="BA412" s="225"/>
      <c r="BB412" s="225"/>
      <c r="BC412" s="56"/>
      <c r="BD412" s="56"/>
      <c r="BE412" s="56"/>
      <c r="BF412" s="107" t="str">
        <f t="shared" si="282"/>
        <v>https://www.google.com/search?tbm=isch&amp;q=15%20G5</v>
      </c>
      <c r="BG412" s="107" t="str">
        <f t="shared" si="283"/>
        <v>B</v>
      </c>
      <c r="BH412" s="254"/>
      <c r="BI412" s="254"/>
    </row>
    <row r="413" spans="1:61" customFormat="1" ht="16.5" thickBot="1" x14ac:dyDescent="0.3">
      <c r="A413" s="522" t="s">
        <v>2643</v>
      </c>
      <c r="B413" s="491"/>
      <c r="C413" s="675"/>
      <c r="D413" s="491"/>
      <c r="E413" s="491"/>
      <c r="F413" s="492"/>
      <c r="G413" s="493"/>
      <c r="H413" s="491"/>
      <c r="I413" s="234"/>
      <c r="J413" s="234"/>
      <c r="K413" s="494"/>
      <c r="L413" s="543"/>
      <c r="M413" s="561"/>
      <c r="N413" s="495"/>
      <c r="O413" s="496"/>
      <c r="P413" s="497"/>
      <c r="Q413" s="495"/>
      <c r="R413" s="495"/>
      <c r="S413" s="667" t="s">
        <v>4968</v>
      </c>
      <c r="T413" s="508">
        <f t="shared" si="271"/>
        <v>0</v>
      </c>
      <c r="U413" s="225" t="str">
        <f>IF(NOT(ISNUMBER(G413)), "", VLOOKUP(A413,'Discount Lookup'!D:E,2,FALSE)*G413)</f>
        <v/>
      </c>
      <c r="V413" s="225" t="str">
        <f>IF(NOT(ISNUMBER(G413)), "", VLOOKUP(A413,'Discount Lookup'!G:H,2,FALSE)*G413)</f>
        <v/>
      </c>
      <c r="W413" s="508">
        <f t="shared" si="272"/>
        <v>0</v>
      </c>
      <c r="X413" s="508">
        <f t="shared" si="273"/>
        <v>0</v>
      </c>
      <c r="Y413" s="509" t="b">
        <f t="shared" si="274"/>
        <v>0</v>
      </c>
      <c r="Z413" s="510">
        <f t="shared" si="275"/>
        <v>0</v>
      </c>
      <c r="AA413" s="511"/>
      <c r="AB413" s="511" t="str">
        <f t="shared" si="276"/>
        <v/>
      </c>
      <c r="AC413" s="698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698"/>
      <c r="AE413" s="631" t="str">
        <f t="shared" si="277"/>
        <v/>
      </c>
      <c r="AF413" s="699" t="str">
        <f t="shared" si="278"/>
        <v/>
      </c>
      <c r="AG413" s="699"/>
      <c r="AH413" s="699"/>
      <c r="AI413" s="512">
        <f>IF(H413="credit",0,IF(AE413="free",0,IF(AE413="me",0,IF(G413&gt;0,(VLOOKUP(A413,'Discount Lookup'!J:K,2)*G413),0))))</f>
        <v>0</v>
      </c>
      <c r="AJ413" s="513" t="str">
        <f t="shared" ca="1" si="279"/>
        <v/>
      </c>
      <c r="AK413" s="700" t="str">
        <f t="shared" si="280"/>
        <v/>
      </c>
      <c r="AL413" s="700"/>
      <c r="AM413" s="505" t="str">
        <f t="shared" si="281"/>
        <v/>
      </c>
      <c r="AN413" s="506"/>
      <c r="AO413" s="507"/>
      <c r="AP413" s="507"/>
      <c r="AQ413" s="507"/>
      <c r="AR413" s="507"/>
      <c r="AS413" s="507"/>
      <c r="AT413" s="507"/>
      <c r="AU413" s="507"/>
      <c r="AV413" s="225"/>
      <c r="AW413" s="508"/>
      <c r="AX413" s="225"/>
      <c r="AY413" s="225"/>
      <c r="AZ413" s="225"/>
      <c r="BA413" s="225"/>
      <c r="BB413" s="225"/>
      <c r="BC413" s="56"/>
      <c r="BD413" s="56"/>
      <c r="BE413" s="56"/>
      <c r="BF413" s="107" t="str">
        <f t="shared" si="282"/>
        <v>https://www.google.com/search?tbm=isch&amp;q=Blue%20Cascade%20foliage%20emerges%20Purplsh-Bronze.%20Small%20Reddish-Maroon%20flowers%20appear%20late%20winter%20to%20early%20spring.%20Heat%20and%20drought%20tolerant%20</v>
      </c>
      <c r="BG413" s="107" t="str">
        <f t="shared" si="283"/>
        <v>B</v>
      </c>
      <c r="BH413" s="254"/>
      <c r="BI413" s="254"/>
    </row>
    <row r="414" spans="1:61" customFormat="1" ht="18" x14ac:dyDescent="0.25">
      <c r="A414" s="523" t="s">
        <v>5352</v>
      </c>
      <c r="B414" s="235"/>
      <c r="C414" s="676"/>
      <c r="D414" s="255" t="s">
        <v>4487</v>
      </c>
      <c r="E414" s="236"/>
      <c r="F414" s="236"/>
      <c r="G414" s="236"/>
      <c r="H414" s="582" t="s">
        <v>1521</v>
      </c>
      <c r="I414" s="498" t="s">
        <v>4488</v>
      </c>
      <c r="J414" s="237"/>
      <c r="K414" s="237"/>
      <c r="L414" s="274"/>
      <c r="M414" s="668" t="s">
        <v>4962</v>
      </c>
      <c r="N414" s="681" t="str">
        <f>IF(AND(ISTEXT($A414), ISERROR($A414+0)), HYPERLINK($BF414, "Images"), "")</f>
        <v>Images</v>
      </c>
      <c r="O414" s="663" t="s">
        <v>4967</v>
      </c>
      <c r="P414" s="253"/>
      <c r="Q414" s="238"/>
      <c r="R414" s="239"/>
      <c r="S414" s="275"/>
      <c r="T414" s="508">
        <f t="shared" si="271"/>
        <v>0</v>
      </c>
      <c r="U414" s="225" t="str">
        <f>IF(NOT(ISNUMBER(G414)), "", VLOOKUP(A414,'Discount Lookup'!D:E,2,FALSE)*G414)</f>
        <v/>
      </c>
      <c r="V414" s="225" t="str">
        <f>IF(NOT(ISNUMBER(G414)), "", VLOOKUP(A414,'Discount Lookup'!G:H,2,FALSE)*G414)</f>
        <v/>
      </c>
      <c r="W414" s="508">
        <f t="shared" si="272"/>
        <v>0</v>
      </c>
      <c r="X414" s="508" t="str">
        <f t="shared" si="273"/>
        <v>Lavender -Blue bloom</v>
      </c>
      <c r="Y414" s="509" t="b">
        <f t="shared" si="274"/>
        <v>0</v>
      </c>
      <c r="Z414" s="510">
        <f t="shared" si="275"/>
        <v>0</v>
      </c>
      <c r="AA414" s="511"/>
      <c r="AB414" s="511" t="str">
        <f t="shared" si="276"/>
        <v/>
      </c>
      <c r="AC414" s="698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698"/>
      <c r="AE414" s="631" t="str">
        <f t="shared" si="277"/>
        <v/>
      </c>
      <c r="AF414" s="699" t="str">
        <f t="shared" si="278"/>
        <v/>
      </c>
      <c r="AG414" s="699"/>
      <c r="AH414" s="699"/>
      <c r="AI414" s="512">
        <f>IF(H414="credit",0,IF(AE414="free",0,IF(AE414="me",0,IF(G414&gt;0,(VLOOKUP(A414,'Discount Lookup'!J:K,2)*G414),0))))</f>
        <v>0</v>
      </c>
      <c r="AJ414" s="513" t="str">
        <f t="shared" ca="1" si="279"/>
        <v/>
      </c>
      <c r="AK414" s="700" t="str">
        <f t="shared" si="280"/>
        <v/>
      </c>
      <c r="AL414" s="700"/>
      <c r="AM414" s="505" t="str">
        <f t="shared" si="281"/>
        <v/>
      </c>
      <c r="AN414" s="506"/>
      <c r="AO414" s="507"/>
      <c r="AP414" s="507"/>
      <c r="AQ414" s="507"/>
      <c r="AR414" s="507"/>
      <c r="AS414" s="507"/>
      <c r="AT414" s="507"/>
      <c r="AU414" s="507"/>
      <c r="AV414" s="225"/>
      <c r="AW414" s="508"/>
      <c r="AX414" s="225"/>
      <c r="AY414" s="225"/>
      <c r="AZ414" s="225"/>
      <c r="BA414" s="225"/>
      <c r="BB414" s="225"/>
      <c r="BC414" s="56"/>
      <c r="BD414" s="56"/>
      <c r="BE414" s="56"/>
      <c r="BF414" s="107" t="str">
        <f t="shared" si="282"/>
        <v>https://www.google.com/search?tbm=isch&amp;q=Blue%20Chiffon%C2%AE%20Rose%20of%20Sharon%20Hibiscus%20syriacus%20%27Blue%20Chiffon%27%20PP%2326983</v>
      </c>
      <c r="BG414" s="107" t="str">
        <f t="shared" si="283"/>
        <v>B</v>
      </c>
      <c r="BH414" s="254"/>
      <c r="BI414" s="254"/>
    </row>
    <row r="415" spans="1:61" customFormat="1" ht="15.75" x14ac:dyDescent="0.25">
      <c r="A415" s="276">
        <v>3</v>
      </c>
      <c r="B415" s="240" t="s">
        <v>291</v>
      </c>
      <c r="C415" s="241" t="s">
        <v>445</v>
      </c>
      <c r="D415" s="242" t="s">
        <v>312</v>
      </c>
      <c r="E415" s="243">
        <v>40.950000000000003</v>
      </c>
      <c r="F415" s="517" t="s">
        <v>293</v>
      </c>
      <c r="G415" s="232">
        <v>0</v>
      </c>
      <c r="H415" s="661" t="str">
        <f>IF(G415=0,"",IF(F415="Buy",IF(G415=1,"plant","plants"),IF(F415&gt;0.01,"warranty","Error")))</f>
        <v/>
      </c>
      <c r="I415" s="244">
        <f>IF(H415="free",0,IF(H415="credit",((E415*(F415))*G415*-1),IF(F415="Buy",(E415*G415),((E415*(1-F415))*G415))))</f>
        <v>0</v>
      </c>
      <c r="J415" s="244">
        <f>IF(H415="warranty",0,(I415*(_xlfn.SINGLE(SalesTaxPercentage))))</f>
        <v>0</v>
      </c>
      <c r="K415" s="696">
        <f t="shared" ref="K415" si="292">I415+J415</f>
        <v>0</v>
      </c>
      <c r="L415" s="696"/>
      <c r="M415" s="659" t="str">
        <f>IF(AND(G415&gt;0,E415=0),"WARNING - no PRICE inserted",IF(H415="free"," FREE ~ no charge this plant",IF(H415="credit",CONCATENATE(" -$",ROUND(K415*(1-T2GDiscount)*-1,2)," CREDIT after discount"),IF(T2GDiscount=0,"",IF(G415=0,"",IF(F415="Buy",CONCATENATE(" $",ROUND(K415*(1-T2GDiscount),2)," with ",(T2GDiscount*100),"% discount"),CONCATENATE(" $",ROUND(K415*(1-T2GDiscount),2)," with ",((T2GDiscount*100+F415*100)-(T2GDiscount*100*F415)),IF(F415&gt;0,"% discounts",IF(NoWarrantyDiscount&gt;0,"% discounts","% discount")))))))))</f>
        <v/>
      </c>
      <c r="N415" s="660"/>
      <c r="O415" s="233"/>
      <c r="P415" s="233"/>
      <c r="Q415" s="233"/>
      <c r="R415" s="233"/>
      <c r="S415" s="233"/>
      <c r="T415" s="508">
        <f t="shared" si="271"/>
        <v>0</v>
      </c>
      <c r="U415" s="225">
        <f>IF(NOT(ISNUMBER(G415)), "", VLOOKUP(A415,'Discount Lookup'!D:E,2,FALSE)*G415)</f>
        <v>0</v>
      </c>
      <c r="V415" s="225">
        <f>IF(NOT(ISNUMBER(G415)), "", VLOOKUP(A415,'Discount Lookup'!G:H,2,FALSE)*G415)</f>
        <v>0</v>
      </c>
      <c r="W415" s="508">
        <f t="shared" si="272"/>
        <v>0</v>
      </c>
      <c r="X415" s="508">
        <f t="shared" si="273"/>
        <v>0</v>
      </c>
      <c r="Y415" s="509" t="b">
        <f t="shared" si="274"/>
        <v>0</v>
      </c>
      <c r="Z415" s="510">
        <f t="shared" si="275"/>
        <v>0</v>
      </c>
      <c r="AA415" s="511"/>
      <c r="AB415" s="511" t="str">
        <f t="shared" si="276"/>
        <v/>
      </c>
      <c r="AC415" s="698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698"/>
      <c r="AE415" s="631" t="str">
        <f t="shared" si="277"/>
        <v/>
      </c>
      <c r="AF415" s="699" t="str">
        <f t="shared" si="278"/>
        <v/>
      </c>
      <c r="AG415" s="699"/>
      <c r="AH415" s="699"/>
      <c r="AI415" s="512">
        <f>IF(H415="credit",0,IF(AE415="free",0,IF(AE415="me",0,IF(G415&gt;0,(VLOOKUP(A415,'Discount Lookup'!J:K,2)*G415),0))))</f>
        <v>0</v>
      </c>
      <c r="AJ415" s="513" t="str">
        <f t="shared" ca="1" si="279"/>
        <v/>
      </c>
      <c r="AK415" s="700" t="str">
        <f t="shared" si="280"/>
        <v/>
      </c>
      <c r="AL415" s="700"/>
      <c r="AM415" s="505" t="str">
        <f t="shared" si="281"/>
        <v/>
      </c>
      <c r="AN415" s="506"/>
      <c r="AO415" s="507"/>
      <c r="AP415" s="507"/>
      <c r="AQ415" s="507"/>
      <c r="AR415" s="507"/>
      <c r="AS415" s="507"/>
      <c r="AT415" s="507"/>
      <c r="AU415" s="507"/>
      <c r="AV415" s="225"/>
      <c r="AW415" s="508"/>
      <c r="AX415" s="225"/>
      <c r="AY415" s="225"/>
      <c r="AZ415" s="225"/>
      <c r="BA415" s="225"/>
      <c r="BB415" s="225"/>
      <c r="BC415" s="56"/>
      <c r="BD415" s="56"/>
      <c r="BE415" s="56"/>
      <c r="BF415" s="107" t="str">
        <f t="shared" si="282"/>
        <v>https://www.google.com/search?tbm=isch&amp;q=3%20G2</v>
      </c>
      <c r="BG415" s="107" t="str">
        <f t="shared" si="283"/>
        <v>B</v>
      </c>
      <c r="BH415" s="254"/>
      <c r="BI415" s="254"/>
    </row>
    <row r="416" spans="1:61" customFormat="1" ht="17.25" thickBot="1" x14ac:dyDescent="0.3">
      <c r="A416" s="524" t="s">
        <v>4489</v>
      </c>
      <c r="B416" s="245"/>
      <c r="C416" s="677"/>
      <c r="D416" s="499"/>
      <c r="E416" s="499"/>
      <c r="F416" s="500"/>
      <c r="G416" s="501"/>
      <c r="H416" s="502"/>
      <c r="I416" s="246"/>
      <c r="J416" s="247"/>
      <c r="K416" s="503"/>
      <c r="L416" s="544"/>
      <c r="M416" s="544"/>
      <c r="N416" s="500"/>
      <c r="O416" s="500"/>
      <c r="P416" s="500"/>
      <c r="Q416" s="500"/>
      <c r="R416" s="500"/>
      <c r="S416" s="669" t="s">
        <v>4976</v>
      </c>
      <c r="T416" s="508">
        <f t="shared" si="271"/>
        <v>0</v>
      </c>
      <c r="U416" s="225" t="str">
        <f>IF(NOT(ISNUMBER(G416)), "", VLOOKUP(A416,'Discount Lookup'!D:E,2,FALSE)*G416)</f>
        <v/>
      </c>
      <c r="V416" s="225" t="str">
        <f>IF(NOT(ISNUMBER(G416)), "", VLOOKUP(A416,'Discount Lookup'!G:H,2,FALSE)*G416)</f>
        <v/>
      </c>
      <c r="W416" s="508">
        <f t="shared" si="272"/>
        <v>0</v>
      </c>
      <c r="X416" s="508">
        <f t="shared" si="273"/>
        <v>0</v>
      </c>
      <c r="Y416" s="509" t="b">
        <f t="shared" si="274"/>
        <v>0</v>
      </c>
      <c r="Z416" s="510">
        <f t="shared" si="275"/>
        <v>0</v>
      </c>
      <c r="AA416" s="511"/>
      <c r="AB416" s="511" t="str">
        <f t="shared" si="276"/>
        <v/>
      </c>
      <c r="AC416" s="698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698"/>
      <c r="AE416" s="631" t="str">
        <f t="shared" si="277"/>
        <v/>
      </c>
      <c r="AF416" s="699" t="str">
        <f t="shared" si="278"/>
        <v/>
      </c>
      <c r="AG416" s="699"/>
      <c r="AH416" s="699"/>
      <c r="AI416" s="512">
        <f>IF(H416="credit",0,IF(AE416="free",0,IF(AE416="me",0,IF(G416&gt;0,(VLOOKUP(A416,'Discount Lookup'!J:K,2)*G416),0))))</f>
        <v>0</v>
      </c>
      <c r="AJ416" s="513" t="str">
        <f t="shared" ca="1" si="279"/>
        <v/>
      </c>
      <c r="AK416" s="700" t="str">
        <f t="shared" si="280"/>
        <v/>
      </c>
      <c r="AL416" s="700"/>
      <c r="AM416" s="505" t="str">
        <f t="shared" si="281"/>
        <v/>
      </c>
      <c r="AN416" s="506"/>
      <c r="AO416" s="507"/>
      <c r="AP416" s="507"/>
      <c r="AQ416" s="507"/>
      <c r="AR416" s="507"/>
      <c r="AS416" s="507"/>
      <c r="AT416" s="507"/>
      <c r="AU416" s="507"/>
      <c r="AV416" s="225"/>
      <c r="AW416" s="508"/>
      <c r="AX416" s="225"/>
      <c r="AY416" s="225"/>
      <c r="AZ416" s="225"/>
      <c r="BA416" s="225"/>
      <c r="BB416" s="225"/>
      <c r="BC416" s="56"/>
      <c r="BD416" s="56"/>
      <c r="BE416" s="56"/>
      <c r="BF416" s="107" t="str">
        <f t="shared" si="282"/>
        <v>https://www.google.com/search?tbm=isch&amp;q=Blue%20Chiffon%20has%20Green%20foliage.%20%22Rose%20of%20Sharon%22%20Hibiscus%20have%20trumpet-shaped%20flowers%20on%20new%20wood.%20Woody%20stems%20remain%20</v>
      </c>
      <c r="BG416" s="107" t="str">
        <f t="shared" si="283"/>
        <v>B</v>
      </c>
      <c r="BH416" s="254"/>
      <c r="BI416" s="254"/>
    </row>
    <row r="417" spans="1:61" customFormat="1" ht="18" x14ac:dyDescent="0.25">
      <c r="A417" s="523" t="s">
        <v>637</v>
      </c>
      <c r="B417" s="235"/>
      <c r="C417" s="676"/>
      <c r="D417" s="255" t="s">
        <v>636</v>
      </c>
      <c r="E417" s="236"/>
      <c r="F417" s="236"/>
      <c r="G417" s="236"/>
      <c r="H417" s="582" t="s">
        <v>4220</v>
      </c>
      <c r="I417" s="498" t="s">
        <v>4221</v>
      </c>
      <c r="J417" s="237"/>
      <c r="K417" s="237"/>
      <c r="L417" s="274"/>
      <c r="M417" s="668" t="s">
        <v>4975</v>
      </c>
      <c r="N417" s="681" t="str">
        <f>IF(AND(ISTEXT($A417), ISERROR($A417+0)), HYPERLINK($BF417, "Images"), "")</f>
        <v>Images</v>
      </c>
      <c r="O417" s="663" t="s">
        <v>4969</v>
      </c>
      <c r="P417" s="253"/>
      <c r="Q417" s="238"/>
      <c r="R417" s="239"/>
      <c r="S417" s="275"/>
      <c r="T417" s="508">
        <f t="shared" si="271"/>
        <v>0</v>
      </c>
      <c r="U417" s="225" t="str">
        <f>IF(NOT(ISNUMBER(G417)), "", VLOOKUP(A417,'Discount Lookup'!D:E,2,FALSE)*G417)</f>
        <v/>
      </c>
      <c r="V417" s="225" t="str">
        <f>IF(NOT(ISNUMBER(G417)), "", VLOOKUP(A417,'Discount Lookup'!G:H,2,FALSE)*G417)</f>
        <v/>
      </c>
      <c r="W417" s="508">
        <f t="shared" si="272"/>
        <v>0</v>
      </c>
      <c r="X417" s="508" t="str">
        <f t="shared" si="273"/>
        <v>Violet-Blue bloom</v>
      </c>
      <c r="Y417" s="509" t="b">
        <f t="shared" si="274"/>
        <v>0</v>
      </c>
      <c r="Z417" s="510">
        <f t="shared" si="275"/>
        <v>0</v>
      </c>
      <c r="AA417" s="511"/>
      <c r="AB417" s="511" t="str">
        <f t="shared" si="276"/>
        <v/>
      </c>
      <c r="AC417" s="698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698"/>
      <c r="AE417" s="631" t="str">
        <f t="shared" si="277"/>
        <v/>
      </c>
      <c r="AF417" s="699" t="str">
        <f t="shared" si="278"/>
        <v/>
      </c>
      <c r="AG417" s="699"/>
      <c r="AH417" s="699"/>
      <c r="AI417" s="512">
        <f>IF(H417="credit",0,IF(AE417="free",0,IF(AE417="me",0,IF(G417&gt;0,(VLOOKUP(A417,'Discount Lookup'!J:K,2)*G417),0))))</f>
        <v>0</v>
      </c>
      <c r="AJ417" s="513" t="str">
        <f t="shared" ca="1" si="279"/>
        <v/>
      </c>
      <c r="AK417" s="700" t="str">
        <f t="shared" si="280"/>
        <v/>
      </c>
      <c r="AL417" s="700"/>
      <c r="AM417" s="505" t="str">
        <f t="shared" si="281"/>
        <v/>
      </c>
      <c r="AN417" s="506"/>
      <c r="AO417" s="507"/>
      <c r="AP417" s="507"/>
      <c r="AQ417" s="507"/>
      <c r="AR417" s="507"/>
      <c r="AS417" s="507"/>
      <c r="AT417" s="507"/>
      <c r="AU417" s="507"/>
      <c r="AV417" s="225"/>
      <c r="AW417" s="508"/>
      <c r="AX417" s="225"/>
      <c r="AY417" s="225"/>
      <c r="AZ417" s="225"/>
      <c r="BA417" s="225"/>
      <c r="BB417" s="225"/>
      <c r="BC417" s="56"/>
      <c r="BD417" s="56"/>
      <c r="BE417" s="56"/>
      <c r="BF417" s="107" t="str">
        <f t="shared" si="282"/>
        <v>https://www.google.com/search?tbm=isch&amp;q=Blue%20Flag%20Iris%20Iris%20x%20robusta%27Gerald%20Darby%27</v>
      </c>
      <c r="BG417" s="107" t="str">
        <f t="shared" si="283"/>
        <v>B</v>
      </c>
      <c r="BH417" s="254"/>
      <c r="BI417" s="254"/>
    </row>
    <row r="418" spans="1:61" customFormat="1" ht="15.75" x14ac:dyDescent="0.25">
      <c r="A418" s="276">
        <v>4</v>
      </c>
      <c r="B418" s="240" t="s">
        <v>340</v>
      </c>
      <c r="C418" s="241"/>
      <c r="D418" s="242" t="s">
        <v>312</v>
      </c>
      <c r="E418" s="243">
        <v>14.95</v>
      </c>
      <c r="F418" s="517" t="s">
        <v>293</v>
      </c>
      <c r="G418" s="232">
        <v>0</v>
      </c>
      <c r="H418" s="661" t="str">
        <f>IF(G418=0,"",IF(F418="Buy",IF(G418=1,"plant","plants"),IF(F418&gt;0.01,"warranty","Error")))</f>
        <v/>
      </c>
      <c r="I418" s="244">
        <f>IF(H418="free",0,IF(H418="credit",((E418*(F418))*G418*-1),IF(F418="Buy",(E418*G418),((E418*(1-F418))*G418))))</f>
        <v>0</v>
      </c>
      <c r="J418" s="244">
        <f>IF(H418="warranty",0,(I418*(_xlfn.SINGLE(SalesTaxPercentage))))</f>
        <v>0</v>
      </c>
      <c r="K418" s="696">
        <f t="shared" ref="K418" si="293">I418+J418</f>
        <v>0</v>
      </c>
      <c r="L418" s="696"/>
      <c r="M418" s="659" t="str">
        <f>IF(AND(G418&gt;0,E418=0),"WARNING - no PRICE inserted",IF(H418="free"," FREE ~ no charge this plant",IF(H418="credit",CONCATENATE(" -$",ROUND(K418*(1-T2GDiscount)*-1,2)," CREDIT after discount"),IF(T2GDiscount=0,"",IF(G418=0,"",IF(F418="Buy",CONCATENATE(" $",ROUND(K418*(1-T2GDiscount),2)," with ",(T2GDiscount*100),"% discount"),CONCATENATE(" $",ROUND(K418*(1-T2GDiscount),2)," with ",((T2GDiscount*100+F418*100)-(T2GDiscount*100*F418)),IF(F418&gt;0,"% discounts",IF(NoWarrantyDiscount&gt;0,"% discounts","% discount")))))))))</f>
        <v/>
      </c>
      <c r="N418" s="660"/>
      <c r="O418" s="233"/>
      <c r="P418" s="233"/>
      <c r="Q418" s="233"/>
      <c r="R418" s="233"/>
      <c r="S418" s="233"/>
      <c r="T418" s="508">
        <f t="shared" si="271"/>
        <v>0</v>
      </c>
      <c r="U418" s="225">
        <f>IF(NOT(ISNUMBER(G418)), "", VLOOKUP(A418,'Discount Lookup'!D:E,2,FALSE)*G418)</f>
        <v>0</v>
      </c>
      <c r="V418" s="225">
        <f>IF(NOT(ISNUMBER(G418)), "", VLOOKUP(A418,'Discount Lookup'!G:H,2,FALSE)*G418)</f>
        <v>0</v>
      </c>
      <c r="W418" s="508">
        <f t="shared" si="272"/>
        <v>0</v>
      </c>
      <c r="X418" s="508">
        <f t="shared" si="273"/>
        <v>0</v>
      </c>
      <c r="Y418" s="509" t="b">
        <f t="shared" si="274"/>
        <v>0</v>
      </c>
      <c r="Z418" s="510">
        <f t="shared" si="275"/>
        <v>0</v>
      </c>
      <c r="AA418" s="511"/>
      <c r="AB418" s="511" t="str">
        <f t="shared" si="276"/>
        <v/>
      </c>
      <c r="AC418" s="698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698"/>
      <c r="AE418" s="631" t="str">
        <f t="shared" si="277"/>
        <v/>
      </c>
      <c r="AF418" s="699" t="str">
        <f t="shared" si="278"/>
        <v/>
      </c>
      <c r="AG418" s="699"/>
      <c r="AH418" s="699"/>
      <c r="AI418" s="512">
        <f>IF(H418="credit",0,IF(AE418="free",0,IF(AE418="me",0,IF(G418&gt;0,(VLOOKUP(A418,'Discount Lookup'!J:K,2)*G418),0))))</f>
        <v>0</v>
      </c>
      <c r="AJ418" s="513" t="str">
        <f t="shared" ca="1" si="279"/>
        <v/>
      </c>
      <c r="AK418" s="700" t="str">
        <f t="shared" si="280"/>
        <v/>
      </c>
      <c r="AL418" s="700"/>
      <c r="AM418" s="505" t="str">
        <f t="shared" si="281"/>
        <v/>
      </c>
      <c r="AN418" s="506"/>
      <c r="AO418" s="507"/>
      <c r="AP418" s="507"/>
      <c r="AQ418" s="507"/>
      <c r="AR418" s="507"/>
      <c r="AS418" s="507"/>
      <c r="AT418" s="507"/>
      <c r="AU418" s="507"/>
      <c r="AV418" s="225"/>
      <c r="AW418" s="508"/>
      <c r="AX418" s="225"/>
      <c r="AY418" s="225"/>
      <c r="AZ418" s="225"/>
      <c r="BA418" s="225"/>
      <c r="BB418" s="225"/>
      <c r="BC418" s="56"/>
      <c r="BD418" s="56"/>
      <c r="BE418" s="56"/>
      <c r="BF418" s="107" t="str">
        <f t="shared" si="282"/>
        <v>https://www.google.com/search?tbm=isch&amp;q=4%20G2</v>
      </c>
      <c r="BG418" s="107" t="str">
        <f t="shared" si="283"/>
        <v>B</v>
      </c>
      <c r="BH418" s="254"/>
      <c r="BI418" s="254"/>
    </row>
    <row r="419" spans="1:61" customFormat="1" ht="17.25" thickBot="1" x14ac:dyDescent="0.3">
      <c r="A419" s="673" t="s">
        <v>5062</v>
      </c>
      <c r="B419" s="245"/>
      <c r="C419" s="677"/>
      <c r="D419" s="499"/>
      <c r="E419" s="499"/>
      <c r="F419" s="500"/>
      <c r="G419" s="501"/>
      <c r="H419" s="502"/>
      <c r="I419" s="246"/>
      <c r="J419" s="247"/>
      <c r="K419" s="503"/>
      <c r="L419" s="544"/>
      <c r="M419" s="544"/>
      <c r="N419" s="500"/>
      <c r="O419" s="500"/>
      <c r="P419" s="500"/>
      <c r="Q419" s="500"/>
      <c r="R419" s="500"/>
      <c r="S419" s="278"/>
      <c r="T419" s="508">
        <f t="shared" si="271"/>
        <v>0</v>
      </c>
      <c r="U419" s="225" t="str">
        <f>IF(NOT(ISNUMBER(G419)), "", VLOOKUP(A419,'Discount Lookup'!D:E,2,FALSE)*G419)</f>
        <v/>
      </c>
      <c r="V419" s="225" t="str">
        <f>IF(NOT(ISNUMBER(G419)), "", VLOOKUP(A419,'Discount Lookup'!G:H,2,FALSE)*G419)</f>
        <v/>
      </c>
      <c r="W419" s="508">
        <f t="shared" si="272"/>
        <v>0</v>
      </c>
      <c r="X419" s="508">
        <f t="shared" si="273"/>
        <v>0</v>
      </c>
      <c r="Y419" s="509" t="b">
        <f t="shared" si="274"/>
        <v>0</v>
      </c>
      <c r="Z419" s="510">
        <f t="shared" si="275"/>
        <v>0</v>
      </c>
      <c r="AA419" s="511"/>
      <c r="AB419" s="511" t="str">
        <f t="shared" si="276"/>
        <v/>
      </c>
      <c r="AC419" s="698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698"/>
      <c r="AE419" s="631" t="str">
        <f t="shared" si="277"/>
        <v/>
      </c>
      <c r="AF419" s="699" t="str">
        <f t="shared" si="278"/>
        <v/>
      </c>
      <c r="AG419" s="699"/>
      <c r="AH419" s="699"/>
      <c r="AI419" s="512">
        <f>IF(H419="credit",0,IF(AE419="free",0,IF(AE419="me",0,IF(G419&gt;0,(VLOOKUP(A419,'Discount Lookup'!J:K,2)*G419),0))))</f>
        <v>0</v>
      </c>
      <c r="AJ419" s="513" t="str">
        <f t="shared" ca="1" si="279"/>
        <v/>
      </c>
      <c r="AK419" s="700" t="str">
        <f t="shared" si="280"/>
        <v/>
      </c>
      <c r="AL419" s="700"/>
      <c r="AM419" s="505" t="str">
        <f t="shared" si="281"/>
        <v/>
      </c>
      <c r="AN419" s="506"/>
      <c r="AO419" s="507"/>
      <c r="AP419" s="507"/>
      <c r="AQ419" s="507"/>
      <c r="AR419" s="507"/>
      <c r="AS419" s="507"/>
      <c r="AT419" s="507"/>
      <c r="AU419" s="507"/>
      <c r="AV419" s="225"/>
      <c r="AW419" s="508"/>
      <c r="AX419" s="225"/>
      <c r="AY419" s="225"/>
      <c r="AZ419" s="225"/>
      <c r="BA419" s="225"/>
      <c r="BB419" s="225"/>
      <c r="BC419" s="56"/>
      <c r="BD419" s="56"/>
      <c r="BE419" s="56"/>
      <c r="BF419" s="107" t="str">
        <f t="shared" si="282"/>
        <v>https://www.google.com/search?tbm=isch&amp;q=moist%20sites%F0%9F%92%A7GOOD%2C%20Blue%20Flag%20Iris%20is%20notable%20for%20its%20striking%20dark%20Purple%20new%20foliage%20in%20spring.%20Tall%20and%20upright%20habit%20</v>
      </c>
      <c r="BG419" s="107" t="str">
        <f t="shared" si="283"/>
        <v>m</v>
      </c>
      <c r="BH419" s="254"/>
      <c r="BI419" s="254"/>
    </row>
    <row r="420" spans="1:61" customFormat="1" ht="18" x14ac:dyDescent="0.25">
      <c r="A420" s="521" t="s">
        <v>310</v>
      </c>
      <c r="B420" s="477"/>
      <c r="C420" s="674"/>
      <c r="D420" s="478" t="s">
        <v>309</v>
      </c>
      <c r="E420" s="479"/>
      <c r="F420" s="479"/>
      <c r="G420" s="479"/>
      <c r="H420" s="582" t="s">
        <v>304</v>
      </c>
      <c r="I420" s="480" t="s">
        <v>2107</v>
      </c>
      <c r="J420" s="479"/>
      <c r="K420" s="479"/>
      <c r="L420" s="560"/>
      <c r="M420" s="666" t="s">
        <v>4963</v>
      </c>
      <c r="N420" s="680" t="str">
        <f>IF(AND(ISTEXT($A420), ISERROR($A420+0)), HYPERLINK($BF420, "Images"), "")</f>
        <v>Images</v>
      </c>
      <c r="O420" s="662" t="s">
        <v>4967</v>
      </c>
      <c r="P420" s="482"/>
      <c r="Q420" s="483"/>
      <c r="R420" s="483"/>
      <c r="S420" s="484"/>
      <c r="T420" s="508">
        <f t="shared" si="271"/>
        <v>0</v>
      </c>
      <c r="U420" s="225" t="str">
        <f>IF(NOT(ISNUMBER(G420)), "", VLOOKUP(A420,'Discount Lookup'!D:E,2,FALSE)*G420)</f>
        <v/>
      </c>
      <c r="V420" s="225" t="str">
        <f>IF(NOT(ISNUMBER(G420)), "", VLOOKUP(A420,'Discount Lookup'!G:H,2,FALSE)*G420)</f>
        <v/>
      </c>
      <c r="W420" s="508">
        <f t="shared" si="272"/>
        <v>0</v>
      </c>
      <c r="X420" s="508" t="str">
        <f t="shared" si="273"/>
        <v>Silvery Blue foliage</v>
      </c>
      <c r="Y420" s="509" t="b">
        <f t="shared" si="274"/>
        <v>0</v>
      </c>
      <c r="Z420" s="510">
        <f t="shared" si="275"/>
        <v>0</v>
      </c>
      <c r="AA420" s="511"/>
      <c r="AB420" s="511" t="str">
        <f t="shared" si="276"/>
        <v/>
      </c>
      <c r="AC420" s="698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698"/>
      <c r="AE420" s="631" t="str">
        <f t="shared" si="277"/>
        <v/>
      </c>
      <c r="AF420" s="699" t="str">
        <f t="shared" si="278"/>
        <v/>
      </c>
      <c r="AG420" s="699"/>
      <c r="AH420" s="699"/>
      <c r="AI420" s="512">
        <f>IF(H420="credit",0,IF(AE420="free",0,IF(AE420="me",0,IF(G420&gt;0,(VLOOKUP(A420,'Discount Lookup'!J:K,2)*G420),0))))</f>
        <v>0</v>
      </c>
      <c r="AJ420" s="513" t="str">
        <f t="shared" ca="1" si="279"/>
        <v/>
      </c>
      <c r="AK420" s="700" t="str">
        <f t="shared" si="280"/>
        <v/>
      </c>
      <c r="AL420" s="700"/>
      <c r="AM420" s="505" t="str">
        <f t="shared" si="281"/>
        <v/>
      </c>
      <c r="AN420" s="506"/>
      <c r="AO420" s="507"/>
      <c r="AP420" s="507"/>
      <c r="AQ420" s="507"/>
      <c r="AR420" s="507"/>
      <c r="AS420" s="507"/>
      <c r="AT420" s="507"/>
      <c r="AU420" s="507"/>
      <c r="AV420" s="225"/>
      <c r="AW420" s="508"/>
      <c r="AX420" s="225"/>
      <c r="AY420" s="225"/>
      <c r="AZ420" s="225"/>
      <c r="BA420" s="225"/>
      <c r="BB420" s="225"/>
      <c r="BC420" s="56"/>
      <c r="BD420" s="56"/>
      <c r="BE420" s="56"/>
      <c r="BF420" s="107" t="str">
        <f t="shared" si="282"/>
        <v>https://www.google.com/search?tbm=isch&amp;q=Blue%20Ice%20Arizona%20Cypress%20Hesperocyparis%20glabra%20%27Blue%20Ice%27</v>
      </c>
      <c r="BG420" s="107" t="str">
        <f t="shared" si="283"/>
        <v>B</v>
      </c>
      <c r="BH420" s="254"/>
      <c r="BI420" s="254"/>
    </row>
    <row r="421" spans="1:61" customFormat="1" ht="15.75" x14ac:dyDescent="0.25">
      <c r="A421" s="485">
        <v>3</v>
      </c>
      <c r="B421" s="486" t="s">
        <v>291</v>
      </c>
      <c r="C421" s="487" t="s">
        <v>2116</v>
      </c>
      <c r="D421" s="488" t="s">
        <v>299</v>
      </c>
      <c r="E421" s="489">
        <v>33.950000000000003</v>
      </c>
      <c r="F421" s="516" t="s">
        <v>293</v>
      </c>
      <c r="G421" s="232">
        <v>0</v>
      </c>
      <c r="H421" s="658" t="str">
        <f>IF(G421=0,"",IF(F421="Buy",IF(G421=1,"plant","plants"),IF(F421&gt;0.01,"warranty","Error")))</f>
        <v/>
      </c>
      <c r="I421" s="490">
        <f>IF(H421="free",0,IF(H421="credit",((E421*(F421))*G421*-1),IF(F421="Buy",(E421*G421),((E421*(1-F421))*G421))))</f>
        <v>0</v>
      </c>
      <c r="J421" s="490">
        <f>IF(H421="warranty",0,(I421*(_xlfn.SINGLE(SalesTaxPercentage))))</f>
        <v>0</v>
      </c>
      <c r="K421" s="695">
        <f t="shared" ref="K421" si="294">I421+J421</f>
        <v>0</v>
      </c>
      <c r="L421" s="695"/>
      <c r="M421" s="659" t="str">
        <f>IF(AND(G421&gt;0,E421=0),"WARNING - no PRICE inserted",IF(H421="free"," FREE ~ no charge this plant",IF(H421="credit",CONCATENATE(" -$",ROUND(K421*(1-T2GDiscount)*-1,2)," CREDIT after discount"),IF(T2GDiscount=0,"",IF(G421=0,"",IF(F421="Buy",CONCATENATE(" $",ROUND(K421*(1-T2GDiscount),2)," with ",(T2GDiscount*100),"% discount"),CONCATENATE(" $",ROUND(K421*(1-T2GDiscount),2)," with ",((T2GDiscount*100+F421*100)-(T2GDiscount*100*F421)),IF(F421&gt;0,"% discounts",IF(NoWarrantyDiscount&gt;0,"% discounts","% discount")))))))))</f>
        <v/>
      </c>
      <c r="N421" s="660"/>
      <c r="O421" s="233"/>
      <c r="P421" s="233"/>
      <c r="Q421" s="233"/>
      <c r="R421" s="233"/>
      <c r="S421" s="233"/>
      <c r="T421" s="508">
        <f t="shared" si="271"/>
        <v>0</v>
      </c>
      <c r="U421" s="225">
        <f>IF(NOT(ISNUMBER(G421)), "", VLOOKUP(A421,'Discount Lookup'!D:E,2,FALSE)*G421)</f>
        <v>0</v>
      </c>
      <c r="V421" s="225">
        <f>IF(NOT(ISNUMBER(G421)), "", VLOOKUP(A421,'Discount Lookup'!G:H,2,FALSE)*G421)</f>
        <v>0</v>
      </c>
      <c r="W421" s="508">
        <f t="shared" si="272"/>
        <v>0</v>
      </c>
      <c r="X421" s="508">
        <f t="shared" si="273"/>
        <v>0</v>
      </c>
      <c r="Y421" s="509" t="b">
        <f t="shared" si="274"/>
        <v>0</v>
      </c>
      <c r="Z421" s="510">
        <f t="shared" si="275"/>
        <v>0</v>
      </c>
      <c r="AA421" s="511"/>
      <c r="AB421" s="511" t="str">
        <f t="shared" si="276"/>
        <v/>
      </c>
      <c r="AC421" s="698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698"/>
      <c r="AE421" s="631" t="str">
        <f t="shared" si="277"/>
        <v/>
      </c>
      <c r="AF421" s="699" t="str">
        <f t="shared" si="278"/>
        <v/>
      </c>
      <c r="AG421" s="699"/>
      <c r="AH421" s="699"/>
      <c r="AI421" s="512">
        <f>IF(H421="credit",0,IF(AE421="free",0,IF(AE421="me",0,IF(G421&gt;0,(VLOOKUP(A421,'Discount Lookup'!J:K,2)*G421),0))))</f>
        <v>0</v>
      </c>
      <c r="AJ421" s="513" t="str">
        <f t="shared" ca="1" si="279"/>
        <v/>
      </c>
      <c r="AK421" s="700" t="str">
        <f t="shared" si="280"/>
        <v/>
      </c>
      <c r="AL421" s="700"/>
      <c r="AM421" s="505" t="str">
        <f t="shared" si="281"/>
        <v/>
      </c>
      <c r="AN421" s="506"/>
      <c r="AO421" s="507"/>
      <c r="AP421" s="507"/>
      <c r="AQ421" s="507"/>
      <c r="AR421" s="507"/>
      <c r="AS421" s="507"/>
      <c r="AT421" s="507"/>
      <c r="AU421" s="507"/>
      <c r="AV421" s="225"/>
      <c r="AW421" s="508"/>
      <c r="AX421" s="225"/>
      <c r="AY421" s="225"/>
      <c r="AZ421" s="225"/>
      <c r="BA421" s="225"/>
      <c r="BB421" s="225"/>
      <c r="BC421" s="56"/>
      <c r="BD421" s="56"/>
      <c r="BE421" s="56"/>
      <c r="BF421" s="107" t="str">
        <f t="shared" si="282"/>
        <v>https://www.google.com/search?tbm=isch&amp;q=3%20G5</v>
      </c>
      <c r="BG421" s="107" t="str">
        <f t="shared" si="283"/>
        <v>B</v>
      </c>
      <c r="BH421" s="254"/>
      <c r="BI421" s="254"/>
    </row>
    <row r="422" spans="1:61" customFormat="1" ht="15.75" x14ac:dyDescent="0.25">
      <c r="A422" s="485">
        <v>15</v>
      </c>
      <c r="B422" s="486" t="s">
        <v>291</v>
      </c>
      <c r="C422" s="487" t="s">
        <v>4490</v>
      </c>
      <c r="D422" s="488" t="s">
        <v>299</v>
      </c>
      <c r="E422" s="489">
        <v>160.94999999999999</v>
      </c>
      <c r="F422" s="516" t="s">
        <v>293</v>
      </c>
      <c r="G422" s="232">
        <v>0</v>
      </c>
      <c r="H422" s="658" t="str">
        <f>IF(G422=0,"",IF(F422="Buy",IF(G422=1,"plant","plants"),IF(F422&gt;0.01,"warranty","Error")))</f>
        <v/>
      </c>
      <c r="I422" s="490">
        <f>IF(H422="free",0,IF(H422="credit",((E422*(F422))*G422*-1),IF(F422="Buy",(E422*G422),((E422*(1-F422))*G422))))</f>
        <v>0</v>
      </c>
      <c r="J422" s="490">
        <f>IF(H422="warranty",0,(I422*(_xlfn.SINGLE(SalesTaxPercentage))))</f>
        <v>0</v>
      </c>
      <c r="K422" s="695">
        <f t="shared" ref="K422" si="295">I422+J422</f>
        <v>0</v>
      </c>
      <c r="L422" s="695"/>
      <c r="M422" s="659" t="str">
        <f>IF(AND(G422&gt;0,E422=0),"WARNING - no PRICE inserted",IF(H422="free"," FREE ~ no charge this plant",IF(H422="credit",CONCATENATE(" -$",ROUND(K422*(1-T2GDiscount)*-1,2)," CREDIT after discount"),IF(T2GDiscount=0,"",IF(G422=0,"",IF(F422="Buy",CONCATENATE(" $",ROUND(K422*(1-T2GDiscount),2)," with ",(T2GDiscount*100),"% discount"),CONCATENATE(" $",ROUND(K422*(1-T2GDiscount),2)," with ",((T2GDiscount*100+F422*100)-(T2GDiscount*100*F422)),IF(F422&gt;0,"% discounts",IF(NoWarrantyDiscount&gt;0,"% discounts","% discount")))))))))</f>
        <v/>
      </c>
      <c r="N422" s="660"/>
      <c r="O422" s="233"/>
      <c r="P422" s="233"/>
      <c r="Q422" s="233"/>
      <c r="R422" s="233"/>
      <c r="S422" s="233"/>
      <c r="T422" s="508">
        <f t="shared" si="271"/>
        <v>0</v>
      </c>
      <c r="U422" s="225">
        <f>IF(NOT(ISNUMBER(G422)), "", VLOOKUP(A422,'Discount Lookup'!D:E,2,FALSE)*G422)</f>
        <v>0</v>
      </c>
      <c r="V422" s="225">
        <f>IF(NOT(ISNUMBER(G422)), "", VLOOKUP(A422,'Discount Lookup'!G:H,2,FALSE)*G422)</f>
        <v>0</v>
      </c>
      <c r="W422" s="508">
        <f t="shared" si="272"/>
        <v>0</v>
      </c>
      <c r="X422" s="508">
        <f t="shared" si="273"/>
        <v>0</v>
      </c>
      <c r="Y422" s="509" t="b">
        <f t="shared" si="274"/>
        <v>0</v>
      </c>
      <c r="Z422" s="510">
        <f t="shared" si="275"/>
        <v>0</v>
      </c>
      <c r="AA422" s="511"/>
      <c r="AB422" s="511" t="str">
        <f t="shared" si="276"/>
        <v/>
      </c>
      <c r="AC422" s="698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698"/>
      <c r="AE422" s="631" t="str">
        <f t="shared" si="277"/>
        <v/>
      </c>
      <c r="AF422" s="699" t="str">
        <f t="shared" si="278"/>
        <v/>
      </c>
      <c r="AG422" s="699"/>
      <c r="AH422" s="699"/>
      <c r="AI422" s="512">
        <f>IF(H422="credit",0,IF(AE422="free",0,IF(AE422="me",0,IF(G422&gt;0,(VLOOKUP(A422,'Discount Lookup'!J:K,2)*G422),0))))</f>
        <v>0</v>
      </c>
      <c r="AJ422" s="513" t="str">
        <f t="shared" ca="1" si="279"/>
        <v/>
      </c>
      <c r="AK422" s="700" t="str">
        <f t="shared" si="280"/>
        <v/>
      </c>
      <c r="AL422" s="700"/>
      <c r="AM422" s="505" t="str">
        <f t="shared" si="281"/>
        <v/>
      </c>
      <c r="AN422" s="506"/>
      <c r="AO422" s="507"/>
      <c r="AP422" s="507"/>
      <c r="AQ422" s="507"/>
      <c r="AR422" s="507"/>
      <c r="AS422" s="507"/>
      <c r="AT422" s="507"/>
      <c r="AU422" s="507"/>
      <c r="AV422" s="225"/>
      <c r="AW422" s="508"/>
      <c r="AX422" s="225"/>
      <c r="AY422" s="225"/>
      <c r="AZ422" s="225"/>
      <c r="BA422" s="225"/>
      <c r="BB422" s="225"/>
      <c r="BC422" s="56"/>
      <c r="BD422" s="56"/>
      <c r="BE422" s="56"/>
      <c r="BF422" s="107" t="str">
        <f t="shared" si="282"/>
        <v>https://www.google.com/search?tbm=isch&amp;q=15%20G5</v>
      </c>
      <c r="BG422" s="107" t="str">
        <f t="shared" si="283"/>
        <v>B</v>
      </c>
      <c r="BH422" s="254"/>
      <c r="BI422" s="254"/>
    </row>
    <row r="423" spans="1:61" customFormat="1" ht="15.75" x14ac:dyDescent="0.25">
      <c r="A423" s="485">
        <v>15</v>
      </c>
      <c r="B423" s="486" t="s">
        <v>291</v>
      </c>
      <c r="C423" s="487" t="s">
        <v>4657</v>
      </c>
      <c r="D423" s="488" t="s">
        <v>300</v>
      </c>
      <c r="E423" s="489">
        <v>295.95</v>
      </c>
      <c r="F423" s="516" t="s">
        <v>293</v>
      </c>
      <c r="G423" s="232">
        <v>0</v>
      </c>
      <c r="H423" s="658" t="str">
        <f>IF(G423=0,"",IF(F423="Buy",IF(G423=1,"plant","plants"),IF(F423&gt;0.01,"warranty","Error")))</f>
        <v/>
      </c>
      <c r="I423" s="490">
        <f>IF(H423="free",0,IF(H423="credit",((E423*(F423))*G423*-1),IF(F423="Buy",(E423*G423),((E423*(1-F423))*G423))))</f>
        <v>0</v>
      </c>
      <c r="J423" s="490">
        <f>IF(H423="warranty",0,(I423*(_xlfn.SINGLE(SalesTaxPercentage))))</f>
        <v>0</v>
      </c>
      <c r="K423" s="695">
        <f t="shared" ref="K423" si="296">I423+J423</f>
        <v>0</v>
      </c>
      <c r="L423" s="695"/>
      <c r="M423" s="659" t="str">
        <f>IF(AND(G423&gt;0,E423=0),"WARNING - no PRICE inserted",IF(H423="free"," FREE ~ no charge this plant",IF(H423="credit",CONCATENATE(" -$",ROUND(K423*(1-T2GDiscount)*-1,2)," CREDIT after discount"),IF(T2GDiscount=0,"",IF(G423=0,"",IF(F423="Buy",CONCATENATE(" $",ROUND(K423*(1-T2GDiscount),2)," with ",(T2GDiscount*100),"% discount"),CONCATENATE(" $",ROUND(K423*(1-T2GDiscount),2)," with ",((T2GDiscount*100+F423*100)-(T2GDiscount*100*F423)),IF(F423&gt;0,"% discounts",IF(NoWarrantyDiscount&gt;0,"% discounts","% discount")))))))))</f>
        <v/>
      </c>
      <c r="N423" s="660"/>
      <c r="O423" s="233"/>
      <c r="P423" s="233"/>
      <c r="Q423" s="233"/>
      <c r="R423" s="233"/>
      <c r="S423" s="233"/>
      <c r="T423" s="508">
        <f t="shared" si="271"/>
        <v>0</v>
      </c>
      <c r="U423" s="225">
        <f>IF(NOT(ISNUMBER(G423)), "", VLOOKUP(A423,'Discount Lookup'!D:E,2,FALSE)*G423)</f>
        <v>0</v>
      </c>
      <c r="V423" s="225">
        <f>IF(NOT(ISNUMBER(G423)), "", VLOOKUP(A423,'Discount Lookup'!G:H,2,FALSE)*G423)</f>
        <v>0</v>
      </c>
      <c r="W423" s="508">
        <f t="shared" si="272"/>
        <v>0</v>
      </c>
      <c r="X423" s="508">
        <f t="shared" si="273"/>
        <v>0</v>
      </c>
      <c r="Y423" s="509" t="b">
        <f t="shared" si="274"/>
        <v>0</v>
      </c>
      <c r="Z423" s="510">
        <f t="shared" si="275"/>
        <v>0</v>
      </c>
      <c r="AA423" s="511"/>
      <c r="AB423" s="511" t="str">
        <f t="shared" si="276"/>
        <v/>
      </c>
      <c r="AC423" s="698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698"/>
      <c r="AE423" s="631" t="str">
        <f t="shared" si="277"/>
        <v/>
      </c>
      <c r="AF423" s="699" t="str">
        <f t="shared" si="278"/>
        <v/>
      </c>
      <c r="AG423" s="699"/>
      <c r="AH423" s="699"/>
      <c r="AI423" s="512">
        <f>IF(H423="credit",0,IF(AE423="free",0,IF(AE423="me",0,IF(G423&gt;0,(VLOOKUP(A423,'Discount Lookup'!J:K,2)*G423),0))))</f>
        <v>0</v>
      </c>
      <c r="AJ423" s="513" t="str">
        <f t="shared" ca="1" si="279"/>
        <v/>
      </c>
      <c r="AK423" s="700" t="str">
        <f t="shared" si="280"/>
        <v/>
      </c>
      <c r="AL423" s="700"/>
      <c r="AM423" s="505" t="str">
        <f t="shared" si="281"/>
        <v/>
      </c>
      <c r="AN423" s="506"/>
      <c r="AO423" s="507"/>
      <c r="AP423" s="507"/>
      <c r="AQ423" s="507"/>
      <c r="AR423" s="507"/>
      <c r="AS423" s="507"/>
      <c r="AT423" s="507"/>
      <c r="AU423" s="507"/>
      <c r="AV423" s="225"/>
      <c r="AW423" s="508"/>
      <c r="AX423" s="225"/>
      <c r="AY423" s="225"/>
      <c r="AZ423" s="225"/>
      <c r="BA423" s="225"/>
      <c r="BB423" s="225"/>
      <c r="BC423" s="56"/>
      <c r="BD423" s="56"/>
      <c r="BE423" s="56"/>
      <c r="BF423" s="107" t="str">
        <f t="shared" si="282"/>
        <v>https://www.google.com/search?tbm=isch&amp;q=15%20G6</v>
      </c>
      <c r="BG423" s="107" t="str">
        <f t="shared" si="283"/>
        <v>B</v>
      </c>
      <c r="BH423" s="254"/>
      <c r="BI423" s="254"/>
    </row>
    <row r="424" spans="1:61" customFormat="1" ht="17.25" thickBot="1" x14ac:dyDescent="0.3">
      <c r="A424" s="522" t="s">
        <v>2344</v>
      </c>
      <c r="B424" s="491"/>
      <c r="C424" s="675"/>
      <c r="D424" s="491"/>
      <c r="E424" s="491"/>
      <c r="F424" s="492"/>
      <c r="G424" s="493"/>
      <c r="H424" s="491"/>
      <c r="I424" s="234"/>
      <c r="J424" s="234"/>
      <c r="K424" s="494"/>
      <c r="L424" s="543"/>
      <c r="M424" s="561"/>
      <c r="N424" s="495"/>
      <c r="O424" s="496"/>
      <c r="P424" s="497"/>
      <c r="Q424" s="495"/>
      <c r="R424" s="495"/>
      <c r="S424" s="667" t="s">
        <v>4984</v>
      </c>
      <c r="T424" s="508">
        <f t="shared" si="271"/>
        <v>0</v>
      </c>
      <c r="U424" s="225" t="str">
        <f>IF(NOT(ISNUMBER(G424)), "", VLOOKUP(A424,'Discount Lookup'!D:E,2,FALSE)*G424)</f>
        <v/>
      </c>
      <c r="V424" s="225" t="str">
        <f>IF(NOT(ISNUMBER(G424)), "", VLOOKUP(A424,'Discount Lookup'!G:H,2,FALSE)*G424)</f>
        <v/>
      </c>
      <c r="W424" s="508">
        <f t="shared" si="272"/>
        <v>0</v>
      </c>
      <c r="X424" s="508">
        <f t="shared" si="273"/>
        <v>0</v>
      </c>
      <c r="Y424" s="509" t="b">
        <f t="shared" si="274"/>
        <v>0</v>
      </c>
      <c r="Z424" s="510">
        <f t="shared" si="275"/>
        <v>0</v>
      </c>
      <c r="AA424" s="511"/>
      <c r="AB424" s="511" t="str">
        <f t="shared" si="276"/>
        <v/>
      </c>
      <c r="AC424" s="698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698"/>
      <c r="AE424" s="631" t="str">
        <f t="shared" si="277"/>
        <v/>
      </c>
      <c r="AF424" s="699" t="str">
        <f t="shared" si="278"/>
        <v/>
      </c>
      <c r="AG424" s="699"/>
      <c r="AH424" s="699"/>
      <c r="AI424" s="512">
        <f>IF(H424="credit",0,IF(AE424="free",0,IF(AE424="me",0,IF(G424&gt;0,(VLOOKUP(A424,'Discount Lookup'!J:K,2)*G424),0))))</f>
        <v>0</v>
      </c>
      <c r="AJ424" s="513" t="str">
        <f t="shared" ca="1" si="279"/>
        <v/>
      </c>
      <c r="AK424" s="700" t="str">
        <f t="shared" si="280"/>
        <v/>
      </c>
      <c r="AL424" s="700"/>
      <c r="AM424" s="505" t="str">
        <f t="shared" si="281"/>
        <v/>
      </c>
      <c r="AN424" s="506"/>
      <c r="AO424" s="507"/>
      <c r="AP424" s="507"/>
      <c r="AQ424" s="507"/>
      <c r="AR424" s="507"/>
      <c r="AS424" s="507"/>
      <c r="AT424" s="507"/>
      <c r="AU424" s="507"/>
      <c r="AV424" s="225"/>
      <c r="AW424" s="508"/>
      <c r="AX424" s="225"/>
      <c r="AY424" s="225"/>
      <c r="AZ424" s="225"/>
      <c r="BA424" s="225"/>
      <c r="BB424" s="225"/>
      <c r="BC424" s="56"/>
      <c r="BD424" s="56"/>
      <c r="BE424" s="56"/>
      <c r="BF424" s="107" t="str">
        <f t="shared" si="282"/>
        <v>https://www.google.com/search?tbm=isch&amp;q=Blue%20Ice%20is%20a%20striking%2C%20upright%20evergreen%20celebrated%20for%20its%20brilliant%20powdery-blue%20foliage%20and%20beautiful%20exfoliating%20bark%20</v>
      </c>
      <c r="BG424" s="107" t="str">
        <f t="shared" si="283"/>
        <v>B</v>
      </c>
      <c r="BH424" s="254"/>
      <c r="BI424" s="254"/>
    </row>
    <row r="425" spans="1:61" customFormat="1" ht="18" x14ac:dyDescent="0.25">
      <c r="A425" s="523" t="s">
        <v>5582</v>
      </c>
      <c r="B425" s="235"/>
      <c r="C425" s="676"/>
      <c r="D425" s="255" t="s">
        <v>1682</v>
      </c>
      <c r="E425" s="236"/>
      <c r="F425" s="236"/>
      <c r="G425" s="236"/>
      <c r="H425" s="582" t="s">
        <v>2947</v>
      </c>
      <c r="I425" s="498" t="s">
        <v>2108</v>
      </c>
      <c r="J425" s="237"/>
      <c r="K425" s="237"/>
      <c r="L425" s="274"/>
      <c r="M425" s="668" t="s">
        <v>4962</v>
      </c>
      <c r="N425" s="681" t="str">
        <f>IF(AND(ISTEXT($A425), ISERROR($A425+0)), HYPERLINK($BF425, "Images"), "")</f>
        <v>Images</v>
      </c>
      <c r="O425" s="663" t="s">
        <v>4967</v>
      </c>
      <c r="P425" s="253"/>
      <c r="Q425" s="238"/>
      <c r="R425" s="239"/>
      <c r="S425" s="275"/>
      <c r="T425" s="508">
        <f t="shared" si="271"/>
        <v>0</v>
      </c>
      <c r="U425" s="225" t="str">
        <f>IF(NOT(ISNUMBER(G425)), "", VLOOKUP(A425,'Discount Lookup'!D:E,2,FALSE)*G425)</f>
        <v/>
      </c>
      <c r="V425" s="225" t="str">
        <f>IF(NOT(ISNUMBER(G425)), "", VLOOKUP(A425,'Discount Lookup'!G:H,2,FALSE)*G425)</f>
        <v/>
      </c>
      <c r="W425" s="508">
        <f t="shared" si="272"/>
        <v>0</v>
      </c>
      <c r="X425" s="508" t="str">
        <f t="shared" si="273"/>
        <v>Lavendar-Blue bloom</v>
      </c>
      <c r="Y425" s="509" t="b">
        <f t="shared" si="274"/>
        <v>0</v>
      </c>
      <c r="Z425" s="510">
        <f t="shared" si="275"/>
        <v>0</v>
      </c>
      <c r="AA425" s="511"/>
      <c r="AB425" s="511" t="str">
        <f t="shared" si="276"/>
        <v/>
      </c>
      <c r="AC425" s="698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698"/>
      <c r="AE425" s="631" t="str">
        <f t="shared" si="277"/>
        <v/>
      </c>
      <c r="AF425" s="699" t="str">
        <f t="shared" si="278"/>
        <v/>
      </c>
      <c r="AG425" s="699"/>
      <c r="AH425" s="699"/>
      <c r="AI425" s="512">
        <f>IF(H425="credit",0,IF(AE425="free",0,IF(AE425="me",0,IF(G425&gt;0,(VLOOKUP(A425,'Discount Lookup'!J:K,2)*G425),0))))</f>
        <v>0</v>
      </c>
      <c r="AJ425" s="513" t="str">
        <f t="shared" ca="1" si="279"/>
        <v/>
      </c>
      <c r="AK425" s="700" t="str">
        <f t="shared" si="280"/>
        <v/>
      </c>
      <c r="AL425" s="700"/>
      <c r="AM425" s="505" t="str">
        <f t="shared" si="281"/>
        <v/>
      </c>
      <c r="AN425" s="506"/>
      <c r="AO425" s="507"/>
      <c r="AP425" s="507"/>
      <c r="AQ425" s="507"/>
      <c r="AR425" s="507"/>
      <c r="AS425" s="507"/>
      <c r="AT425" s="507"/>
      <c r="AU425" s="507"/>
      <c r="AV425" s="225"/>
      <c r="AW425" s="508"/>
      <c r="AX425" s="225"/>
      <c r="AY425" s="225"/>
      <c r="AZ425" s="225"/>
      <c r="BA425" s="225"/>
      <c r="BB425" s="225"/>
      <c r="BC425" s="56"/>
      <c r="BD425" s="56"/>
      <c r="BE425" s="56"/>
      <c r="BF425" s="107" t="str">
        <f t="shared" si="282"/>
        <v>https://www.google.com/search?tbm=isch&amp;q=Blue%20Moon%C2%AE%20Bee%20Balm%20%28SB%C2%AE%29%20Monarda%20didyma%20%27Blue%20Moon%27%20PP%2329549</v>
      </c>
      <c r="BG425" s="107" t="str">
        <f t="shared" si="283"/>
        <v>B</v>
      </c>
      <c r="BH425" s="254"/>
      <c r="BI425" s="254"/>
    </row>
    <row r="426" spans="1:61" customFormat="1" ht="15.75" x14ac:dyDescent="0.25">
      <c r="A426" s="276">
        <v>2</v>
      </c>
      <c r="B426" s="240" t="s">
        <v>291</v>
      </c>
      <c r="C426" s="241"/>
      <c r="D426" s="242" t="s">
        <v>300</v>
      </c>
      <c r="E426" s="243">
        <v>25.95</v>
      </c>
      <c r="F426" s="517" t="s">
        <v>293</v>
      </c>
      <c r="G426" s="232">
        <v>0</v>
      </c>
      <c r="H426" s="661" t="str">
        <f>IF(G426=0,"",IF(F426="Buy",IF(G426=1,"plant","plants"),IF(F426&gt;0.01,"warranty","Error")))</f>
        <v/>
      </c>
      <c r="I426" s="244">
        <f>IF(H426="free",0,IF(H426="credit",((E426*(F426))*G426*-1),IF(F426="Buy",(E426*G426),((E426*(1-F426))*G426))))</f>
        <v>0</v>
      </c>
      <c r="J426" s="244">
        <f>IF(H426="warranty",0,(I426*(_xlfn.SINGLE(SalesTaxPercentage))))</f>
        <v>0</v>
      </c>
      <c r="K426" s="696">
        <f t="shared" ref="K426" si="297">I426+J426</f>
        <v>0</v>
      </c>
      <c r="L426" s="696"/>
      <c r="M426" s="659" t="str">
        <f>IF(AND(G426&gt;0,E426=0),"WARNING - no PRICE inserted",IF(H426="free"," FREE ~ no charge this plant",IF(H426="credit",CONCATENATE(" -$",ROUND(K426*(1-T2GDiscount)*-1,2)," CREDIT after discount"),IF(T2GDiscount=0,"",IF(G426=0,"",IF(F426="Buy",CONCATENATE(" $",ROUND(K426*(1-T2GDiscount),2)," with ",(T2GDiscount*100),"% discount"),CONCATENATE(" $",ROUND(K426*(1-T2GDiscount),2)," with ",((T2GDiscount*100+F426*100)-(T2GDiscount*100*F426)),IF(F426&gt;0,"% discounts",IF(NoWarrantyDiscount&gt;0,"% discounts","% discount")))))))))</f>
        <v/>
      </c>
      <c r="N426" s="660"/>
      <c r="O426" s="233"/>
      <c r="P426" s="233"/>
      <c r="Q426" s="233"/>
      <c r="R426" s="233"/>
      <c r="S426" s="233"/>
      <c r="T426" s="508">
        <f t="shared" si="271"/>
        <v>0</v>
      </c>
      <c r="U426" s="225">
        <f>IF(NOT(ISNUMBER(G426)), "", VLOOKUP(A426,'Discount Lookup'!D:E,2,FALSE)*G426)</f>
        <v>0</v>
      </c>
      <c r="V426" s="225">
        <f>IF(NOT(ISNUMBER(G426)), "", VLOOKUP(A426,'Discount Lookup'!G:H,2,FALSE)*G426)</f>
        <v>0</v>
      </c>
      <c r="W426" s="508">
        <f t="shared" si="272"/>
        <v>0</v>
      </c>
      <c r="X426" s="508">
        <f t="shared" si="273"/>
        <v>0</v>
      </c>
      <c r="Y426" s="509" t="b">
        <f t="shared" si="274"/>
        <v>0</v>
      </c>
      <c r="Z426" s="510">
        <f t="shared" si="275"/>
        <v>0</v>
      </c>
      <c r="AA426" s="511"/>
      <c r="AB426" s="511" t="str">
        <f t="shared" si="276"/>
        <v/>
      </c>
      <c r="AC426" s="698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698"/>
      <c r="AE426" s="631" t="str">
        <f t="shared" si="277"/>
        <v/>
      </c>
      <c r="AF426" s="699" t="str">
        <f t="shared" si="278"/>
        <v/>
      </c>
      <c r="AG426" s="699"/>
      <c r="AH426" s="699"/>
      <c r="AI426" s="512">
        <f>IF(H426="credit",0,IF(AE426="free",0,IF(AE426="me",0,IF(G426&gt;0,(VLOOKUP(A426,'Discount Lookup'!J:K,2)*G426),0))))</f>
        <v>0</v>
      </c>
      <c r="AJ426" s="513" t="str">
        <f t="shared" ca="1" si="279"/>
        <v/>
      </c>
      <c r="AK426" s="700" t="str">
        <f t="shared" si="280"/>
        <v/>
      </c>
      <c r="AL426" s="700"/>
      <c r="AM426" s="505" t="str">
        <f t="shared" si="281"/>
        <v/>
      </c>
      <c r="AN426" s="506"/>
      <c r="AO426" s="507"/>
      <c r="AP426" s="507"/>
      <c r="AQ426" s="507"/>
      <c r="AR426" s="507"/>
      <c r="AS426" s="507"/>
      <c r="AT426" s="507"/>
      <c r="AU426" s="507"/>
      <c r="AV426" s="225"/>
      <c r="AW426" s="508"/>
      <c r="AX426" s="225"/>
      <c r="AY426" s="225"/>
      <c r="AZ426" s="225"/>
      <c r="BA426" s="225"/>
      <c r="BB426" s="225"/>
      <c r="BC426" s="56"/>
      <c r="BD426" s="56"/>
      <c r="BE426" s="56"/>
      <c r="BF426" s="107" t="str">
        <f t="shared" si="282"/>
        <v>https://www.google.com/search?tbm=isch&amp;q=2%20G6</v>
      </c>
      <c r="BG426" s="107" t="str">
        <f t="shared" si="283"/>
        <v>B</v>
      </c>
      <c r="BH426" s="254"/>
      <c r="BI426" s="254"/>
    </row>
    <row r="427" spans="1:61" customFormat="1" ht="17.25" thickBot="1" x14ac:dyDescent="0.3">
      <c r="A427" s="673" t="s">
        <v>5063</v>
      </c>
      <c r="B427" s="245"/>
      <c r="C427" s="677"/>
      <c r="D427" s="499"/>
      <c r="E427" s="499"/>
      <c r="F427" s="500"/>
      <c r="G427" s="501"/>
      <c r="H427" s="502"/>
      <c r="I427" s="246"/>
      <c r="J427" s="247"/>
      <c r="K427" s="503"/>
      <c r="L427" s="544"/>
      <c r="M427" s="544"/>
      <c r="N427" s="500"/>
      <c r="O427" s="500"/>
      <c r="P427" s="500"/>
      <c r="Q427" s="500"/>
      <c r="R427" s="500"/>
      <c r="S427" s="669" t="s">
        <v>4994</v>
      </c>
      <c r="T427" s="508">
        <f t="shared" si="271"/>
        <v>0</v>
      </c>
      <c r="U427" s="225" t="str">
        <f>IF(NOT(ISNUMBER(G427)), "", VLOOKUP(A427,'Discount Lookup'!D:E,2,FALSE)*G427)</f>
        <v/>
      </c>
      <c r="V427" s="225" t="str">
        <f>IF(NOT(ISNUMBER(G427)), "", VLOOKUP(A427,'Discount Lookup'!G:H,2,FALSE)*G427)</f>
        <v/>
      </c>
      <c r="W427" s="508">
        <f t="shared" si="272"/>
        <v>0</v>
      </c>
      <c r="X427" s="508">
        <f t="shared" si="273"/>
        <v>0</v>
      </c>
      <c r="Y427" s="509" t="b">
        <f t="shared" si="274"/>
        <v>0</v>
      </c>
      <c r="Z427" s="510">
        <f t="shared" si="275"/>
        <v>0</v>
      </c>
      <c r="AA427" s="511"/>
      <c r="AB427" s="511" t="str">
        <f t="shared" si="276"/>
        <v/>
      </c>
      <c r="AC427" s="698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698"/>
      <c r="AE427" s="631" t="str">
        <f t="shared" si="277"/>
        <v/>
      </c>
      <c r="AF427" s="699" t="str">
        <f t="shared" si="278"/>
        <v/>
      </c>
      <c r="AG427" s="699"/>
      <c r="AH427" s="699"/>
      <c r="AI427" s="512">
        <f>IF(H427="credit",0,IF(AE427="free",0,IF(AE427="me",0,IF(G427&gt;0,(VLOOKUP(A427,'Discount Lookup'!J:K,2)*G427),0))))</f>
        <v>0</v>
      </c>
      <c r="AJ427" s="513" t="str">
        <f t="shared" ca="1" si="279"/>
        <v/>
      </c>
      <c r="AK427" s="700" t="str">
        <f t="shared" si="280"/>
        <v/>
      </c>
      <c r="AL427" s="700"/>
      <c r="AM427" s="505" t="str">
        <f t="shared" si="281"/>
        <v/>
      </c>
      <c r="AN427" s="506"/>
      <c r="AO427" s="507"/>
      <c r="AP427" s="507"/>
      <c r="AQ427" s="507"/>
      <c r="AR427" s="507"/>
      <c r="AS427" s="507"/>
      <c r="AT427" s="507"/>
      <c r="AU427" s="507"/>
      <c r="AV427" s="225"/>
      <c r="AW427" s="508"/>
      <c r="AX427" s="225"/>
      <c r="AY427" s="225"/>
      <c r="AZ427" s="225"/>
      <c r="BA427" s="225"/>
      <c r="BB427" s="225"/>
      <c r="BC427" s="56"/>
      <c r="BD427" s="56"/>
      <c r="BE427" s="56"/>
      <c r="BF427" s="107" t="str">
        <f t="shared" si="282"/>
        <v>https://www.google.com/search?tbm=isch&amp;q=moist%20sites%F0%9F%92%A7GOOD%2C%20Blue%20Moon%20bred%20for%20excellent%20resistance%20to%20powdery%20mildew.%20Fragrant%20blooms%20</v>
      </c>
      <c r="BG427" s="107" t="str">
        <f t="shared" si="283"/>
        <v>m</v>
      </c>
      <c r="BH427" s="254"/>
      <c r="BI427" s="254"/>
    </row>
    <row r="428" spans="1:61" customFormat="1" ht="18" x14ac:dyDescent="0.25">
      <c r="A428" s="523" t="s">
        <v>632</v>
      </c>
      <c r="B428" s="235"/>
      <c r="C428" s="676"/>
      <c r="D428" s="255" t="s">
        <v>631</v>
      </c>
      <c r="E428" s="236"/>
      <c r="F428" s="236"/>
      <c r="G428" s="236"/>
      <c r="H428" s="582" t="s">
        <v>2154</v>
      </c>
      <c r="I428" s="498" t="s">
        <v>662</v>
      </c>
      <c r="J428" s="237"/>
      <c r="K428" s="237"/>
      <c r="L428" s="274"/>
      <c r="M428" s="670" t="s">
        <v>4987</v>
      </c>
      <c r="N428" s="681" t="str">
        <f>IF(AND(ISTEXT($A428), ISERROR($A428+0)), HYPERLINK($BF428, "Images"), "")</f>
        <v>Images</v>
      </c>
      <c r="O428" s="663" t="s">
        <v>4971</v>
      </c>
      <c r="P428" s="253"/>
      <c r="Q428" s="238"/>
      <c r="R428" s="239"/>
      <c r="S428" s="275"/>
      <c r="T428" s="508">
        <f t="shared" si="271"/>
        <v>0</v>
      </c>
      <c r="U428" s="225" t="str">
        <f>IF(NOT(ISNUMBER(G428)), "", VLOOKUP(A428,'Discount Lookup'!D:E,2,FALSE)*G428)</f>
        <v/>
      </c>
      <c r="V428" s="225" t="str">
        <f>IF(NOT(ISNUMBER(G428)), "", VLOOKUP(A428,'Discount Lookup'!G:H,2,FALSE)*G428)</f>
        <v/>
      </c>
      <c r="W428" s="508">
        <f t="shared" si="272"/>
        <v>0</v>
      </c>
      <c r="X428" s="508" t="str">
        <f t="shared" si="273"/>
        <v>Lavender bloom</v>
      </c>
      <c r="Y428" s="509" t="b">
        <f t="shared" si="274"/>
        <v>0</v>
      </c>
      <c r="Z428" s="510">
        <f t="shared" si="275"/>
        <v>0</v>
      </c>
      <c r="AA428" s="511"/>
      <c r="AB428" s="511" t="str">
        <f t="shared" si="276"/>
        <v/>
      </c>
      <c r="AC428" s="698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698"/>
      <c r="AE428" s="631" t="str">
        <f t="shared" si="277"/>
        <v/>
      </c>
      <c r="AF428" s="699" t="str">
        <f t="shared" si="278"/>
        <v/>
      </c>
      <c r="AG428" s="699"/>
      <c r="AH428" s="699"/>
      <c r="AI428" s="512">
        <f>IF(H428="credit",0,IF(AE428="free",0,IF(AE428="me",0,IF(G428&gt;0,(VLOOKUP(A428,'Discount Lookup'!J:K,2)*G428),0))))</f>
        <v>0</v>
      </c>
      <c r="AJ428" s="513" t="str">
        <f t="shared" ca="1" si="279"/>
        <v/>
      </c>
      <c r="AK428" s="700" t="str">
        <f t="shared" si="280"/>
        <v/>
      </c>
      <c r="AL428" s="700"/>
      <c r="AM428" s="505" t="str">
        <f t="shared" si="281"/>
        <v/>
      </c>
      <c r="AN428" s="506"/>
      <c r="AO428" s="507"/>
      <c r="AP428" s="507"/>
      <c r="AQ428" s="507"/>
      <c r="AR428" s="507"/>
      <c r="AS428" s="507"/>
      <c r="AT428" s="507"/>
      <c r="AU428" s="507"/>
      <c r="AV428" s="225"/>
      <c r="AW428" s="508"/>
      <c r="AX428" s="225"/>
      <c r="AY428" s="225"/>
      <c r="AZ428" s="225"/>
      <c r="BA428" s="225"/>
      <c r="BB428" s="225"/>
      <c r="BC428" s="56"/>
      <c r="BD428" s="56"/>
      <c r="BE428" s="56"/>
      <c r="BF428" s="107" t="str">
        <f t="shared" si="282"/>
        <v>https://www.google.com/search?tbm=isch&amp;q=Blue%20Mouse%20Ears%20Hosta%20Hosta%20%27Blue%20Mouse%20Ears%27</v>
      </c>
      <c r="BG428" s="107" t="str">
        <f t="shared" si="283"/>
        <v>B</v>
      </c>
      <c r="BH428" s="254"/>
      <c r="BI428" s="254"/>
    </row>
    <row r="429" spans="1:61" customFormat="1" ht="15.75" x14ac:dyDescent="0.25">
      <c r="A429" s="276">
        <v>1</v>
      </c>
      <c r="B429" s="240" t="s">
        <v>291</v>
      </c>
      <c r="C429" s="241" t="s">
        <v>633</v>
      </c>
      <c r="D429" s="242" t="s">
        <v>299</v>
      </c>
      <c r="E429" s="243">
        <v>12.95</v>
      </c>
      <c r="F429" s="517" t="s">
        <v>293</v>
      </c>
      <c r="G429" s="232">
        <v>0</v>
      </c>
      <c r="H429" s="661" t="str">
        <f>IF(G429=0,"",IF(F429="Buy",IF(G429=1,"plant","plants"),IF(F429&gt;0.01,"warranty","Error")))</f>
        <v/>
      </c>
      <c r="I429" s="244">
        <f>IF(H429="free",0,IF(H429="credit",((E429*(F429))*G429*-1),IF(F429="Buy",(E429*G429),((E429*(1-F429))*G429))))</f>
        <v>0</v>
      </c>
      <c r="J429" s="244">
        <f>IF(H429="warranty",0,(I429*(_xlfn.SINGLE(SalesTaxPercentage))))</f>
        <v>0</v>
      </c>
      <c r="K429" s="696">
        <f t="shared" ref="K429" si="298">I429+J429</f>
        <v>0</v>
      </c>
      <c r="L429" s="696"/>
      <c r="M429" s="659" t="str">
        <f>IF(AND(G429&gt;0,E429=0),"WARNING - no PRICE inserted",IF(H429="free"," FREE ~ no charge this plant",IF(H429="credit",CONCATENATE(" -$",ROUND(K429*(1-T2GDiscount)*-1,2)," CREDIT after discount"),IF(T2GDiscount=0,"",IF(G429=0,"",IF(F429="Buy",CONCATENATE(" $",ROUND(K429*(1-T2GDiscount),2)," with ",(T2GDiscount*100),"% discount"),CONCATENATE(" $",ROUND(K429*(1-T2GDiscount),2)," with ",((T2GDiscount*100+F429*100)-(T2GDiscount*100*F429)),IF(F429&gt;0,"% discounts",IF(NoWarrantyDiscount&gt;0,"% discounts","% discount")))))))))</f>
        <v/>
      </c>
      <c r="N429" s="660"/>
      <c r="O429" s="233"/>
      <c r="P429" s="233"/>
      <c r="Q429" s="233"/>
      <c r="R429" s="233"/>
      <c r="S429" s="233"/>
      <c r="T429" s="508">
        <f t="shared" si="271"/>
        <v>0</v>
      </c>
      <c r="U429" s="225">
        <f>IF(NOT(ISNUMBER(G429)), "", VLOOKUP(A429,'Discount Lookup'!D:E,2,FALSE)*G429)</f>
        <v>0</v>
      </c>
      <c r="V429" s="225">
        <f>IF(NOT(ISNUMBER(G429)), "", VLOOKUP(A429,'Discount Lookup'!G:H,2,FALSE)*G429)</f>
        <v>0</v>
      </c>
      <c r="W429" s="508">
        <f t="shared" si="272"/>
        <v>0</v>
      </c>
      <c r="X429" s="508">
        <f t="shared" si="273"/>
        <v>0</v>
      </c>
      <c r="Y429" s="509" t="b">
        <f t="shared" si="274"/>
        <v>0</v>
      </c>
      <c r="Z429" s="510">
        <f t="shared" si="275"/>
        <v>0</v>
      </c>
      <c r="AA429" s="511"/>
      <c r="AB429" s="511" t="str">
        <f t="shared" si="276"/>
        <v/>
      </c>
      <c r="AC429" s="698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698"/>
      <c r="AE429" s="631" t="str">
        <f t="shared" si="277"/>
        <v/>
      </c>
      <c r="AF429" s="699" t="str">
        <f t="shared" si="278"/>
        <v/>
      </c>
      <c r="AG429" s="699"/>
      <c r="AH429" s="699"/>
      <c r="AI429" s="512">
        <f>IF(H429="credit",0,IF(AE429="free",0,IF(AE429="me",0,IF(G429&gt;0,(VLOOKUP(A429,'Discount Lookup'!J:K,2)*G429),0))))</f>
        <v>0</v>
      </c>
      <c r="AJ429" s="513" t="str">
        <f t="shared" ca="1" si="279"/>
        <v/>
      </c>
      <c r="AK429" s="700" t="str">
        <f t="shared" si="280"/>
        <v/>
      </c>
      <c r="AL429" s="700"/>
      <c r="AM429" s="505" t="str">
        <f t="shared" si="281"/>
        <v/>
      </c>
      <c r="AN429" s="506"/>
      <c r="AO429" s="507"/>
      <c r="AP429" s="507"/>
      <c r="AQ429" s="507"/>
      <c r="AR429" s="507"/>
      <c r="AS429" s="507"/>
      <c r="AT429" s="507"/>
      <c r="AU429" s="507"/>
      <c r="AV429" s="225"/>
      <c r="AW429" s="508"/>
      <c r="AX429" s="225"/>
      <c r="AY429" s="225"/>
      <c r="AZ429" s="225"/>
      <c r="BA429" s="225"/>
      <c r="BB429" s="225"/>
      <c r="BC429" s="56"/>
      <c r="BD429" s="56"/>
      <c r="BE429" s="56"/>
      <c r="BF429" s="107" t="str">
        <f t="shared" si="282"/>
        <v>https://www.google.com/search?tbm=isch&amp;q=1%20G5</v>
      </c>
      <c r="BG429" s="107" t="str">
        <f t="shared" si="283"/>
        <v>B</v>
      </c>
      <c r="BH429" s="254"/>
      <c r="BI429" s="254"/>
    </row>
    <row r="430" spans="1:61" customFormat="1" ht="15.75" x14ac:dyDescent="0.25">
      <c r="A430" s="276">
        <v>1</v>
      </c>
      <c r="B430" s="240" t="s">
        <v>291</v>
      </c>
      <c r="C430" s="241"/>
      <c r="D430" s="242" t="s">
        <v>312</v>
      </c>
      <c r="E430" s="243">
        <v>14.95</v>
      </c>
      <c r="F430" s="517" t="s">
        <v>293</v>
      </c>
      <c r="G430" s="232">
        <v>0</v>
      </c>
      <c r="H430" s="661" t="str">
        <f>IF(G430=0,"",IF(F430="Buy",IF(G430=1,"plant","plants"),IF(F430&gt;0.01,"warranty","Error")))</f>
        <v/>
      </c>
      <c r="I430" s="244">
        <f>IF(H430="free",0,IF(H430="credit",((E430*(F430))*G430*-1),IF(F430="Buy",(E430*G430),((E430*(1-F430))*G430))))</f>
        <v>0</v>
      </c>
      <c r="J430" s="244">
        <f>IF(H430="warranty",0,(I430*(_xlfn.SINGLE(SalesTaxPercentage))))</f>
        <v>0</v>
      </c>
      <c r="K430" s="696">
        <f t="shared" ref="K430" si="299">I430+J430</f>
        <v>0</v>
      </c>
      <c r="L430" s="696"/>
      <c r="M430" s="659" t="str">
        <f>IF(AND(G430&gt;0,E430=0),"WARNING - no PRICE inserted",IF(H430="free"," FREE ~ no charge this plant",IF(H430="credit",CONCATENATE(" -$",ROUND(K430*(1-T2GDiscount)*-1,2)," CREDIT after discount"),IF(T2GDiscount=0,"",IF(G430=0,"",IF(F430="Buy",CONCATENATE(" $",ROUND(K430*(1-T2GDiscount),2)," with ",(T2GDiscount*100),"% discount"),CONCATENATE(" $",ROUND(K430*(1-T2GDiscount),2)," with ",((T2GDiscount*100+F430*100)-(T2GDiscount*100*F430)),IF(F430&gt;0,"% discounts",IF(NoWarrantyDiscount&gt;0,"% discounts","% discount")))))))))</f>
        <v/>
      </c>
      <c r="N430" s="660"/>
      <c r="O430" s="233"/>
      <c r="P430" s="233"/>
      <c r="Q430" s="233"/>
      <c r="R430" s="233"/>
      <c r="S430" s="233"/>
      <c r="T430" s="508">
        <f t="shared" si="271"/>
        <v>0</v>
      </c>
      <c r="U430" s="225">
        <f>IF(NOT(ISNUMBER(G430)), "", VLOOKUP(A430,'Discount Lookup'!D:E,2,FALSE)*G430)</f>
        <v>0</v>
      </c>
      <c r="V430" s="225">
        <f>IF(NOT(ISNUMBER(G430)), "", VLOOKUP(A430,'Discount Lookup'!G:H,2,FALSE)*G430)</f>
        <v>0</v>
      </c>
      <c r="W430" s="508">
        <f t="shared" si="272"/>
        <v>0</v>
      </c>
      <c r="X430" s="508">
        <f t="shared" si="273"/>
        <v>0</v>
      </c>
      <c r="Y430" s="509" t="b">
        <f t="shared" si="274"/>
        <v>0</v>
      </c>
      <c r="Z430" s="510">
        <f t="shared" si="275"/>
        <v>0</v>
      </c>
      <c r="AA430" s="511"/>
      <c r="AB430" s="511" t="str">
        <f t="shared" si="276"/>
        <v/>
      </c>
      <c r="AC430" s="698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698"/>
      <c r="AE430" s="631" t="str">
        <f t="shared" si="277"/>
        <v/>
      </c>
      <c r="AF430" s="699" t="str">
        <f t="shared" si="278"/>
        <v/>
      </c>
      <c r="AG430" s="699"/>
      <c r="AH430" s="699"/>
      <c r="AI430" s="512">
        <f>IF(H430="credit",0,IF(AE430="free",0,IF(AE430="me",0,IF(G430&gt;0,(VLOOKUP(A430,'Discount Lookup'!J:K,2)*G430),0))))</f>
        <v>0</v>
      </c>
      <c r="AJ430" s="513" t="str">
        <f t="shared" ca="1" si="279"/>
        <v/>
      </c>
      <c r="AK430" s="700" t="str">
        <f t="shared" si="280"/>
        <v/>
      </c>
      <c r="AL430" s="700"/>
      <c r="AM430" s="505" t="str">
        <f t="shared" si="281"/>
        <v/>
      </c>
      <c r="AN430" s="506"/>
      <c r="AO430" s="507"/>
      <c r="AP430" s="507"/>
      <c r="AQ430" s="507"/>
      <c r="AR430" s="507"/>
      <c r="AS430" s="507"/>
      <c r="AT430" s="507"/>
      <c r="AU430" s="507"/>
      <c r="AV430" s="225"/>
      <c r="AW430" s="508"/>
      <c r="AX430" s="225"/>
      <c r="AY430" s="225"/>
      <c r="AZ430" s="225"/>
      <c r="BA430" s="225"/>
      <c r="BB430" s="225"/>
      <c r="BC430" s="56"/>
      <c r="BD430" s="56"/>
      <c r="BE430" s="56"/>
      <c r="BF430" s="107" t="str">
        <f t="shared" si="282"/>
        <v>https://www.google.com/search?tbm=isch&amp;q=1%20G2</v>
      </c>
      <c r="BG430" s="107" t="str">
        <f t="shared" si="283"/>
        <v>B</v>
      </c>
      <c r="BH430" s="254"/>
      <c r="BI430" s="254"/>
    </row>
    <row r="431" spans="1:61" customFormat="1" ht="17.25" thickBot="1" x14ac:dyDescent="0.3">
      <c r="A431" s="673" t="s">
        <v>5064</v>
      </c>
      <c r="B431" s="245"/>
      <c r="C431" s="677"/>
      <c r="D431" s="499"/>
      <c r="E431" s="499"/>
      <c r="F431" s="500"/>
      <c r="G431" s="501"/>
      <c r="H431" s="502"/>
      <c r="I431" s="246"/>
      <c r="J431" s="247"/>
      <c r="K431" s="503"/>
      <c r="L431" s="544"/>
      <c r="M431" s="544"/>
      <c r="N431" s="500"/>
      <c r="O431" s="500"/>
      <c r="P431" s="500"/>
      <c r="Q431" s="500"/>
      <c r="R431" s="500"/>
      <c r="S431" s="669" t="s">
        <v>4977</v>
      </c>
      <c r="T431" s="508">
        <f t="shared" si="271"/>
        <v>0</v>
      </c>
      <c r="U431" s="225" t="str">
        <f>IF(NOT(ISNUMBER(G431)), "", VLOOKUP(A431,'Discount Lookup'!D:E,2,FALSE)*G431)</f>
        <v/>
      </c>
      <c r="V431" s="225" t="str">
        <f>IF(NOT(ISNUMBER(G431)), "", VLOOKUP(A431,'Discount Lookup'!G:H,2,FALSE)*G431)</f>
        <v/>
      </c>
      <c r="W431" s="508">
        <f t="shared" si="272"/>
        <v>0</v>
      </c>
      <c r="X431" s="508">
        <f t="shared" si="273"/>
        <v>0</v>
      </c>
      <c r="Y431" s="509" t="b">
        <f t="shared" si="274"/>
        <v>0</v>
      </c>
      <c r="Z431" s="510">
        <f t="shared" si="275"/>
        <v>0</v>
      </c>
      <c r="AA431" s="511"/>
      <c r="AB431" s="511" t="str">
        <f t="shared" si="276"/>
        <v/>
      </c>
      <c r="AC431" s="698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698"/>
      <c r="AE431" s="631" t="str">
        <f t="shared" si="277"/>
        <v/>
      </c>
      <c r="AF431" s="699" t="str">
        <f t="shared" si="278"/>
        <v/>
      </c>
      <c r="AG431" s="699"/>
      <c r="AH431" s="699"/>
      <c r="AI431" s="512">
        <f>IF(H431="credit",0,IF(AE431="free",0,IF(AE431="me",0,IF(G431&gt;0,(VLOOKUP(A431,'Discount Lookup'!J:K,2)*G431),0))))</f>
        <v>0</v>
      </c>
      <c r="AJ431" s="513" t="str">
        <f t="shared" ca="1" si="279"/>
        <v/>
      </c>
      <c r="AK431" s="700" t="str">
        <f t="shared" si="280"/>
        <v/>
      </c>
      <c r="AL431" s="700"/>
      <c r="AM431" s="505" t="str">
        <f t="shared" si="281"/>
        <v/>
      </c>
      <c r="AN431" s="506"/>
      <c r="AO431" s="507"/>
      <c r="AP431" s="507"/>
      <c r="AQ431" s="507"/>
      <c r="AR431" s="507"/>
      <c r="AS431" s="507"/>
      <c r="AT431" s="507"/>
      <c r="AU431" s="507"/>
      <c r="AV431" s="225"/>
      <c r="AW431" s="508"/>
      <c r="AX431" s="225"/>
      <c r="AY431" s="225"/>
      <c r="AZ431" s="225"/>
      <c r="BA431" s="225"/>
      <c r="BB431" s="225"/>
      <c r="BC431" s="56"/>
      <c r="BD431" s="56"/>
      <c r="BE431" s="56"/>
      <c r="BF431" s="107" t="str">
        <f t="shared" si="282"/>
        <v>https://www.google.com/search?tbm=isch&amp;q=moist%20sites%F0%9F%92%A7OK%2C%20Blue%20Mouse%20named%20for%20small%20Blue-Grey%20foliage%20with%20a%20slight%20curl%20that%20looks%20like%20mouse%20ears%20</v>
      </c>
      <c r="BG431" s="107" t="str">
        <f t="shared" si="283"/>
        <v>m</v>
      </c>
      <c r="BH431" s="254"/>
      <c r="BI431" s="254"/>
    </row>
    <row r="432" spans="1:61" customFormat="1" ht="18" x14ac:dyDescent="0.25">
      <c r="A432" s="523" t="s">
        <v>5353</v>
      </c>
      <c r="B432" s="235"/>
      <c r="C432" s="676"/>
      <c r="D432" s="255" t="s">
        <v>569</v>
      </c>
      <c r="E432" s="236"/>
      <c r="F432" s="236"/>
      <c r="G432" s="236"/>
      <c r="H432" s="582" t="s">
        <v>2626</v>
      </c>
      <c r="I432" s="498" t="s">
        <v>827</v>
      </c>
      <c r="J432" s="237"/>
      <c r="K432" s="237"/>
      <c r="L432" s="274"/>
      <c r="M432" s="668" t="s">
        <v>4975</v>
      </c>
      <c r="N432" s="681" t="str">
        <f>IF(AND(ISTEXT($A432), ISERROR($A432+0)), HYPERLINK($BF432, "Images"), "")</f>
        <v>Images</v>
      </c>
      <c r="O432" s="663" t="s">
        <v>4967</v>
      </c>
      <c r="P432" s="253"/>
      <c r="Q432" s="238"/>
      <c r="R432" s="239"/>
      <c r="S432" s="275"/>
      <c r="T432" s="508">
        <f t="shared" si="271"/>
        <v>0</v>
      </c>
      <c r="U432" s="225" t="str">
        <f>IF(NOT(ISNUMBER(G432)), "", VLOOKUP(A432,'Discount Lookup'!D:E,2,FALSE)*G432)</f>
        <v/>
      </c>
      <c r="V432" s="225" t="str">
        <f>IF(NOT(ISNUMBER(G432)), "", VLOOKUP(A432,'Discount Lookup'!G:H,2,FALSE)*G432)</f>
        <v/>
      </c>
      <c r="W432" s="508">
        <f t="shared" si="272"/>
        <v>0</v>
      </c>
      <c r="X432" s="508" t="str">
        <f t="shared" si="273"/>
        <v>Creamy White bloom</v>
      </c>
      <c r="Y432" s="509" t="b">
        <f t="shared" si="274"/>
        <v>0</v>
      </c>
      <c r="Z432" s="510">
        <f t="shared" si="275"/>
        <v>0</v>
      </c>
      <c r="AA432" s="511"/>
      <c r="AB432" s="511" t="str">
        <f t="shared" si="276"/>
        <v/>
      </c>
      <c r="AC432" s="698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698"/>
      <c r="AE432" s="631" t="str">
        <f t="shared" si="277"/>
        <v/>
      </c>
      <c r="AF432" s="699" t="str">
        <f t="shared" si="278"/>
        <v/>
      </c>
      <c r="AG432" s="699"/>
      <c r="AH432" s="699"/>
      <c r="AI432" s="512">
        <f>IF(H432="credit",0,IF(AE432="free",0,IF(AE432="me",0,IF(G432&gt;0,(VLOOKUP(A432,'Discount Lookup'!J:K,2)*G432),0))))</f>
        <v>0</v>
      </c>
      <c r="AJ432" s="513" t="str">
        <f t="shared" ca="1" si="279"/>
        <v/>
      </c>
      <c r="AK432" s="700" t="str">
        <f t="shared" si="280"/>
        <v/>
      </c>
      <c r="AL432" s="700"/>
      <c r="AM432" s="505" t="str">
        <f t="shared" si="281"/>
        <v/>
      </c>
      <c r="AN432" s="506"/>
      <c r="AO432" s="507"/>
      <c r="AP432" s="507"/>
      <c r="AQ432" s="507"/>
      <c r="AR432" s="507"/>
      <c r="AS432" s="507"/>
      <c r="AT432" s="507"/>
      <c r="AU432" s="507"/>
      <c r="AV432" s="225"/>
      <c r="AW432" s="508"/>
      <c r="AX432" s="225"/>
      <c r="AY432" s="225"/>
      <c r="AZ432" s="225"/>
      <c r="BA432" s="225"/>
      <c r="BB432" s="225"/>
      <c r="BC432" s="56"/>
      <c r="BD432" s="56"/>
      <c r="BE432" s="56"/>
      <c r="BF432" s="107" t="str">
        <f t="shared" si="282"/>
        <v>https://www.google.com/search?tbm=isch&amp;q=Blue%20Muffin%C2%AE%20Arrowwood%20Viburnum%20Viburnum%20dentatum%20%27Christom%27%20PP%2316889P3</v>
      </c>
      <c r="BG432" s="107" t="str">
        <f t="shared" si="283"/>
        <v>B</v>
      </c>
      <c r="BH432" s="254"/>
      <c r="BI432" s="254"/>
    </row>
    <row r="433" spans="1:61" customFormat="1" ht="15.75" x14ac:dyDescent="0.25">
      <c r="A433" s="276">
        <v>3</v>
      </c>
      <c r="B433" s="240" t="s">
        <v>291</v>
      </c>
      <c r="C433" s="241" t="s">
        <v>445</v>
      </c>
      <c r="D433" s="242" t="s">
        <v>312</v>
      </c>
      <c r="E433" s="243">
        <v>38.950000000000003</v>
      </c>
      <c r="F433" s="517" t="s">
        <v>293</v>
      </c>
      <c r="G433" s="232">
        <v>0</v>
      </c>
      <c r="H433" s="661" t="str">
        <f>IF(G433=0,"",IF(F433="Buy",IF(G433=1,"plant","plants"),IF(F433&gt;0.01,"warranty","Error")))</f>
        <v/>
      </c>
      <c r="I433" s="244">
        <f>IF(H433="free",0,IF(H433="credit",((E433*(F433))*G433*-1),IF(F433="Buy",(E433*G433),((E433*(1-F433))*G433))))</f>
        <v>0</v>
      </c>
      <c r="J433" s="244">
        <f>IF(H433="warranty",0,(I433*(_xlfn.SINGLE(SalesTaxPercentage))))</f>
        <v>0</v>
      </c>
      <c r="K433" s="696">
        <f t="shared" ref="K433" si="300">I433+J433</f>
        <v>0</v>
      </c>
      <c r="L433" s="696"/>
      <c r="M433" s="659" t="str">
        <f>IF(AND(G433&gt;0,E433=0),"WARNING - no PRICE inserted",IF(H433="free"," FREE ~ no charge this plant",IF(H433="credit",CONCATENATE(" -$",ROUND(K433*(1-T2GDiscount)*-1,2)," CREDIT after discount"),IF(T2GDiscount=0,"",IF(G433=0,"",IF(F433="Buy",CONCATENATE(" $",ROUND(K433*(1-T2GDiscount),2)," with ",(T2GDiscount*100),"% discount"),CONCATENATE(" $",ROUND(K433*(1-T2GDiscount),2)," with ",((T2GDiscount*100+F433*100)-(T2GDiscount*100*F433)),IF(F433&gt;0,"% discounts",IF(NoWarrantyDiscount&gt;0,"% discounts","% discount")))))))))</f>
        <v/>
      </c>
      <c r="N433" s="660"/>
      <c r="O433" s="233"/>
      <c r="P433" s="233"/>
      <c r="Q433" s="233"/>
      <c r="R433" s="233"/>
      <c r="S433" s="233"/>
      <c r="T433" s="508">
        <f t="shared" si="271"/>
        <v>0</v>
      </c>
      <c r="U433" s="225">
        <f>IF(NOT(ISNUMBER(G433)), "", VLOOKUP(A433,'Discount Lookup'!D:E,2,FALSE)*G433)</f>
        <v>0</v>
      </c>
      <c r="V433" s="225">
        <f>IF(NOT(ISNUMBER(G433)), "", VLOOKUP(A433,'Discount Lookup'!G:H,2,FALSE)*G433)</f>
        <v>0</v>
      </c>
      <c r="W433" s="508">
        <f t="shared" si="272"/>
        <v>0</v>
      </c>
      <c r="X433" s="508">
        <f t="shared" si="273"/>
        <v>0</v>
      </c>
      <c r="Y433" s="509" t="b">
        <f t="shared" si="274"/>
        <v>0</v>
      </c>
      <c r="Z433" s="510">
        <f t="shared" si="275"/>
        <v>0</v>
      </c>
      <c r="AA433" s="511"/>
      <c r="AB433" s="511" t="str">
        <f t="shared" si="276"/>
        <v/>
      </c>
      <c r="AC433" s="698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698"/>
      <c r="AE433" s="631" t="str">
        <f t="shared" si="277"/>
        <v/>
      </c>
      <c r="AF433" s="699" t="str">
        <f t="shared" si="278"/>
        <v/>
      </c>
      <c r="AG433" s="699"/>
      <c r="AH433" s="699"/>
      <c r="AI433" s="512">
        <f>IF(H433="credit",0,IF(AE433="free",0,IF(AE433="me",0,IF(G433&gt;0,(VLOOKUP(A433,'Discount Lookup'!J:K,2)*G433),0))))</f>
        <v>0</v>
      </c>
      <c r="AJ433" s="513" t="str">
        <f t="shared" ca="1" si="279"/>
        <v/>
      </c>
      <c r="AK433" s="700" t="str">
        <f t="shared" si="280"/>
        <v/>
      </c>
      <c r="AL433" s="700"/>
      <c r="AM433" s="505" t="str">
        <f t="shared" si="281"/>
        <v/>
      </c>
      <c r="AN433" s="506"/>
      <c r="AO433" s="507"/>
      <c r="AP433" s="507"/>
      <c r="AQ433" s="507"/>
      <c r="AR433" s="507"/>
      <c r="AS433" s="507"/>
      <c r="AT433" s="507"/>
      <c r="AU433" s="507"/>
      <c r="AV433" s="225"/>
      <c r="AW433" s="508"/>
      <c r="AX433" s="225"/>
      <c r="AY433" s="225"/>
      <c r="AZ433" s="225"/>
      <c r="BA433" s="225"/>
      <c r="BB433" s="225"/>
      <c r="BC433" s="56"/>
      <c r="BD433" s="56"/>
      <c r="BE433" s="56"/>
      <c r="BF433" s="107" t="str">
        <f t="shared" si="282"/>
        <v>https://www.google.com/search?tbm=isch&amp;q=3%20G2</v>
      </c>
      <c r="BG433" s="107" t="str">
        <f t="shared" si="283"/>
        <v>B</v>
      </c>
      <c r="BH433" s="254"/>
      <c r="BI433" s="254"/>
    </row>
    <row r="434" spans="1:61" customFormat="1" ht="17.25" thickBot="1" x14ac:dyDescent="0.3">
      <c r="A434" s="673" t="s">
        <v>5065</v>
      </c>
      <c r="B434" s="245"/>
      <c r="C434" s="677"/>
      <c r="D434" s="499"/>
      <c r="E434" s="499"/>
      <c r="F434" s="500"/>
      <c r="G434" s="501"/>
      <c r="H434" s="502"/>
      <c r="I434" s="246"/>
      <c r="J434" s="247"/>
      <c r="K434" s="503"/>
      <c r="L434" s="544"/>
      <c r="M434" s="544"/>
      <c r="N434" s="500"/>
      <c r="O434" s="500"/>
      <c r="P434" s="500"/>
      <c r="Q434" s="500"/>
      <c r="R434" s="500"/>
      <c r="S434" s="669" t="s">
        <v>4991</v>
      </c>
      <c r="T434" s="508">
        <f t="shared" si="271"/>
        <v>0</v>
      </c>
      <c r="U434" s="225" t="str">
        <f>IF(NOT(ISNUMBER(G434)), "", VLOOKUP(A434,'Discount Lookup'!D:E,2,FALSE)*G434)</f>
        <v/>
      </c>
      <c r="V434" s="225" t="str">
        <f>IF(NOT(ISNUMBER(G434)), "", VLOOKUP(A434,'Discount Lookup'!G:H,2,FALSE)*G434)</f>
        <v/>
      </c>
      <c r="W434" s="508">
        <f t="shared" si="272"/>
        <v>0</v>
      </c>
      <c r="X434" s="508">
        <f t="shared" si="273"/>
        <v>0</v>
      </c>
      <c r="Y434" s="509" t="b">
        <f t="shared" si="274"/>
        <v>0</v>
      </c>
      <c r="Z434" s="510">
        <f t="shared" si="275"/>
        <v>0</v>
      </c>
      <c r="AA434" s="511"/>
      <c r="AB434" s="511" t="str">
        <f t="shared" si="276"/>
        <v/>
      </c>
      <c r="AC434" s="698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698"/>
      <c r="AE434" s="631" t="str">
        <f t="shared" si="277"/>
        <v/>
      </c>
      <c r="AF434" s="699" t="str">
        <f t="shared" si="278"/>
        <v/>
      </c>
      <c r="AG434" s="699"/>
      <c r="AH434" s="699"/>
      <c r="AI434" s="512">
        <f>IF(H434="credit",0,IF(AE434="free",0,IF(AE434="me",0,IF(G434&gt;0,(VLOOKUP(A434,'Discount Lookup'!J:K,2)*G434),0))))</f>
        <v>0</v>
      </c>
      <c r="AJ434" s="513" t="str">
        <f t="shared" ca="1" si="279"/>
        <v/>
      </c>
      <c r="AK434" s="700" t="str">
        <f t="shared" si="280"/>
        <v/>
      </c>
      <c r="AL434" s="700"/>
      <c r="AM434" s="505" t="str">
        <f t="shared" si="281"/>
        <v/>
      </c>
      <c r="AN434" s="506"/>
      <c r="AO434" s="507"/>
      <c r="AP434" s="507"/>
      <c r="AQ434" s="507"/>
      <c r="AR434" s="507"/>
      <c r="AS434" s="507"/>
      <c r="AT434" s="507"/>
      <c r="AU434" s="507"/>
      <c r="AV434" s="225"/>
      <c r="AW434" s="508"/>
      <c r="AX434" s="225"/>
      <c r="AY434" s="225"/>
      <c r="AZ434" s="225"/>
      <c r="BA434" s="225"/>
      <c r="BB434" s="225"/>
      <c r="BC434" s="56"/>
      <c r="BD434" s="56"/>
      <c r="BE434" s="56"/>
      <c r="BF434" s="107" t="str">
        <f t="shared" si="282"/>
        <v>https://www.google.com/search?tbm=isch&amp;q=moist%20sites%F0%9F%92%A7GOOD%2C%20Blue%20Muffin%20has%20vibrant%20Purple-Red%20foliage%2C%20turning%20Gold%20in%20fall.%20Intense%20Blue%20berries%2C%20if%20pollinated%20</v>
      </c>
      <c r="BG434" s="107" t="str">
        <f t="shared" si="283"/>
        <v>m</v>
      </c>
      <c r="BH434" s="254"/>
      <c r="BI434" s="254"/>
    </row>
    <row r="435" spans="1:61" customFormat="1" ht="18" x14ac:dyDescent="0.25">
      <c r="A435" s="521" t="s">
        <v>600</v>
      </c>
      <c r="B435" s="477"/>
      <c r="C435" s="674"/>
      <c r="D435" s="478" t="s">
        <v>599</v>
      </c>
      <c r="E435" s="479"/>
      <c r="F435" s="479"/>
      <c r="G435" s="479"/>
      <c r="H435" s="582" t="s">
        <v>2622</v>
      </c>
      <c r="I435" s="480" t="s">
        <v>2092</v>
      </c>
      <c r="J435" s="479"/>
      <c r="K435" s="479"/>
      <c r="L435" s="560"/>
      <c r="M435" s="666" t="s">
        <v>4963</v>
      </c>
      <c r="N435" s="680" t="str">
        <f>IF(AND(ISTEXT($A435), ISERROR($A435+0)), HYPERLINK($BF435, "Images"), "")</f>
        <v>Images</v>
      </c>
      <c r="O435" s="662" t="s">
        <v>4969</v>
      </c>
      <c r="P435" s="482"/>
      <c r="Q435" s="483"/>
      <c r="R435" s="483"/>
      <c r="S435" s="484"/>
      <c r="T435" s="508">
        <f t="shared" si="271"/>
        <v>0</v>
      </c>
      <c r="U435" s="225" t="str">
        <f>IF(NOT(ISNUMBER(G435)), "", VLOOKUP(A435,'Discount Lookup'!D:E,2,FALSE)*G435)</f>
        <v/>
      </c>
      <c r="V435" s="225" t="str">
        <f>IF(NOT(ISNUMBER(G435)), "", VLOOKUP(A435,'Discount Lookup'!G:H,2,FALSE)*G435)</f>
        <v/>
      </c>
      <c r="W435" s="508">
        <f t="shared" si="272"/>
        <v>0</v>
      </c>
      <c r="X435" s="508" t="str">
        <f t="shared" si="273"/>
        <v>Blue-Green foliage</v>
      </c>
      <c r="Y435" s="509" t="b">
        <f t="shared" si="274"/>
        <v>0</v>
      </c>
      <c r="Z435" s="510">
        <f t="shared" si="275"/>
        <v>0</v>
      </c>
      <c r="AA435" s="511"/>
      <c r="AB435" s="511" t="str">
        <f t="shared" si="276"/>
        <v/>
      </c>
      <c r="AC435" s="698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698"/>
      <c r="AE435" s="631" t="str">
        <f t="shared" si="277"/>
        <v/>
      </c>
      <c r="AF435" s="699" t="str">
        <f t="shared" si="278"/>
        <v/>
      </c>
      <c r="AG435" s="699"/>
      <c r="AH435" s="699"/>
      <c r="AI435" s="512">
        <f>IF(H435="credit",0,IF(AE435="free",0,IF(AE435="me",0,IF(G435&gt;0,(VLOOKUP(A435,'Discount Lookup'!J:K,2)*G435),0))))</f>
        <v>0</v>
      </c>
      <c r="AJ435" s="513" t="str">
        <f t="shared" ca="1" si="279"/>
        <v/>
      </c>
      <c r="AK435" s="700" t="str">
        <f t="shared" si="280"/>
        <v/>
      </c>
      <c r="AL435" s="700"/>
      <c r="AM435" s="505" t="str">
        <f t="shared" si="281"/>
        <v/>
      </c>
      <c r="AN435" s="506"/>
      <c r="AO435" s="507"/>
      <c r="AP435" s="507"/>
      <c r="AQ435" s="507"/>
      <c r="AR435" s="507"/>
      <c r="AS435" s="507"/>
      <c r="AT435" s="507"/>
      <c r="AU435" s="507"/>
      <c r="AV435" s="225"/>
      <c r="AW435" s="508"/>
      <c r="AX435" s="225"/>
      <c r="AY435" s="225"/>
      <c r="AZ435" s="225"/>
      <c r="BA435" s="225"/>
      <c r="BB435" s="225"/>
      <c r="BC435" s="56"/>
      <c r="BD435" s="56"/>
      <c r="BE435" s="56"/>
      <c r="BF435" s="107" t="str">
        <f t="shared" si="282"/>
        <v>https://www.google.com/search?tbm=isch&amp;q=Blue%20Pacific%20Juniper%20Juniperus%20conferta%20%27Blue%20Pacific%27</v>
      </c>
      <c r="BG435" s="107" t="str">
        <f t="shared" si="283"/>
        <v>B</v>
      </c>
      <c r="BH435" s="254"/>
      <c r="BI435" s="254"/>
    </row>
    <row r="436" spans="1:61" customFormat="1" ht="15.75" x14ac:dyDescent="0.25">
      <c r="A436" s="485">
        <v>1</v>
      </c>
      <c r="B436" s="486" t="s">
        <v>291</v>
      </c>
      <c r="C436" s="487"/>
      <c r="D436" s="488" t="s">
        <v>298</v>
      </c>
      <c r="E436" s="489">
        <v>7.95</v>
      </c>
      <c r="F436" s="516" t="s">
        <v>293</v>
      </c>
      <c r="G436" s="232">
        <v>0</v>
      </c>
      <c r="H436" s="658" t="str">
        <f t="shared" ref="H436:H441" si="301">IF(G436=0,"",IF(F436="Buy",IF(G436=1,"plant","plants"),IF(F436&gt;0.01,"warranty","Error")))</f>
        <v/>
      </c>
      <c r="I436" s="490">
        <f t="shared" ref="I436:I441" si="302">IF(H436="free",0,IF(H436="credit",((E436*(F436))*G436*-1),IF(F436="Buy",(E436*G436),((E436*(1-F436))*G436))))</f>
        <v>0</v>
      </c>
      <c r="J436" s="490">
        <f t="shared" ref="J436:J441" si="303">IF(H436="warranty",0,(I436*(_xlfn.SINGLE(SalesTaxPercentage))))</f>
        <v>0</v>
      </c>
      <c r="K436" s="695">
        <f t="shared" ref="K436" si="304">I436+J436</f>
        <v>0</v>
      </c>
      <c r="L436" s="695"/>
      <c r="M436" s="659" t="str">
        <f t="shared" ref="M436:M441" si="305">IF(AND(G436&gt;0,E436=0),"WARNING - no PRICE inserted",IF(H436="free"," FREE ~ no charge this plant",IF(H436="credit",CONCATENATE(" -$",ROUND(K436*(1-T2GDiscount)*-1,2)," CREDIT after discount"),IF(T2GDiscount=0,"",IF(G436=0,"",IF(F436="Buy",CONCATENATE(" $",ROUND(K436*(1-T2GDiscount),2)," with ",(T2GDiscount*100),"% discount"),CONCATENATE(" $",ROUND(K436*(1-T2GDiscount),2)," with ",((T2GDiscount*100+F436*100)-(T2GDiscount*100*F436)),IF(F436&gt;0,"% discounts",IF(NoWarrantyDiscount&gt;0,"% discounts","% discount")))))))))</f>
        <v/>
      </c>
      <c r="N436" s="660"/>
      <c r="O436" s="233"/>
      <c r="P436" s="233"/>
      <c r="Q436" s="233"/>
      <c r="R436" s="233"/>
      <c r="S436" s="233"/>
      <c r="T436" s="508">
        <f t="shared" si="271"/>
        <v>0</v>
      </c>
      <c r="U436" s="225">
        <f>IF(NOT(ISNUMBER(G436)), "", VLOOKUP(A436,'Discount Lookup'!D:E,2,FALSE)*G436)</f>
        <v>0</v>
      </c>
      <c r="V436" s="225">
        <f>IF(NOT(ISNUMBER(G436)), "", VLOOKUP(A436,'Discount Lookup'!G:H,2,FALSE)*G436)</f>
        <v>0</v>
      </c>
      <c r="W436" s="508">
        <f t="shared" si="272"/>
        <v>0</v>
      </c>
      <c r="X436" s="508">
        <f t="shared" si="273"/>
        <v>0</v>
      </c>
      <c r="Y436" s="509" t="b">
        <f t="shared" si="274"/>
        <v>0</v>
      </c>
      <c r="Z436" s="510">
        <f t="shared" si="275"/>
        <v>0</v>
      </c>
      <c r="AA436" s="511"/>
      <c r="AB436" s="511" t="str">
        <f t="shared" si="276"/>
        <v/>
      </c>
      <c r="AC436" s="698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698"/>
      <c r="AE436" s="631" t="str">
        <f t="shared" si="277"/>
        <v/>
      </c>
      <c r="AF436" s="699" t="str">
        <f t="shared" si="278"/>
        <v/>
      </c>
      <c r="AG436" s="699"/>
      <c r="AH436" s="699"/>
      <c r="AI436" s="512">
        <f>IF(H436="credit",0,IF(AE436="free",0,IF(AE436="me",0,IF(G436&gt;0,(VLOOKUP(A436,'Discount Lookup'!J:K,2)*G436),0))))</f>
        <v>0</v>
      </c>
      <c r="AJ436" s="513" t="str">
        <f t="shared" ca="1" si="279"/>
        <v/>
      </c>
      <c r="AK436" s="700" t="str">
        <f t="shared" si="280"/>
        <v/>
      </c>
      <c r="AL436" s="700"/>
      <c r="AM436" s="505" t="str">
        <f t="shared" si="281"/>
        <v/>
      </c>
      <c r="AN436" s="506"/>
      <c r="AO436" s="507"/>
      <c r="AP436" s="507"/>
      <c r="AQ436" s="507"/>
      <c r="AR436" s="507"/>
      <c r="AS436" s="507"/>
      <c r="AT436" s="507"/>
      <c r="AU436" s="507"/>
      <c r="AV436" s="225"/>
      <c r="AW436" s="508"/>
      <c r="AX436" s="225"/>
      <c r="AY436" s="225"/>
      <c r="AZ436" s="225"/>
      <c r="BA436" s="225"/>
      <c r="BB436" s="225"/>
      <c r="BC436" s="56"/>
      <c r="BD436" s="56"/>
      <c r="BE436" s="56"/>
      <c r="BF436" s="107" t="str">
        <f t="shared" si="282"/>
        <v>https://www.google.com/search?tbm=isch&amp;q=1%20G1</v>
      </c>
      <c r="BG436" s="107" t="str">
        <f t="shared" si="283"/>
        <v>B</v>
      </c>
      <c r="BH436" s="254"/>
      <c r="BI436" s="254"/>
    </row>
    <row r="437" spans="1:61" customFormat="1" ht="15.75" x14ac:dyDescent="0.25">
      <c r="A437" s="485">
        <v>3</v>
      </c>
      <c r="B437" s="486" t="s">
        <v>291</v>
      </c>
      <c r="C437" s="487" t="s">
        <v>2204</v>
      </c>
      <c r="D437" s="488" t="s">
        <v>300</v>
      </c>
      <c r="E437" s="489">
        <v>20.95</v>
      </c>
      <c r="F437" s="516" t="s">
        <v>293</v>
      </c>
      <c r="G437" s="232">
        <v>0</v>
      </c>
      <c r="H437" s="658" t="str">
        <f t="shared" si="301"/>
        <v/>
      </c>
      <c r="I437" s="490">
        <f t="shared" si="302"/>
        <v>0</v>
      </c>
      <c r="J437" s="490">
        <f t="shared" si="303"/>
        <v>0</v>
      </c>
      <c r="K437" s="695">
        <f t="shared" ref="K437" si="306">I437+J437</f>
        <v>0</v>
      </c>
      <c r="L437" s="695"/>
      <c r="M437" s="659" t="str">
        <f t="shared" si="305"/>
        <v/>
      </c>
      <c r="N437" s="660"/>
      <c r="O437" s="233"/>
      <c r="P437" s="233"/>
      <c r="Q437" s="233"/>
      <c r="R437" s="233"/>
      <c r="S437" s="233"/>
      <c r="T437" s="508">
        <f t="shared" si="271"/>
        <v>0</v>
      </c>
      <c r="U437" s="225">
        <f>IF(NOT(ISNUMBER(G437)), "", VLOOKUP(A437,'Discount Lookup'!D:E,2,FALSE)*G437)</f>
        <v>0</v>
      </c>
      <c r="V437" s="225">
        <f>IF(NOT(ISNUMBER(G437)), "", VLOOKUP(A437,'Discount Lookup'!G:H,2,FALSE)*G437)</f>
        <v>0</v>
      </c>
      <c r="W437" s="508">
        <f t="shared" si="272"/>
        <v>0</v>
      </c>
      <c r="X437" s="508">
        <f t="shared" si="273"/>
        <v>0</v>
      </c>
      <c r="Y437" s="509" t="b">
        <f t="shared" si="274"/>
        <v>0</v>
      </c>
      <c r="Z437" s="510">
        <f t="shared" si="275"/>
        <v>0</v>
      </c>
      <c r="AA437" s="511"/>
      <c r="AB437" s="511" t="str">
        <f t="shared" si="276"/>
        <v/>
      </c>
      <c r="AC437" s="698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698"/>
      <c r="AE437" s="631" t="str">
        <f t="shared" si="277"/>
        <v/>
      </c>
      <c r="AF437" s="699" t="str">
        <f t="shared" si="278"/>
        <v/>
      </c>
      <c r="AG437" s="699"/>
      <c r="AH437" s="699"/>
      <c r="AI437" s="512">
        <f>IF(H437="credit",0,IF(AE437="free",0,IF(AE437="me",0,IF(G437&gt;0,(VLOOKUP(A437,'Discount Lookup'!J:K,2)*G437),0))))</f>
        <v>0</v>
      </c>
      <c r="AJ437" s="513" t="str">
        <f t="shared" ca="1" si="279"/>
        <v/>
      </c>
      <c r="AK437" s="700" t="str">
        <f t="shared" si="280"/>
        <v/>
      </c>
      <c r="AL437" s="700"/>
      <c r="AM437" s="505" t="str">
        <f t="shared" si="281"/>
        <v/>
      </c>
      <c r="AN437" s="506"/>
      <c r="AO437" s="507"/>
      <c r="AP437" s="507"/>
      <c r="AQ437" s="507"/>
      <c r="AR437" s="507"/>
      <c r="AS437" s="507"/>
      <c r="AT437" s="507"/>
      <c r="AU437" s="507"/>
      <c r="AV437" s="225"/>
      <c r="AW437" s="508"/>
      <c r="AX437" s="225"/>
      <c r="AY437" s="225"/>
      <c r="AZ437" s="225"/>
      <c r="BA437" s="225"/>
      <c r="BB437" s="225"/>
      <c r="BC437" s="56"/>
      <c r="BD437" s="56"/>
      <c r="BE437" s="56"/>
      <c r="BF437" s="107" t="str">
        <f t="shared" si="282"/>
        <v>https://www.google.com/search?tbm=isch&amp;q=3%20G6</v>
      </c>
      <c r="BG437" s="107" t="str">
        <f t="shared" si="283"/>
        <v>B</v>
      </c>
      <c r="BH437" s="254"/>
      <c r="BI437" s="254"/>
    </row>
    <row r="438" spans="1:61" customFormat="1" ht="15.75" x14ac:dyDescent="0.25">
      <c r="A438" s="485">
        <v>3</v>
      </c>
      <c r="B438" s="486" t="s">
        <v>291</v>
      </c>
      <c r="C438" s="487" t="s">
        <v>2716</v>
      </c>
      <c r="D438" s="488" t="s">
        <v>297</v>
      </c>
      <c r="E438" s="489">
        <v>24.95</v>
      </c>
      <c r="F438" s="516" t="s">
        <v>293</v>
      </c>
      <c r="G438" s="232">
        <v>0</v>
      </c>
      <c r="H438" s="658" t="str">
        <f t="shared" si="301"/>
        <v/>
      </c>
      <c r="I438" s="490">
        <f t="shared" si="302"/>
        <v>0</v>
      </c>
      <c r="J438" s="490">
        <f t="shared" si="303"/>
        <v>0</v>
      </c>
      <c r="K438" s="695">
        <f t="shared" ref="K438" si="307">I438+J438</f>
        <v>0</v>
      </c>
      <c r="L438" s="695"/>
      <c r="M438" s="659" t="str">
        <f t="shared" si="305"/>
        <v/>
      </c>
      <c r="N438" s="660"/>
      <c r="O438" s="233"/>
      <c r="P438" s="233"/>
      <c r="Q438" s="233"/>
      <c r="R438" s="233"/>
      <c r="S438" s="233"/>
      <c r="T438" s="508">
        <f t="shared" si="271"/>
        <v>0</v>
      </c>
      <c r="U438" s="225">
        <f>IF(NOT(ISNUMBER(G438)), "", VLOOKUP(A438,'Discount Lookup'!D:E,2,FALSE)*G438)</f>
        <v>0</v>
      </c>
      <c r="V438" s="225">
        <f>IF(NOT(ISNUMBER(G438)), "", VLOOKUP(A438,'Discount Lookup'!G:H,2,FALSE)*G438)</f>
        <v>0</v>
      </c>
      <c r="W438" s="508">
        <f t="shared" si="272"/>
        <v>0</v>
      </c>
      <c r="X438" s="508">
        <f t="shared" si="273"/>
        <v>0</v>
      </c>
      <c r="Y438" s="509" t="b">
        <f t="shared" si="274"/>
        <v>0</v>
      </c>
      <c r="Z438" s="510">
        <f t="shared" si="275"/>
        <v>0</v>
      </c>
      <c r="AA438" s="511"/>
      <c r="AB438" s="511" t="str">
        <f t="shared" si="276"/>
        <v/>
      </c>
      <c r="AC438" s="698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698"/>
      <c r="AE438" s="631" t="str">
        <f t="shared" si="277"/>
        <v/>
      </c>
      <c r="AF438" s="699" t="str">
        <f t="shared" si="278"/>
        <v/>
      </c>
      <c r="AG438" s="699"/>
      <c r="AH438" s="699"/>
      <c r="AI438" s="512">
        <f>IF(H438="credit",0,IF(AE438="free",0,IF(AE438="me",0,IF(G438&gt;0,(VLOOKUP(A438,'Discount Lookup'!J:K,2)*G438),0))))</f>
        <v>0</v>
      </c>
      <c r="AJ438" s="513" t="str">
        <f t="shared" ca="1" si="279"/>
        <v/>
      </c>
      <c r="AK438" s="700" t="str">
        <f t="shared" si="280"/>
        <v/>
      </c>
      <c r="AL438" s="700"/>
      <c r="AM438" s="505" t="str">
        <f t="shared" si="281"/>
        <v/>
      </c>
      <c r="AN438" s="506"/>
      <c r="AO438" s="507"/>
      <c r="AP438" s="507"/>
      <c r="AQ438" s="507"/>
      <c r="AR438" s="507"/>
      <c r="AS438" s="507"/>
      <c r="AT438" s="507"/>
      <c r="AU438" s="507"/>
      <c r="AV438" s="225"/>
      <c r="AW438" s="508"/>
      <c r="AX438" s="225"/>
      <c r="AY438" s="225"/>
      <c r="AZ438" s="225"/>
      <c r="BA438" s="225"/>
      <c r="BB438" s="225"/>
      <c r="BC438" s="56"/>
      <c r="BD438" s="56"/>
      <c r="BE438" s="56"/>
      <c r="BF438" s="107" t="str">
        <f t="shared" si="282"/>
        <v>https://www.google.com/search?tbm=isch&amp;q=3%20G3</v>
      </c>
      <c r="BG438" s="107" t="str">
        <f t="shared" si="283"/>
        <v>B</v>
      </c>
      <c r="BH438" s="254"/>
      <c r="BI438" s="254"/>
    </row>
    <row r="439" spans="1:61" customFormat="1" ht="15.75" x14ac:dyDescent="0.25">
      <c r="A439" s="485">
        <v>3</v>
      </c>
      <c r="B439" s="486" t="s">
        <v>291</v>
      </c>
      <c r="C439" s="487"/>
      <c r="D439" s="488" t="s">
        <v>298</v>
      </c>
      <c r="E439" s="489">
        <v>25.95</v>
      </c>
      <c r="F439" s="516" t="s">
        <v>293</v>
      </c>
      <c r="G439" s="232">
        <v>0</v>
      </c>
      <c r="H439" s="658" t="str">
        <f t="shared" si="301"/>
        <v/>
      </c>
      <c r="I439" s="490">
        <f t="shared" si="302"/>
        <v>0</v>
      </c>
      <c r="J439" s="490">
        <f t="shared" si="303"/>
        <v>0</v>
      </c>
      <c r="K439" s="695">
        <f t="shared" ref="K439" si="308">I439+J439</f>
        <v>0</v>
      </c>
      <c r="L439" s="695"/>
      <c r="M439" s="659" t="str">
        <f t="shared" si="305"/>
        <v/>
      </c>
      <c r="N439" s="660"/>
      <c r="O439" s="233"/>
      <c r="P439" s="233"/>
      <c r="Q439" s="233"/>
      <c r="R439" s="233"/>
      <c r="S439" s="233"/>
      <c r="T439" s="508">
        <f t="shared" si="271"/>
        <v>0</v>
      </c>
      <c r="U439" s="225">
        <f>IF(NOT(ISNUMBER(G439)), "", VLOOKUP(A439,'Discount Lookup'!D:E,2,FALSE)*G439)</f>
        <v>0</v>
      </c>
      <c r="V439" s="225">
        <f>IF(NOT(ISNUMBER(G439)), "", VLOOKUP(A439,'Discount Lookup'!G:H,2,FALSE)*G439)</f>
        <v>0</v>
      </c>
      <c r="W439" s="508">
        <f t="shared" si="272"/>
        <v>0</v>
      </c>
      <c r="X439" s="508">
        <f t="shared" si="273"/>
        <v>0</v>
      </c>
      <c r="Y439" s="509" t="b">
        <f t="shared" si="274"/>
        <v>0</v>
      </c>
      <c r="Z439" s="510">
        <f t="shared" si="275"/>
        <v>0</v>
      </c>
      <c r="AA439" s="511"/>
      <c r="AB439" s="511" t="str">
        <f t="shared" si="276"/>
        <v/>
      </c>
      <c r="AC439" s="698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698"/>
      <c r="AE439" s="631" t="str">
        <f t="shared" si="277"/>
        <v/>
      </c>
      <c r="AF439" s="699" t="str">
        <f t="shared" si="278"/>
        <v/>
      </c>
      <c r="AG439" s="699"/>
      <c r="AH439" s="699"/>
      <c r="AI439" s="512">
        <f>IF(H439="credit",0,IF(AE439="free",0,IF(AE439="me",0,IF(G439&gt;0,(VLOOKUP(A439,'Discount Lookup'!J:K,2)*G439),0))))</f>
        <v>0</v>
      </c>
      <c r="AJ439" s="513" t="str">
        <f t="shared" ca="1" si="279"/>
        <v/>
      </c>
      <c r="AK439" s="700" t="str">
        <f t="shared" si="280"/>
        <v/>
      </c>
      <c r="AL439" s="700"/>
      <c r="AM439" s="505" t="str">
        <f t="shared" si="281"/>
        <v/>
      </c>
      <c r="AN439" s="506"/>
      <c r="AO439" s="507"/>
      <c r="AP439" s="507"/>
      <c r="AQ439" s="507"/>
      <c r="AR439" s="507"/>
      <c r="AS439" s="507"/>
      <c r="AT439" s="507"/>
      <c r="AU439" s="507"/>
      <c r="AV439" s="225"/>
      <c r="AW439" s="508"/>
      <c r="AX439" s="225"/>
      <c r="AY439" s="225"/>
      <c r="AZ439" s="225"/>
      <c r="BA439" s="225"/>
      <c r="BB439" s="225"/>
      <c r="BC439" s="56"/>
      <c r="BD439" s="56"/>
      <c r="BE439" s="56"/>
      <c r="BF439" s="107" t="str">
        <f t="shared" si="282"/>
        <v>https://www.google.com/search?tbm=isch&amp;q=3%20G1</v>
      </c>
      <c r="BG439" s="107" t="str">
        <f t="shared" si="283"/>
        <v>B</v>
      </c>
      <c r="BH439" s="254"/>
      <c r="BI439" s="254"/>
    </row>
    <row r="440" spans="1:61" customFormat="1" ht="15.75" x14ac:dyDescent="0.25">
      <c r="A440" s="485">
        <v>3</v>
      </c>
      <c r="B440" s="486" t="s">
        <v>291</v>
      </c>
      <c r="C440" s="487" t="s">
        <v>4856</v>
      </c>
      <c r="D440" s="488" t="s">
        <v>312</v>
      </c>
      <c r="E440" s="489">
        <v>25.95</v>
      </c>
      <c r="F440" s="516" t="s">
        <v>293</v>
      </c>
      <c r="G440" s="232">
        <v>0</v>
      </c>
      <c r="H440" s="658" t="str">
        <f t="shared" si="301"/>
        <v/>
      </c>
      <c r="I440" s="490">
        <f t="shared" si="302"/>
        <v>0</v>
      </c>
      <c r="J440" s="490">
        <f t="shared" si="303"/>
        <v>0</v>
      </c>
      <c r="K440" s="695">
        <f t="shared" ref="K440" si="309">I440+J440</f>
        <v>0</v>
      </c>
      <c r="L440" s="695"/>
      <c r="M440" s="659" t="str">
        <f t="shared" si="305"/>
        <v/>
      </c>
      <c r="N440" s="660"/>
      <c r="O440" s="233"/>
      <c r="P440" s="233"/>
      <c r="Q440" s="233"/>
      <c r="R440" s="233"/>
      <c r="S440" s="233"/>
      <c r="T440" s="508">
        <f t="shared" si="271"/>
        <v>0</v>
      </c>
      <c r="U440" s="225">
        <f>IF(NOT(ISNUMBER(G440)), "", VLOOKUP(A440,'Discount Lookup'!D:E,2,FALSE)*G440)</f>
        <v>0</v>
      </c>
      <c r="V440" s="225">
        <f>IF(NOT(ISNUMBER(G440)), "", VLOOKUP(A440,'Discount Lookup'!G:H,2,FALSE)*G440)</f>
        <v>0</v>
      </c>
      <c r="W440" s="508">
        <f t="shared" si="272"/>
        <v>0</v>
      </c>
      <c r="X440" s="508">
        <f t="shared" si="273"/>
        <v>0</v>
      </c>
      <c r="Y440" s="509" t="b">
        <f t="shared" si="274"/>
        <v>0</v>
      </c>
      <c r="Z440" s="510">
        <f t="shared" si="275"/>
        <v>0</v>
      </c>
      <c r="AA440" s="511"/>
      <c r="AB440" s="511" t="str">
        <f t="shared" si="276"/>
        <v/>
      </c>
      <c r="AC440" s="698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698"/>
      <c r="AE440" s="631" t="str">
        <f t="shared" si="277"/>
        <v/>
      </c>
      <c r="AF440" s="699" t="str">
        <f t="shared" si="278"/>
        <v/>
      </c>
      <c r="AG440" s="699"/>
      <c r="AH440" s="699"/>
      <c r="AI440" s="512">
        <f>IF(H440="credit",0,IF(AE440="free",0,IF(AE440="me",0,IF(G440&gt;0,(VLOOKUP(A440,'Discount Lookup'!J:K,2)*G440),0))))</f>
        <v>0</v>
      </c>
      <c r="AJ440" s="513" t="str">
        <f t="shared" ca="1" si="279"/>
        <v/>
      </c>
      <c r="AK440" s="700" t="str">
        <f t="shared" si="280"/>
        <v/>
      </c>
      <c r="AL440" s="700"/>
      <c r="AM440" s="505" t="str">
        <f t="shared" si="281"/>
        <v/>
      </c>
      <c r="AN440" s="506"/>
      <c r="AO440" s="507"/>
      <c r="AP440" s="507"/>
      <c r="AQ440" s="507"/>
      <c r="AR440" s="507"/>
      <c r="AS440" s="507"/>
      <c r="AT440" s="507"/>
      <c r="AU440" s="507"/>
      <c r="AV440" s="225"/>
      <c r="AW440" s="508"/>
      <c r="AX440" s="225"/>
      <c r="AY440" s="225"/>
      <c r="AZ440" s="225"/>
      <c r="BA440" s="225"/>
      <c r="BB440" s="225"/>
      <c r="BC440" s="56"/>
      <c r="BD440" s="56"/>
      <c r="BE440" s="56"/>
      <c r="BF440" s="107" t="str">
        <f t="shared" si="282"/>
        <v>https://www.google.com/search?tbm=isch&amp;q=3%20G2</v>
      </c>
      <c r="BG440" s="107" t="str">
        <f t="shared" si="283"/>
        <v>B</v>
      </c>
      <c r="BH440" s="254"/>
      <c r="BI440" s="254"/>
    </row>
    <row r="441" spans="1:61" customFormat="1" ht="27" x14ac:dyDescent="0.25">
      <c r="A441" s="485">
        <v>3</v>
      </c>
      <c r="B441" s="486" t="s">
        <v>291</v>
      </c>
      <c r="C441" s="487" t="s">
        <v>2717</v>
      </c>
      <c r="D441" s="488" t="s">
        <v>299</v>
      </c>
      <c r="E441" s="489">
        <v>26.95</v>
      </c>
      <c r="F441" s="516" t="s">
        <v>293</v>
      </c>
      <c r="G441" s="232">
        <v>0</v>
      </c>
      <c r="H441" s="658" t="str">
        <f t="shared" si="301"/>
        <v/>
      </c>
      <c r="I441" s="490">
        <f t="shared" si="302"/>
        <v>0</v>
      </c>
      <c r="J441" s="490">
        <f t="shared" si="303"/>
        <v>0</v>
      </c>
      <c r="K441" s="695">
        <f t="shared" ref="K441" si="310">I441+J441</f>
        <v>0</v>
      </c>
      <c r="L441" s="695"/>
      <c r="M441" s="659" t="str">
        <f t="shared" si="305"/>
        <v/>
      </c>
      <c r="N441" s="660"/>
      <c r="O441" s="233"/>
      <c r="P441" s="233"/>
      <c r="Q441" s="233"/>
      <c r="R441" s="233"/>
      <c r="S441" s="233"/>
      <c r="T441" s="508">
        <f t="shared" si="271"/>
        <v>0</v>
      </c>
      <c r="U441" s="225">
        <f>IF(NOT(ISNUMBER(G441)), "", VLOOKUP(A441,'Discount Lookup'!D:E,2,FALSE)*G441)</f>
        <v>0</v>
      </c>
      <c r="V441" s="225">
        <f>IF(NOT(ISNUMBER(G441)), "", VLOOKUP(A441,'Discount Lookup'!G:H,2,FALSE)*G441)</f>
        <v>0</v>
      </c>
      <c r="W441" s="508">
        <f t="shared" si="272"/>
        <v>0</v>
      </c>
      <c r="X441" s="508">
        <f t="shared" si="273"/>
        <v>0</v>
      </c>
      <c r="Y441" s="509" t="b">
        <f t="shared" si="274"/>
        <v>0</v>
      </c>
      <c r="Z441" s="510">
        <f t="shared" si="275"/>
        <v>0</v>
      </c>
      <c r="AA441" s="511"/>
      <c r="AB441" s="511" t="str">
        <f t="shared" si="276"/>
        <v/>
      </c>
      <c r="AC441" s="698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698"/>
      <c r="AE441" s="631" t="str">
        <f t="shared" si="277"/>
        <v/>
      </c>
      <c r="AF441" s="699" t="str">
        <f t="shared" si="278"/>
        <v/>
      </c>
      <c r="AG441" s="699"/>
      <c r="AH441" s="699"/>
      <c r="AI441" s="512">
        <f>IF(H441="credit",0,IF(AE441="free",0,IF(AE441="me",0,IF(G441&gt;0,(VLOOKUP(A441,'Discount Lookup'!J:K,2)*G441),0))))</f>
        <v>0</v>
      </c>
      <c r="AJ441" s="513" t="str">
        <f t="shared" ca="1" si="279"/>
        <v/>
      </c>
      <c r="AK441" s="700" t="str">
        <f t="shared" si="280"/>
        <v/>
      </c>
      <c r="AL441" s="700"/>
      <c r="AM441" s="505" t="str">
        <f t="shared" si="281"/>
        <v/>
      </c>
      <c r="AN441" s="506"/>
      <c r="AO441" s="507"/>
      <c r="AP441" s="507"/>
      <c r="AQ441" s="507"/>
      <c r="AR441" s="507"/>
      <c r="AS441" s="507"/>
      <c r="AT441" s="507"/>
      <c r="AU441" s="507"/>
      <c r="AV441" s="225"/>
      <c r="AW441" s="508"/>
      <c r="AX441" s="225"/>
      <c r="AY441" s="225"/>
      <c r="AZ441" s="225"/>
      <c r="BA441" s="225"/>
      <c r="BB441" s="225"/>
      <c r="BC441" s="56"/>
      <c r="BD441" s="56"/>
      <c r="BE441" s="56"/>
      <c r="BF441" s="107" t="str">
        <f t="shared" si="282"/>
        <v>https://www.google.com/search?tbm=isch&amp;q=3%20G5</v>
      </c>
      <c r="BG441" s="107" t="str">
        <f t="shared" si="283"/>
        <v>B</v>
      </c>
      <c r="BH441" s="254"/>
      <c r="BI441" s="254"/>
    </row>
    <row r="442" spans="1:61" customFormat="1" ht="17.25" thickBot="1" x14ac:dyDescent="0.3">
      <c r="A442" s="522" t="s">
        <v>2627</v>
      </c>
      <c r="B442" s="491"/>
      <c r="C442" s="675"/>
      <c r="D442" s="491"/>
      <c r="E442" s="491"/>
      <c r="F442" s="492"/>
      <c r="G442" s="493"/>
      <c r="H442" s="491"/>
      <c r="I442" s="234"/>
      <c r="J442" s="234"/>
      <c r="K442" s="494"/>
      <c r="L442" s="543"/>
      <c r="M442" s="561"/>
      <c r="N442" s="495"/>
      <c r="O442" s="496"/>
      <c r="P442" s="497"/>
      <c r="Q442" s="495"/>
      <c r="R442" s="495"/>
      <c r="S442" s="667" t="s">
        <v>4982</v>
      </c>
      <c r="T442" s="508">
        <f t="shared" si="271"/>
        <v>0</v>
      </c>
      <c r="U442" s="225" t="str">
        <f>IF(NOT(ISNUMBER(G442)), "", VLOOKUP(A442,'Discount Lookup'!D:E,2,FALSE)*G442)</f>
        <v/>
      </c>
      <c r="V442" s="225" t="str">
        <f>IF(NOT(ISNUMBER(G442)), "", VLOOKUP(A442,'Discount Lookup'!G:H,2,FALSE)*G442)</f>
        <v/>
      </c>
      <c r="W442" s="508">
        <f t="shared" si="272"/>
        <v>0</v>
      </c>
      <c r="X442" s="508">
        <f t="shared" si="273"/>
        <v>0</v>
      </c>
      <c r="Y442" s="509" t="b">
        <f t="shared" si="274"/>
        <v>0</v>
      </c>
      <c r="Z442" s="510">
        <f t="shared" si="275"/>
        <v>0</v>
      </c>
      <c r="AA442" s="511"/>
      <c r="AB442" s="511" t="str">
        <f t="shared" si="276"/>
        <v/>
      </c>
      <c r="AC442" s="698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698"/>
      <c r="AE442" s="631" t="str">
        <f t="shared" si="277"/>
        <v/>
      </c>
      <c r="AF442" s="699" t="str">
        <f t="shared" si="278"/>
        <v/>
      </c>
      <c r="AG442" s="699"/>
      <c r="AH442" s="699"/>
      <c r="AI442" s="512">
        <f>IF(H442="credit",0,IF(AE442="free",0,IF(AE442="me",0,IF(G442&gt;0,(VLOOKUP(A442,'Discount Lookup'!J:K,2)*G442),0))))</f>
        <v>0</v>
      </c>
      <c r="AJ442" s="513" t="str">
        <f t="shared" ca="1" si="279"/>
        <v/>
      </c>
      <c r="AK442" s="700" t="str">
        <f t="shared" si="280"/>
        <v/>
      </c>
      <c r="AL442" s="700"/>
      <c r="AM442" s="505" t="str">
        <f t="shared" si="281"/>
        <v/>
      </c>
      <c r="AN442" s="506"/>
      <c r="AO442" s="507"/>
      <c r="AP442" s="507"/>
      <c r="AQ442" s="507"/>
      <c r="AR442" s="507"/>
      <c r="AS442" s="507"/>
      <c r="AT442" s="507"/>
      <c r="AU442" s="507"/>
      <c r="AV442" s="225"/>
      <c r="AW442" s="508"/>
      <c r="AX442" s="225"/>
      <c r="AY442" s="225"/>
      <c r="AZ442" s="225"/>
      <c r="BA442" s="225"/>
      <c r="BB442" s="225"/>
      <c r="BC442" s="56"/>
      <c r="BD442" s="56"/>
      <c r="BE442" s="56"/>
      <c r="BF442" s="107" t="str">
        <f t="shared" si="282"/>
        <v>https://www.google.com/search?tbm=isch&amp;q=Blue%20Pacific%20%28AKA%20%27Shore%20Juniper%27%29%20will%20grow%20on%20almost%20anything.%20Dense%20foliage%20is%20aromatic.%20Sun%2Fheat%2Fdrought%20tolerant%20</v>
      </c>
      <c r="BG442" s="107" t="str">
        <f t="shared" si="283"/>
        <v>B</v>
      </c>
      <c r="BH442" s="254"/>
      <c r="BI442" s="254"/>
    </row>
    <row r="443" spans="1:61" customFormat="1" ht="18" x14ac:dyDescent="0.25">
      <c r="A443" s="521" t="s">
        <v>607</v>
      </c>
      <c r="B443" s="477"/>
      <c r="C443" s="674"/>
      <c r="D443" s="478" t="s">
        <v>606</v>
      </c>
      <c r="E443" s="479"/>
      <c r="F443" s="479"/>
      <c r="G443" s="479"/>
      <c r="H443" s="582" t="s">
        <v>3917</v>
      </c>
      <c r="I443" s="480" t="s">
        <v>3918</v>
      </c>
      <c r="J443" s="479"/>
      <c r="K443" s="479"/>
      <c r="L443" s="560"/>
      <c r="M443" s="666" t="s">
        <v>4963</v>
      </c>
      <c r="N443" s="680" t="str">
        <f>IF(AND(ISTEXT($A443), ISERROR($A443+0)), HYPERLINK($BF443, "Images"), "")</f>
        <v>Images</v>
      </c>
      <c r="O443" s="662" t="s">
        <v>4974</v>
      </c>
      <c r="P443" s="482"/>
      <c r="Q443" s="483"/>
      <c r="R443" s="483"/>
      <c r="S443" s="484"/>
      <c r="T443" s="508">
        <f t="shared" si="271"/>
        <v>0</v>
      </c>
      <c r="U443" s="225" t="str">
        <f>IF(NOT(ISNUMBER(G443)), "", VLOOKUP(A443,'Discount Lookup'!D:E,2,FALSE)*G443)</f>
        <v/>
      </c>
      <c r="V443" s="225" t="str">
        <f>IF(NOT(ISNUMBER(G443)), "", VLOOKUP(A443,'Discount Lookup'!G:H,2,FALSE)*G443)</f>
        <v/>
      </c>
      <c r="W443" s="508">
        <f t="shared" si="272"/>
        <v>0</v>
      </c>
      <c r="X443" s="508" t="str">
        <f t="shared" si="273"/>
        <v>Blue-Plum foliage</v>
      </c>
      <c r="Y443" s="509" t="b">
        <f t="shared" si="274"/>
        <v>0</v>
      </c>
      <c r="Z443" s="510">
        <f t="shared" si="275"/>
        <v>0</v>
      </c>
      <c r="AA443" s="511"/>
      <c r="AB443" s="511" t="str">
        <f t="shared" si="276"/>
        <v/>
      </c>
      <c r="AC443" s="698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698"/>
      <c r="AE443" s="631" t="str">
        <f t="shared" si="277"/>
        <v/>
      </c>
      <c r="AF443" s="699" t="str">
        <f t="shared" si="278"/>
        <v/>
      </c>
      <c r="AG443" s="699"/>
      <c r="AH443" s="699"/>
      <c r="AI443" s="512">
        <f>IF(H443="credit",0,IF(AE443="free",0,IF(AE443="me",0,IF(G443&gt;0,(VLOOKUP(A443,'Discount Lookup'!J:K,2)*G443),0))))</f>
        <v>0</v>
      </c>
      <c r="AJ443" s="513" t="str">
        <f t="shared" ca="1" si="279"/>
        <v/>
      </c>
      <c r="AK443" s="700" t="str">
        <f t="shared" si="280"/>
        <v/>
      </c>
      <c r="AL443" s="700"/>
      <c r="AM443" s="505" t="str">
        <f t="shared" si="281"/>
        <v/>
      </c>
      <c r="AN443" s="506"/>
      <c r="AO443" s="507"/>
      <c r="AP443" s="507"/>
      <c r="AQ443" s="507"/>
      <c r="AR443" s="507"/>
      <c r="AS443" s="507"/>
      <c r="AT443" s="507"/>
      <c r="AU443" s="507"/>
      <c r="AV443" s="225"/>
      <c r="AW443" s="508"/>
      <c r="AX443" s="225"/>
      <c r="AY443" s="225"/>
      <c r="AZ443" s="225"/>
      <c r="BA443" s="225"/>
      <c r="BB443" s="225"/>
      <c r="BC443" s="56"/>
      <c r="BD443" s="56"/>
      <c r="BE443" s="56"/>
      <c r="BF443" s="107" t="str">
        <f t="shared" si="282"/>
        <v>https://www.google.com/search?tbm=isch&amp;q=Blue%20Pearl%20Sedum%20Sedum%20%27Blue%20Pearl%27%20PPAF</v>
      </c>
      <c r="BG443" s="107" t="str">
        <f t="shared" si="283"/>
        <v>B</v>
      </c>
      <c r="BH443" s="254"/>
      <c r="BI443" s="254"/>
    </row>
    <row r="444" spans="1:61" customFormat="1" ht="15.75" x14ac:dyDescent="0.25">
      <c r="A444" s="485">
        <v>1</v>
      </c>
      <c r="B444" s="486" t="s">
        <v>291</v>
      </c>
      <c r="C444" s="487"/>
      <c r="D444" s="488" t="s">
        <v>312</v>
      </c>
      <c r="E444" s="489">
        <v>11.95</v>
      </c>
      <c r="F444" s="516" t="s">
        <v>293</v>
      </c>
      <c r="G444" s="232">
        <v>0</v>
      </c>
      <c r="H444" s="658" t="str">
        <f>IF(G444=0,"",IF(F444="Buy",IF(G444=1,"plant","plants"),IF(F444&gt;0.01,"warranty","Error")))</f>
        <v/>
      </c>
      <c r="I444" s="490">
        <f>IF(H444="free",0,IF(H444="credit",((E444*(F444))*G444*-1),IF(F444="Buy",(E444*G444),((E444*(1-F444))*G444))))</f>
        <v>0</v>
      </c>
      <c r="J444" s="490">
        <f>IF(H444="warranty",0,(I444*(_xlfn.SINGLE(SalesTaxPercentage))))</f>
        <v>0</v>
      </c>
      <c r="K444" s="695">
        <f t="shared" ref="K444" si="311">I444+J444</f>
        <v>0</v>
      </c>
      <c r="L444" s="695"/>
      <c r="M444" s="659" t="str">
        <f>IF(AND(G444&gt;0,E444=0),"WARNING - no PRICE inserted",IF(H444="free"," FREE ~ no charge this plant",IF(H444="credit",CONCATENATE(" -$",ROUND(K444*(1-T2GDiscount)*-1,2)," CREDIT after discount"),IF(T2GDiscount=0,"",IF(G444=0,"",IF(F444="Buy",CONCATENATE(" $",ROUND(K444*(1-T2GDiscount),2)," with ",(T2GDiscount*100),"% discount"),CONCATENATE(" $",ROUND(K444*(1-T2GDiscount),2)," with ",((T2GDiscount*100+F444*100)-(T2GDiscount*100*F444)),IF(F444&gt;0,"% discounts",IF(NoWarrantyDiscount&gt;0,"% discounts","% discount")))))))))</f>
        <v/>
      </c>
      <c r="N444" s="660"/>
      <c r="O444" s="233"/>
      <c r="P444" s="233"/>
      <c r="Q444" s="233"/>
      <c r="R444" s="233"/>
      <c r="S444" s="233"/>
      <c r="T444" s="508">
        <f t="shared" si="271"/>
        <v>0</v>
      </c>
      <c r="U444" s="225">
        <f>IF(NOT(ISNUMBER(G444)), "", VLOOKUP(A444,'Discount Lookup'!D:E,2,FALSE)*G444)</f>
        <v>0</v>
      </c>
      <c r="V444" s="225">
        <f>IF(NOT(ISNUMBER(G444)), "", VLOOKUP(A444,'Discount Lookup'!G:H,2,FALSE)*G444)</f>
        <v>0</v>
      </c>
      <c r="W444" s="508">
        <f t="shared" si="272"/>
        <v>0</v>
      </c>
      <c r="X444" s="508">
        <f t="shared" si="273"/>
        <v>0</v>
      </c>
      <c r="Y444" s="509" t="b">
        <f t="shared" si="274"/>
        <v>0</v>
      </c>
      <c r="Z444" s="510">
        <f t="shared" si="275"/>
        <v>0</v>
      </c>
      <c r="AA444" s="511"/>
      <c r="AB444" s="511" t="str">
        <f t="shared" si="276"/>
        <v/>
      </c>
      <c r="AC444" s="698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698"/>
      <c r="AE444" s="631" t="str">
        <f t="shared" si="277"/>
        <v/>
      </c>
      <c r="AF444" s="699" t="str">
        <f t="shared" si="278"/>
        <v/>
      </c>
      <c r="AG444" s="699"/>
      <c r="AH444" s="699"/>
      <c r="AI444" s="512">
        <f>IF(H444="credit",0,IF(AE444="free",0,IF(AE444="me",0,IF(G444&gt;0,(VLOOKUP(A444,'Discount Lookup'!J:K,2)*G444),0))))</f>
        <v>0</v>
      </c>
      <c r="AJ444" s="513" t="str">
        <f t="shared" ca="1" si="279"/>
        <v/>
      </c>
      <c r="AK444" s="700" t="str">
        <f t="shared" si="280"/>
        <v/>
      </c>
      <c r="AL444" s="700"/>
      <c r="AM444" s="505" t="str">
        <f t="shared" si="281"/>
        <v/>
      </c>
      <c r="AN444" s="506"/>
      <c r="AO444" s="507"/>
      <c r="AP444" s="507"/>
      <c r="AQ444" s="507"/>
      <c r="AR444" s="507"/>
      <c r="AS444" s="507"/>
      <c r="AT444" s="507"/>
      <c r="AU444" s="507"/>
      <c r="AV444" s="225"/>
      <c r="AW444" s="508"/>
      <c r="AX444" s="225"/>
      <c r="AY444" s="225"/>
      <c r="AZ444" s="225"/>
      <c r="BA444" s="225"/>
      <c r="BB444" s="225"/>
      <c r="BC444" s="56"/>
      <c r="BD444" s="56"/>
      <c r="BE444" s="56"/>
      <c r="BF444" s="107" t="str">
        <f t="shared" si="282"/>
        <v>https://www.google.com/search?tbm=isch&amp;q=1%20G2</v>
      </c>
      <c r="BG444" s="107" t="str">
        <f t="shared" si="283"/>
        <v>B</v>
      </c>
      <c r="BH444" s="254"/>
      <c r="BI444" s="254"/>
    </row>
    <row r="445" spans="1:61" customFormat="1" ht="17.25" thickBot="1" x14ac:dyDescent="0.3">
      <c r="A445" s="522" t="s">
        <v>3919</v>
      </c>
      <c r="B445" s="491"/>
      <c r="C445" s="675"/>
      <c r="D445" s="491"/>
      <c r="E445" s="491"/>
      <c r="F445" s="492"/>
      <c r="G445" s="493"/>
      <c r="H445" s="491"/>
      <c r="I445" s="234"/>
      <c r="J445" s="234"/>
      <c r="K445" s="494"/>
      <c r="L445" s="543"/>
      <c r="M445" s="561"/>
      <c r="N445" s="495"/>
      <c r="O445" s="496"/>
      <c r="P445" s="497"/>
      <c r="Q445" s="495"/>
      <c r="R445" s="495"/>
      <c r="S445" s="667" t="s">
        <v>4983</v>
      </c>
      <c r="T445" s="508">
        <f t="shared" si="271"/>
        <v>0</v>
      </c>
      <c r="U445" s="225" t="str">
        <f>IF(NOT(ISNUMBER(G445)), "", VLOOKUP(A445,'Discount Lookup'!D:E,2,FALSE)*G445)</f>
        <v/>
      </c>
      <c r="V445" s="225" t="str">
        <f>IF(NOT(ISNUMBER(G445)), "", VLOOKUP(A445,'Discount Lookup'!G:H,2,FALSE)*G445)</f>
        <v/>
      </c>
      <c r="W445" s="508">
        <f t="shared" si="272"/>
        <v>0</v>
      </c>
      <c r="X445" s="508">
        <f t="shared" si="273"/>
        <v>0</v>
      </c>
      <c r="Y445" s="509" t="b">
        <f t="shared" si="274"/>
        <v>0</v>
      </c>
      <c r="Z445" s="510">
        <f t="shared" si="275"/>
        <v>0</v>
      </c>
      <c r="AA445" s="511"/>
      <c r="AB445" s="511" t="str">
        <f t="shared" si="276"/>
        <v/>
      </c>
      <c r="AC445" s="698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698"/>
      <c r="AE445" s="631" t="str">
        <f t="shared" si="277"/>
        <v/>
      </c>
      <c r="AF445" s="699" t="str">
        <f t="shared" si="278"/>
        <v/>
      </c>
      <c r="AG445" s="699"/>
      <c r="AH445" s="699"/>
      <c r="AI445" s="512">
        <f>IF(H445="credit",0,IF(AE445="free",0,IF(AE445="me",0,IF(G445&gt;0,(VLOOKUP(A445,'Discount Lookup'!J:K,2)*G445),0))))</f>
        <v>0</v>
      </c>
      <c r="AJ445" s="513" t="str">
        <f t="shared" ca="1" si="279"/>
        <v/>
      </c>
      <c r="AK445" s="700" t="str">
        <f t="shared" si="280"/>
        <v/>
      </c>
      <c r="AL445" s="700"/>
      <c r="AM445" s="505" t="str">
        <f t="shared" si="281"/>
        <v/>
      </c>
      <c r="AN445" s="506"/>
      <c r="AO445" s="507"/>
      <c r="AP445" s="507"/>
      <c r="AQ445" s="507"/>
      <c r="AR445" s="507"/>
      <c r="AS445" s="507"/>
      <c r="AT445" s="507"/>
      <c r="AU445" s="507"/>
      <c r="AV445" s="225"/>
      <c r="AW445" s="508"/>
      <c r="AX445" s="225"/>
      <c r="AY445" s="225"/>
      <c r="AZ445" s="225"/>
      <c r="BA445" s="225"/>
      <c r="BB445" s="225"/>
      <c r="BC445" s="56"/>
      <c r="BD445" s="56"/>
      <c r="BE445" s="56"/>
      <c r="BF445" s="107" t="str">
        <f t="shared" si="282"/>
        <v>https://www.google.com/search?tbm=isch&amp;q=Blue%20Pearl%20features%20intense%20Smoky%20Blue%20foliage%20on%20Red%20stems%20with%20vivid%20Pink%20blooms%20in%20late%20summer.%20Semi-evergreen%20</v>
      </c>
      <c r="BG445" s="107" t="str">
        <f t="shared" si="283"/>
        <v>B</v>
      </c>
      <c r="BH445" s="254"/>
      <c r="BI445" s="254"/>
    </row>
    <row r="446" spans="1:61" customFormat="1" ht="18" x14ac:dyDescent="0.25">
      <c r="A446" s="521" t="s">
        <v>493</v>
      </c>
      <c r="B446" s="477"/>
      <c r="C446" s="674"/>
      <c r="D446" s="478" t="s">
        <v>492</v>
      </c>
      <c r="E446" s="479"/>
      <c r="F446" s="479"/>
      <c r="G446" s="479"/>
      <c r="H446" s="582" t="s">
        <v>2625</v>
      </c>
      <c r="I446" s="480" t="s">
        <v>2628</v>
      </c>
      <c r="J446" s="479"/>
      <c r="K446" s="479"/>
      <c r="L446" s="560"/>
      <c r="M446" s="666" t="s">
        <v>4963</v>
      </c>
      <c r="N446" s="680" t="str">
        <f>IF(AND(ISTEXT($A446), ISERROR($A446+0)), HYPERLINK($BF446, "Images"), "")</f>
        <v>Images</v>
      </c>
      <c r="O446" s="662" t="s">
        <v>4969</v>
      </c>
      <c r="P446" s="482"/>
      <c r="Q446" s="483"/>
      <c r="R446" s="483"/>
      <c r="S446" s="484"/>
      <c r="T446" s="508">
        <f t="shared" si="271"/>
        <v>0</v>
      </c>
      <c r="U446" s="225" t="str">
        <f>IF(NOT(ISNUMBER(G446)), "", VLOOKUP(A446,'Discount Lookup'!D:E,2,FALSE)*G446)</f>
        <v/>
      </c>
      <c r="V446" s="225" t="str">
        <f>IF(NOT(ISNUMBER(G446)), "", VLOOKUP(A446,'Discount Lookup'!G:H,2,FALSE)*G446)</f>
        <v/>
      </c>
      <c r="W446" s="508">
        <f t="shared" si="272"/>
        <v>0</v>
      </c>
      <c r="X446" s="508" t="str">
        <f t="shared" si="273"/>
        <v>Blue-Gray foliage</v>
      </c>
      <c r="Y446" s="509" t="b">
        <f t="shared" si="274"/>
        <v>0</v>
      </c>
      <c r="Z446" s="510">
        <f t="shared" si="275"/>
        <v>0</v>
      </c>
      <c r="AA446" s="511"/>
      <c r="AB446" s="511" t="str">
        <f t="shared" si="276"/>
        <v/>
      </c>
      <c r="AC446" s="698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698"/>
      <c r="AE446" s="631" t="str">
        <f t="shared" si="277"/>
        <v/>
      </c>
      <c r="AF446" s="699" t="str">
        <f t="shared" si="278"/>
        <v/>
      </c>
      <c r="AG446" s="699"/>
      <c r="AH446" s="699"/>
      <c r="AI446" s="512">
        <f>IF(H446="credit",0,IF(AE446="free",0,IF(AE446="me",0,IF(G446&gt;0,(VLOOKUP(A446,'Discount Lookup'!J:K,2)*G446),0))))</f>
        <v>0</v>
      </c>
      <c r="AJ446" s="513" t="str">
        <f t="shared" ca="1" si="279"/>
        <v/>
      </c>
      <c r="AK446" s="700" t="str">
        <f t="shared" si="280"/>
        <v/>
      </c>
      <c r="AL446" s="700"/>
      <c r="AM446" s="505" t="str">
        <f t="shared" si="281"/>
        <v/>
      </c>
      <c r="AN446" s="506"/>
      <c r="AO446" s="507"/>
      <c r="AP446" s="507"/>
      <c r="AQ446" s="507"/>
      <c r="AR446" s="507"/>
      <c r="AS446" s="507"/>
      <c r="AT446" s="507"/>
      <c r="AU446" s="507"/>
      <c r="AV446" s="225"/>
      <c r="AW446" s="508"/>
      <c r="AX446" s="225"/>
      <c r="AY446" s="225"/>
      <c r="AZ446" s="225"/>
      <c r="BA446" s="225"/>
      <c r="BB446" s="225"/>
      <c r="BC446" s="56"/>
      <c r="BD446" s="56"/>
      <c r="BE446" s="56"/>
      <c r="BF446" s="107" t="str">
        <f t="shared" si="282"/>
        <v>https://www.google.com/search?tbm=isch&amp;q=Blue%20Pfitzer%20Juniper%20Juniperus%20%C3%97%20pfitzeriana%20%27Glauca%27</v>
      </c>
      <c r="BG446" s="107" t="str">
        <f t="shared" si="283"/>
        <v>B</v>
      </c>
      <c r="BH446" s="254"/>
      <c r="BI446" s="254"/>
    </row>
    <row r="447" spans="1:61" customFormat="1" ht="40.5" x14ac:dyDescent="0.25">
      <c r="A447" s="485">
        <v>15</v>
      </c>
      <c r="B447" s="486" t="s">
        <v>291</v>
      </c>
      <c r="C447" s="487" t="s">
        <v>3341</v>
      </c>
      <c r="D447" s="488" t="s">
        <v>292</v>
      </c>
      <c r="E447" s="489">
        <v>424.95</v>
      </c>
      <c r="F447" s="516" t="s">
        <v>293</v>
      </c>
      <c r="G447" s="232">
        <v>0</v>
      </c>
      <c r="H447" s="658" t="str">
        <f>IF(G447=0,"",IF(F447="Buy",IF(G447=1,"plant","plants"),IF(F447&gt;0.01,"warranty","Error")))</f>
        <v/>
      </c>
      <c r="I447" s="490">
        <f>IF(H447="free",0,IF(H447="credit",((E447*(F447))*G447*-1),IF(F447="Buy",(E447*G447),((E447*(1-F447))*G447))))</f>
        <v>0</v>
      </c>
      <c r="J447" s="490">
        <f>IF(H447="warranty",0,(I447*(_xlfn.SINGLE(SalesTaxPercentage))))</f>
        <v>0</v>
      </c>
      <c r="K447" s="695">
        <f t="shared" ref="K447" si="312">I447+J447</f>
        <v>0</v>
      </c>
      <c r="L447" s="695"/>
      <c r="M447" s="659" t="str">
        <f>IF(AND(G447&gt;0,E447=0),"WARNING - no PRICE inserted",IF(H447="free"," FREE ~ no charge this plant",IF(H447="credit",CONCATENATE(" -$",ROUND(K447*(1-T2GDiscount)*-1,2)," CREDIT after discount"),IF(T2GDiscount=0,"",IF(G447=0,"",IF(F447="Buy",CONCATENATE(" $",ROUND(K447*(1-T2GDiscount),2)," with ",(T2GDiscount*100),"% discount"),CONCATENATE(" $",ROUND(K447*(1-T2GDiscount),2)," with ",((T2GDiscount*100+F447*100)-(T2GDiscount*100*F447)),IF(F447&gt;0,"% discounts",IF(NoWarrantyDiscount&gt;0,"% discounts","% discount")))))))))</f>
        <v/>
      </c>
      <c r="N447" s="660"/>
      <c r="O447" s="233"/>
      <c r="P447" s="233"/>
      <c r="Q447" s="233"/>
      <c r="R447" s="233"/>
      <c r="S447" s="233"/>
      <c r="T447" s="508">
        <f t="shared" si="271"/>
        <v>0</v>
      </c>
      <c r="U447" s="225">
        <f>IF(NOT(ISNUMBER(G447)), "", VLOOKUP(A447,'Discount Lookup'!D:E,2,FALSE)*G447)</f>
        <v>0</v>
      </c>
      <c r="V447" s="225">
        <f>IF(NOT(ISNUMBER(G447)), "", VLOOKUP(A447,'Discount Lookup'!G:H,2,FALSE)*G447)</f>
        <v>0</v>
      </c>
      <c r="W447" s="508">
        <f t="shared" si="272"/>
        <v>0</v>
      </c>
      <c r="X447" s="508">
        <f t="shared" si="273"/>
        <v>0</v>
      </c>
      <c r="Y447" s="509" t="b">
        <f t="shared" si="274"/>
        <v>0</v>
      </c>
      <c r="Z447" s="510">
        <f t="shared" si="275"/>
        <v>0</v>
      </c>
      <c r="AA447" s="511"/>
      <c r="AB447" s="511" t="str">
        <f t="shared" si="276"/>
        <v/>
      </c>
      <c r="AC447" s="698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698"/>
      <c r="AE447" s="631" t="str">
        <f t="shared" si="277"/>
        <v/>
      </c>
      <c r="AF447" s="699" t="str">
        <f t="shared" si="278"/>
        <v/>
      </c>
      <c r="AG447" s="699"/>
      <c r="AH447" s="699"/>
      <c r="AI447" s="512">
        <f>IF(H447="credit",0,IF(AE447="free",0,IF(AE447="me",0,IF(G447&gt;0,(VLOOKUP(A447,'Discount Lookup'!J:K,2)*G447),0))))</f>
        <v>0</v>
      </c>
      <c r="AJ447" s="513" t="str">
        <f t="shared" ca="1" si="279"/>
        <v/>
      </c>
      <c r="AK447" s="700" t="str">
        <f t="shared" si="280"/>
        <v/>
      </c>
      <c r="AL447" s="700"/>
      <c r="AM447" s="505" t="str">
        <f t="shared" si="281"/>
        <v/>
      </c>
      <c r="AN447" s="506"/>
      <c r="AO447" s="507"/>
      <c r="AP447" s="507"/>
      <c r="AQ447" s="507"/>
      <c r="AR447" s="507"/>
      <c r="AS447" s="507"/>
      <c r="AT447" s="507"/>
      <c r="AU447" s="507"/>
      <c r="AV447" s="225"/>
      <c r="AW447" s="508"/>
      <c r="AX447" s="225"/>
      <c r="AY447" s="225"/>
      <c r="AZ447" s="225"/>
      <c r="BA447" s="225"/>
      <c r="BB447" s="225"/>
      <c r="BC447" s="56"/>
      <c r="BD447" s="56"/>
      <c r="BE447" s="56"/>
      <c r="BF447" s="107" t="str">
        <f t="shared" si="282"/>
        <v>https://www.google.com/search?tbm=isch&amp;q=15%20G4</v>
      </c>
      <c r="BG447" s="107" t="str">
        <f t="shared" si="283"/>
        <v>B</v>
      </c>
      <c r="BH447" s="254"/>
      <c r="BI447" s="254"/>
    </row>
    <row r="448" spans="1:61" customFormat="1" ht="27" x14ac:dyDescent="0.25">
      <c r="A448" s="485">
        <v>25</v>
      </c>
      <c r="B448" s="486" t="s">
        <v>291</v>
      </c>
      <c r="C448" s="487" t="s">
        <v>3342</v>
      </c>
      <c r="D448" s="488" t="s">
        <v>292</v>
      </c>
      <c r="E448" s="489">
        <v>484.95</v>
      </c>
      <c r="F448" s="516" t="s">
        <v>293</v>
      </c>
      <c r="G448" s="232">
        <v>0</v>
      </c>
      <c r="H448" s="658" t="str">
        <f>IF(G448=0,"",IF(F448="Buy",IF(G448=1,"plant","plants"),IF(F448&gt;0.01,"warranty","Error")))</f>
        <v/>
      </c>
      <c r="I448" s="490">
        <f>IF(H448="free",0,IF(H448="credit",((E448*(F448))*G448*-1),IF(F448="Buy",(E448*G448),((E448*(1-F448))*G448))))</f>
        <v>0</v>
      </c>
      <c r="J448" s="490">
        <f>IF(H448="warranty",0,(I448*(_xlfn.SINGLE(SalesTaxPercentage))))</f>
        <v>0</v>
      </c>
      <c r="K448" s="695">
        <f t="shared" ref="K448" si="313">I448+J448</f>
        <v>0</v>
      </c>
      <c r="L448" s="695"/>
      <c r="M448" s="659" t="str">
        <f>IF(AND(G448&gt;0,E448=0),"WARNING - no PRICE inserted",IF(H448="free"," FREE ~ no charge this plant",IF(H448="credit",CONCATENATE(" -$",ROUND(K448*(1-T2GDiscount)*-1,2)," CREDIT after discount"),IF(T2GDiscount=0,"",IF(G448=0,"",IF(F448="Buy",CONCATENATE(" $",ROUND(K448*(1-T2GDiscount),2)," with ",(T2GDiscount*100),"% discount"),CONCATENATE(" $",ROUND(K448*(1-T2GDiscount),2)," with ",((T2GDiscount*100+F448*100)-(T2GDiscount*100*F448)),IF(F448&gt;0,"% discounts",IF(NoWarrantyDiscount&gt;0,"% discounts","% discount")))))))))</f>
        <v/>
      </c>
      <c r="N448" s="660"/>
      <c r="O448" s="233"/>
      <c r="P448" s="233"/>
      <c r="Q448" s="233"/>
      <c r="R448" s="233"/>
      <c r="S448" s="233"/>
      <c r="T448" s="508">
        <f t="shared" si="271"/>
        <v>0</v>
      </c>
      <c r="U448" s="225">
        <f>IF(NOT(ISNUMBER(G448)), "", VLOOKUP(A448,'Discount Lookup'!D:E,2,FALSE)*G448)</f>
        <v>0</v>
      </c>
      <c r="V448" s="225">
        <f>IF(NOT(ISNUMBER(G448)), "", VLOOKUP(A448,'Discount Lookup'!G:H,2,FALSE)*G448)</f>
        <v>0</v>
      </c>
      <c r="W448" s="508">
        <f t="shared" si="272"/>
        <v>0</v>
      </c>
      <c r="X448" s="508">
        <f t="shared" si="273"/>
        <v>0</v>
      </c>
      <c r="Y448" s="509" t="b">
        <f t="shared" si="274"/>
        <v>0</v>
      </c>
      <c r="Z448" s="510">
        <f t="shared" si="275"/>
        <v>0</v>
      </c>
      <c r="AA448" s="511"/>
      <c r="AB448" s="511" t="str">
        <f t="shared" si="276"/>
        <v/>
      </c>
      <c r="AC448" s="698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698"/>
      <c r="AE448" s="631" t="str">
        <f t="shared" si="277"/>
        <v/>
      </c>
      <c r="AF448" s="699" t="str">
        <f t="shared" si="278"/>
        <v/>
      </c>
      <c r="AG448" s="699"/>
      <c r="AH448" s="699"/>
      <c r="AI448" s="512">
        <f>IF(H448="credit",0,IF(AE448="free",0,IF(AE448="me",0,IF(G448&gt;0,(VLOOKUP(A448,'Discount Lookup'!J:K,2)*G448),0))))</f>
        <v>0</v>
      </c>
      <c r="AJ448" s="513" t="str">
        <f t="shared" ca="1" si="279"/>
        <v/>
      </c>
      <c r="AK448" s="700" t="str">
        <f t="shared" si="280"/>
        <v/>
      </c>
      <c r="AL448" s="700"/>
      <c r="AM448" s="505" t="str">
        <f t="shared" si="281"/>
        <v/>
      </c>
      <c r="AN448" s="506"/>
      <c r="AO448" s="507"/>
      <c r="AP448" s="507"/>
      <c r="AQ448" s="507"/>
      <c r="AR448" s="507"/>
      <c r="AS448" s="507"/>
      <c r="AT448" s="507"/>
      <c r="AU448" s="507"/>
      <c r="AV448" s="225"/>
      <c r="AW448" s="508"/>
      <c r="AX448" s="225"/>
      <c r="AY448" s="225"/>
      <c r="AZ448" s="225"/>
      <c r="BA448" s="225"/>
      <c r="BB448" s="225"/>
      <c r="BC448" s="56"/>
      <c r="BD448" s="56"/>
      <c r="BE448" s="56"/>
      <c r="BF448" s="107" t="str">
        <f t="shared" si="282"/>
        <v>https://www.google.com/search?tbm=isch&amp;q=25%20G4</v>
      </c>
      <c r="BG448" s="107" t="str">
        <f t="shared" si="283"/>
        <v>B</v>
      </c>
      <c r="BH448" s="254"/>
      <c r="BI448" s="254"/>
    </row>
    <row r="449" spans="1:61" customFormat="1" ht="16.5" thickBot="1" x14ac:dyDescent="0.3">
      <c r="A449" s="522" t="s">
        <v>2629</v>
      </c>
      <c r="B449" s="491"/>
      <c r="C449" s="675"/>
      <c r="D449" s="491"/>
      <c r="E449" s="491"/>
      <c r="F449" s="492"/>
      <c r="G449" s="493"/>
      <c r="H449" s="491"/>
      <c r="I449" s="234"/>
      <c r="J449" s="234"/>
      <c r="K449" s="494"/>
      <c r="L449" s="543"/>
      <c r="M449" s="561"/>
      <c r="N449" s="495"/>
      <c r="O449" s="496"/>
      <c r="P449" s="497"/>
      <c r="Q449" s="495"/>
      <c r="R449" s="495"/>
      <c r="S449" s="667" t="s">
        <v>4968</v>
      </c>
      <c r="T449" s="508">
        <f t="shared" si="271"/>
        <v>0</v>
      </c>
      <c r="U449" s="225" t="str">
        <f>IF(NOT(ISNUMBER(G449)), "", VLOOKUP(A449,'Discount Lookup'!D:E,2,FALSE)*G449)</f>
        <v/>
      </c>
      <c r="V449" s="225" t="str">
        <f>IF(NOT(ISNUMBER(G449)), "", VLOOKUP(A449,'Discount Lookup'!G:H,2,FALSE)*G449)</f>
        <v/>
      </c>
      <c r="W449" s="508">
        <f t="shared" si="272"/>
        <v>0</v>
      </c>
      <c r="X449" s="508">
        <f t="shared" si="273"/>
        <v>0</v>
      </c>
      <c r="Y449" s="509" t="b">
        <f t="shared" si="274"/>
        <v>0</v>
      </c>
      <c r="Z449" s="510">
        <f t="shared" si="275"/>
        <v>0</v>
      </c>
      <c r="AA449" s="511"/>
      <c r="AB449" s="511" t="str">
        <f t="shared" si="276"/>
        <v/>
      </c>
      <c r="AC449" s="698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698"/>
      <c r="AE449" s="631" t="str">
        <f t="shared" si="277"/>
        <v/>
      </c>
      <c r="AF449" s="699" t="str">
        <f t="shared" si="278"/>
        <v/>
      </c>
      <c r="AG449" s="699"/>
      <c r="AH449" s="699"/>
      <c r="AI449" s="512">
        <f>IF(H449="credit",0,IF(AE449="free",0,IF(AE449="me",0,IF(G449&gt;0,(VLOOKUP(A449,'Discount Lookup'!J:K,2)*G449),0))))</f>
        <v>0</v>
      </c>
      <c r="AJ449" s="513" t="str">
        <f t="shared" ca="1" si="279"/>
        <v/>
      </c>
      <c r="AK449" s="700" t="str">
        <f t="shared" si="280"/>
        <v/>
      </c>
      <c r="AL449" s="700"/>
      <c r="AM449" s="505" t="str">
        <f t="shared" si="281"/>
        <v/>
      </c>
      <c r="AN449" s="506"/>
      <c r="AO449" s="507"/>
      <c r="AP449" s="507"/>
      <c r="AQ449" s="507"/>
      <c r="AR449" s="507"/>
      <c r="AS449" s="507"/>
      <c r="AT449" s="507"/>
      <c r="AU449" s="507"/>
      <c r="AV449" s="225"/>
      <c r="AW449" s="508"/>
      <c r="AX449" s="225"/>
      <c r="AY449" s="225"/>
      <c r="AZ449" s="225"/>
      <c r="BA449" s="225"/>
      <c r="BB449" s="225"/>
      <c r="BC449" s="56"/>
      <c r="BD449" s="56"/>
      <c r="BE449" s="56"/>
      <c r="BF449" s="107" t="str">
        <f t="shared" si="282"/>
        <v>https://www.google.com/search?tbm=isch&amp;q=Blue%20Pfitzer%20has%20scale%20foliage%20that%20turns%20Plum-Purple%20in%20winter.%20Arching%2C%20layered%20habit.%20Sun%2Fheat%2Fdrought%20tolerant%20</v>
      </c>
      <c r="BG449" s="107" t="str">
        <f t="shared" si="283"/>
        <v>B</v>
      </c>
      <c r="BH449" s="254"/>
      <c r="BI449" s="254"/>
    </row>
    <row r="450" spans="1:61" customFormat="1" ht="18" x14ac:dyDescent="0.25">
      <c r="A450" s="521" t="s">
        <v>315</v>
      </c>
      <c r="B450" s="477"/>
      <c r="C450" s="674"/>
      <c r="D450" s="478" t="s">
        <v>314</v>
      </c>
      <c r="E450" s="479"/>
      <c r="F450" s="479"/>
      <c r="G450" s="479"/>
      <c r="H450" s="582" t="s">
        <v>316</v>
      </c>
      <c r="I450" s="480" t="s">
        <v>2092</v>
      </c>
      <c r="J450" s="479"/>
      <c r="K450" s="479"/>
      <c r="L450" s="560"/>
      <c r="M450" s="666" t="s">
        <v>4963</v>
      </c>
      <c r="N450" s="680" t="str">
        <f>IF(AND(ISTEXT($A450), ISERROR($A450+0)), HYPERLINK($BF450, "Images"), "")</f>
        <v>Images</v>
      </c>
      <c r="O450" s="662" t="s">
        <v>4969</v>
      </c>
      <c r="P450" s="482"/>
      <c r="Q450" s="483"/>
      <c r="R450" s="483"/>
      <c r="S450" s="484"/>
      <c r="T450" s="508">
        <f t="shared" si="271"/>
        <v>0</v>
      </c>
      <c r="U450" s="225" t="str">
        <f>IF(NOT(ISNUMBER(G450)), "", VLOOKUP(A450,'Discount Lookup'!D:E,2,FALSE)*G450)</f>
        <v/>
      </c>
      <c r="V450" s="225" t="str">
        <f>IF(NOT(ISNUMBER(G450)), "", VLOOKUP(A450,'Discount Lookup'!G:H,2,FALSE)*G450)</f>
        <v/>
      </c>
      <c r="W450" s="508">
        <f t="shared" si="272"/>
        <v>0</v>
      </c>
      <c r="X450" s="508" t="str">
        <f t="shared" si="273"/>
        <v>Blue-Green foliage</v>
      </c>
      <c r="Y450" s="509" t="b">
        <f t="shared" si="274"/>
        <v>0</v>
      </c>
      <c r="Z450" s="510">
        <f t="shared" si="275"/>
        <v>0</v>
      </c>
      <c r="AA450" s="511"/>
      <c r="AB450" s="511" t="str">
        <f t="shared" si="276"/>
        <v/>
      </c>
      <c r="AC450" s="698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698"/>
      <c r="AE450" s="631" t="str">
        <f t="shared" si="277"/>
        <v/>
      </c>
      <c r="AF450" s="699" t="str">
        <f t="shared" si="278"/>
        <v/>
      </c>
      <c r="AG450" s="699"/>
      <c r="AH450" s="699"/>
      <c r="AI450" s="512">
        <f>IF(H450="credit",0,IF(AE450="free",0,IF(AE450="me",0,IF(G450&gt;0,(VLOOKUP(A450,'Discount Lookup'!J:K,2)*G450),0))))</f>
        <v>0</v>
      </c>
      <c r="AJ450" s="513" t="str">
        <f t="shared" ca="1" si="279"/>
        <v/>
      </c>
      <c r="AK450" s="700" t="str">
        <f t="shared" si="280"/>
        <v/>
      </c>
      <c r="AL450" s="700"/>
      <c r="AM450" s="505" t="str">
        <f t="shared" si="281"/>
        <v/>
      </c>
      <c r="AN450" s="506"/>
      <c r="AO450" s="507"/>
      <c r="AP450" s="507"/>
      <c r="AQ450" s="507"/>
      <c r="AR450" s="507"/>
      <c r="AS450" s="507"/>
      <c r="AT450" s="507"/>
      <c r="AU450" s="507"/>
      <c r="AV450" s="225"/>
      <c r="AW450" s="508"/>
      <c r="AX450" s="225"/>
      <c r="AY450" s="225"/>
      <c r="AZ450" s="225"/>
      <c r="BA450" s="225"/>
      <c r="BB450" s="225"/>
      <c r="BC450" s="56"/>
      <c r="BD450" s="56"/>
      <c r="BE450" s="56"/>
      <c r="BF450" s="107" t="str">
        <f t="shared" si="282"/>
        <v>https://www.google.com/search?tbm=isch&amp;q=Blue%20Point%20Juniper%20Juniperus%20chinensis%20%27Blue%20Point%27</v>
      </c>
      <c r="BG450" s="107" t="str">
        <f t="shared" si="283"/>
        <v>B</v>
      </c>
      <c r="BH450" s="254"/>
      <c r="BI450" s="254"/>
    </row>
    <row r="451" spans="1:61" customFormat="1" ht="15.75" x14ac:dyDescent="0.25">
      <c r="A451" s="485">
        <v>3</v>
      </c>
      <c r="B451" s="486" t="s">
        <v>291</v>
      </c>
      <c r="C451" s="487"/>
      <c r="D451" s="488" t="s">
        <v>298</v>
      </c>
      <c r="E451" s="489">
        <v>27.95</v>
      </c>
      <c r="F451" s="516" t="s">
        <v>293</v>
      </c>
      <c r="G451" s="232">
        <v>0</v>
      </c>
      <c r="H451" s="658" t="str">
        <f>IF(G451=0,"",IF(F451="Buy",IF(G451=1,"plant","plants"),IF(F451&gt;0.01,"warranty","Error")))</f>
        <v/>
      </c>
      <c r="I451" s="490">
        <f>IF(H451="free",0,IF(H451="credit",((E451*(F451))*G451*-1),IF(F451="Buy",(E451*G451),((E451*(1-F451))*G451))))</f>
        <v>0</v>
      </c>
      <c r="J451" s="490">
        <f>IF(H451="warranty",0,(I451*(_xlfn.SINGLE(SalesTaxPercentage))))</f>
        <v>0</v>
      </c>
      <c r="K451" s="695">
        <f t="shared" ref="K451" si="314">I451+J451</f>
        <v>0</v>
      </c>
      <c r="L451" s="695"/>
      <c r="M451" s="659" t="str">
        <f>IF(AND(G451&gt;0,E451=0),"WARNING - no PRICE inserted",IF(H451="free"," FREE ~ no charge this plant",IF(H451="credit",CONCATENATE(" -$",ROUND(K451*(1-T2GDiscount)*-1,2)," CREDIT after discount"),IF(T2GDiscount=0,"",IF(G451=0,"",IF(F451="Buy",CONCATENATE(" $",ROUND(K451*(1-T2GDiscount),2)," with ",(T2GDiscount*100),"% discount"),CONCATENATE(" $",ROUND(K451*(1-T2GDiscount),2)," with ",((T2GDiscount*100+F451*100)-(T2GDiscount*100*F451)),IF(F451&gt;0,"% discounts",IF(NoWarrantyDiscount&gt;0,"% discounts","% discount")))))))))</f>
        <v/>
      </c>
      <c r="N451" s="660"/>
      <c r="O451" s="233"/>
      <c r="P451" s="233"/>
      <c r="Q451" s="233"/>
      <c r="R451" s="233"/>
      <c r="S451" s="233"/>
      <c r="T451" s="508">
        <f t="shared" si="271"/>
        <v>0</v>
      </c>
      <c r="U451" s="225">
        <f>IF(NOT(ISNUMBER(G451)), "", VLOOKUP(A451,'Discount Lookup'!D:E,2,FALSE)*G451)</f>
        <v>0</v>
      </c>
      <c r="V451" s="225">
        <f>IF(NOT(ISNUMBER(G451)), "", VLOOKUP(A451,'Discount Lookup'!G:H,2,FALSE)*G451)</f>
        <v>0</v>
      </c>
      <c r="W451" s="508">
        <f t="shared" si="272"/>
        <v>0</v>
      </c>
      <c r="X451" s="508">
        <f t="shared" si="273"/>
        <v>0</v>
      </c>
      <c r="Y451" s="509" t="b">
        <f t="shared" si="274"/>
        <v>0</v>
      </c>
      <c r="Z451" s="510">
        <f t="shared" si="275"/>
        <v>0</v>
      </c>
      <c r="AA451" s="511"/>
      <c r="AB451" s="511" t="str">
        <f t="shared" si="276"/>
        <v/>
      </c>
      <c r="AC451" s="698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698"/>
      <c r="AE451" s="631" t="str">
        <f t="shared" si="277"/>
        <v/>
      </c>
      <c r="AF451" s="699" t="str">
        <f t="shared" si="278"/>
        <v/>
      </c>
      <c r="AG451" s="699"/>
      <c r="AH451" s="699"/>
      <c r="AI451" s="512">
        <f>IF(H451="credit",0,IF(AE451="free",0,IF(AE451="me",0,IF(G451&gt;0,(VLOOKUP(A451,'Discount Lookup'!J:K,2)*G451),0))))</f>
        <v>0</v>
      </c>
      <c r="AJ451" s="513" t="str">
        <f t="shared" ca="1" si="279"/>
        <v/>
      </c>
      <c r="AK451" s="700" t="str">
        <f t="shared" si="280"/>
        <v/>
      </c>
      <c r="AL451" s="700"/>
      <c r="AM451" s="505" t="str">
        <f t="shared" si="281"/>
        <v/>
      </c>
      <c r="AN451" s="506"/>
      <c r="AO451" s="507"/>
      <c r="AP451" s="507"/>
      <c r="AQ451" s="507"/>
      <c r="AR451" s="507"/>
      <c r="AS451" s="507"/>
      <c r="AT451" s="507"/>
      <c r="AU451" s="507"/>
      <c r="AV451" s="225"/>
      <c r="AW451" s="508"/>
      <c r="AX451" s="225"/>
      <c r="AY451" s="225"/>
      <c r="AZ451" s="225"/>
      <c r="BA451" s="225"/>
      <c r="BB451" s="225"/>
      <c r="BC451" s="56"/>
      <c r="BD451" s="56"/>
      <c r="BE451" s="56"/>
      <c r="BF451" s="107" t="str">
        <f t="shared" si="282"/>
        <v>https://www.google.com/search?tbm=isch&amp;q=3%20G1</v>
      </c>
      <c r="BG451" s="107" t="str">
        <f t="shared" si="283"/>
        <v>B</v>
      </c>
      <c r="BH451" s="254"/>
      <c r="BI451" s="254"/>
    </row>
    <row r="452" spans="1:61" customFormat="1" ht="15.75" x14ac:dyDescent="0.25">
      <c r="A452" s="485">
        <v>3</v>
      </c>
      <c r="B452" s="486" t="s">
        <v>291</v>
      </c>
      <c r="C452" s="487" t="s">
        <v>2483</v>
      </c>
      <c r="D452" s="488" t="s">
        <v>312</v>
      </c>
      <c r="E452" s="489">
        <v>29.95</v>
      </c>
      <c r="F452" s="516" t="s">
        <v>293</v>
      </c>
      <c r="G452" s="232">
        <v>0</v>
      </c>
      <c r="H452" s="658" t="str">
        <f>IF(G452=0,"",IF(F452="Buy",IF(G452=1,"plant","plants"),IF(F452&gt;0.01,"warranty","Error")))</f>
        <v/>
      </c>
      <c r="I452" s="490">
        <f>IF(H452="free",0,IF(H452="credit",((E452*(F452))*G452*-1),IF(F452="Buy",(E452*G452),((E452*(1-F452))*G452))))</f>
        <v>0</v>
      </c>
      <c r="J452" s="490">
        <f>IF(H452="warranty",0,(I452*(_xlfn.SINGLE(SalesTaxPercentage))))</f>
        <v>0</v>
      </c>
      <c r="K452" s="695">
        <f t="shared" ref="K452" si="315">I452+J452</f>
        <v>0</v>
      </c>
      <c r="L452" s="695"/>
      <c r="M452" s="659" t="str">
        <f>IF(AND(G452&gt;0,E452=0),"WARNING - no PRICE inserted",IF(H452="free"," FREE ~ no charge this plant",IF(H452="credit",CONCATENATE(" -$",ROUND(K452*(1-T2GDiscount)*-1,2)," CREDIT after discount"),IF(T2GDiscount=0,"",IF(G452=0,"",IF(F452="Buy",CONCATENATE(" $",ROUND(K452*(1-T2GDiscount),2)," with ",(T2GDiscount*100),"% discount"),CONCATENATE(" $",ROUND(K452*(1-T2GDiscount),2)," with ",((T2GDiscount*100+F452*100)-(T2GDiscount*100*F452)),IF(F452&gt;0,"% discounts",IF(NoWarrantyDiscount&gt;0,"% discounts","% discount")))))))))</f>
        <v/>
      </c>
      <c r="N452" s="660"/>
      <c r="O452" s="233"/>
      <c r="P452" s="233"/>
      <c r="Q452" s="233"/>
      <c r="R452" s="233"/>
      <c r="S452" s="233"/>
      <c r="T452" s="508">
        <f t="shared" si="271"/>
        <v>0</v>
      </c>
      <c r="U452" s="225">
        <f>IF(NOT(ISNUMBER(G452)), "", VLOOKUP(A452,'Discount Lookup'!D:E,2,FALSE)*G452)</f>
        <v>0</v>
      </c>
      <c r="V452" s="225">
        <f>IF(NOT(ISNUMBER(G452)), "", VLOOKUP(A452,'Discount Lookup'!G:H,2,FALSE)*G452)</f>
        <v>0</v>
      </c>
      <c r="W452" s="508">
        <f t="shared" si="272"/>
        <v>0</v>
      </c>
      <c r="X452" s="508">
        <f t="shared" si="273"/>
        <v>0</v>
      </c>
      <c r="Y452" s="509" t="b">
        <f t="shared" si="274"/>
        <v>0</v>
      </c>
      <c r="Z452" s="510">
        <f t="shared" si="275"/>
        <v>0</v>
      </c>
      <c r="AA452" s="511"/>
      <c r="AB452" s="511" t="str">
        <f t="shared" si="276"/>
        <v/>
      </c>
      <c r="AC452" s="698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698"/>
      <c r="AE452" s="631" t="str">
        <f t="shared" si="277"/>
        <v/>
      </c>
      <c r="AF452" s="699" t="str">
        <f t="shared" si="278"/>
        <v/>
      </c>
      <c r="AG452" s="699"/>
      <c r="AH452" s="699"/>
      <c r="AI452" s="512">
        <f>IF(H452="credit",0,IF(AE452="free",0,IF(AE452="me",0,IF(G452&gt;0,(VLOOKUP(A452,'Discount Lookup'!J:K,2)*G452),0))))</f>
        <v>0</v>
      </c>
      <c r="AJ452" s="513" t="str">
        <f t="shared" ca="1" si="279"/>
        <v/>
      </c>
      <c r="AK452" s="700" t="str">
        <f t="shared" si="280"/>
        <v/>
      </c>
      <c r="AL452" s="700"/>
      <c r="AM452" s="505" t="str">
        <f t="shared" si="281"/>
        <v/>
      </c>
      <c r="AN452" s="506"/>
      <c r="AO452" s="507"/>
      <c r="AP452" s="507"/>
      <c r="AQ452" s="507"/>
      <c r="AR452" s="507"/>
      <c r="AS452" s="507"/>
      <c r="AT452" s="507"/>
      <c r="AU452" s="507"/>
      <c r="AV452" s="225"/>
      <c r="AW452" s="508"/>
      <c r="AX452" s="225"/>
      <c r="AY452" s="225"/>
      <c r="AZ452" s="225"/>
      <c r="BA452" s="225"/>
      <c r="BB452" s="225"/>
      <c r="BC452" s="56"/>
      <c r="BD452" s="56"/>
      <c r="BE452" s="56"/>
      <c r="BF452" s="107" t="str">
        <f t="shared" si="282"/>
        <v>https://www.google.com/search?tbm=isch&amp;q=3%20G2</v>
      </c>
      <c r="BG452" s="107" t="str">
        <f t="shared" si="283"/>
        <v>B</v>
      </c>
      <c r="BH452" s="254"/>
      <c r="BI452" s="254"/>
    </row>
    <row r="453" spans="1:61" customFormat="1" ht="15.75" x14ac:dyDescent="0.25">
      <c r="A453" s="485">
        <v>7</v>
      </c>
      <c r="B453" s="486" t="s">
        <v>291</v>
      </c>
      <c r="C453" s="487" t="s">
        <v>2129</v>
      </c>
      <c r="D453" s="488" t="s">
        <v>299</v>
      </c>
      <c r="E453" s="489">
        <v>68.95</v>
      </c>
      <c r="F453" s="516" t="s">
        <v>293</v>
      </c>
      <c r="G453" s="232">
        <v>0</v>
      </c>
      <c r="H453" s="658" t="str">
        <f>IF(G453=0,"",IF(F453="Buy",IF(G453=1,"plant","plants"),IF(F453&gt;0.01,"warranty","Error")))</f>
        <v/>
      </c>
      <c r="I453" s="490">
        <f>IF(H453="free",0,IF(H453="credit",((E453*(F453))*G453*-1),IF(F453="Buy",(E453*G453),((E453*(1-F453))*G453))))</f>
        <v>0</v>
      </c>
      <c r="J453" s="490">
        <f>IF(H453="warranty",0,(I453*(_xlfn.SINGLE(SalesTaxPercentage))))</f>
        <v>0</v>
      </c>
      <c r="K453" s="695">
        <f t="shared" ref="K453" si="316">I453+J453</f>
        <v>0</v>
      </c>
      <c r="L453" s="695"/>
      <c r="M453" s="659" t="str">
        <f>IF(AND(G453&gt;0,E453=0),"WARNING - no PRICE inserted",IF(H453="free"," FREE ~ no charge this plant",IF(H453="credit",CONCATENATE(" -$",ROUND(K453*(1-T2GDiscount)*-1,2)," CREDIT after discount"),IF(T2GDiscount=0,"",IF(G453=0,"",IF(F453="Buy",CONCATENATE(" $",ROUND(K453*(1-T2GDiscount),2)," with ",(T2GDiscount*100),"% discount"),CONCATENATE(" $",ROUND(K453*(1-T2GDiscount),2)," with ",((T2GDiscount*100+F453*100)-(T2GDiscount*100*F453)),IF(F453&gt;0,"% discounts",IF(NoWarrantyDiscount&gt;0,"% discounts","% discount")))))))))</f>
        <v/>
      </c>
      <c r="N453" s="660"/>
      <c r="O453" s="233"/>
      <c r="P453" s="233"/>
      <c r="Q453" s="233"/>
      <c r="R453" s="233"/>
      <c r="S453" s="233"/>
      <c r="T453" s="508">
        <f t="shared" si="271"/>
        <v>0</v>
      </c>
      <c r="U453" s="225">
        <f>IF(NOT(ISNUMBER(G453)), "", VLOOKUP(A453,'Discount Lookup'!D:E,2,FALSE)*G453)</f>
        <v>0</v>
      </c>
      <c r="V453" s="225">
        <f>IF(NOT(ISNUMBER(G453)), "", VLOOKUP(A453,'Discount Lookup'!G:H,2,FALSE)*G453)</f>
        <v>0</v>
      </c>
      <c r="W453" s="508">
        <f t="shared" si="272"/>
        <v>0</v>
      </c>
      <c r="X453" s="508">
        <f t="shared" si="273"/>
        <v>0</v>
      </c>
      <c r="Y453" s="509" t="b">
        <f t="shared" si="274"/>
        <v>0</v>
      </c>
      <c r="Z453" s="510">
        <f t="shared" si="275"/>
        <v>0</v>
      </c>
      <c r="AA453" s="511"/>
      <c r="AB453" s="511" t="str">
        <f t="shared" si="276"/>
        <v/>
      </c>
      <c r="AC453" s="698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698"/>
      <c r="AE453" s="631" t="str">
        <f t="shared" si="277"/>
        <v/>
      </c>
      <c r="AF453" s="699" t="str">
        <f t="shared" si="278"/>
        <v/>
      </c>
      <c r="AG453" s="699"/>
      <c r="AH453" s="699"/>
      <c r="AI453" s="512">
        <f>IF(H453="credit",0,IF(AE453="free",0,IF(AE453="me",0,IF(G453&gt;0,(VLOOKUP(A453,'Discount Lookup'!J:K,2)*G453),0))))</f>
        <v>0</v>
      </c>
      <c r="AJ453" s="513" t="str">
        <f t="shared" ca="1" si="279"/>
        <v/>
      </c>
      <c r="AK453" s="700" t="str">
        <f t="shared" si="280"/>
        <v/>
      </c>
      <c r="AL453" s="700"/>
      <c r="AM453" s="505" t="str">
        <f t="shared" si="281"/>
        <v/>
      </c>
      <c r="AN453" s="506"/>
      <c r="AO453" s="507"/>
      <c r="AP453" s="507"/>
      <c r="AQ453" s="507"/>
      <c r="AR453" s="507"/>
      <c r="AS453" s="507"/>
      <c r="AT453" s="507"/>
      <c r="AU453" s="507"/>
      <c r="AV453" s="225"/>
      <c r="AW453" s="508"/>
      <c r="AX453" s="225"/>
      <c r="AY453" s="225"/>
      <c r="AZ453" s="225"/>
      <c r="BA453" s="225"/>
      <c r="BB453" s="225"/>
      <c r="BC453" s="56"/>
      <c r="BD453" s="56"/>
      <c r="BE453" s="56"/>
      <c r="BF453" s="107" t="str">
        <f t="shared" si="282"/>
        <v>https://www.google.com/search?tbm=isch&amp;q=7%20G5</v>
      </c>
      <c r="BG453" s="107" t="str">
        <f t="shared" si="283"/>
        <v>B</v>
      </c>
      <c r="BH453" s="254"/>
      <c r="BI453" s="254"/>
    </row>
    <row r="454" spans="1:61" customFormat="1" ht="27" x14ac:dyDescent="0.25">
      <c r="A454" s="485">
        <v>7</v>
      </c>
      <c r="B454" s="486" t="s">
        <v>291</v>
      </c>
      <c r="C454" s="487" t="s">
        <v>3343</v>
      </c>
      <c r="D454" s="488" t="s">
        <v>292</v>
      </c>
      <c r="E454" s="489">
        <v>86.95</v>
      </c>
      <c r="F454" s="516" t="s">
        <v>293</v>
      </c>
      <c r="G454" s="232">
        <v>0</v>
      </c>
      <c r="H454" s="658" t="str">
        <f>IF(G454=0,"",IF(F454="Buy",IF(G454=1,"plant","plants"),IF(F454&gt;0.01,"warranty","Error")))</f>
        <v/>
      </c>
      <c r="I454" s="490">
        <f>IF(H454="free",0,IF(H454="credit",((E454*(F454))*G454*-1),IF(F454="Buy",(E454*G454),((E454*(1-F454))*G454))))</f>
        <v>0</v>
      </c>
      <c r="J454" s="490">
        <f>IF(H454="warranty",0,(I454*(_xlfn.SINGLE(SalesTaxPercentage))))</f>
        <v>0</v>
      </c>
      <c r="K454" s="695">
        <f t="shared" ref="K454" si="317">I454+J454</f>
        <v>0</v>
      </c>
      <c r="L454" s="695"/>
      <c r="M454" s="659" t="str">
        <f>IF(AND(G454&gt;0,E454=0),"WARNING - no PRICE inserted",IF(H454="free"," FREE ~ no charge this plant",IF(H454="credit",CONCATENATE(" -$",ROUND(K454*(1-T2GDiscount)*-1,2)," CREDIT after discount"),IF(T2GDiscount=0,"",IF(G454=0,"",IF(F454="Buy",CONCATENATE(" $",ROUND(K454*(1-T2GDiscount),2)," with ",(T2GDiscount*100),"% discount"),CONCATENATE(" $",ROUND(K454*(1-T2GDiscount),2)," with ",((T2GDiscount*100+F454*100)-(T2GDiscount*100*F454)),IF(F454&gt;0,"% discounts",IF(NoWarrantyDiscount&gt;0,"% discounts","% discount")))))))))</f>
        <v/>
      </c>
      <c r="N454" s="660"/>
      <c r="O454" s="233"/>
      <c r="P454" s="233"/>
      <c r="Q454" s="233"/>
      <c r="R454" s="233"/>
      <c r="S454" s="233"/>
      <c r="T454" s="508">
        <f t="shared" si="271"/>
        <v>0</v>
      </c>
      <c r="U454" s="225">
        <f>IF(NOT(ISNUMBER(G454)), "", VLOOKUP(A454,'Discount Lookup'!D:E,2,FALSE)*G454)</f>
        <v>0</v>
      </c>
      <c r="V454" s="225">
        <f>IF(NOT(ISNUMBER(G454)), "", VLOOKUP(A454,'Discount Lookup'!G:H,2,FALSE)*G454)</f>
        <v>0</v>
      </c>
      <c r="W454" s="508">
        <f t="shared" si="272"/>
        <v>0</v>
      </c>
      <c r="X454" s="508">
        <f t="shared" si="273"/>
        <v>0</v>
      </c>
      <c r="Y454" s="509" t="b">
        <f t="shared" si="274"/>
        <v>0</v>
      </c>
      <c r="Z454" s="510">
        <f t="shared" si="275"/>
        <v>0</v>
      </c>
      <c r="AA454" s="511"/>
      <c r="AB454" s="511" t="str">
        <f t="shared" si="276"/>
        <v/>
      </c>
      <c r="AC454" s="698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698"/>
      <c r="AE454" s="631" t="str">
        <f t="shared" si="277"/>
        <v/>
      </c>
      <c r="AF454" s="699" t="str">
        <f t="shared" si="278"/>
        <v/>
      </c>
      <c r="AG454" s="699"/>
      <c r="AH454" s="699"/>
      <c r="AI454" s="512">
        <f>IF(H454="credit",0,IF(AE454="free",0,IF(AE454="me",0,IF(G454&gt;0,(VLOOKUP(A454,'Discount Lookup'!J:K,2)*G454),0))))</f>
        <v>0</v>
      </c>
      <c r="AJ454" s="513" t="str">
        <f t="shared" ca="1" si="279"/>
        <v/>
      </c>
      <c r="AK454" s="700" t="str">
        <f t="shared" si="280"/>
        <v/>
      </c>
      <c r="AL454" s="700"/>
      <c r="AM454" s="505" t="str">
        <f t="shared" si="281"/>
        <v/>
      </c>
      <c r="AN454" s="506"/>
      <c r="AO454" s="507"/>
      <c r="AP454" s="507"/>
      <c r="AQ454" s="507"/>
      <c r="AR454" s="507"/>
      <c r="AS454" s="507"/>
      <c r="AT454" s="507"/>
      <c r="AU454" s="507"/>
      <c r="AV454" s="225"/>
      <c r="AW454" s="508"/>
      <c r="AX454" s="225"/>
      <c r="AY454" s="225"/>
      <c r="AZ454" s="225"/>
      <c r="BA454" s="225"/>
      <c r="BB454" s="225"/>
      <c r="BC454" s="56"/>
      <c r="BD454" s="56"/>
      <c r="BE454" s="56"/>
      <c r="BF454" s="107" t="str">
        <f t="shared" si="282"/>
        <v>https://www.google.com/search?tbm=isch&amp;q=7%20G4</v>
      </c>
      <c r="BG454" s="107" t="str">
        <f t="shared" si="283"/>
        <v>B</v>
      </c>
      <c r="BH454" s="254"/>
      <c r="BI454" s="254"/>
    </row>
    <row r="455" spans="1:61" customFormat="1" ht="15.75" x14ac:dyDescent="0.25">
      <c r="A455" s="485">
        <v>15</v>
      </c>
      <c r="B455" s="486" t="s">
        <v>291</v>
      </c>
      <c r="C455" s="487" t="s">
        <v>3974</v>
      </c>
      <c r="D455" s="488" t="s">
        <v>300</v>
      </c>
      <c r="E455" s="489">
        <v>126.95</v>
      </c>
      <c r="F455" s="516" t="s">
        <v>293</v>
      </c>
      <c r="G455" s="232">
        <v>0</v>
      </c>
      <c r="H455" s="658" t="str">
        <f>IF(G455=0,"",IF(F455="Buy",IF(G455=1,"plant","plants"),IF(F455&gt;0.01,"warranty","Error")))</f>
        <v/>
      </c>
      <c r="I455" s="490">
        <f>IF(H455="free",0,IF(H455="credit",((E455*(F455))*G455*-1),IF(F455="Buy",(E455*G455),((E455*(1-F455))*G455))))</f>
        <v>0</v>
      </c>
      <c r="J455" s="490">
        <f>IF(H455="warranty",0,(I455*(_xlfn.SINGLE(SalesTaxPercentage))))</f>
        <v>0</v>
      </c>
      <c r="K455" s="695">
        <f t="shared" ref="K455" si="318">I455+J455</f>
        <v>0</v>
      </c>
      <c r="L455" s="695"/>
      <c r="M455" s="659" t="str">
        <f>IF(AND(G455&gt;0,E455=0),"WARNING - no PRICE inserted",IF(H455="free"," FREE ~ no charge this plant",IF(H455="credit",CONCATENATE(" -$",ROUND(K455*(1-T2GDiscount)*-1,2)," CREDIT after discount"),IF(T2GDiscount=0,"",IF(G455=0,"",IF(F455="Buy",CONCATENATE(" $",ROUND(K455*(1-T2GDiscount),2)," with ",(T2GDiscount*100),"% discount"),CONCATENATE(" $",ROUND(K455*(1-T2GDiscount),2)," with ",((T2GDiscount*100+F455*100)-(T2GDiscount*100*F455)),IF(F455&gt;0,"% discounts",IF(NoWarrantyDiscount&gt;0,"% discounts","% discount")))))))))</f>
        <v/>
      </c>
      <c r="N455" s="660"/>
      <c r="O455" s="233"/>
      <c r="P455" s="233"/>
      <c r="Q455" s="233"/>
      <c r="R455" s="233"/>
      <c r="S455" s="233"/>
      <c r="T455" s="508">
        <f t="shared" si="271"/>
        <v>0</v>
      </c>
      <c r="U455" s="225">
        <f>IF(NOT(ISNUMBER(G455)), "", VLOOKUP(A455,'Discount Lookup'!D:E,2,FALSE)*G455)</f>
        <v>0</v>
      </c>
      <c r="V455" s="225">
        <f>IF(NOT(ISNUMBER(G455)), "", VLOOKUP(A455,'Discount Lookup'!G:H,2,FALSE)*G455)</f>
        <v>0</v>
      </c>
      <c r="W455" s="508">
        <f t="shared" si="272"/>
        <v>0</v>
      </c>
      <c r="X455" s="508">
        <f t="shared" si="273"/>
        <v>0</v>
      </c>
      <c r="Y455" s="509" t="b">
        <f t="shared" si="274"/>
        <v>0</v>
      </c>
      <c r="Z455" s="510">
        <f t="shared" si="275"/>
        <v>0</v>
      </c>
      <c r="AA455" s="511"/>
      <c r="AB455" s="511" t="str">
        <f t="shared" si="276"/>
        <v/>
      </c>
      <c r="AC455" s="698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698"/>
      <c r="AE455" s="631" t="str">
        <f t="shared" si="277"/>
        <v/>
      </c>
      <c r="AF455" s="699" t="str">
        <f t="shared" si="278"/>
        <v/>
      </c>
      <c r="AG455" s="699"/>
      <c r="AH455" s="699"/>
      <c r="AI455" s="512">
        <f>IF(H455="credit",0,IF(AE455="free",0,IF(AE455="me",0,IF(G455&gt;0,(VLOOKUP(A455,'Discount Lookup'!J:K,2)*G455),0))))</f>
        <v>0</v>
      </c>
      <c r="AJ455" s="513" t="str">
        <f t="shared" ca="1" si="279"/>
        <v/>
      </c>
      <c r="AK455" s="700" t="str">
        <f t="shared" si="280"/>
        <v/>
      </c>
      <c r="AL455" s="700"/>
      <c r="AM455" s="505" t="str">
        <f t="shared" si="281"/>
        <v/>
      </c>
      <c r="AN455" s="506"/>
      <c r="AO455" s="507"/>
      <c r="AP455" s="507"/>
      <c r="AQ455" s="507"/>
      <c r="AR455" s="507"/>
      <c r="AS455" s="507"/>
      <c r="AT455" s="507"/>
      <c r="AU455" s="507"/>
      <c r="AV455" s="225"/>
      <c r="AW455" s="508"/>
      <c r="AX455" s="225"/>
      <c r="AY455" s="225"/>
      <c r="AZ455" s="225"/>
      <c r="BA455" s="225"/>
      <c r="BB455" s="225"/>
      <c r="BC455" s="56"/>
      <c r="BD455" s="56"/>
      <c r="BE455" s="56"/>
      <c r="BF455" s="107" t="str">
        <f t="shared" si="282"/>
        <v>https://www.google.com/search?tbm=isch&amp;q=15%20G6</v>
      </c>
      <c r="BG455" s="107" t="str">
        <f t="shared" si="283"/>
        <v>B</v>
      </c>
      <c r="BH455" s="254"/>
      <c r="BI455" s="254"/>
    </row>
    <row r="456" spans="1:61" customFormat="1" ht="16.5" thickBot="1" x14ac:dyDescent="0.3">
      <c r="A456" s="522" t="s">
        <v>2630</v>
      </c>
      <c r="B456" s="491"/>
      <c r="C456" s="675"/>
      <c r="D456" s="491"/>
      <c r="E456" s="491"/>
      <c r="F456" s="492"/>
      <c r="G456" s="493"/>
      <c r="H456" s="491"/>
      <c r="I456" s="234"/>
      <c r="J456" s="234"/>
      <c r="K456" s="494"/>
      <c r="L456" s="543"/>
      <c r="M456" s="561"/>
      <c r="N456" s="495"/>
      <c r="O456" s="496"/>
      <c r="P456" s="497"/>
      <c r="Q456" s="495"/>
      <c r="R456" s="495"/>
      <c r="S456" s="667" t="s">
        <v>4968</v>
      </c>
      <c r="T456" s="508">
        <f t="shared" si="271"/>
        <v>0</v>
      </c>
      <c r="U456" s="225" t="str">
        <f>IF(NOT(ISNUMBER(G456)), "", VLOOKUP(A456,'Discount Lookup'!D:E,2,FALSE)*G456)</f>
        <v/>
      </c>
      <c r="V456" s="225" t="str">
        <f>IF(NOT(ISNUMBER(G456)), "", VLOOKUP(A456,'Discount Lookup'!G:H,2,FALSE)*G456)</f>
        <v/>
      </c>
      <c r="W456" s="508">
        <f t="shared" si="272"/>
        <v>0</v>
      </c>
      <c r="X456" s="508">
        <f t="shared" si="273"/>
        <v>0</v>
      </c>
      <c r="Y456" s="509" t="b">
        <f t="shared" si="274"/>
        <v>0</v>
      </c>
      <c r="Z456" s="510">
        <f t="shared" si="275"/>
        <v>0</v>
      </c>
      <c r="AA456" s="511"/>
      <c r="AB456" s="511" t="str">
        <f t="shared" si="276"/>
        <v/>
      </c>
      <c r="AC456" s="698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698"/>
      <c r="AE456" s="631" t="str">
        <f t="shared" si="277"/>
        <v/>
      </c>
      <c r="AF456" s="699" t="str">
        <f t="shared" si="278"/>
        <v/>
      </c>
      <c r="AG456" s="699"/>
      <c r="AH456" s="699"/>
      <c r="AI456" s="512">
        <f>IF(H456="credit",0,IF(AE456="free",0,IF(AE456="me",0,IF(G456&gt;0,(VLOOKUP(A456,'Discount Lookup'!J:K,2)*G456),0))))</f>
        <v>0</v>
      </c>
      <c r="AJ456" s="513" t="str">
        <f t="shared" ca="1" si="279"/>
        <v/>
      </c>
      <c r="AK456" s="700" t="str">
        <f t="shared" si="280"/>
        <v/>
      </c>
      <c r="AL456" s="700"/>
      <c r="AM456" s="505" t="str">
        <f t="shared" si="281"/>
        <v/>
      </c>
      <c r="AN456" s="506"/>
      <c r="AO456" s="507"/>
      <c r="AP456" s="507"/>
      <c r="AQ456" s="507"/>
      <c r="AR456" s="507"/>
      <c r="AS456" s="507"/>
      <c r="AT456" s="507"/>
      <c r="AU456" s="507"/>
      <c r="AV456" s="225"/>
      <c r="AW456" s="508"/>
      <c r="AX456" s="225"/>
      <c r="AY456" s="225"/>
      <c r="AZ456" s="225"/>
      <c r="BA456" s="225"/>
      <c r="BB456" s="225"/>
      <c r="BC456" s="56"/>
      <c r="BD456" s="56"/>
      <c r="BE456" s="56"/>
      <c r="BF456" s="107" t="str">
        <f t="shared" si="282"/>
        <v>https://www.google.com/search?tbm=isch&amp;q=Blue%20Point%20maintains%20a%20dense%2C%20pyramidal%20form%2C%20with%20very%20little%20pruning.%20Reddish-Brown%20bark%20slightly%20peels%20with%20age.%20Sun%2Fheat%2Fdrought%20tolerant%20</v>
      </c>
      <c r="BG456" s="107" t="str">
        <f t="shared" si="283"/>
        <v>B</v>
      </c>
      <c r="BH456" s="254"/>
      <c r="BI456" s="254"/>
    </row>
    <row r="457" spans="1:61" customFormat="1" ht="18" x14ac:dyDescent="0.25">
      <c r="A457" s="523" t="s">
        <v>5354</v>
      </c>
      <c r="B457" s="235"/>
      <c r="C457" s="676"/>
      <c r="D457" s="255" t="s">
        <v>384</v>
      </c>
      <c r="E457" s="236"/>
      <c r="F457" s="236"/>
      <c r="G457" s="236"/>
      <c r="H457" s="582" t="s">
        <v>326</v>
      </c>
      <c r="I457" s="498" t="s">
        <v>2117</v>
      </c>
      <c r="J457" s="237"/>
      <c r="K457" s="237"/>
      <c r="L457" s="274"/>
      <c r="M457" s="668" t="s">
        <v>4975</v>
      </c>
      <c r="N457" s="681" t="str">
        <f>IF(AND(ISTEXT($A457), ISERROR($A457+0)), HYPERLINK($BF457, "Images"), "")</f>
        <v>Images</v>
      </c>
      <c r="O457" s="663" t="s">
        <v>4967</v>
      </c>
      <c r="P457" s="253"/>
      <c r="Q457" s="238"/>
      <c r="R457" s="239"/>
      <c r="S457" s="275"/>
      <c r="T457" s="508">
        <f t="shared" si="271"/>
        <v>0</v>
      </c>
      <c r="U457" s="225" t="str">
        <f>IF(NOT(ISNUMBER(G457)), "", VLOOKUP(A457,'Discount Lookup'!D:E,2,FALSE)*G457)</f>
        <v/>
      </c>
      <c r="V457" s="225" t="str">
        <f>IF(NOT(ISNUMBER(G457)), "", VLOOKUP(A457,'Discount Lookup'!G:H,2,FALSE)*G457)</f>
        <v/>
      </c>
      <c r="W457" s="508">
        <f t="shared" si="272"/>
        <v>0</v>
      </c>
      <c r="X457" s="508" t="str">
        <f t="shared" si="273"/>
        <v>Creamy Wihite bloom</v>
      </c>
      <c r="Y457" s="509" t="b">
        <f t="shared" si="274"/>
        <v>0</v>
      </c>
      <c r="Z457" s="510">
        <f t="shared" si="275"/>
        <v>0</v>
      </c>
      <c r="AA457" s="511"/>
      <c r="AB457" s="511" t="str">
        <f t="shared" si="276"/>
        <v/>
      </c>
      <c r="AC457" s="698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698"/>
      <c r="AE457" s="631" t="str">
        <f t="shared" si="277"/>
        <v/>
      </c>
      <c r="AF457" s="699" t="str">
        <f t="shared" si="278"/>
        <v/>
      </c>
      <c r="AG457" s="699"/>
      <c r="AH457" s="699"/>
      <c r="AI457" s="512">
        <f>IF(H457="credit",0,IF(AE457="free",0,IF(AE457="me",0,IF(G457&gt;0,(VLOOKUP(A457,'Discount Lookup'!J:K,2)*G457),0))))</f>
        <v>0</v>
      </c>
      <c r="AJ457" s="513" t="str">
        <f t="shared" ca="1" si="279"/>
        <v/>
      </c>
      <c r="AK457" s="700" t="str">
        <f t="shared" si="280"/>
        <v/>
      </c>
      <c r="AL457" s="700"/>
      <c r="AM457" s="505" t="str">
        <f t="shared" si="281"/>
        <v/>
      </c>
      <c r="AN457" s="506"/>
      <c r="AO457" s="507"/>
      <c r="AP457" s="507"/>
      <c r="AQ457" s="507"/>
      <c r="AR457" s="507"/>
      <c r="AS457" s="507"/>
      <c r="AT457" s="507"/>
      <c r="AU457" s="507"/>
      <c r="AV457" s="225"/>
      <c r="AW457" s="508"/>
      <c r="AX457" s="225"/>
      <c r="AY457" s="225"/>
      <c r="AZ457" s="225"/>
      <c r="BA457" s="225"/>
      <c r="BB457" s="225"/>
      <c r="BC457" s="56"/>
      <c r="BD457" s="56"/>
      <c r="BE457" s="56"/>
      <c r="BF457" s="107" t="str">
        <f t="shared" si="282"/>
        <v>https://www.google.com/search?tbm=isch&amp;q=Blue%20Ray%E2%84%A2%20Kousa%20Dogwood%20Cornus%20kousa%20%27JN6%27%20PP%2328936</v>
      </c>
      <c r="BG457" s="107" t="str">
        <f t="shared" si="283"/>
        <v>B</v>
      </c>
      <c r="BH457" s="254"/>
      <c r="BI457" s="254"/>
    </row>
    <row r="458" spans="1:61" customFormat="1" ht="15.75" x14ac:dyDescent="0.25">
      <c r="A458" s="276">
        <v>7</v>
      </c>
      <c r="B458" s="240" t="s">
        <v>291</v>
      </c>
      <c r="C458" s="241" t="s">
        <v>3344</v>
      </c>
      <c r="D458" s="242" t="s">
        <v>292</v>
      </c>
      <c r="E458" s="243">
        <v>104.95</v>
      </c>
      <c r="F458" s="517" t="s">
        <v>293</v>
      </c>
      <c r="G458" s="232">
        <v>0</v>
      </c>
      <c r="H458" s="661" t="str">
        <f>IF(G458=0,"",IF(F458="Buy",IF(G458=1,"plant","plants"),IF(F458&gt;0.01,"warranty","Error")))</f>
        <v/>
      </c>
      <c r="I458" s="244">
        <f>IF(H458="free",0,IF(H458="credit",((E458*(F458))*G458*-1),IF(F458="Buy",(E458*G458),((E458*(1-F458))*G458))))</f>
        <v>0</v>
      </c>
      <c r="J458" s="244">
        <f>IF(H458="warranty",0,(I458*(_xlfn.SINGLE(SalesTaxPercentage))))</f>
        <v>0</v>
      </c>
      <c r="K458" s="696">
        <f t="shared" ref="K458" si="319">I458+J458</f>
        <v>0</v>
      </c>
      <c r="L458" s="696"/>
      <c r="M458" s="659" t="str">
        <f>IF(AND(G458&gt;0,E458=0),"WARNING - no PRICE inserted",IF(H458="free"," FREE ~ no charge this plant",IF(H458="credit",CONCATENATE(" -$",ROUND(K458*(1-T2GDiscount)*-1,2)," CREDIT after discount"),IF(T2GDiscount=0,"",IF(G458=0,"",IF(F458="Buy",CONCATENATE(" $",ROUND(K458*(1-T2GDiscount),2)," with ",(T2GDiscount*100),"% discount"),CONCATENATE(" $",ROUND(K458*(1-T2GDiscount),2)," with ",((T2GDiscount*100+F458*100)-(T2GDiscount*100*F458)),IF(F458&gt;0,"% discounts",IF(NoWarrantyDiscount&gt;0,"% discounts","% discount")))))))))</f>
        <v/>
      </c>
      <c r="N458" s="660"/>
      <c r="O458" s="233"/>
      <c r="P458" s="233"/>
      <c r="Q458" s="233"/>
      <c r="R458" s="233"/>
      <c r="S458" s="233"/>
      <c r="T458" s="508">
        <f t="shared" si="271"/>
        <v>0</v>
      </c>
      <c r="U458" s="225">
        <f>IF(NOT(ISNUMBER(G458)), "", VLOOKUP(A458,'Discount Lookup'!D:E,2,FALSE)*G458)</f>
        <v>0</v>
      </c>
      <c r="V458" s="225">
        <f>IF(NOT(ISNUMBER(G458)), "", VLOOKUP(A458,'Discount Lookup'!G:H,2,FALSE)*G458)</f>
        <v>0</v>
      </c>
      <c r="W458" s="508">
        <f t="shared" si="272"/>
        <v>0</v>
      </c>
      <c r="X458" s="508">
        <f t="shared" si="273"/>
        <v>0</v>
      </c>
      <c r="Y458" s="509" t="b">
        <f t="shared" si="274"/>
        <v>0</v>
      </c>
      <c r="Z458" s="510">
        <f t="shared" si="275"/>
        <v>0</v>
      </c>
      <c r="AA458" s="511"/>
      <c r="AB458" s="511" t="str">
        <f t="shared" si="276"/>
        <v/>
      </c>
      <c r="AC458" s="698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698"/>
      <c r="AE458" s="631" t="str">
        <f t="shared" si="277"/>
        <v/>
      </c>
      <c r="AF458" s="699" t="str">
        <f t="shared" si="278"/>
        <v/>
      </c>
      <c r="AG458" s="699"/>
      <c r="AH458" s="699"/>
      <c r="AI458" s="512">
        <f>IF(H458="credit",0,IF(AE458="free",0,IF(AE458="me",0,IF(G458&gt;0,(VLOOKUP(A458,'Discount Lookup'!J:K,2)*G458),0))))</f>
        <v>0</v>
      </c>
      <c r="AJ458" s="513" t="str">
        <f t="shared" ca="1" si="279"/>
        <v/>
      </c>
      <c r="AK458" s="700" t="str">
        <f t="shared" si="280"/>
        <v/>
      </c>
      <c r="AL458" s="700"/>
      <c r="AM458" s="505" t="str">
        <f t="shared" si="281"/>
        <v/>
      </c>
      <c r="AN458" s="506"/>
      <c r="AO458" s="507"/>
      <c r="AP458" s="507"/>
      <c r="AQ458" s="507"/>
      <c r="AR458" s="507"/>
      <c r="AS458" s="507"/>
      <c r="AT458" s="507"/>
      <c r="AU458" s="507"/>
      <c r="AV458" s="225"/>
      <c r="AW458" s="508"/>
      <c r="AX458" s="225"/>
      <c r="AY458" s="225"/>
      <c r="AZ458" s="225"/>
      <c r="BA458" s="225"/>
      <c r="BB458" s="225"/>
      <c r="BC458" s="56"/>
      <c r="BD458" s="56"/>
      <c r="BE458" s="56"/>
      <c r="BF458" s="107" t="str">
        <f t="shared" si="282"/>
        <v>https://www.google.com/search?tbm=isch&amp;q=7%20G4</v>
      </c>
      <c r="BG458" s="107" t="str">
        <f t="shared" si="283"/>
        <v>B</v>
      </c>
      <c r="BH458" s="254"/>
      <c r="BI458" s="254"/>
    </row>
    <row r="459" spans="1:61" customFormat="1" ht="15.75" x14ac:dyDescent="0.25">
      <c r="A459" s="276">
        <v>10</v>
      </c>
      <c r="B459" s="240" t="s">
        <v>291</v>
      </c>
      <c r="C459" s="241" t="s">
        <v>3345</v>
      </c>
      <c r="D459" s="242" t="s">
        <v>292</v>
      </c>
      <c r="E459" s="243">
        <v>171.95</v>
      </c>
      <c r="F459" s="517" t="s">
        <v>293</v>
      </c>
      <c r="G459" s="232">
        <v>0</v>
      </c>
      <c r="H459" s="661" t="str">
        <f>IF(G459=0,"",IF(F459="Buy",IF(G459=1,"plant","plants"),IF(F459&gt;0.01,"warranty","Error")))</f>
        <v/>
      </c>
      <c r="I459" s="244">
        <f>IF(H459="free",0,IF(H459="credit",((E459*(F459))*G459*-1),IF(F459="Buy",(E459*G459),((E459*(1-F459))*G459))))</f>
        <v>0</v>
      </c>
      <c r="J459" s="244">
        <f>IF(H459="warranty",0,(I459*(_xlfn.SINGLE(SalesTaxPercentage))))</f>
        <v>0</v>
      </c>
      <c r="K459" s="696">
        <f t="shared" ref="K459" si="320">I459+J459</f>
        <v>0</v>
      </c>
      <c r="L459" s="696"/>
      <c r="M459" s="659" t="str">
        <f>IF(AND(G459&gt;0,E459=0),"WARNING - no PRICE inserted",IF(H459="free"," FREE ~ no charge this plant",IF(H459="credit",CONCATENATE(" -$",ROUND(K459*(1-T2GDiscount)*-1,2)," CREDIT after discount"),IF(T2GDiscount=0,"",IF(G459=0,"",IF(F459="Buy",CONCATENATE(" $",ROUND(K459*(1-T2GDiscount),2)," with ",(T2GDiscount*100),"% discount"),CONCATENATE(" $",ROUND(K459*(1-T2GDiscount),2)," with ",((T2GDiscount*100+F459*100)-(T2GDiscount*100*F459)),IF(F459&gt;0,"% discounts",IF(NoWarrantyDiscount&gt;0,"% discounts","% discount")))))))))</f>
        <v/>
      </c>
      <c r="N459" s="660"/>
      <c r="O459" s="233"/>
      <c r="P459" s="233"/>
      <c r="Q459" s="233"/>
      <c r="R459" s="233"/>
      <c r="S459" s="233"/>
      <c r="T459" s="508">
        <f t="shared" si="271"/>
        <v>0</v>
      </c>
      <c r="U459" s="225">
        <f>IF(NOT(ISNUMBER(G459)), "", VLOOKUP(A459,'Discount Lookup'!D:E,2,FALSE)*G459)</f>
        <v>0</v>
      </c>
      <c r="V459" s="225">
        <f>IF(NOT(ISNUMBER(G459)), "", VLOOKUP(A459,'Discount Lookup'!G:H,2,FALSE)*G459)</f>
        <v>0</v>
      </c>
      <c r="W459" s="508">
        <f t="shared" si="272"/>
        <v>0</v>
      </c>
      <c r="X459" s="508">
        <f t="shared" si="273"/>
        <v>0</v>
      </c>
      <c r="Y459" s="509" t="b">
        <f t="shared" si="274"/>
        <v>0</v>
      </c>
      <c r="Z459" s="510">
        <f t="shared" si="275"/>
        <v>0</v>
      </c>
      <c r="AA459" s="511"/>
      <c r="AB459" s="511" t="str">
        <f t="shared" si="276"/>
        <v/>
      </c>
      <c r="AC459" s="698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698"/>
      <c r="AE459" s="631" t="str">
        <f t="shared" si="277"/>
        <v/>
      </c>
      <c r="AF459" s="699" t="str">
        <f t="shared" si="278"/>
        <v/>
      </c>
      <c r="AG459" s="699"/>
      <c r="AH459" s="699"/>
      <c r="AI459" s="512">
        <f>IF(H459="credit",0,IF(AE459="free",0,IF(AE459="me",0,IF(G459&gt;0,(VLOOKUP(A459,'Discount Lookup'!J:K,2)*G459),0))))</f>
        <v>0</v>
      </c>
      <c r="AJ459" s="513" t="str">
        <f t="shared" ca="1" si="279"/>
        <v/>
      </c>
      <c r="AK459" s="700" t="str">
        <f t="shared" si="280"/>
        <v/>
      </c>
      <c r="AL459" s="700"/>
      <c r="AM459" s="505" t="str">
        <f t="shared" si="281"/>
        <v/>
      </c>
      <c r="AN459" s="506"/>
      <c r="AO459" s="507"/>
      <c r="AP459" s="507"/>
      <c r="AQ459" s="507"/>
      <c r="AR459" s="507"/>
      <c r="AS459" s="507"/>
      <c r="AT459" s="507"/>
      <c r="AU459" s="507"/>
      <c r="AV459" s="225"/>
      <c r="AW459" s="508"/>
      <c r="AX459" s="225"/>
      <c r="AY459" s="225"/>
      <c r="AZ459" s="225"/>
      <c r="BA459" s="225"/>
      <c r="BB459" s="225"/>
      <c r="BC459" s="56"/>
      <c r="BD459" s="56"/>
      <c r="BE459" s="56"/>
      <c r="BF459" s="107" t="str">
        <f t="shared" si="282"/>
        <v>https://www.google.com/search?tbm=isch&amp;q=10%20G4</v>
      </c>
      <c r="BG459" s="107" t="str">
        <f t="shared" si="283"/>
        <v>B</v>
      </c>
      <c r="BH459" s="254"/>
      <c r="BI459" s="254"/>
    </row>
    <row r="460" spans="1:61" customFormat="1" ht="17.25" thickBot="1" x14ac:dyDescent="0.3">
      <c r="A460" s="524" t="s">
        <v>4050</v>
      </c>
      <c r="B460" s="245"/>
      <c r="C460" s="677"/>
      <c r="D460" s="499"/>
      <c r="E460" s="499"/>
      <c r="F460" s="500"/>
      <c r="G460" s="501"/>
      <c r="H460" s="502"/>
      <c r="I460" s="246"/>
      <c r="J460" s="247"/>
      <c r="K460" s="503"/>
      <c r="L460" s="544"/>
      <c r="M460" s="544"/>
      <c r="N460" s="500"/>
      <c r="O460" s="500"/>
      <c r="P460" s="500"/>
      <c r="Q460" s="500"/>
      <c r="R460" s="500"/>
      <c r="S460" s="669" t="s">
        <v>4996</v>
      </c>
      <c r="T460" s="508">
        <f t="shared" si="271"/>
        <v>0</v>
      </c>
      <c r="U460" s="225" t="str">
        <f>IF(NOT(ISNUMBER(G460)), "", VLOOKUP(A460,'Discount Lookup'!D:E,2,FALSE)*G460)</f>
        <v/>
      </c>
      <c r="V460" s="225" t="str">
        <f>IF(NOT(ISNUMBER(G460)), "", VLOOKUP(A460,'Discount Lookup'!G:H,2,FALSE)*G460)</f>
        <v/>
      </c>
      <c r="W460" s="508">
        <f t="shared" si="272"/>
        <v>0</v>
      </c>
      <c r="X460" s="508">
        <f t="shared" si="273"/>
        <v>0</v>
      </c>
      <c r="Y460" s="509" t="b">
        <f t="shared" si="274"/>
        <v>0</v>
      </c>
      <c r="Z460" s="510">
        <f t="shared" si="275"/>
        <v>0</v>
      </c>
      <c r="AA460" s="511"/>
      <c r="AB460" s="511" t="str">
        <f t="shared" si="276"/>
        <v/>
      </c>
      <c r="AC460" s="698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698"/>
      <c r="AE460" s="631" t="str">
        <f t="shared" si="277"/>
        <v/>
      </c>
      <c r="AF460" s="699" t="str">
        <f t="shared" si="278"/>
        <v/>
      </c>
      <c r="AG460" s="699"/>
      <c r="AH460" s="699"/>
      <c r="AI460" s="512">
        <f>IF(H460="credit",0,IF(AE460="free",0,IF(AE460="me",0,IF(G460&gt;0,(VLOOKUP(A460,'Discount Lookup'!J:K,2)*G460),0))))</f>
        <v>0</v>
      </c>
      <c r="AJ460" s="513" t="str">
        <f t="shared" ca="1" si="279"/>
        <v/>
      </c>
      <c r="AK460" s="700" t="str">
        <f t="shared" si="280"/>
        <v/>
      </c>
      <c r="AL460" s="700"/>
      <c r="AM460" s="505" t="str">
        <f t="shared" si="281"/>
        <v/>
      </c>
      <c r="AN460" s="506"/>
      <c r="AO460" s="507"/>
      <c r="AP460" s="507"/>
      <c r="AQ460" s="507"/>
      <c r="AR460" s="507"/>
      <c r="AS460" s="507"/>
      <c r="AT460" s="507"/>
      <c r="AU460" s="507"/>
      <c r="AV460" s="225"/>
      <c r="AW460" s="508"/>
      <c r="AX460" s="225"/>
      <c r="AY460" s="225"/>
      <c r="AZ460" s="225"/>
      <c r="BA460" s="225"/>
      <c r="BB460" s="225"/>
      <c r="BC460" s="56"/>
      <c r="BD460" s="56"/>
      <c r="BE460" s="56"/>
      <c r="BF460" s="107" t="str">
        <f t="shared" si="282"/>
        <v>https://www.google.com/search?tbm=isch&amp;q=Blue%20Ray%20named%20for%20unique%20Blue-Green%20foliage.%20Vibrant%20Red-Burgundy%20fall.%20Tan%20to%20Olive%20exfoliating%20bark%20</v>
      </c>
      <c r="BG460" s="107" t="str">
        <f t="shared" si="283"/>
        <v>B</v>
      </c>
      <c r="BH460" s="254"/>
      <c r="BI460" s="254"/>
    </row>
    <row r="461" spans="1:61" customFormat="1" ht="18" x14ac:dyDescent="0.25">
      <c r="A461" s="521" t="s">
        <v>605</v>
      </c>
      <c r="B461" s="477"/>
      <c r="C461" s="674"/>
      <c r="D461" s="478" t="s">
        <v>604</v>
      </c>
      <c r="E461" s="479"/>
      <c r="F461" s="479"/>
      <c r="G461" s="479"/>
      <c r="H461" s="582" t="s">
        <v>2631</v>
      </c>
      <c r="I461" s="480" t="s">
        <v>2632</v>
      </c>
      <c r="J461" s="479"/>
      <c r="K461" s="479"/>
      <c r="L461" s="560"/>
      <c r="M461" s="666" t="s">
        <v>4963</v>
      </c>
      <c r="N461" s="680" t="str">
        <f>IF(AND(ISTEXT($A461), ISERROR($A461+0)), HYPERLINK($BF461, "Images"), "")</f>
        <v>Images</v>
      </c>
      <c r="O461" s="662" t="s">
        <v>4969</v>
      </c>
      <c r="P461" s="482"/>
      <c r="Q461" s="483"/>
      <c r="R461" s="483"/>
      <c r="S461" s="484"/>
      <c r="T461" s="508">
        <f t="shared" si="271"/>
        <v>0</v>
      </c>
      <c r="U461" s="225" t="str">
        <f>IF(NOT(ISNUMBER(G461)), "", VLOOKUP(A461,'Discount Lookup'!D:E,2,FALSE)*G461)</f>
        <v/>
      </c>
      <c r="V461" s="225" t="str">
        <f>IF(NOT(ISNUMBER(G461)), "", VLOOKUP(A461,'Discount Lookup'!G:H,2,FALSE)*G461)</f>
        <v/>
      </c>
      <c r="W461" s="508">
        <f t="shared" si="272"/>
        <v>0</v>
      </c>
      <c r="X461" s="508" t="str">
        <f t="shared" si="273"/>
        <v>Silver-Blue foliage</v>
      </c>
      <c r="Y461" s="509" t="b">
        <f t="shared" si="274"/>
        <v>0</v>
      </c>
      <c r="Z461" s="510">
        <f t="shared" si="275"/>
        <v>0</v>
      </c>
      <c r="AA461" s="511"/>
      <c r="AB461" s="511" t="str">
        <f t="shared" si="276"/>
        <v/>
      </c>
      <c r="AC461" s="698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698"/>
      <c r="AE461" s="631" t="str">
        <f t="shared" si="277"/>
        <v/>
      </c>
      <c r="AF461" s="699" t="str">
        <f t="shared" si="278"/>
        <v/>
      </c>
      <c r="AG461" s="699"/>
      <c r="AH461" s="699"/>
      <c r="AI461" s="512">
        <f>IF(H461="credit",0,IF(AE461="free",0,IF(AE461="me",0,IF(G461&gt;0,(VLOOKUP(A461,'Discount Lookup'!J:K,2)*G461),0))))</f>
        <v>0</v>
      </c>
      <c r="AJ461" s="513" t="str">
        <f t="shared" ca="1" si="279"/>
        <v/>
      </c>
      <c r="AK461" s="700" t="str">
        <f t="shared" si="280"/>
        <v/>
      </c>
      <c r="AL461" s="700"/>
      <c r="AM461" s="505" t="str">
        <f t="shared" si="281"/>
        <v/>
      </c>
      <c r="AN461" s="506"/>
      <c r="AO461" s="507"/>
      <c r="AP461" s="507"/>
      <c r="AQ461" s="507"/>
      <c r="AR461" s="507"/>
      <c r="AS461" s="507"/>
      <c r="AT461" s="507"/>
      <c r="AU461" s="507"/>
      <c r="AV461" s="225"/>
      <c r="AW461" s="508"/>
      <c r="AX461" s="225"/>
      <c r="AY461" s="225"/>
      <c r="AZ461" s="225"/>
      <c r="BA461" s="225"/>
      <c r="BB461" s="225"/>
      <c r="BC461" s="56"/>
      <c r="BD461" s="56"/>
      <c r="BE461" s="56"/>
      <c r="BF461" s="107" t="str">
        <f t="shared" si="282"/>
        <v>https://www.google.com/search?tbm=isch&amp;q=Blue%20Rug%20Juniper%20Juniperus%20horizontalis%20%27Wiltonii%27%20PP%2316607</v>
      </c>
      <c r="BG461" s="107" t="str">
        <f t="shared" si="283"/>
        <v>B</v>
      </c>
      <c r="BH461" s="254"/>
      <c r="BI461" s="254"/>
    </row>
    <row r="462" spans="1:61" customFormat="1" ht="15.75" x14ac:dyDescent="0.25">
      <c r="A462" s="485">
        <v>3</v>
      </c>
      <c r="B462" s="486" t="s">
        <v>291</v>
      </c>
      <c r="C462" s="487" t="s">
        <v>2204</v>
      </c>
      <c r="D462" s="488" t="s">
        <v>300</v>
      </c>
      <c r="E462" s="489">
        <v>20.95</v>
      </c>
      <c r="F462" s="516" t="s">
        <v>293</v>
      </c>
      <c r="G462" s="232">
        <v>0</v>
      </c>
      <c r="H462" s="658" t="str">
        <f>IF(G462=0,"",IF(F462="Buy",IF(G462=1,"plant","plants"),IF(F462&gt;0.01,"warranty","Error")))</f>
        <v/>
      </c>
      <c r="I462" s="490">
        <f>IF(H462="free",0,IF(H462="credit",((E462*(F462))*G462*-1),IF(F462="Buy",(E462*G462),((E462*(1-F462))*G462))))</f>
        <v>0</v>
      </c>
      <c r="J462" s="490">
        <f>IF(H462="warranty",0,(I462*(_xlfn.SINGLE(SalesTaxPercentage))))</f>
        <v>0</v>
      </c>
      <c r="K462" s="695">
        <f t="shared" ref="K462" si="321">I462+J462</f>
        <v>0</v>
      </c>
      <c r="L462" s="695"/>
      <c r="M462" s="659" t="str">
        <f>IF(AND(G462&gt;0,E462=0),"WARNING - no PRICE inserted",IF(H462="free"," FREE ~ no charge this plant",IF(H462="credit",CONCATENATE(" -$",ROUND(K462*(1-T2GDiscount)*-1,2)," CREDIT after discount"),IF(T2GDiscount=0,"",IF(G462=0,"",IF(F462="Buy",CONCATENATE(" $",ROUND(K462*(1-T2GDiscount),2)," with ",(T2GDiscount*100),"% discount"),CONCATENATE(" $",ROUND(K462*(1-T2GDiscount),2)," with ",((T2GDiscount*100+F462*100)-(T2GDiscount*100*F462)),IF(F462&gt;0,"% discounts",IF(NoWarrantyDiscount&gt;0,"% discounts","% discount")))))))))</f>
        <v/>
      </c>
      <c r="N462" s="660"/>
      <c r="O462" s="233"/>
      <c r="P462" s="233"/>
      <c r="Q462" s="233"/>
      <c r="R462" s="233"/>
      <c r="S462" s="233"/>
      <c r="T462" s="508">
        <f t="shared" ref="T462:T525" si="322">E462*G462</f>
        <v>0</v>
      </c>
      <c r="U462" s="225">
        <f>IF(NOT(ISNUMBER(G462)), "", VLOOKUP(A462,'Discount Lookup'!D:E,2,FALSE)*G462)</f>
        <v>0</v>
      </c>
      <c r="V462" s="225">
        <f>IF(NOT(ISNUMBER(G462)), "", VLOOKUP(A462,'Discount Lookup'!G:H,2,FALSE)*G462)</f>
        <v>0</v>
      </c>
      <c r="W462" s="508">
        <f t="shared" ref="W462:W525" si="323">IF(H462="credit",0,E462*(SalesTaxPercentage)*G462)</f>
        <v>0</v>
      </c>
      <c r="X462" s="508">
        <f t="shared" ref="X462:X525" si="324">I462</f>
        <v>0</v>
      </c>
      <c r="Y462" s="509" t="b">
        <f t="shared" ref="Y462:Y525" si="325">IF(AE462="T2G",0,IF(H462="credit",0,IF(G462&gt;0,IF(AE462="me","",G462))))</f>
        <v>0</v>
      </c>
      <c r="Z462" s="510">
        <f t="shared" ref="Z462:Z525" si="326">IF(H462="credit",G462,0)</f>
        <v>0</v>
      </c>
      <c r="AA462" s="511"/>
      <c r="AB462" s="511" t="str">
        <f t="shared" ref="AB462:AB525" si="327">IF(AE462="T2G","by Trees2Go",IF(H462="credit","CREDIT only ~",IF(AND(K462="",AE462=OR(PlanterYesMe="No",PlanterYesMe="N",PlanterYesMe="me")),"not THIS line⇨",IF(AND(K462="images",AE462="me"),"not THIS line⇨",IF(H462="credit","",IF(G462=0,"",IF(AE462="me","",IF(OR(PlanterYesMe="No",PlanterYesMe="N",PlanterYesMe="me"),"",IF(AE462="free","warranty",IF(OR(PlanterYesMe="yes",PlanterYesMe="y"),"Edison install:","to install:"))))))))))</f>
        <v/>
      </c>
      <c r="AC462" s="698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698"/>
      <c r="AE462" s="631" t="str">
        <f t="shared" ref="AE462:AE525" si="328">IF(H462="credit","",IF(G462=0,"",IF(OR(PlanterYesMe="No",PlanterYesMe="N",PlanterYesMe="me"),"me",IF(H462="warranty","free",IF(OR(PlanterYesMe="yes",PlanterYesMe="y"),"ELP","")))))</f>
        <v/>
      </c>
      <c r="AF462" s="699" t="str">
        <f t="shared" ref="AF462:AF525" si="329">IF(OR(PlanterYesMe="No",PlanterYesMe="N",PlanterYesMe="me"),"",IF(H462="credit","",IF(G462&gt;0,(CONCATENATE((G462)," quantity, ",(A462)," ",B462)),"")))</f>
        <v/>
      </c>
      <c r="AG462" s="699"/>
      <c r="AH462" s="699"/>
      <c r="AI462" s="512">
        <f>IF(H462="credit",0,IF(AE462="free",0,IF(AE462="me",0,IF(G462&gt;0,(VLOOKUP(A462,'Discount Lookup'!J:K,2)*G462),0))))</f>
        <v>0</v>
      </c>
      <c r="AJ462" s="513" t="str">
        <f t="shared" ref="AJ462:AJ525" ca="1" si="330">IF(AND(ISREF(H462),H462="credit"),"",IF(AND(AND(OFFSET(G462,0,0)=0,OFFSET(G462,1,0)&gt;0,ISNUMBER(OFFSET(AC462,1,0)),OFFSET(AC462,1,0)&gt;0),OR(PlanterYesMe="yes",PlanterYesMe="y")),"T2G+ELP=",IF(AND(OFFSET(G462,0,0)=0,OFFSET(G462,1,0)&gt;0,ISNUMBER(OFFSET(AC462,1,0)),OFFSET(AC462,1,0)&gt;0),"if T2G+ELP=",IF(AND(OFFSET(G462,0,0)=0,OFFSET(G462,1,0)&gt;0),"T2G Subtotal",IF(H462="credit","",IF(G462=0,"",IF(AE462="free",(K462*(1-T2GDiscount)),IF(OR(PlanterYesMe="No",PlanterYesMe="N",PlanterYesMe="me"),(K462*(1-T2GDiscount)),IF(OR(AE462="me",AE462="T2G"),(K462*(1-T2GDiscount)),(K462*(1-T2GDiscount))+AC462)))))))))</f>
        <v/>
      </c>
      <c r="AK462" s="700" t="str">
        <f t="shared" ref="AK462:AK525" si="331">IF(H462="credit","",IF(G462=0,"",IF(OR(AE462="me",AE462="T2G"),"  delivery-only",IF(OR(PlanterYesMe="No",PlanterYesMe="N",PlanterYesMe="me"),"  delivery-only",CONCATENATE(" $",ROUND(AJ462/G462,2)," each")))))</f>
        <v/>
      </c>
      <c r="AL462" s="700"/>
      <c r="AM462" s="505" t="str">
        <f t="shared" ref="AM462:AM525" si="332">IF(H462="credit","",IF(AE462="free","      ~ discounts included, no tax or planting fee applies ~",IF(G462=0,"",IF(OR(PlanterYesMe="No",PlanterYesMe="N",PlanterYesMe="me"),CONCATENATE(" $",ROUND(AJ462/G462,2)," per plant, with tax &amp; discount"),IF(OR(AE462="me",AE462="T2G"),CONCATENATE(" $",ROUND(AJ462/G462,2)," per plant, with tax &amp; discount"),CONCATENATE("= $",ROUND((K462*(1-T2GDiscount))/G462,2)," per plant + $",AC462/G462,(" per planting      ~ includes tax &amp; discounts ~")))))))</f>
        <v/>
      </c>
      <c r="AN462" s="506"/>
      <c r="AO462" s="507"/>
      <c r="AP462" s="507"/>
      <c r="AQ462" s="507"/>
      <c r="AR462" s="507"/>
      <c r="AS462" s="507"/>
      <c r="AT462" s="507"/>
      <c r="AU462" s="507"/>
      <c r="AV462" s="225"/>
      <c r="AW462" s="508"/>
      <c r="AX462" s="225"/>
      <c r="AY462" s="225"/>
      <c r="AZ462" s="225"/>
      <c r="BA462" s="225"/>
      <c r="BB462" s="225"/>
      <c r="BC462" s="56"/>
      <c r="BD462" s="56"/>
      <c r="BE462" s="56"/>
      <c r="BF462" s="107" t="str">
        <f t="shared" ref="BF462:BF525" si="333">"https://www.google.com/search?tbm=isch&amp;q=" &amp; _xlfn.ENCODEURL($A462 &amp; " " &amp; $D462)</f>
        <v>https://www.google.com/search?tbm=isch&amp;q=3%20G6</v>
      </c>
      <c r="BG462" s="107" t="str">
        <f t="shared" ref="BG462:BG525" si="334">IF(ISTEXT(A462),LEFT(A462,1),BG461)</f>
        <v>B</v>
      </c>
      <c r="BH462" s="254"/>
      <c r="BI462" s="254"/>
    </row>
    <row r="463" spans="1:61" customFormat="1" ht="15.75" x14ac:dyDescent="0.25">
      <c r="A463" s="485">
        <v>3</v>
      </c>
      <c r="B463" s="486" t="s">
        <v>291</v>
      </c>
      <c r="C463" s="487"/>
      <c r="D463" s="488" t="s">
        <v>298</v>
      </c>
      <c r="E463" s="489">
        <v>25.95</v>
      </c>
      <c r="F463" s="516" t="s">
        <v>293</v>
      </c>
      <c r="G463" s="232">
        <v>0</v>
      </c>
      <c r="H463" s="658" t="str">
        <f>IF(G463=0,"",IF(F463="Buy",IF(G463=1,"plant","plants"),IF(F463&gt;0.01,"warranty","Error")))</f>
        <v/>
      </c>
      <c r="I463" s="490">
        <f>IF(H463="free",0,IF(H463="credit",((E463*(F463))*G463*-1),IF(F463="Buy",(E463*G463),((E463*(1-F463))*G463))))</f>
        <v>0</v>
      </c>
      <c r="J463" s="490">
        <f>IF(H463="warranty",0,(I463*(_xlfn.SINGLE(SalesTaxPercentage))))</f>
        <v>0</v>
      </c>
      <c r="K463" s="695">
        <f t="shared" ref="K463" si="335">I463+J463</f>
        <v>0</v>
      </c>
      <c r="L463" s="695"/>
      <c r="M463" s="659" t="str">
        <f>IF(AND(G463&gt;0,E463=0),"WARNING - no PRICE inserted",IF(H463="free"," FREE ~ no charge this plant",IF(H463="credit",CONCATENATE(" -$",ROUND(K463*(1-T2GDiscount)*-1,2)," CREDIT after discount"),IF(T2GDiscount=0,"",IF(G463=0,"",IF(F463="Buy",CONCATENATE(" $",ROUND(K463*(1-T2GDiscount),2)," with ",(T2GDiscount*100),"% discount"),CONCATENATE(" $",ROUND(K463*(1-T2GDiscount),2)," with ",((T2GDiscount*100+F463*100)-(T2GDiscount*100*F463)),IF(F463&gt;0,"% discounts",IF(NoWarrantyDiscount&gt;0,"% discounts","% discount")))))))))</f>
        <v/>
      </c>
      <c r="N463" s="660"/>
      <c r="O463" s="233"/>
      <c r="P463" s="233"/>
      <c r="Q463" s="233"/>
      <c r="R463" s="233"/>
      <c r="S463" s="233"/>
      <c r="T463" s="508">
        <f t="shared" si="322"/>
        <v>0</v>
      </c>
      <c r="U463" s="225">
        <f>IF(NOT(ISNUMBER(G463)), "", VLOOKUP(A463,'Discount Lookup'!D:E,2,FALSE)*G463)</f>
        <v>0</v>
      </c>
      <c r="V463" s="225">
        <f>IF(NOT(ISNUMBER(G463)), "", VLOOKUP(A463,'Discount Lookup'!G:H,2,FALSE)*G463)</f>
        <v>0</v>
      </c>
      <c r="W463" s="508">
        <f t="shared" si="323"/>
        <v>0</v>
      </c>
      <c r="X463" s="508">
        <f t="shared" si="324"/>
        <v>0</v>
      </c>
      <c r="Y463" s="509" t="b">
        <f t="shared" si="325"/>
        <v>0</v>
      </c>
      <c r="Z463" s="510">
        <f t="shared" si="326"/>
        <v>0</v>
      </c>
      <c r="AA463" s="511"/>
      <c r="AB463" s="511" t="str">
        <f t="shared" si="327"/>
        <v/>
      </c>
      <c r="AC463" s="698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698"/>
      <c r="AE463" s="631" t="str">
        <f t="shared" si="328"/>
        <v/>
      </c>
      <c r="AF463" s="699" t="str">
        <f t="shared" si="329"/>
        <v/>
      </c>
      <c r="AG463" s="699"/>
      <c r="AH463" s="699"/>
      <c r="AI463" s="512">
        <f>IF(H463="credit",0,IF(AE463="free",0,IF(AE463="me",0,IF(G463&gt;0,(VLOOKUP(A463,'Discount Lookup'!J:K,2)*G463),0))))</f>
        <v>0</v>
      </c>
      <c r="AJ463" s="513" t="str">
        <f t="shared" ca="1" si="330"/>
        <v/>
      </c>
      <c r="AK463" s="700" t="str">
        <f t="shared" si="331"/>
        <v/>
      </c>
      <c r="AL463" s="700"/>
      <c r="AM463" s="505" t="str">
        <f t="shared" si="332"/>
        <v/>
      </c>
      <c r="AN463" s="506"/>
      <c r="AO463" s="507"/>
      <c r="AP463" s="507"/>
      <c r="AQ463" s="507"/>
      <c r="AR463" s="507"/>
      <c r="AS463" s="507"/>
      <c r="AT463" s="507"/>
      <c r="AU463" s="507"/>
      <c r="AV463" s="225"/>
      <c r="AW463" s="508"/>
      <c r="AX463" s="225"/>
      <c r="AY463" s="225"/>
      <c r="AZ463" s="225"/>
      <c r="BA463" s="225"/>
      <c r="BB463" s="225"/>
      <c r="BC463" s="56"/>
      <c r="BD463" s="56"/>
      <c r="BE463" s="56"/>
      <c r="BF463" s="107" t="str">
        <f t="shared" si="333"/>
        <v>https://www.google.com/search?tbm=isch&amp;q=3%20G1</v>
      </c>
      <c r="BG463" s="107" t="str">
        <f t="shared" si="334"/>
        <v>B</v>
      </c>
      <c r="BH463" s="254"/>
      <c r="BI463" s="254"/>
    </row>
    <row r="464" spans="1:61" customFormat="1" ht="15.75" x14ac:dyDescent="0.25">
      <c r="A464" s="485">
        <v>3</v>
      </c>
      <c r="B464" s="486" t="s">
        <v>291</v>
      </c>
      <c r="C464" s="487" t="s">
        <v>4857</v>
      </c>
      <c r="D464" s="488" t="s">
        <v>312</v>
      </c>
      <c r="E464" s="489">
        <v>25.95</v>
      </c>
      <c r="F464" s="516" t="s">
        <v>293</v>
      </c>
      <c r="G464" s="232">
        <v>0</v>
      </c>
      <c r="H464" s="658" t="str">
        <f>IF(G464=0,"",IF(F464="Buy",IF(G464=1,"plant","plants"),IF(F464&gt;0.01,"warranty","Error")))</f>
        <v/>
      </c>
      <c r="I464" s="490">
        <f>IF(H464="free",0,IF(H464="credit",((E464*(F464))*G464*-1),IF(F464="Buy",(E464*G464),((E464*(1-F464))*G464))))</f>
        <v>0</v>
      </c>
      <c r="J464" s="490">
        <f>IF(H464="warranty",0,(I464*(_xlfn.SINGLE(SalesTaxPercentage))))</f>
        <v>0</v>
      </c>
      <c r="K464" s="695">
        <f t="shared" ref="K464" si="336">I464+J464</f>
        <v>0</v>
      </c>
      <c r="L464" s="695"/>
      <c r="M464" s="659" t="str">
        <f>IF(AND(G464&gt;0,E464=0),"WARNING - no PRICE inserted",IF(H464="free"," FREE ~ no charge this plant",IF(H464="credit",CONCATENATE(" -$",ROUND(K464*(1-T2GDiscount)*-1,2)," CREDIT after discount"),IF(T2GDiscount=0,"",IF(G464=0,"",IF(F464="Buy",CONCATENATE(" $",ROUND(K464*(1-T2GDiscount),2)," with ",(T2GDiscount*100),"% discount"),CONCATENATE(" $",ROUND(K464*(1-T2GDiscount),2)," with ",((T2GDiscount*100+F464*100)-(T2GDiscount*100*F464)),IF(F464&gt;0,"% discounts",IF(NoWarrantyDiscount&gt;0,"% discounts","% discount")))))))))</f>
        <v/>
      </c>
      <c r="N464" s="660"/>
      <c r="O464" s="233"/>
      <c r="P464" s="233"/>
      <c r="Q464" s="233"/>
      <c r="R464" s="233"/>
      <c r="S464" s="233"/>
      <c r="T464" s="508">
        <f t="shared" si="322"/>
        <v>0</v>
      </c>
      <c r="U464" s="225">
        <f>IF(NOT(ISNUMBER(G464)), "", VLOOKUP(A464,'Discount Lookup'!D:E,2,FALSE)*G464)</f>
        <v>0</v>
      </c>
      <c r="V464" s="225">
        <f>IF(NOT(ISNUMBER(G464)), "", VLOOKUP(A464,'Discount Lookup'!G:H,2,FALSE)*G464)</f>
        <v>0</v>
      </c>
      <c r="W464" s="508">
        <f t="shared" si="323"/>
        <v>0</v>
      </c>
      <c r="X464" s="508">
        <f t="shared" si="324"/>
        <v>0</v>
      </c>
      <c r="Y464" s="509" t="b">
        <f t="shared" si="325"/>
        <v>0</v>
      </c>
      <c r="Z464" s="510">
        <f t="shared" si="326"/>
        <v>0</v>
      </c>
      <c r="AA464" s="511"/>
      <c r="AB464" s="511" t="str">
        <f t="shared" si="327"/>
        <v/>
      </c>
      <c r="AC464" s="698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698"/>
      <c r="AE464" s="631" t="str">
        <f t="shared" si="328"/>
        <v/>
      </c>
      <c r="AF464" s="699" t="str">
        <f t="shared" si="329"/>
        <v/>
      </c>
      <c r="AG464" s="699"/>
      <c r="AH464" s="699"/>
      <c r="AI464" s="512">
        <f>IF(H464="credit",0,IF(AE464="free",0,IF(AE464="me",0,IF(G464&gt;0,(VLOOKUP(A464,'Discount Lookup'!J:K,2)*G464),0))))</f>
        <v>0</v>
      </c>
      <c r="AJ464" s="513" t="str">
        <f t="shared" ca="1" si="330"/>
        <v/>
      </c>
      <c r="AK464" s="700" t="str">
        <f t="shared" si="331"/>
        <v/>
      </c>
      <c r="AL464" s="700"/>
      <c r="AM464" s="505" t="str">
        <f t="shared" si="332"/>
        <v/>
      </c>
      <c r="AN464" s="506"/>
      <c r="AO464" s="507"/>
      <c r="AP464" s="507"/>
      <c r="AQ464" s="507"/>
      <c r="AR464" s="507"/>
      <c r="AS464" s="507"/>
      <c r="AT464" s="507"/>
      <c r="AU464" s="507"/>
      <c r="AV464" s="225"/>
      <c r="AW464" s="508"/>
      <c r="AX464" s="225"/>
      <c r="AY464" s="225"/>
      <c r="AZ464" s="225"/>
      <c r="BA464" s="225"/>
      <c r="BB464" s="225"/>
      <c r="BC464" s="56"/>
      <c r="BD464" s="56"/>
      <c r="BE464" s="56"/>
      <c r="BF464" s="107" t="str">
        <f t="shared" si="333"/>
        <v>https://www.google.com/search?tbm=isch&amp;q=3%20G2</v>
      </c>
      <c r="BG464" s="107" t="str">
        <f t="shared" si="334"/>
        <v>B</v>
      </c>
      <c r="BH464" s="254"/>
      <c r="BI464" s="254"/>
    </row>
    <row r="465" spans="1:61" customFormat="1" ht="17.25" thickBot="1" x14ac:dyDescent="0.3">
      <c r="A465" s="522" t="s">
        <v>2633</v>
      </c>
      <c r="B465" s="491"/>
      <c r="C465" s="675"/>
      <c r="D465" s="491"/>
      <c r="E465" s="491"/>
      <c r="F465" s="492"/>
      <c r="G465" s="493"/>
      <c r="H465" s="491"/>
      <c r="I465" s="234"/>
      <c r="J465" s="234"/>
      <c r="K465" s="494"/>
      <c r="L465" s="543"/>
      <c r="M465" s="561"/>
      <c r="N465" s="495"/>
      <c r="O465" s="496"/>
      <c r="P465" s="497"/>
      <c r="Q465" s="495"/>
      <c r="R465" s="495"/>
      <c r="S465" s="667" t="s">
        <v>4982</v>
      </c>
      <c r="T465" s="508">
        <f t="shared" si="322"/>
        <v>0</v>
      </c>
      <c r="U465" s="225" t="str">
        <f>IF(NOT(ISNUMBER(G465)), "", VLOOKUP(A465,'Discount Lookup'!D:E,2,FALSE)*G465)</f>
        <v/>
      </c>
      <c r="V465" s="225" t="str">
        <f>IF(NOT(ISNUMBER(G465)), "", VLOOKUP(A465,'Discount Lookup'!G:H,2,FALSE)*G465)</f>
        <v/>
      </c>
      <c r="W465" s="508">
        <f t="shared" si="323"/>
        <v>0</v>
      </c>
      <c r="X465" s="508">
        <f t="shared" si="324"/>
        <v>0</v>
      </c>
      <c r="Y465" s="509" t="b">
        <f t="shared" si="325"/>
        <v>0</v>
      </c>
      <c r="Z465" s="510">
        <f t="shared" si="326"/>
        <v>0</v>
      </c>
      <c r="AA465" s="511"/>
      <c r="AB465" s="511" t="str">
        <f t="shared" si="327"/>
        <v/>
      </c>
      <c r="AC465" s="698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698"/>
      <c r="AE465" s="631" t="str">
        <f t="shared" si="328"/>
        <v/>
      </c>
      <c r="AF465" s="699" t="str">
        <f t="shared" si="329"/>
        <v/>
      </c>
      <c r="AG465" s="699"/>
      <c r="AH465" s="699"/>
      <c r="AI465" s="512">
        <f>IF(H465="credit",0,IF(AE465="free",0,IF(AE465="me",0,IF(G465&gt;0,(VLOOKUP(A465,'Discount Lookup'!J:K,2)*G465),0))))</f>
        <v>0</v>
      </c>
      <c r="AJ465" s="513" t="str">
        <f t="shared" ca="1" si="330"/>
        <v/>
      </c>
      <c r="AK465" s="700" t="str">
        <f t="shared" si="331"/>
        <v/>
      </c>
      <c r="AL465" s="700"/>
      <c r="AM465" s="505" t="str">
        <f t="shared" si="332"/>
        <v/>
      </c>
      <c r="AN465" s="506"/>
      <c r="AO465" s="507"/>
      <c r="AP465" s="507"/>
      <c r="AQ465" s="507"/>
      <c r="AR465" s="507"/>
      <c r="AS465" s="507"/>
      <c r="AT465" s="507"/>
      <c r="AU465" s="507"/>
      <c r="AV465" s="225"/>
      <c r="AW465" s="508"/>
      <c r="AX465" s="225"/>
      <c r="AY465" s="225"/>
      <c r="AZ465" s="225"/>
      <c r="BA465" s="225"/>
      <c r="BB465" s="225"/>
      <c r="BC465" s="56"/>
      <c r="BD465" s="56"/>
      <c r="BE465" s="56"/>
      <c r="BF465" s="107" t="str">
        <f t="shared" si="333"/>
        <v>https://www.google.com/search?tbm=isch&amp;q=Blue%20Rug%20spreads%20into%20a%20tight%20carpet%20that%20bronzes%20in%20winter.%20Bluish-Green-Black%20cones.%20All%20femaie.%20Sun%2Fheat%2Fdrought%20tolerant%20</v>
      </c>
      <c r="BG465" s="107" t="str">
        <f t="shared" si="334"/>
        <v>B</v>
      </c>
      <c r="BH465" s="254"/>
      <c r="BI465" s="254"/>
    </row>
    <row r="466" spans="1:61" customFormat="1" ht="18" x14ac:dyDescent="0.25">
      <c r="A466" s="521" t="s">
        <v>498</v>
      </c>
      <c r="B466" s="477"/>
      <c r="C466" s="674"/>
      <c r="D466" s="478" t="s">
        <v>497</v>
      </c>
      <c r="E466" s="479"/>
      <c r="F466" s="479"/>
      <c r="G466" s="479"/>
      <c r="H466" s="582" t="s">
        <v>720</v>
      </c>
      <c r="I466" s="480" t="s">
        <v>2303</v>
      </c>
      <c r="J466" s="479"/>
      <c r="K466" s="479"/>
      <c r="L466" s="560"/>
      <c r="M466" s="666" t="s">
        <v>4963</v>
      </c>
      <c r="N466" s="680" t="str">
        <f>IF(AND(ISTEXT($A466), ISERROR($A466+0)), HYPERLINK($BF466, "Images"), "")</f>
        <v>Images</v>
      </c>
      <c r="O466" s="662" t="s">
        <v>4969</v>
      </c>
      <c r="P466" s="482"/>
      <c r="Q466" s="483"/>
      <c r="R466" s="483"/>
      <c r="S466" s="484"/>
      <c r="T466" s="508">
        <f t="shared" si="322"/>
        <v>0</v>
      </c>
      <c r="U466" s="225" t="str">
        <f>IF(NOT(ISNUMBER(G466)), "", VLOOKUP(A466,'Discount Lookup'!D:E,2,FALSE)*G466)</f>
        <v/>
      </c>
      <c r="V466" s="225" t="str">
        <f>IF(NOT(ISNUMBER(G466)), "", VLOOKUP(A466,'Discount Lookup'!G:H,2,FALSE)*G466)</f>
        <v/>
      </c>
      <c r="W466" s="508">
        <f t="shared" si="323"/>
        <v>0</v>
      </c>
      <c r="X466" s="508" t="str">
        <f t="shared" si="324"/>
        <v>Silvery-Blue foliage</v>
      </c>
      <c r="Y466" s="509" t="b">
        <f t="shared" si="325"/>
        <v>0</v>
      </c>
      <c r="Z466" s="510">
        <f t="shared" si="326"/>
        <v>0</v>
      </c>
      <c r="AA466" s="511"/>
      <c r="AB466" s="511" t="str">
        <f t="shared" si="327"/>
        <v/>
      </c>
      <c r="AC466" s="698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698"/>
      <c r="AE466" s="631" t="str">
        <f t="shared" si="328"/>
        <v/>
      </c>
      <c r="AF466" s="699" t="str">
        <f t="shared" si="329"/>
        <v/>
      </c>
      <c r="AG466" s="699"/>
      <c r="AH466" s="699"/>
      <c r="AI466" s="512">
        <f>IF(H466="credit",0,IF(AE466="free",0,IF(AE466="me",0,IF(G466&gt;0,(VLOOKUP(A466,'Discount Lookup'!J:K,2)*G466),0))))</f>
        <v>0</v>
      </c>
      <c r="AJ466" s="513" t="str">
        <f t="shared" ca="1" si="330"/>
        <v/>
      </c>
      <c r="AK466" s="700" t="str">
        <f t="shared" si="331"/>
        <v/>
      </c>
      <c r="AL466" s="700"/>
      <c r="AM466" s="505" t="str">
        <f t="shared" si="332"/>
        <v/>
      </c>
      <c r="AN466" s="506"/>
      <c r="AO466" s="507"/>
      <c r="AP466" s="507"/>
      <c r="AQ466" s="507"/>
      <c r="AR466" s="507"/>
      <c r="AS466" s="507"/>
      <c r="AT466" s="507"/>
      <c r="AU466" s="507"/>
      <c r="AV466" s="225"/>
      <c r="AW466" s="508"/>
      <c r="AX466" s="225"/>
      <c r="AY466" s="225"/>
      <c r="AZ466" s="225"/>
      <c r="BA466" s="225"/>
      <c r="BB466" s="225"/>
      <c r="BC466" s="56"/>
      <c r="BD466" s="56"/>
      <c r="BE466" s="56"/>
      <c r="BF466" s="107" t="str">
        <f t="shared" si="333"/>
        <v>https://www.google.com/search?tbm=isch&amp;q=Blue%20Star%20Juniper%20Juniperus%20squamata%20%27Blue%20Star%27</v>
      </c>
      <c r="BG466" s="107" t="str">
        <f t="shared" si="334"/>
        <v>B</v>
      </c>
      <c r="BH466" s="254"/>
      <c r="BI466" s="254"/>
    </row>
    <row r="467" spans="1:61" customFormat="1" ht="40.5" x14ac:dyDescent="0.25">
      <c r="A467" s="485">
        <v>7</v>
      </c>
      <c r="B467" s="486" t="s">
        <v>291</v>
      </c>
      <c r="C467" s="487" t="s">
        <v>3346</v>
      </c>
      <c r="D467" s="488" t="s">
        <v>292</v>
      </c>
      <c r="E467" s="489">
        <v>215.95</v>
      </c>
      <c r="F467" s="516" t="s">
        <v>293</v>
      </c>
      <c r="G467" s="232">
        <v>0</v>
      </c>
      <c r="H467" s="658" t="str">
        <f>IF(G467=0,"",IF(F467="Buy",IF(G467=1,"plant","plants"),IF(F467&gt;0.01,"warranty","Error")))</f>
        <v/>
      </c>
      <c r="I467" s="490">
        <f>IF(H467="free",0,IF(H467="credit",((E467*(F467))*G467*-1),IF(F467="Buy",(E467*G467),((E467*(1-F467))*G467))))</f>
        <v>0</v>
      </c>
      <c r="J467" s="490">
        <f>IF(H467="warranty",0,(I467*(_xlfn.SINGLE(SalesTaxPercentage))))</f>
        <v>0</v>
      </c>
      <c r="K467" s="695">
        <f t="shared" ref="K467" si="337">I467+J467</f>
        <v>0</v>
      </c>
      <c r="L467" s="695"/>
      <c r="M467" s="659" t="str">
        <f>IF(AND(G467&gt;0,E467=0),"WARNING - no PRICE inserted",IF(H467="free"," FREE ~ no charge this plant",IF(H467="credit",CONCATENATE(" -$",ROUND(K467*(1-T2GDiscount)*-1,2)," CREDIT after discount"),IF(T2GDiscount=0,"",IF(G467=0,"",IF(F467="Buy",CONCATENATE(" $",ROUND(K467*(1-T2GDiscount),2)," with ",(T2GDiscount*100),"% discount"),CONCATENATE(" $",ROUND(K467*(1-T2GDiscount),2)," with ",((T2GDiscount*100+F467*100)-(T2GDiscount*100*F467)),IF(F467&gt;0,"% discounts",IF(NoWarrantyDiscount&gt;0,"% discounts","% discount")))))))))</f>
        <v/>
      </c>
      <c r="N467" s="660"/>
      <c r="O467" s="233"/>
      <c r="P467" s="233"/>
      <c r="Q467" s="233"/>
      <c r="R467" s="233"/>
      <c r="S467" s="233"/>
      <c r="T467" s="508">
        <f t="shared" si="322"/>
        <v>0</v>
      </c>
      <c r="U467" s="225">
        <f>IF(NOT(ISNUMBER(G467)), "", VLOOKUP(A467,'Discount Lookup'!D:E,2,FALSE)*G467)</f>
        <v>0</v>
      </c>
      <c r="V467" s="225">
        <f>IF(NOT(ISNUMBER(G467)), "", VLOOKUP(A467,'Discount Lookup'!G:H,2,FALSE)*G467)</f>
        <v>0</v>
      </c>
      <c r="W467" s="508">
        <f t="shared" si="323"/>
        <v>0</v>
      </c>
      <c r="X467" s="508">
        <f t="shared" si="324"/>
        <v>0</v>
      </c>
      <c r="Y467" s="509" t="b">
        <f t="shared" si="325"/>
        <v>0</v>
      </c>
      <c r="Z467" s="510">
        <f t="shared" si="326"/>
        <v>0</v>
      </c>
      <c r="AA467" s="511"/>
      <c r="AB467" s="511" t="str">
        <f t="shared" si="327"/>
        <v/>
      </c>
      <c r="AC467" s="698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698"/>
      <c r="AE467" s="631" t="str">
        <f t="shared" si="328"/>
        <v/>
      </c>
      <c r="AF467" s="699" t="str">
        <f t="shared" si="329"/>
        <v/>
      </c>
      <c r="AG467" s="699"/>
      <c r="AH467" s="699"/>
      <c r="AI467" s="512">
        <f>IF(H467="credit",0,IF(AE467="free",0,IF(AE467="me",0,IF(G467&gt;0,(VLOOKUP(A467,'Discount Lookup'!J:K,2)*G467),0))))</f>
        <v>0</v>
      </c>
      <c r="AJ467" s="513" t="str">
        <f t="shared" ca="1" si="330"/>
        <v/>
      </c>
      <c r="AK467" s="700" t="str">
        <f t="shared" si="331"/>
        <v/>
      </c>
      <c r="AL467" s="700"/>
      <c r="AM467" s="505" t="str">
        <f t="shared" si="332"/>
        <v/>
      </c>
      <c r="AN467" s="506"/>
      <c r="AO467" s="507"/>
      <c r="AP467" s="507"/>
      <c r="AQ467" s="507"/>
      <c r="AR467" s="507"/>
      <c r="AS467" s="507"/>
      <c r="AT467" s="507"/>
      <c r="AU467" s="507"/>
      <c r="AV467" s="225"/>
      <c r="AW467" s="508"/>
      <c r="AX467" s="225"/>
      <c r="AY467" s="225"/>
      <c r="AZ467" s="225"/>
      <c r="BA467" s="225"/>
      <c r="BB467" s="225"/>
      <c r="BC467" s="56"/>
      <c r="BD467" s="56"/>
      <c r="BE467" s="56"/>
      <c r="BF467" s="107" t="str">
        <f t="shared" si="333"/>
        <v>https://www.google.com/search?tbm=isch&amp;q=7%20G4</v>
      </c>
      <c r="BG467" s="107" t="str">
        <f t="shared" si="334"/>
        <v>B</v>
      </c>
      <c r="BH467" s="254"/>
      <c r="BI467" s="254"/>
    </row>
    <row r="468" spans="1:61" customFormat="1" ht="54" x14ac:dyDescent="0.25">
      <c r="A468" s="485">
        <v>10</v>
      </c>
      <c r="B468" s="486" t="s">
        <v>291</v>
      </c>
      <c r="C468" s="487" t="s">
        <v>3347</v>
      </c>
      <c r="D468" s="488" t="s">
        <v>292</v>
      </c>
      <c r="E468" s="489">
        <v>284.95</v>
      </c>
      <c r="F468" s="516" t="s">
        <v>293</v>
      </c>
      <c r="G468" s="232">
        <v>0</v>
      </c>
      <c r="H468" s="658" t="str">
        <f>IF(G468=0,"",IF(F468="Buy",IF(G468=1,"plant","plants"),IF(F468&gt;0.01,"warranty","Error")))</f>
        <v/>
      </c>
      <c r="I468" s="490">
        <f>IF(H468="free",0,IF(H468="credit",((E468*(F468))*G468*-1),IF(F468="Buy",(E468*G468),((E468*(1-F468))*G468))))</f>
        <v>0</v>
      </c>
      <c r="J468" s="490">
        <f>IF(H468="warranty",0,(I468*(_xlfn.SINGLE(SalesTaxPercentage))))</f>
        <v>0</v>
      </c>
      <c r="K468" s="695">
        <f t="shared" ref="K468" si="338">I468+J468</f>
        <v>0</v>
      </c>
      <c r="L468" s="695"/>
      <c r="M468" s="659" t="str">
        <f>IF(AND(G468&gt;0,E468=0),"WARNING - no PRICE inserted",IF(H468="free"," FREE ~ no charge this plant",IF(H468="credit",CONCATENATE(" -$",ROUND(K468*(1-T2GDiscount)*-1,2)," CREDIT after discount"),IF(T2GDiscount=0,"",IF(G468=0,"",IF(F468="Buy",CONCATENATE(" $",ROUND(K468*(1-T2GDiscount),2)," with ",(T2GDiscount*100),"% discount"),CONCATENATE(" $",ROUND(K468*(1-T2GDiscount),2)," with ",((T2GDiscount*100+F468*100)-(T2GDiscount*100*F468)),IF(F468&gt;0,"% discounts",IF(NoWarrantyDiscount&gt;0,"% discounts","% discount")))))))))</f>
        <v/>
      </c>
      <c r="N468" s="660"/>
      <c r="O468" s="233"/>
      <c r="P468" s="233"/>
      <c r="Q468" s="233"/>
      <c r="R468" s="233"/>
      <c r="S468" s="233"/>
      <c r="T468" s="508">
        <f t="shared" si="322"/>
        <v>0</v>
      </c>
      <c r="U468" s="225">
        <f>IF(NOT(ISNUMBER(G468)), "", VLOOKUP(A468,'Discount Lookup'!D:E,2,FALSE)*G468)</f>
        <v>0</v>
      </c>
      <c r="V468" s="225">
        <f>IF(NOT(ISNUMBER(G468)), "", VLOOKUP(A468,'Discount Lookup'!G:H,2,FALSE)*G468)</f>
        <v>0</v>
      </c>
      <c r="W468" s="508">
        <f t="shared" si="323"/>
        <v>0</v>
      </c>
      <c r="X468" s="508">
        <f t="shared" si="324"/>
        <v>0</v>
      </c>
      <c r="Y468" s="509" t="b">
        <f t="shared" si="325"/>
        <v>0</v>
      </c>
      <c r="Z468" s="510">
        <f t="shared" si="326"/>
        <v>0</v>
      </c>
      <c r="AA468" s="511"/>
      <c r="AB468" s="511" t="str">
        <f t="shared" si="327"/>
        <v/>
      </c>
      <c r="AC468" s="698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698"/>
      <c r="AE468" s="631" t="str">
        <f t="shared" si="328"/>
        <v/>
      </c>
      <c r="AF468" s="699" t="str">
        <f t="shared" si="329"/>
        <v/>
      </c>
      <c r="AG468" s="699"/>
      <c r="AH468" s="699"/>
      <c r="AI468" s="512">
        <f>IF(H468="credit",0,IF(AE468="free",0,IF(AE468="me",0,IF(G468&gt;0,(VLOOKUP(A468,'Discount Lookup'!J:K,2)*G468),0))))</f>
        <v>0</v>
      </c>
      <c r="AJ468" s="513" t="str">
        <f t="shared" ca="1" si="330"/>
        <v/>
      </c>
      <c r="AK468" s="700" t="str">
        <f t="shared" si="331"/>
        <v/>
      </c>
      <c r="AL468" s="700"/>
      <c r="AM468" s="505" t="str">
        <f t="shared" si="332"/>
        <v/>
      </c>
      <c r="AN468" s="506"/>
      <c r="AO468" s="507"/>
      <c r="AP468" s="507"/>
      <c r="AQ468" s="507"/>
      <c r="AR468" s="507"/>
      <c r="AS468" s="507"/>
      <c r="AT468" s="507"/>
      <c r="AU468" s="507"/>
      <c r="AV468" s="225"/>
      <c r="AW468" s="508"/>
      <c r="AX468" s="225"/>
      <c r="AY468" s="225"/>
      <c r="AZ468" s="225"/>
      <c r="BA468" s="225"/>
      <c r="BB468" s="225"/>
      <c r="BC468" s="56"/>
      <c r="BD468" s="56"/>
      <c r="BE468" s="56"/>
      <c r="BF468" s="107" t="str">
        <f t="shared" si="333"/>
        <v>https://www.google.com/search?tbm=isch&amp;q=10%20G4</v>
      </c>
      <c r="BG468" s="107" t="str">
        <f t="shared" si="334"/>
        <v>B</v>
      </c>
      <c r="BH468" s="254"/>
      <c r="BI468" s="254"/>
    </row>
    <row r="469" spans="1:61" customFormat="1" ht="17.25" thickBot="1" x14ac:dyDescent="0.3">
      <c r="A469" s="522" t="s">
        <v>2634</v>
      </c>
      <c r="B469" s="491"/>
      <c r="C469" s="675"/>
      <c r="D469" s="491"/>
      <c r="E469" s="491"/>
      <c r="F469" s="492"/>
      <c r="G469" s="493"/>
      <c r="H469" s="491"/>
      <c r="I469" s="234"/>
      <c r="J469" s="234"/>
      <c r="K469" s="494"/>
      <c r="L469" s="543"/>
      <c r="M469" s="561"/>
      <c r="N469" s="495"/>
      <c r="O469" s="496"/>
      <c r="P469" s="497"/>
      <c r="Q469" s="495"/>
      <c r="R469" s="495"/>
      <c r="S469" s="667" t="s">
        <v>4982</v>
      </c>
      <c r="T469" s="508">
        <f t="shared" si="322"/>
        <v>0</v>
      </c>
      <c r="U469" s="225" t="str">
        <f>IF(NOT(ISNUMBER(G469)), "", VLOOKUP(A469,'Discount Lookup'!D:E,2,FALSE)*G469)</f>
        <v/>
      </c>
      <c r="V469" s="225" t="str">
        <f>IF(NOT(ISNUMBER(G469)), "", VLOOKUP(A469,'Discount Lookup'!G:H,2,FALSE)*G469)</f>
        <v/>
      </c>
      <c r="W469" s="508">
        <f t="shared" si="323"/>
        <v>0</v>
      </c>
      <c r="X469" s="508">
        <f t="shared" si="324"/>
        <v>0</v>
      </c>
      <c r="Y469" s="509" t="b">
        <f t="shared" si="325"/>
        <v>0</v>
      </c>
      <c r="Z469" s="510">
        <f t="shared" si="326"/>
        <v>0</v>
      </c>
      <c r="AA469" s="511"/>
      <c r="AB469" s="511" t="str">
        <f t="shared" si="327"/>
        <v/>
      </c>
      <c r="AC469" s="698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698"/>
      <c r="AE469" s="631" t="str">
        <f t="shared" si="328"/>
        <v/>
      </c>
      <c r="AF469" s="699" t="str">
        <f t="shared" si="329"/>
        <v/>
      </c>
      <c r="AG469" s="699"/>
      <c r="AH469" s="699"/>
      <c r="AI469" s="512">
        <f>IF(H469="credit",0,IF(AE469="free",0,IF(AE469="me",0,IF(G469&gt;0,(VLOOKUP(A469,'Discount Lookup'!J:K,2)*G469),0))))</f>
        <v>0</v>
      </c>
      <c r="AJ469" s="513" t="str">
        <f t="shared" ca="1" si="330"/>
        <v/>
      </c>
      <c r="AK469" s="700" t="str">
        <f t="shared" si="331"/>
        <v/>
      </c>
      <c r="AL469" s="700"/>
      <c r="AM469" s="505" t="str">
        <f t="shared" si="332"/>
        <v/>
      </c>
      <c r="AN469" s="506"/>
      <c r="AO469" s="507"/>
      <c r="AP469" s="507"/>
      <c r="AQ469" s="507"/>
      <c r="AR469" s="507"/>
      <c r="AS469" s="507"/>
      <c r="AT469" s="507"/>
      <c r="AU469" s="507"/>
      <c r="AV469" s="225"/>
      <c r="AW469" s="508"/>
      <c r="AX469" s="225"/>
      <c r="AY469" s="225"/>
      <c r="AZ469" s="225"/>
      <c r="BA469" s="225"/>
      <c r="BB469" s="225"/>
      <c r="BC469" s="56"/>
      <c r="BD469" s="56"/>
      <c r="BE469" s="56"/>
      <c r="BF469" s="107" t="str">
        <f t="shared" si="333"/>
        <v>https://www.google.com/search?tbm=isch&amp;q=Blue%20Star%20Juniper%20features%20dense%2C%20star-shaped%20needles%20and%20striking%20foliage%20with%20scaly%20bark.%20Sun%2Fheat%2Fdrought%20tolerant%20</v>
      </c>
      <c r="BG469" s="107" t="str">
        <f t="shared" si="334"/>
        <v>B</v>
      </c>
      <c r="BH469" s="254"/>
      <c r="BI469" s="254"/>
    </row>
    <row r="470" spans="1:61" customFormat="1" ht="18" x14ac:dyDescent="0.25">
      <c r="A470" s="521" t="s">
        <v>307</v>
      </c>
      <c r="B470" s="477"/>
      <c r="C470" s="674"/>
      <c r="D470" s="478" t="s">
        <v>306</v>
      </c>
      <c r="E470" s="479"/>
      <c r="F470" s="479"/>
      <c r="G470" s="479"/>
      <c r="H470" s="582" t="s">
        <v>308</v>
      </c>
      <c r="I470" s="480" t="s">
        <v>2107</v>
      </c>
      <c r="J470" s="479"/>
      <c r="K470" s="479"/>
      <c r="L470" s="560"/>
      <c r="M470" s="666" t="s">
        <v>4963</v>
      </c>
      <c r="N470" s="680" t="str">
        <f>IF(AND(ISTEXT($A470), ISERROR($A470+0)), HYPERLINK($BF470, "Images"), "")</f>
        <v>Images</v>
      </c>
      <c r="O470" s="662" t="s">
        <v>4967</v>
      </c>
      <c r="P470" s="482"/>
      <c r="Q470" s="483"/>
      <c r="R470" s="483"/>
      <c r="S470" s="484"/>
      <c r="T470" s="508">
        <f t="shared" si="322"/>
        <v>0</v>
      </c>
      <c r="U470" s="225" t="str">
        <f>IF(NOT(ISNUMBER(G470)), "", VLOOKUP(A470,'Discount Lookup'!D:E,2,FALSE)*G470)</f>
        <v/>
      </c>
      <c r="V470" s="225" t="str">
        <f>IF(NOT(ISNUMBER(G470)), "", VLOOKUP(A470,'Discount Lookup'!G:H,2,FALSE)*G470)</f>
        <v/>
      </c>
      <c r="W470" s="508">
        <f t="shared" si="323"/>
        <v>0</v>
      </c>
      <c r="X470" s="508" t="str">
        <f t="shared" si="324"/>
        <v>Silvery Blue foliage</v>
      </c>
      <c r="Y470" s="509" t="b">
        <f t="shared" si="325"/>
        <v>0</v>
      </c>
      <c r="Z470" s="510">
        <f t="shared" si="326"/>
        <v>0</v>
      </c>
      <c r="AA470" s="511"/>
      <c r="AB470" s="511" t="str">
        <f t="shared" si="327"/>
        <v/>
      </c>
      <c r="AC470" s="698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698"/>
      <c r="AE470" s="631" t="str">
        <f t="shared" si="328"/>
        <v/>
      </c>
      <c r="AF470" s="699" t="str">
        <f t="shared" si="329"/>
        <v/>
      </c>
      <c r="AG470" s="699"/>
      <c r="AH470" s="699"/>
      <c r="AI470" s="512">
        <f>IF(H470="credit",0,IF(AE470="free",0,IF(AE470="me",0,IF(G470&gt;0,(VLOOKUP(A470,'Discount Lookup'!J:K,2)*G470),0))))</f>
        <v>0</v>
      </c>
      <c r="AJ470" s="513" t="str">
        <f t="shared" ca="1" si="330"/>
        <v/>
      </c>
      <c r="AK470" s="700" t="str">
        <f t="shared" si="331"/>
        <v/>
      </c>
      <c r="AL470" s="700"/>
      <c r="AM470" s="505" t="str">
        <f t="shared" si="332"/>
        <v/>
      </c>
      <c r="AN470" s="506"/>
      <c r="AO470" s="507"/>
      <c r="AP470" s="507"/>
      <c r="AQ470" s="507"/>
      <c r="AR470" s="507"/>
      <c r="AS470" s="507"/>
      <c r="AT470" s="507"/>
      <c r="AU470" s="507"/>
      <c r="AV470" s="225"/>
      <c r="AW470" s="508"/>
      <c r="AX470" s="225"/>
      <c r="AY470" s="225"/>
      <c r="AZ470" s="225"/>
      <c r="BA470" s="225"/>
      <c r="BB470" s="225"/>
      <c r="BC470" s="56"/>
      <c r="BD470" s="56"/>
      <c r="BE470" s="56"/>
      <c r="BF470" s="107" t="str">
        <f t="shared" si="333"/>
        <v>https://www.google.com/search?tbm=isch&amp;q=Blue%20Steel%20Arizona%20Cypress%20Hesperocyparis%20arizonica%20%27Midlothian%20BB%27</v>
      </c>
      <c r="BG470" s="107" t="str">
        <f t="shared" si="334"/>
        <v>B</v>
      </c>
      <c r="BH470" s="254"/>
      <c r="BI470" s="254"/>
    </row>
    <row r="471" spans="1:61" customFormat="1" ht="27" x14ac:dyDescent="0.25">
      <c r="A471" s="485">
        <v>15</v>
      </c>
      <c r="B471" s="486" t="s">
        <v>291</v>
      </c>
      <c r="C471" s="487" t="s">
        <v>4382</v>
      </c>
      <c r="D471" s="488" t="s">
        <v>292</v>
      </c>
      <c r="E471" s="489">
        <v>201.95</v>
      </c>
      <c r="F471" s="516" t="s">
        <v>293</v>
      </c>
      <c r="G471" s="232">
        <v>0</v>
      </c>
      <c r="H471" s="658" t="str">
        <f>IF(G471=0,"",IF(F471="Buy",IF(G471=1,"plant","plants"),IF(F471&gt;0.01,"warranty","Error")))</f>
        <v/>
      </c>
      <c r="I471" s="490">
        <f>IF(H471="free",0,IF(H471="credit",((E471*(F471))*G471*-1),IF(F471="Buy",(E471*G471),((E471*(1-F471))*G471))))</f>
        <v>0</v>
      </c>
      <c r="J471" s="490">
        <f>IF(H471="warranty",0,(I471*(_xlfn.SINGLE(SalesTaxPercentage))))</f>
        <v>0</v>
      </c>
      <c r="K471" s="695">
        <f t="shared" ref="K471" si="339">I471+J471</f>
        <v>0</v>
      </c>
      <c r="L471" s="695"/>
      <c r="M471" s="659" t="str">
        <f>IF(AND(G471&gt;0,E471=0),"WARNING - no PRICE inserted",IF(H471="free"," FREE ~ no charge this plant",IF(H471="credit",CONCATENATE(" -$",ROUND(K471*(1-T2GDiscount)*-1,2)," CREDIT after discount"),IF(T2GDiscount=0,"",IF(G471=0,"",IF(F471="Buy",CONCATENATE(" $",ROUND(K471*(1-T2GDiscount),2)," with ",(T2GDiscount*100),"% discount"),CONCATENATE(" $",ROUND(K471*(1-T2GDiscount),2)," with ",((T2GDiscount*100+F471*100)-(T2GDiscount*100*F471)),IF(F471&gt;0,"% discounts",IF(NoWarrantyDiscount&gt;0,"% discounts","% discount")))))))))</f>
        <v/>
      </c>
      <c r="N471" s="660"/>
      <c r="O471" s="233"/>
      <c r="P471" s="233"/>
      <c r="Q471" s="233"/>
      <c r="R471" s="233"/>
      <c r="S471" s="233"/>
      <c r="T471" s="508">
        <f t="shared" si="322"/>
        <v>0</v>
      </c>
      <c r="U471" s="225">
        <f>IF(NOT(ISNUMBER(G471)), "", VLOOKUP(A471,'Discount Lookup'!D:E,2,FALSE)*G471)</f>
        <v>0</v>
      </c>
      <c r="V471" s="225">
        <f>IF(NOT(ISNUMBER(G471)), "", VLOOKUP(A471,'Discount Lookup'!G:H,2,FALSE)*G471)</f>
        <v>0</v>
      </c>
      <c r="W471" s="508">
        <f t="shared" si="323"/>
        <v>0</v>
      </c>
      <c r="X471" s="508">
        <f t="shared" si="324"/>
        <v>0</v>
      </c>
      <c r="Y471" s="509" t="b">
        <f t="shared" si="325"/>
        <v>0</v>
      </c>
      <c r="Z471" s="510">
        <f t="shared" si="326"/>
        <v>0</v>
      </c>
      <c r="AA471" s="511"/>
      <c r="AB471" s="511" t="str">
        <f t="shared" si="327"/>
        <v/>
      </c>
      <c r="AC471" s="698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698"/>
      <c r="AE471" s="631" t="str">
        <f t="shared" si="328"/>
        <v/>
      </c>
      <c r="AF471" s="699" t="str">
        <f t="shared" si="329"/>
        <v/>
      </c>
      <c r="AG471" s="699"/>
      <c r="AH471" s="699"/>
      <c r="AI471" s="512">
        <f>IF(H471="credit",0,IF(AE471="free",0,IF(AE471="me",0,IF(G471&gt;0,(VLOOKUP(A471,'Discount Lookup'!J:K,2)*G471),0))))</f>
        <v>0</v>
      </c>
      <c r="AJ471" s="513" t="str">
        <f t="shared" ca="1" si="330"/>
        <v/>
      </c>
      <c r="AK471" s="700" t="str">
        <f t="shared" si="331"/>
        <v/>
      </c>
      <c r="AL471" s="700"/>
      <c r="AM471" s="505" t="str">
        <f t="shared" si="332"/>
        <v/>
      </c>
      <c r="AN471" s="506"/>
      <c r="AO471" s="507"/>
      <c r="AP471" s="507"/>
      <c r="AQ471" s="507"/>
      <c r="AR471" s="507"/>
      <c r="AS471" s="507"/>
      <c r="AT471" s="507"/>
      <c r="AU471" s="507"/>
      <c r="AV471" s="225"/>
      <c r="AW471" s="508"/>
      <c r="AX471" s="225"/>
      <c r="AY471" s="225"/>
      <c r="AZ471" s="225"/>
      <c r="BA471" s="225"/>
      <c r="BB471" s="225"/>
      <c r="BC471" s="56"/>
      <c r="BD471" s="56"/>
      <c r="BE471" s="56"/>
      <c r="BF471" s="107" t="str">
        <f t="shared" si="333"/>
        <v>https://www.google.com/search?tbm=isch&amp;q=15%20G4</v>
      </c>
      <c r="BG471" s="107" t="str">
        <f t="shared" si="334"/>
        <v>B</v>
      </c>
      <c r="BH471" s="254"/>
      <c r="BI471" s="254"/>
    </row>
    <row r="472" spans="1:61" customFormat="1" ht="17.25" thickBot="1" x14ac:dyDescent="0.3">
      <c r="A472" s="522" t="s">
        <v>2345</v>
      </c>
      <c r="B472" s="491"/>
      <c r="C472" s="675"/>
      <c r="D472" s="491"/>
      <c r="E472" s="491"/>
      <c r="F472" s="492"/>
      <c r="G472" s="493"/>
      <c r="H472" s="491"/>
      <c r="I472" s="234"/>
      <c r="J472" s="234"/>
      <c r="K472" s="494"/>
      <c r="L472" s="543"/>
      <c r="M472" s="561"/>
      <c r="N472" s="495"/>
      <c r="O472" s="496"/>
      <c r="P472" s="497"/>
      <c r="Q472" s="495"/>
      <c r="R472" s="495"/>
      <c r="S472" s="667" t="s">
        <v>4984</v>
      </c>
      <c r="T472" s="508">
        <f t="shared" si="322"/>
        <v>0</v>
      </c>
      <c r="U472" s="225" t="str">
        <f>IF(NOT(ISNUMBER(G472)), "", VLOOKUP(A472,'Discount Lookup'!D:E,2,FALSE)*G472)</f>
        <v/>
      </c>
      <c r="V472" s="225" t="str">
        <f>IF(NOT(ISNUMBER(G472)), "", VLOOKUP(A472,'Discount Lookup'!G:H,2,FALSE)*G472)</f>
        <v/>
      </c>
      <c r="W472" s="508">
        <f t="shared" si="323"/>
        <v>0</v>
      </c>
      <c r="X472" s="508">
        <f t="shared" si="324"/>
        <v>0</v>
      </c>
      <c r="Y472" s="509" t="b">
        <f t="shared" si="325"/>
        <v>0</v>
      </c>
      <c r="Z472" s="510">
        <f t="shared" si="326"/>
        <v>0</v>
      </c>
      <c r="AA472" s="511"/>
      <c r="AB472" s="511" t="str">
        <f t="shared" si="327"/>
        <v/>
      </c>
      <c r="AC472" s="698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698"/>
      <c r="AE472" s="631" t="str">
        <f t="shared" si="328"/>
        <v/>
      </c>
      <c r="AF472" s="699" t="str">
        <f t="shared" si="329"/>
        <v/>
      </c>
      <c r="AG472" s="699"/>
      <c r="AH472" s="699"/>
      <c r="AI472" s="512">
        <f>IF(H472="credit",0,IF(AE472="free",0,IF(AE472="me",0,IF(G472&gt;0,(VLOOKUP(A472,'Discount Lookup'!J:K,2)*G472),0))))</f>
        <v>0</v>
      </c>
      <c r="AJ472" s="513" t="str">
        <f t="shared" ca="1" si="330"/>
        <v/>
      </c>
      <c r="AK472" s="700" t="str">
        <f t="shared" si="331"/>
        <v/>
      </c>
      <c r="AL472" s="700"/>
      <c r="AM472" s="505" t="str">
        <f t="shared" si="332"/>
        <v/>
      </c>
      <c r="AN472" s="506"/>
      <c r="AO472" s="507"/>
      <c r="AP472" s="507"/>
      <c r="AQ472" s="507"/>
      <c r="AR472" s="507"/>
      <c r="AS472" s="507"/>
      <c r="AT472" s="507"/>
      <c r="AU472" s="507"/>
      <c r="AV472" s="225"/>
      <c r="AW472" s="508"/>
      <c r="AX472" s="225"/>
      <c r="AY472" s="225"/>
      <c r="AZ472" s="225"/>
      <c r="BA472" s="225"/>
      <c r="BB472" s="225"/>
      <c r="BC472" s="56"/>
      <c r="BD472" s="56"/>
      <c r="BE472" s="56"/>
      <c r="BF472" s="107" t="str">
        <f t="shared" si="333"/>
        <v>https://www.google.com/search?tbm=isch&amp;q=Blue%20Steel%20is%20a%20striking%2C%20upright%20evergreen%20conifer%20admired%20for%20its%20intense%20Steel-Blue%20foliage%20and%20exceptional%20drought%20tolerance%20</v>
      </c>
      <c r="BG472" s="107" t="str">
        <f t="shared" si="334"/>
        <v>B</v>
      </c>
      <c r="BH472" s="254"/>
      <c r="BI472" s="254"/>
    </row>
    <row r="473" spans="1:61" customFormat="1" ht="18" x14ac:dyDescent="0.25">
      <c r="A473" s="521" t="s">
        <v>4599</v>
      </c>
      <c r="B473" s="477"/>
      <c r="C473" s="674"/>
      <c r="D473" s="478" t="s">
        <v>4600</v>
      </c>
      <c r="E473" s="479"/>
      <c r="F473" s="479"/>
      <c r="G473" s="479"/>
      <c r="H473" s="582" t="s">
        <v>857</v>
      </c>
      <c r="I473" s="480" t="s">
        <v>4601</v>
      </c>
      <c r="J473" s="479"/>
      <c r="K473" s="479"/>
      <c r="L473" s="560"/>
      <c r="M473" s="666" t="s">
        <v>4966</v>
      </c>
      <c r="N473" s="680" t="str">
        <f>IF(AND(ISTEXT($A473), ISERROR($A473+0)), HYPERLINK($BF473, "Images"), "")</f>
        <v>Images</v>
      </c>
      <c r="O473" s="662" t="s">
        <v>4969</v>
      </c>
      <c r="P473" s="482"/>
      <c r="Q473" s="483"/>
      <c r="R473" s="483"/>
      <c r="S473" s="484"/>
      <c r="T473" s="508">
        <f t="shared" si="322"/>
        <v>0</v>
      </c>
      <c r="U473" s="225" t="str">
        <f>IF(NOT(ISNUMBER(G473)), "", VLOOKUP(A473,'Discount Lookup'!D:E,2,FALSE)*G473)</f>
        <v/>
      </c>
      <c r="V473" s="225" t="str">
        <f>IF(NOT(ISNUMBER(G473)), "", VLOOKUP(A473,'Discount Lookup'!G:H,2,FALSE)*G473)</f>
        <v/>
      </c>
      <c r="W473" s="508">
        <f t="shared" si="323"/>
        <v>0</v>
      </c>
      <c r="X473" s="508" t="str">
        <f t="shared" si="324"/>
        <v>Greenish-White bloom</v>
      </c>
      <c r="Y473" s="509" t="b">
        <f t="shared" si="325"/>
        <v>0</v>
      </c>
      <c r="Z473" s="510">
        <f t="shared" si="326"/>
        <v>0</v>
      </c>
      <c r="AA473" s="511"/>
      <c r="AB473" s="511" t="str">
        <f t="shared" si="327"/>
        <v/>
      </c>
      <c r="AC473" s="698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698"/>
      <c r="AE473" s="631" t="str">
        <f t="shared" si="328"/>
        <v/>
      </c>
      <c r="AF473" s="699" t="str">
        <f t="shared" si="329"/>
        <v/>
      </c>
      <c r="AG473" s="699"/>
      <c r="AH473" s="699"/>
      <c r="AI473" s="512">
        <f>IF(H473="credit",0,IF(AE473="free",0,IF(AE473="me",0,IF(G473&gt;0,(VLOOKUP(A473,'Discount Lookup'!J:K,2)*G473),0))))</f>
        <v>0</v>
      </c>
      <c r="AJ473" s="513" t="str">
        <f t="shared" ca="1" si="330"/>
        <v/>
      </c>
      <c r="AK473" s="700" t="str">
        <f t="shared" si="331"/>
        <v/>
      </c>
      <c r="AL473" s="700"/>
      <c r="AM473" s="505" t="str">
        <f t="shared" si="332"/>
        <v/>
      </c>
      <c r="AN473" s="506"/>
      <c r="AO473" s="507"/>
      <c r="AP473" s="507"/>
      <c r="AQ473" s="507"/>
      <c r="AR473" s="507"/>
      <c r="AS473" s="507"/>
      <c r="AT473" s="507"/>
      <c r="AU473" s="507"/>
      <c r="AV473" s="225"/>
      <c r="AW473" s="508"/>
      <c r="AX473" s="225"/>
      <c r="AY473" s="225"/>
      <c r="AZ473" s="225"/>
      <c r="BA473" s="225"/>
      <c r="BB473" s="225"/>
      <c r="BC473" s="56"/>
      <c r="BD473" s="56"/>
      <c r="BE473" s="56"/>
      <c r="BF473" s="107" t="str">
        <f t="shared" si="333"/>
        <v>https://www.google.com/search?tbm=isch&amp;q=Blue%20Zinger%20Sedge%20Carex%20flacca%20%27Blue%20ZInger%27</v>
      </c>
      <c r="BG473" s="107" t="str">
        <f t="shared" si="334"/>
        <v>B</v>
      </c>
      <c r="BH473" s="254"/>
      <c r="BI473" s="254"/>
    </row>
    <row r="474" spans="1:61" customFormat="1" ht="15.75" x14ac:dyDescent="0.25">
      <c r="A474" s="485">
        <v>1</v>
      </c>
      <c r="B474" s="486" t="s">
        <v>291</v>
      </c>
      <c r="C474" s="487"/>
      <c r="D474" s="488" t="s">
        <v>312</v>
      </c>
      <c r="E474" s="489">
        <v>14.95</v>
      </c>
      <c r="F474" s="516" t="s">
        <v>293</v>
      </c>
      <c r="G474" s="232">
        <v>0</v>
      </c>
      <c r="H474" s="658" t="str">
        <f>IF(G474=0,"",IF(F474="Buy",IF(G474=1,"plant","plants"),IF(F474&gt;0.01,"warranty","Error")))</f>
        <v/>
      </c>
      <c r="I474" s="490">
        <f>IF(H474="free",0,IF(H474="credit",((E474*(F474))*G474*-1),IF(F474="Buy",(E474*G474),((E474*(1-F474))*G474))))</f>
        <v>0</v>
      </c>
      <c r="J474" s="490">
        <f>IF(H474="warranty",0,(I474*(_xlfn.SINGLE(SalesTaxPercentage))))</f>
        <v>0</v>
      </c>
      <c r="K474" s="695">
        <f t="shared" ref="K474" si="340">I474+J474</f>
        <v>0</v>
      </c>
      <c r="L474" s="695"/>
      <c r="M474" s="659" t="str">
        <f>IF(AND(G474&gt;0,E474=0),"WARNING - no PRICE inserted",IF(H474="free"," FREE ~ no charge this plant",IF(H474="credit",CONCATENATE(" -$",ROUND(K474*(1-T2GDiscount)*-1,2)," CREDIT after discount"),IF(T2GDiscount=0,"",IF(G474=0,"",IF(F474="Buy",CONCATENATE(" $",ROUND(K474*(1-T2GDiscount),2)," with ",(T2GDiscount*100),"% discount"),CONCATENATE(" $",ROUND(K474*(1-T2GDiscount),2)," with ",((T2GDiscount*100+F474*100)-(T2GDiscount*100*F474)),IF(F474&gt;0,"% discounts",IF(NoWarrantyDiscount&gt;0,"% discounts","% discount")))))))))</f>
        <v/>
      </c>
      <c r="N474" s="660"/>
      <c r="O474" s="233"/>
      <c r="P474" s="233"/>
      <c r="Q474" s="233"/>
      <c r="R474" s="233"/>
      <c r="S474" s="233"/>
      <c r="T474" s="508">
        <f t="shared" si="322"/>
        <v>0</v>
      </c>
      <c r="U474" s="225">
        <f>IF(NOT(ISNUMBER(G474)), "", VLOOKUP(A474,'Discount Lookup'!D:E,2,FALSE)*G474)</f>
        <v>0</v>
      </c>
      <c r="V474" s="225">
        <f>IF(NOT(ISNUMBER(G474)), "", VLOOKUP(A474,'Discount Lookup'!G:H,2,FALSE)*G474)</f>
        <v>0</v>
      </c>
      <c r="W474" s="508">
        <f t="shared" si="323"/>
        <v>0</v>
      </c>
      <c r="X474" s="508">
        <f t="shared" si="324"/>
        <v>0</v>
      </c>
      <c r="Y474" s="509" t="b">
        <f t="shared" si="325"/>
        <v>0</v>
      </c>
      <c r="Z474" s="510">
        <f t="shared" si="326"/>
        <v>0</v>
      </c>
      <c r="AA474" s="511"/>
      <c r="AB474" s="511" t="str">
        <f t="shared" si="327"/>
        <v/>
      </c>
      <c r="AC474" s="698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698"/>
      <c r="AE474" s="631" t="str">
        <f t="shared" si="328"/>
        <v/>
      </c>
      <c r="AF474" s="699" t="str">
        <f t="shared" si="329"/>
        <v/>
      </c>
      <c r="AG474" s="699"/>
      <c r="AH474" s="699"/>
      <c r="AI474" s="512">
        <f>IF(H474="credit",0,IF(AE474="free",0,IF(AE474="me",0,IF(G474&gt;0,(VLOOKUP(A474,'Discount Lookup'!J:K,2)*G474),0))))</f>
        <v>0</v>
      </c>
      <c r="AJ474" s="513" t="str">
        <f t="shared" ca="1" si="330"/>
        <v/>
      </c>
      <c r="AK474" s="700" t="str">
        <f t="shared" si="331"/>
        <v/>
      </c>
      <c r="AL474" s="700"/>
      <c r="AM474" s="505" t="str">
        <f t="shared" si="332"/>
        <v/>
      </c>
      <c r="AN474" s="506"/>
      <c r="AO474" s="507"/>
      <c r="AP474" s="507"/>
      <c r="AQ474" s="507"/>
      <c r="AR474" s="507"/>
      <c r="AS474" s="507"/>
      <c r="AT474" s="507"/>
      <c r="AU474" s="507"/>
      <c r="AV474" s="225"/>
      <c r="AW474" s="508"/>
      <c r="AX474" s="225"/>
      <c r="AY474" s="225"/>
      <c r="AZ474" s="225"/>
      <c r="BA474" s="225"/>
      <c r="BB474" s="225"/>
      <c r="BC474" s="56"/>
      <c r="BD474" s="56"/>
      <c r="BE474" s="56"/>
      <c r="BF474" s="107" t="str">
        <f t="shared" si="333"/>
        <v>https://www.google.com/search?tbm=isch&amp;q=1%20G2</v>
      </c>
      <c r="BG474" s="107" t="str">
        <f t="shared" si="334"/>
        <v>B</v>
      </c>
      <c r="BH474" s="254"/>
      <c r="BI474" s="254"/>
    </row>
    <row r="475" spans="1:61" customFormat="1" ht="16.5" thickBot="1" x14ac:dyDescent="0.3">
      <c r="A475" s="672" t="s">
        <v>5066</v>
      </c>
      <c r="B475" s="491"/>
      <c r="C475" s="675"/>
      <c r="D475" s="491"/>
      <c r="E475" s="491"/>
      <c r="F475" s="492"/>
      <c r="G475" s="493"/>
      <c r="H475" s="491"/>
      <c r="I475" s="234"/>
      <c r="J475" s="234"/>
      <c r="K475" s="494"/>
      <c r="L475" s="543"/>
      <c r="M475" s="561"/>
      <c r="N475" s="495"/>
      <c r="O475" s="496"/>
      <c r="P475" s="497"/>
      <c r="Q475" s="495"/>
      <c r="R475" s="495"/>
      <c r="S475" s="667" t="s">
        <v>4968</v>
      </c>
      <c r="T475" s="508">
        <f t="shared" si="322"/>
        <v>0</v>
      </c>
      <c r="U475" s="225" t="str">
        <f>IF(NOT(ISNUMBER(G475)), "", VLOOKUP(A475,'Discount Lookup'!D:E,2,FALSE)*G475)</f>
        <v/>
      </c>
      <c r="V475" s="225" t="str">
        <f>IF(NOT(ISNUMBER(G475)), "", VLOOKUP(A475,'Discount Lookup'!G:H,2,FALSE)*G475)</f>
        <v/>
      </c>
      <c r="W475" s="508">
        <f t="shared" si="323"/>
        <v>0</v>
      </c>
      <c r="X475" s="508">
        <f t="shared" si="324"/>
        <v>0</v>
      </c>
      <c r="Y475" s="509" t="b">
        <f t="shared" si="325"/>
        <v>0</v>
      </c>
      <c r="Z475" s="510">
        <f t="shared" si="326"/>
        <v>0</v>
      </c>
      <c r="AA475" s="511"/>
      <c r="AB475" s="511" t="str">
        <f t="shared" si="327"/>
        <v/>
      </c>
      <c r="AC475" s="698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698"/>
      <c r="AE475" s="631" t="str">
        <f t="shared" si="328"/>
        <v/>
      </c>
      <c r="AF475" s="699" t="str">
        <f t="shared" si="329"/>
        <v/>
      </c>
      <c r="AG475" s="699"/>
      <c r="AH475" s="699"/>
      <c r="AI475" s="512">
        <f>IF(H475="credit",0,IF(AE475="free",0,IF(AE475="me",0,IF(G475&gt;0,(VLOOKUP(A475,'Discount Lookup'!J:K,2)*G475),0))))</f>
        <v>0</v>
      </c>
      <c r="AJ475" s="513" t="str">
        <f t="shared" ca="1" si="330"/>
        <v/>
      </c>
      <c r="AK475" s="700" t="str">
        <f t="shared" si="331"/>
        <v/>
      </c>
      <c r="AL475" s="700"/>
      <c r="AM475" s="505" t="str">
        <f t="shared" si="332"/>
        <v/>
      </c>
      <c r="AN475" s="506"/>
      <c r="AO475" s="507"/>
      <c r="AP475" s="507"/>
      <c r="AQ475" s="507"/>
      <c r="AR475" s="507"/>
      <c r="AS475" s="507"/>
      <c r="AT475" s="507"/>
      <c r="AU475" s="507"/>
      <c r="AV475" s="225"/>
      <c r="AW475" s="508"/>
      <c r="AX475" s="225"/>
      <c r="AY475" s="225"/>
      <c r="AZ475" s="225"/>
      <c r="BA475" s="225"/>
      <c r="BB475" s="225"/>
      <c r="BC475" s="56"/>
      <c r="BD475" s="56"/>
      <c r="BE475" s="56"/>
      <c r="BF475" s="107" t="str">
        <f t="shared" si="333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475" s="107" t="str">
        <f t="shared" si="334"/>
        <v>m</v>
      </c>
      <c r="BH475" s="254"/>
      <c r="BI475" s="254"/>
    </row>
    <row r="476" spans="1:61" customFormat="1" ht="18" x14ac:dyDescent="0.25">
      <c r="A476" s="523" t="s">
        <v>5355</v>
      </c>
      <c r="B476" s="235"/>
      <c r="C476" s="676"/>
      <c r="D476" s="255" t="s">
        <v>536</v>
      </c>
      <c r="E476" s="236"/>
      <c r="F476" s="236"/>
      <c r="G476" s="236"/>
      <c r="H476" s="582" t="s">
        <v>443</v>
      </c>
      <c r="I476" s="498" t="s">
        <v>3136</v>
      </c>
      <c r="J476" s="237"/>
      <c r="K476" s="237"/>
      <c r="L476" s="274"/>
      <c r="M476" s="668" t="s">
        <v>4962</v>
      </c>
      <c r="N476" s="681" t="str">
        <f>IF(AND(ISTEXT($A476), ISERROR($A476+0)), HYPERLINK($BF476, "Images"), "")</f>
        <v>Images</v>
      </c>
      <c r="O476" s="663" t="s">
        <v>4969</v>
      </c>
      <c r="P476" s="253"/>
      <c r="Q476" s="238"/>
      <c r="R476" s="239"/>
      <c r="S476" s="275"/>
      <c r="T476" s="508">
        <f t="shared" si="322"/>
        <v>0</v>
      </c>
      <c r="U476" s="225" t="str">
        <f>IF(NOT(ISNUMBER(G476)), "", VLOOKUP(A476,'Discount Lookup'!D:E,2,FALSE)*G476)</f>
        <v/>
      </c>
      <c r="V476" s="225" t="str">
        <f>IF(NOT(ISNUMBER(G476)), "", VLOOKUP(A476,'Discount Lookup'!G:H,2,FALSE)*G476)</f>
        <v/>
      </c>
      <c r="W476" s="508">
        <f t="shared" si="323"/>
        <v>0</v>
      </c>
      <c r="X476" s="508" t="str">
        <f t="shared" si="324"/>
        <v>Purple bloom, White &amp; Yellw eyes</v>
      </c>
      <c r="Y476" s="509" t="b">
        <f t="shared" si="325"/>
        <v>0</v>
      </c>
      <c r="Z476" s="510">
        <f t="shared" si="326"/>
        <v>0</v>
      </c>
      <c r="AA476" s="511"/>
      <c r="AB476" s="511" t="str">
        <f t="shared" si="327"/>
        <v/>
      </c>
      <c r="AC476" s="698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698"/>
      <c r="AE476" s="631" t="str">
        <f t="shared" si="328"/>
        <v/>
      </c>
      <c r="AF476" s="699" t="str">
        <f t="shared" si="329"/>
        <v/>
      </c>
      <c r="AG476" s="699"/>
      <c r="AH476" s="699"/>
      <c r="AI476" s="512">
        <f>IF(H476="credit",0,IF(AE476="free",0,IF(AE476="me",0,IF(G476&gt;0,(VLOOKUP(A476,'Discount Lookup'!J:K,2)*G476),0))))</f>
        <v>0</v>
      </c>
      <c r="AJ476" s="513" t="str">
        <f t="shared" ca="1" si="330"/>
        <v/>
      </c>
      <c r="AK476" s="700" t="str">
        <f t="shared" si="331"/>
        <v/>
      </c>
      <c r="AL476" s="700"/>
      <c r="AM476" s="505" t="str">
        <f t="shared" si="332"/>
        <v/>
      </c>
      <c r="AN476" s="506"/>
      <c r="AO476" s="507"/>
      <c r="AP476" s="507"/>
      <c r="AQ476" s="507"/>
      <c r="AR476" s="507"/>
      <c r="AS476" s="507"/>
      <c r="AT476" s="507"/>
      <c r="AU476" s="507"/>
      <c r="AV476" s="225"/>
      <c r="AW476" s="508"/>
      <c r="AX476" s="225"/>
      <c r="AY476" s="225"/>
      <c r="AZ476" s="225"/>
      <c r="BA476" s="225"/>
      <c r="BB476" s="225"/>
      <c r="BC476" s="56"/>
      <c r="BD476" s="56"/>
      <c r="BE476" s="56"/>
      <c r="BF476" s="107" t="str">
        <f t="shared" si="333"/>
        <v>https://www.google.com/search?tbm=isch&amp;q=Blueberry%20Pie%E2%84%A2%20Butterfly%20Bush%20Buddleia%20%27PODARASNGA%209-15%27%20PPAF</v>
      </c>
      <c r="BG476" s="107" t="str">
        <f t="shared" si="334"/>
        <v>B</v>
      </c>
      <c r="BH476" s="254"/>
      <c r="BI476" s="254"/>
    </row>
    <row r="477" spans="1:61" customFormat="1" ht="15.75" x14ac:dyDescent="0.25">
      <c r="A477" s="276">
        <v>1</v>
      </c>
      <c r="B477" s="240" t="s">
        <v>291</v>
      </c>
      <c r="C477" s="241" t="s">
        <v>4737</v>
      </c>
      <c r="D477" s="242" t="s">
        <v>312</v>
      </c>
      <c r="E477" s="243">
        <v>30.95</v>
      </c>
      <c r="F477" s="517" t="s">
        <v>293</v>
      </c>
      <c r="G477" s="232">
        <v>0</v>
      </c>
      <c r="H477" s="661" t="str">
        <f>IF(G477=0,"",IF(F477="Buy",IF(G477=1,"plant","plants"),IF(F477&gt;0.01,"warranty","Error")))</f>
        <v/>
      </c>
      <c r="I477" s="244">
        <f>IF(H477="free",0,IF(H477="credit",((E477*(F477))*G477*-1),IF(F477="Buy",(E477*G477),((E477*(1-F477))*G477))))</f>
        <v>0</v>
      </c>
      <c r="J477" s="244">
        <f>IF(H477="warranty",0,(I477*(_xlfn.SINGLE(SalesTaxPercentage))))</f>
        <v>0</v>
      </c>
      <c r="K477" s="696">
        <f t="shared" ref="K477" si="341">I477+J477</f>
        <v>0</v>
      </c>
      <c r="L477" s="696"/>
      <c r="M477" s="659" t="str">
        <f>IF(AND(G477&gt;0,E477=0),"WARNING - no PRICE inserted",IF(H477="free"," FREE ~ no charge this plant",IF(H477="credit",CONCATENATE(" -$",ROUND(K477*(1-T2GDiscount)*-1,2)," CREDIT after discount"),IF(T2GDiscount=0,"",IF(G477=0,"",IF(F477="Buy",CONCATENATE(" $",ROUND(K477*(1-T2GDiscount),2)," with ",(T2GDiscount*100),"% discount"),CONCATENATE(" $",ROUND(K477*(1-T2GDiscount),2)," with ",((T2GDiscount*100+F477*100)-(T2GDiscount*100*F477)),IF(F477&gt;0,"% discounts",IF(NoWarrantyDiscount&gt;0,"% discounts","% discount")))))))))</f>
        <v/>
      </c>
      <c r="N477" s="660"/>
      <c r="O477" s="233"/>
      <c r="P477" s="233"/>
      <c r="Q477" s="233"/>
      <c r="R477" s="233"/>
      <c r="S477" s="233"/>
      <c r="T477" s="508">
        <f t="shared" si="322"/>
        <v>0</v>
      </c>
      <c r="U477" s="225">
        <f>IF(NOT(ISNUMBER(G477)), "", VLOOKUP(A477,'Discount Lookup'!D:E,2,FALSE)*G477)</f>
        <v>0</v>
      </c>
      <c r="V477" s="225">
        <f>IF(NOT(ISNUMBER(G477)), "", VLOOKUP(A477,'Discount Lookup'!G:H,2,FALSE)*G477)</f>
        <v>0</v>
      </c>
      <c r="W477" s="508">
        <f t="shared" si="323"/>
        <v>0</v>
      </c>
      <c r="X477" s="508">
        <f t="shared" si="324"/>
        <v>0</v>
      </c>
      <c r="Y477" s="509" t="b">
        <f t="shared" si="325"/>
        <v>0</v>
      </c>
      <c r="Z477" s="510">
        <f t="shared" si="326"/>
        <v>0</v>
      </c>
      <c r="AA477" s="511"/>
      <c r="AB477" s="511" t="str">
        <f t="shared" si="327"/>
        <v/>
      </c>
      <c r="AC477" s="698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698"/>
      <c r="AE477" s="631" t="str">
        <f t="shared" si="328"/>
        <v/>
      </c>
      <c r="AF477" s="699" t="str">
        <f t="shared" si="329"/>
        <v/>
      </c>
      <c r="AG477" s="699"/>
      <c r="AH477" s="699"/>
      <c r="AI477" s="512">
        <f>IF(H477="credit",0,IF(AE477="free",0,IF(AE477="me",0,IF(G477&gt;0,(VLOOKUP(A477,'Discount Lookup'!J:K,2)*G477),0))))</f>
        <v>0</v>
      </c>
      <c r="AJ477" s="513" t="str">
        <f t="shared" ca="1" si="330"/>
        <v/>
      </c>
      <c r="AK477" s="700" t="str">
        <f t="shared" si="331"/>
        <v/>
      </c>
      <c r="AL477" s="700"/>
      <c r="AM477" s="505" t="str">
        <f t="shared" si="332"/>
        <v/>
      </c>
      <c r="AN477" s="506"/>
      <c r="AO477" s="507"/>
      <c r="AP477" s="507"/>
      <c r="AQ477" s="507"/>
      <c r="AR477" s="507"/>
      <c r="AS477" s="507"/>
      <c r="AT477" s="507"/>
      <c r="AU477" s="507"/>
      <c r="AV477" s="225"/>
      <c r="AW477" s="508"/>
      <c r="AX477" s="225"/>
      <c r="AY477" s="225"/>
      <c r="AZ477" s="225"/>
      <c r="BA477" s="225"/>
      <c r="BB477" s="225"/>
      <c r="BC477" s="56"/>
      <c r="BD477" s="56"/>
      <c r="BE477" s="56"/>
      <c r="BF477" s="107" t="str">
        <f t="shared" si="333"/>
        <v>https://www.google.com/search?tbm=isch&amp;q=1%20G2</v>
      </c>
      <c r="BG477" s="107" t="str">
        <f t="shared" si="334"/>
        <v>B</v>
      </c>
      <c r="BH477" s="254"/>
      <c r="BI477" s="254"/>
    </row>
    <row r="478" spans="1:61" customFormat="1" ht="15.75" x14ac:dyDescent="0.25">
      <c r="A478" s="276">
        <v>3</v>
      </c>
      <c r="B478" s="240" t="s">
        <v>291</v>
      </c>
      <c r="C478" s="241" t="s">
        <v>2718</v>
      </c>
      <c r="D478" s="242" t="s">
        <v>312</v>
      </c>
      <c r="E478" s="243">
        <v>32.950000000000003</v>
      </c>
      <c r="F478" s="517" t="s">
        <v>293</v>
      </c>
      <c r="G478" s="232">
        <v>0</v>
      </c>
      <c r="H478" s="661" t="str">
        <f>IF(G478=0,"",IF(F478="Buy",IF(G478=1,"plant","plants"),IF(F478&gt;0.01,"warranty","Error")))</f>
        <v/>
      </c>
      <c r="I478" s="244">
        <f>IF(H478="free",0,IF(H478="credit",((E478*(F478))*G478*-1),IF(F478="Buy",(E478*G478),((E478*(1-F478))*G478))))</f>
        <v>0</v>
      </c>
      <c r="J478" s="244">
        <f>IF(H478="warranty",0,(I478*(_xlfn.SINGLE(SalesTaxPercentage))))</f>
        <v>0</v>
      </c>
      <c r="K478" s="696">
        <f t="shared" ref="K478" si="342">I478+J478</f>
        <v>0</v>
      </c>
      <c r="L478" s="696"/>
      <c r="M478" s="659" t="str">
        <f>IF(AND(G478&gt;0,E478=0),"WARNING - no PRICE inserted",IF(H478="free"," FREE ~ no charge this plant",IF(H478="credit",CONCATENATE(" -$",ROUND(K478*(1-T2GDiscount)*-1,2)," CREDIT after discount"),IF(T2GDiscount=0,"",IF(G478=0,"",IF(F478="Buy",CONCATENATE(" $",ROUND(K478*(1-T2GDiscount),2)," with ",(T2GDiscount*100),"% discount"),CONCATENATE(" $",ROUND(K478*(1-T2GDiscount),2)," with ",((T2GDiscount*100+F478*100)-(T2GDiscount*100*F478)),IF(F478&gt;0,"% discounts",IF(NoWarrantyDiscount&gt;0,"% discounts","% discount")))))))))</f>
        <v/>
      </c>
      <c r="N478" s="660"/>
      <c r="O478" s="233"/>
      <c r="P478" s="233"/>
      <c r="Q478" s="233"/>
      <c r="R478" s="233"/>
      <c r="S478" s="233"/>
      <c r="T478" s="508">
        <f t="shared" si="322"/>
        <v>0</v>
      </c>
      <c r="U478" s="225">
        <f>IF(NOT(ISNUMBER(G478)), "", VLOOKUP(A478,'Discount Lookup'!D:E,2,FALSE)*G478)</f>
        <v>0</v>
      </c>
      <c r="V478" s="225">
        <f>IF(NOT(ISNUMBER(G478)), "", VLOOKUP(A478,'Discount Lookup'!G:H,2,FALSE)*G478)</f>
        <v>0</v>
      </c>
      <c r="W478" s="508">
        <f t="shared" si="323"/>
        <v>0</v>
      </c>
      <c r="X478" s="508">
        <f t="shared" si="324"/>
        <v>0</v>
      </c>
      <c r="Y478" s="509" t="b">
        <f t="shared" si="325"/>
        <v>0</v>
      </c>
      <c r="Z478" s="510">
        <f t="shared" si="326"/>
        <v>0</v>
      </c>
      <c r="AA478" s="511"/>
      <c r="AB478" s="511" t="str">
        <f t="shared" si="327"/>
        <v/>
      </c>
      <c r="AC478" s="698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698"/>
      <c r="AE478" s="631" t="str">
        <f t="shared" si="328"/>
        <v/>
      </c>
      <c r="AF478" s="699" t="str">
        <f t="shared" si="329"/>
        <v/>
      </c>
      <c r="AG478" s="699"/>
      <c r="AH478" s="699"/>
      <c r="AI478" s="512">
        <f>IF(H478="credit",0,IF(AE478="free",0,IF(AE478="me",0,IF(G478&gt;0,(VLOOKUP(A478,'Discount Lookup'!J:K,2)*G478),0))))</f>
        <v>0</v>
      </c>
      <c r="AJ478" s="513" t="str">
        <f t="shared" ca="1" si="330"/>
        <v/>
      </c>
      <c r="AK478" s="700" t="str">
        <f t="shared" si="331"/>
        <v/>
      </c>
      <c r="AL478" s="700"/>
      <c r="AM478" s="505" t="str">
        <f t="shared" si="332"/>
        <v/>
      </c>
      <c r="AN478" s="506"/>
      <c r="AO478" s="507"/>
      <c r="AP478" s="507"/>
      <c r="AQ478" s="507"/>
      <c r="AR478" s="507"/>
      <c r="AS478" s="507"/>
      <c r="AT478" s="507"/>
      <c r="AU478" s="507"/>
      <c r="AV478" s="225"/>
      <c r="AW478" s="508"/>
      <c r="AX478" s="225"/>
      <c r="AY478" s="225"/>
      <c r="AZ478" s="225"/>
      <c r="BA478" s="225"/>
      <c r="BB478" s="225"/>
      <c r="BC478" s="56"/>
      <c r="BD478" s="56"/>
      <c r="BE478" s="56"/>
      <c r="BF478" s="107" t="str">
        <f t="shared" si="333"/>
        <v>https://www.google.com/search?tbm=isch&amp;q=3%20G2</v>
      </c>
      <c r="BG478" s="107" t="str">
        <f t="shared" si="334"/>
        <v>B</v>
      </c>
      <c r="BH478" s="254"/>
      <c r="BI478" s="254"/>
    </row>
    <row r="479" spans="1:61" customFormat="1" ht="17.25" thickBot="1" x14ac:dyDescent="0.3">
      <c r="A479" s="524" t="s">
        <v>4051</v>
      </c>
      <c r="B479" s="245"/>
      <c r="C479" s="677"/>
      <c r="D479" s="499"/>
      <c r="E479" s="499"/>
      <c r="F479" s="500"/>
      <c r="G479" s="501"/>
      <c r="H479" s="502"/>
      <c r="I479" s="246"/>
      <c r="J479" s="247"/>
      <c r="K479" s="503"/>
      <c r="L479" s="544"/>
      <c r="M479" s="544"/>
      <c r="N479" s="500"/>
      <c r="O479" s="500"/>
      <c r="P479" s="500"/>
      <c r="Q479" s="500"/>
      <c r="R479" s="500"/>
      <c r="S479" s="669" t="s">
        <v>4980</v>
      </c>
      <c r="T479" s="508">
        <f t="shared" si="322"/>
        <v>0</v>
      </c>
      <c r="U479" s="225" t="str">
        <f>IF(NOT(ISNUMBER(G479)), "", VLOOKUP(A479,'Discount Lookup'!D:E,2,FALSE)*G479)</f>
        <v/>
      </c>
      <c r="V479" s="225" t="str">
        <f>IF(NOT(ISNUMBER(G479)), "", VLOOKUP(A479,'Discount Lookup'!G:H,2,FALSE)*G479)</f>
        <v/>
      </c>
      <c r="W479" s="508">
        <f t="shared" si="323"/>
        <v>0</v>
      </c>
      <c r="X479" s="508">
        <f t="shared" si="324"/>
        <v>0</v>
      </c>
      <c r="Y479" s="509" t="b">
        <f t="shared" si="325"/>
        <v>0</v>
      </c>
      <c r="Z479" s="510">
        <f t="shared" si="326"/>
        <v>0</v>
      </c>
      <c r="AA479" s="511"/>
      <c r="AB479" s="511" t="str">
        <f t="shared" si="327"/>
        <v/>
      </c>
      <c r="AC479" s="698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698"/>
      <c r="AE479" s="631" t="str">
        <f t="shared" si="328"/>
        <v/>
      </c>
      <c r="AF479" s="699" t="str">
        <f t="shared" si="329"/>
        <v/>
      </c>
      <c r="AG479" s="699"/>
      <c r="AH479" s="699"/>
      <c r="AI479" s="512">
        <f>IF(H479="credit",0,IF(AE479="free",0,IF(AE479="me",0,IF(G479&gt;0,(VLOOKUP(A479,'Discount Lookup'!J:K,2)*G479),0))))</f>
        <v>0</v>
      </c>
      <c r="AJ479" s="513" t="str">
        <f t="shared" ca="1" si="330"/>
        <v/>
      </c>
      <c r="AK479" s="700" t="str">
        <f t="shared" si="331"/>
        <v/>
      </c>
      <c r="AL479" s="700"/>
      <c r="AM479" s="505" t="str">
        <f t="shared" si="332"/>
        <v/>
      </c>
      <c r="AN479" s="506"/>
      <c r="AO479" s="507"/>
      <c r="AP479" s="507"/>
      <c r="AQ479" s="507"/>
      <c r="AR479" s="507"/>
      <c r="AS479" s="507"/>
      <c r="AT479" s="507"/>
      <c r="AU479" s="507"/>
      <c r="AV479" s="225"/>
      <c r="AW479" s="508"/>
      <c r="AX479" s="225"/>
      <c r="AY479" s="225"/>
      <c r="AZ479" s="225"/>
      <c r="BA479" s="225"/>
      <c r="BB479" s="225"/>
      <c r="BC479" s="56"/>
      <c r="BD479" s="56"/>
      <c r="BE479" s="56"/>
      <c r="BF479" s="107" t="str">
        <f t="shared" si="333"/>
        <v>https://www.google.com/search?tbm=isch&amp;q=Blueberry%20Pie%20has%20Green%20foliage%20and%20a%20fragrance.%20All%20BB%20bloom%20summer%20to%20frost%2C%20on%20new%20wood%2C%20so%20cut%20back%20hard%20late%20winter%20</v>
      </c>
      <c r="BG479" s="107" t="str">
        <f t="shared" si="334"/>
        <v>B</v>
      </c>
      <c r="BH479" s="254"/>
      <c r="BI479" s="254"/>
    </row>
    <row r="480" spans="1:61" customFormat="1" ht="18" x14ac:dyDescent="0.25">
      <c r="A480" s="521" t="s">
        <v>5356</v>
      </c>
      <c r="B480" s="477"/>
      <c r="C480" s="674"/>
      <c r="D480" s="478" t="s">
        <v>505</v>
      </c>
      <c r="E480" s="479"/>
      <c r="F480" s="479"/>
      <c r="G480" s="479"/>
      <c r="H480" s="582" t="s">
        <v>443</v>
      </c>
      <c r="I480" s="480" t="s">
        <v>2923</v>
      </c>
      <c r="J480" s="479"/>
      <c r="K480" s="479"/>
      <c r="L480" s="560"/>
      <c r="M480" s="666" t="s">
        <v>4966</v>
      </c>
      <c r="N480" s="680" t="str">
        <f>IF(AND(ISTEXT($A480), ISERROR($A480+0)), HYPERLINK($BF480, "Images"), "")</f>
        <v>Images</v>
      </c>
      <c r="O480" s="662" t="s">
        <v>4967</v>
      </c>
      <c r="P480" s="482"/>
      <c r="Q480" s="483"/>
      <c r="R480" s="483"/>
      <c r="S480" s="484"/>
      <c r="T480" s="508">
        <f t="shared" si="322"/>
        <v>0</v>
      </c>
      <c r="U480" s="225" t="str">
        <f>IF(NOT(ISNUMBER(G480)), "", VLOOKUP(A480,'Discount Lookup'!D:E,2,FALSE)*G480)</f>
        <v/>
      </c>
      <c r="V480" s="225" t="str">
        <f>IF(NOT(ISNUMBER(G480)), "", VLOOKUP(A480,'Discount Lookup'!G:H,2,FALSE)*G480)</f>
        <v/>
      </c>
      <c r="W480" s="508">
        <f t="shared" si="323"/>
        <v>0</v>
      </c>
      <c r="X480" s="508" t="str">
        <f t="shared" si="324"/>
        <v>Soft Green foliage</v>
      </c>
      <c r="Y480" s="509" t="b">
        <f t="shared" si="325"/>
        <v>0</v>
      </c>
      <c r="Z480" s="510">
        <f t="shared" si="326"/>
        <v>0</v>
      </c>
      <c r="AA480" s="511"/>
      <c r="AB480" s="511" t="str">
        <f t="shared" si="327"/>
        <v/>
      </c>
      <c r="AC480" s="698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698"/>
      <c r="AE480" s="631" t="str">
        <f t="shared" si="328"/>
        <v/>
      </c>
      <c r="AF480" s="699" t="str">
        <f t="shared" si="329"/>
        <v/>
      </c>
      <c r="AG480" s="699"/>
      <c r="AH480" s="699"/>
      <c r="AI480" s="512">
        <f>IF(H480="credit",0,IF(AE480="free",0,IF(AE480="me",0,IF(G480&gt;0,(VLOOKUP(A480,'Discount Lookup'!J:K,2)*G480),0))))</f>
        <v>0</v>
      </c>
      <c r="AJ480" s="513" t="str">
        <f t="shared" ca="1" si="330"/>
        <v/>
      </c>
      <c r="AK480" s="700" t="str">
        <f t="shared" si="331"/>
        <v/>
      </c>
      <c r="AL480" s="700"/>
      <c r="AM480" s="505" t="str">
        <f t="shared" si="332"/>
        <v/>
      </c>
      <c r="AN480" s="506"/>
      <c r="AO480" s="507"/>
      <c r="AP480" s="507"/>
      <c r="AQ480" s="507"/>
      <c r="AR480" s="507"/>
      <c r="AS480" s="507"/>
      <c r="AT480" s="507"/>
      <c r="AU480" s="507"/>
      <c r="AV480" s="225"/>
      <c r="AW480" s="508"/>
      <c r="AX480" s="225"/>
      <c r="AY480" s="225"/>
      <c r="AZ480" s="225"/>
      <c r="BA480" s="225"/>
      <c r="BB480" s="225"/>
      <c r="BC480" s="56"/>
      <c r="BD480" s="56"/>
      <c r="BE480" s="56"/>
      <c r="BF480" s="107" t="str">
        <f t="shared" si="333"/>
        <v>https://www.google.com/search?tbm=isch&amp;q=Blush%20Pink%E2%84%A2%20Nandina%20Nandina%20domestica%20%27AKA%27%20PP%2319916</v>
      </c>
      <c r="BG480" s="107" t="str">
        <f t="shared" si="334"/>
        <v>B</v>
      </c>
      <c r="BH480" s="254"/>
      <c r="BI480" s="254"/>
    </row>
    <row r="481" spans="1:61" customFormat="1" ht="15.75" x14ac:dyDescent="0.25">
      <c r="A481" s="485">
        <v>1</v>
      </c>
      <c r="B481" s="486" t="s">
        <v>291</v>
      </c>
      <c r="C481" s="487" t="s">
        <v>4858</v>
      </c>
      <c r="D481" s="488" t="s">
        <v>312</v>
      </c>
      <c r="E481" s="489">
        <v>28.95</v>
      </c>
      <c r="F481" s="516" t="s">
        <v>293</v>
      </c>
      <c r="G481" s="232">
        <v>0</v>
      </c>
      <c r="H481" s="658" t="str">
        <f>IF(G481=0,"",IF(F481="Buy",IF(G481=1,"plant","plants"),IF(F481&gt;0.01,"warranty","Error")))</f>
        <v/>
      </c>
      <c r="I481" s="490">
        <f>IF(H481="free",0,IF(H481="credit",((E481*(F481))*G481*-1),IF(F481="Buy",(E481*G481),((E481*(1-F481))*G481))))</f>
        <v>0</v>
      </c>
      <c r="J481" s="490">
        <f>IF(H481="warranty",0,(I481*(_xlfn.SINGLE(SalesTaxPercentage))))</f>
        <v>0</v>
      </c>
      <c r="K481" s="695">
        <f t="shared" ref="K481" si="343">I481+J481</f>
        <v>0</v>
      </c>
      <c r="L481" s="695"/>
      <c r="M481" s="659" t="str">
        <f>IF(AND(G481&gt;0,E481=0),"WARNING - no PRICE inserted",IF(H481="free"," FREE ~ no charge this plant",IF(H481="credit",CONCATENATE(" -$",ROUND(K481*(1-T2GDiscount)*-1,2)," CREDIT after discount"),IF(T2GDiscount=0,"",IF(G481=0,"",IF(F481="Buy",CONCATENATE(" $",ROUND(K481*(1-T2GDiscount),2)," with ",(T2GDiscount*100),"% discount"),CONCATENATE(" $",ROUND(K481*(1-T2GDiscount),2)," with ",((T2GDiscount*100+F481*100)-(T2GDiscount*100*F481)),IF(F481&gt;0,"% discounts",IF(NoWarrantyDiscount&gt;0,"% discounts","% discount")))))))))</f>
        <v/>
      </c>
      <c r="N481" s="660"/>
      <c r="O481" s="233"/>
      <c r="P481" s="233"/>
      <c r="Q481" s="233"/>
      <c r="R481" s="233"/>
      <c r="S481" s="233"/>
      <c r="T481" s="508">
        <f t="shared" si="322"/>
        <v>0</v>
      </c>
      <c r="U481" s="225">
        <f>IF(NOT(ISNUMBER(G481)), "", VLOOKUP(A481,'Discount Lookup'!D:E,2,FALSE)*G481)</f>
        <v>0</v>
      </c>
      <c r="V481" s="225">
        <f>IF(NOT(ISNUMBER(G481)), "", VLOOKUP(A481,'Discount Lookup'!G:H,2,FALSE)*G481)</f>
        <v>0</v>
      </c>
      <c r="W481" s="508">
        <f t="shared" si="323"/>
        <v>0</v>
      </c>
      <c r="X481" s="508">
        <f t="shared" si="324"/>
        <v>0</v>
      </c>
      <c r="Y481" s="509" t="b">
        <f t="shared" si="325"/>
        <v>0</v>
      </c>
      <c r="Z481" s="510">
        <f t="shared" si="326"/>
        <v>0</v>
      </c>
      <c r="AA481" s="511"/>
      <c r="AB481" s="511" t="str">
        <f t="shared" si="327"/>
        <v/>
      </c>
      <c r="AC481" s="698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698"/>
      <c r="AE481" s="631" t="str">
        <f t="shared" si="328"/>
        <v/>
      </c>
      <c r="AF481" s="699" t="str">
        <f t="shared" si="329"/>
        <v/>
      </c>
      <c r="AG481" s="699"/>
      <c r="AH481" s="699"/>
      <c r="AI481" s="512">
        <f>IF(H481="credit",0,IF(AE481="free",0,IF(AE481="me",0,IF(G481&gt;0,(VLOOKUP(A481,'Discount Lookup'!J:K,2)*G481),0))))</f>
        <v>0</v>
      </c>
      <c r="AJ481" s="513" t="str">
        <f t="shared" ca="1" si="330"/>
        <v/>
      </c>
      <c r="AK481" s="700" t="str">
        <f t="shared" si="331"/>
        <v/>
      </c>
      <c r="AL481" s="700"/>
      <c r="AM481" s="505" t="str">
        <f t="shared" si="332"/>
        <v/>
      </c>
      <c r="AN481" s="506"/>
      <c r="AO481" s="507"/>
      <c r="AP481" s="507"/>
      <c r="AQ481" s="507"/>
      <c r="AR481" s="507"/>
      <c r="AS481" s="507"/>
      <c r="AT481" s="507"/>
      <c r="AU481" s="507"/>
      <c r="AV481" s="225"/>
      <c r="AW481" s="508"/>
      <c r="AX481" s="225"/>
      <c r="AY481" s="225"/>
      <c r="AZ481" s="225"/>
      <c r="BA481" s="225"/>
      <c r="BB481" s="225"/>
      <c r="BC481" s="56"/>
      <c r="BD481" s="56"/>
      <c r="BE481" s="56"/>
      <c r="BF481" s="107" t="str">
        <f t="shared" si="333"/>
        <v>https://www.google.com/search?tbm=isch&amp;q=1%20G2</v>
      </c>
      <c r="BG481" s="107" t="str">
        <f t="shared" si="334"/>
        <v>B</v>
      </c>
      <c r="BH481" s="254"/>
      <c r="BI481" s="254"/>
    </row>
    <row r="482" spans="1:61" customFormat="1" ht="16.5" thickBot="1" x14ac:dyDescent="0.3">
      <c r="A482" s="522" t="s">
        <v>2924</v>
      </c>
      <c r="B482" s="491"/>
      <c r="C482" s="675"/>
      <c r="D482" s="491"/>
      <c r="E482" s="491"/>
      <c r="F482" s="492"/>
      <c r="G482" s="493"/>
      <c r="H482" s="491"/>
      <c r="I482" s="234"/>
      <c r="J482" s="234"/>
      <c r="K482" s="494"/>
      <c r="L482" s="543"/>
      <c r="M482" s="561"/>
      <c r="N482" s="495"/>
      <c r="O482" s="496"/>
      <c r="P482" s="497"/>
      <c r="Q482" s="495"/>
      <c r="R482" s="495"/>
      <c r="S482" s="277"/>
      <c r="T482" s="508">
        <f t="shared" si="322"/>
        <v>0</v>
      </c>
      <c r="U482" s="225" t="str">
        <f>IF(NOT(ISNUMBER(G482)), "", VLOOKUP(A482,'Discount Lookup'!D:E,2,FALSE)*G482)</f>
        <v/>
      </c>
      <c r="V482" s="225" t="str">
        <f>IF(NOT(ISNUMBER(G482)), "", VLOOKUP(A482,'Discount Lookup'!G:H,2,FALSE)*G482)</f>
        <v/>
      </c>
      <c r="W482" s="508">
        <f t="shared" si="323"/>
        <v>0</v>
      </c>
      <c r="X482" s="508">
        <f t="shared" si="324"/>
        <v>0</v>
      </c>
      <c r="Y482" s="509" t="b">
        <f t="shared" si="325"/>
        <v>0</v>
      </c>
      <c r="Z482" s="510">
        <f t="shared" si="326"/>
        <v>0</v>
      </c>
      <c r="AA482" s="511"/>
      <c r="AB482" s="511" t="str">
        <f t="shared" si="327"/>
        <v/>
      </c>
      <c r="AC482" s="698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698"/>
      <c r="AE482" s="631" t="str">
        <f t="shared" si="328"/>
        <v/>
      </c>
      <c r="AF482" s="699" t="str">
        <f t="shared" si="329"/>
        <v/>
      </c>
      <c r="AG482" s="699"/>
      <c r="AH482" s="699"/>
      <c r="AI482" s="512">
        <f>IF(H482="credit",0,IF(AE482="free",0,IF(AE482="me",0,IF(G482&gt;0,(VLOOKUP(A482,'Discount Lookup'!J:K,2)*G482),0))))</f>
        <v>0</v>
      </c>
      <c r="AJ482" s="513" t="str">
        <f t="shared" ca="1" si="330"/>
        <v/>
      </c>
      <c r="AK482" s="700" t="str">
        <f t="shared" si="331"/>
        <v/>
      </c>
      <c r="AL482" s="700"/>
      <c r="AM482" s="505" t="str">
        <f t="shared" si="332"/>
        <v/>
      </c>
      <c r="AN482" s="506"/>
      <c r="AO482" s="507"/>
      <c r="AP482" s="507"/>
      <c r="AQ482" s="507"/>
      <c r="AR482" s="507"/>
      <c r="AS482" s="507"/>
      <c r="AT482" s="507"/>
      <c r="AU482" s="507"/>
      <c r="AV482" s="225"/>
      <c r="AW482" s="508"/>
      <c r="AX482" s="225"/>
      <c r="AY482" s="225"/>
      <c r="AZ482" s="225"/>
      <c r="BA482" s="225"/>
      <c r="BB482" s="225"/>
      <c r="BC482" s="56"/>
      <c r="BD482" s="56"/>
      <c r="BE482" s="56"/>
      <c r="BF482" s="107" t="str">
        <f t="shared" si="333"/>
        <v>https://www.google.com/search?tbm=isch&amp;q=Blush%20Pink%20foliage%20emerges%20Bright%20Pink%20to%20Red%2C%20maturing%20to%20Soft%20Green%20with%20Pink%20highlights.%20Minimal%20berries%2C%20so%20less%20spreading%20issues%20</v>
      </c>
      <c r="BG482" s="107" t="str">
        <f t="shared" si="334"/>
        <v>B</v>
      </c>
      <c r="BH482" s="254"/>
      <c r="BI482" s="254"/>
    </row>
    <row r="483" spans="1:61" customFormat="1" ht="18" x14ac:dyDescent="0.25">
      <c r="A483" s="523" t="s">
        <v>415</v>
      </c>
      <c r="B483" s="235"/>
      <c r="C483" s="676"/>
      <c r="D483" s="255" t="s">
        <v>414</v>
      </c>
      <c r="E483" s="236"/>
      <c r="F483" s="236"/>
      <c r="G483" s="236"/>
      <c r="H483" s="582" t="s">
        <v>357</v>
      </c>
      <c r="I483" s="498" t="s">
        <v>2118</v>
      </c>
      <c r="J483" s="237"/>
      <c r="K483" s="237"/>
      <c r="L483" s="274"/>
      <c r="M483" s="668" t="s">
        <v>4975</v>
      </c>
      <c r="N483" s="681" t="str">
        <f>IF(AND(ISTEXT($A483), ISERROR($A483+0)), HYPERLINK($BF483, "Images"), "")</f>
        <v>Images</v>
      </c>
      <c r="O483" s="663" t="s">
        <v>4967</v>
      </c>
      <c r="P483" s="253"/>
      <c r="Q483" s="238"/>
      <c r="R483" s="239"/>
      <c r="S483" s="275"/>
      <c r="T483" s="508">
        <f t="shared" si="322"/>
        <v>0</v>
      </c>
      <c r="U483" s="225" t="str">
        <f>IF(NOT(ISNUMBER(G483)), "", VLOOKUP(A483,'Discount Lookup'!D:E,2,FALSE)*G483)</f>
        <v/>
      </c>
      <c r="V483" s="225" t="str">
        <f>IF(NOT(ISNUMBER(G483)), "", VLOOKUP(A483,'Discount Lookup'!G:H,2,FALSE)*G483)</f>
        <v/>
      </c>
      <c r="W483" s="508">
        <f t="shared" si="323"/>
        <v>0</v>
      </c>
      <c r="X483" s="508" t="str">
        <f t="shared" si="324"/>
        <v>Rose-Pink bloom</v>
      </c>
      <c r="Y483" s="509" t="b">
        <f t="shared" si="325"/>
        <v>0</v>
      </c>
      <c r="Z483" s="510">
        <f t="shared" si="326"/>
        <v>0</v>
      </c>
      <c r="AA483" s="511"/>
      <c r="AB483" s="511" t="str">
        <f t="shared" si="327"/>
        <v/>
      </c>
      <c r="AC483" s="698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698"/>
      <c r="AE483" s="631" t="str">
        <f t="shared" si="328"/>
        <v/>
      </c>
      <c r="AF483" s="699" t="str">
        <f t="shared" si="329"/>
        <v/>
      </c>
      <c r="AG483" s="699"/>
      <c r="AH483" s="699"/>
      <c r="AI483" s="512">
        <f>IF(H483="credit",0,IF(AE483="free",0,IF(AE483="me",0,IF(G483&gt;0,(VLOOKUP(A483,'Discount Lookup'!J:K,2)*G483),0))))</f>
        <v>0</v>
      </c>
      <c r="AJ483" s="513" t="str">
        <f t="shared" ca="1" si="330"/>
        <v/>
      </c>
      <c r="AK483" s="700" t="str">
        <f t="shared" si="331"/>
        <v/>
      </c>
      <c r="AL483" s="700"/>
      <c r="AM483" s="505" t="str">
        <f t="shared" si="332"/>
        <v/>
      </c>
      <c r="AN483" s="506"/>
      <c r="AO483" s="507"/>
      <c r="AP483" s="507"/>
      <c r="AQ483" s="507"/>
      <c r="AR483" s="507"/>
      <c r="AS483" s="507"/>
      <c r="AT483" s="507"/>
      <c r="AU483" s="507"/>
      <c r="AV483" s="225"/>
      <c r="AW483" s="508"/>
      <c r="AX483" s="225"/>
      <c r="AY483" s="225"/>
      <c r="AZ483" s="225"/>
      <c r="BA483" s="225"/>
      <c r="BB483" s="225"/>
      <c r="BC483" s="56"/>
      <c r="BD483" s="56"/>
      <c r="BE483" s="56"/>
      <c r="BF483" s="107" t="str">
        <f t="shared" si="333"/>
        <v>https://www.google.com/search?tbm=isch&amp;q=Blushing%20Belle%20Magnolia%20Magnolia%20%27Blushing%20Belle%27</v>
      </c>
      <c r="BG483" s="107" t="str">
        <f t="shared" si="334"/>
        <v>B</v>
      </c>
      <c r="BH483" s="254"/>
      <c r="BI483" s="254"/>
    </row>
    <row r="484" spans="1:61" customFormat="1" ht="15.75" x14ac:dyDescent="0.25">
      <c r="A484" s="276">
        <v>10</v>
      </c>
      <c r="B484" s="240" t="s">
        <v>291</v>
      </c>
      <c r="C484" s="241" t="s">
        <v>3348</v>
      </c>
      <c r="D484" s="242" t="s">
        <v>292</v>
      </c>
      <c r="E484" s="243">
        <v>137.94999999999999</v>
      </c>
      <c r="F484" s="517" t="s">
        <v>293</v>
      </c>
      <c r="G484" s="232">
        <v>0</v>
      </c>
      <c r="H484" s="661" t="str">
        <f>IF(G484=0,"",IF(F484="Buy",IF(G484=1,"plant","plants"),IF(F484&gt;0.01,"warranty","Error")))</f>
        <v/>
      </c>
      <c r="I484" s="244">
        <f>IF(H484="free",0,IF(H484="credit",((E484*(F484))*G484*-1),IF(F484="Buy",(E484*G484),((E484*(1-F484))*G484))))</f>
        <v>0</v>
      </c>
      <c r="J484" s="244">
        <f>IF(H484="warranty",0,(I484*(_xlfn.SINGLE(SalesTaxPercentage))))</f>
        <v>0</v>
      </c>
      <c r="K484" s="696">
        <f t="shared" ref="K484" si="344">I484+J484</f>
        <v>0</v>
      </c>
      <c r="L484" s="696"/>
      <c r="M484" s="659" t="str">
        <f>IF(AND(G484&gt;0,E484=0),"WARNING - no PRICE inserted",IF(H484="free"," FREE ~ no charge this plant",IF(H484="credit",CONCATENATE(" -$",ROUND(K484*(1-T2GDiscount)*-1,2)," CREDIT after discount"),IF(T2GDiscount=0,"",IF(G484=0,"",IF(F484="Buy",CONCATENATE(" $",ROUND(K484*(1-T2GDiscount),2)," with ",(T2GDiscount*100),"% discount"),CONCATENATE(" $",ROUND(K484*(1-T2GDiscount),2)," with ",((T2GDiscount*100+F484*100)-(T2GDiscount*100*F484)),IF(F484&gt;0,"% discounts",IF(NoWarrantyDiscount&gt;0,"% discounts","% discount")))))))))</f>
        <v/>
      </c>
      <c r="N484" s="660"/>
      <c r="O484" s="233"/>
      <c r="P484" s="233"/>
      <c r="Q484" s="233"/>
      <c r="R484" s="233"/>
      <c r="S484" s="233"/>
      <c r="T484" s="508">
        <f t="shared" si="322"/>
        <v>0</v>
      </c>
      <c r="U484" s="225">
        <f>IF(NOT(ISNUMBER(G484)), "", VLOOKUP(A484,'Discount Lookup'!D:E,2,FALSE)*G484)</f>
        <v>0</v>
      </c>
      <c r="V484" s="225">
        <f>IF(NOT(ISNUMBER(G484)), "", VLOOKUP(A484,'Discount Lookup'!G:H,2,FALSE)*G484)</f>
        <v>0</v>
      </c>
      <c r="W484" s="508">
        <f t="shared" si="323"/>
        <v>0</v>
      </c>
      <c r="X484" s="508">
        <f t="shared" si="324"/>
        <v>0</v>
      </c>
      <c r="Y484" s="509" t="b">
        <f t="shared" si="325"/>
        <v>0</v>
      </c>
      <c r="Z484" s="510">
        <f t="shared" si="326"/>
        <v>0</v>
      </c>
      <c r="AA484" s="511"/>
      <c r="AB484" s="511" t="str">
        <f t="shared" si="327"/>
        <v/>
      </c>
      <c r="AC484" s="698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698"/>
      <c r="AE484" s="631" t="str">
        <f t="shared" si="328"/>
        <v/>
      </c>
      <c r="AF484" s="699" t="str">
        <f t="shared" si="329"/>
        <v/>
      </c>
      <c r="AG484" s="699"/>
      <c r="AH484" s="699"/>
      <c r="AI484" s="512">
        <f>IF(H484="credit",0,IF(AE484="free",0,IF(AE484="me",0,IF(G484&gt;0,(VLOOKUP(A484,'Discount Lookup'!J:K,2)*G484),0))))</f>
        <v>0</v>
      </c>
      <c r="AJ484" s="513" t="str">
        <f t="shared" ca="1" si="330"/>
        <v/>
      </c>
      <c r="AK484" s="700" t="str">
        <f t="shared" si="331"/>
        <v/>
      </c>
      <c r="AL484" s="700"/>
      <c r="AM484" s="505" t="str">
        <f t="shared" si="332"/>
        <v/>
      </c>
      <c r="AN484" s="506"/>
      <c r="AO484" s="507"/>
      <c r="AP484" s="507"/>
      <c r="AQ484" s="507"/>
      <c r="AR484" s="507"/>
      <c r="AS484" s="507"/>
      <c r="AT484" s="507"/>
      <c r="AU484" s="507"/>
      <c r="AV484" s="225"/>
      <c r="AW484" s="508"/>
      <c r="AX484" s="225"/>
      <c r="AY484" s="225"/>
      <c r="AZ484" s="225"/>
      <c r="BA484" s="225"/>
      <c r="BB484" s="225"/>
      <c r="BC484" s="56"/>
      <c r="BD484" s="56"/>
      <c r="BE484" s="56"/>
      <c r="BF484" s="107" t="str">
        <f t="shared" si="333"/>
        <v>https://www.google.com/search?tbm=isch&amp;q=10%20G4</v>
      </c>
      <c r="BG484" s="107" t="str">
        <f t="shared" si="334"/>
        <v>B</v>
      </c>
      <c r="BH484" s="254"/>
      <c r="BI484" s="254"/>
    </row>
    <row r="485" spans="1:61" customFormat="1" ht="17.25" thickBot="1" x14ac:dyDescent="0.3">
      <c r="A485" s="524" t="s">
        <v>2346</v>
      </c>
      <c r="B485" s="245"/>
      <c r="C485" s="677"/>
      <c r="D485" s="499"/>
      <c r="E485" s="499"/>
      <c r="F485" s="500"/>
      <c r="G485" s="501"/>
      <c r="H485" s="502"/>
      <c r="I485" s="246"/>
      <c r="J485" s="247"/>
      <c r="K485" s="503"/>
      <c r="L485" s="544"/>
      <c r="M485" s="544"/>
      <c r="N485" s="500"/>
      <c r="O485" s="500"/>
      <c r="P485" s="500"/>
      <c r="Q485" s="500"/>
      <c r="R485" s="500"/>
      <c r="S485" s="278"/>
      <c r="T485" s="508">
        <f t="shared" si="322"/>
        <v>0</v>
      </c>
      <c r="U485" s="225" t="str">
        <f>IF(NOT(ISNUMBER(G485)), "", VLOOKUP(A485,'Discount Lookup'!D:E,2,FALSE)*G485)</f>
        <v/>
      </c>
      <c r="V485" s="225" t="str">
        <f>IF(NOT(ISNUMBER(G485)), "", VLOOKUP(A485,'Discount Lookup'!G:H,2,FALSE)*G485)</f>
        <v/>
      </c>
      <c r="W485" s="508">
        <f t="shared" si="323"/>
        <v>0</v>
      </c>
      <c r="X485" s="508">
        <f t="shared" si="324"/>
        <v>0</v>
      </c>
      <c r="Y485" s="509" t="b">
        <f t="shared" si="325"/>
        <v>0</v>
      </c>
      <c r="Z485" s="510">
        <f t="shared" si="326"/>
        <v>0</v>
      </c>
      <c r="AA485" s="511"/>
      <c r="AB485" s="511" t="str">
        <f t="shared" si="327"/>
        <v/>
      </c>
      <c r="AC485" s="698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698"/>
      <c r="AE485" s="631" t="str">
        <f t="shared" si="328"/>
        <v/>
      </c>
      <c r="AF485" s="699" t="str">
        <f t="shared" si="329"/>
        <v/>
      </c>
      <c r="AG485" s="699"/>
      <c r="AH485" s="699"/>
      <c r="AI485" s="512">
        <f>IF(H485="credit",0,IF(AE485="free",0,IF(AE485="me",0,IF(G485&gt;0,(VLOOKUP(A485,'Discount Lookup'!J:K,2)*G485),0))))</f>
        <v>0</v>
      </c>
      <c r="AJ485" s="513" t="str">
        <f t="shared" ca="1" si="330"/>
        <v/>
      </c>
      <c r="AK485" s="700" t="str">
        <f t="shared" si="331"/>
        <v/>
      </c>
      <c r="AL485" s="700"/>
      <c r="AM485" s="505" t="str">
        <f t="shared" si="332"/>
        <v/>
      </c>
      <c r="AN485" s="506"/>
      <c r="AO485" s="507"/>
      <c r="AP485" s="507"/>
      <c r="AQ485" s="507"/>
      <c r="AR485" s="507"/>
      <c r="AS485" s="507"/>
      <c r="AT485" s="507"/>
      <c r="AU485" s="507"/>
      <c r="AV485" s="225"/>
      <c r="AW485" s="508"/>
      <c r="AX485" s="225"/>
      <c r="AY485" s="225"/>
      <c r="AZ485" s="225"/>
      <c r="BA485" s="225"/>
      <c r="BB485" s="225"/>
      <c r="BC485" s="56"/>
      <c r="BD485" s="56"/>
      <c r="BE485" s="56"/>
      <c r="BF485" s="107" t="str">
        <f t="shared" si="333"/>
        <v>https://www.google.com/search?tbm=isch&amp;q=Blushing%20Belle%20has%20very%20large%2C%20fragrant%20flowers%20that%20bloom%20later%2C%20after%20the%20frost%20</v>
      </c>
      <c r="BG485" s="107" t="str">
        <f t="shared" si="334"/>
        <v>B</v>
      </c>
      <c r="BH485" s="254"/>
      <c r="BI485" s="254"/>
    </row>
    <row r="486" spans="1:61" customFormat="1" ht="18" x14ac:dyDescent="0.25">
      <c r="A486" s="523" t="s">
        <v>5357</v>
      </c>
      <c r="B486" s="235"/>
      <c r="C486" s="676"/>
      <c r="D486" s="255" t="s">
        <v>564</v>
      </c>
      <c r="E486" s="236"/>
      <c r="F486" s="236"/>
      <c r="G486" s="236"/>
      <c r="H486" s="582" t="s">
        <v>508</v>
      </c>
      <c r="I486" s="498" t="s">
        <v>656</v>
      </c>
      <c r="J486" s="237"/>
      <c r="K486" s="237"/>
      <c r="L486" s="274"/>
      <c r="M486" s="668" t="s">
        <v>4962</v>
      </c>
      <c r="N486" s="681" t="str">
        <f>IF(AND(ISTEXT($A486), ISERROR($A486+0)), HYPERLINK($BF486, "Images"), "")</f>
        <v>Images</v>
      </c>
      <c r="O486" s="663" t="s">
        <v>4974</v>
      </c>
      <c r="P486" s="253"/>
      <c r="Q486" s="238"/>
      <c r="R486" s="239"/>
      <c r="S486" s="275"/>
      <c r="T486" s="508">
        <f t="shared" si="322"/>
        <v>0</v>
      </c>
      <c r="U486" s="225" t="str">
        <f>IF(NOT(ISNUMBER(G486)), "", VLOOKUP(A486,'Discount Lookup'!D:E,2,FALSE)*G486)</f>
        <v/>
      </c>
      <c r="V486" s="225" t="str">
        <f>IF(NOT(ISNUMBER(G486)), "", VLOOKUP(A486,'Discount Lookup'!G:H,2,FALSE)*G486)</f>
        <v/>
      </c>
      <c r="W486" s="508">
        <f t="shared" si="323"/>
        <v>0</v>
      </c>
      <c r="X486" s="508" t="str">
        <f t="shared" si="324"/>
        <v>Pink bloom</v>
      </c>
      <c r="Y486" s="509" t="b">
        <f t="shared" si="325"/>
        <v>0</v>
      </c>
      <c r="Z486" s="510">
        <f t="shared" si="326"/>
        <v>0</v>
      </c>
      <c r="AA486" s="511"/>
      <c r="AB486" s="511" t="str">
        <f t="shared" si="327"/>
        <v/>
      </c>
      <c r="AC486" s="698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698"/>
      <c r="AE486" s="631" t="str">
        <f t="shared" si="328"/>
        <v/>
      </c>
      <c r="AF486" s="699" t="str">
        <f t="shared" si="329"/>
        <v/>
      </c>
      <c r="AG486" s="699"/>
      <c r="AH486" s="699"/>
      <c r="AI486" s="512">
        <f>IF(H486="credit",0,IF(AE486="free",0,IF(AE486="me",0,IF(G486&gt;0,(VLOOKUP(A486,'Discount Lookup'!J:K,2)*G486),0))))</f>
        <v>0</v>
      </c>
      <c r="AJ486" s="513" t="str">
        <f t="shared" ca="1" si="330"/>
        <v/>
      </c>
      <c r="AK486" s="700" t="str">
        <f t="shared" si="331"/>
        <v/>
      </c>
      <c r="AL486" s="700"/>
      <c r="AM486" s="505" t="str">
        <f t="shared" si="332"/>
        <v/>
      </c>
      <c r="AN486" s="506"/>
      <c r="AO486" s="507"/>
      <c r="AP486" s="507"/>
      <c r="AQ486" s="507"/>
      <c r="AR486" s="507"/>
      <c r="AS486" s="507"/>
      <c r="AT486" s="507"/>
      <c r="AU486" s="507"/>
      <c r="AV486" s="225"/>
      <c r="AW486" s="508"/>
      <c r="AX486" s="225"/>
      <c r="AY486" s="225"/>
      <c r="AZ486" s="225"/>
      <c r="BA486" s="225"/>
      <c r="BB486" s="225"/>
      <c r="BC486" s="56"/>
      <c r="BD486" s="56"/>
      <c r="BE486" s="56"/>
      <c r="BF486" s="107" t="str">
        <f t="shared" si="333"/>
        <v>https://www.google.com/search?tbm=isch&amp;q=Blushing%20Drift%C2%AE%20Rose%20Rosa%20%27Meifranjin%27%20PP%2333507</v>
      </c>
      <c r="BG486" s="107" t="str">
        <f t="shared" si="334"/>
        <v>B</v>
      </c>
      <c r="BH486" s="254"/>
      <c r="BI486" s="254"/>
    </row>
    <row r="487" spans="1:61" customFormat="1" ht="15.75" x14ac:dyDescent="0.25">
      <c r="A487" s="276">
        <v>3</v>
      </c>
      <c r="B487" s="240" t="s">
        <v>291</v>
      </c>
      <c r="C487" s="241"/>
      <c r="D487" s="242" t="s">
        <v>298</v>
      </c>
      <c r="E487" s="243">
        <v>31.95</v>
      </c>
      <c r="F487" s="517" t="s">
        <v>293</v>
      </c>
      <c r="G487" s="232">
        <v>0</v>
      </c>
      <c r="H487" s="661" t="str">
        <f>IF(G487=0,"",IF(F487="Buy",IF(G487=1,"plant","plants"),IF(F487&gt;0.01,"warranty","Error")))</f>
        <v/>
      </c>
      <c r="I487" s="244">
        <f>IF(H487="free",0,IF(H487="credit",((E487*(F487))*G487*-1),IF(F487="Buy",(E487*G487),((E487*(1-F487))*G487))))</f>
        <v>0</v>
      </c>
      <c r="J487" s="244">
        <f>IF(H487="warranty",0,(I487*(_xlfn.SINGLE(SalesTaxPercentage))))</f>
        <v>0</v>
      </c>
      <c r="K487" s="696">
        <f t="shared" ref="K487" si="345">I487+J487</f>
        <v>0</v>
      </c>
      <c r="L487" s="696"/>
      <c r="M487" s="659" t="str">
        <f>IF(AND(G487&gt;0,E487=0),"WARNING - no PRICE inserted",IF(H487="free"," FREE ~ no charge this plant",IF(H487="credit",CONCATENATE(" -$",ROUND(K487*(1-T2GDiscount)*-1,2)," CREDIT after discount"),IF(T2GDiscount=0,"",IF(G487=0,"",IF(F487="Buy",CONCATENATE(" $",ROUND(K487*(1-T2GDiscount),2)," with ",(T2GDiscount*100),"% discount"),CONCATENATE(" $",ROUND(K487*(1-T2GDiscount),2)," with ",((T2GDiscount*100+F487*100)-(T2GDiscount*100*F487)),IF(F487&gt;0,"% discounts",IF(NoWarrantyDiscount&gt;0,"% discounts","% discount")))))))))</f>
        <v/>
      </c>
      <c r="N487" s="660"/>
      <c r="O487" s="233"/>
      <c r="P487" s="233"/>
      <c r="Q487" s="233"/>
      <c r="R487" s="233"/>
      <c r="S487" s="233"/>
      <c r="T487" s="508">
        <f t="shared" si="322"/>
        <v>0</v>
      </c>
      <c r="U487" s="225">
        <f>IF(NOT(ISNUMBER(G487)), "", VLOOKUP(A487,'Discount Lookup'!D:E,2,FALSE)*G487)</f>
        <v>0</v>
      </c>
      <c r="V487" s="225">
        <f>IF(NOT(ISNUMBER(G487)), "", VLOOKUP(A487,'Discount Lookup'!G:H,2,FALSE)*G487)</f>
        <v>0</v>
      </c>
      <c r="W487" s="508">
        <f t="shared" si="323"/>
        <v>0</v>
      </c>
      <c r="X487" s="508">
        <f t="shared" si="324"/>
        <v>0</v>
      </c>
      <c r="Y487" s="509" t="b">
        <f t="shared" si="325"/>
        <v>0</v>
      </c>
      <c r="Z487" s="510">
        <f t="shared" si="326"/>
        <v>0</v>
      </c>
      <c r="AA487" s="511"/>
      <c r="AB487" s="511" t="str">
        <f t="shared" si="327"/>
        <v/>
      </c>
      <c r="AC487" s="698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698"/>
      <c r="AE487" s="631" t="str">
        <f t="shared" si="328"/>
        <v/>
      </c>
      <c r="AF487" s="699" t="str">
        <f t="shared" si="329"/>
        <v/>
      </c>
      <c r="AG487" s="699"/>
      <c r="AH487" s="699"/>
      <c r="AI487" s="512">
        <f>IF(H487="credit",0,IF(AE487="free",0,IF(AE487="me",0,IF(G487&gt;0,(VLOOKUP(A487,'Discount Lookup'!J:K,2)*G487),0))))</f>
        <v>0</v>
      </c>
      <c r="AJ487" s="513" t="str">
        <f t="shared" ca="1" si="330"/>
        <v/>
      </c>
      <c r="AK487" s="700" t="str">
        <f t="shared" si="331"/>
        <v/>
      </c>
      <c r="AL487" s="700"/>
      <c r="AM487" s="505" t="str">
        <f t="shared" si="332"/>
        <v/>
      </c>
      <c r="AN487" s="506"/>
      <c r="AO487" s="507"/>
      <c r="AP487" s="507"/>
      <c r="AQ487" s="507"/>
      <c r="AR487" s="507"/>
      <c r="AS487" s="507"/>
      <c r="AT487" s="507"/>
      <c r="AU487" s="507"/>
      <c r="AV487" s="225"/>
      <c r="AW487" s="508"/>
      <c r="AX487" s="225"/>
      <c r="AY487" s="225"/>
      <c r="AZ487" s="225"/>
      <c r="BA487" s="225"/>
      <c r="BB487" s="225"/>
      <c r="BC487" s="56"/>
      <c r="BD487" s="56"/>
      <c r="BE487" s="56"/>
      <c r="BF487" s="107" t="str">
        <f t="shared" si="333"/>
        <v>https://www.google.com/search?tbm=isch&amp;q=3%20G1</v>
      </c>
      <c r="BG487" s="107" t="str">
        <f t="shared" si="334"/>
        <v>B</v>
      </c>
      <c r="BH487" s="254"/>
      <c r="BI487" s="254"/>
    </row>
    <row r="488" spans="1:61" customFormat="1" ht="15.75" x14ac:dyDescent="0.25">
      <c r="A488" s="276">
        <v>3</v>
      </c>
      <c r="B488" s="240" t="s">
        <v>291</v>
      </c>
      <c r="C488" s="241" t="s">
        <v>4859</v>
      </c>
      <c r="D488" s="242" t="s">
        <v>312</v>
      </c>
      <c r="E488" s="243">
        <v>31.95</v>
      </c>
      <c r="F488" s="517" t="s">
        <v>293</v>
      </c>
      <c r="G488" s="232">
        <v>0</v>
      </c>
      <c r="H488" s="661" t="str">
        <f>IF(G488=0,"",IF(F488="Buy",IF(G488=1,"plant","plants"),IF(F488&gt;0.01,"warranty","Error")))</f>
        <v/>
      </c>
      <c r="I488" s="244">
        <f>IF(H488="free",0,IF(H488="credit",((E488*(F488))*G488*-1),IF(F488="Buy",(E488*G488),((E488*(1-F488))*G488))))</f>
        <v>0</v>
      </c>
      <c r="J488" s="244">
        <f>IF(H488="warranty",0,(I488*(_xlfn.SINGLE(SalesTaxPercentage))))</f>
        <v>0</v>
      </c>
      <c r="K488" s="696">
        <f t="shared" ref="K488" si="346">I488+J488</f>
        <v>0</v>
      </c>
      <c r="L488" s="696"/>
      <c r="M488" s="659" t="str">
        <f>IF(AND(G488&gt;0,E488=0),"WARNING - no PRICE inserted",IF(H488="free"," FREE ~ no charge this plant",IF(H488="credit",CONCATENATE(" -$",ROUND(K488*(1-T2GDiscount)*-1,2)," CREDIT after discount"),IF(T2GDiscount=0,"",IF(G488=0,"",IF(F488="Buy",CONCATENATE(" $",ROUND(K488*(1-T2GDiscount),2)," with ",(T2GDiscount*100),"% discount"),CONCATENATE(" $",ROUND(K488*(1-T2GDiscount),2)," with ",((T2GDiscount*100+F488*100)-(T2GDiscount*100*F488)),IF(F488&gt;0,"% discounts",IF(NoWarrantyDiscount&gt;0,"% discounts","% discount")))))))))</f>
        <v/>
      </c>
      <c r="N488" s="660"/>
      <c r="O488" s="233"/>
      <c r="P488" s="233"/>
      <c r="Q488" s="233"/>
      <c r="R488" s="233"/>
      <c r="S488" s="233"/>
      <c r="T488" s="508">
        <f t="shared" si="322"/>
        <v>0</v>
      </c>
      <c r="U488" s="225">
        <f>IF(NOT(ISNUMBER(G488)), "", VLOOKUP(A488,'Discount Lookup'!D:E,2,FALSE)*G488)</f>
        <v>0</v>
      </c>
      <c r="V488" s="225">
        <f>IF(NOT(ISNUMBER(G488)), "", VLOOKUP(A488,'Discount Lookup'!G:H,2,FALSE)*G488)</f>
        <v>0</v>
      </c>
      <c r="W488" s="508">
        <f t="shared" si="323"/>
        <v>0</v>
      </c>
      <c r="X488" s="508">
        <f t="shared" si="324"/>
        <v>0</v>
      </c>
      <c r="Y488" s="509" t="b">
        <f t="shared" si="325"/>
        <v>0</v>
      </c>
      <c r="Z488" s="510">
        <f t="shared" si="326"/>
        <v>0</v>
      </c>
      <c r="AA488" s="511"/>
      <c r="AB488" s="511" t="str">
        <f t="shared" si="327"/>
        <v/>
      </c>
      <c r="AC488" s="698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698"/>
      <c r="AE488" s="631" t="str">
        <f t="shared" si="328"/>
        <v/>
      </c>
      <c r="AF488" s="699" t="str">
        <f t="shared" si="329"/>
        <v/>
      </c>
      <c r="AG488" s="699"/>
      <c r="AH488" s="699"/>
      <c r="AI488" s="512">
        <f>IF(H488="credit",0,IF(AE488="free",0,IF(AE488="me",0,IF(G488&gt;0,(VLOOKUP(A488,'Discount Lookup'!J:K,2)*G488),0))))</f>
        <v>0</v>
      </c>
      <c r="AJ488" s="513" t="str">
        <f t="shared" ca="1" si="330"/>
        <v/>
      </c>
      <c r="AK488" s="700" t="str">
        <f t="shared" si="331"/>
        <v/>
      </c>
      <c r="AL488" s="700"/>
      <c r="AM488" s="505" t="str">
        <f t="shared" si="332"/>
        <v/>
      </c>
      <c r="AN488" s="506"/>
      <c r="AO488" s="507"/>
      <c r="AP488" s="507"/>
      <c r="AQ488" s="507"/>
      <c r="AR488" s="507"/>
      <c r="AS488" s="507"/>
      <c r="AT488" s="507"/>
      <c r="AU488" s="507"/>
      <c r="AV488" s="225"/>
      <c r="AW488" s="508"/>
      <c r="AX488" s="225"/>
      <c r="AY488" s="225"/>
      <c r="AZ488" s="225"/>
      <c r="BA488" s="225"/>
      <c r="BB488" s="225"/>
      <c r="BC488" s="56"/>
      <c r="BD488" s="56"/>
      <c r="BE488" s="56"/>
      <c r="BF488" s="107" t="str">
        <f t="shared" si="333"/>
        <v>https://www.google.com/search?tbm=isch&amp;q=3%20G2</v>
      </c>
      <c r="BG488" s="107" t="str">
        <f t="shared" si="334"/>
        <v>B</v>
      </c>
      <c r="BH488" s="254"/>
      <c r="BI488" s="254"/>
    </row>
    <row r="489" spans="1:61" customFormat="1" ht="17.25" thickBot="1" x14ac:dyDescent="0.3">
      <c r="A489" s="524" t="s">
        <v>4052</v>
      </c>
      <c r="B489" s="245"/>
      <c r="C489" s="677"/>
      <c r="D489" s="499"/>
      <c r="E489" s="499"/>
      <c r="F489" s="500"/>
      <c r="G489" s="501"/>
      <c r="H489" s="502"/>
      <c r="I489" s="246"/>
      <c r="J489" s="247"/>
      <c r="K489" s="503"/>
      <c r="L489" s="544"/>
      <c r="M489" s="544"/>
      <c r="N489" s="500"/>
      <c r="O489" s="500"/>
      <c r="P489" s="500"/>
      <c r="Q489" s="500"/>
      <c r="R489" s="500"/>
      <c r="S489" s="669" t="s">
        <v>4980</v>
      </c>
      <c r="T489" s="508">
        <f t="shared" si="322"/>
        <v>0</v>
      </c>
      <c r="U489" s="225" t="str">
        <f>IF(NOT(ISNUMBER(G489)), "", VLOOKUP(A489,'Discount Lookup'!D:E,2,FALSE)*G489)</f>
        <v/>
      </c>
      <c r="V489" s="225" t="str">
        <f>IF(NOT(ISNUMBER(G489)), "", VLOOKUP(A489,'Discount Lookup'!G:H,2,FALSE)*G489)</f>
        <v/>
      </c>
      <c r="W489" s="508">
        <f t="shared" si="323"/>
        <v>0</v>
      </c>
      <c r="X489" s="508">
        <f t="shared" si="324"/>
        <v>0</v>
      </c>
      <c r="Y489" s="509" t="b">
        <f t="shared" si="325"/>
        <v>0</v>
      </c>
      <c r="Z489" s="510">
        <f t="shared" si="326"/>
        <v>0</v>
      </c>
      <c r="AA489" s="511"/>
      <c r="AB489" s="511" t="str">
        <f t="shared" si="327"/>
        <v/>
      </c>
      <c r="AC489" s="698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698"/>
      <c r="AE489" s="631" t="str">
        <f t="shared" si="328"/>
        <v/>
      </c>
      <c r="AF489" s="699" t="str">
        <f t="shared" si="329"/>
        <v/>
      </c>
      <c r="AG489" s="699"/>
      <c r="AH489" s="699"/>
      <c r="AI489" s="512">
        <f>IF(H489="credit",0,IF(AE489="free",0,IF(AE489="me",0,IF(G489&gt;0,(VLOOKUP(A489,'Discount Lookup'!J:K,2)*G489),0))))</f>
        <v>0</v>
      </c>
      <c r="AJ489" s="513" t="str">
        <f t="shared" ca="1" si="330"/>
        <v/>
      </c>
      <c r="AK489" s="700" t="str">
        <f t="shared" si="331"/>
        <v/>
      </c>
      <c r="AL489" s="700"/>
      <c r="AM489" s="505" t="str">
        <f t="shared" si="332"/>
        <v/>
      </c>
      <c r="AN489" s="506"/>
      <c r="AO489" s="507"/>
      <c r="AP489" s="507"/>
      <c r="AQ489" s="507"/>
      <c r="AR489" s="507"/>
      <c r="AS489" s="507"/>
      <c r="AT489" s="507"/>
      <c r="AU489" s="507"/>
      <c r="AV489" s="225"/>
      <c r="AW489" s="508"/>
      <c r="AX489" s="225"/>
      <c r="AY489" s="225"/>
      <c r="AZ489" s="225"/>
      <c r="BA489" s="225"/>
      <c r="BB489" s="225"/>
      <c r="BC489" s="56"/>
      <c r="BD489" s="56"/>
      <c r="BE489" s="56"/>
      <c r="BF489" s="107" t="str">
        <f t="shared" si="333"/>
        <v>https://www.google.com/search?tbm=isch&amp;q=Drift%20Roses%20bloom%20all%20summer%20and%20don%27t%20need%20deadheading%2C%20Glossy%20Green%20foliage%20and%20thorns%20%28rabbits%20may%20still%20nibble%29.%20Cut%20back%20annually%20</v>
      </c>
      <c r="BG489" s="107" t="str">
        <f t="shared" si="334"/>
        <v>D</v>
      </c>
      <c r="BH489" s="254"/>
      <c r="BI489" s="254"/>
    </row>
    <row r="490" spans="1:61" customFormat="1" ht="18" x14ac:dyDescent="0.25">
      <c r="A490" s="523" t="s">
        <v>5358</v>
      </c>
      <c r="B490" s="235"/>
      <c r="C490" s="676"/>
      <c r="D490" s="255" t="s">
        <v>549</v>
      </c>
      <c r="E490" s="236"/>
      <c r="F490" s="236"/>
      <c r="G490" s="236"/>
      <c r="H490" s="582" t="s">
        <v>720</v>
      </c>
      <c r="I490" s="498" t="s">
        <v>3113</v>
      </c>
      <c r="J490" s="237"/>
      <c r="K490" s="237"/>
      <c r="L490" s="274"/>
      <c r="M490" s="668" t="s">
        <v>4975</v>
      </c>
      <c r="N490" s="681" t="str">
        <f>IF(AND(ISTEXT($A490), ISERROR($A490+0)), HYPERLINK($BF490, "Images"), "")</f>
        <v>Images</v>
      </c>
      <c r="O490" s="663" t="s">
        <v>4967</v>
      </c>
      <c r="P490" s="253"/>
      <c r="Q490" s="238"/>
      <c r="R490" s="239"/>
      <c r="S490" s="275"/>
      <c r="T490" s="508">
        <f t="shared" si="322"/>
        <v>0</v>
      </c>
      <c r="U490" s="225" t="str">
        <f>IF(NOT(ISNUMBER(G490)), "", VLOOKUP(A490,'Discount Lookup'!D:E,2,FALSE)*G490)</f>
        <v/>
      </c>
      <c r="V490" s="225" t="str">
        <f>IF(NOT(ISNUMBER(G490)), "", VLOOKUP(A490,'Discount Lookup'!G:H,2,FALSE)*G490)</f>
        <v/>
      </c>
      <c r="W490" s="508">
        <f t="shared" si="323"/>
        <v>0</v>
      </c>
      <c r="X490" s="508" t="str">
        <f t="shared" si="324"/>
        <v>White bloom ages to Pink</v>
      </c>
      <c r="Y490" s="509" t="b">
        <f t="shared" si="325"/>
        <v>0</v>
      </c>
      <c r="Z490" s="510">
        <f t="shared" si="326"/>
        <v>0</v>
      </c>
      <c r="AA490" s="511"/>
      <c r="AB490" s="511" t="str">
        <f t="shared" si="327"/>
        <v/>
      </c>
      <c r="AC490" s="698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698"/>
      <c r="AE490" s="631" t="str">
        <f t="shared" si="328"/>
        <v/>
      </c>
      <c r="AF490" s="699" t="str">
        <f t="shared" si="329"/>
        <v/>
      </c>
      <c r="AG490" s="699"/>
      <c r="AH490" s="699"/>
      <c r="AI490" s="512">
        <f>IF(H490="credit",0,IF(AE490="free",0,IF(AE490="me",0,IF(G490&gt;0,(VLOOKUP(A490,'Discount Lookup'!J:K,2)*G490),0))))</f>
        <v>0</v>
      </c>
      <c r="AJ490" s="513" t="str">
        <f t="shared" ca="1" si="330"/>
        <v/>
      </c>
      <c r="AK490" s="700" t="str">
        <f t="shared" si="331"/>
        <v/>
      </c>
      <c r="AL490" s="700"/>
      <c r="AM490" s="505" t="str">
        <f t="shared" si="332"/>
        <v/>
      </c>
      <c r="AN490" s="506"/>
      <c r="AO490" s="507"/>
      <c r="AP490" s="507"/>
      <c r="AQ490" s="507"/>
      <c r="AR490" s="507"/>
      <c r="AS490" s="507"/>
      <c r="AT490" s="507"/>
      <c r="AU490" s="507"/>
      <c r="AV490" s="225"/>
      <c r="AW490" s="508"/>
      <c r="AX490" s="225"/>
      <c r="AY490" s="225"/>
      <c r="AZ490" s="225"/>
      <c r="BA490" s="225"/>
      <c r="BB490" s="225"/>
      <c r="BC490" s="56"/>
      <c r="BD490" s="56"/>
      <c r="BE490" s="56"/>
      <c r="BF490" s="107" t="str">
        <f t="shared" si="333"/>
        <v>https://www.google.com/search?tbm=isch&amp;q=Bobo%C2%AE%20Hardy%20Hydrangea%20Hyd.%20paniculata%20%27ILVOBO%27%20PP%2322782</v>
      </c>
      <c r="BG490" s="107" t="str">
        <f t="shared" si="334"/>
        <v>B</v>
      </c>
      <c r="BH490" s="254"/>
      <c r="BI490" s="254"/>
    </row>
    <row r="491" spans="1:61" customFormat="1" ht="15.75" x14ac:dyDescent="0.25">
      <c r="A491" s="276">
        <v>3</v>
      </c>
      <c r="B491" s="240" t="s">
        <v>291</v>
      </c>
      <c r="C491" s="241" t="s">
        <v>2719</v>
      </c>
      <c r="D491" s="242" t="s">
        <v>297</v>
      </c>
      <c r="E491" s="243">
        <v>36.950000000000003</v>
      </c>
      <c r="F491" s="517" t="s">
        <v>293</v>
      </c>
      <c r="G491" s="232">
        <v>0</v>
      </c>
      <c r="H491" s="661" t="str">
        <f>IF(G491=0,"",IF(F491="Buy",IF(G491=1,"plant","plants"),IF(F491&gt;0.01,"warranty","Error")))</f>
        <v/>
      </c>
      <c r="I491" s="244">
        <f>IF(H491="free",0,IF(H491="credit",((E491*(F491))*G491*-1),IF(F491="Buy",(E491*G491),((E491*(1-F491))*G491))))</f>
        <v>0</v>
      </c>
      <c r="J491" s="244">
        <f>IF(H491="warranty",0,(I491*(_xlfn.SINGLE(SalesTaxPercentage))))</f>
        <v>0</v>
      </c>
      <c r="K491" s="696">
        <f t="shared" ref="K491" si="347">I491+J491</f>
        <v>0</v>
      </c>
      <c r="L491" s="696"/>
      <c r="M491" s="659" t="str">
        <f>IF(AND(G491&gt;0,E491=0),"WARNING - no PRICE inserted",IF(H491="free"," FREE ~ no charge this plant",IF(H491="credit",CONCATENATE(" -$",ROUND(K491*(1-T2GDiscount)*-1,2)," CREDIT after discount"),IF(T2GDiscount=0,"",IF(G491=0,"",IF(F491="Buy",CONCATENATE(" $",ROUND(K491*(1-T2GDiscount),2)," with ",(T2GDiscount*100),"% discount"),CONCATENATE(" $",ROUND(K491*(1-T2GDiscount),2)," with ",((T2GDiscount*100+F491*100)-(T2GDiscount*100*F491)),IF(F491&gt;0,"% discounts",IF(NoWarrantyDiscount&gt;0,"% discounts","% discount")))))))))</f>
        <v/>
      </c>
      <c r="N491" s="660"/>
      <c r="O491" s="233"/>
      <c r="P491" s="233"/>
      <c r="Q491" s="233"/>
      <c r="R491" s="233"/>
      <c r="S491" s="233"/>
      <c r="T491" s="508">
        <f t="shared" si="322"/>
        <v>0</v>
      </c>
      <c r="U491" s="225">
        <f>IF(NOT(ISNUMBER(G491)), "", VLOOKUP(A491,'Discount Lookup'!D:E,2,FALSE)*G491)</f>
        <v>0</v>
      </c>
      <c r="V491" s="225">
        <f>IF(NOT(ISNUMBER(G491)), "", VLOOKUP(A491,'Discount Lookup'!G:H,2,FALSE)*G491)</f>
        <v>0</v>
      </c>
      <c r="W491" s="508">
        <f t="shared" si="323"/>
        <v>0</v>
      </c>
      <c r="X491" s="508">
        <f t="shared" si="324"/>
        <v>0</v>
      </c>
      <c r="Y491" s="509" t="b">
        <f t="shared" si="325"/>
        <v>0</v>
      </c>
      <c r="Z491" s="510">
        <f t="shared" si="326"/>
        <v>0</v>
      </c>
      <c r="AA491" s="511"/>
      <c r="AB491" s="511" t="str">
        <f t="shared" si="327"/>
        <v/>
      </c>
      <c r="AC491" s="698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698"/>
      <c r="AE491" s="631" t="str">
        <f t="shared" si="328"/>
        <v/>
      </c>
      <c r="AF491" s="699" t="str">
        <f t="shared" si="329"/>
        <v/>
      </c>
      <c r="AG491" s="699"/>
      <c r="AH491" s="699"/>
      <c r="AI491" s="512">
        <f>IF(H491="credit",0,IF(AE491="free",0,IF(AE491="me",0,IF(G491&gt;0,(VLOOKUP(A491,'Discount Lookup'!J:K,2)*G491),0))))</f>
        <v>0</v>
      </c>
      <c r="AJ491" s="513" t="str">
        <f t="shared" ca="1" si="330"/>
        <v/>
      </c>
      <c r="AK491" s="700" t="str">
        <f t="shared" si="331"/>
        <v/>
      </c>
      <c r="AL491" s="700"/>
      <c r="AM491" s="505" t="str">
        <f t="shared" si="332"/>
        <v/>
      </c>
      <c r="AN491" s="506"/>
      <c r="AO491" s="507"/>
      <c r="AP491" s="507"/>
      <c r="AQ491" s="507"/>
      <c r="AR491" s="507"/>
      <c r="AS491" s="507"/>
      <c r="AT491" s="507"/>
      <c r="AU491" s="507"/>
      <c r="AV491" s="225"/>
      <c r="AW491" s="508"/>
      <c r="AX491" s="225"/>
      <c r="AY491" s="225"/>
      <c r="AZ491" s="225"/>
      <c r="BA491" s="225"/>
      <c r="BB491" s="225"/>
      <c r="BC491" s="56"/>
      <c r="BD491" s="56"/>
      <c r="BE491" s="56"/>
      <c r="BF491" s="107" t="str">
        <f t="shared" si="333"/>
        <v>https://www.google.com/search?tbm=isch&amp;q=3%20G3</v>
      </c>
      <c r="BG491" s="107" t="str">
        <f t="shared" si="334"/>
        <v>B</v>
      </c>
      <c r="BH491" s="254"/>
      <c r="BI491" s="254"/>
    </row>
    <row r="492" spans="1:61" customFormat="1" ht="15.75" x14ac:dyDescent="0.25">
      <c r="A492" s="276">
        <v>3</v>
      </c>
      <c r="B492" s="240" t="s">
        <v>291</v>
      </c>
      <c r="C492" s="241" t="s">
        <v>4602</v>
      </c>
      <c r="D492" s="242" t="s">
        <v>312</v>
      </c>
      <c r="E492" s="243">
        <v>42.95</v>
      </c>
      <c r="F492" s="517" t="s">
        <v>293</v>
      </c>
      <c r="G492" s="232">
        <v>0</v>
      </c>
      <c r="H492" s="661" t="str">
        <f>IF(G492=0,"",IF(F492="Buy",IF(G492=1,"plant","plants"),IF(F492&gt;0.01,"warranty","Error")))</f>
        <v/>
      </c>
      <c r="I492" s="244">
        <f>IF(H492="free",0,IF(H492="credit",((E492*(F492))*G492*-1),IF(F492="Buy",(E492*G492),((E492*(1-F492))*G492))))</f>
        <v>0</v>
      </c>
      <c r="J492" s="244">
        <f>IF(H492="warranty",0,(I492*(_xlfn.SINGLE(SalesTaxPercentage))))</f>
        <v>0</v>
      </c>
      <c r="K492" s="696">
        <f t="shared" ref="K492" si="348">I492+J492</f>
        <v>0</v>
      </c>
      <c r="L492" s="696"/>
      <c r="M492" s="659" t="str">
        <f>IF(AND(G492&gt;0,E492=0),"WARNING - no PRICE inserted",IF(H492="free"," FREE ~ no charge this plant",IF(H492="credit",CONCATENATE(" -$",ROUND(K492*(1-T2GDiscount)*-1,2)," CREDIT after discount"),IF(T2GDiscount=0,"",IF(G492=0,"",IF(F492="Buy",CONCATENATE(" $",ROUND(K492*(1-T2GDiscount),2)," with ",(T2GDiscount*100),"% discount"),CONCATENATE(" $",ROUND(K492*(1-T2GDiscount),2)," with ",((T2GDiscount*100+F492*100)-(T2GDiscount*100*F492)),IF(F492&gt;0,"% discounts",IF(NoWarrantyDiscount&gt;0,"% discounts","% discount")))))))))</f>
        <v/>
      </c>
      <c r="N492" s="660"/>
      <c r="O492" s="233"/>
      <c r="P492" s="233"/>
      <c r="Q492" s="233"/>
      <c r="R492" s="233"/>
      <c r="S492" s="233"/>
      <c r="T492" s="508">
        <f t="shared" si="322"/>
        <v>0</v>
      </c>
      <c r="U492" s="225">
        <f>IF(NOT(ISNUMBER(G492)), "", VLOOKUP(A492,'Discount Lookup'!D:E,2,FALSE)*G492)</f>
        <v>0</v>
      </c>
      <c r="V492" s="225">
        <f>IF(NOT(ISNUMBER(G492)), "", VLOOKUP(A492,'Discount Lookup'!G:H,2,FALSE)*G492)</f>
        <v>0</v>
      </c>
      <c r="W492" s="508">
        <f t="shared" si="323"/>
        <v>0</v>
      </c>
      <c r="X492" s="508">
        <f t="shared" si="324"/>
        <v>0</v>
      </c>
      <c r="Y492" s="509" t="b">
        <f t="shared" si="325"/>
        <v>0</v>
      </c>
      <c r="Z492" s="510">
        <f t="shared" si="326"/>
        <v>0</v>
      </c>
      <c r="AA492" s="511"/>
      <c r="AB492" s="511" t="str">
        <f t="shared" si="327"/>
        <v/>
      </c>
      <c r="AC492" s="698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698"/>
      <c r="AE492" s="631" t="str">
        <f t="shared" si="328"/>
        <v/>
      </c>
      <c r="AF492" s="699" t="str">
        <f t="shared" si="329"/>
        <v/>
      </c>
      <c r="AG492" s="699"/>
      <c r="AH492" s="699"/>
      <c r="AI492" s="512">
        <f>IF(H492="credit",0,IF(AE492="free",0,IF(AE492="me",0,IF(G492&gt;0,(VLOOKUP(A492,'Discount Lookup'!J:K,2)*G492),0))))</f>
        <v>0</v>
      </c>
      <c r="AJ492" s="513" t="str">
        <f t="shared" ca="1" si="330"/>
        <v/>
      </c>
      <c r="AK492" s="700" t="str">
        <f t="shared" si="331"/>
        <v/>
      </c>
      <c r="AL492" s="700"/>
      <c r="AM492" s="505" t="str">
        <f t="shared" si="332"/>
        <v/>
      </c>
      <c r="AN492" s="506"/>
      <c r="AO492" s="507"/>
      <c r="AP492" s="507"/>
      <c r="AQ492" s="507"/>
      <c r="AR492" s="507"/>
      <c r="AS492" s="507"/>
      <c r="AT492" s="507"/>
      <c r="AU492" s="507"/>
      <c r="AV492" s="225"/>
      <c r="AW492" s="508"/>
      <c r="AX492" s="225"/>
      <c r="AY492" s="225"/>
      <c r="AZ492" s="225"/>
      <c r="BA492" s="225"/>
      <c r="BB492" s="225"/>
      <c r="BC492" s="56"/>
      <c r="BD492" s="56"/>
      <c r="BE492" s="56"/>
      <c r="BF492" s="107" t="str">
        <f t="shared" si="333"/>
        <v>https://www.google.com/search?tbm=isch&amp;q=3%20G2</v>
      </c>
      <c r="BG492" s="107" t="str">
        <f t="shared" si="334"/>
        <v>B</v>
      </c>
      <c r="BH492" s="254"/>
      <c r="BI492" s="254"/>
    </row>
    <row r="493" spans="1:61" customFormat="1" ht="17.25" thickBot="1" x14ac:dyDescent="0.3">
      <c r="A493" s="524" t="s">
        <v>4053</v>
      </c>
      <c r="B493" s="245"/>
      <c r="C493" s="677"/>
      <c r="D493" s="499"/>
      <c r="E493" s="499"/>
      <c r="F493" s="500"/>
      <c r="G493" s="501"/>
      <c r="H493" s="502"/>
      <c r="I493" s="246"/>
      <c r="J493" s="247"/>
      <c r="K493" s="503"/>
      <c r="L493" s="544"/>
      <c r="M493" s="544"/>
      <c r="N493" s="500"/>
      <c r="O493" s="500"/>
      <c r="P493" s="500"/>
      <c r="Q493" s="500"/>
      <c r="R493" s="500"/>
      <c r="S493" s="278"/>
      <c r="T493" s="508">
        <f t="shared" si="322"/>
        <v>0</v>
      </c>
      <c r="U493" s="225" t="str">
        <f>IF(NOT(ISNUMBER(G493)), "", VLOOKUP(A493,'Discount Lookup'!D:E,2,FALSE)*G493)</f>
        <v/>
      </c>
      <c r="V493" s="225" t="str">
        <f>IF(NOT(ISNUMBER(G493)), "", VLOOKUP(A493,'Discount Lookup'!G:H,2,FALSE)*G493)</f>
        <v/>
      </c>
      <c r="W493" s="508">
        <f t="shared" si="323"/>
        <v>0</v>
      </c>
      <c r="X493" s="508">
        <f t="shared" si="324"/>
        <v>0</v>
      </c>
      <c r="Y493" s="509" t="b">
        <f t="shared" si="325"/>
        <v>0</v>
      </c>
      <c r="Z493" s="510">
        <f t="shared" si="326"/>
        <v>0</v>
      </c>
      <c r="AA493" s="511"/>
      <c r="AB493" s="511" t="str">
        <f t="shared" si="327"/>
        <v/>
      </c>
      <c r="AC493" s="698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698"/>
      <c r="AE493" s="631" t="str">
        <f t="shared" si="328"/>
        <v/>
      </c>
      <c r="AF493" s="699" t="str">
        <f t="shared" si="329"/>
        <v/>
      </c>
      <c r="AG493" s="699"/>
      <c r="AH493" s="699"/>
      <c r="AI493" s="512">
        <f>IF(H493="credit",0,IF(AE493="free",0,IF(AE493="me",0,IF(G493&gt;0,(VLOOKUP(A493,'Discount Lookup'!J:K,2)*G493),0))))</f>
        <v>0</v>
      </c>
      <c r="AJ493" s="513" t="str">
        <f t="shared" ca="1" si="330"/>
        <v/>
      </c>
      <c r="AK493" s="700" t="str">
        <f t="shared" si="331"/>
        <v/>
      </c>
      <c r="AL493" s="700"/>
      <c r="AM493" s="505" t="str">
        <f t="shared" si="332"/>
        <v/>
      </c>
      <c r="AN493" s="506"/>
      <c r="AO493" s="507"/>
      <c r="AP493" s="507"/>
      <c r="AQ493" s="507"/>
      <c r="AR493" s="507"/>
      <c r="AS493" s="507"/>
      <c r="AT493" s="507"/>
      <c r="AU493" s="507"/>
      <c r="AV493" s="225"/>
      <c r="AW493" s="508"/>
      <c r="AX493" s="225"/>
      <c r="AY493" s="225"/>
      <c r="AZ493" s="225"/>
      <c r="BA493" s="225"/>
      <c r="BB493" s="225"/>
      <c r="BC493" s="56"/>
      <c r="BD493" s="56"/>
      <c r="BE493" s="56"/>
      <c r="BF493" s="107" t="str">
        <f t="shared" si="333"/>
        <v>https://www.google.com/search?tbm=isch&amp;q=Bobo%20has%20Green%20foliage.%20All%20%22Hardy%22%20Hydrangea%20have%20cone-shaped%20flowers%20on%20new%20wood.%20Flowers%20change%20color%20with%20age.%20Extremely%20cold-hardy%20</v>
      </c>
      <c r="BG493" s="107" t="str">
        <f t="shared" si="334"/>
        <v>B</v>
      </c>
      <c r="BH493" s="254"/>
      <c r="BI493" s="254"/>
    </row>
    <row r="494" spans="1:61" customFormat="1" ht="18" x14ac:dyDescent="0.25">
      <c r="A494" s="523" t="s">
        <v>5359</v>
      </c>
      <c r="B494" s="235"/>
      <c r="C494" s="676"/>
      <c r="D494" s="255" t="s">
        <v>562</v>
      </c>
      <c r="E494" s="236"/>
      <c r="F494" s="236"/>
      <c r="G494" s="236"/>
      <c r="H494" s="582" t="s">
        <v>394</v>
      </c>
      <c r="I494" s="498" t="s">
        <v>3003</v>
      </c>
      <c r="J494" s="237"/>
      <c r="K494" s="237"/>
      <c r="L494" s="274"/>
      <c r="M494" s="668" t="s">
        <v>4962</v>
      </c>
      <c r="N494" s="681" t="str">
        <f>IF(AND(ISTEXT($A494), ISERROR($A494+0)), HYPERLINK($BF494, "Images"), "")</f>
        <v>Images</v>
      </c>
      <c r="O494" s="663" t="s">
        <v>4974</v>
      </c>
      <c r="P494" s="253"/>
      <c r="Q494" s="238"/>
      <c r="R494" s="239"/>
      <c r="S494" s="275"/>
      <c r="T494" s="508">
        <f t="shared" si="322"/>
        <v>0</v>
      </c>
      <c r="U494" s="225" t="str">
        <f>IF(NOT(ISNUMBER(G494)), "", VLOOKUP(A494,'Discount Lookup'!D:E,2,FALSE)*G494)</f>
        <v/>
      </c>
      <c r="V494" s="225" t="str">
        <f>IF(NOT(ISNUMBER(G494)), "", VLOOKUP(A494,'Discount Lookup'!G:H,2,FALSE)*G494)</f>
        <v/>
      </c>
      <c r="W494" s="508">
        <f t="shared" si="323"/>
        <v>0</v>
      </c>
      <c r="X494" s="508" t="str">
        <f t="shared" si="324"/>
        <v>White bloom, hint of Pink inner</v>
      </c>
      <c r="Y494" s="509" t="b">
        <f t="shared" si="325"/>
        <v>0</v>
      </c>
      <c r="Z494" s="510">
        <f t="shared" si="326"/>
        <v>0</v>
      </c>
      <c r="AA494" s="511"/>
      <c r="AB494" s="511" t="str">
        <f t="shared" si="327"/>
        <v/>
      </c>
      <c r="AC494" s="698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698"/>
      <c r="AE494" s="631" t="str">
        <f t="shared" si="328"/>
        <v/>
      </c>
      <c r="AF494" s="699" t="str">
        <f t="shared" si="329"/>
        <v/>
      </c>
      <c r="AG494" s="699"/>
      <c r="AH494" s="699"/>
      <c r="AI494" s="512">
        <f>IF(H494="credit",0,IF(AE494="free",0,IF(AE494="me",0,IF(G494&gt;0,(VLOOKUP(A494,'Discount Lookup'!J:K,2)*G494),0))))</f>
        <v>0</v>
      </c>
      <c r="AJ494" s="513" t="str">
        <f t="shared" ca="1" si="330"/>
        <v/>
      </c>
      <c r="AK494" s="700" t="str">
        <f t="shared" si="331"/>
        <v/>
      </c>
      <c r="AL494" s="700"/>
      <c r="AM494" s="505" t="str">
        <f t="shared" si="332"/>
        <v/>
      </c>
      <c r="AN494" s="506"/>
      <c r="AO494" s="507"/>
      <c r="AP494" s="507"/>
      <c r="AQ494" s="507"/>
      <c r="AR494" s="507"/>
      <c r="AS494" s="507"/>
      <c r="AT494" s="507"/>
      <c r="AU494" s="507"/>
      <c r="AV494" s="225"/>
      <c r="AW494" s="508"/>
      <c r="AX494" s="225"/>
      <c r="AY494" s="225"/>
      <c r="AZ494" s="225"/>
      <c r="BA494" s="225"/>
      <c r="BB494" s="225"/>
      <c r="BC494" s="56"/>
      <c r="BD494" s="56"/>
      <c r="BE494" s="56"/>
      <c r="BF494" s="107" t="str">
        <f t="shared" si="333"/>
        <v>https://www.google.com/search?tbm=isch&amp;q=Bolero%E2%84%A2%20Rose%20Rosa%20%27Meidelweis%27%20PP%2317841</v>
      </c>
      <c r="BG494" s="107" t="str">
        <f t="shared" si="334"/>
        <v>B</v>
      </c>
      <c r="BH494" s="254"/>
      <c r="BI494" s="254"/>
    </row>
    <row r="495" spans="1:61" customFormat="1" ht="15.75" x14ac:dyDescent="0.25">
      <c r="A495" s="276">
        <v>3</v>
      </c>
      <c r="B495" s="240" t="s">
        <v>291</v>
      </c>
      <c r="C495" s="241" t="s">
        <v>2402</v>
      </c>
      <c r="D495" s="242" t="s">
        <v>312</v>
      </c>
      <c r="E495" s="243">
        <v>43.95</v>
      </c>
      <c r="F495" s="517" t="s">
        <v>293</v>
      </c>
      <c r="G495" s="232">
        <v>0</v>
      </c>
      <c r="H495" s="661" t="str">
        <f>IF(G495=0,"",IF(F495="Buy",IF(G495=1,"plant","plants"),IF(F495&gt;0.01,"warranty","Error")))</f>
        <v/>
      </c>
      <c r="I495" s="244">
        <f>IF(H495="free",0,IF(H495="credit",((E495*(F495))*G495*-1),IF(F495="Buy",(E495*G495),((E495*(1-F495))*G495))))</f>
        <v>0</v>
      </c>
      <c r="J495" s="244">
        <f>IF(H495="warranty",0,(I495*(_xlfn.SINGLE(SalesTaxPercentage))))</f>
        <v>0</v>
      </c>
      <c r="K495" s="696">
        <f t="shared" ref="K495" si="349">I495+J495</f>
        <v>0</v>
      </c>
      <c r="L495" s="696"/>
      <c r="M495" s="659" t="str">
        <f>IF(AND(G495&gt;0,E495=0),"WARNING - no PRICE inserted",IF(H495="free"," FREE ~ no charge this plant",IF(H495="credit",CONCATENATE(" -$",ROUND(K495*(1-T2GDiscount)*-1,2)," CREDIT after discount"),IF(T2GDiscount=0,"",IF(G495=0,"",IF(F495="Buy",CONCATENATE(" $",ROUND(K495*(1-T2GDiscount),2)," with ",(T2GDiscount*100),"% discount"),CONCATENATE(" $",ROUND(K495*(1-T2GDiscount),2)," with ",((T2GDiscount*100+F495*100)-(T2GDiscount*100*F495)),IF(F495&gt;0,"% discounts",IF(NoWarrantyDiscount&gt;0,"% discounts","% discount")))))))))</f>
        <v/>
      </c>
      <c r="N495" s="660"/>
      <c r="O495" s="233"/>
      <c r="P495" s="233"/>
      <c r="Q495" s="233"/>
      <c r="R495" s="233"/>
      <c r="S495" s="233"/>
      <c r="T495" s="508">
        <f t="shared" si="322"/>
        <v>0</v>
      </c>
      <c r="U495" s="225">
        <f>IF(NOT(ISNUMBER(G495)), "", VLOOKUP(A495,'Discount Lookup'!D:E,2,FALSE)*G495)</f>
        <v>0</v>
      </c>
      <c r="V495" s="225">
        <f>IF(NOT(ISNUMBER(G495)), "", VLOOKUP(A495,'Discount Lookup'!G:H,2,FALSE)*G495)</f>
        <v>0</v>
      </c>
      <c r="W495" s="508">
        <f t="shared" si="323"/>
        <v>0</v>
      </c>
      <c r="X495" s="508">
        <f t="shared" si="324"/>
        <v>0</v>
      </c>
      <c r="Y495" s="509" t="b">
        <f t="shared" si="325"/>
        <v>0</v>
      </c>
      <c r="Z495" s="510">
        <f t="shared" si="326"/>
        <v>0</v>
      </c>
      <c r="AA495" s="511"/>
      <c r="AB495" s="511" t="str">
        <f t="shared" si="327"/>
        <v/>
      </c>
      <c r="AC495" s="698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698"/>
      <c r="AE495" s="631" t="str">
        <f t="shared" si="328"/>
        <v/>
      </c>
      <c r="AF495" s="699" t="str">
        <f t="shared" si="329"/>
        <v/>
      </c>
      <c r="AG495" s="699"/>
      <c r="AH495" s="699"/>
      <c r="AI495" s="512">
        <f>IF(H495="credit",0,IF(AE495="free",0,IF(AE495="me",0,IF(G495&gt;0,(VLOOKUP(A495,'Discount Lookup'!J:K,2)*G495),0))))</f>
        <v>0</v>
      </c>
      <c r="AJ495" s="513" t="str">
        <f t="shared" ca="1" si="330"/>
        <v/>
      </c>
      <c r="AK495" s="700" t="str">
        <f t="shared" si="331"/>
        <v/>
      </c>
      <c r="AL495" s="700"/>
      <c r="AM495" s="505" t="str">
        <f t="shared" si="332"/>
        <v/>
      </c>
      <c r="AN495" s="506"/>
      <c r="AO495" s="507"/>
      <c r="AP495" s="507"/>
      <c r="AQ495" s="507"/>
      <c r="AR495" s="507"/>
      <c r="AS495" s="507"/>
      <c r="AT495" s="507"/>
      <c r="AU495" s="507"/>
      <c r="AV495" s="225"/>
      <c r="AW495" s="508"/>
      <c r="AX495" s="225"/>
      <c r="AY495" s="225"/>
      <c r="AZ495" s="225"/>
      <c r="BA495" s="225"/>
      <c r="BB495" s="225"/>
      <c r="BC495" s="56"/>
      <c r="BD495" s="56"/>
      <c r="BE495" s="56"/>
      <c r="BF495" s="107" t="str">
        <f t="shared" si="333"/>
        <v>https://www.google.com/search?tbm=isch&amp;q=3%20G2</v>
      </c>
      <c r="BG495" s="107" t="str">
        <f t="shared" si="334"/>
        <v>B</v>
      </c>
      <c r="BH495" s="254"/>
      <c r="BI495" s="254"/>
    </row>
    <row r="496" spans="1:61" customFormat="1" ht="17.25" thickBot="1" x14ac:dyDescent="0.3">
      <c r="A496" s="524" t="s">
        <v>4054</v>
      </c>
      <c r="B496" s="245"/>
      <c r="C496" s="677"/>
      <c r="D496" s="499"/>
      <c r="E496" s="499"/>
      <c r="F496" s="500"/>
      <c r="G496" s="501"/>
      <c r="H496" s="502"/>
      <c r="I496" s="246"/>
      <c r="J496" s="247"/>
      <c r="K496" s="503"/>
      <c r="L496" s="544"/>
      <c r="M496" s="544"/>
      <c r="N496" s="500"/>
      <c r="O496" s="500"/>
      <c r="P496" s="500"/>
      <c r="Q496" s="500"/>
      <c r="R496" s="500"/>
      <c r="S496" s="669" t="s">
        <v>4980</v>
      </c>
      <c r="T496" s="508">
        <f t="shared" si="322"/>
        <v>0</v>
      </c>
      <c r="U496" s="225" t="str">
        <f>IF(NOT(ISNUMBER(G496)), "", VLOOKUP(A496,'Discount Lookup'!D:E,2,FALSE)*G496)</f>
        <v/>
      </c>
      <c r="V496" s="225" t="str">
        <f>IF(NOT(ISNUMBER(G496)), "", VLOOKUP(A496,'Discount Lookup'!G:H,2,FALSE)*G496)</f>
        <v/>
      </c>
      <c r="W496" s="508">
        <f t="shared" si="323"/>
        <v>0</v>
      </c>
      <c r="X496" s="508">
        <f t="shared" si="324"/>
        <v>0</v>
      </c>
      <c r="Y496" s="509" t="b">
        <f t="shared" si="325"/>
        <v>0</v>
      </c>
      <c r="Z496" s="510">
        <f t="shared" si="326"/>
        <v>0</v>
      </c>
      <c r="AA496" s="511"/>
      <c r="AB496" s="511" t="str">
        <f t="shared" si="327"/>
        <v/>
      </c>
      <c r="AC496" s="698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698"/>
      <c r="AE496" s="631" t="str">
        <f t="shared" si="328"/>
        <v/>
      </c>
      <c r="AF496" s="699" t="str">
        <f t="shared" si="329"/>
        <v/>
      </c>
      <c r="AG496" s="699"/>
      <c r="AH496" s="699"/>
      <c r="AI496" s="512">
        <f>IF(H496="credit",0,IF(AE496="free",0,IF(AE496="me",0,IF(G496&gt;0,(VLOOKUP(A496,'Discount Lookup'!J:K,2)*G496),0))))</f>
        <v>0</v>
      </c>
      <c r="AJ496" s="513" t="str">
        <f t="shared" ca="1" si="330"/>
        <v/>
      </c>
      <c r="AK496" s="700" t="str">
        <f t="shared" si="331"/>
        <v/>
      </c>
      <c r="AL496" s="700"/>
      <c r="AM496" s="505" t="str">
        <f t="shared" si="332"/>
        <v/>
      </c>
      <c r="AN496" s="506"/>
      <c r="AO496" s="507"/>
      <c r="AP496" s="507"/>
      <c r="AQ496" s="507"/>
      <c r="AR496" s="507"/>
      <c r="AS496" s="507"/>
      <c r="AT496" s="507"/>
      <c r="AU496" s="507"/>
      <c r="AV496" s="225"/>
      <c r="AW496" s="508"/>
      <c r="AX496" s="225"/>
      <c r="AY496" s="225"/>
      <c r="AZ496" s="225"/>
      <c r="BA496" s="225"/>
      <c r="BB496" s="225"/>
      <c r="BC496" s="56"/>
      <c r="BD496" s="56"/>
      <c r="BE496" s="56"/>
      <c r="BF496" s="107" t="str">
        <f t="shared" si="333"/>
        <v>https://www.google.com/search?tbm=isch&amp;q=Bolero%20has%20intensly%20traditional%20fragrance%2C%20hints%20of%20tropical%20fruit.%20Deadhead%20as%20needed.%20Thorny%20%28rabbits%20may%20still%20nibble%29.%20Cut%20back%20annually%20</v>
      </c>
      <c r="BG496" s="107" t="str">
        <f t="shared" si="334"/>
        <v>B</v>
      </c>
      <c r="BH496" s="254"/>
      <c r="BI496" s="254"/>
    </row>
    <row r="497" spans="1:61" customFormat="1" ht="18" x14ac:dyDescent="0.25">
      <c r="A497" s="521" t="s">
        <v>5360</v>
      </c>
      <c r="B497" s="477"/>
      <c r="C497" s="674"/>
      <c r="D497" s="478" t="s">
        <v>346</v>
      </c>
      <c r="E497" s="479"/>
      <c r="F497" s="479"/>
      <c r="G497" s="479"/>
      <c r="H497" s="582" t="s">
        <v>1441</v>
      </c>
      <c r="I497" s="480" t="s">
        <v>2093</v>
      </c>
      <c r="J497" s="479"/>
      <c r="K497" s="479"/>
      <c r="L497" s="560"/>
      <c r="M497" s="666" t="s">
        <v>4963</v>
      </c>
      <c r="N497" s="680" t="str">
        <f>IF(AND(ISTEXT($A497), ISERROR($A497+0)), HYPERLINK($BF497, "Images"), "")</f>
        <v>Images</v>
      </c>
      <c r="O497" s="662" t="s">
        <v>4967</v>
      </c>
      <c r="P497" s="482"/>
      <c r="Q497" s="483"/>
      <c r="R497" s="483"/>
      <c r="S497" s="484"/>
      <c r="T497" s="508">
        <f t="shared" si="322"/>
        <v>0</v>
      </c>
      <c r="U497" s="225" t="str">
        <f>IF(NOT(ISNUMBER(G497)), "", VLOOKUP(A497,'Discount Lookup'!D:E,2,FALSE)*G497)</f>
        <v/>
      </c>
      <c r="V497" s="225" t="str">
        <f>IF(NOT(ISNUMBER(G497)), "", VLOOKUP(A497,'Discount Lookup'!G:H,2,FALSE)*G497)</f>
        <v/>
      </c>
      <c r="W497" s="508">
        <f t="shared" si="323"/>
        <v>0</v>
      </c>
      <c r="X497" s="508" t="str">
        <f t="shared" si="324"/>
        <v>Dark Green foliage</v>
      </c>
      <c r="Y497" s="509" t="b">
        <f t="shared" si="325"/>
        <v>0</v>
      </c>
      <c r="Z497" s="510">
        <f t="shared" si="326"/>
        <v>0</v>
      </c>
      <c r="AA497" s="511"/>
      <c r="AB497" s="511" t="str">
        <f t="shared" si="327"/>
        <v/>
      </c>
      <c r="AC497" s="698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698"/>
      <c r="AE497" s="631" t="str">
        <f t="shared" si="328"/>
        <v/>
      </c>
      <c r="AF497" s="699" t="str">
        <f t="shared" si="329"/>
        <v/>
      </c>
      <c r="AG497" s="699"/>
      <c r="AH497" s="699"/>
      <c r="AI497" s="512">
        <f>IF(H497="credit",0,IF(AE497="free",0,IF(AE497="me",0,IF(G497&gt;0,(VLOOKUP(A497,'Discount Lookup'!J:K,2)*G497),0))))</f>
        <v>0</v>
      </c>
      <c r="AJ497" s="513" t="str">
        <f t="shared" ca="1" si="330"/>
        <v/>
      </c>
      <c r="AK497" s="700" t="str">
        <f t="shared" si="331"/>
        <v/>
      </c>
      <c r="AL497" s="700"/>
      <c r="AM497" s="505" t="str">
        <f t="shared" si="332"/>
        <v/>
      </c>
      <c r="AN497" s="506"/>
      <c r="AO497" s="507"/>
      <c r="AP497" s="507"/>
      <c r="AQ497" s="507"/>
      <c r="AR497" s="507"/>
      <c r="AS497" s="507"/>
      <c r="AT497" s="507"/>
      <c r="AU497" s="507"/>
      <c r="AV497" s="225"/>
      <c r="AW497" s="508"/>
      <c r="AX497" s="225"/>
      <c r="AY497" s="225"/>
      <c r="AZ497" s="225"/>
      <c r="BA497" s="225"/>
      <c r="BB497" s="225"/>
      <c r="BC497" s="56"/>
      <c r="BD497" s="56"/>
      <c r="BE497" s="56"/>
      <c r="BF497" s="107" t="str">
        <f t="shared" si="333"/>
        <v>https://www.google.com/search?tbm=isch&amp;q=Bonafide%E2%84%A2%20Arborvitae%20Thuja%20plicata%20x%20standishii%20%27Bonafide%27%20PP%2334073</v>
      </c>
      <c r="BG497" s="107" t="str">
        <f t="shared" si="334"/>
        <v>B</v>
      </c>
      <c r="BH497" s="254"/>
      <c r="BI497" s="254"/>
    </row>
    <row r="498" spans="1:61" customFormat="1" ht="15.75" x14ac:dyDescent="0.25">
      <c r="A498" s="485">
        <v>15</v>
      </c>
      <c r="B498" s="486" t="s">
        <v>291</v>
      </c>
      <c r="C498" s="487" t="s">
        <v>3975</v>
      </c>
      <c r="D498" s="488" t="s">
        <v>300</v>
      </c>
      <c r="E498" s="489">
        <v>308.95</v>
      </c>
      <c r="F498" s="516" t="s">
        <v>293</v>
      </c>
      <c r="G498" s="232">
        <v>0</v>
      </c>
      <c r="H498" s="658" t="str">
        <f>IF(G498=0,"",IF(F498="Buy",IF(G498=1,"plant","plants"),IF(F498&gt;0.01,"warranty","Error")))</f>
        <v/>
      </c>
      <c r="I498" s="490">
        <f>IF(H498="free",0,IF(H498="credit",((E498*(F498))*G498*-1),IF(F498="Buy",(E498*G498),((E498*(1-F498))*G498))))</f>
        <v>0</v>
      </c>
      <c r="J498" s="490">
        <f>IF(H498="warranty",0,(I498*(_xlfn.SINGLE(SalesTaxPercentage))))</f>
        <v>0</v>
      </c>
      <c r="K498" s="695">
        <f t="shared" ref="K498" si="350">I498+J498</f>
        <v>0</v>
      </c>
      <c r="L498" s="695"/>
      <c r="M498" s="659" t="str">
        <f>IF(AND(G498&gt;0,E498=0),"WARNING - no PRICE inserted",IF(H498="free"," FREE ~ no charge this plant",IF(H498="credit",CONCATENATE(" -$",ROUND(K498*(1-T2GDiscount)*-1,2)," CREDIT after discount"),IF(T2GDiscount=0,"",IF(G498=0,"",IF(F498="Buy",CONCATENATE(" $",ROUND(K498*(1-T2GDiscount),2)," with ",(T2GDiscount*100),"% discount"),CONCATENATE(" $",ROUND(K498*(1-T2GDiscount),2)," with ",((T2GDiscount*100+F498*100)-(T2GDiscount*100*F498)),IF(F498&gt;0,"% discounts",IF(NoWarrantyDiscount&gt;0,"% discounts","% discount")))))))))</f>
        <v/>
      </c>
      <c r="N498" s="660"/>
      <c r="O498" s="233"/>
      <c r="P498" s="233"/>
      <c r="Q498" s="233"/>
      <c r="R498" s="233"/>
      <c r="S498" s="233"/>
      <c r="T498" s="508">
        <f t="shared" si="322"/>
        <v>0</v>
      </c>
      <c r="U498" s="225">
        <f>IF(NOT(ISNUMBER(G498)), "", VLOOKUP(A498,'Discount Lookup'!D:E,2,FALSE)*G498)</f>
        <v>0</v>
      </c>
      <c r="V498" s="225">
        <f>IF(NOT(ISNUMBER(G498)), "", VLOOKUP(A498,'Discount Lookup'!G:H,2,FALSE)*G498)</f>
        <v>0</v>
      </c>
      <c r="W498" s="508">
        <f t="shared" si="323"/>
        <v>0</v>
      </c>
      <c r="X498" s="508">
        <f t="shared" si="324"/>
        <v>0</v>
      </c>
      <c r="Y498" s="509" t="b">
        <f t="shared" si="325"/>
        <v>0</v>
      </c>
      <c r="Z498" s="510">
        <f t="shared" si="326"/>
        <v>0</v>
      </c>
      <c r="AA498" s="511"/>
      <c r="AB498" s="511" t="str">
        <f t="shared" si="327"/>
        <v/>
      </c>
      <c r="AC498" s="698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698"/>
      <c r="AE498" s="631" t="str">
        <f t="shared" si="328"/>
        <v/>
      </c>
      <c r="AF498" s="699" t="str">
        <f t="shared" si="329"/>
        <v/>
      </c>
      <c r="AG498" s="699"/>
      <c r="AH498" s="699"/>
      <c r="AI498" s="512">
        <f>IF(H498="credit",0,IF(AE498="free",0,IF(AE498="me",0,IF(G498&gt;0,(VLOOKUP(A498,'Discount Lookup'!J:K,2)*G498),0))))</f>
        <v>0</v>
      </c>
      <c r="AJ498" s="513" t="str">
        <f t="shared" ca="1" si="330"/>
        <v/>
      </c>
      <c r="AK498" s="700" t="str">
        <f t="shared" si="331"/>
        <v/>
      </c>
      <c r="AL498" s="700"/>
      <c r="AM498" s="505" t="str">
        <f t="shared" si="332"/>
        <v/>
      </c>
      <c r="AN498" s="506"/>
      <c r="AO498" s="507"/>
      <c r="AP498" s="507"/>
      <c r="AQ498" s="507"/>
      <c r="AR498" s="507"/>
      <c r="AS498" s="507"/>
      <c r="AT498" s="507"/>
      <c r="AU498" s="507"/>
      <c r="AV498" s="225"/>
      <c r="AW498" s="508"/>
      <c r="AX498" s="225"/>
      <c r="AY498" s="225"/>
      <c r="AZ498" s="225"/>
      <c r="BA498" s="225"/>
      <c r="BB498" s="225"/>
      <c r="BC498" s="56"/>
      <c r="BD498" s="56"/>
      <c r="BE498" s="56"/>
      <c r="BF498" s="107" t="str">
        <f t="shared" si="333"/>
        <v>https://www.google.com/search?tbm=isch&amp;q=15%20G6</v>
      </c>
      <c r="BG498" s="107" t="str">
        <f t="shared" si="334"/>
        <v>B</v>
      </c>
      <c r="BH498" s="254"/>
      <c r="BI498" s="254"/>
    </row>
    <row r="499" spans="1:61" customFormat="1" ht="15.75" x14ac:dyDescent="0.25">
      <c r="A499" s="485">
        <v>25</v>
      </c>
      <c r="B499" s="486" t="s">
        <v>291</v>
      </c>
      <c r="C499" s="487" t="s">
        <v>1267</v>
      </c>
      <c r="D499" s="488" t="s">
        <v>300</v>
      </c>
      <c r="E499" s="489">
        <v>403.95</v>
      </c>
      <c r="F499" s="516" t="s">
        <v>293</v>
      </c>
      <c r="G499" s="232">
        <v>0</v>
      </c>
      <c r="H499" s="658" t="str">
        <f>IF(G499=0,"",IF(F499="Buy",IF(G499=1,"plant","plants"),IF(F499&gt;0.01,"warranty","Error")))</f>
        <v/>
      </c>
      <c r="I499" s="490">
        <f>IF(H499="free",0,IF(H499="credit",((E499*(F499))*G499*-1),IF(F499="Buy",(E499*G499),((E499*(1-F499))*G499))))</f>
        <v>0</v>
      </c>
      <c r="J499" s="490">
        <f>IF(H499="warranty",0,(I499*(_xlfn.SINGLE(SalesTaxPercentage))))</f>
        <v>0</v>
      </c>
      <c r="K499" s="695">
        <f t="shared" ref="K499" si="351">I499+J499</f>
        <v>0</v>
      </c>
      <c r="L499" s="695"/>
      <c r="M499" s="659" t="str">
        <f>IF(AND(G499&gt;0,E499=0),"WARNING - no PRICE inserted",IF(H499="free"," FREE ~ no charge this plant",IF(H499="credit",CONCATENATE(" -$",ROUND(K499*(1-T2GDiscount)*-1,2)," CREDIT after discount"),IF(T2GDiscount=0,"",IF(G499=0,"",IF(F499="Buy",CONCATENATE(" $",ROUND(K499*(1-T2GDiscount),2)," with ",(T2GDiscount*100),"% discount"),CONCATENATE(" $",ROUND(K499*(1-T2GDiscount),2)," with ",((T2GDiscount*100+F499*100)-(T2GDiscount*100*F499)),IF(F499&gt;0,"% discounts",IF(NoWarrantyDiscount&gt;0,"% discounts","% discount")))))))))</f>
        <v/>
      </c>
      <c r="N499" s="660"/>
      <c r="O499" s="233"/>
      <c r="P499" s="233"/>
      <c r="Q499" s="233"/>
      <c r="R499" s="233"/>
      <c r="S499" s="233"/>
      <c r="T499" s="508">
        <f t="shared" si="322"/>
        <v>0</v>
      </c>
      <c r="U499" s="225">
        <f>IF(NOT(ISNUMBER(G499)), "", VLOOKUP(A499,'Discount Lookup'!D:E,2,FALSE)*G499)</f>
        <v>0</v>
      </c>
      <c r="V499" s="225">
        <f>IF(NOT(ISNUMBER(G499)), "", VLOOKUP(A499,'Discount Lookup'!G:H,2,FALSE)*G499)</f>
        <v>0</v>
      </c>
      <c r="W499" s="508">
        <f t="shared" si="323"/>
        <v>0</v>
      </c>
      <c r="X499" s="508">
        <f t="shared" si="324"/>
        <v>0</v>
      </c>
      <c r="Y499" s="509" t="b">
        <f t="shared" si="325"/>
        <v>0</v>
      </c>
      <c r="Z499" s="510">
        <f t="shared" si="326"/>
        <v>0</v>
      </c>
      <c r="AA499" s="511"/>
      <c r="AB499" s="511" t="str">
        <f t="shared" si="327"/>
        <v/>
      </c>
      <c r="AC499" s="698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698"/>
      <c r="AE499" s="631" t="str">
        <f t="shared" si="328"/>
        <v/>
      </c>
      <c r="AF499" s="699" t="str">
        <f t="shared" si="329"/>
        <v/>
      </c>
      <c r="AG499" s="699"/>
      <c r="AH499" s="699"/>
      <c r="AI499" s="512">
        <f>IF(H499="credit",0,IF(AE499="free",0,IF(AE499="me",0,IF(G499&gt;0,(VLOOKUP(A499,'Discount Lookup'!J:K,2)*G499),0))))</f>
        <v>0</v>
      </c>
      <c r="AJ499" s="513" t="str">
        <f t="shared" ca="1" si="330"/>
        <v/>
      </c>
      <c r="AK499" s="700" t="str">
        <f t="shared" si="331"/>
        <v/>
      </c>
      <c r="AL499" s="700"/>
      <c r="AM499" s="505" t="str">
        <f t="shared" si="332"/>
        <v/>
      </c>
      <c r="AN499" s="506"/>
      <c r="AO499" s="507"/>
      <c r="AP499" s="507"/>
      <c r="AQ499" s="507"/>
      <c r="AR499" s="507"/>
      <c r="AS499" s="507"/>
      <c r="AT499" s="507"/>
      <c r="AU499" s="507"/>
      <c r="AV499" s="225"/>
      <c r="AW499" s="508"/>
      <c r="AX499" s="225"/>
      <c r="AY499" s="225"/>
      <c r="AZ499" s="225"/>
      <c r="BA499" s="225"/>
      <c r="BB499" s="225"/>
      <c r="BC499" s="56"/>
      <c r="BD499" s="56"/>
      <c r="BE499" s="56"/>
      <c r="BF499" s="107" t="str">
        <f t="shared" si="333"/>
        <v>https://www.google.com/search?tbm=isch&amp;q=25%20G6</v>
      </c>
      <c r="BG499" s="107" t="str">
        <f t="shared" si="334"/>
        <v>B</v>
      </c>
      <c r="BH499" s="254"/>
      <c r="BI499" s="254"/>
    </row>
    <row r="500" spans="1:61" customFormat="1" ht="15.75" x14ac:dyDescent="0.25">
      <c r="A500" s="485">
        <v>45</v>
      </c>
      <c r="B500" s="486" t="s">
        <v>291</v>
      </c>
      <c r="C500" s="487" t="s">
        <v>3052</v>
      </c>
      <c r="D500" s="488" t="s">
        <v>300</v>
      </c>
      <c r="E500" s="489">
        <v>665.95</v>
      </c>
      <c r="F500" s="516" t="s">
        <v>293</v>
      </c>
      <c r="G500" s="232">
        <v>0</v>
      </c>
      <c r="H500" s="658" t="str">
        <f>IF(G500=0,"",IF(F500="Buy",IF(G500=1,"plant","plants"),IF(F500&gt;0.01,"warranty","Error")))</f>
        <v/>
      </c>
      <c r="I500" s="490">
        <f>IF(H500="free",0,IF(H500="credit",((E500*(F500))*G500*-1),IF(F500="Buy",(E500*G500),((E500*(1-F500))*G500))))</f>
        <v>0</v>
      </c>
      <c r="J500" s="490">
        <f>IF(H500="warranty",0,(I500*(_xlfn.SINGLE(SalesTaxPercentage))))</f>
        <v>0</v>
      </c>
      <c r="K500" s="695">
        <f t="shared" ref="K500" si="352">I500+J500</f>
        <v>0</v>
      </c>
      <c r="L500" s="695"/>
      <c r="M500" s="659" t="str">
        <f>IF(AND(G500&gt;0,E500=0),"WARNING - no PRICE inserted",IF(H500="free"," FREE ~ no charge this plant",IF(H500="credit",CONCATENATE(" -$",ROUND(K500*(1-T2GDiscount)*-1,2)," CREDIT after discount"),IF(T2GDiscount=0,"",IF(G500=0,"",IF(F500="Buy",CONCATENATE(" $",ROUND(K500*(1-T2GDiscount),2)," with ",(T2GDiscount*100),"% discount"),CONCATENATE(" $",ROUND(K500*(1-T2GDiscount),2)," with ",((T2GDiscount*100+F500*100)-(T2GDiscount*100*F500)),IF(F500&gt;0,"% discounts",IF(NoWarrantyDiscount&gt;0,"% discounts","% discount")))))))))</f>
        <v/>
      </c>
      <c r="N500" s="660"/>
      <c r="O500" s="233"/>
      <c r="P500" s="233"/>
      <c r="Q500" s="233"/>
      <c r="R500" s="233"/>
      <c r="S500" s="233"/>
      <c r="T500" s="508">
        <f t="shared" si="322"/>
        <v>0</v>
      </c>
      <c r="U500" s="225">
        <f>IF(NOT(ISNUMBER(G500)), "", VLOOKUP(A500,'Discount Lookup'!D:E,2,FALSE)*G500)</f>
        <v>0</v>
      </c>
      <c r="V500" s="225">
        <f>IF(NOT(ISNUMBER(G500)), "", VLOOKUP(A500,'Discount Lookup'!G:H,2,FALSE)*G500)</f>
        <v>0</v>
      </c>
      <c r="W500" s="508">
        <f t="shared" si="323"/>
        <v>0</v>
      </c>
      <c r="X500" s="508">
        <f t="shared" si="324"/>
        <v>0</v>
      </c>
      <c r="Y500" s="509" t="b">
        <f t="shared" si="325"/>
        <v>0</v>
      </c>
      <c r="Z500" s="510">
        <f t="shared" si="326"/>
        <v>0</v>
      </c>
      <c r="AA500" s="511"/>
      <c r="AB500" s="511" t="str">
        <f t="shared" si="327"/>
        <v/>
      </c>
      <c r="AC500" s="698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698"/>
      <c r="AE500" s="631" t="str">
        <f t="shared" si="328"/>
        <v/>
      </c>
      <c r="AF500" s="699" t="str">
        <f t="shared" si="329"/>
        <v/>
      </c>
      <c r="AG500" s="699"/>
      <c r="AH500" s="699"/>
      <c r="AI500" s="512">
        <f>IF(H500="credit",0,IF(AE500="free",0,IF(AE500="me",0,IF(G500&gt;0,(VLOOKUP(A500,'Discount Lookup'!J:K,2)*G500),0))))</f>
        <v>0</v>
      </c>
      <c r="AJ500" s="513" t="str">
        <f t="shared" ca="1" si="330"/>
        <v/>
      </c>
      <c r="AK500" s="700" t="str">
        <f t="shared" si="331"/>
        <v/>
      </c>
      <c r="AL500" s="700"/>
      <c r="AM500" s="505" t="str">
        <f t="shared" si="332"/>
        <v/>
      </c>
      <c r="AN500" s="506"/>
      <c r="AO500" s="507"/>
      <c r="AP500" s="507"/>
      <c r="AQ500" s="507"/>
      <c r="AR500" s="507"/>
      <c r="AS500" s="507"/>
      <c r="AT500" s="507"/>
      <c r="AU500" s="507"/>
      <c r="AV500" s="225"/>
      <c r="AW500" s="508"/>
      <c r="AX500" s="225"/>
      <c r="AY500" s="225"/>
      <c r="AZ500" s="225"/>
      <c r="BA500" s="225"/>
      <c r="BB500" s="225"/>
      <c r="BC500" s="56"/>
      <c r="BD500" s="56"/>
      <c r="BE500" s="56"/>
      <c r="BF500" s="107" t="str">
        <f t="shared" si="333"/>
        <v>https://www.google.com/search?tbm=isch&amp;q=45%20G6</v>
      </c>
      <c r="BG500" s="107" t="str">
        <f t="shared" si="334"/>
        <v>B</v>
      </c>
      <c r="BH500" s="254"/>
      <c r="BI500" s="254"/>
    </row>
    <row r="501" spans="1:61" customFormat="1" ht="16.5" thickBot="1" x14ac:dyDescent="0.3">
      <c r="A501" s="672" t="s">
        <v>5067</v>
      </c>
      <c r="B501" s="491"/>
      <c r="C501" s="675"/>
      <c r="D501" s="491"/>
      <c r="E501" s="491"/>
      <c r="F501" s="492"/>
      <c r="G501" s="493"/>
      <c r="H501" s="491"/>
      <c r="I501" s="234"/>
      <c r="J501" s="234"/>
      <c r="K501" s="494"/>
      <c r="L501" s="543"/>
      <c r="M501" s="561"/>
      <c r="N501" s="495"/>
      <c r="O501" s="496"/>
      <c r="P501" s="497"/>
      <c r="Q501" s="495"/>
      <c r="R501" s="495"/>
      <c r="S501" s="277"/>
      <c r="T501" s="508">
        <f t="shared" si="322"/>
        <v>0</v>
      </c>
      <c r="U501" s="225" t="str">
        <f>IF(NOT(ISNUMBER(G501)), "", VLOOKUP(A501,'Discount Lookup'!D:E,2,FALSE)*G501)</f>
        <v/>
      </c>
      <c r="V501" s="225" t="str">
        <f>IF(NOT(ISNUMBER(G501)), "", VLOOKUP(A501,'Discount Lookup'!G:H,2,FALSE)*G501)</f>
        <v/>
      </c>
      <c r="W501" s="508">
        <f t="shared" si="323"/>
        <v>0</v>
      </c>
      <c r="X501" s="508">
        <f t="shared" si="324"/>
        <v>0</v>
      </c>
      <c r="Y501" s="509" t="b">
        <f t="shared" si="325"/>
        <v>0</v>
      </c>
      <c r="Z501" s="510">
        <f t="shared" si="326"/>
        <v>0</v>
      </c>
      <c r="AA501" s="511"/>
      <c r="AB501" s="511" t="str">
        <f t="shared" si="327"/>
        <v/>
      </c>
      <c r="AC501" s="698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698"/>
      <c r="AE501" s="631" t="str">
        <f t="shared" si="328"/>
        <v/>
      </c>
      <c r="AF501" s="699" t="str">
        <f t="shared" si="329"/>
        <v/>
      </c>
      <c r="AG501" s="699"/>
      <c r="AH501" s="699"/>
      <c r="AI501" s="512">
        <f>IF(H501="credit",0,IF(AE501="free",0,IF(AE501="me",0,IF(G501&gt;0,(VLOOKUP(A501,'Discount Lookup'!J:K,2)*G501),0))))</f>
        <v>0</v>
      </c>
      <c r="AJ501" s="513" t="str">
        <f t="shared" ca="1" si="330"/>
        <v/>
      </c>
      <c r="AK501" s="700" t="str">
        <f t="shared" si="331"/>
        <v/>
      </c>
      <c r="AL501" s="700"/>
      <c r="AM501" s="505" t="str">
        <f t="shared" si="332"/>
        <v/>
      </c>
      <c r="AN501" s="506"/>
      <c r="AO501" s="507"/>
      <c r="AP501" s="507"/>
      <c r="AQ501" s="507"/>
      <c r="AR501" s="507"/>
      <c r="AS501" s="507"/>
      <c r="AT501" s="507"/>
      <c r="AU501" s="507"/>
      <c r="AV501" s="225"/>
      <c r="AW501" s="508"/>
      <c r="AX501" s="225"/>
      <c r="AY501" s="225"/>
      <c r="AZ501" s="225"/>
      <c r="BA501" s="225"/>
      <c r="BB501" s="225"/>
      <c r="BC501" s="56"/>
      <c r="BD501" s="56"/>
      <c r="BE501" s="56"/>
      <c r="BF501" s="107" t="str">
        <f t="shared" si="333"/>
        <v>https://www.google.com/search?tbm=isch&amp;q=moist%20sites%F0%9F%92%A7OK%2C%20Bonafide%20was%20developed%20as%20a%20%221%2F2%20Green%20Giant%22%2C%20with%20dense%20vibrant%20foliage%20that%20resists%20winter%20bronzing%20</v>
      </c>
      <c r="BG501" s="107" t="str">
        <f t="shared" si="334"/>
        <v>m</v>
      </c>
      <c r="BH501" s="254"/>
      <c r="BI501" s="254"/>
    </row>
    <row r="502" spans="1:61" customFormat="1" ht="18" x14ac:dyDescent="0.25">
      <c r="A502" s="523" t="s">
        <v>4310</v>
      </c>
      <c r="B502" s="235"/>
      <c r="C502" s="676"/>
      <c r="D502" s="255" t="s">
        <v>4311</v>
      </c>
      <c r="E502" s="236"/>
      <c r="F502" s="236"/>
      <c r="G502" s="236"/>
      <c r="H502" s="582" t="s">
        <v>321</v>
      </c>
      <c r="I502" s="498" t="s">
        <v>2118</v>
      </c>
      <c r="J502" s="237"/>
      <c r="K502" s="237"/>
      <c r="L502" s="274"/>
      <c r="M502" s="668" t="s">
        <v>4975</v>
      </c>
      <c r="N502" s="681" t="str">
        <f>IF(AND(ISTEXT($A502), ISERROR($A502+0)), HYPERLINK($BF502, "Images"), "")</f>
        <v>Images</v>
      </c>
      <c r="O502" s="663" t="s">
        <v>4974</v>
      </c>
      <c r="P502" s="253"/>
      <c r="Q502" s="238"/>
      <c r="R502" s="239"/>
      <c r="S502" s="275"/>
      <c r="T502" s="508">
        <f t="shared" si="322"/>
        <v>0</v>
      </c>
      <c r="U502" s="225" t="str">
        <f>IF(NOT(ISNUMBER(G502)), "", VLOOKUP(A502,'Discount Lookup'!D:E,2,FALSE)*G502)</f>
        <v/>
      </c>
      <c r="V502" s="225" t="str">
        <f>IF(NOT(ISNUMBER(G502)), "", VLOOKUP(A502,'Discount Lookup'!G:H,2,FALSE)*G502)</f>
        <v/>
      </c>
      <c r="W502" s="508">
        <f t="shared" si="323"/>
        <v>0</v>
      </c>
      <c r="X502" s="508" t="str">
        <f t="shared" si="324"/>
        <v>Rose-Pink bloom</v>
      </c>
      <c r="Y502" s="509" t="b">
        <f t="shared" si="325"/>
        <v>0</v>
      </c>
      <c r="Z502" s="510">
        <f t="shared" si="326"/>
        <v>0</v>
      </c>
      <c r="AA502" s="511"/>
      <c r="AB502" s="511" t="str">
        <f t="shared" si="327"/>
        <v/>
      </c>
      <c r="AC502" s="698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698"/>
      <c r="AE502" s="631" t="str">
        <f t="shared" si="328"/>
        <v/>
      </c>
      <c r="AF502" s="699" t="str">
        <f t="shared" si="329"/>
        <v/>
      </c>
      <c r="AG502" s="699"/>
      <c r="AH502" s="699"/>
      <c r="AI502" s="512">
        <f>IF(H502="credit",0,IF(AE502="free",0,IF(AE502="me",0,IF(G502&gt;0,(VLOOKUP(A502,'Discount Lookup'!J:K,2)*G502),0))))</f>
        <v>0</v>
      </c>
      <c r="AJ502" s="513" t="str">
        <f t="shared" ca="1" si="330"/>
        <v/>
      </c>
      <c r="AK502" s="700" t="str">
        <f t="shared" si="331"/>
        <v/>
      </c>
      <c r="AL502" s="700"/>
      <c r="AM502" s="505" t="str">
        <f t="shared" si="332"/>
        <v/>
      </c>
      <c r="AN502" s="506"/>
      <c r="AO502" s="507"/>
      <c r="AP502" s="507"/>
      <c r="AQ502" s="507"/>
      <c r="AR502" s="507"/>
      <c r="AS502" s="507"/>
      <c r="AT502" s="507"/>
      <c r="AU502" s="507"/>
      <c r="AV502" s="225"/>
      <c r="AW502" s="508"/>
      <c r="AX502" s="225"/>
      <c r="AY502" s="225"/>
      <c r="AZ502" s="225"/>
      <c r="BA502" s="225"/>
      <c r="BB502" s="225"/>
      <c r="BC502" s="56"/>
      <c r="BD502" s="56"/>
      <c r="BE502" s="56"/>
      <c r="BF502" s="107" t="str">
        <f t="shared" si="333"/>
        <v>https://www.google.com/search?tbm=isch&amp;q=Bonita%20Flowering%20Apricot%20Prunus%20mume%20%27Bonita%27</v>
      </c>
      <c r="BG502" s="107" t="str">
        <f t="shared" si="334"/>
        <v>B</v>
      </c>
      <c r="BH502" s="254"/>
      <c r="BI502" s="254"/>
    </row>
    <row r="503" spans="1:61" customFormat="1" ht="15.75" x14ac:dyDescent="0.25">
      <c r="A503" s="276">
        <v>10</v>
      </c>
      <c r="B503" s="240" t="s">
        <v>291</v>
      </c>
      <c r="C503" s="241" t="s">
        <v>4312</v>
      </c>
      <c r="D503" s="242" t="s">
        <v>292</v>
      </c>
      <c r="E503" s="243">
        <v>146.94999999999999</v>
      </c>
      <c r="F503" s="517" t="s">
        <v>293</v>
      </c>
      <c r="G503" s="232">
        <v>0</v>
      </c>
      <c r="H503" s="661" t="str">
        <f>IF(G503=0,"",IF(F503="Buy",IF(G503=1,"plant","plants"),IF(F503&gt;0.01,"warranty","Error")))</f>
        <v/>
      </c>
      <c r="I503" s="244">
        <f>IF(H503="free",0,IF(H503="credit",((E503*(F503))*G503*-1),IF(F503="Buy",(E503*G503),((E503*(1-F503))*G503))))</f>
        <v>0</v>
      </c>
      <c r="J503" s="244">
        <f>IF(H503="warranty",0,(I503*(_xlfn.SINGLE(SalesTaxPercentage))))</f>
        <v>0</v>
      </c>
      <c r="K503" s="696">
        <f t="shared" ref="K503" si="353">I503+J503</f>
        <v>0</v>
      </c>
      <c r="L503" s="696"/>
      <c r="M503" s="659" t="str">
        <f>IF(AND(G503&gt;0,E503=0),"WARNING - no PRICE inserted",IF(H503="free"," FREE ~ no charge this plant",IF(H503="credit",CONCATENATE(" -$",ROUND(K503*(1-T2GDiscount)*-1,2)," CREDIT after discount"),IF(T2GDiscount=0,"",IF(G503=0,"",IF(F503="Buy",CONCATENATE(" $",ROUND(K503*(1-T2GDiscount),2)," with ",(T2GDiscount*100),"% discount"),CONCATENATE(" $",ROUND(K503*(1-T2GDiscount),2)," with ",((T2GDiscount*100+F503*100)-(T2GDiscount*100*F503)),IF(F503&gt;0,"% discounts",IF(NoWarrantyDiscount&gt;0,"% discounts","% discount")))))))))</f>
        <v/>
      </c>
      <c r="N503" s="660"/>
      <c r="O503" s="233"/>
      <c r="P503" s="233"/>
      <c r="Q503" s="233"/>
      <c r="R503" s="233"/>
      <c r="S503" s="233"/>
      <c r="T503" s="508">
        <f t="shared" si="322"/>
        <v>0</v>
      </c>
      <c r="U503" s="225">
        <f>IF(NOT(ISNUMBER(G503)), "", VLOOKUP(A503,'Discount Lookup'!D:E,2,FALSE)*G503)</f>
        <v>0</v>
      </c>
      <c r="V503" s="225">
        <f>IF(NOT(ISNUMBER(G503)), "", VLOOKUP(A503,'Discount Lookup'!G:H,2,FALSE)*G503)</f>
        <v>0</v>
      </c>
      <c r="W503" s="508">
        <f t="shared" si="323"/>
        <v>0</v>
      </c>
      <c r="X503" s="508">
        <f t="shared" si="324"/>
        <v>0</v>
      </c>
      <c r="Y503" s="509" t="b">
        <f t="shared" si="325"/>
        <v>0</v>
      </c>
      <c r="Z503" s="510">
        <f t="shared" si="326"/>
        <v>0</v>
      </c>
      <c r="AA503" s="511"/>
      <c r="AB503" s="511" t="str">
        <f t="shared" si="327"/>
        <v/>
      </c>
      <c r="AC503" s="698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698"/>
      <c r="AE503" s="631" t="str">
        <f t="shared" si="328"/>
        <v/>
      </c>
      <c r="AF503" s="699" t="str">
        <f t="shared" si="329"/>
        <v/>
      </c>
      <c r="AG503" s="699"/>
      <c r="AH503" s="699"/>
      <c r="AI503" s="512">
        <f>IF(H503="credit",0,IF(AE503="free",0,IF(AE503="me",0,IF(G503&gt;0,(VLOOKUP(A503,'Discount Lookup'!J:K,2)*G503),0))))</f>
        <v>0</v>
      </c>
      <c r="AJ503" s="513" t="str">
        <f t="shared" ca="1" si="330"/>
        <v/>
      </c>
      <c r="AK503" s="700" t="str">
        <f t="shared" si="331"/>
        <v/>
      </c>
      <c r="AL503" s="700"/>
      <c r="AM503" s="505" t="str">
        <f t="shared" si="332"/>
        <v/>
      </c>
      <c r="AN503" s="506"/>
      <c r="AO503" s="507"/>
      <c r="AP503" s="507"/>
      <c r="AQ503" s="507"/>
      <c r="AR503" s="507"/>
      <c r="AS503" s="507"/>
      <c r="AT503" s="507"/>
      <c r="AU503" s="507"/>
      <c r="AV503" s="225"/>
      <c r="AW503" s="508"/>
      <c r="AX503" s="225"/>
      <c r="AY503" s="225"/>
      <c r="AZ503" s="225"/>
      <c r="BA503" s="225"/>
      <c r="BB503" s="225"/>
      <c r="BC503" s="56"/>
      <c r="BD503" s="56"/>
      <c r="BE503" s="56"/>
      <c r="BF503" s="107" t="str">
        <f t="shared" si="333"/>
        <v>https://www.google.com/search?tbm=isch&amp;q=10%20G4</v>
      </c>
      <c r="BG503" s="107" t="str">
        <f t="shared" si="334"/>
        <v>B</v>
      </c>
      <c r="BH503" s="254"/>
      <c r="BI503" s="254"/>
    </row>
    <row r="504" spans="1:61" customFormat="1" ht="17.25" thickBot="1" x14ac:dyDescent="0.3">
      <c r="A504" s="524" t="s">
        <v>4313</v>
      </c>
      <c r="B504" s="245"/>
      <c r="C504" s="677"/>
      <c r="D504" s="499"/>
      <c r="E504" s="499"/>
      <c r="F504" s="500"/>
      <c r="G504" s="501"/>
      <c r="H504" s="502"/>
      <c r="I504" s="246"/>
      <c r="J504" s="247"/>
      <c r="K504" s="503"/>
      <c r="L504" s="544"/>
      <c r="M504" s="544"/>
      <c r="N504" s="500"/>
      <c r="O504" s="500"/>
      <c r="P504" s="500"/>
      <c r="Q504" s="500"/>
      <c r="R504" s="500"/>
      <c r="S504" s="278"/>
      <c r="T504" s="508">
        <f t="shared" si="322"/>
        <v>0</v>
      </c>
      <c r="U504" s="225" t="str">
        <f>IF(NOT(ISNUMBER(G504)), "", VLOOKUP(A504,'Discount Lookup'!D:E,2,FALSE)*G504)</f>
        <v/>
      </c>
      <c r="V504" s="225" t="str">
        <f>IF(NOT(ISNUMBER(G504)), "", VLOOKUP(A504,'Discount Lookup'!G:H,2,FALSE)*G504)</f>
        <v/>
      </c>
      <c r="W504" s="508">
        <f t="shared" si="323"/>
        <v>0</v>
      </c>
      <c r="X504" s="508">
        <f t="shared" si="324"/>
        <v>0</v>
      </c>
      <c r="Y504" s="509" t="b">
        <f t="shared" si="325"/>
        <v>0</v>
      </c>
      <c r="Z504" s="510">
        <f t="shared" si="326"/>
        <v>0</v>
      </c>
      <c r="AA504" s="511"/>
      <c r="AB504" s="511" t="str">
        <f t="shared" si="327"/>
        <v/>
      </c>
      <c r="AC504" s="698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698"/>
      <c r="AE504" s="631" t="str">
        <f t="shared" si="328"/>
        <v/>
      </c>
      <c r="AF504" s="699" t="str">
        <f t="shared" si="329"/>
        <v/>
      </c>
      <c r="AG504" s="699"/>
      <c r="AH504" s="699"/>
      <c r="AI504" s="512">
        <f>IF(H504="credit",0,IF(AE504="free",0,IF(AE504="me",0,IF(G504&gt;0,(VLOOKUP(A504,'Discount Lookup'!J:K,2)*G504),0))))</f>
        <v>0</v>
      </c>
      <c r="AJ504" s="513" t="str">
        <f t="shared" ca="1" si="330"/>
        <v/>
      </c>
      <c r="AK504" s="700" t="str">
        <f t="shared" si="331"/>
        <v/>
      </c>
      <c r="AL504" s="700"/>
      <c r="AM504" s="505" t="str">
        <f t="shared" si="332"/>
        <v/>
      </c>
      <c r="AN504" s="506"/>
      <c r="AO504" s="507"/>
      <c r="AP504" s="507"/>
      <c r="AQ504" s="507"/>
      <c r="AR504" s="507"/>
      <c r="AS504" s="507"/>
      <c r="AT504" s="507"/>
      <c r="AU504" s="507"/>
      <c r="AV504" s="225"/>
      <c r="AW504" s="508"/>
      <c r="AX504" s="225"/>
      <c r="AY504" s="225"/>
      <c r="AZ504" s="225"/>
      <c r="BA504" s="225"/>
      <c r="BB504" s="225"/>
      <c r="BC504" s="56"/>
      <c r="BD504" s="56"/>
      <c r="BE504" s="56"/>
      <c r="BF504" s="107" t="str">
        <f t="shared" si="333"/>
        <v>https://www.google.com/search?tbm=isch&amp;q=Bonita%20is%20valued%20for%20its%20delicate%20and%20highly%20fragrant%20flowers%20that%20appear%20on%20bare%20branches%20in%20late%20winter.%20Yellow%20to%20Orange%20fall%20foliage%20</v>
      </c>
      <c r="BG504" s="107" t="str">
        <f t="shared" si="334"/>
        <v>B</v>
      </c>
      <c r="BH504" s="254"/>
      <c r="BI504" s="254"/>
    </row>
    <row r="505" spans="1:61" customFormat="1" ht="18" x14ac:dyDescent="0.25">
      <c r="A505" s="523" t="s">
        <v>525</v>
      </c>
      <c r="B505" s="235"/>
      <c r="C505" s="676"/>
      <c r="D505" s="255" t="s">
        <v>524</v>
      </c>
      <c r="E505" s="236"/>
      <c r="F505" s="236"/>
      <c r="G505" s="236"/>
      <c r="H505" s="582" t="s">
        <v>2502</v>
      </c>
      <c r="I505" s="498" t="s">
        <v>2503</v>
      </c>
      <c r="J505" s="237"/>
      <c r="K505" s="237"/>
      <c r="L505" s="274"/>
      <c r="M505" s="670" t="s">
        <v>4987</v>
      </c>
      <c r="N505" s="681" t="str">
        <f>IF(AND(ISTEXT($A505), ISERROR($A505+0)), HYPERLINK($BF505, "Images"), "")</f>
        <v>Images</v>
      </c>
      <c r="O505" s="663" t="s">
        <v>4969</v>
      </c>
      <c r="P505" s="253"/>
      <c r="Q505" s="238"/>
      <c r="R505" s="239"/>
      <c r="S505" s="275" t="s">
        <v>305</v>
      </c>
      <c r="T505" s="508">
        <f t="shared" si="322"/>
        <v>0</v>
      </c>
      <c r="U505" s="225" t="str">
        <f>IF(NOT(ISNUMBER(G505)), "", VLOOKUP(A505,'Discount Lookup'!D:E,2,FALSE)*G505)</f>
        <v/>
      </c>
      <c r="V505" s="225" t="str">
        <f>IF(NOT(ISNUMBER(G505)), "", VLOOKUP(A505,'Discount Lookup'!G:H,2,FALSE)*G505)</f>
        <v/>
      </c>
      <c r="W505" s="508">
        <f t="shared" si="323"/>
        <v>0</v>
      </c>
      <c r="X505" s="508" t="str">
        <f t="shared" si="324"/>
        <v>White bloom, Red stamen</v>
      </c>
      <c r="Y505" s="509" t="b">
        <f t="shared" si="325"/>
        <v>0</v>
      </c>
      <c r="Z505" s="510">
        <f t="shared" si="326"/>
        <v>0</v>
      </c>
      <c r="AA505" s="511"/>
      <c r="AB505" s="511" t="str">
        <f t="shared" si="327"/>
        <v/>
      </c>
      <c r="AC505" s="698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698"/>
      <c r="AE505" s="631" t="str">
        <f t="shared" si="328"/>
        <v/>
      </c>
      <c r="AF505" s="699" t="str">
        <f t="shared" si="329"/>
        <v/>
      </c>
      <c r="AG505" s="699"/>
      <c r="AH505" s="699"/>
      <c r="AI505" s="512">
        <f>IF(H505="credit",0,IF(AE505="free",0,IF(AE505="me",0,IF(G505&gt;0,(VLOOKUP(A505,'Discount Lookup'!J:K,2)*G505),0))))</f>
        <v>0</v>
      </c>
      <c r="AJ505" s="513" t="str">
        <f t="shared" ca="1" si="330"/>
        <v/>
      </c>
      <c r="AK505" s="700" t="str">
        <f t="shared" si="331"/>
        <v/>
      </c>
      <c r="AL505" s="700"/>
      <c r="AM505" s="505" t="str">
        <f t="shared" si="332"/>
        <v/>
      </c>
      <c r="AN505" s="506"/>
      <c r="AO505" s="507"/>
      <c r="AP505" s="507"/>
      <c r="AQ505" s="507"/>
      <c r="AR505" s="507"/>
      <c r="AS505" s="507"/>
      <c r="AT505" s="507"/>
      <c r="AU505" s="507"/>
      <c r="AV505" s="225"/>
      <c r="AW505" s="508"/>
      <c r="AX505" s="225"/>
      <c r="AY505" s="225"/>
      <c r="AZ505" s="225"/>
      <c r="BA505" s="225"/>
      <c r="BB505" s="225"/>
      <c r="BC505" s="56"/>
      <c r="BD505" s="56"/>
      <c r="BE505" s="56"/>
      <c r="BF505" s="107" t="str">
        <f t="shared" si="333"/>
        <v>https://www.google.com/search?tbm=isch&amp;q=Bottlebrush%20Buckeye%20Aesculus%20parviflora</v>
      </c>
      <c r="BG505" s="107" t="str">
        <f t="shared" si="334"/>
        <v>B</v>
      </c>
      <c r="BH505" s="254"/>
      <c r="BI505" s="254"/>
    </row>
    <row r="506" spans="1:61" customFormat="1" ht="15.75" x14ac:dyDescent="0.25">
      <c r="A506" s="276">
        <v>7</v>
      </c>
      <c r="B506" s="240" t="s">
        <v>291</v>
      </c>
      <c r="C506" s="241" t="s">
        <v>4738</v>
      </c>
      <c r="D506" s="242" t="s">
        <v>292</v>
      </c>
      <c r="E506" s="243">
        <v>102.95</v>
      </c>
      <c r="F506" s="517" t="s">
        <v>293</v>
      </c>
      <c r="G506" s="232">
        <v>0</v>
      </c>
      <c r="H506" s="661" t="str">
        <f>IF(G506=0,"",IF(F506="Buy",IF(G506=1,"plant","plants"),IF(F506&gt;0.01,"warranty","Error")))</f>
        <v/>
      </c>
      <c r="I506" s="244">
        <f>IF(H506="free",0,IF(H506="credit",((E506*(F506))*G506*-1),IF(F506="Buy",(E506*G506),((E506*(1-F506))*G506))))</f>
        <v>0</v>
      </c>
      <c r="J506" s="244">
        <f>IF(H506="warranty",0,(I506*(_xlfn.SINGLE(SalesTaxPercentage))))</f>
        <v>0</v>
      </c>
      <c r="K506" s="696">
        <f t="shared" ref="K506" si="354">I506+J506</f>
        <v>0</v>
      </c>
      <c r="L506" s="696"/>
      <c r="M506" s="659" t="str">
        <f>IF(AND(G506&gt;0,E506=0),"WARNING - no PRICE inserted",IF(H506="free"," FREE ~ no charge this plant",IF(H506="credit",CONCATENATE(" -$",ROUND(K506*(1-T2GDiscount)*-1,2)," CREDIT after discount"),IF(T2GDiscount=0,"",IF(G506=0,"",IF(F506="Buy",CONCATENATE(" $",ROUND(K506*(1-T2GDiscount),2)," with ",(T2GDiscount*100),"% discount"),CONCATENATE(" $",ROUND(K506*(1-T2GDiscount),2)," with ",((T2GDiscount*100+F506*100)-(T2GDiscount*100*F506)),IF(F506&gt;0,"% discounts",IF(NoWarrantyDiscount&gt;0,"% discounts","% discount")))))))))</f>
        <v/>
      </c>
      <c r="N506" s="660"/>
      <c r="O506" s="233"/>
      <c r="P506" s="233"/>
      <c r="Q506" s="233"/>
      <c r="R506" s="233"/>
      <c r="S506" s="233"/>
      <c r="T506" s="508">
        <f t="shared" si="322"/>
        <v>0</v>
      </c>
      <c r="U506" s="225">
        <f>IF(NOT(ISNUMBER(G506)), "", VLOOKUP(A506,'Discount Lookup'!D:E,2,FALSE)*G506)</f>
        <v>0</v>
      </c>
      <c r="V506" s="225">
        <f>IF(NOT(ISNUMBER(G506)), "", VLOOKUP(A506,'Discount Lookup'!G:H,2,FALSE)*G506)</f>
        <v>0</v>
      </c>
      <c r="W506" s="508">
        <f t="shared" si="323"/>
        <v>0</v>
      </c>
      <c r="X506" s="508">
        <f t="shared" si="324"/>
        <v>0</v>
      </c>
      <c r="Y506" s="509" t="b">
        <f t="shared" si="325"/>
        <v>0</v>
      </c>
      <c r="Z506" s="510">
        <f t="shared" si="326"/>
        <v>0</v>
      </c>
      <c r="AA506" s="511"/>
      <c r="AB506" s="511" t="str">
        <f t="shared" si="327"/>
        <v/>
      </c>
      <c r="AC506" s="698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698"/>
      <c r="AE506" s="631" t="str">
        <f t="shared" si="328"/>
        <v/>
      </c>
      <c r="AF506" s="699" t="str">
        <f t="shared" si="329"/>
        <v/>
      </c>
      <c r="AG506" s="699"/>
      <c r="AH506" s="699"/>
      <c r="AI506" s="512">
        <f>IF(H506="credit",0,IF(AE506="free",0,IF(AE506="me",0,IF(G506&gt;0,(VLOOKUP(A506,'Discount Lookup'!J:K,2)*G506),0))))</f>
        <v>0</v>
      </c>
      <c r="AJ506" s="513" t="str">
        <f t="shared" ca="1" si="330"/>
        <v/>
      </c>
      <c r="AK506" s="700" t="str">
        <f t="shared" si="331"/>
        <v/>
      </c>
      <c r="AL506" s="700"/>
      <c r="AM506" s="505" t="str">
        <f t="shared" si="332"/>
        <v/>
      </c>
      <c r="AN506" s="506"/>
      <c r="AO506" s="507"/>
      <c r="AP506" s="507"/>
      <c r="AQ506" s="507"/>
      <c r="AR506" s="507"/>
      <c r="AS506" s="507"/>
      <c r="AT506" s="507"/>
      <c r="AU506" s="507"/>
      <c r="AV506" s="225"/>
      <c r="AW506" s="508"/>
      <c r="AX506" s="225"/>
      <c r="AY506" s="225"/>
      <c r="AZ506" s="225"/>
      <c r="BA506" s="225"/>
      <c r="BB506" s="225"/>
      <c r="BC506" s="56"/>
      <c r="BD506" s="56"/>
      <c r="BE506" s="56"/>
      <c r="BF506" s="107" t="str">
        <f t="shared" si="333"/>
        <v>https://www.google.com/search?tbm=isch&amp;q=7%20G4</v>
      </c>
      <c r="BG506" s="107" t="str">
        <f t="shared" si="334"/>
        <v>B</v>
      </c>
      <c r="BH506" s="254"/>
      <c r="BI506" s="254"/>
    </row>
    <row r="507" spans="1:61" customFormat="1" ht="15.75" x14ac:dyDescent="0.25">
      <c r="A507" s="276">
        <v>15</v>
      </c>
      <c r="B507" s="240" t="s">
        <v>291</v>
      </c>
      <c r="C507" s="241" t="s">
        <v>3976</v>
      </c>
      <c r="D507" s="242" t="s">
        <v>300</v>
      </c>
      <c r="E507" s="243">
        <v>269.95</v>
      </c>
      <c r="F507" s="517" t="s">
        <v>293</v>
      </c>
      <c r="G507" s="232">
        <v>0</v>
      </c>
      <c r="H507" s="661" t="str">
        <f>IF(G507=0,"",IF(F507="Buy",IF(G507=1,"plant","plants"),IF(F507&gt;0.01,"warranty","Error")))</f>
        <v/>
      </c>
      <c r="I507" s="244">
        <f>IF(H507="free",0,IF(H507="credit",((E507*(F507))*G507*-1),IF(F507="Buy",(E507*G507),((E507*(1-F507))*G507))))</f>
        <v>0</v>
      </c>
      <c r="J507" s="244">
        <f>IF(H507="warranty",0,(I507*(_xlfn.SINGLE(SalesTaxPercentage))))</f>
        <v>0</v>
      </c>
      <c r="K507" s="696">
        <f t="shared" ref="K507" si="355">I507+J507</f>
        <v>0</v>
      </c>
      <c r="L507" s="696"/>
      <c r="M507" s="659" t="str">
        <f>IF(AND(G507&gt;0,E507=0),"WARNING - no PRICE inserted",IF(H507="free"," FREE ~ no charge this plant",IF(H507="credit",CONCATENATE(" -$",ROUND(K507*(1-T2GDiscount)*-1,2)," CREDIT after discount"),IF(T2GDiscount=0,"",IF(G507=0,"",IF(F507="Buy",CONCATENATE(" $",ROUND(K507*(1-T2GDiscount),2)," with ",(T2GDiscount*100),"% discount"),CONCATENATE(" $",ROUND(K507*(1-T2GDiscount),2)," with ",((T2GDiscount*100+F507*100)-(T2GDiscount*100*F507)),IF(F507&gt;0,"% discounts",IF(NoWarrantyDiscount&gt;0,"% discounts","% discount")))))))))</f>
        <v/>
      </c>
      <c r="N507" s="660"/>
      <c r="O507" s="233"/>
      <c r="P507" s="233"/>
      <c r="Q507" s="233"/>
      <c r="R507" s="233"/>
      <c r="S507" s="233"/>
      <c r="T507" s="508">
        <f t="shared" si="322"/>
        <v>0</v>
      </c>
      <c r="U507" s="225">
        <f>IF(NOT(ISNUMBER(G507)), "", VLOOKUP(A507,'Discount Lookup'!D:E,2,FALSE)*G507)</f>
        <v>0</v>
      </c>
      <c r="V507" s="225">
        <f>IF(NOT(ISNUMBER(G507)), "", VLOOKUP(A507,'Discount Lookup'!G:H,2,FALSE)*G507)</f>
        <v>0</v>
      </c>
      <c r="W507" s="508">
        <f t="shared" si="323"/>
        <v>0</v>
      </c>
      <c r="X507" s="508">
        <f t="shared" si="324"/>
        <v>0</v>
      </c>
      <c r="Y507" s="509" t="b">
        <f t="shared" si="325"/>
        <v>0</v>
      </c>
      <c r="Z507" s="510">
        <f t="shared" si="326"/>
        <v>0</v>
      </c>
      <c r="AA507" s="511"/>
      <c r="AB507" s="511" t="str">
        <f t="shared" si="327"/>
        <v/>
      </c>
      <c r="AC507" s="698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698"/>
      <c r="AE507" s="631" t="str">
        <f t="shared" si="328"/>
        <v/>
      </c>
      <c r="AF507" s="699" t="str">
        <f t="shared" si="329"/>
        <v/>
      </c>
      <c r="AG507" s="699"/>
      <c r="AH507" s="699"/>
      <c r="AI507" s="512">
        <f>IF(H507="credit",0,IF(AE507="free",0,IF(AE507="me",0,IF(G507&gt;0,(VLOOKUP(A507,'Discount Lookup'!J:K,2)*G507),0))))</f>
        <v>0</v>
      </c>
      <c r="AJ507" s="513" t="str">
        <f t="shared" ca="1" si="330"/>
        <v/>
      </c>
      <c r="AK507" s="700" t="str">
        <f t="shared" si="331"/>
        <v/>
      </c>
      <c r="AL507" s="700"/>
      <c r="AM507" s="505" t="str">
        <f t="shared" si="332"/>
        <v/>
      </c>
      <c r="AN507" s="506"/>
      <c r="AO507" s="507"/>
      <c r="AP507" s="507"/>
      <c r="AQ507" s="507"/>
      <c r="AR507" s="507"/>
      <c r="AS507" s="507"/>
      <c r="AT507" s="507"/>
      <c r="AU507" s="507"/>
      <c r="AV507" s="225"/>
      <c r="AW507" s="508"/>
      <c r="AX507" s="225"/>
      <c r="AY507" s="225"/>
      <c r="AZ507" s="225"/>
      <c r="BA507" s="225"/>
      <c r="BB507" s="225"/>
      <c r="BC507" s="56"/>
      <c r="BD507" s="56"/>
      <c r="BE507" s="56"/>
      <c r="BF507" s="107" t="str">
        <f t="shared" si="333"/>
        <v>https://www.google.com/search?tbm=isch&amp;q=15%20G6</v>
      </c>
      <c r="BG507" s="107" t="str">
        <f t="shared" si="334"/>
        <v>B</v>
      </c>
      <c r="BH507" s="254"/>
      <c r="BI507" s="254"/>
    </row>
    <row r="508" spans="1:61" customFormat="1" ht="17.25" thickBot="1" x14ac:dyDescent="0.3">
      <c r="A508" s="673" t="s">
        <v>5068</v>
      </c>
      <c r="B508" s="245"/>
      <c r="C508" s="677"/>
      <c r="D508" s="499"/>
      <c r="E508" s="499"/>
      <c r="F508" s="500"/>
      <c r="G508" s="501"/>
      <c r="H508" s="502"/>
      <c r="I508" s="246"/>
      <c r="J508" s="247"/>
      <c r="K508" s="503"/>
      <c r="L508" s="544"/>
      <c r="M508" s="544"/>
      <c r="N508" s="500"/>
      <c r="O508" s="500"/>
      <c r="P508" s="500"/>
      <c r="Q508" s="500"/>
      <c r="R508" s="500"/>
      <c r="S508" s="665" t="s">
        <v>4998</v>
      </c>
      <c r="T508" s="508">
        <f t="shared" si="322"/>
        <v>0</v>
      </c>
      <c r="U508" s="225" t="str">
        <f>IF(NOT(ISNUMBER(G508)), "", VLOOKUP(A508,'Discount Lookup'!D:E,2,FALSE)*G508)</f>
        <v/>
      </c>
      <c r="V508" s="225" t="str">
        <f>IF(NOT(ISNUMBER(G508)), "", VLOOKUP(A508,'Discount Lookup'!G:H,2,FALSE)*G508)</f>
        <v/>
      </c>
      <c r="W508" s="508">
        <f t="shared" si="323"/>
        <v>0</v>
      </c>
      <c r="X508" s="508">
        <f t="shared" si="324"/>
        <v>0</v>
      </c>
      <c r="Y508" s="509" t="b">
        <f t="shared" si="325"/>
        <v>0</v>
      </c>
      <c r="Z508" s="510">
        <f t="shared" si="326"/>
        <v>0</v>
      </c>
      <c r="AA508" s="511"/>
      <c r="AB508" s="511" t="str">
        <f t="shared" si="327"/>
        <v/>
      </c>
      <c r="AC508" s="698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698"/>
      <c r="AE508" s="631" t="str">
        <f t="shared" si="328"/>
        <v/>
      </c>
      <c r="AF508" s="699" t="str">
        <f t="shared" si="329"/>
        <v/>
      </c>
      <c r="AG508" s="699"/>
      <c r="AH508" s="699"/>
      <c r="AI508" s="512">
        <f>IF(H508="credit",0,IF(AE508="free",0,IF(AE508="me",0,IF(G508&gt;0,(VLOOKUP(A508,'Discount Lookup'!J:K,2)*G508),0))))</f>
        <v>0</v>
      </c>
      <c r="AJ508" s="513" t="str">
        <f t="shared" ca="1" si="330"/>
        <v/>
      </c>
      <c r="AK508" s="700" t="str">
        <f t="shared" si="331"/>
        <v/>
      </c>
      <c r="AL508" s="700"/>
      <c r="AM508" s="505" t="str">
        <f t="shared" si="332"/>
        <v/>
      </c>
      <c r="AN508" s="506"/>
      <c r="AO508" s="507"/>
      <c r="AP508" s="507"/>
      <c r="AQ508" s="507"/>
      <c r="AR508" s="507"/>
      <c r="AS508" s="507"/>
      <c r="AT508" s="507"/>
      <c r="AU508" s="507"/>
      <c r="AV508" s="225"/>
      <c r="AW508" s="508"/>
      <c r="AX508" s="225"/>
      <c r="AY508" s="225"/>
      <c r="AZ508" s="225"/>
      <c r="BA508" s="225"/>
      <c r="BB508" s="225"/>
      <c r="BC508" s="56"/>
      <c r="BD508" s="56"/>
      <c r="BE508" s="56"/>
      <c r="BF508" s="107" t="str">
        <f t="shared" si="333"/>
        <v>https://www.google.com/search?tbm=isch&amp;q=moist%20sites%F0%9F%92%A7GOOD%2C%20Bottlebrush%20has%20bottlebrush-like%20fragrant%20flower%20spikes.%20Will%20spread.%20Foliage%20turns%20Golden%20in%20fall%20</v>
      </c>
      <c r="BG508" s="107" t="str">
        <f t="shared" si="334"/>
        <v>m</v>
      </c>
      <c r="BH508" s="254"/>
      <c r="BI508" s="254"/>
    </row>
    <row r="509" spans="1:61" customFormat="1" ht="18" x14ac:dyDescent="0.25">
      <c r="A509" s="523" t="s">
        <v>5361</v>
      </c>
      <c r="B509" s="235"/>
      <c r="C509" s="676"/>
      <c r="D509" s="255" t="s">
        <v>548</v>
      </c>
      <c r="E509" s="236"/>
      <c r="F509" s="236"/>
      <c r="G509" s="236"/>
      <c r="H509" s="582" t="s">
        <v>474</v>
      </c>
      <c r="I509" s="498" t="s">
        <v>3113</v>
      </c>
      <c r="J509" s="237"/>
      <c r="K509" s="237"/>
      <c r="L509" s="274"/>
      <c r="M509" s="668" t="s">
        <v>4975</v>
      </c>
      <c r="N509" s="681" t="str">
        <f>IF(AND(ISTEXT($A509), ISERROR($A509+0)), HYPERLINK($BF509, "Images"), "")</f>
        <v>Images</v>
      </c>
      <c r="O509" s="663" t="s">
        <v>4967</v>
      </c>
      <c r="P509" s="253"/>
      <c r="Q509" s="238"/>
      <c r="R509" s="239"/>
      <c r="S509" s="275"/>
      <c r="T509" s="508">
        <f t="shared" si="322"/>
        <v>0</v>
      </c>
      <c r="U509" s="225" t="str">
        <f>IF(NOT(ISNUMBER(G509)), "", VLOOKUP(A509,'Discount Lookup'!D:E,2,FALSE)*G509)</f>
        <v/>
      </c>
      <c r="V509" s="225" t="str">
        <f>IF(NOT(ISNUMBER(G509)), "", VLOOKUP(A509,'Discount Lookup'!G:H,2,FALSE)*G509)</f>
        <v/>
      </c>
      <c r="W509" s="508">
        <f t="shared" si="323"/>
        <v>0</v>
      </c>
      <c r="X509" s="508" t="str">
        <f t="shared" si="324"/>
        <v>White bloom ages to Pink</v>
      </c>
      <c r="Y509" s="509" t="b">
        <f t="shared" si="325"/>
        <v>0</v>
      </c>
      <c r="Z509" s="510">
        <f t="shared" si="326"/>
        <v>0</v>
      </c>
      <c r="AA509" s="511"/>
      <c r="AB509" s="511" t="str">
        <f t="shared" si="327"/>
        <v/>
      </c>
      <c r="AC509" s="698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698"/>
      <c r="AE509" s="631" t="str">
        <f t="shared" si="328"/>
        <v/>
      </c>
      <c r="AF509" s="699" t="str">
        <f t="shared" si="329"/>
        <v/>
      </c>
      <c r="AG509" s="699"/>
      <c r="AH509" s="699"/>
      <c r="AI509" s="512">
        <f>IF(H509="credit",0,IF(AE509="free",0,IF(AE509="me",0,IF(G509&gt;0,(VLOOKUP(A509,'Discount Lookup'!J:K,2)*G509),0))))</f>
        <v>0</v>
      </c>
      <c r="AJ509" s="513" t="str">
        <f t="shared" ca="1" si="330"/>
        <v/>
      </c>
      <c r="AK509" s="700" t="str">
        <f t="shared" si="331"/>
        <v/>
      </c>
      <c r="AL509" s="700"/>
      <c r="AM509" s="505" t="str">
        <f t="shared" si="332"/>
        <v/>
      </c>
      <c r="AN509" s="506"/>
      <c r="AO509" s="507"/>
      <c r="AP509" s="507"/>
      <c r="AQ509" s="507"/>
      <c r="AR509" s="507"/>
      <c r="AS509" s="507"/>
      <c r="AT509" s="507"/>
      <c r="AU509" s="507"/>
      <c r="AV509" s="225"/>
      <c r="AW509" s="508"/>
      <c r="AX509" s="225"/>
      <c r="AY509" s="225"/>
      <c r="AZ509" s="225"/>
      <c r="BA509" s="225"/>
      <c r="BB509" s="225"/>
      <c r="BC509" s="56"/>
      <c r="BD509" s="56"/>
      <c r="BE509" s="56"/>
      <c r="BF509" s="107" t="str">
        <f t="shared" si="333"/>
        <v>https://www.google.com/search?tbm=isch&amp;q=Bouncy%E2%84%A2%20Hydrangea%20Hyd.%20paniculata%20%27Bokomabou%27%20PPAF</v>
      </c>
      <c r="BG509" s="107" t="str">
        <f t="shared" si="334"/>
        <v>B</v>
      </c>
      <c r="BH509" s="254"/>
      <c r="BI509" s="254"/>
    </row>
    <row r="510" spans="1:61" customFormat="1" ht="15.75" x14ac:dyDescent="0.25">
      <c r="A510" s="276">
        <v>3</v>
      </c>
      <c r="B510" s="240" t="s">
        <v>291</v>
      </c>
      <c r="C510" s="241" t="s">
        <v>3045</v>
      </c>
      <c r="D510" s="242" t="s">
        <v>312</v>
      </c>
      <c r="E510" s="243">
        <v>32.950000000000003</v>
      </c>
      <c r="F510" s="517" t="s">
        <v>293</v>
      </c>
      <c r="G510" s="232">
        <v>0</v>
      </c>
      <c r="H510" s="661" t="str">
        <f>IF(G510=0,"",IF(F510="Buy",IF(G510=1,"plant","plants"),IF(F510&gt;0.01,"warranty","Error")))</f>
        <v/>
      </c>
      <c r="I510" s="244">
        <f>IF(H510="free",0,IF(H510="credit",((E510*(F510))*G510*-1),IF(F510="Buy",(E510*G510),((E510*(1-F510))*G510))))</f>
        <v>0</v>
      </c>
      <c r="J510" s="244">
        <f>IF(H510="warranty",0,(I510*(_xlfn.SINGLE(SalesTaxPercentage))))</f>
        <v>0</v>
      </c>
      <c r="K510" s="696">
        <f t="shared" ref="K510" si="356">I510+J510</f>
        <v>0</v>
      </c>
      <c r="L510" s="696"/>
      <c r="M510" s="659" t="str">
        <f>IF(AND(G510&gt;0,E510=0),"WARNING - no PRICE inserted",IF(H510="free"," FREE ~ no charge this plant",IF(H510="credit",CONCATENATE(" -$",ROUND(K510*(1-T2GDiscount)*-1,2)," CREDIT after discount"),IF(T2GDiscount=0,"",IF(G510=0,"",IF(F510="Buy",CONCATENATE(" $",ROUND(K510*(1-T2GDiscount),2)," with ",(T2GDiscount*100),"% discount"),CONCATENATE(" $",ROUND(K510*(1-T2GDiscount),2)," with ",((T2GDiscount*100+F510*100)-(T2GDiscount*100*F510)),IF(F510&gt;0,"% discounts",IF(NoWarrantyDiscount&gt;0,"% discounts","% discount")))))))))</f>
        <v/>
      </c>
      <c r="N510" s="660"/>
      <c r="O510" s="233"/>
      <c r="P510" s="233"/>
      <c r="Q510" s="233"/>
      <c r="R510" s="233"/>
      <c r="S510" s="233"/>
      <c r="T510" s="508">
        <f t="shared" si="322"/>
        <v>0</v>
      </c>
      <c r="U510" s="225">
        <f>IF(NOT(ISNUMBER(G510)), "", VLOOKUP(A510,'Discount Lookup'!D:E,2,FALSE)*G510)</f>
        <v>0</v>
      </c>
      <c r="V510" s="225">
        <f>IF(NOT(ISNUMBER(G510)), "", VLOOKUP(A510,'Discount Lookup'!G:H,2,FALSE)*G510)</f>
        <v>0</v>
      </c>
      <c r="W510" s="508">
        <f t="shared" si="323"/>
        <v>0</v>
      </c>
      <c r="X510" s="508">
        <f t="shared" si="324"/>
        <v>0</v>
      </c>
      <c r="Y510" s="509" t="b">
        <f t="shared" si="325"/>
        <v>0</v>
      </c>
      <c r="Z510" s="510">
        <f t="shared" si="326"/>
        <v>0</v>
      </c>
      <c r="AA510" s="511"/>
      <c r="AB510" s="511" t="str">
        <f t="shared" si="327"/>
        <v/>
      </c>
      <c r="AC510" s="698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698"/>
      <c r="AE510" s="631" t="str">
        <f t="shared" si="328"/>
        <v/>
      </c>
      <c r="AF510" s="699" t="str">
        <f t="shared" si="329"/>
        <v/>
      </c>
      <c r="AG510" s="699"/>
      <c r="AH510" s="699"/>
      <c r="AI510" s="512">
        <f>IF(H510="credit",0,IF(AE510="free",0,IF(AE510="me",0,IF(G510&gt;0,(VLOOKUP(A510,'Discount Lookup'!J:K,2)*G510),0))))</f>
        <v>0</v>
      </c>
      <c r="AJ510" s="513" t="str">
        <f t="shared" ca="1" si="330"/>
        <v/>
      </c>
      <c r="AK510" s="700" t="str">
        <f t="shared" si="331"/>
        <v/>
      </c>
      <c r="AL510" s="700"/>
      <c r="AM510" s="505" t="str">
        <f t="shared" si="332"/>
        <v/>
      </c>
      <c r="AN510" s="506"/>
      <c r="AO510" s="507"/>
      <c r="AP510" s="507"/>
      <c r="AQ510" s="507"/>
      <c r="AR510" s="507"/>
      <c r="AS510" s="507"/>
      <c r="AT510" s="507"/>
      <c r="AU510" s="507"/>
      <c r="AV510" s="225"/>
      <c r="AW510" s="508"/>
      <c r="AX510" s="225"/>
      <c r="AY510" s="225"/>
      <c r="AZ510" s="225"/>
      <c r="BA510" s="225"/>
      <c r="BB510" s="225"/>
      <c r="BC510" s="56"/>
      <c r="BD510" s="56"/>
      <c r="BE510" s="56"/>
      <c r="BF510" s="107" t="str">
        <f t="shared" si="333"/>
        <v>https://www.google.com/search?tbm=isch&amp;q=3%20G2</v>
      </c>
      <c r="BG510" s="107" t="str">
        <f t="shared" si="334"/>
        <v>B</v>
      </c>
      <c r="BH510" s="254"/>
      <c r="BI510" s="254"/>
    </row>
    <row r="511" spans="1:61" customFormat="1" ht="17.25" thickBot="1" x14ac:dyDescent="0.3">
      <c r="A511" s="524" t="s">
        <v>4055</v>
      </c>
      <c r="B511" s="245"/>
      <c r="C511" s="677"/>
      <c r="D511" s="499"/>
      <c r="E511" s="499"/>
      <c r="F511" s="500"/>
      <c r="G511" s="501"/>
      <c r="H511" s="502"/>
      <c r="I511" s="246"/>
      <c r="J511" s="247"/>
      <c r="K511" s="503"/>
      <c r="L511" s="544"/>
      <c r="M511" s="544"/>
      <c r="N511" s="500"/>
      <c r="O511" s="500"/>
      <c r="P511" s="500"/>
      <c r="Q511" s="500"/>
      <c r="R511" s="500"/>
      <c r="S511" s="278"/>
      <c r="T511" s="508">
        <f t="shared" si="322"/>
        <v>0</v>
      </c>
      <c r="U511" s="225" t="str">
        <f>IF(NOT(ISNUMBER(G511)), "", VLOOKUP(A511,'Discount Lookup'!D:E,2,FALSE)*G511)</f>
        <v/>
      </c>
      <c r="V511" s="225" t="str">
        <f>IF(NOT(ISNUMBER(G511)), "", VLOOKUP(A511,'Discount Lookup'!G:H,2,FALSE)*G511)</f>
        <v/>
      </c>
      <c r="W511" s="508">
        <f t="shared" si="323"/>
        <v>0</v>
      </c>
      <c r="X511" s="508">
        <f t="shared" si="324"/>
        <v>0</v>
      </c>
      <c r="Y511" s="509" t="b">
        <f t="shared" si="325"/>
        <v>0</v>
      </c>
      <c r="Z511" s="510">
        <f t="shared" si="326"/>
        <v>0</v>
      </c>
      <c r="AA511" s="511"/>
      <c r="AB511" s="511" t="str">
        <f t="shared" si="327"/>
        <v/>
      </c>
      <c r="AC511" s="698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698"/>
      <c r="AE511" s="631" t="str">
        <f t="shared" si="328"/>
        <v/>
      </c>
      <c r="AF511" s="699" t="str">
        <f t="shared" si="329"/>
        <v/>
      </c>
      <c r="AG511" s="699"/>
      <c r="AH511" s="699"/>
      <c r="AI511" s="512">
        <f>IF(H511="credit",0,IF(AE511="free",0,IF(AE511="me",0,IF(G511&gt;0,(VLOOKUP(A511,'Discount Lookup'!J:K,2)*G511),0))))</f>
        <v>0</v>
      </c>
      <c r="AJ511" s="513" t="str">
        <f t="shared" ca="1" si="330"/>
        <v/>
      </c>
      <c r="AK511" s="700" t="str">
        <f t="shared" si="331"/>
        <v/>
      </c>
      <c r="AL511" s="700"/>
      <c r="AM511" s="505" t="str">
        <f t="shared" si="332"/>
        <v/>
      </c>
      <c r="AN511" s="506"/>
      <c r="AO511" s="507"/>
      <c r="AP511" s="507"/>
      <c r="AQ511" s="507"/>
      <c r="AR511" s="507"/>
      <c r="AS511" s="507"/>
      <c r="AT511" s="507"/>
      <c r="AU511" s="507"/>
      <c r="AV511" s="225"/>
      <c r="AW511" s="508"/>
      <c r="AX511" s="225"/>
      <c r="AY511" s="225"/>
      <c r="AZ511" s="225"/>
      <c r="BA511" s="225"/>
      <c r="BB511" s="225"/>
      <c r="BC511" s="56"/>
      <c r="BD511" s="56"/>
      <c r="BE511" s="56"/>
      <c r="BF511" s="107" t="str">
        <f t="shared" si="333"/>
        <v>https://www.google.com/search?tbm=isch&amp;q=Bouncy%20has%20Green%20foliage.%20All%20%22Hardy%22%20Hydrangea%20have%20cone-shaped%20flowers%20on%20new%20wood.%20Flowers%20change%20color%20with%20age.%20Extremely%20cold-hardy%20</v>
      </c>
      <c r="BG511" s="107" t="str">
        <f t="shared" si="334"/>
        <v>B</v>
      </c>
      <c r="BH511" s="254"/>
      <c r="BI511" s="254"/>
    </row>
    <row r="512" spans="1:61" customFormat="1" ht="18" x14ac:dyDescent="0.25">
      <c r="A512" s="521" t="s">
        <v>323</v>
      </c>
      <c r="B512" s="477"/>
      <c r="C512" s="674"/>
      <c r="D512" s="478" t="s">
        <v>322</v>
      </c>
      <c r="E512" s="479"/>
      <c r="F512" s="479"/>
      <c r="G512" s="479"/>
      <c r="H512" s="582" t="s">
        <v>324</v>
      </c>
      <c r="I512" s="480" t="s">
        <v>654</v>
      </c>
      <c r="J512" s="479"/>
      <c r="K512" s="479"/>
      <c r="L512" s="560"/>
      <c r="M512" s="666" t="s">
        <v>4966</v>
      </c>
      <c r="N512" s="680" t="str">
        <f>IF(AND(ISTEXT($A512), ISERROR($A512+0)), HYPERLINK($BF512, "Images"), "")</f>
        <v>Images</v>
      </c>
      <c r="O512" s="662" t="s">
        <v>4967</v>
      </c>
      <c r="P512" s="482"/>
      <c r="Q512" s="483"/>
      <c r="R512" s="483"/>
      <c r="S512" s="484" t="s">
        <v>305</v>
      </c>
      <c r="T512" s="508">
        <f t="shared" si="322"/>
        <v>0</v>
      </c>
      <c r="U512" s="225" t="str">
        <f>IF(NOT(ISNUMBER(G512)), "", VLOOKUP(A512,'Discount Lookup'!D:E,2,FALSE)*G512)</f>
        <v/>
      </c>
      <c r="V512" s="225" t="str">
        <f>IF(NOT(ISNUMBER(G512)), "", VLOOKUP(A512,'Discount Lookup'!G:H,2,FALSE)*G512)</f>
        <v/>
      </c>
      <c r="W512" s="508">
        <f t="shared" si="323"/>
        <v>0</v>
      </c>
      <c r="X512" s="508" t="str">
        <f t="shared" si="324"/>
        <v>White bloom</v>
      </c>
      <c r="Y512" s="509" t="b">
        <f t="shared" si="325"/>
        <v>0</v>
      </c>
      <c r="Z512" s="510">
        <f t="shared" si="326"/>
        <v>0</v>
      </c>
      <c r="AA512" s="511"/>
      <c r="AB512" s="511" t="str">
        <f t="shared" si="327"/>
        <v/>
      </c>
      <c r="AC512" s="698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698"/>
      <c r="AE512" s="631" t="str">
        <f t="shared" si="328"/>
        <v/>
      </c>
      <c r="AF512" s="699" t="str">
        <f t="shared" si="329"/>
        <v/>
      </c>
      <c r="AG512" s="699"/>
      <c r="AH512" s="699"/>
      <c r="AI512" s="512">
        <f>IF(H512="credit",0,IF(AE512="free",0,IF(AE512="me",0,IF(G512&gt;0,(VLOOKUP(A512,'Discount Lookup'!J:K,2)*G512),0))))</f>
        <v>0</v>
      </c>
      <c r="AJ512" s="513" t="str">
        <f t="shared" ca="1" si="330"/>
        <v/>
      </c>
      <c r="AK512" s="700" t="str">
        <f t="shared" si="331"/>
        <v/>
      </c>
      <c r="AL512" s="700"/>
      <c r="AM512" s="505" t="str">
        <f t="shared" si="332"/>
        <v/>
      </c>
      <c r="AN512" s="506"/>
      <c r="AO512" s="507"/>
      <c r="AP512" s="507"/>
      <c r="AQ512" s="507"/>
      <c r="AR512" s="507"/>
      <c r="AS512" s="507"/>
      <c r="AT512" s="507"/>
      <c r="AU512" s="507"/>
      <c r="AV512" s="225"/>
      <c r="AW512" s="508"/>
      <c r="AX512" s="225"/>
      <c r="AY512" s="225"/>
      <c r="AZ512" s="225"/>
      <c r="BA512" s="225"/>
      <c r="BB512" s="225"/>
      <c r="BC512" s="56"/>
      <c r="BD512" s="56"/>
      <c r="BE512" s="56"/>
      <c r="BF512" s="107" t="str">
        <f t="shared" si="333"/>
        <v>https://www.google.com/search?tbm=isch&amp;q=Bracken%27s%20Brown%20Beauty%20Magnolia%20Magnolia%20grandiflora%20%27Bracken%27s%20Brown%20Beauty%27%20PP%235520Exp.</v>
      </c>
      <c r="BG512" s="107" t="str">
        <f t="shared" si="334"/>
        <v>B</v>
      </c>
      <c r="BH512" s="254"/>
      <c r="BI512" s="254"/>
    </row>
    <row r="513" spans="1:61" customFormat="1" ht="15.75" x14ac:dyDescent="0.25">
      <c r="A513" s="485">
        <v>25</v>
      </c>
      <c r="B513" s="486" t="s">
        <v>291</v>
      </c>
      <c r="C513" s="487" t="s">
        <v>3349</v>
      </c>
      <c r="D513" s="488" t="s">
        <v>292</v>
      </c>
      <c r="E513" s="489">
        <v>378.95</v>
      </c>
      <c r="F513" s="516" t="s">
        <v>293</v>
      </c>
      <c r="G513" s="232">
        <v>0</v>
      </c>
      <c r="H513" s="658" t="str">
        <f>IF(G513=0,"",IF(F513="Buy",IF(G513=1,"plant","plants"),IF(F513&gt;0.01,"warranty","Error")))</f>
        <v/>
      </c>
      <c r="I513" s="490">
        <f>IF(H513="free",0,IF(H513="credit",((E513*(F513))*G513*-1),IF(F513="Buy",(E513*G513),((E513*(1-F513))*G513))))</f>
        <v>0</v>
      </c>
      <c r="J513" s="490">
        <f>IF(H513="warranty",0,(I513*(_xlfn.SINGLE(SalesTaxPercentage))))</f>
        <v>0</v>
      </c>
      <c r="K513" s="695">
        <f t="shared" ref="K513" si="357">I513+J513</f>
        <v>0</v>
      </c>
      <c r="L513" s="695"/>
      <c r="M513" s="659" t="str">
        <f>IF(AND(G513&gt;0,E513=0),"WARNING - no PRICE inserted",IF(H513="free"," FREE ~ no charge this plant",IF(H513="credit",CONCATENATE(" -$",ROUND(K513*(1-T2GDiscount)*-1,2)," CREDIT after discount"),IF(T2GDiscount=0,"",IF(G513=0,"",IF(F513="Buy",CONCATENATE(" $",ROUND(K513*(1-T2GDiscount),2)," with ",(T2GDiscount*100),"% discount"),CONCATENATE(" $",ROUND(K513*(1-T2GDiscount),2)," with ",((T2GDiscount*100+F513*100)-(T2GDiscount*100*F513)),IF(F513&gt;0,"% discounts",IF(NoWarrantyDiscount&gt;0,"% discounts","% discount")))))))))</f>
        <v/>
      </c>
      <c r="N513" s="660"/>
      <c r="O513" s="233"/>
      <c r="P513" s="233"/>
      <c r="Q513" s="233"/>
      <c r="R513" s="233"/>
      <c r="S513" s="233"/>
      <c r="T513" s="508">
        <f t="shared" si="322"/>
        <v>0</v>
      </c>
      <c r="U513" s="225">
        <f>IF(NOT(ISNUMBER(G513)), "", VLOOKUP(A513,'Discount Lookup'!D:E,2,FALSE)*G513)</f>
        <v>0</v>
      </c>
      <c r="V513" s="225">
        <f>IF(NOT(ISNUMBER(G513)), "", VLOOKUP(A513,'Discount Lookup'!G:H,2,FALSE)*G513)</f>
        <v>0</v>
      </c>
      <c r="W513" s="508">
        <f t="shared" si="323"/>
        <v>0</v>
      </c>
      <c r="X513" s="508">
        <f t="shared" si="324"/>
        <v>0</v>
      </c>
      <c r="Y513" s="509" t="b">
        <f t="shared" si="325"/>
        <v>0</v>
      </c>
      <c r="Z513" s="510">
        <f t="shared" si="326"/>
        <v>0</v>
      </c>
      <c r="AA513" s="511"/>
      <c r="AB513" s="511" t="str">
        <f t="shared" si="327"/>
        <v/>
      </c>
      <c r="AC513" s="698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698"/>
      <c r="AE513" s="631" t="str">
        <f t="shared" si="328"/>
        <v/>
      </c>
      <c r="AF513" s="699" t="str">
        <f t="shared" si="329"/>
        <v/>
      </c>
      <c r="AG513" s="699"/>
      <c r="AH513" s="699"/>
      <c r="AI513" s="512">
        <f>IF(H513="credit",0,IF(AE513="free",0,IF(AE513="me",0,IF(G513&gt;0,(VLOOKUP(A513,'Discount Lookup'!J:K,2)*G513),0))))</f>
        <v>0</v>
      </c>
      <c r="AJ513" s="513" t="str">
        <f t="shared" ca="1" si="330"/>
        <v/>
      </c>
      <c r="AK513" s="700" t="str">
        <f t="shared" si="331"/>
        <v/>
      </c>
      <c r="AL513" s="700"/>
      <c r="AM513" s="505" t="str">
        <f t="shared" si="332"/>
        <v/>
      </c>
      <c r="AN513" s="506"/>
      <c r="AO513" s="507"/>
      <c r="AP513" s="507"/>
      <c r="AQ513" s="507"/>
      <c r="AR513" s="507"/>
      <c r="AS513" s="507"/>
      <c r="AT513" s="507"/>
      <c r="AU513" s="507"/>
      <c r="AV513" s="225"/>
      <c r="AW513" s="508"/>
      <c r="AX513" s="225"/>
      <c r="AY513" s="225"/>
      <c r="AZ513" s="225"/>
      <c r="BA513" s="225"/>
      <c r="BB513" s="225"/>
      <c r="BC513" s="56"/>
      <c r="BD513" s="56"/>
      <c r="BE513" s="56"/>
      <c r="BF513" s="107" t="str">
        <f t="shared" si="333"/>
        <v>https://www.google.com/search?tbm=isch&amp;q=25%20G4</v>
      </c>
      <c r="BG513" s="107" t="str">
        <f t="shared" si="334"/>
        <v>B</v>
      </c>
      <c r="BH513" s="254"/>
      <c r="BI513" s="254"/>
    </row>
    <row r="514" spans="1:61" customFormat="1" ht="15.75" x14ac:dyDescent="0.25">
      <c r="A514" s="485">
        <v>45</v>
      </c>
      <c r="B514" s="486" t="s">
        <v>291</v>
      </c>
      <c r="C514" s="487" t="s">
        <v>4860</v>
      </c>
      <c r="D514" s="488" t="s">
        <v>300</v>
      </c>
      <c r="E514" s="489">
        <v>960.95</v>
      </c>
      <c r="F514" s="516" t="s">
        <v>293</v>
      </c>
      <c r="G514" s="232">
        <v>0</v>
      </c>
      <c r="H514" s="658" t="str">
        <f>IF(G514=0,"",IF(F514="Buy",IF(G514=1,"plant","plants"),IF(F514&gt;0.01,"warranty","Error")))</f>
        <v/>
      </c>
      <c r="I514" s="490">
        <f>IF(H514="free",0,IF(H514="credit",((E514*(F514))*G514*-1),IF(F514="Buy",(E514*G514),((E514*(1-F514))*G514))))</f>
        <v>0</v>
      </c>
      <c r="J514" s="490">
        <f>IF(H514="warranty",0,(I514*(_xlfn.SINGLE(SalesTaxPercentage))))</f>
        <v>0</v>
      </c>
      <c r="K514" s="695">
        <f t="shared" ref="K514" si="358">I514+J514</f>
        <v>0</v>
      </c>
      <c r="L514" s="695"/>
      <c r="M514" s="659" t="str">
        <f>IF(AND(G514&gt;0,E514=0),"WARNING - no PRICE inserted",IF(H514="free"," FREE ~ no charge this plant",IF(H514="credit",CONCATENATE(" -$",ROUND(K514*(1-T2GDiscount)*-1,2)," CREDIT after discount"),IF(T2GDiscount=0,"",IF(G514=0,"",IF(F514="Buy",CONCATENATE(" $",ROUND(K514*(1-T2GDiscount),2)," with ",(T2GDiscount*100),"% discount"),CONCATENATE(" $",ROUND(K514*(1-T2GDiscount),2)," with ",((T2GDiscount*100+F514*100)-(T2GDiscount*100*F514)),IF(F514&gt;0,"% discounts",IF(NoWarrantyDiscount&gt;0,"% discounts","% discount")))))))))</f>
        <v/>
      </c>
      <c r="N514" s="660"/>
      <c r="O514" s="233"/>
      <c r="P514" s="233"/>
      <c r="Q514" s="233"/>
      <c r="R514" s="233"/>
      <c r="S514" s="233"/>
      <c r="T514" s="508">
        <f t="shared" si="322"/>
        <v>0</v>
      </c>
      <c r="U514" s="225">
        <f>IF(NOT(ISNUMBER(G514)), "", VLOOKUP(A514,'Discount Lookup'!D:E,2,FALSE)*G514)</f>
        <v>0</v>
      </c>
      <c r="V514" s="225">
        <f>IF(NOT(ISNUMBER(G514)), "", VLOOKUP(A514,'Discount Lookup'!G:H,2,FALSE)*G514)</f>
        <v>0</v>
      </c>
      <c r="W514" s="508">
        <f t="shared" si="323"/>
        <v>0</v>
      </c>
      <c r="X514" s="508">
        <f t="shared" si="324"/>
        <v>0</v>
      </c>
      <c r="Y514" s="509" t="b">
        <f t="shared" si="325"/>
        <v>0</v>
      </c>
      <c r="Z514" s="510">
        <f t="shared" si="326"/>
        <v>0</v>
      </c>
      <c r="AA514" s="511"/>
      <c r="AB514" s="511" t="str">
        <f t="shared" si="327"/>
        <v/>
      </c>
      <c r="AC514" s="698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698"/>
      <c r="AE514" s="631" t="str">
        <f t="shared" si="328"/>
        <v/>
      </c>
      <c r="AF514" s="699" t="str">
        <f t="shared" si="329"/>
        <v/>
      </c>
      <c r="AG514" s="699"/>
      <c r="AH514" s="699"/>
      <c r="AI514" s="512">
        <f>IF(H514="credit",0,IF(AE514="free",0,IF(AE514="me",0,IF(G514&gt;0,(VLOOKUP(A514,'Discount Lookup'!J:K,2)*G514),0))))</f>
        <v>0</v>
      </c>
      <c r="AJ514" s="513" t="str">
        <f t="shared" ca="1" si="330"/>
        <v/>
      </c>
      <c r="AK514" s="700" t="str">
        <f t="shared" si="331"/>
        <v/>
      </c>
      <c r="AL514" s="700"/>
      <c r="AM514" s="505" t="str">
        <f t="shared" si="332"/>
        <v/>
      </c>
      <c r="AN514" s="506"/>
      <c r="AO514" s="507"/>
      <c r="AP514" s="507"/>
      <c r="AQ514" s="507"/>
      <c r="AR514" s="507"/>
      <c r="AS514" s="507"/>
      <c r="AT514" s="507"/>
      <c r="AU514" s="507"/>
      <c r="AV514" s="225"/>
      <c r="AW514" s="508"/>
      <c r="AX514" s="225"/>
      <c r="AY514" s="225"/>
      <c r="AZ514" s="225"/>
      <c r="BA514" s="225"/>
      <c r="BB514" s="225"/>
      <c r="BC514" s="56"/>
      <c r="BD514" s="56"/>
      <c r="BE514" s="56"/>
      <c r="BF514" s="107" t="str">
        <f t="shared" si="333"/>
        <v>https://www.google.com/search?tbm=isch&amp;q=45%20G6</v>
      </c>
      <c r="BG514" s="107" t="str">
        <f t="shared" si="334"/>
        <v>B</v>
      </c>
      <c r="BH514" s="254"/>
      <c r="BI514" s="254"/>
    </row>
    <row r="515" spans="1:61" customFormat="1" ht="17.25" thickBot="1" x14ac:dyDescent="0.3">
      <c r="A515" s="672" t="s">
        <v>5069</v>
      </c>
      <c r="B515" s="491"/>
      <c r="C515" s="675"/>
      <c r="D515" s="491"/>
      <c r="E515" s="491"/>
      <c r="F515" s="492"/>
      <c r="G515" s="493"/>
      <c r="H515" s="491"/>
      <c r="I515" s="234"/>
      <c r="J515" s="234"/>
      <c r="K515" s="494"/>
      <c r="L515" s="543"/>
      <c r="M515" s="561"/>
      <c r="N515" s="495"/>
      <c r="O515" s="496"/>
      <c r="P515" s="497"/>
      <c r="Q515" s="495"/>
      <c r="R515" s="495"/>
      <c r="S515" s="667" t="s">
        <v>4984</v>
      </c>
      <c r="T515" s="508">
        <f t="shared" si="322"/>
        <v>0</v>
      </c>
      <c r="U515" s="225" t="str">
        <f>IF(NOT(ISNUMBER(G515)), "", VLOOKUP(A515,'Discount Lookup'!D:E,2,FALSE)*G515)</f>
        <v/>
      </c>
      <c r="V515" s="225" t="str">
        <f>IF(NOT(ISNUMBER(G515)), "", VLOOKUP(A515,'Discount Lookup'!G:H,2,FALSE)*G515)</f>
        <v/>
      </c>
      <c r="W515" s="508">
        <f t="shared" si="323"/>
        <v>0</v>
      </c>
      <c r="X515" s="508">
        <f t="shared" si="324"/>
        <v>0</v>
      </c>
      <c r="Y515" s="509" t="b">
        <f t="shared" si="325"/>
        <v>0</v>
      </c>
      <c r="Z515" s="510">
        <f t="shared" si="326"/>
        <v>0</v>
      </c>
      <c r="AA515" s="511"/>
      <c r="AB515" s="511" t="str">
        <f t="shared" si="327"/>
        <v/>
      </c>
      <c r="AC515" s="698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698"/>
      <c r="AE515" s="631" t="str">
        <f t="shared" si="328"/>
        <v/>
      </c>
      <c r="AF515" s="699" t="str">
        <f t="shared" si="329"/>
        <v/>
      </c>
      <c r="AG515" s="699"/>
      <c r="AH515" s="699"/>
      <c r="AI515" s="512">
        <f>IF(H515="credit",0,IF(AE515="free",0,IF(AE515="me",0,IF(G515&gt;0,(VLOOKUP(A515,'Discount Lookup'!J:K,2)*G515),0))))</f>
        <v>0</v>
      </c>
      <c r="AJ515" s="513" t="str">
        <f t="shared" ca="1" si="330"/>
        <v/>
      </c>
      <c r="AK515" s="700" t="str">
        <f t="shared" si="331"/>
        <v/>
      </c>
      <c r="AL515" s="700"/>
      <c r="AM515" s="505" t="str">
        <f t="shared" si="332"/>
        <v/>
      </c>
      <c r="AN515" s="506"/>
      <c r="AO515" s="507"/>
      <c r="AP515" s="507"/>
      <c r="AQ515" s="507"/>
      <c r="AR515" s="507"/>
      <c r="AS515" s="507"/>
      <c r="AT515" s="507"/>
      <c r="AU515" s="507"/>
      <c r="AV515" s="225"/>
      <c r="AW515" s="508"/>
      <c r="AX515" s="225"/>
      <c r="AY515" s="225"/>
      <c r="AZ515" s="225"/>
      <c r="BA515" s="225"/>
      <c r="BB515" s="225"/>
      <c r="BC515" s="56"/>
      <c r="BD515" s="56"/>
      <c r="BE515" s="56"/>
      <c r="BF515" s="107" t="str">
        <f t="shared" si="333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515" s="107" t="str">
        <f t="shared" si="334"/>
        <v>m</v>
      </c>
      <c r="BH515" s="254"/>
      <c r="BI515" s="254"/>
    </row>
    <row r="516" spans="1:61" customFormat="1" ht="18" x14ac:dyDescent="0.25">
      <c r="A516" s="523" t="s">
        <v>361</v>
      </c>
      <c r="B516" s="235"/>
      <c r="C516" s="676"/>
      <c r="D516" s="255" t="s">
        <v>360</v>
      </c>
      <c r="E516" s="236"/>
      <c r="F516" s="236"/>
      <c r="G516" s="236"/>
      <c r="H516" s="582" t="s">
        <v>1478</v>
      </c>
      <c r="I516" s="498" t="s">
        <v>2286</v>
      </c>
      <c r="J516" s="237"/>
      <c r="K516" s="237"/>
      <c r="L516" s="274"/>
      <c r="M516" s="668" t="s">
        <v>4962</v>
      </c>
      <c r="N516" s="681" t="str">
        <f>IF(AND(ISTEXT($A516), ISERROR($A516+0)), HYPERLINK($BF516, "Images"), "")</f>
        <v>Images</v>
      </c>
      <c r="O516" s="663" t="s">
        <v>4967</v>
      </c>
      <c r="P516" s="253"/>
      <c r="Q516" s="238"/>
      <c r="R516" s="239"/>
      <c r="S516" s="275" t="s">
        <v>305</v>
      </c>
      <c r="T516" s="508">
        <f t="shared" si="322"/>
        <v>0</v>
      </c>
      <c r="U516" s="225" t="str">
        <f>IF(NOT(ISNUMBER(G516)), "", VLOOKUP(A516,'Discount Lookup'!D:E,2,FALSE)*G516)</f>
        <v/>
      </c>
      <c r="V516" s="225" t="str">
        <f>IF(NOT(ISNUMBER(G516)), "", VLOOKUP(A516,'Discount Lookup'!G:H,2,FALSE)*G516)</f>
        <v/>
      </c>
      <c r="W516" s="508">
        <f t="shared" si="323"/>
        <v>0</v>
      </c>
      <c r="X516" s="508" t="str">
        <f t="shared" si="324"/>
        <v>Green foliage, Bluish undersides</v>
      </c>
      <c r="Y516" s="509" t="b">
        <f t="shared" si="325"/>
        <v>0</v>
      </c>
      <c r="Z516" s="510">
        <f t="shared" si="326"/>
        <v>0</v>
      </c>
      <c r="AA516" s="511"/>
      <c r="AB516" s="511" t="str">
        <f t="shared" si="327"/>
        <v/>
      </c>
      <c r="AC516" s="698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698"/>
      <c r="AE516" s="631" t="str">
        <f t="shared" si="328"/>
        <v/>
      </c>
      <c r="AF516" s="699" t="str">
        <f t="shared" si="329"/>
        <v/>
      </c>
      <c r="AG516" s="699"/>
      <c r="AH516" s="699"/>
      <c r="AI516" s="512">
        <f>IF(H516="credit",0,IF(AE516="free",0,IF(AE516="me",0,IF(G516&gt;0,(VLOOKUP(A516,'Discount Lookup'!J:K,2)*G516),0))))</f>
        <v>0</v>
      </c>
      <c r="AJ516" s="513" t="str">
        <f t="shared" ca="1" si="330"/>
        <v/>
      </c>
      <c r="AK516" s="700" t="str">
        <f t="shared" si="331"/>
        <v/>
      </c>
      <c r="AL516" s="700"/>
      <c r="AM516" s="505" t="str">
        <f t="shared" si="332"/>
        <v/>
      </c>
      <c r="AN516" s="506"/>
      <c r="AO516" s="507"/>
      <c r="AP516" s="507"/>
      <c r="AQ516" s="507"/>
      <c r="AR516" s="507"/>
      <c r="AS516" s="507"/>
      <c r="AT516" s="507"/>
      <c r="AU516" s="507"/>
      <c r="AV516" s="225"/>
      <c r="AW516" s="508"/>
      <c r="AX516" s="225"/>
      <c r="AY516" s="225"/>
      <c r="AZ516" s="225"/>
      <c r="BA516" s="225"/>
      <c r="BB516" s="225"/>
      <c r="BC516" s="56"/>
      <c r="BD516" s="56"/>
      <c r="BE516" s="56"/>
      <c r="BF516" s="107" t="str">
        <f t="shared" si="333"/>
        <v>https://www.google.com/search?tbm=isch&amp;q=Brandywine%20Red%20Maple%20Acer%20rubrum%20%27Brandywine%27</v>
      </c>
      <c r="BG516" s="107" t="str">
        <f t="shared" si="334"/>
        <v>B</v>
      </c>
      <c r="BH516" s="254"/>
      <c r="BI516" s="254"/>
    </row>
    <row r="517" spans="1:61" customFormat="1" ht="15.75" x14ac:dyDescent="0.25">
      <c r="A517" s="276">
        <v>7</v>
      </c>
      <c r="B517" s="240" t="s">
        <v>291</v>
      </c>
      <c r="C517" s="241" t="s">
        <v>4739</v>
      </c>
      <c r="D517" s="242" t="s">
        <v>292</v>
      </c>
      <c r="E517" s="243">
        <v>100.95</v>
      </c>
      <c r="F517" s="517" t="s">
        <v>293</v>
      </c>
      <c r="G517" s="232">
        <v>0</v>
      </c>
      <c r="H517" s="661" t="str">
        <f>IF(G517=0,"",IF(F517="Buy",IF(G517=1,"plant","plants"),IF(F517&gt;0.01,"warranty","Error")))</f>
        <v/>
      </c>
      <c r="I517" s="244">
        <f>IF(H517="free",0,IF(H517="credit",((E517*(F517))*G517*-1),IF(F517="Buy",(E517*G517),((E517*(1-F517))*G517))))</f>
        <v>0</v>
      </c>
      <c r="J517" s="244">
        <f>IF(H517="warranty",0,(I517*(_xlfn.SINGLE(SalesTaxPercentage))))</f>
        <v>0</v>
      </c>
      <c r="K517" s="696">
        <f t="shared" ref="K517" si="359">I517+J517</f>
        <v>0</v>
      </c>
      <c r="L517" s="696"/>
      <c r="M517" s="659" t="str">
        <f>IF(AND(G517&gt;0,E517=0),"WARNING - no PRICE inserted",IF(H517="free"," FREE ~ no charge this plant",IF(H517="credit",CONCATENATE(" -$",ROUND(K517*(1-T2GDiscount)*-1,2)," CREDIT after discount"),IF(T2GDiscount=0,"",IF(G517=0,"",IF(F517="Buy",CONCATENATE(" $",ROUND(K517*(1-T2GDiscount),2)," with ",(T2GDiscount*100),"% discount"),CONCATENATE(" $",ROUND(K517*(1-T2GDiscount),2)," with ",((T2GDiscount*100+F517*100)-(T2GDiscount*100*F517)),IF(F517&gt;0,"% discounts",IF(NoWarrantyDiscount&gt;0,"% discounts","% discount")))))))))</f>
        <v/>
      </c>
      <c r="N517" s="660"/>
      <c r="O517" s="233"/>
      <c r="P517" s="233"/>
      <c r="Q517" s="233"/>
      <c r="R517" s="233"/>
      <c r="S517" s="233"/>
      <c r="T517" s="508">
        <f t="shared" si="322"/>
        <v>0</v>
      </c>
      <c r="U517" s="225">
        <f>IF(NOT(ISNUMBER(G517)), "", VLOOKUP(A517,'Discount Lookup'!D:E,2,FALSE)*G517)</f>
        <v>0</v>
      </c>
      <c r="V517" s="225">
        <f>IF(NOT(ISNUMBER(G517)), "", VLOOKUP(A517,'Discount Lookup'!G:H,2,FALSE)*G517)</f>
        <v>0</v>
      </c>
      <c r="W517" s="508">
        <f t="shared" si="323"/>
        <v>0</v>
      </c>
      <c r="X517" s="508">
        <f t="shared" si="324"/>
        <v>0</v>
      </c>
      <c r="Y517" s="509" t="b">
        <f t="shared" si="325"/>
        <v>0</v>
      </c>
      <c r="Z517" s="510">
        <f t="shared" si="326"/>
        <v>0</v>
      </c>
      <c r="AA517" s="511"/>
      <c r="AB517" s="511" t="str">
        <f t="shared" si="327"/>
        <v/>
      </c>
      <c r="AC517" s="698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698"/>
      <c r="AE517" s="631" t="str">
        <f t="shared" si="328"/>
        <v/>
      </c>
      <c r="AF517" s="699" t="str">
        <f t="shared" si="329"/>
        <v/>
      </c>
      <c r="AG517" s="699"/>
      <c r="AH517" s="699"/>
      <c r="AI517" s="512">
        <f>IF(H517="credit",0,IF(AE517="free",0,IF(AE517="me",0,IF(G517&gt;0,(VLOOKUP(A517,'Discount Lookup'!J:K,2)*G517),0))))</f>
        <v>0</v>
      </c>
      <c r="AJ517" s="513" t="str">
        <f t="shared" ca="1" si="330"/>
        <v/>
      </c>
      <c r="AK517" s="700" t="str">
        <f t="shared" si="331"/>
        <v/>
      </c>
      <c r="AL517" s="700"/>
      <c r="AM517" s="505" t="str">
        <f t="shared" si="332"/>
        <v/>
      </c>
      <c r="AN517" s="506"/>
      <c r="AO517" s="507"/>
      <c r="AP517" s="507"/>
      <c r="AQ517" s="507"/>
      <c r="AR517" s="507"/>
      <c r="AS517" s="507"/>
      <c r="AT517" s="507"/>
      <c r="AU517" s="507"/>
      <c r="AV517" s="225"/>
      <c r="AW517" s="508"/>
      <c r="AX517" s="225"/>
      <c r="AY517" s="225"/>
      <c r="AZ517" s="225"/>
      <c r="BA517" s="225"/>
      <c r="BB517" s="225"/>
      <c r="BC517" s="56"/>
      <c r="BD517" s="56"/>
      <c r="BE517" s="56"/>
      <c r="BF517" s="107" t="str">
        <f t="shared" si="333"/>
        <v>https://www.google.com/search?tbm=isch&amp;q=7%20G4</v>
      </c>
      <c r="BG517" s="107" t="str">
        <f t="shared" si="334"/>
        <v>B</v>
      </c>
      <c r="BH517" s="254"/>
      <c r="BI517" s="254"/>
    </row>
    <row r="518" spans="1:61" customFormat="1" ht="15.75" x14ac:dyDescent="0.25">
      <c r="A518" s="276">
        <v>15</v>
      </c>
      <c r="B518" s="240" t="s">
        <v>291</v>
      </c>
      <c r="C518" s="241" t="s">
        <v>3350</v>
      </c>
      <c r="D518" s="242" t="s">
        <v>292</v>
      </c>
      <c r="E518" s="243">
        <v>178.95</v>
      </c>
      <c r="F518" s="517" t="s">
        <v>293</v>
      </c>
      <c r="G518" s="232">
        <v>0</v>
      </c>
      <c r="H518" s="661" t="str">
        <f>IF(G518=0,"",IF(F518="Buy",IF(G518=1,"plant","plants"),IF(F518&gt;0.01,"warranty","Error")))</f>
        <v/>
      </c>
      <c r="I518" s="244">
        <f>IF(H518="free",0,IF(H518="credit",((E518*(F518))*G518*-1),IF(F518="Buy",(E518*G518),((E518*(1-F518))*G518))))</f>
        <v>0</v>
      </c>
      <c r="J518" s="244">
        <f>IF(H518="warranty",0,(I518*(_xlfn.SINGLE(SalesTaxPercentage))))</f>
        <v>0</v>
      </c>
      <c r="K518" s="696">
        <f t="shared" ref="K518" si="360">I518+J518</f>
        <v>0</v>
      </c>
      <c r="L518" s="696"/>
      <c r="M518" s="659" t="str">
        <f>IF(AND(G518&gt;0,E518=0),"WARNING - no PRICE inserted",IF(H518="free"," FREE ~ no charge this plant",IF(H518="credit",CONCATENATE(" -$",ROUND(K518*(1-T2GDiscount)*-1,2)," CREDIT after discount"),IF(T2GDiscount=0,"",IF(G518=0,"",IF(F518="Buy",CONCATENATE(" $",ROUND(K518*(1-T2GDiscount),2)," with ",(T2GDiscount*100),"% discount"),CONCATENATE(" $",ROUND(K518*(1-T2GDiscount),2)," with ",((T2GDiscount*100+F518*100)-(T2GDiscount*100*F518)),IF(F518&gt;0,"% discounts",IF(NoWarrantyDiscount&gt;0,"% discounts","% discount")))))))))</f>
        <v/>
      </c>
      <c r="N518" s="660"/>
      <c r="O518" s="233"/>
      <c r="P518" s="233"/>
      <c r="Q518" s="233"/>
      <c r="R518" s="233"/>
      <c r="S518" s="233"/>
      <c r="T518" s="508">
        <f t="shared" si="322"/>
        <v>0</v>
      </c>
      <c r="U518" s="225">
        <f>IF(NOT(ISNUMBER(G518)), "", VLOOKUP(A518,'Discount Lookup'!D:E,2,FALSE)*G518)</f>
        <v>0</v>
      </c>
      <c r="V518" s="225">
        <f>IF(NOT(ISNUMBER(G518)), "", VLOOKUP(A518,'Discount Lookup'!G:H,2,FALSE)*G518)</f>
        <v>0</v>
      </c>
      <c r="W518" s="508">
        <f t="shared" si="323"/>
        <v>0</v>
      </c>
      <c r="X518" s="508">
        <f t="shared" si="324"/>
        <v>0</v>
      </c>
      <c r="Y518" s="509" t="b">
        <f t="shared" si="325"/>
        <v>0</v>
      </c>
      <c r="Z518" s="510">
        <f t="shared" si="326"/>
        <v>0</v>
      </c>
      <c r="AA518" s="511"/>
      <c r="AB518" s="511" t="str">
        <f t="shared" si="327"/>
        <v/>
      </c>
      <c r="AC518" s="698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698"/>
      <c r="AE518" s="631" t="str">
        <f t="shared" si="328"/>
        <v/>
      </c>
      <c r="AF518" s="699" t="str">
        <f t="shared" si="329"/>
        <v/>
      </c>
      <c r="AG518" s="699"/>
      <c r="AH518" s="699"/>
      <c r="AI518" s="512">
        <f>IF(H518="credit",0,IF(AE518="free",0,IF(AE518="me",0,IF(G518&gt;0,(VLOOKUP(A518,'Discount Lookup'!J:K,2)*G518),0))))</f>
        <v>0</v>
      </c>
      <c r="AJ518" s="513" t="str">
        <f t="shared" ca="1" si="330"/>
        <v/>
      </c>
      <c r="AK518" s="700" t="str">
        <f t="shared" si="331"/>
        <v/>
      </c>
      <c r="AL518" s="700"/>
      <c r="AM518" s="505" t="str">
        <f t="shared" si="332"/>
        <v/>
      </c>
      <c r="AN518" s="506"/>
      <c r="AO518" s="507"/>
      <c r="AP518" s="507"/>
      <c r="AQ518" s="507"/>
      <c r="AR518" s="507"/>
      <c r="AS518" s="507"/>
      <c r="AT518" s="507"/>
      <c r="AU518" s="507"/>
      <c r="AV518" s="225"/>
      <c r="AW518" s="508"/>
      <c r="AX518" s="225"/>
      <c r="AY518" s="225"/>
      <c r="AZ518" s="225"/>
      <c r="BA518" s="225"/>
      <c r="BB518" s="225"/>
      <c r="BC518" s="56"/>
      <c r="BD518" s="56"/>
      <c r="BE518" s="56"/>
      <c r="BF518" s="107" t="str">
        <f t="shared" si="333"/>
        <v>https://www.google.com/search?tbm=isch&amp;q=15%20G4</v>
      </c>
      <c r="BG518" s="107" t="str">
        <f t="shared" si="334"/>
        <v>B</v>
      </c>
      <c r="BH518" s="254"/>
      <c r="BI518" s="254"/>
    </row>
    <row r="519" spans="1:61" customFormat="1" ht="27" x14ac:dyDescent="0.25">
      <c r="A519" s="276">
        <v>25</v>
      </c>
      <c r="B519" s="240" t="s">
        <v>291</v>
      </c>
      <c r="C519" s="241" t="s">
        <v>3351</v>
      </c>
      <c r="D519" s="242" t="s">
        <v>292</v>
      </c>
      <c r="E519" s="243">
        <v>293.95</v>
      </c>
      <c r="F519" s="517" t="s">
        <v>293</v>
      </c>
      <c r="G519" s="232">
        <v>0</v>
      </c>
      <c r="H519" s="661" t="str">
        <f>IF(G519=0,"",IF(F519="Buy",IF(G519=1,"plant","plants"),IF(F519&gt;0.01,"warranty","Error")))</f>
        <v/>
      </c>
      <c r="I519" s="244">
        <f>IF(H519="free",0,IF(H519="credit",((E519*(F519))*G519*-1),IF(F519="Buy",(E519*G519),((E519*(1-F519))*G519))))</f>
        <v>0</v>
      </c>
      <c r="J519" s="244">
        <f>IF(H519="warranty",0,(I519*(_xlfn.SINGLE(SalesTaxPercentage))))</f>
        <v>0</v>
      </c>
      <c r="K519" s="696">
        <f t="shared" ref="K519" si="361">I519+J519</f>
        <v>0</v>
      </c>
      <c r="L519" s="696"/>
      <c r="M519" s="659" t="str">
        <f>IF(AND(G519&gt;0,E519=0),"WARNING - no PRICE inserted",IF(H519="free"," FREE ~ no charge this plant",IF(H519="credit",CONCATENATE(" -$",ROUND(K519*(1-T2GDiscount)*-1,2)," CREDIT after discount"),IF(T2GDiscount=0,"",IF(G519=0,"",IF(F519="Buy",CONCATENATE(" $",ROUND(K519*(1-T2GDiscount),2)," with ",(T2GDiscount*100),"% discount"),CONCATENATE(" $",ROUND(K519*(1-T2GDiscount),2)," with ",((T2GDiscount*100+F519*100)-(T2GDiscount*100*F519)),IF(F519&gt;0,"% discounts",IF(NoWarrantyDiscount&gt;0,"% discounts","% discount")))))))))</f>
        <v/>
      </c>
      <c r="N519" s="660"/>
      <c r="O519" s="233"/>
      <c r="P519" s="233"/>
      <c r="Q519" s="233"/>
      <c r="R519" s="233"/>
      <c r="S519" s="233"/>
      <c r="T519" s="508">
        <f t="shared" si="322"/>
        <v>0</v>
      </c>
      <c r="U519" s="225">
        <f>IF(NOT(ISNUMBER(G519)), "", VLOOKUP(A519,'Discount Lookup'!D:E,2,FALSE)*G519)</f>
        <v>0</v>
      </c>
      <c r="V519" s="225">
        <f>IF(NOT(ISNUMBER(G519)), "", VLOOKUP(A519,'Discount Lookup'!G:H,2,FALSE)*G519)</f>
        <v>0</v>
      </c>
      <c r="W519" s="508">
        <f t="shared" si="323"/>
        <v>0</v>
      </c>
      <c r="X519" s="508">
        <f t="shared" si="324"/>
        <v>0</v>
      </c>
      <c r="Y519" s="509" t="b">
        <f t="shared" si="325"/>
        <v>0</v>
      </c>
      <c r="Z519" s="510">
        <f t="shared" si="326"/>
        <v>0</v>
      </c>
      <c r="AA519" s="511"/>
      <c r="AB519" s="511" t="str">
        <f t="shared" si="327"/>
        <v/>
      </c>
      <c r="AC519" s="698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698"/>
      <c r="AE519" s="631" t="str">
        <f t="shared" si="328"/>
        <v/>
      </c>
      <c r="AF519" s="699" t="str">
        <f t="shared" si="329"/>
        <v/>
      </c>
      <c r="AG519" s="699"/>
      <c r="AH519" s="699"/>
      <c r="AI519" s="512">
        <f>IF(H519="credit",0,IF(AE519="free",0,IF(AE519="me",0,IF(G519&gt;0,(VLOOKUP(A519,'Discount Lookup'!J:K,2)*G519),0))))</f>
        <v>0</v>
      </c>
      <c r="AJ519" s="513" t="str">
        <f t="shared" ca="1" si="330"/>
        <v/>
      </c>
      <c r="AK519" s="700" t="str">
        <f t="shared" si="331"/>
        <v/>
      </c>
      <c r="AL519" s="700"/>
      <c r="AM519" s="505" t="str">
        <f t="shared" si="332"/>
        <v/>
      </c>
      <c r="AN519" s="506"/>
      <c r="AO519" s="507"/>
      <c r="AP519" s="507"/>
      <c r="AQ519" s="507"/>
      <c r="AR519" s="507"/>
      <c r="AS519" s="507"/>
      <c r="AT519" s="507"/>
      <c r="AU519" s="507"/>
      <c r="AV519" s="225"/>
      <c r="AW519" s="508"/>
      <c r="AX519" s="225"/>
      <c r="AY519" s="225"/>
      <c r="AZ519" s="225"/>
      <c r="BA519" s="225"/>
      <c r="BB519" s="225"/>
      <c r="BC519" s="56"/>
      <c r="BD519" s="56"/>
      <c r="BE519" s="56"/>
      <c r="BF519" s="107" t="str">
        <f t="shared" si="333"/>
        <v>https://www.google.com/search?tbm=isch&amp;q=25%20G4</v>
      </c>
      <c r="BG519" s="107" t="str">
        <f t="shared" si="334"/>
        <v>B</v>
      </c>
      <c r="BH519" s="254"/>
      <c r="BI519" s="254"/>
    </row>
    <row r="520" spans="1:61" customFormat="1" ht="15.75" x14ac:dyDescent="0.25">
      <c r="A520" s="276">
        <v>25</v>
      </c>
      <c r="B520" s="240" t="s">
        <v>291</v>
      </c>
      <c r="C520" s="241" t="s">
        <v>363</v>
      </c>
      <c r="D520" s="242" t="s">
        <v>300</v>
      </c>
      <c r="E520" s="243">
        <v>299.95</v>
      </c>
      <c r="F520" s="517" t="s">
        <v>293</v>
      </c>
      <c r="G520" s="232">
        <v>0</v>
      </c>
      <c r="H520" s="661" t="str">
        <f>IF(G520=0,"",IF(F520="Buy",IF(G520=1,"plant","plants"),IF(F520&gt;0.01,"warranty","Error")))</f>
        <v/>
      </c>
      <c r="I520" s="244">
        <f>IF(H520="free",0,IF(H520="credit",((E520*(F520))*G520*-1),IF(F520="Buy",(E520*G520),((E520*(1-F520))*G520))))</f>
        <v>0</v>
      </c>
      <c r="J520" s="244">
        <f>IF(H520="warranty",0,(I520*(_xlfn.SINGLE(SalesTaxPercentage))))</f>
        <v>0</v>
      </c>
      <c r="K520" s="696">
        <f t="shared" ref="K520" si="362">I520+J520</f>
        <v>0</v>
      </c>
      <c r="L520" s="696"/>
      <c r="M520" s="659" t="str">
        <f>IF(AND(G520&gt;0,E520=0),"WARNING - no PRICE inserted",IF(H520="free"," FREE ~ no charge this plant",IF(H520="credit",CONCATENATE(" -$",ROUND(K520*(1-T2GDiscount)*-1,2)," CREDIT after discount"),IF(T2GDiscount=0,"",IF(G520=0,"",IF(F520="Buy",CONCATENATE(" $",ROUND(K520*(1-T2GDiscount),2)," with ",(T2GDiscount*100),"% discount"),CONCATENATE(" $",ROUND(K520*(1-T2GDiscount),2)," with ",((T2GDiscount*100+F520*100)-(T2GDiscount*100*F520)),IF(F520&gt;0,"% discounts",IF(NoWarrantyDiscount&gt;0,"% discounts","% discount")))))))))</f>
        <v/>
      </c>
      <c r="N520" s="660"/>
      <c r="O520" s="233"/>
      <c r="P520" s="233"/>
      <c r="Q520" s="233"/>
      <c r="R520" s="233"/>
      <c r="S520" s="233"/>
      <c r="T520" s="508">
        <f t="shared" si="322"/>
        <v>0</v>
      </c>
      <c r="U520" s="225">
        <f>IF(NOT(ISNUMBER(G520)), "", VLOOKUP(A520,'Discount Lookup'!D:E,2,FALSE)*G520)</f>
        <v>0</v>
      </c>
      <c r="V520" s="225">
        <f>IF(NOT(ISNUMBER(G520)), "", VLOOKUP(A520,'Discount Lookup'!G:H,2,FALSE)*G520)</f>
        <v>0</v>
      </c>
      <c r="W520" s="508">
        <f t="shared" si="323"/>
        <v>0</v>
      </c>
      <c r="X520" s="508">
        <f t="shared" si="324"/>
        <v>0</v>
      </c>
      <c r="Y520" s="509" t="b">
        <f t="shared" si="325"/>
        <v>0</v>
      </c>
      <c r="Z520" s="510">
        <f t="shared" si="326"/>
        <v>0</v>
      </c>
      <c r="AA520" s="511"/>
      <c r="AB520" s="511" t="str">
        <f t="shared" si="327"/>
        <v/>
      </c>
      <c r="AC520" s="698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698"/>
      <c r="AE520" s="631" t="str">
        <f t="shared" si="328"/>
        <v/>
      </c>
      <c r="AF520" s="699" t="str">
        <f t="shared" si="329"/>
        <v/>
      </c>
      <c r="AG520" s="699"/>
      <c r="AH520" s="699"/>
      <c r="AI520" s="512">
        <f>IF(H520="credit",0,IF(AE520="free",0,IF(AE520="me",0,IF(G520&gt;0,(VLOOKUP(A520,'Discount Lookup'!J:K,2)*G520),0))))</f>
        <v>0</v>
      </c>
      <c r="AJ520" s="513" t="str">
        <f t="shared" ca="1" si="330"/>
        <v/>
      </c>
      <c r="AK520" s="700" t="str">
        <f t="shared" si="331"/>
        <v/>
      </c>
      <c r="AL520" s="700"/>
      <c r="AM520" s="505" t="str">
        <f t="shared" si="332"/>
        <v/>
      </c>
      <c r="AN520" s="506"/>
      <c r="AO520" s="507"/>
      <c r="AP520" s="507"/>
      <c r="AQ520" s="507"/>
      <c r="AR520" s="507"/>
      <c r="AS520" s="507"/>
      <c r="AT520" s="507"/>
      <c r="AU520" s="507"/>
      <c r="AV520" s="225"/>
      <c r="AW520" s="508"/>
      <c r="AX520" s="225"/>
      <c r="AY520" s="225"/>
      <c r="AZ520" s="225"/>
      <c r="BA520" s="225"/>
      <c r="BB520" s="225"/>
      <c r="BC520" s="56"/>
      <c r="BD520" s="56"/>
      <c r="BE520" s="56"/>
      <c r="BF520" s="107" t="str">
        <f t="shared" si="333"/>
        <v>https://www.google.com/search?tbm=isch&amp;q=25%20G6</v>
      </c>
      <c r="BG520" s="107" t="str">
        <f t="shared" si="334"/>
        <v>B</v>
      </c>
      <c r="BH520" s="254"/>
      <c r="BI520" s="254"/>
    </row>
    <row r="521" spans="1:61" customFormat="1" ht="17.25" thickBot="1" x14ac:dyDescent="0.3">
      <c r="A521" s="673" t="s">
        <v>5070</v>
      </c>
      <c r="B521" s="245"/>
      <c r="C521" s="677"/>
      <c r="D521" s="499"/>
      <c r="E521" s="499"/>
      <c r="F521" s="500"/>
      <c r="G521" s="501"/>
      <c r="H521" s="502"/>
      <c r="I521" s="246"/>
      <c r="J521" s="247"/>
      <c r="K521" s="503"/>
      <c r="L521" s="544"/>
      <c r="M521" s="544"/>
      <c r="N521" s="500"/>
      <c r="O521" s="500"/>
      <c r="P521" s="500"/>
      <c r="Q521" s="500"/>
      <c r="R521" s="500"/>
      <c r="S521" s="669" t="s">
        <v>4972</v>
      </c>
      <c r="T521" s="508">
        <f t="shared" si="322"/>
        <v>0</v>
      </c>
      <c r="U521" s="225" t="str">
        <f>IF(NOT(ISNUMBER(G521)), "", VLOOKUP(A521,'Discount Lookup'!D:E,2,FALSE)*G521)</f>
        <v/>
      </c>
      <c r="V521" s="225" t="str">
        <f>IF(NOT(ISNUMBER(G521)), "", VLOOKUP(A521,'Discount Lookup'!G:H,2,FALSE)*G521)</f>
        <v/>
      </c>
      <c r="W521" s="508">
        <f t="shared" si="323"/>
        <v>0</v>
      </c>
      <c r="X521" s="508">
        <f t="shared" si="324"/>
        <v>0</v>
      </c>
      <c r="Y521" s="509" t="b">
        <f t="shared" si="325"/>
        <v>0</v>
      </c>
      <c r="Z521" s="510">
        <f t="shared" si="326"/>
        <v>0</v>
      </c>
      <c r="AA521" s="511"/>
      <c r="AB521" s="511" t="str">
        <f t="shared" si="327"/>
        <v/>
      </c>
      <c r="AC521" s="698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698"/>
      <c r="AE521" s="631" t="str">
        <f t="shared" si="328"/>
        <v/>
      </c>
      <c r="AF521" s="699" t="str">
        <f t="shared" si="329"/>
        <v/>
      </c>
      <c r="AG521" s="699"/>
      <c r="AH521" s="699"/>
      <c r="AI521" s="512">
        <f>IF(H521="credit",0,IF(AE521="free",0,IF(AE521="me",0,IF(G521&gt;0,(VLOOKUP(A521,'Discount Lookup'!J:K,2)*G521),0))))</f>
        <v>0</v>
      </c>
      <c r="AJ521" s="513" t="str">
        <f t="shared" ca="1" si="330"/>
        <v/>
      </c>
      <c r="AK521" s="700" t="str">
        <f t="shared" si="331"/>
        <v/>
      </c>
      <c r="AL521" s="700"/>
      <c r="AM521" s="505" t="str">
        <f t="shared" si="332"/>
        <v/>
      </c>
      <c r="AN521" s="506"/>
      <c r="AO521" s="507"/>
      <c r="AP521" s="507"/>
      <c r="AQ521" s="507"/>
      <c r="AR521" s="507"/>
      <c r="AS521" s="507"/>
      <c r="AT521" s="507"/>
      <c r="AU521" s="507"/>
      <c r="AV521" s="225"/>
      <c r="AW521" s="508"/>
      <c r="AX521" s="225"/>
      <c r="AY521" s="225"/>
      <c r="AZ521" s="225"/>
      <c r="BA521" s="225"/>
      <c r="BB521" s="225"/>
      <c r="BC521" s="56"/>
      <c r="BD521" s="56"/>
      <c r="BE521" s="56"/>
      <c r="BF521" s="107" t="str">
        <f t="shared" si="333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521" s="107" t="str">
        <f t="shared" si="334"/>
        <v>m</v>
      </c>
      <c r="BH521" s="254"/>
      <c r="BI521" s="254"/>
    </row>
    <row r="522" spans="1:61" customFormat="1" ht="18" x14ac:dyDescent="0.25">
      <c r="A522" s="523" t="s">
        <v>614</v>
      </c>
      <c r="B522" s="235"/>
      <c r="C522" s="676"/>
      <c r="D522" s="255" t="s">
        <v>613</v>
      </c>
      <c r="E522" s="236"/>
      <c r="F522" s="236"/>
      <c r="G522" s="236"/>
      <c r="H522" s="582" t="s">
        <v>1364</v>
      </c>
      <c r="I522" s="498" t="s">
        <v>4222</v>
      </c>
      <c r="J522" s="237"/>
      <c r="K522" s="237"/>
      <c r="L522" s="274"/>
      <c r="M522" s="670" t="s">
        <v>4987</v>
      </c>
      <c r="N522" s="681" t="str">
        <f>IF(AND(ISTEXT($A522), ISERROR($A522+0)), HYPERLINK($BF522, "Images"), "")</f>
        <v>Images</v>
      </c>
      <c r="O522" s="663" t="s">
        <v>4967</v>
      </c>
      <c r="P522" s="253"/>
      <c r="Q522" s="238"/>
      <c r="R522" s="239"/>
      <c r="S522" s="275"/>
      <c r="T522" s="508">
        <f t="shared" si="322"/>
        <v>0</v>
      </c>
      <c r="U522" s="225" t="str">
        <f>IF(NOT(ISNUMBER(G522)), "", VLOOKUP(A522,'Discount Lookup'!D:E,2,FALSE)*G522)</f>
        <v/>
      </c>
      <c r="V522" s="225" t="str">
        <f>IF(NOT(ISNUMBER(G522)), "", VLOOKUP(A522,'Discount Lookup'!G:H,2,FALSE)*G522)</f>
        <v/>
      </c>
      <c r="W522" s="508">
        <f t="shared" si="323"/>
        <v>0</v>
      </c>
      <c r="X522" s="508" t="str">
        <f t="shared" si="324"/>
        <v>Creamy-White bloom</v>
      </c>
      <c r="Y522" s="509" t="b">
        <f t="shared" si="325"/>
        <v>0</v>
      </c>
      <c r="Z522" s="510">
        <f t="shared" si="326"/>
        <v>0</v>
      </c>
      <c r="AA522" s="511"/>
      <c r="AB522" s="511" t="str">
        <f t="shared" si="327"/>
        <v/>
      </c>
      <c r="AC522" s="698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698"/>
      <c r="AE522" s="631" t="str">
        <f t="shared" si="328"/>
        <v/>
      </c>
      <c r="AF522" s="699" t="str">
        <f t="shared" si="329"/>
        <v/>
      </c>
      <c r="AG522" s="699"/>
      <c r="AH522" s="699"/>
      <c r="AI522" s="512">
        <f>IF(H522="credit",0,IF(AE522="free",0,IF(AE522="me",0,IF(G522&gt;0,(VLOOKUP(A522,'Discount Lookup'!J:K,2)*G522),0))))</f>
        <v>0</v>
      </c>
      <c r="AJ522" s="513" t="str">
        <f t="shared" ca="1" si="330"/>
        <v/>
      </c>
      <c r="AK522" s="700" t="str">
        <f t="shared" si="331"/>
        <v/>
      </c>
      <c r="AL522" s="700"/>
      <c r="AM522" s="505" t="str">
        <f t="shared" si="332"/>
        <v/>
      </c>
      <c r="AN522" s="506"/>
      <c r="AO522" s="507"/>
      <c r="AP522" s="507"/>
      <c r="AQ522" s="507"/>
      <c r="AR522" s="507"/>
      <c r="AS522" s="507"/>
      <c r="AT522" s="507"/>
      <c r="AU522" s="507"/>
      <c r="AV522" s="225"/>
      <c r="AW522" s="508"/>
      <c r="AX522" s="225"/>
      <c r="AY522" s="225"/>
      <c r="AZ522" s="225"/>
      <c r="BA522" s="225"/>
      <c r="BB522" s="225"/>
      <c r="BC522" s="56"/>
      <c r="BD522" s="56"/>
      <c r="BE522" s="56"/>
      <c r="BF522" s="107" t="str">
        <f t="shared" si="333"/>
        <v>https://www.google.com/search?tbm=isch&amp;q=Bridal%20Veil%20Astilbe%20Astilbe%20x%20arendsii%20%27Brautschleier%27</v>
      </c>
      <c r="BG522" s="107" t="str">
        <f t="shared" si="334"/>
        <v>B</v>
      </c>
      <c r="BH522" s="254"/>
      <c r="BI522" s="254"/>
    </row>
    <row r="523" spans="1:61" customFormat="1" ht="15.75" x14ac:dyDescent="0.25">
      <c r="A523" s="276">
        <v>4</v>
      </c>
      <c r="B523" s="240" t="s">
        <v>340</v>
      </c>
      <c r="C523" s="241"/>
      <c r="D523" s="242" t="s">
        <v>312</v>
      </c>
      <c r="E523" s="243">
        <v>13.95</v>
      </c>
      <c r="F523" s="517" t="s">
        <v>293</v>
      </c>
      <c r="G523" s="232">
        <v>0</v>
      </c>
      <c r="H523" s="661" t="str">
        <f>IF(G523=0,"",IF(F523="Buy",IF(G523=1,"plant","plants"),IF(F523&gt;0.01,"warranty","Error")))</f>
        <v/>
      </c>
      <c r="I523" s="244">
        <f>IF(H523="free",0,IF(H523="credit",((E523*(F523))*G523*-1),IF(F523="Buy",(E523*G523),((E523*(1-F523))*G523))))</f>
        <v>0</v>
      </c>
      <c r="J523" s="244">
        <f>IF(H523="warranty",0,(I523*(_xlfn.SINGLE(SalesTaxPercentage))))</f>
        <v>0</v>
      </c>
      <c r="K523" s="696">
        <f t="shared" ref="K523" si="363">I523+J523</f>
        <v>0</v>
      </c>
      <c r="L523" s="696"/>
      <c r="M523" s="659" t="str">
        <f>IF(AND(G523&gt;0,E523=0),"WARNING - no PRICE inserted",IF(H523="free"," FREE ~ no charge this plant",IF(H523="credit",CONCATENATE(" -$",ROUND(K523*(1-T2GDiscount)*-1,2)," CREDIT after discount"),IF(T2GDiscount=0,"",IF(G523=0,"",IF(F523="Buy",CONCATENATE(" $",ROUND(K523*(1-T2GDiscount),2)," with ",(T2GDiscount*100),"% discount"),CONCATENATE(" $",ROUND(K523*(1-T2GDiscount),2)," with ",((T2GDiscount*100+F523*100)-(T2GDiscount*100*F523)),IF(F523&gt;0,"% discounts",IF(NoWarrantyDiscount&gt;0,"% discounts","% discount")))))))))</f>
        <v/>
      </c>
      <c r="N523" s="660"/>
      <c r="O523" s="233"/>
      <c r="P523" s="233"/>
      <c r="Q523" s="233"/>
      <c r="R523" s="233"/>
      <c r="S523" s="233"/>
      <c r="T523" s="508">
        <f t="shared" si="322"/>
        <v>0</v>
      </c>
      <c r="U523" s="225">
        <f>IF(NOT(ISNUMBER(G523)), "", VLOOKUP(A523,'Discount Lookup'!D:E,2,FALSE)*G523)</f>
        <v>0</v>
      </c>
      <c r="V523" s="225">
        <f>IF(NOT(ISNUMBER(G523)), "", VLOOKUP(A523,'Discount Lookup'!G:H,2,FALSE)*G523)</f>
        <v>0</v>
      </c>
      <c r="W523" s="508">
        <f t="shared" si="323"/>
        <v>0</v>
      </c>
      <c r="X523" s="508">
        <f t="shared" si="324"/>
        <v>0</v>
      </c>
      <c r="Y523" s="509" t="b">
        <f t="shared" si="325"/>
        <v>0</v>
      </c>
      <c r="Z523" s="510">
        <f t="shared" si="326"/>
        <v>0</v>
      </c>
      <c r="AA523" s="511"/>
      <c r="AB523" s="511" t="str">
        <f t="shared" si="327"/>
        <v/>
      </c>
      <c r="AC523" s="698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698"/>
      <c r="AE523" s="631" t="str">
        <f t="shared" si="328"/>
        <v/>
      </c>
      <c r="AF523" s="699" t="str">
        <f t="shared" si="329"/>
        <v/>
      </c>
      <c r="AG523" s="699"/>
      <c r="AH523" s="699"/>
      <c r="AI523" s="512">
        <f>IF(H523="credit",0,IF(AE523="free",0,IF(AE523="me",0,IF(G523&gt;0,(VLOOKUP(A523,'Discount Lookup'!J:K,2)*G523),0))))</f>
        <v>0</v>
      </c>
      <c r="AJ523" s="513" t="str">
        <f t="shared" ca="1" si="330"/>
        <v/>
      </c>
      <c r="AK523" s="700" t="str">
        <f t="shared" si="331"/>
        <v/>
      </c>
      <c r="AL523" s="700"/>
      <c r="AM523" s="505" t="str">
        <f t="shared" si="332"/>
        <v/>
      </c>
      <c r="AN523" s="506"/>
      <c r="AO523" s="507"/>
      <c r="AP523" s="507"/>
      <c r="AQ523" s="507"/>
      <c r="AR523" s="507"/>
      <c r="AS523" s="507"/>
      <c r="AT523" s="507"/>
      <c r="AU523" s="507"/>
      <c r="AV523" s="225"/>
      <c r="AW523" s="508"/>
      <c r="AX523" s="225"/>
      <c r="AY523" s="225"/>
      <c r="AZ523" s="225"/>
      <c r="BA523" s="225"/>
      <c r="BB523" s="225"/>
      <c r="BC523" s="56"/>
      <c r="BD523" s="56"/>
      <c r="BE523" s="56"/>
      <c r="BF523" s="107" t="str">
        <f t="shared" si="333"/>
        <v>https://www.google.com/search?tbm=isch&amp;q=4%20G2</v>
      </c>
      <c r="BG523" s="107" t="str">
        <f t="shared" si="334"/>
        <v>B</v>
      </c>
      <c r="BH523" s="254"/>
      <c r="BI523" s="254"/>
    </row>
    <row r="524" spans="1:61" customFormat="1" ht="17.25" thickBot="1" x14ac:dyDescent="0.3">
      <c r="A524" s="673" t="s">
        <v>5071</v>
      </c>
      <c r="B524" s="245"/>
      <c r="C524" s="677"/>
      <c r="D524" s="499"/>
      <c r="E524" s="499"/>
      <c r="F524" s="500"/>
      <c r="G524" s="501"/>
      <c r="H524" s="502"/>
      <c r="I524" s="246"/>
      <c r="J524" s="247"/>
      <c r="K524" s="503"/>
      <c r="L524" s="544"/>
      <c r="M524" s="544"/>
      <c r="N524" s="500"/>
      <c r="O524" s="500"/>
      <c r="P524" s="500"/>
      <c r="Q524" s="500"/>
      <c r="R524" s="500"/>
      <c r="S524" s="669" t="s">
        <v>4999</v>
      </c>
      <c r="T524" s="508">
        <f t="shared" si="322"/>
        <v>0</v>
      </c>
      <c r="U524" s="225" t="str">
        <f>IF(NOT(ISNUMBER(G524)), "", VLOOKUP(A524,'Discount Lookup'!D:E,2,FALSE)*G524)</f>
        <v/>
      </c>
      <c r="V524" s="225" t="str">
        <f>IF(NOT(ISNUMBER(G524)), "", VLOOKUP(A524,'Discount Lookup'!G:H,2,FALSE)*G524)</f>
        <v/>
      </c>
      <c r="W524" s="508">
        <f t="shared" si="323"/>
        <v>0</v>
      </c>
      <c r="X524" s="508">
        <f t="shared" si="324"/>
        <v>0</v>
      </c>
      <c r="Y524" s="509" t="b">
        <f t="shared" si="325"/>
        <v>0</v>
      </c>
      <c r="Z524" s="510">
        <f t="shared" si="326"/>
        <v>0</v>
      </c>
      <c r="AA524" s="511"/>
      <c r="AB524" s="511" t="str">
        <f t="shared" si="327"/>
        <v/>
      </c>
      <c r="AC524" s="698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698"/>
      <c r="AE524" s="631" t="str">
        <f t="shared" si="328"/>
        <v/>
      </c>
      <c r="AF524" s="699" t="str">
        <f t="shared" si="329"/>
        <v/>
      </c>
      <c r="AG524" s="699"/>
      <c r="AH524" s="699"/>
      <c r="AI524" s="512">
        <f>IF(H524="credit",0,IF(AE524="free",0,IF(AE524="me",0,IF(G524&gt;0,(VLOOKUP(A524,'Discount Lookup'!J:K,2)*G524),0))))</f>
        <v>0</v>
      </c>
      <c r="AJ524" s="513" t="str">
        <f t="shared" ca="1" si="330"/>
        <v/>
      </c>
      <c r="AK524" s="700" t="str">
        <f t="shared" si="331"/>
        <v/>
      </c>
      <c r="AL524" s="700"/>
      <c r="AM524" s="505" t="str">
        <f t="shared" si="332"/>
        <v/>
      </c>
      <c r="AN524" s="506"/>
      <c r="AO524" s="507"/>
      <c r="AP524" s="507"/>
      <c r="AQ524" s="507"/>
      <c r="AR524" s="507"/>
      <c r="AS524" s="507"/>
      <c r="AT524" s="507"/>
      <c r="AU524" s="507"/>
      <c r="AV524" s="225"/>
      <c r="AW524" s="508"/>
      <c r="AX524" s="225"/>
      <c r="AY524" s="225"/>
      <c r="AZ524" s="225"/>
      <c r="BA524" s="225"/>
      <c r="BB524" s="225"/>
      <c r="BC524" s="56"/>
      <c r="BD524" s="56"/>
      <c r="BE524" s="56"/>
      <c r="BF524" s="107" t="str">
        <f t="shared" si="333"/>
        <v>https://www.google.com/search?tbm=isch&amp;q=moist%20sites%F0%9F%92%A7GOOD%2C%20Bridal%20Veil%20named%20for%20look%20of%20clouds%20of%20White%20plumes%20above%20glossy%2C%20ferny%20foliage%20in%20early%20summer%20</v>
      </c>
      <c r="BG524" s="107" t="str">
        <f t="shared" si="334"/>
        <v>m</v>
      </c>
      <c r="BH524" s="254"/>
      <c r="BI524" s="254"/>
    </row>
    <row r="525" spans="1:61" customFormat="1" ht="18" x14ac:dyDescent="0.25">
      <c r="A525" s="523" t="s">
        <v>4861</v>
      </c>
      <c r="B525" s="235"/>
      <c r="C525" s="676"/>
      <c r="D525" s="255" t="s">
        <v>4862</v>
      </c>
      <c r="E525" s="236"/>
      <c r="F525" s="236"/>
      <c r="G525" s="236"/>
      <c r="H525" s="582" t="s">
        <v>2008</v>
      </c>
      <c r="I525" s="498" t="s">
        <v>4863</v>
      </c>
      <c r="J525" s="237"/>
      <c r="K525" s="237"/>
      <c r="L525" s="274"/>
      <c r="M525" s="668" t="s">
        <v>4975</v>
      </c>
      <c r="N525" s="681" t="str">
        <f>IF(AND(ISTEXT($A525), ISERROR($A525+0)), HYPERLINK($BF525, "Images"), "")</f>
        <v>Images</v>
      </c>
      <c r="O525" s="663" t="s">
        <v>4974</v>
      </c>
      <c r="P525" s="253"/>
      <c r="Q525" s="238"/>
      <c r="R525" s="239"/>
      <c r="S525" s="275"/>
      <c r="T525" s="508">
        <f t="shared" si="322"/>
        <v>0</v>
      </c>
      <c r="U525" s="225" t="str">
        <f>IF(NOT(ISNUMBER(G525)), "", VLOOKUP(A525,'Discount Lookup'!D:E,2,FALSE)*G525)</f>
        <v/>
      </c>
      <c r="V525" s="225" t="str">
        <f>IF(NOT(ISNUMBER(G525)), "", VLOOKUP(A525,'Discount Lookup'!G:H,2,FALSE)*G525)</f>
        <v/>
      </c>
      <c r="W525" s="508">
        <f t="shared" si="323"/>
        <v>0</v>
      </c>
      <c r="X525" s="508" t="str">
        <f t="shared" si="324"/>
        <v>Pale Pink to White</v>
      </c>
      <c r="Y525" s="509" t="b">
        <f t="shared" si="325"/>
        <v>0</v>
      </c>
      <c r="Z525" s="510">
        <f t="shared" si="326"/>
        <v>0</v>
      </c>
      <c r="AA525" s="511"/>
      <c r="AB525" s="511" t="str">
        <f t="shared" si="327"/>
        <v/>
      </c>
      <c r="AC525" s="698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698"/>
      <c r="AE525" s="631" t="str">
        <f t="shared" si="328"/>
        <v/>
      </c>
      <c r="AF525" s="699" t="str">
        <f t="shared" si="329"/>
        <v/>
      </c>
      <c r="AG525" s="699"/>
      <c r="AH525" s="699"/>
      <c r="AI525" s="512">
        <f>IF(H525="credit",0,IF(AE525="free",0,IF(AE525="me",0,IF(G525&gt;0,(VLOOKUP(A525,'Discount Lookup'!J:K,2)*G525),0))))</f>
        <v>0</v>
      </c>
      <c r="AJ525" s="513" t="str">
        <f t="shared" ca="1" si="330"/>
        <v/>
      </c>
      <c r="AK525" s="700" t="str">
        <f t="shared" si="331"/>
        <v/>
      </c>
      <c r="AL525" s="700"/>
      <c r="AM525" s="505" t="str">
        <f t="shared" si="332"/>
        <v/>
      </c>
      <c r="AN525" s="506"/>
      <c r="AO525" s="507"/>
      <c r="AP525" s="507"/>
      <c r="AQ525" s="507"/>
      <c r="AR525" s="507"/>
      <c r="AS525" s="507"/>
      <c r="AT525" s="507"/>
      <c r="AU525" s="507"/>
      <c r="AV525" s="225"/>
      <c r="AW525" s="508"/>
      <c r="AX525" s="225"/>
      <c r="AY525" s="225"/>
      <c r="AZ525" s="225"/>
      <c r="BA525" s="225"/>
      <c r="BB525" s="225"/>
      <c r="BC525" s="56"/>
      <c r="BD525" s="56"/>
      <c r="BE525" s="56"/>
      <c r="BF525" s="107" t="str">
        <f t="shared" si="333"/>
        <v>https://www.google.com/search?tbm=isch&amp;q=Bridal%20Veil%20Flowering%20Apricot%20Prunus%20mume%20%27Bridal%20Veil%27</v>
      </c>
      <c r="BG525" s="107" t="str">
        <f t="shared" si="334"/>
        <v>B</v>
      </c>
      <c r="BH525" s="254"/>
      <c r="BI525" s="254"/>
    </row>
    <row r="526" spans="1:61" customFormat="1" ht="15.75" x14ac:dyDescent="0.25">
      <c r="A526" s="276">
        <v>10</v>
      </c>
      <c r="B526" s="240" t="s">
        <v>291</v>
      </c>
      <c r="C526" s="241" t="s">
        <v>4864</v>
      </c>
      <c r="D526" s="242" t="s">
        <v>292</v>
      </c>
      <c r="E526" s="243">
        <v>155.94999999999999</v>
      </c>
      <c r="F526" s="517" t="s">
        <v>293</v>
      </c>
      <c r="G526" s="232">
        <v>0</v>
      </c>
      <c r="H526" s="661" t="str">
        <f>IF(G526=0,"",IF(F526="Buy",IF(G526=1,"plant","plants"),IF(F526&gt;0.01,"warranty","Error")))</f>
        <v/>
      </c>
      <c r="I526" s="244">
        <f>IF(H526="free",0,IF(H526="credit",((E526*(F526))*G526*-1),IF(F526="Buy",(E526*G526),((E526*(1-F526))*G526))))</f>
        <v>0</v>
      </c>
      <c r="J526" s="244">
        <f>IF(H526="warranty",0,(I526*(_xlfn.SINGLE(SalesTaxPercentage))))</f>
        <v>0</v>
      </c>
      <c r="K526" s="696">
        <f t="shared" ref="K526" si="364">I526+J526</f>
        <v>0</v>
      </c>
      <c r="L526" s="696"/>
      <c r="M526" s="659" t="str">
        <f>IF(AND(G526&gt;0,E526=0),"WARNING - no PRICE inserted",IF(H526="free"," FREE ~ no charge this plant",IF(H526="credit",CONCATENATE(" -$",ROUND(K526*(1-T2GDiscount)*-1,2)," CREDIT after discount"),IF(T2GDiscount=0,"",IF(G526=0,"",IF(F526="Buy",CONCATENATE(" $",ROUND(K526*(1-T2GDiscount),2)," with ",(T2GDiscount*100),"% discount"),CONCATENATE(" $",ROUND(K526*(1-T2GDiscount),2)," with ",((T2GDiscount*100+F526*100)-(T2GDiscount*100*F526)),IF(F526&gt;0,"% discounts",IF(NoWarrantyDiscount&gt;0,"% discounts","% discount")))))))))</f>
        <v/>
      </c>
      <c r="N526" s="660"/>
      <c r="O526" s="233"/>
      <c r="P526" s="233"/>
      <c r="Q526" s="233"/>
      <c r="R526" s="233"/>
      <c r="S526" s="233"/>
      <c r="T526" s="508">
        <f t="shared" ref="T526:T589" si="365">E526*G526</f>
        <v>0</v>
      </c>
      <c r="U526" s="225">
        <f>IF(NOT(ISNUMBER(G526)), "", VLOOKUP(A526,'Discount Lookup'!D:E,2,FALSE)*G526)</f>
        <v>0</v>
      </c>
      <c r="V526" s="225">
        <f>IF(NOT(ISNUMBER(G526)), "", VLOOKUP(A526,'Discount Lookup'!G:H,2,FALSE)*G526)</f>
        <v>0</v>
      </c>
      <c r="W526" s="508">
        <f t="shared" ref="W526:W589" si="366">IF(H526="credit",0,E526*(SalesTaxPercentage)*G526)</f>
        <v>0</v>
      </c>
      <c r="X526" s="508">
        <f t="shared" ref="X526:X589" si="367">I526</f>
        <v>0</v>
      </c>
      <c r="Y526" s="509" t="b">
        <f t="shared" ref="Y526:Y589" si="368">IF(AE526="T2G",0,IF(H526="credit",0,IF(G526&gt;0,IF(AE526="me","",G526))))</f>
        <v>0</v>
      </c>
      <c r="Z526" s="510">
        <f t="shared" ref="Z526:Z589" si="369">IF(H526="credit",G526,0)</f>
        <v>0</v>
      </c>
      <c r="AA526" s="511"/>
      <c r="AB526" s="511" t="str">
        <f t="shared" ref="AB526:AB589" si="370">IF(AE526="T2G","by Trees2Go",IF(H526="credit","CREDIT only ~",IF(AND(K526="",AE526=OR(PlanterYesMe="No",PlanterYesMe="N",PlanterYesMe="me")),"not THIS line⇨",IF(AND(K526="images",AE526="me"),"not THIS line⇨",IF(H526="credit","",IF(G526=0,"",IF(AE526="me","",IF(OR(PlanterYesMe="No",PlanterYesMe="N",PlanterYesMe="me"),"",IF(AE526="free","warranty",IF(OR(PlanterYesMe="yes",PlanterYesMe="y"),"Edison install:","to install:"))))))))))</f>
        <v/>
      </c>
      <c r="AC526" s="698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698"/>
      <c r="AE526" s="631" t="str">
        <f t="shared" ref="AE526:AE589" si="371">IF(H526="credit","",IF(G526=0,"",IF(OR(PlanterYesMe="No",PlanterYesMe="N",PlanterYesMe="me"),"me",IF(H526="warranty","free",IF(OR(PlanterYesMe="yes",PlanterYesMe="y"),"ELP","")))))</f>
        <v/>
      </c>
      <c r="AF526" s="699" t="str">
        <f t="shared" ref="AF526:AF589" si="372">IF(OR(PlanterYesMe="No",PlanterYesMe="N",PlanterYesMe="me"),"",IF(H526="credit","",IF(G526&gt;0,(CONCATENATE((G526)," quantity, ",(A526)," ",B526)),"")))</f>
        <v/>
      </c>
      <c r="AG526" s="699"/>
      <c r="AH526" s="699"/>
      <c r="AI526" s="512">
        <f>IF(H526="credit",0,IF(AE526="free",0,IF(AE526="me",0,IF(G526&gt;0,(VLOOKUP(A526,'Discount Lookup'!J:K,2)*G526),0))))</f>
        <v>0</v>
      </c>
      <c r="AJ526" s="513" t="str">
        <f t="shared" ref="AJ526:AJ589" ca="1" si="373">IF(AND(ISREF(H526),H526="credit"),"",IF(AND(AND(OFFSET(G526,0,0)=0,OFFSET(G526,1,0)&gt;0,ISNUMBER(OFFSET(AC526,1,0)),OFFSET(AC526,1,0)&gt;0),OR(PlanterYesMe="yes",PlanterYesMe="y")),"T2G+ELP=",IF(AND(OFFSET(G526,0,0)=0,OFFSET(G526,1,0)&gt;0,ISNUMBER(OFFSET(AC526,1,0)),OFFSET(AC526,1,0)&gt;0),"if T2G+ELP=",IF(AND(OFFSET(G526,0,0)=0,OFFSET(G526,1,0)&gt;0),"T2G Subtotal",IF(H526="credit","",IF(G526=0,"",IF(AE526="free",(K526*(1-T2GDiscount)),IF(OR(PlanterYesMe="No",PlanterYesMe="N",PlanterYesMe="me"),(K526*(1-T2GDiscount)),IF(OR(AE526="me",AE526="T2G"),(K526*(1-T2GDiscount)),(K526*(1-T2GDiscount))+AC526)))))))))</f>
        <v/>
      </c>
      <c r="AK526" s="700" t="str">
        <f t="shared" ref="AK526:AK589" si="374">IF(H526="credit","",IF(G526=0,"",IF(OR(AE526="me",AE526="T2G"),"  delivery-only",IF(OR(PlanterYesMe="No",PlanterYesMe="N",PlanterYesMe="me"),"  delivery-only",CONCATENATE(" $",ROUND(AJ526/G526,2)," each")))))</f>
        <v/>
      </c>
      <c r="AL526" s="700"/>
      <c r="AM526" s="505" t="str">
        <f t="shared" ref="AM526:AM589" si="375">IF(H526="credit","",IF(AE526="free","      ~ discounts included, no tax or planting fee applies ~",IF(G526=0,"",IF(OR(PlanterYesMe="No",PlanterYesMe="N",PlanterYesMe="me"),CONCATENATE(" $",ROUND(AJ526/G526,2)," per plant, with tax &amp; discount"),IF(OR(AE526="me",AE526="T2G"),CONCATENATE(" $",ROUND(AJ526/G526,2)," per plant, with tax &amp; discount"),CONCATENATE("= $",ROUND((K526*(1-T2GDiscount))/G526,2)," per plant + $",AC526/G526,(" per planting      ~ includes tax &amp; discounts ~")))))))</f>
        <v/>
      </c>
      <c r="AN526" s="506"/>
      <c r="AO526" s="507"/>
      <c r="AP526" s="507"/>
      <c r="AQ526" s="507"/>
      <c r="AR526" s="507"/>
      <c r="AS526" s="507"/>
      <c r="AT526" s="507"/>
      <c r="AU526" s="507"/>
      <c r="AV526" s="225"/>
      <c r="AW526" s="508"/>
      <c r="AX526" s="225"/>
      <c r="AY526" s="225"/>
      <c r="AZ526" s="225"/>
      <c r="BA526" s="225"/>
      <c r="BB526" s="225"/>
      <c r="BC526" s="56"/>
      <c r="BD526" s="56"/>
      <c r="BE526" s="56"/>
      <c r="BF526" s="107" t="str">
        <f t="shared" ref="BF526:BF589" si="376">"https://www.google.com/search?tbm=isch&amp;q=" &amp; _xlfn.ENCODEURL($A526 &amp; " " &amp; $D526)</f>
        <v>https://www.google.com/search?tbm=isch&amp;q=10%20G4</v>
      </c>
      <c r="BG526" s="107" t="str">
        <f t="shared" ref="BG526:BG589" si="377">IF(ISTEXT(A526),LEFT(A526,1),BG525)</f>
        <v>B</v>
      </c>
      <c r="BH526" s="254"/>
      <c r="BI526" s="254"/>
    </row>
    <row r="527" spans="1:61" customFormat="1" ht="17.25" thickBot="1" x14ac:dyDescent="0.3">
      <c r="A527" s="524" t="s">
        <v>4865</v>
      </c>
      <c r="B527" s="245"/>
      <c r="C527" s="677"/>
      <c r="D527" s="499"/>
      <c r="E527" s="499"/>
      <c r="F527" s="500"/>
      <c r="G527" s="501"/>
      <c r="H527" s="502"/>
      <c r="I527" s="246"/>
      <c r="J527" s="247"/>
      <c r="K527" s="503"/>
      <c r="L527" s="544"/>
      <c r="M527" s="544"/>
      <c r="N527" s="500"/>
      <c r="O527" s="500"/>
      <c r="P527" s="500"/>
      <c r="Q527" s="500"/>
      <c r="R527" s="500"/>
      <c r="S527" s="278"/>
      <c r="T527" s="508">
        <f t="shared" si="365"/>
        <v>0</v>
      </c>
      <c r="U527" s="225" t="str">
        <f>IF(NOT(ISNUMBER(G527)), "", VLOOKUP(A527,'Discount Lookup'!D:E,2,FALSE)*G527)</f>
        <v/>
      </c>
      <c r="V527" s="225" t="str">
        <f>IF(NOT(ISNUMBER(G527)), "", VLOOKUP(A527,'Discount Lookup'!G:H,2,FALSE)*G527)</f>
        <v/>
      </c>
      <c r="W527" s="508">
        <f t="shared" si="366"/>
        <v>0</v>
      </c>
      <c r="X527" s="508">
        <f t="shared" si="367"/>
        <v>0</v>
      </c>
      <c r="Y527" s="509" t="b">
        <f t="shared" si="368"/>
        <v>0</v>
      </c>
      <c r="Z527" s="510">
        <f t="shared" si="369"/>
        <v>0</v>
      </c>
      <c r="AA527" s="511"/>
      <c r="AB527" s="511" t="str">
        <f t="shared" si="370"/>
        <v/>
      </c>
      <c r="AC527" s="698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698"/>
      <c r="AE527" s="631" t="str">
        <f t="shared" si="371"/>
        <v/>
      </c>
      <c r="AF527" s="699" t="str">
        <f t="shared" si="372"/>
        <v/>
      </c>
      <c r="AG527" s="699"/>
      <c r="AH527" s="699"/>
      <c r="AI527" s="512">
        <f>IF(H527="credit",0,IF(AE527="free",0,IF(AE527="me",0,IF(G527&gt;0,(VLOOKUP(A527,'Discount Lookup'!J:K,2)*G527),0))))</f>
        <v>0</v>
      </c>
      <c r="AJ527" s="513" t="str">
        <f t="shared" ca="1" si="373"/>
        <v/>
      </c>
      <c r="AK527" s="700" t="str">
        <f t="shared" si="374"/>
        <v/>
      </c>
      <c r="AL527" s="700"/>
      <c r="AM527" s="505" t="str">
        <f t="shared" si="375"/>
        <v/>
      </c>
      <c r="AN527" s="506"/>
      <c r="AO527" s="507"/>
      <c r="AP527" s="507"/>
      <c r="AQ527" s="507"/>
      <c r="AR527" s="507"/>
      <c r="AS527" s="507"/>
      <c r="AT527" s="507"/>
      <c r="AU527" s="507"/>
      <c r="AV527" s="225"/>
      <c r="AW527" s="508"/>
      <c r="AX527" s="225"/>
      <c r="AY527" s="225"/>
      <c r="AZ527" s="225"/>
      <c r="BA527" s="225"/>
      <c r="BB527" s="225"/>
      <c r="BC527" s="56"/>
      <c r="BD527" s="56"/>
      <c r="BE527" s="56"/>
      <c r="BF527" s="107" t="str">
        <f t="shared" si="376"/>
        <v>https://www.google.com/search?tbm=isch&amp;q=Bridal%20Veil%20has%20intensely%20fragrant%20blooms%20that%20open%20in%20late%20winter%2C%20long%20before%20most%20trees%20awaken%20</v>
      </c>
      <c r="BG527" s="107" t="str">
        <f t="shared" si="377"/>
        <v>B</v>
      </c>
      <c r="BH527" s="254"/>
      <c r="BI527" s="254"/>
    </row>
    <row r="528" spans="1:61" customFormat="1" ht="18" x14ac:dyDescent="0.25">
      <c r="A528" s="523" t="s">
        <v>4383</v>
      </c>
      <c r="B528" s="235"/>
      <c r="C528" s="676"/>
      <c r="D528" s="255" t="s">
        <v>4384</v>
      </c>
      <c r="E528" s="236"/>
      <c r="F528" s="236"/>
      <c r="G528" s="236"/>
      <c r="H528" s="582" t="s">
        <v>899</v>
      </c>
      <c r="I528" s="498" t="s">
        <v>654</v>
      </c>
      <c r="J528" s="237"/>
      <c r="K528" s="237"/>
      <c r="L528" s="274"/>
      <c r="M528" s="668" t="s">
        <v>4962</v>
      </c>
      <c r="N528" s="681" t="str">
        <f>IF(AND(ISTEXT($A528), ISERROR($A528+0)), HYPERLINK($BF528, "Images"), "")</f>
        <v>Images</v>
      </c>
      <c r="O528" s="663" t="s">
        <v>4967</v>
      </c>
      <c r="P528" s="253"/>
      <c r="Q528" s="238"/>
      <c r="R528" s="239"/>
      <c r="S528" s="275"/>
      <c r="T528" s="508">
        <f t="shared" si="365"/>
        <v>0</v>
      </c>
      <c r="U528" s="225" t="str">
        <f>IF(NOT(ISNUMBER(G528)), "", VLOOKUP(A528,'Discount Lookup'!D:E,2,FALSE)*G528)</f>
        <v/>
      </c>
      <c r="V528" s="225" t="str">
        <f>IF(NOT(ISNUMBER(G528)), "", VLOOKUP(A528,'Discount Lookup'!G:H,2,FALSE)*G528)</f>
        <v/>
      </c>
      <c r="W528" s="508">
        <f t="shared" si="366"/>
        <v>0</v>
      </c>
      <c r="X528" s="508" t="str">
        <f t="shared" si="367"/>
        <v>White bloom</v>
      </c>
      <c r="Y528" s="509" t="b">
        <f t="shared" si="368"/>
        <v>0</v>
      </c>
      <c r="Z528" s="510">
        <f t="shared" si="369"/>
        <v>0</v>
      </c>
      <c r="AA528" s="511"/>
      <c r="AB528" s="511" t="str">
        <f t="shared" si="370"/>
        <v/>
      </c>
      <c r="AC528" s="698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698"/>
      <c r="AE528" s="631" t="str">
        <f t="shared" si="371"/>
        <v/>
      </c>
      <c r="AF528" s="699" t="str">
        <f t="shared" si="372"/>
        <v/>
      </c>
      <c r="AG528" s="699"/>
      <c r="AH528" s="699"/>
      <c r="AI528" s="512">
        <f>IF(H528="credit",0,IF(AE528="free",0,IF(AE528="me",0,IF(G528&gt;0,(VLOOKUP(A528,'Discount Lookup'!J:K,2)*G528),0))))</f>
        <v>0</v>
      </c>
      <c r="AJ528" s="513" t="str">
        <f t="shared" ca="1" si="373"/>
        <v/>
      </c>
      <c r="AK528" s="700" t="str">
        <f t="shared" si="374"/>
        <v/>
      </c>
      <c r="AL528" s="700"/>
      <c r="AM528" s="505" t="str">
        <f t="shared" si="375"/>
        <v/>
      </c>
      <c r="AN528" s="506"/>
      <c r="AO528" s="507"/>
      <c r="AP528" s="507"/>
      <c r="AQ528" s="507"/>
      <c r="AR528" s="507"/>
      <c r="AS528" s="507"/>
      <c r="AT528" s="507"/>
      <c r="AU528" s="507"/>
      <c r="AV528" s="225"/>
      <c r="AW528" s="508"/>
      <c r="AX528" s="225"/>
      <c r="AY528" s="225"/>
      <c r="AZ528" s="225"/>
      <c r="BA528" s="225"/>
      <c r="BB528" s="225"/>
      <c r="BC528" s="56"/>
      <c r="BD528" s="56"/>
      <c r="BE528" s="56"/>
      <c r="BF528" s="107" t="str">
        <f t="shared" si="376"/>
        <v>https://www.google.com/search?tbm=isch&amp;q=Bridal%20Wreath%20Spirea%20Spirea%20prunifolia%20%27Plena%27</v>
      </c>
      <c r="BG528" s="107" t="str">
        <f t="shared" si="377"/>
        <v>B</v>
      </c>
      <c r="BH528" s="254"/>
      <c r="BI528" s="254"/>
    </row>
    <row r="529" spans="1:61" customFormat="1" ht="15.75" x14ac:dyDescent="0.25">
      <c r="A529" s="276">
        <v>7</v>
      </c>
      <c r="B529" s="240" t="s">
        <v>291</v>
      </c>
      <c r="C529" s="241" t="s">
        <v>4385</v>
      </c>
      <c r="D529" s="242" t="s">
        <v>292</v>
      </c>
      <c r="E529" s="243">
        <v>68.95</v>
      </c>
      <c r="F529" s="517" t="s">
        <v>293</v>
      </c>
      <c r="G529" s="232">
        <v>0</v>
      </c>
      <c r="H529" s="661" t="str">
        <f>IF(G529=0,"",IF(F529="Buy",IF(G529=1,"plant","plants"),IF(F529&gt;0.01,"warranty","Error")))</f>
        <v/>
      </c>
      <c r="I529" s="244">
        <f>IF(H529="free",0,IF(H529="credit",((E529*(F529))*G529*-1),IF(F529="Buy",(E529*G529),((E529*(1-F529))*G529))))</f>
        <v>0</v>
      </c>
      <c r="J529" s="244">
        <f>IF(H529="warranty",0,(I529*(_xlfn.SINGLE(SalesTaxPercentage))))</f>
        <v>0</v>
      </c>
      <c r="K529" s="696">
        <f t="shared" ref="K529" si="378">I529+J529</f>
        <v>0</v>
      </c>
      <c r="L529" s="696"/>
      <c r="M529" s="659" t="str">
        <f>IF(AND(G529&gt;0,E529=0),"WARNING - no PRICE inserted",IF(H529="free"," FREE ~ no charge this plant",IF(H529="credit",CONCATENATE(" -$",ROUND(K529*(1-T2GDiscount)*-1,2)," CREDIT after discount"),IF(T2GDiscount=0,"",IF(G529=0,"",IF(F529="Buy",CONCATENATE(" $",ROUND(K529*(1-T2GDiscount),2)," with ",(T2GDiscount*100),"% discount"),CONCATENATE(" $",ROUND(K529*(1-T2GDiscount),2)," with ",((T2GDiscount*100+F529*100)-(T2GDiscount*100*F529)),IF(F529&gt;0,"% discounts",IF(NoWarrantyDiscount&gt;0,"% discounts","% discount")))))))))</f>
        <v/>
      </c>
      <c r="N529" s="660"/>
      <c r="O529" s="233"/>
      <c r="P529" s="233"/>
      <c r="Q529" s="233"/>
      <c r="R529" s="233"/>
      <c r="S529" s="233"/>
      <c r="T529" s="508">
        <f t="shared" si="365"/>
        <v>0</v>
      </c>
      <c r="U529" s="225">
        <f>IF(NOT(ISNUMBER(G529)), "", VLOOKUP(A529,'Discount Lookup'!D:E,2,FALSE)*G529)</f>
        <v>0</v>
      </c>
      <c r="V529" s="225">
        <f>IF(NOT(ISNUMBER(G529)), "", VLOOKUP(A529,'Discount Lookup'!G:H,2,FALSE)*G529)</f>
        <v>0</v>
      </c>
      <c r="W529" s="508">
        <f t="shared" si="366"/>
        <v>0</v>
      </c>
      <c r="X529" s="508">
        <f t="shared" si="367"/>
        <v>0</v>
      </c>
      <c r="Y529" s="509" t="b">
        <f t="shared" si="368"/>
        <v>0</v>
      </c>
      <c r="Z529" s="510">
        <f t="shared" si="369"/>
        <v>0</v>
      </c>
      <c r="AA529" s="511"/>
      <c r="AB529" s="511" t="str">
        <f t="shared" si="370"/>
        <v/>
      </c>
      <c r="AC529" s="698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698"/>
      <c r="AE529" s="631" t="str">
        <f t="shared" si="371"/>
        <v/>
      </c>
      <c r="AF529" s="699" t="str">
        <f t="shared" si="372"/>
        <v/>
      </c>
      <c r="AG529" s="699"/>
      <c r="AH529" s="699"/>
      <c r="AI529" s="512">
        <f>IF(H529="credit",0,IF(AE529="free",0,IF(AE529="me",0,IF(G529&gt;0,(VLOOKUP(A529,'Discount Lookup'!J:K,2)*G529),0))))</f>
        <v>0</v>
      </c>
      <c r="AJ529" s="513" t="str">
        <f t="shared" ca="1" si="373"/>
        <v/>
      </c>
      <c r="AK529" s="700" t="str">
        <f t="shared" si="374"/>
        <v/>
      </c>
      <c r="AL529" s="700"/>
      <c r="AM529" s="505" t="str">
        <f t="shared" si="375"/>
        <v/>
      </c>
      <c r="AN529" s="506"/>
      <c r="AO529" s="507"/>
      <c r="AP529" s="507"/>
      <c r="AQ529" s="507"/>
      <c r="AR529" s="507"/>
      <c r="AS529" s="507"/>
      <c r="AT529" s="507"/>
      <c r="AU529" s="507"/>
      <c r="AV529" s="225"/>
      <c r="AW529" s="508"/>
      <c r="AX529" s="225"/>
      <c r="AY529" s="225"/>
      <c r="AZ529" s="225"/>
      <c r="BA529" s="225"/>
      <c r="BB529" s="225"/>
      <c r="BC529" s="56"/>
      <c r="BD529" s="56"/>
      <c r="BE529" s="56"/>
      <c r="BF529" s="107" t="str">
        <f t="shared" si="376"/>
        <v>https://www.google.com/search?tbm=isch&amp;q=7%20G4</v>
      </c>
      <c r="BG529" s="107" t="str">
        <f t="shared" si="377"/>
        <v>B</v>
      </c>
      <c r="BH529" s="254"/>
      <c r="BI529" s="254"/>
    </row>
    <row r="530" spans="1:61" customFormat="1" ht="17.25" thickBot="1" x14ac:dyDescent="0.3">
      <c r="A530" s="524" t="s">
        <v>4386</v>
      </c>
      <c r="B530" s="245"/>
      <c r="C530" s="677"/>
      <c r="D530" s="499"/>
      <c r="E530" s="499"/>
      <c r="F530" s="500"/>
      <c r="G530" s="501"/>
      <c r="H530" s="502"/>
      <c r="I530" s="246"/>
      <c r="J530" s="247"/>
      <c r="K530" s="503"/>
      <c r="L530" s="544"/>
      <c r="M530" s="544"/>
      <c r="N530" s="500"/>
      <c r="O530" s="500"/>
      <c r="P530" s="500"/>
      <c r="Q530" s="500"/>
      <c r="R530" s="500"/>
      <c r="S530" s="669" t="s">
        <v>4980</v>
      </c>
      <c r="T530" s="508">
        <f t="shared" si="365"/>
        <v>0</v>
      </c>
      <c r="U530" s="225" t="str">
        <f>IF(NOT(ISNUMBER(G530)), "", VLOOKUP(A530,'Discount Lookup'!D:E,2,FALSE)*G530)</f>
        <v/>
      </c>
      <c r="V530" s="225" t="str">
        <f>IF(NOT(ISNUMBER(G530)), "", VLOOKUP(A530,'Discount Lookup'!G:H,2,FALSE)*G530)</f>
        <v/>
      </c>
      <c r="W530" s="508">
        <f t="shared" si="366"/>
        <v>0</v>
      </c>
      <c r="X530" s="508">
        <f t="shared" si="367"/>
        <v>0</v>
      </c>
      <c r="Y530" s="509" t="b">
        <f t="shared" si="368"/>
        <v>0</v>
      </c>
      <c r="Z530" s="510">
        <f t="shared" si="369"/>
        <v>0</v>
      </c>
      <c r="AA530" s="511"/>
      <c r="AB530" s="511" t="str">
        <f t="shared" si="370"/>
        <v/>
      </c>
      <c r="AC530" s="698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698"/>
      <c r="AE530" s="631" t="str">
        <f t="shared" si="371"/>
        <v/>
      </c>
      <c r="AF530" s="699" t="str">
        <f t="shared" si="372"/>
        <v/>
      </c>
      <c r="AG530" s="699"/>
      <c r="AH530" s="699"/>
      <c r="AI530" s="512">
        <f>IF(H530="credit",0,IF(AE530="free",0,IF(AE530="me",0,IF(G530&gt;0,(VLOOKUP(A530,'Discount Lookup'!J:K,2)*G530),0))))</f>
        <v>0</v>
      </c>
      <c r="AJ530" s="513" t="str">
        <f t="shared" ca="1" si="373"/>
        <v/>
      </c>
      <c r="AK530" s="700" t="str">
        <f t="shared" si="374"/>
        <v/>
      </c>
      <c r="AL530" s="700"/>
      <c r="AM530" s="505" t="str">
        <f t="shared" si="375"/>
        <v/>
      </c>
      <c r="AN530" s="506"/>
      <c r="AO530" s="507"/>
      <c r="AP530" s="507"/>
      <c r="AQ530" s="507"/>
      <c r="AR530" s="507"/>
      <c r="AS530" s="507"/>
      <c r="AT530" s="507"/>
      <c r="AU530" s="507"/>
      <c r="AV530" s="225"/>
      <c r="AW530" s="508"/>
      <c r="AX530" s="225"/>
      <c r="AY530" s="225"/>
      <c r="AZ530" s="225"/>
      <c r="BA530" s="225"/>
      <c r="BB530" s="225"/>
      <c r="BC530" s="56"/>
      <c r="BD530" s="56"/>
      <c r="BE530" s="56"/>
      <c r="BF530" s="107" t="str">
        <f t="shared" si="376"/>
        <v>https://www.google.com/search?tbm=isch&amp;q=Bridal%20Wreath%20has%20graceful%20arching%20branches%20covered%20in%20double%20blooms%20each%20spring%2C%20with%20brilliant%20Tangerine-Orange%20fall%20color%20</v>
      </c>
      <c r="BG530" s="107" t="str">
        <f t="shared" si="377"/>
        <v>B</v>
      </c>
      <c r="BH530" s="254"/>
      <c r="BI530" s="254"/>
    </row>
    <row r="531" spans="1:61" customFormat="1" ht="18" x14ac:dyDescent="0.25">
      <c r="A531" s="521" t="s">
        <v>596</v>
      </c>
      <c r="B531" s="477"/>
      <c r="C531" s="674"/>
      <c r="D531" s="478" t="s">
        <v>595</v>
      </c>
      <c r="E531" s="479"/>
      <c r="F531" s="479"/>
      <c r="G531" s="479"/>
      <c r="H531" s="582" t="s">
        <v>506</v>
      </c>
      <c r="I531" s="480" t="s">
        <v>3945</v>
      </c>
      <c r="J531" s="479"/>
      <c r="K531" s="479"/>
      <c r="L531" s="560"/>
      <c r="M531" s="671" t="s">
        <v>4985</v>
      </c>
      <c r="N531" s="680" t="str">
        <f>IF(AND(ISTEXT($A531), ISERROR($A531+0)), HYPERLINK($BF531, "Images"), "")</f>
        <v>Images</v>
      </c>
      <c r="O531" s="662" t="s">
        <v>4969</v>
      </c>
      <c r="P531" s="482"/>
      <c r="Q531" s="483"/>
      <c r="R531" s="483"/>
      <c r="S531" s="484"/>
      <c r="T531" s="508">
        <f t="shared" si="365"/>
        <v>0</v>
      </c>
      <c r="U531" s="225" t="str">
        <f>IF(NOT(ISNUMBER(G531)), "", VLOOKUP(A531,'Discount Lookup'!D:E,2,FALSE)*G531)</f>
        <v/>
      </c>
      <c r="V531" s="225" t="str">
        <f>IF(NOT(ISNUMBER(G531)), "", VLOOKUP(A531,'Discount Lookup'!G:H,2,FALSE)*G531)</f>
        <v/>
      </c>
      <c r="W531" s="508">
        <f t="shared" si="366"/>
        <v>0</v>
      </c>
      <c r="X531" s="508" t="str">
        <f t="shared" si="367"/>
        <v>Dark Green fronds</v>
      </c>
      <c r="Y531" s="509" t="b">
        <f t="shared" si="368"/>
        <v>0</v>
      </c>
      <c r="Z531" s="510">
        <f t="shared" si="369"/>
        <v>0</v>
      </c>
      <c r="AA531" s="511"/>
      <c r="AB531" s="511" t="str">
        <f t="shared" si="370"/>
        <v/>
      </c>
      <c r="AC531" s="698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698"/>
      <c r="AE531" s="631" t="str">
        <f t="shared" si="371"/>
        <v/>
      </c>
      <c r="AF531" s="699" t="str">
        <f t="shared" si="372"/>
        <v/>
      </c>
      <c r="AG531" s="699"/>
      <c r="AH531" s="699"/>
      <c r="AI531" s="512">
        <f>IF(H531="credit",0,IF(AE531="free",0,IF(AE531="me",0,IF(G531&gt;0,(VLOOKUP(A531,'Discount Lookup'!J:K,2)*G531),0))))</f>
        <v>0</v>
      </c>
      <c r="AJ531" s="513" t="str">
        <f t="shared" ca="1" si="373"/>
        <v/>
      </c>
      <c r="AK531" s="700" t="str">
        <f t="shared" si="374"/>
        <v/>
      </c>
      <c r="AL531" s="700"/>
      <c r="AM531" s="505" t="str">
        <f t="shared" si="375"/>
        <v/>
      </c>
      <c r="AN531" s="506"/>
      <c r="AO531" s="507"/>
      <c r="AP531" s="507"/>
      <c r="AQ531" s="507"/>
      <c r="AR531" s="507"/>
      <c r="AS531" s="507"/>
      <c r="AT531" s="507"/>
      <c r="AU531" s="507"/>
      <c r="AV531" s="225"/>
      <c r="AW531" s="508"/>
      <c r="AX531" s="225"/>
      <c r="AY531" s="225"/>
      <c r="AZ531" s="225"/>
      <c r="BA531" s="225"/>
      <c r="BB531" s="225"/>
      <c r="BC531" s="56"/>
      <c r="BD531" s="56"/>
      <c r="BE531" s="56"/>
      <c r="BF531" s="107" t="str">
        <f t="shared" si="376"/>
        <v>https://www.google.com/search?tbm=isch&amp;q=Brilliance%20Autumn%20Fern%20Dryopteris%20erythrosora%20%27Brilliance%27</v>
      </c>
      <c r="BG531" s="107" t="str">
        <f t="shared" si="377"/>
        <v>B</v>
      </c>
      <c r="BH531" s="254"/>
      <c r="BI531" s="254"/>
    </row>
    <row r="532" spans="1:61" customFormat="1" ht="15.75" x14ac:dyDescent="0.25">
      <c r="A532" s="485">
        <v>1</v>
      </c>
      <c r="B532" s="486" t="s">
        <v>291</v>
      </c>
      <c r="C532" s="487"/>
      <c r="D532" s="488" t="s">
        <v>312</v>
      </c>
      <c r="E532" s="489">
        <v>9.9499999999999993</v>
      </c>
      <c r="F532" s="516" t="s">
        <v>293</v>
      </c>
      <c r="G532" s="232">
        <v>0</v>
      </c>
      <c r="H532" s="658" t="str">
        <f>IF(G532=0,"",IF(F532="Buy",IF(G532=1,"plant","plants"),IF(F532&gt;0.01,"warranty","Error")))</f>
        <v/>
      </c>
      <c r="I532" s="490">
        <f>IF(H532="free",0,IF(H532="credit",((E532*(F532))*G532*-1),IF(F532="Buy",(E532*G532),((E532*(1-F532))*G532))))</f>
        <v>0</v>
      </c>
      <c r="J532" s="490">
        <f>IF(H532="warranty",0,(I532*(_xlfn.SINGLE(SalesTaxPercentage))))</f>
        <v>0</v>
      </c>
      <c r="K532" s="695">
        <f t="shared" ref="K532" si="379">I532+J532</f>
        <v>0</v>
      </c>
      <c r="L532" s="695"/>
      <c r="M532" s="659" t="str">
        <f>IF(AND(G532&gt;0,E532=0),"WARNING - no PRICE inserted",IF(H532="free"," FREE ~ no charge this plant",IF(H532="credit",CONCATENATE(" -$",ROUND(K532*(1-T2GDiscount)*-1,2)," CREDIT after discount"),IF(T2GDiscount=0,"",IF(G532=0,"",IF(F532="Buy",CONCATENATE(" $",ROUND(K532*(1-T2GDiscount),2)," with ",(T2GDiscount*100),"% discount"),CONCATENATE(" $",ROUND(K532*(1-T2GDiscount),2)," with ",((T2GDiscount*100+F532*100)-(T2GDiscount*100*F532)),IF(F532&gt;0,"% discounts",IF(NoWarrantyDiscount&gt;0,"% discounts","% discount")))))))))</f>
        <v/>
      </c>
      <c r="N532" s="660"/>
      <c r="O532" s="233"/>
      <c r="P532" s="233"/>
      <c r="Q532" s="233"/>
      <c r="R532" s="233"/>
      <c r="S532" s="233"/>
      <c r="T532" s="508">
        <f t="shared" si="365"/>
        <v>0</v>
      </c>
      <c r="U532" s="225">
        <f>IF(NOT(ISNUMBER(G532)), "", VLOOKUP(A532,'Discount Lookup'!D:E,2,FALSE)*G532)</f>
        <v>0</v>
      </c>
      <c r="V532" s="225">
        <f>IF(NOT(ISNUMBER(G532)), "", VLOOKUP(A532,'Discount Lookup'!G:H,2,FALSE)*G532)</f>
        <v>0</v>
      </c>
      <c r="W532" s="508">
        <f t="shared" si="366"/>
        <v>0</v>
      </c>
      <c r="X532" s="508">
        <f t="shared" si="367"/>
        <v>0</v>
      </c>
      <c r="Y532" s="509" t="b">
        <f t="shared" si="368"/>
        <v>0</v>
      </c>
      <c r="Z532" s="510">
        <f t="shared" si="369"/>
        <v>0</v>
      </c>
      <c r="AA532" s="511"/>
      <c r="AB532" s="511" t="str">
        <f t="shared" si="370"/>
        <v/>
      </c>
      <c r="AC532" s="698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698"/>
      <c r="AE532" s="631" t="str">
        <f t="shared" si="371"/>
        <v/>
      </c>
      <c r="AF532" s="699" t="str">
        <f t="shared" si="372"/>
        <v/>
      </c>
      <c r="AG532" s="699"/>
      <c r="AH532" s="699"/>
      <c r="AI532" s="512">
        <f>IF(H532="credit",0,IF(AE532="free",0,IF(AE532="me",0,IF(G532&gt;0,(VLOOKUP(A532,'Discount Lookup'!J:K,2)*G532),0))))</f>
        <v>0</v>
      </c>
      <c r="AJ532" s="513" t="str">
        <f t="shared" ca="1" si="373"/>
        <v/>
      </c>
      <c r="AK532" s="700" t="str">
        <f t="shared" si="374"/>
        <v/>
      </c>
      <c r="AL532" s="700"/>
      <c r="AM532" s="505" t="str">
        <f t="shared" si="375"/>
        <v/>
      </c>
      <c r="AN532" s="506"/>
      <c r="AO532" s="507"/>
      <c r="AP532" s="507"/>
      <c r="AQ532" s="507"/>
      <c r="AR532" s="507"/>
      <c r="AS532" s="507"/>
      <c r="AT532" s="507"/>
      <c r="AU532" s="507"/>
      <c r="AV532" s="225"/>
      <c r="AW532" s="508"/>
      <c r="AX532" s="225"/>
      <c r="AY532" s="225"/>
      <c r="AZ532" s="225"/>
      <c r="BA532" s="225"/>
      <c r="BB532" s="225"/>
      <c r="BC532" s="56"/>
      <c r="BD532" s="56"/>
      <c r="BE532" s="56"/>
      <c r="BF532" s="107" t="str">
        <f t="shared" si="376"/>
        <v>https://www.google.com/search?tbm=isch&amp;q=1%20G2</v>
      </c>
      <c r="BG532" s="107" t="str">
        <f t="shared" si="377"/>
        <v>B</v>
      </c>
      <c r="BH532" s="254"/>
      <c r="BI532" s="254"/>
    </row>
    <row r="533" spans="1:61" customFormat="1" ht="15.75" x14ac:dyDescent="0.25">
      <c r="A533" s="485">
        <v>1</v>
      </c>
      <c r="B533" s="486" t="s">
        <v>291</v>
      </c>
      <c r="C533" s="487"/>
      <c r="D533" s="488" t="s">
        <v>300</v>
      </c>
      <c r="E533" s="489">
        <v>14.95</v>
      </c>
      <c r="F533" s="516" t="s">
        <v>293</v>
      </c>
      <c r="G533" s="232">
        <v>0</v>
      </c>
      <c r="H533" s="658" t="str">
        <f>IF(G533=0,"",IF(F533="Buy",IF(G533=1,"plant","plants"),IF(F533&gt;0.01,"warranty","Error")))</f>
        <v/>
      </c>
      <c r="I533" s="490">
        <f>IF(H533="free",0,IF(H533="credit",((E533*(F533))*G533*-1),IF(F533="Buy",(E533*G533),((E533*(1-F533))*G533))))</f>
        <v>0</v>
      </c>
      <c r="J533" s="490">
        <f>IF(H533="warranty",0,(I533*(_xlfn.SINGLE(SalesTaxPercentage))))</f>
        <v>0</v>
      </c>
      <c r="K533" s="695">
        <f t="shared" ref="K533" si="380">I533+J533</f>
        <v>0</v>
      </c>
      <c r="L533" s="695"/>
      <c r="M533" s="659" t="str">
        <f>IF(AND(G533&gt;0,E533=0),"WARNING - no PRICE inserted",IF(H533="free"," FREE ~ no charge this plant",IF(H533="credit",CONCATENATE(" -$",ROUND(K533*(1-T2GDiscount)*-1,2)," CREDIT after discount"),IF(T2GDiscount=0,"",IF(G533=0,"",IF(F533="Buy",CONCATENATE(" $",ROUND(K533*(1-T2GDiscount),2)," with ",(T2GDiscount*100),"% discount"),CONCATENATE(" $",ROUND(K533*(1-T2GDiscount),2)," with ",((T2GDiscount*100+F533*100)-(T2GDiscount*100*F533)),IF(F533&gt;0,"% discounts",IF(NoWarrantyDiscount&gt;0,"% discounts","% discount")))))))))</f>
        <v/>
      </c>
      <c r="N533" s="660"/>
      <c r="O533" s="233"/>
      <c r="P533" s="233"/>
      <c r="Q533" s="233"/>
      <c r="R533" s="233"/>
      <c r="S533" s="233"/>
      <c r="T533" s="508">
        <f t="shared" si="365"/>
        <v>0</v>
      </c>
      <c r="U533" s="225">
        <f>IF(NOT(ISNUMBER(G533)), "", VLOOKUP(A533,'Discount Lookup'!D:E,2,FALSE)*G533)</f>
        <v>0</v>
      </c>
      <c r="V533" s="225">
        <f>IF(NOT(ISNUMBER(G533)), "", VLOOKUP(A533,'Discount Lookup'!G:H,2,FALSE)*G533)</f>
        <v>0</v>
      </c>
      <c r="W533" s="508">
        <f t="shared" si="366"/>
        <v>0</v>
      </c>
      <c r="X533" s="508">
        <f t="shared" si="367"/>
        <v>0</v>
      </c>
      <c r="Y533" s="509" t="b">
        <f t="shared" si="368"/>
        <v>0</v>
      </c>
      <c r="Z533" s="510">
        <f t="shared" si="369"/>
        <v>0</v>
      </c>
      <c r="AA533" s="511"/>
      <c r="AB533" s="511" t="str">
        <f t="shared" si="370"/>
        <v/>
      </c>
      <c r="AC533" s="698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698"/>
      <c r="AE533" s="631" t="str">
        <f t="shared" si="371"/>
        <v/>
      </c>
      <c r="AF533" s="699" t="str">
        <f t="shared" si="372"/>
        <v/>
      </c>
      <c r="AG533" s="699"/>
      <c r="AH533" s="699"/>
      <c r="AI533" s="512">
        <f>IF(H533="credit",0,IF(AE533="free",0,IF(AE533="me",0,IF(G533&gt;0,(VLOOKUP(A533,'Discount Lookup'!J:K,2)*G533),0))))</f>
        <v>0</v>
      </c>
      <c r="AJ533" s="513" t="str">
        <f t="shared" ca="1" si="373"/>
        <v/>
      </c>
      <c r="AK533" s="700" t="str">
        <f t="shared" si="374"/>
        <v/>
      </c>
      <c r="AL533" s="700"/>
      <c r="AM533" s="505" t="str">
        <f t="shared" si="375"/>
        <v/>
      </c>
      <c r="AN533" s="506"/>
      <c r="AO533" s="507"/>
      <c r="AP533" s="507"/>
      <c r="AQ533" s="507"/>
      <c r="AR533" s="507"/>
      <c r="AS533" s="507"/>
      <c r="AT533" s="507"/>
      <c r="AU533" s="507"/>
      <c r="AV533" s="225"/>
      <c r="AW533" s="508"/>
      <c r="AX533" s="225"/>
      <c r="AY533" s="225"/>
      <c r="AZ533" s="225"/>
      <c r="BA533" s="225"/>
      <c r="BB533" s="225"/>
      <c r="BC533" s="56"/>
      <c r="BD533" s="56"/>
      <c r="BE533" s="56"/>
      <c r="BF533" s="107" t="str">
        <f t="shared" si="376"/>
        <v>https://www.google.com/search?tbm=isch&amp;q=1%20G6</v>
      </c>
      <c r="BG533" s="107" t="str">
        <f t="shared" si="377"/>
        <v>B</v>
      </c>
      <c r="BH533" s="254"/>
      <c r="BI533" s="254"/>
    </row>
    <row r="534" spans="1:61" customFormat="1" ht="15.75" x14ac:dyDescent="0.25">
      <c r="A534" s="485">
        <v>3</v>
      </c>
      <c r="B534" s="486" t="s">
        <v>291</v>
      </c>
      <c r="C534" s="487" t="s">
        <v>597</v>
      </c>
      <c r="D534" s="488" t="s">
        <v>300</v>
      </c>
      <c r="E534" s="489">
        <v>34.950000000000003</v>
      </c>
      <c r="F534" s="516" t="s">
        <v>293</v>
      </c>
      <c r="G534" s="232">
        <v>0</v>
      </c>
      <c r="H534" s="658" t="str">
        <f>IF(G534=0,"",IF(F534="Buy",IF(G534=1,"plant","plants"),IF(F534&gt;0.01,"warranty","Error")))</f>
        <v/>
      </c>
      <c r="I534" s="490">
        <f>IF(H534="free",0,IF(H534="credit",((E534*(F534))*G534*-1),IF(F534="Buy",(E534*G534),((E534*(1-F534))*G534))))</f>
        <v>0</v>
      </c>
      <c r="J534" s="490">
        <f>IF(H534="warranty",0,(I534*(_xlfn.SINGLE(SalesTaxPercentage))))</f>
        <v>0</v>
      </c>
      <c r="K534" s="695">
        <f t="shared" ref="K534" si="381">I534+J534</f>
        <v>0</v>
      </c>
      <c r="L534" s="695"/>
      <c r="M534" s="659" t="str">
        <f>IF(AND(G534&gt;0,E534=0),"WARNING - no PRICE inserted",IF(H534="free"," FREE ~ no charge this plant",IF(H534="credit",CONCATENATE(" -$",ROUND(K534*(1-T2GDiscount)*-1,2)," CREDIT after discount"),IF(T2GDiscount=0,"",IF(G534=0,"",IF(F534="Buy",CONCATENATE(" $",ROUND(K534*(1-T2GDiscount),2)," with ",(T2GDiscount*100),"% discount"),CONCATENATE(" $",ROUND(K534*(1-T2GDiscount),2)," with ",((T2GDiscount*100+F534*100)-(T2GDiscount*100*F534)),IF(F534&gt;0,"% discounts",IF(NoWarrantyDiscount&gt;0,"% discounts","% discount")))))))))</f>
        <v/>
      </c>
      <c r="N534" s="660"/>
      <c r="O534" s="233"/>
      <c r="P534" s="233"/>
      <c r="Q534" s="233"/>
      <c r="R534" s="233"/>
      <c r="S534" s="233"/>
      <c r="T534" s="508">
        <f t="shared" si="365"/>
        <v>0</v>
      </c>
      <c r="U534" s="225">
        <f>IF(NOT(ISNUMBER(G534)), "", VLOOKUP(A534,'Discount Lookup'!D:E,2,FALSE)*G534)</f>
        <v>0</v>
      </c>
      <c r="V534" s="225">
        <f>IF(NOT(ISNUMBER(G534)), "", VLOOKUP(A534,'Discount Lookup'!G:H,2,FALSE)*G534)</f>
        <v>0</v>
      </c>
      <c r="W534" s="508">
        <f t="shared" si="366"/>
        <v>0</v>
      </c>
      <c r="X534" s="508">
        <f t="shared" si="367"/>
        <v>0</v>
      </c>
      <c r="Y534" s="509" t="b">
        <f t="shared" si="368"/>
        <v>0</v>
      </c>
      <c r="Z534" s="510">
        <f t="shared" si="369"/>
        <v>0</v>
      </c>
      <c r="AA534" s="511"/>
      <c r="AB534" s="511" t="str">
        <f t="shared" si="370"/>
        <v/>
      </c>
      <c r="AC534" s="698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698"/>
      <c r="AE534" s="631" t="str">
        <f t="shared" si="371"/>
        <v/>
      </c>
      <c r="AF534" s="699" t="str">
        <f t="shared" si="372"/>
        <v/>
      </c>
      <c r="AG534" s="699"/>
      <c r="AH534" s="699"/>
      <c r="AI534" s="512">
        <f>IF(H534="credit",0,IF(AE534="free",0,IF(AE534="me",0,IF(G534&gt;0,(VLOOKUP(A534,'Discount Lookup'!J:K,2)*G534),0))))</f>
        <v>0</v>
      </c>
      <c r="AJ534" s="513" t="str">
        <f t="shared" ca="1" si="373"/>
        <v/>
      </c>
      <c r="AK534" s="700" t="str">
        <f t="shared" si="374"/>
        <v/>
      </c>
      <c r="AL534" s="700"/>
      <c r="AM534" s="505" t="str">
        <f t="shared" si="375"/>
        <v/>
      </c>
      <c r="AN534" s="506"/>
      <c r="AO534" s="507"/>
      <c r="AP534" s="507"/>
      <c r="AQ534" s="507"/>
      <c r="AR534" s="507"/>
      <c r="AS534" s="507"/>
      <c r="AT534" s="507"/>
      <c r="AU534" s="507"/>
      <c r="AV534" s="225"/>
      <c r="AW534" s="508"/>
      <c r="AX534" s="225"/>
      <c r="AY534" s="225"/>
      <c r="AZ534" s="225"/>
      <c r="BA534" s="225"/>
      <c r="BB534" s="225"/>
      <c r="BC534" s="56"/>
      <c r="BD534" s="56"/>
      <c r="BE534" s="56"/>
      <c r="BF534" s="107" t="str">
        <f t="shared" si="376"/>
        <v>https://www.google.com/search?tbm=isch&amp;q=3%20G6</v>
      </c>
      <c r="BG534" s="107" t="str">
        <f t="shared" si="377"/>
        <v>B</v>
      </c>
      <c r="BH534" s="254"/>
      <c r="BI534" s="254"/>
    </row>
    <row r="535" spans="1:61" customFormat="1" ht="16.5" thickBot="1" x14ac:dyDescent="0.3">
      <c r="A535" s="672" t="s">
        <v>5072</v>
      </c>
      <c r="B535" s="491"/>
      <c r="C535" s="675"/>
      <c r="D535" s="491"/>
      <c r="E535" s="491"/>
      <c r="F535" s="492"/>
      <c r="G535" s="493"/>
      <c r="H535" s="491"/>
      <c r="I535" s="234"/>
      <c r="J535" s="234"/>
      <c r="K535" s="494"/>
      <c r="L535" s="543"/>
      <c r="M535" s="561"/>
      <c r="N535" s="495"/>
      <c r="O535" s="496"/>
      <c r="P535" s="497"/>
      <c r="Q535" s="495"/>
      <c r="R535" s="495"/>
      <c r="S535" s="277"/>
      <c r="T535" s="508">
        <f t="shared" si="365"/>
        <v>0</v>
      </c>
      <c r="U535" s="225" t="str">
        <f>IF(NOT(ISNUMBER(G535)), "", VLOOKUP(A535,'Discount Lookup'!D:E,2,FALSE)*G535)</f>
        <v/>
      </c>
      <c r="V535" s="225" t="str">
        <f>IF(NOT(ISNUMBER(G535)), "", VLOOKUP(A535,'Discount Lookup'!G:H,2,FALSE)*G535)</f>
        <v/>
      </c>
      <c r="W535" s="508">
        <f t="shared" si="366"/>
        <v>0</v>
      </c>
      <c r="X535" s="508">
        <f t="shared" si="367"/>
        <v>0</v>
      </c>
      <c r="Y535" s="509" t="b">
        <f t="shared" si="368"/>
        <v>0</v>
      </c>
      <c r="Z535" s="510">
        <f t="shared" si="369"/>
        <v>0</v>
      </c>
      <c r="AA535" s="511"/>
      <c r="AB535" s="511" t="str">
        <f t="shared" si="370"/>
        <v/>
      </c>
      <c r="AC535" s="698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698"/>
      <c r="AE535" s="631" t="str">
        <f t="shared" si="371"/>
        <v/>
      </c>
      <c r="AF535" s="699" t="str">
        <f t="shared" si="372"/>
        <v/>
      </c>
      <c r="AG535" s="699"/>
      <c r="AH535" s="699"/>
      <c r="AI535" s="512">
        <f>IF(H535="credit",0,IF(AE535="free",0,IF(AE535="me",0,IF(G535&gt;0,(VLOOKUP(A535,'Discount Lookup'!J:K,2)*G535),0))))</f>
        <v>0</v>
      </c>
      <c r="AJ535" s="513" t="str">
        <f t="shared" ca="1" si="373"/>
        <v/>
      </c>
      <c r="AK535" s="700" t="str">
        <f t="shared" si="374"/>
        <v/>
      </c>
      <c r="AL535" s="700"/>
      <c r="AM535" s="505" t="str">
        <f t="shared" si="375"/>
        <v/>
      </c>
      <c r="AN535" s="506"/>
      <c r="AO535" s="507"/>
      <c r="AP535" s="507"/>
      <c r="AQ535" s="507"/>
      <c r="AR535" s="507"/>
      <c r="AS535" s="507"/>
      <c r="AT535" s="507"/>
      <c r="AU535" s="507"/>
      <c r="AV535" s="225"/>
      <c r="AW535" s="508"/>
      <c r="AX535" s="225"/>
      <c r="AY535" s="225"/>
      <c r="AZ535" s="225"/>
      <c r="BA535" s="225"/>
      <c r="BB535" s="225"/>
      <c r="BC535" s="56"/>
      <c r="BD535" s="56"/>
      <c r="BE535" s="56"/>
      <c r="BF535" s="107" t="str">
        <f t="shared" si="376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535" s="107" t="str">
        <f t="shared" si="377"/>
        <v>m</v>
      </c>
      <c r="BH535" s="254"/>
      <c r="BI535" s="254"/>
    </row>
    <row r="536" spans="1:61" customFormat="1" ht="18" x14ac:dyDescent="0.25">
      <c r="A536" s="523" t="s">
        <v>3204</v>
      </c>
      <c r="B536" s="235"/>
      <c r="C536" s="676"/>
      <c r="D536" s="255" t="s">
        <v>3205</v>
      </c>
      <c r="E536" s="236"/>
      <c r="F536" s="236"/>
      <c r="G536" s="236"/>
      <c r="H536" s="582" t="s">
        <v>1879</v>
      </c>
      <c r="I536" s="498" t="s">
        <v>3250</v>
      </c>
      <c r="J536" s="237"/>
      <c r="K536" s="237"/>
      <c r="L536" s="274"/>
      <c r="M536" s="668" t="s">
        <v>4975</v>
      </c>
      <c r="N536" s="681" t="str">
        <f>IF(AND(ISTEXT($A536), ISERROR($A536+0)), HYPERLINK($BF536, "Images"), "")</f>
        <v>Images</v>
      </c>
      <c r="O536" s="663" t="s">
        <v>4967</v>
      </c>
      <c r="P536" s="253"/>
      <c r="Q536" s="238"/>
      <c r="R536" s="239"/>
      <c r="S536" s="275" t="s">
        <v>305</v>
      </c>
      <c r="T536" s="508">
        <f t="shared" si="365"/>
        <v>0</v>
      </c>
      <c r="U536" s="225" t="str">
        <f>IF(NOT(ISNUMBER(G536)), "", VLOOKUP(A536,'Discount Lookup'!D:E,2,FALSE)*G536)</f>
        <v/>
      </c>
      <c r="V536" s="225" t="str">
        <f>IF(NOT(ISNUMBER(G536)), "", VLOOKUP(A536,'Discount Lookup'!G:H,2,FALSE)*G536)</f>
        <v/>
      </c>
      <c r="W536" s="508">
        <f t="shared" si="366"/>
        <v>0</v>
      </c>
      <c r="X536" s="508" t="str">
        <f t="shared" si="367"/>
        <v>White to Pale Pink bloom</v>
      </c>
      <c r="Y536" s="509" t="b">
        <f t="shared" si="368"/>
        <v>0</v>
      </c>
      <c r="Z536" s="510">
        <f t="shared" si="369"/>
        <v>0</v>
      </c>
      <c r="AA536" s="511"/>
      <c r="AB536" s="511" t="str">
        <f t="shared" si="370"/>
        <v/>
      </c>
      <c r="AC536" s="698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698"/>
      <c r="AE536" s="631" t="str">
        <f t="shared" si="371"/>
        <v/>
      </c>
      <c r="AF536" s="699" t="str">
        <f t="shared" si="372"/>
        <v/>
      </c>
      <c r="AG536" s="699"/>
      <c r="AH536" s="699"/>
      <c r="AI536" s="512">
        <f>IF(H536="credit",0,IF(AE536="free",0,IF(AE536="me",0,IF(G536&gt;0,(VLOOKUP(A536,'Discount Lookup'!J:K,2)*G536),0))))</f>
        <v>0</v>
      </c>
      <c r="AJ536" s="513" t="str">
        <f t="shared" ca="1" si="373"/>
        <v/>
      </c>
      <c r="AK536" s="700" t="str">
        <f t="shared" si="374"/>
        <v/>
      </c>
      <c r="AL536" s="700"/>
      <c r="AM536" s="505" t="str">
        <f t="shared" si="375"/>
        <v/>
      </c>
      <c r="AN536" s="506"/>
      <c r="AO536" s="507"/>
      <c r="AP536" s="507"/>
      <c r="AQ536" s="507"/>
      <c r="AR536" s="507"/>
      <c r="AS536" s="507"/>
      <c r="AT536" s="507"/>
      <c r="AU536" s="507"/>
      <c r="AV536" s="225"/>
      <c r="AW536" s="508"/>
      <c r="AX536" s="225"/>
      <c r="AY536" s="225"/>
      <c r="AZ536" s="225"/>
      <c r="BA536" s="225"/>
      <c r="BB536" s="225"/>
      <c r="BC536" s="56"/>
      <c r="BD536" s="56"/>
      <c r="BE536" s="56"/>
      <c r="BF536" s="107" t="str">
        <f t="shared" si="376"/>
        <v>https://www.google.com/search?tbm=isch&amp;q=Brilliant%20Red%20Chokeberry%20Aronia%20arbutifolia%20%27Brilliantissima%27</v>
      </c>
      <c r="BG536" s="107" t="str">
        <f t="shared" si="377"/>
        <v>B</v>
      </c>
      <c r="BH536" s="254"/>
      <c r="BI536" s="254"/>
    </row>
    <row r="537" spans="1:61" customFormat="1" ht="15.75" x14ac:dyDescent="0.25">
      <c r="A537" s="276">
        <v>3</v>
      </c>
      <c r="B537" s="240" t="s">
        <v>291</v>
      </c>
      <c r="C537" s="241" t="s">
        <v>19</v>
      </c>
      <c r="D537" s="242" t="s">
        <v>298</v>
      </c>
      <c r="E537" s="243">
        <v>25.95</v>
      </c>
      <c r="F537" s="517" t="s">
        <v>293</v>
      </c>
      <c r="G537" s="232">
        <v>0</v>
      </c>
      <c r="H537" s="661" t="str">
        <f>IF(G537=0,"",IF(F537="Buy",IF(G537=1,"plant","plants"),IF(F537&gt;0.01,"warranty","Error")))</f>
        <v/>
      </c>
      <c r="I537" s="244">
        <f>IF(H537="free",0,IF(H537="credit",((E537*(F537))*G537*-1),IF(F537="Buy",(E537*G537),((E537*(1-F537))*G537))))</f>
        <v>0</v>
      </c>
      <c r="J537" s="244">
        <f>IF(H537="warranty",0,(I537*(_xlfn.SINGLE(SalesTaxPercentage))))</f>
        <v>0</v>
      </c>
      <c r="K537" s="696">
        <f t="shared" ref="K537" si="382">I537+J537</f>
        <v>0</v>
      </c>
      <c r="L537" s="696"/>
      <c r="M537" s="659" t="str">
        <f>IF(AND(G537&gt;0,E537=0),"WARNING - no PRICE inserted",IF(H537="free"," FREE ~ no charge this plant",IF(H537="credit",CONCATENATE(" -$",ROUND(K537*(1-T2GDiscount)*-1,2)," CREDIT after discount"),IF(T2GDiscount=0,"",IF(G537=0,"",IF(F537="Buy",CONCATENATE(" $",ROUND(K537*(1-T2GDiscount),2)," with ",(T2GDiscount*100),"% discount"),CONCATENATE(" $",ROUND(K537*(1-T2GDiscount),2)," with ",((T2GDiscount*100+F537*100)-(T2GDiscount*100*F537)),IF(F537&gt;0,"% discounts",IF(NoWarrantyDiscount&gt;0,"% discounts","% discount")))))))))</f>
        <v/>
      </c>
      <c r="N537" s="660"/>
      <c r="O537" s="233"/>
      <c r="P537" s="233"/>
      <c r="Q537" s="233"/>
      <c r="R537" s="233"/>
      <c r="S537" s="233"/>
      <c r="T537" s="508">
        <f t="shared" si="365"/>
        <v>0</v>
      </c>
      <c r="U537" s="225">
        <f>IF(NOT(ISNUMBER(G537)), "", VLOOKUP(A537,'Discount Lookup'!D:E,2,FALSE)*G537)</f>
        <v>0</v>
      </c>
      <c r="V537" s="225">
        <f>IF(NOT(ISNUMBER(G537)), "", VLOOKUP(A537,'Discount Lookup'!G:H,2,FALSE)*G537)</f>
        <v>0</v>
      </c>
      <c r="W537" s="508">
        <f t="shared" si="366"/>
        <v>0</v>
      </c>
      <c r="X537" s="508">
        <f t="shared" si="367"/>
        <v>0</v>
      </c>
      <c r="Y537" s="509" t="b">
        <f t="shared" si="368"/>
        <v>0</v>
      </c>
      <c r="Z537" s="510">
        <f t="shared" si="369"/>
        <v>0</v>
      </c>
      <c r="AA537" s="511"/>
      <c r="AB537" s="511" t="str">
        <f t="shared" si="370"/>
        <v/>
      </c>
      <c r="AC537" s="698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698"/>
      <c r="AE537" s="631" t="str">
        <f t="shared" si="371"/>
        <v/>
      </c>
      <c r="AF537" s="699" t="str">
        <f t="shared" si="372"/>
        <v/>
      </c>
      <c r="AG537" s="699"/>
      <c r="AH537" s="699"/>
      <c r="AI537" s="512">
        <f>IF(H537="credit",0,IF(AE537="free",0,IF(AE537="me",0,IF(G537&gt;0,(VLOOKUP(A537,'Discount Lookup'!J:K,2)*G537),0))))</f>
        <v>0</v>
      </c>
      <c r="AJ537" s="513" t="str">
        <f t="shared" ca="1" si="373"/>
        <v/>
      </c>
      <c r="AK537" s="700" t="str">
        <f t="shared" si="374"/>
        <v/>
      </c>
      <c r="AL537" s="700"/>
      <c r="AM537" s="505" t="str">
        <f t="shared" si="375"/>
        <v/>
      </c>
      <c r="AN537" s="506"/>
      <c r="AO537" s="507"/>
      <c r="AP537" s="507"/>
      <c r="AQ537" s="507"/>
      <c r="AR537" s="507"/>
      <c r="AS537" s="507"/>
      <c r="AT537" s="507"/>
      <c r="AU537" s="507"/>
      <c r="AV537" s="225"/>
      <c r="AW537" s="508"/>
      <c r="AX537" s="225"/>
      <c r="AY537" s="225"/>
      <c r="AZ537" s="225"/>
      <c r="BA537" s="225"/>
      <c r="BB537" s="225"/>
      <c r="BC537" s="56"/>
      <c r="BD537" s="56"/>
      <c r="BE537" s="56"/>
      <c r="BF537" s="107" t="str">
        <f t="shared" si="376"/>
        <v>https://www.google.com/search?tbm=isch&amp;q=3%20G1</v>
      </c>
      <c r="BG537" s="107" t="str">
        <f t="shared" si="377"/>
        <v>B</v>
      </c>
      <c r="BH537" s="254"/>
      <c r="BI537" s="254"/>
    </row>
    <row r="538" spans="1:61" customFormat="1" ht="17.25" thickBot="1" x14ac:dyDescent="0.3">
      <c r="A538" s="673" t="s">
        <v>5073</v>
      </c>
      <c r="B538" s="245"/>
      <c r="C538" s="677"/>
      <c r="D538" s="499"/>
      <c r="E538" s="499"/>
      <c r="F538" s="500"/>
      <c r="G538" s="501"/>
      <c r="H538" s="502"/>
      <c r="I538" s="246"/>
      <c r="J538" s="247"/>
      <c r="K538" s="503"/>
      <c r="L538" s="544"/>
      <c r="M538" s="544"/>
      <c r="N538" s="500"/>
      <c r="O538" s="500"/>
      <c r="P538" s="500"/>
      <c r="Q538" s="500"/>
      <c r="R538" s="500"/>
      <c r="S538" s="669" t="s">
        <v>4972</v>
      </c>
      <c r="T538" s="508">
        <f t="shared" si="365"/>
        <v>0</v>
      </c>
      <c r="U538" s="225" t="str">
        <f>IF(NOT(ISNUMBER(G538)), "", VLOOKUP(A538,'Discount Lookup'!D:E,2,FALSE)*G538)</f>
        <v/>
      </c>
      <c r="V538" s="225" t="str">
        <f>IF(NOT(ISNUMBER(G538)), "", VLOOKUP(A538,'Discount Lookup'!G:H,2,FALSE)*G538)</f>
        <v/>
      </c>
      <c r="W538" s="508">
        <f t="shared" si="366"/>
        <v>0</v>
      </c>
      <c r="X538" s="508">
        <f t="shared" si="367"/>
        <v>0</v>
      </c>
      <c r="Y538" s="509" t="b">
        <f t="shared" si="368"/>
        <v>0</v>
      </c>
      <c r="Z538" s="510">
        <f t="shared" si="369"/>
        <v>0</v>
      </c>
      <c r="AA538" s="511"/>
      <c r="AB538" s="511" t="str">
        <f t="shared" si="370"/>
        <v/>
      </c>
      <c r="AC538" s="698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698"/>
      <c r="AE538" s="631" t="str">
        <f t="shared" si="371"/>
        <v/>
      </c>
      <c r="AF538" s="699" t="str">
        <f t="shared" si="372"/>
        <v/>
      </c>
      <c r="AG538" s="699"/>
      <c r="AH538" s="699"/>
      <c r="AI538" s="512">
        <f>IF(H538="credit",0,IF(AE538="free",0,IF(AE538="me",0,IF(G538&gt;0,(VLOOKUP(A538,'Discount Lookup'!J:K,2)*G538),0))))</f>
        <v>0</v>
      </c>
      <c r="AJ538" s="513" t="str">
        <f t="shared" ca="1" si="373"/>
        <v/>
      </c>
      <c r="AK538" s="700" t="str">
        <f t="shared" si="374"/>
        <v/>
      </c>
      <c r="AL538" s="700"/>
      <c r="AM538" s="505" t="str">
        <f t="shared" si="375"/>
        <v/>
      </c>
      <c r="AN538" s="506"/>
      <c r="AO538" s="507"/>
      <c r="AP538" s="507"/>
      <c r="AQ538" s="507"/>
      <c r="AR538" s="507"/>
      <c r="AS538" s="507"/>
      <c r="AT538" s="507"/>
      <c r="AU538" s="507"/>
      <c r="AV538" s="225"/>
      <c r="AW538" s="508"/>
      <c r="AX538" s="225"/>
      <c r="AY538" s="225"/>
      <c r="AZ538" s="225"/>
      <c r="BA538" s="225"/>
      <c r="BB538" s="225"/>
      <c r="BC538" s="56"/>
      <c r="BD538" s="56"/>
      <c r="BE538" s="56"/>
      <c r="BF538" s="107" t="str">
        <f t="shared" si="376"/>
        <v>https://www.google.com/search?tbm=isch&amp;q=moist%20sites%F0%9F%92%A7GOOD%2C%20Brilliant%20Red%20has%20superior%20Red%20fall%20color%20and%20larger%2C%20more%20numerous%20glossy%20berries%20than%20Red%20Chokeberry%20</v>
      </c>
      <c r="BG538" s="107" t="str">
        <f t="shared" si="377"/>
        <v>m</v>
      </c>
      <c r="BH538" s="254"/>
      <c r="BI538" s="254"/>
    </row>
    <row r="539" spans="1:61" customFormat="1" ht="18" x14ac:dyDescent="0.25">
      <c r="A539" s="521" t="s">
        <v>319</v>
      </c>
      <c r="B539" s="477"/>
      <c r="C539" s="674"/>
      <c r="D539" s="478" t="s">
        <v>318</v>
      </c>
      <c r="E539" s="479"/>
      <c r="F539" s="479"/>
      <c r="G539" s="479"/>
      <c r="H539" s="582" t="s">
        <v>320</v>
      </c>
      <c r="I539" s="480" t="s">
        <v>2093</v>
      </c>
      <c r="J539" s="479"/>
      <c r="K539" s="479"/>
      <c r="L539" s="560"/>
      <c r="M539" s="666" t="s">
        <v>4963</v>
      </c>
      <c r="N539" s="680" t="str">
        <f>IF(AND(ISTEXT($A539), ISERROR($A539+0)), HYPERLINK($BF539, "Images"), "")</f>
        <v>Images</v>
      </c>
      <c r="O539" s="662" t="s">
        <v>4969</v>
      </c>
      <c r="P539" s="482"/>
      <c r="Q539" s="483"/>
      <c r="R539" s="483"/>
      <c r="S539" s="484" t="s">
        <v>305</v>
      </c>
      <c r="T539" s="508">
        <f t="shared" si="365"/>
        <v>0</v>
      </c>
      <c r="U539" s="225" t="str">
        <f>IF(NOT(ISNUMBER(G539)), "", VLOOKUP(A539,'Discount Lookup'!D:E,2,FALSE)*G539)</f>
        <v/>
      </c>
      <c r="V539" s="225" t="str">
        <f>IF(NOT(ISNUMBER(G539)), "", VLOOKUP(A539,'Discount Lookup'!G:H,2,FALSE)*G539)</f>
        <v/>
      </c>
      <c r="W539" s="508">
        <f t="shared" si="366"/>
        <v>0</v>
      </c>
      <c r="X539" s="508" t="str">
        <f t="shared" si="367"/>
        <v>Dark Green foliage</v>
      </c>
      <c r="Y539" s="509" t="b">
        <f t="shared" si="368"/>
        <v>0</v>
      </c>
      <c r="Z539" s="510">
        <f t="shared" si="369"/>
        <v>0</v>
      </c>
      <c r="AA539" s="511"/>
      <c r="AB539" s="511" t="str">
        <f t="shared" si="370"/>
        <v/>
      </c>
      <c r="AC539" s="698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698"/>
      <c r="AE539" s="631" t="str">
        <f t="shared" si="371"/>
        <v/>
      </c>
      <c r="AF539" s="699" t="str">
        <f t="shared" si="372"/>
        <v/>
      </c>
      <c r="AG539" s="699"/>
      <c r="AH539" s="699"/>
      <c r="AI539" s="512">
        <f>IF(H539="credit",0,IF(AE539="free",0,IF(AE539="me",0,IF(G539&gt;0,(VLOOKUP(A539,'Discount Lookup'!J:K,2)*G539),0))))</f>
        <v>0</v>
      </c>
      <c r="AJ539" s="513" t="str">
        <f t="shared" ca="1" si="373"/>
        <v/>
      </c>
      <c r="AK539" s="700" t="str">
        <f t="shared" si="374"/>
        <v/>
      </c>
      <c r="AL539" s="700"/>
      <c r="AM539" s="505" t="str">
        <f t="shared" si="375"/>
        <v/>
      </c>
      <c r="AN539" s="506"/>
      <c r="AO539" s="507"/>
      <c r="AP539" s="507"/>
      <c r="AQ539" s="507"/>
      <c r="AR539" s="507"/>
      <c r="AS539" s="507"/>
      <c r="AT539" s="507"/>
      <c r="AU539" s="507"/>
      <c r="AV539" s="225"/>
      <c r="AW539" s="508"/>
      <c r="AX539" s="225"/>
      <c r="AY539" s="225"/>
      <c r="AZ539" s="225"/>
      <c r="BA539" s="225"/>
      <c r="BB539" s="225"/>
      <c r="BC539" s="56"/>
      <c r="BD539" s="56"/>
      <c r="BE539" s="56"/>
      <c r="BF539" s="107" t="str">
        <f t="shared" si="376"/>
        <v>https://www.google.com/search?tbm=isch&amp;q=Brodie%20Juniper%20Juniperus%20virginiana%20%27Brodie%27</v>
      </c>
      <c r="BG539" s="107" t="str">
        <f t="shared" si="377"/>
        <v>B</v>
      </c>
      <c r="BH539" s="254"/>
      <c r="BI539" s="254"/>
    </row>
    <row r="540" spans="1:61" customFormat="1" ht="15.75" x14ac:dyDescent="0.25">
      <c r="A540" s="485">
        <v>15</v>
      </c>
      <c r="B540" s="486" t="s">
        <v>291</v>
      </c>
      <c r="C540" s="487" t="s">
        <v>3352</v>
      </c>
      <c r="D540" s="488" t="s">
        <v>292</v>
      </c>
      <c r="E540" s="489">
        <v>401.95</v>
      </c>
      <c r="F540" s="516" t="s">
        <v>293</v>
      </c>
      <c r="G540" s="232">
        <v>0</v>
      </c>
      <c r="H540" s="658" t="str">
        <f>IF(G540=0,"",IF(F540="Buy",IF(G540=1,"plant","plants"),IF(F540&gt;0.01,"warranty","Error")))</f>
        <v/>
      </c>
      <c r="I540" s="490">
        <f>IF(H540="free",0,IF(H540="credit",((E540*(F540))*G540*-1),IF(F540="Buy",(E540*G540),((E540*(1-F540))*G540))))</f>
        <v>0</v>
      </c>
      <c r="J540" s="490">
        <f>IF(H540="warranty",0,(I540*(_xlfn.SINGLE(SalesTaxPercentage))))</f>
        <v>0</v>
      </c>
      <c r="K540" s="695">
        <f t="shared" ref="K540" si="383">I540+J540</f>
        <v>0</v>
      </c>
      <c r="L540" s="695"/>
      <c r="M540" s="659" t="str">
        <f>IF(AND(G540&gt;0,E540=0),"WARNING - no PRICE inserted",IF(H540="free"," FREE ~ no charge this plant",IF(H540="credit",CONCATENATE(" -$",ROUND(K540*(1-T2GDiscount)*-1,2)," CREDIT after discount"),IF(T2GDiscount=0,"",IF(G540=0,"",IF(F540="Buy",CONCATENATE(" $",ROUND(K540*(1-T2GDiscount),2)," with ",(T2GDiscount*100),"% discount"),CONCATENATE(" $",ROUND(K540*(1-T2GDiscount),2)," with ",((T2GDiscount*100+F540*100)-(T2GDiscount*100*F540)),IF(F540&gt;0,"% discounts",IF(NoWarrantyDiscount&gt;0,"% discounts","% discount")))))))))</f>
        <v/>
      </c>
      <c r="N540" s="660"/>
      <c r="O540" s="233"/>
      <c r="P540" s="233"/>
      <c r="Q540" s="233"/>
      <c r="R540" s="233"/>
      <c r="S540" s="233"/>
      <c r="T540" s="508">
        <f t="shared" si="365"/>
        <v>0</v>
      </c>
      <c r="U540" s="225">
        <f>IF(NOT(ISNUMBER(G540)), "", VLOOKUP(A540,'Discount Lookup'!D:E,2,FALSE)*G540)</f>
        <v>0</v>
      </c>
      <c r="V540" s="225">
        <f>IF(NOT(ISNUMBER(G540)), "", VLOOKUP(A540,'Discount Lookup'!G:H,2,FALSE)*G540)</f>
        <v>0</v>
      </c>
      <c r="W540" s="508">
        <f t="shared" si="366"/>
        <v>0</v>
      </c>
      <c r="X540" s="508">
        <f t="shared" si="367"/>
        <v>0</v>
      </c>
      <c r="Y540" s="509" t="b">
        <f t="shared" si="368"/>
        <v>0</v>
      </c>
      <c r="Z540" s="510">
        <f t="shared" si="369"/>
        <v>0</v>
      </c>
      <c r="AA540" s="511"/>
      <c r="AB540" s="511" t="str">
        <f t="shared" si="370"/>
        <v/>
      </c>
      <c r="AC540" s="698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698"/>
      <c r="AE540" s="631" t="str">
        <f t="shared" si="371"/>
        <v/>
      </c>
      <c r="AF540" s="699" t="str">
        <f t="shared" si="372"/>
        <v/>
      </c>
      <c r="AG540" s="699"/>
      <c r="AH540" s="699"/>
      <c r="AI540" s="512">
        <f>IF(H540="credit",0,IF(AE540="free",0,IF(AE540="me",0,IF(G540&gt;0,(VLOOKUP(A540,'Discount Lookup'!J:K,2)*G540),0))))</f>
        <v>0</v>
      </c>
      <c r="AJ540" s="513" t="str">
        <f t="shared" ca="1" si="373"/>
        <v/>
      </c>
      <c r="AK540" s="700" t="str">
        <f t="shared" si="374"/>
        <v/>
      </c>
      <c r="AL540" s="700"/>
      <c r="AM540" s="505" t="str">
        <f t="shared" si="375"/>
        <v/>
      </c>
      <c r="AN540" s="506"/>
      <c r="AO540" s="507"/>
      <c r="AP540" s="507"/>
      <c r="AQ540" s="507"/>
      <c r="AR540" s="507"/>
      <c r="AS540" s="507"/>
      <c r="AT540" s="507"/>
      <c r="AU540" s="507"/>
      <c r="AV540" s="225"/>
      <c r="AW540" s="508"/>
      <c r="AX540" s="225"/>
      <c r="AY540" s="225"/>
      <c r="AZ540" s="225"/>
      <c r="BA540" s="225"/>
      <c r="BB540" s="225"/>
      <c r="BC540" s="56"/>
      <c r="BD540" s="56"/>
      <c r="BE540" s="56"/>
      <c r="BF540" s="107" t="str">
        <f t="shared" si="376"/>
        <v>https://www.google.com/search?tbm=isch&amp;q=15%20G4</v>
      </c>
      <c r="BG540" s="107" t="str">
        <f t="shared" si="377"/>
        <v>B</v>
      </c>
      <c r="BH540" s="254"/>
      <c r="BI540" s="254"/>
    </row>
    <row r="541" spans="1:61" customFormat="1" ht="15.75" x14ac:dyDescent="0.25">
      <c r="A541" s="485">
        <v>25</v>
      </c>
      <c r="B541" s="486" t="s">
        <v>291</v>
      </c>
      <c r="C541" s="487" t="s">
        <v>4699</v>
      </c>
      <c r="D541" s="488" t="s">
        <v>292</v>
      </c>
      <c r="E541" s="489">
        <v>620.95000000000005</v>
      </c>
      <c r="F541" s="516" t="s">
        <v>293</v>
      </c>
      <c r="G541" s="232">
        <v>0</v>
      </c>
      <c r="H541" s="658" t="str">
        <f>IF(G541=0,"",IF(F541="Buy",IF(G541=1,"plant","plants"),IF(F541&gt;0.01,"warranty","Error")))</f>
        <v/>
      </c>
      <c r="I541" s="490">
        <f>IF(H541="free",0,IF(H541="credit",((E541*(F541))*G541*-1),IF(F541="Buy",(E541*G541),((E541*(1-F541))*G541))))</f>
        <v>0</v>
      </c>
      <c r="J541" s="490">
        <f>IF(H541="warranty",0,(I541*(_xlfn.SINGLE(SalesTaxPercentage))))</f>
        <v>0</v>
      </c>
      <c r="K541" s="695">
        <f t="shared" ref="K541" si="384">I541+J541</f>
        <v>0</v>
      </c>
      <c r="L541" s="695"/>
      <c r="M541" s="659" t="str">
        <f>IF(AND(G541&gt;0,E541=0),"WARNING - no PRICE inserted",IF(H541="free"," FREE ~ no charge this plant",IF(H541="credit",CONCATENATE(" -$",ROUND(K541*(1-T2GDiscount)*-1,2)," CREDIT after discount"),IF(T2GDiscount=0,"",IF(G541=0,"",IF(F541="Buy",CONCATENATE(" $",ROUND(K541*(1-T2GDiscount),2)," with ",(T2GDiscount*100),"% discount"),CONCATENATE(" $",ROUND(K541*(1-T2GDiscount),2)," with ",((T2GDiscount*100+F541*100)-(T2GDiscount*100*F541)),IF(F541&gt;0,"% discounts",IF(NoWarrantyDiscount&gt;0,"% discounts","% discount")))))))))</f>
        <v/>
      </c>
      <c r="N541" s="660"/>
      <c r="O541" s="233"/>
      <c r="P541" s="233"/>
      <c r="Q541" s="233"/>
      <c r="R541" s="233"/>
      <c r="S541" s="233"/>
      <c r="T541" s="508">
        <f t="shared" si="365"/>
        <v>0</v>
      </c>
      <c r="U541" s="225">
        <f>IF(NOT(ISNUMBER(G541)), "", VLOOKUP(A541,'Discount Lookup'!D:E,2,FALSE)*G541)</f>
        <v>0</v>
      </c>
      <c r="V541" s="225">
        <f>IF(NOT(ISNUMBER(G541)), "", VLOOKUP(A541,'Discount Lookup'!G:H,2,FALSE)*G541)</f>
        <v>0</v>
      </c>
      <c r="W541" s="508">
        <f t="shared" si="366"/>
        <v>0</v>
      </c>
      <c r="X541" s="508">
        <f t="shared" si="367"/>
        <v>0</v>
      </c>
      <c r="Y541" s="509" t="b">
        <f t="shared" si="368"/>
        <v>0</v>
      </c>
      <c r="Z541" s="510">
        <f t="shared" si="369"/>
        <v>0</v>
      </c>
      <c r="AA541" s="511"/>
      <c r="AB541" s="511" t="str">
        <f t="shared" si="370"/>
        <v/>
      </c>
      <c r="AC541" s="698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698"/>
      <c r="AE541" s="631" t="str">
        <f t="shared" si="371"/>
        <v/>
      </c>
      <c r="AF541" s="699" t="str">
        <f t="shared" si="372"/>
        <v/>
      </c>
      <c r="AG541" s="699"/>
      <c r="AH541" s="699"/>
      <c r="AI541" s="512">
        <f>IF(H541="credit",0,IF(AE541="free",0,IF(AE541="me",0,IF(G541&gt;0,(VLOOKUP(A541,'Discount Lookup'!J:K,2)*G541),0))))</f>
        <v>0</v>
      </c>
      <c r="AJ541" s="513" t="str">
        <f t="shared" ca="1" si="373"/>
        <v/>
      </c>
      <c r="AK541" s="700" t="str">
        <f t="shared" si="374"/>
        <v/>
      </c>
      <c r="AL541" s="700"/>
      <c r="AM541" s="505" t="str">
        <f t="shared" si="375"/>
        <v/>
      </c>
      <c r="AN541" s="506"/>
      <c r="AO541" s="507"/>
      <c r="AP541" s="507"/>
      <c r="AQ541" s="507"/>
      <c r="AR541" s="507"/>
      <c r="AS541" s="507"/>
      <c r="AT541" s="507"/>
      <c r="AU541" s="507"/>
      <c r="AV541" s="225"/>
      <c r="AW541" s="508"/>
      <c r="AX541" s="225"/>
      <c r="AY541" s="225"/>
      <c r="AZ541" s="225"/>
      <c r="BA541" s="225"/>
      <c r="BB541" s="225"/>
      <c r="BC541" s="56"/>
      <c r="BD541" s="56"/>
      <c r="BE541" s="56"/>
      <c r="BF541" s="107" t="str">
        <f t="shared" si="376"/>
        <v>https://www.google.com/search?tbm=isch&amp;q=25%20G4</v>
      </c>
      <c r="BG541" s="107" t="str">
        <f t="shared" si="377"/>
        <v>B</v>
      </c>
      <c r="BH541" s="254"/>
      <c r="BI541" s="254"/>
    </row>
    <row r="542" spans="1:61" customFormat="1" ht="17.25" thickBot="1" x14ac:dyDescent="0.3">
      <c r="A542" s="522" t="s">
        <v>2664</v>
      </c>
      <c r="B542" s="491"/>
      <c r="C542" s="675"/>
      <c r="D542" s="491"/>
      <c r="E542" s="491"/>
      <c r="F542" s="492"/>
      <c r="G542" s="493"/>
      <c r="H542" s="491"/>
      <c r="I542" s="234"/>
      <c r="J542" s="234"/>
      <c r="K542" s="494"/>
      <c r="L542" s="543"/>
      <c r="M542" s="561"/>
      <c r="N542" s="495"/>
      <c r="O542" s="496"/>
      <c r="P542" s="497"/>
      <c r="Q542" s="495"/>
      <c r="R542" s="495"/>
      <c r="S542" s="667" t="s">
        <v>4982</v>
      </c>
      <c r="T542" s="508">
        <f t="shared" si="365"/>
        <v>0</v>
      </c>
      <c r="U542" s="225" t="str">
        <f>IF(NOT(ISNUMBER(G542)), "", VLOOKUP(A542,'Discount Lookup'!D:E,2,FALSE)*G542)</f>
        <v/>
      </c>
      <c r="V542" s="225" t="str">
        <f>IF(NOT(ISNUMBER(G542)), "", VLOOKUP(A542,'Discount Lookup'!G:H,2,FALSE)*G542)</f>
        <v/>
      </c>
      <c r="W542" s="508">
        <f t="shared" si="366"/>
        <v>0</v>
      </c>
      <c r="X542" s="508">
        <f t="shared" si="367"/>
        <v>0</v>
      </c>
      <c r="Y542" s="509" t="b">
        <f t="shared" si="368"/>
        <v>0</v>
      </c>
      <c r="Z542" s="510">
        <f t="shared" si="369"/>
        <v>0</v>
      </c>
      <c r="AA542" s="511"/>
      <c r="AB542" s="511" t="str">
        <f t="shared" si="370"/>
        <v/>
      </c>
      <c r="AC542" s="698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698"/>
      <c r="AE542" s="631" t="str">
        <f t="shared" si="371"/>
        <v/>
      </c>
      <c r="AF542" s="699" t="str">
        <f t="shared" si="372"/>
        <v/>
      </c>
      <c r="AG542" s="699"/>
      <c r="AH542" s="699"/>
      <c r="AI542" s="512">
        <f>IF(H542="credit",0,IF(AE542="free",0,IF(AE542="me",0,IF(G542&gt;0,(VLOOKUP(A542,'Discount Lookup'!J:K,2)*G542),0))))</f>
        <v>0</v>
      </c>
      <c r="AJ542" s="513" t="str">
        <f t="shared" ca="1" si="373"/>
        <v/>
      </c>
      <c r="AK542" s="700" t="str">
        <f t="shared" si="374"/>
        <v/>
      </c>
      <c r="AL542" s="700"/>
      <c r="AM542" s="505" t="str">
        <f t="shared" si="375"/>
        <v/>
      </c>
      <c r="AN542" s="506"/>
      <c r="AO542" s="507"/>
      <c r="AP542" s="507"/>
      <c r="AQ542" s="507"/>
      <c r="AR542" s="507"/>
      <c r="AS542" s="507"/>
      <c r="AT542" s="507"/>
      <c r="AU542" s="507"/>
      <c r="AV542" s="225"/>
      <c r="AW542" s="508"/>
      <c r="AX542" s="225"/>
      <c r="AY542" s="225"/>
      <c r="AZ542" s="225"/>
      <c r="BA542" s="225"/>
      <c r="BB542" s="225"/>
      <c r="BC542" s="56"/>
      <c r="BD542" s="56"/>
      <c r="BE542" s="56"/>
      <c r="BF542" s="107" t="str">
        <f t="shared" si="376"/>
        <v>https://www.google.com/search?tbm=isch&amp;q=Brodie%20is%20tough%20and%20drought%20tolerant.%20Reddish-brown%20bark%20peels%20in%20thin%20strips.%20Sun%2Fheat%2Fdrought%20tolerant%20</v>
      </c>
      <c r="BG542" s="107" t="str">
        <f t="shared" si="377"/>
        <v>B</v>
      </c>
      <c r="BH542" s="254"/>
      <c r="BI542" s="254"/>
    </row>
    <row r="543" spans="1:61" customFormat="1" ht="18" x14ac:dyDescent="0.25">
      <c r="A543" s="523" t="s">
        <v>645</v>
      </c>
      <c r="B543" s="235"/>
      <c r="C543" s="676"/>
      <c r="D543" s="255" t="s">
        <v>644</v>
      </c>
      <c r="E543" s="236"/>
      <c r="F543" s="236"/>
      <c r="G543" s="236"/>
      <c r="H543" s="582" t="s">
        <v>366</v>
      </c>
      <c r="I543" s="498" t="s">
        <v>2106</v>
      </c>
      <c r="J543" s="237"/>
      <c r="K543" s="237"/>
      <c r="L543" s="274"/>
      <c r="M543" s="668" t="s">
        <v>4962</v>
      </c>
      <c r="N543" s="681" t="str">
        <f>IF(AND(ISTEXT($A543), ISERROR($A543+0)), HYPERLINK($BF543, "Images"), "")</f>
        <v>Images</v>
      </c>
      <c r="O543" s="663" t="s">
        <v>4974</v>
      </c>
      <c r="P543" s="253"/>
      <c r="Q543" s="238"/>
      <c r="R543" s="239"/>
      <c r="S543" s="275"/>
      <c r="T543" s="508">
        <f t="shared" si="365"/>
        <v>0</v>
      </c>
      <c r="U543" s="225" t="str">
        <f>IF(NOT(ISNUMBER(G543)), "", VLOOKUP(A543,'Discount Lookup'!D:E,2,FALSE)*G543)</f>
        <v/>
      </c>
      <c r="V543" s="225" t="str">
        <f>IF(NOT(ISNUMBER(G543)), "", VLOOKUP(A543,'Discount Lookup'!G:H,2,FALSE)*G543)</f>
        <v/>
      </c>
      <c r="W543" s="508">
        <f t="shared" si="366"/>
        <v>0</v>
      </c>
      <c r="X543" s="508" t="str">
        <f t="shared" si="367"/>
        <v>Bright Green foliage</v>
      </c>
      <c r="Y543" s="509" t="b">
        <f t="shared" si="368"/>
        <v>0</v>
      </c>
      <c r="Z543" s="510">
        <f t="shared" si="369"/>
        <v>0</v>
      </c>
      <c r="AA543" s="511"/>
      <c r="AB543" s="511" t="str">
        <f t="shared" si="370"/>
        <v/>
      </c>
      <c r="AC543" s="698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698"/>
      <c r="AE543" s="631" t="str">
        <f t="shared" si="371"/>
        <v/>
      </c>
      <c r="AF543" s="699" t="str">
        <f t="shared" si="372"/>
        <v/>
      </c>
      <c r="AG543" s="699"/>
      <c r="AH543" s="699"/>
      <c r="AI543" s="512">
        <f>IF(H543="credit",0,IF(AE543="free",0,IF(AE543="me",0,IF(G543&gt;0,(VLOOKUP(A543,'Discount Lookup'!J:K,2)*G543),0))))</f>
        <v>0</v>
      </c>
      <c r="AJ543" s="513" t="str">
        <f t="shared" ca="1" si="373"/>
        <v/>
      </c>
      <c r="AK543" s="700" t="str">
        <f t="shared" si="374"/>
        <v/>
      </c>
      <c r="AL543" s="700"/>
      <c r="AM543" s="505" t="str">
        <f t="shared" si="375"/>
        <v/>
      </c>
      <c r="AN543" s="506"/>
      <c r="AO543" s="507"/>
      <c r="AP543" s="507"/>
      <c r="AQ543" s="507"/>
      <c r="AR543" s="507"/>
      <c r="AS543" s="507"/>
      <c r="AT543" s="507"/>
      <c r="AU543" s="507"/>
      <c r="AV543" s="225"/>
      <c r="AW543" s="508"/>
      <c r="AX543" s="225"/>
      <c r="AY543" s="225"/>
      <c r="AZ543" s="225"/>
      <c r="BA543" s="225"/>
      <c r="BB543" s="225"/>
      <c r="BC543" s="56"/>
      <c r="BD543" s="56"/>
      <c r="BE543" s="56"/>
      <c r="BF543" s="107" t="str">
        <f t="shared" si="376"/>
        <v>https://www.google.com/search?tbm=isch&amp;q=Brown%20Turkey%20Fig%20Ficus%20carica%20%27Brown%20Turkey%27</v>
      </c>
      <c r="BG543" s="107" t="str">
        <f t="shared" si="377"/>
        <v>B</v>
      </c>
      <c r="BH543" s="254"/>
      <c r="BI543" s="254"/>
    </row>
    <row r="544" spans="1:61" customFormat="1" ht="15.75" x14ac:dyDescent="0.25">
      <c r="A544" s="276">
        <v>3</v>
      </c>
      <c r="B544" s="240" t="s">
        <v>291</v>
      </c>
      <c r="C544" s="241"/>
      <c r="D544" s="242" t="s">
        <v>298</v>
      </c>
      <c r="E544" s="243">
        <v>25.95</v>
      </c>
      <c r="F544" s="517" t="s">
        <v>293</v>
      </c>
      <c r="G544" s="232">
        <v>0</v>
      </c>
      <c r="H544" s="661" t="str">
        <f>IF(G544=0,"",IF(F544="Buy",IF(G544=1,"plant","plants"),IF(F544&gt;0.01,"warranty","Error")))</f>
        <v/>
      </c>
      <c r="I544" s="244">
        <f>IF(H544="free",0,IF(H544="credit",((E544*(F544))*G544*-1),IF(F544="Buy",(E544*G544),((E544*(1-F544))*G544))))</f>
        <v>0</v>
      </c>
      <c r="J544" s="244">
        <f>IF(H544="warranty",0,(I544*(_xlfn.SINGLE(SalesTaxPercentage))))</f>
        <v>0</v>
      </c>
      <c r="K544" s="696">
        <f t="shared" ref="K544" si="385">I544+J544</f>
        <v>0</v>
      </c>
      <c r="L544" s="696"/>
      <c r="M544" s="659" t="str">
        <f>IF(AND(G544&gt;0,E544=0),"WARNING - no PRICE inserted",IF(H544="free"," FREE ~ no charge this plant",IF(H544="credit",CONCATENATE(" -$",ROUND(K544*(1-T2GDiscount)*-1,2)," CREDIT after discount"),IF(T2GDiscount=0,"",IF(G544=0,"",IF(F544="Buy",CONCATENATE(" $",ROUND(K544*(1-T2GDiscount),2)," with ",(T2GDiscount*100),"% discount"),CONCATENATE(" $",ROUND(K544*(1-T2GDiscount),2)," with ",((T2GDiscount*100+F544*100)-(T2GDiscount*100*F544)),IF(F544&gt;0,"% discounts",IF(NoWarrantyDiscount&gt;0,"% discounts","% discount")))))))))</f>
        <v/>
      </c>
      <c r="N544" s="660"/>
      <c r="O544" s="233"/>
      <c r="P544" s="233"/>
      <c r="Q544" s="233"/>
      <c r="R544" s="233"/>
      <c r="S544" s="233"/>
      <c r="T544" s="508">
        <f t="shared" si="365"/>
        <v>0</v>
      </c>
      <c r="U544" s="225">
        <f>IF(NOT(ISNUMBER(G544)), "", VLOOKUP(A544,'Discount Lookup'!D:E,2,FALSE)*G544)</f>
        <v>0</v>
      </c>
      <c r="V544" s="225">
        <f>IF(NOT(ISNUMBER(G544)), "", VLOOKUP(A544,'Discount Lookup'!G:H,2,FALSE)*G544)</f>
        <v>0</v>
      </c>
      <c r="W544" s="508">
        <f t="shared" si="366"/>
        <v>0</v>
      </c>
      <c r="X544" s="508">
        <f t="shared" si="367"/>
        <v>0</v>
      </c>
      <c r="Y544" s="509" t="b">
        <f t="shared" si="368"/>
        <v>0</v>
      </c>
      <c r="Z544" s="510">
        <f t="shared" si="369"/>
        <v>0</v>
      </c>
      <c r="AA544" s="511"/>
      <c r="AB544" s="511" t="str">
        <f t="shared" si="370"/>
        <v/>
      </c>
      <c r="AC544" s="698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698"/>
      <c r="AE544" s="631" t="str">
        <f t="shared" si="371"/>
        <v/>
      </c>
      <c r="AF544" s="699" t="str">
        <f t="shared" si="372"/>
        <v/>
      </c>
      <c r="AG544" s="699"/>
      <c r="AH544" s="699"/>
      <c r="AI544" s="512">
        <f>IF(H544="credit",0,IF(AE544="free",0,IF(AE544="me",0,IF(G544&gt;0,(VLOOKUP(A544,'Discount Lookup'!J:K,2)*G544),0))))</f>
        <v>0</v>
      </c>
      <c r="AJ544" s="513" t="str">
        <f t="shared" ca="1" si="373"/>
        <v/>
      </c>
      <c r="AK544" s="700" t="str">
        <f t="shared" si="374"/>
        <v/>
      </c>
      <c r="AL544" s="700"/>
      <c r="AM544" s="505" t="str">
        <f t="shared" si="375"/>
        <v/>
      </c>
      <c r="AN544" s="506"/>
      <c r="AO544" s="507"/>
      <c r="AP544" s="507"/>
      <c r="AQ544" s="507"/>
      <c r="AR544" s="507"/>
      <c r="AS544" s="507"/>
      <c r="AT544" s="507"/>
      <c r="AU544" s="507"/>
      <c r="AV544" s="225"/>
      <c r="AW544" s="508"/>
      <c r="AX544" s="225"/>
      <c r="AY544" s="225"/>
      <c r="AZ544" s="225"/>
      <c r="BA544" s="225"/>
      <c r="BB544" s="225"/>
      <c r="BC544" s="56"/>
      <c r="BD544" s="56"/>
      <c r="BE544" s="56"/>
      <c r="BF544" s="107" t="str">
        <f t="shared" si="376"/>
        <v>https://www.google.com/search?tbm=isch&amp;q=3%20G1</v>
      </c>
      <c r="BG544" s="107" t="str">
        <f t="shared" si="377"/>
        <v>B</v>
      </c>
      <c r="BH544" s="254"/>
      <c r="BI544" s="254"/>
    </row>
    <row r="545" spans="1:61" customFormat="1" ht="15.75" x14ac:dyDescent="0.25">
      <c r="A545" s="276">
        <v>3</v>
      </c>
      <c r="B545" s="240" t="s">
        <v>291</v>
      </c>
      <c r="C545" s="241" t="s">
        <v>4290</v>
      </c>
      <c r="D545" s="242" t="s">
        <v>297</v>
      </c>
      <c r="E545" s="243">
        <v>26.95</v>
      </c>
      <c r="F545" s="517" t="s">
        <v>293</v>
      </c>
      <c r="G545" s="232">
        <v>0</v>
      </c>
      <c r="H545" s="661" t="str">
        <f>IF(G545=0,"",IF(F545="Buy",IF(G545=1,"plant","plants"),IF(F545&gt;0.01,"warranty","Error")))</f>
        <v/>
      </c>
      <c r="I545" s="244">
        <f>IF(H545="free",0,IF(H545="credit",((E545*(F545))*G545*-1),IF(F545="Buy",(E545*G545),((E545*(1-F545))*G545))))</f>
        <v>0</v>
      </c>
      <c r="J545" s="244">
        <f>IF(H545="warranty",0,(I545*(_xlfn.SINGLE(SalesTaxPercentage))))</f>
        <v>0</v>
      </c>
      <c r="K545" s="696">
        <f t="shared" ref="K545" si="386">I545+J545</f>
        <v>0</v>
      </c>
      <c r="L545" s="696"/>
      <c r="M545" s="659" t="str">
        <f>IF(AND(G545&gt;0,E545=0),"WARNING - no PRICE inserted",IF(H545="free"," FREE ~ no charge this plant",IF(H545="credit",CONCATENATE(" -$",ROUND(K545*(1-T2GDiscount)*-1,2)," CREDIT after discount"),IF(T2GDiscount=0,"",IF(G545=0,"",IF(F545="Buy",CONCATENATE(" $",ROUND(K545*(1-T2GDiscount),2)," with ",(T2GDiscount*100),"% discount"),CONCATENATE(" $",ROUND(K545*(1-T2GDiscount),2)," with ",((T2GDiscount*100+F545*100)-(T2GDiscount*100*F545)),IF(F545&gt;0,"% discounts",IF(NoWarrantyDiscount&gt;0,"% discounts","% discount")))))))))</f>
        <v/>
      </c>
      <c r="N545" s="660"/>
      <c r="O545" s="233"/>
      <c r="P545" s="233"/>
      <c r="Q545" s="233"/>
      <c r="R545" s="233"/>
      <c r="S545" s="233"/>
      <c r="T545" s="508">
        <f t="shared" si="365"/>
        <v>0</v>
      </c>
      <c r="U545" s="225">
        <f>IF(NOT(ISNUMBER(G545)), "", VLOOKUP(A545,'Discount Lookup'!D:E,2,FALSE)*G545)</f>
        <v>0</v>
      </c>
      <c r="V545" s="225">
        <f>IF(NOT(ISNUMBER(G545)), "", VLOOKUP(A545,'Discount Lookup'!G:H,2,FALSE)*G545)</f>
        <v>0</v>
      </c>
      <c r="W545" s="508">
        <f t="shared" si="366"/>
        <v>0</v>
      </c>
      <c r="X545" s="508">
        <f t="shared" si="367"/>
        <v>0</v>
      </c>
      <c r="Y545" s="509" t="b">
        <f t="shared" si="368"/>
        <v>0</v>
      </c>
      <c r="Z545" s="510">
        <f t="shared" si="369"/>
        <v>0</v>
      </c>
      <c r="AA545" s="511"/>
      <c r="AB545" s="511" t="str">
        <f t="shared" si="370"/>
        <v/>
      </c>
      <c r="AC545" s="698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698"/>
      <c r="AE545" s="631" t="str">
        <f t="shared" si="371"/>
        <v/>
      </c>
      <c r="AF545" s="699" t="str">
        <f t="shared" si="372"/>
        <v/>
      </c>
      <c r="AG545" s="699"/>
      <c r="AH545" s="699"/>
      <c r="AI545" s="512">
        <f>IF(H545="credit",0,IF(AE545="free",0,IF(AE545="me",0,IF(G545&gt;0,(VLOOKUP(A545,'Discount Lookup'!J:K,2)*G545),0))))</f>
        <v>0</v>
      </c>
      <c r="AJ545" s="513" t="str">
        <f t="shared" ca="1" si="373"/>
        <v/>
      </c>
      <c r="AK545" s="700" t="str">
        <f t="shared" si="374"/>
        <v/>
      </c>
      <c r="AL545" s="700"/>
      <c r="AM545" s="505" t="str">
        <f t="shared" si="375"/>
        <v/>
      </c>
      <c r="AN545" s="506"/>
      <c r="AO545" s="507"/>
      <c r="AP545" s="507"/>
      <c r="AQ545" s="507"/>
      <c r="AR545" s="507"/>
      <c r="AS545" s="507"/>
      <c r="AT545" s="507"/>
      <c r="AU545" s="507"/>
      <c r="AV545" s="225"/>
      <c r="AW545" s="508"/>
      <c r="AX545" s="225"/>
      <c r="AY545" s="225"/>
      <c r="AZ545" s="225"/>
      <c r="BA545" s="225"/>
      <c r="BB545" s="225"/>
      <c r="BC545" s="56"/>
      <c r="BD545" s="56"/>
      <c r="BE545" s="56"/>
      <c r="BF545" s="107" t="str">
        <f t="shared" si="376"/>
        <v>https://www.google.com/search?tbm=isch&amp;q=3%20G3</v>
      </c>
      <c r="BG545" s="107" t="str">
        <f t="shared" si="377"/>
        <v>B</v>
      </c>
      <c r="BH545" s="254"/>
      <c r="BI545" s="254"/>
    </row>
    <row r="546" spans="1:61" customFormat="1" ht="15.75" x14ac:dyDescent="0.25">
      <c r="A546" s="276">
        <v>7</v>
      </c>
      <c r="B546" s="240" t="s">
        <v>291</v>
      </c>
      <c r="C546" s="241"/>
      <c r="D546" s="242" t="s">
        <v>298</v>
      </c>
      <c r="E546" s="243">
        <v>63.95</v>
      </c>
      <c r="F546" s="517" t="s">
        <v>293</v>
      </c>
      <c r="G546" s="232">
        <v>0</v>
      </c>
      <c r="H546" s="661" t="str">
        <f>IF(G546=0,"",IF(F546="Buy",IF(G546=1,"plant","plants"),IF(F546&gt;0.01,"warranty","Error")))</f>
        <v/>
      </c>
      <c r="I546" s="244">
        <f>IF(H546="free",0,IF(H546="credit",((E546*(F546))*G546*-1),IF(F546="Buy",(E546*G546),((E546*(1-F546))*G546))))</f>
        <v>0</v>
      </c>
      <c r="J546" s="244">
        <f>IF(H546="warranty",0,(I546*(_xlfn.SINGLE(SalesTaxPercentage))))</f>
        <v>0</v>
      </c>
      <c r="K546" s="696">
        <f t="shared" ref="K546" si="387">I546+J546</f>
        <v>0</v>
      </c>
      <c r="L546" s="696"/>
      <c r="M546" s="659" t="str">
        <f>IF(AND(G546&gt;0,E546=0),"WARNING - no PRICE inserted",IF(H546="free"," FREE ~ no charge this plant",IF(H546="credit",CONCATENATE(" -$",ROUND(K546*(1-T2GDiscount)*-1,2)," CREDIT after discount"),IF(T2GDiscount=0,"",IF(G546=0,"",IF(F546="Buy",CONCATENATE(" $",ROUND(K546*(1-T2GDiscount),2)," with ",(T2GDiscount*100),"% discount"),CONCATENATE(" $",ROUND(K546*(1-T2GDiscount),2)," with ",((T2GDiscount*100+F546*100)-(T2GDiscount*100*F546)),IF(F546&gt;0,"% discounts",IF(NoWarrantyDiscount&gt;0,"% discounts","% discount")))))))))</f>
        <v/>
      </c>
      <c r="N546" s="660"/>
      <c r="O546" s="233"/>
      <c r="P546" s="233"/>
      <c r="Q546" s="233"/>
      <c r="R546" s="233"/>
      <c r="S546" s="233"/>
      <c r="T546" s="508">
        <f t="shared" si="365"/>
        <v>0</v>
      </c>
      <c r="U546" s="225">
        <f>IF(NOT(ISNUMBER(G546)), "", VLOOKUP(A546,'Discount Lookup'!D:E,2,FALSE)*G546)</f>
        <v>0</v>
      </c>
      <c r="V546" s="225">
        <f>IF(NOT(ISNUMBER(G546)), "", VLOOKUP(A546,'Discount Lookup'!G:H,2,FALSE)*G546)</f>
        <v>0</v>
      </c>
      <c r="W546" s="508">
        <f t="shared" si="366"/>
        <v>0</v>
      </c>
      <c r="X546" s="508">
        <f t="shared" si="367"/>
        <v>0</v>
      </c>
      <c r="Y546" s="509" t="b">
        <f t="shared" si="368"/>
        <v>0</v>
      </c>
      <c r="Z546" s="510">
        <f t="shared" si="369"/>
        <v>0</v>
      </c>
      <c r="AA546" s="511"/>
      <c r="AB546" s="511" t="str">
        <f t="shared" si="370"/>
        <v/>
      </c>
      <c r="AC546" s="698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698"/>
      <c r="AE546" s="631" t="str">
        <f t="shared" si="371"/>
        <v/>
      </c>
      <c r="AF546" s="699" t="str">
        <f t="shared" si="372"/>
        <v/>
      </c>
      <c r="AG546" s="699"/>
      <c r="AH546" s="699"/>
      <c r="AI546" s="512">
        <f>IF(H546="credit",0,IF(AE546="free",0,IF(AE546="me",0,IF(G546&gt;0,(VLOOKUP(A546,'Discount Lookup'!J:K,2)*G546),0))))</f>
        <v>0</v>
      </c>
      <c r="AJ546" s="513" t="str">
        <f t="shared" ca="1" si="373"/>
        <v/>
      </c>
      <c r="AK546" s="700" t="str">
        <f t="shared" si="374"/>
        <v/>
      </c>
      <c r="AL546" s="700"/>
      <c r="AM546" s="505" t="str">
        <f t="shared" si="375"/>
        <v/>
      </c>
      <c r="AN546" s="506"/>
      <c r="AO546" s="507"/>
      <c r="AP546" s="507"/>
      <c r="AQ546" s="507"/>
      <c r="AR546" s="507"/>
      <c r="AS546" s="507"/>
      <c r="AT546" s="507"/>
      <c r="AU546" s="507"/>
      <c r="AV546" s="225"/>
      <c r="AW546" s="508"/>
      <c r="AX546" s="225"/>
      <c r="AY546" s="225"/>
      <c r="AZ546" s="225"/>
      <c r="BA546" s="225"/>
      <c r="BB546" s="225"/>
      <c r="BC546" s="56"/>
      <c r="BD546" s="56"/>
      <c r="BE546" s="56"/>
      <c r="BF546" s="107" t="str">
        <f t="shared" si="376"/>
        <v>https://www.google.com/search?tbm=isch&amp;q=7%20G1</v>
      </c>
      <c r="BG546" s="107" t="str">
        <f t="shared" si="377"/>
        <v>B</v>
      </c>
      <c r="BH546" s="254"/>
      <c r="BI546" s="254"/>
    </row>
    <row r="547" spans="1:61" customFormat="1" ht="17.25" thickBot="1" x14ac:dyDescent="0.3">
      <c r="A547" s="524" t="s">
        <v>2347</v>
      </c>
      <c r="B547" s="245"/>
      <c r="C547" s="677"/>
      <c r="D547" s="499"/>
      <c r="E547" s="499"/>
      <c r="F547" s="500"/>
      <c r="G547" s="501"/>
      <c r="H547" s="502"/>
      <c r="I547" s="246"/>
      <c r="J547" s="247"/>
      <c r="K547" s="503"/>
      <c r="L547" s="544"/>
      <c r="M547" s="544"/>
      <c r="N547" s="500"/>
      <c r="O547" s="500"/>
      <c r="P547" s="500"/>
      <c r="Q547" s="500"/>
      <c r="R547" s="500"/>
      <c r="S547" s="669" t="s">
        <v>4996</v>
      </c>
      <c r="T547" s="508">
        <f t="shared" si="365"/>
        <v>0</v>
      </c>
      <c r="U547" s="225" t="str">
        <f>IF(NOT(ISNUMBER(G547)), "", VLOOKUP(A547,'Discount Lookup'!D:E,2,FALSE)*G547)</f>
        <v/>
      </c>
      <c r="V547" s="225" t="str">
        <f>IF(NOT(ISNUMBER(G547)), "", VLOOKUP(A547,'Discount Lookup'!G:H,2,FALSE)*G547)</f>
        <v/>
      </c>
      <c r="W547" s="508">
        <f t="shared" si="366"/>
        <v>0</v>
      </c>
      <c r="X547" s="508">
        <f t="shared" si="367"/>
        <v>0</v>
      </c>
      <c r="Y547" s="509" t="b">
        <f t="shared" si="368"/>
        <v>0</v>
      </c>
      <c r="Z547" s="510">
        <f t="shared" si="369"/>
        <v>0</v>
      </c>
      <c r="AA547" s="511"/>
      <c r="AB547" s="511" t="str">
        <f t="shared" si="370"/>
        <v/>
      </c>
      <c r="AC547" s="698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698"/>
      <c r="AE547" s="631" t="str">
        <f t="shared" si="371"/>
        <v/>
      </c>
      <c r="AF547" s="699" t="str">
        <f t="shared" si="372"/>
        <v/>
      </c>
      <c r="AG547" s="699"/>
      <c r="AH547" s="699"/>
      <c r="AI547" s="512">
        <f>IF(H547="credit",0,IF(AE547="free",0,IF(AE547="me",0,IF(G547&gt;0,(VLOOKUP(A547,'Discount Lookup'!J:K,2)*G547),0))))</f>
        <v>0</v>
      </c>
      <c r="AJ547" s="513" t="str">
        <f t="shared" ca="1" si="373"/>
        <v/>
      </c>
      <c r="AK547" s="700" t="str">
        <f t="shared" si="374"/>
        <v/>
      </c>
      <c r="AL547" s="700"/>
      <c r="AM547" s="505" t="str">
        <f t="shared" si="375"/>
        <v/>
      </c>
      <c r="AN547" s="506"/>
      <c r="AO547" s="507"/>
      <c r="AP547" s="507"/>
      <c r="AQ547" s="507"/>
      <c r="AR547" s="507"/>
      <c r="AS547" s="507"/>
      <c r="AT547" s="507"/>
      <c r="AU547" s="507"/>
      <c r="AV547" s="225"/>
      <c r="AW547" s="508"/>
      <c r="AX547" s="225"/>
      <c r="AY547" s="225"/>
      <c r="AZ547" s="225"/>
      <c r="BA547" s="225"/>
      <c r="BB547" s="225"/>
      <c r="BC547" s="56"/>
      <c r="BD547" s="56"/>
      <c r="BE547" s="56"/>
      <c r="BF547" s="107" t="str">
        <f t="shared" si="376"/>
        <v>https://www.google.com/search?tbm=isch&amp;q=Brown%20Turkey%20fruit%20is%20Purple-Brown%20with%20Pink-Amber%20flesh.Very%20tasty.%20Self-pollinating%2C%20it%20will%20double-crop%20in%20good%20conditions%20</v>
      </c>
      <c r="BG547" s="107" t="str">
        <f t="shared" si="377"/>
        <v>B</v>
      </c>
      <c r="BH547" s="254"/>
      <c r="BI547" s="254"/>
    </row>
    <row r="548" spans="1:61" customFormat="1" ht="18" x14ac:dyDescent="0.25">
      <c r="A548" s="521" t="s">
        <v>479</v>
      </c>
      <c r="B548" s="477"/>
      <c r="C548" s="674"/>
      <c r="D548" s="478" t="s">
        <v>478</v>
      </c>
      <c r="E548" s="479"/>
      <c r="F548" s="479"/>
      <c r="G548" s="479"/>
      <c r="H548" s="582" t="s">
        <v>1045</v>
      </c>
      <c r="I548" s="480" t="s">
        <v>2093</v>
      </c>
      <c r="J548" s="479"/>
      <c r="K548" s="479"/>
      <c r="L548" s="560"/>
      <c r="M548" s="666" t="s">
        <v>4966</v>
      </c>
      <c r="N548" s="680" t="str">
        <f>IF(AND(ISTEXT($A548), ISERROR($A548+0)), HYPERLINK($BF548, "Images"), "")</f>
        <v>Images</v>
      </c>
      <c r="O548" s="662" t="s">
        <v>4969</v>
      </c>
      <c r="P548" s="482"/>
      <c r="Q548" s="483"/>
      <c r="R548" s="483"/>
      <c r="S548" s="484"/>
      <c r="T548" s="508">
        <f t="shared" si="365"/>
        <v>0</v>
      </c>
      <c r="U548" s="225" t="str">
        <f>IF(NOT(ISNUMBER(G548)), "", VLOOKUP(A548,'Discount Lookup'!D:E,2,FALSE)*G548)</f>
        <v/>
      </c>
      <c r="V548" s="225" t="str">
        <f>IF(NOT(ISNUMBER(G548)), "", VLOOKUP(A548,'Discount Lookup'!G:H,2,FALSE)*G548)</f>
        <v/>
      </c>
      <c r="W548" s="508">
        <f t="shared" si="366"/>
        <v>0</v>
      </c>
      <c r="X548" s="508" t="str">
        <f t="shared" si="367"/>
        <v>Dark Green foliage</v>
      </c>
      <c r="Y548" s="509" t="b">
        <f t="shared" si="368"/>
        <v>0</v>
      </c>
      <c r="Z548" s="510">
        <f t="shared" si="369"/>
        <v>0</v>
      </c>
      <c r="AA548" s="511"/>
      <c r="AB548" s="511" t="str">
        <f t="shared" si="370"/>
        <v/>
      </c>
      <c r="AC548" s="698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698"/>
      <c r="AE548" s="631" t="str">
        <f t="shared" si="371"/>
        <v/>
      </c>
      <c r="AF548" s="699" t="str">
        <f t="shared" si="372"/>
        <v/>
      </c>
      <c r="AG548" s="699"/>
      <c r="AH548" s="699"/>
      <c r="AI548" s="512">
        <f>IF(H548="credit",0,IF(AE548="free",0,IF(AE548="me",0,IF(G548&gt;0,(VLOOKUP(A548,'Discount Lookup'!J:K,2)*G548),0))))</f>
        <v>0</v>
      </c>
      <c r="AJ548" s="513" t="str">
        <f t="shared" ca="1" si="373"/>
        <v/>
      </c>
      <c r="AK548" s="700" t="str">
        <f t="shared" si="374"/>
        <v/>
      </c>
      <c r="AL548" s="700"/>
      <c r="AM548" s="505" t="str">
        <f t="shared" si="375"/>
        <v/>
      </c>
      <c r="AN548" s="506"/>
      <c r="AO548" s="507"/>
      <c r="AP548" s="507"/>
      <c r="AQ548" s="507"/>
      <c r="AR548" s="507"/>
      <c r="AS548" s="507"/>
      <c r="AT548" s="507"/>
      <c r="AU548" s="507"/>
      <c r="AV548" s="225"/>
      <c r="AW548" s="508"/>
      <c r="AX548" s="225"/>
      <c r="AY548" s="225"/>
      <c r="AZ548" s="225"/>
      <c r="BA548" s="225"/>
      <c r="BB548" s="225"/>
      <c r="BC548" s="56"/>
      <c r="BD548" s="56"/>
      <c r="BE548" s="56"/>
      <c r="BF548" s="107" t="str">
        <f t="shared" si="376"/>
        <v>https://www.google.com/search?tbm=isch&amp;q=Burford%20Holly%20Ilex%20cornuta%20%27Burfordii%27</v>
      </c>
      <c r="BG548" s="107" t="str">
        <f t="shared" si="377"/>
        <v>B</v>
      </c>
      <c r="BH548" s="254"/>
      <c r="BI548" s="254"/>
    </row>
    <row r="549" spans="1:61" customFormat="1" ht="15.75" x14ac:dyDescent="0.25">
      <c r="A549" s="485">
        <v>10</v>
      </c>
      <c r="B549" s="486" t="s">
        <v>291</v>
      </c>
      <c r="C549" s="487" t="s">
        <v>480</v>
      </c>
      <c r="D549" s="488" t="s">
        <v>297</v>
      </c>
      <c r="E549" s="489">
        <v>83.95</v>
      </c>
      <c r="F549" s="516" t="s">
        <v>293</v>
      </c>
      <c r="G549" s="232">
        <v>0</v>
      </c>
      <c r="H549" s="658" t="str">
        <f>IF(G549=0,"",IF(F549="Buy",IF(G549=1,"plant","plants"),IF(F549&gt;0.01,"warranty","Error")))</f>
        <v/>
      </c>
      <c r="I549" s="490">
        <f>IF(H549="free",0,IF(H549="credit",((E549*(F549))*G549*-1),IF(F549="Buy",(E549*G549),((E549*(1-F549))*G549))))</f>
        <v>0</v>
      </c>
      <c r="J549" s="490">
        <f>IF(H549="warranty",0,(I549*(_xlfn.SINGLE(SalesTaxPercentage))))</f>
        <v>0</v>
      </c>
      <c r="K549" s="695">
        <f t="shared" ref="K549" si="388">I549+J549</f>
        <v>0</v>
      </c>
      <c r="L549" s="695"/>
      <c r="M549" s="659" t="str">
        <f>IF(AND(G549&gt;0,E549=0),"WARNING - no PRICE inserted",IF(H549="free"," FREE ~ no charge this plant",IF(H549="credit",CONCATENATE(" -$",ROUND(K549*(1-T2GDiscount)*-1,2)," CREDIT after discount"),IF(T2GDiscount=0,"",IF(G549=0,"",IF(F549="Buy",CONCATENATE(" $",ROUND(K549*(1-T2GDiscount),2)," with ",(T2GDiscount*100),"% discount"),CONCATENATE(" $",ROUND(K549*(1-T2GDiscount),2)," with ",((T2GDiscount*100+F549*100)-(T2GDiscount*100*F549)),IF(F549&gt;0,"% discounts",IF(NoWarrantyDiscount&gt;0,"% discounts","% discount")))))))))</f>
        <v/>
      </c>
      <c r="N549" s="660"/>
      <c r="O549" s="233"/>
      <c r="P549" s="233"/>
      <c r="Q549" s="233"/>
      <c r="R549" s="233"/>
      <c r="S549" s="233"/>
      <c r="T549" s="508">
        <f t="shared" si="365"/>
        <v>0</v>
      </c>
      <c r="U549" s="225">
        <f>IF(NOT(ISNUMBER(G549)), "", VLOOKUP(A549,'Discount Lookup'!D:E,2,FALSE)*G549)</f>
        <v>0</v>
      </c>
      <c r="V549" s="225">
        <f>IF(NOT(ISNUMBER(G549)), "", VLOOKUP(A549,'Discount Lookup'!G:H,2,FALSE)*G549)</f>
        <v>0</v>
      </c>
      <c r="W549" s="508">
        <f t="shared" si="366"/>
        <v>0</v>
      </c>
      <c r="X549" s="508">
        <f t="shared" si="367"/>
        <v>0</v>
      </c>
      <c r="Y549" s="509" t="b">
        <f t="shared" si="368"/>
        <v>0</v>
      </c>
      <c r="Z549" s="510">
        <f t="shared" si="369"/>
        <v>0</v>
      </c>
      <c r="AA549" s="511"/>
      <c r="AB549" s="511" t="str">
        <f t="shared" si="370"/>
        <v/>
      </c>
      <c r="AC549" s="698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698"/>
      <c r="AE549" s="631" t="str">
        <f t="shared" si="371"/>
        <v/>
      </c>
      <c r="AF549" s="699" t="str">
        <f t="shared" si="372"/>
        <v/>
      </c>
      <c r="AG549" s="699"/>
      <c r="AH549" s="699"/>
      <c r="AI549" s="512">
        <f>IF(H549="credit",0,IF(AE549="free",0,IF(AE549="me",0,IF(G549&gt;0,(VLOOKUP(A549,'Discount Lookup'!J:K,2)*G549),0))))</f>
        <v>0</v>
      </c>
      <c r="AJ549" s="513" t="str">
        <f t="shared" ca="1" si="373"/>
        <v/>
      </c>
      <c r="AK549" s="700" t="str">
        <f t="shared" si="374"/>
        <v/>
      </c>
      <c r="AL549" s="700"/>
      <c r="AM549" s="505" t="str">
        <f t="shared" si="375"/>
        <v/>
      </c>
      <c r="AN549" s="506"/>
      <c r="AO549" s="507"/>
      <c r="AP549" s="507"/>
      <c r="AQ549" s="507"/>
      <c r="AR549" s="507"/>
      <c r="AS549" s="507"/>
      <c r="AT549" s="507"/>
      <c r="AU549" s="507"/>
      <c r="AV549" s="225"/>
      <c r="AW549" s="508"/>
      <c r="AX549" s="225"/>
      <c r="AY549" s="225"/>
      <c r="AZ549" s="225"/>
      <c r="BA549" s="225"/>
      <c r="BB549" s="225"/>
      <c r="BC549" s="56"/>
      <c r="BD549" s="56"/>
      <c r="BE549" s="56"/>
      <c r="BF549" s="107" t="str">
        <f t="shared" si="376"/>
        <v>https://www.google.com/search?tbm=isch&amp;q=10%20G3</v>
      </c>
      <c r="BG549" s="107" t="str">
        <f t="shared" si="377"/>
        <v>B</v>
      </c>
      <c r="BH549" s="254"/>
      <c r="BI549" s="254"/>
    </row>
    <row r="550" spans="1:61" customFormat="1" ht="27" x14ac:dyDescent="0.25">
      <c r="A550" s="485">
        <v>25</v>
      </c>
      <c r="B550" s="486" t="s">
        <v>291</v>
      </c>
      <c r="C550" s="487" t="s">
        <v>4866</v>
      </c>
      <c r="D550" s="488" t="s">
        <v>292</v>
      </c>
      <c r="E550" s="489">
        <v>367.95</v>
      </c>
      <c r="F550" s="516" t="s">
        <v>293</v>
      </c>
      <c r="G550" s="232">
        <v>0</v>
      </c>
      <c r="H550" s="658" t="str">
        <f>IF(G550=0,"",IF(F550="Buy",IF(G550=1,"plant","plants"),IF(F550&gt;0.01,"warranty","Error")))</f>
        <v/>
      </c>
      <c r="I550" s="490">
        <f>IF(H550="free",0,IF(H550="credit",((E550*(F550))*G550*-1),IF(F550="Buy",(E550*G550),((E550*(1-F550))*G550))))</f>
        <v>0</v>
      </c>
      <c r="J550" s="490">
        <f>IF(H550="warranty",0,(I550*(_xlfn.SINGLE(SalesTaxPercentage))))</f>
        <v>0</v>
      </c>
      <c r="K550" s="695">
        <f t="shared" ref="K550" si="389">I550+J550</f>
        <v>0</v>
      </c>
      <c r="L550" s="695"/>
      <c r="M550" s="659" t="str">
        <f>IF(AND(G550&gt;0,E550=0),"WARNING - no PRICE inserted",IF(H550="free"," FREE ~ no charge this plant",IF(H550="credit",CONCATENATE(" -$",ROUND(K550*(1-T2GDiscount)*-1,2)," CREDIT after discount"),IF(T2GDiscount=0,"",IF(G550=0,"",IF(F550="Buy",CONCATENATE(" $",ROUND(K550*(1-T2GDiscount),2)," with ",(T2GDiscount*100),"% discount"),CONCATENATE(" $",ROUND(K550*(1-T2GDiscount),2)," with ",((T2GDiscount*100+F550*100)-(T2GDiscount*100*F550)),IF(F550&gt;0,"% discounts",IF(NoWarrantyDiscount&gt;0,"% discounts","% discount")))))))))</f>
        <v/>
      </c>
      <c r="N550" s="660"/>
      <c r="O550" s="233"/>
      <c r="P550" s="233"/>
      <c r="Q550" s="233"/>
      <c r="R550" s="233"/>
      <c r="S550" s="233"/>
      <c r="T550" s="508">
        <f t="shared" si="365"/>
        <v>0</v>
      </c>
      <c r="U550" s="225">
        <f>IF(NOT(ISNUMBER(G550)), "", VLOOKUP(A550,'Discount Lookup'!D:E,2,FALSE)*G550)</f>
        <v>0</v>
      </c>
      <c r="V550" s="225">
        <f>IF(NOT(ISNUMBER(G550)), "", VLOOKUP(A550,'Discount Lookup'!G:H,2,FALSE)*G550)</f>
        <v>0</v>
      </c>
      <c r="W550" s="508">
        <f t="shared" si="366"/>
        <v>0</v>
      </c>
      <c r="X550" s="508">
        <f t="shared" si="367"/>
        <v>0</v>
      </c>
      <c r="Y550" s="509" t="b">
        <f t="shared" si="368"/>
        <v>0</v>
      </c>
      <c r="Z550" s="510">
        <f t="shared" si="369"/>
        <v>0</v>
      </c>
      <c r="AA550" s="511"/>
      <c r="AB550" s="511" t="str">
        <f t="shared" si="370"/>
        <v/>
      </c>
      <c r="AC550" s="698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698"/>
      <c r="AE550" s="631" t="str">
        <f t="shared" si="371"/>
        <v/>
      </c>
      <c r="AF550" s="699" t="str">
        <f t="shared" si="372"/>
        <v/>
      </c>
      <c r="AG550" s="699"/>
      <c r="AH550" s="699"/>
      <c r="AI550" s="512">
        <f>IF(H550="credit",0,IF(AE550="free",0,IF(AE550="me",0,IF(G550&gt;0,(VLOOKUP(A550,'Discount Lookup'!J:K,2)*G550),0))))</f>
        <v>0</v>
      </c>
      <c r="AJ550" s="513" t="str">
        <f t="shared" ca="1" si="373"/>
        <v/>
      </c>
      <c r="AK550" s="700" t="str">
        <f t="shared" si="374"/>
        <v/>
      </c>
      <c r="AL550" s="700"/>
      <c r="AM550" s="505" t="str">
        <f t="shared" si="375"/>
        <v/>
      </c>
      <c r="AN550" s="506"/>
      <c r="AO550" s="507"/>
      <c r="AP550" s="507"/>
      <c r="AQ550" s="507"/>
      <c r="AR550" s="507"/>
      <c r="AS550" s="507"/>
      <c r="AT550" s="507"/>
      <c r="AU550" s="507"/>
      <c r="AV550" s="225"/>
      <c r="AW550" s="508"/>
      <c r="AX550" s="225"/>
      <c r="AY550" s="225"/>
      <c r="AZ550" s="225"/>
      <c r="BA550" s="225"/>
      <c r="BB550" s="225"/>
      <c r="BC550" s="56"/>
      <c r="BD550" s="56"/>
      <c r="BE550" s="56"/>
      <c r="BF550" s="107" t="str">
        <f t="shared" si="376"/>
        <v>https://www.google.com/search?tbm=isch&amp;q=25%20G4</v>
      </c>
      <c r="BG550" s="107" t="str">
        <f t="shared" si="377"/>
        <v>B</v>
      </c>
      <c r="BH550" s="254"/>
      <c r="BI550" s="254"/>
    </row>
    <row r="551" spans="1:61" customFormat="1" ht="40.5" x14ac:dyDescent="0.25">
      <c r="A551" s="485">
        <v>65</v>
      </c>
      <c r="B551" s="486" t="s">
        <v>291</v>
      </c>
      <c r="C551" s="487" t="s">
        <v>3353</v>
      </c>
      <c r="D551" s="488" t="s">
        <v>292</v>
      </c>
      <c r="E551" s="489">
        <v>835.95</v>
      </c>
      <c r="F551" s="516" t="s">
        <v>293</v>
      </c>
      <c r="G551" s="232">
        <v>0</v>
      </c>
      <c r="H551" s="658" t="str">
        <f>IF(G551=0,"",IF(F551="Buy",IF(G551=1,"plant","plants"),IF(F551&gt;0.01,"warranty","Error")))</f>
        <v/>
      </c>
      <c r="I551" s="490">
        <f>IF(H551="free",0,IF(H551="credit",((E551*(F551))*G551*-1),IF(F551="Buy",(E551*G551),((E551*(1-F551))*G551))))</f>
        <v>0</v>
      </c>
      <c r="J551" s="490">
        <f>IF(H551="warranty",0,(I551*(_xlfn.SINGLE(SalesTaxPercentage))))</f>
        <v>0</v>
      </c>
      <c r="K551" s="695">
        <f t="shared" ref="K551" si="390">I551+J551</f>
        <v>0</v>
      </c>
      <c r="L551" s="695"/>
      <c r="M551" s="659" t="str">
        <f>IF(AND(G551&gt;0,E551=0),"WARNING - no PRICE inserted",IF(H551="free"," FREE ~ no charge this plant",IF(H551="credit",CONCATENATE(" -$",ROUND(K551*(1-T2GDiscount)*-1,2)," CREDIT after discount"),IF(T2GDiscount=0,"",IF(G551=0,"",IF(F551="Buy",CONCATENATE(" $",ROUND(K551*(1-T2GDiscount),2)," with ",(T2GDiscount*100),"% discount"),CONCATENATE(" $",ROUND(K551*(1-T2GDiscount),2)," with ",((T2GDiscount*100+F551*100)-(T2GDiscount*100*F551)),IF(F551&gt;0,"% discounts",IF(NoWarrantyDiscount&gt;0,"% discounts","% discount")))))))))</f>
        <v/>
      </c>
      <c r="N551" s="660"/>
      <c r="O551" s="233"/>
      <c r="P551" s="233"/>
      <c r="Q551" s="233"/>
      <c r="R551" s="233"/>
      <c r="S551" s="233"/>
      <c r="T551" s="508">
        <f t="shared" si="365"/>
        <v>0</v>
      </c>
      <c r="U551" s="225">
        <f>IF(NOT(ISNUMBER(G551)), "", VLOOKUP(A551,'Discount Lookup'!D:E,2,FALSE)*G551)</f>
        <v>0</v>
      </c>
      <c r="V551" s="225">
        <f>IF(NOT(ISNUMBER(G551)), "", VLOOKUP(A551,'Discount Lookup'!G:H,2,FALSE)*G551)</f>
        <v>0</v>
      </c>
      <c r="W551" s="508">
        <f t="shared" si="366"/>
        <v>0</v>
      </c>
      <c r="X551" s="508">
        <f t="shared" si="367"/>
        <v>0</v>
      </c>
      <c r="Y551" s="509" t="b">
        <f t="shared" si="368"/>
        <v>0</v>
      </c>
      <c r="Z551" s="510">
        <f t="shared" si="369"/>
        <v>0</v>
      </c>
      <c r="AA551" s="511"/>
      <c r="AB551" s="511" t="str">
        <f t="shared" si="370"/>
        <v/>
      </c>
      <c r="AC551" s="698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698"/>
      <c r="AE551" s="631" t="str">
        <f t="shared" si="371"/>
        <v/>
      </c>
      <c r="AF551" s="699" t="str">
        <f t="shared" si="372"/>
        <v/>
      </c>
      <c r="AG551" s="699"/>
      <c r="AH551" s="699"/>
      <c r="AI551" s="512">
        <f>IF(H551="credit",0,IF(AE551="free",0,IF(AE551="me",0,IF(G551&gt;0,(VLOOKUP(A551,'Discount Lookup'!J:K,2)*G551),0))))</f>
        <v>0</v>
      </c>
      <c r="AJ551" s="513" t="str">
        <f t="shared" ca="1" si="373"/>
        <v/>
      </c>
      <c r="AK551" s="700" t="str">
        <f t="shared" si="374"/>
        <v/>
      </c>
      <c r="AL551" s="700"/>
      <c r="AM551" s="505" t="str">
        <f t="shared" si="375"/>
        <v/>
      </c>
      <c r="AN551" s="506"/>
      <c r="AO551" s="507"/>
      <c r="AP551" s="507"/>
      <c r="AQ551" s="507"/>
      <c r="AR551" s="507"/>
      <c r="AS551" s="507"/>
      <c r="AT551" s="507"/>
      <c r="AU551" s="507"/>
      <c r="AV551" s="225"/>
      <c r="AW551" s="508"/>
      <c r="AX551" s="225"/>
      <c r="AY551" s="225"/>
      <c r="AZ551" s="225"/>
      <c r="BA551" s="225"/>
      <c r="BB551" s="225"/>
      <c r="BC551" s="56"/>
      <c r="BD551" s="56"/>
      <c r="BE551" s="56"/>
      <c r="BF551" s="107" t="str">
        <f t="shared" si="376"/>
        <v>https://www.google.com/search?tbm=isch&amp;q=65%20G4</v>
      </c>
      <c r="BG551" s="107" t="str">
        <f t="shared" si="377"/>
        <v>B</v>
      </c>
      <c r="BH551" s="254"/>
      <c r="BI551" s="254"/>
    </row>
    <row r="552" spans="1:61" customFormat="1" ht="17.25" thickBot="1" x14ac:dyDescent="0.3">
      <c r="A552" s="522" t="s">
        <v>2842</v>
      </c>
      <c r="B552" s="491"/>
      <c r="C552" s="675"/>
      <c r="D552" s="491"/>
      <c r="E552" s="491"/>
      <c r="F552" s="492"/>
      <c r="G552" s="493"/>
      <c r="H552" s="491"/>
      <c r="I552" s="234"/>
      <c r="J552" s="234"/>
      <c r="K552" s="494"/>
      <c r="L552" s="543"/>
      <c r="M552" s="561"/>
      <c r="N552" s="495"/>
      <c r="O552" s="496"/>
      <c r="P552" s="497"/>
      <c r="Q552" s="495"/>
      <c r="R552" s="495"/>
      <c r="S552" s="667" t="s">
        <v>5000</v>
      </c>
      <c r="T552" s="508">
        <f t="shared" si="365"/>
        <v>0</v>
      </c>
      <c r="U552" s="225" t="str">
        <f>IF(NOT(ISNUMBER(G552)), "", VLOOKUP(A552,'Discount Lookup'!D:E,2,FALSE)*G552)</f>
        <v/>
      </c>
      <c r="V552" s="225" t="str">
        <f>IF(NOT(ISNUMBER(G552)), "", VLOOKUP(A552,'Discount Lookup'!G:H,2,FALSE)*G552)</f>
        <v/>
      </c>
      <c r="W552" s="508">
        <f t="shared" si="366"/>
        <v>0</v>
      </c>
      <c r="X552" s="508">
        <f t="shared" si="367"/>
        <v>0</v>
      </c>
      <c r="Y552" s="509" t="b">
        <f t="shared" si="368"/>
        <v>0</v>
      </c>
      <c r="Z552" s="510">
        <f t="shared" si="369"/>
        <v>0</v>
      </c>
      <c r="AA552" s="511"/>
      <c r="AB552" s="511" t="str">
        <f t="shared" si="370"/>
        <v/>
      </c>
      <c r="AC552" s="698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698"/>
      <c r="AE552" s="631" t="str">
        <f t="shared" si="371"/>
        <v/>
      </c>
      <c r="AF552" s="699" t="str">
        <f t="shared" si="372"/>
        <v/>
      </c>
      <c r="AG552" s="699"/>
      <c r="AH552" s="699"/>
      <c r="AI552" s="512">
        <f>IF(H552="credit",0,IF(AE552="free",0,IF(AE552="me",0,IF(G552&gt;0,(VLOOKUP(A552,'Discount Lookup'!J:K,2)*G552),0))))</f>
        <v>0</v>
      </c>
      <c r="AJ552" s="513" t="str">
        <f t="shared" ca="1" si="373"/>
        <v/>
      </c>
      <c r="AK552" s="700" t="str">
        <f t="shared" si="374"/>
        <v/>
      </c>
      <c r="AL552" s="700"/>
      <c r="AM552" s="505" t="str">
        <f t="shared" si="375"/>
        <v/>
      </c>
      <c r="AN552" s="506"/>
      <c r="AO552" s="507"/>
      <c r="AP552" s="507"/>
      <c r="AQ552" s="507"/>
      <c r="AR552" s="507"/>
      <c r="AS552" s="507"/>
      <c r="AT552" s="507"/>
      <c r="AU552" s="507"/>
      <c r="AV552" s="225"/>
      <c r="AW552" s="508"/>
      <c r="AX552" s="225"/>
      <c r="AY552" s="225"/>
      <c r="AZ552" s="225"/>
      <c r="BA552" s="225"/>
      <c r="BB552" s="225"/>
      <c r="BC552" s="56"/>
      <c r="BD552" s="56"/>
      <c r="BE552" s="56"/>
      <c r="BF552" s="107" t="str">
        <f t="shared" si="376"/>
        <v>https://www.google.com/search?tbm=isch&amp;q=Burford%20Holly%20has%20a%20heavy%20display%20of%20bright%20Red%20berries%20and%20ability%20to%20be%20shaped%20into%20hedges%20or%20small%20specimen%20trees%20</v>
      </c>
      <c r="BG552" s="107" t="str">
        <f t="shared" si="377"/>
        <v>B</v>
      </c>
      <c r="BH552" s="254"/>
      <c r="BI552" s="254"/>
    </row>
    <row r="553" spans="1:61" customFormat="1" ht="18" x14ac:dyDescent="0.25">
      <c r="A553" s="523" t="s">
        <v>529</v>
      </c>
      <c r="B553" s="235"/>
      <c r="C553" s="676"/>
      <c r="D553" s="255" t="s">
        <v>528</v>
      </c>
      <c r="E553" s="236"/>
      <c r="F553" s="236"/>
      <c r="G553" s="236"/>
      <c r="H553" s="582" t="s">
        <v>441</v>
      </c>
      <c r="I553" s="498" t="s">
        <v>3096</v>
      </c>
      <c r="J553" s="237"/>
      <c r="K553" s="237"/>
      <c r="L553" s="274"/>
      <c r="M553" s="668" t="s">
        <v>4962</v>
      </c>
      <c r="N553" s="681" t="str">
        <f>IF(AND(ISTEXT($A553), ISERROR($A553+0)), HYPERLINK($BF553, "Images"), "")</f>
        <v>Images</v>
      </c>
      <c r="O553" s="663" t="s">
        <v>4969</v>
      </c>
      <c r="P553" s="253"/>
      <c r="Q553" s="238"/>
      <c r="R553" s="239"/>
      <c r="S553" s="275"/>
      <c r="T553" s="508">
        <f t="shared" si="365"/>
        <v>0</v>
      </c>
      <c r="U553" s="225" t="str">
        <f>IF(NOT(ISNUMBER(G553)), "", VLOOKUP(A553,'Discount Lookup'!D:E,2,FALSE)*G553)</f>
        <v/>
      </c>
      <c r="V553" s="225" t="str">
        <f>IF(NOT(ISNUMBER(G553)), "", VLOOKUP(A553,'Discount Lookup'!G:H,2,FALSE)*G553)</f>
        <v/>
      </c>
      <c r="W553" s="508">
        <f t="shared" si="366"/>
        <v>0</v>
      </c>
      <c r="X553" s="508" t="str">
        <f t="shared" si="367"/>
        <v>Wine Purple bloom, Yellow hue</v>
      </c>
      <c r="Y553" s="509" t="b">
        <f t="shared" si="368"/>
        <v>0</v>
      </c>
      <c r="Z553" s="510">
        <f t="shared" si="369"/>
        <v>0</v>
      </c>
      <c r="AA553" s="511"/>
      <c r="AB553" s="511" t="str">
        <f t="shared" si="370"/>
        <v/>
      </c>
      <c r="AC553" s="698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698"/>
      <c r="AE553" s="631" t="str">
        <f t="shared" si="371"/>
        <v/>
      </c>
      <c r="AF553" s="699" t="str">
        <f t="shared" si="372"/>
        <v/>
      </c>
      <c r="AG553" s="699"/>
      <c r="AH553" s="699"/>
      <c r="AI553" s="512">
        <f>IF(H553="credit",0,IF(AE553="free",0,IF(AE553="me",0,IF(G553&gt;0,(VLOOKUP(A553,'Discount Lookup'!J:K,2)*G553),0))))</f>
        <v>0</v>
      </c>
      <c r="AJ553" s="513" t="str">
        <f t="shared" ca="1" si="373"/>
        <v/>
      </c>
      <c r="AK553" s="700" t="str">
        <f t="shared" si="374"/>
        <v/>
      </c>
      <c r="AL553" s="700"/>
      <c r="AM553" s="505" t="str">
        <f t="shared" si="375"/>
        <v/>
      </c>
      <c r="AN553" s="506"/>
      <c r="AO553" s="507"/>
      <c r="AP553" s="507"/>
      <c r="AQ553" s="507"/>
      <c r="AR553" s="507"/>
      <c r="AS553" s="507"/>
      <c r="AT553" s="507"/>
      <c r="AU553" s="507"/>
      <c r="AV553" s="225"/>
      <c r="AW553" s="508"/>
      <c r="AX553" s="225"/>
      <c r="AY553" s="225"/>
      <c r="AZ553" s="225"/>
      <c r="BA553" s="225"/>
      <c r="BB553" s="225"/>
      <c r="BC553" s="56"/>
      <c r="BD553" s="56"/>
      <c r="BE553" s="56"/>
      <c r="BF553" s="107" t="str">
        <f t="shared" si="376"/>
        <v>https://www.google.com/search?tbm=isch&amp;q=Burgundy%20Blast%20False%20Indigo%20Baptisia%20%27Burgundy%20Blast%27%20PP%2334689</v>
      </c>
      <c r="BG553" s="107" t="str">
        <f t="shared" si="377"/>
        <v>B</v>
      </c>
      <c r="BH553" s="254"/>
      <c r="BI553" s="254"/>
    </row>
    <row r="554" spans="1:61" customFormat="1" ht="15.75" x14ac:dyDescent="0.25">
      <c r="A554" s="276">
        <v>4</v>
      </c>
      <c r="B554" s="240" t="s">
        <v>340</v>
      </c>
      <c r="C554" s="241" t="s">
        <v>3246</v>
      </c>
      <c r="D554" s="242" t="s">
        <v>312</v>
      </c>
      <c r="E554" s="243">
        <v>17.95</v>
      </c>
      <c r="F554" s="517" t="s">
        <v>293</v>
      </c>
      <c r="G554" s="232">
        <v>0</v>
      </c>
      <c r="H554" s="661" t="str">
        <f>IF(G554=0,"",IF(F554="Buy",IF(G554=1,"plant","plants"),IF(F554&gt;0.01,"warranty","Error")))</f>
        <v/>
      </c>
      <c r="I554" s="244">
        <f>IF(H554="free",0,IF(H554="credit",((E554*(F554))*G554*-1),IF(F554="Buy",(E554*G554),((E554*(1-F554))*G554))))</f>
        <v>0</v>
      </c>
      <c r="J554" s="244">
        <f>IF(H554="warranty",0,(I554*(_xlfn.SINGLE(SalesTaxPercentage))))</f>
        <v>0</v>
      </c>
      <c r="K554" s="696">
        <f t="shared" ref="K554" si="391">I554+J554</f>
        <v>0</v>
      </c>
      <c r="L554" s="696"/>
      <c r="M554" s="659" t="str">
        <f>IF(AND(G554&gt;0,E554=0),"WARNING - no PRICE inserted",IF(H554="free"," FREE ~ no charge this plant",IF(H554="credit",CONCATENATE(" -$",ROUND(K554*(1-T2GDiscount)*-1,2)," CREDIT after discount"),IF(T2GDiscount=0,"",IF(G554=0,"",IF(F554="Buy",CONCATENATE(" $",ROUND(K554*(1-T2GDiscount),2)," with ",(T2GDiscount*100),"% discount"),CONCATENATE(" $",ROUND(K554*(1-T2GDiscount),2)," with ",((T2GDiscount*100+F554*100)-(T2GDiscount*100*F554)),IF(F554&gt;0,"% discounts",IF(NoWarrantyDiscount&gt;0,"% discounts","% discount")))))))))</f>
        <v/>
      </c>
      <c r="N554" s="660"/>
      <c r="O554" s="233"/>
      <c r="P554" s="233"/>
      <c r="Q554" s="233"/>
      <c r="R554" s="233"/>
      <c r="S554" s="233"/>
      <c r="T554" s="508">
        <f t="shared" si="365"/>
        <v>0</v>
      </c>
      <c r="U554" s="225">
        <f>IF(NOT(ISNUMBER(G554)), "", VLOOKUP(A554,'Discount Lookup'!D:E,2,FALSE)*G554)</f>
        <v>0</v>
      </c>
      <c r="V554" s="225">
        <f>IF(NOT(ISNUMBER(G554)), "", VLOOKUP(A554,'Discount Lookup'!G:H,2,FALSE)*G554)</f>
        <v>0</v>
      </c>
      <c r="W554" s="508">
        <f t="shared" si="366"/>
        <v>0</v>
      </c>
      <c r="X554" s="508">
        <f t="shared" si="367"/>
        <v>0</v>
      </c>
      <c r="Y554" s="509" t="b">
        <f t="shared" si="368"/>
        <v>0</v>
      </c>
      <c r="Z554" s="510">
        <f t="shared" si="369"/>
        <v>0</v>
      </c>
      <c r="AA554" s="511"/>
      <c r="AB554" s="511" t="str">
        <f t="shared" si="370"/>
        <v/>
      </c>
      <c r="AC554" s="698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698"/>
      <c r="AE554" s="631" t="str">
        <f t="shared" si="371"/>
        <v/>
      </c>
      <c r="AF554" s="699" t="str">
        <f t="shared" si="372"/>
        <v/>
      </c>
      <c r="AG554" s="699"/>
      <c r="AH554" s="699"/>
      <c r="AI554" s="512">
        <f>IF(H554="credit",0,IF(AE554="free",0,IF(AE554="me",0,IF(G554&gt;0,(VLOOKUP(A554,'Discount Lookup'!J:K,2)*G554),0))))</f>
        <v>0</v>
      </c>
      <c r="AJ554" s="513" t="str">
        <f t="shared" ca="1" si="373"/>
        <v/>
      </c>
      <c r="AK554" s="700" t="str">
        <f t="shared" si="374"/>
        <v/>
      </c>
      <c r="AL554" s="700"/>
      <c r="AM554" s="505" t="str">
        <f t="shared" si="375"/>
        <v/>
      </c>
      <c r="AN554" s="506"/>
      <c r="AO554" s="507"/>
      <c r="AP554" s="507"/>
      <c r="AQ554" s="507"/>
      <c r="AR554" s="507"/>
      <c r="AS554" s="507"/>
      <c r="AT554" s="507"/>
      <c r="AU554" s="507"/>
      <c r="AV554" s="225"/>
      <c r="AW554" s="508"/>
      <c r="AX554" s="225"/>
      <c r="AY554" s="225"/>
      <c r="AZ554" s="225"/>
      <c r="BA554" s="225"/>
      <c r="BB554" s="225"/>
      <c r="BC554" s="56"/>
      <c r="BD554" s="56"/>
      <c r="BE554" s="56"/>
      <c r="BF554" s="107" t="str">
        <f t="shared" si="376"/>
        <v>https://www.google.com/search?tbm=isch&amp;q=4%20G2</v>
      </c>
      <c r="BG554" s="107" t="str">
        <f t="shared" si="377"/>
        <v>B</v>
      </c>
      <c r="BH554" s="254"/>
      <c r="BI554" s="254"/>
    </row>
    <row r="555" spans="1:61" customFormat="1" ht="17.25" thickBot="1" x14ac:dyDescent="0.3">
      <c r="A555" s="524" t="s">
        <v>3097</v>
      </c>
      <c r="B555" s="245"/>
      <c r="C555" s="677"/>
      <c r="D555" s="499"/>
      <c r="E555" s="499"/>
      <c r="F555" s="500"/>
      <c r="G555" s="501"/>
      <c r="H555" s="502"/>
      <c r="I555" s="246"/>
      <c r="J555" s="247"/>
      <c r="K555" s="503"/>
      <c r="L555" s="544"/>
      <c r="M555" s="544"/>
      <c r="N555" s="500"/>
      <c r="O555" s="500"/>
      <c r="P555" s="500"/>
      <c r="Q555" s="500"/>
      <c r="R555" s="500"/>
      <c r="S555" s="669" t="s">
        <v>4980</v>
      </c>
      <c r="T555" s="508">
        <f t="shared" si="365"/>
        <v>0</v>
      </c>
      <c r="U555" s="225" t="str">
        <f>IF(NOT(ISNUMBER(G555)), "", VLOOKUP(A555,'Discount Lookup'!D:E,2,FALSE)*G555)</f>
        <v/>
      </c>
      <c r="V555" s="225" t="str">
        <f>IF(NOT(ISNUMBER(G555)), "", VLOOKUP(A555,'Discount Lookup'!G:H,2,FALSE)*G555)</f>
        <v/>
      </c>
      <c r="W555" s="508">
        <f t="shared" si="366"/>
        <v>0</v>
      </c>
      <c r="X555" s="508">
        <f t="shared" si="367"/>
        <v>0</v>
      </c>
      <c r="Y555" s="509" t="b">
        <f t="shared" si="368"/>
        <v>0</v>
      </c>
      <c r="Z555" s="510">
        <f t="shared" si="369"/>
        <v>0</v>
      </c>
      <c r="AA555" s="511"/>
      <c r="AB555" s="511" t="str">
        <f t="shared" si="370"/>
        <v/>
      </c>
      <c r="AC555" s="698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698"/>
      <c r="AE555" s="631" t="str">
        <f t="shared" si="371"/>
        <v/>
      </c>
      <c r="AF555" s="699" t="str">
        <f t="shared" si="372"/>
        <v/>
      </c>
      <c r="AG555" s="699"/>
      <c r="AH555" s="699"/>
      <c r="AI555" s="512">
        <f>IF(H555="credit",0,IF(AE555="free",0,IF(AE555="me",0,IF(G555&gt;0,(VLOOKUP(A555,'Discount Lookup'!J:K,2)*G555),0))))</f>
        <v>0</v>
      </c>
      <c r="AJ555" s="513" t="str">
        <f t="shared" ca="1" si="373"/>
        <v/>
      </c>
      <c r="AK555" s="700" t="str">
        <f t="shared" si="374"/>
        <v/>
      </c>
      <c r="AL555" s="700"/>
      <c r="AM555" s="505" t="str">
        <f t="shared" si="375"/>
        <v/>
      </c>
      <c r="AN555" s="506"/>
      <c r="AO555" s="507"/>
      <c r="AP555" s="507"/>
      <c r="AQ555" s="507"/>
      <c r="AR555" s="507"/>
      <c r="AS555" s="507"/>
      <c r="AT555" s="507"/>
      <c r="AU555" s="507"/>
      <c r="AV555" s="225"/>
      <c r="AW555" s="508"/>
      <c r="AX555" s="225"/>
      <c r="AY555" s="225"/>
      <c r="AZ555" s="225"/>
      <c r="BA555" s="225"/>
      <c r="BB555" s="225"/>
      <c r="BC555" s="56"/>
      <c r="BD555" s="56"/>
      <c r="BE555" s="56"/>
      <c r="BF555" s="107" t="str">
        <f t="shared" si="376"/>
        <v>https://www.google.com/search?tbm=isch&amp;q=Burgundy%20Blast%20has%20spires%20of%20blooms%20in%20late%20spring%20over%20Blue-Green%20foliage%2C%20followed%20by%20showy%20seed%20pods%20</v>
      </c>
      <c r="BG555" s="107" t="str">
        <f t="shared" si="377"/>
        <v>B</v>
      </c>
      <c r="BH555" s="254"/>
      <c r="BI555" s="254"/>
    </row>
    <row r="556" spans="1:61" customFormat="1" ht="18" x14ac:dyDescent="0.25">
      <c r="A556" s="523" t="s">
        <v>541</v>
      </c>
      <c r="B556" s="235"/>
      <c r="C556" s="676"/>
      <c r="D556" s="255" t="s">
        <v>540</v>
      </c>
      <c r="E556" s="236"/>
      <c r="F556" s="236"/>
      <c r="G556" s="236"/>
      <c r="H556" s="582" t="s">
        <v>326</v>
      </c>
      <c r="I556" s="498" t="s">
        <v>2237</v>
      </c>
      <c r="J556" s="237"/>
      <c r="K556" s="237"/>
      <c r="L556" s="274"/>
      <c r="M556" s="668" t="s">
        <v>4975</v>
      </c>
      <c r="N556" s="681" t="str">
        <f>IF(AND(ISTEXT($A556), ISERROR($A556+0)), HYPERLINK($BF556, "Images"), "")</f>
        <v>Images</v>
      </c>
      <c r="O556" s="663" t="s">
        <v>4967</v>
      </c>
      <c r="P556" s="253"/>
      <c r="Q556" s="238"/>
      <c r="R556" s="239"/>
      <c r="S556" s="275"/>
      <c r="T556" s="508">
        <f t="shared" si="365"/>
        <v>0</v>
      </c>
      <c r="U556" s="225" t="str">
        <f>IF(NOT(ISNUMBER(G556)), "", VLOOKUP(A556,'Discount Lookup'!D:E,2,FALSE)*G556)</f>
        <v/>
      </c>
      <c r="V556" s="225" t="str">
        <f>IF(NOT(ISNUMBER(G556)), "", VLOOKUP(A556,'Discount Lookup'!G:H,2,FALSE)*G556)</f>
        <v/>
      </c>
      <c r="W556" s="508">
        <f t="shared" si="366"/>
        <v>0</v>
      </c>
      <c r="X556" s="508" t="str">
        <f t="shared" si="367"/>
        <v>Burgundy-Red foliage</v>
      </c>
      <c r="Y556" s="509" t="b">
        <f t="shared" si="368"/>
        <v>0</v>
      </c>
      <c r="Z556" s="510">
        <f t="shared" si="369"/>
        <v>0</v>
      </c>
      <c r="AA556" s="511"/>
      <c r="AB556" s="511" t="str">
        <f t="shared" si="370"/>
        <v/>
      </c>
      <c r="AC556" s="698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698"/>
      <c r="AE556" s="631" t="str">
        <f t="shared" si="371"/>
        <v/>
      </c>
      <c r="AF556" s="699" t="str">
        <f t="shared" si="372"/>
        <v/>
      </c>
      <c r="AG556" s="699"/>
      <c r="AH556" s="699"/>
      <c r="AI556" s="512">
        <f>IF(H556="credit",0,IF(AE556="free",0,IF(AE556="me",0,IF(G556&gt;0,(VLOOKUP(A556,'Discount Lookup'!J:K,2)*G556),0))))</f>
        <v>0</v>
      </c>
      <c r="AJ556" s="513" t="str">
        <f t="shared" ca="1" si="373"/>
        <v/>
      </c>
      <c r="AK556" s="700" t="str">
        <f t="shared" si="374"/>
        <v/>
      </c>
      <c r="AL556" s="700"/>
      <c r="AM556" s="505" t="str">
        <f t="shared" si="375"/>
        <v/>
      </c>
      <c r="AN556" s="506"/>
      <c r="AO556" s="507"/>
      <c r="AP556" s="507"/>
      <c r="AQ556" s="507"/>
      <c r="AR556" s="507"/>
      <c r="AS556" s="507"/>
      <c r="AT556" s="507"/>
      <c r="AU556" s="507"/>
      <c r="AV556" s="225"/>
      <c r="AW556" s="508"/>
      <c r="AX556" s="225"/>
      <c r="AY556" s="225"/>
      <c r="AZ556" s="225"/>
      <c r="BA556" s="225"/>
      <c r="BB556" s="225"/>
      <c r="BC556" s="56"/>
      <c r="BD556" s="56"/>
      <c r="BE556" s="56"/>
      <c r="BF556" s="107" t="str">
        <f t="shared" si="376"/>
        <v>https://www.google.com/search?tbm=isch&amp;q=Burgundy%20Lace%20Filbert%20Corylus%20avellana%20%27Burgundy%20Lace%27%20PP%2328216</v>
      </c>
      <c r="BG556" s="107" t="str">
        <f t="shared" si="377"/>
        <v>B</v>
      </c>
      <c r="BH556" s="254"/>
      <c r="BI556" s="254"/>
    </row>
    <row r="557" spans="1:61" customFormat="1" ht="27" x14ac:dyDescent="0.25">
      <c r="A557" s="276">
        <v>15</v>
      </c>
      <c r="B557" s="240" t="s">
        <v>291</v>
      </c>
      <c r="C557" s="241" t="s">
        <v>4740</v>
      </c>
      <c r="D557" s="242" t="s">
        <v>292</v>
      </c>
      <c r="E557" s="243">
        <v>252.95</v>
      </c>
      <c r="F557" s="517" t="s">
        <v>293</v>
      </c>
      <c r="G557" s="232">
        <v>0</v>
      </c>
      <c r="H557" s="661" t="str">
        <f>IF(G557=0,"",IF(F557="Buy",IF(G557=1,"plant","plants"),IF(F557&gt;0.01,"warranty","Error")))</f>
        <v/>
      </c>
      <c r="I557" s="244">
        <f>IF(H557="free",0,IF(H557="credit",((E557*(F557))*G557*-1),IF(F557="Buy",(E557*G557),((E557*(1-F557))*G557))))</f>
        <v>0</v>
      </c>
      <c r="J557" s="244">
        <f>IF(H557="warranty",0,(I557*(_xlfn.SINGLE(SalesTaxPercentage))))</f>
        <v>0</v>
      </c>
      <c r="K557" s="696">
        <f t="shared" ref="K557" si="392">I557+J557</f>
        <v>0</v>
      </c>
      <c r="L557" s="696"/>
      <c r="M557" s="659" t="str">
        <f>IF(AND(G557&gt;0,E557=0),"WARNING - no PRICE inserted",IF(H557="free"," FREE ~ no charge this plant",IF(H557="credit",CONCATENATE(" -$",ROUND(K557*(1-T2GDiscount)*-1,2)," CREDIT after discount"),IF(T2GDiscount=0,"",IF(G557=0,"",IF(F557="Buy",CONCATENATE(" $",ROUND(K557*(1-T2GDiscount),2)," with ",(T2GDiscount*100),"% discount"),CONCATENATE(" $",ROUND(K557*(1-T2GDiscount),2)," with ",((T2GDiscount*100+F557*100)-(T2GDiscount*100*F557)),IF(F557&gt;0,"% discounts",IF(NoWarrantyDiscount&gt;0,"% discounts","% discount")))))))))</f>
        <v/>
      </c>
      <c r="N557" s="660"/>
      <c r="O557" s="233"/>
      <c r="P557" s="233"/>
      <c r="Q557" s="233"/>
      <c r="R557" s="233"/>
      <c r="S557" s="233"/>
      <c r="T557" s="508">
        <f t="shared" si="365"/>
        <v>0</v>
      </c>
      <c r="U557" s="225">
        <f>IF(NOT(ISNUMBER(G557)), "", VLOOKUP(A557,'Discount Lookup'!D:E,2,FALSE)*G557)</f>
        <v>0</v>
      </c>
      <c r="V557" s="225">
        <f>IF(NOT(ISNUMBER(G557)), "", VLOOKUP(A557,'Discount Lookup'!G:H,2,FALSE)*G557)</f>
        <v>0</v>
      </c>
      <c r="W557" s="508">
        <f t="shared" si="366"/>
        <v>0</v>
      </c>
      <c r="X557" s="508">
        <f t="shared" si="367"/>
        <v>0</v>
      </c>
      <c r="Y557" s="509" t="b">
        <f t="shared" si="368"/>
        <v>0</v>
      </c>
      <c r="Z557" s="510">
        <f t="shared" si="369"/>
        <v>0</v>
      </c>
      <c r="AA557" s="511"/>
      <c r="AB557" s="511" t="str">
        <f t="shared" si="370"/>
        <v/>
      </c>
      <c r="AC557" s="698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698"/>
      <c r="AE557" s="631" t="str">
        <f t="shared" si="371"/>
        <v/>
      </c>
      <c r="AF557" s="699" t="str">
        <f t="shared" si="372"/>
        <v/>
      </c>
      <c r="AG557" s="699"/>
      <c r="AH557" s="699"/>
      <c r="AI557" s="512">
        <f>IF(H557="credit",0,IF(AE557="free",0,IF(AE557="me",0,IF(G557&gt;0,(VLOOKUP(A557,'Discount Lookup'!J:K,2)*G557),0))))</f>
        <v>0</v>
      </c>
      <c r="AJ557" s="513" t="str">
        <f t="shared" ca="1" si="373"/>
        <v/>
      </c>
      <c r="AK557" s="700" t="str">
        <f t="shared" si="374"/>
        <v/>
      </c>
      <c r="AL557" s="700"/>
      <c r="AM557" s="505" t="str">
        <f t="shared" si="375"/>
        <v/>
      </c>
      <c r="AN557" s="506"/>
      <c r="AO557" s="507"/>
      <c r="AP557" s="507"/>
      <c r="AQ557" s="507"/>
      <c r="AR557" s="507"/>
      <c r="AS557" s="507"/>
      <c r="AT557" s="507"/>
      <c r="AU557" s="507"/>
      <c r="AV557" s="225"/>
      <c r="AW557" s="508"/>
      <c r="AX557" s="225"/>
      <c r="AY557" s="225"/>
      <c r="AZ557" s="225"/>
      <c r="BA557" s="225"/>
      <c r="BB557" s="225"/>
      <c r="BC557" s="56"/>
      <c r="BD557" s="56"/>
      <c r="BE557" s="56"/>
      <c r="BF557" s="107" t="str">
        <f t="shared" si="376"/>
        <v>https://www.google.com/search?tbm=isch&amp;q=15%20G4</v>
      </c>
      <c r="BG557" s="107" t="str">
        <f t="shared" si="377"/>
        <v>B</v>
      </c>
      <c r="BH557" s="254"/>
      <c r="BI557" s="254"/>
    </row>
    <row r="558" spans="1:61" customFormat="1" ht="17.25" thickBot="1" x14ac:dyDescent="0.3">
      <c r="A558" s="524" t="s">
        <v>3251</v>
      </c>
      <c r="B558" s="245"/>
      <c r="C558" s="677"/>
      <c r="D558" s="499"/>
      <c r="E558" s="499"/>
      <c r="F558" s="500"/>
      <c r="G558" s="501"/>
      <c r="H558" s="502"/>
      <c r="I558" s="246"/>
      <c r="J558" s="247"/>
      <c r="K558" s="503"/>
      <c r="L558" s="544"/>
      <c r="M558" s="544"/>
      <c r="N558" s="500"/>
      <c r="O558" s="500"/>
      <c r="P558" s="500"/>
      <c r="Q558" s="500"/>
      <c r="R558" s="500"/>
      <c r="S558" s="669" t="s">
        <v>4978</v>
      </c>
      <c r="T558" s="508">
        <f t="shared" si="365"/>
        <v>0</v>
      </c>
      <c r="U558" s="225" t="str">
        <f>IF(NOT(ISNUMBER(G558)), "", VLOOKUP(A558,'Discount Lookup'!D:E,2,FALSE)*G558)</f>
        <v/>
      </c>
      <c r="V558" s="225" t="str">
        <f>IF(NOT(ISNUMBER(G558)), "", VLOOKUP(A558,'Discount Lookup'!G:H,2,FALSE)*G558)</f>
        <v/>
      </c>
      <c r="W558" s="508">
        <f t="shared" si="366"/>
        <v>0</v>
      </c>
      <c r="X558" s="508">
        <f t="shared" si="367"/>
        <v>0</v>
      </c>
      <c r="Y558" s="509" t="b">
        <f t="shared" si="368"/>
        <v>0</v>
      </c>
      <c r="Z558" s="510">
        <f t="shared" si="369"/>
        <v>0</v>
      </c>
      <c r="AA558" s="511"/>
      <c r="AB558" s="511" t="str">
        <f t="shared" si="370"/>
        <v/>
      </c>
      <c r="AC558" s="698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698"/>
      <c r="AE558" s="631" t="str">
        <f t="shared" si="371"/>
        <v/>
      </c>
      <c r="AF558" s="699" t="str">
        <f t="shared" si="372"/>
        <v/>
      </c>
      <c r="AG558" s="699"/>
      <c r="AH558" s="699"/>
      <c r="AI558" s="512">
        <f>IF(H558="credit",0,IF(AE558="free",0,IF(AE558="me",0,IF(G558&gt;0,(VLOOKUP(A558,'Discount Lookup'!J:K,2)*G558),0))))</f>
        <v>0</v>
      </c>
      <c r="AJ558" s="513" t="str">
        <f t="shared" ca="1" si="373"/>
        <v/>
      </c>
      <c r="AK558" s="700" t="str">
        <f t="shared" si="374"/>
        <v/>
      </c>
      <c r="AL558" s="700"/>
      <c r="AM558" s="505" t="str">
        <f t="shared" si="375"/>
        <v/>
      </c>
      <c r="AN558" s="506"/>
      <c r="AO558" s="507"/>
      <c r="AP558" s="507"/>
      <c r="AQ558" s="507"/>
      <c r="AR558" s="507"/>
      <c r="AS558" s="507"/>
      <c r="AT558" s="507"/>
      <c r="AU558" s="507"/>
      <c r="AV558" s="225"/>
      <c r="AW558" s="508"/>
      <c r="AX558" s="225"/>
      <c r="AY558" s="225"/>
      <c r="AZ558" s="225"/>
      <c r="BA558" s="225"/>
      <c r="BB558" s="225"/>
      <c r="BC558" s="56"/>
      <c r="BD558" s="56"/>
      <c r="BE558" s="56"/>
      <c r="BF558" s="107" t="str">
        <f t="shared" si="376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558" s="107" t="str">
        <f t="shared" si="377"/>
        <v>B</v>
      </c>
      <c r="BH558" s="254"/>
      <c r="BI558" s="254"/>
    </row>
    <row r="559" spans="1:61" customFormat="1" ht="18" x14ac:dyDescent="0.25">
      <c r="A559" s="523" t="s">
        <v>434</v>
      </c>
      <c r="B559" s="235"/>
      <c r="C559" s="676"/>
      <c r="D559" s="255" t="s">
        <v>433</v>
      </c>
      <c r="E559" s="236"/>
      <c r="F559" s="236"/>
      <c r="G559" s="236"/>
      <c r="H559" s="582" t="s">
        <v>296</v>
      </c>
      <c r="I559" s="498" t="s">
        <v>2109</v>
      </c>
      <c r="J559" s="237"/>
      <c r="K559" s="237"/>
      <c r="L559" s="274"/>
      <c r="M559" s="668" t="s">
        <v>4962</v>
      </c>
      <c r="N559" s="681" t="str">
        <f>IF(AND(ISTEXT($A559), ISERROR($A559+0)), HYPERLINK($BF559, "Images"), "")</f>
        <v>Images</v>
      </c>
      <c r="O559" s="663" t="s">
        <v>4967</v>
      </c>
      <c r="P559" s="253"/>
      <c r="Q559" s="238"/>
      <c r="R559" s="239"/>
      <c r="S559" s="275"/>
      <c r="T559" s="508">
        <f t="shared" si="365"/>
        <v>0</v>
      </c>
      <c r="U559" s="225" t="str">
        <f>IF(NOT(ISNUMBER(G559)), "", VLOOKUP(A559,'Discount Lookup'!D:E,2,FALSE)*G559)</f>
        <v/>
      </c>
      <c r="V559" s="225" t="str">
        <f>IF(NOT(ISNUMBER(G559)), "", VLOOKUP(A559,'Discount Lookup'!G:H,2,FALSE)*G559)</f>
        <v/>
      </c>
      <c r="W559" s="508">
        <f t="shared" si="366"/>
        <v>0</v>
      </c>
      <c r="X559" s="508" t="str">
        <f t="shared" si="367"/>
        <v>Green foliage</v>
      </c>
      <c r="Y559" s="509" t="b">
        <f t="shared" si="368"/>
        <v>0</v>
      </c>
      <c r="Z559" s="510">
        <f t="shared" si="369"/>
        <v>0</v>
      </c>
      <c r="AA559" s="511"/>
      <c r="AB559" s="511" t="str">
        <f t="shared" si="370"/>
        <v/>
      </c>
      <c r="AC559" s="698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698"/>
      <c r="AE559" s="631" t="str">
        <f t="shared" si="371"/>
        <v/>
      </c>
      <c r="AF559" s="699" t="str">
        <f t="shared" si="372"/>
        <v/>
      </c>
      <c r="AG559" s="699"/>
      <c r="AH559" s="699"/>
      <c r="AI559" s="512">
        <f>IF(H559="credit",0,IF(AE559="free",0,IF(AE559="me",0,IF(G559&gt;0,(VLOOKUP(A559,'Discount Lookup'!J:K,2)*G559),0))))</f>
        <v>0</v>
      </c>
      <c r="AJ559" s="513" t="str">
        <f t="shared" ca="1" si="373"/>
        <v/>
      </c>
      <c r="AK559" s="700" t="str">
        <f t="shared" si="374"/>
        <v/>
      </c>
      <c r="AL559" s="700"/>
      <c r="AM559" s="505" t="str">
        <f t="shared" si="375"/>
        <v/>
      </c>
      <c r="AN559" s="506"/>
      <c r="AO559" s="507"/>
      <c r="AP559" s="507"/>
      <c r="AQ559" s="507"/>
      <c r="AR559" s="507"/>
      <c r="AS559" s="507"/>
      <c r="AT559" s="507"/>
      <c r="AU559" s="507"/>
      <c r="AV559" s="225"/>
      <c r="AW559" s="508"/>
      <c r="AX559" s="225"/>
      <c r="AY559" s="225"/>
      <c r="AZ559" s="225"/>
      <c r="BA559" s="225"/>
      <c r="BB559" s="225"/>
      <c r="BC559" s="56"/>
      <c r="BD559" s="56"/>
      <c r="BE559" s="56"/>
      <c r="BF559" s="107" t="str">
        <f t="shared" si="376"/>
        <v>https://www.google.com/search?tbm=isch&amp;q=Burgundy%20Vase%20Zelkova%20Zelkova%20serrata%20%27Burgundy%20Vase%27</v>
      </c>
      <c r="BG559" s="107" t="str">
        <f t="shared" si="377"/>
        <v>B</v>
      </c>
      <c r="BH559" s="254"/>
      <c r="BI559" s="254"/>
    </row>
    <row r="560" spans="1:61" customFormat="1" ht="15.75" x14ac:dyDescent="0.25">
      <c r="A560" s="276">
        <v>15</v>
      </c>
      <c r="B560" s="240" t="s">
        <v>291</v>
      </c>
      <c r="C560" s="241" t="s">
        <v>3354</v>
      </c>
      <c r="D560" s="242" t="s">
        <v>292</v>
      </c>
      <c r="E560" s="243">
        <v>201.95</v>
      </c>
      <c r="F560" s="517" t="s">
        <v>293</v>
      </c>
      <c r="G560" s="232">
        <v>0</v>
      </c>
      <c r="H560" s="661" t="str">
        <f>IF(G560=0,"",IF(F560="Buy",IF(G560=1,"plant","plants"),IF(F560&gt;0.01,"warranty","Error")))</f>
        <v/>
      </c>
      <c r="I560" s="244">
        <f>IF(H560="free",0,IF(H560="credit",((E560*(F560))*G560*-1),IF(F560="Buy",(E560*G560),((E560*(1-F560))*G560))))</f>
        <v>0</v>
      </c>
      <c r="J560" s="244">
        <f>IF(H560="warranty",0,(I560*(_xlfn.SINGLE(SalesTaxPercentage))))</f>
        <v>0</v>
      </c>
      <c r="K560" s="696">
        <f t="shared" ref="K560" si="393">I560+J560</f>
        <v>0</v>
      </c>
      <c r="L560" s="696"/>
      <c r="M560" s="659" t="str">
        <f>IF(AND(G560&gt;0,E560=0),"WARNING - no PRICE inserted",IF(H560="free"," FREE ~ no charge this plant",IF(H560="credit",CONCATENATE(" -$",ROUND(K560*(1-T2GDiscount)*-1,2)," CREDIT after discount"),IF(T2GDiscount=0,"",IF(G560=0,"",IF(F560="Buy",CONCATENATE(" $",ROUND(K560*(1-T2GDiscount),2)," with ",(T2GDiscount*100),"% discount"),CONCATENATE(" $",ROUND(K560*(1-T2GDiscount),2)," with ",((T2GDiscount*100+F560*100)-(T2GDiscount*100*F560)),IF(F560&gt;0,"% discounts",IF(NoWarrantyDiscount&gt;0,"% discounts","% discount")))))))))</f>
        <v/>
      </c>
      <c r="N560" s="660"/>
      <c r="O560" s="233"/>
      <c r="P560" s="233"/>
      <c r="Q560" s="233"/>
      <c r="R560" s="233"/>
      <c r="S560" s="233"/>
      <c r="T560" s="508">
        <f t="shared" si="365"/>
        <v>0</v>
      </c>
      <c r="U560" s="225">
        <f>IF(NOT(ISNUMBER(G560)), "", VLOOKUP(A560,'Discount Lookup'!D:E,2,FALSE)*G560)</f>
        <v>0</v>
      </c>
      <c r="V560" s="225">
        <f>IF(NOT(ISNUMBER(G560)), "", VLOOKUP(A560,'Discount Lookup'!G:H,2,FALSE)*G560)</f>
        <v>0</v>
      </c>
      <c r="W560" s="508">
        <f t="shared" si="366"/>
        <v>0</v>
      </c>
      <c r="X560" s="508">
        <f t="shared" si="367"/>
        <v>0</v>
      </c>
      <c r="Y560" s="509" t="b">
        <f t="shared" si="368"/>
        <v>0</v>
      </c>
      <c r="Z560" s="510">
        <f t="shared" si="369"/>
        <v>0</v>
      </c>
      <c r="AA560" s="511"/>
      <c r="AB560" s="511" t="str">
        <f t="shared" si="370"/>
        <v/>
      </c>
      <c r="AC560" s="698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698"/>
      <c r="AE560" s="631" t="str">
        <f t="shared" si="371"/>
        <v/>
      </c>
      <c r="AF560" s="699" t="str">
        <f t="shared" si="372"/>
        <v/>
      </c>
      <c r="AG560" s="699"/>
      <c r="AH560" s="699"/>
      <c r="AI560" s="512">
        <f>IF(H560="credit",0,IF(AE560="free",0,IF(AE560="me",0,IF(G560&gt;0,(VLOOKUP(A560,'Discount Lookup'!J:K,2)*G560),0))))</f>
        <v>0</v>
      </c>
      <c r="AJ560" s="513" t="str">
        <f t="shared" ca="1" si="373"/>
        <v/>
      </c>
      <c r="AK560" s="700" t="str">
        <f t="shared" si="374"/>
        <v/>
      </c>
      <c r="AL560" s="700"/>
      <c r="AM560" s="505" t="str">
        <f t="shared" si="375"/>
        <v/>
      </c>
      <c r="AN560" s="506"/>
      <c r="AO560" s="507"/>
      <c r="AP560" s="507"/>
      <c r="AQ560" s="507"/>
      <c r="AR560" s="507"/>
      <c r="AS560" s="507"/>
      <c r="AT560" s="507"/>
      <c r="AU560" s="507"/>
      <c r="AV560" s="225"/>
      <c r="AW560" s="508"/>
      <c r="AX560" s="225"/>
      <c r="AY560" s="225"/>
      <c r="AZ560" s="225"/>
      <c r="BA560" s="225"/>
      <c r="BB560" s="225"/>
      <c r="BC560" s="56"/>
      <c r="BD560" s="56"/>
      <c r="BE560" s="56"/>
      <c r="BF560" s="107" t="str">
        <f t="shared" si="376"/>
        <v>https://www.google.com/search?tbm=isch&amp;q=15%20G4</v>
      </c>
      <c r="BG560" s="107" t="str">
        <f t="shared" si="377"/>
        <v>B</v>
      </c>
      <c r="BH560" s="254"/>
      <c r="BI560" s="254"/>
    </row>
    <row r="561" spans="1:61" customFormat="1" ht="17.25" thickBot="1" x14ac:dyDescent="0.3">
      <c r="A561" s="524" t="s">
        <v>2348</v>
      </c>
      <c r="B561" s="245"/>
      <c r="C561" s="677"/>
      <c r="D561" s="499"/>
      <c r="E561" s="499"/>
      <c r="F561" s="500"/>
      <c r="G561" s="501"/>
      <c r="H561" s="502"/>
      <c r="I561" s="246"/>
      <c r="J561" s="247"/>
      <c r="K561" s="503"/>
      <c r="L561" s="544"/>
      <c r="M561" s="544"/>
      <c r="N561" s="500"/>
      <c r="O561" s="500"/>
      <c r="P561" s="500"/>
      <c r="Q561" s="500"/>
      <c r="R561" s="500"/>
      <c r="S561" s="278"/>
      <c r="T561" s="508">
        <f t="shared" si="365"/>
        <v>0</v>
      </c>
      <c r="U561" s="225" t="str">
        <f>IF(NOT(ISNUMBER(G561)), "", VLOOKUP(A561,'Discount Lookup'!D:E,2,FALSE)*G561)</f>
        <v/>
      </c>
      <c r="V561" s="225" t="str">
        <f>IF(NOT(ISNUMBER(G561)), "", VLOOKUP(A561,'Discount Lookup'!G:H,2,FALSE)*G561)</f>
        <v/>
      </c>
      <c r="W561" s="508">
        <f t="shared" si="366"/>
        <v>0</v>
      </c>
      <c r="X561" s="508">
        <f t="shared" si="367"/>
        <v>0</v>
      </c>
      <c r="Y561" s="509" t="b">
        <f t="shared" si="368"/>
        <v>0</v>
      </c>
      <c r="Z561" s="510">
        <f t="shared" si="369"/>
        <v>0</v>
      </c>
      <c r="AA561" s="511"/>
      <c r="AB561" s="511" t="str">
        <f t="shared" si="370"/>
        <v/>
      </c>
      <c r="AC561" s="698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698"/>
      <c r="AE561" s="631" t="str">
        <f t="shared" si="371"/>
        <v/>
      </c>
      <c r="AF561" s="699" t="str">
        <f t="shared" si="372"/>
        <v/>
      </c>
      <c r="AG561" s="699"/>
      <c r="AH561" s="699"/>
      <c r="AI561" s="512">
        <f>IF(H561="credit",0,IF(AE561="free",0,IF(AE561="me",0,IF(G561&gt;0,(VLOOKUP(A561,'Discount Lookup'!J:K,2)*G561),0))))</f>
        <v>0</v>
      </c>
      <c r="AJ561" s="513" t="str">
        <f t="shared" ca="1" si="373"/>
        <v/>
      </c>
      <c r="AK561" s="700" t="str">
        <f t="shared" si="374"/>
        <v/>
      </c>
      <c r="AL561" s="700"/>
      <c r="AM561" s="505" t="str">
        <f t="shared" si="375"/>
        <v/>
      </c>
      <c r="AN561" s="506"/>
      <c r="AO561" s="507"/>
      <c r="AP561" s="507"/>
      <c r="AQ561" s="507"/>
      <c r="AR561" s="507"/>
      <c r="AS561" s="507"/>
      <c r="AT561" s="507"/>
      <c r="AU561" s="507"/>
      <c r="AV561" s="225"/>
      <c r="AW561" s="508"/>
      <c r="AX561" s="225"/>
      <c r="AY561" s="225"/>
      <c r="AZ561" s="225"/>
      <c r="BA561" s="225"/>
      <c r="BB561" s="225"/>
      <c r="BC561" s="56"/>
      <c r="BD561" s="56"/>
      <c r="BE561" s="56"/>
      <c r="BF561" s="107" t="str">
        <f t="shared" si="376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61" s="107" t="str">
        <f t="shared" si="377"/>
        <v>B</v>
      </c>
      <c r="BH561" s="254"/>
      <c r="BI561" s="254"/>
    </row>
    <row r="562" spans="1:61" customFormat="1" ht="18" x14ac:dyDescent="0.25">
      <c r="A562" s="521" t="s">
        <v>333</v>
      </c>
      <c r="B562" s="477"/>
      <c r="C562" s="674"/>
      <c r="D562" s="478" t="s">
        <v>332</v>
      </c>
      <c r="E562" s="479"/>
      <c r="F562" s="479"/>
      <c r="G562" s="479"/>
      <c r="H562" s="582" t="s">
        <v>311</v>
      </c>
      <c r="I562" s="480" t="s">
        <v>2089</v>
      </c>
      <c r="J562" s="479"/>
      <c r="K562" s="479"/>
      <c r="L562" s="560"/>
      <c r="M562" s="666" t="s">
        <v>4963</v>
      </c>
      <c r="N562" s="680" t="str">
        <f>IF(AND(ISTEXT($A562), ISERROR($A562+0)), HYPERLINK($BF562, "Images"), "")</f>
        <v>Images</v>
      </c>
      <c r="O562" s="662" t="s">
        <v>4967</v>
      </c>
      <c r="P562" s="482"/>
      <c r="Q562" s="483"/>
      <c r="R562" s="483"/>
      <c r="S562" s="484"/>
      <c r="T562" s="508">
        <f t="shared" si="365"/>
        <v>0</v>
      </c>
      <c r="U562" s="225" t="str">
        <f>IF(NOT(ISNUMBER(G562)), "", VLOOKUP(A562,'Discount Lookup'!D:E,2,FALSE)*G562)</f>
        <v/>
      </c>
      <c r="V562" s="225" t="str">
        <f>IF(NOT(ISNUMBER(G562)), "", VLOOKUP(A562,'Discount Lookup'!G:H,2,FALSE)*G562)</f>
        <v/>
      </c>
      <c r="W562" s="508">
        <f t="shared" si="366"/>
        <v>0</v>
      </c>
      <c r="X562" s="508" t="str">
        <f t="shared" si="367"/>
        <v>Variegated needles</v>
      </c>
      <c r="Y562" s="509" t="b">
        <f t="shared" si="368"/>
        <v>0</v>
      </c>
      <c r="Z562" s="510">
        <f t="shared" si="369"/>
        <v>0</v>
      </c>
      <c r="AA562" s="511"/>
      <c r="AB562" s="511" t="str">
        <f t="shared" si="370"/>
        <v/>
      </c>
      <c r="AC562" s="698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698"/>
      <c r="AE562" s="631" t="str">
        <f t="shared" si="371"/>
        <v/>
      </c>
      <c r="AF562" s="699" t="str">
        <f t="shared" si="372"/>
        <v/>
      </c>
      <c r="AG562" s="699"/>
      <c r="AH562" s="699"/>
      <c r="AI562" s="512">
        <f>IF(H562="credit",0,IF(AE562="free",0,IF(AE562="me",0,IF(G562&gt;0,(VLOOKUP(A562,'Discount Lookup'!J:K,2)*G562),0))))</f>
        <v>0</v>
      </c>
      <c r="AJ562" s="513" t="str">
        <f t="shared" ca="1" si="373"/>
        <v/>
      </c>
      <c r="AK562" s="700" t="str">
        <f t="shared" si="374"/>
        <v/>
      </c>
      <c r="AL562" s="700"/>
      <c r="AM562" s="505" t="str">
        <f t="shared" si="375"/>
        <v/>
      </c>
      <c r="AN562" s="506"/>
      <c r="AO562" s="507"/>
      <c r="AP562" s="507"/>
      <c r="AQ562" s="507"/>
      <c r="AR562" s="507"/>
      <c r="AS562" s="507"/>
      <c r="AT562" s="507"/>
      <c r="AU562" s="507"/>
      <c r="AV562" s="225"/>
      <c r="AW562" s="508"/>
      <c r="AX562" s="225"/>
      <c r="AY562" s="225"/>
      <c r="AZ562" s="225"/>
      <c r="BA562" s="225"/>
      <c r="BB562" s="225"/>
      <c r="BC562" s="56"/>
      <c r="BD562" s="56"/>
      <c r="BE562" s="56"/>
      <c r="BF562" s="107" t="str">
        <f t="shared" si="376"/>
        <v>https://www.google.com/search?tbm=isch&amp;q=Burke%27s%20Red%20Pine%20Pinus%20densiflora%20%27Burke%27s%20Red%20Variegated%27</v>
      </c>
      <c r="BG562" s="107" t="str">
        <f t="shared" si="377"/>
        <v>B</v>
      </c>
      <c r="BH562" s="254"/>
      <c r="BI562" s="254"/>
    </row>
    <row r="563" spans="1:61" customFormat="1" ht="15.75" x14ac:dyDescent="0.25">
      <c r="A563" s="485">
        <v>7</v>
      </c>
      <c r="B563" s="486" t="s">
        <v>291</v>
      </c>
      <c r="C563" s="487" t="s">
        <v>3355</v>
      </c>
      <c r="D563" s="488" t="s">
        <v>292</v>
      </c>
      <c r="E563" s="489">
        <v>270.95</v>
      </c>
      <c r="F563" s="516" t="s">
        <v>293</v>
      </c>
      <c r="G563" s="232">
        <v>0</v>
      </c>
      <c r="H563" s="658" t="str">
        <f>IF(G563=0,"",IF(F563="Buy",IF(G563=1,"plant","plants"),IF(F563&gt;0.01,"warranty","Error")))</f>
        <v/>
      </c>
      <c r="I563" s="490">
        <f>IF(H563="free",0,IF(H563="credit",((E563*(F563))*G563*-1),IF(F563="Buy",(E563*G563),((E563*(1-F563))*G563))))</f>
        <v>0</v>
      </c>
      <c r="J563" s="490">
        <f>IF(H563="warranty",0,(I563*(_xlfn.SINGLE(SalesTaxPercentage))))</f>
        <v>0</v>
      </c>
      <c r="K563" s="695">
        <f t="shared" ref="K563" si="394">I563+J563</f>
        <v>0</v>
      </c>
      <c r="L563" s="695"/>
      <c r="M563" s="659" t="str">
        <f>IF(AND(G563&gt;0,E563=0),"WARNING - no PRICE inserted",IF(H563="free"," FREE ~ no charge this plant",IF(H563="credit",CONCATENATE(" -$",ROUND(K563*(1-T2GDiscount)*-1,2)," CREDIT after discount"),IF(T2GDiscount=0,"",IF(G563=0,"",IF(F563="Buy",CONCATENATE(" $",ROUND(K563*(1-T2GDiscount),2)," with ",(T2GDiscount*100),"% discount"),CONCATENATE(" $",ROUND(K563*(1-T2GDiscount),2)," with ",((T2GDiscount*100+F563*100)-(T2GDiscount*100*F563)),IF(F563&gt;0,"% discounts",IF(NoWarrantyDiscount&gt;0,"% discounts","% discount")))))))))</f>
        <v/>
      </c>
      <c r="N563" s="660"/>
      <c r="O563" s="233"/>
      <c r="P563" s="233"/>
      <c r="Q563" s="233"/>
      <c r="R563" s="233"/>
      <c r="S563" s="233"/>
      <c r="T563" s="508">
        <f t="shared" si="365"/>
        <v>0</v>
      </c>
      <c r="U563" s="225">
        <f>IF(NOT(ISNUMBER(G563)), "", VLOOKUP(A563,'Discount Lookup'!D:E,2,FALSE)*G563)</f>
        <v>0</v>
      </c>
      <c r="V563" s="225">
        <f>IF(NOT(ISNUMBER(G563)), "", VLOOKUP(A563,'Discount Lookup'!G:H,2,FALSE)*G563)</f>
        <v>0</v>
      </c>
      <c r="W563" s="508">
        <f t="shared" si="366"/>
        <v>0</v>
      </c>
      <c r="X563" s="508">
        <f t="shared" si="367"/>
        <v>0</v>
      </c>
      <c r="Y563" s="509" t="b">
        <f t="shared" si="368"/>
        <v>0</v>
      </c>
      <c r="Z563" s="510">
        <f t="shared" si="369"/>
        <v>0</v>
      </c>
      <c r="AA563" s="511"/>
      <c r="AB563" s="511" t="str">
        <f t="shared" si="370"/>
        <v/>
      </c>
      <c r="AC563" s="698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698"/>
      <c r="AE563" s="631" t="str">
        <f t="shared" si="371"/>
        <v/>
      </c>
      <c r="AF563" s="699" t="str">
        <f t="shared" si="372"/>
        <v/>
      </c>
      <c r="AG563" s="699"/>
      <c r="AH563" s="699"/>
      <c r="AI563" s="512">
        <f>IF(H563="credit",0,IF(AE563="free",0,IF(AE563="me",0,IF(G563&gt;0,(VLOOKUP(A563,'Discount Lookup'!J:K,2)*G563),0))))</f>
        <v>0</v>
      </c>
      <c r="AJ563" s="513" t="str">
        <f t="shared" ca="1" si="373"/>
        <v/>
      </c>
      <c r="AK563" s="700" t="str">
        <f t="shared" si="374"/>
        <v/>
      </c>
      <c r="AL563" s="700"/>
      <c r="AM563" s="505" t="str">
        <f t="shared" si="375"/>
        <v/>
      </c>
      <c r="AN563" s="506"/>
      <c r="AO563" s="507"/>
      <c r="AP563" s="507"/>
      <c r="AQ563" s="507"/>
      <c r="AR563" s="507"/>
      <c r="AS563" s="507"/>
      <c r="AT563" s="507"/>
      <c r="AU563" s="507"/>
      <c r="AV563" s="225"/>
      <c r="AW563" s="508"/>
      <c r="AX563" s="225"/>
      <c r="AY563" s="225"/>
      <c r="AZ563" s="225"/>
      <c r="BA563" s="225"/>
      <c r="BB563" s="225"/>
      <c r="BC563" s="56"/>
      <c r="BD563" s="56"/>
      <c r="BE563" s="56"/>
      <c r="BF563" s="107" t="str">
        <f t="shared" si="376"/>
        <v>https://www.google.com/search?tbm=isch&amp;q=7%20G4</v>
      </c>
      <c r="BG563" s="107" t="str">
        <f t="shared" si="377"/>
        <v>B</v>
      </c>
      <c r="BH563" s="254"/>
      <c r="BI563" s="254"/>
    </row>
    <row r="564" spans="1:61" customFormat="1" ht="15.75" x14ac:dyDescent="0.25">
      <c r="A564" s="485">
        <v>15</v>
      </c>
      <c r="B564" s="486" t="s">
        <v>291</v>
      </c>
      <c r="C564" s="487" t="s">
        <v>3356</v>
      </c>
      <c r="D564" s="488" t="s">
        <v>292</v>
      </c>
      <c r="E564" s="489">
        <v>422.95</v>
      </c>
      <c r="F564" s="516" t="s">
        <v>293</v>
      </c>
      <c r="G564" s="232">
        <v>0</v>
      </c>
      <c r="H564" s="658" t="str">
        <f>IF(G564=0,"",IF(F564="Buy",IF(G564=1,"plant","plants"),IF(F564&gt;0.01,"warranty","Error")))</f>
        <v/>
      </c>
      <c r="I564" s="490">
        <f>IF(H564="free",0,IF(H564="credit",((E564*(F564))*G564*-1),IF(F564="Buy",(E564*G564),((E564*(1-F564))*G564))))</f>
        <v>0</v>
      </c>
      <c r="J564" s="490">
        <f>IF(H564="warranty",0,(I564*(_xlfn.SINGLE(SalesTaxPercentage))))</f>
        <v>0</v>
      </c>
      <c r="K564" s="695">
        <f t="shared" ref="K564" si="395">I564+J564</f>
        <v>0</v>
      </c>
      <c r="L564" s="695"/>
      <c r="M564" s="659" t="str">
        <f>IF(AND(G564&gt;0,E564=0),"WARNING - no PRICE inserted",IF(H564="free"," FREE ~ no charge this plant",IF(H564="credit",CONCATENATE(" -$",ROUND(K564*(1-T2GDiscount)*-1,2)," CREDIT after discount"),IF(T2GDiscount=0,"",IF(G564=0,"",IF(F564="Buy",CONCATENATE(" $",ROUND(K564*(1-T2GDiscount),2)," with ",(T2GDiscount*100),"% discount"),CONCATENATE(" $",ROUND(K564*(1-T2GDiscount),2)," with ",((T2GDiscount*100+F564*100)-(T2GDiscount*100*F564)),IF(F564&gt;0,"% discounts",IF(NoWarrantyDiscount&gt;0,"% discounts","% discount")))))))))</f>
        <v/>
      </c>
      <c r="N564" s="660"/>
      <c r="O564" s="233"/>
      <c r="P564" s="233"/>
      <c r="Q564" s="233"/>
      <c r="R564" s="233"/>
      <c r="S564" s="233"/>
      <c r="T564" s="508">
        <f t="shared" si="365"/>
        <v>0</v>
      </c>
      <c r="U564" s="225">
        <f>IF(NOT(ISNUMBER(G564)), "", VLOOKUP(A564,'Discount Lookup'!D:E,2,FALSE)*G564)</f>
        <v>0</v>
      </c>
      <c r="V564" s="225">
        <f>IF(NOT(ISNUMBER(G564)), "", VLOOKUP(A564,'Discount Lookup'!G:H,2,FALSE)*G564)</f>
        <v>0</v>
      </c>
      <c r="W564" s="508">
        <f t="shared" si="366"/>
        <v>0</v>
      </c>
      <c r="X564" s="508">
        <f t="shared" si="367"/>
        <v>0</v>
      </c>
      <c r="Y564" s="509" t="b">
        <f t="shared" si="368"/>
        <v>0</v>
      </c>
      <c r="Z564" s="510">
        <f t="shared" si="369"/>
        <v>0</v>
      </c>
      <c r="AA564" s="511"/>
      <c r="AB564" s="511" t="str">
        <f t="shared" si="370"/>
        <v/>
      </c>
      <c r="AC564" s="698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698"/>
      <c r="AE564" s="631" t="str">
        <f t="shared" si="371"/>
        <v/>
      </c>
      <c r="AF564" s="699" t="str">
        <f t="shared" si="372"/>
        <v/>
      </c>
      <c r="AG564" s="699"/>
      <c r="AH564" s="699"/>
      <c r="AI564" s="512">
        <f>IF(H564="credit",0,IF(AE564="free",0,IF(AE564="me",0,IF(G564&gt;0,(VLOOKUP(A564,'Discount Lookup'!J:K,2)*G564),0))))</f>
        <v>0</v>
      </c>
      <c r="AJ564" s="513" t="str">
        <f t="shared" ca="1" si="373"/>
        <v/>
      </c>
      <c r="AK564" s="700" t="str">
        <f t="shared" si="374"/>
        <v/>
      </c>
      <c r="AL564" s="700"/>
      <c r="AM564" s="505" t="str">
        <f t="shared" si="375"/>
        <v/>
      </c>
      <c r="AN564" s="506"/>
      <c r="AO564" s="507"/>
      <c r="AP564" s="507"/>
      <c r="AQ564" s="507"/>
      <c r="AR564" s="507"/>
      <c r="AS564" s="507"/>
      <c r="AT564" s="507"/>
      <c r="AU564" s="507"/>
      <c r="AV564" s="225"/>
      <c r="AW564" s="508"/>
      <c r="AX564" s="225"/>
      <c r="AY564" s="225"/>
      <c r="AZ564" s="225"/>
      <c r="BA564" s="225"/>
      <c r="BB564" s="225"/>
      <c r="BC564" s="56"/>
      <c r="BD564" s="56"/>
      <c r="BE564" s="56"/>
      <c r="BF564" s="107" t="str">
        <f t="shared" si="376"/>
        <v>https://www.google.com/search?tbm=isch&amp;q=15%20G4</v>
      </c>
      <c r="BG564" s="107" t="str">
        <f t="shared" si="377"/>
        <v>B</v>
      </c>
      <c r="BH564" s="254"/>
      <c r="BI564" s="254"/>
    </row>
    <row r="565" spans="1:61" customFormat="1" ht="17.25" thickBot="1" x14ac:dyDescent="0.3">
      <c r="A565" s="522" t="s">
        <v>2349</v>
      </c>
      <c r="B565" s="491"/>
      <c r="C565" s="675"/>
      <c r="D565" s="491"/>
      <c r="E565" s="491"/>
      <c r="F565" s="492"/>
      <c r="G565" s="493"/>
      <c r="H565" s="491"/>
      <c r="I565" s="234"/>
      <c r="J565" s="234"/>
      <c r="K565" s="494"/>
      <c r="L565" s="543"/>
      <c r="M565" s="561"/>
      <c r="N565" s="495"/>
      <c r="O565" s="496"/>
      <c r="P565" s="497"/>
      <c r="Q565" s="495"/>
      <c r="R565" s="495"/>
      <c r="S565" s="667" t="s">
        <v>4984</v>
      </c>
      <c r="T565" s="508">
        <f t="shared" si="365"/>
        <v>0</v>
      </c>
      <c r="U565" s="225" t="str">
        <f>IF(NOT(ISNUMBER(G565)), "", VLOOKUP(A565,'Discount Lookup'!D:E,2,FALSE)*G565)</f>
        <v/>
      </c>
      <c r="V565" s="225" t="str">
        <f>IF(NOT(ISNUMBER(G565)), "", VLOOKUP(A565,'Discount Lookup'!G:H,2,FALSE)*G565)</f>
        <v/>
      </c>
      <c r="W565" s="508">
        <f t="shared" si="366"/>
        <v>0</v>
      </c>
      <c r="X565" s="508">
        <f t="shared" si="367"/>
        <v>0</v>
      </c>
      <c r="Y565" s="509" t="b">
        <f t="shared" si="368"/>
        <v>0</v>
      </c>
      <c r="Z565" s="510">
        <f t="shared" si="369"/>
        <v>0</v>
      </c>
      <c r="AA565" s="511"/>
      <c r="AB565" s="511" t="str">
        <f t="shared" si="370"/>
        <v/>
      </c>
      <c r="AC565" s="698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698"/>
      <c r="AE565" s="631" t="str">
        <f t="shared" si="371"/>
        <v/>
      </c>
      <c r="AF565" s="699" t="str">
        <f t="shared" si="372"/>
        <v/>
      </c>
      <c r="AG565" s="699"/>
      <c r="AH565" s="699"/>
      <c r="AI565" s="512">
        <f>IF(H565="credit",0,IF(AE565="free",0,IF(AE565="me",0,IF(G565&gt;0,(VLOOKUP(A565,'Discount Lookup'!J:K,2)*G565),0))))</f>
        <v>0</v>
      </c>
      <c r="AJ565" s="513" t="str">
        <f t="shared" ca="1" si="373"/>
        <v/>
      </c>
      <c r="AK565" s="700" t="str">
        <f t="shared" si="374"/>
        <v/>
      </c>
      <c r="AL565" s="700"/>
      <c r="AM565" s="505" t="str">
        <f t="shared" si="375"/>
        <v/>
      </c>
      <c r="AN565" s="506"/>
      <c r="AO565" s="507"/>
      <c r="AP565" s="507"/>
      <c r="AQ565" s="507"/>
      <c r="AR565" s="507"/>
      <c r="AS565" s="507"/>
      <c r="AT565" s="507"/>
      <c r="AU565" s="507"/>
      <c r="AV565" s="225"/>
      <c r="AW565" s="508"/>
      <c r="AX565" s="225"/>
      <c r="AY565" s="225"/>
      <c r="AZ565" s="225"/>
      <c r="BA565" s="225"/>
      <c r="BB565" s="225"/>
      <c r="BC565" s="56"/>
      <c r="BD565" s="56"/>
      <c r="BE565" s="56"/>
      <c r="BF565" s="107" t="str">
        <f t="shared" si="376"/>
        <v>https://www.google.com/search?tbm=isch&amp;q=Burke%27s%20is%20a%20rare%20Pine%20with%20Red%2C%20Pink%2C%20and%20Creamy%20White%20bands%20in%20needles.%20Great%20winter%20interest.%20</v>
      </c>
      <c r="BG565" s="107" t="str">
        <f t="shared" si="377"/>
        <v>B</v>
      </c>
      <c r="BH565" s="254"/>
      <c r="BI565" s="254"/>
    </row>
    <row r="566" spans="1:61" customFormat="1" ht="18" x14ac:dyDescent="0.25">
      <c r="A566" s="521" t="s">
        <v>517</v>
      </c>
      <c r="B566" s="477"/>
      <c r="C566" s="674"/>
      <c r="D566" s="478" t="s">
        <v>516</v>
      </c>
      <c r="E566" s="479"/>
      <c r="F566" s="479"/>
      <c r="G566" s="479"/>
      <c r="H566" s="582" t="s">
        <v>2576</v>
      </c>
      <c r="I566" s="480" t="s">
        <v>2665</v>
      </c>
      <c r="J566" s="479"/>
      <c r="K566" s="479"/>
      <c r="L566" s="560"/>
      <c r="M566" s="666" t="s">
        <v>4966</v>
      </c>
      <c r="N566" s="680" t="str">
        <f>IF(AND(ISTEXT($A566), ISERROR($A566+0)), HYPERLINK($BF566, "Images"), "")</f>
        <v>Images</v>
      </c>
      <c r="O566" s="662" t="s">
        <v>4967</v>
      </c>
      <c r="P566" s="482"/>
      <c r="Q566" s="483"/>
      <c r="R566" s="483"/>
      <c r="S566" s="484"/>
      <c r="T566" s="508">
        <f t="shared" si="365"/>
        <v>0</v>
      </c>
      <c r="U566" s="225" t="str">
        <f>IF(NOT(ISNUMBER(G566)), "", VLOOKUP(A566,'Discount Lookup'!D:E,2,FALSE)*G566)</f>
        <v/>
      </c>
      <c r="V566" s="225" t="str">
        <f>IF(NOT(ISNUMBER(G566)), "", VLOOKUP(A566,'Discount Lookup'!G:H,2,FALSE)*G566)</f>
        <v/>
      </c>
      <c r="W566" s="508">
        <f t="shared" si="366"/>
        <v>0</v>
      </c>
      <c r="X566" s="508" t="str">
        <f t="shared" si="367"/>
        <v>Pink buds open White</v>
      </c>
      <c r="Y566" s="509" t="b">
        <f t="shared" si="368"/>
        <v>0</v>
      </c>
      <c r="Z566" s="510">
        <f t="shared" si="369"/>
        <v>0</v>
      </c>
      <c r="AA566" s="511"/>
      <c r="AB566" s="511" t="str">
        <f t="shared" si="370"/>
        <v/>
      </c>
      <c r="AC566" s="698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698"/>
      <c r="AE566" s="631" t="str">
        <f t="shared" si="371"/>
        <v/>
      </c>
      <c r="AF566" s="699" t="str">
        <f t="shared" si="372"/>
        <v/>
      </c>
      <c r="AG566" s="699"/>
      <c r="AH566" s="699"/>
      <c r="AI566" s="512">
        <f>IF(H566="credit",0,IF(AE566="free",0,IF(AE566="me",0,IF(G566&gt;0,(VLOOKUP(A566,'Discount Lookup'!J:K,2)*G566),0))))</f>
        <v>0</v>
      </c>
      <c r="AJ566" s="513" t="str">
        <f t="shared" ca="1" si="373"/>
        <v/>
      </c>
      <c r="AK566" s="700" t="str">
        <f t="shared" si="374"/>
        <v/>
      </c>
      <c r="AL566" s="700"/>
      <c r="AM566" s="505" t="str">
        <f t="shared" si="375"/>
        <v/>
      </c>
      <c r="AN566" s="506"/>
      <c r="AO566" s="507"/>
      <c r="AP566" s="507"/>
      <c r="AQ566" s="507"/>
      <c r="AR566" s="507"/>
      <c r="AS566" s="507"/>
      <c r="AT566" s="507"/>
      <c r="AU566" s="507"/>
      <c r="AV566" s="225"/>
      <c r="AW566" s="508"/>
      <c r="AX566" s="225"/>
      <c r="AY566" s="225"/>
      <c r="AZ566" s="225"/>
      <c r="BA566" s="225"/>
      <c r="BB566" s="225"/>
      <c r="BC566" s="56"/>
      <c r="BD566" s="56"/>
      <c r="BE566" s="56"/>
      <c r="BF566" s="107" t="str">
        <f t="shared" si="376"/>
        <v>https://www.google.com/search?tbm=isch&amp;q=Burkwood%20Viburnum%20Viburnum%20x%20burkwoodii</v>
      </c>
      <c r="BG566" s="107" t="str">
        <f t="shared" si="377"/>
        <v>B</v>
      </c>
      <c r="BH566" s="254"/>
      <c r="BI566" s="254"/>
    </row>
    <row r="567" spans="1:61" customFormat="1" ht="15.75" x14ac:dyDescent="0.25">
      <c r="A567" s="485">
        <v>3</v>
      </c>
      <c r="B567" s="486" t="s">
        <v>291</v>
      </c>
      <c r="C567" s="487" t="s">
        <v>518</v>
      </c>
      <c r="D567" s="488" t="s">
        <v>297</v>
      </c>
      <c r="E567" s="489">
        <v>35.950000000000003</v>
      </c>
      <c r="F567" s="516" t="s">
        <v>293</v>
      </c>
      <c r="G567" s="232">
        <v>0</v>
      </c>
      <c r="H567" s="658" t="str">
        <f>IF(G567=0,"",IF(F567="Buy",IF(G567=1,"plant","plants"),IF(F567&gt;0.01,"warranty","Error")))</f>
        <v/>
      </c>
      <c r="I567" s="490">
        <f>IF(H567="free",0,IF(H567="credit",((E567*(F567))*G567*-1),IF(F567="Buy",(E567*G567),((E567*(1-F567))*G567))))</f>
        <v>0</v>
      </c>
      <c r="J567" s="490">
        <f>IF(H567="warranty",0,(I567*(_xlfn.SINGLE(SalesTaxPercentage))))</f>
        <v>0</v>
      </c>
      <c r="K567" s="695">
        <f t="shared" ref="K567" si="396">I567+J567</f>
        <v>0</v>
      </c>
      <c r="L567" s="695"/>
      <c r="M567" s="659" t="str">
        <f>IF(AND(G567&gt;0,E567=0),"WARNING - no PRICE inserted",IF(H567="free"," FREE ~ no charge this plant",IF(H567="credit",CONCATENATE(" -$",ROUND(K567*(1-T2GDiscount)*-1,2)," CREDIT after discount"),IF(T2GDiscount=0,"",IF(G567=0,"",IF(F567="Buy",CONCATENATE(" $",ROUND(K567*(1-T2GDiscount),2)," with ",(T2GDiscount*100),"% discount"),CONCATENATE(" $",ROUND(K567*(1-T2GDiscount),2)," with ",((T2GDiscount*100+F567*100)-(T2GDiscount*100*F567)),IF(F567&gt;0,"% discounts",IF(NoWarrantyDiscount&gt;0,"% discounts","% discount")))))))))</f>
        <v/>
      </c>
      <c r="N567" s="660"/>
      <c r="O567" s="233"/>
      <c r="P567" s="233"/>
      <c r="Q567" s="233"/>
      <c r="R567" s="233"/>
      <c r="S567" s="233"/>
      <c r="T567" s="508">
        <f t="shared" si="365"/>
        <v>0</v>
      </c>
      <c r="U567" s="225">
        <f>IF(NOT(ISNUMBER(G567)), "", VLOOKUP(A567,'Discount Lookup'!D:E,2,FALSE)*G567)</f>
        <v>0</v>
      </c>
      <c r="V567" s="225">
        <f>IF(NOT(ISNUMBER(G567)), "", VLOOKUP(A567,'Discount Lookup'!G:H,2,FALSE)*G567)</f>
        <v>0</v>
      </c>
      <c r="W567" s="508">
        <f t="shared" si="366"/>
        <v>0</v>
      </c>
      <c r="X567" s="508">
        <f t="shared" si="367"/>
        <v>0</v>
      </c>
      <c r="Y567" s="509" t="b">
        <f t="shared" si="368"/>
        <v>0</v>
      </c>
      <c r="Z567" s="510">
        <f t="shared" si="369"/>
        <v>0</v>
      </c>
      <c r="AA567" s="511"/>
      <c r="AB567" s="511" t="str">
        <f t="shared" si="370"/>
        <v/>
      </c>
      <c r="AC567" s="698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698"/>
      <c r="AE567" s="631" t="str">
        <f t="shared" si="371"/>
        <v/>
      </c>
      <c r="AF567" s="699" t="str">
        <f t="shared" si="372"/>
        <v/>
      </c>
      <c r="AG567" s="699"/>
      <c r="AH567" s="699"/>
      <c r="AI567" s="512">
        <f>IF(H567="credit",0,IF(AE567="free",0,IF(AE567="me",0,IF(G567&gt;0,(VLOOKUP(A567,'Discount Lookup'!J:K,2)*G567),0))))</f>
        <v>0</v>
      </c>
      <c r="AJ567" s="513" t="str">
        <f t="shared" ca="1" si="373"/>
        <v/>
      </c>
      <c r="AK567" s="700" t="str">
        <f t="shared" si="374"/>
        <v/>
      </c>
      <c r="AL567" s="700"/>
      <c r="AM567" s="505" t="str">
        <f t="shared" si="375"/>
        <v/>
      </c>
      <c r="AN567" s="506"/>
      <c r="AO567" s="507"/>
      <c r="AP567" s="507"/>
      <c r="AQ567" s="507"/>
      <c r="AR567" s="507"/>
      <c r="AS567" s="507"/>
      <c r="AT567" s="507"/>
      <c r="AU567" s="507"/>
      <c r="AV567" s="225"/>
      <c r="AW567" s="508"/>
      <c r="AX567" s="225"/>
      <c r="AY567" s="225"/>
      <c r="AZ567" s="225"/>
      <c r="BA567" s="225"/>
      <c r="BB567" s="225"/>
      <c r="BC567" s="56"/>
      <c r="BD567" s="56"/>
      <c r="BE567" s="56"/>
      <c r="BF567" s="107" t="str">
        <f t="shared" si="376"/>
        <v>https://www.google.com/search?tbm=isch&amp;q=3%20G3</v>
      </c>
      <c r="BG567" s="107" t="str">
        <f t="shared" si="377"/>
        <v>B</v>
      </c>
      <c r="BH567" s="254"/>
      <c r="BI567" s="254"/>
    </row>
    <row r="568" spans="1:61" customFormat="1" ht="17.25" thickBot="1" x14ac:dyDescent="0.3">
      <c r="A568" s="522" t="s">
        <v>2666</v>
      </c>
      <c r="B568" s="491"/>
      <c r="C568" s="675"/>
      <c r="D568" s="491"/>
      <c r="E568" s="491"/>
      <c r="F568" s="492"/>
      <c r="G568" s="493"/>
      <c r="H568" s="491"/>
      <c r="I568" s="234"/>
      <c r="J568" s="234"/>
      <c r="K568" s="494"/>
      <c r="L568" s="543"/>
      <c r="M568" s="561"/>
      <c r="N568" s="495"/>
      <c r="O568" s="496"/>
      <c r="P568" s="497"/>
      <c r="Q568" s="495"/>
      <c r="R568" s="495"/>
      <c r="S568" s="667" t="s">
        <v>4986</v>
      </c>
      <c r="T568" s="508">
        <f t="shared" si="365"/>
        <v>0</v>
      </c>
      <c r="U568" s="225" t="str">
        <f>IF(NOT(ISNUMBER(G568)), "", VLOOKUP(A568,'Discount Lookup'!D:E,2,FALSE)*G568)</f>
        <v/>
      </c>
      <c r="V568" s="225" t="str">
        <f>IF(NOT(ISNUMBER(G568)), "", VLOOKUP(A568,'Discount Lookup'!G:H,2,FALSE)*G568)</f>
        <v/>
      </c>
      <c r="W568" s="508">
        <f t="shared" si="366"/>
        <v>0</v>
      </c>
      <c r="X568" s="508">
        <f t="shared" si="367"/>
        <v>0</v>
      </c>
      <c r="Y568" s="509" t="b">
        <f t="shared" si="368"/>
        <v>0</v>
      </c>
      <c r="Z568" s="510">
        <f t="shared" si="369"/>
        <v>0</v>
      </c>
      <c r="AA568" s="511"/>
      <c r="AB568" s="511" t="str">
        <f t="shared" si="370"/>
        <v/>
      </c>
      <c r="AC568" s="698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698"/>
      <c r="AE568" s="631" t="str">
        <f t="shared" si="371"/>
        <v/>
      </c>
      <c r="AF568" s="699" t="str">
        <f t="shared" si="372"/>
        <v/>
      </c>
      <c r="AG568" s="699"/>
      <c r="AH568" s="699"/>
      <c r="AI568" s="512">
        <f>IF(H568="credit",0,IF(AE568="free",0,IF(AE568="me",0,IF(G568&gt;0,(VLOOKUP(A568,'Discount Lookup'!J:K,2)*G568),0))))</f>
        <v>0</v>
      </c>
      <c r="AJ568" s="513" t="str">
        <f t="shared" ca="1" si="373"/>
        <v/>
      </c>
      <c r="AK568" s="700" t="str">
        <f t="shared" si="374"/>
        <v/>
      </c>
      <c r="AL568" s="700"/>
      <c r="AM568" s="505" t="str">
        <f t="shared" si="375"/>
        <v/>
      </c>
      <c r="AN568" s="506"/>
      <c r="AO568" s="507"/>
      <c r="AP568" s="507"/>
      <c r="AQ568" s="507"/>
      <c r="AR568" s="507"/>
      <c r="AS568" s="507"/>
      <c r="AT568" s="507"/>
      <c r="AU568" s="507"/>
      <c r="AV568" s="225"/>
      <c r="AW568" s="508"/>
      <c r="AX568" s="225"/>
      <c r="AY568" s="225"/>
      <c r="AZ568" s="225"/>
      <c r="BA568" s="225"/>
      <c r="BB568" s="225"/>
      <c r="BC568" s="56"/>
      <c r="BD568" s="56"/>
      <c r="BE568" s="56"/>
      <c r="BF568" s="107" t="str">
        <f t="shared" si="376"/>
        <v>https://www.google.com/search?tbm=isch&amp;q=Burkwood%20known%20for%20its%20intensely%20fragrant%20spring%20blooms%2C%20handsome%20dark%20foliage%2C%20and%20reliable%20berry%20display%20</v>
      </c>
      <c r="BG568" s="107" t="str">
        <f t="shared" si="377"/>
        <v>B</v>
      </c>
      <c r="BH568" s="254"/>
      <c r="BI568" s="254"/>
    </row>
    <row r="569" spans="1:61" customFormat="1" ht="18" x14ac:dyDescent="0.25">
      <c r="A569" s="521" t="s">
        <v>513</v>
      </c>
      <c r="B569" s="477"/>
      <c r="C569" s="674"/>
      <c r="D569" s="478" t="s">
        <v>512</v>
      </c>
      <c r="E569" s="479"/>
      <c r="F569" s="479"/>
      <c r="G569" s="479"/>
      <c r="H569" s="582" t="s">
        <v>720</v>
      </c>
      <c r="I569" s="480" t="s">
        <v>2093</v>
      </c>
      <c r="J569" s="479"/>
      <c r="K569" s="479"/>
      <c r="L569" s="560"/>
      <c r="M569" s="671" t="s">
        <v>4985</v>
      </c>
      <c r="N569" s="680" t="str">
        <f>IF(AND(ISTEXT($A569), ISERROR($A569+0)), HYPERLINK($BF569, "Images"), "")</f>
        <v>Images</v>
      </c>
      <c r="O569" s="662" t="s">
        <v>4969</v>
      </c>
      <c r="P569" s="482"/>
      <c r="Q569" s="483"/>
      <c r="R569" s="483"/>
      <c r="S569" s="484"/>
      <c r="T569" s="508">
        <f t="shared" si="365"/>
        <v>0</v>
      </c>
      <c r="U569" s="225" t="str">
        <f>IF(NOT(ISNUMBER(G569)), "", VLOOKUP(A569,'Discount Lookup'!D:E,2,FALSE)*G569)</f>
        <v/>
      </c>
      <c r="V569" s="225" t="str">
        <f>IF(NOT(ISNUMBER(G569)), "", VLOOKUP(A569,'Discount Lookup'!G:H,2,FALSE)*G569)</f>
        <v/>
      </c>
      <c r="W569" s="508">
        <f t="shared" si="366"/>
        <v>0</v>
      </c>
      <c r="X569" s="508" t="str">
        <f t="shared" si="367"/>
        <v>Dark Green foliage</v>
      </c>
      <c r="Y569" s="509" t="b">
        <f t="shared" si="368"/>
        <v>0</v>
      </c>
      <c r="Z569" s="510">
        <f t="shared" si="369"/>
        <v>0</v>
      </c>
      <c r="AA569" s="511"/>
      <c r="AB569" s="511" t="str">
        <f t="shared" si="370"/>
        <v/>
      </c>
      <c r="AC569" s="698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698"/>
      <c r="AE569" s="631" t="str">
        <f t="shared" si="371"/>
        <v/>
      </c>
      <c r="AF569" s="699" t="str">
        <f t="shared" si="372"/>
        <v/>
      </c>
      <c r="AG569" s="699"/>
      <c r="AH569" s="699"/>
      <c r="AI569" s="512">
        <f>IF(H569="credit",0,IF(AE569="free",0,IF(AE569="me",0,IF(G569&gt;0,(VLOOKUP(A569,'Discount Lookup'!J:K,2)*G569),0))))</f>
        <v>0</v>
      </c>
      <c r="AJ569" s="513" t="str">
        <f t="shared" ca="1" si="373"/>
        <v/>
      </c>
      <c r="AK569" s="700" t="str">
        <f t="shared" si="374"/>
        <v/>
      </c>
      <c r="AL569" s="700"/>
      <c r="AM569" s="505" t="str">
        <f t="shared" si="375"/>
        <v/>
      </c>
      <c r="AN569" s="506"/>
      <c r="AO569" s="507"/>
      <c r="AP569" s="507"/>
      <c r="AQ569" s="507"/>
      <c r="AR569" s="507"/>
      <c r="AS569" s="507"/>
      <c r="AT569" s="507"/>
      <c r="AU569" s="507"/>
      <c r="AV569" s="225"/>
      <c r="AW569" s="508"/>
      <c r="AX569" s="225"/>
      <c r="AY569" s="225"/>
      <c r="AZ569" s="225"/>
      <c r="BA569" s="225"/>
      <c r="BB569" s="225"/>
      <c r="BC569" s="56"/>
      <c r="BD569" s="56"/>
      <c r="BE569" s="56"/>
      <c r="BF569" s="107" t="str">
        <f t="shared" si="376"/>
        <v>https://www.google.com/search?tbm=isch&amp;q=Butcher%27s%20Broom%20Ruscus%20aculeatus</v>
      </c>
      <c r="BG569" s="107" t="str">
        <f t="shared" si="377"/>
        <v>B</v>
      </c>
      <c r="BH569" s="254"/>
      <c r="BI569" s="254"/>
    </row>
    <row r="570" spans="1:61" customFormat="1" ht="27" x14ac:dyDescent="0.25">
      <c r="A570" s="485">
        <v>3</v>
      </c>
      <c r="B570" s="486" t="s">
        <v>291</v>
      </c>
      <c r="C570" s="487" t="s">
        <v>3357</v>
      </c>
      <c r="D570" s="488" t="s">
        <v>292</v>
      </c>
      <c r="E570" s="489">
        <v>54.95</v>
      </c>
      <c r="F570" s="516" t="s">
        <v>293</v>
      </c>
      <c r="G570" s="232">
        <v>0</v>
      </c>
      <c r="H570" s="658" t="str">
        <f>IF(G570=0,"",IF(F570="Buy",IF(G570=1,"plant","plants"),IF(F570&gt;0.01,"warranty","Error")))</f>
        <v/>
      </c>
      <c r="I570" s="490">
        <f>IF(H570="free",0,IF(H570="credit",((E570*(F570))*G570*-1),IF(F570="Buy",(E570*G570),((E570*(1-F570))*G570))))</f>
        <v>0</v>
      </c>
      <c r="J570" s="490">
        <f>IF(H570="warranty",0,(I570*(_xlfn.SINGLE(SalesTaxPercentage))))</f>
        <v>0</v>
      </c>
      <c r="K570" s="695">
        <f t="shared" ref="K570" si="397">I570+J570</f>
        <v>0</v>
      </c>
      <c r="L570" s="695"/>
      <c r="M570" s="659" t="str">
        <f>IF(AND(G570&gt;0,E570=0),"WARNING - no PRICE inserted",IF(H570="free"," FREE ~ no charge this plant",IF(H570="credit",CONCATENATE(" -$",ROUND(K570*(1-T2GDiscount)*-1,2)," CREDIT after discount"),IF(T2GDiscount=0,"",IF(G570=0,"",IF(F570="Buy",CONCATENATE(" $",ROUND(K570*(1-T2GDiscount),2)," with ",(T2GDiscount*100),"% discount"),CONCATENATE(" $",ROUND(K570*(1-T2GDiscount),2)," with ",((T2GDiscount*100+F570*100)-(T2GDiscount*100*F570)),IF(F570&gt;0,"% discounts",IF(NoWarrantyDiscount&gt;0,"% discounts","% discount")))))))))</f>
        <v/>
      </c>
      <c r="N570" s="660"/>
      <c r="O570" s="233"/>
      <c r="P570" s="233"/>
      <c r="Q570" s="233"/>
      <c r="R570" s="233"/>
      <c r="S570" s="233"/>
      <c r="T570" s="508">
        <f t="shared" si="365"/>
        <v>0</v>
      </c>
      <c r="U570" s="225">
        <f>IF(NOT(ISNUMBER(G570)), "", VLOOKUP(A570,'Discount Lookup'!D:E,2,FALSE)*G570)</f>
        <v>0</v>
      </c>
      <c r="V570" s="225">
        <f>IF(NOT(ISNUMBER(G570)), "", VLOOKUP(A570,'Discount Lookup'!G:H,2,FALSE)*G570)</f>
        <v>0</v>
      </c>
      <c r="W570" s="508">
        <f t="shared" si="366"/>
        <v>0</v>
      </c>
      <c r="X570" s="508">
        <f t="shared" si="367"/>
        <v>0</v>
      </c>
      <c r="Y570" s="509" t="b">
        <f t="shared" si="368"/>
        <v>0</v>
      </c>
      <c r="Z570" s="510">
        <f t="shared" si="369"/>
        <v>0</v>
      </c>
      <c r="AA570" s="511"/>
      <c r="AB570" s="511" t="str">
        <f t="shared" si="370"/>
        <v/>
      </c>
      <c r="AC570" s="698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698"/>
      <c r="AE570" s="631" t="str">
        <f t="shared" si="371"/>
        <v/>
      </c>
      <c r="AF570" s="699" t="str">
        <f t="shared" si="372"/>
        <v/>
      </c>
      <c r="AG570" s="699"/>
      <c r="AH570" s="699"/>
      <c r="AI570" s="512">
        <f>IF(H570="credit",0,IF(AE570="free",0,IF(AE570="me",0,IF(G570&gt;0,(VLOOKUP(A570,'Discount Lookup'!J:K,2)*G570),0))))</f>
        <v>0</v>
      </c>
      <c r="AJ570" s="513" t="str">
        <f t="shared" ca="1" si="373"/>
        <v/>
      </c>
      <c r="AK570" s="700" t="str">
        <f t="shared" si="374"/>
        <v/>
      </c>
      <c r="AL570" s="700"/>
      <c r="AM570" s="505" t="str">
        <f t="shared" si="375"/>
        <v/>
      </c>
      <c r="AN570" s="506"/>
      <c r="AO570" s="507"/>
      <c r="AP570" s="507"/>
      <c r="AQ570" s="507"/>
      <c r="AR570" s="507"/>
      <c r="AS570" s="507"/>
      <c r="AT570" s="507"/>
      <c r="AU570" s="507"/>
      <c r="AV570" s="225"/>
      <c r="AW570" s="508"/>
      <c r="AX570" s="225"/>
      <c r="AY570" s="225"/>
      <c r="AZ570" s="225"/>
      <c r="BA570" s="225"/>
      <c r="BB570" s="225"/>
      <c r="BC570" s="56"/>
      <c r="BD570" s="56"/>
      <c r="BE570" s="56"/>
      <c r="BF570" s="107" t="str">
        <f t="shared" si="376"/>
        <v>https://www.google.com/search?tbm=isch&amp;q=3%20G4</v>
      </c>
      <c r="BG570" s="107" t="str">
        <f t="shared" si="377"/>
        <v>B</v>
      </c>
      <c r="BH570" s="254"/>
      <c r="BI570" s="254"/>
    </row>
    <row r="571" spans="1:61" customFormat="1" ht="15.75" x14ac:dyDescent="0.25">
      <c r="A571" s="485">
        <v>3</v>
      </c>
      <c r="B571" s="486" t="s">
        <v>291</v>
      </c>
      <c r="C571" s="487" t="s">
        <v>514</v>
      </c>
      <c r="D571" s="488" t="s">
        <v>300</v>
      </c>
      <c r="E571" s="489">
        <v>67.95</v>
      </c>
      <c r="F571" s="516" t="s">
        <v>293</v>
      </c>
      <c r="G571" s="232">
        <v>0</v>
      </c>
      <c r="H571" s="658" t="str">
        <f>IF(G571=0,"",IF(F571="Buy",IF(G571=1,"plant","plants"),IF(F571&gt;0.01,"warranty","Error")))</f>
        <v/>
      </c>
      <c r="I571" s="490">
        <f>IF(H571="free",0,IF(H571="credit",((E571*(F571))*G571*-1),IF(F571="Buy",(E571*G571),((E571*(1-F571))*G571))))</f>
        <v>0</v>
      </c>
      <c r="J571" s="490">
        <f>IF(H571="warranty",0,(I571*(_xlfn.SINGLE(SalesTaxPercentage))))</f>
        <v>0</v>
      </c>
      <c r="K571" s="695">
        <f t="shared" ref="K571" si="398">I571+J571</f>
        <v>0</v>
      </c>
      <c r="L571" s="695"/>
      <c r="M571" s="659" t="str">
        <f>IF(AND(G571&gt;0,E571=0),"WARNING - no PRICE inserted",IF(H571="free"," FREE ~ no charge this plant",IF(H571="credit",CONCATENATE(" -$",ROUND(K571*(1-T2GDiscount)*-1,2)," CREDIT after discount"),IF(T2GDiscount=0,"",IF(G571=0,"",IF(F571="Buy",CONCATENATE(" $",ROUND(K571*(1-T2GDiscount),2)," with ",(T2GDiscount*100),"% discount"),CONCATENATE(" $",ROUND(K571*(1-T2GDiscount),2)," with ",((T2GDiscount*100+F571*100)-(T2GDiscount*100*F571)),IF(F571&gt;0,"% discounts",IF(NoWarrantyDiscount&gt;0,"% discounts","% discount")))))))))</f>
        <v/>
      </c>
      <c r="N571" s="660"/>
      <c r="O571" s="233"/>
      <c r="P571" s="233"/>
      <c r="Q571" s="233"/>
      <c r="R571" s="233"/>
      <c r="S571" s="233"/>
      <c r="T571" s="508">
        <f t="shared" si="365"/>
        <v>0</v>
      </c>
      <c r="U571" s="225">
        <f>IF(NOT(ISNUMBER(G571)), "", VLOOKUP(A571,'Discount Lookup'!D:E,2,FALSE)*G571)</f>
        <v>0</v>
      </c>
      <c r="V571" s="225">
        <f>IF(NOT(ISNUMBER(G571)), "", VLOOKUP(A571,'Discount Lookup'!G:H,2,FALSE)*G571)</f>
        <v>0</v>
      </c>
      <c r="W571" s="508">
        <f t="shared" si="366"/>
        <v>0</v>
      </c>
      <c r="X571" s="508">
        <f t="shared" si="367"/>
        <v>0</v>
      </c>
      <c r="Y571" s="509" t="b">
        <f t="shared" si="368"/>
        <v>0</v>
      </c>
      <c r="Z571" s="510">
        <f t="shared" si="369"/>
        <v>0</v>
      </c>
      <c r="AA571" s="511"/>
      <c r="AB571" s="511" t="str">
        <f t="shared" si="370"/>
        <v/>
      </c>
      <c r="AC571" s="698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698"/>
      <c r="AE571" s="631" t="str">
        <f t="shared" si="371"/>
        <v/>
      </c>
      <c r="AF571" s="699" t="str">
        <f t="shared" si="372"/>
        <v/>
      </c>
      <c r="AG571" s="699"/>
      <c r="AH571" s="699"/>
      <c r="AI571" s="512">
        <f>IF(H571="credit",0,IF(AE571="free",0,IF(AE571="me",0,IF(G571&gt;0,(VLOOKUP(A571,'Discount Lookup'!J:K,2)*G571),0))))</f>
        <v>0</v>
      </c>
      <c r="AJ571" s="513" t="str">
        <f t="shared" ca="1" si="373"/>
        <v/>
      </c>
      <c r="AK571" s="700" t="str">
        <f t="shared" si="374"/>
        <v/>
      </c>
      <c r="AL571" s="700"/>
      <c r="AM571" s="505" t="str">
        <f t="shared" si="375"/>
        <v/>
      </c>
      <c r="AN571" s="506"/>
      <c r="AO571" s="507"/>
      <c r="AP571" s="507"/>
      <c r="AQ571" s="507"/>
      <c r="AR571" s="507"/>
      <c r="AS571" s="507"/>
      <c r="AT571" s="507"/>
      <c r="AU571" s="507"/>
      <c r="AV571" s="225"/>
      <c r="AW571" s="508"/>
      <c r="AX571" s="225"/>
      <c r="AY571" s="225"/>
      <c r="AZ571" s="225"/>
      <c r="BA571" s="225"/>
      <c r="BB571" s="225"/>
      <c r="BC571" s="56"/>
      <c r="BD571" s="56"/>
      <c r="BE571" s="56"/>
      <c r="BF571" s="107" t="str">
        <f t="shared" si="376"/>
        <v>https://www.google.com/search?tbm=isch&amp;q=3%20G6</v>
      </c>
      <c r="BG571" s="107" t="str">
        <f t="shared" si="377"/>
        <v>B</v>
      </c>
      <c r="BH571" s="254"/>
      <c r="BI571" s="254"/>
    </row>
    <row r="572" spans="1:61" customFormat="1" ht="17.25" thickBot="1" x14ac:dyDescent="0.3">
      <c r="A572" s="522" t="s">
        <v>2867</v>
      </c>
      <c r="B572" s="491"/>
      <c r="C572" s="675"/>
      <c r="D572" s="491"/>
      <c r="E572" s="491"/>
      <c r="F572" s="492"/>
      <c r="G572" s="493"/>
      <c r="H572" s="491"/>
      <c r="I572" s="234"/>
      <c r="J572" s="234"/>
      <c r="K572" s="494"/>
      <c r="L572" s="543"/>
      <c r="M572" s="561"/>
      <c r="N572" s="495"/>
      <c r="O572" s="496"/>
      <c r="P572" s="497"/>
      <c r="Q572" s="495"/>
      <c r="R572" s="495"/>
      <c r="S572" s="667" t="s">
        <v>4970</v>
      </c>
      <c r="T572" s="508">
        <f t="shared" si="365"/>
        <v>0</v>
      </c>
      <c r="U572" s="225" t="str">
        <f>IF(NOT(ISNUMBER(G572)), "", VLOOKUP(A572,'Discount Lookup'!D:E,2,FALSE)*G572)</f>
        <v/>
      </c>
      <c r="V572" s="225" t="str">
        <f>IF(NOT(ISNUMBER(G572)), "", VLOOKUP(A572,'Discount Lookup'!G:H,2,FALSE)*G572)</f>
        <v/>
      </c>
      <c r="W572" s="508">
        <f t="shared" si="366"/>
        <v>0</v>
      </c>
      <c r="X572" s="508">
        <f t="shared" si="367"/>
        <v>0</v>
      </c>
      <c r="Y572" s="509" t="b">
        <f t="shared" si="368"/>
        <v>0</v>
      </c>
      <c r="Z572" s="510">
        <f t="shared" si="369"/>
        <v>0</v>
      </c>
      <c r="AA572" s="511"/>
      <c r="AB572" s="511" t="str">
        <f t="shared" si="370"/>
        <v/>
      </c>
      <c r="AC572" s="698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698"/>
      <c r="AE572" s="631" t="str">
        <f t="shared" si="371"/>
        <v/>
      </c>
      <c r="AF572" s="699" t="str">
        <f t="shared" si="372"/>
        <v/>
      </c>
      <c r="AG572" s="699"/>
      <c r="AH572" s="699"/>
      <c r="AI572" s="512">
        <f>IF(H572="credit",0,IF(AE572="free",0,IF(AE572="me",0,IF(G572&gt;0,(VLOOKUP(A572,'Discount Lookup'!J:K,2)*G572),0))))</f>
        <v>0</v>
      </c>
      <c r="AJ572" s="513" t="str">
        <f t="shared" ca="1" si="373"/>
        <v/>
      </c>
      <c r="AK572" s="700" t="str">
        <f t="shared" si="374"/>
        <v/>
      </c>
      <c r="AL572" s="700"/>
      <c r="AM572" s="505" t="str">
        <f t="shared" si="375"/>
        <v/>
      </c>
      <c r="AN572" s="506"/>
      <c r="AO572" s="507"/>
      <c r="AP572" s="507"/>
      <c r="AQ572" s="507"/>
      <c r="AR572" s="507"/>
      <c r="AS572" s="507"/>
      <c r="AT572" s="507"/>
      <c r="AU572" s="507"/>
      <c r="AV572" s="225"/>
      <c r="AW572" s="508"/>
      <c r="AX572" s="225"/>
      <c r="AY572" s="225"/>
      <c r="AZ572" s="225"/>
      <c r="BA572" s="225"/>
      <c r="BB572" s="225"/>
      <c r="BC572" s="56"/>
      <c r="BD572" s="56"/>
      <c r="BE572" s="56"/>
      <c r="BF572" s="107" t="str">
        <f t="shared" si="376"/>
        <v>https://www.google.com/search?tbm=isch&amp;q=Butcher%E2%80%99s%20Broom%20has%20tough%2C%20spiny-tipped%20stems%20and%20showy%20Red%20winter%20berries.%20Once%20used%20in%20broom-making%20</v>
      </c>
      <c r="BG572" s="107" t="str">
        <f t="shared" si="377"/>
        <v>B</v>
      </c>
      <c r="BH572" s="254"/>
      <c r="BI572" s="254"/>
    </row>
    <row r="573" spans="1:61" customFormat="1" ht="18" x14ac:dyDescent="0.25">
      <c r="A573" s="523" t="s">
        <v>5362</v>
      </c>
      <c r="B573" s="235"/>
      <c r="C573" s="676"/>
      <c r="D573" s="255" t="s">
        <v>563</v>
      </c>
      <c r="E573" s="236"/>
      <c r="F573" s="236"/>
      <c r="G573" s="236"/>
      <c r="H573" s="582" t="s">
        <v>4240</v>
      </c>
      <c r="I573" s="498" t="s">
        <v>3004</v>
      </c>
      <c r="J573" s="237"/>
      <c r="K573" s="237"/>
      <c r="L573" s="274"/>
      <c r="M573" s="668" t="s">
        <v>4962</v>
      </c>
      <c r="N573" s="681" t="str">
        <f>IF(AND(ISTEXT($A573), ISERROR($A573+0)), HYPERLINK($BF573, "Images"), "")</f>
        <v>Images</v>
      </c>
      <c r="O573" s="663" t="s">
        <v>4974</v>
      </c>
      <c r="P573" s="253"/>
      <c r="Q573" s="238"/>
      <c r="R573" s="239"/>
      <c r="S573" s="275"/>
      <c r="T573" s="508">
        <f t="shared" si="365"/>
        <v>0</v>
      </c>
      <c r="U573" s="225" t="str">
        <f>IF(NOT(ISNUMBER(G573)), "", VLOOKUP(A573,'Discount Lookup'!D:E,2,FALSE)*G573)</f>
        <v/>
      </c>
      <c r="V573" s="225" t="str">
        <f>IF(NOT(ISNUMBER(G573)), "", VLOOKUP(A573,'Discount Lookup'!G:H,2,FALSE)*G573)</f>
        <v/>
      </c>
      <c r="W573" s="508">
        <f t="shared" si="366"/>
        <v>0</v>
      </c>
      <c r="X573" s="508" t="str">
        <f t="shared" si="367"/>
        <v>Buttery-Yellow, fading to Cream</v>
      </c>
      <c r="Y573" s="509" t="b">
        <f t="shared" si="368"/>
        <v>0</v>
      </c>
      <c r="Z573" s="510">
        <f t="shared" si="369"/>
        <v>0</v>
      </c>
      <c r="AA573" s="511"/>
      <c r="AB573" s="511" t="str">
        <f t="shared" si="370"/>
        <v/>
      </c>
      <c r="AC573" s="698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698"/>
      <c r="AE573" s="631" t="str">
        <f t="shared" si="371"/>
        <v/>
      </c>
      <c r="AF573" s="699" t="str">
        <f t="shared" si="372"/>
        <v/>
      </c>
      <c r="AG573" s="699"/>
      <c r="AH573" s="699"/>
      <c r="AI573" s="512">
        <f>IF(H573="credit",0,IF(AE573="free",0,IF(AE573="me",0,IF(G573&gt;0,(VLOOKUP(A573,'Discount Lookup'!J:K,2)*G573),0))))</f>
        <v>0</v>
      </c>
      <c r="AJ573" s="513" t="str">
        <f t="shared" ca="1" si="373"/>
        <v/>
      </c>
      <c r="AK573" s="700" t="str">
        <f t="shared" si="374"/>
        <v/>
      </c>
      <c r="AL573" s="700"/>
      <c r="AM573" s="505" t="str">
        <f t="shared" si="375"/>
        <v/>
      </c>
      <c r="AN573" s="506"/>
      <c r="AO573" s="507"/>
      <c r="AP573" s="507"/>
      <c r="AQ573" s="507"/>
      <c r="AR573" s="507"/>
      <c r="AS573" s="507"/>
      <c r="AT573" s="507"/>
      <c r="AU573" s="507"/>
      <c r="AV573" s="225"/>
      <c r="AW573" s="508"/>
      <c r="AX573" s="225"/>
      <c r="AY573" s="225"/>
      <c r="AZ573" s="225"/>
      <c r="BA573" s="225"/>
      <c r="BB573" s="225"/>
      <c r="BC573" s="56"/>
      <c r="BD573" s="56"/>
      <c r="BE573" s="56"/>
      <c r="BF573" s="107" t="str">
        <f t="shared" si="376"/>
        <v>https://www.google.com/search?tbm=isch&amp;q=Buttercream%20Drift%C2%AE%20Rose%20Rosa%20%27Meidevi%27%20PP%2335825</v>
      </c>
      <c r="BG573" s="107" t="str">
        <f t="shared" si="377"/>
        <v>B</v>
      </c>
      <c r="BH573" s="254"/>
      <c r="BI573" s="254"/>
    </row>
    <row r="574" spans="1:61" customFormat="1" ht="15.75" x14ac:dyDescent="0.25">
      <c r="A574" s="276">
        <v>3</v>
      </c>
      <c r="B574" s="240" t="s">
        <v>291</v>
      </c>
      <c r="C574" s="241" t="s">
        <v>4859</v>
      </c>
      <c r="D574" s="242" t="s">
        <v>312</v>
      </c>
      <c r="E574" s="243">
        <v>31.95</v>
      </c>
      <c r="F574" s="517" t="s">
        <v>293</v>
      </c>
      <c r="G574" s="232">
        <v>0</v>
      </c>
      <c r="H574" s="661" t="str">
        <f>IF(G574=0,"",IF(F574="Buy",IF(G574=1,"plant","plants"),IF(F574&gt;0.01,"warranty","Error")))</f>
        <v/>
      </c>
      <c r="I574" s="244">
        <f>IF(H574="free",0,IF(H574="credit",((E574*(F574))*G574*-1),IF(F574="Buy",(E574*G574),((E574*(1-F574))*G574))))</f>
        <v>0</v>
      </c>
      <c r="J574" s="244">
        <f>IF(H574="warranty",0,(I574*(_xlfn.SINGLE(SalesTaxPercentage))))</f>
        <v>0</v>
      </c>
      <c r="K574" s="696">
        <f t="shared" ref="K574" si="399">I574+J574</f>
        <v>0</v>
      </c>
      <c r="L574" s="696"/>
      <c r="M574" s="659" t="str">
        <f>IF(AND(G574&gt;0,E574=0),"WARNING - no PRICE inserted",IF(H574="free"," FREE ~ no charge this plant",IF(H574="credit",CONCATENATE(" -$",ROUND(K574*(1-T2GDiscount)*-1,2)," CREDIT after discount"),IF(T2GDiscount=0,"",IF(G574=0,"",IF(F574="Buy",CONCATENATE(" $",ROUND(K574*(1-T2GDiscount),2)," with ",(T2GDiscount*100),"% discount"),CONCATENATE(" $",ROUND(K574*(1-T2GDiscount),2)," with ",((T2GDiscount*100+F574*100)-(T2GDiscount*100*F574)),IF(F574&gt;0,"% discounts",IF(NoWarrantyDiscount&gt;0,"% discounts","% discount")))))))))</f>
        <v/>
      </c>
      <c r="N574" s="660"/>
      <c r="O574" s="233"/>
      <c r="P574" s="233"/>
      <c r="Q574" s="233"/>
      <c r="R574" s="233"/>
      <c r="S574" s="233"/>
      <c r="T574" s="508">
        <f t="shared" si="365"/>
        <v>0</v>
      </c>
      <c r="U574" s="225">
        <f>IF(NOT(ISNUMBER(G574)), "", VLOOKUP(A574,'Discount Lookup'!D:E,2,FALSE)*G574)</f>
        <v>0</v>
      </c>
      <c r="V574" s="225">
        <f>IF(NOT(ISNUMBER(G574)), "", VLOOKUP(A574,'Discount Lookup'!G:H,2,FALSE)*G574)</f>
        <v>0</v>
      </c>
      <c r="W574" s="508">
        <f t="shared" si="366"/>
        <v>0</v>
      </c>
      <c r="X574" s="508">
        <f t="shared" si="367"/>
        <v>0</v>
      </c>
      <c r="Y574" s="509" t="b">
        <f t="shared" si="368"/>
        <v>0</v>
      </c>
      <c r="Z574" s="510">
        <f t="shared" si="369"/>
        <v>0</v>
      </c>
      <c r="AA574" s="511"/>
      <c r="AB574" s="511" t="str">
        <f t="shared" si="370"/>
        <v/>
      </c>
      <c r="AC574" s="698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698"/>
      <c r="AE574" s="631" t="str">
        <f t="shared" si="371"/>
        <v/>
      </c>
      <c r="AF574" s="699" t="str">
        <f t="shared" si="372"/>
        <v/>
      </c>
      <c r="AG574" s="699"/>
      <c r="AH574" s="699"/>
      <c r="AI574" s="512">
        <f>IF(H574="credit",0,IF(AE574="free",0,IF(AE574="me",0,IF(G574&gt;0,(VLOOKUP(A574,'Discount Lookup'!J:K,2)*G574),0))))</f>
        <v>0</v>
      </c>
      <c r="AJ574" s="513" t="str">
        <f t="shared" ca="1" si="373"/>
        <v/>
      </c>
      <c r="AK574" s="700" t="str">
        <f t="shared" si="374"/>
        <v/>
      </c>
      <c r="AL574" s="700"/>
      <c r="AM574" s="505" t="str">
        <f t="shared" si="375"/>
        <v/>
      </c>
      <c r="AN574" s="506"/>
      <c r="AO574" s="507"/>
      <c r="AP574" s="507"/>
      <c r="AQ574" s="507"/>
      <c r="AR574" s="507"/>
      <c r="AS574" s="507"/>
      <c r="AT574" s="507"/>
      <c r="AU574" s="507"/>
      <c r="AV574" s="225"/>
      <c r="AW574" s="508"/>
      <c r="AX574" s="225"/>
      <c r="AY574" s="225"/>
      <c r="AZ574" s="225"/>
      <c r="BA574" s="225"/>
      <c r="BB574" s="225"/>
      <c r="BC574" s="56"/>
      <c r="BD574" s="56"/>
      <c r="BE574" s="56"/>
      <c r="BF574" s="107" t="str">
        <f t="shared" si="376"/>
        <v>https://www.google.com/search?tbm=isch&amp;q=3%20G2</v>
      </c>
      <c r="BG574" s="107" t="str">
        <f t="shared" si="377"/>
        <v>B</v>
      </c>
      <c r="BH574" s="254"/>
      <c r="BI574" s="254"/>
    </row>
    <row r="575" spans="1:61" customFormat="1" ht="17.25" thickBot="1" x14ac:dyDescent="0.3">
      <c r="A575" s="524" t="s">
        <v>4052</v>
      </c>
      <c r="B575" s="245"/>
      <c r="C575" s="677"/>
      <c r="D575" s="499"/>
      <c r="E575" s="499"/>
      <c r="F575" s="500"/>
      <c r="G575" s="501"/>
      <c r="H575" s="502"/>
      <c r="I575" s="246"/>
      <c r="J575" s="247"/>
      <c r="K575" s="503"/>
      <c r="L575" s="544"/>
      <c r="M575" s="544"/>
      <c r="N575" s="500"/>
      <c r="O575" s="500"/>
      <c r="P575" s="500"/>
      <c r="Q575" s="500"/>
      <c r="R575" s="500"/>
      <c r="S575" s="669" t="s">
        <v>4980</v>
      </c>
      <c r="T575" s="508">
        <f t="shared" si="365"/>
        <v>0</v>
      </c>
      <c r="U575" s="225" t="str">
        <f>IF(NOT(ISNUMBER(G575)), "", VLOOKUP(A575,'Discount Lookup'!D:E,2,FALSE)*G575)</f>
        <v/>
      </c>
      <c r="V575" s="225" t="str">
        <f>IF(NOT(ISNUMBER(G575)), "", VLOOKUP(A575,'Discount Lookup'!G:H,2,FALSE)*G575)</f>
        <v/>
      </c>
      <c r="W575" s="508">
        <f t="shared" si="366"/>
        <v>0</v>
      </c>
      <c r="X575" s="508">
        <f t="shared" si="367"/>
        <v>0</v>
      </c>
      <c r="Y575" s="509" t="b">
        <f t="shared" si="368"/>
        <v>0</v>
      </c>
      <c r="Z575" s="510">
        <f t="shared" si="369"/>
        <v>0</v>
      </c>
      <c r="AA575" s="511"/>
      <c r="AB575" s="511" t="str">
        <f t="shared" si="370"/>
        <v/>
      </c>
      <c r="AC575" s="698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698"/>
      <c r="AE575" s="631" t="str">
        <f t="shared" si="371"/>
        <v/>
      </c>
      <c r="AF575" s="699" t="str">
        <f t="shared" si="372"/>
        <v/>
      </c>
      <c r="AG575" s="699"/>
      <c r="AH575" s="699"/>
      <c r="AI575" s="512">
        <f>IF(H575="credit",0,IF(AE575="free",0,IF(AE575="me",0,IF(G575&gt;0,(VLOOKUP(A575,'Discount Lookup'!J:K,2)*G575),0))))</f>
        <v>0</v>
      </c>
      <c r="AJ575" s="513" t="str">
        <f t="shared" ca="1" si="373"/>
        <v/>
      </c>
      <c r="AK575" s="700" t="str">
        <f t="shared" si="374"/>
        <v/>
      </c>
      <c r="AL575" s="700"/>
      <c r="AM575" s="505" t="str">
        <f t="shared" si="375"/>
        <v/>
      </c>
      <c r="AN575" s="506"/>
      <c r="AO575" s="507"/>
      <c r="AP575" s="507"/>
      <c r="AQ575" s="507"/>
      <c r="AR575" s="507"/>
      <c r="AS575" s="507"/>
      <c r="AT575" s="507"/>
      <c r="AU575" s="507"/>
      <c r="AV575" s="225"/>
      <c r="AW575" s="508"/>
      <c r="AX575" s="225"/>
      <c r="AY575" s="225"/>
      <c r="AZ575" s="225"/>
      <c r="BA575" s="225"/>
      <c r="BB575" s="225"/>
      <c r="BC575" s="56"/>
      <c r="BD575" s="56"/>
      <c r="BE575" s="56"/>
      <c r="BF575" s="107" t="str">
        <f t="shared" si="376"/>
        <v>https://www.google.com/search?tbm=isch&amp;q=Drift%20Roses%20bloom%20all%20summer%20and%20don%27t%20need%20deadheading%2C%20Glossy%20Green%20foliage%20and%20thorns%20%28rabbits%20may%20still%20nibble%29.%20Cut%20back%20annually%20</v>
      </c>
      <c r="BG575" s="107" t="str">
        <f t="shared" si="377"/>
        <v>D</v>
      </c>
      <c r="BH575" s="254"/>
      <c r="BI575" s="254"/>
    </row>
    <row r="576" spans="1:61" customFormat="1" ht="18" x14ac:dyDescent="0.25">
      <c r="A576" s="523" t="s">
        <v>4314</v>
      </c>
      <c r="B576" s="235"/>
      <c r="C576" s="676"/>
      <c r="D576" s="255" t="s">
        <v>4315</v>
      </c>
      <c r="E576" s="236"/>
      <c r="F576" s="236"/>
      <c r="G576" s="236"/>
      <c r="H576" s="582" t="s">
        <v>1098</v>
      </c>
      <c r="I576" s="498" t="s">
        <v>2145</v>
      </c>
      <c r="J576" s="237"/>
      <c r="K576" s="237"/>
      <c r="L576" s="274"/>
      <c r="M576" s="670" t="s">
        <v>4973</v>
      </c>
      <c r="N576" s="681" t="str">
        <f>IF(AND(ISTEXT($A576), ISERROR($A576+0)), HYPERLINK($BF576, "Images"), "")</f>
        <v>Images</v>
      </c>
      <c r="O576" s="663" t="s">
        <v>4967</v>
      </c>
      <c r="P576" s="253"/>
      <c r="Q576" s="238"/>
      <c r="R576" s="239"/>
      <c r="S576" s="275"/>
      <c r="T576" s="508">
        <f t="shared" si="365"/>
        <v>0</v>
      </c>
      <c r="U576" s="225" t="str">
        <f>IF(NOT(ISNUMBER(G576)), "", VLOOKUP(A576,'Discount Lookup'!D:E,2,FALSE)*G576)</f>
        <v/>
      </c>
      <c r="V576" s="225" t="str">
        <f>IF(NOT(ISNUMBER(G576)), "", VLOOKUP(A576,'Discount Lookup'!G:H,2,FALSE)*G576)</f>
        <v/>
      </c>
      <c r="W576" s="508">
        <f t="shared" si="366"/>
        <v>0</v>
      </c>
      <c r="X576" s="508" t="str">
        <f t="shared" si="367"/>
        <v>Pale Yellow bloom</v>
      </c>
      <c r="Y576" s="509" t="b">
        <f t="shared" si="368"/>
        <v>0</v>
      </c>
      <c r="Z576" s="510">
        <f t="shared" si="369"/>
        <v>0</v>
      </c>
      <c r="AA576" s="511"/>
      <c r="AB576" s="511" t="str">
        <f t="shared" si="370"/>
        <v/>
      </c>
      <c r="AC576" s="698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698"/>
      <c r="AE576" s="631" t="str">
        <f t="shared" si="371"/>
        <v/>
      </c>
      <c r="AF576" s="699" t="str">
        <f t="shared" si="372"/>
        <v/>
      </c>
      <c r="AG576" s="699"/>
      <c r="AH576" s="699"/>
      <c r="AI576" s="512">
        <f>IF(H576="credit",0,IF(AE576="free",0,IF(AE576="me",0,IF(G576&gt;0,(VLOOKUP(A576,'Discount Lookup'!J:K,2)*G576),0))))</f>
        <v>0</v>
      </c>
      <c r="AJ576" s="513" t="str">
        <f t="shared" ca="1" si="373"/>
        <v/>
      </c>
      <c r="AK576" s="700" t="str">
        <f t="shared" si="374"/>
        <v/>
      </c>
      <c r="AL576" s="700"/>
      <c r="AM576" s="505" t="str">
        <f t="shared" si="375"/>
        <v/>
      </c>
      <c r="AN576" s="506"/>
      <c r="AO576" s="507"/>
      <c r="AP576" s="507"/>
      <c r="AQ576" s="507"/>
      <c r="AR576" s="507"/>
      <c r="AS576" s="507"/>
      <c r="AT576" s="507"/>
      <c r="AU576" s="507"/>
      <c r="AV576" s="225"/>
      <c r="AW576" s="508"/>
      <c r="AX576" s="225"/>
      <c r="AY576" s="225"/>
      <c r="AZ576" s="225"/>
      <c r="BA576" s="225"/>
      <c r="BB576" s="225"/>
      <c r="BC576" s="56"/>
      <c r="BD576" s="56"/>
      <c r="BE576" s="56"/>
      <c r="BF576" s="107" t="str">
        <f t="shared" si="376"/>
        <v>https://www.google.com/search?tbm=isch&amp;q=Buttercup%20Winterhazel%20Corylopsis%20pauciflora</v>
      </c>
      <c r="BG576" s="107" t="str">
        <f t="shared" si="377"/>
        <v>B</v>
      </c>
      <c r="BH576" s="254"/>
      <c r="BI576" s="254"/>
    </row>
    <row r="577" spans="1:61" customFormat="1" ht="15.75" x14ac:dyDescent="0.25">
      <c r="A577" s="276">
        <v>5</v>
      </c>
      <c r="B577" s="240" t="s">
        <v>291</v>
      </c>
      <c r="C577" s="241" t="s">
        <v>4387</v>
      </c>
      <c r="D577" s="242" t="s">
        <v>292</v>
      </c>
      <c r="E577" s="243">
        <v>77.95</v>
      </c>
      <c r="F577" s="517" t="s">
        <v>293</v>
      </c>
      <c r="G577" s="232">
        <v>0</v>
      </c>
      <c r="H577" s="661" t="str">
        <f>IF(G577=0,"",IF(F577="Buy",IF(G577=1,"plant","plants"),IF(F577&gt;0.01,"warranty","Error")))</f>
        <v/>
      </c>
      <c r="I577" s="244">
        <f>IF(H577="free",0,IF(H577="credit",((E577*(F577))*G577*-1),IF(F577="Buy",(E577*G577),((E577*(1-F577))*G577))))</f>
        <v>0</v>
      </c>
      <c r="J577" s="244">
        <f>IF(H577="warranty",0,(I577*(_xlfn.SINGLE(SalesTaxPercentage))))</f>
        <v>0</v>
      </c>
      <c r="K577" s="696">
        <f t="shared" ref="K577" si="400">I577+J577</f>
        <v>0</v>
      </c>
      <c r="L577" s="696"/>
      <c r="M577" s="659" t="str">
        <f>IF(AND(G577&gt;0,E577=0),"WARNING - no PRICE inserted",IF(H577="free"," FREE ~ no charge this plant",IF(H577="credit",CONCATENATE(" -$",ROUND(K577*(1-T2GDiscount)*-1,2)," CREDIT after discount"),IF(T2GDiscount=0,"",IF(G577=0,"",IF(F577="Buy",CONCATENATE(" $",ROUND(K577*(1-T2GDiscount),2)," with ",(T2GDiscount*100),"% discount"),CONCATENATE(" $",ROUND(K577*(1-T2GDiscount),2)," with ",((T2GDiscount*100+F577*100)-(T2GDiscount*100*F577)),IF(F577&gt;0,"% discounts",IF(NoWarrantyDiscount&gt;0,"% discounts","% discount")))))))))</f>
        <v/>
      </c>
      <c r="N577" s="660"/>
      <c r="O577" s="233"/>
      <c r="P577" s="233"/>
      <c r="Q577" s="233"/>
      <c r="R577" s="233"/>
      <c r="S577" s="233"/>
      <c r="T577" s="508">
        <f t="shared" si="365"/>
        <v>0</v>
      </c>
      <c r="U577" s="225">
        <f>IF(NOT(ISNUMBER(G577)), "", VLOOKUP(A577,'Discount Lookup'!D:E,2,FALSE)*G577)</f>
        <v>0</v>
      </c>
      <c r="V577" s="225">
        <f>IF(NOT(ISNUMBER(G577)), "", VLOOKUP(A577,'Discount Lookup'!G:H,2,FALSE)*G577)</f>
        <v>0</v>
      </c>
      <c r="W577" s="508">
        <f t="shared" si="366"/>
        <v>0</v>
      </c>
      <c r="X577" s="508">
        <f t="shared" si="367"/>
        <v>0</v>
      </c>
      <c r="Y577" s="509" t="b">
        <f t="shared" si="368"/>
        <v>0</v>
      </c>
      <c r="Z577" s="510">
        <f t="shared" si="369"/>
        <v>0</v>
      </c>
      <c r="AA577" s="511"/>
      <c r="AB577" s="511" t="str">
        <f t="shared" si="370"/>
        <v/>
      </c>
      <c r="AC577" s="698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698"/>
      <c r="AE577" s="631" t="str">
        <f t="shared" si="371"/>
        <v/>
      </c>
      <c r="AF577" s="699" t="str">
        <f t="shared" si="372"/>
        <v/>
      </c>
      <c r="AG577" s="699"/>
      <c r="AH577" s="699"/>
      <c r="AI577" s="512">
        <f>IF(H577="credit",0,IF(AE577="free",0,IF(AE577="me",0,IF(G577&gt;0,(VLOOKUP(A577,'Discount Lookup'!J:K,2)*G577),0))))</f>
        <v>0</v>
      </c>
      <c r="AJ577" s="513" t="str">
        <f t="shared" ca="1" si="373"/>
        <v/>
      </c>
      <c r="AK577" s="700" t="str">
        <f t="shared" si="374"/>
        <v/>
      </c>
      <c r="AL577" s="700"/>
      <c r="AM577" s="505" t="str">
        <f t="shared" si="375"/>
        <v/>
      </c>
      <c r="AN577" s="506"/>
      <c r="AO577" s="507"/>
      <c r="AP577" s="507"/>
      <c r="AQ577" s="507"/>
      <c r="AR577" s="507"/>
      <c r="AS577" s="507"/>
      <c r="AT577" s="507"/>
      <c r="AU577" s="507"/>
      <c r="AV577" s="225"/>
      <c r="AW577" s="508"/>
      <c r="AX577" s="225"/>
      <c r="AY577" s="225"/>
      <c r="AZ577" s="225"/>
      <c r="BA577" s="225"/>
      <c r="BB577" s="225"/>
      <c r="BC577" s="56"/>
      <c r="BD577" s="56"/>
      <c r="BE577" s="56"/>
      <c r="BF577" s="107" t="str">
        <f t="shared" si="376"/>
        <v>https://www.google.com/search?tbm=isch&amp;q=5%20G4</v>
      </c>
      <c r="BG577" s="107" t="str">
        <f t="shared" si="377"/>
        <v>B</v>
      </c>
      <c r="BH577" s="254"/>
      <c r="BI577" s="254"/>
    </row>
    <row r="578" spans="1:61" customFormat="1" ht="27" x14ac:dyDescent="0.25">
      <c r="A578" s="276">
        <v>7</v>
      </c>
      <c r="B578" s="240" t="s">
        <v>291</v>
      </c>
      <c r="C578" s="241" t="s">
        <v>4603</v>
      </c>
      <c r="D578" s="242" t="s">
        <v>292</v>
      </c>
      <c r="E578" s="243">
        <v>132.94999999999999</v>
      </c>
      <c r="F578" s="517" t="s">
        <v>293</v>
      </c>
      <c r="G578" s="232">
        <v>0</v>
      </c>
      <c r="H578" s="661" t="str">
        <f>IF(G578=0,"",IF(F578="Buy",IF(G578=1,"plant","plants"),IF(F578&gt;0.01,"warranty","Error")))</f>
        <v/>
      </c>
      <c r="I578" s="244">
        <f>IF(H578="free",0,IF(H578="credit",((E578*(F578))*G578*-1),IF(F578="Buy",(E578*G578),((E578*(1-F578))*G578))))</f>
        <v>0</v>
      </c>
      <c r="J578" s="244">
        <f>IF(H578="warranty",0,(I578*(_xlfn.SINGLE(SalesTaxPercentage))))</f>
        <v>0</v>
      </c>
      <c r="K578" s="696">
        <f t="shared" ref="K578" si="401">I578+J578</f>
        <v>0</v>
      </c>
      <c r="L578" s="696"/>
      <c r="M578" s="659" t="str">
        <f>IF(AND(G578&gt;0,E578=0),"WARNING - no PRICE inserted",IF(H578="free"," FREE ~ no charge this plant",IF(H578="credit",CONCATENATE(" -$",ROUND(K578*(1-T2GDiscount)*-1,2)," CREDIT after discount"),IF(T2GDiscount=0,"",IF(G578=0,"",IF(F578="Buy",CONCATENATE(" $",ROUND(K578*(1-T2GDiscount),2)," with ",(T2GDiscount*100),"% discount"),CONCATENATE(" $",ROUND(K578*(1-T2GDiscount),2)," with ",((T2GDiscount*100+F578*100)-(T2GDiscount*100*F578)),IF(F578&gt;0,"% discounts",IF(NoWarrantyDiscount&gt;0,"% discounts","% discount")))))))))</f>
        <v/>
      </c>
      <c r="N578" s="660"/>
      <c r="O578" s="233"/>
      <c r="P578" s="233"/>
      <c r="Q578" s="233"/>
      <c r="R578" s="233"/>
      <c r="S578" s="233"/>
      <c r="T578" s="508">
        <f t="shared" si="365"/>
        <v>0</v>
      </c>
      <c r="U578" s="225">
        <f>IF(NOT(ISNUMBER(G578)), "", VLOOKUP(A578,'Discount Lookup'!D:E,2,FALSE)*G578)</f>
        <v>0</v>
      </c>
      <c r="V578" s="225">
        <f>IF(NOT(ISNUMBER(G578)), "", VLOOKUP(A578,'Discount Lookup'!G:H,2,FALSE)*G578)</f>
        <v>0</v>
      </c>
      <c r="W578" s="508">
        <f t="shared" si="366"/>
        <v>0</v>
      </c>
      <c r="X578" s="508">
        <f t="shared" si="367"/>
        <v>0</v>
      </c>
      <c r="Y578" s="509" t="b">
        <f t="shared" si="368"/>
        <v>0</v>
      </c>
      <c r="Z578" s="510">
        <f t="shared" si="369"/>
        <v>0</v>
      </c>
      <c r="AA578" s="511"/>
      <c r="AB578" s="511" t="str">
        <f t="shared" si="370"/>
        <v/>
      </c>
      <c r="AC578" s="698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698"/>
      <c r="AE578" s="631" t="str">
        <f t="shared" si="371"/>
        <v/>
      </c>
      <c r="AF578" s="699" t="str">
        <f t="shared" si="372"/>
        <v/>
      </c>
      <c r="AG578" s="699"/>
      <c r="AH578" s="699"/>
      <c r="AI578" s="512">
        <f>IF(H578="credit",0,IF(AE578="free",0,IF(AE578="me",0,IF(G578&gt;0,(VLOOKUP(A578,'Discount Lookup'!J:K,2)*G578),0))))</f>
        <v>0</v>
      </c>
      <c r="AJ578" s="513" t="str">
        <f t="shared" ca="1" si="373"/>
        <v/>
      </c>
      <c r="AK578" s="700" t="str">
        <f t="shared" si="374"/>
        <v/>
      </c>
      <c r="AL578" s="700"/>
      <c r="AM578" s="505" t="str">
        <f t="shared" si="375"/>
        <v/>
      </c>
      <c r="AN578" s="506"/>
      <c r="AO578" s="507"/>
      <c r="AP578" s="507"/>
      <c r="AQ578" s="507"/>
      <c r="AR578" s="507"/>
      <c r="AS578" s="507"/>
      <c r="AT578" s="507"/>
      <c r="AU578" s="507"/>
      <c r="AV578" s="225"/>
      <c r="AW578" s="508"/>
      <c r="AX578" s="225"/>
      <c r="AY578" s="225"/>
      <c r="AZ578" s="225"/>
      <c r="BA578" s="225"/>
      <c r="BB578" s="225"/>
      <c r="BC578" s="56"/>
      <c r="BD578" s="56"/>
      <c r="BE578" s="56"/>
      <c r="BF578" s="107" t="str">
        <f t="shared" si="376"/>
        <v>https://www.google.com/search?tbm=isch&amp;q=7%20G4</v>
      </c>
      <c r="BG578" s="107" t="str">
        <f t="shared" si="377"/>
        <v>B</v>
      </c>
      <c r="BH578" s="254"/>
      <c r="BI578" s="254"/>
    </row>
    <row r="579" spans="1:61" customFormat="1" ht="17.25" thickBot="1" x14ac:dyDescent="0.3">
      <c r="A579" s="524" t="s">
        <v>4316</v>
      </c>
      <c r="B579" s="245"/>
      <c r="C579" s="677"/>
      <c r="D579" s="499"/>
      <c r="E579" s="499"/>
      <c r="F579" s="500"/>
      <c r="G579" s="501"/>
      <c r="H579" s="502"/>
      <c r="I579" s="246"/>
      <c r="J579" s="247"/>
      <c r="K579" s="503"/>
      <c r="L579" s="544"/>
      <c r="M579" s="544"/>
      <c r="N579" s="500"/>
      <c r="O579" s="500"/>
      <c r="P579" s="500"/>
      <c r="Q579" s="500"/>
      <c r="R579" s="500"/>
      <c r="S579" s="278"/>
      <c r="T579" s="508">
        <f t="shared" si="365"/>
        <v>0</v>
      </c>
      <c r="U579" s="225" t="str">
        <f>IF(NOT(ISNUMBER(G579)), "", VLOOKUP(A579,'Discount Lookup'!D:E,2,FALSE)*G579)</f>
        <v/>
      </c>
      <c r="V579" s="225" t="str">
        <f>IF(NOT(ISNUMBER(G579)), "", VLOOKUP(A579,'Discount Lookup'!G:H,2,FALSE)*G579)</f>
        <v/>
      </c>
      <c r="W579" s="508">
        <f t="shared" si="366"/>
        <v>0</v>
      </c>
      <c r="X579" s="508">
        <f t="shared" si="367"/>
        <v>0</v>
      </c>
      <c r="Y579" s="509" t="b">
        <f t="shared" si="368"/>
        <v>0</v>
      </c>
      <c r="Z579" s="510">
        <f t="shared" si="369"/>
        <v>0</v>
      </c>
      <c r="AA579" s="511"/>
      <c r="AB579" s="511" t="str">
        <f t="shared" si="370"/>
        <v/>
      </c>
      <c r="AC579" s="698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698"/>
      <c r="AE579" s="631" t="str">
        <f t="shared" si="371"/>
        <v/>
      </c>
      <c r="AF579" s="699" t="str">
        <f t="shared" si="372"/>
        <v/>
      </c>
      <c r="AG579" s="699"/>
      <c r="AH579" s="699"/>
      <c r="AI579" s="512">
        <f>IF(H579="credit",0,IF(AE579="free",0,IF(AE579="me",0,IF(G579&gt;0,(VLOOKUP(A579,'Discount Lookup'!J:K,2)*G579),0))))</f>
        <v>0</v>
      </c>
      <c r="AJ579" s="513" t="str">
        <f t="shared" ca="1" si="373"/>
        <v/>
      </c>
      <c r="AK579" s="700" t="str">
        <f t="shared" si="374"/>
        <v/>
      </c>
      <c r="AL579" s="700"/>
      <c r="AM579" s="505" t="str">
        <f t="shared" si="375"/>
        <v/>
      </c>
      <c r="AN579" s="506"/>
      <c r="AO579" s="507"/>
      <c r="AP579" s="507"/>
      <c r="AQ579" s="507"/>
      <c r="AR579" s="507"/>
      <c r="AS579" s="507"/>
      <c r="AT579" s="507"/>
      <c r="AU579" s="507"/>
      <c r="AV579" s="225"/>
      <c r="AW579" s="508"/>
      <c r="AX579" s="225"/>
      <c r="AY579" s="225"/>
      <c r="AZ579" s="225"/>
      <c r="BA579" s="225"/>
      <c r="BB579" s="225"/>
      <c r="BC579" s="56"/>
      <c r="BD579" s="56"/>
      <c r="BE579" s="56"/>
      <c r="BF579" s="107" t="str">
        <f t="shared" si="376"/>
        <v>https://www.google.com/search?tbm=isch&amp;q=Buttercup%20has%20fragrant%2C%20bell-shaped%20blooms%20on%20bare%20branches%20in%20late%20winter%2C%20followed%20by%20Bronze-tinged%20foliage%20and%20smooth%20Reddish%20bark%20</v>
      </c>
      <c r="BG579" s="107" t="str">
        <f t="shared" si="377"/>
        <v>B</v>
      </c>
      <c r="BH579" s="254"/>
      <c r="BI579" s="254"/>
    </row>
    <row r="580" spans="1:61" customFormat="1" ht="18" x14ac:dyDescent="0.25">
      <c r="A580" s="523" t="s">
        <v>417</v>
      </c>
      <c r="B580" s="235"/>
      <c r="C580" s="676"/>
      <c r="D580" s="255" t="s">
        <v>416</v>
      </c>
      <c r="E580" s="236"/>
      <c r="F580" s="236"/>
      <c r="G580" s="236"/>
      <c r="H580" s="582" t="s">
        <v>311</v>
      </c>
      <c r="I580" s="498" t="s">
        <v>1365</v>
      </c>
      <c r="J580" s="237"/>
      <c r="K580" s="237"/>
      <c r="L580" s="274"/>
      <c r="M580" s="668" t="s">
        <v>4975</v>
      </c>
      <c r="N580" s="681" t="str">
        <f>IF(AND(ISTEXT($A580), ISERROR($A580+0)), HYPERLINK($BF580, "Images"), "")</f>
        <v>Images</v>
      </c>
      <c r="O580" s="663" t="s">
        <v>4967</v>
      </c>
      <c r="P580" s="253"/>
      <c r="Q580" s="238"/>
      <c r="R580" s="239"/>
      <c r="S580" s="275"/>
      <c r="T580" s="508">
        <f t="shared" si="365"/>
        <v>0</v>
      </c>
      <c r="U580" s="225" t="str">
        <f>IF(NOT(ISNUMBER(G580)), "", VLOOKUP(A580,'Discount Lookup'!D:E,2,FALSE)*G580)</f>
        <v/>
      </c>
      <c r="V580" s="225" t="str">
        <f>IF(NOT(ISNUMBER(G580)), "", VLOOKUP(A580,'Discount Lookup'!G:H,2,FALSE)*G580)</f>
        <v/>
      </c>
      <c r="W580" s="508">
        <f t="shared" si="366"/>
        <v>0</v>
      </c>
      <c r="X580" s="508" t="str">
        <f t="shared" si="367"/>
        <v>Lemon-Yellow bloom</v>
      </c>
      <c r="Y580" s="509" t="b">
        <f t="shared" si="368"/>
        <v>0</v>
      </c>
      <c r="Z580" s="510">
        <f t="shared" si="369"/>
        <v>0</v>
      </c>
      <c r="AA580" s="511"/>
      <c r="AB580" s="511" t="str">
        <f t="shared" si="370"/>
        <v/>
      </c>
      <c r="AC580" s="698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698"/>
      <c r="AE580" s="631" t="str">
        <f t="shared" si="371"/>
        <v/>
      </c>
      <c r="AF580" s="699" t="str">
        <f t="shared" si="372"/>
        <v/>
      </c>
      <c r="AG580" s="699"/>
      <c r="AH580" s="699"/>
      <c r="AI580" s="512">
        <f>IF(H580="credit",0,IF(AE580="free",0,IF(AE580="me",0,IF(G580&gt;0,(VLOOKUP(A580,'Discount Lookup'!J:K,2)*G580),0))))</f>
        <v>0</v>
      </c>
      <c r="AJ580" s="513" t="str">
        <f t="shared" ca="1" si="373"/>
        <v/>
      </c>
      <c r="AK580" s="700" t="str">
        <f t="shared" si="374"/>
        <v/>
      </c>
      <c r="AL580" s="700"/>
      <c r="AM580" s="505" t="str">
        <f t="shared" si="375"/>
        <v/>
      </c>
      <c r="AN580" s="506"/>
      <c r="AO580" s="507"/>
      <c r="AP580" s="507"/>
      <c r="AQ580" s="507"/>
      <c r="AR580" s="507"/>
      <c r="AS580" s="507"/>
      <c r="AT580" s="507"/>
      <c r="AU580" s="507"/>
      <c r="AV580" s="225"/>
      <c r="AW580" s="508"/>
      <c r="AX580" s="225"/>
      <c r="AY580" s="225"/>
      <c r="AZ580" s="225"/>
      <c r="BA580" s="225"/>
      <c r="BB580" s="225"/>
      <c r="BC580" s="56"/>
      <c r="BD580" s="56"/>
      <c r="BE580" s="56"/>
      <c r="BF580" s="107" t="str">
        <f t="shared" si="376"/>
        <v>https://www.google.com/search?tbm=isch&amp;q=Butterflies%20Magnolia%20Magnolia%20%27Butterflies%27%20PP%237456Exp.</v>
      </c>
      <c r="BG580" s="107" t="str">
        <f t="shared" si="377"/>
        <v>B</v>
      </c>
      <c r="BH580" s="254"/>
      <c r="BI580" s="254"/>
    </row>
    <row r="581" spans="1:61" customFormat="1" ht="15.75" x14ac:dyDescent="0.25">
      <c r="A581" s="276">
        <v>3</v>
      </c>
      <c r="B581" s="240" t="s">
        <v>291</v>
      </c>
      <c r="C581" s="241"/>
      <c r="D581" s="242" t="s">
        <v>312</v>
      </c>
      <c r="E581" s="243">
        <v>55.95</v>
      </c>
      <c r="F581" s="517" t="s">
        <v>293</v>
      </c>
      <c r="G581" s="232">
        <v>0</v>
      </c>
      <c r="H581" s="661" t="str">
        <f>IF(G581=0,"",IF(F581="Buy",IF(G581=1,"plant","plants"),IF(F581&gt;0.01,"warranty","Error")))</f>
        <v/>
      </c>
      <c r="I581" s="244">
        <f>IF(H581="free",0,IF(H581="credit",((E581*(F581))*G581*-1),IF(F581="Buy",(E581*G581),((E581*(1-F581))*G581))))</f>
        <v>0</v>
      </c>
      <c r="J581" s="244">
        <f>IF(H581="warranty",0,(I581*(_xlfn.SINGLE(SalesTaxPercentage))))</f>
        <v>0</v>
      </c>
      <c r="K581" s="696">
        <f t="shared" ref="K581" si="402">I581+J581</f>
        <v>0</v>
      </c>
      <c r="L581" s="696"/>
      <c r="M581" s="659" t="str">
        <f>IF(AND(G581&gt;0,E581=0),"WARNING - no PRICE inserted",IF(H581="free"," FREE ~ no charge this plant",IF(H581="credit",CONCATENATE(" -$",ROUND(K581*(1-T2GDiscount)*-1,2)," CREDIT after discount"),IF(T2GDiscount=0,"",IF(G581=0,"",IF(F581="Buy",CONCATENATE(" $",ROUND(K581*(1-T2GDiscount),2)," with ",(T2GDiscount*100),"% discount"),CONCATENATE(" $",ROUND(K581*(1-T2GDiscount),2)," with ",((T2GDiscount*100+F581*100)-(T2GDiscount*100*F581)),IF(F581&gt;0,"% discounts",IF(NoWarrantyDiscount&gt;0,"% discounts","% discount")))))))))</f>
        <v/>
      </c>
      <c r="N581" s="660"/>
      <c r="O581" s="233"/>
      <c r="P581" s="233"/>
      <c r="Q581" s="233"/>
      <c r="R581" s="233"/>
      <c r="S581" s="233"/>
      <c r="T581" s="508">
        <f t="shared" si="365"/>
        <v>0</v>
      </c>
      <c r="U581" s="225">
        <f>IF(NOT(ISNUMBER(G581)), "", VLOOKUP(A581,'Discount Lookup'!D:E,2,FALSE)*G581)</f>
        <v>0</v>
      </c>
      <c r="V581" s="225">
        <f>IF(NOT(ISNUMBER(G581)), "", VLOOKUP(A581,'Discount Lookup'!G:H,2,FALSE)*G581)</f>
        <v>0</v>
      </c>
      <c r="W581" s="508">
        <f t="shared" si="366"/>
        <v>0</v>
      </c>
      <c r="X581" s="508">
        <f t="shared" si="367"/>
        <v>0</v>
      </c>
      <c r="Y581" s="509" t="b">
        <f t="shared" si="368"/>
        <v>0</v>
      </c>
      <c r="Z581" s="510">
        <f t="shared" si="369"/>
        <v>0</v>
      </c>
      <c r="AA581" s="511"/>
      <c r="AB581" s="511" t="str">
        <f t="shared" si="370"/>
        <v/>
      </c>
      <c r="AC581" s="698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698"/>
      <c r="AE581" s="631" t="str">
        <f t="shared" si="371"/>
        <v/>
      </c>
      <c r="AF581" s="699" t="str">
        <f t="shared" si="372"/>
        <v/>
      </c>
      <c r="AG581" s="699"/>
      <c r="AH581" s="699"/>
      <c r="AI581" s="512">
        <f>IF(H581="credit",0,IF(AE581="free",0,IF(AE581="me",0,IF(G581&gt;0,(VLOOKUP(A581,'Discount Lookup'!J:K,2)*G581),0))))</f>
        <v>0</v>
      </c>
      <c r="AJ581" s="513" t="str">
        <f t="shared" ca="1" si="373"/>
        <v/>
      </c>
      <c r="AK581" s="700" t="str">
        <f t="shared" si="374"/>
        <v/>
      </c>
      <c r="AL581" s="700"/>
      <c r="AM581" s="505" t="str">
        <f t="shared" si="375"/>
        <v/>
      </c>
      <c r="AN581" s="506"/>
      <c r="AO581" s="507"/>
      <c r="AP581" s="507"/>
      <c r="AQ581" s="507"/>
      <c r="AR581" s="507"/>
      <c r="AS581" s="507"/>
      <c r="AT581" s="507"/>
      <c r="AU581" s="507"/>
      <c r="AV581" s="225"/>
      <c r="AW581" s="508"/>
      <c r="AX581" s="225"/>
      <c r="AY581" s="225"/>
      <c r="AZ581" s="225"/>
      <c r="BA581" s="225"/>
      <c r="BB581" s="225"/>
      <c r="BC581" s="56"/>
      <c r="BD581" s="56"/>
      <c r="BE581" s="56"/>
      <c r="BF581" s="107" t="str">
        <f t="shared" si="376"/>
        <v>https://www.google.com/search?tbm=isch&amp;q=3%20G2</v>
      </c>
      <c r="BG581" s="107" t="str">
        <f t="shared" si="377"/>
        <v>B</v>
      </c>
      <c r="BH581" s="254"/>
      <c r="BI581" s="254"/>
    </row>
    <row r="582" spans="1:61" customFormat="1" ht="15.75" x14ac:dyDescent="0.25">
      <c r="A582" s="276">
        <v>7</v>
      </c>
      <c r="B582" s="240" t="s">
        <v>291</v>
      </c>
      <c r="C582" s="241" t="s">
        <v>3358</v>
      </c>
      <c r="D582" s="242" t="s">
        <v>292</v>
      </c>
      <c r="E582" s="243">
        <v>109.95</v>
      </c>
      <c r="F582" s="517" t="s">
        <v>293</v>
      </c>
      <c r="G582" s="232">
        <v>0</v>
      </c>
      <c r="H582" s="661" t="str">
        <f>IF(G582=0,"",IF(F582="Buy",IF(G582=1,"plant","plants"),IF(F582&gt;0.01,"warranty","Error")))</f>
        <v/>
      </c>
      <c r="I582" s="244">
        <f>IF(H582="free",0,IF(H582="credit",((E582*(F582))*G582*-1),IF(F582="Buy",(E582*G582),((E582*(1-F582))*G582))))</f>
        <v>0</v>
      </c>
      <c r="J582" s="244">
        <f>IF(H582="warranty",0,(I582*(_xlfn.SINGLE(SalesTaxPercentage))))</f>
        <v>0</v>
      </c>
      <c r="K582" s="696">
        <f t="shared" ref="K582" si="403">I582+J582</f>
        <v>0</v>
      </c>
      <c r="L582" s="696"/>
      <c r="M582" s="659" t="str">
        <f>IF(AND(G582&gt;0,E582=0),"WARNING - no PRICE inserted",IF(H582="free"," FREE ~ no charge this plant",IF(H582="credit",CONCATENATE(" -$",ROUND(K582*(1-T2GDiscount)*-1,2)," CREDIT after discount"),IF(T2GDiscount=0,"",IF(G582=0,"",IF(F582="Buy",CONCATENATE(" $",ROUND(K582*(1-T2GDiscount),2)," with ",(T2GDiscount*100),"% discount"),CONCATENATE(" $",ROUND(K582*(1-T2GDiscount),2)," with ",((T2GDiscount*100+F582*100)-(T2GDiscount*100*F582)),IF(F582&gt;0,"% discounts",IF(NoWarrantyDiscount&gt;0,"% discounts","% discount")))))))))</f>
        <v/>
      </c>
      <c r="N582" s="660"/>
      <c r="O582" s="233"/>
      <c r="P582" s="233"/>
      <c r="Q582" s="233"/>
      <c r="R582" s="233"/>
      <c r="S582" s="233"/>
      <c r="T582" s="508">
        <f t="shared" si="365"/>
        <v>0</v>
      </c>
      <c r="U582" s="225">
        <f>IF(NOT(ISNUMBER(G582)), "", VLOOKUP(A582,'Discount Lookup'!D:E,2,FALSE)*G582)</f>
        <v>0</v>
      </c>
      <c r="V582" s="225">
        <f>IF(NOT(ISNUMBER(G582)), "", VLOOKUP(A582,'Discount Lookup'!G:H,2,FALSE)*G582)</f>
        <v>0</v>
      </c>
      <c r="W582" s="508">
        <f t="shared" si="366"/>
        <v>0</v>
      </c>
      <c r="X582" s="508">
        <f t="shared" si="367"/>
        <v>0</v>
      </c>
      <c r="Y582" s="509" t="b">
        <f t="shared" si="368"/>
        <v>0</v>
      </c>
      <c r="Z582" s="510">
        <f t="shared" si="369"/>
        <v>0</v>
      </c>
      <c r="AA582" s="511"/>
      <c r="AB582" s="511" t="str">
        <f t="shared" si="370"/>
        <v/>
      </c>
      <c r="AC582" s="698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698"/>
      <c r="AE582" s="631" t="str">
        <f t="shared" si="371"/>
        <v/>
      </c>
      <c r="AF582" s="699" t="str">
        <f t="shared" si="372"/>
        <v/>
      </c>
      <c r="AG582" s="699"/>
      <c r="AH582" s="699"/>
      <c r="AI582" s="512">
        <f>IF(H582="credit",0,IF(AE582="free",0,IF(AE582="me",0,IF(G582&gt;0,(VLOOKUP(A582,'Discount Lookup'!J:K,2)*G582),0))))</f>
        <v>0</v>
      </c>
      <c r="AJ582" s="513" t="str">
        <f t="shared" ca="1" si="373"/>
        <v/>
      </c>
      <c r="AK582" s="700" t="str">
        <f t="shared" si="374"/>
        <v/>
      </c>
      <c r="AL582" s="700"/>
      <c r="AM582" s="505" t="str">
        <f t="shared" si="375"/>
        <v/>
      </c>
      <c r="AN582" s="506"/>
      <c r="AO582" s="507"/>
      <c r="AP582" s="507"/>
      <c r="AQ582" s="507"/>
      <c r="AR582" s="507"/>
      <c r="AS582" s="507"/>
      <c r="AT582" s="507"/>
      <c r="AU582" s="507"/>
      <c r="AV582" s="225"/>
      <c r="AW582" s="508"/>
      <c r="AX582" s="225"/>
      <c r="AY582" s="225"/>
      <c r="AZ582" s="225"/>
      <c r="BA582" s="225"/>
      <c r="BB582" s="225"/>
      <c r="BC582" s="56"/>
      <c r="BD582" s="56"/>
      <c r="BE582" s="56"/>
      <c r="BF582" s="107" t="str">
        <f t="shared" si="376"/>
        <v>https://www.google.com/search?tbm=isch&amp;q=7%20G4</v>
      </c>
      <c r="BG582" s="107" t="str">
        <f t="shared" si="377"/>
        <v>B</v>
      </c>
      <c r="BH582" s="254"/>
      <c r="BI582" s="254"/>
    </row>
    <row r="583" spans="1:61" customFormat="1" ht="15.75" x14ac:dyDescent="0.25">
      <c r="A583" s="276">
        <v>10</v>
      </c>
      <c r="B583" s="240" t="s">
        <v>291</v>
      </c>
      <c r="C583" s="241" t="s">
        <v>3359</v>
      </c>
      <c r="D583" s="242" t="s">
        <v>292</v>
      </c>
      <c r="E583" s="243">
        <v>155.94999999999999</v>
      </c>
      <c r="F583" s="517" t="s">
        <v>293</v>
      </c>
      <c r="G583" s="232">
        <v>0</v>
      </c>
      <c r="H583" s="661" t="str">
        <f>IF(G583=0,"",IF(F583="Buy",IF(G583=1,"plant","plants"),IF(F583&gt;0.01,"warranty","Error")))</f>
        <v/>
      </c>
      <c r="I583" s="244">
        <f>IF(H583="free",0,IF(H583="credit",((E583*(F583))*G583*-1),IF(F583="Buy",(E583*G583),((E583*(1-F583))*G583))))</f>
        <v>0</v>
      </c>
      <c r="J583" s="244">
        <f>IF(H583="warranty",0,(I583*(_xlfn.SINGLE(SalesTaxPercentage))))</f>
        <v>0</v>
      </c>
      <c r="K583" s="696">
        <f t="shared" ref="K583" si="404">I583+J583</f>
        <v>0</v>
      </c>
      <c r="L583" s="696"/>
      <c r="M583" s="659" t="str">
        <f>IF(AND(G583&gt;0,E583=0),"WARNING - no PRICE inserted",IF(H583="free"," FREE ~ no charge this plant",IF(H583="credit",CONCATENATE(" -$",ROUND(K583*(1-T2GDiscount)*-1,2)," CREDIT after discount"),IF(T2GDiscount=0,"",IF(G583=0,"",IF(F583="Buy",CONCATENATE(" $",ROUND(K583*(1-T2GDiscount),2)," with ",(T2GDiscount*100),"% discount"),CONCATENATE(" $",ROUND(K583*(1-T2GDiscount),2)," with ",((T2GDiscount*100+F583*100)-(T2GDiscount*100*F583)),IF(F583&gt;0,"% discounts",IF(NoWarrantyDiscount&gt;0,"% discounts","% discount")))))))))</f>
        <v/>
      </c>
      <c r="N583" s="660"/>
      <c r="O583" s="233"/>
      <c r="P583" s="233"/>
      <c r="Q583" s="233"/>
      <c r="R583" s="233"/>
      <c r="S583" s="233"/>
      <c r="T583" s="508">
        <f t="shared" si="365"/>
        <v>0</v>
      </c>
      <c r="U583" s="225">
        <f>IF(NOT(ISNUMBER(G583)), "", VLOOKUP(A583,'Discount Lookup'!D:E,2,FALSE)*G583)</f>
        <v>0</v>
      </c>
      <c r="V583" s="225">
        <f>IF(NOT(ISNUMBER(G583)), "", VLOOKUP(A583,'Discount Lookup'!G:H,2,FALSE)*G583)</f>
        <v>0</v>
      </c>
      <c r="W583" s="508">
        <f t="shared" si="366"/>
        <v>0</v>
      </c>
      <c r="X583" s="508">
        <f t="shared" si="367"/>
        <v>0</v>
      </c>
      <c r="Y583" s="509" t="b">
        <f t="shared" si="368"/>
        <v>0</v>
      </c>
      <c r="Z583" s="510">
        <f t="shared" si="369"/>
        <v>0</v>
      </c>
      <c r="AA583" s="511"/>
      <c r="AB583" s="511" t="str">
        <f t="shared" si="370"/>
        <v/>
      </c>
      <c r="AC583" s="698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698"/>
      <c r="AE583" s="631" t="str">
        <f t="shared" si="371"/>
        <v/>
      </c>
      <c r="AF583" s="699" t="str">
        <f t="shared" si="372"/>
        <v/>
      </c>
      <c r="AG583" s="699"/>
      <c r="AH583" s="699"/>
      <c r="AI583" s="512">
        <f>IF(H583="credit",0,IF(AE583="free",0,IF(AE583="me",0,IF(G583&gt;0,(VLOOKUP(A583,'Discount Lookup'!J:K,2)*G583),0))))</f>
        <v>0</v>
      </c>
      <c r="AJ583" s="513" t="str">
        <f t="shared" ca="1" si="373"/>
        <v/>
      </c>
      <c r="AK583" s="700" t="str">
        <f t="shared" si="374"/>
        <v/>
      </c>
      <c r="AL583" s="700"/>
      <c r="AM583" s="505" t="str">
        <f t="shared" si="375"/>
        <v/>
      </c>
      <c r="AN583" s="506"/>
      <c r="AO583" s="507"/>
      <c r="AP583" s="507"/>
      <c r="AQ583" s="507"/>
      <c r="AR583" s="507"/>
      <c r="AS583" s="507"/>
      <c r="AT583" s="507"/>
      <c r="AU583" s="507"/>
      <c r="AV583" s="225"/>
      <c r="AW583" s="508"/>
      <c r="AX583" s="225"/>
      <c r="AY583" s="225"/>
      <c r="AZ583" s="225"/>
      <c r="BA583" s="225"/>
      <c r="BB583" s="225"/>
      <c r="BC583" s="56"/>
      <c r="BD583" s="56"/>
      <c r="BE583" s="56"/>
      <c r="BF583" s="107" t="str">
        <f t="shared" si="376"/>
        <v>https://www.google.com/search?tbm=isch&amp;q=10%20G4</v>
      </c>
      <c r="BG583" s="107" t="str">
        <f t="shared" si="377"/>
        <v>B</v>
      </c>
      <c r="BH583" s="254"/>
      <c r="BI583" s="254"/>
    </row>
    <row r="584" spans="1:61" customFormat="1" ht="15.75" x14ac:dyDescent="0.25">
      <c r="A584" s="276">
        <v>15</v>
      </c>
      <c r="B584" s="240" t="s">
        <v>291</v>
      </c>
      <c r="C584" s="241" t="s">
        <v>3360</v>
      </c>
      <c r="D584" s="242" t="s">
        <v>292</v>
      </c>
      <c r="E584" s="243">
        <v>196.95</v>
      </c>
      <c r="F584" s="517" t="s">
        <v>293</v>
      </c>
      <c r="G584" s="232">
        <v>0</v>
      </c>
      <c r="H584" s="661" t="str">
        <f>IF(G584=0,"",IF(F584="Buy",IF(G584=1,"plant","plants"),IF(F584&gt;0.01,"warranty","Error")))</f>
        <v/>
      </c>
      <c r="I584" s="244">
        <f>IF(H584="free",0,IF(H584="credit",((E584*(F584))*G584*-1),IF(F584="Buy",(E584*G584),((E584*(1-F584))*G584))))</f>
        <v>0</v>
      </c>
      <c r="J584" s="244">
        <f>IF(H584="warranty",0,(I584*(_xlfn.SINGLE(SalesTaxPercentage))))</f>
        <v>0</v>
      </c>
      <c r="K584" s="696">
        <f t="shared" ref="K584" si="405">I584+J584</f>
        <v>0</v>
      </c>
      <c r="L584" s="696"/>
      <c r="M584" s="659" t="str">
        <f>IF(AND(G584&gt;0,E584=0),"WARNING - no PRICE inserted",IF(H584="free"," FREE ~ no charge this plant",IF(H584="credit",CONCATENATE(" -$",ROUND(K584*(1-T2GDiscount)*-1,2)," CREDIT after discount"),IF(T2GDiscount=0,"",IF(G584=0,"",IF(F584="Buy",CONCATENATE(" $",ROUND(K584*(1-T2GDiscount),2)," with ",(T2GDiscount*100),"% discount"),CONCATENATE(" $",ROUND(K584*(1-T2GDiscount),2)," with ",((T2GDiscount*100+F584*100)-(T2GDiscount*100*F584)),IF(F584&gt;0,"% discounts",IF(NoWarrantyDiscount&gt;0,"% discounts","% discount")))))))))</f>
        <v/>
      </c>
      <c r="N584" s="660"/>
      <c r="O584" s="233"/>
      <c r="P584" s="233"/>
      <c r="Q584" s="233"/>
      <c r="R584" s="233"/>
      <c r="S584" s="233"/>
      <c r="T584" s="508">
        <f t="shared" si="365"/>
        <v>0</v>
      </c>
      <c r="U584" s="225">
        <f>IF(NOT(ISNUMBER(G584)), "", VLOOKUP(A584,'Discount Lookup'!D:E,2,FALSE)*G584)</f>
        <v>0</v>
      </c>
      <c r="V584" s="225">
        <f>IF(NOT(ISNUMBER(G584)), "", VLOOKUP(A584,'Discount Lookup'!G:H,2,FALSE)*G584)</f>
        <v>0</v>
      </c>
      <c r="W584" s="508">
        <f t="shared" si="366"/>
        <v>0</v>
      </c>
      <c r="X584" s="508">
        <f t="shared" si="367"/>
        <v>0</v>
      </c>
      <c r="Y584" s="509" t="b">
        <f t="shared" si="368"/>
        <v>0</v>
      </c>
      <c r="Z584" s="510">
        <f t="shared" si="369"/>
        <v>0</v>
      </c>
      <c r="AA584" s="511"/>
      <c r="AB584" s="511" t="str">
        <f t="shared" si="370"/>
        <v/>
      </c>
      <c r="AC584" s="698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698"/>
      <c r="AE584" s="631" t="str">
        <f t="shared" si="371"/>
        <v/>
      </c>
      <c r="AF584" s="699" t="str">
        <f t="shared" si="372"/>
        <v/>
      </c>
      <c r="AG584" s="699"/>
      <c r="AH584" s="699"/>
      <c r="AI584" s="512">
        <f>IF(H584="credit",0,IF(AE584="free",0,IF(AE584="me",0,IF(G584&gt;0,(VLOOKUP(A584,'Discount Lookup'!J:K,2)*G584),0))))</f>
        <v>0</v>
      </c>
      <c r="AJ584" s="513" t="str">
        <f t="shared" ca="1" si="373"/>
        <v/>
      </c>
      <c r="AK584" s="700" t="str">
        <f t="shared" si="374"/>
        <v/>
      </c>
      <c r="AL584" s="700"/>
      <c r="AM584" s="505" t="str">
        <f t="shared" si="375"/>
        <v/>
      </c>
      <c r="AN584" s="506"/>
      <c r="AO584" s="507"/>
      <c r="AP584" s="507"/>
      <c r="AQ584" s="507"/>
      <c r="AR584" s="507"/>
      <c r="AS584" s="507"/>
      <c r="AT584" s="507"/>
      <c r="AU584" s="507"/>
      <c r="AV584" s="225"/>
      <c r="AW584" s="508"/>
      <c r="AX584" s="225"/>
      <c r="AY584" s="225"/>
      <c r="AZ584" s="225"/>
      <c r="BA584" s="225"/>
      <c r="BB584" s="225"/>
      <c r="BC584" s="56"/>
      <c r="BD584" s="56"/>
      <c r="BE584" s="56"/>
      <c r="BF584" s="107" t="str">
        <f t="shared" si="376"/>
        <v>https://www.google.com/search?tbm=isch&amp;q=15%20G4</v>
      </c>
      <c r="BG584" s="107" t="str">
        <f t="shared" si="377"/>
        <v>B</v>
      </c>
      <c r="BH584" s="254"/>
      <c r="BI584" s="254"/>
    </row>
    <row r="585" spans="1:61" customFormat="1" ht="17.25" thickBot="1" x14ac:dyDescent="0.3">
      <c r="A585" s="524" t="s">
        <v>2119</v>
      </c>
      <c r="B585" s="245"/>
      <c r="C585" s="677"/>
      <c r="D585" s="499"/>
      <c r="E585" s="499"/>
      <c r="F585" s="500"/>
      <c r="G585" s="501"/>
      <c r="H585" s="502"/>
      <c r="I585" s="246"/>
      <c r="J585" s="247"/>
      <c r="K585" s="503"/>
      <c r="L585" s="544"/>
      <c r="M585" s="544"/>
      <c r="N585" s="500"/>
      <c r="O585" s="500"/>
      <c r="P585" s="500"/>
      <c r="Q585" s="500"/>
      <c r="R585" s="500"/>
      <c r="S585" s="278"/>
      <c r="T585" s="508">
        <f t="shared" si="365"/>
        <v>0</v>
      </c>
      <c r="U585" s="225" t="str">
        <f>IF(NOT(ISNUMBER(G585)), "", VLOOKUP(A585,'Discount Lookup'!D:E,2,FALSE)*G585)</f>
        <v/>
      </c>
      <c r="V585" s="225" t="str">
        <f>IF(NOT(ISNUMBER(G585)), "", VLOOKUP(A585,'Discount Lookup'!G:H,2,FALSE)*G585)</f>
        <v/>
      </c>
      <c r="W585" s="508">
        <f t="shared" si="366"/>
        <v>0</v>
      </c>
      <c r="X585" s="508">
        <f t="shared" si="367"/>
        <v>0</v>
      </c>
      <c r="Y585" s="509" t="b">
        <f t="shared" si="368"/>
        <v>0</v>
      </c>
      <c r="Z585" s="510">
        <f t="shared" si="369"/>
        <v>0</v>
      </c>
      <c r="AA585" s="511"/>
      <c r="AB585" s="511" t="str">
        <f t="shared" si="370"/>
        <v/>
      </c>
      <c r="AC585" s="698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698"/>
      <c r="AE585" s="631" t="str">
        <f t="shared" si="371"/>
        <v/>
      </c>
      <c r="AF585" s="699" t="str">
        <f t="shared" si="372"/>
        <v/>
      </c>
      <c r="AG585" s="699"/>
      <c r="AH585" s="699"/>
      <c r="AI585" s="512">
        <f>IF(H585="credit",0,IF(AE585="free",0,IF(AE585="me",0,IF(G585&gt;0,(VLOOKUP(A585,'Discount Lookup'!J:K,2)*G585),0))))</f>
        <v>0</v>
      </c>
      <c r="AJ585" s="513" t="str">
        <f t="shared" ca="1" si="373"/>
        <v/>
      </c>
      <c r="AK585" s="700" t="str">
        <f t="shared" si="374"/>
        <v/>
      </c>
      <c r="AL585" s="700"/>
      <c r="AM585" s="505" t="str">
        <f t="shared" si="375"/>
        <v/>
      </c>
      <c r="AN585" s="506"/>
      <c r="AO585" s="507"/>
      <c r="AP585" s="507"/>
      <c r="AQ585" s="507"/>
      <c r="AR585" s="507"/>
      <c r="AS585" s="507"/>
      <c r="AT585" s="507"/>
      <c r="AU585" s="507"/>
      <c r="AV585" s="225"/>
      <c r="AW585" s="508"/>
      <c r="AX585" s="225"/>
      <c r="AY585" s="225"/>
      <c r="AZ585" s="225"/>
      <c r="BA585" s="225"/>
      <c r="BB585" s="225"/>
      <c r="BC585" s="56"/>
      <c r="BD585" s="56"/>
      <c r="BE585" s="56"/>
      <c r="BF585" s="107" t="str">
        <f t="shared" si="376"/>
        <v>https://www.google.com/search?tbm=isch&amp;q=Butterflies%20named%20for%20strong%20upright%20bloom%20that%20truly%20resembles%20butterflies.%20Frangrant%20blooms%20are%20excellent%20color%20</v>
      </c>
      <c r="BG585" s="107" t="str">
        <f t="shared" si="377"/>
        <v>B</v>
      </c>
      <c r="BH585" s="254"/>
      <c r="BI585" s="254"/>
    </row>
    <row r="586" spans="1:61" customFormat="1" ht="18" x14ac:dyDescent="0.25">
      <c r="A586" s="523" t="s">
        <v>532</v>
      </c>
      <c r="B586" s="235"/>
      <c r="C586" s="676"/>
      <c r="D586" s="255" t="s">
        <v>531</v>
      </c>
      <c r="E586" s="236"/>
      <c r="F586" s="236"/>
      <c r="G586" s="236"/>
      <c r="H586" s="582" t="s">
        <v>2502</v>
      </c>
      <c r="I586" s="498" t="s">
        <v>3137</v>
      </c>
      <c r="J586" s="237"/>
      <c r="K586" s="237"/>
      <c r="L586" s="274"/>
      <c r="M586" s="668" t="s">
        <v>4962</v>
      </c>
      <c r="N586" s="681" t="str">
        <f>IF(AND(ISTEXT($A586), ISERROR($A586+0)), HYPERLINK($BF586, "Images"), "")</f>
        <v>Images</v>
      </c>
      <c r="O586" s="663" t="s">
        <v>4969</v>
      </c>
      <c r="P586" s="253"/>
      <c r="Q586" s="238"/>
      <c r="R586" s="239"/>
      <c r="S586" s="275"/>
      <c r="T586" s="508">
        <f t="shared" si="365"/>
        <v>0</v>
      </c>
      <c r="U586" s="225" t="str">
        <f>IF(NOT(ISNUMBER(G586)), "", VLOOKUP(A586,'Discount Lookup'!D:E,2,FALSE)*G586)</f>
        <v/>
      </c>
      <c r="V586" s="225" t="str">
        <f>IF(NOT(ISNUMBER(G586)), "", VLOOKUP(A586,'Discount Lookup'!G:H,2,FALSE)*G586)</f>
        <v/>
      </c>
      <c r="W586" s="508">
        <f t="shared" si="366"/>
        <v>0</v>
      </c>
      <c r="X586" s="508" t="str">
        <f t="shared" si="367"/>
        <v>Bloom varies</v>
      </c>
      <c r="Y586" s="509" t="b">
        <f t="shared" si="368"/>
        <v>0</v>
      </c>
      <c r="Z586" s="510">
        <f t="shared" si="369"/>
        <v>0</v>
      </c>
      <c r="AA586" s="511"/>
      <c r="AB586" s="511" t="str">
        <f t="shared" si="370"/>
        <v/>
      </c>
      <c r="AC586" s="698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698"/>
      <c r="AE586" s="631" t="str">
        <f t="shared" si="371"/>
        <v/>
      </c>
      <c r="AF586" s="699" t="str">
        <f t="shared" si="372"/>
        <v/>
      </c>
      <c r="AG586" s="699"/>
      <c r="AH586" s="699"/>
      <c r="AI586" s="512">
        <f>IF(H586="credit",0,IF(AE586="free",0,IF(AE586="me",0,IF(G586&gt;0,(VLOOKUP(A586,'Discount Lookup'!J:K,2)*G586),0))))</f>
        <v>0</v>
      </c>
      <c r="AJ586" s="513" t="str">
        <f t="shared" ca="1" si="373"/>
        <v/>
      </c>
      <c r="AK586" s="700" t="str">
        <f t="shared" si="374"/>
        <v/>
      </c>
      <c r="AL586" s="700"/>
      <c r="AM586" s="505" t="str">
        <f t="shared" si="375"/>
        <v/>
      </c>
      <c r="AN586" s="506"/>
      <c r="AO586" s="507"/>
      <c r="AP586" s="507"/>
      <c r="AQ586" s="507"/>
      <c r="AR586" s="507"/>
      <c r="AS586" s="507"/>
      <c r="AT586" s="507"/>
      <c r="AU586" s="507"/>
      <c r="AV586" s="225"/>
      <c r="AW586" s="508"/>
      <c r="AX586" s="225"/>
      <c r="AY586" s="225"/>
      <c r="AZ586" s="225"/>
      <c r="BA586" s="225"/>
      <c r="BB586" s="225"/>
      <c r="BC586" s="56"/>
      <c r="BD586" s="56"/>
      <c r="BE586" s="56"/>
      <c r="BF586" s="107" t="str">
        <f t="shared" si="376"/>
        <v>https://www.google.com/search?tbm=isch&amp;q=Butterfly%20Bush%20Buddleia%20davidii</v>
      </c>
      <c r="BG586" s="107" t="str">
        <f t="shared" si="377"/>
        <v>B</v>
      </c>
      <c r="BH586" s="254"/>
      <c r="BI586" s="254"/>
    </row>
    <row r="587" spans="1:61" customFormat="1" ht="27" x14ac:dyDescent="0.25">
      <c r="A587" s="276">
        <v>3</v>
      </c>
      <c r="B587" s="240" t="s">
        <v>291</v>
      </c>
      <c r="C587" s="241" t="s">
        <v>2350</v>
      </c>
      <c r="D587" s="242" t="s">
        <v>297</v>
      </c>
      <c r="E587" s="243">
        <v>28.95</v>
      </c>
      <c r="F587" s="517" t="s">
        <v>293</v>
      </c>
      <c r="G587" s="232">
        <v>0</v>
      </c>
      <c r="H587" s="661" t="str">
        <f>IF(G587=0,"",IF(F587="Buy",IF(G587=1,"plant","plants"),IF(F587&gt;0.01,"warranty","Error")))</f>
        <v/>
      </c>
      <c r="I587" s="244">
        <f>IF(H587="free",0,IF(H587="credit",((E587*(F587))*G587*-1),IF(F587="Buy",(E587*G587),((E587*(1-F587))*G587))))</f>
        <v>0</v>
      </c>
      <c r="J587" s="244">
        <f>IF(H587="warranty",0,(I587*(_xlfn.SINGLE(SalesTaxPercentage))))</f>
        <v>0</v>
      </c>
      <c r="K587" s="696">
        <f t="shared" ref="K587" si="406">I587+J587</f>
        <v>0</v>
      </c>
      <c r="L587" s="696"/>
      <c r="M587" s="659" t="str">
        <f>IF(AND(G587&gt;0,E587=0),"WARNING - no PRICE inserted",IF(H587="free"," FREE ~ no charge this plant",IF(H587="credit",CONCATENATE(" -$",ROUND(K587*(1-T2GDiscount)*-1,2)," CREDIT after discount"),IF(T2GDiscount=0,"",IF(G587=0,"",IF(F587="Buy",CONCATENATE(" $",ROUND(K587*(1-T2GDiscount),2)," with ",(T2GDiscount*100),"% discount"),CONCATENATE(" $",ROUND(K587*(1-T2GDiscount),2)," with ",((T2GDiscount*100+F587*100)-(T2GDiscount*100*F587)),IF(F587&gt;0,"% discounts",IF(NoWarrantyDiscount&gt;0,"% discounts","% discount")))))))))</f>
        <v/>
      </c>
      <c r="N587" s="660"/>
      <c r="O587" s="233"/>
      <c r="P587" s="233"/>
      <c r="Q587" s="233"/>
      <c r="R587" s="233"/>
      <c r="S587" s="233"/>
      <c r="T587" s="508">
        <f t="shared" si="365"/>
        <v>0</v>
      </c>
      <c r="U587" s="225">
        <f>IF(NOT(ISNUMBER(G587)), "", VLOOKUP(A587,'Discount Lookup'!D:E,2,FALSE)*G587)</f>
        <v>0</v>
      </c>
      <c r="V587" s="225">
        <f>IF(NOT(ISNUMBER(G587)), "", VLOOKUP(A587,'Discount Lookup'!G:H,2,FALSE)*G587)</f>
        <v>0</v>
      </c>
      <c r="W587" s="508">
        <f t="shared" si="366"/>
        <v>0</v>
      </c>
      <c r="X587" s="508">
        <f t="shared" si="367"/>
        <v>0</v>
      </c>
      <c r="Y587" s="509" t="b">
        <f t="shared" si="368"/>
        <v>0</v>
      </c>
      <c r="Z587" s="510">
        <f t="shared" si="369"/>
        <v>0</v>
      </c>
      <c r="AA587" s="511"/>
      <c r="AB587" s="511" t="str">
        <f t="shared" si="370"/>
        <v/>
      </c>
      <c r="AC587" s="698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698"/>
      <c r="AE587" s="631" t="str">
        <f t="shared" si="371"/>
        <v/>
      </c>
      <c r="AF587" s="699" t="str">
        <f t="shared" si="372"/>
        <v/>
      </c>
      <c r="AG587" s="699"/>
      <c r="AH587" s="699"/>
      <c r="AI587" s="512">
        <f>IF(H587="credit",0,IF(AE587="free",0,IF(AE587="me",0,IF(G587&gt;0,(VLOOKUP(A587,'Discount Lookup'!J:K,2)*G587),0))))</f>
        <v>0</v>
      </c>
      <c r="AJ587" s="513" t="str">
        <f t="shared" ca="1" si="373"/>
        <v/>
      </c>
      <c r="AK587" s="700" t="str">
        <f t="shared" si="374"/>
        <v/>
      </c>
      <c r="AL587" s="700"/>
      <c r="AM587" s="505" t="str">
        <f t="shared" si="375"/>
        <v/>
      </c>
      <c r="AN587" s="506"/>
      <c r="AO587" s="507"/>
      <c r="AP587" s="507"/>
      <c r="AQ587" s="507"/>
      <c r="AR587" s="507"/>
      <c r="AS587" s="507"/>
      <c r="AT587" s="507"/>
      <c r="AU587" s="507"/>
      <c r="AV587" s="225"/>
      <c r="AW587" s="508"/>
      <c r="AX587" s="225"/>
      <c r="AY587" s="225"/>
      <c r="AZ587" s="225"/>
      <c r="BA587" s="225"/>
      <c r="BB587" s="225"/>
      <c r="BC587" s="56"/>
      <c r="BD587" s="56"/>
      <c r="BE587" s="56"/>
      <c r="BF587" s="107" t="str">
        <f t="shared" si="376"/>
        <v>https://www.google.com/search?tbm=isch&amp;q=3%20G3</v>
      </c>
      <c r="BG587" s="107" t="str">
        <f t="shared" si="377"/>
        <v>B</v>
      </c>
      <c r="BH587" s="254"/>
      <c r="BI587" s="254"/>
    </row>
    <row r="588" spans="1:61" customFormat="1" ht="17.25" thickBot="1" x14ac:dyDescent="0.3">
      <c r="A588" s="524" t="s">
        <v>3138</v>
      </c>
      <c r="B588" s="245"/>
      <c r="C588" s="677"/>
      <c r="D588" s="499"/>
      <c r="E588" s="499"/>
      <c r="F588" s="500"/>
      <c r="G588" s="501"/>
      <c r="H588" s="502"/>
      <c r="I588" s="246"/>
      <c r="J588" s="247"/>
      <c r="K588" s="503"/>
      <c r="L588" s="544"/>
      <c r="M588" s="544"/>
      <c r="N588" s="500"/>
      <c r="O588" s="500"/>
      <c r="P588" s="500"/>
      <c r="Q588" s="500"/>
      <c r="R588" s="500"/>
      <c r="S588" s="669" t="s">
        <v>4980</v>
      </c>
      <c r="T588" s="508">
        <f t="shared" si="365"/>
        <v>0</v>
      </c>
      <c r="U588" s="225" t="str">
        <f>IF(NOT(ISNUMBER(G588)), "", VLOOKUP(A588,'Discount Lookup'!D:E,2,FALSE)*G588)</f>
        <v/>
      </c>
      <c r="V588" s="225" t="str">
        <f>IF(NOT(ISNUMBER(G588)), "", VLOOKUP(A588,'Discount Lookup'!G:H,2,FALSE)*G588)</f>
        <v/>
      </c>
      <c r="W588" s="508">
        <f t="shared" si="366"/>
        <v>0</v>
      </c>
      <c r="X588" s="508">
        <f t="shared" si="367"/>
        <v>0</v>
      </c>
      <c r="Y588" s="509" t="b">
        <f t="shared" si="368"/>
        <v>0</v>
      </c>
      <c r="Z588" s="510">
        <f t="shared" si="369"/>
        <v>0</v>
      </c>
      <c r="AA588" s="511"/>
      <c r="AB588" s="511" t="str">
        <f t="shared" si="370"/>
        <v/>
      </c>
      <c r="AC588" s="698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698"/>
      <c r="AE588" s="631" t="str">
        <f t="shared" si="371"/>
        <v/>
      </c>
      <c r="AF588" s="699" t="str">
        <f t="shared" si="372"/>
        <v/>
      </c>
      <c r="AG588" s="699"/>
      <c r="AH588" s="699"/>
      <c r="AI588" s="512">
        <f>IF(H588="credit",0,IF(AE588="free",0,IF(AE588="me",0,IF(G588&gt;0,(VLOOKUP(A588,'Discount Lookup'!J:K,2)*G588),0))))</f>
        <v>0</v>
      </c>
      <c r="AJ588" s="513" t="str">
        <f t="shared" ca="1" si="373"/>
        <v/>
      </c>
      <c r="AK588" s="700" t="str">
        <f t="shared" si="374"/>
        <v/>
      </c>
      <c r="AL588" s="700"/>
      <c r="AM588" s="505" t="str">
        <f t="shared" si="375"/>
        <v/>
      </c>
      <c r="AN588" s="506"/>
      <c r="AO588" s="507"/>
      <c r="AP588" s="507"/>
      <c r="AQ588" s="507"/>
      <c r="AR588" s="507"/>
      <c r="AS588" s="507"/>
      <c r="AT588" s="507"/>
      <c r="AU588" s="507"/>
      <c r="AV588" s="225"/>
      <c r="AW588" s="508"/>
      <c r="AX588" s="225"/>
      <c r="AY588" s="225"/>
      <c r="AZ588" s="225"/>
      <c r="BA588" s="225"/>
      <c r="BB588" s="225"/>
      <c r="BC588" s="56"/>
      <c r="BD588" s="56"/>
      <c r="BE588" s="56"/>
      <c r="BF588" s="107" t="str">
        <f t="shared" si="376"/>
        <v>https://www.google.com/search?tbm=isch&amp;q=Butterfly%20Bush%20has%20Green%20foliage.%20%20All%20BB%20bloom%20summer%20to%20frost%2C%20on%20new%20wood%2C%20so%20cut%20back%20hard%20late%20winter%20</v>
      </c>
      <c r="BG588" s="107" t="str">
        <f t="shared" si="377"/>
        <v>B</v>
      </c>
      <c r="BH588" s="254"/>
      <c r="BI588" s="254"/>
    </row>
    <row r="589" spans="1:61" customFormat="1" ht="18" x14ac:dyDescent="0.25">
      <c r="A589" s="523" t="s">
        <v>354</v>
      </c>
      <c r="B589" s="235"/>
      <c r="C589" s="676"/>
      <c r="D589" s="255" t="s">
        <v>353</v>
      </c>
      <c r="E589" s="236"/>
      <c r="F589" s="236"/>
      <c r="G589" s="236"/>
      <c r="H589" s="582" t="s">
        <v>316</v>
      </c>
      <c r="I589" s="498" t="s">
        <v>2120</v>
      </c>
      <c r="J589" s="237"/>
      <c r="K589" s="237"/>
      <c r="L589" s="274"/>
      <c r="M589" s="668" t="s">
        <v>4975</v>
      </c>
      <c r="N589" s="681" t="str">
        <f>IF(AND(ISTEXT($A589), ISERROR($A589+0)), HYPERLINK($BF589, "Images"), "")</f>
        <v>Images</v>
      </c>
      <c r="O589" s="663" t="s">
        <v>4967</v>
      </c>
      <c r="P589" s="253"/>
      <c r="Q589" s="238"/>
      <c r="R589" s="239"/>
      <c r="S589" s="275"/>
      <c r="T589" s="508">
        <f t="shared" si="365"/>
        <v>0</v>
      </c>
      <c r="U589" s="225" t="str">
        <f>IF(NOT(ISNUMBER(G589)), "", VLOOKUP(A589,'Discount Lookup'!D:E,2,FALSE)*G589)</f>
        <v/>
      </c>
      <c r="V589" s="225" t="str">
        <f>IF(NOT(ISNUMBER(G589)), "", VLOOKUP(A589,'Discount Lookup'!G:H,2,FALSE)*G589)</f>
        <v/>
      </c>
      <c r="W589" s="508">
        <f t="shared" si="366"/>
        <v>0</v>
      </c>
      <c r="X589" s="508" t="str">
        <f t="shared" si="367"/>
        <v>Variegated foliage</v>
      </c>
      <c r="Y589" s="509" t="b">
        <f t="shared" si="368"/>
        <v>0</v>
      </c>
      <c r="Z589" s="510">
        <f t="shared" si="369"/>
        <v>0</v>
      </c>
      <c r="AA589" s="511"/>
      <c r="AB589" s="511" t="str">
        <f t="shared" si="370"/>
        <v/>
      </c>
      <c r="AC589" s="698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698"/>
      <c r="AE589" s="631" t="str">
        <f t="shared" si="371"/>
        <v/>
      </c>
      <c r="AF589" s="699" t="str">
        <f t="shared" si="372"/>
        <v/>
      </c>
      <c r="AG589" s="699"/>
      <c r="AH589" s="699"/>
      <c r="AI589" s="512">
        <f>IF(H589="credit",0,IF(AE589="free",0,IF(AE589="me",0,IF(G589&gt;0,(VLOOKUP(A589,'Discount Lookup'!J:K,2)*G589),0))))</f>
        <v>0</v>
      </c>
      <c r="AJ589" s="513" t="str">
        <f t="shared" ca="1" si="373"/>
        <v/>
      </c>
      <c r="AK589" s="700" t="str">
        <f t="shared" si="374"/>
        <v/>
      </c>
      <c r="AL589" s="700"/>
      <c r="AM589" s="505" t="str">
        <f t="shared" si="375"/>
        <v/>
      </c>
      <c r="AN589" s="506"/>
      <c r="AO589" s="507"/>
      <c r="AP589" s="507"/>
      <c r="AQ589" s="507"/>
      <c r="AR589" s="507"/>
      <c r="AS589" s="507"/>
      <c r="AT589" s="507"/>
      <c r="AU589" s="507"/>
      <c r="AV589" s="225"/>
      <c r="AW589" s="508"/>
      <c r="AX589" s="225"/>
      <c r="AY589" s="225"/>
      <c r="AZ589" s="225"/>
      <c r="BA589" s="225"/>
      <c r="BB589" s="225"/>
      <c r="BC589" s="56"/>
      <c r="BD589" s="56"/>
      <c r="BE589" s="56"/>
      <c r="BF589" s="107" t="str">
        <f t="shared" si="376"/>
        <v>https://www.google.com/search?tbm=isch&amp;q=Butterfly%20Japanese%20Maple%20Acer%20palmatum%20%27Butterfly%27</v>
      </c>
      <c r="BG589" s="107" t="str">
        <f t="shared" si="377"/>
        <v>B</v>
      </c>
      <c r="BH589" s="254"/>
      <c r="BI589" s="254"/>
    </row>
    <row r="590" spans="1:61" customFormat="1" ht="15.75" x14ac:dyDescent="0.25">
      <c r="A590" s="276">
        <v>7</v>
      </c>
      <c r="B590" s="240" t="s">
        <v>291</v>
      </c>
      <c r="C590" s="241" t="s">
        <v>3361</v>
      </c>
      <c r="D590" s="242" t="s">
        <v>292</v>
      </c>
      <c r="E590" s="243">
        <v>339.95</v>
      </c>
      <c r="F590" s="517" t="s">
        <v>293</v>
      </c>
      <c r="G590" s="232">
        <v>0</v>
      </c>
      <c r="H590" s="661" t="str">
        <f>IF(G590=0,"",IF(F590="Buy",IF(G590=1,"plant","plants"),IF(F590&gt;0.01,"warranty","Error")))</f>
        <v/>
      </c>
      <c r="I590" s="244">
        <f>IF(H590="free",0,IF(H590="credit",((E590*(F590))*G590*-1),IF(F590="Buy",(E590*G590),((E590*(1-F590))*G590))))</f>
        <v>0</v>
      </c>
      <c r="J590" s="244">
        <f>IF(H590="warranty",0,(I590*(_xlfn.SINGLE(SalesTaxPercentage))))</f>
        <v>0</v>
      </c>
      <c r="K590" s="696">
        <f t="shared" ref="K590" si="407">I590+J590</f>
        <v>0</v>
      </c>
      <c r="L590" s="696"/>
      <c r="M590" s="659" t="str">
        <f>IF(AND(G590&gt;0,E590=0),"WARNING - no PRICE inserted",IF(H590="free"," FREE ~ no charge this plant",IF(H590="credit",CONCATENATE(" -$",ROUND(K590*(1-T2GDiscount)*-1,2)," CREDIT after discount"),IF(T2GDiscount=0,"",IF(G590=0,"",IF(F590="Buy",CONCATENATE(" $",ROUND(K590*(1-T2GDiscount),2)," with ",(T2GDiscount*100),"% discount"),CONCATENATE(" $",ROUND(K590*(1-T2GDiscount),2)," with ",((T2GDiscount*100+F590*100)-(T2GDiscount*100*F590)),IF(F590&gt;0,"% discounts",IF(NoWarrantyDiscount&gt;0,"% discounts","% discount")))))))))</f>
        <v/>
      </c>
      <c r="N590" s="660"/>
      <c r="O590" s="233"/>
      <c r="P590" s="233"/>
      <c r="Q590" s="233"/>
      <c r="R590" s="233"/>
      <c r="S590" s="233"/>
      <c r="T590" s="508">
        <f t="shared" ref="T590:T653" si="408">E590*G590</f>
        <v>0</v>
      </c>
      <c r="U590" s="225">
        <f>IF(NOT(ISNUMBER(G590)), "", VLOOKUP(A590,'Discount Lookup'!D:E,2,FALSE)*G590)</f>
        <v>0</v>
      </c>
      <c r="V590" s="225">
        <f>IF(NOT(ISNUMBER(G590)), "", VLOOKUP(A590,'Discount Lookup'!G:H,2,FALSE)*G590)</f>
        <v>0</v>
      </c>
      <c r="W590" s="508">
        <f t="shared" ref="W590:W653" si="409">IF(H590="credit",0,E590*(SalesTaxPercentage)*G590)</f>
        <v>0</v>
      </c>
      <c r="X590" s="508">
        <f t="shared" ref="X590:X653" si="410">I590</f>
        <v>0</v>
      </c>
      <c r="Y590" s="509" t="b">
        <f t="shared" ref="Y590:Y653" si="411">IF(AE590="T2G",0,IF(H590="credit",0,IF(G590&gt;0,IF(AE590="me","",G590))))</f>
        <v>0</v>
      </c>
      <c r="Z590" s="510">
        <f t="shared" ref="Z590:Z653" si="412">IF(H590="credit",G590,0)</f>
        <v>0</v>
      </c>
      <c r="AA590" s="511"/>
      <c r="AB590" s="511" t="str">
        <f t="shared" ref="AB590:AB653" si="413">IF(AE590="T2G","by Trees2Go",IF(H590="credit","CREDIT only ~",IF(AND(K590="",AE590=OR(PlanterYesMe="No",PlanterYesMe="N",PlanterYesMe="me")),"not THIS line⇨",IF(AND(K590="images",AE590="me"),"not THIS line⇨",IF(H590="credit","",IF(G590=0,"",IF(AE590="me","",IF(OR(PlanterYesMe="No",PlanterYesMe="N",PlanterYesMe="me"),"",IF(AE590="free","warranty",IF(OR(PlanterYesMe="yes",PlanterYesMe="y"),"Edison install:","to install:"))))))))))</f>
        <v/>
      </c>
      <c r="AC590" s="698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698"/>
      <c r="AE590" s="631" t="str">
        <f t="shared" ref="AE590:AE653" si="414">IF(H590="credit","",IF(G590=0,"",IF(OR(PlanterYesMe="No",PlanterYesMe="N",PlanterYesMe="me"),"me",IF(H590="warranty","free",IF(OR(PlanterYesMe="yes",PlanterYesMe="y"),"ELP","")))))</f>
        <v/>
      </c>
      <c r="AF590" s="699" t="str">
        <f t="shared" ref="AF590:AF653" si="415">IF(OR(PlanterYesMe="No",PlanterYesMe="N",PlanterYesMe="me"),"",IF(H590="credit","",IF(G590&gt;0,(CONCATENATE((G590)," quantity, ",(A590)," ",B590)),"")))</f>
        <v/>
      </c>
      <c r="AG590" s="699"/>
      <c r="AH590" s="699"/>
      <c r="AI590" s="512">
        <f>IF(H590="credit",0,IF(AE590="free",0,IF(AE590="me",0,IF(G590&gt;0,(VLOOKUP(A590,'Discount Lookup'!J:K,2)*G590),0))))</f>
        <v>0</v>
      </c>
      <c r="AJ590" s="513" t="str">
        <f t="shared" ref="AJ590:AJ653" ca="1" si="416">IF(AND(ISREF(H590),H590="credit"),"",IF(AND(AND(OFFSET(G590,0,0)=0,OFFSET(G590,1,0)&gt;0,ISNUMBER(OFFSET(AC590,1,0)),OFFSET(AC590,1,0)&gt;0),OR(PlanterYesMe="yes",PlanterYesMe="y")),"T2G+ELP=",IF(AND(OFFSET(G590,0,0)=0,OFFSET(G590,1,0)&gt;0,ISNUMBER(OFFSET(AC590,1,0)),OFFSET(AC590,1,0)&gt;0),"if T2G+ELP=",IF(AND(OFFSET(G590,0,0)=0,OFFSET(G590,1,0)&gt;0),"T2G Subtotal",IF(H590="credit","",IF(G590=0,"",IF(AE590="free",(K590*(1-T2GDiscount)),IF(OR(PlanterYesMe="No",PlanterYesMe="N",PlanterYesMe="me"),(K590*(1-T2GDiscount)),IF(OR(AE590="me",AE590="T2G"),(K590*(1-T2GDiscount)),(K590*(1-T2GDiscount))+AC590)))))))))</f>
        <v/>
      </c>
      <c r="AK590" s="700" t="str">
        <f t="shared" ref="AK590:AK653" si="417">IF(H590="credit","",IF(G590=0,"",IF(OR(AE590="me",AE590="T2G"),"  delivery-only",IF(OR(PlanterYesMe="No",PlanterYesMe="N",PlanterYesMe="me"),"  delivery-only",CONCATENATE(" $",ROUND(AJ590/G590,2)," each")))))</f>
        <v/>
      </c>
      <c r="AL590" s="700"/>
      <c r="AM590" s="505" t="str">
        <f t="shared" ref="AM590:AM653" si="418">IF(H590="credit","",IF(AE590="free","      ~ discounts included, no tax or planting fee applies ~",IF(G590=0,"",IF(OR(PlanterYesMe="No",PlanterYesMe="N",PlanterYesMe="me"),CONCATENATE(" $",ROUND(AJ590/G590,2)," per plant, with tax &amp; discount"),IF(OR(AE590="me",AE590="T2G"),CONCATENATE(" $",ROUND(AJ590/G590,2)," per plant, with tax &amp; discount"),CONCATENATE("= $",ROUND((K590*(1-T2GDiscount))/G590,2)," per plant + $",AC590/G590,(" per planting      ~ includes tax &amp; discounts ~")))))))</f>
        <v/>
      </c>
      <c r="AN590" s="506"/>
      <c r="AO590" s="507"/>
      <c r="AP590" s="507"/>
      <c r="AQ590" s="507"/>
      <c r="AR590" s="507"/>
      <c r="AS590" s="507"/>
      <c r="AT590" s="507"/>
      <c r="AU590" s="507"/>
      <c r="AV590" s="225"/>
      <c r="AW590" s="508"/>
      <c r="AX590" s="225"/>
      <c r="AY590" s="225"/>
      <c r="AZ590" s="225"/>
      <c r="BA590" s="225"/>
      <c r="BB590" s="225"/>
      <c r="BC590" s="56"/>
      <c r="BD590" s="56"/>
      <c r="BE590" s="56"/>
      <c r="BF590" s="107" t="str">
        <f t="shared" ref="BF590:BF653" si="419">"https://www.google.com/search?tbm=isch&amp;q=" &amp; _xlfn.ENCODEURL($A590 &amp; " " &amp; $D590)</f>
        <v>https://www.google.com/search?tbm=isch&amp;q=7%20G4</v>
      </c>
      <c r="BG590" s="107" t="str">
        <f t="shared" ref="BG590:BG653" si="420">IF(ISTEXT(A590),LEFT(A590,1),BG589)</f>
        <v>B</v>
      </c>
      <c r="BH590" s="254"/>
      <c r="BI590" s="254"/>
    </row>
    <row r="591" spans="1:61" customFormat="1" ht="15.75" x14ac:dyDescent="0.25">
      <c r="A591" s="276">
        <v>25</v>
      </c>
      <c r="B591" s="240" t="s">
        <v>291</v>
      </c>
      <c r="C591" s="241" t="s">
        <v>3362</v>
      </c>
      <c r="D591" s="242" t="s">
        <v>292</v>
      </c>
      <c r="E591" s="243">
        <v>790.95</v>
      </c>
      <c r="F591" s="517" t="s">
        <v>293</v>
      </c>
      <c r="G591" s="232">
        <v>0</v>
      </c>
      <c r="H591" s="661" t="str">
        <f>IF(G591=0,"",IF(F591="Buy",IF(G591=1,"plant","plants"),IF(F591&gt;0.01,"warranty","Error")))</f>
        <v/>
      </c>
      <c r="I591" s="244">
        <f>IF(H591="free",0,IF(H591="credit",((E591*(F591))*G591*-1),IF(F591="Buy",(E591*G591),((E591*(1-F591))*G591))))</f>
        <v>0</v>
      </c>
      <c r="J591" s="244">
        <f>IF(H591="warranty",0,(I591*(_xlfn.SINGLE(SalesTaxPercentage))))</f>
        <v>0</v>
      </c>
      <c r="K591" s="696">
        <f t="shared" ref="K591" si="421">I591+J591</f>
        <v>0</v>
      </c>
      <c r="L591" s="696"/>
      <c r="M591" s="659" t="str">
        <f>IF(AND(G591&gt;0,E591=0),"WARNING - no PRICE inserted",IF(H591="free"," FREE ~ no charge this plant",IF(H591="credit",CONCATENATE(" -$",ROUND(K591*(1-T2GDiscount)*-1,2)," CREDIT after discount"),IF(T2GDiscount=0,"",IF(G591=0,"",IF(F591="Buy",CONCATENATE(" $",ROUND(K591*(1-T2GDiscount),2)," with ",(T2GDiscount*100),"% discount"),CONCATENATE(" $",ROUND(K591*(1-T2GDiscount),2)," with ",((T2GDiscount*100+F591*100)-(T2GDiscount*100*F591)),IF(F591&gt;0,"% discounts",IF(NoWarrantyDiscount&gt;0,"% discounts","% discount")))))))))</f>
        <v/>
      </c>
      <c r="N591" s="660"/>
      <c r="O591" s="233"/>
      <c r="P591" s="233"/>
      <c r="Q591" s="233"/>
      <c r="R591" s="233"/>
      <c r="S591" s="233"/>
      <c r="T591" s="508">
        <f t="shared" si="408"/>
        <v>0</v>
      </c>
      <c r="U591" s="225">
        <f>IF(NOT(ISNUMBER(G591)), "", VLOOKUP(A591,'Discount Lookup'!D:E,2,FALSE)*G591)</f>
        <v>0</v>
      </c>
      <c r="V591" s="225">
        <f>IF(NOT(ISNUMBER(G591)), "", VLOOKUP(A591,'Discount Lookup'!G:H,2,FALSE)*G591)</f>
        <v>0</v>
      </c>
      <c r="W591" s="508">
        <f t="shared" si="409"/>
        <v>0</v>
      </c>
      <c r="X591" s="508">
        <f t="shared" si="410"/>
        <v>0</v>
      </c>
      <c r="Y591" s="509" t="b">
        <f t="shared" si="411"/>
        <v>0</v>
      </c>
      <c r="Z591" s="510">
        <f t="shared" si="412"/>
        <v>0</v>
      </c>
      <c r="AA591" s="511"/>
      <c r="AB591" s="511" t="str">
        <f t="shared" si="413"/>
        <v/>
      </c>
      <c r="AC591" s="698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698"/>
      <c r="AE591" s="631" t="str">
        <f t="shared" si="414"/>
        <v/>
      </c>
      <c r="AF591" s="699" t="str">
        <f t="shared" si="415"/>
        <v/>
      </c>
      <c r="AG591" s="699"/>
      <c r="AH591" s="699"/>
      <c r="AI591" s="512">
        <f>IF(H591="credit",0,IF(AE591="free",0,IF(AE591="me",0,IF(G591&gt;0,(VLOOKUP(A591,'Discount Lookup'!J:K,2)*G591),0))))</f>
        <v>0</v>
      </c>
      <c r="AJ591" s="513" t="str">
        <f t="shared" ca="1" si="416"/>
        <v/>
      </c>
      <c r="AK591" s="700" t="str">
        <f t="shared" si="417"/>
        <v/>
      </c>
      <c r="AL591" s="700"/>
      <c r="AM591" s="505" t="str">
        <f t="shared" si="418"/>
        <v/>
      </c>
      <c r="AN591" s="506"/>
      <c r="AO591" s="507"/>
      <c r="AP591" s="507"/>
      <c r="AQ591" s="507"/>
      <c r="AR591" s="507"/>
      <c r="AS591" s="507"/>
      <c r="AT591" s="507"/>
      <c r="AU591" s="507"/>
      <c r="AV591" s="225"/>
      <c r="AW591" s="508"/>
      <c r="AX591" s="225"/>
      <c r="AY591" s="225"/>
      <c r="AZ591" s="225"/>
      <c r="BA591" s="225"/>
      <c r="BB591" s="225"/>
      <c r="BC591" s="56"/>
      <c r="BD591" s="56"/>
      <c r="BE591" s="56"/>
      <c r="BF591" s="107" t="str">
        <f t="shared" si="419"/>
        <v>https://www.google.com/search?tbm=isch&amp;q=25%20G4</v>
      </c>
      <c r="BG591" s="107" t="str">
        <f t="shared" si="420"/>
        <v>B</v>
      </c>
      <c r="BH591" s="254"/>
      <c r="BI591" s="254"/>
    </row>
    <row r="592" spans="1:61" customFormat="1" ht="16.5" x14ac:dyDescent="0.25">
      <c r="A592" s="524" t="s">
        <v>2351</v>
      </c>
      <c r="B592" s="245"/>
      <c r="C592" s="677"/>
      <c r="D592" s="499"/>
      <c r="E592" s="499"/>
      <c r="F592" s="500"/>
      <c r="G592" s="501"/>
      <c r="H592" s="502"/>
      <c r="I592" s="246"/>
      <c r="J592" s="247"/>
      <c r="K592" s="503"/>
      <c r="L592" s="544"/>
      <c r="M592" s="544"/>
      <c r="N592" s="500"/>
      <c r="O592" s="500"/>
      <c r="P592" s="500"/>
      <c r="Q592" s="500"/>
      <c r="R592" s="500"/>
      <c r="S592" s="278"/>
      <c r="T592" s="508">
        <f t="shared" si="408"/>
        <v>0</v>
      </c>
      <c r="U592" s="225" t="str">
        <f>IF(NOT(ISNUMBER(G592)), "", VLOOKUP(A592,'Discount Lookup'!D:E,2,FALSE)*G592)</f>
        <v/>
      </c>
      <c r="V592" s="225" t="str">
        <f>IF(NOT(ISNUMBER(G592)), "", VLOOKUP(A592,'Discount Lookup'!G:H,2,FALSE)*G592)</f>
        <v/>
      </c>
      <c r="W592" s="508">
        <f t="shared" si="409"/>
        <v>0</v>
      </c>
      <c r="X592" s="508">
        <f t="shared" si="410"/>
        <v>0</v>
      </c>
      <c r="Y592" s="509" t="b">
        <f t="shared" si="411"/>
        <v>0</v>
      </c>
      <c r="Z592" s="510">
        <f t="shared" si="412"/>
        <v>0</v>
      </c>
      <c r="AA592" s="511"/>
      <c r="AB592" s="511" t="str">
        <f t="shared" si="413"/>
        <v/>
      </c>
      <c r="AC592" s="698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698"/>
      <c r="AE592" s="631" t="str">
        <f t="shared" si="414"/>
        <v/>
      </c>
      <c r="AF592" s="699" t="str">
        <f t="shared" si="415"/>
        <v/>
      </c>
      <c r="AG592" s="699"/>
      <c r="AH592" s="699"/>
      <c r="AI592" s="512">
        <f>IF(H592="credit",0,IF(AE592="free",0,IF(AE592="me",0,IF(G592&gt;0,(VLOOKUP(A592,'Discount Lookup'!J:K,2)*G592),0))))</f>
        <v>0</v>
      </c>
      <c r="AJ592" s="513" t="str">
        <f t="shared" ca="1" si="416"/>
        <v/>
      </c>
      <c r="AK592" s="700" t="str">
        <f t="shared" si="417"/>
        <v/>
      </c>
      <c r="AL592" s="700"/>
      <c r="AM592" s="505" t="str">
        <f t="shared" si="418"/>
        <v/>
      </c>
      <c r="AN592" s="506"/>
      <c r="AO592" s="507"/>
      <c r="AP592" s="507"/>
      <c r="AQ592" s="507"/>
      <c r="AR592" s="507"/>
      <c r="AS592" s="507"/>
      <c r="AT592" s="507"/>
      <c r="AU592" s="507"/>
      <c r="AV592" s="225"/>
      <c r="AW592" s="508"/>
      <c r="AX592" s="225"/>
      <c r="AY592" s="225"/>
      <c r="AZ592" s="225"/>
      <c r="BA592" s="225"/>
      <c r="BB592" s="225"/>
      <c r="BC592" s="56"/>
      <c r="BD592" s="56"/>
      <c r="BE592" s="56"/>
      <c r="BF592" s="107" t="str">
        <f t="shared" si="419"/>
        <v>https://www.google.com/search?tbm=isch&amp;q=Butterfly%27s%20variegated%20foliage%20is%20green%20with%20creamy%20White%20to%20Pink%20edges.%20Twisted%2C%20irregular%20foliage%20adds%20interest%20</v>
      </c>
      <c r="BG592" s="107" t="str">
        <f t="shared" si="420"/>
        <v>B</v>
      </c>
      <c r="BH592" s="254"/>
      <c r="BI592" s="254"/>
    </row>
    <row r="593" spans="1:61" customFormat="1" ht="45.75" thickBot="1" x14ac:dyDescent="0.35">
      <c r="A593" s="525" t="s">
        <v>675</v>
      </c>
      <c r="B593" s="248"/>
      <c r="C593" s="678" t="s">
        <v>673</v>
      </c>
      <c r="D593" s="249"/>
      <c r="E593" s="249"/>
      <c r="F593" s="249"/>
      <c r="G593" s="249"/>
      <c r="H593" s="250"/>
      <c r="I593" s="249"/>
      <c r="J593" s="249"/>
      <c r="K593" s="526" t="s">
        <v>2840</v>
      </c>
      <c r="L593" s="279"/>
      <c r="M593" s="251"/>
      <c r="S593" s="504" t="s">
        <v>2841</v>
      </c>
      <c r="T593" s="508">
        <f t="shared" si="408"/>
        <v>0</v>
      </c>
      <c r="U593" s="225" t="str">
        <f>IF(NOT(ISNUMBER(G593)), "", VLOOKUP(A593,'Discount Lookup'!D:E,2,FALSE)*G593)</f>
        <v/>
      </c>
      <c r="V593" s="225" t="str">
        <f>IF(NOT(ISNUMBER(G593)), "", VLOOKUP(A593,'Discount Lookup'!G:H,2,FALSE)*G593)</f>
        <v/>
      </c>
      <c r="W593" s="508">
        <f t="shared" si="409"/>
        <v>0</v>
      </c>
      <c r="X593" s="508">
        <f t="shared" si="410"/>
        <v>0</v>
      </c>
      <c r="Y593" s="509" t="b">
        <f t="shared" si="411"/>
        <v>0</v>
      </c>
      <c r="Z593" s="510">
        <f t="shared" si="412"/>
        <v>0</v>
      </c>
      <c r="AA593" s="511"/>
      <c r="AB593" s="511" t="str">
        <f t="shared" si="413"/>
        <v/>
      </c>
      <c r="AC593" s="698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698"/>
      <c r="AE593" s="631" t="str">
        <f t="shared" si="414"/>
        <v/>
      </c>
      <c r="AF593" s="699" t="str">
        <f t="shared" si="415"/>
        <v/>
      </c>
      <c r="AG593" s="699"/>
      <c r="AH593" s="699"/>
      <c r="AI593" s="512">
        <f>IF(H593="credit",0,IF(AE593="free",0,IF(AE593="me",0,IF(G593&gt;0,(VLOOKUP(A593,'Discount Lookup'!J:K,2)*G593),0))))</f>
        <v>0</v>
      </c>
      <c r="AJ593" s="513" t="str">
        <f t="shared" ca="1" si="416"/>
        <v/>
      </c>
      <c r="AK593" s="700" t="str">
        <f t="shared" si="417"/>
        <v/>
      </c>
      <c r="AL593" s="700"/>
      <c r="AM593" s="505" t="str">
        <f t="shared" si="418"/>
        <v/>
      </c>
      <c r="AN593" s="506"/>
      <c r="AO593" s="507"/>
      <c r="AP593" s="507"/>
      <c r="AQ593" s="507"/>
      <c r="AR593" s="507"/>
      <c r="AS593" s="507"/>
      <c r="AT593" s="507"/>
      <c r="AU593" s="507"/>
      <c r="AV593" s="225"/>
      <c r="AW593" s="508"/>
      <c r="AX593" s="225"/>
      <c r="AY593" s="225"/>
      <c r="AZ593" s="225"/>
      <c r="BA593" s="225"/>
      <c r="BB593" s="225"/>
      <c r="BC593" s="56"/>
      <c r="BD593" s="56"/>
      <c r="BE593" s="56"/>
      <c r="BF593" s="107" t="str">
        <f t="shared" si="419"/>
        <v>https://www.google.com/search?tbm=isch&amp;q=C%20</v>
      </c>
      <c r="BG593" s="107" t="str">
        <f t="shared" si="420"/>
        <v>C</v>
      </c>
      <c r="BH593" s="254"/>
      <c r="BI593" s="254"/>
    </row>
    <row r="594" spans="1:61" customFormat="1" ht="18" x14ac:dyDescent="0.25">
      <c r="A594" s="523" t="s">
        <v>4491</v>
      </c>
      <c r="B594" s="235"/>
      <c r="C594" s="676"/>
      <c r="D594" s="255" t="s">
        <v>4492</v>
      </c>
      <c r="E594" s="236"/>
      <c r="F594" s="236"/>
      <c r="G594" s="236"/>
      <c r="H594" s="582" t="s">
        <v>4493</v>
      </c>
      <c r="I594" s="498" t="s">
        <v>4494</v>
      </c>
      <c r="J594" s="237"/>
      <c r="K594" s="237"/>
      <c r="L594" s="274"/>
      <c r="M594" s="668" t="s">
        <v>4975</v>
      </c>
      <c r="N594" s="681" t="str">
        <f>IF(AND(ISTEXT($A594), ISERROR($A594+0)), HYPERLINK($BF594, "Images"), "")</f>
        <v>Images</v>
      </c>
      <c r="O594" s="663" t="s">
        <v>4969</v>
      </c>
      <c r="P594" s="253"/>
      <c r="Q594" s="238"/>
      <c r="R594" s="239"/>
      <c r="S594" s="275"/>
      <c r="T594" s="508">
        <f t="shared" si="408"/>
        <v>0</v>
      </c>
      <c r="U594" s="225" t="str">
        <f>IF(NOT(ISNUMBER(G594)), "", VLOOKUP(A594,'Discount Lookup'!D:E,2,FALSE)*G594)</f>
        <v/>
      </c>
      <c r="V594" s="225" t="str">
        <f>IF(NOT(ISNUMBER(G594)), "", VLOOKUP(A594,'Discount Lookup'!G:H,2,FALSE)*G594)</f>
        <v/>
      </c>
      <c r="W594" s="508">
        <f t="shared" si="409"/>
        <v>0</v>
      </c>
      <c r="X594" s="508" t="str">
        <f t="shared" si="410"/>
        <v>Deep Violet-Purple bloom</v>
      </c>
      <c r="Y594" s="509" t="b">
        <f t="shared" si="411"/>
        <v>0</v>
      </c>
      <c r="Z594" s="510">
        <f t="shared" si="412"/>
        <v>0</v>
      </c>
      <c r="AA594" s="511"/>
      <c r="AB594" s="511" t="str">
        <f t="shared" si="413"/>
        <v/>
      </c>
      <c r="AC594" s="698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698"/>
      <c r="AE594" s="631" t="str">
        <f t="shared" si="414"/>
        <v/>
      </c>
      <c r="AF594" s="699" t="str">
        <f t="shared" si="415"/>
        <v/>
      </c>
      <c r="AG594" s="699"/>
      <c r="AH594" s="699"/>
      <c r="AI594" s="512">
        <f>IF(H594="credit",0,IF(AE594="free",0,IF(AE594="me",0,IF(G594&gt;0,(VLOOKUP(A594,'Discount Lookup'!J:K,2)*G594),0))))</f>
        <v>0</v>
      </c>
      <c r="AJ594" s="513" t="str">
        <f t="shared" ca="1" si="416"/>
        <v/>
      </c>
      <c r="AK594" s="700" t="str">
        <f t="shared" si="417"/>
        <v/>
      </c>
      <c r="AL594" s="700"/>
      <c r="AM594" s="505" t="str">
        <f t="shared" si="418"/>
        <v/>
      </c>
      <c r="AN594" s="506"/>
      <c r="AO594" s="507"/>
      <c r="AP594" s="507"/>
      <c r="AQ594" s="507"/>
      <c r="AR594" s="507"/>
      <c r="AS594" s="507"/>
      <c r="AT594" s="507"/>
      <c r="AU594" s="507"/>
      <c r="AV594" s="225"/>
      <c r="AW594" s="508"/>
      <c r="AX594" s="225"/>
      <c r="AY594" s="225"/>
      <c r="AZ594" s="225"/>
      <c r="BA594" s="225"/>
      <c r="BB594" s="225"/>
      <c r="BC594" s="56"/>
      <c r="BD594" s="56"/>
      <c r="BE594" s="56"/>
      <c r="BF594" s="107" t="str">
        <f t="shared" si="419"/>
        <v>https://www.google.com/search?tbm=isch&amp;q=Caesar%27s%20Brother%20Siberian%20Iris%20Iris%20sibirica%20%27Caesar%27s%20Brother%27</v>
      </c>
      <c r="BG594" s="107" t="str">
        <f t="shared" si="420"/>
        <v>C</v>
      </c>
      <c r="BH594" s="254"/>
      <c r="BI594" s="254"/>
    </row>
    <row r="595" spans="1:61" customFormat="1" ht="15.75" x14ac:dyDescent="0.25">
      <c r="A595" s="276">
        <v>1</v>
      </c>
      <c r="B595" s="240" t="s">
        <v>291</v>
      </c>
      <c r="C595" s="241"/>
      <c r="D595" s="242" t="s">
        <v>300</v>
      </c>
      <c r="E595" s="243">
        <v>24.95</v>
      </c>
      <c r="F595" s="517" t="s">
        <v>293</v>
      </c>
      <c r="G595" s="232">
        <v>0</v>
      </c>
      <c r="H595" s="661" t="str">
        <f>IF(G595=0,"",IF(F595="Buy",IF(G595=1,"plant","plants"),IF(F595&gt;0.01,"warranty","Error")))</f>
        <v/>
      </c>
      <c r="I595" s="244">
        <f>IF(H595="free",0,IF(H595="credit",((E595*(F595))*G595*-1),IF(F595="Buy",(E595*G595),((E595*(1-F595))*G595))))</f>
        <v>0</v>
      </c>
      <c r="J595" s="244">
        <f>IF(H595="warranty",0,(I595*(_xlfn.SINGLE(SalesTaxPercentage))))</f>
        <v>0</v>
      </c>
      <c r="K595" s="696">
        <f t="shared" ref="K595" si="422">I595+J595</f>
        <v>0</v>
      </c>
      <c r="L595" s="696"/>
      <c r="M595" s="659" t="str">
        <f>IF(AND(G595&gt;0,E595=0),"WARNING - no PRICE inserted",IF(H595="free"," FREE ~ no charge this plant",IF(H595="credit",CONCATENATE(" -$",ROUND(K595*(1-T2GDiscount)*-1,2)," CREDIT after discount"),IF(T2GDiscount=0,"",IF(G595=0,"",IF(F595="Buy",CONCATENATE(" $",ROUND(K595*(1-T2GDiscount),2)," with ",(T2GDiscount*100),"% discount"),CONCATENATE(" $",ROUND(K595*(1-T2GDiscount),2)," with ",((T2GDiscount*100+F595*100)-(T2GDiscount*100*F595)),IF(F595&gt;0,"% discounts",IF(NoWarrantyDiscount&gt;0,"% discounts","% discount")))))))))</f>
        <v/>
      </c>
      <c r="N595" s="660"/>
      <c r="O595" s="233"/>
      <c r="P595" s="233"/>
      <c r="Q595" s="233"/>
      <c r="R595" s="233"/>
      <c r="S595" s="233"/>
      <c r="T595" s="508">
        <f t="shared" si="408"/>
        <v>0</v>
      </c>
      <c r="U595" s="225">
        <f>IF(NOT(ISNUMBER(G595)), "", VLOOKUP(A595,'Discount Lookup'!D:E,2,FALSE)*G595)</f>
        <v>0</v>
      </c>
      <c r="V595" s="225">
        <f>IF(NOT(ISNUMBER(G595)), "", VLOOKUP(A595,'Discount Lookup'!G:H,2,FALSE)*G595)</f>
        <v>0</v>
      </c>
      <c r="W595" s="508">
        <f t="shared" si="409"/>
        <v>0</v>
      </c>
      <c r="X595" s="508">
        <f t="shared" si="410"/>
        <v>0</v>
      </c>
      <c r="Y595" s="509" t="b">
        <f t="shared" si="411"/>
        <v>0</v>
      </c>
      <c r="Z595" s="510">
        <f t="shared" si="412"/>
        <v>0</v>
      </c>
      <c r="AA595" s="511"/>
      <c r="AB595" s="511" t="str">
        <f t="shared" si="413"/>
        <v/>
      </c>
      <c r="AC595" s="698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698"/>
      <c r="AE595" s="631" t="str">
        <f t="shared" si="414"/>
        <v/>
      </c>
      <c r="AF595" s="699" t="str">
        <f t="shared" si="415"/>
        <v/>
      </c>
      <c r="AG595" s="699"/>
      <c r="AH595" s="699"/>
      <c r="AI595" s="512">
        <f>IF(H595="credit",0,IF(AE595="free",0,IF(AE595="me",0,IF(G595&gt;0,(VLOOKUP(A595,'Discount Lookup'!J:K,2)*G595),0))))</f>
        <v>0</v>
      </c>
      <c r="AJ595" s="513" t="str">
        <f t="shared" ca="1" si="416"/>
        <v/>
      </c>
      <c r="AK595" s="700" t="str">
        <f t="shared" si="417"/>
        <v/>
      </c>
      <c r="AL595" s="700"/>
      <c r="AM595" s="505" t="str">
        <f t="shared" si="418"/>
        <v/>
      </c>
      <c r="AN595" s="506"/>
      <c r="AO595" s="507"/>
      <c r="AP595" s="507"/>
      <c r="AQ595" s="507"/>
      <c r="AR595" s="507"/>
      <c r="AS595" s="507"/>
      <c r="AT595" s="507"/>
      <c r="AU595" s="507"/>
      <c r="AV595" s="225"/>
      <c r="AW595" s="508"/>
      <c r="AX595" s="225"/>
      <c r="AY595" s="225"/>
      <c r="AZ595" s="225"/>
      <c r="BA595" s="225"/>
      <c r="BB595" s="225"/>
      <c r="BC595" s="56"/>
      <c r="BD595" s="56"/>
      <c r="BE595" s="56"/>
      <c r="BF595" s="107" t="str">
        <f t="shared" si="419"/>
        <v>https://www.google.com/search?tbm=isch&amp;q=1%20G6</v>
      </c>
      <c r="BG595" s="107" t="str">
        <f t="shared" si="420"/>
        <v>C</v>
      </c>
      <c r="BH595" s="254"/>
      <c r="BI595" s="254"/>
    </row>
    <row r="596" spans="1:61" customFormat="1" ht="15.75" x14ac:dyDescent="0.25">
      <c r="A596" s="276">
        <v>2</v>
      </c>
      <c r="B596" s="240" t="s">
        <v>291</v>
      </c>
      <c r="C596" s="241"/>
      <c r="D596" s="242" t="s">
        <v>300</v>
      </c>
      <c r="E596" s="243">
        <v>25.95</v>
      </c>
      <c r="F596" s="517" t="s">
        <v>293</v>
      </c>
      <c r="G596" s="232">
        <v>0</v>
      </c>
      <c r="H596" s="661" t="str">
        <f>IF(G596=0,"",IF(F596="Buy",IF(G596=1,"plant","plants"),IF(F596&gt;0.01,"warranty","Error")))</f>
        <v/>
      </c>
      <c r="I596" s="244">
        <f>IF(H596="free",0,IF(H596="credit",((E596*(F596))*G596*-1),IF(F596="Buy",(E596*G596),((E596*(1-F596))*G596))))</f>
        <v>0</v>
      </c>
      <c r="J596" s="244">
        <f>IF(H596="warranty",0,(I596*(_xlfn.SINGLE(SalesTaxPercentage))))</f>
        <v>0</v>
      </c>
      <c r="K596" s="696">
        <f t="shared" ref="K596" si="423">I596+J596</f>
        <v>0</v>
      </c>
      <c r="L596" s="696"/>
      <c r="M596" s="659" t="str">
        <f>IF(AND(G596&gt;0,E596=0),"WARNING - no PRICE inserted",IF(H596="free"," FREE ~ no charge this plant",IF(H596="credit",CONCATENATE(" -$",ROUND(K596*(1-T2GDiscount)*-1,2)," CREDIT after discount"),IF(T2GDiscount=0,"",IF(G596=0,"",IF(F596="Buy",CONCATENATE(" $",ROUND(K596*(1-T2GDiscount),2)," with ",(T2GDiscount*100),"% discount"),CONCATENATE(" $",ROUND(K596*(1-T2GDiscount),2)," with ",((T2GDiscount*100+F596*100)-(T2GDiscount*100*F596)),IF(F596&gt;0,"% discounts",IF(NoWarrantyDiscount&gt;0,"% discounts","% discount")))))))))</f>
        <v/>
      </c>
      <c r="N596" s="660"/>
      <c r="O596" s="233"/>
      <c r="P596" s="233"/>
      <c r="Q596" s="233"/>
      <c r="R596" s="233"/>
      <c r="S596" s="233"/>
      <c r="T596" s="508">
        <f t="shared" si="408"/>
        <v>0</v>
      </c>
      <c r="U596" s="225">
        <f>IF(NOT(ISNUMBER(G596)), "", VLOOKUP(A596,'Discount Lookup'!D:E,2,FALSE)*G596)</f>
        <v>0</v>
      </c>
      <c r="V596" s="225">
        <f>IF(NOT(ISNUMBER(G596)), "", VLOOKUP(A596,'Discount Lookup'!G:H,2,FALSE)*G596)</f>
        <v>0</v>
      </c>
      <c r="W596" s="508">
        <f t="shared" si="409"/>
        <v>0</v>
      </c>
      <c r="X596" s="508">
        <f t="shared" si="410"/>
        <v>0</v>
      </c>
      <c r="Y596" s="509" t="b">
        <f t="shared" si="411"/>
        <v>0</v>
      </c>
      <c r="Z596" s="510">
        <f t="shared" si="412"/>
        <v>0</v>
      </c>
      <c r="AA596" s="511"/>
      <c r="AB596" s="511" t="str">
        <f t="shared" si="413"/>
        <v/>
      </c>
      <c r="AC596" s="698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698"/>
      <c r="AE596" s="631" t="str">
        <f t="shared" si="414"/>
        <v/>
      </c>
      <c r="AF596" s="699" t="str">
        <f t="shared" si="415"/>
        <v/>
      </c>
      <c r="AG596" s="699"/>
      <c r="AH596" s="699"/>
      <c r="AI596" s="512">
        <f>IF(H596="credit",0,IF(AE596="free",0,IF(AE596="me",0,IF(G596&gt;0,(VLOOKUP(A596,'Discount Lookup'!J:K,2)*G596),0))))</f>
        <v>0</v>
      </c>
      <c r="AJ596" s="513" t="str">
        <f t="shared" ca="1" si="416"/>
        <v/>
      </c>
      <c r="AK596" s="700" t="str">
        <f t="shared" si="417"/>
        <v/>
      </c>
      <c r="AL596" s="700"/>
      <c r="AM596" s="505" t="str">
        <f t="shared" si="418"/>
        <v/>
      </c>
      <c r="AN596" s="506"/>
      <c r="AO596" s="507"/>
      <c r="AP596" s="507"/>
      <c r="AQ596" s="507"/>
      <c r="AR596" s="507"/>
      <c r="AS596" s="507"/>
      <c r="AT596" s="507"/>
      <c r="AU596" s="507"/>
      <c r="AV596" s="225"/>
      <c r="AW596" s="508"/>
      <c r="AX596" s="225"/>
      <c r="AY596" s="225"/>
      <c r="AZ596" s="225"/>
      <c r="BA596" s="225"/>
      <c r="BB596" s="225"/>
      <c r="BC596" s="56"/>
      <c r="BD596" s="56"/>
      <c r="BE596" s="56"/>
      <c r="BF596" s="107" t="str">
        <f t="shared" si="419"/>
        <v>https://www.google.com/search?tbm=isch&amp;q=2%20G6</v>
      </c>
      <c r="BG596" s="107" t="str">
        <f t="shared" si="420"/>
        <v>C</v>
      </c>
      <c r="BH596" s="254"/>
      <c r="BI596" s="254"/>
    </row>
    <row r="597" spans="1:61" customFormat="1" ht="17.25" thickBot="1" x14ac:dyDescent="0.3">
      <c r="A597" s="673" t="s">
        <v>5074</v>
      </c>
      <c r="B597" s="245"/>
      <c r="C597" s="677"/>
      <c r="D597" s="499"/>
      <c r="E597" s="499"/>
      <c r="F597" s="500"/>
      <c r="G597" s="501"/>
      <c r="H597" s="502"/>
      <c r="I597" s="246"/>
      <c r="J597" s="247"/>
      <c r="K597" s="503"/>
      <c r="L597" s="544"/>
      <c r="M597" s="544"/>
      <c r="N597" s="500"/>
      <c r="O597" s="500"/>
      <c r="P597" s="500"/>
      <c r="Q597" s="500"/>
      <c r="R597" s="500"/>
      <c r="S597" s="669" t="s">
        <v>4993</v>
      </c>
      <c r="T597" s="508">
        <f t="shared" si="408"/>
        <v>0</v>
      </c>
      <c r="U597" s="225" t="str">
        <f>IF(NOT(ISNUMBER(G597)), "", VLOOKUP(A597,'Discount Lookup'!D:E,2,FALSE)*G597)</f>
        <v/>
      </c>
      <c r="V597" s="225" t="str">
        <f>IF(NOT(ISNUMBER(G597)), "", VLOOKUP(A597,'Discount Lookup'!G:H,2,FALSE)*G597)</f>
        <v/>
      </c>
      <c r="W597" s="508">
        <f t="shared" si="409"/>
        <v>0</v>
      </c>
      <c r="X597" s="508">
        <f t="shared" si="410"/>
        <v>0</v>
      </c>
      <c r="Y597" s="509" t="b">
        <f t="shared" si="411"/>
        <v>0</v>
      </c>
      <c r="Z597" s="510">
        <f t="shared" si="412"/>
        <v>0</v>
      </c>
      <c r="AA597" s="511"/>
      <c r="AB597" s="511" t="str">
        <f t="shared" si="413"/>
        <v/>
      </c>
      <c r="AC597" s="698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698"/>
      <c r="AE597" s="631" t="str">
        <f t="shared" si="414"/>
        <v/>
      </c>
      <c r="AF597" s="699" t="str">
        <f t="shared" si="415"/>
        <v/>
      </c>
      <c r="AG597" s="699"/>
      <c r="AH597" s="699"/>
      <c r="AI597" s="512">
        <f>IF(H597="credit",0,IF(AE597="free",0,IF(AE597="me",0,IF(G597&gt;0,(VLOOKUP(A597,'Discount Lookup'!J:K,2)*G597),0))))</f>
        <v>0</v>
      </c>
      <c r="AJ597" s="513" t="str">
        <f t="shared" ca="1" si="416"/>
        <v/>
      </c>
      <c r="AK597" s="700" t="str">
        <f t="shared" si="417"/>
        <v/>
      </c>
      <c r="AL597" s="700"/>
      <c r="AM597" s="505" t="str">
        <f t="shared" si="418"/>
        <v/>
      </c>
      <c r="AN597" s="506"/>
      <c r="AO597" s="507"/>
      <c r="AP597" s="507"/>
      <c r="AQ597" s="507"/>
      <c r="AR597" s="507"/>
      <c r="AS597" s="507"/>
      <c r="AT597" s="507"/>
      <c r="AU597" s="507"/>
      <c r="AV597" s="225"/>
      <c r="AW597" s="508"/>
      <c r="AX597" s="225"/>
      <c r="AY597" s="225"/>
      <c r="AZ597" s="225"/>
      <c r="BA597" s="225"/>
      <c r="BB597" s="225"/>
      <c r="BC597" s="56"/>
      <c r="BD597" s="56"/>
      <c r="BE597" s="56"/>
      <c r="BF597" s="107" t="str">
        <f t="shared" si="419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597" s="107" t="str">
        <f t="shared" si="420"/>
        <v>m</v>
      </c>
      <c r="BH597" s="254"/>
      <c r="BI597" s="254"/>
    </row>
    <row r="598" spans="1:61" customFormat="1" ht="18" x14ac:dyDescent="0.25">
      <c r="A598" s="523" t="s">
        <v>4867</v>
      </c>
      <c r="B598" s="235"/>
      <c r="C598" s="676"/>
      <c r="D598" s="255" t="s">
        <v>4868</v>
      </c>
      <c r="E598" s="236"/>
      <c r="F598" s="236"/>
      <c r="G598" s="236"/>
      <c r="H598" s="582" t="s">
        <v>833</v>
      </c>
      <c r="I598" s="498" t="s">
        <v>4869</v>
      </c>
      <c r="J598" s="237"/>
      <c r="K598" s="237"/>
      <c r="L598" s="274"/>
      <c r="M598" s="668" t="s">
        <v>4975</v>
      </c>
      <c r="N598" s="681" t="str">
        <f>IF(AND(ISTEXT($A598), ISERROR($A598+0)), HYPERLINK($BF598, "Images"), "")</f>
        <v>Images</v>
      </c>
      <c r="O598" s="663" t="s">
        <v>4967</v>
      </c>
      <c r="P598" s="253"/>
      <c r="Q598" s="238"/>
      <c r="R598" s="239"/>
      <c r="S598" s="275"/>
      <c r="T598" s="508">
        <f t="shared" si="408"/>
        <v>0</v>
      </c>
      <c r="U598" s="225" t="str">
        <f>IF(NOT(ISNUMBER(G598)), "", VLOOKUP(A598,'Discount Lookup'!D:E,2,FALSE)*G598)</f>
        <v/>
      </c>
      <c r="V598" s="225" t="str">
        <f>IF(NOT(ISNUMBER(G598)), "", VLOOKUP(A598,'Discount Lookup'!G:H,2,FALSE)*G598)</f>
        <v/>
      </c>
      <c r="W598" s="508">
        <f t="shared" si="409"/>
        <v>0</v>
      </c>
      <c r="X598" s="508" t="str">
        <f t="shared" si="410"/>
        <v>Magenta &amp; White bloom</v>
      </c>
      <c r="Y598" s="509" t="b">
        <f t="shared" si="411"/>
        <v>0</v>
      </c>
      <c r="Z598" s="510">
        <f t="shared" si="412"/>
        <v>0</v>
      </c>
      <c r="AA598" s="511"/>
      <c r="AB598" s="511" t="str">
        <f t="shared" si="413"/>
        <v/>
      </c>
      <c r="AC598" s="698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698"/>
      <c r="AE598" s="631" t="str">
        <f t="shared" si="414"/>
        <v/>
      </c>
      <c r="AF598" s="699" t="str">
        <f t="shared" si="415"/>
        <v/>
      </c>
      <c r="AG598" s="699"/>
      <c r="AH598" s="699"/>
      <c r="AI598" s="512">
        <f>IF(H598="credit",0,IF(AE598="free",0,IF(AE598="me",0,IF(G598&gt;0,(VLOOKUP(A598,'Discount Lookup'!J:K,2)*G598),0))))</f>
        <v>0</v>
      </c>
      <c r="AJ598" s="513" t="str">
        <f t="shared" ca="1" si="416"/>
        <v/>
      </c>
      <c r="AK598" s="700" t="str">
        <f t="shared" si="417"/>
        <v/>
      </c>
      <c r="AL598" s="700"/>
      <c r="AM598" s="505" t="str">
        <f t="shared" si="418"/>
        <v/>
      </c>
      <c r="AN598" s="506"/>
      <c r="AO598" s="507"/>
      <c r="AP598" s="507"/>
      <c r="AQ598" s="507"/>
      <c r="AR598" s="507"/>
      <c r="AS598" s="507"/>
      <c r="AT598" s="507"/>
      <c r="AU598" s="507"/>
      <c r="AV598" s="225"/>
      <c r="AW598" s="508"/>
      <c r="AX598" s="225"/>
      <c r="AY598" s="225"/>
      <c r="AZ598" s="225"/>
      <c r="BA598" s="225"/>
      <c r="BB598" s="225"/>
      <c r="BC598" s="56"/>
      <c r="BD598" s="56"/>
      <c r="BE598" s="56"/>
      <c r="BF598" s="107" t="str">
        <f t="shared" si="419"/>
        <v>https://www.google.com/search?tbm=isch&amp;q=Cameo%20Magnolia%20Magnolia%20x%20%27Cameo%27%20PP%2327222</v>
      </c>
      <c r="BG598" s="107" t="str">
        <f t="shared" si="420"/>
        <v>C</v>
      </c>
      <c r="BH598" s="254"/>
      <c r="BI598" s="254"/>
    </row>
    <row r="599" spans="1:61" customFormat="1" ht="15.75" x14ac:dyDescent="0.25">
      <c r="A599" s="276">
        <v>7</v>
      </c>
      <c r="B599" s="240" t="s">
        <v>291</v>
      </c>
      <c r="C599" s="241" t="s">
        <v>3688</v>
      </c>
      <c r="D599" s="242" t="s">
        <v>292</v>
      </c>
      <c r="E599" s="243">
        <v>157.94999999999999</v>
      </c>
      <c r="F599" s="517" t="s">
        <v>293</v>
      </c>
      <c r="G599" s="232">
        <v>0</v>
      </c>
      <c r="H599" s="661" t="str">
        <f>IF(G599=0,"",IF(F599="Buy",IF(G599=1,"plant","plants"),IF(F599&gt;0.01,"warranty","Error")))</f>
        <v/>
      </c>
      <c r="I599" s="244">
        <f>IF(H599="free",0,IF(H599="credit",((E599*(F599))*G599*-1),IF(F599="Buy",(E599*G599),((E599*(1-F599))*G599))))</f>
        <v>0</v>
      </c>
      <c r="J599" s="244">
        <f>IF(H599="warranty",0,(I599*(_xlfn.SINGLE(SalesTaxPercentage))))</f>
        <v>0</v>
      </c>
      <c r="K599" s="696">
        <f t="shared" ref="K599" si="424">I599+J599</f>
        <v>0</v>
      </c>
      <c r="L599" s="696"/>
      <c r="M599" s="659" t="str">
        <f>IF(AND(G599&gt;0,E599=0),"WARNING - no PRICE inserted",IF(H599="free"," FREE ~ no charge this plant",IF(H599="credit",CONCATENATE(" -$",ROUND(K599*(1-T2GDiscount)*-1,2)," CREDIT after discount"),IF(T2GDiscount=0,"",IF(G599=0,"",IF(F599="Buy",CONCATENATE(" $",ROUND(K599*(1-T2GDiscount),2)," with ",(T2GDiscount*100),"% discount"),CONCATENATE(" $",ROUND(K599*(1-T2GDiscount),2)," with ",((T2GDiscount*100+F599*100)-(T2GDiscount*100*F599)),IF(F599&gt;0,"% discounts",IF(NoWarrantyDiscount&gt;0,"% discounts","% discount")))))))))</f>
        <v/>
      </c>
      <c r="N599" s="660"/>
      <c r="O599" s="233"/>
      <c r="P599" s="233"/>
      <c r="Q599" s="233"/>
      <c r="R599" s="233"/>
      <c r="S599" s="233"/>
      <c r="T599" s="508">
        <f t="shared" si="408"/>
        <v>0</v>
      </c>
      <c r="U599" s="225">
        <f>IF(NOT(ISNUMBER(G599)), "", VLOOKUP(A599,'Discount Lookup'!D:E,2,FALSE)*G599)</f>
        <v>0</v>
      </c>
      <c r="V599" s="225">
        <f>IF(NOT(ISNUMBER(G599)), "", VLOOKUP(A599,'Discount Lookup'!G:H,2,FALSE)*G599)</f>
        <v>0</v>
      </c>
      <c r="W599" s="508">
        <f t="shared" si="409"/>
        <v>0</v>
      </c>
      <c r="X599" s="508">
        <f t="shared" si="410"/>
        <v>0</v>
      </c>
      <c r="Y599" s="509" t="b">
        <f t="shared" si="411"/>
        <v>0</v>
      </c>
      <c r="Z599" s="510">
        <f t="shared" si="412"/>
        <v>0</v>
      </c>
      <c r="AA599" s="511"/>
      <c r="AB599" s="511" t="str">
        <f t="shared" si="413"/>
        <v/>
      </c>
      <c r="AC599" s="698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698"/>
      <c r="AE599" s="631" t="str">
        <f t="shared" si="414"/>
        <v/>
      </c>
      <c r="AF599" s="699" t="str">
        <f t="shared" si="415"/>
        <v/>
      </c>
      <c r="AG599" s="699"/>
      <c r="AH599" s="699"/>
      <c r="AI599" s="512">
        <f>IF(H599="credit",0,IF(AE599="free",0,IF(AE599="me",0,IF(G599&gt;0,(VLOOKUP(A599,'Discount Lookup'!J:K,2)*G599),0))))</f>
        <v>0</v>
      </c>
      <c r="AJ599" s="513" t="str">
        <f t="shared" ca="1" si="416"/>
        <v/>
      </c>
      <c r="AK599" s="700" t="str">
        <f t="shared" si="417"/>
        <v/>
      </c>
      <c r="AL599" s="700"/>
      <c r="AM599" s="505" t="str">
        <f t="shared" si="418"/>
        <v/>
      </c>
      <c r="AN599" s="506"/>
      <c r="AO599" s="507"/>
      <c r="AP599" s="507"/>
      <c r="AQ599" s="507"/>
      <c r="AR599" s="507"/>
      <c r="AS599" s="507"/>
      <c r="AT599" s="507"/>
      <c r="AU599" s="507"/>
      <c r="AV599" s="225"/>
      <c r="AW599" s="508"/>
      <c r="AX599" s="225"/>
      <c r="AY599" s="225"/>
      <c r="AZ599" s="225"/>
      <c r="BA599" s="225"/>
      <c r="BB599" s="225"/>
      <c r="BC599" s="56"/>
      <c r="BD599" s="56"/>
      <c r="BE599" s="56"/>
      <c r="BF599" s="107" t="str">
        <f t="shared" si="419"/>
        <v>https://www.google.com/search?tbm=isch&amp;q=7%20G4</v>
      </c>
      <c r="BG599" s="107" t="str">
        <f t="shared" si="420"/>
        <v>C</v>
      </c>
      <c r="BH599" s="254"/>
      <c r="BI599" s="254"/>
    </row>
    <row r="600" spans="1:61" customFormat="1" ht="17.25" thickBot="1" x14ac:dyDescent="0.3">
      <c r="A600" s="524" t="s">
        <v>4870</v>
      </c>
      <c r="B600" s="245"/>
      <c r="C600" s="677"/>
      <c r="D600" s="499"/>
      <c r="E600" s="499"/>
      <c r="F600" s="500"/>
      <c r="G600" s="501"/>
      <c r="H600" s="502"/>
      <c r="I600" s="246"/>
      <c r="J600" s="247"/>
      <c r="K600" s="503"/>
      <c r="L600" s="544"/>
      <c r="M600" s="544"/>
      <c r="N600" s="500"/>
      <c r="O600" s="500"/>
      <c r="P600" s="500"/>
      <c r="Q600" s="500"/>
      <c r="R600" s="500"/>
      <c r="S600" s="278"/>
      <c r="T600" s="508">
        <f t="shared" si="408"/>
        <v>0</v>
      </c>
      <c r="U600" s="225" t="str">
        <f>IF(NOT(ISNUMBER(G600)), "", VLOOKUP(A600,'Discount Lookup'!D:E,2,FALSE)*G600)</f>
        <v/>
      </c>
      <c r="V600" s="225" t="str">
        <f>IF(NOT(ISNUMBER(G600)), "", VLOOKUP(A600,'Discount Lookup'!G:H,2,FALSE)*G600)</f>
        <v/>
      </c>
      <c r="W600" s="508">
        <f t="shared" si="409"/>
        <v>0</v>
      </c>
      <c r="X600" s="508">
        <f t="shared" si="410"/>
        <v>0</v>
      </c>
      <c r="Y600" s="509" t="b">
        <f t="shared" si="411"/>
        <v>0</v>
      </c>
      <c r="Z600" s="510">
        <f t="shared" si="412"/>
        <v>0</v>
      </c>
      <c r="AA600" s="511"/>
      <c r="AB600" s="511" t="str">
        <f t="shared" si="413"/>
        <v/>
      </c>
      <c r="AC600" s="698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698"/>
      <c r="AE600" s="631" t="str">
        <f t="shared" si="414"/>
        <v/>
      </c>
      <c r="AF600" s="699" t="str">
        <f t="shared" si="415"/>
        <v/>
      </c>
      <c r="AG600" s="699"/>
      <c r="AH600" s="699"/>
      <c r="AI600" s="512">
        <f>IF(H600="credit",0,IF(AE600="free",0,IF(AE600="me",0,IF(G600&gt;0,(VLOOKUP(A600,'Discount Lookup'!J:K,2)*G600),0))))</f>
        <v>0</v>
      </c>
      <c r="AJ600" s="513" t="str">
        <f t="shared" ca="1" si="416"/>
        <v/>
      </c>
      <c r="AK600" s="700" t="str">
        <f t="shared" si="417"/>
        <v/>
      </c>
      <c r="AL600" s="700"/>
      <c r="AM600" s="505" t="str">
        <f t="shared" si="418"/>
        <v/>
      </c>
      <c r="AN600" s="506"/>
      <c r="AO600" s="507"/>
      <c r="AP600" s="507"/>
      <c r="AQ600" s="507"/>
      <c r="AR600" s="507"/>
      <c r="AS600" s="507"/>
      <c r="AT600" s="507"/>
      <c r="AU600" s="507"/>
      <c r="AV600" s="225"/>
      <c r="AW600" s="508"/>
      <c r="AX600" s="225"/>
      <c r="AY600" s="225"/>
      <c r="AZ600" s="225"/>
      <c r="BA600" s="225"/>
      <c r="BB600" s="225"/>
      <c r="BC600" s="56"/>
      <c r="BD600" s="56"/>
      <c r="BE600" s="56"/>
      <c r="BF600" s="107" t="str">
        <f t="shared" si="419"/>
        <v>https://www.google.com/search?tbm=isch&amp;q=Cameo%20Magnolia%20features%20sculpted%20Reddish-Purple%20blooms%20with%20White%20interiors.%20Bred%20in%20New%20Zealand%20for%20early%20spring%20impact%20</v>
      </c>
      <c r="BG600" s="107" t="str">
        <f t="shared" si="420"/>
        <v>C</v>
      </c>
      <c r="BH600" s="254"/>
      <c r="BI600" s="254"/>
    </row>
    <row r="601" spans="1:61" customFormat="1" ht="18" x14ac:dyDescent="0.25">
      <c r="A601" s="523" t="s">
        <v>5363</v>
      </c>
      <c r="B601" s="235"/>
      <c r="C601" s="676"/>
      <c r="D601" s="255" t="s">
        <v>560</v>
      </c>
      <c r="E601" s="236"/>
      <c r="F601" s="236"/>
      <c r="G601" s="236"/>
      <c r="H601" s="582" t="s">
        <v>443</v>
      </c>
      <c r="I601" s="498" t="s">
        <v>3005</v>
      </c>
      <c r="J601" s="237"/>
      <c r="K601" s="237"/>
      <c r="L601" s="274"/>
      <c r="M601" s="668" t="s">
        <v>4962</v>
      </c>
      <c r="N601" s="681" t="str">
        <f>IF(AND(ISTEXT($A601), ISERROR($A601+0)), HYPERLINK($BF601, "Images"), "")</f>
        <v>Images</v>
      </c>
      <c r="O601" s="663" t="s">
        <v>4974</v>
      </c>
      <c r="P601" s="253"/>
      <c r="Q601" s="238"/>
      <c r="R601" s="239"/>
      <c r="S601" s="275"/>
      <c r="T601" s="508">
        <f t="shared" si="408"/>
        <v>0</v>
      </c>
      <c r="U601" s="225" t="str">
        <f>IF(NOT(ISNUMBER(G601)), "", VLOOKUP(A601,'Discount Lookup'!D:E,2,FALSE)*G601)</f>
        <v/>
      </c>
      <c r="V601" s="225" t="str">
        <f>IF(NOT(ISNUMBER(G601)), "", VLOOKUP(A601,'Discount Lookup'!G:H,2,FALSE)*G601)</f>
        <v/>
      </c>
      <c r="W601" s="508">
        <f t="shared" si="409"/>
        <v>0</v>
      </c>
      <c r="X601" s="508" t="str">
        <f t="shared" si="410"/>
        <v>Yellow bloom, Red edges</v>
      </c>
      <c r="Y601" s="509" t="b">
        <f t="shared" si="411"/>
        <v>0</v>
      </c>
      <c r="Z601" s="510">
        <f t="shared" si="412"/>
        <v>0</v>
      </c>
      <c r="AA601" s="511"/>
      <c r="AB601" s="511" t="str">
        <f t="shared" si="413"/>
        <v/>
      </c>
      <c r="AC601" s="698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698"/>
      <c r="AE601" s="631" t="str">
        <f t="shared" si="414"/>
        <v/>
      </c>
      <c r="AF601" s="699" t="str">
        <f t="shared" si="415"/>
        <v/>
      </c>
      <c r="AG601" s="699"/>
      <c r="AH601" s="699"/>
      <c r="AI601" s="512">
        <f>IF(H601="credit",0,IF(AE601="free",0,IF(AE601="me",0,IF(G601&gt;0,(VLOOKUP(A601,'Discount Lookup'!J:K,2)*G601),0))))</f>
        <v>0</v>
      </c>
      <c r="AJ601" s="513" t="str">
        <f t="shared" ca="1" si="416"/>
        <v/>
      </c>
      <c r="AK601" s="700" t="str">
        <f t="shared" si="417"/>
        <v/>
      </c>
      <c r="AL601" s="700"/>
      <c r="AM601" s="505" t="str">
        <f t="shared" si="418"/>
        <v/>
      </c>
      <c r="AN601" s="506"/>
      <c r="AO601" s="507"/>
      <c r="AP601" s="507"/>
      <c r="AQ601" s="507"/>
      <c r="AR601" s="507"/>
      <c r="AS601" s="507"/>
      <c r="AT601" s="507"/>
      <c r="AU601" s="507"/>
      <c r="AV601" s="225"/>
      <c r="AW601" s="508"/>
      <c r="AX601" s="225"/>
      <c r="AY601" s="225"/>
      <c r="AZ601" s="225"/>
      <c r="BA601" s="225"/>
      <c r="BB601" s="225"/>
      <c r="BC601" s="56"/>
      <c r="BD601" s="56"/>
      <c r="BE601" s="56"/>
      <c r="BF601" s="107" t="str">
        <f t="shared" si="419"/>
        <v>https://www.google.com/search?tbm=isch&amp;q=Campfire%C2%AE%20Hybrid%20Tea%20Rose%20Rosa%20%27CA%2029%27%20PP%2322435</v>
      </c>
      <c r="BG601" s="107" t="str">
        <f t="shared" si="420"/>
        <v>C</v>
      </c>
      <c r="BH601" s="254"/>
      <c r="BI601" s="254"/>
    </row>
    <row r="602" spans="1:61" customFormat="1" ht="27" x14ac:dyDescent="0.25">
      <c r="A602" s="276">
        <v>3</v>
      </c>
      <c r="B602" s="240" t="s">
        <v>291</v>
      </c>
      <c r="C602" s="241" t="s">
        <v>3363</v>
      </c>
      <c r="D602" s="242" t="s">
        <v>292</v>
      </c>
      <c r="E602" s="243">
        <v>49.95</v>
      </c>
      <c r="F602" s="517" t="s">
        <v>293</v>
      </c>
      <c r="G602" s="232">
        <v>0</v>
      </c>
      <c r="H602" s="661" t="str">
        <f>IF(G602=0,"",IF(F602="Buy",IF(G602=1,"plant","plants"),IF(F602&gt;0.01,"warranty","Error")))</f>
        <v/>
      </c>
      <c r="I602" s="244">
        <f>IF(H602="free",0,IF(H602="credit",((E602*(F602))*G602*-1),IF(F602="Buy",(E602*G602),((E602*(1-F602))*G602))))</f>
        <v>0</v>
      </c>
      <c r="J602" s="244">
        <f>IF(H602="warranty",0,(I602*(_xlfn.SINGLE(SalesTaxPercentage))))</f>
        <v>0</v>
      </c>
      <c r="K602" s="696">
        <f t="shared" ref="K602" si="425">I602+J602</f>
        <v>0</v>
      </c>
      <c r="L602" s="696"/>
      <c r="M602" s="659" t="str">
        <f>IF(AND(G602&gt;0,E602=0),"WARNING - no PRICE inserted",IF(H602="free"," FREE ~ no charge this plant",IF(H602="credit",CONCATENATE(" -$",ROUND(K602*(1-T2GDiscount)*-1,2)," CREDIT after discount"),IF(T2GDiscount=0,"",IF(G602=0,"",IF(F602="Buy",CONCATENATE(" $",ROUND(K602*(1-T2GDiscount),2)," with ",(T2GDiscount*100),"% discount"),CONCATENATE(" $",ROUND(K602*(1-T2GDiscount),2)," with ",((T2GDiscount*100+F602*100)-(T2GDiscount*100*F602)),IF(F602&gt;0,"% discounts",IF(NoWarrantyDiscount&gt;0,"% discounts","% discount")))))))))</f>
        <v/>
      </c>
      <c r="N602" s="660"/>
      <c r="O602" s="233"/>
      <c r="P602" s="233"/>
      <c r="Q602" s="233"/>
      <c r="R602" s="233"/>
      <c r="S602" s="233"/>
      <c r="T602" s="508">
        <f t="shared" si="408"/>
        <v>0</v>
      </c>
      <c r="U602" s="225">
        <f>IF(NOT(ISNUMBER(G602)), "", VLOOKUP(A602,'Discount Lookup'!D:E,2,FALSE)*G602)</f>
        <v>0</v>
      </c>
      <c r="V602" s="225">
        <f>IF(NOT(ISNUMBER(G602)), "", VLOOKUP(A602,'Discount Lookup'!G:H,2,FALSE)*G602)</f>
        <v>0</v>
      </c>
      <c r="W602" s="508">
        <f t="shared" si="409"/>
        <v>0</v>
      </c>
      <c r="X602" s="508">
        <f t="shared" si="410"/>
        <v>0</v>
      </c>
      <c r="Y602" s="509" t="b">
        <f t="shared" si="411"/>
        <v>0</v>
      </c>
      <c r="Z602" s="510">
        <f t="shared" si="412"/>
        <v>0</v>
      </c>
      <c r="AA602" s="511"/>
      <c r="AB602" s="511" t="str">
        <f t="shared" si="413"/>
        <v/>
      </c>
      <c r="AC602" s="698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698"/>
      <c r="AE602" s="631" t="str">
        <f t="shared" si="414"/>
        <v/>
      </c>
      <c r="AF602" s="699" t="str">
        <f t="shared" si="415"/>
        <v/>
      </c>
      <c r="AG602" s="699"/>
      <c r="AH602" s="699"/>
      <c r="AI602" s="512">
        <f>IF(H602="credit",0,IF(AE602="free",0,IF(AE602="me",0,IF(G602&gt;0,(VLOOKUP(A602,'Discount Lookup'!J:K,2)*G602),0))))</f>
        <v>0</v>
      </c>
      <c r="AJ602" s="513" t="str">
        <f t="shared" ca="1" si="416"/>
        <v/>
      </c>
      <c r="AK602" s="700" t="str">
        <f t="shared" si="417"/>
        <v/>
      </c>
      <c r="AL602" s="700"/>
      <c r="AM602" s="505" t="str">
        <f t="shared" si="418"/>
        <v/>
      </c>
      <c r="AN602" s="506"/>
      <c r="AO602" s="507"/>
      <c r="AP602" s="507"/>
      <c r="AQ602" s="507"/>
      <c r="AR602" s="507"/>
      <c r="AS602" s="507"/>
      <c r="AT602" s="507"/>
      <c r="AU602" s="507"/>
      <c r="AV602" s="225"/>
      <c r="AW602" s="508"/>
      <c r="AX602" s="225"/>
      <c r="AY602" s="225"/>
      <c r="AZ602" s="225"/>
      <c r="BA602" s="225"/>
      <c r="BB602" s="225"/>
      <c r="BC602" s="56"/>
      <c r="BD602" s="56"/>
      <c r="BE602" s="56"/>
      <c r="BF602" s="107" t="str">
        <f t="shared" si="419"/>
        <v>https://www.google.com/search?tbm=isch&amp;q=3%20G4</v>
      </c>
      <c r="BG602" s="107" t="str">
        <f t="shared" si="420"/>
        <v>C</v>
      </c>
      <c r="BH602" s="254"/>
      <c r="BI602" s="254"/>
    </row>
    <row r="603" spans="1:61" customFormat="1" ht="17.25" thickBot="1" x14ac:dyDescent="0.3">
      <c r="A603" s="524" t="s">
        <v>3006</v>
      </c>
      <c r="B603" s="245"/>
      <c r="C603" s="677"/>
      <c r="D603" s="499"/>
      <c r="E603" s="499"/>
      <c r="F603" s="500"/>
      <c r="G603" s="501"/>
      <c r="H603" s="502"/>
      <c r="I603" s="246"/>
      <c r="J603" s="247"/>
      <c r="K603" s="503"/>
      <c r="L603" s="544"/>
      <c r="M603" s="544"/>
      <c r="N603" s="500"/>
      <c r="O603" s="500"/>
      <c r="P603" s="500"/>
      <c r="Q603" s="500"/>
      <c r="R603" s="500"/>
      <c r="S603" s="669" t="s">
        <v>4980</v>
      </c>
      <c r="T603" s="508">
        <f t="shared" si="408"/>
        <v>0</v>
      </c>
      <c r="U603" s="225" t="str">
        <f>IF(NOT(ISNUMBER(G603)), "", VLOOKUP(A603,'Discount Lookup'!D:E,2,FALSE)*G603)</f>
        <v/>
      </c>
      <c r="V603" s="225" t="str">
        <f>IF(NOT(ISNUMBER(G603)), "", VLOOKUP(A603,'Discount Lookup'!G:H,2,FALSE)*G603)</f>
        <v/>
      </c>
      <c r="W603" s="508">
        <f t="shared" si="409"/>
        <v>0</v>
      </c>
      <c r="X603" s="508">
        <f t="shared" si="410"/>
        <v>0</v>
      </c>
      <c r="Y603" s="509" t="b">
        <f t="shared" si="411"/>
        <v>0</v>
      </c>
      <c r="Z603" s="510">
        <f t="shared" si="412"/>
        <v>0</v>
      </c>
      <c r="AA603" s="511"/>
      <c r="AB603" s="511" t="str">
        <f t="shared" si="413"/>
        <v/>
      </c>
      <c r="AC603" s="698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698"/>
      <c r="AE603" s="631" t="str">
        <f t="shared" si="414"/>
        <v/>
      </c>
      <c r="AF603" s="699" t="str">
        <f t="shared" si="415"/>
        <v/>
      </c>
      <c r="AG603" s="699"/>
      <c r="AH603" s="699"/>
      <c r="AI603" s="512">
        <f>IF(H603="credit",0,IF(AE603="free",0,IF(AE603="me",0,IF(G603&gt;0,(VLOOKUP(A603,'Discount Lookup'!J:K,2)*G603),0))))</f>
        <v>0</v>
      </c>
      <c r="AJ603" s="513" t="str">
        <f t="shared" ca="1" si="416"/>
        <v/>
      </c>
      <c r="AK603" s="700" t="str">
        <f t="shared" si="417"/>
        <v/>
      </c>
      <c r="AL603" s="700"/>
      <c r="AM603" s="505" t="str">
        <f t="shared" si="418"/>
        <v/>
      </c>
      <c r="AN603" s="506"/>
      <c r="AO603" s="507"/>
      <c r="AP603" s="507"/>
      <c r="AQ603" s="507"/>
      <c r="AR603" s="507"/>
      <c r="AS603" s="507"/>
      <c r="AT603" s="507"/>
      <c r="AU603" s="507"/>
      <c r="AV603" s="225"/>
      <c r="AW603" s="508"/>
      <c r="AX603" s="225"/>
      <c r="AY603" s="225"/>
      <c r="AZ603" s="225"/>
      <c r="BA603" s="225"/>
      <c r="BB603" s="225"/>
      <c r="BC603" s="56"/>
      <c r="BD603" s="56"/>
      <c r="BE603" s="56"/>
      <c r="BF603" s="107" t="str">
        <f t="shared" si="419"/>
        <v>https://www.google.com/search?tbm=isch&amp;q=Campfire%20named%20for%20bloom%20echoing%20a%20campfire.%20Deadhead%20as%20needed.%20Nearly%20thornless%20%28rabbits%20may%20still%20nibble%29.%20Cut%20back%20annually%20</v>
      </c>
      <c r="BG603" s="107" t="str">
        <f t="shared" si="420"/>
        <v>C</v>
      </c>
      <c r="BH603" s="254"/>
      <c r="BI603" s="254"/>
    </row>
    <row r="604" spans="1:61" customFormat="1" ht="18" x14ac:dyDescent="0.25">
      <c r="A604" s="523" t="s">
        <v>5583</v>
      </c>
      <c r="B604" s="235"/>
      <c r="C604" s="676"/>
      <c r="D604" s="255" t="s">
        <v>3247</v>
      </c>
      <c r="E604" s="236"/>
      <c r="F604" s="236"/>
      <c r="G604" s="236"/>
      <c r="H604" s="582" t="s">
        <v>356</v>
      </c>
      <c r="I604" s="498" t="s">
        <v>3113</v>
      </c>
      <c r="J604" s="237"/>
      <c r="K604" s="237"/>
      <c r="L604" s="274"/>
      <c r="M604" s="668" t="s">
        <v>4975</v>
      </c>
      <c r="N604" s="681" t="str">
        <f>IF(AND(ISTEXT($A604), ISERROR($A604+0)), HYPERLINK($BF604, "Images"), "")</f>
        <v>Images</v>
      </c>
      <c r="O604" s="663" t="s">
        <v>4967</v>
      </c>
      <c r="P604" s="253"/>
      <c r="Q604" s="238"/>
      <c r="R604" s="239"/>
      <c r="S604" s="275"/>
      <c r="T604" s="508">
        <f t="shared" si="408"/>
        <v>0</v>
      </c>
      <c r="U604" s="225" t="str">
        <f>IF(NOT(ISNUMBER(G604)), "", VLOOKUP(A604,'Discount Lookup'!D:E,2,FALSE)*G604)</f>
        <v/>
      </c>
      <c r="V604" s="225" t="str">
        <f>IF(NOT(ISNUMBER(G604)), "", VLOOKUP(A604,'Discount Lookup'!G:H,2,FALSE)*G604)</f>
        <v/>
      </c>
      <c r="W604" s="508">
        <f t="shared" si="409"/>
        <v>0</v>
      </c>
      <c r="X604" s="508" t="str">
        <f t="shared" si="410"/>
        <v>White bloom ages to Pink</v>
      </c>
      <c r="Y604" s="509" t="b">
        <f t="shared" si="411"/>
        <v>0</v>
      </c>
      <c r="Z604" s="510">
        <f t="shared" si="412"/>
        <v>0</v>
      </c>
      <c r="AA604" s="511"/>
      <c r="AB604" s="511" t="str">
        <f t="shared" si="413"/>
        <v/>
      </c>
      <c r="AC604" s="698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698"/>
      <c r="AE604" s="631" t="str">
        <f t="shared" si="414"/>
        <v/>
      </c>
      <c r="AF604" s="699" t="str">
        <f t="shared" si="415"/>
        <v/>
      </c>
      <c r="AG604" s="699"/>
      <c r="AH604" s="699"/>
      <c r="AI604" s="512">
        <f>IF(H604="credit",0,IF(AE604="free",0,IF(AE604="me",0,IF(G604&gt;0,(VLOOKUP(A604,'Discount Lookup'!J:K,2)*G604),0))))</f>
        <v>0</v>
      </c>
      <c r="AJ604" s="513" t="str">
        <f t="shared" ca="1" si="416"/>
        <v/>
      </c>
      <c r="AK604" s="700" t="str">
        <f t="shared" si="417"/>
        <v/>
      </c>
      <c r="AL604" s="700"/>
      <c r="AM604" s="505" t="str">
        <f t="shared" si="418"/>
        <v/>
      </c>
      <c r="AN604" s="506"/>
      <c r="AO604" s="507"/>
      <c r="AP604" s="507"/>
      <c r="AQ604" s="507"/>
      <c r="AR604" s="507"/>
      <c r="AS604" s="507"/>
      <c r="AT604" s="507"/>
      <c r="AU604" s="507"/>
      <c r="AV604" s="225"/>
      <c r="AW604" s="508"/>
      <c r="AX604" s="225"/>
      <c r="AY604" s="225"/>
      <c r="AZ604" s="225"/>
      <c r="BA604" s="225"/>
      <c r="BB604" s="225"/>
      <c r="BC604" s="56"/>
      <c r="BD604" s="56"/>
      <c r="BE604" s="56"/>
      <c r="BF604" s="107" t="str">
        <f t="shared" si="419"/>
        <v>https://www.google.com/search?tbm=isch&amp;q=Candelabra%E2%84%A2%20Hydrangea%20%28BE%C2%AE%29%20Hyd.%20paniculata%20%27Hpopr013%27%20PP%2327472</v>
      </c>
      <c r="BG604" s="107" t="str">
        <f t="shared" si="420"/>
        <v>C</v>
      </c>
      <c r="BH604" s="254"/>
      <c r="BI604" s="254"/>
    </row>
    <row r="605" spans="1:61" customFormat="1" ht="15.75" x14ac:dyDescent="0.25">
      <c r="A605" s="276">
        <v>3</v>
      </c>
      <c r="B605" s="240" t="s">
        <v>291</v>
      </c>
      <c r="C605" s="241"/>
      <c r="D605" s="242" t="s">
        <v>312</v>
      </c>
      <c r="E605" s="243">
        <v>34.950000000000003</v>
      </c>
      <c r="F605" s="517" t="s">
        <v>293</v>
      </c>
      <c r="G605" s="232">
        <v>0</v>
      </c>
      <c r="H605" s="661" t="str">
        <f>IF(G605=0,"",IF(F605="Buy",IF(G605=1,"plant","plants"),IF(F605&gt;0.01,"warranty","Error")))</f>
        <v/>
      </c>
      <c r="I605" s="244">
        <f>IF(H605="free",0,IF(H605="credit",((E605*(F605))*G605*-1),IF(F605="Buy",(E605*G605),((E605*(1-F605))*G605))))</f>
        <v>0</v>
      </c>
      <c r="J605" s="244">
        <f>IF(H605="warranty",0,(I605*(_xlfn.SINGLE(SalesTaxPercentage))))</f>
        <v>0</v>
      </c>
      <c r="K605" s="696">
        <f t="shared" ref="K605" si="426">I605+J605</f>
        <v>0</v>
      </c>
      <c r="L605" s="696"/>
      <c r="M605" s="659" t="str">
        <f>IF(AND(G605&gt;0,E605=0),"WARNING - no PRICE inserted",IF(H605="free"," FREE ~ no charge this plant",IF(H605="credit",CONCATENATE(" -$",ROUND(K605*(1-T2GDiscount)*-1,2)," CREDIT after discount"),IF(T2GDiscount=0,"",IF(G605=0,"",IF(F605="Buy",CONCATENATE(" $",ROUND(K605*(1-T2GDiscount),2)," with ",(T2GDiscount*100),"% discount"),CONCATENATE(" $",ROUND(K605*(1-T2GDiscount),2)," with ",((T2GDiscount*100+F605*100)-(T2GDiscount*100*F605)),IF(F605&gt;0,"% discounts",IF(NoWarrantyDiscount&gt;0,"% discounts","% discount")))))))))</f>
        <v/>
      </c>
      <c r="N605" s="660"/>
      <c r="O605" s="233"/>
      <c r="P605" s="233"/>
      <c r="Q605" s="233"/>
      <c r="R605" s="233"/>
      <c r="S605" s="233"/>
      <c r="T605" s="508">
        <f t="shared" si="408"/>
        <v>0</v>
      </c>
      <c r="U605" s="225">
        <f>IF(NOT(ISNUMBER(G605)), "", VLOOKUP(A605,'Discount Lookup'!D:E,2,FALSE)*G605)</f>
        <v>0</v>
      </c>
      <c r="V605" s="225">
        <f>IF(NOT(ISNUMBER(G605)), "", VLOOKUP(A605,'Discount Lookup'!G:H,2,FALSE)*G605)</f>
        <v>0</v>
      </c>
      <c r="W605" s="508">
        <f t="shared" si="409"/>
        <v>0</v>
      </c>
      <c r="X605" s="508">
        <f t="shared" si="410"/>
        <v>0</v>
      </c>
      <c r="Y605" s="509" t="b">
        <f t="shared" si="411"/>
        <v>0</v>
      </c>
      <c r="Z605" s="510">
        <f t="shared" si="412"/>
        <v>0</v>
      </c>
      <c r="AA605" s="511"/>
      <c r="AB605" s="511" t="str">
        <f t="shared" si="413"/>
        <v/>
      </c>
      <c r="AC605" s="698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698"/>
      <c r="AE605" s="631" t="str">
        <f t="shared" si="414"/>
        <v/>
      </c>
      <c r="AF605" s="699" t="str">
        <f t="shared" si="415"/>
        <v/>
      </c>
      <c r="AG605" s="699"/>
      <c r="AH605" s="699"/>
      <c r="AI605" s="512">
        <f>IF(H605="credit",0,IF(AE605="free",0,IF(AE605="me",0,IF(G605&gt;0,(VLOOKUP(A605,'Discount Lookup'!J:K,2)*G605),0))))</f>
        <v>0</v>
      </c>
      <c r="AJ605" s="513" t="str">
        <f t="shared" ca="1" si="416"/>
        <v/>
      </c>
      <c r="AK605" s="700" t="str">
        <f t="shared" si="417"/>
        <v/>
      </c>
      <c r="AL605" s="700"/>
      <c r="AM605" s="505" t="str">
        <f t="shared" si="418"/>
        <v/>
      </c>
      <c r="AN605" s="506"/>
      <c r="AO605" s="507"/>
      <c r="AP605" s="507"/>
      <c r="AQ605" s="507"/>
      <c r="AR605" s="507"/>
      <c r="AS605" s="507"/>
      <c r="AT605" s="507"/>
      <c r="AU605" s="507"/>
      <c r="AV605" s="225"/>
      <c r="AW605" s="508"/>
      <c r="AX605" s="225"/>
      <c r="AY605" s="225"/>
      <c r="AZ605" s="225"/>
      <c r="BA605" s="225"/>
      <c r="BB605" s="225"/>
      <c r="BC605" s="56"/>
      <c r="BD605" s="56"/>
      <c r="BE605" s="56"/>
      <c r="BF605" s="107" t="str">
        <f t="shared" si="419"/>
        <v>https://www.google.com/search?tbm=isch&amp;q=3%20G2</v>
      </c>
      <c r="BG605" s="107" t="str">
        <f t="shared" si="420"/>
        <v>C</v>
      </c>
      <c r="BH605" s="254"/>
      <c r="BI605" s="254"/>
    </row>
    <row r="606" spans="1:61" customFormat="1" ht="17.25" thickBot="1" x14ac:dyDescent="0.3">
      <c r="A606" s="524" t="s">
        <v>4056</v>
      </c>
      <c r="B606" s="245"/>
      <c r="C606" s="677"/>
      <c r="D606" s="499"/>
      <c r="E606" s="499"/>
      <c r="F606" s="500"/>
      <c r="G606" s="501"/>
      <c r="H606" s="502"/>
      <c r="I606" s="246"/>
      <c r="J606" s="247"/>
      <c r="K606" s="503"/>
      <c r="L606" s="544"/>
      <c r="M606" s="544"/>
      <c r="N606" s="500"/>
      <c r="O606" s="500"/>
      <c r="P606" s="500"/>
      <c r="Q606" s="500"/>
      <c r="R606" s="500"/>
      <c r="S606" s="278"/>
      <c r="T606" s="508">
        <f t="shared" si="408"/>
        <v>0</v>
      </c>
      <c r="U606" s="225" t="str">
        <f>IF(NOT(ISNUMBER(G606)), "", VLOOKUP(A606,'Discount Lookup'!D:E,2,FALSE)*G606)</f>
        <v/>
      </c>
      <c r="V606" s="225" t="str">
        <f>IF(NOT(ISNUMBER(G606)), "", VLOOKUP(A606,'Discount Lookup'!G:H,2,FALSE)*G606)</f>
        <v/>
      </c>
      <c r="W606" s="508">
        <f t="shared" si="409"/>
        <v>0</v>
      </c>
      <c r="X606" s="508">
        <f t="shared" si="410"/>
        <v>0</v>
      </c>
      <c r="Y606" s="509" t="b">
        <f t="shared" si="411"/>
        <v>0</v>
      </c>
      <c r="Z606" s="510">
        <f t="shared" si="412"/>
        <v>0</v>
      </c>
      <c r="AA606" s="511"/>
      <c r="AB606" s="511" t="str">
        <f t="shared" si="413"/>
        <v/>
      </c>
      <c r="AC606" s="698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698"/>
      <c r="AE606" s="631" t="str">
        <f t="shared" si="414"/>
        <v/>
      </c>
      <c r="AF606" s="699" t="str">
        <f t="shared" si="415"/>
        <v/>
      </c>
      <c r="AG606" s="699"/>
      <c r="AH606" s="699"/>
      <c r="AI606" s="512">
        <f>IF(H606="credit",0,IF(AE606="free",0,IF(AE606="me",0,IF(G606&gt;0,(VLOOKUP(A606,'Discount Lookup'!J:K,2)*G606),0))))</f>
        <v>0</v>
      </c>
      <c r="AJ606" s="513" t="str">
        <f t="shared" ca="1" si="416"/>
        <v/>
      </c>
      <c r="AK606" s="700" t="str">
        <f t="shared" si="417"/>
        <v/>
      </c>
      <c r="AL606" s="700"/>
      <c r="AM606" s="505" t="str">
        <f t="shared" si="418"/>
        <v/>
      </c>
      <c r="AN606" s="506"/>
      <c r="AO606" s="507"/>
      <c r="AP606" s="507"/>
      <c r="AQ606" s="507"/>
      <c r="AR606" s="507"/>
      <c r="AS606" s="507"/>
      <c r="AT606" s="507"/>
      <c r="AU606" s="507"/>
      <c r="AV606" s="225"/>
      <c r="AW606" s="508"/>
      <c r="AX606" s="225"/>
      <c r="AY606" s="225"/>
      <c r="AZ606" s="225"/>
      <c r="BA606" s="225"/>
      <c r="BB606" s="225"/>
      <c r="BC606" s="56"/>
      <c r="BD606" s="56"/>
      <c r="BE606" s="56"/>
      <c r="BF606" s="107" t="str">
        <f t="shared" si="419"/>
        <v>https://www.google.com/search?tbm=isch&amp;q=Candelabra%20has%20Green%20foliage.%20All%20%22Hardy%22%20Hydrangea%20have%20cone-shaped%20flowers%20on%20new%20wood.%20Flowers%20change%20color%20with%20age.%20Extremely%20cold-hardy%20</v>
      </c>
      <c r="BG606" s="107" t="str">
        <f t="shared" si="420"/>
        <v>C</v>
      </c>
      <c r="BH606" s="254"/>
      <c r="BI606" s="254"/>
    </row>
    <row r="607" spans="1:61" customFormat="1" ht="18" x14ac:dyDescent="0.25">
      <c r="A607" s="523" t="s">
        <v>5584</v>
      </c>
      <c r="B607" s="235"/>
      <c r="C607" s="676"/>
      <c r="D607" s="255" t="s">
        <v>2530</v>
      </c>
      <c r="E607" s="236"/>
      <c r="F607" s="236"/>
      <c r="G607" s="236"/>
      <c r="H607" s="582" t="s">
        <v>1565</v>
      </c>
      <c r="I607" s="498" t="s">
        <v>3285</v>
      </c>
      <c r="J607" s="237"/>
      <c r="K607" s="237"/>
      <c r="L607" s="274"/>
      <c r="M607" s="668" t="s">
        <v>4962</v>
      </c>
      <c r="N607" s="681" t="str">
        <f>IF(AND(ISTEXT($A607), ISERROR($A607+0)), HYPERLINK($BF607, "Images"), "")</f>
        <v>Images</v>
      </c>
      <c r="O607" s="663" t="s">
        <v>4967</v>
      </c>
      <c r="P607" s="253"/>
      <c r="Q607" s="238"/>
      <c r="R607" s="239"/>
      <c r="S607" s="275"/>
      <c r="T607" s="508">
        <f t="shared" si="408"/>
        <v>0</v>
      </c>
      <c r="U607" s="225" t="str">
        <f>IF(NOT(ISNUMBER(G607)), "", VLOOKUP(A607,'Discount Lookup'!D:E,2,FALSE)*G607)</f>
        <v/>
      </c>
      <c r="V607" s="225" t="str">
        <f>IF(NOT(ISNUMBER(G607)), "", VLOOKUP(A607,'Discount Lookup'!G:H,2,FALSE)*G607)</f>
        <v/>
      </c>
      <c r="W607" s="508">
        <f t="shared" si="409"/>
        <v>0</v>
      </c>
      <c r="X607" s="508" t="str">
        <f t="shared" si="410"/>
        <v>Red-Purple bloom</v>
      </c>
      <c r="Y607" s="509" t="b">
        <f t="shared" si="411"/>
        <v>0</v>
      </c>
      <c r="Z607" s="510">
        <f t="shared" si="412"/>
        <v>0</v>
      </c>
      <c r="AA607" s="511"/>
      <c r="AB607" s="511" t="str">
        <f t="shared" si="413"/>
        <v/>
      </c>
      <c r="AC607" s="698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698"/>
      <c r="AE607" s="631" t="str">
        <f t="shared" si="414"/>
        <v/>
      </c>
      <c r="AF607" s="699" t="str">
        <f t="shared" si="415"/>
        <v/>
      </c>
      <c r="AG607" s="699"/>
      <c r="AH607" s="699"/>
      <c r="AI607" s="512">
        <f>IF(H607="credit",0,IF(AE607="free",0,IF(AE607="me",0,IF(G607&gt;0,(VLOOKUP(A607,'Discount Lookup'!J:K,2)*G607),0))))</f>
        <v>0</v>
      </c>
      <c r="AJ607" s="513" t="str">
        <f t="shared" ca="1" si="416"/>
        <v/>
      </c>
      <c r="AK607" s="700" t="str">
        <f t="shared" si="417"/>
        <v/>
      </c>
      <c r="AL607" s="700"/>
      <c r="AM607" s="505" t="str">
        <f t="shared" si="418"/>
        <v/>
      </c>
      <c r="AN607" s="506"/>
      <c r="AO607" s="507"/>
      <c r="AP607" s="507"/>
      <c r="AQ607" s="507"/>
      <c r="AR607" s="507"/>
      <c r="AS607" s="507"/>
      <c r="AT607" s="507"/>
      <c r="AU607" s="507"/>
      <c r="AV607" s="225"/>
      <c r="AW607" s="508"/>
      <c r="AX607" s="225"/>
      <c r="AY607" s="225"/>
      <c r="AZ607" s="225"/>
      <c r="BA607" s="225"/>
      <c r="BB607" s="225"/>
      <c r="BC607" s="56"/>
      <c r="BD607" s="56"/>
      <c r="BE607" s="56"/>
      <c r="BF607" s="107" t="str">
        <f t="shared" si="419"/>
        <v>https://www.google.com/search?tbm=isch&amp;q=Candy%20Corn%C2%AE%20Japanese%20Spirea%20%28DP%C2%AE%29%20Spiraea%20japonica%20%27NCSX1%27%20PP%2328313</v>
      </c>
      <c r="BG607" s="107" t="str">
        <f t="shared" si="420"/>
        <v>C</v>
      </c>
      <c r="BH607" s="254"/>
      <c r="BI607" s="254"/>
    </row>
    <row r="608" spans="1:61" customFormat="1" ht="15.75" x14ac:dyDescent="0.25">
      <c r="A608" s="276">
        <v>3</v>
      </c>
      <c r="B608" s="240" t="s">
        <v>291</v>
      </c>
      <c r="C608" s="241"/>
      <c r="D608" s="242" t="s">
        <v>298</v>
      </c>
      <c r="E608" s="243">
        <v>36.950000000000003</v>
      </c>
      <c r="F608" s="517" t="s">
        <v>293</v>
      </c>
      <c r="G608" s="232">
        <v>0</v>
      </c>
      <c r="H608" s="661" t="str">
        <f>IF(G608=0,"",IF(F608="Buy",IF(G608=1,"plant","plants"),IF(F608&gt;0.01,"warranty","Error")))</f>
        <v/>
      </c>
      <c r="I608" s="244">
        <f>IF(H608="free",0,IF(H608="credit",((E608*(F608))*G608*-1),IF(F608="Buy",(E608*G608),((E608*(1-F608))*G608))))</f>
        <v>0</v>
      </c>
      <c r="J608" s="244">
        <f>IF(H608="warranty",0,(I608*(_xlfn.SINGLE(SalesTaxPercentage))))</f>
        <v>0</v>
      </c>
      <c r="K608" s="696">
        <f t="shared" ref="K608" si="427">I608+J608</f>
        <v>0</v>
      </c>
      <c r="L608" s="696"/>
      <c r="M608" s="659" t="str">
        <f>IF(AND(G608&gt;0,E608=0),"WARNING - no PRICE inserted",IF(H608="free"," FREE ~ no charge this plant",IF(H608="credit",CONCATENATE(" -$",ROUND(K608*(1-T2GDiscount)*-1,2)," CREDIT after discount"),IF(T2GDiscount=0,"",IF(G608=0,"",IF(F608="Buy",CONCATENATE(" $",ROUND(K608*(1-T2GDiscount),2)," with ",(T2GDiscount*100),"% discount"),CONCATENATE(" $",ROUND(K608*(1-T2GDiscount),2)," with ",((T2GDiscount*100+F608*100)-(T2GDiscount*100*F608)),IF(F608&gt;0,"% discounts",IF(NoWarrantyDiscount&gt;0,"% discounts","% discount")))))))))</f>
        <v/>
      </c>
      <c r="N608" s="660"/>
      <c r="O608" s="233"/>
      <c r="P608" s="233"/>
      <c r="Q608" s="233"/>
      <c r="R608" s="233"/>
      <c r="S608" s="233"/>
      <c r="T608" s="508">
        <f t="shared" si="408"/>
        <v>0</v>
      </c>
      <c r="U608" s="225">
        <f>IF(NOT(ISNUMBER(G608)), "", VLOOKUP(A608,'Discount Lookup'!D:E,2,FALSE)*G608)</f>
        <v>0</v>
      </c>
      <c r="V608" s="225">
        <f>IF(NOT(ISNUMBER(G608)), "", VLOOKUP(A608,'Discount Lookup'!G:H,2,FALSE)*G608)</f>
        <v>0</v>
      </c>
      <c r="W608" s="508">
        <f t="shared" si="409"/>
        <v>0</v>
      </c>
      <c r="X608" s="508">
        <f t="shared" si="410"/>
        <v>0</v>
      </c>
      <c r="Y608" s="509" t="b">
        <f t="shared" si="411"/>
        <v>0</v>
      </c>
      <c r="Z608" s="510">
        <f t="shared" si="412"/>
        <v>0</v>
      </c>
      <c r="AA608" s="511"/>
      <c r="AB608" s="511" t="str">
        <f t="shared" si="413"/>
        <v/>
      </c>
      <c r="AC608" s="698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698"/>
      <c r="AE608" s="631" t="str">
        <f t="shared" si="414"/>
        <v/>
      </c>
      <c r="AF608" s="699" t="str">
        <f t="shared" si="415"/>
        <v/>
      </c>
      <c r="AG608" s="699"/>
      <c r="AH608" s="699"/>
      <c r="AI608" s="512">
        <f>IF(H608="credit",0,IF(AE608="free",0,IF(AE608="me",0,IF(G608&gt;0,(VLOOKUP(A608,'Discount Lookup'!J:K,2)*G608),0))))</f>
        <v>0</v>
      </c>
      <c r="AJ608" s="513" t="str">
        <f t="shared" ca="1" si="416"/>
        <v/>
      </c>
      <c r="AK608" s="700" t="str">
        <f t="shared" si="417"/>
        <v/>
      </c>
      <c r="AL608" s="700"/>
      <c r="AM608" s="505" t="str">
        <f t="shared" si="418"/>
        <v/>
      </c>
      <c r="AN608" s="506"/>
      <c r="AO608" s="507"/>
      <c r="AP608" s="507"/>
      <c r="AQ608" s="507"/>
      <c r="AR608" s="507"/>
      <c r="AS608" s="507"/>
      <c r="AT608" s="507"/>
      <c r="AU608" s="507"/>
      <c r="AV608" s="225"/>
      <c r="AW608" s="508"/>
      <c r="AX608" s="225"/>
      <c r="AY608" s="225"/>
      <c r="AZ608" s="225"/>
      <c r="BA608" s="225"/>
      <c r="BB608" s="225"/>
      <c r="BC608" s="56"/>
      <c r="BD608" s="56"/>
      <c r="BE608" s="56"/>
      <c r="BF608" s="107" t="str">
        <f t="shared" si="419"/>
        <v>https://www.google.com/search?tbm=isch&amp;q=3%20G1</v>
      </c>
      <c r="BG608" s="107" t="str">
        <f t="shared" si="420"/>
        <v>C</v>
      </c>
      <c r="BH608" s="254"/>
      <c r="BI608" s="254"/>
    </row>
    <row r="609" spans="1:61" customFormat="1" ht="15.75" x14ac:dyDescent="0.25">
      <c r="A609" s="276">
        <v>3</v>
      </c>
      <c r="B609" s="240" t="s">
        <v>291</v>
      </c>
      <c r="C609" s="241"/>
      <c r="D609" s="242" t="s">
        <v>312</v>
      </c>
      <c r="E609" s="243">
        <v>40.950000000000003</v>
      </c>
      <c r="F609" s="517" t="s">
        <v>293</v>
      </c>
      <c r="G609" s="232">
        <v>0</v>
      </c>
      <c r="H609" s="661" t="str">
        <f>IF(G609=0,"",IF(F609="Buy",IF(G609=1,"plant","plants"),IF(F609&gt;0.01,"warranty","Error")))</f>
        <v/>
      </c>
      <c r="I609" s="244">
        <f>IF(H609="free",0,IF(H609="credit",((E609*(F609))*G609*-1),IF(F609="Buy",(E609*G609),((E609*(1-F609))*G609))))</f>
        <v>0</v>
      </c>
      <c r="J609" s="244">
        <f>IF(H609="warranty",0,(I609*(_xlfn.SINGLE(SalesTaxPercentage))))</f>
        <v>0</v>
      </c>
      <c r="K609" s="696">
        <f t="shared" ref="K609" si="428">I609+J609</f>
        <v>0</v>
      </c>
      <c r="L609" s="696"/>
      <c r="M609" s="659" t="str">
        <f>IF(AND(G609&gt;0,E609=0),"WARNING - no PRICE inserted",IF(H609="free"," FREE ~ no charge this plant",IF(H609="credit",CONCATENATE(" -$",ROUND(K609*(1-T2GDiscount)*-1,2)," CREDIT after discount"),IF(T2GDiscount=0,"",IF(G609=0,"",IF(F609="Buy",CONCATENATE(" $",ROUND(K609*(1-T2GDiscount),2)," with ",(T2GDiscount*100),"% discount"),CONCATENATE(" $",ROUND(K609*(1-T2GDiscount),2)," with ",((T2GDiscount*100+F609*100)-(T2GDiscount*100*F609)),IF(F609&gt;0,"% discounts",IF(NoWarrantyDiscount&gt;0,"% discounts","% discount")))))))))</f>
        <v/>
      </c>
      <c r="N609" s="660"/>
      <c r="O609" s="233"/>
      <c r="P609" s="233"/>
      <c r="Q609" s="233"/>
      <c r="R609" s="233"/>
      <c r="S609" s="233"/>
      <c r="T609" s="508">
        <f t="shared" si="408"/>
        <v>0</v>
      </c>
      <c r="U609" s="225">
        <f>IF(NOT(ISNUMBER(G609)), "", VLOOKUP(A609,'Discount Lookup'!D:E,2,FALSE)*G609)</f>
        <v>0</v>
      </c>
      <c r="V609" s="225">
        <f>IF(NOT(ISNUMBER(G609)), "", VLOOKUP(A609,'Discount Lookup'!G:H,2,FALSE)*G609)</f>
        <v>0</v>
      </c>
      <c r="W609" s="508">
        <f t="shared" si="409"/>
        <v>0</v>
      </c>
      <c r="X609" s="508">
        <f t="shared" si="410"/>
        <v>0</v>
      </c>
      <c r="Y609" s="509" t="b">
        <f t="shared" si="411"/>
        <v>0</v>
      </c>
      <c r="Z609" s="510">
        <f t="shared" si="412"/>
        <v>0</v>
      </c>
      <c r="AA609" s="511"/>
      <c r="AB609" s="511" t="str">
        <f t="shared" si="413"/>
        <v/>
      </c>
      <c r="AC609" s="698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698"/>
      <c r="AE609" s="631" t="str">
        <f t="shared" si="414"/>
        <v/>
      </c>
      <c r="AF609" s="699" t="str">
        <f t="shared" si="415"/>
        <v/>
      </c>
      <c r="AG609" s="699"/>
      <c r="AH609" s="699"/>
      <c r="AI609" s="512">
        <f>IF(H609="credit",0,IF(AE609="free",0,IF(AE609="me",0,IF(G609&gt;0,(VLOOKUP(A609,'Discount Lookup'!J:K,2)*G609),0))))</f>
        <v>0</v>
      </c>
      <c r="AJ609" s="513" t="str">
        <f t="shared" ca="1" si="416"/>
        <v/>
      </c>
      <c r="AK609" s="700" t="str">
        <f t="shared" si="417"/>
        <v/>
      </c>
      <c r="AL609" s="700"/>
      <c r="AM609" s="505" t="str">
        <f t="shared" si="418"/>
        <v/>
      </c>
      <c r="AN609" s="506"/>
      <c r="AO609" s="507"/>
      <c r="AP609" s="507"/>
      <c r="AQ609" s="507"/>
      <c r="AR609" s="507"/>
      <c r="AS609" s="507"/>
      <c r="AT609" s="507"/>
      <c r="AU609" s="507"/>
      <c r="AV609" s="225"/>
      <c r="AW609" s="508"/>
      <c r="AX609" s="225"/>
      <c r="AY609" s="225"/>
      <c r="AZ609" s="225"/>
      <c r="BA609" s="225"/>
      <c r="BB609" s="225"/>
      <c r="BC609" s="56"/>
      <c r="BD609" s="56"/>
      <c r="BE609" s="56"/>
      <c r="BF609" s="107" t="str">
        <f t="shared" si="419"/>
        <v>https://www.google.com/search?tbm=isch&amp;q=3%20G2</v>
      </c>
      <c r="BG609" s="107" t="str">
        <f t="shared" si="420"/>
        <v>C</v>
      </c>
      <c r="BH609" s="254"/>
      <c r="BI609" s="254"/>
    </row>
    <row r="610" spans="1:61" customFormat="1" ht="15.75" x14ac:dyDescent="0.25">
      <c r="A610" s="276">
        <v>3</v>
      </c>
      <c r="B610" s="240" t="s">
        <v>291</v>
      </c>
      <c r="C610" s="241" t="s">
        <v>4700</v>
      </c>
      <c r="D610" s="242" t="s">
        <v>312</v>
      </c>
      <c r="E610" s="243">
        <v>40.950000000000003</v>
      </c>
      <c r="F610" s="517" t="s">
        <v>293</v>
      </c>
      <c r="G610" s="232">
        <v>0</v>
      </c>
      <c r="H610" s="661" t="str">
        <f>IF(G610=0,"",IF(F610="Buy",IF(G610=1,"plant","plants"),IF(F610&gt;0.01,"warranty","Error")))</f>
        <v/>
      </c>
      <c r="I610" s="244">
        <f>IF(H610="free",0,IF(H610="credit",((E610*(F610))*G610*-1),IF(F610="Buy",(E610*G610),((E610*(1-F610))*G610))))</f>
        <v>0</v>
      </c>
      <c r="J610" s="244">
        <f>IF(H610="warranty",0,(I610*(_xlfn.SINGLE(SalesTaxPercentage))))</f>
        <v>0</v>
      </c>
      <c r="K610" s="696">
        <f t="shared" ref="K610" si="429">I610+J610</f>
        <v>0</v>
      </c>
      <c r="L610" s="696"/>
      <c r="M610" s="659" t="str">
        <f>IF(AND(G610&gt;0,E610=0),"WARNING - no PRICE inserted",IF(H610="free"," FREE ~ no charge this plant",IF(H610="credit",CONCATENATE(" -$",ROUND(K610*(1-T2GDiscount)*-1,2)," CREDIT after discount"),IF(T2GDiscount=0,"",IF(G610=0,"",IF(F610="Buy",CONCATENATE(" $",ROUND(K610*(1-T2GDiscount),2)," with ",(T2GDiscount*100),"% discount"),CONCATENATE(" $",ROUND(K610*(1-T2GDiscount),2)," with ",((T2GDiscount*100+F610*100)-(T2GDiscount*100*F610)),IF(F610&gt;0,"% discounts",IF(NoWarrantyDiscount&gt;0,"% discounts","% discount")))))))))</f>
        <v/>
      </c>
      <c r="N610" s="660"/>
      <c r="O610" s="233"/>
      <c r="P610" s="233"/>
      <c r="Q610" s="233"/>
      <c r="R610" s="233"/>
      <c r="S610" s="233"/>
      <c r="T610" s="508">
        <f t="shared" si="408"/>
        <v>0</v>
      </c>
      <c r="U610" s="225">
        <f>IF(NOT(ISNUMBER(G610)), "", VLOOKUP(A610,'Discount Lookup'!D:E,2,FALSE)*G610)</f>
        <v>0</v>
      </c>
      <c r="V610" s="225">
        <f>IF(NOT(ISNUMBER(G610)), "", VLOOKUP(A610,'Discount Lookup'!G:H,2,FALSE)*G610)</f>
        <v>0</v>
      </c>
      <c r="W610" s="508">
        <f t="shared" si="409"/>
        <v>0</v>
      </c>
      <c r="X610" s="508">
        <f t="shared" si="410"/>
        <v>0</v>
      </c>
      <c r="Y610" s="509" t="b">
        <f t="shared" si="411"/>
        <v>0</v>
      </c>
      <c r="Z610" s="510">
        <f t="shared" si="412"/>
        <v>0</v>
      </c>
      <c r="AA610" s="511"/>
      <c r="AB610" s="511" t="str">
        <f t="shared" si="413"/>
        <v/>
      </c>
      <c r="AC610" s="698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698"/>
      <c r="AE610" s="631" t="str">
        <f t="shared" si="414"/>
        <v/>
      </c>
      <c r="AF610" s="699" t="str">
        <f t="shared" si="415"/>
        <v/>
      </c>
      <c r="AG610" s="699"/>
      <c r="AH610" s="699"/>
      <c r="AI610" s="512">
        <f>IF(H610="credit",0,IF(AE610="free",0,IF(AE610="me",0,IF(G610&gt;0,(VLOOKUP(A610,'Discount Lookup'!J:K,2)*G610),0))))</f>
        <v>0</v>
      </c>
      <c r="AJ610" s="513" t="str">
        <f t="shared" ca="1" si="416"/>
        <v/>
      </c>
      <c r="AK610" s="700" t="str">
        <f t="shared" si="417"/>
        <v/>
      </c>
      <c r="AL610" s="700"/>
      <c r="AM610" s="505" t="str">
        <f t="shared" si="418"/>
        <v/>
      </c>
      <c r="AN610" s="506"/>
      <c r="AO610" s="507"/>
      <c r="AP610" s="507"/>
      <c r="AQ610" s="507"/>
      <c r="AR610" s="507"/>
      <c r="AS610" s="507"/>
      <c r="AT610" s="507"/>
      <c r="AU610" s="507"/>
      <c r="AV610" s="225"/>
      <c r="AW610" s="508"/>
      <c r="AX610" s="225"/>
      <c r="AY610" s="225"/>
      <c r="AZ610" s="225"/>
      <c r="BA610" s="225"/>
      <c r="BB610" s="225"/>
      <c r="BC610" s="56"/>
      <c r="BD610" s="56"/>
      <c r="BE610" s="56"/>
      <c r="BF610" s="107" t="str">
        <f t="shared" si="419"/>
        <v>https://www.google.com/search?tbm=isch&amp;q=3%20G2</v>
      </c>
      <c r="BG610" s="107" t="str">
        <f t="shared" si="420"/>
        <v>C</v>
      </c>
      <c r="BH610" s="254"/>
      <c r="BI610" s="254"/>
    </row>
    <row r="611" spans="1:61" customFormat="1" ht="15.75" x14ac:dyDescent="0.25">
      <c r="A611" s="276">
        <v>3</v>
      </c>
      <c r="B611" s="240" t="s">
        <v>291</v>
      </c>
      <c r="C611" s="241" t="s">
        <v>3977</v>
      </c>
      <c r="D611" s="242" t="s">
        <v>299</v>
      </c>
      <c r="E611" s="243">
        <v>42.95</v>
      </c>
      <c r="F611" s="517" t="s">
        <v>293</v>
      </c>
      <c r="G611" s="232">
        <v>0</v>
      </c>
      <c r="H611" s="661" t="str">
        <f>IF(G611=0,"",IF(F611="Buy",IF(G611=1,"plant","plants"),IF(F611&gt;0.01,"warranty","Error")))</f>
        <v/>
      </c>
      <c r="I611" s="244">
        <f>IF(H611="free",0,IF(H611="credit",((E611*(F611))*G611*-1),IF(F611="Buy",(E611*G611),((E611*(1-F611))*G611))))</f>
        <v>0</v>
      </c>
      <c r="J611" s="244">
        <f>IF(H611="warranty",0,(I611*(_xlfn.SINGLE(SalesTaxPercentage))))</f>
        <v>0</v>
      </c>
      <c r="K611" s="696">
        <f t="shared" ref="K611" si="430">I611+J611</f>
        <v>0</v>
      </c>
      <c r="L611" s="696"/>
      <c r="M611" s="659" t="str">
        <f>IF(AND(G611&gt;0,E611=0),"WARNING - no PRICE inserted",IF(H611="free"," FREE ~ no charge this plant",IF(H611="credit",CONCATENATE(" -$",ROUND(K611*(1-T2GDiscount)*-1,2)," CREDIT after discount"),IF(T2GDiscount=0,"",IF(G611=0,"",IF(F611="Buy",CONCATENATE(" $",ROUND(K611*(1-T2GDiscount),2)," with ",(T2GDiscount*100),"% discount"),CONCATENATE(" $",ROUND(K611*(1-T2GDiscount),2)," with ",((T2GDiscount*100+F611*100)-(T2GDiscount*100*F611)),IF(F611&gt;0,"% discounts",IF(NoWarrantyDiscount&gt;0,"% discounts","% discount")))))))))</f>
        <v/>
      </c>
      <c r="N611" s="660"/>
      <c r="O611" s="233"/>
      <c r="P611" s="233"/>
      <c r="Q611" s="233"/>
      <c r="R611" s="233"/>
      <c r="S611" s="233"/>
      <c r="T611" s="508">
        <f t="shared" si="408"/>
        <v>0</v>
      </c>
      <c r="U611" s="225">
        <f>IF(NOT(ISNUMBER(G611)), "", VLOOKUP(A611,'Discount Lookup'!D:E,2,FALSE)*G611)</f>
        <v>0</v>
      </c>
      <c r="V611" s="225">
        <f>IF(NOT(ISNUMBER(G611)), "", VLOOKUP(A611,'Discount Lookup'!G:H,2,FALSE)*G611)</f>
        <v>0</v>
      </c>
      <c r="W611" s="508">
        <f t="shared" si="409"/>
        <v>0</v>
      </c>
      <c r="X611" s="508">
        <f t="shared" si="410"/>
        <v>0</v>
      </c>
      <c r="Y611" s="509" t="b">
        <f t="shared" si="411"/>
        <v>0</v>
      </c>
      <c r="Z611" s="510">
        <f t="shared" si="412"/>
        <v>0</v>
      </c>
      <c r="AA611" s="511"/>
      <c r="AB611" s="511" t="str">
        <f t="shared" si="413"/>
        <v/>
      </c>
      <c r="AC611" s="698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698"/>
      <c r="AE611" s="631" t="str">
        <f t="shared" si="414"/>
        <v/>
      </c>
      <c r="AF611" s="699" t="str">
        <f t="shared" si="415"/>
        <v/>
      </c>
      <c r="AG611" s="699"/>
      <c r="AH611" s="699"/>
      <c r="AI611" s="512">
        <f>IF(H611="credit",0,IF(AE611="free",0,IF(AE611="me",0,IF(G611&gt;0,(VLOOKUP(A611,'Discount Lookup'!J:K,2)*G611),0))))</f>
        <v>0</v>
      </c>
      <c r="AJ611" s="513" t="str">
        <f t="shared" ca="1" si="416"/>
        <v/>
      </c>
      <c r="AK611" s="700" t="str">
        <f t="shared" si="417"/>
        <v/>
      </c>
      <c r="AL611" s="700"/>
      <c r="AM611" s="505" t="str">
        <f t="shared" si="418"/>
        <v/>
      </c>
      <c r="AN611" s="506"/>
      <c r="AO611" s="507"/>
      <c r="AP611" s="507"/>
      <c r="AQ611" s="507"/>
      <c r="AR611" s="507"/>
      <c r="AS611" s="507"/>
      <c r="AT611" s="507"/>
      <c r="AU611" s="507"/>
      <c r="AV611" s="225"/>
      <c r="AW611" s="508"/>
      <c r="AX611" s="225"/>
      <c r="AY611" s="225"/>
      <c r="AZ611" s="225"/>
      <c r="BA611" s="225"/>
      <c r="BB611" s="225"/>
      <c r="BC611" s="56"/>
      <c r="BD611" s="56"/>
      <c r="BE611" s="56"/>
      <c r="BF611" s="107" t="str">
        <f t="shared" si="419"/>
        <v>https://www.google.com/search?tbm=isch&amp;q=3%20G5</v>
      </c>
      <c r="BG611" s="107" t="str">
        <f t="shared" si="420"/>
        <v>C</v>
      </c>
      <c r="BH611" s="254"/>
      <c r="BI611" s="254"/>
    </row>
    <row r="612" spans="1:61" customFormat="1" ht="15.75" x14ac:dyDescent="0.25">
      <c r="A612" s="276">
        <v>3</v>
      </c>
      <c r="B612" s="240" t="s">
        <v>291</v>
      </c>
      <c r="C612" s="241" t="s">
        <v>4658</v>
      </c>
      <c r="D612" s="242" t="s">
        <v>300</v>
      </c>
      <c r="E612" s="243">
        <v>50.95</v>
      </c>
      <c r="F612" s="517" t="s">
        <v>293</v>
      </c>
      <c r="G612" s="232">
        <v>0</v>
      </c>
      <c r="H612" s="661" t="str">
        <f>IF(G612=0,"",IF(F612="Buy",IF(G612=1,"plant","plants"),IF(F612&gt;0.01,"warranty","Error")))</f>
        <v/>
      </c>
      <c r="I612" s="244">
        <f>IF(H612="free",0,IF(H612="credit",((E612*(F612))*G612*-1),IF(F612="Buy",(E612*G612),((E612*(1-F612))*G612))))</f>
        <v>0</v>
      </c>
      <c r="J612" s="244">
        <f>IF(H612="warranty",0,(I612*(_xlfn.SINGLE(SalesTaxPercentage))))</f>
        <v>0</v>
      </c>
      <c r="K612" s="696">
        <f t="shared" ref="K612" si="431">I612+J612</f>
        <v>0</v>
      </c>
      <c r="L612" s="696"/>
      <c r="M612" s="659" t="str">
        <f>IF(AND(G612&gt;0,E612=0),"WARNING - no PRICE inserted",IF(H612="free"," FREE ~ no charge this plant",IF(H612="credit",CONCATENATE(" -$",ROUND(K612*(1-T2GDiscount)*-1,2)," CREDIT after discount"),IF(T2GDiscount=0,"",IF(G612=0,"",IF(F612="Buy",CONCATENATE(" $",ROUND(K612*(1-T2GDiscount),2)," with ",(T2GDiscount*100),"% discount"),CONCATENATE(" $",ROUND(K612*(1-T2GDiscount),2)," with ",((T2GDiscount*100+F612*100)-(T2GDiscount*100*F612)),IF(F612&gt;0,"% discounts",IF(NoWarrantyDiscount&gt;0,"% discounts","% discount")))))))))</f>
        <v/>
      </c>
      <c r="N612" s="660"/>
      <c r="O612" s="233"/>
      <c r="P612" s="233"/>
      <c r="Q612" s="233"/>
      <c r="R612" s="233"/>
      <c r="S612" s="233"/>
      <c r="T612" s="508">
        <f t="shared" si="408"/>
        <v>0</v>
      </c>
      <c r="U612" s="225">
        <f>IF(NOT(ISNUMBER(G612)), "", VLOOKUP(A612,'Discount Lookup'!D:E,2,FALSE)*G612)</f>
        <v>0</v>
      </c>
      <c r="V612" s="225">
        <f>IF(NOT(ISNUMBER(G612)), "", VLOOKUP(A612,'Discount Lookup'!G:H,2,FALSE)*G612)</f>
        <v>0</v>
      </c>
      <c r="W612" s="508">
        <f t="shared" si="409"/>
        <v>0</v>
      </c>
      <c r="X612" s="508">
        <f t="shared" si="410"/>
        <v>0</v>
      </c>
      <c r="Y612" s="509" t="b">
        <f t="shared" si="411"/>
        <v>0</v>
      </c>
      <c r="Z612" s="510">
        <f t="shared" si="412"/>
        <v>0</v>
      </c>
      <c r="AA612" s="511"/>
      <c r="AB612" s="511" t="str">
        <f t="shared" si="413"/>
        <v/>
      </c>
      <c r="AC612" s="698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698"/>
      <c r="AE612" s="631" t="str">
        <f t="shared" si="414"/>
        <v/>
      </c>
      <c r="AF612" s="699" t="str">
        <f t="shared" si="415"/>
        <v/>
      </c>
      <c r="AG612" s="699"/>
      <c r="AH612" s="699"/>
      <c r="AI612" s="512">
        <f>IF(H612="credit",0,IF(AE612="free",0,IF(AE612="me",0,IF(G612&gt;0,(VLOOKUP(A612,'Discount Lookup'!J:K,2)*G612),0))))</f>
        <v>0</v>
      </c>
      <c r="AJ612" s="513" t="str">
        <f t="shared" ca="1" si="416"/>
        <v/>
      </c>
      <c r="AK612" s="700" t="str">
        <f t="shared" si="417"/>
        <v/>
      </c>
      <c r="AL612" s="700"/>
      <c r="AM612" s="505" t="str">
        <f t="shared" si="418"/>
        <v/>
      </c>
      <c r="AN612" s="506"/>
      <c r="AO612" s="507"/>
      <c r="AP612" s="507"/>
      <c r="AQ612" s="507"/>
      <c r="AR612" s="507"/>
      <c r="AS612" s="507"/>
      <c r="AT612" s="507"/>
      <c r="AU612" s="507"/>
      <c r="AV612" s="225"/>
      <c r="AW612" s="508"/>
      <c r="AX612" s="225"/>
      <c r="AY612" s="225"/>
      <c r="AZ612" s="225"/>
      <c r="BA612" s="225"/>
      <c r="BB612" s="225"/>
      <c r="BC612" s="56"/>
      <c r="BD612" s="56"/>
      <c r="BE612" s="56"/>
      <c r="BF612" s="107" t="str">
        <f t="shared" si="419"/>
        <v>https://www.google.com/search?tbm=isch&amp;q=3%20G6</v>
      </c>
      <c r="BG612" s="107" t="str">
        <f t="shared" si="420"/>
        <v>C</v>
      </c>
      <c r="BH612" s="254"/>
      <c r="BI612" s="254"/>
    </row>
    <row r="613" spans="1:61" customFormat="1" ht="17.25" thickBot="1" x14ac:dyDescent="0.3">
      <c r="A613" s="524" t="s">
        <v>4198</v>
      </c>
      <c r="B613" s="245"/>
      <c r="C613" s="677"/>
      <c r="D613" s="499"/>
      <c r="E613" s="499"/>
      <c r="F613" s="500"/>
      <c r="G613" s="501"/>
      <c r="H613" s="502"/>
      <c r="I613" s="246"/>
      <c r="J613" s="247"/>
      <c r="K613" s="503"/>
      <c r="L613" s="544"/>
      <c r="M613" s="544"/>
      <c r="N613" s="500"/>
      <c r="O613" s="500"/>
      <c r="P613" s="500"/>
      <c r="Q613" s="500"/>
      <c r="R613" s="500"/>
      <c r="S613" s="669" t="s">
        <v>4980</v>
      </c>
      <c r="T613" s="508">
        <f t="shared" si="408"/>
        <v>0</v>
      </c>
      <c r="U613" s="225" t="str">
        <f>IF(NOT(ISNUMBER(G613)), "", VLOOKUP(A613,'Discount Lookup'!D:E,2,FALSE)*G613)</f>
        <v/>
      </c>
      <c r="V613" s="225" t="str">
        <f>IF(NOT(ISNUMBER(G613)), "", VLOOKUP(A613,'Discount Lookup'!G:H,2,FALSE)*G613)</f>
        <v/>
      </c>
      <c r="W613" s="508">
        <f t="shared" si="409"/>
        <v>0</v>
      </c>
      <c r="X613" s="508">
        <f t="shared" si="410"/>
        <v>0</v>
      </c>
      <c r="Y613" s="509" t="b">
        <f t="shared" si="411"/>
        <v>0</v>
      </c>
      <c r="Z613" s="510">
        <f t="shared" si="412"/>
        <v>0</v>
      </c>
      <c r="AA613" s="511"/>
      <c r="AB613" s="511" t="str">
        <f t="shared" si="413"/>
        <v/>
      </c>
      <c r="AC613" s="698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698"/>
      <c r="AE613" s="631" t="str">
        <f t="shared" si="414"/>
        <v/>
      </c>
      <c r="AF613" s="699" t="str">
        <f t="shared" si="415"/>
        <v/>
      </c>
      <c r="AG613" s="699"/>
      <c r="AH613" s="699"/>
      <c r="AI613" s="512">
        <f>IF(H613="credit",0,IF(AE613="free",0,IF(AE613="me",0,IF(G613&gt;0,(VLOOKUP(A613,'Discount Lookup'!J:K,2)*G613),0))))</f>
        <v>0</v>
      </c>
      <c r="AJ613" s="513" t="str">
        <f t="shared" ca="1" si="416"/>
        <v/>
      </c>
      <c r="AK613" s="700" t="str">
        <f t="shared" si="417"/>
        <v/>
      </c>
      <c r="AL613" s="700"/>
      <c r="AM613" s="505" t="str">
        <f t="shared" si="418"/>
        <v/>
      </c>
      <c r="AN613" s="506"/>
      <c r="AO613" s="507"/>
      <c r="AP613" s="507"/>
      <c r="AQ613" s="507"/>
      <c r="AR613" s="507"/>
      <c r="AS613" s="507"/>
      <c r="AT613" s="507"/>
      <c r="AU613" s="507"/>
      <c r="AV613" s="225"/>
      <c r="AW613" s="508"/>
      <c r="AX613" s="225"/>
      <c r="AY613" s="225"/>
      <c r="AZ613" s="225"/>
      <c r="BA613" s="225"/>
      <c r="BB613" s="225"/>
      <c r="BC613" s="56"/>
      <c r="BD613" s="56"/>
      <c r="BE613" s="56"/>
      <c r="BF613" s="107" t="str">
        <f t="shared" si="419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613" s="107" t="str">
        <f t="shared" si="420"/>
        <v>C</v>
      </c>
      <c r="BH613" s="254"/>
      <c r="BI613" s="254"/>
    </row>
    <row r="614" spans="1:61" customFormat="1" ht="18" x14ac:dyDescent="0.25">
      <c r="A614" s="523" t="s">
        <v>5364</v>
      </c>
      <c r="B614" s="235"/>
      <c r="C614" s="676"/>
      <c r="D614" s="255" t="s">
        <v>615</v>
      </c>
      <c r="E614" s="236"/>
      <c r="F614" s="236"/>
      <c r="G614" s="236"/>
      <c r="H614" s="582" t="s">
        <v>4057</v>
      </c>
      <c r="I614" s="498" t="s">
        <v>4058</v>
      </c>
      <c r="J614" s="237"/>
      <c r="K614" s="237"/>
      <c r="L614" s="274"/>
      <c r="M614" s="668" t="s">
        <v>4962</v>
      </c>
      <c r="N614" s="681" t="str">
        <f>IF(AND(ISTEXT($A614), ISERROR($A614+0)), HYPERLINK($BF614, "Images"), "")</f>
        <v>Images</v>
      </c>
      <c r="O614" s="663" t="s">
        <v>4967</v>
      </c>
      <c r="P614" s="253"/>
      <c r="Q614" s="238"/>
      <c r="R614" s="239"/>
      <c r="S614" s="275"/>
      <c r="T614" s="508">
        <f t="shared" si="408"/>
        <v>0</v>
      </c>
      <c r="U614" s="225" t="str">
        <f>IF(NOT(ISNUMBER(G614)), "", VLOOKUP(A614,'Discount Lookup'!D:E,2,FALSE)*G614)</f>
        <v/>
      </c>
      <c r="V614" s="225" t="str">
        <f>IF(NOT(ISNUMBER(G614)), "", VLOOKUP(A614,'Discount Lookup'!G:H,2,FALSE)*G614)</f>
        <v/>
      </c>
      <c r="W614" s="508">
        <f t="shared" si="409"/>
        <v>0</v>
      </c>
      <c r="X614" s="508" t="str">
        <f t="shared" si="410"/>
        <v>Bright Yellow bloom, Orange speckles</v>
      </c>
      <c r="Y614" s="509" t="b">
        <f t="shared" si="411"/>
        <v>0</v>
      </c>
      <c r="Z614" s="510">
        <f t="shared" si="412"/>
        <v>0</v>
      </c>
      <c r="AA614" s="511"/>
      <c r="AB614" s="511" t="str">
        <f t="shared" si="413"/>
        <v/>
      </c>
      <c r="AC614" s="698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698"/>
      <c r="AE614" s="631" t="str">
        <f t="shared" si="414"/>
        <v/>
      </c>
      <c r="AF614" s="699" t="str">
        <f t="shared" si="415"/>
        <v/>
      </c>
      <c r="AG614" s="699"/>
      <c r="AH614" s="699"/>
      <c r="AI614" s="512">
        <f>IF(H614="credit",0,IF(AE614="free",0,IF(AE614="me",0,IF(G614&gt;0,(VLOOKUP(A614,'Discount Lookup'!J:K,2)*G614),0))))</f>
        <v>0</v>
      </c>
      <c r="AJ614" s="513" t="str">
        <f t="shared" ca="1" si="416"/>
        <v/>
      </c>
      <c r="AK614" s="700" t="str">
        <f t="shared" si="417"/>
        <v/>
      </c>
      <c r="AL614" s="700"/>
      <c r="AM614" s="505" t="str">
        <f t="shared" si="418"/>
        <v/>
      </c>
      <c r="AN614" s="506"/>
      <c r="AO614" s="507"/>
      <c r="AP614" s="507"/>
      <c r="AQ614" s="507"/>
      <c r="AR614" s="507"/>
      <c r="AS614" s="507"/>
      <c r="AT614" s="507"/>
      <c r="AU614" s="507"/>
      <c r="AV614" s="225"/>
      <c r="AW614" s="508"/>
      <c r="AX614" s="225"/>
      <c r="AY614" s="225"/>
      <c r="AZ614" s="225"/>
      <c r="BA614" s="225"/>
      <c r="BB614" s="225"/>
      <c r="BC614" s="56"/>
      <c r="BD614" s="56"/>
      <c r="BE614" s="56"/>
      <c r="BF614" s="107" t="str">
        <f t="shared" si="419"/>
        <v>https://www.google.com/search?tbm=isch&amp;q=Canna%20LilySol%E2%84%A2%20Happy%20Emily%C2%AE%20Canna%20Lily%20Canna%20indica%20%27Happy%20Emily%27</v>
      </c>
      <c r="BG614" s="107" t="str">
        <f t="shared" si="420"/>
        <v>C</v>
      </c>
      <c r="BH614" s="254"/>
      <c r="BI614" s="254"/>
    </row>
    <row r="615" spans="1:61" customFormat="1" ht="15.75" x14ac:dyDescent="0.25">
      <c r="A615" s="276">
        <v>4</v>
      </c>
      <c r="B615" s="240" t="s">
        <v>340</v>
      </c>
      <c r="C615" s="241"/>
      <c r="D615" s="242" t="s">
        <v>312</v>
      </c>
      <c r="E615" s="243">
        <v>16.95</v>
      </c>
      <c r="F615" s="517" t="s">
        <v>293</v>
      </c>
      <c r="G615" s="232">
        <v>0</v>
      </c>
      <c r="H615" s="661" t="str">
        <f>IF(G615=0,"",IF(F615="Buy",IF(G615=1,"plant","plants"),IF(F615&gt;0.01,"warranty","Error")))</f>
        <v/>
      </c>
      <c r="I615" s="244">
        <f>IF(H615="free",0,IF(H615="credit",((E615*(F615))*G615*-1),IF(F615="Buy",(E615*G615),((E615*(1-F615))*G615))))</f>
        <v>0</v>
      </c>
      <c r="J615" s="244">
        <f>IF(H615="warranty",0,(I615*(_xlfn.SINGLE(SalesTaxPercentage))))</f>
        <v>0</v>
      </c>
      <c r="K615" s="696">
        <f t="shared" ref="K615" si="432">I615+J615</f>
        <v>0</v>
      </c>
      <c r="L615" s="696"/>
      <c r="M615" s="659" t="str">
        <f>IF(AND(G615&gt;0,E615=0),"WARNING - no PRICE inserted",IF(H615="free"," FREE ~ no charge this plant",IF(H615="credit",CONCATENATE(" -$",ROUND(K615*(1-T2GDiscount)*-1,2)," CREDIT after discount"),IF(T2GDiscount=0,"",IF(G615=0,"",IF(F615="Buy",CONCATENATE(" $",ROUND(K615*(1-T2GDiscount),2)," with ",(T2GDiscount*100),"% discount"),CONCATENATE(" $",ROUND(K615*(1-T2GDiscount),2)," with ",((T2GDiscount*100+F615*100)-(T2GDiscount*100*F615)),IF(F615&gt;0,"% discounts",IF(NoWarrantyDiscount&gt;0,"% discounts","% discount")))))))))</f>
        <v/>
      </c>
      <c r="N615" s="660"/>
      <c r="O615" s="233"/>
      <c r="P615" s="233"/>
      <c r="Q615" s="233"/>
      <c r="R615" s="233"/>
      <c r="S615" s="233"/>
      <c r="T615" s="508">
        <f t="shared" si="408"/>
        <v>0</v>
      </c>
      <c r="U615" s="225">
        <f>IF(NOT(ISNUMBER(G615)), "", VLOOKUP(A615,'Discount Lookup'!D:E,2,FALSE)*G615)</f>
        <v>0</v>
      </c>
      <c r="V615" s="225">
        <f>IF(NOT(ISNUMBER(G615)), "", VLOOKUP(A615,'Discount Lookup'!G:H,2,FALSE)*G615)</f>
        <v>0</v>
      </c>
      <c r="W615" s="508">
        <f t="shared" si="409"/>
        <v>0</v>
      </c>
      <c r="X615" s="508">
        <f t="shared" si="410"/>
        <v>0</v>
      </c>
      <c r="Y615" s="509" t="b">
        <f t="shared" si="411"/>
        <v>0</v>
      </c>
      <c r="Z615" s="510">
        <f t="shared" si="412"/>
        <v>0</v>
      </c>
      <c r="AA615" s="511"/>
      <c r="AB615" s="511" t="str">
        <f t="shared" si="413"/>
        <v/>
      </c>
      <c r="AC615" s="698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698"/>
      <c r="AE615" s="631" t="str">
        <f t="shared" si="414"/>
        <v/>
      </c>
      <c r="AF615" s="699" t="str">
        <f t="shared" si="415"/>
        <v/>
      </c>
      <c r="AG615" s="699"/>
      <c r="AH615" s="699"/>
      <c r="AI615" s="512">
        <f>IF(H615="credit",0,IF(AE615="free",0,IF(AE615="me",0,IF(G615&gt;0,(VLOOKUP(A615,'Discount Lookup'!J:K,2)*G615),0))))</f>
        <v>0</v>
      </c>
      <c r="AJ615" s="513" t="str">
        <f t="shared" ca="1" si="416"/>
        <v/>
      </c>
      <c r="AK615" s="700" t="str">
        <f t="shared" si="417"/>
        <v/>
      </c>
      <c r="AL615" s="700"/>
      <c r="AM615" s="505" t="str">
        <f t="shared" si="418"/>
        <v/>
      </c>
      <c r="AN615" s="506"/>
      <c r="AO615" s="507"/>
      <c r="AP615" s="507"/>
      <c r="AQ615" s="507"/>
      <c r="AR615" s="507"/>
      <c r="AS615" s="507"/>
      <c r="AT615" s="507"/>
      <c r="AU615" s="507"/>
      <c r="AV615" s="225"/>
      <c r="AW615" s="508"/>
      <c r="AX615" s="225"/>
      <c r="AY615" s="225"/>
      <c r="AZ615" s="225"/>
      <c r="BA615" s="225"/>
      <c r="BB615" s="225"/>
      <c r="BC615" s="56"/>
      <c r="BD615" s="56"/>
      <c r="BE615" s="56"/>
      <c r="BF615" s="107" t="str">
        <f t="shared" si="419"/>
        <v>https://www.google.com/search?tbm=isch&amp;q=4%20G2</v>
      </c>
      <c r="BG615" s="107" t="str">
        <f t="shared" si="420"/>
        <v>C</v>
      </c>
      <c r="BH615" s="254"/>
      <c r="BI615" s="254"/>
    </row>
    <row r="616" spans="1:61" customFormat="1" ht="17.25" thickBot="1" x14ac:dyDescent="0.3">
      <c r="A616" s="673" t="s">
        <v>5075</v>
      </c>
      <c r="B616" s="245"/>
      <c r="C616" s="677"/>
      <c r="D616" s="499"/>
      <c r="E616" s="499"/>
      <c r="F616" s="500"/>
      <c r="G616" s="501"/>
      <c r="H616" s="502"/>
      <c r="I616" s="246"/>
      <c r="J616" s="247"/>
      <c r="K616" s="503"/>
      <c r="L616" s="544"/>
      <c r="M616" s="544"/>
      <c r="N616" s="500"/>
      <c r="O616" s="500"/>
      <c r="P616" s="500"/>
      <c r="Q616" s="500"/>
      <c r="R616" s="500"/>
      <c r="S616" s="669" t="s">
        <v>4976</v>
      </c>
      <c r="T616" s="508">
        <f t="shared" si="408"/>
        <v>0</v>
      </c>
      <c r="U616" s="225" t="str">
        <f>IF(NOT(ISNUMBER(G616)), "", VLOOKUP(A616,'Discount Lookup'!D:E,2,FALSE)*G616)</f>
        <v/>
      </c>
      <c r="V616" s="225" t="str">
        <f>IF(NOT(ISNUMBER(G616)), "", VLOOKUP(A616,'Discount Lookup'!G:H,2,FALSE)*G616)</f>
        <v/>
      </c>
      <c r="W616" s="508">
        <f t="shared" si="409"/>
        <v>0</v>
      </c>
      <c r="X616" s="508">
        <f t="shared" si="410"/>
        <v>0</v>
      </c>
      <c r="Y616" s="509" t="b">
        <f t="shared" si="411"/>
        <v>0</v>
      </c>
      <c r="Z616" s="510">
        <f t="shared" si="412"/>
        <v>0</v>
      </c>
      <c r="AA616" s="511"/>
      <c r="AB616" s="511" t="str">
        <f t="shared" si="413"/>
        <v/>
      </c>
      <c r="AC616" s="698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698"/>
      <c r="AE616" s="631" t="str">
        <f t="shared" si="414"/>
        <v/>
      </c>
      <c r="AF616" s="699" t="str">
        <f t="shared" si="415"/>
        <v/>
      </c>
      <c r="AG616" s="699"/>
      <c r="AH616" s="699"/>
      <c r="AI616" s="512">
        <f>IF(H616="credit",0,IF(AE616="free",0,IF(AE616="me",0,IF(G616&gt;0,(VLOOKUP(A616,'Discount Lookup'!J:K,2)*G616),0))))</f>
        <v>0</v>
      </c>
      <c r="AJ616" s="513" t="str">
        <f t="shared" ca="1" si="416"/>
        <v/>
      </c>
      <c r="AK616" s="700" t="str">
        <f t="shared" si="417"/>
        <v/>
      </c>
      <c r="AL616" s="700"/>
      <c r="AM616" s="505" t="str">
        <f t="shared" si="418"/>
        <v/>
      </c>
      <c r="AN616" s="506"/>
      <c r="AO616" s="507"/>
      <c r="AP616" s="507"/>
      <c r="AQ616" s="507"/>
      <c r="AR616" s="507"/>
      <c r="AS616" s="507"/>
      <c r="AT616" s="507"/>
      <c r="AU616" s="507"/>
      <c r="AV616" s="225"/>
      <c r="AW616" s="508"/>
      <c r="AX616" s="225"/>
      <c r="AY616" s="225"/>
      <c r="AZ616" s="225"/>
      <c r="BA616" s="225"/>
      <c r="BB616" s="225"/>
      <c r="BC616" s="56"/>
      <c r="BD616" s="56"/>
      <c r="BE616" s="56"/>
      <c r="BF616" s="107" t="str">
        <f t="shared" si="419"/>
        <v>https://www.google.com/search?tbm=isch&amp;q=moist%20sites%F0%9F%92%A7GOOD%2C%20Happy%20Emily%20will%20bloom%20continuously%2C%20with%20self-cleaning%20flowers.%20Variegated%20Green-and-Yellow%20foliage%20</v>
      </c>
      <c r="BG616" s="107" t="str">
        <f t="shared" si="420"/>
        <v>m</v>
      </c>
      <c r="BH616" s="254"/>
      <c r="BI616" s="254"/>
    </row>
    <row r="617" spans="1:61" customFormat="1" ht="18" x14ac:dyDescent="0.25">
      <c r="A617" s="523" t="s">
        <v>5365</v>
      </c>
      <c r="B617" s="235"/>
      <c r="C617" s="676"/>
      <c r="D617" s="255" t="s">
        <v>616</v>
      </c>
      <c r="E617" s="236"/>
      <c r="F617" s="236"/>
      <c r="G617" s="236"/>
      <c r="H617" s="582" t="s">
        <v>4059</v>
      </c>
      <c r="I617" s="498" t="s">
        <v>4060</v>
      </c>
      <c r="J617" s="237"/>
      <c r="K617" s="237"/>
      <c r="L617" s="274"/>
      <c r="M617" s="668" t="s">
        <v>4962</v>
      </c>
      <c r="N617" s="681" t="str">
        <f>IF(AND(ISTEXT($A617), ISERROR($A617+0)), HYPERLINK($BF617, "Images"), "")</f>
        <v>Images</v>
      </c>
      <c r="O617" s="663" t="s">
        <v>4967</v>
      </c>
      <c r="P617" s="253"/>
      <c r="Q617" s="238"/>
      <c r="R617" s="239"/>
      <c r="S617" s="275"/>
      <c r="T617" s="508">
        <f t="shared" si="408"/>
        <v>0</v>
      </c>
      <c r="U617" s="225" t="str">
        <f>IF(NOT(ISNUMBER(G617)), "", VLOOKUP(A617,'Discount Lookup'!D:E,2,FALSE)*G617)</f>
        <v/>
      </c>
      <c r="V617" s="225" t="str">
        <f>IF(NOT(ISNUMBER(G617)), "", VLOOKUP(A617,'Discount Lookup'!G:H,2,FALSE)*G617)</f>
        <v/>
      </c>
      <c r="W617" s="508">
        <f t="shared" si="409"/>
        <v>0</v>
      </c>
      <c r="X617" s="508" t="str">
        <f t="shared" si="410"/>
        <v>Tangerine-Orange bloom</v>
      </c>
      <c r="Y617" s="509" t="b">
        <f t="shared" si="411"/>
        <v>0</v>
      </c>
      <c r="Z617" s="510">
        <f t="shared" si="412"/>
        <v>0</v>
      </c>
      <c r="AA617" s="511"/>
      <c r="AB617" s="511" t="str">
        <f t="shared" si="413"/>
        <v/>
      </c>
      <c r="AC617" s="698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698"/>
      <c r="AE617" s="631" t="str">
        <f t="shared" si="414"/>
        <v/>
      </c>
      <c r="AF617" s="699" t="str">
        <f t="shared" si="415"/>
        <v/>
      </c>
      <c r="AG617" s="699"/>
      <c r="AH617" s="699"/>
      <c r="AI617" s="512">
        <f>IF(H617="credit",0,IF(AE617="free",0,IF(AE617="me",0,IF(G617&gt;0,(VLOOKUP(A617,'Discount Lookup'!J:K,2)*G617),0))))</f>
        <v>0</v>
      </c>
      <c r="AJ617" s="513" t="str">
        <f t="shared" ca="1" si="416"/>
        <v/>
      </c>
      <c r="AK617" s="700" t="str">
        <f t="shared" si="417"/>
        <v/>
      </c>
      <c r="AL617" s="700"/>
      <c r="AM617" s="505" t="str">
        <f t="shared" si="418"/>
        <v/>
      </c>
      <c r="AN617" s="506"/>
      <c r="AO617" s="507"/>
      <c r="AP617" s="507"/>
      <c r="AQ617" s="507"/>
      <c r="AR617" s="507"/>
      <c r="AS617" s="507"/>
      <c r="AT617" s="507"/>
      <c r="AU617" s="507"/>
      <c r="AV617" s="225"/>
      <c r="AW617" s="508"/>
      <c r="AX617" s="225"/>
      <c r="AY617" s="225"/>
      <c r="AZ617" s="225"/>
      <c r="BA617" s="225"/>
      <c r="BB617" s="225"/>
      <c r="BC617" s="56"/>
      <c r="BD617" s="56"/>
      <c r="BE617" s="56"/>
      <c r="BF617" s="107" t="str">
        <f t="shared" si="419"/>
        <v>https://www.google.com/search?tbm=isch&amp;q=Canna%20LilySol%E2%84%A2%20Happy%20Julia%C2%AE%20Canna%20Lily%20Canna%20indica%20%27Happy%20Julia%27</v>
      </c>
      <c r="BG617" s="107" t="str">
        <f t="shared" si="420"/>
        <v>C</v>
      </c>
      <c r="BH617" s="254"/>
      <c r="BI617" s="254"/>
    </row>
    <row r="618" spans="1:61" customFormat="1" ht="15.75" x14ac:dyDescent="0.25">
      <c r="A618" s="276">
        <v>4</v>
      </c>
      <c r="B618" s="240" t="s">
        <v>340</v>
      </c>
      <c r="C618" s="241"/>
      <c r="D618" s="242" t="s">
        <v>312</v>
      </c>
      <c r="E618" s="243">
        <v>16.95</v>
      </c>
      <c r="F618" s="517" t="s">
        <v>293</v>
      </c>
      <c r="G618" s="232">
        <v>0</v>
      </c>
      <c r="H618" s="661" t="str">
        <f>IF(G618=0,"",IF(F618="Buy",IF(G618=1,"plant","plants"),IF(F618&gt;0.01,"warranty","Error")))</f>
        <v/>
      </c>
      <c r="I618" s="244">
        <f>IF(H618="free",0,IF(H618="credit",((E618*(F618))*G618*-1),IF(F618="Buy",(E618*G618),((E618*(1-F618))*G618))))</f>
        <v>0</v>
      </c>
      <c r="J618" s="244">
        <f>IF(H618="warranty",0,(I618*(_xlfn.SINGLE(SalesTaxPercentage))))</f>
        <v>0</v>
      </c>
      <c r="K618" s="696">
        <f t="shared" ref="K618" si="433">I618+J618</f>
        <v>0</v>
      </c>
      <c r="L618" s="696"/>
      <c r="M618" s="659" t="str">
        <f>IF(AND(G618&gt;0,E618=0),"WARNING - no PRICE inserted",IF(H618="free"," FREE ~ no charge this plant",IF(H618="credit",CONCATENATE(" -$",ROUND(K618*(1-T2GDiscount)*-1,2)," CREDIT after discount"),IF(T2GDiscount=0,"",IF(G618=0,"",IF(F618="Buy",CONCATENATE(" $",ROUND(K618*(1-T2GDiscount),2)," with ",(T2GDiscount*100),"% discount"),CONCATENATE(" $",ROUND(K618*(1-T2GDiscount),2)," with ",((T2GDiscount*100+F618*100)-(T2GDiscount*100*F618)),IF(F618&gt;0,"% discounts",IF(NoWarrantyDiscount&gt;0,"% discounts","% discount")))))))))</f>
        <v/>
      </c>
      <c r="N618" s="660"/>
      <c r="O618" s="233"/>
      <c r="P618" s="233"/>
      <c r="Q618" s="233"/>
      <c r="R618" s="233"/>
      <c r="S618" s="233"/>
      <c r="T618" s="508">
        <f t="shared" si="408"/>
        <v>0</v>
      </c>
      <c r="U618" s="225">
        <f>IF(NOT(ISNUMBER(G618)), "", VLOOKUP(A618,'Discount Lookup'!D:E,2,FALSE)*G618)</f>
        <v>0</v>
      </c>
      <c r="V618" s="225">
        <f>IF(NOT(ISNUMBER(G618)), "", VLOOKUP(A618,'Discount Lookup'!G:H,2,FALSE)*G618)</f>
        <v>0</v>
      </c>
      <c r="W618" s="508">
        <f t="shared" si="409"/>
        <v>0</v>
      </c>
      <c r="X618" s="508">
        <f t="shared" si="410"/>
        <v>0</v>
      </c>
      <c r="Y618" s="509" t="b">
        <f t="shared" si="411"/>
        <v>0</v>
      </c>
      <c r="Z618" s="510">
        <f t="shared" si="412"/>
        <v>0</v>
      </c>
      <c r="AA618" s="511"/>
      <c r="AB618" s="511" t="str">
        <f t="shared" si="413"/>
        <v/>
      </c>
      <c r="AC618" s="698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698"/>
      <c r="AE618" s="631" t="str">
        <f t="shared" si="414"/>
        <v/>
      </c>
      <c r="AF618" s="699" t="str">
        <f t="shared" si="415"/>
        <v/>
      </c>
      <c r="AG618" s="699"/>
      <c r="AH618" s="699"/>
      <c r="AI618" s="512">
        <f>IF(H618="credit",0,IF(AE618="free",0,IF(AE618="me",0,IF(G618&gt;0,(VLOOKUP(A618,'Discount Lookup'!J:K,2)*G618),0))))</f>
        <v>0</v>
      </c>
      <c r="AJ618" s="513" t="str">
        <f t="shared" ca="1" si="416"/>
        <v/>
      </c>
      <c r="AK618" s="700" t="str">
        <f t="shared" si="417"/>
        <v/>
      </c>
      <c r="AL618" s="700"/>
      <c r="AM618" s="505" t="str">
        <f t="shared" si="418"/>
        <v/>
      </c>
      <c r="AN618" s="506"/>
      <c r="AO618" s="507"/>
      <c r="AP618" s="507"/>
      <c r="AQ618" s="507"/>
      <c r="AR618" s="507"/>
      <c r="AS618" s="507"/>
      <c r="AT618" s="507"/>
      <c r="AU618" s="507"/>
      <c r="AV618" s="225"/>
      <c r="AW618" s="508"/>
      <c r="AX618" s="225"/>
      <c r="AY618" s="225"/>
      <c r="AZ618" s="225"/>
      <c r="BA618" s="225"/>
      <c r="BB618" s="225"/>
      <c r="BC618" s="56"/>
      <c r="BD618" s="56"/>
      <c r="BE618" s="56"/>
      <c r="BF618" s="107" t="str">
        <f t="shared" si="419"/>
        <v>https://www.google.com/search?tbm=isch&amp;q=4%20G2</v>
      </c>
      <c r="BG618" s="107" t="str">
        <f t="shared" si="420"/>
        <v>C</v>
      </c>
      <c r="BH618" s="254"/>
      <c r="BI618" s="254"/>
    </row>
    <row r="619" spans="1:61" customFormat="1" ht="17.25" thickBot="1" x14ac:dyDescent="0.3">
      <c r="A619" s="673" t="s">
        <v>5076</v>
      </c>
      <c r="B619" s="245"/>
      <c r="C619" s="677"/>
      <c r="D619" s="499"/>
      <c r="E619" s="499"/>
      <c r="F619" s="500"/>
      <c r="G619" s="501"/>
      <c r="H619" s="502"/>
      <c r="I619" s="246"/>
      <c r="J619" s="247"/>
      <c r="K619" s="503"/>
      <c r="L619" s="544"/>
      <c r="M619" s="544"/>
      <c r="N619" s="500"/>
      <c r="O619" s="500"/>
      <c r="P619" s="500"/>
      <c r="Q619" s="500"/>
      <c r="R619" s="500"/>
      <c r="S619" s="669" t="s">
        <v>4976</v>
      </c>
      <c r="T619" s="508">
        <f t="shared" si="408"/>
        <v>0</v>
      </c>
      <c r="U619" s="225" t="str">
        <f>IF(NOT(ISNUMBER(G619)), "", VLOOKUP(A619,'Discount Lookup'!D:E,2,FALSE)*G619)</f>
        <v/>
      </c>
      <c r="V619" s="225" t="str">
        <f>IF(NOT(ISNUMBER(G619)), "", VLOOKUP(A619,'Discount Lookup'!G:H,2,FALSE)*G619)</f>
        <v/>
      </c>
      <c r="W619" s="508">
        <f t="shared" si="409"/>
        <v>0</v>
      </c>
      <c r="X619" s="508">
        <f t="shared" si="410"/>
        <v>0</v>
      </c>
      <c r="Y619" s="509" t="b">
        <f t="shared" si="411"/>
        <v>0</v>
      </c>
      <c r="Z619" s="510">
        <f t="shared" si="412"/>
        <v>0</v>
      </c>
      <c r="AA619" s="511"/>
      <c r="AB619" s="511" t="str">
        <f t="shared" si="413"/>
        <v/>
      </c>
      <c r="AC619" s="698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698"/>
      <c r="AE619" s="631" t="str">
        <f t="shared" si="414"/>
        <v/>
      </c>
      <c r="AF619" s="699" t="str">
        <f t="shared" si="415"/>
        <v/>
      </c>
      <c r="AG619" s="699"/>
      <c r="AH619" s="699"/>
      <c r="AI619" s="512">
        <f>IF(H619="credit",0,IF(AE619="free",0,IF(AE619="me",0,IF(G619&gt;0,(VLOOKUP(A619,'Discount Lookup'!J:K,2)*G619),0))))</f>
        <v>0</v>
      </c>
      <c r="AJ619" s="513" t="str">
        <f t="shared" ca="1" si="416"/>
        <v/>
      </c>
      <c r="AK619" s="700" t="str">
        <f t="shared" si="417"/>
        <v/>
      </c>
      <c r="AL619" s="700"/>
      <c r="AM619" s="505" t="str">
        <f t="shared" si="418"/>
        <v/>
      </c>
      <c r="AN619" s="506"/>
      <c r="AO619" s="507"/>
      <c r="AP619" s="507"/>
      <c r="AQ619" s="507"/>
      <c r="AR619" s="507"/>
      <c r="AS619" s="507"/>
      <c r="AT619" s="507"/>
      <c r="AU619" s="507"/>
      <c r="AV619" s="225"/>
      <c r="AW619" s="508"/>
      <c r="AX619" s="225"/>
      <c r="AY619" s="225"/>
      <c r="AZ619" s="225"/>
      <c r="BA619" s="225"/>
      <c r="BB619" s="225"/>
      <c r="BC619" s="56"/>
      <c r="BD619" s="56"/>
      <c r="BE619" s="56"/>
      <c r="BF619" s="107" t="str">
        <f t="shared" si="419"/>
        <v>https://www.google.com/search?tbm=isch&amp;q=moist%20sites%F0%9F%92%A7GOOD%2C%20Happy%20Julia%20will%20bloom%20continuously%2C%20with%20self-cleaning%20flowers.%20Plum%20to%20Deep%20Burgundy%20foliage%20</v>
      </c>
      <c r="BG619" s="107" t="str">
        <f t="shared" si="420"/>
        <v>m</v>
      </c>
      <c r="BH619" s="254"/>
      <c r="BI619" s="254"/>
    </row>
    <row r="620" spans="1:61" customFormat="1" ht="18" x14ac:dyDescent="0.25">
      <c r="A620" s="521" t="s">
        <v>436</v>
      </c>
      <c r="B620" s="477"/>
      <c r="C620" s="674"/>
      <c r="D620" s="478" t="s">
        <v>435</v>
      </c>
      <c r="E620" s="479"/>
      <c r="F620" s="479"/>
      <c r="G620" s="479"/>
      <c r="H620" s="582" t="s">
        <v>483</v>
      </c>
      <c r="I620" s="480" t="s">
        <v>2114</v>
      </c>
      <c r="J620" s="479"/>
      <c r="K620" s="479"/>
      <c r="L620" s="560"/>
      <c r="M620" s="666" t="s">
        <v>4966</v>
      </c>
      <c r="N620" s="680" t="str">
        <f>IF(AND(ISTEXT($A620), ISERROR($A620+0)), HYPERLINK($BF620, "Images"), "")</f>
        <v>Images</v>
      </c>
      <c r="O620" s="662" t="s">
        <v>4969</v>
      </c>
      <c r="P620" s="482"/>
      <c r="Q620" s="483"/>
      <c r="R620" s="483"/>
      <c r="S620" s="484"/>
      <c r="T620" s="508">
        <f t="shared" si="408"/>
        <v>0</v>
      </c>
      <c r="U620" s="225" t="str">
        <f>IF(NOT(ISNUMBER(G620)), "", VLOOKUP(A620,'Discount Lookup'!D:E,2,FALSE)*G620)</f>
        <v/>
      </c>
      <c r="V620" s="225" t="str">
        <f>IF(NOT(ISNUMBER(G620)), "", VLOOKUP(A620,'Discount Lookup'!G:H,2,FALSE)*G620)</f>
        <v/>
      </c>
      <c r="W620" s="508">
        <f t="shared" si="409"/>
        <v>0</v>
      </c>
      <c r="X620" s="508" t="str">
        <f t="shared" si="410"/>
        <v>Pink to White bloom</v>
      </c>
      <c r="Y620" s="509" t="b">
        <f t="shared" si="411"/>
        <v>0</v>
      </c>
      <c r="Z620" s="510">
        <f t="shared" si="412"/>
        <v>0</v>
      </c>
      <c r="AA620" s="511"/>
      <c r="AB620" s="511" t="str">
        <f t="shared" si="413"/>
        <v/>
      </c>
      <c r="AC620" s="698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698"/>
      <c r="AE620" s="631" t="str">
        <f t="shared" si="414"/>
        <v/>
      </c>
      <c r="AF620" s="699" t="str">
        <f t="shared" si="415"/>
        <v/>
      </c>
      <c r="AG620" s="699"/>
      <c r="AH620" s="699"/>
      <c r="AI620" s="512">
        <f>IF(H620="credit",0,IF(AE620="free",0,IF(AE620="me",0,IF(G620&gt;0,(VLOOKUP(A620,'Discount Lookup'!J:K,2)*G620),0))))</f>
        <v>0</v>
      </c>
      <c r="AJ620" s="513" t="str">
        <f t="shared" ca="1" si="416"/>
        <v/>
      </c>
      <c r="AK620" s="700" t="str">
        <f t="shared" si="417"/>
        <v/>
      </c>
      <c r="AL620" s="700"/>
      <c r="AM620" s="505" t="str">
        <f t="shared" si="418"/>
        <v/>
      </c>
      <c r="AN620" s="506"/>
      <c r="AO620" s="507"/>
      <c r="AP620" s="507"/>
      <c r="AQ620" s="507"/>
      <c r="AR620" s="507"/>
      <c r="AS620" s="507"/>
      <c r="AT620" s="507"/>
      <c r="AU620" s="507"/>
      <c r="AV620" s="225"/>
      <c r="AW620" s="508"/>
      <c r="AX620" s="225"/>
      <c r="AY620" s="225"/>
      <c r="AZ620" s="225"/>
      <c r="BA620" s="225"/>
      <c r="BB620" s="225"/>
      <c r="BC620" s="56"/>
      <c r="BD620" s="56"/>
      <c r="BE620" s="56"/>
      <c r="BF620" s="107" t="str">
        <f t="shared" si="419"/>
        <v>https://www.google.com/search?tbm=isch&amp;q=Canyon%20Creek%20Abelia%20Abelia%20x%20grandiflora%20%27Canyon%20Creek%27</v>
      </c>
      <c r="BG620" s="107" t="str">
        <f t="shared" si="420"/>
        <v>C</v>
      </c>
      <c r="BH620" s="254"/>
      <c r="BI620" s="254"/>
    </row>
    <row r="621" spans="1:61" customFormat="1" ht="15.75" x14ac:dyDescent="0.25">
      <c r="A621" s="485">
        <v>3</v>
      </c>
      <c r="B621" s="486" t="s">
        <v>291</v>
      </c>
      <c r="C621" s="487" t="s">
        <v>437</v>
      </c>
      <c r="D621" s="488" t="s">
        <v>297</v>
      </c>
      <c r="E621" s="489">
        <v>22.95</v>
      </c>
      <c r="F621" s="516" t="s">
        <v>293</v>
      </c>
      <c r="G621" s="232">
        <v>0</v>
      </c>
      <c r="H621" s="658" t="str">
        <f>IF(G621=0,"",IF(F621="Buy",IF(G621=1,"plant","plants"),IF(F621&gt;0.01,"warranty","Error")))</f>
        <v/>
      </c>
      <c r="I621" s="490">
        <f>IF(H621="free",0,IF(H621="credit",((E621*(F621))*G621*-1),IF(F621="Buy",(E621*G621),((E621*(1-F621))*G621))))</f>
        <v>0</v>
      </c>
      <c r="J621" s="490">
        <f>IF(H621="warranty",0,(I621*(_xlfn.SINGLE(SalesTaxPercentage))))</f>
        <v>0</v>
      </c>
      <c r="K621" s="695">
        <f t="shared" ref="K621" si="434">I621+J621</f>
        <v>0</v>
      </c>
      <c r="L621" s="695"/>
      <c r="M621" s="659" t="str">
        <f>IF(AND(G621&gt;0,E621=0),"WARNING - no PRICE inserted",IF(H621="free"," FREE ~ no charge this plant",IF(H621="credit",CONCATENATE(" -$",ROUND(K621*(1-T2GDiscount)*-1,2)," CREDIT after discount"),IF(T2GDiscount=0,"",IF(G621=0,"",IF(F621="Buy",CONCATENATE(" $",ROUND(K621*(1-T2GDiscount),2)," with ",(T2GDiscount*100),"% discount"),CONCATENATE(" $",ROUND(K621*(1-T2GDiscount),2)," with ",((T2GDiscount*100+F621*100)-(T2GDiscount*100*F621)),IF(F621&gt;0,"% discounts",IF(NoWarrantyDiscount&gt;0,"% discounts","% discount")))))))))</f>
        <v/>
      </c>
      <c r="N621" s="660"/>
      <c r="O621" s="233"/>
      <c r="P621" s="233"/>
      <c r="Q621" s="233"/>
      <c r="R621" s="233"/>
      <c r="S621" s="233"/>
      <c r="T621" s="508">
        <f t="shared" si="408"/>
        <v>0</v>
      </c>
      <c r="U621" s="225">
        <f>IF(NOT(ISNUMBER(G621)), "", VLOOKUP(A621,'Discount Lookup'!D:E,2,FALSE)*G621)</f>
        <v>0</v>
      </c>
      <c r="V621" s="225">
        <f>IF(NOT(ISNUMBER(G621)), "", VLOOKUP(A621,'Discount Lookup'!G:H,2,FALSE)*G621)</f>
        <v>0</v>
      </c>
      <c r="W621" s="508">
        <f t="shared" si="409"/>
        <v>0</v>
      </c>
      <c r="X621" s="508">
        <f t="shared" si="410"/>
        <v>0</v>
      </c>
      <c r="Y621" s="509" t="b">
        <f t="shared" si="411"/>
        <v>0</v>
      </c>
      <c r="Z621" s="510">
        <f t="shared" si="412"/>
        <v>0</v>
      </c>
      <c r="AA621" s="511"/>
      <c r="AB621" s="511" t="str">
        <f t="shared" si="413"/>
        <v/>
      </c>
      <c r="AC621" s="698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698"/>
      <c r="AE621" s="631" t="str">
        <f t="shared" si="414"/>
        <v/>
      </c>
      <c r="AF621" s="699" t="str">
        <f t="shared" si="415"/>
        <v/>
      </c>
      <c r="AG621" s="699"/>
      <c r="AH621" s="699"/>
      <c r="AI621" s="512">
        <f>IF(H621="credit",0,IF(AE621="free",0,IF(AE621="me",0,IF(G621&gt;0,(VLOOKUP(A621,'Discount Lookup'!J:K,2)*G621),0))))</f>
        <v>0</v>
      </c>
      <c r="AJ621" s="513" t="str">
        <f t="shared" ca="1" si="416"/>
        <v/>
      </c>
      <c r="AK621" s="700" t="str">
        <f t="shared" si="417"/>
        <v/>
      </c>
      <c r="AL621" s="700"/>
      <c r="AM621" s="505" t="str">
        <f t="shared" si="418"/>
        <v/>
      </c>
      <c r="AN621" s="506"/>
      <c r="AO621" s="507"/>
      <c r="AP621" s="507"/>
      <c r="AQ621" s="507"/>
      <c r="AR621" s="507"/>
      <c r="AS621" s="507"/>
      <c r="AT621" s="507"/>
      <c r="AU621" s="507"/>
      <c r="AV621" s="225"/>
      <c r="AW621" s="508"/>
      <c r="AX621" s="225"/>
      <c r="AY621" s="225"/>
      <c r="AZ621" s="225"/>
      <c r="BA621" s="225"/>
      <c r="BB621" s="225"/>
      <c r="BC621" s="56"/>
      <c r="BD621" s="56"/>
      <c r="BE621" s="56"/>
      <c r="BF621" s="107" t="str">
        <f t="shared" si="419"/>
        <v>https://www.google.com/search?tbm=isch&amp;q=3%20G3</v>
      </c>
      <c r="BG621" s="107" t="str">
        <f t="shared" si="420"/>
        <v>C</v>
      </c>
      <c r="BH621" s="254"/>
      <c r="BI621" s="254"/>
    </row>
    <row r="622" spans="1:61" customFormat="1" ht="15.75" x14ac:dyDescent="0.25">
      <c r="A622" s="485">
        <v>3</v>
      </c>
      <c r="B622" s="486" t="s">
        <v>291</v>
      </c>
      <c r="C622" s="487"/>
      <c r="D622" s="488" t="s">
        <v>298</v>
      </c>
      <c r="E622" s="489">
        <v>25.95</v>
      </c>
      <c r="F622" s="516" t="s">
        <v>293</v>
      </c>
      <c r="G622" s="232">
        <v>0</v>
      </c>
      <c r="H622" s="658" t="str">
        <f>IF(G622=0,"",IF(F622="Buy",IF(G622=1,"plant","plants"),IF(F622&gt;0.01,"warranty","Error")))</f>
        <v/>
      </c>
      <c r="I622" s="490">
        <f>IF(H622="free",0,IF(H622="credit",((E622*(F622))*G622*-1),IF(F622="Buy",(E622*G622),((E622*(1-F622))*G622))))</f>
        <v>0</v>
      </c>
      <c r="J622" s="490">
        <f>IF(H622="warranty",0,(I622*(_xlfn.SINGLE(SalesTaxPercentage))))</f>
        <v>0</v>
      </c>
      <c r="K622" s="695">
        <f t="shared" ref="K622" si="435">I622+J622</f>
        <v>0</v>
      </c>
      <c r="L622" s="695"/>
      <c r="M622" s="659" t="str">
        <f>IF(AND(G622&gt;0,E622=0),"WARNING - no PRICE inserted",IF(H622="free"," FREE ~ no charge this plant",IF(H622="credit",CONCATENATE(" -$",ROUND(K622*(1-T2GDiscount)*-1,2)," CREDIT after discount"),IF(T2GDiscount=0,"",IF(G622=0,"",IF(F622="Buy",CONCATENATE(" $",ROUND(K622*(1-T2GDiscount),2)," with ",(T2GDiscount*100),"% discount"),CONCATENATE(" $",ROUND(K622*(1-T2GDiscount),2)," with ",((T2GDiscount*100+F622*100)-(T2GDiscount*100*F622)),IF(F622&gt;0,"% discounts",IF(NoWarrantyDiscount&gt;0,"% discounts","% discount")))))))))</f>
        <v/>
      </c>
      <c r="N622" s="660"/>
      <c r="O622" s="233"/>
      <c r="P622" s="233"/>
      <c r="Q622" s="233"/>
      <c r="R622" s="233"/>
      <c r="S622" s="233"/>
      <c r="T622" s="508">
        <f t="shared" si="408"/>
        <v>0</v>
      </c>
      <c r="U622" s="225">
        <f>IF(NOT(ISNUMBER(G622)), "", VLOOKUP(A622,'Discount Lookup'!D:E,2,FALSE)*G622)</f>
        <v>0</v>
      </c>
      <c r="V622" s="225">
        <f>IF(NOT(ISNUMBER(G622)), "", VLOOKUP(A622,'Discount Lookup'!G:H,2,FALSE)*G622)</f>
        <v>0</v>
      </c>
      <c r="W622" s="508">
        <f t="shared" si="409"/>
        <v>0</v>
      </c>
      <c r="X622" s="508">
        <f t="shared" si="410"/>
        <v>0</v>
      </c>
      <c r="Y622" s="509" t="b">
        <f t="shared" si="411"/>
        <v>0</v>
      </c>
      <c r="Z622" s="510">
        <f t="shared" si="412"/>
        <v>0</v>
      </c>
      <c r="AA622" s="511"/>
      <c r="AB622" s="511" t="str">
        <f t="shared" si="413"/>
        <v/>
      </c>
      <c r="AC622" s="698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698"/>
      <c r="AE622" s="631" t="str">
        <f t="shared" si="414"/>
        <v/>
      </c>
      <c r="AF622" s="699" t="str">
        <f t="shared" si="415"/>
        <v/>
      </c>
      <c r="AG622" s="699"/>
      <c r="AH622" s="699"/>
      <c r="AI622" s="512">
        <f>IF(H622="credit",0,IF(AE622="free",0,IF(AE622="me",0,IF(G622&gt;0,(VLOOKUP(A622,'Discount Lookup'!J:K,2)*G622),0))))</f>
        <v>0</v>
      </c>
      <c r="AJ622" s="513" t="str">
        <f t="shared" ca="1" si="416"/>
        <v/>
      </c>
      <c r="AK622" s="700" t="str">
        <f t="shared" si="417"/>
        <v/>
      </c>
      <c r="AL622" s="700"/>
      <c r="AM622" s="505" t="str">
        <f t="shared" si="418"/>
        <v/>
      </c>
      <c r="AN622" s="506"/>
      <c r="AO622" s="507"/>
      <c r="AP622" s="507"/>
      <c r="AQ622" s="507"/>
      <c r="AR622" s="507"/>
      <c r="AS622" s="507"/>
      <c r="AT622" s="507"/>
      <c r="AU622" s="507"/>
      <c r="AV622" s="225"/>
      <c r="AW622" s="508"/>
      <c r="AX622" s="225"/>
      <c r="AY622" s="225"/>
      <c r="AZ622" s="225"/>
      <c r="BA622" s="225"/>
      <c r="BB622" s="225"/>
      <c r="BC622" s="56"/>
      <c r="BD622" s="56"/>
      <c r="BE622" s="56"/>
      <c r="BF622" s="107" t="str">
        <f t="shared" si="419"/>
        <v>https://www.google.com/search?tbm=isch&amp;q=3%20G1</v>
      </c>
      <c r="BG622" s="107" t="str">
        <f t="shared" si="420"/>
        <v>C</v>
      </c>
      <c r="BH622" s="254"/>
      <c r="BI622" s="254"/>
    </row>
    <row r="623" spans="1:61" customFormat="1" ht="17.25" thickBot="1" x14ac:dyDescent="0.3">
      <c r="A623" s="522" t="s">
        <v>2667</v>
      </c>
      <c r="B623" s="491"/>
      <c r="C623" s="675"/>
      <c r="D623" s="491"/>
      <c r="E623" s="491"/>
      <c r="F623" s="492"/>
      <c r="G623" s="493"/>
      <c r="H623" s="491"/>
      <c r="I623" s="234"/>
      <c r="J623" s="234"/>
      <c r="K623" s="494"/>
      <c r="L623" s="543"/>
      <c r="M623" s="561"/>
      <c r="N623" s="495"/>
      <c r="O623" s="496"/>
      <c r="P623" s="497"/>
      <c r="Q623" s="495"/>
      <c r="R623" s="495"/>
      <c r="S623" s="667" t="s">
        <v>4997</v>
      </c>
      <c r="T623" s="508">
        <f t="shared" si="408"/>
        <v>0</v>
      </c>
      <c r="U623" s="225" t="str">
        <f>IF(NOT(ISNUMBER(G623)), "", VLOOKUP(A623,'Discount Lookup'!D:E,2,FALSE)*G623)</f>
        <v/>
      </c>
      <c r="V623" s="225" t="str">
        <f>IF(NOT(ISNUMBER(G623)), "", VLOOKUP(A623,'Discount Lookup'!G:H,2,FALSE)*G623)</f>
        <v/>
      </c>
      <c r="W623" s="508">
        <f t="shared" si="409"/>
        <v>0</v>
      </c>
      <c r="X623" s="508">
        <f t="shared" si="410"/>
        <v>0</v>
      </c>
      <c r="Y623" s="509" t="b">
        <f t="shared" si="411"/>
        <v>0</v>
      </c>
      <c r="Z623" s="510">
        <f t="shared" si="412"/>
        <v>0</v>
      </c>
      <c r="AA623" s="511"/>
      <c r="AB623" s="511" t="str">
        <f t="shared" si="413"/>
        <v/>
      </c>
      <c r="AC623" s="698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698"/>
      <c r="AE623" s="631" t="str">
        <f t="shared" si="414"/>
        <v/>
      </c>
      <c r="AF623" s="699" t="str">
        <f t="shared" si="415"/>
        <v/>
      </c>
      <c r="AG623" s="699"/>
      <c r="AH623" s="699"/>
      <c r="AI623" s="512">
        <f>IF(H623="credit",0,IF(AE623="free",0,IF(AE623="me",0,IF(G623&gt;0,(VLOOKUP(A623,'Discount Lookup'!J:K,2)*G623),0))))</f>
        <v>0</v>
      </c>
      <c r="AJ623" s="513" t="str">
        <f t="shared" ca="1" si="416"/>
        <v/>
      </c>
      <c r="AK623" s="700" t="str">
        <f t="shared" si="417"/>
        <v/>
      </c>
      <c r="AL623" s="700"/>
      <c r="AM623" s="505" t="str">
        <f t="shared" si="418"/>
        <v/>
      </c>
      <c r="AN623" s="506"/>
      <c r="AO623" s="507"/>
      <c r="AP623" s="507"/>
      <c r="AQ623" s="507"/>
      <c r="AR623" s="507"/>
      <c r="AS623" s="507"/>
      <c r="AT623" s="507"/>
      <c r="AU623" s="507"/>
      <c r="AV623" s="225"/>
      <c r="AW623" s="508"/>
      <c r="AX623" s="225"/>
      <c r="AY623" s="225"/>
      <c r="AZ623" s="225"/>
      <c r="BA623" s="225"/>
      <c r="BB623" s="225"/>
      <c r="BC623" s="56"/>
      <c r="BD623" s="56"/>
      <c r="BE623" s="56"/>
      <c r="BF623" s="107" t="str">
        <f t="shared" si="419"/>
        <v>https://www.google.com/search?tbm=isch&amp;q=Canyon%20Creel%20foliage%20emerges%20Coppery-Yellow%2C%20matuures%20to%20Green%2C%20then%20Bronze%20in%20fall.%20Light%20fragrance%20</v>
      </c>
      <c r="BG623" s="107" t="str">
        <f t="shared" si="420"/>
        <v>C</v>
      </c>
      <c r="BH623" s="254"/>
      <c r="BI623" s="254"/>
    </row>
    <row r="624" spans="1:61" customFormat="1" ht="18" x14ac:dyDescent="0.25">
      <c r="A624" s="521" t="s">
        <v>482</v>
      </c>
      <c r="B624" s="477"/>
      <c r="C624" s="674"/>
      <c r="D624" s="478" t="s">
        <v>481</v>
      </c>
      <c r="E624" s="479"/>
      <c r="F624" s="479"/>
      <c r="G624" s="479"/>
      <c r="H624" s="582" t="s">
        <v>483</v>
      </c>
      <c r="I624" s="480" t="s">
        <v>2109</v>
      </c>
      <c r="J624" s="479"/>
      <c r="K624" s="479"/>
      <c r="L624" s="560"/>
      <c r="M624" s="666" t="s">
        <v>4966</v>
      </c>
      <c r="N624" s="680" t="str">
        <f>IF(AND(ISTEXT($A624), ISERROR($A624+0)), HYPERLINK($BF624, "Images"), "")</f>
        <v>Images</v>
      </c>
      <c r="O624" s="662" t="s">
        <v>5001</v>
      </c>
      <c r="P624" s="482"/>
      <c r="Q624" s="483"/>
      <c r="R624" s="483"/>
      <c r="S624" s="484"/>
      <c r="T624" s="508">
        <f t="shared" si="408"/>
        <v>0</v>
      </c>
      <c r="U624" s="225" t="str">
        <f>IF(NOT(ISNUMBER(G624)), "", VLOOKUP(A624,'Discount Lookup'!D:E,2,FALSE)*G624)</f>
        <v/>
      </c>
      <c r="V624" s="225" t="str">
        <f>IF(NOT(ISNUMBER(G624)), "", VLOOKUP(A624,'Discount Lookup'!G:H,2,FALSE)*G624)</f>
        <v/>
      </c>
      <c r="W624" s="508">
        <f t="shared" si="409"/>
        <v>0</v>
      </c>
      <c r="X624" s="508" t="str">
        <f t="shared" si="410"/>
        <v>Green foliage</v>
      </c>
      <c r="Y624" s="509" t="b">
        <f t="shared" si="411"/>
        <v>0</v>
      </c>
      <c r="Z624" s="510">
        <f t="shared" si="412"/>
        <v>0</v>
      </c>
      <c r="AA624" s="511"/>
      <c r="AB624" s="511" t="str">
        <f t="shared" si="413"/>
        <v/>
      </c>
      <c r="AC624" s="698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698"/>
      <c r="AE624" s="631" t="str">
        <f t="shared" si="414"/>
        <v/>
      </c>
      <c r="AF624" s="699" t="str">
        <f t="shared" si="415"/>
        <v/>
      </c>
      <c r="AG624" s="699"/>
      <c r="AH624" s="699"/>
      <c r="AI624" s="512">
        <f>IF(H624="credit",0,IF(AE624="free",0,IF(AE624="me",0,IF(G624&gt;0,(VLOOKUP(A624,'Discount Lookup'!J:K,2)*G624),0))))</f>
        <v>0</v>
      </c>
      <c r="AJ624" s="513" t="str">
        <f t="shared" ca="1" si="416"/>
        <v/>
      </c>
      <c r="AK624" s="700" t="str">
        <f t="shared" si="417"/>
        <v/>
      </c>
      <c r="AL624" s="700"/>
      <c r="AM624" s="505" t="str">
        <f t="shared" si="418"/>
        <v/>
      </c>
      <c r="AN624" s="506"/>
      <c r="AO624" s="507"/>
      <c r="AP624" s="507"/>
      <c r="AQ624" s="507"/>
      <c r="AR624" s="507"/>
      <c r="AS624" s="507"/>
      <c r="AT624" s="507"/>
      <c r="AU624" s="507"/>
      <c r="AV624" s="225"/>
      <c r="AW624" s="508"/>
      <c r="AX624" s="225"/>
      <c r="AY624" s="225"/>
      <c r="AZ624" s="225"/>
      <c r="BA624" s="225"/>
      <c r="BB624" s="225"/>
      <c r="BC624" s="56"/>
      <c r="BD624" s="56"/>
      <c r="BE624" s="56"/>
      <c r="BF624" s="107" t="str">
        <f t="shared" si="419"/>
        <v>https://www.google.com/search?tbm=isch&amp;q=Carissa%20Holly%20Ilex%20cornuta%20%27Carissa%27</v>
      </c>
      <c r="BG624" s="107" t="str">
        <f t="shared" si="420"/>
        <v>C</v>
      </c>
      <c r="BH624" s="254"/>
      <c r="BI624" s="254"/>
    </row>
    <row r="625" spans="1:61" customFormat="1" ht="15.75" x14ac:dyDescent="0.25">
      <c r="A625" s="485">
        <v>1</v>
      </c>
      <c r="B625" s="486" t="s">
        <v>291</v>
      </c>
      <c r="C625" s="487"/>
      <c r="D625" s="488" t="s">
        <v>312</v>
      </c>
      <c r="E625" s="489">
        <v>10.95</v>
      </c>
      <c r="F625" s="516" t="s">
        <v>293</v>
      </c>
      <c r="G625" s="232">
        <v>0</v>
      </c>
      <c r="H625" s="658" t="str">
        <f t="shared" ref="H625:H630" si="436">IF(G625=0,"",IF(F625="Buy",IF(G625=1,"plant","plants"),IF(F625&gt;0.01,"warranty","Error")))</f>
        <v/>
      </c>
      <c r="I625" s="490">
        <f t="shared" ref="I625:I630" si="437">IF(H625="free",0,IF(H625="credit",((E625*(F625))*G625*-1),IF(F625="Buy",(E625*G625),((E625*(1-F625))*G625))))</f>
        <v>0</v>
      </c>
      <c r="J625" s="490">
        <f t="shared" ref="J625:J630" si="438">IF(H625="warranty",0,(I625*(_xlfn.SINGLE(SalesTaxPercentage))))</f>
        <v>0</v>
      </c>
      <c r="K625" s="695">
        <f t="shared" ref="K625" si="439">I625+J625</f>
        <v>0</v>
      </c>
      <c r="L625" s="695"/>
      <c r="M625" s="659" t="str">
        <f t="shared" ref="M625:M630" si="440">IF(AND(G625&gt;0,E625=0),"WARNING - no PRICE inserted",IF(H625="free"," FREE ~ no charge this plant",IF(H625="credit",CONCATENATE(" -$",ROUND(K625*(1-T2GDiscount)*-1,2)," CREDIT after discount"),IF(T2GDiscount=0,"",IF(G625=0,"",IF(F625="Buy",CONCATENATE(" $",ROUND(K625*(1-T2GDiscount),2)," with ",(T2GDiscount*100),"% discount"),CONCATENATE(" $",ROUND(K625*(1-T2GDiscount),2)," with ",((T2GDiscount*100+F625*100)-(T2GDiscount*100*F625)),IF(F625&gt;0,"% discounts",IF(NoWarrantyDiscount&gt;0,"% discounts","% discount")))))))))</f>
        <v/>
      </c>
      <c r="N625" s="660"/>
      <c r="O625" s="233"/>
      <c r="P625" s="233"/>
      <c r="Q625" s="233"/>
      <c r="R625" s="233"/>
      <c r="S625" s="233"/>
      <c r="T625" s="508">
        <f t="shared" si="408"/>
        <v>0</v>
      </c>
      <c r="U625" s="225">
        <f>IF(NOT(ISNUMBER(G625)), "", VLOOKUP(A625,'Discount Lookup'!D:E,2,FALSE)*G625)</f>
        <v>0</v>
      </c>
      <c r="V625" s="225">
        <f>IF(NOT(ISNUMBER(G625)), "", VLOOKUP(A625,'Discount Lookup'!G:H,2,FALSE)*G625)</f>
        <v>0</v>
      </c>
      <c r="W625" s="508">
        <f t="shared" si="409"/>
        <v>0</v>
      </c>
      <c r="X625" s="508">
        <f t="shared" si="410"/>
        <v>0</v>
      </c>
      <c r="Y625" s="509" t="b">
        <f t="shared" si="411"/>
        <v>0</v>
      </c>
      <c r="Z625" s="510">
        <f t="shared" si="412"/>
        <v>0</v>
      </c>
      <c r="AA625" s="511"/>
      <c r="AB625" s="511" t="str">
        <f t="shared" si="413"/>
        <v/>
      </c>
      <c r="AC625" s="698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698"/>
      <c r="AE625" s="631" t="str">
        <f t="shared" si="414"/>
        <v/>
      </c>
      <c r="AF625" s="699" t="str">
        <f t="shared" si="415"/>
        <v/>
      </c>
      <c r="AG625" s="699"/>
      <c r="AH625" s="699"/>
      <c r="AI625" s="512">
        <f>IF(H625="credit",0,IF(AE625="free",0,IF(AE625="me",0,IF(G625&gt;0,(VLOOKUP(A625,'Discount Lookup'!J:K,2)*G625),0))))</f>
        <v>0</v>
      </c>
      <c r="AJ625" s="513" t="str">
        <f t="shared" ca="1" si="416"/>
        <v/>
      </c>
      <c r="AK625" s="700" t="str">
        <f t="shared" si="417"/>
        <v/>
      </c>
      <c r="AL625" s="700"/>
      <c r="AM625" s="505" t="str">
        <f t="shared" si="418"/>
        <v/>
      </c>
      <c r="AN625" s="506"/>
      <c r="AO625" s="507"/>
      <c r="AP625" s="507"/>
      <c r="AQ625" s="507"/>
      <c r="AR625" s="507"/>
      <c r="AS625" s="507"/>
      <c r="AT625" s="507"/>
      <c r="AU625" s="507"/>
      <c r="AV625" s="225"/>
      <c r="AW625" s="508"/>
      <c r="AX625" s="225"/>
      <c r="AY625" s="225"/>
      <c r="AZ625" s="225"/>
      <c r="BA625" s="225"/>
      <c r="BB625" s="225"/>
      <c r="BC625" s="56"/>
      <c r="BD625" s="56"/>
      <c r="BE625" s="56"/>
      <c r="BF625" s="107" t="str">
        <f t="shared" si="419"/>
        <v>https://www.google.com/search?tbm=isch&amp;q=1%20G2</v>
      </c>
      <c r="BG625" s="107" t="str">
        <f t="shared" si="420"/>
        <v>C</v>
      </c>
      <c r="BH625" s="254"/>
      <c r="BI625" s="254"/>
    </row>
    <row r="626" spans="1:61" customFormat="1" ht="15.75" x14ac:dyDescent="0.25">
      <c r="A626" s="485">
        <v>3</v>
      </c>
      <c r="B626" s="486" t="s">
        <v>291</v>
      </c>
      <c r="C626" s="487" t="s">
        <v>2352</v>
      </c>
      <c r="D626" s="488" t="s">
        <v>312</v>
      </c>
      <c r="E626" s="489">
        <v>24.95</v>
      </c>
      <c r="F626" s="516" t="s">
        <v>293</v>
      </c>
      <c r="G626" s="232">
        <v>0</v>
      </c>
      <c r="H626" s="658" t="str">
        <f t="shared" si="436"/>
        <v/>
      </c>
      <c r="I626" s="490">
        <f t="shared" si="437"/>
        <v>0</v>
      </c>
      <c r="J626" s="490">
        <f t="shared" si="438"/>
        <v>0</v>
      </c>
      <c r="K626" s="695">
        <f t="shared" ref="K626" si="441">I626+J626</f>
        <v>0</v>
      </c>
      <c r="L626" s="695"/>
      <c r="M626" s="659" t="str">
        <f t="shared" si="440"/>
        <v/>
      </c>
      <c r="N626" s="660"/>
      <c r="O626" s="233"/>
      <c r="P626" s="233"/>
      <c r="Q626" s="233"/>
      <c r="R626" s="233"/>
      <c r="S626" s="233"/>
      <c r="T626" s="508">
        <f t="shared" si="408"/>
        <v>0</v>
      </c>
      <c r="U626" s="225">
        <f>IF(NOT(ISNUMBER(G626)), "", VLOOKUP(A626,'Discount Lookup'!D:E,2,FALSE)*G626)</f>
        <v>0</v>
      </c>
      <c r="V626" s="225">
        <f>IF(NOT(ISNUMBER(G626)), "", VLOOKUP(A626,'Discount Lookup'!G:H,2,FALSE)*G626)</f>
        <v>0</v>
      </c>
      <c r="W626" s="508">
        <f t="shared" si="409"/>
        <v>0</v>
      </c>
      <c r="X626" s="508">
        <f t="shared" si="410"/>
        <v>0</v>
      </c>
      <c r="Y626" s="509" t="b">
        <f t="shared" si="411"/>
        <v>0</v>
      </c>
      <c r="Z626" s="510">
        <f t="shared" si="412"/>
        <v>0</v>
      </c>
      <c r="AA626" s="511"/>
      <c r="AB626" s="511" t="str">
        <f t="shared" si="413"/>
        <v/>
      </c>
      <c r="AC626" s="698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698"/>
      <c r="AE626" s="631" t="str">
        <f t="shared" si="414"/>
        <v/>
      </c>
      <c r="AF626" s="699" t="str">
        <f t="shared" si="415"/>
        <v/>
      </c>
      <c r="AG626" s="699"/>
      <c r="AH626" s="699"/>
      <c r="AI626" s="512">
        <f>IF(H626="credit",0,IF(AE626="free",0,IF(AE626="me",0,IF(G626&gt;0,(VLOOKUP(A626,'Discount Lookup'!J:K,2)*G626),0))))</f>
        <v>0</v>
      </c>
      <c r="AJ626" s="513" t="str">
        <f t="shared" ca="1" si="416"/>
        <v/>
      </c>
      <c r="AK626" s="700" t="str">
        <f t="shared" si="417"/>
        <v/>
      </c>
      <c r="AL626" s="700"/>
      <c r="AM626" s="505" t="str">
        <f t="shared" si="418"/>
        <v/>
      </c>
      <c r="AN626" s="506"/>
      <c r="AO626" s="507"/>
      <c r="AP626" s="507"/>
      <c r="AQ626" s="507"/>
      <c r="AR626" s="507"/>
      <c r="AS626" s="507"/>
      <c r="AT626" s="507"/>
      <c r="AU626" s="507"/>
      <c r="AV626" s="225"/>
      <c r="AW626" s="508"/>
      <c r="AX626" s="225"/>
      <c r="AY626" s="225"/>
      <c r="AZ626" s="225"/>
      <c r="BA626" s="225"/>
      <c r="BB626" s="225"/>
      <c r="BC626" s="56"/>
      <c r="BD626" s="56"/>
      <c r="BE626" s="56"/>
      <c r="BF626" s="107" t="str">
        <f t="shared" si="419"/>
        <v>https://www.google.com/search?tbm=isch&amp;q=3%20G2</v>
      </c>
      <c r="BG626" s="107" t="str">
        <f t="shared" si="420"/>
        <v>C</v>
      </c>
      <c r="BH626" s="254"/>
      <c r="BI626" s="254"/>
    </row>
    <row r="627" spans="1:61" customFormat="1" ht="15.75" x14ac:dyDescent="0.25">
      <c r="A627" s="485">
        <v>3</v>
      </c>
      <c r="B627" s="486" t="s">
        <v>291</v>
      </c>
      <c r="C627" s="487"/>
      <c r="D627" s="488" t="s">
        <v>298</v>
      </c>
      <c r="E627" s="489">
        <v>25.95</v>
      </c>
      <c r="F627" s="516" t="s">
        <v>293</v>
      </c>
      <c r="G627" s="232">
        <v>0</v>
      </c>
      <c r="H627" s="658" t="str">
        <f t="shared" si="436"/>
        <v/>
      </c>
      <c r="I627" s="490">
        <f t="shared" si="437"/>
        <v>0</v>
      </c>
      <c r="J627" s="490">
        <f t="shared" si="438"/>
        <v>0</v>
      </c>
      <c r="K627" s="695">
        <f t="shared" ref="K627" si="442">I627+J627</f>
        <v>0</v>
      </c>
      <c r="L627" s="695"/>
      <c r="M627" s="659" t="str">
        <f t="shared" si="440"/>
        <v/>
      </c>
      <c r="N627" s="660"/>
      <c r="O627" s="233"/>
      <c r="P627" s="233"/>
      <c r="Q627" s="233"/>
      <c r="R627" s="233"/>
      <c r="S627" s="233"/>
      <c r="T627" s="508">
        <f t="shared" si="408"/>
        <v>0</v>
      </c>
      <c r="U627" s="225">
        <f>IF(NOT(ISNUMBER(G627)), "", VLOOKUP(A627,'Discount Lookup'!D:E,2,FALSE)*G627)</f>
        <v>0</v>
      </c>
      <c r="V627" s="225">
        <f>IF(NOT(ISNUMBER(G627)), "", VLOOKUP(A627,'Discount Lookup'!G:H,2,FALSE)*G627)</f>
        <v>0</v>
      </c>
      <c r="W627" s="508">
        <f t="shared" si="409"/>
        <v>0</v>
      </c>
      <c r="X627" s="508">
        <f t="shared" si="410"/>
        <v>0</v>
      </c>
      <c r="Y627" s="509" t="b">
        <f t="shared" si="411"/>
        <v>0</v>
      </c>
      <c r="Z627" s="510">
        <f t="shared" si="412"/>
        <v>0</v>
      </c>
      <c r="AA627" s="511"/>
      <c r="AB627" s="511" t="str">
        <f t="shared" si="413"/>
        <v/>
      </c>
      <c r="AC627" s="698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698"/>
      <c r="AE627" s="631" t="str">
        <f t="shared" si="414"/>
        <v/>
      </c>
      <c r="AF627" s="699" t="str">
        <f t="shared" si="415"/>
        <v/>
      </c>
      <c r="AG627" s="699"/>
      <c r="AH627" s="699"/>
      <c r="AI627" s="512">
        <f>IF(H627="credit",0,IF(AE627="free",0,IF(AE627="me",0,IF(G627&gt;0,(VLOOKUP(A627,'Discount Lookup'!J:K,2)*G627),0))))</f>
        <v>0</v>
      </c>
      <c r="AJ627" s="513" t="str">
        <f t="shared" ca="1" si="416"/>
        <v/>
      </c>
      <c r="AK627" s="700" t="str">
        <f t="shared" si="417"/>
        <v/>
      </c>
      <c r="AL627" s="700"/>
      <c r="AM627" s="505" t="str">
        <f t="shared" si="418"/>
        <v/>
      </c>
      <c r="AN627" s="506"/>
      <c r="AO627" s="507"/>
      <c r="AP627" s="507"/>
      <c r="AQ627" s="507"/>
      <c r="AR627" s="507"/>
      <c r="AS627" s="507"/>
      <c r="AT627" s="507"/>
      <c r="AU627" s="507"/>
      <c r="AV627" s="225"/>
      <c r="AW627" s="508"/>
      <c r="AX627" s="225"/>
      <c r="AY627" s="225"/>
      <c r="AZ627" s="225"/>
      <c r="BA627" s="225"/>
      <c r="BB627" s="225"/>
      <c r="BC627" s="56"/>
      <c r="BD627" s="56"/>
      <c r="BE627" s="56"/>
      <c r="BF627" s="107" t="str">
        <f t="shared" si="419"/>
        <v>https://www.google.com/search?tbm=isch&amp;q=3%20G1</v>
      </c>
      <c r="BG627" s="107" t="str">
        <f t="shared" si="420"/>
        <v>C</v>
      </c>
      <c r="BH627" s="254"/>
      <c r="BI627" s="254"/>
    </row>
    <row r="628" spans="1:61" customFormat="1" ht="15.75" x14ac:dyDescent="0.25">
      <c r="A628" s="485">
        <v>3</v>
      </c>
      <c r="B628" s="486" t="s">
        <v>291</v>
      </c>
      <c r="C628" s="487" t="s">
        <v>676</v>
      </c>
      <c r="D628" s="488" t="s">
        <v>299</v>
      </c>
      <c r="E628" s="489">
        <v>27.95</v>
      </c>
      <c r="F628" s="516" t="s">
        <v>293</v>
      </c>
      <c r="G628" s="232">
        <v>0</v>
      </c>
      <c r="H628" s="658" t="str">
        <f t="shared" si="436"/>
        <v/>
      </c>
      <c r="I628" s="490">
        <f t="shared" si="437"/>
        <v>0</v>
      </c>
      <c r="J628" s="490">
        <f t="shared" si="438"/>
        <v>0</v>
      </c>
      <c r="K628" s="695">
        <f t="shared" ref="K628" si="443">I628+J628</f>
        <v>0</v>
      </c>
      <c r="L628" s="695"/>
      <c r="M628" s="659" t="str">
        <f t="shared" si="440"/>
        <v/>
      </c>
      <c r="N628" s="660"/>
      <c r="O628" s="233"/>
      <c r="P628" s="233"/>
      <c r="Q628" s="233"/>
      <c r="R628" s="233"/>
      <c r="S628" s="233"/>
      <c r="T628" s="508">
        <f t="shared" si="408"/>
        <v>0</v>
      </c>
      <c r="U628" s="225">
        <f>IF(NOT(ISNUMBER(G628)), "", VLOOKUP(A628,'Discount Lookup'!D:E,2,FALSE)*G628)</f>
        <v>0</v>
      </c>
      <c r="V628" s="225">
        <f>IF(NOT(ISNUMBER(G628)), "", VLOOKUP(A628,'Discount Lookup'!G:H,2,FALSE)*G628)</f>
        <v>0</v>
      </c>
      <c r="W628" s="508">
        <f t="shared" si="409"/>
        <v>0</v>
      </c>
      <c r="X628" s="508">
        <f t="shared" si="410"/>
        <v>0</v>
      </c>
      <c r="Y628" s="509" t="b">
        <f t="shared" si="411"/>
        <v>0</v>
      </c>
      <c r="Z628" s="510">
        <f t="shared" si="412"/>
        <v>0</v>
      </c>
      <c r="AA628" s="511"/>
      <c r="AB628" s="511" t="str">
        <f t="shared" si="413"/>
        <v/>
      </c>
      <c r="AC628" s="698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698"/>
      <c r="AE628" s="631" t="str">
        <f t="shared" si="414"/>
        <v/>
      </c>
      <c r="AF628" s="699" t="str">
        <f t="shared" si="415"/>
        <v/>
      </c>
      <c r="AG628" s="699"/>
      <c r="AH628" s="699"/>
      <c r="AI628" s="512">
        <f>IF(H628="credit",0,IF(AE628="free",0,IF(AE628="me",0,IF(G628&gt;0,(VLOOKUP(A628,'Discount Lookup'!J:K,2)*G628),0))))</f>
        <v>0</v>
      </c>
      <c r="AJ628" s="513" t="str">
        <f t="shared" ca="1" si="416"/>
        <v/>
      </c>
      <c r="AK628" s="700" t="str">
        <f t="shared" si="417"/>
        <v/>
      </c>
      <c r="AL628" s="700"/>
      <c r="AM628" s="505" t="str">
        <f t="shared" si="418"/>
        <v/>
      </c>
      <c r="AN628" s="506"/>
      <c r="AO628" s="507"/>
      <c r="AP628" s="507"/>
      <c r="AQ628" s="507"/>
      <c r="AR628" s="507"/>
      <c r="AS628" s="507"/>
      <c r="AT628" s="507"/>
      <c r="AU628" s="507"/>
      <c r="AV628" s="225"/>
      <c r="AW628" s="508"/>
      <c r="AX628" s="225"/>
      <c r="AY628" s="225"/>
      <c r="AZ628" s="225"/>
      <c r="BA628" s="225"/>
      <c r="BB628" s="225"/>
      <c r="BC628" s="56"/>
      <c r="BD628" s="56"/>
      <c r="BE628" s="56"/>
      <c r="BF628" s="107" t="str">
        <f t="shared" si="419"/>
        <v>https://www.google.com/search?tbm=isch&amp;q=3%20G5</v>
      </c>
      <c r="BG628" s="107" t="str">
        <f t="shared" si="420"/>
        <v>C</v>
      </c>
      <c r="BH628" s="254"/>
      <c r="BI628" s="254"/>
    </row>
    <row r="629" spans="1:61" customFormat="1" ht="15.75" x14ac:dyDescent="0.25">
      <c r="A629" s="485">
        <v>3</v>
      </c>
      <c r="B629" s="486" t="s">
        <v>291</v>
      </c>
      <c r="C629" s="487" t="s">
        <v>3978</v>
      </c>
      <c r="D629" s="488" t="s">
        <v>300</v>
      </c>
      <c r="E629" s="489">
        <v>33.950000000000003</v>
      </c>
      <c r="F629" s="516" t="s">
        <v>293</v>
      </c>
      <c r="G629" s="232">
        <v>0</v>
      </c>
      <c r="H629" s="658" t="str">
        <f t="shared" si="436"/>
        <v/>
      </c>
      <c r="I629" s="490">
        <f t="shared" si="437"/>
        <v>0</v>
      </c>
      <c r="J629" s="490">
        <f t="shared" si="438"/>
        <v>0</v>
      </c>
      <c r="K629" s="695">
        <f t="shared" ref="K629" si="444">I629+J629</f>
        <v>0</v>
      </c>
      <c r="L629" s="695"/>
      <c r="M629" s="659" t="str">
        <f t="shared" si="440"/>
        <v/>
      </c>
      <c r="N629" s="660"/>
      <c r="O629" s="233"/>
      <c r="P629" s="233"/>
      <c r="Q629" s="233"/>
      <c r="R629" s="233"/>
      <c r="S629" s="233"/>
      <c r="T629" s="508">
        <f t="shared" si="408"/>
        <v>0</v>
      </c>
      <c r="U629" s="225">
        <f>IF(NOT(ISNUMBER(G629)), "", VLOOKUP(A629,'Discount Lookup'!D:E,2,FALSE)*G629)</f>
        <v>0</v>
      </c>
      <c r="V629" s="225">
        <f>IF(NOT(ISNUMBER(G629)), "", VLOOKUP(A629,'Discount Lookup'!G:H,2,FALSE)*G629)</f>
        <v>0</v>
      </c>
      <c r="W629" s="508">
        <f t="shared" si="409"/>
        <v>0</v>
      </c>
      <c r="X629" s="508">
        <f t="shared" si="410"/>
        <v>0</v>
      </c>
      <c r="Y629" s="509" t="b">
        <f t="shared" si="411"/>
        <v>0</v>
      </c>
      <c r="Z629" s="510">
        <f t="shared" si="412"/>
        <v>0</v>
      </c>
      <c r="AA629" s="511"/>
      <c r="AB629" s="511" t="str">
        <f t="shared" si="413"/>
        <v/>
      </c>
      <c r="AC629" s="698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698"/>
      <c r="AE629" s="631" t="str">
        <f t="shared" si="414"/>
        <v/>
      </c>
      <c r="AF629" s="699" t="str">
        <f t="shared" si="415"/>
        <v/>
      </c>
      <c r="AG629" s="699"/>
      <c r="AH629" s="699"/>
      <c r="AI629" s="512">
        <f>IF(H629="credit",0,IF(AE629="free",0,IF(AE629="me",0,IF(G629&gt;0,(VLOOKUP(A629,'Discount Lookup'!J:K,2)*G629),0))))</f>
        <v>0</v>
      </c>
      <c r="AJ629" s="513" t="str">
        <f t="shared" ca="1" si="416"/>
        <v/>
      </c>
      <c r="AK629" s="700" t="str">
        <f t="shared" si="417"/>
        <v/>
      </c>
      <c r="AL629" s="700"/>
      <c r="AM629" s="505" t="str">
        <f t="shared" si="418"/>
        <v/>
      </c>
      <c r="AN629" s="506"/>
      <c r="AO629" s="507"/>
      <c r="AP629" s="507"/>
      <c r="AQ629" s="507"/>
      <c r="AR629" s="507"/>
      <c r="AS629" s="507"/>
      <c r="AT629" s="507"/>
      <c r="AU629" s="507"/>
      <c r="AV629" s="225"/>
      <c r="AW629" s="508"/>
      <c r="AX629" s="225"/>
      <c r="AY629" s="225"/>
      <c r="AZ629" s="225"/>
      <c r="BA629" s="225"/>
      <c r="BB629" s="225"/>
      <c r="BC629" s="56"/>
      <c r="BD629" s="56"/>
      <c r="BE629" s="56"/>
      <c r="BF629" s="107" t="str">
        <f t="shared" si="419"/>
        <v>https://www.google.com/search?tbm=isch&amp;q=3%20G6</v>
      </c>
      <c r="BG629" s="107" t="str">
        <f t="shared" si="420"/>
        <v>C</v>
      </c>
      <c r="BH629" s="254"/>
      <c r="BI629" s="254"/>
    </row>
    <row r="630" spans="1:61" customFormat="1" ht="15.75" x14ac:dyDescent="0.25">
      <c r="A630" s="485">
        <v>5</v>
      </c>
      <c r="B630" s="486" t="s">
        <v>291</v>
      </c>
      <c r="C630" s="487" t="s">
        <v>4495</v>
      </c>
      <c r="D630" s="488" t="s">
        <v>297</v>
      </c>
      <c r="E630" s="489">
        <v>41.95</v>
      </c>
      <c r="F630" s="516" t="s">
        <v>293</v>
      </c>
      <c r="G630" s="232">
        <v>0</v>
      </c>
      <c r="H630" s="658" t="str">
        <f t="shared" si="436"/>
        <v/>
      </c>
      <c r="I630" s="490">
        <f t="shared" si="437"/>
        <v>0</v>
      </c>
      <c r="J630" s="490">
        <f t="shared" si="438"/>
        <v>0</v>
      </c>
      <c r="K630" s="695">
        <f t="shared" ref="K630" si="445">I630+J630</f>
        <v>0</v>
      </c>
      <c r="L630" s="695"/>
      <c r="M630" s="659" t="str">
        <f t="shared" si="440"/>
        <v/>
      </c>
      <c r="N630" s="660"/>
      <c r="O630" s="233"/>
      <c r="P630" s="233"/>
      <c r="Q630" s="233"/>
      <c r="R630" s="233"/>
      <c r="S630" s="233"/>
      <c r="T630" s="508">
        <f t="shared" si="408"/>
        <v>0</v>
      </c>
      <c r="U630" s="225">
        <f>IF(NOT(ISNUMBER(G630)), "", VLOOKUP(A630,'Discount Lookup'!D:E,2,FALSE)*G630)</f>
        <v>0</v>
      </c>
      <c r="V630" s="225">
        <f>IF(NOT(ISNUMBER(G630)), "", VLOOKUP(A630,'Discount Lookup'!G:H,2,FALSE)*G630)</f>
        <v>0</v>
      </c>
      <c r="W630" s="508">
        <f t="shared" si="409"/>
        <v>0</v>
      </c>
      <c r="X630" s="508">
        <f t="shared" si="410"/>
        <v>0</v>
      </c>
      <c r="Y630" s="509" t="b">
        <f t="shared" si="411"/>
        <v>0</v>
      </c>
      <c r="Z630" s="510">
        <f t="shared" si="412"/>
        <v>0</v>
      </c>
      <c r="AA630" s="511"/>
      <c r="AB630" s="511" t="str">
        <f t="shared" si="413"/>
        <v/>
      </c>
      <c r="AC630" s="698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698"/>
      <c r="AE630" s="631" t="str">
        <f t="shared" si="414"/>
        <v/>
      </c>
      <c r="AF630" s="699" t="str">
        <f t="shared" si="415"/>
        <v/>
      </c>
      <c r="AG630" s="699"/>
      <c r="AH630" s="699"/>
      <c r="AI630" s="512">
        <f>IF(H630="credit",0,IF(AE630="free",0,IF(AE630="me",0,IF(G630&gt;0,(VLOOKUP(A630,'Discount Lookup'!J:K,2)*G630),0))))</f>
        <v>0</v>
      </c>
      <c r="AJ630" s="513" t="str">
        <f t="shared" ca="1" si="416"/>
        <v/>
      </c>
      <c r="AK630" s="700" t="str">
        <f t="shared" si="417"/>
        <v/>
      </c>
      <c r="AL630" s="700"/>
      <c r="AM630" s="505" t="str">
        <f t="shared" si="418"/>
        <v/>
      </c>
      <c r="AN630" s="506"/>
      <c r="AO630" s="507"/>
      <c r="AP630" s="507"/>
      <c r="AQ630" s="507"/>
      <c r="AR630" s="507"/>
      <c r="AS630" s="507"/>
      <c r="AT630" s="507"/>
      <c r="AU630" s="507"/>
      <c r="AV630" s="225"/>
      <c r="AW630" s="508"/>
      <c r="AX630" s="225"/>
      <c r="AY630" s="225"/>
      <c r="AZ630" s="225"/>
      <c r="BA630" s="225"/>
      <c r="BB630" s="225"/>
      <c r="BC630" s="56"/>
      <c r="BD630" s="56"/>
      <c r="BE630" s="56"/>
      <c r="BF630" s="107" t="str">
        <f t="shared" si="419"/>
        <v>https://www.google.com/search?tbm=isch&amp;q=5%20G3</v>
      </c>
      <c r="BG630" s="107" t="str">
        <f t="shared" si="420"/>
        <v>C</v>
      </c>
      <c r="BH630" s="254"/>
      <c r="BI630" s="254"/>
    </row>
    <row r="631" spans="1:61" customFormat="1" ht="16.5" thickBot="1" x14ac:dyDescent="0.3">
      <c r="A631" s="522" t="s">
        <v>2843</v>
      </c>
      <c r="B631" s="491"/>
      <c r="C631" s="675"/>
      <c r="D631" s="491"/>
      <c r="E631" s="491"/>
      <c r="F631" s="492"/>
      <c r="G631" s="493"/>
      <c r="H631" s="491"/>
      <c r="I631" s="234"/>
      <c r="J631" s="234"/>
      <c r="K631" s="494"/>
      <c r="L631" s="543"/>
      <c r="M631" s="561"/>
      <c r="N631" s="495"/>
      <c r="O631" s="496"/>
      <c r="P631" s="497"/>
      <c r="Q631" s="495"/>
      <c r="R631" s="495"/>
      <c r="S631" s="667" t="s">
        <v>4968</v>
      </c>
      <c r="T631" s="508">
        <f t="shared" si="408"/>
        <v>0</v>
      </c>
      <c r="U631" s="225" t="str">
        <f>IF(NOT(ISNUMBER(G631)), "", VLOOKUP(A631,'Discount Lookup'!D:E,2,FALSE)*G631)</f>
        <v/>
      </c>
      <c r="V631" s="225" t="str">
        <f>IF(NOT(ISNUMBER(G631)), "", VLOOKUP(A631,'Discount Lookup'!G:H,2,FALSE)*G631)</f>
        <v/>
      </c>
      <c r="W631" s="508">
        <f t="shared" si="409"/>
        <v>0</v>
      </c>
      <c r="X631" s="508">
        <f t="shared" si="410"/>
        <v>0</v>
      </c>
      <c r="Y631" s="509" t="b">
        <f t="shared" si="411"/>
        <v>0</v>
      </c>
      <c r="Z631" s="510">
        <f t="shared" si="412"/>
        <v>0</v>
      </c>
      <c r="AA631" s="511"/>
      <c r="AB631" s="511" t="str">
        <f t="shared" si="413"/>
        <v/>
      </c>
      <c r="AC631" s="698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698"/>
      <c r="AE631" s="631" t="str">
        <f t="shared" si="414"/>
        <v/>
      </c>
      <c r="AF631" s="699" t="str">
        <f t="shared" si="415"/>
        <v/>
      </c>
      <c r="AG631" s="699"/>
      <c r="AH631" s="699"/>
      <c r="AI631" s="512">
        <f>IF(H631="credit",0,IF(AE631="free",0,IF(AE631="me",0,IF(G631&gt;0,(VLOOKUP(A631,'Discount Lookup'!J:K,2)*G631),0))))</f>
        <v>0</v>
      </c>
      <c r="AJ631" s="513" t="str">
        <f t="shared" ca="1" si="416"/>
        <v/>
      </c>
      <c r="AK631" s="700" t="str">
        <f t="shared" si="417"/>
        <v/>
      </c>
      <c r="AL631" s="700"/>
      <c r="AM631" s="505" t="str">
        <f t="shared" si="418"/>
        <v/>
      </c>
      <c r="AN631" s="506"/>
      <c r="AO631" s="507"/>
      <c r="AP631" s="507"/>
      <c r="AQ631" s="507"/>
      <c r="AR631" s="507"/>
      <c r="AS631" s="507"/>
      <c r="AT631" s="507"/>
      <c r="AU631" s="507"/>
      <c r="AV631" s="225"/>
      <c r="AW631" s="508"/>
      <c r="AX631" s="225"/>
      <c r="AY631" s="225"/>
      <c r="AZ631" s="225"/>
      <c r="BA631" s="225"/>
      <c r="BB631" s="225"/>
      <c r="BC631" s="56"/>
      <c r="BD631" s="56"/>
      <c r="BE631" s="56"/>
      <c r="BF631" s="107" t="str">
        <f t="shared" si="419"/>
        <v>https://www.google.com/search?tbm=isch&amp;q=Carissa%20are%20sharp.%20Use%20to%20keep%20kids%20%26%20pets%20out%20of%20an%20area.%20Fragrant%2C%20showy%20blooms%20are%20followed%20by%20Bright%20Red%20berries%20</v>
      </c>
      <c r="BG631" s="107" t="str">
        <f t="shared" si="420"/>
        <v>C</v>
      </c>
      <c r="BH631" s="254"/>
      <c r="BI631" s="254"/>
    </row>
    <row r="632" spans="1:61" customFormat="1" ht="18" x14ac:dyDescent="0.25">
      <c r="A632" s="521" t="s">
        <v>331</v>
      </c>
      <c r="B632" s="477"/>
      <c r="C632" s="674"/>
      <c r="D632" s="478" t="s">
        <v>330</v>
      </c>
      <c r="E632" s="479"/>
      <c r="F632" s="479"/>
      <c r="G632" s="479"/>
      <c r="H632" s="582" t="s">
        <v>311</v>
      </c>
      <c r="I632" s="480" t="s">
        <v>827</v>
      </c>
      <c r="J632" s="479"/>
      <c r="K632" s="479"/>
      <c r="L632" s="560"/>
      <c r="M632" s="666" t="s">
        <v>4966</v>
      </c>
      <c r="N632" s="680" t="str">
        <f>IF(AND(ISTEXT($A632), ISERROR($A632+0)), HYPERLINK($BF632, "Images"), "")</f>
        <v>Images</v>
      </c>
      <c r="O632" s="662" t="s">
        <v>4969</v>
      </c>
      <c r="P632" s="482"/>
      <c r="Q632" s="483"/>
      <c r="R632" s="483"/>
      <c r="S632" s="484"/>
      <c r="T632" s="508">
        <f t="shared" si="408"/>
        <v>0</v>
      </c>
      <c r="U632" s="225" t="str">
        <f>IF(NOT(ISNUMBER(G632)), "", VLOOKUP(A632,'Discount Lookup'!D:E,2,FALSE)*G632)</f>
        <v/>
      </c>
      <c r="V632" s="225" t="str">
        <f>IF(NOT(ISNUMBER(G632)), "", VLOOKUP(A632,'Discount Lookup'!G:H,2,FALSE)*G632)</f>
        <v/>
      </c>
      <c r="W632" s="508">
        <f t="shared" si="409"/>
        <v>0</v>
      </c>
      <c r="X632" s="508" t="str">
        <f t="shared" si="410"/>
        <v>Creamy White bloom</v>
      </c>
      <c r="Y632" s="509" t="b">
        <f t="shared" si="411"/>
        <v>0</v>
      </c>
      <c r="Z632" s="510">
        <f t="shared" si="412"/>
        <v>0</v>
      </c>
      <c r="AA632" s="511"/>
      <c r="AB632" s="511" t="str">
        <f t="shared" si="413"/>
        <v/>
      </c>
      <c r="AC632" s="698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698"/>
      <c r="AE632" s="631" t="str">
        <f t="shared" si="414"/>
        <v/>
      </c>
      <c r="AF632" s="699" t="str">
        <f t="shared" si="415"/>
        <v/>
      </c>
      <c r="AG632" s="699"/>
      <c r="AH632" s="699"/>
      <c r="AI632" s="512">
        <f>IF(H632="credit",0,IF(AE632="free",0,IF(AE632="me",0,IF(G632&gt;0,(VLOOKUP(A632,'Discount Lookup'!J:K,2)*G632),0))))</f>
        <v>0</v>
      </c>
      <c r="AJ632" s="513" t="str">
        <f t="shared" ca="1" si="416"/>
        <v/>
      </c>
      <c r="AK632" s="700" t="str">
        <f t="shared" si="417"/>
        <v/>
      </c>
      <c r="AL632" s="700"/>
      <c r="AM632" s="505" t="str">
        <f t="shared" si="418"/>
        <v/>
      </c>
      <c r="AN632" s="506"/>
      <c r="AO632" s="507"/>
      <c r="AP632" s="507"/>
      <c r="AQ632" s="507"/>
      <c r="AR632" s="507"/>
      <c r="AS632" s="507"/>
      <c r="AT632" s="507"/>
      <c r="AU632" s="507"/>
      <c r="AV632" s="225"/>
      <c r="AW632" s="508"/>
      <c r="AX632" s="225"/>
      <c r="AY632" s="225"/>
      <c r="AZ632" s="225"/>
      <c r="BA632" s="225"/>
      <c r="BB632" s="225"/>
      <c r="BC632" s="56"/>
      <c r="BD632" s="56"/>
      <c r="BE632" s="56"/>
      <c r="BF632" s="107" t="str">
        <f t="shared" si="419"/>
        <v>https://www.google.com/search?tbm=isch&amp;q=Carl%20Wheeler%20Tea%20Olive%20Osmanthus%20x%20fortunei%20%27Carl%20Wheeler%27</v>
      </c>
      <c r="BG632" s="107" t="str">
        <f t="shared" si="420"/>
        <v>C</v>
      </c>
      <c r="BH632" s="254"/>
      <c r="BI632" s="254"/>
    </row>
    <row r="633" spans="1:61" customFormat="1" ht="15.75" x14ac:dyDescent="0.25">
      <c r="A633" s="485">
        <v>15</v>
      </c>
      <c r="B633" s="486" t="s">
        <v>291</v>
      </c>
      <c r="C633" s="487" t="s">
        <v>3364</v>
      </c>
      <c r="D633" s="488" t="s">
        <v>292</v>
      </c>
      <c r="E633" s="489">
        <v>155.94999999999999</v>
      </c>
      <c r="F633" s="516" t="s">
        <v>293</v>
      </c>
      <c r="G633" s="232">
        <v>0</v>
      </c>
      <c r="H633" s="658" t="str">
        <f>IF(G633=0,"",IF(F633="Buy",IF(G633=1,"plant","plants"),IF(F633&gt;0.01,"warranty","Error")))</f>
        <v/>
      </c>
      <c r="I633" s="490">
        <f>IF(H633="free",0,IF(H633="credit",((E633*(F633))*G633*-1),IF(F633="Buy",(E633*G633),((E633*(1-F633))*G633))))</f>
        <v>0</v>
      </c>
      <c r="J633" s="490">
        <f>IF(H633="warranty",0,(I633*(_xlfn.SINGLE(SalesTaxPercentage))))</f>
        <v>0</v>
      </c>
      <c r="K633" s="695">
        <f t="shared" ref="K633" si="446">I633+J633</f>
        <v>0</v>
      </c>
      <c r="L633" s="695"/>
      <c r="M633" s="659" t="str">
        <f>IF(AND(G633&gt;0,E633=0),"WARNING - no PRICE inserted",IF(H633="free"," FREE ~ no charge this plant",IF(H633="credit",CONCATENATE(" -$",ROUND(K633*(1-T2GDiscount)*-1,2)," CREDIT after discount"),IF(T2GDiscount=0,"",IF(G633=0,"",IF(F633="Buy",CONCATENATE(" $",ROUND(K633*(1-T2GDiscount),2)," with ",(T2GDiscount*100),"% discount"),CONCATENATE(" $",ROUND(K633*(1-T2GDiscount),2)," with ",((T2GDiscount*100+F633*100)-(T2GDiscount*100*F633)),IF(F633&gt;0,"% discounts",IF(NoWarrantyDiscount&gt;0,"% discounts","% discount")))))))))</f>
        <v/>
      </c>
      <c r="N633" s="660"/>
      <c r="O633" s="233"/>
      <c r="P633" s="233"/>
      <c r="Q633" s="233"/>
      <c r="R633" s="233"/>
      <c r="S633" s="233"/>
      <c r="T633" s="508">
        <f t="shared" si="408"/>
        <v>0</v>
      </c>
      <c r="U633" s="225">
        <f>IF(NOT(ISNUMBER(G633)), "", VLOOKUP(A633,'Discount Lookup'!D:E,2,FALSE)*G633)</f>
        <v>0</v>
      </c>
      <c r="V633" s="225">
        <f>IF(NOT(ISNUMBER(G633)), "", VLOOKUP(A633,'Discount Lookup'!G:H,2,FALSE)*G633)</f>
        <v>0</v>
      </c>
      <c r="W633" s="508">
        <f t="shared" si="409"/>
        <v>0</v>
      </c>
      <c r="X633" s="508">
        <f t="shared" si="410"/>
        <v>0</v>
      </c>
      <c r="Y633" s="509" t="b">
        <f t="shared" si="411"/>
        <v>0</v>
      </c>
      <c r="Z633" s="510">
        <f t="shared" si="412"/>
        <v>0</v>
      </c>
      <c r="AA633" s="511"/>
      <c r="AB633" s="511" t="str">
        <f t="shared" si="413"/>
        <v/>
      </c>
      <c r="AC633" s="698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698"/>
      <c r="AE633" s="631" t="str">
        <f t="shared" si="414"/>
        <v/>
      </c>
      <c r="AF633" s="699" t="str">
        <f t="shared" si="415"/>
        <v/>
      </c>
      <c r="AG633" s="699"/>
      <c r="AH633" s="699"/>
      <c r="AI633" s="512">
        <f>IF(H633="credit",0,IF(AE633="free",0,IF(AE633="me",0,IF(G633&gt;0,(VLOOKUP(A633,'Discount Lookup'!J:K,2)*G633),0))))</f>
        <v>0</v>
      </c>
      <c r="AJ633" s="513" t="str">
        <f t="shared" ca="1" si="416"/>
        <v/>
      </c>
      <c r="AK633" s="700" t="str">
        <f t="shared" si="417"/>
        <v/>
      </c>
      <c r="AL633" s="700"/>
      <c r="AM633" s="505" t="str">
        <f t="shared" si="418"/>
        <v/>
      </c>
      <c r="AN633" s="506"/>
      <c r="AO633" s="507"/>
      <c r="AP633" s="507"/>
      <c r="AQ633" s="507"/>
      <c r="AR633" s="507"/>
      <c r="AS633" s="507"/>
      <c r="AT633" s="507"/>
      <c r="AU633" s="507"/>
      <c r="AV633" s="225"/>
      <c r="AW633" s="508"/>
      <c r="AX633" s="225"/>
      <c r="AY633" s="225"/>
      <c r="AZ633" s="225"/>
      <c r="BA633" s="225"/>
      <c r="BB633" s="225"/>
      <c r="BC633" s="56"/>
      <c r="BD633" s="56"/>
      <c r="BE633" s="56"/>
      <c r="BF633" s="107" t="str">
        <f t="shared" si="419"/>
        <v>https://www.google.com/search?tbm=isch&amp;q=15%20G4</v>
      </c>
      <c r="BG633" s="107" t="str">
        <f t="shared" si="420"/>
        <v>C</v>
      </c>
      <c r="BH633" s="254"/>
      <c r="BI633" s="254"/>
    </row>
    <row r="634" spans="1:61" customFormat="1" ht="17.25" thickBot="1" x14ac:dyDescent="0.3">
      <c r="A634" s="522" t="s">
        <v>2353</v>
      </c>
      <c r="B634" s="491"/>
      <c r="C634" s="675"/>
      <c r="D634" s="491"/>
      <c r="E634" s="491"/>
      <c r="F634" s="492"/>
      <c r="G634" s="493"/>
      <c r="H634" s="491"/>
      <c r="I634" s="234"/>
      <c r="J634" s="234"/>
      <c r="K634" s="494"/>
      <c r="L634" s="543"/>
      <c r="M634" s="561"/>
      <c r="N634" s="495"/>
      <c r="O634" s="496"/>
      <c r="P634" s="497"/>
      <c r="Q634" s="495"/>
      <c r="R634" s="495"/>
      <c r="S634" s="667" t="s">
        <v>5002</v>
      </c>
      <c r="T634" s="508">
        <f t="shared" si="408"/>
        <v>0</v>
      </c>
      <c r="U634" s="225" t="str">
        <f>IF(NOT(ISNUMBER(G634)), "", VLOOKUP(A634,'Discount Lookup'!D:E,2,FALSE)*G634)</f>
        <v/>
      </c>
      <c r="V634" s="225" t="str">
        <f>IF(NOT(ISNUMBER(G634)), "", VLOOKUP(A634,'Discount Lookup'!G:H,2,FALSE)*G634)</f>
        <v/>
      </c>
      <c r="W634" s="508">
        <f t="shared" si="409"/>
        <v>0</v>
      </c>
      <c r="X634" s="508">
        <f t="shared" si="410"/>
        <v>0</v>
      </c>
      <c r="Y634" s="509" t="b">
        <f t="shared" si="411"/>
        <v>0</v>
      </c>
      <c r="Z634" s="510">
        <f t="shared" si="412"/>
        <v>0</v>
      </c>
      <c r="AA634" s="511"/>
      <c r="AB634" s="511" t="str">
        <f t="shared" si="413"/>
        <v/>
      </c>
      <c r="AC634" s="698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698"/>
      <c r="AE634" s="631" t="str">
        <f t="shared" si="414"/>
        <v/>
      </c>
      <c r="AF634" s="699" t="str">
        <f t="shared" si="415"/>
        <v/>
      </c>
      <c r="AG634" s="699"/>
      <c r="AH634" s="699"/>
      <c r="AI634" s="512">
        <f>IF(H634="credit",0,IF(AE634="free",0,IF(AE634="me",0,IF(G634&gt;0,(VLOOKUP(A634,'Discount Lookup'!J:K,2)*G634),0))))</f>
        <v>0</v>
      </c>
      <c r="AJ634" s="513" t="str">
        <f t="shared" ca="1" si="416"/>
        <v/>
      </c>
      <c r="AK634" s="700" t="str">
        <f t="shared" si="417"/>
        <v/>
      </c>
      <c r="AL634" s="700"/>
      <c r="AM634" s="505" t="str">
        <f t="shared" si="418"/>
        <v/>
      </c>
      <c r="AN634" s="506"/>
      <c r="AO634" s="507"/>
      <c r="AP634" s="507"/>
      <c r="AQ634" s="507"/>
      <c r="AR634" s="507"/>
      <c r="AS634" s="507"/>
      <c r="AT634" s="507"/>
      <c r="AU634" s="507"/>
      <c r="AV634" s="225"/>
      <c r="AW634" s="508"/>
      <c r="AX634" s="225"/>
      <c r="AY634" s="225"/>
      <c r="AZ634" s="225"/>
      <c r="BA634" s="225"/>
      <c r="BB634" s="225"/>
      <c r="BC634" s="56"/>
      <c r="BD634" s="56"/>
      <c r="BE634" s="56"/>
      <c r="BF634" s="107" t="str">
        <f t="shared" si="419"/>
        <v>https://www.google.com/search?tbm=isch&amp;q=Carl%20Wheeler%20is%20exceptionally%20more%20fragrant%2C%20and%2C%20more%20cold%20hardy%20thean%20other%20Tea%20Olive%20</v>
      </c>
      <c r="BG634" s="107" t="str">
        <f t="shared" si="420"/>
        <v>C</v>
      </c>
      <c r="BH634" s="254"/>
      <c r="BI634" s="254"/>
    </row>
    <row r="635" spans="1:61" customFormat="1" ht="18" x14ac:dyDescent="0.25">
      <c r="A635" s="521" t="s">
        <v>2090</v>
      </c>
      <c r="B635" s="477"/>
      <c r="C635" s="674"/>
      <c r="D635" s="478" t="s">
        <v>598</v>
      </c>
      <c r="E635" s="479"/>
      <c r="F635" s="479"/>
      <c r="G635" s="479"/>
      <c r="H635" s="582" t="s">
        <v>1441</v>
      </c>
      <c r="I635" s="480" t="s">
        <v>3008</v>
      </c>
      <c r="J635" s="479"/>
      <c r="K635" s="479"/>
      <c r="L635" s="560"/>
      <c r="M635" s="666" t="s">
        <v>4966</v>
      </c>
      <c r="N635" s="680" t="str">
        <f>IF(AND(ISTEXT($A635), ISERROR($A635+0)), HYPERLINK($BF635, "Images"), "")</f>
        <v>Images</v>
      </c>
      <c r="O635" s="662" t="s">
        <v>4969</v>
      </c>
      <c r="P635" s="482"/>
      <c r="Q635" s="483"/>
      <c r="R635" s="483"/>
      <c r="S635" s="484" t="s">
        <v>305</v>
      </c>
      <c r="T635" s="508">
        <f t="shared" si="408"/>
        <v>0</v>
      </c>
      <c r="U635" s="225" t="str">
        <f>IF(NOT(ISNUMBER(G635)), "", VLOOKUP(A635,'Discount Lookup'!D:E,2,FALSE)*G635)</f>
        <v/>
      </c>
      <c r="V635" s="225" t="str">
        <f>IF(NOT(ISNUMBER(G635)), "", VLOOKUP(A635,'Discount Lookup'!G:H,2,FALSE)*G635)</f>
        <v/>
      </c>
      <c r="W635" s="508">
        <f t="shared" si="409"/>
        <v>0</v>
      </c>
      <c r="X635" s="508" t="str">
        <f t="shared" si="410"/>
        <v>Bright Yellow bloom</v>
      </c>
      <c r="Y635" s="509" t="b">
        <f t="shared" si="411"/>
        <v>0</v>
      </c>
      <c r="Z635" s="510">
        <f t="shared" si="412"/>
        <v>0</v>
      </c>
      <c r="AA635" s="511"/>
      <c r="AB635" s="511" t="str">
        <f t="shared" si="413"/>
        <v/>
      </c>
      <c r="AC635" s="698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698"/>
      <c r="AE635" s="631" t="str">
        <f t="shared" si="414"/>
        <v/>
      </c>
      <c r="AF635" s="699" t="str">
        <f t="shared" si="415"/>
        <v/>
      </c>
      <c r="AG635" s="699"/>
      <c r="AH635" s="699"/>
      <c r="AI635" s="512">
        <f>IF(H635="credit",0,IF(AE635="free",0,IF(AE635="me",0,IF(G635&gt;0,(VLOOKUP(A635,'Discount Lookup'!J:K,2)*G635),0))))</f>
        <v>0</v>
      </c>
      <c r="AJ635" s="513" t="str">
        <f t="shared" ca="1" si="416"/>
        <v/>
      </c>
      <c r="AK635" s="700" t="str">
        <f t="shared" si="417"/>
        <v/>
      </c>
      <c r="AL635" s="700"/>
      <c r="AM635" s="505" t="str">
        <f t="shared" si="418"/>
        <v/>
      </c>
      <c r="AN635" s="506"/>
      <c r="AO635" s="507"/>
      <c r="AP635" s="507"/>
      <c r="AQ635" s="507"/>
      <c r="AR635" s="507"/>
      <c r="AS635" s="507"/>
      <c r="AT635" s="507"/>
      <c r="AU635" s="507"/>
      <c r="AV635" s="225"/>
      <c r="AW635" s="508"/>
      <c r="AX635" s="225"/>
      <c r="AY635" s="225"/>
      <c r="AZ635" s="225"/>
      <c r="BA635" s="225"/>
      <c r="BB635" s="225"/>
      <c r="BC635" s="56"/>
      <c r="BD635" s="56"/>
      <c r="BE635" s="56"/>
      <c r="BF635" s="107" t="str">
        <f t="shared" si="419"/>
        <v>https://www.google.com/search?tbm=isch&amp;q=Carolina%20Jessamine%20Vine%20Gelsemium%20sempervirens</v>
      </c>
      <c r="BG635" s="107" t="str">
        <f t="shared" si="420"/>
        <v>C</v>
      </c>
      <c r="BH635" s="254"/>
      <c r="BI635" s="254"/>
    </row>
    <row r="636" spans="1:61" customFormat="1" ht="15.75" x14ac:dyDescent="0.25">
      <c r="A636" s="485">
        <v>3</v>
      </c>
      <c r="B636" s="486" t="s">
        <v>291</v>
      </c>
      <c r="C636" s="487"/>
      <c r="D636" s="488" t="s">
        <v>312</v>
      </c>
      <c r="E636" s="489">
        <v>29.95</v>
      </c>
      <c r="F636" s="516" t="s">
        <v>293</v>
      </c>
      <c r="G636" s="232">
        <v>0</v>
      </c>
      <c r="H636" s="658" t="str">
        <f>IF(G636=0,"",IF(F636="Buy",IF(G636=1,"plant","plants"),IF(F636&gt;0.01,"warranty","Error")))</f>
        <v/>
      </c>
      <c r="I636" s="490">
        <f>IF(H636="free",0,IF(H636="credit",((E636*(F636))*G636*-1),IF(F636="Buy",(E636*G636),((E636*(1-F636))*G636))))</f>
        <v>0</v>
      </c>
      <c r="J636" s="490">
        <f>IF(H636="warranty",0,(I636*(_xlfn.SINGLE(SalesTaxPercentage))))</f>
        <v>0</v>
      </c>
      <c r="K636" s="695">
        <f t="shared" ref="K636" si="447">I636+J636</f>
        <v>0</v>
      </c>
      <c r="L636" s="695"/>
      <c r="M636" s="659" t="str">
        <f>IF(AND(G636&gt;0,E636=0),"WARNING - no PRICE inserted",IF(H636="free"," FREE ~ no charge this plant",IF(H636="credit",CONCATENATE(" -$",ROUND(K636*(1-T2GDiscount)*-1,2)," CREDIT after discount"),IF(T2GDiscount=0,"",IF(G636=0,"",IF(F636="Buy",CONCATENATE(" $",ROUND(K636*(1-T2GDiscount),2)," with ",(T2GDiscount*100),"% discount"),CONCATENATE(" $",ROUND(K636*(1-T2GDiscount),2)," with ",((T2GDiscount*100+F636*100)-(T2GDiscount*100*F636)),IF(F636&gt;0,"% discounts",IF(NoWarrantyDiscount&gt;0,"% discounts","% discount")))))))))</f>
        <v/>
      </c>
      <c r="N636" s="660"/>
      <c r="O636" s="233"/>
      <c r="P636" s="233"/>
      <c r="Q636" s="233"/>
      <c r="R636" s="233"/>
      <c r="S636" s="233"/>
      <c r="T636" s="508">
        <f t="shared" si="408"/>
        <v>0</v>
      </c>
      <c r="U636" s="225">
        <f>IF(NOT(ISNUMBER(G636)), "", VLOOKUP(A636,'Discount Lookup'!D:E,2,FALSE)*G636)</f>
        <v>0</v>
      </c>
      <c r="V636" s="225">
        <f>IF(NOT(ISNUMBER(G636)), "", VLOOKUP(A636,'Discount Lookup'!G:H,2,FALSE)*G636)</f>
        <v>0</v>
      </c>
      <c r="W636" s="508">
        <f t="shared" si="409"/>
        <v>0</v>
      </c>
      <c r="X636" s="508">
        <f t="shared" si="410"/>
        <v>0</v>
      </c>
      <c r="Y636" s="509" t="b">
        <f t="shared" si="411"/>
        <v>0</v>
      </c>
      <c r="Z636" s="510">
        <f t="shared" si="412"/>
        <v>0</v>
      </c>
      <c r="AA636" s="511"/>
      <c r="AB636" s="511" t="str">
        <f t="shared" si="413"/>
        <v/>
      </c>
      <c r="AC636" s="698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698"/>
      <c r="AE636" s="631" t="str">
        <f t="shared" si="414"/>
        <v/>
      </c>
      <c r="AF636" s="699" t="str">
        <f t="shared" si="415"/>
        <v/>
      </c>
      <c r="AG636" s="699"/>
      <c r="AH636" s="699"/>
      <c r="AI636" s="512">
        <f>IF(H636="credit",0,IF(AE636="free",0,IF(AE636="me",0,IF(G636&gt;0,(VLOOKUP(A636,'Discount Lookup'!J:K,2)*G636),0))))</f>
        <v>0</v>
      </c>
      <c r="AJ636" s="513" t="str">
        <f t="shared" ca="1" si="416"/>
        <v/>
      </c>
      <c r="AK636" s="700" t="str">
        <f t="shared" si="417"/>
        <v/>
      </c>
      <c r="AL636" s="700"/>
      <c r="AM636" s="505" t="str">
        <f t="shared" si="418"/>
        <v/>
      </c>
      <c r="AN636" s="506"/>
      <c r="AO636" s="507"/>
      <c r="AP636" s="507"/>
      <c r="AQ636" s="507"/>
      <c r="AR636" s="507"/>
      <c r="AS636" s="507"/>
      <c r="AT636" s="507"/>
      <c r="AU636" s="507"/>
      <c r="AV636" s="225"/>
      <c r="AW636" s="508"/>
      <c r="AX636" s="225"/>
      <c r="AY636" s="225"/>
      <c r="AZ636" s="225"/>
      <c r="BA636" s="225"/>
      <c r="BB636" s="225"/>
      <c r="BC636" s="56"/>
      <c r="BD636" s="56"/>
      <c r="BE636" s="56"/>
      <c r="BF636" s="107" t="str">
        <f t="shared" si="419"/>
        <v>https://www.google.com/search?tbm=isch&amp;q=3%20G2</v>
      </c>
      <c r="BG636" s="107" t="str">
        <f t="shared" si="420"/>
        <v>C</v>
      </c>
      <c r="BH636" s="254"/>
      <c r="BI636" s="254"/>
    </row>
    <row r="637" spans="1:61" customFormat="1" ht="17.25" thickBot="1" x14ac:dyDescent="0.3">
      <c r="A637" s="522" t="s">
        <v>4199</v>
      </c>
      <c r="B637" s="491"/>
      <c r="C637" s="675"/>
      <c r="D637" s="491"/>
      <c r="E637" s="491"/>
      <c r="F637" s="492"/>
      <c r="G637" s="493"/>
      <c r="H637" s="491"/>
      <c r="I637" s="234"/>
      <c r="J637" s="234"/>
      <c r="K637" s="494"/>
      <c r="L637" s="543"/>
      <c r="M637" s="561"/>
      <c r="N637" s="495"/>
      <c r="O637" s="496"/>
      <c r="P637" s="497"/>
      <c r="Q637" s="495"/>
      <c r="R637" s="495"/>
      <c r="S637" s="667" t="s">
        <v>4982</v>
      </c>
      <c r="T637" s="508">
        <f t="shared" si="408"/>
        <v>0</v>
      </c>
      <c r="U637" s="225" t="str">
        <f>IF(NOT(ISNUMBER(G637)), "", VLOOKUP(A637,'Discount Lookup'!D:E,2,FALSE)*G637)</f>
        <v/>
      </c>
      <c r="V637" s="225" t="str">
        <f>IF(NOT(ISNUMBER(G637)), "", VLOOKUP(A637,'Discount Lookup'!G:H,2,FALSE)*G637)</f>
        <v/>
      </c>
      <c r="W637" s="508">
        <f t="shared" si="409"/>
        <v>0</v>
      </c>
      <c r="X637" s="508">
        <f t="shared" si="410"/>
        <v>0</v>
      </c>
      <c r="Y637" s="509" t="b">
        <f t="shared" si="411"/>
        <v>0</v>
      </c>
      <c r="Z637" s="510">
        <f t="shared" si="412"/>
        <v>0</v>
      </c>
      <c r="AA637" s="511"/>
      <c r="AB637" s="511" t="str">
        <f t="shared" si="413"/>
        <v/>
      </c>
      <c r="AC637" s="698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698"/>
      <c r="AE637" s="631" t="str">
        <f t="shared" si="414"/>
        <v/>
      </c>
      <c r="AF637" s="699" t="str">
        <f t="shared" si="415"/>
        <v/>
      </c>
      <c r="AG637" s="699"/>
      <c r="AH637" s="699"/>
      <c r="AI637" s="512">
        <f>IF(H637="credit",0,IF(AE637="free",0,IF(AE637="me",0,IF(G637&gt;0,(VLOOKUP(A637,'Discount Lookup'!J:K,2)*G637),0))))</f>
        <v>0</v>
      </c>
      <c r="AJ637" s="513" t="str">
        <f t="shared" ca="1" si="416"/>
        <v/>
      </c>
      <c r="AK637" s="700" t="str">
        <f t="shared" si="417"/>
        <v/>
      </c>
      <c r="AL637" s="700"/>
      <c r="AM637" s="505" t="str">
        <f t="shared" si="418"/>
        <v/>
      </c>
      <c r="AN637" s="506"/>
      <c r="AO637" s="507"/>
      <c r="AP637" s="507"/>
      <c r="AQ637" s="507"/>
      <c r="AR637" s="507"/>
      <c r="AS637" s="507"/>
      <c r="AT637" s="507"/>
      <c r="AU637" s="507"/>
      <c r="AV637" s="225"/>
      <c r="AW637" s="508"/>
      <c r="AX637" s="225"/>
      <c r="AY637" s="225"/>
      <c r="AZ637" s="225"/>
      <c r="BA637" s="225"/>
      <c r="BB637" s="225"/>
      <c r="BC637" s="56"/>
      <c r="BD637" s="56"/>
      <c r="BE637" s="56"/>
      <c r="BF637" s="107" t="str">
        <f t="shared" si="419"/>
        <v>https://www.google.com/search?tbm=isch&amp;q=Carolina%20Jessamine%20has%20very%20early%2C%20fragrant%2C%20trumpet-shaped%20flowers%20that%20bloom%20in%20late%20winter%20to%20early%20spring.%20Vigorous%20foliage%20</v>
      </c>
      <c r="BG637" s="107" t="str">
        <f t="shared" si="420"/>
        <v>C</v>
      </c>
      <c r="BH637" s="254"/>
      <c r="BI637" s="254"/>
    </row>
    <row r="638" spans="1:61" customFormat="1" ht="18" x14ac:dyDescent="0.25">
      <c r="A638" s="521" t="s">
        <v>4061</v>
      </c>
      <c r="B638" s="477"/>
      <c r="C638" s="674"/>
      <c r="D638" s="478" t="s">
        <v>3172</v>
      </c>
      <c r="E638" s="479"/>
      <c r="F638" s="479"/>
      <c r="G638" s="479"/>
      <c r="H638" s="582" t="s">
        <v>2300</v>
      </c>
      <c r="I638" s="480" t="s">
        <v>2107</v>
      </c>
      <c r="J638" s="479"/>
      <c r="K638" s="479"/>
      <c r="L638" s="560"/>
      <c r="M638" s="666" t="s">
        <v>4963</v>
      </c>
      <c r="N638" s="680" t="str">
        <f>IF(AND(ISTEXT($A638), ISERROR($A638+0)), HYPERLINK($BF638, "Images"), "")</f>
        <v>Images</v>
      </c>
      <c r="O638" s="662" t="s">
        <v>4967</v>
      </c>
      <c r="P638" s="482"/>
      <c r="Q638" s="483"/>
      <c r="R638" s="483"/>
      <c r="S638" s="484"/>
      <c r="T638" s="508">
        <f t="shared" si="408"/>
        <v>0</v>
      </c>
      <c r="U638" s="225" t="str">
        <f>IF(NOT(ISNUMBER(G638)), "", VLOOKUP(A638,'Discount Lookup'!D:E,2,FALSE)*G638)</f>
        <v/>
      </c>
      <c r="V638" s="225" t="str">
        <f>IF(NOT(ISNUMBER(G638)), "", VLOOKUP(A638,'Discount Lookup'!G:H,2,FALSE)*G638)</f>
        <v/>
      </c>
      <c r="W638" s="508">
        <f t="shared" si="409"/>
        <v>0</v>
      </c>
      <c r="X638" s="508" t="str">
        <f t="shared" si="410"/>
        <v>Silvery Blue foliage</v>
      </c>
      <c r="Y638" s="509" t="b">
        <f t="shared" si="411"/>
        <v>0</v>
      </c>
      <c r="Z638" s="510">
        <f t="shared" si="412"/>
        <v>0</v>
      </c>
      <c r="AA638" s="511"/>
      <c r="AB638" s="511" t="str">
        <f t="shared" si="413"/>
        <v/>
      </c>
      <c r="AC638" s="698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698"/>
      <c r="AE638" s="631" t="str">
        <f t="shared" si="414"/>
        <v/>
      </c>
      <c r="AF638" s="699" t="str">
        <f t="shared" si="415"/>
        <v/>
      </c>
      <c r="AG638" s="699"/>
      <c r="AH638" s="699"/>
      <c r="AI638" s="512">
        <f>IF(H638="credit",0,IF(AE638="free",0,IF(AE638="me",0,IF(G638&gt;0,(VLOOKUP(A638,'Discount Lookup'!J:K,2)*G638),0))))</f>
        <v>0</v>
      </c>
      <c r="AJ638" s="513" t="str">
        <f t="shared" ca="1" si="416"/>
        <v/>
      </c>
      <c r="AK638" s="700" t="str">
        <f t="shared" si="417"/>
        <v/>
      </c>
      <c r="AL638" s="700"/>
      <c r="AM638" s="505" t="str">
        <f t="shared" si="418"/>
        <v/>
      </c>
      <c r="AN638" s="506"/>
      <c r="AO638" s="507"/>
      <c r="AP638" s="507"/>
      <c r="AQ638" s="507"/>
      <c r="AR638" s="507"/>
      <c r="AS638" s="507"/>
      <c r="AT638" s="507"/>
      <c r="AU638" s="507"/>
      <c r="AV638" s="225"/>
      <c r="AW638" s="508"/>
      <c r="AX638" s="225"/>
      <c r="AY638" s="225"/>
      <c r="AZ638" s="225"/>
      <c r="BA638" s="225"/>
      <c r="BB638" s="225"/>
      <c r="BC638" s="56"/>
      <c r="BD638" s="56"/>
      <c r="BE638" s="56"/>
      <c r="BF638" s="107" t="str">
        <f t="shared" si="419"/>
        <v>https://www.google.com/search?tbm=isch&amp;q=Carolina%20Sapphire%20Cypress%20Hesperocyparis%20arizonica</v>
      </c>
      <c r="BG638" s="107" t="str">
        <f t="shared" si="420"/>
        <v>C</v>
      </c>
      <c r="BH638" s="254"/>
      <c r="BI638" s="254"/>
    </row>
    <row r="639" spans="1:61" customFormat="1" ht="15.75" x14ac:dyDescent="0.25">
      <c r="A639" s="485">
        <v>7</v>
      </c>
      <c r="B639" s="486" t="s">
        <v>291</v>
      </c>
      <c r="C639" s="487" t="s">
        <v>4741</v>
      </c>
      <c r="D639" s="488" t="s">
        <v>299</v>
      </c>
      <c r="E639" s="489">
        <v>102.95</v>
      </c>
      <c r="F639" s="516" t="s">
        <v>293</v>
      </c>
      <c r="G639" s="232">
        <v>0</v>
      </c>
      <c r="H639" s="658" t="str">
        <f t="shared" ref="H639:H644" si="448">IF(G639=0,"",IF(F639="Buy",IF(G639=1,"plant","plants"),IF(F639&gt;0.01,"warranty","Error")))</f>
        <v/>
      </c>
      <c r="I639" s="490">
        <f t="shared" ref="I639:I644" si="449">IF(H639="free",0,IF(H639="credit",((E639*(F639))*G639*-1),IF(F639="Buy",(E639*G639),((E639*(1-F639))*G639))))</f>
        <v>0</v>
      </c>
      <c r="J639" s="490">
        <f t="shared" ref="J639:J644" si="450">IF(H639="warranty",0,(I639*(_xlfn.SINGLE(SalesTaxPercentage))))</f>
        <v>0</v>
      </c>
      <c r="K639" s="695">
        <f t="shared" ref="K639" si="451">I639+J639</f>
        <v>0</v>
      </c>
      <c r="L639" s="695"/>
      <c r="M639" s="659" t="str">
        <f t="shared" ref="M639:M644" si="452">IF(AND(G639&gt;0,E639=0),"WARNING - no PRICE inserted",IF(H639="free"," FREE ~ no charge this plant",IF(H639="credit",CONCATENATE(" -$",ROUND(K639*(1-T2GDiscount)*-1,2)," CREDIT after discount"),IF(T2GDiscount=0,"",IF(G639=0,"",IF(F639="Buy",CONCATENATE(" $",ROUND(K639*(1-T2GDiscount),2)," with ",(T2GDiscount*100),"% discount"),CONCATENATE(" $",ROUND(K639*(1-T2GDiscount),2)," with ",((T2GDiscount*100+F639*100)-(T2GDiscount*100*F639)),IF(F639&gt;0,"% discounts",IF(NoWarrantyDiscount&gt;0,"% discounts","% discount")))))))))</f>
        <v/>
      </c>
      <c r="N639" s="660"/>
      <c r="O639" s="233"/>
      <c r="P639" s="233"/>
      <c r="Q639" s="233"/>
      <c r="R639" s="233"/>
      <c r="S639" s="233"/>
      <c r="T639" s="508">
        <f t="shared" si="408"/>
        <v>0</v>
      </c>
      <c r="U639" s="225">
        <f>IF(NOT(ISNUMBER(G639)), "", VLOOKUP(A639,'Discount Lookup'!D:E,2,FALSE)*G639)</f>
        <v>0</v>
      </c>
      <c r="V639" s="225">
        <f>IF(NOT(ISNUMBER(G639)), "", VLOOKUP(A639,'Discount Lookup'!G:H,2,FALSE)*G639)</f>
        <v>0</v>
      </c>
      <c r="W639" s="508">
        <f t="shared" si="409"/>
        <v>0</v>
      </c>
      <c r="X639" s="508">
        <f t="shared" si="410"/>
        <v>0</v>
      </c>
      <c r="Y639" s="509" t="b">
        <f t="shared" si="411"/>
        <v>0</v>
      </c>
      <c r="Z639" s="510">
        <f t="shared" si="412"/>
        <v>0</v>
      </c>
      <c r="AA639" s="511"/>
      <c r="AB639" s="511" t="str">
        <f t="shared" si="413"/>
        <v/>
      </c>
      <c r="AC639" s="698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698"/>
      <c r="AE639" s="631" t="str">
        <f t="shared" si="414"/>
        <v/>
      </c>
      <c r="AF639" s="699" t="str">
        <f t="shared" si="415"/>
        <v/>
      </c>
      <c r="AG639" s="699"/>
      <c r="AH639" s="699"/>
      <c r="AI639" s="512">
        <f>IF(H639="credit",0,IF(AE639="free",0,IF(AE639="me",0,IF(G639&gt;0,(VLOOKUP(A639,'Discount Lookup'!J:K,2)*G639),0))))</f>
        <v>0</v>
      </c>
      <c r="AJ639" s="513" t="str">
        <f t="shared" ca="1" si="416"/>
        <v/>
      </c>
      <c r="AK639" s="700" t="str">
        <f t="shared" si="417"/>
        <v/>
      </c>
      <c r="AL639" s="700"/>
      <c r="AM639" s="505" t="str">
        <f t="shared" si="418"/>
        <v/>
      </c>
      <c r="AN639" s="506"/>
      <c r="AO639" s="507"/>
      <c r="AP639" s="507"/>
      <c r="AQ639" s="507"/>
      <c r="AR639" s="507"/>
      <c r="AS639" s="507"/>
      <c r="AT639" s="507"/>
      <c r="AU639" s="507"/>
      <c r="AV639" s="225"/>
      <c r="AW639" s="508"/>
      <c r="AX639" s="225"/>
      <c r="AY639" s="225"/>
      <c r="AZ639" s="225"/>
      <c r="BA639" s="225"/>
      <c r="BB639" s="225"/>
      <c r="BC639" s="56"/>
      <c r="BD639" s="56"/>
      <c r="BE639" s="56"/>
      <c r="BF639" s="107" t="str">
        <f t="shared" si="419"/>
        <v>https://www.google.com/search?tbm=isch&amp;q=7%20G5</v>
      </c>
      <c r="BG639" s="107" t="str">
        <f t="shared" si="420"/>
        <v>C</v>
      </c>
      <c r="BH639" s="254"/>
      <c r="BI639" s="254"/>
    </row>
    <row r="640" spans="1:61" customFormat="1" ht="15.75" x14ac:dyDescent="0.25">
      <c r="A640" s="485">
        <v>7</v>
      </c>
      <c r="B640" s="486" t="s">
        <v>291</v>
      </c>
      <c r="C640" s="487" t="s">
        <v>3365</v>
      </c>
      <c r="D640" s="488" t="s">
        <v>292</v>
      </c>
      <c r="E640" s="489">
        <v>104.95</v>
      </c>
      <c r="F640" s="516" t="s">
        <v>293</v>
      </c>
      <c r="G640" s="232">
        <v>0</v>
      </c>
      <c r="H640" s="658" t="str">
        <f t="shared" si="448"/>
        <v/>
      </c>
      <c r="I640" s="490">
        <f t="shared" si="449"/>
        <v>0</v>
      </c>
      <c r="J640" s="490">
        <f t="shared" si="450"/>
        <v>0</v>
      </c>
      <c r="K640" s="695">
        <f t="shared" ref="K640" si="453">I640+J640</f>
        <v>0</v>
      </c>
      <c r="L640" s="695"/>
      <c r="M640" s="659" t="str">
        <f t="shared" si="452"/>
        <v/>
      </c>
      <c r="N640" s="660"/>
      <c r="O640" s="233"/>
      <c r="P640" s="233"/>
      <c r="Q640" s="233"/>
      <c r="R640" s="233"/>
      <c r="S640" s="233"/>
      <c r="T640" s="508">
        <f t="shared" si="408"/>
        <v>0</v>
      </c>
      <c r="U640" s="225">
        <f>IF(NOT(ISNUMBER(G640)), "", VLOOKUP(A640,'Discount Lookup'!D:E,2,FALSE)*G640)</f>
        <v>0</v>
      </c>
      <c r="V640" s="225">
        <f>IF(NOT(ISNUMBER(G640)), "", VLOOKUP(A640,'Discount Lookup'!G:H,2,FALSE)*G640)</f>
        <v>0</v>
      </c>
      <c r="W640" s="508">
        <f t="shared" si="409"/>
        <v>0</v>
      </c>
      <c r="X640" s="508">
        <f t="shared" si="410"/>
        <v>0</v>
      </c>
      <c r="Y640" s="509" t="b">
        <f t="shared" si="411"/>
        <v>0</v>
      </c>
      <c r="Z640" s="510">
        <f t="shared" si="412"/>
        <v>0</v>
      </c>
      <c r="AA640" s="511"/>
      <c r="AB640" s="511" t="str">
        <f t="shared" si="413"/>
        <v/>
      </c>
      <c r="AC640" s="698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698"/>
      <c r="AE640" s="631" t="str">
        <f t="shared" si="414"/>
        <v/>
      </c>
      <c r="AF640" s="699" t="str">
        <f t="shared" si="415"/>
        <v/>
      </c>
      <c r="AG640" s="699"/>
      <c r="AH640" s="699"/>
      <c r="AI640" s="512">
        <f>IF(H640="credit",0,IF(AE640="free",0,IF(AE640="me",0,IF(G640&gt;0,(VLOOKUP(A640,'Discount Lookup'!J:K,2)*G640),0))))</f>
        <v>0</v>
      </c>
      <c r="AJ640" s="513" t="str">
        <f t="shared" ca="1" si="416"/>
        <v/>
      </c>
      <c r="AK640" s="700" t="str">
        <f t="shared" si="417"/>
        <v/>
      </c>
      <c r="AL640" s="700"/>
      <c r="AM640" s="505" t="str">
        <f t="shared" si="418"/>
        <v/>
      </c>
      <c r="AN640" s="506"/>
      <c r="AO640" s="507"/>
      <c r="AP640" s="507"/>
      <c r="AQ640" s="507"/>
      <c r="AR640" s="507"/>
      <c r="AS640" s="507"/>
      <c r="AT640" s="507"/>
      <c r="AU640" s="507"/>
      <c r="AV640" s="225"/>
      <c r="AW640" s="508"/>
      <c r="AX640" s="225"/>
      <c r="AY640" s="225"/>
      <c r="AZ640" s="225"/>
      <c r="BA640" s="225"/>
      <c r="BB640" s="225"/>
      <c r="BC640" s="56"/>
      <c r="BD640" s="56"/>
      <c r="BE640" s="56"/>
      <c r="BF640" s="107" t="str">
        <f t="shared" si="419"/>
        <v>https://www.google.com/search?tbm=isch&amp;q=7%20G4</v>
      </c>
      <c r="BG640" s="107" t="str">
        <f t="shared" si="420"/>
        <v>C</v>
      </c>
      <c r="BH640" s="254"/>
      <c r="BI640" s="254"/>
    </row>
    <row r="641" spans="1:61" customFormat="1" ht="15.75" x14ac:dyDescent="0.25">
      <c r="A641" s="485">
        <v>15</v>
      </c>
      <c r="B641" s="486" t="s">
        <v>291</v>
      </c>
      <c r="C641" s="487" t="s">
        <v>3173</v>
      </c>
      <c r="D641" s="488" t="s">
        <v>299</v>
      </c>
      <c r="E641" s="489">
        <v>160.94999999999999</v>
      </c>
      <c r="F641" s="516" t="s">
        <v>293</v>
      </c>
      <c r="G641" s="232">
        <v>0</v>
      </c>
      <c r="H641" s="658" t="str">
        <f t="shared" si="448"/>
        <v/>
      </c>
      <c r="I641" s="490">
        <f t="shared" si="449"/>
        <v>0</v>
      </c>
      <c r="J641" s="490">
        <f t="shared" si="450"/>
        <v>0</v>
      </c>
      <c r="K641" s="695">
        <f t="shared" ref="K641" si="454">I641+J641</f>
        <v>0</v>
      </c>
      <c r="L641" s="695"/>
      <c r="M641" s="659" t="str">
        <f t="shared" si="452"/>
        <v/>
      </c>
      <c r="N641" s="660"/>
      <c r="O641" s="233"/>
      <c r="P641" s="233"/>
      <c r="Q641" s="233"/>
      <c r="R641" s="233"/>
      <c r="S641" s="233"/>
      <c r="T641" s="508">
        <f t="shared" si="408"/>
        <v>0</v>
      </c>
      <c r="U641" s="225">
        <f>IF(NOT(ISNUMBER(G641)), "", VLOOKUP(A641,'Discount Lookup'!D:E,2,FALSE)*G641)</f>
        <v>0</v>
      </c>
      <c r="V641" s="225">
        <f>IF(NOT(ISNUMBER(G641)), "", VLOOKUP(A641,'Discount Lookup'!G:H,2,FALSE)*G641)</f>
        <v>0</v>
      </c>
      <c r="W641" s="508">
        <f t="shared" si="409"/>
        <v>0</v>
      </c>
      <c r="X641" s="508">
        <f t="shared" si="410"/>
        <v>0</v>
      </c>
      <c r="Y641" s="509" t="b">
        <f t="shared" si="411"/>
        <v>0</v>
      </c>
      <c r="Z641" s="510">
        <f t="shared" si="412"/>
        <v>0</v>
      </c>
      <c r="AA641" s="511"/>
      <c r="AB641" s="511" t="str">
        <f t="shared" si="413"/>
        <v/>
      </c>
      <c r="AC641" s="698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698"/>
      <c r="AE641" s="631" t="str">
        <f t="shared" si="414"/>
        <v/>
      </c>
      <c r="AF641" s="699" t="str">
        <f t="shared" si="415"/>
        <v/>
      </c>
      <c r="AG641" s="699"/>
      <c r="AH641" s="699"/>
      <c r="AI641" s="512">
        <f>IF(H641="credit",0,IF(AE641="free",0,IF(AE641="me",0,IF(G641&gt;0,(VLOOKUP(A641,'Discount Lookup'!J:K,2)*G641),0))))</f>
        <v>0</v>
      </c>
      <c r="AJ641" s="513" t="str">
        <f t="shared" ca="1" si="416"/>
        <v/>
      </c>
      <c r="AK641" s="700" t="str">
        <f t="shared" si="417"/>
        <v/>
      </c>
      <c r="AL641" s="700"/>
      <c r="AM641" s="505" t="str">
        <f t="shared" si="418"/>
        <v/>
      </c>
      <c r="AN641" s="506"/>
      <c r="AO641" s="507"/>
      <c r="AP641" s="507"/>
      <c r="AQ641" s="507"/>
      <c r="AR641" s="507"/>
      <c r="AS641" s="507"/>
      <c r="AT641" s="507"/>
      <c r="AU641" s="507"/>
      <c r="AV641" s="225"/>
      <c r="AW641" s="508"/>
      <c r="AX641" s="225"/>
      <c r="AY641" s="225"/>
      <c r="AZ641" s="225"/>
      <c r="BA641" s="225"/>
      <c r="BB641" s="225"/>
      <c r="BC641" s="56"/>
      <c r="BD641" s="56"/>
      <c r="BE641" s="56"/>
      <c r="BF641" s="107" t="str">
        <f t="shared" si="419"/>
        <v>https://www.google.com/search?tbm=isch&amp;q=15%20G5</v>
      </c>
      <c r="BG641" s="107" t="str">
        <f t="shared" si="420"/>
        <v>C</v>
      </c>
      <c r="BH641" s="254"/>
      <c r="BI641" s="254"/>
    </row>
    <row r="642" spans="1:61" customFormat="1" ht="15.75" x14ac:dyDescent="0.25">
      <c r="A642" s="485">
        <v>15</v>
      </c>
      <c r="B642" s="486" t="s">
        <v>291</v>
      </c>
      <c r="C642" s="487" t="s">
        <v>4871</v>
      </c>
      <c r="D642" s="488" t="s">
        <v>292</v>
      </c>
      <c r="E642" s="489">
        <v>178.95</v>
      </c>
      <c r="F642" s="516" t="s">
        <v>293</v>
      </c>
      <c r="G642" s="232">
        <v>0</v>
      </c>
      <c r="H642" s="658" t="str">
        <f t="shared" si="448"/>
        <v/>
      </c>
      <c r="I642" s="490">
        <f t="shared" si="449"/>
        <v>0</v>
      </c>
      <c r="J642" s="490">
        <f t="shared" si="450"/>
        <v>0</v>
      </c>
      <c r="K642" s="695">
        <f t="shared" ref="K642" si="455">I642+J642</f>
        <v>0</v>
      </c>
      <c r="L642" s="695"/>
      <c r="M642" s="659" t="str">
        <f t="shared" si="452"/>
        <v/>
      </c>
      <c r="N642" s="660"/>
      <c r="O642" s="233"/>
      <c r="P642" s="233"/>
      <c r="Q642" s="233"/>
      <c r="R642" s="233"/>
      <c r="S642" s="233"/>
      <c r="T642" s="508">
        <f t="shared" si="408"/>
        <v>0</v>
      </c>
      <c r="U642" s="225">
        <f>IF(NOT(ISNUMBER(G642)), "", VLOOKUP(A642,'Discount Lookup'!D:E,2,FALSE)*G642)</f>
        <v>0</v>
      </c>
      <c r="V642" s="225">
        <f>IF(NOT(ISNUMBER(G642)), "", VLOOKUP(A642,'Discount Lookup'!G:H,2,FALSE)*G642)</f>
        <v>0</v>
      </c>
      <c r="W642" s="508">
        <f t="shared" si="409"/>
        <v>0</v>
      </c>
      <c r="X642" s="508">
        <f t="shared" si="410"/>
        <v>0</v>
      </c>
      <c r="Y642" s="509" t="b">
        <f t="shared" si="411"/>
        <v>0</v>
      </c>
      <c r="Z642" s="510">
        <f t="shared" si="412"/>
        <v>0</v>
      </c>
      <c r="AA642" s="511"/>
      <c r="AB642" s="511" t="str">
        <f t="shared" si="413"/>
        <v/>
      </c>
      <c r="AC642" s="698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698"/>
      <c r="AE642" s="631" t="str">
        <f t="shared" si="414"/>
        <v/>
      </c>
      <c r="AF642" s="699" t="str">
        <f t="shared" si="415"/>
        <v/>
      </c>
      <c r="AG642" s="699"/>
      <c r="AH642" s="699"/>
      <c r="AI642" s="512">
        <f>IF(H642="credit",0,IF(AE642="free",0,IF(AE642="me",0,IF(G642&gt;0,(VLOOKUP(A642,'Discount Lookup'!J:K,2)*G642),0))))</f>
        <v>0</v>
      </c>
      <c r="AJ642" s="513" t="str">
        <f t="shared" ca="1" si="416"/>
        <v/>
      </c>
      <c r="AK642" s="700" t="str">
        <f t="shared" si="417"/>
        <v/>
      </c>
      <c r="AL642" s="700"/>
      <c r="AM642" s="505" t="str">
        <f t="shared" si="418"/>
        <v/>
      </c>
      <c r="AN642" s="506"/>
      <c r="AO642" s="507"/>
      <c r="AP642" s="507"/>
      <c r="AQ642" s="507"/>
      <c r="AR642" s="507"/>
      <c r="AS642" s="507"/>
      <c r="AT642" s="507"/>
      <c r="AU642" s="507"/>
      <c r="AV642" s="225"/>
      <c r="AW642" s="508"/>
      <c r="AX642" s="225"/>
      <c r="AY642" s="225"/>
      <c r="AZ642" s="225"/>
      <c r="BA642" s="225"/>
      <c r="BB642" s="225"/>
      <c r="BC642" s="56"/>
      <c r="BD642" s="56"/>
      <c r="BE642" s="56"/>
      <c r="BF642" s="107" t="str">
        <f t="shared" si="419"/>
        <v>https://www.google.com/search?tbm=isch&amp;q=15%20G4</v>
      </c>
      <c r="BG642" s="107" t="str">
        <f t="shared" si="420"/>
        <v>C</v>
      </c>
      <c r="BH642" s="254"/>
      <c r="BI642" s="254"/>
    </row>
    <row r="643" spans="1:61" customFormat="1" ht="15.75" x14ac:dyDescent="0.25">
      <c r="A643" s="485">
        <v>15</v>
      </c>
      <c r="B643" s="486" t="s">
        <v>291</v>
      </c>
      <c r="C643" s="487"/>
      <c r="D643" s="488" t="s">
        <v>300</v>
      </c>
      <c r="E643" s="489">
        <v>295.95</v>
      </c>
      <c r="F643" s="516" t="s">
        <v>293</v>
      </c>
      <c r="G643" s="232">
        <v>0</v>
      </c>
      <c r="H643" s="658" t="str">
        <f t="shared" si="448"/>
        <v/>
      </c>
      <c r="I643" s="490">
        <f t="shared" si="449"/>
        <v>0</v>
      </c>
      <c r="J643" s="490">
        <f t="shared" si="450"/>
        <v>0</v>
      </c>
      <c r="K643" s="695">
        <f t="shared" ref="K643" si="456">I643+J643</f>
        <v>0</v>
      </c>
      <c r="L643" s="695"/>
      <c r="M643" s="659" t="str">
        <f t="shared" si="452"/>
        <v/>
      </c>
      <c r="N643" s="660"/>
      <c r="O643" s="233"/>
      <c r="P643" s="233"/>
      <c r="Q643" s="233"/>
      <c r="R643" s="233"/>
      <c r="S643" s="233"/>
      <c r="T643" s="508">
        <f t="shared" si="408"/>
        <v>0</v>
      </c>
      <c r="U643" s="225">
        <f>IF(NOT(ISNUMBER(G643)), "", VLOOKUP(A643,'Discount Lookup'!D:E,2,FALSE)*G643)</f>
        <v>0</v>
      </c>
      <c r="V643" s="225">
        <f>IF(NOT(ISNUMBER(G643)), "", VLOOKUP(A643,'Discount Lookup'!G:H,2,FALSE)*G643)</f>
        <v>0</v>
      </c>
      <c r="W643" s="508">
        <f t="shared" si="409"/>
        <v>0</v>
      </c>
      <c r="X643" s="508">
        <f t="shared" si="410"/>
        <v>0</v>
      </c>
      <c r="Y643" s="509" t="b">
        <f t="shared" si="411"/>
        <v>0</v>
      </c>
      <c r="Z643" s="510">
        <f t="shared" si="412"/>
        <v>0</v>
      </c>
      <c r="AA643" s="511"/>
      <c r="AB643" s="511" t="str">
        <f t="shared" si="413"/>
        <v/>
      </c>
      <c r="AC643" s="698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698"/>
      <c r="AE643" s="631" t="str">
        <f t="shared" si="414"/>
        <v/>
      </c>
      <c r="AF643" s="699" t="str">
        <f t="shared" si="415"/>
        <v/>
      </c>
      <c r="AG643" s="699"/>
      <c r="AH643" s="699"/>
      <c r="AI643" s="512">
        <f>IF(H643="credit",0,IF(AE643="free",0,IF(AE643="me",0,IF(G643&gt;0,(VLOOKUP(A643,'Discount Lookup'!J:K,2)*G643),0))))</f>
        <v>0</v>
      </c>
      <c r="AJ643" s="513" t="str">
        <f t="shared" ca="1" si="416"/>
        <v/>
      </c>
      <c r="AK643" s="700" t="str">
        <f t="shared" si="417"/>
        <v/>
      </c>
      <c r="AL643" s="700"/>
      <c r="AM643" s="505" t="str">
        <f t="shared" si="418"/>
        <v/>
      </c>
      <c r="AN643" s="506"/>
      <c r="AO643" s="507"/>
      <c r="AP643" s="507"/>
      <c r="AQ643" s="507"/>
      <c r="AR643" s="507"/>
      <c r="AS643" s="507"/>
      <c r="AT643" s="507"/>
      <c r="AU643" s="507"/>
      <c r="AV643" s="225"/>
      <c r="AW643" s="508"/>
      <c r="AX643" s="225"/>
      <c r="AY643" s="225"/>
      <c r="AZ643" s="225"/>
      <c r="BA643" s="225"/>
      <c r="BB643" s="225"/>
      <c r="BC643" s="56"/>
      <c r="BD643" s="56"/>
      <c r="BE643" s="56"/>
      <c r="BF643" s="107" t="str">
        <f t="shared" si="419"/>
        <v>https://www.google.com/search?tbm=isch&amp;q=15%20G6</v>
      </c>
      <c r="BG643" s="107" t="str">
        <f t="shared" si="420"/>
        <v>C</v>
      </c>
      <c r="BH643" s="254"/>
      <c r="BI643" s="254"/>
    </row>
    <row r="644" spans="1:61" customFormat="1" ht="27" x14ac:dyDescent="0.25">
      <c r="A644" s="485">
        <v>25</v>
      </c>
      <c r="B644" s="486" t="s">
        <v>291</v>
      </c>
      <c r="C644" s="487" t="s">
        <v>3366</v>
      </c>
      <c r="D644" s="488" t="s">
        <v>292</v>
      </c>
      <c r="E644" s="489">
        <v>454.95</v>
      </c>
      <c r="F644" s="516" t="s">
        <v>293</v>
      </c>
      <c r="G644" s="232">
        <v>0</v>
      </c>
      <c r="H644" s="658" t="str">
        <f t="shared" si="448"/>
        <v/>
      </c>
      <c r="I644" s="490">
        <f t="shared" si="449"/>
        <v>0</v>
      </c>
      <c r="J644" s="490">
        <f t="shared" si="450"/>
        <v>0</v>
      </c>
      <c r="K644" s="695">
        <f t="shared" ref="K644" si="457">I644+J644</f>
        <v>0</v>
      </c>
      <c r="L644" s="695"/>
      <c r="M644" s="659" t="str">
        <f t="shared" si="452"/>
        <v/>
      </c>
      <c r="N644" s="660"/>
      <c r="O644" s="233"/>
      <c r="P644" s="233"/>
      <c r="Q644" s="233"/>
      <c r="R644" s="233"/>
      <c r="S644" s="233"/>
      <c r="T644" s="508">
        <f t="shared" si="408"/>
        <v>0</v>
      </c>
      <c r="U644" s="225">
        <f>IF(NOT(ISNUMBER(G644)), "", VLOOKUP(A644,'Discount Lookup'!D:E,2,FALSE)*G644)</f>
        <v>0</v>
      </c>
      <c r="V644" s="225">
        <f>IF(NOT(ISNUMBER(G644)), "", VLOOKUP(A644,'Discount Lookup'!G:H,2,FALSE)*G644)</f>
        <v>0</v>
      </c>
      <c r="W644" s="508">
        <f t="shared" si="409"/>
        <v>0</v>
      </c>
      <c r="X644" s="508">
        <f t="shared" si="410"/>
        <v>0</v>
      </c>
      <c r="Y644" s="509" t="b">
        <f t="shared" si="411"/>
        <v>0</v>
      </c>
      <c r="Z644" s="510">
        <f t="shared" si="412"/>
        <v>0</v>
      </c>
      <c r="AA644" s="511"/>
      <c r="AB644" s="511" t="str">
        <f t="shared" si="413"/>
        <v/>
      </c>
      <c r="AC644" s="698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698"/>
      <c r="AE644" s="631" t="str">
        <f t="shared" si="414"/>
        <v/>
      </c>
      <c r="AF644" s="699" t="str">
        <f t="shared" si="415"/>
        <v/>
      </c>
      <c r="AG644" s="699"/>
      <c r="AH644" s="699"/>
      <c r="AI644" s="512">
        <f>IF(H644="credit",0,IF(AE644="free",0,IF(AE644="me",0,IF(G644&gt;0,(VLOOKUP(A644,'Discount Lookup'!J:K,2)*G644),0))))</f>
        <v>0</v>
      </c>
      <c r="AJ644" s="513" t="str">
        <f t="shared" ca="1" si="416"/>
        <v/>
      </c>
      <c r="AK644" s="700" t="str">
        <f t="shared" si="417"/>
        <v/>
      </c>
      <c r="AL644" s="700"/>
      <c r="AM644" s="505" t="str">
        <f t="shared" si="418"/>
        <v/>
      </c>
      <c r="AN644" s="506"/>
      <c r="AO644" s="507"/>
      <c r="AP644" s="507"/>
      <c r="AQ644" s="507"/>
      <c r="AR644" s="507"/>
      <c r="AS644" s="507"/>
      <c r="AT644" s="507"/>
      <c r="AU644" s="507"/>
      <c r="AV644" s="225"/>
      <c r="AW644" s="508"/>
      <c r="AX644" s="225"/>
      <c r="AY644" s="225"/>
      <c r="AZ644" s="225"/>
      <c r="BA644" s="225"/>
      <c r="BB644" s="225"/>
      <c r="BC644" s="56"/>
      <c r="BD644" s="56"/>
      <c r="BE644" s="56"/>
      <c r="BF644" s="107" t="str">
        <f t="shared" si="419"/>
        <v>https://www.google.com/search?tbm=isch&amp;q=25%20G4</v>
      </c>
      <c r="BG644" s="107" t="str">
        <f t="shared" si="420"/>
        <v>C</v>
      </c>
      <c r="BH644" s="254"/>
      <c r="BI644" s="254"/>
    </row>
    <row r="645" spans="1:61" customFormat="1" ht="17.25" thickBot="1" x14ac:dyDescent="0.3">
      <c r="A645" s="522" t="s">
        <v>3174</v>
      </c>
      <c r="B645" s="491"/>
      <c r="C645" s="675"/>
      <c r="D645" s="491"/>
      <c r="E645" s="491"/>
      <c r="F645" s="492"/>
      <c r="G645" s="493"/>
      <c r="H645" s="491"/>
      <c r="I645" s="234"/>
      <c r="J645" s="234"/>
      <c r="K645" s="494"/>
      <c r="L645" s="543"/>
      <c r="M645" s="561"/>
      <c r="N645" s="495"/>
      <c r="O645" s="496"/>
      <c r="P645" s="497"/>
      <c r="Q645" s="495"/>
      <c r="R645" s="495"/>
      <c r="S645" s="667" t="s">
        <v>4984</v>
      </c>
      <c r="T645" s="508">
        <f t="shared" si="408"/>
        <v>0</v>
      </c>
      <c r="U645" s="225" t="str">
        <f>IF(NOT(ISNUMBER(G645)), "", VLOOKUP(A645,'Discount Lookup'!D:E,2,FALSE)*G645)</f>
        <v/>
      </c>
      <c r="V645" s="225" t="str">
        <f>IF(NOT(ISNUMBER(G645)), "", VLOOKUP(A645,'Discount Lookup'!G:H,2,FALSE)*G645)</f>
        <v/>
      </c>
      <c r="W645" s="508">
        <f t="shared" si="409"/>
        <v>0</v>
      </c>
      <c r="X645" s="508">
        <f t="shared" si="410"/>
        <v>0</v>
      </c>
      <c r="Y645" s="509" t="b">
        <f t="shared" si="411"/>
        <v>0</v>
      </c>
      <c r="Z645" s="510">
        <f t="shared" si="412"/>
        <v>0</v>
      </c>
      <c r="AA645" s="511"/>
      <c r="AB645" s="511" t="str">
        <f t="shared" si="413"/>
        <v/>
      </c>
      <c r="AC645" s="698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698"/>
      <c r="AE645" s="631" t="str">
        <f t="shared" si="414"/>
        <v/>
      </c>
      <c r="AF645" s="699" t="str">
        <f t="shared" si="415"/>
        <v/>
      </c>
      <c r="AG645" s="699"/>
      <c r="AH645" s="699"/>
      <c r="AI645" s="512">
        <f>IF(H645="credit",0,IF(AE645="free",0,IF(AE645="me",0,IF(G645&gt;0,(VLOOKUP(A645,'Discount Lookup'!J:K,2)*G645),0))))</f>
        <v>0</v>
      </c>
      <c r="AJ645" s="513" t="str">
        <f t="shared" ca="1" si="416"/>
        <v/>
      </c>
      <c r="AK645" s="700" t="str">
        <f t="shared" si="417"/>
        <v/>
      </c>
      <c r="AL645" s="700"/>
      <c r="AM645" s="505" t="str">
        <f t="shared" si="418"/>
        <v/>
      </c>
      <c r="AN645" s="506"/>
      <c r="AO645" s="507"/>
      <c r="AP645" s="507"/>
      <c r="AQ645" s="507"/>
      <c r="AR645" s="507"/>
      <c r="AS645" s="507"/>
      <c r="AT645" s="507"/>
      <c r="AU645" s="507"/>
      <c r="AV645" s="225"/>
      <c r="AW645" s="508"/>
      <c r="AX645" s="225"/>
      <c r="AY645" s="225"/>
      <c r="AZ645" s="225"/>
      <c r="BA645" s="225"/>
      <c r="BB645" s="225"/>
      <c r="BC645" s="56"/>
      <c r="BD645" s="56"/>
      <c r="BE645" s="56"/>
      <c r="BF645" s="107" t="str">
        <f t="shared" si="419"/>
        <v>https://www.google.com/search?tbm=isch&amp;q=Arizona%20Cypress%27%20bluish-green%20coloring%20makes%20it%20a%20standout%20</v>
      </c>
      <c r="BG645" s="107" t="str">
        <f t="shared" si="420"/>
        <v>A</v>
      </c>
      <c r="BH645" s="254"/>
      <c r="BI645" s="254"/>
    </row>
    <row r="646" spans="1:61" customFormat="1" ht="18" x14ac:dyDescent="0.25">
      <c r="A646" s="523" t="s">
        <v>5366</v>
      </c>
      <c r="B646" s="235"/>
      <c r="C646" s="676"/>
      <c r="D646" s="255" t="s">
        <v>375</v>
      </c>
      <c r="E646" s="236"/>
      <c r="F646" s="236"/>
      <c r="G646" s="236"/>
      <c r="H646" s="582" t="s">
        <v>370</v>
      </c>
      <c r="I646" s="498" t="s">
        <v>657</v>
      </c>
      <c r="J646" s="237"/>
      <c r="K646" s="237"/>
      <c r="L646" s="274"/>
      <c r="M646" s="668" t="s">
        <v>4975</v>
      </c>
      <c r="N646" s="681" t="str">
        <f>IF(AND(ISTEXT($A646), ISERROR($A646+0)), HYPERLINK($BF646, "Images"), "")</f>
        <v>Images</v>
      </c>
      <c r="O646" s="663" t="s">
        <v>4974</v>
      </c>
      <c r="P646" s="253"/>
      <c r="Q646" s="238"/>
      <c r="R646" s="239"/>
      <c r="S646" s="275" t="s">
        <v>305</v>
      </c>
      <c r="T646" s="508">
        <f t="shared" si="408"/>
        <v>0</v>
      </c>
      <c r="U646" s="225" t="str">
        <f>IF(NOT(ISNUMBER(G646)), "", VLOOKUP(A646,'Discount Lookup'!D:E,2,FALSE)*G646)</f>
        <v/>
      </c>
      <c r="V646" s="225" t="str">
        <f>IF(NOT(ISNUMBER(G646)), "", VLOOKUP(A646,'Discount Lookup'!G:H,2,FALSE)*G646)</f>
        <v/>
      </c>
      <c r="W646" s="508">
        <f t="shared" si="409"/>
        <v>0</v>
      </c>
      <c r="X646" s="508" t="str">
        <f t="shared" si="410"/>
        <v>Purple bloom</v>
      </c>
      <c r="Y646" s="509" t="b">
        <f t="shared" si="411"/>
        <v>0</v>
      </c>
      <c r="Z646" s="510">
        <f t="shared" si="412"/>
        <v>0</v>
      </c>
      <c r="AA646" s="511"/>
      <c r="AB646" s="511" t="str">
        <f t="shared" si="413"/>
        <v/>
      </c>
      <c r="AC646" s="698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698"/>
      <c r="AE646" s="631" t="str">
        <f t="shared" si="414"/>
        <v/>
      </c>
      <c r="AF646" s="699" t="str">
        <f t="shared" si="415"/>
        <v/>
      </c>
      <c r="AG646" s="699"/>
      <c r="AH646" s="699"/>
      <c r="AI646" s="512">
        <f>IF(H646="credit",0,IF(AE646="free",0,IF(AE646="me",0,IF(G646&gt;0,(VLOOKUP(A646,'Discount Lookup'!J:K,2)*G646),0))))</f>
        <v>0</v>
      </c>
      <c r="AJ646" s="513" t="str">
        <f t="shared" ca="1" si="416"/>
        <v/>
      </c>
      <c r="AK646" s="700" t="str">
        <f t="shared" si="417"/>
        <v/>
      </c>
      <c r="AL646" s="700"/>
      <c r="AM646" s="505" t="str">
        <f t="shared" si="418"/>
        <v/>
      </c>
      <c r="AN646" s="506"/>
      <c r="AO646" s="507"/>
      <c r="AP646" s="507"/>
      <c r="AQ646" s="507"/>
      <c r="AR646" s="507"/>
      <c r="AS646" s="507"/>
      <c r="AT646" s="507"/>
      <c r="AU646" s="507"/>
      <c r="AV646" s="225"/>
      <c r="AW646" s="508"/>
      <c r="AX646" s="225"/>
      <c r="AY646" s="225"/>
      <c r="AZ646" s="225"/>
      <c r="BA646" s="225"/>
      <c r="BB646" s="225"/>
      <c r="BC646" s="56"/>
      <c r="BD646" s="56"/>
      <c r="BE646" s="56"/>
      <c r="BF646" s="107" t="str">
        <f t="shared" si="419"/>
        <v>https://www.google.com/search?tbm=isch&amp;q=Carolina%20Sweetheart%C2%AE%20Redbud%20Cercis%20canadensis%20%27NCCC1%27%20PP%2327712</v>
      </c>
      <c r="BG646" s="107" t="str">
        <f t="shared" si="420"/>
        <v>C</v>
      </c>
      <c r="BH646" s="254"/>
      <c r="BI646" s="254"/>
    </row>
    <row r="647" spans="1:61" customFormat="1" ht="15.75" x14ac:dyDescent="0.25">
      <c r="A647" s="276">
        <v>7</v>
      </c>
      <c r="B647" s="240" t="s">
        <v>291</v>
      </c>
      <c r="C647" s="241" t="s">
        <v>3452</v>
      </c>
      <c r="D647" s="242" t="s">
        <v>292</v>
      </c>
      <c r="E647" s="243">
        <v>118.95</v>
      </c>
      <c r="F647" s="517" t="s">
        <v>293</v>
      </c>
      <c r="G647" s="232">
        <v>0</v>
      </c>
      <c r="H647" s="661" t="str">
        <f>IF(G647=0,"",IF(F647="Buy",IF(G647=1,"plant","plants"),IF(F647&gt;0.01,"warranty","Error")))</f>
        <v/>
      </c>
      <c r="I647" s="244">
        <f>IF(H647="free",0,IF(H647="credit",((E647*(F647))*G647*-1),IF(F647="Buy",(E647*G647),((E647*(1-F647))*G647))))</f>
        <v>0</v>
      </c>
      <c r="J647" s="244">
        <f>IF(H647="warranty",0,(I647*(_xlfn.SINGLE(SalesTaxPercentage))))</f>
        <v>0</v>
      </c>
      <c r="K647" s="696">
        <f t="shared" ref="K647" si="458">I647+J647</f>
        <v>0</v>
      </c>
      <c r="L647" s="696"/>
      <c r="M647" s="659" t="str">
        <f>IF(AND(G647&gt;0,E647=0),"WARNING - no PRICE inserted",IF(H647="free"," FREE ~ no charge this plant",IF(H647="credit",CONCATENATE(" -$",ROUND(K647*(1-T2GDiscount)*-1,2)," CREDIT after discount"),IF(T2GDiscount=0,"",IF(G647=0,"",IF(F647="Buy",CONCATENATE(" $",ROUND(K647*(1-T2GDiscount),2)," with ",(T2GDiscount*100),"% discount"),CONCATENATE(" $",ROUND(K647*(1-T2GDiscount),2)," with ",((T2GDiscount*100+F647*100)-(T2GDiscount*100*F647)),IF(F647&gt;0,"% discounts",IF(NoWarrantyDiscount&gt;0,"% discounts","% discount")))))))))</f>
        <v/>
      </c>
      <c r="N647" s="660"/>
      <c r="O647" s="233"/>
      <c r="P647" s="233"/>
      <c r="Q647" s="233"/>
      <c r="R647" s="233"/>
      <c r="S647" s="233"/>
      <c r="T647" s="508">
        <f t="shared" si="408"/>
        <v>0</v>
      </c>
      <c r="U647" s="225">
        <f>IF(NOT(ISNUMBER(G647)), "", VLOOKUP(A647,'Discount Lookup'!D:E,2,FALSE)*G647)</f>
        <v>0</v>
      </c>
      <c r="V647" s="225">
        <f>IF(NOT(ISNUMBER(G647)), "", VLOOKUP(A647,'Discount Lookup'!G:H,2,FALSE)*G647)</f>
        <v>0</v>
      </c>
      <c r="W647" s="508">
        <f t="shared" si="409"/>
        <v>0</v>
      </c>
      <c r="X647" s="508">
        <f t="shared" si="410"/>
        <v>0</v>
      </c>
      <c r="Y647" s="509" t="b">
        <f t="shared" si="411"/>
        <v>0</v>
      </c>
      <c r="Z647" s="510">
        <f t="shared" si="412"/>
        <v>0</v>
      </c>
      <c r="AA647" s="511"/>
      <c r="AB647" s="511" t="str">
        <f t="shared" si="413"/>
        <v/>
      </c>
      <c r="AC647" s="698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698"/>
      <c r="AE647" s="631" t="str">
        <f t="shared" si="414"/>
        <v/>
      </c>
      <c r="AF647" s="699" t="str">
        <f t="shared" si="415"/>
        <v/>
      </c>
      <c r="AG647" s="699"/>
      <c r="AH647" s="699"/>
      <c r="AI647" s="512">
        <f>IF(H647="credit",0,IF(AE647="free",0,IF(AE647="me",0,IF(G647&gt;0,(VLOOKUP(A647,'Discount Lookup'!J:K,2)*G647),0))))</f>
        <v>0</v>
      </c>
      <c r="AJ647" s="513" t="str">
        <f t="shared" ca="1" si="416"/>
        <v/>
      </c>
      <c r="AK647" s="700" t="str">
        <f t="shared" si="417"/>
        <v/>
      </c>
      <c r="AL647" s="700"/>
      <c r="AM647" s="505" t="str">
        <f t="shared" si="418"/>
        <v/>
      </c>
      <c r="AN647" s="506"/>
      <c r="AO647" s="507"/>
      <c r="AP647" s="507"/>
      <c r="AQ647" s="507"/>
      <c r="AR647" s="507"/>
      <c r="AS647" s="507"/>
      <c r="AT647" s="507"/>
      <c r="AU647" s="507"/>
      <c r="AV647" s="225"/>
      <c r="AW647" s="508"/>
      <c r="AX647" s="225"/>
      <c r="AY647" s="225"/>
      <c r="AZ647" s="225"/>
      <c r="BA647" s="225"/>
      <c r="BB647" s="225"/>
      <c r="BC647" s="56"/>
      <c r="BD647" s="56"/>
      <c r="BE647" s="56"/>
      <c r="BF647" s="107" t="str">
        <f t="shared" si="419"/>
        <v>https://www.google.com/search?tbm=isch&amp;q=7%20G4</v>
      </c>
      <c r="BG647" s="107" t="str">
        <f t="shared" si="420"/>
        <v>C</v>
      </c>
      <c r="BH647" s="254"/>
      <c r="BI647" s="254"/>
    </row>
    <row r="648" spans="1:61" customFormat="1" ht="15.75" x14ac:dyDescent="0.25">
      <c r="A648" s="276">
        <v>7</v>
      </c>
      <c r="B648" s="240" t="s">
        <v>291</v>
      </c>
      <c r="C648" s="241" t="s">
        <v>358</v>
      </c>
      <c r="D648" s="242" t="s">
        <v>312</v>
      </c>
      <c r="E648" s="243">
        <v>126.95</v>
      </c>
      <c r="F648" s="517" t="s">
        <v>293</v>
      </c>
      <c r="G648" s="232">
        <v>0</v>
      </c>
      <c r="H648" s="661" t="str">
        <f>IF(G648=0,"",IF(F648="Buy",IF(G648=1,"plant","plants"),IF(F648&gt;0.01,"warranty","Error")))</f>
        <v/>
      </c>
      <c r="I648" s="244">
        <f>IF(H648="free",0,IF(H648="credit",((E648*(F648))*G648*-1),IF(F648="Buy",(E648*G648),((E648*(1-F648))*G648))))</f>
        <v>0</v>
      </c>
      <c r="J648" s="244">
        <f>IF(H648="warranty",0,(I648*(_xlfn.SINGLE(SalesTaxPercentage))))</f>
        <v>0</v>
      </c>
      <c r="K648" s="696">
        <f t="shared" ref="K648" si="459">I648+J648</f>
        <v>0</v>
      </c>
      <c r="L648" s="696"/>
      <c r="M648" s="659" t="str">
        <f>IF(AND(G648&gt;0,E648=0),"WARNING - no PRICE inserted",IF(H648="free"," FREE ~ no charge this plant",IF(H648="credit",CONCATENATE(" -$",ROUND(K648*(1-T2GDiscount)*-1,2)," CREDIT after discount"),IF(T2GDiscount=0,"",IF(G648=0,"",IF(F648="Buy",CONCATENATE(" $",ROUND(K648*(1-T2GDiscount),2)," with ",(T2GDiscount*100),"% discount"),CONCATENATE(" $",ROUND(K648*(1-T2GDiscount),2)," with ",((T2GDiscount*100+F648*100)-(T2GDiscount*100*F648)),IF(F648&gt;0,"% discounts",IF(NoWarrantyDiscount&gt;0,"% discounts","% discount")))))))))</f>
        <v/>
      </c>
      <c r="N648" s="660"/>
      <c r="O648" s="233"/>
      <c r="P648" s="233"/>
      <c r="Q648" s="233"/>
      <c r="R648" s="233"/>
      <c r="S648" s="233"/>
      <c r="T648" s="508">
        <f t="shared" si="408"/>
        <v>0</v>
      </c>
      <c r="U648" s="225">
        <f>IF(NOT(ISNUMBER(G648)), "", VLOOKUP(A648,'Discount Lookup'!D:E,2,FALSE)*G648)</f>
        <v>0</v>
      </c>
      <c r="V648" s="225">
        <f>IF(NOT(ISNUMBER(G648)), "", VLOOKUP(A648,'Discount Lookup'!G:H,2,FALSE)*G648)</f>
        <v>0</v>
      </c>
      <c r="W648" s="508">
        <f t="shared" si="409"/>
        <v>0</v>
      </c>
      <c r="X648" s="508">
        <f t="shared" si="410"/>
        <v>0</v>
      </c>
      <c r="Y648" s="509" t="b">
        <f t="shared" si="411"/>
        <v>0</v>
      </c>
      <c r="Z648" s="510">
        <f t="shared" si="412"/>
        <v>0</v>
      </c>
      <c r="AA648" s="511"/>
      <c r="AB648" s="511" t="str">
        <f t="shared" si="413"/>
        <v/>
      </c>
      <c r="AC648" s="698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698"/>
      <c r="AE648" s="631" t="str">
        <f t="shared" si="414"/>
        <v/>
      </c>
      <c r="AF648" s="699" t="str">
        <f t="shared" si="415"/>
        <v/>
      </c>
      <c r="AG648" s="699"/>
      <c r="AH648" s="699"/>
      <c r="AI648" s="512">
        <f>IF(H648="credit",0,IF(AE648="free",0,IF(AE648="me",0,IF(G648&gt;0,(VLOOKUP(A648,'Discount Lookup'!J:K,2)*G648),0))))</f>
        <v>0</v>
      </c>
      <c r="AJ648" s="513" t="str">
        <f t="shared" ca="1" si="416"/>
        <v/>
      </c>
      <c r="AK648" s="700" t="str">
        <f t="shared" si="417"/>
        <v/>
      </c>
      <c r="AL648" s="700"/>
      <c r="AM648" s="505" t="str">
        <f t="shared" si="418"/>
        <v/>
      </c>
      <c r="AN648" s="506"/>
      <c r="AO648" s="507"/>
      <c r="AP648" s="507"/>
      <c r="AQ648" s="507"/>
      <c r="AR648" s="507"/>
      <c r="AS648" s="507"/>
      <c r="AT648" s="507"/>
      <c r="AU648" s="507"/>
      <c r="AV648" s="225"/>
      <c r="AW648" s="508"/>
      <c r="AX648" s="225"/>
      <c r="AY648" s="225"/>
      <c r="AZ648" s="225"/>
      <c r="BA648" s="225"/>
      <c r="BB648" s="225"/>
      <c r="BC648" s="56"/>
      <c r="BD648" s="56"/>
      <c r="BE648" s="56"/>
      <c r="BF648" s="107" t="str">
        <f t="shared" si="419"/>
        <v>https://www.google.com/search?tbm=isch&amp;q=7%20G2</v>
      </c>
      <c r="BG648" s="107" t="str">
        <f t="shared" si="420"/>
        <v>C</v>
      </c>
      <c r="BH648" s="254"/>
      <c r="BI648" s="254"/>
    </row>
    <row r="649" spans="1:61" customFormat="1" ht="15.75" x14ac:dyDescent="0.25">
      <c r="A649" s="276">
        <v>10</v>
      </c>
      <c r="B649" s="240" t="s">
        <v>291</v>
      </c>
      <c r="C649" s="241" t="s">
        <v>4062</v>
      </c>
      <c r="D649" s="242" t="s">
        <v>292</v>
      </c>
      <c r="E649" s="243">
        <v>155.94999999999999</v>
      </c>
      <c r="F649" s="517" t="s">
        <v>293</v>
      </c>
      <c r="G649" s="232">
        <v>0</v>
      </c>
      <c r="H649" s="661" t="str">
        <f>IF(G649=0,"",IF(F649="Buy",IF(G649=1,"plant","plants"),IF(F649&gt;0.01,"warranty","Error")))</f>
        <v/>
      </c>
      <c r="I649" s="244">
        <f>IF(H649="free",0,IF(H649="credit",((E649*(F649))*G649*-1),IF(F649="Buy",(E649*G649),((E649*(1-F649))*G649))))</f>
        <v>0</v>
      </c>
      <c r="J649" s="244">
        <f>IF(H649="warranty",0,(I649*(_xlfn.SINGLE(SalesTaxPercentage))))</f>
        <v>0</v>
      </c>
      <c r="K649" s="696">
        <f t="shared" ref="K649" si="460">I649+J649</f>
        <v>0</v>
      </c>
      <c r="L649" s="696"/>
      <c r="M649" s="659" t="str">
        <f>IF(AND(G649&gt;0,E649=0),"WARNING - no PRICE inserted",IF(H649="free"," FREE ~ no charge this plant",IF(H649="credit",CONCATENATE(" -$",ROUND(K649*(1-T2GDiscount)*-1,2)," CREDIT after discount"),IF(T2GDiscount=0,"",IF(G649=0,"",IF(F649="Buy",CONCATENATE(" $",ROUND(K649*(1-T2GDiscount),2)," with ",(T2GDiscount*100),"% discount"),CONCATENATE(" $",ROUND(K649*(1-T2GDiscount),2)," with ",((T2GDiscount*100+F649*100)-(T2GDiscount*100*F649)),IF(F649&gt;0,"% discounts",IF(NoWarrantyDiscount&gt;0,"% discounts","% discount")))))))))</f>
        <v/>
      </c>
      <c r="N649" s="660"/>
      <c r="O649" s="233"/>
      <c r="P649" s="233"/>
      <c r="Q649" s="233"/>
      <c r="R649" s="233"/>
      <c r="S649" s="233"/>
      <c r="T649" s="508">
        <f t="shared" si="408"/>
        <v>0</v>
      </c>
      <c r="U649" s="225">
        <f>IF(NOT(ISNUMBER(G649)), "", VLOOKUP(A649,'Discount Lookup'!D:E,2,FALSE)*G649)</f>
        <v>0</v>
      </c>
      <c r="V649" s="225">
        <f>IF(NOT(ISNUMBER(G649)), "", VLOOKUP(A649,'Discount Lookup'!G:H,2,FALSE)*G649)</f>
        <v>0</v>
      </c>
      <c r="W649" s="508">
        <f t="shared" si="409"/>
        <v>0</v>
      </c>
      <c r="X649" s="508">
        <f t="shared" si="410"/>
        <v>0</v>
      </c>
      <c r="Y649" s="509" t="b">
        <f t="shared" si="411"/>
        <v>0</v>
      </c>
      <c r="Z649" s="510">
        <f t="shared" si="412"/>
        <v>0</v>
      </c>
      <c r="AA649" s="511"/>
      <c r="AB649" s="511" t="str">
        <f t="shared" si="413"/>
        <v/>
      </c>
      <c r="AC649" s="698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698"/>
      <c r="AE649" s="631" t="str">
        <f t="shared" si="414"/>
        <v/>
      </c>
      <c r="AF649" s="699" t="str">
        <f t="shared" si="415"/>
        <v/>
      </c>
      <c r="AG649" s="699"/>
      <c r="AH649" s="699"/>
      <c r="AI649" s="512">
        <f>IF(H649="credit",0,IF(AE649="free",0,IF(AE649="me",0,IF(G649&gt;0,(VLOOKUP(A649,'Discount Lookup'!J:K,2)*G649),0))))</f>
        <v>0</v>
      </c>
      <c r="AJ649" s="513" t="str">
        <f t="shared" ca="1" si="416"/>
        <v/>
      </c>
      <c r="AK649" s="700" t="str">
        <f t="shared" si="417"/>
        <v/>
      </c>
      <c r="AL649" s="700"/>
      <c r="AM649" s="505" t="str">
        <f t="shared" si="418"/>
        <v/>
      </c>
      <c r="AN649" s="506"/>
      <c r="AO649" s="507"/>
      <c r="AP649" s="507"/>
      <c r="AQ649" s="507"/>
      <c r="AR649" s="507"/>
      <c r="AS649" s="507"/>
      <c r="AT649" s="507"/>
      <c r="AU649" s="507"/>
      <c r="AV649" s="225"/>
      <c r="AW649" s="508"/>
      <c r="AX649" s="225"/>
      <c r="AY649" s="225"/>
      <c r="AZ649" s="225"/>
      <c r="BA649" s="225"/>
      <c r="BB649" s="225"/>
      <c r="BC649" s="56"/>
      <c r="BD649" s="56"/>
      <c r="BE649" s="56"/>
      <c r="BF649" s="107" t="str">
        <f t="shared" si="419"/>
        <v>https://www.google.com/search?tbm=isch&amp;q=10%20G4</v>
      </c>
      <c r="BG649" s="107" t="str">
        <f t="shared" si="420"/>
        <v>C</v>
      </c>
      <c r="BH649" s="254"/>
      <c r="BI649" s="254"/>
    </row>
    <row r="650" spans="1:61" customFormat="1" ht="15.75" x14ac:dyDescent="0.25">
      <c r="A650" s="276">
        <v>15</v>
      </c>
      <c r="B650" s="240" t="s">
        <v>291</v>
      </c>
      <c r="C650" s="241" t="s">
        <v>4063</v>
      </c>
      <c r="D650" s="242" t="s">
        <v>292</v>
      </c>
      <c r="E650" s="243">
        <v>178.95</v>
      </c>
      <c r="F650" s="517" t="s">
        <v>293</v>
      </c>
      <c r="G650" s="232">
        <v>0</v>
      </c>
      <c r="H650" s="661" t="str">
        <f>IF(G650=0,"",IF(F650="Buy",IF(G650=1,"plant","plants"),IF(F650&gt;0.01,"warranty","Error")))</f>
        <v/>
      </c>
      <c r="I650" s="244">
        <f>IF(H650="free",0,IF(H650="credit",((E650*(F650))*G650*-1),IF(F650="Buy",(E650*G650),((E650*(1-F650))*G650))))</f>
        <v>0</v>
      </c>
      <c r="J650" s="244">
        <f>IF(H650="warranty",0,(I650*(_xlfn.SINGLE(SalesTaxPercentage))))</f>
        <v>0</v>
      </c>
      <c r="K650" s="696">
        <f t="shared" ref="K650" si="461">I650+J650</f>
        <v>0</v>
      </c>
      <c r="L650" s="696"/>
      <c r="M650" s="659" t="str">
        <f>IF(AND(G650&gt;0,E650=0),"WARNING - no PRICE inserted",IF(H650="free"," FREE ~ no charge this plant",IF(H650="credit",CONCATENATE(" -$",ROUND(K650*(1-T2GDiscount)*-1,2)," CREDIT after discount"),IF(T2GDiscount=0,"",IF(G650=0,"",IF(F650="Buy",CONCATENATE(" $",ROUND(K650*(1-T2GDiscount),2)," with ",(T2GDiscount*100),"% discount"),CONCATENATE(" $",ROUND(K650*(1-T2GDiscount),2)," with ",((T2GDiscount*100+F650*100)-(T2GDiscount*100*F650)),IF(F650&gt;0,"% discounts",IF(NoWarrantyDiscount&gt;0,"% discounts","% discount")))))))))</f>
        <v/>
      </c>
      <c r="N650" s="660"/>
      <c r="O650" s="233"/>
      <c r="P650" s="233"/>
      <c r="Q650" s="233"/>
      <c r="R650" s="233"/>
      <c r="S650" s="233"/>
      <c r="T650" s="508">
        <f t="shared" si="408"/>
        <v>0</v>
      </c>
      <c r="U650" s="225">
        <f>IF(NOT(ISNUMBER(G650)), "", VLOOKUP(A650,'Discount Lookup'!D:E,2,FALSE)*G650)</f>
        <v>0</v>
      </c>
      <c r="V650" s="225">
        <f>IF(NOT(ISNUMBER(G650)), "", VLOOKUP(A650,'Discount Lookup'!G:H,2,FALSE)*G650)</f>
        <v>0</v>
      </c>
      <c r="W650" s="508">
        <f t="shared" si="409"/>
        <v>0</v>
      </c>
      <c r="X650" s="508">
        <f t="shared" si="410"/>
        <v>0</v>
      </c>
      <c r="Y650" s="509" t="b">
        <f t="shared" si="411"/>
        <v>0</v>
      </c>
      <c r="Z650" s="510">
        <f t="shared" si="412"/>
        <v>0</v>
      </c>
      <c r="AA650" s="511"/>
      <c r="AB650" s="511" t="str">
        <f t="shared" si="413"/>
        <v/>
      </c>
      <c r="AC650" s="698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698"/>
      <c r="AE650" s="631" t="str">
        <f t="shared" si="414"/>
        <v/>
      </c>
      <c r="AF650" s="699" t="str">
        <f t="shared" si="415"/>
        <v/>
      </c>
      <c r="AG650" s="699"/>
      <c r="AH650" s="699"/>
      <c r="AI650" s="512">
        <f>IF(H650="credit",0,IF(AE650="free",0,IF(AE650="me",0,IF(G650&gt;0,(VLOOKUP(A650,'Discount Lookup'!J:K,2)*G650),0))))</f>
        <v>0</v>
      </c>
      <c r="AJ650" s="513" t="str">
        <f t="shared" ca="1" si="416"/>
        <v/>
      </c>
      <c r="AK650" s="700" t="str">
        <f t="shared" si="417"/>
        <v/>
      </c>
      <c r="AL650" s="700"/>
      <c r="AM650" s="505" t="str">
        <f t="shared" si="418"/>
        <v/>
      </c>
      <c r="AN650" s="506"/>
      <c r="AO650" s="507"/>
      <c r="AP650" s="507"/>
      <c r="AQ650" s="507"/>
      <c r="AR650" s="507"/>
      <c r="AS650" s="507"/>
      <c r="AT650" s="507"/>
      <c r="AU650" s="507"/>
      <c r="AV650" s="225"/>
      <c r="AW650" s="508"/>
      <c r="AX650" s="225"/>
      <c r="AY650" s="225"/>
      <c r="AZ650" s="225"/>
      <c r="BA650" s="225"/>
      <c r="BB650" s="225"/>
      <c r="BC650" s="56"/>
      <c r="BD650" s="56"/>
      <c r="BE650" s="56"/>
      <c r="BF650" s="107" t="str">
        <f t="shared" si="419"/>
        <v>https://www.google.com/search?tbm=isch&amp;q=15%20G4</v>
      </c>
      <c r="BG650" s="107" t="str">
        <f t="shared" si="420"/>
        <v>C</v>
      </c>
      <c r="BH650" s="254"/>
      <c r="BI650" s="254"/>
    </row>
    <row r="651" spans="1:61" customFormat="1" ht="17.25" thickBot="1" x14ac:dyDescent="0.3">
      <c r="A651" s="524" t="s">
        <v>2354</v>
      </c>
      <c r="B651" s="245"/>
      <c r="C651" s="677"/>
      <c r="D651" s="499"/>
      <c r="E651" s="499"/>
      <c r="F651" s="500"/>
      <c r="G651" s="501"/>
      <c r="H651" s="502"/>
      <c r="I651" s="246"/>
      <c r="J651" s="247"/>
      <c r="K651" s="503"/>
      <c r="L651" s="544"/>
      <c r="M651" s="544"/>
      <c r="N651" s="500"/>
      <c r="O651" s="500"/>
      <c r="P651" s="500"/>
      <c r="Q651" s="500"/>
      <c r="R651" s="500"/>
      <c r="S651" s="669" t="s">
        <v>4976</v>
      </c>
      <c r="T651" s="508">
        <f t="shared" si="408"/>
        <v>0</v>
      </c>
      <c r="U651" s="225" t="str">
        <f>IF(NOT(ISNUMBER(G651)), "", VLOOKUP(A651,'Discount Lookup'!D:E,2,FALSE)*G651)</f>
        <v/>
      </c>
      <c r="V651" s="225" t="str">
        <f>IF(NOT(ISNUMBER(G651)), "", VLOOKUP(A651,'Discount Lookup'!G:H,2,FALSE)*G651)</f>
        <v/>
      </c>
      <c r="W651" s="508">
        <f t="shared" si="409"/>
        <v>0</v>
      </c>
      <c r="X651" s="508">
        <f t="shared" si="410"/>
        <v>0</v>
      </c>
      <c r="Y651" s="509" t="b">
        <f t="shared" si="411"/>
        <v>0</v>
      </c>
      <c r="Z651" s="510">
        <f t="shared" si="412"/>
        <v>0</v>
      </c>
      <c r="AA651" s="511"/>
      <c r="AB651" s="511" t="str">
        <f t="shared" si="413"/>
        <v/>
      </c>
      <c r="AC651" s="698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698"/>
      <c r="AE651" s="631" t="str">
        <f t="shared" si="414"/>
        <v/>
      </c>
      <c r="AF651" s="699" t="str">
        <f t="shared" si="415"/>
        <v/>
      </c>
      <c r="AG651" s="699"/>
      <c r="AH651" s="699"/>
      <c r="AI651" s="512">
        <f>IF(H651="credit",0,IF(AE651="free",0,IF(AE651="me",0,IF(G651&gt;0,(VLOOKUP(A651,'Discount Lookup'!J:K,2)*G651),0))))</f>
        <v>0</v>
      </c>
      <c r="AJ651" s="513" t="str">
        <f t="shared" ca="1" si="416"/>
        <v/>
      </c>
      <c r="AK651" s="700" t="str">
        <f t="shared" si="417"/>
        <v/>
      </c>
      <c r="AL651" s="700"/>
      <c r="AM651" s="505" t="str">
        <f t="shared" si="418"/>
        <v/>
      </c>
      <c r="AN651" s="506"/>
      <c r="AO651" s="507"/>
      <c r="AP651" s="507"/>
      <c r="AQ651" s="507"/>
      <c r="AR651" s="507"/>
      <c r="AS651" s="507"/>
      <c r="AT651" s="507"/>
      <c r="AU651" s="507"/>
      <c r="AV651" s="225"/>
      <c r="AW651" s="508"/>
      <c r="AX651" s="225"/>
      <c r="AY651" s="225"/>
      <c r="AZ651" s="225"/>
      <c r="BA651" s="225"/>
      <c r="BB651" s="225"/>
      <c r="BC651" s="56"/>
      <c r="BD651" s="56"/>
      <c r="BE651" s="56"/>
      <c r="BF651" s="107" t="str">
        <f t="shared" si="419"/>
        <v>https://www.google.com/search?tbm=isch&amp;q=Carolina%20Sweetheart%27s%20variegated%20foliage%20very%20colorful%2C%20with%20shades%20of%20pink%2C%20red%2C%20white%2C%20purple%2C%20and%20green%20</v>
      </c>
      <c r="BG651" s="107" t="str">
        <f t="shared" si="420"/>
        <v>C</v>
      </c>
      <c r="BH651" s="254"/>
      <c r="BI651" s="254"/>
    </row>
    <row r="652" spans="1:61" customFormat="1" ht="18" x14ac:dyDescent="0.25">
      <c r="A652" s="521" t="s">
        <v>677</v>
      </c>
      <c r="B652" s="477"/>
      <c r="C652" s="674"/>
      <c r="D652" s="478" t="s">
        <v>678</v>
      </c>
      <c r="E652" s="479"/>
      <c r="F652" s="479"/>
      <c r="G652" s="479"/>
      <c r="H652" s="582" t="s">
        <v>474</v>
      </c>
      <c r="I652" s="480" t="s">
        <v>2597</v>
      </c>
      <c r="J652" s="479"/>
      <c r="K652" s="479"/>
      <c r="L652" s="560"/>
      <c r="M652" s="671" t="s">
        <v>4985</v>
      </c>
      <c r="N652" s="680" t="str">
        <f>IF(AND(ISTEXT($A652), ISERROR($A652+0)), HYPERLINK($BF652, "Images"), "")</f>
        <v>Images</v>
      </c>
      <c r="O652" s="662" t="s">
        <v>4974</v>
      </c>
      <c r="P652" s="482"/>
      <c r="Q652" s="483"/>
      <c r="R652" s="483"/>
      <c r="S652" s="484"/>
      <c r="T652" s="508">
        <f t="shared" si="408"/>
        <v>0</v>
      </c>
      <c r="U652" s="225" t="str">
        <f>IF(NOT(ISNUMBER(G652)), "", VLOOKUP(A652,'Discount Lookup'!D:E,2,FALSE)*G652)</f>
        <v/>
      </c>
      <c r="V652" s="225" t="str">
        <f>IF(NOT(ISNUMBER(G652)), "", VLOOKUP(A652,'Discount Lookup'!G:H,2,FALSE)*G652)</f>
        <v/>
      </c>
      <c r="W652" s="508">
        <f t="shared" si="409"/>
        <v>0</v>
      </c>
      <c r="X652" s="508" t="str">
        <f t="shared" si="410"/>
        <v>rich Pink bloom</v>
      </c>
      <c r="Y652" s="509" t="b">
        <f t="shared" si="411"/>
        <v>0</v>
      </c>
      <c r="Z652" s="510">
        <f t="shared" si="412"/>
        <v>0</v>
      </c>
      <c r="AA652" s="511"/>
      <c r="AB652" s="511" t="str">
        <f t="shared" si="413"/>
        <v/>
      </c>
      <c r="AC652" s="698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698"/>
      <c r="AE652" s="631" t="str">
        <f t="shared" si="414"/>
        <v/>
      </c>
      <c r="AF652" s="699" t="str">
        <f t="shared" si="415"/>
        <v/>
      </c>
      <c r="AG652" s="699"/>
      <c r="AH652" s="699"/>
      <c r="AI652" s="512">
        <f>IF(H652="credit",0,IF(AE652="free",0,IF(AE652="me",0,IF(G652&gt;0,(VLOOKUP(A652,'Discount Lookup'!J:K,2)*G652),0))))</f>
        <v>0</v>
      </c>
      <c r="AJ652" s="513" t="str">
        <f t="shared" ca="1" si="416"/>
        <v/>
      </c>
      <c r="AK652" s="700" t="str">
        <f t="shared" si="417"/>
        <v/>
      </c>
      <c r="AL652" s="700"/>
      <c r="AM652" s="505" t="str">
        <f t="shared" si="418"/>
        <v/>
      </c>
      <c r="AN652" s="506"/>
      <c r="AO652" s="507"/>
      <c r="AP652" s="507"/>
      <c r="AQ652" s="507"/>
      <c r="AR652" s="507"/>
      <c r="AS652" s="507"/>
      <c r="AT652" s="507"/>
      <c r="AU652" s="507"/>
      <c r="AV652" s="225"/>
      <c r="AW652" s="508"/>
      <c r="AX652" s="225"/>
      <c r="AY652" s="225"/>
      <c r="AZ652" s="225"/>
      <c r="BA652" s="225"/>
      <c r="BB652" s="225"/>
      <c r="BC652" s="56"/>
      <c r="BD652" s="56"/>
      <c r="BE652" s="56"/>
      <c r="BF652" s="107" t="str">
        <f t="shared" si="419"/>
        <v>https://www.google.com/search?tbm=isch&amp;q=Carror%20Azalea%20Rhod.%20%27Carror%27</v>
      </c>
      <c r="BG652" s="107" t="str">
        <f t="shared" si="420"/>
        <v>C</v>
      </c>
      <c r="BH652" s="254"/>
      <c r="BI652" s="254"/>
    </row>
    <row r="653" spans="1:61" customFormat="1" ht="15.75" x14ac:dyDescent="0.25">
      <c r="A653" s="485">
        <v>3</v>
      </c>
      <c r="B653" s="486" t="s">
        <v>291</v>
      </c>
      <c r="C653" s="487" t="s">
        <v>9</v>
      </c>
      <c r="D653" s="488" t="s">
        <v>298</v>
      </c>
      <c r="E653" s="489">
        <v>25.95</v>
      </c>
      <c r="F653" s="516" t="s">
        <v>293</v>
      </c>
      <c r="G653" s="232">
        <v>0</v>
      </c>
      <c r="H653" s="658" t="str">
        <f>IF(G653=0,"",IF(F653="Buy",IF(G653=1,"plant","plants"),IF(F653&gt;0.01,"warranty","Error")))</f>
        <v/>
      </c>
      <c r="I653" s="490">
        <f>IF(H653="free",0,IF(H653="credit",((E653*(F653))*G653*-1),IF(F653="Buy",(E653*G653),((E653*(1-F653))*G653))))</f>
        <v>0</v>
      </c>
      <c r="J653" s="490">
        <f>IF(H653="warranty",0,(I653*(_xlfn.SINGLE(SalesTaxPercentage))))</f>
        <v>0</v>
      </c>
      <c r="K653" s="695">
        <f t="shared" ref="K653" si="462">I653+J653</f>
        <v>0</v>
      </c>
      <c r="L653" s="695"/>
      <c r="M653" s="659" t="str">
        <f>IF(AND(G653&gt;0,E653=0),"WARNING - no PRICE inserted",IF(H653="free"," FREE ~ no charge this plant",IF(H653="credit",CONCATENATE(" -$",ROUND(K653*(1-T2GDiscount)*-1,2)," CREDIT after discount"),IF(T2GDiscount=0,"",IF(G653=0,"",IF(F653="Buy",CONCATENATE(" $",ROUND(K653*(1-T2GDiscount),2)," with ",(T2GDiscount*100),"% discount"),CONCATENATE(" $",ROUND(K653*(1-T2GDiscount),2)," with ",((T2GDiscount*100+F653*100)-(T2GDiscount*100*F653)),IF(F653&gt;0,"% discounts",IF(NoWarrantyDiscount&gt;0,"% discounts","% discount")))))))))</f>
        <v/>
      </c>
      <c r="N653" s="660"/>
      <c r="O653" s="233"/>
      <c r="P653" s="233"/>
      <c r="Q653" s="233"/>
      <c r="R653" s="233"/>
      <c r="S653" s="233"/>
      <c r="T653" s="508">
        <f t="shared" si="408"/>
        <v>0</v>
      </c>
      <c r="U653" s="225">
        <f>IF(NOT(ISNUMBER(G653)), "", VLOOKUP(A653,'Discount Lookup'!D:E,2,FALSE)*G653)</f>
        <v>0</v>
      </c>
      <c r="V653" s="225">
        <f>IF(NOT(ISNUMBER(G653)), "", VLOOKUP(A653,'Discount Lookup'!G:H,2,FALSE)*G653)</f>
        <v>0</v>
      </c>
      <c r="W653" s="508">
        <f t="shared" si="409"/>
        <v>0</v>
      </c>
      <c r="X653" s="508">
        <f t="shared" si="410"/>
        <v>0</v>
      </c>
      <c r="Y653" s="509" t="b">
        <f t="shared" si="411"/>
        <v>0</v>
      </c>
      <c r="Z653" s="510">
        <f t="shared" si="412"/>
        <v>0</v>
      </c>
      <c r="AA653" s="511"/>
      <c r="AB653" s="511" t="str">
        <f t="shared" si="413"/>
        <v/>
      </c>
      <c r="AC653" s="698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698"/>
      <c r="AE653" s="631" t="str">
        <f t="shared" si="414"/>
        <v/>
      </c>
      <c r="AF653" s="699" t="str">
        <f t="shared" si="415"/>
        <v/>
      </c>
      <c r="AG653" s="699"/>
      <c r="AH653" s="699"/>
      <c r="AI653" s="512">
        <f>IF(H653="credit",0,IF(AE653="free",0,IF(AE653="me",0,IF(G653&gt;0,(VLOOKUP(A653,'Discount Lookup'!J:K,2)*G653),0))))</f>
        <v>0</v>
      </c>
      <c r="AJ653" s="513" t="str">
        <f t="shared" ca="1" si="416"/>
        <v/>
      </c>
      <c r="AK653" s="700" t="str">
        <f t="shared" si="417"/>
        <v/>
      </c>
      <c r="AL653" s="700"/>
      <c r="AM653" s="505" t="str">
        <f t="shared" si="418"/>
        <v/>
      </c>
      <c r="AN653" s="506"/>
      <c r="AO653" s="507"/>
      <c r="AP653" s="507"/>
      <c r="AQ653" s="507"/>
      <c r="AR653" s="507"/>
      <c r="AS653" s="507"/>
      <c r="AT653" s="507"/>
      <c r="AU653" s="507"/>
      <c r="AV653" s="225"/>
      <c r="AW653" s="508"/>
      <c r="AX653" s="225"/>
      <c r="AY653" s="225"/>
      <c r="AZ653" s="225"/>
      <c r="BA653" s="225"/>
      <c r="BB653" s="225"/>
      <c r="BC653" s="56"/>
      <c r="BD653" s="56"/>
      <c r="BE653" s="56"/>
      <c r="BF653" s="107" t="str">
        <f t="shared" si="419"/>
        <v>https://www.google.com/search?tbm=isch&amp;q=3%20G1</v>
      </c>
      <c r="BG653" s="107" t="str">
        <f t="shared" si="420"/>
        <v>C</v>
      </c>
      <c r="BH653" s="254"/>
      <c r="BI653" s="254"/>
    </row>
    <row r="654" spans="1:61" customFormat="1" ht="17.25" thickBot="1" x14ac:dyDescent="0.3">
      <c r="A654" s="522" t="s">
        <v>2556</v>
      </c>
      <c r="B654" s="491"/>
      <c r="C654" s="675"/>
      <c r="D654" s="491"/>
      <c r="E654" s="491"/>
      <c r="F654" s="492"/>
      <c r="G654" s="493"/>
      <c r="H654" s="491"/>
      <c r="I654" s="234"/>
      <c r="J654" s="234"/>
      <c r="K654" s="494"/>
      <c r="L654" s="543"/>
      <c r="M654" s="561"/>
      <c r="N654" s="495"/>
      <c r="O654" s="496"/>
      <c r="P654" s="497"/>
      <c r="Q654" s="495"/>
      <c r="R654" s="495"/>
      <c r="S654" s="667" t="s">
        <v>4988</v>
      </c>
      <c r="T654" s="508">
        <f t="shared" ref="T654:T717" si="463">E654*G654</f>
        <v>0</v>
      </c>
      <c r="U654" s="225" t="str">
        <f>IF(NOT(ISNUMBER(G654)), "", VLOOKUP(A654,'Discount Lookup'!D:E,2,FALSE)*G654)</f>
        <v/>
      </c>
      <c r="V654" s="225" t="str">
        <f>IF(NOT(ISNUMBER(G654)), "", VLOOKUP(A654,'Discount Lookup'!G:H,2,FALSE)*G654)</f>
        <v/>
      </c>
      <c r="W654" s="508">
        <f t="shared" ref="W654:W717" si="464">IF(H654="credit",0,E654*(SalesTaxPercentage)*G654)</f>
        <v>0</v>
      </c>
      <c r="X654" s="508">
        <f t="shared" ref="X654:X717" si="465">I654</f>
        <v>0</v>
      </c>
      <c r="Y654" s="509" t="b">
        <f t="shared" ref="Y654:Y717" si="466">IF(AE654="T2G",0,IF(H654="credit",0,IF(G654&gt;0,IF(AE654="me","",G654))))</f>
        <v>0</v>
      </c>
      <c r="Z654" s="510">
        <f t="shared" ref="Z654:Z717" si="467">IF(H654="credit",G654,0)</f>
        <v>0</v>
      </c>
      <c r="AA654" s="511"/>
      <c r="AB654" s="511" t="str">
        <f t="shared" ref="AB654:AB717" si="468">IF(AE654="T2G","by Trees2Go",IF(H654="credit","CREDIT only ~",IF(AND(K654="",AE654=OR(PlanterYesMe="No",PlanterYesMe="N",PlanterYesMe="me")),"not THIS line⇨",IF(AND(K654="images",AE654="me"),"not THIS line⇨",IF(H654="credit","",IF(G654=0,"",IF(AE654="me","",IF(OR(PlanterYesMe="No",PlanterYesMe="N",PlanterYesMe="me"),"",IF(AE654="free","warranty",IF(OR(PlanterYesMe="yes",PlanterYesMe="y"),"Edison install:","to install:"))))))))))</f>
        <v/>
      </c>
      <c r="AC654" s="698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698"/>
      <c r="AE654" s="631" t="str">
        <f t="shared" ref="AE654:AE717" si="469">IF(H654="credit","",IF(G654=0,"",IF(OR(PlanterYesMe="No",PlanterYesMe="N",PlanterYesMe="me"),"me",IF(H654="warranty","free",IF(OR(PlanterYesMe="yes",PlanterYesMe="y"),"ELP","")))))</f>
        <v/>
      </c>
      <c r="AF654" s="699" t="str">
        <f t="shared" ref="AF654:AF717" si="470">IF(OR(PlanterYesMe="No",PlanterYesMe="N",PlanterYesMe="me"),"",IF(H654="credit","",IF(G654&gt;0,(CONCATENATE((G654)," quantity, ",(A654)," ",B654)),"")))</f>
        <v/>
      </c>
      <c r="AG654" s="699"/>
      <c r="AH654" s="699"/>
      <c r="AI654" s="512">
        <f>IF(H654="credit",0,IF(AE654="free",0,IF(AE654="me",0,IF(G654&gt;0,(VLOOKUP(A654,'Discount Lookup'!J:K,2)*G654),0))))</f>
        <v>0</v>
      </c>
      <c r="AJ654" s="513" t="str">
        <f t="shared" ref="AJ654:AJ717" ca="1" si="471">IF(AND(ISREF(H654),H654="credit"),"",IF(AND(AND(OFFSET(G654,0,0)=0,OFFSET(G654,1,0)&gt;0,ISNUMBER(OFFSET(AC654,1,0)),OFFSET(AC654,1,0)&gt;0),OR(PlanterYesMe="yes",PlanterYesMe="y")),"T2G+ELP=",IF(AND(OFFSET(G654,0,0)=0,OFFSET(G654,1,0)&gt;0,ISNUMBER(OFFSET(AC654,1,0)),OFFSET(AC654,1,0)&gt;0),"if T2G+ELP=",IF(AND(OFFSET(G654,0,0)=0,OFFSET(G654,1,0)&gt;0),"T2G Subtotal",IF(H654="credit","",IF(G654=0,"",IF(AE654="free",(K654*(1-T2GDiscount)),IF(OR(PlanterYesMe="No",PlanterYesMe="N",PlanterYesMe="me"),(K654*(1-T2GDiscount)),IF(OR(AE654="me",AE654="T2G"),(K654*(1-T2GDiscount)),(K654*(1-T2GDiscount))+AC654)))))))))</f>
        <v/>
      </c>
      <c r="AK654" s="700" t="str">
        <f t="shared" ref="AK654:AK717" si="472">IF(H654="credit","",IF(G654=0,"",IF(OR(AE654="me",AE654="T2G"),"  delivery-only",IF(OR(PlanterYesMe="No",PlanterYesMe="N",PlanterYesMe="me"),"  delivery-only",CONCATENATE(" $",ROUND(AJ654/G654,2)," each")))))</f>
        <v/>
      </c>
      <c r="AL654" s="700"/>
      <c r="AM654" s="505" t="str">
        <f t="shared" ref="AM654:AM717" si="473">IF(H654="credit","",IF(AE654="free","      ~ discounts included, no tax or planting fee applies ~",IF(G654=0,"",IF(OR(PlanterYesMe="No",PlanterYesMe="N",PlanterYesMe="me"),CONCATENATE(" $",ROUND(AJ654/G654,2)," per plant, with tax &amp; discount"),IF(OR(AE654="me",AE654="T2G"),CONCATENATE(" $",ROUND(AJ654/G654,2)," per plant, with tax &amp; discount"),CONCATENATE("= $",ROUND((K654*(1-T2GDiscount))/G654,2)," per plant + $",AC654/G654,(" per planting      ~ includes tax &amp; discounts ~")))))))</f>
        <v/>
      </c>
      <c r="AN654" s="506"/>
      <c r="AO654" s="507"/>
      <c r="AP654" s="507"/>
      <c r="AQ654" s="507"/>
      <c r="AR654" s="507"/>
      <c r="AS654" s="507"/>
      <c r="AT654" s="507"/>
      <c r="AU654" s="507"/>
      <c r="AV654" s="225"/>
      <c r="AW654" s="508"/>
      <c r="AX654" s="225"/>
      <c r="AY654" s="225"/>
      <c r="AZ654" s="225"/>
      <c r="BA654" s="225"/>
      <c r="BB654" s="225"/>
      <c r="BC654" s="56"/>
      <c r="BD654" s="56"/>
      <c r="BE654" s="56"/>
      <c r="BF654" s="107" t="str">
        <f t="shared" ref="BF654:BF717" si="474">"https://www.google.com/search?tbm=isch&amp;q=" &amp; _xlfn.ENCODEURL($A654 &amp; " " &amp; $D654)</f>
        <v>https://www.google.com/search?tbm=isch&amp;q=Carror%20is%20a%20hardy%20and%20disease-resistant%20hybrid%20noted%20for%20its%20heavy%20spring%20bloom%20of%20semi-double%20flowers.%20Bred%20at%20NCSU%20</v>
      </c>
      <c r="BG654" s="107" t="str">
        <f t="shared" ref="BG654:BG717" si="475">IF(ISTEXT(A654),LEFT(A654,1),BG653)</f>
        <v>C</v>
      </c>
      <c r="BH654" s="254"/>
      <c r="BI654" s="254"/>
    </row>
    <row r="655" spans="1:61" customFormat="1" ht="18" x14ac:dyDescent="0.25">
      <c r="A655" s="523" t="s">
        <v>653</v>
      </c>
      <c r="B655" s="235"/>
      <c r="C655" s="676"/>
      <c r="D655" s="255" t="s">
        <v>652</v>
      </c>
      <c r="E655" s="236"/>
      <c r="F655" s="236"/>
      <c r="G655" s="236"/>
      <c r="H655" s="582" t="s">
        <v>2205</v>
      </c>
      <c r="I655" s="498" t="s">
        <v>2146</v>
      </c>
      <c r="J655" s="237"/>
      <c r="K655" s="237"/>
      <c r="L655" s="274"/>
      <c r="M655" s="668" t="s">
        <v>4975</v>
      </c>
      <c r="N655" s="681" t="str">
        <f>IF(AND(ISTEXT($A655), ISERROR($A655+0)), HYPERLINK($BF655, "Images"), "")</f>
        <v>Images</v>
      </c>
      <c r="O655" s="663" t="s">
        <v>4967</v>
      </c>
      <c r="P655" s="253"/>
      <c r="Q655" s="238"/>
      <c r="R655" s="239"/>
      <c r="S655" s="275"/>
      <c r="T655" s="508">
        <f t="shared" si="463"/>
        <v>0</v>
      </c>
      <c r="U655" s="225" t="str">
        <f>IF(NOT(ISNUMBER(G655)), "", VLOOKUP(A655,'Discount Lookup'!D:E,2,FALSE)*G655)</f>
        <v/>
      </c>
      <c r="V655" s="225" t="str">
        <f>IF(NOT(ISNUMBER(G655)), "", VLOOKUP(A655,'Discount Lookup'!G:H,2,FALSE)*G655)</f>
        <v/>
      </c>
      <c r="W655" s="508">
        <f t="shared" si="464"/>
        <v>0</v>
      </c>
      <c r="X655" s="508" t="str">
        <f t="shared" si="465"/>
        <v>Bright Green needles</v>
      </c>
      <c r="Y655" s="509" t="b">
        <f t="shared" si="466"/>
        <v>0</v>
      </c>
      <c r="Z655" s="510">
        <f t="shared" si="467"/>
        <v>0</v>
      </c>
      <c r="AA655" s="511"/>
      <c r="AB655" s="511" t="str">
        <f t="shared" si="468"/>
        <v/>
      </c>
      <c r="AC655" s="698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698"/>
      <c r="AE655" s="631" t="str">
        <f t="shared" si="469"/>
        <v/>
      </c>
      <c r="AF655" s="699" t="str">
        <f t="shared" si="470"/>
        <v/>
      </c>
      <c r="AG655" s="699"/>
      <c r="AH655" s="699"/>
      <c r="AI655" s="512">
        <f>IF(H655="credit",0,IF(AE655="free",0,IF(AE655="me",0,IF(G655&gt;0,(VLOOKUP(A655,'Discount Lookup'!J:K,2)*G655),0))))</f>
        <v>0</v>
      </c>
      <c r="AJ655" s="513" t="str">
        <f t="shared" ca="1" si="471"/>
        <v/>
      </c>
      <c r="AK655" s="700" t="str">
        <f t="shared" si="472"/>
        <v/>
      </c>
      <c r="AL655" s="700"/>
      <c r="AM655" s="505" t="str">
        <f t="shared" si="473"/>
        <v/>
      </c>
      <c r="AN655" s="506"/>
      <c r="AO655" s="507"/>
      <c r="AP655" s="507"/>
      <c r="AQ655" s="507"/>
      <c r="AR655" s="507"/>
      <c r="AS655" s="507"/>
      <c r="AT655" s="507"/>
      <c r="AU655" s="507"/>
      <c r="AV655" s="225"/>
      <c r="AW655" s="508"/>
      <c r="AX655" s="225"/>
      <c r="AY655" s="225"/>
      <c r="AZ655" s="225"/>
      <c r="BA655" s="225"/>
      <c r="BB655" s="225"/>
      <c r="BC655" s="56"/>
      <c r="BD655" s="56"/>
      <c r="BE655" s="56"/>
      <c r="BF655" s="107" t="str">
        <f t="shared" si="474"/>
        <v>https://www.google.com/search?tbm=isch&amp;q=Cascade%20Falls%20Bald%20Cypress%20Taxodium%20distichum%20%27Cascade%20Falls%27%20PP%2312296</v>
      </c>
      <c r="BG655" s="107" t="str">
        <f t="shared" si="475"/>
        <v>C</v>
      </c>
      <c r="BH655" s="254"/>
      <c r="BI655" s="254"/>
    </row>
    <row r="656" spans="1:61" customFormat="1" ht="15.75" x14ac:dyDescent="0.25">
      <c r="A656" s="276">
        <v>7</v>
      </c>
      <c r="B656" s="240" t="s">
        <v>291</v>
      </c>
      <c r="C656" s="241" t="s">
        <v>3367</v>
      </c>
      <c r="D656" s="242" t="s">
        <v>292</v>
      </c>
      <c r="E656" s="243">
        <v>132.94999999999999</v>
      </c>
      <c r="F656" s="517" t="s">
        <v>293</v>
      </c>
      <c r="G656" s="232">
        <v>0</v>
      </c>
      <c r="H656" s="661" t="str">
        <f>IF(G656=0,"",IF(F656="Buy",IF(G656=1,"plant","plants"),IF(F656&gt;0.01,"warranty","Error")))</f>
        <v/>
      </c>
      <c r="I656" s="244">
        <f>IF(H656="free",0,IF(H656="credit",((E656*(F656))*G656*-1),IF(F656="Buy",(E656*G656),((E656*(1-F656))*G656))))</f>
        <v>0</v>
      </c>
      <c r="J656" s="244">
        <f>IF(H656="warranty",0,(I656*(_xlfn.SINGLE(SalesTaxPercentage))))</f>
        <v>0</v>
      </c>
      <c r="K656" s="696">
        <f t="shared" ref="K656" si="476">I656+J656</f>
        <v>0</v>
      </c>
      <c r="L656" s="696"/>
      <c r="M656" s="659" t="str">
        <f>IF(AND(G656&gt;0,E656=0),"WARNING - no PRICE inserted",IF(H656="free"," FREE ~ no charge this plant",IF(H656="credit",CONCATENATE(" -$",ROUND(K656*(1-T2GDiscount)*-1,2)," CREDIT after discount"),IF(T2GDiscount=0,"",IF(G656=0,"",IF(F656="Buy",CONCATENATE(" $",ROUND(K656*(1-T2GDiscount),2)," with ",(T2GDiscount*100),"% discount"),CONCATENATE(" $",ROUND(K656*(1-T2GDiscount),2)," with ",((T2GDiscount*100+F656*100)-(T2GDiscount*100*F656)),IF(F656&gt;0,"% discounts",IF(NoWarrantyDiscount&gt;0,"% discounts","% discount")))))))))</f>
        <v/>
      </c>
      <c r="N656" s="660"/>
      <c r="O656" s="233"/>
      <c r="P656" s="233"/>
      <c r="Q656" s="233"/>
      <c r="R656" s="233"/>
      <c r="S656" s="233"/>
      <c r="T656" s="508">
        <f t="shared" si="463"/>
        <v>0</v>
      </c>
      <c r="U656" s="225">
        <f>IF(NOT(ISNUMBER(G656)), "", VLOOKUP(A656,'Discount Lookup'!D:E,2,FALSE)*G656)</f>
        <v>0</v>
      </c>
      <c r="V656" s="225">
        <f>IF(NOT(ISNUMBER(G656)), "", VLOOKUP(A656,'Discount Lookup'!G:H,2,FALSE)*G656)</f>
        <v>0</v>
      </c>
      <c r="W656" s="508">
        <f t="shared" si="464"/>
        <v>0</v>
      </c>
      <c r="X656" s="508">
        <f t="shared" si="465"/>
        <v>0</v>
      </c>
      <c r="Y656" s="509" t="b">
        <f t="shared" si="466"/>
        <v>0</v>
      </c>
      <c r="Z656" s="510">
        <f t="shared" si="467"/>
        <v>0</v>
      </c>
      <c r="AA656" s="511"/>
      <c r="AB656" s="511" t="str">
        <f t="shared" si="468"/>
        <v/>
      </c>
      <c r="AC656" s="698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698"/>
      <c r="AE656" s="631" t="str">
        <f t="shared" si="469"/>
        <v/>
      </c>
      <c r="AF656" s="699" t="str">
        <f t="shared" si="470"/>
        <v/>
      </c>
      <c r="AG656" s="699"/>
      <c r="AH656" s="699"/>
      <c r="AI656" s="512">
        <f>IF(H656="credit",0,IF(AE656="free",0,IF(AE656="me",0,IF(G656&gt;0,(VLOOKUP(A656,'Discount Lookup'!J:K,2)*G656),0))))</f>
        <v>0</v>
      </c>
      <c r="AJ656" s="513" t="str">
        <f t="shared" ca="1" si="471"/>
        <v/>
      </c>
      <c r="AK656" s="700" t="str">
        <f t="shared" si="472"/>
        <v/>
      </c>
      <c r="AL656" s="700"/>
      <c r="AM656" s="505" t="str">
        <f t="shared" si="473"/>
        <v/>
      </c>
      <c r="AN656" s="506"/>
      <c r="AO656" s="507"/>
      <c r="AP656" s="507"/>
      <c r="AQ656" s="507"/>
      <c r="AR656" s="507"/>
      <c r="AS656" s="507"/>
      <c r="AT656" s="507"/>
      <c r="AU656" s="507"/>
      <c r="AV656" s="225"/>
      <c r="AW656" s="508"/>
      <c r="AX656" s="225"/>
      <c r="AY656" s="225"/>
      <c r="AZ656" s="225"/>
      <c r="BA656" s="225"/>
      <c r="BB656" s="225"/>
      <c r="BC656" s="56"/>
      <c r="BD656" s="56"/>
      <c r="BE656" s="56"/>
      <c r="BF656" s="107" t="str">
        <f t="shared" si="474"/>
        <v>https://www.google.com/search?tbm=isch&amp;q=7%20G4</v>
      </c>
      <c r="BG656" s="107" t="str">
        <f t="shared" si="475"/>
        <v>C</v>
      </c>
      <c r="BH656" s="254"/>
      <c r="BI656" s="254"/>
    </row>
    <row r="657" spans="1:61" customFormat="1" ht="15.75" x14ac:dyDescent="0.25">
      <c r="A657" s="276">
        <v>25</v>
      </c>
      <c r="B657" s="240" t="s">
        <v>291</v>
      </c>
      <c r="C657" s="241" t="s">
        <v>3368</v>
      </c>
      <c r="D657" s="242" t="s">
        <v>292</v>
      </c>
      <c r="E657" s="243">
        <v>332.95</v>
      </c>
      <c r="F657" s="517" t="s">
        <v>293</v>
      </c>
      <c r="G657" s="232">
        <v>0</v>
      </c>
      <c r="H657" s="661" t="str">
        <f>IF(G657=0,"",IF(F657="Buy",IF(G657=1,"plant","plants"),IF(F657&gt;0.01,"warranty","Error")))</f>
        <v/>
      </c>
      <c r="I657" s="244">
        <f>IF(H657="free",0,IF(H657="credit",((E657*(F657))*G657*-1),IF(F657="Buy",(E657*G657),((E657*(1-F657))*G657))))</f>
        <v>0</v>
      </c>
      <c r="J657" s="244">
        <f>IF(H657="warranty",0,(I657*(_xlfn.SINGLE(SalesTaxPercentage))))</f>
        <v>0</v>
      </c>
      <c r="K657" s="696">
        <f t="shared" ref="K657" si="477">I657+J657</f>
        <v>0</v>
      </c>
      <c r="L657" s="696"/>
      <c r="M657" s="659" t="str">
        <f>IF(AND(G657&gt;0,E657=0),"WARNING - no PRICE inserted",IF(H657="free"," FREE ~ no charge this plant",IF(H657="credit",CONCATENATE(" -$",ROUND(K657*(1-T2GDiscount)*-1,2)," CREDIT after discount"),IF(T2GDiscount=0,"",IF(G657=0,"",IF(F657="Buy",CONCATENATE(" $",ROUND(K657*(1-T2GDiscount),2)," with ",(T2GDiscount*100),"% discount"),CONCATENATE(" $",ROUND(K657*(1-T2GDiscount),2)," with ",((T2GDiscount*100+F657*100)-(T2GDiscount*100*F657)),IF(F657&gt;0,"% discounts",IF(NoWarrantyDiscount&gt;0,"% discounts","% discount")))))))))</f>
        <v/>
      </c>
      <c r="N657" s="660"/>
      <c r="O657" s="233"/>
      <c r="P657" s="233"/>
      <c r="Q657" s="233"/>
      <c r="R657" s="233"/>
      <c r="S657" s="233"/>
      <c r="T657" s="508">
        <f t="shared" si="463"/>
        <v>0</v>
      </c>
      <c r="U657" s="225">
        <f>IF(NOT(ISNUMBER(G657)), "", VLOOKUP(A657,'Discount Lookup'!D:E,2,FALSE)*G657)</f>
        <v>0</v>
      </c>
      <c r="V657" s="225">
        <f>IF(NOT(ISNUMBER(G657)), "", VLOOKUP(A657,'Discount Lookup'!G:H,2,FALSE)*G657)</f>
        <v>0</v>
      </c>
      <c r="W657" s="508">
        <f t="shared" si="464"/>
        <v>0</v>
      </c>
      <c r="X657" s="508">
        <f t="shared" si="465"/>
        <v>0</v>
      </c>
      <c r="Y657" s="509" t="b">
        <f t="shared" si="466"/>
        <v>0</v>
      </c>
      <c r="Z657" s="510">
        <f t="shared" si="467"/>
        <v>0</v>
      </c>
      <c r="AA657" s="511"/>
      <c r="AB657" s="511" t="str">
        <f t="shared" si="468"/>
        <v/>
      </c>
      <c r="AC657" s="698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698"/>
      <c r="AE657" s="631" t="str">
        <f t="shared" si="469"/>
        <v/>
      </c>
      <c r="AF657" s="699" t="str">
        <f t="shared" si="470"/>
        <v/>
      </c>
      <c r="AG657" s="699"/>
      <c r="AH657" s="699"/>
      <c r="AI657" s="512">
        <f>IF(H657="credit",0,IF(AE657="free",0,IF(AE657="me",0,IF(G657&gt;0,(VLOOKUP(A657,'Discount Lookup'!J:K,2)*G657),0))))</f>
        <v>0</v>
      </c>
      <c r="AJ657" s="513" t="str">
        <f t="shared" ca="1" si="471"/>
        <v/>
      </c>
      <c r="AK657" s="700" t="str">
        <f t="shared" si="472"/>
        <v/>
      </c>
      <c r="AL657" s="700"/>
      <c r="AM657" s="505" t="str">
        <f t="shared" si="473"/>
        <v/>
      </c>
      <c r="AN657" s="506"/>
      <c r="AO657" s="507"/>
      <c r="AP657" s="507"/>
      <c r="AQ657" s="507"/>
      <c r="AR657" s="507"/>
      <c r="AS657" s="507"/>
      <c r="AT657" s="507"/>
      <c r="AU657" s="507"/>
      <c r="AV657" s="225"/>
      <c r="AW657" s="508"/>
      <c r="AX657" s="225"/>
      <c r="AY657" s="225"/>
      <c r="AZ657" s="225"/>
      <c r="BA657" s="225"/>
      <c r="BB657" s="225"/>
      <c r="BC657" s="56"/>
      <c r="BD657" s="56"/>
      <c r="BE657" s="56"/>
      <c r="BF657" s="107" t="str">
        <f t="shared" si="474"/>
        <v>https://www.google.com/search?tbm=isch&amp;q=25%20G4</v>
      </c>
      <c r="BG657" s="107" t="str">
        <f t="shared" si="475"/>
        <v>C</v>
      </c>
      <c r="BH657" s="254"/>
      <c r="BI657" s="254"/>
    </row>
    <row r="658" spans="1:61" customFormat="1" ht="27" x14ac:dyDescent="0.25">
      <c r="A658" s="276">
        <v>25</v>
      </c>
      <c r="B658" s="240" t="s">
        <v>291</v>
      </c>
      <c r="C658" s="241" t="s">
        <v>3369</v>
      </c>
      <c r="D658" s="242" t="s">
        <v>292</v>
      </c>
      <c r="E658" s="243">
        <v>449.95</v>
      </c>
      <c r="F658" s="517" t="s">
        <v>293</v>
      </c>
      <c r="G658" s="232">
        <v>0</v>
      </c>
      <c r="H658" s="661" t="str">
        <f>IF(G658=0,"",IF(F658="Buy",IF(G658=1,"plant","plants"),IF(F658&gt;0.01,"warranty","Error")))</f>
        <v/>
      </c>
      <c r="I658" s="244">
        <f>IF(H658="free",0,IF(H658="credit",((E658*(F658))*G658*-1),IF(F658="Buy",(E658*G658),((E658*(1-F658))*G658))))</f>
        <v>0</v>
      </c>
      <c r="J658" s="244">
        <f>IF(H658="warranty",0,(I658*(_xlfn.SINGLE(SalesTaxPercentage))))</f>
        <v>0</v>
      </c>
      <c r="K658" s="696">
        <f t="shared" ref="K658" si="478">I658+J658</f>
        <v>0</v>
      </c>
      <c r="L658" s="696"/>
      <c r="M658" s="659" t="str">
        <f>IF(AND(G658&gt;0,E658=0),"WARNING - no PRICE inserted",IF(H658="free"," FREE ~ no charge this plant",IF(H658="credit",CONCATENATE(" -$",ROUND(K658*(1-T2GDiscount)*-1,2)," CREDIT after discount"),IF(T2GDiscount=0,"",IF(G658=0,"",IF(F658="Buy",CONCATENATE(" $",ROUND(K658*(1-T2GDiscount),2)," with ",(T2GDiscount*100),"% discount"),CONCATENATE(" $",ROUND(K658*(1-T2GDiscount),2)," with ",((T2GDiscount*100+F658*100)-(T2GDiscount*100*F658)),IF(F658&gt;0,"% discounts",IF(NoWarrantyDiscount&gt;0,"% discounts","% discount")))))))))</f>
        <v/>
      </c>
      <c r="N658" s="660"/>
      <c r="O658" s="233"/>
      <c r="P658" s="233"/>
      <c r="Q658" s="233"/>
      <c r="R658" s="233"/>
      <c r="S658" s="233"/>
      <c r="T658" s="508">
        <f t="shared" si="463"/>
        <v>0</v>
      </c>
      <c r="U658" s="225">
        <f>IF(NOT(ISNUMBER(G658)), "", VLOOKUP(A658,'Discount Lookup'!D:E,2,FALSE)*G658)</f>
        <v>0</v>
      </c>
      <c r="V658" s="225">
        <f>IF(NOT(ISNUMBER(G658)), "", VLOOKUP(A658,'Discount Lookup'!G:H,2,FALSE)*G658)</f>
        <v>0</v>
      </c>
      <c r="W658" s="508">
        <f t="shared" si="464"/>
        <v>0</v>
      </c>
      <c r="X658" s="508">
        <f t="shared" si="465"/>
        <v>0</v>
      </c>
      <c r="Y658" s="509" t="b">
        <f t="shared" si="466"/>
        <v>0</v>
      </c>
      <c r="Z658" s="510">
        <f t="shared" si="467"/>
        <v>0</v>
      </c>
      <c r="AA658" s="511"/>
      <c r="AB658" s="511" t="str">
        <f t="shared" si="468"/>
        <v/>
      </c>
      <c r="AC658" s="698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698"/>
      <c r="AE658" s="631" t="str">
        <f t="shared" si="469"/>
        <v/>
      </c>
      <c r="AF658" s="699" t="str">
        <f t="shared" si="470"/>
        <v/>
      </c>
      <c r="AG658" s="699"/>
      <c r="AH658" s="699"/>
      <c r="AI658" s="512">
        <f>IF(H658="credit",0,IF(AE658="free",0,IF(AE658="me",0,IF(G658&gt;0,(VLOOKUP(A658,'Discount Lookup'!J:K,2)*G658),0))))</f>
        <v>0</v>
      </c>
      <c r="AJ658" s="513" t="str">
        <f t="shared" ca="1" si="471"/>
        <v/>
      </c>
      <c r="AK658" s="700" t="str">
        <f t="shared" si="472"/>
        <v/>
      </c>
      <c r="AL658" s="700"/>
      <c r="AM658" s="505" t="str">
        <f t="shared" si="473"/>
        <v/>
      </c>
      <c r="AN658" s="506"/>
      <c r="AO658" s="507"/>
      <c r="AP658" s="507"/>
      <c r="AQ658" s="507"/>
      <c r="AR658" s="507"/>
      <c r="AS658" s="507"/>
      <c r="AT658" s="507"/>
      <c r="AU658" s="507"/>
      <c r="AV658" s="225"/>
      <c r="AW658" s="508"/>
      <c r="AX658" s="225"/>
      <c r="AY658" s="225"/>
      <c r="AZ658" s="225"/>
      <c r="BA658" s="225"/>
      <c r="BB658" s="225"/>
      <c r="BC658" s="56"/>
      <c r="BD658" s="56"/>
      <c r="BE658" s="56"/>
      <c r="BF658" s="107" t="str">
        <f t="shared" si="474"/>
        <v>https://www.google.com/search?tbm=isch&amp;q=25%20G4</v>
      </c>
      <c r="BG658" s="107" t="str">
        <f t="shared" si="475"/>
        <v>C</v>
      </c>
      <c r="BH658" s="254"/>
      <c r="BI658" s="254"/>
    </row>
    <row r="659" spans="1:61" customFormat="1" ht="17.25" thickBot="1" x14ac:dyDescent="0.3">
      <c r="A659" s="673" t="s">
        <v>5077</v>
      </c>
      <c r="B659" s="245"/>
      <c r="C659" s="677"/>
      <c r="D659" s="499"/>
      <c r="E659" s="499"/>
      <c r="F659" s="500"/>
      <c r="G659" s="501"/>
      <c r="H659" s="502"/>
      <c r="I659" s="246"/>
      <c r="J659" s="247"/>
      <c r="K659" s="503"/>
      <c r="L659" s="544"/>
      <c r="M659" s="544"/>
      <c r="N659" s="500"/>
      <c r="O659" s="500"/>
      <c r="P659" s="500"/>
      <c r="Q659" s="500"/>
      <c r="R659" s="500"/>
      <c r="S659" s="669" t="s">
        <v>4978</v>
      </c>
      <c r="T659" s="508">
        <f t="shared" si="463"/>
        <v>0</v>
      </c>
      <c r="U659" s="225" t="str">
        <f>IF(NOT(ISNUMBER(G659)), "", VLOOKUP(A659,'Discount Lookup'!D:E,2,FALSE)*G659)</f>
        <v/>
      </c>
      <c r="V659" s="225" t="str">
        <f>IF(NOT(ISNUMBER(G659)), "", VLOOKUP(A659,'Discount Lookup'!G:H,2,FALSE)*G659)</f>
        <v/>
      </c>
      <c r="W659" s="508">
        <f t="shared" si="464"/>
        <v>0</v>
      </c>
      <c r="X659" s="508">
        <f t="shared" si="465"/>
        <v>0</v>
      </c>
      <c r="Y659" s="509" t="b">
        <f t="shared" si="466"/>
        <v>0</v>
      </c>
      <c r="Z659" s="510">
        <f t="shared" si="467"/>
        <v>0</v>
      </c>
      <c r="AA659" s="511"/>
      <c r="AB659" s="511" t="str">
        <f t="shared" si="468"/>
        <v/>
      </c>
      <c r="AC659" s="698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698"/>
      <c r="AE659" s="631" t="str">
        <f t="shared" si="469"/>
        <v/>
      </c>
      <c r="AF659" s="699" t="str">
        <f t="shared" si="470"/>
        <v/>
      </c>
      <c r="AG659" s="699"/>
      <c r="AH659" s="699"/>
      <c r="AI659" s="512">
        <f>IF(H659="credit",0,IF(AE659="free",0,IF(AE659="me",0,IF(G659&gt;0,(VLOOKUP(A659,'Discount Lookup'!J:K,2)*G659),0))))</f>
        <v>0</v>
      </c>
      <c r="AJ659" s="513" t="str">
        <f t="shared" ca="1" si="471"/>
        <v/>
      </c>
      <c r="AK659" s="700" t="str">
        <f t="shared" si="472"/>
        <v/>
      </c>
      <c r="AL659" s="700"/>
      <c r="AM659" s="505" t="str">
        <f t="shared" si="473"/>
        <v/>
      </c>
      <c r="AN659" s="506"/>
      <c r="AO659" s="507"/>
      <c r="AP659" s="507"/>
      <c r="AQ659" s="507"/>
      <c r="AR659" s="507"/>
      <c r="AS659" s="507"/>
      <c r="AT659" s="507"/>
      <c r="AU659" s="507"/>
      <c r="AV659" s="225"/>
      <c r="AW659" s="508"/>
      <c r="AX659" s="225"/>
      <c r="AY659" s="225"/>
      <c r="AZ659" s="225"/>
      <c r="BA659" s="225"/>
      <c r="BB659" s="225"/>
      <c r="BC659" s="56"/>
      <c r="BD659" s="56"/>
      <c r="BE659" s="56"/>
      <c r="BF659" s="107" t="str">
        <f t="shared" si="474"/>
        <v>https://www.google.com/search?tbm=isch&amp;q=wet%20sites%F0%9F%92%A7BEST%2C%20Cascade%20Falls%20needles%20emerge%20Bright%20Green%2C%20then%20Sage%20Green%2C%20then%20Orange-Copper%20in%20fall.%20Red-Brown%20exfoliating%20bark%20</v>
      </c>
      <c r="BG659" s="107" t="str">
        <f t="shared" si="475"/>
        <v>w</v>
      </c>
      <c r="BH659" s="254"/>
      <c r="BI659" s="254"/>
    </row>
    <row r="660" spans="1:61" customFormat="1" ht="18" x14ac:dyDescent="0.25">
      <c r="A660" s="523" t="s">
        <v>582</v>
      </c>
      <c r="B660" s="235"/>
      <c r="C660" s="676"/>
      <c r="D660" s="255" t="s">
        <v>581</v>
      </c>
      <c r="E660" s="236"/>
      <c r="F660" s="236"/>
      <c r="G660" s="236"/>
      <c r="H660" s="582" t="s">
        <v>394</v>
      </c>
      <c r="I660" s="498" t="s">
        <v>3021</v>
      </c>
      <c r="J660" s="237"/>
      <c r="K660" s="237"/>
      <c r="L660" s="274"/>
      <c r="M660" s="668" t="s">
        <v>4962</v>
      </c>
      <c r="N660" s="681" t="str">
        <f>IF(AND(ISTEXT($A660), ISERROR($A660+0)), HYPERLINK($BF660, "Images"), "")</f>
        <v>Images</v>
      </c>
      <c r="O660" s="663" t="s">
        <v>4969</v>
      </c>
      <c r="P660" s="253"/>
      <c r="Q660" s="238"/>
      <c r="R660" s="239"/>
      <c r="S660" s="275"/>
      <c r="T660" s="508">
        <f t="shared" si="463"/>
        <v>0</v>
      </c>
      <c r="U660" s="225" t="str">
        <f>IF(NOT(ISNUMBER(G660)), "", VLOOKUP(A660,'Discount Lookup'!D:E,2,FALSE)*G660)</f>
        <v/>
      </c>
      <c r="V660" s="225" t="str">
        <f>IF(NOT(ISNUMBER(G660)), "", VLOOKUP(A660,'Discount Lookup'!G:H,2,FALSE)*G660)</f>
        <v/>
      </c>
      <c r="W660" s="508">
        <f t="shared" si="464"/>
        <v>0</v>
      </c>
      <c r="X660" s="508" t="str">
        <f t="shared" si="465"/>
        <v>Green blades</v>
      </c>
      <c r="Y660" s="509" t="b">
        <f t="shared" si="466"/>
        <v>0</v>
      </c>
      <c r="Z660" s="510">
        <f t="shared" si="467"/>
        <v>0</v>
      </c>
      <c r="AA660" s="511"/>
      <c r="AB660" s="511" t="str">
        <f t="shared" si="468"/>
        <v/>
      </c>
      <c r="AC660" s="698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698"/>
      <c r="AE660" s="631" t="str">
        <f t="shared" si="469"/>
        <v/>
      </c>
      <c r="AF660" s="699" t="str">
        <f t="shared" si="470"/>
        <v/>
      </c>
      <c r="AG660" s="699"/>
      <c r="AH660" s="699"/>
      <c r="AI660" s="512">
        <f>IF(H660="credit",0,IF(AE660="free",0,IF(AE660="me",0,IF(G660&gt;0,(VLOOKUP(A660,'Discount Lookup'!J:K,2)*G660),0))))</f>
        <v>0</v>
      </c>
      <c r="AJ660" s="513" t="str">
        <f t="shared" ca="1" si="471"/>
        <v/>
      </c>
      <c r="AK660" s="700" t="str">
        <f t="shared" si="472"/>
        <v/>
      </c>
      <c r="AL660" s="700"/>
      <c r="AM660" s="505" t="str">
        <f t="shared" si="473"/>
        <v/>
      </c>
      <c r="AN660" s="506"/>
      <c r="AO660" s="507"/>
      <c r="AP660" s="507"/>
      <c r="AQ660" s="507"/>
      <c r="AR660" s="507"/>
      <c r="AS660" s="507"/>
      <c r="AT660" s="507"/>
      <c r="AU660" s="507"/>
      <c r="AV660" s="225"/>
      <c r="AW660" s="508"/>
      <c r="AX660" s="225"/>
      <c r="AY660" s="225"/>
      <c r="AZ660" s="225"/>
      <c r="BA660" s="225"/>
      <c r="BB660" s="225"/>
      <c r="BC660" s="56"/>
      <c r="BD660" s="56"/>
      <c r="BE660" s="56"/>
      <c r="BF660" s="107" t="str">
        <f t="shared" si="474"/>
        <v>https://www.google.com/search?tbm=isch&amp;q=Cassian%20Fountain%20Grass%20Pennisetum%20alopecuroides%20%27Cassian%27</v>
      </c>
      <c r="BG660" s="107" t="str">
        <f t="shared" si="475"/>
        <v>C</v>
      </c>
      <c r="BH660" s="254"/>
      <c r="BI660" s="254"/>
    </row>
    <row r="661" spans="1:61" customFormat="1" ht="15.75" x14ac:dyDescent="0.25">
      <c r="A661" s="276">
        <v>1</v>
      </c>
      <c r="B661" s="240" t="s">
        <v>291</v>
      </c>
      <c r="C661" s="241"/>
      <c r="D661" s="242" t="s">
        <v>312</v>
      </c>
      <c r="E661" s="243">
        <v>13.95</v>
      </c>
      <c r="F661" s="517" t="s">
        <v>293</v>
      </c>
      <c r="G661" s="232">
        <v>0</v>
      </c>
      <c r="H661" s="661" t="str">
        <f t="shared" ref="H661:H666" si="479">IF(G661=0,"",IF(F661="Buy",IF(G661=1,"plant","plants"),IF(F661&gt;0.01,"warranty","Error")))</f>
        <v/>
      </c>
      <c r="I661" s="244">
        <f t="shared" ref="I661:I666" si="480">IF(H661="free",0,IF(H661="credit",((E661*(F661))*G661*-1),IF(F661="Buy",(E661*G661),((E661*(1-F661))*G661))))</f>
        <v>0</v>
      </c>
      <c r="J661" s="244">
        <f t="shared" ref="J661:J666" si="481">IF(H661="warranty",0,(I661*(_xlfn.SINGLE(SalesTaxPercentage))))</f>
        <v>0</v>
      </c>
      <c r="K661" s="696">
        <f t="shared" ref="K661" si="482">I661+J661</f>
        <v>0</v>
      </c>
      <c r="L661" s="696"/>
      <c r="M661" s="659" t="str">
        <f t="shared" ref="M661:M666" si="483">IF(AND(G661&gt;0,E661=0),"WARNING - no PRICE inserted",IF(H661="free"," FREE ~ no charge this plant",IF(H661="credit",CONCATENATE(" -$",ROUND(K661*(1-T2GDiscount)*-1,2)," CREDIT after discount"),IF(T2GDiscount=0,"",IF(G661=0,"",IF(F661="Buy",CONCATENATE(" $",ROUND(K661*(1-T2GDiscount),2)," with ",(T2GDiscount*100),"% discount"),CONCATENATE(" $",ROUND(K661*(1-T2GDiscount),2)," with ",((T2GDiscount*100+F661*100)-(T2GDiscount*100*F661)),IF(F661&gt;0,"% discounts",IF(NoWarrantyDiscount&gt;0,"% discounts","% discount")))))))))</f>
        <v/>
      </c>
      <c r="N661" s="660"/>
      <c r="O661" s="233"/>
      <c r="P661" s="233"/>
      <c r="Q661" s="233"/>
      <c r="R661" s="233"/>
      <c r="S661" s="233"/>
      <c r="T661" s="508">
        <f t="shared" si="463"/>
        <v>0</v>
      </c>
      <c r="U661" s="225">
        <f>IF(NOT(ISNUMBER(G661)), "", VLOOKUP(A661,'Discount Lookup'!D:E,2,FALSE)*G661)</f>
        <v>0</v>
      </c>
      <c r="V661" s="225">
        <f>IF(NOT(ISNUMBER(G661)), "", VLOOKUP(A661,'Discount Lookup'!G:H,2,FALSE)*G661)</f>
        <v>0</v>
      </c>
      <c r="W661" s="508">
        <f t="shared" si="464"/>
        <v>0</v>
      </c>
      <c r="X661" s="508">
        <f t="shared" si="465"/>
        <v>0</v>
      </c>
      <c r="Y661" s="509" t="b">
        <f t="shared" si="466"/>
        <v>0</v>
      </c>
      <c r="Z661" s="510">
        <f t="shared" si="467"/>
        <v>0</v>
      </c>
      <c r="AA661" s="511"/>
      <c r="AB661" s="511" t="str">
        <f t="shared" si="468"/>
        <v/>
      </c>
      <c r="AC661" s="698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698"/>
      <c r="AE661" s="631" t="str">
        <f t="shared" si="469"/>
        <v/>
      </c>
      <c r="AF661" s="699" t="str">
        <f t="shared" si="470"/>
        <v/>
      </c>
      <c r="AG661" s="699"/>
      <c r="AH661" s="699"/>
      <c r="AI661" s="512">
        <f>IF(H661="credit",0,IF(AE661="free",0,IF(AE661="me",0,IF(G661&gt;0,(VLOOKUP(A661,'Discount Lookup'!J:K,2)*G661),0))))</f>
        <v>0</v>
      </c>
      <c r="AJ661" s="513" t="str">
        <f t="shared" ca="1" si="471"/>
        <v/>
      </c>
      <c r="AK661" s="700" t="str">
        <f t="shared" si="472"/>
        <v/>
      </c>
      <c r="AL661" s="700"/>
      <c r="AM661" s="505" t="str">
        <f t="shared" si="473"/>
        <v/>
      </c>
      <c r="AN661" s="506"/>
      <c r="AO661" s="507"/>
      <c r="AP661" s="507"/>
      <c r="AQ661" s="507"/>
      <c r="AR661" s="507"/>
      <c r="AS661" s="507"/>
      <c r="AT661" s="507"/>
      <c r="AU661" s="507"/>
      <c r="AV661" s="225"/>
      <c r="AW661" s="508"/>
      <c r="AX661" s="225"/>
      <c r="AY661" s="225"/>
      <c r="AZ661" s="225"/>
      <c r="BA661" s="225"/>
      <c r="BB661" s="225"/>
      <c r="BC661" s="56"/>
      <c r="BD661" s="56"/>
      <c r="BE661" s="56"/>
      <c r="BF661" s="107" t="str">
        <f t="shared" si="474"/>
        <v>https://www.google.com/search?tbm=isch&amp;q=1%20G2</v>
      </c>
      <c r="BG661" s="107" t="str">
        <f t="shared" si="475"/>
        <v>C</v>
      </c>
      <c r="BH661" s="254"/>
      <c r="BI661" s="254"/>
    </row>
    <row r="662" spans="1:61" customFormat="1" ht="15.75" x14ac:dyDescent="0.25">
      <c r="A662" s="276">
        <v>3</v>
      </c>
      <c r="B662" s="240" t="s">
        <v>291</v>
      </c>
      <c r="C662" s="241" t="s">
        <v>2721</v>
      </c>
      <c r="D662" s="242" t="s">
        <v>297</v>
      </c>
      <c r="E662" s="243">
        <v>22.95</v>
      </c>
      <c r="F662" s="517" t="s">
        <v>293</v>
      </c>
      <c r="G662" s="232">
        <v>0</v>
      </c>
      <c r="H662" s="661" t="str">
        <f t="shared" si="479"/>
        <v/>
      </c>
      <c r="I662" s="244">
        <f t="shared" si="480"/>
        <v>0</v>
      </c>
      <c r="J662" s="244">
        <f t="shared" si="481"/>
        <v>0</v>
      </c>
      <c r="K662" s="696">
        <f t="shared" ref="K662" si="484">I662+J662</f>
        <v>0</v>
      </c>
      <c r="L662" s="696"/>
      <c r="M662" s="659" t="str">
        <f t="shared" si="483"/>
        <v/>
      </c>
      <c r="N662" s="660"/>
      <c r="O662" s="233"/>
      <c r="P662" s="233"/>
      <c r="Q662" s="233"/>
      <c r="R662" s="233"/>
      <c r="S662" s="233"/>
      <c r="T662" s="508">
        <f t="shared" si="463"/>
        <v>0</v>
      </c>
      <c r="U662" s="225">
        <f>IF(NOT(ISNUMBER(G662)), "", VLOOKUP(A662,'Discount Lookup'!D:E,2,FALSE)*G662)</f>
        <v>0</v>
      </c>
      <c r="V662" s="225">
        <f>IF(NOT(ISNUMBER(G662)), "", VLOOKUP(A662,'Discount Lookup'!G:H,2,FALSE)*G662)</f>
        <v>0</v>
      </c>
      <c r="W662" s="508">
        <f t="shared" si="464"/>
        <v>0</v>
      </c>
      <c r="X662" s="508">
        <f t="shared" si="465"/>
        <v>0</v>
      </c>
      <c r="Y662" s="509" t="b">
        <f t="shared" si="466"/>
        <v>0</v>
      </c>
      <c r="Z662" s="510">
        <f t="shared" si="467"/>
        <v>0</v>
      </c>
      <c r="AA662" s="511"/>
      <c r="AB662" s="511" t="str">
        <f t="shared" si="468"/>
        <v/>
      </c>
      <c r="AC662" s="698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698"/>
      <c r="AE662" s="631" t="str">
        <f t="shared" si="469"/>
        <v/>
      </c>
      <c r="AF662" s="699" t="str">
        <f t="shared" si="470"/>
        <v/>
      </c>
      <c r="AG662" s="699"/>
      <c r="AH662" s="699"/>
      <c r="AI662" s="512">
        <f>IF(H662="credit",0,IF(AE662="free",0,IF(AE662="me",0,IF(G662&gt;0,(VLOOKUP(A662,'Discount Lookup'!J:K,2)*G662),0))))</f>
        <v>0</v>
      </c>
      <c r="AJ662" s="513" t="str">
        <f t="shared" ca="1" si="471"/>
        <v/>
      </c>
      <c r="AK662" s="700" t="str">
        <f t="shared" si="472"/>
        <v/>
      </c>
      <c r="AL662" s="700"/>
      <c r="AM662" s="505" t="str">
        <f t="shared" si="473"/>
        <v/>
      </c>
      <c r="AN662" s="506"/>
      <c r="AO662" s="507"/>
      <c r="AP662" s="507"/>
      <c r="AQ662" s="507"/>
      <c r="AR662" s="507"/>
      <c r="AS662" s="507"/>
      <c r="AT662" s="507"/>
      <c r="AU662" s="507"/>
      <c r="AV662" s="225"/>
      <c r="AW662" s="508"/>
      <c r="AX662" s="225"/>
      <c r="AY662" s="225"/>
      <c r="AZ662" s="225"/>
      <c r="BA662" s="225"/>
      <c r="BB662" s="225"/>
      <c r="BC662" s="56"/>
      <c r="BD662" s="56"/>
      <c r="BE662" s="56"/>
      <c r="BF662" s="107" t="str">
        <f t="shared" si="474"/>
        <v>https://www.google.com/search?tbm=isch&amp;q=3%20G3</v>
      </c>
      <c r="BG662" s="107" t="str">
        <f t="shared" si="475"/>
        <v>C</v>
      </c>
      <c r="BH662" s="254"/>
      <c r="BI662" s="254"/>
    </row>
    <row r="663" spans="1:61" customFormat="1" ht="15.75" x14ac:dyDescent="0.25">
      <c r="A663" s="276">
        <v>3</v>
      </c>
      <c r="B663" s="240" t="s">
        <v>291</v>
      </c>
      <c r="C663" s="241"/>
      <c r="D663" s="242" t="s">
        <v>298</v>
      </c>
      <c r="E663" s="243">
        <v>25.95</v>
      </c>
      <c r="F663" s="517" t="s">
        <v>293</v>
      </c>
      <c r="G663" s="232">
        <v>0</v>
      </c>
      <c r="H663" s="661" t="str">
        <f t="shared" si="479"/>
        <v/>
      </c>
      <c r="I663" s="244">
        <f t="shared" si="480"/>
        <v>0</v>
      </c>
      <c r="J663" s="244">
        <f t="shared" si="481"/>
        <v>0</v>
      </c>
      <c r="K663" s="696">
        <f t="shared" ref="K663" si="485">I663+J663</f>
        <v>0</v>
      </c>
      <c r="L663" s="696"/>
      <c r="M663" s="659" t="str">
        <f t="shared" si="483"/>
        <v/>
      </c>
      <c r="N663" s="660"/>
      <c r="O663" s="233"/>
      <c r="P663" s="233"/>
      <c r="Q663" s="233"/>
      <c r="R663" s="233"/>
      <c r="S663" s="233"/>
      <c r="T663" s="508">
        <f t="shared" si="463"/>
        <v>0</v>
      </c>
      <c r="U663" s="225">
        <f>IF(NOT(ISNUMBER(G663)), "", VLOOKUP(A663,'Discount Lookup'!D:E,2,FALSE)*G663)</f>
        <v>0</v>
      </c>
      <c r="V663" s="225">
        <f>IF(NOT(ISNUMBER(G663)), "", VLOOKUP(A663,'Discount Lookup'!G:H,2,FALSE)*G663)</f>
        <v>0</v>
      </c>
      <c r="W663" s="508">
        <f t="shared" si="464"/>
        <v>0</v>
      </c>
      <c r="X663" s="508">
        <f t="shared" si="465"/>
        <v>0</v>
      </c>
      <c r="Y663" s="509" t="b">
        <f t="shared" si="466"/>
        <v>0</v>
      </c>
      <c r="Z663" s="510">
        <f t="shared" si="467"/>
        <v>0</v>
      </c>
      <c r="AA663" s="511"/>
      <c r="AB663" s="511" t="str">
        <f t="shared" si="468"/>
        <v/>
      </c>
      <c r="AC663" s="698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698"/>
      <c r="AE663" s="631" t="str">
        <f t="shared" si="469"/>
        <v/>
      </c>
      <c r="AF663" s="699" t="str">
        <f t="shared" si="470"/>
        <v/>
      </c>
      <c r="AG663" s="699"/>
      <c r="AH663" s="699"/>
      <c r="AI663" s="512">
        <f>IF(H663="credit",0,IF(AE663="free",0,IF(AE663="me",0,IF(G663&gt;0,(VLOOKUP(A663,'Discount Lookup'!J:K,2)*G663),0))))</f>
        <v>0</v>
      </c>
      <c r="AJ663" s="513" t="str">
        <f t="shared" ca="1" si="471"/>
        <v/>
      </c>
      <c r="AK663" s="700" t="str">
        <f t="shared" si="472"/>
        <v/>
      </c>
      <c r="AL663" s="700"/>
      <c r="AM663" s="505" t="str">
        <f t="shared" si="473"/>
        <v/>
      </c>
      <c r="AN663" s="506"/>
      <c r="AO663" s="507"/>
      <c r="AP663" s="507"/>
      <c r="AQ663" s="507"/>
      <c r="AR663" s="507"/>
      <c r="AS663" s="507"/>
      <c r="AT663" s="507"/>
      <c r="AU663" s="507"/>
      <c r="AV663" s="225"/>
      <c r="AW663" s="508"/>
      <c r="AX663" s="225"/>
      <c r="AY663" s="225"/>
      <c r="AZ663" s="225"/>
      <c r="BA663" s="225"/>
      <c r="BB663" s="225"/>
      <c r="BC663" s="56"/>
      <c r="BD663" s="56"/>
      <c r="BE663" s="56"/>
      <c r="BF663" s="107" t="str">
        <f t="shared" si="474"/>
        <v>https://www.google.com/search?tbm=isch&amp;q=3%20G1</v>
      </c>
      <c r="BG663" s="107" t="str">
        <f t="shared" si="475"/>
        <v>C</v>
      </c>
      <c r="BH663" s="254"/>
      <c r="BI663" s="254"/>
    </row>
    <row r="664" spans="1:61" customFormat="1" ht="15.75" x14ac:dyDescent="0.25">
      <c r="A664" s="276">
        <v>3</v>
      </c>
      <c r="B664" s="240" t="s">
        <v>291</v>
      </c>
      <c r="C664" s="241"/>
      <c r="D664" s="242" t="s">
        <v>300</v>
      </c>
      <c r="E664" s="243">
        <v>30.95</v>
      </c>
      <c r="F664" s="517" t="s">
        <v>293</v>
      </c>
      <c r="G664" s="232">
        <v>0</v>
      </c>
      <c r="H664" s="661" t="str">
        <f t="shared" si="479"/>
        <v/>
      </c>
      <c r="I664" s="244">
        <f t="shared" si="480"/>
        <v>0</v>
      </c>
      <c r="J664" s="244">
        <f t="shared" si="481"/>
        <v>0</v>
      </c>
      <c r="K664" s="696">
        <f t="shared" ref="K664" si="486">I664+J664</f>
        <v>0</v>
      </c>
      <c r="L664" s="696"/>
      <c r="M664" s="659" t="str">
        <f t="shared" si="483"/>
        <v/>
      </c>
      <c r="N664" s="660"/>
      <c r="O664" s="233"/>
      <c r="P664" s="233"/>
      <c r="Q664" s="233"/>
      <c r="R664" s="233"/>
      <c r="S664" s="233"/>
      <c r="T664" s="508">
        <f t="shared" si="463"/>
        <v>0</v>
      </c>
      <c r="U664" s="225">
        <f>IF(NOT(ISNUMBER(G664)), "", VLOOKUP(A664,'Discount Lookup'!D:E,2,FALSE)*G664)</f>
        <v>0</v>
      </c>
      <c r="V664" s="225">
        <f>IF(NOT(ISNUMBER(G664)), "", VLOOKUP(A664,'Discount Lookup'!G:H,2,FALSE)*G664)</f>
        <v>0</v>
      </c>
      <c r="W664" s="508">
        <f t="shared" si="464"/>
        <v>0</v>
      </c>
      <c r="X664" s="508">
        <f t="shared" si="465"/>
        <v>0</v>
      </c>
      <c r="Y664" s="509" t="b">
        <f t="shared" si="466"/>
        <v>0</v>
      </c>
      <c r="Z664" s="510">
        <f t="shared" si="467"/>
        <v>0</v>
      </c>
      <c r="AA664" s="511"/>
      <c r="AB664" s="511" t="str">
        <f t="shared" si="468"/>
        <v/>
      </c>
      <c r="AC664" s="698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698"/>
      <c r="AE664" s="631" t="str">
        <f t="shared" si="469"/>
        <v/>
      </c>
      <c r="AF664" s="699" t="str">
        <f t="shared" si="470"/>
        <v/>
      </c>
      <c r="AG664" s="699"/>
      <c r="AH664" s="699"/>
      <c r="AI664" s="512">
        <f>IF(H664="credit",0,IF(AE664="free",0,IF(AE664="me",0,IF(G664&gt;0,(VLOOKUP(A664,'Discount Lookup'!J:K,2)*G664),0))))</f>
        <v>0</v>
      </c>
      <c r="AJ664" s="513" t="str">
        <f t="shared" ca="1" si="471"/>
        <v/>
      </c>
      <c r="AK664" s="700" t="str">
        <f t="shared" si="472"/>
        <v/>
      </c>
      <c r="AL664" s="700"/>
      <c r="AM664" s="505" t="str">
        <f t="shared" si="473"/>
        <v/>
      </c>
      <c r="AN664" s="506"/>
      <c r="AO664" s="507"/>
      <c r="AP664" s="507"/>
      <c r="AQ664" s="507"/>
      <c r="AR664" s="507"/>
      <c r="AS664" s="507"/>
      <c r="AT664" s="507"/>
      <c r="AU664" s="507"/>
      <c r="AV664" s="225"/>
      <c r="AW664" s="508"/>
      <c r="AX664" s="225"/>
      <c r="AY664" s="225"/>
      <c r="AZ664" s="225"/>
      <c r="BA664" s="225"/>
      <c r="BB664" s="225"/>
      <c r="BC664" s="56"/>
      <c r="BD664" s="56"/>
      <c r="BE664" s="56"/>
      <c r="BF664" s="107" t="str">
        <f t="shared" si="474"/>
        <v>https://www.google.com/search?tbm=isch&amp;q=3%20G6</v>
      </c>
      <c r="BG664" s="107" t="str">
        <f t="shared" si="475"/>
        <v>C</v>
      </c>
      <c r="BH664" s="254"/>
      <c r="BI664" s="254"/>
    </row>
    <row r="665" spans="1:61" customFormat="1" ht="15.75" x14ac:dyDescent="0.25">
      <c r="A665" s="276">
        <v>3</v>
      </c>
      <c r="B665" s="240" t="s">
        <v>291</v>
      </c>
      <c r="C665" s="241"/>
      <c r="D665" s="242" t="s">
        <v>300</v>
      </c>
      <c r="E665" s="243">
        <v>30.95</v>
      </c>
      <c r="F665" s="517" t="s">
        <v>293</v>
      </c>
      <c r="G665" s="232">
        <v>0</v>
      </c>
      <c r="H665" s="661" t="str">
        <f t="shared" si="479"/>
        <v/>
      </c>
      <c r="I665" s="244">
        <f t="shared" si="480"/>
        <v>0</v>
      </c>
      <c r="J665" s="244">
        <f t="shared" si="481"/>
        <v>0</v>
      </c>
      <c r="K665" s="696">
        <f t="shared" ref="K665" si="487">I665+J665</f>
        <v>0</v>
      </c>
      <c r="L665" s="696"/>
      <c r="M665" s="659" t="str">
        <f t="shared" si="483"/>
        <v/>
      </c>
      <c r="N665" s="660"/>
      <c r="O665" s="233"/>
      <c r="P665" s="233"/>
      <c r="Q665" s="233"/>
      <c r="R665" s="233"/>
      <c r="S665" s="233"/>
      <c r="T665" s="508">
        <f t="shared" si="463"/>
        <v>0</v>
      </c>
      <c r="U665" s="225">
        <f>IF(NOT(ISNUMBER(G665)), "", VLOOKUP(A665,'Discount Lookup'!D:E,2,FALSE)*G665)</f>
        <v>0</v>
      </c>
      <c r="V665" s="225">
        <f>IF(NOT(ISNUMBER(G665)), "", VLOOKUP(A665,'Discount Lookup'!G:H,2,FALSE)*G665)</f>
        <v>0</v>
      </c>
      <c r="W665" s="508">
        <f t="shared" si="464"/>
        <v>0</v>
      </c>
      <c r="X665" s="508">
        <f t="shared" si="465"/>
        <v>0</v>
      </c>
      <c r="Y665" s="509" t="b">
        <f t="shared" si="466"/>
        <v>0</v>
      </c>
      <c r="Z665" s="510">
        <f t="shared" si="467"/>
        <v>0</v>
      </c>
      <c r="AA665" s="511"/>
      <c r="AB665" s="511" t="str">
        <f t="shared" si="468"/>
        <v/>
      </c>
      <c r="AC665" s="698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698"/>
      <c r="AE665" s="631" t="str">
        <f t="shared" si="469"/>
        <v/>
      </c>
      <c r="AF665" s="699" t="str">
        <f t="shared" si="470"/>
        <v/>
      </c>
      <c r="AG665" s="699"/>
      <c r="AH665" s="699"/>
      <c r="AI665" s="512">
        <f>IF(H665="credit",0,IF(AE665="free",0,IF(AE665="me",0,IF(G665&gt;0,(VLOOKUP(A665,'Discount Lookup'!J:K,2)*G665),0))))</f>
        <v>0</v>
      </c>
      <c r="AJ665" s="513" t="str">
        <f t="shared" ca="1" si="471"/>
        <v/>
      </c>
      <c r="AK665" s="700" t="str">
        <f t="shared" si="472"/>
        <v/>
      </c>
      <c r="AL665" s="700"/>
      <c r="AM665" s="505" t="str">
        <f t="shared" si="473"/>
        <v/>
      </c>
      <c r="AN665" s="506"/>
      <c r="AO665" s="507"/>
      <c r="AP665" s="507"/>
      <c r="AQ665" s="507"/>
      <c r="AR665" s="507"/>
      <c r="AS665" s="507"/>
      <c r="AT665" s="507"/>
      <c r="AU665" s="507"/>
      <c r="AV665" s="225"/>
      <c r="AW665" s="508"/>
      <c r="AX665" s="225"/>
      <c r="AY665" s="225"/>
      <c r="AZ665" s="225"/>
      <c r="BA665" s="225"/>
      <c r="BB665" s="225"/>
      <c r="BC665" s="56"/>
      <c r="BD665" s="56"/>
      <c r="BE665" s="56"/>
      <c r="BF665" s="107" t="str">
        <f t="shared" si="474"/>
        <v>https://www.google.com/search?tbm=isch&amp;q=3%20G6</v>
      </c>
      <c r="BG665" s="107" t="str">
        <f t="shared" si="475"/>
        <v>C</v>
      </c>
      <c r="BH665" s="254"/>
      <c r="BI665" s="254"/>
    </row>
    <row r="666" spans="1:61" customFormat="1" ht="15.75" x14ac:dyDescent="0.25">
      <c r="A666" s="276">
        <v>3</v>
      </c>
      <c r="B666" s="240" t="s">
        <v>291</v>
      </c>
      <c r="C666" s="241" t="s">
        <v>2722</v>
      </c>
      <c r="D666" s="242" t="s">
        <v>299</v>
      </c>
      <c r="E666" s="243">
        <v>33.950000000000003</v>
      </c>
      <c r="F666" s="517" t="s">
        <v>293</v>
      </c>
      <c r="G666" s="232">
        <v>0</v>
      </c>
      <c r="H666" s="661" t="str">
        <f t="shared" si="479"/>
        <v/>
      </c>
      <c r="I666" s="244">
        <f t="shared" si="480"/>
        <v>0</v>
      </c>
      <c r="J666" s="244">
        <f t="shared" si="481"/>
        <v>0</v>
      </c>
      <c r="K666" s="696">
        <f t="shared" ref="K666" si="488">I666+J666</f>
        <v>0</v>
      </c>
      <c r="L666" s="696"/>
      <c r="M666" s="659" t="str">
        <f t="shared" si="483"/>
        <v/>
      </c>
      <c r="N666" s="660"/>
      <c r="O666" s="233"/>
      <c r="P666" s="233"/>
      <c r="Q666" s="233"/>
      <c r="R666" s="233"/>
      <c r="S666" s="233"/>
      <c r="T666" s="508">
        <f t="shared" si="463"/>
        <v>0</v>
      </c>
      <c r="U666" s="225">
        <f>IF(NOT(ISNUMBER(G666)), "", VLOOKUP(A666,'Discount Lookup'!D:E,2,FALSE)*G666)</f>
        <v>0</v>
      </c>
      <c r="V666" s="225">
        <f>IF(NOT(ISNUMBER(G666)), "", VLOOKUP(A666,'Discount Lookup'!G:H,2,FALSE)*G666)</f>
        <v>0</v>
      </c>
      <c r="W666" s="508">
        <f t="shared" si="464"/>
        <v>0</v>
      </c>
      <c r="X666" s="508">
        <f t="shared" si="465"/>
        <v>0</v>
      </c>
      <c r="Y666" s="509" t="b">
        <f t="shared" si="466"/>
        <v>0</v>
      </c>
      <c r="Z666" s="510">
        <f t="shared" si="467"/>
        <v>0</v>
      </c>
      <c r="AA666" s="511"/>
      <c r="AB666" s="511" t="str">
        <f t="shared" si="468"/>
        <v/>
      </c>
      <c r="AC666" s="698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698"/>
      <c r="AE666" s="631" t="str">
        <f t="shared" si="469"/>
        <v/>
      </c>
      <c r="AF666" s="699" t="str">
        <f t="shared" si="470"/>
        <v/>
      </c>
      <c r="AG666" s="699"/>
      <c r="AH666" s="699"/>
      <c r="AI666" s="512">
        <f>IF(H666="credit",0,IF(AE666="free",0,IF(AE666="me",0,IF(G666&gt;0,(VLOOKUP(A666,'Discount Lookup'!J:K,2)*G666),0))))</f>
        <v>0</v>
      </c>
      <c r="AJ666" s="513" t="str">
        <f t="shared" ca="1" si="471"/>
        <v/>
      </c>
      <c r="AK666" s="700" t="str">
        <f t="shared" si="472"/>
        <v/>
      </c>
      <c r="AL666" s="700"/>
      <c r="AM666" s="505" t="str">
        <f t="shared" si="473"/>
        <v/>
      </c>
      <c r="AN666" s="506"/>
      <c r="AO666" s="507"/>
      <c r="AP666" s="507"/>
      <c r="AQ666" s="507"/>
      <c r="AR666" s="507"/>
      <c r="AS666" s="507"/>
      <c r="AT666" s="507"/>
      <c r="AU666" s="507"/>
      <c r="AV666" s="225"/>
      <c r="AW666" s="508"/>
      <c r="AX666" s="225"/>
      <c r="AY666" s="225"/>
      <c r="AZ666" s="225"/>
      <c r="BA666" s="225"/>
      <c r="BB666" s="225"/>
      <c r="BC666" s="56"/>
      <c r="BD666" s="56"/>
      <c r="BE666" s="56"/>
      <c r="BF666" s="107" t="str">
        <f t="shared" si="474"/>
        <v>https://www.google.com/search?tbm=isch&amp;q=3%20G5</v>
      </c>
      <c r="BG666" s="107" t="str">
        <f t="shared" si="475"/>
        <v>C</v>
      </c>
      <c r="BH666" s="254"/>
      <c r="BI666" s="254"/>
    </row>
    <row r="667" spans="1:61" customFormat="1" ht="17.25" thickBot="1" x14ac:dyDescent="0.3">
      <c r="A667" s="524" t="s">
        <v>3053</v>
      </c>
      <c r="B667" s="245"/>
      <c r="C667" s="677"/>
      <c r="D667" s="499"/>
      <c r="E667" s="499"/>
      <c r="F667" s="500"/>
      <c r="G667" s="501"/>
      <c r="H667" s="502"/>
      <c r="I667" s="246"/>
      <c r="J667" s="247"/>
      <c r="K667" s="503"/>
      <c r="L667" s="544"/>
      <c r="M667" s="544"/>
      <c r="N667" s="500"/>
      <c r="O667" s="500"/>
      <c r="P667" s="500"/>
      <c r="Q667" s="500"/>
      <c r="R667" s="500"/>
      <c r="S667" s="669" t="s">
        <v>5003</v>
      </c>
      <c r="T667" s="508">
        <f t="shared" si="463"/>
        <v>0</v>
      </c>
      <c r="U667" s="225" t="str">
        <f>IF(NOT(ISNUMBER(G667)), "", VLOOKUP(A667,'Discount Lookup'!D:E,2,FALSE)*G667)</f>
        <v/>
      </c>
      <c r="V667" s="225" t="str">
        <f>IF(NOT(ISNUMBER(G667)), "", VLOOKUP(A667,'Discount Lookup'!G:H,2,FALSE)*G667)</f>
        <v/>
      </c>
      <c r="W667" s="508">
        <f t="shared" si="464"/>
        <v>0</v>
      </c>
      <c r="X667" s="508">
        <f t="shared" si="465"/>
        <v>0</v>
      </c>
      <c r="Y667" s="509" t="b">
        <f t="shared" si="466"/>
        <v>0</v>
      </c>
      <c r="Z667" s="510">
        <f t="shared" si="467"/>
        <v>0</v>
      </c>
      <c r="AA667" s="511"/>
      <c r="AB667" s="511" t="str">
        <f t="shared" si="468"/>
        <v/>
      </c>
      <c r="AC667" s="698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698"/>
      <c r="AE667" s="631" t="str">
        <f t="shared" si="469"/>
        <v/>
      </c>
      <c r="AF667" s="699" t="str">
        <f t="shared" si="470"/>
        <v/>
      </c>
      <c r="AG667" s="699"/>
      <c r="AH667" s="699"/>
      <c r="AI667" s="512">
        <f>IF(H667="credit",0,IF(AE667="free",0,IF(AE667="me",0,IF(G667&gt;0,(VLOOKUP(A667,'Discount Lookup'!J:K,2)*G667),0))))</f>
        <v>0</v>
      </c>
      <c r="AJ667" s="513" t="str">
        <f t="shared" ca="1" si="471"/>
        <v/>
      </c>
      <c r="AK667" s="700" t="str">
        <f t="shared" si="472"/>
        <v/>
      </c>
      <c r="AL667" s="700"/>
      <c r="AM667" s="505" t="str">
        <f t="shared" si="473"/>
        <v/>
      </c>
      <c r="AN667" s="506"/>
      <c r="AO667" s="507"/>
      <c r="AP667" s="507"/>
      <c r="AQ667" s="507"/>
      <c r="AR667" s="507"/>
      <c r="AS667" s="507"/>
      <c r="AT667" s="507"/>
      <c r="AU667" s="507"/>
      <c r="AV667" s="225"/>
      <c r="AW667" s="508"/>
      <c r="AX667" s="225"/>
      <c r="AY667" s="225"/>
      <c r="AZ667" s="225"/>
      <c r="BA667" s="225"/>
      <c r="BB667" s="225"/>
      <c r="BC667" s="56"/>
      <c r="BD667" s="56"/>
      <c r="BE667" s="56"/>
      <c r="BF667" s="107" t="str">
        <f t="shared" si="474"/>
        <v>https://www.google.com/search?tbm=isch&amp;q=Cassian%20Fountain%20has%20soft%20Creamy-Pink%20bottlebrush%20blooms.%20Gold-Red-Orange%20fall%20color%20turns%20Beige-Tan%20in%20winter%20</v>
      </c>
      <c r="BG667" s="107" t="str">
        <f t="shared" si="475"/>
        <v>C</v>
      </c>
      <c r="BH667" s="254"/>
      <c r="BI667" s="254"/>
    </row>
    <row r="668" spans="1:61" customFormat="1" ht="18" x14ac:dyDescent="0.25">
      <c r="A668" s="521" t="s">
        <v>5367</v>
      </c>
      <c r="B668" s="477"/>
      <c r="C668" s="674"/>
      <c r="D668" s="478" t="s">
        <v>469</v>
      </c>
      <c r="E668" s="479"/>
      <c r="F668" s="479"/>
      <c r="G668" s="479"/>
      <c r="H668" s="582" t="s">
        <v>441</v>
      </c>
      <c r="I668" s="480" t="s">
        <v>2093</v>
      </c>
      <c r="J668" s="479"/>
      <c r="K668" s="479"/>
      <c r="L668" s="560"/>
      <c r="M668" s="666" t="s">
        <v>4966</v>
      </c>
      <c r="N668" s="680" t="str">
        <f>IF(AND(ISTEXT($A668), ISERROR($A668+0)), HYPERLINK($BF668, "Images"), "")</f>
        <v>Images</v>
      </c>
      <c r="O668" s="662" t="s">
        <v>4969</v>
      </c>
      <c r="P668" s="482"/>
      <c r="Q668" s="483"/>
      <c r="R668" s="483"/>
      <c r="S668" s="484"/>
      <c r="T668" s="508">
        <f t="shared" si="463"/>
        <v>0</v>
      </c>
      <c r="U668" s="225" t="str">
        <f>IF(NOT(ISNUMBER(G668)), "", VLOOKUP(A668,'Discount Lookup'!D:E,2,FALSE)*G668)</f>
        <v/>
      </c>
      <c r="V668" s="225" t="str">
        <f>IF(NOT(ISNUMBER(G668)), "", VLOOKUP(A668,'Discount Lookup'!G:H,2,FALSE)*G668)</f>
        <v/>
      </c>
      <c r="W668" s="508">
        <f t="shared" si="464"/>
        <v>0</v>
      </c>
      <c r="X668" s="508" t="str">
        <f t="shared" si="465"/>
        <v>Dark Green foliage</v>
      </c>
      <c r="Y668" s="509" t="b">
        <f t="shared" si="466"/>
        <v>0</v>
      </c>
      <c r="Z668" s="510">
        <f t="shared" si="467"/>
        <v>0</v>
      </c>
      <c r="AA668" s="511"/>
      <c r="AB668" s="511" t="str">
        <f t="shared" si="468"/>
        <v/>
      </c>
      <c r="AC668" s="698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698"/>
      <c r="AE668" s="631" t="str">
        <f t="shared" si="469"/>
        <v/>
      </c>
      <c r="AF668" s="699" t="str">
        <f t="shared" si="470"/>
        <v/>
      </c>
      <c r="AG668" s="699"/>
      <c r="AH668" s="699"/>
      <c r="AI668" s="512">
        <f>IF(H668="credit",0,IF(AE668="free",0,IF(AE668="me",0,IF(G668&gt;0,(VLOOKUP(A668,'Discount Lookup'!J:K,2)*G668),0))))</f>
        <v>0</v>
      </c>
      <c r="AJ668" s="513" t="str">
        <f t="shared" ca="1" si="471"/>
        <v/>
      </c>
      <c r="AK668" s="700" t="str">
        <f t="shared" si="472"/>
        <v/>
      </c>
      <c r="AL668" s="700"/>
      <c r="AM668" s="505" t="str">
        <f t="shared" si="473"/>
        <v/>
      </c>
      <c r="AN668" s="506"/>
      <c r="AO668" s="507"/>
      <c r="AP668" s="507"/>
      <c r="AQ668" s="507"/>
      <c r="AR668" s="507"/>
      <c r="AS668" s="507"/>
      <c r="AT668" s="507"/>
      <c r="AU668" s="507"/>
      <c r="AV668" s="225"/>
      <c r="AW668" s="508"/>
      <c r="AX668" s="225"/>
      <c r="AY668" s="225"/>
      <c r="AZ668" s="225"/>
      <c r="BA668" s="225"/>
      <c r="BB668" s="225"/>
      <c r="BC668" s="56"/>
      <c r="BD668" s="56"/>
      <c r="BE668" s="56"/>
      <c r="BF668" s="107" t="str">
        <f t="shared" si="474"/>
        <v>https://www.google.com/search?tbm=isch&amp;q=Cast%20in%20Bronze%C2%AE%20Distylium%20Distylium%20%27BLDY02%27%20PP%2332785</v>
      </c>
      <c r="BG668" s="107" t="str">
        <f t="shared" si="475"/>
        <v>C</v>
      </c>
      <c r="BH668" s="254"/>
      <c r="BI668" s="254"/>
    </row>
    <row r="669" spans="1:61" customFormat="1" ht="15.75" x14ac:dyDescent="0.25">
      <c r="A669" s="485">
        <v>3</v>
      </c>
      <c r="B669" s="486" t="s">
        <v>291</v>
      </c>
      <c r="C669" s="487" t="s">
        <v>470</v>
      </c>
      <c r="D669" s="488" t="s">
        <v>312</v>
      </c>
      <c r="E669" s="489">
        <v>33.950000000000003</v>
      </c>
      <c r="F669" s="516" t="s">
        <v>293</v>
      </c>
      <c r="G669" s="232">
        <v>0</v>
      </c>
      <c r="H669" s="658" t="str">
        <f>IF(G669=0,"",IF(F669="Buy",IF(G669=1,"plant","plants"),IF(F669&gt;0.01,"warranty","Error")))</f>
        <v/>
      </c>
      <c r="I669" s="490">
        <f>IF(H669="free",0,IF(H669="credit",((E669*(F669))*G669*-1),IF(F669="Buy",(E669*G669),((E669*(1-F669))*G669))))</f>
        <v>0</v>
      </c>
      <c r="J669" s="490">
        <f>IF(H669="warranty",0,(I669*(_xlfn.SINGLE(SalesTaxPercentage))))</f>
        <v>0</v>
      </c>
      <c r="K669" s="695">
        <f t="shared" ref="K669" si="489">I669+J669</f>
        <v>0</v>
      </c>
      <c r="L669" s="695"/>
      <c r="M669" s="659" t="str">
        <f>IF(AND(G669&gt;0,E669=0),"WARNING - no PRICE inserted",IF(H669="free"," FREE ~ no charge this plant",IF(H669="credit",CONCATENATE(" -$",ROUND(K669*(1-T2GDiscount)*-1,2)," CREDIT after discount"),IF(T2GDiscount=0,"",IF(G669=0,"",IF(F669="Buy",CONCATENATE(" $",ROUND(K669*(1-T2GDiscount),2)," with ",(T2GDiscount*100),"% discount"),CONCATENATE(" $",ROUND(K669*(1-T2GDiscount),2)," with ",((T2GDiscount*100+F669*100)-(T2GDiscount*100*F669)),IF(F669&gt;0,"% discounts",IF(NoWarrantyDiscount&gt;0,"% discounts","% discount")))))))))</f>
        <v/>
      </c>
      <c r="N669" s="660"/>
      <c r="O669" s="233"/>
      <c r="P669" s="233"/>
      <c r="Q669" s="233"/>
      <c r="R669" s="233"/>
      <c r="S669" s="233"/>
      <c r="T669" s="508">
        <f t="shared" si="463"/>
        <v>0</v>
      </c>
      <c r="U669" s="225">
        <f>IF(NOT(ISNUMBER(G669)), "", VLOOKUP(A669,'Discount Lookup'!D:E,2,FALSE)*G669)</f>
        <v>0</v>
      </c>
      <c r="V669" s="225">
        <f>IF(NOT(ISNUMBER(G669)), "", VLOOKUP(A669,'Discount Lookup'!G:H,2,FALSE)*G669)</f>
        <v>0</v>
      </c>
      <c r="W669" s="508">
        <f t="shared" si="464"/>
        <v>0</v>
      </c>
      <c r="X669" s="508">
        <f t="shared" si="465"/>
        <v>0</v>
      </c>
      <c r="Y669" s="509" t="b">
        <f t="shared" si="466"/>
        <v>0</v>
      </c>
      <c r="Z669" s="510">
        <f t="shared" si="467"/>
        <v>0</v>
      </c>
      <c r="AA669" s="511"/>
      <c r="AB669" s="511" t="str">
        <f t="shared" si="468"/>
        <v/>
      </c>
      <c r="AC669" s="698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698"/>
      <c r="AE669" s="631" t="str">
        <f t="shared" si="469"/>
        <v/>
      </c>
      <c r="AF669" s="699" t="str">
        <f t="shared" si="470"/>
        <v/>
      </c>
      <c r="AG669" s="699"/>
      <c r="AH669" s="699"/>
      <c r="AI669" s="512">
        <f>IF(H669="credit",0,IF(AE669="free",0,IF(AE669="me",0,IF(G669&gt;0,(VLOOKUP(A669,'Discount Lookup'!J:K,2)*G669),0))))</f>
        <v>0</v>
      </c>
      <c r="AJ669" s="513" t="str">
        <f t="shared" ca="1" si="471"/>
        <v/>
      </c>
      <c r="AK669" s="700" t="str">
        <f t="shared" si="472"/>
        <v/>
      </c>
      <c r="AL669" s="700"/>
      <c r="AM669" s="505" t="str">
        <f t="shared" si="473"/>
        <v/>
      </c>
      <c r="AN669" s="506"/>
      <c r="AO669" s="507"/>
      <c r="AP669" s="507"/>
      <c r="AQ669" s="507"/>
      <c r="AR669" s="507"/>
      <c r="AS669" s="507"/>
      <c r="AT669" s="507"/>
      <c r="AU669" s="507"/>
      <c r="AV669" s="225"/>
      <c r="AW669" s="508"/>
      <c r="AX669" s="225"/>
      <c r="AY669" s="225"/>
      <c r="AZ669" s="225"/>
      <c r="BA669" s="225"/>
      <c r="BB669" s="225"/>
      <c r="BC669" s="56"/>
      <c r="BD669" s="56"/>
      <c r="BE669" s="56"/>
      <c r="BF669" s="107" t="str">
        <f t="shared" si="474"/>
        <v>https://www.google.com/search?tbm=isch&amp;q=3%20G2</v>
      </c>
      <c r="BG669" s="107" t="str">
        <f t="shared" si="475"/>
        <v>C</v>
      </c>
      <c r="BH669" s="254"/>
      <c r="BI669" s="254"/>
    </row>
    <row r="670" spans="1:61" customFormat="1" ht="16.5" thickBot="1" x14ac:dyDescent="0.3">
      <c r="A670" s="522" t="s">
        <v>4064</v>
      </c>
      <c r="B670" s="491"/>
      <c r="C670" s="675"/>
      <c r="D670" s="491"/>
      <c r="E670" s="491"/>
      <c r="F670" s="492"/>
      <c r="G670" s="493"/>
      <c r="H670" s="491"/>
      <c r="I670" s="234"/>
      <c r="J670" s="234"/>
      <c r="K670" s="494"/>
      <c r="L670" s="543"/>
      <c r="M670" s="561"/>
      <c r="N670" s="495"/>
      <c r="O670" s="496"/>
      <c r="P670" s="497"/>
      <c r="Q670" s="495"/>
      <c r="R670" s="495"/>
      <c r="S670" s="667" t="s">
        <v>4968</v>
      </c>
      <c r="T670" s="508">
        <f t="shared" si="463"/>
        <v>0</v>
      </c>
      <c r="U670" s="225" t="str">
        <f>IF(NOT(ISNUMBER(G670)), "", VLOOKUP(A670,'Discount Lookup'!D:E,2,FALSE)*G670)</f>
        <v/>
      </c>
      <c r="V670" s="225" t="str">
        <f>IF(NOT(ISNUMBER(G670)), "", VLOOKUP(A670,'Discount Lookup'!G:H,2,FALSE)*G670)</f>
        <v/>
      </c>
      <c r="W670" s="508">
        <f t="shared" si="464"/>
        <v>0</v>
      </c>
      <c r="X670" s="508">
        <f t="shared" si="465"/>
        <v>0</v>
      </c>
      <c r="Y670" s="509" t="b">
        <f t="shared" si="466"/>
        <v>0</v>
      </c>
      <c r="Z670" s="510">
        <f t="shared" si="467"/>
        <v>0</v>
      </c>
      <c r="AA670" s="511"/>
      <c r="AB670" s="511" t="str">
        <f t="shared" si="468"/>
        <v/>
      </c>
      <c r="AC670" s="698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698"/>
      <c r="AE670" s="631" t="str">
        <f t="shared" si="469"/>
        <v/>
      </c>
      <c r="AF670" s="699" t="str">
        <f t="shared" si="470"/>
        <v/>
      </c>
      <c r="AG670" s="699"/>
      <c r="AH670" s="699"/>
      <c r="AI670" s="512">
        <f>IF(H670="credit",0,IF(AE670="free",0,IF(AE670="me",0,IF(G670&gt;0,(VLOOKUP(A670,'Discount Lookup'!J:K,2)*G670),0))))</f>
        <v>0</v>
      </c>
      <c r="AJ670" s="513" t="str">
        <f t="shared" ca="1" si="471"/>
        <v/>
      </c>
      <c r="AK670" s="700" t="str">
        <f t="shared" si="472"/>
        <v/>
      </c>
      <c r="AL670" s="700"/>
      <c r="AM670" s="505" t="str">
        <f t="shared" si="473"/>
        <v/>
      </c>
      <c r="AN670" s="506"/>
      <c r="AO670" s="507"/>
      <c r="AP670" s="507"/>
      <c r="AQ670" s="507"/>
      <c r="AR670" s="507"/>
      <c r="AS670" s="507"/>
      <c r="AT670" s="507"/>
      <c r="AU670" s="507"/>
      <c r="AV670" s="225"/>
      <c r="AW670" s="508"/>
      <c r="AX670" s="225"/>
      <c r="AY670" s="225"/>
      <c r="AZ670" s="225"/>
      <c r="BA670" s="225"/>
      <c r="BB670" s="225"/>
      <c r="BC670" s="56"/>
      <c r="BD670" s="56"/>
      <c r="BE670" s="56"/>
      <c r="BF670" s="107" t="str">
        <f t="shared" si="474"/>
        <v>https://www.google.com/search?tbm=isch&amp;q=Cast%20in%20Bronze%20foliage%20emergess%20Bronzy-Maroon.%20Subtle%20Reddish%20late%20winter%20blooms.%20Compact%20upright%20habit.%20Heat%20and%20drought%20tolerant%20</v>
      </c>
      <c r="BG670" s="107" t="str">
        <f t="shared" si="475"/>
        <v>C</v>
      </c>
      <c r="BH670" s="254"/>
      <c r="BI670" s="254"/>
    </row>
    <row r="671" spans="1:61" customFormat="1" ht="18" x14ac:dyDescent="0.25">
      <c r="A671" s="521" t="s">
        <v>591</v>
      </c>
      <c r="B671" s="477"/>
      <c r="C671" s="674"/>
      <c r="D671" s="478" t="s">
        <v>590</v>
      </c>
      <c r="E671" s="479"/>
      <c r="F671" s="479"/>
      <c r="G671" s="479"/>
      <c r="H671" s="582" t="s">
        <v>1364</v>
      </c>
      <c r="I671" s="480" t="s">
        <v>2093</v>
      </c>
      <c r="J671" s="479"/>
      <c r="K671" s="479"/>
      <c r="L671" s="560"/>
      <c r="M671" s="671" t="s">
        <v>4985</v>
      </c>
      <c r="N671" s="680" t="str">
        <f>IF(AND(ISTEXT($A671), ISERROR($A671+0)), HYPERLINK($BF671, "Images"), "")</f>
        <v>Images</v>
      </c>
      <c r="O671" s="662" t="s">
        <v>4969</v>
      </c>
      <c r="P671" s="482"/>
      <c r="Q671" s="483"/>
      <c r="R671" s="483"/>
      <c r="S671" s="484"/>
      <c r="T671" s="508">
        <f t="shared" si="463"/>
        <v>0</v>
      </c>
      <c r="U671" s="225" t="str">
        <f>IF(NOT(ISNUMBER(G671)), "", VLOOKUP(A671,'Discount Lookup'!D:E,2,FALSE)*G671)</f>
        <v/>
      </c>
      <c r="V671" s="225" t="str">
        <f>IF(NOT(ISNUMBER(G671)), "", VLOOKUP(A671,'Discount Lookup'!G:H,2,FALSE)*G671)</f>
        <v/>
      </c>
      <c r="W671" s="508">
        <f t="shared" si="464"/>
        <v>0</v>
      </c>
      <c r="X671" s="508" t="str">
        <f t="shared" si="465"/>
        <v>Dark Green foliage</v>
      </c>
      <c r="Y671" s="509" t="b">
        <f t="shared" si="466"/>
        <v>0</v>
      </c>
      <c r="Z671" s="510">
        <f t="shared" si="467"/>
        <v>0</v>
      </c>
      <c r="AA671" s="511"/>
      <c r="AB671" s="511" t="str">
        <f t="shared" si="468"/>
        <v/>
      </c>
      <c r="AC671" s="698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698"/>
      <c r="AE671" s="631" t="str">
        <f t="shared" si="469"/>
        <v/>
      </c>
      <c r="AF671" s="699" t="str">
        <f t="shared" si="470"/>
        <v/>
      </c>
      <c r="AG671" s="699"/>
      <c r="AH671" s="699"/>
      <c r="AI671" s="512">
        <f>IF(H671="credit",0,IF(AE671="free",0,IF(AE671="me",0,IF(G671&gt;0,(VLOOKUP(A671,'Discount Lookup'!J:K,2)*G671),0))))</f>
        <v>0</v>
      </c>
      <c r="AJ671" s="513" t="str">
        <f t="shared" ca="1" si="471"/>
        <v/>
      </c>
      <c r="AK671" s="700" t="str">
        <f t="shared" si="472"/>
        <v/>
      </c>
      <c r="AL671" s="700"/>
      <c r="AM671" s="505" t="str">
        <f t="shared" si="473"/>
        <v/>
      </c>
      <c r="AN671" s="506"/>
      <c r="AO671" s="507"/>
      <c r="AP671" s="507"/>
      <c r="AQ671" s="507"/>
      <c r="AR671" s="507"/>
      <c r="AS671" s="507"/>
      <c r="AT671" s="507"/>
      <c r="AU671" s="507"/>
      <c r="AV671" s="225"/>
      <c r="AW671" s="508"/>
      <c r="AX671" s="225"/>
      <c r="AY671" s="225"/>
      <c r="AZ671" s="225"/>
      <c r="BA671" s="225"/>
      <c r="BB671" s="225"/>
      <c r="BC671" s="56"/>
      <c r="BD671" s="56"/>
      <c r="BE671" s="56"/>
      <c r="BF671" s="107" t="str">
        <f t="shared" si="474"/>
        <v>https://www.google.com/search?tbm=isch&amp;q=Cast%20Iron%20Plant%20Aspidistra%20elatior</v>
      </c>
      <c r="BG671" s="107" t="str">
        <f t="shared" si="475"/>
        <v>C</v>
      </c>
      <c r="BH671" s="254"/>
      <c r="BI671" s="254"/>
    </row>
    <row r="672" spans="1:61" customFormat="1" ht="15.75" x14ac:dyDescent="0.25">
      <c r="A672" s="485">
        <v>3</v>
      </c>
      <c r="B672" s="486" t="s">
        <v>291</v>
      </c>
      <c r="C672" s="487"/>
      <c r="D672" s="488" t="s">
        <v>300</v>
      </c>
      <c r="E672" s="489">
        <v>34.950000000000003</v>
      </c>
      <c r="F672" s="516" t="s">
        <v>293</v>
      </c>
      <c r="G672" s="232">
        <v>0</v>
      </c>
      <c r="H672" s="658" t="str">
        <f>IF(G672=0,"",IF(F672="Buy",IF(G672=1,"plant","plants"),IF(F672&gt;0.01,"warranty","Error")))</f>
        <v/>
      </c>
      <c r="I672" s="490">
        <f>IF(H672="free",0,IF(H672="credit",((E672*(F672))*G672*-1),IF(F672="Buy",(E672*G672),((E672*(1-F672))*G672))))</f>
        <v>0</v>
      </c>
      <c r="J672" s="490">
        <f>IF(H672="warranty",0,(I672*(_xlfn.SINGLE(SalesTaxPercentage))))</f>
        <v>0</v>
      </c>
      <c r="K672" s="695">
        <f t="shared" ref="K672" si="490">I672+J672</f>
        <v>0</v>
      </c>
      <c r="L672" s="695"/>
      <c r="M672" s="659" t="str">
        <f>IF(AND(G672&gt;0,E672=0),"WARNING - no PRICE inserted",IF(H672="free"," FREE ~ no charge this plant",IF(H672="credit",CONCATENATE(" -$",ROUND(K672*(1-T2GDiscount)*-1,2)," CREDIT after discount"),IF(T2GDiscount=0,"",IF(G672=0,"",IF(F672="Buy",CONCATENATE(" $",ROUND(K672*(1-T2GDiscount),2)," with ",(T2GDiscount*100),"% discount"),CONCATENATE(" $",ROUND(K672*(1-T2GDiscount),2)," with ",((T2GDiscount*100+F672*100)-(T2GDiscount*100*F672)),IF(F672&gt;0,"% discounts",IF(NoWarrantyDiscount&gt;0,"% discounts","% discount")))))))))</f>
        <v/>
      </c>
      <c r="N672" s="660"/>
      <c r="O672" s="233"/>
      <c r="P672" s="233"/>
      <c r="Q672" s="233"/>
      <c r="R672" s="233"/>
      <c r="S672" s="233"/>
      <c r="T672" s="508">
        <f t="shared" si="463"/>
        <v>0</v>
      </c>
      <c r="U672" s="225">
        <f>IF(NOT(ISNUMBER(G672)), "", VLOOKUP(A672,'Discount Lookup'!D:E,2,FALSE)*G672)</f>
        <v>0</v>
      </c>
      <c r="V672" s="225">
        <f>IF(NOT(ISNUMBER(G672)), "", VLOOKUP(A672,'Discount Lookup'!G:H,2,FALSE)*G672)</f>
        <v>0</v>
      </c>
      <c r="W672" s="508">
        <f t="shared" si="464"/>
        <v>0</v>
      </c>
      <c r="X672" s="508">
        <f t="shared" si="465"/>
        <v>0</v>
      </c>
      <c r="Y672" s="509" t="b">
        <f t="shared" si="466"/>
        <v>0</v>
      </c>
      <c r="Z672" s="510">
        <f t="shared" si="467"/>
        <v>0</v>
      </c>
      <c r="AA672" s="511"/>
      <c r="AB672" s="511" t="str">
        <f t="shared" si="468"/>
        <v/>
      </c>
      <c r="AC672" s="698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698"/>
      <c r="AE672" s="631" t="str">
        <f t="shared" si="469"/>
        <v/>
      </c>
      <c r="AF672" s="699" t="str">
        <f t="shared" si="470"/>
        <v/>
      </c>
      <c r="AG672" s="699"/>
      <c r="AH672" s="699"/>
      <c r="AI672" s="512">
        <f>IF(H672="credit",0,IF(AE672="free",0,IF(AE672="me",0,IF(G672&gt;0,(VLOOKUP(A672,'Discount Lookup'!J:K,2)*G672),0))))</f>
        <v>0</v>
      </c>
      <c r="AJ672" s="513" t="str">
        <f t="shared" ca="1" si="471"/>
        <v/>
      </c>
      <c r="AK672" s="700" t="str">
        <f t="shared" si="472"/>
        <v/>
      </c>
      <c r="AL672" s="700"/>
      <c r="AM672" s="505" t="str">
        <f t="shared" si="473"/>
        <v/>
      </c>
      <c r="AN672" s="506"/>
      <c r="AO672" s="507"/>
      <c r="AP672" s="507"/>
      <c r="AQ672" s="507"/>
      <c r="AR672" s="507"/>
      <c r="AS672" s="507"/>
      <c r="AT672" s="507"/>
      <c r="AU672" s="507"/>
      <c r="AV672" s="225"/>
      <c r="AW672" s="508"/>
      <c r="AX672" s="225"/>
      <c r="AY672" s="225"/>
      <c r="AZ672" s="225"/>
      <c r="BA672" s="225"/>
      <c r="BB672" s="225"/>
      <c r="BC672" s="56"/>
      <c r="BD672" s="56"/>
      <c r="BE672" s="56"/>
      <c r="BF672" s="107" t="str">
        <f t="shared" si="474"/>
        <v>https://www.google.com/search?tbm=isch&amp;q=3%20G6</v>
      </c>
      <c r="BG672" s="107" t="str">
        <f t="shared" si="475"/>
        <v>C</v>
      </c>
      <c r="BH672" s="254"/>
      <c r="BI672" s="254"/>
    </row>
    <row r="673" spans="1:61" customFormat="1" ht="15.75" x14ac:dyDescent="0.25">
      <c r="A673" s="485">
        <v>3</v>
      </c>
      <c r="B673" s="486" t="s">
        <v>291</v>
      </c>
      <c r="C673" s="487" t="s">
        <v>592</v>
      </c>
      <c r="D673" s="488" t="s">
        <v>312</v>
      </c>
      <c r="E673" s="489">
        <v>36.950000000000003</v>
      </c>
      <c r="F673" s="516" t="s">
        <v>293</v>
      </c>
      <c r="G673" s="232">
        <v>0</v>
      </c>
      <c r="H673" s="658" t="str">
        <f>IF(G673=0,"",IF(F673="Buy",IF(G673=1,"plant","plants"),IF(F673&gt;0.01,"warranty","Error")))</f>
        <v/>
      </c>
      <c r="I673" s="490">
        <f>IF(H673="free",0,IF(H673="credit",((E673*(F673))*G673*-1),IF(F673="Buy",(E673*G673),((E673*(1-F673))*G673))))</f>
        <v>0</v>
      </c>
      <c r="J673" s="490">
        <f>IF(H673="warranty",0,(I673*(_xlfn.SINGLE(SalesTaxPercentage))))</f>
        <v>0</v>
      </c>
      <c r="K673" s="695">
        <f t="shared" ref="K673" si="491">I673+J673</f>
        <v>0</v>
      </c>
      <c r="L673" s="695"/>
      <c r="M673" s="659" t="str">
        <f>IF(AND(G673&gt;0,E673=0),"WARNING - no PRICE inserted",IF(H673="free"," FREE ~ no charge this plant",IF(H673="credit",CONCATENATE(" -$",ROUND(K673*(1-T2GDiscount)*-1,2)," CREDIT after discount"),IF(T2GDiscount=0,"",IF(G673=0,"",IF(F673="Buy",CONCATENATE(" $",ROUND(K673*(1-T2GDiscount),2)," with ",(T2GDiscount*100),"% discount"),CONCATENATE(" $",ROUND(K673*(1-T2GDiscount),2)," with ",((T2GDiscount*100+F673*100)-(T2GDiscount*100*F673)),IF(F673&gt;0,"% discounts",IF(NoWarrantyDiscount&gt;0,"% discounts","% discount")))))))))</f>
        <v/>
      </c>
      <c r="N673" s="660"/>
      <c r="O673" s="233"/>
      <c r="P673" s="233"/>
      <c r="Q673" s="233"/>
      <c r="R673" s="233"/>
      <c r="S673" s="233"/>
      <c r="T673" s="508">
        <f t="shared" si="463"/>
        <v>0</v>
      </c>
      <c r="U673" s="225">
        <f>IF(NOT(ISNUMBER(G673)), "", VLOOKUP(A673,'Discount Lookup'!D:E,2,FALSE)*G673)</f>
        <v>0</v>
      </c>
      <c r="V673" s="225">
        <f>IF(NOT(ISNUMBER(G673)), "", VLOOKUP(A673,'Discount Lookup'!G:H,2,FALSE)*G673)</f>
        <v>0</v>
      </c>
      <c r="W673" s="508">
        <f t="shared" si="464"/>
        <v>0</v>
      </c>
      <c r="X673" s="508">
        <f t="shared" si="465"/>
        <v>0</v>
      </c>
      <c r="Y673" s="509" t="b">
        <f t="shared" si="466"/>
        <v>0</v>
      </c>
      <c r="Z673" s="510">
        <f t="shared" si="467"/>
        <v>0</v>
      </c>
      <c r="AA673" s="511"/>
      <c r="AB673" s="511" t="str">
        <f t="shared" si="468"/>
        <v/>
      </c>
      <c r="AC673" s="698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698"/>
      <c r="AE673" s="631" t="str">
        <f t="shared" si="469"/>
        <v/>
      </c>
      <c r="AF673" s="699" t="str">
        <f t="shared" si="470"/>
        <v/>
      </c>
      <c r="AG673" s="699"/>
      <c r="AH673" s="699"/>
      <c r="AI673" s="512">
        <f>IF(H673="credit",0,IF(AE673="free",0,IF(AE673="me",0,IF(G673&gt;0,(VLOOKUP(A673,'Discount Lookup'!J:K,2)*G673),0))))</f>
        <v>0</v>
      </c>
      <c r="AJ673" s="513" t="str">
        <f t="shared" ca="1" si="471"/>
        <v/>
      </c>
      <c r="AK673" s="700" t="str">
        <f t="shared" si="472"/>
        <v/>
      </c>
      <c r="AL673" s="700"/>
      <c r="AM673" s="505" t="str">
        <f t="shared" si="473"/>
        <v/>
      </c>
      <c r="AN673" s="506"/>
      <c r="AO673" s="507"/>
      <c r="AP673" s="507"/>
      <c r="AQ673" s="507"/>
      <c r="AR673" s="507"/>
      <c r="AS673" s="507"/>
      <c r="AT673" s="507"/>
      <c r="AU673" s="507"/>
      <c r="AV673" s="225"/>
      <c r="AW673" s="508"/>
      <c r="AX673" s="225"/>
      <c r="AY673" s="225"/>
      <c r="AZ673" s="225"/>
      <c r="BA673" s="225"/>
      <c r="BB673" s="225"/>
      <c r="BC673" s="56"/>
      <c r="BD673" s="56"/>
      <c r="BE673" s="56"/>
      <c r="BF673" s="107" t="str">
        <f t="shared" si="474"/>
        <v>https://www.google.com/search?tbm=isch&amp;q=3%20G2</v>
      </c>
      <c r="BG673" s="107" t="str">
        <f t="shared" si="475"/>
        <v>C</v>
      </c>
      <c r="BH673" s="254"/>
      <c r="BI673" s="254"/>
    </row>
    <row r="674" spans="1:61" customFormat="1" ht="16.5" thickBot="1" x14ac:dyDescent="0.3">
      <c r="A674" s="522" t="s">
        <v>4469</v>
      </c>
      <c r="B674" s="491"/>
      <c r="C674" s="675"/>
      <c r="D674" s="491"/>
      <c r="E674" s="491"/>
      <c r="F674" s="492"/>
      <c r="G674" s="493"/>
      <c r="H674" s="491"/>
      <c r="I674" s="234"/>
      <c r="J674" s="234"/>
      <c r="K674" s="494"/>
      <c r="L674" s="543"/>
      <c r="M674" s="561"/>
      <c r="N674" s="495"/>
      <c r="O674" s="496"/>
      <c r="P674" s="497"/>
      <c r="Q674" s="495"/>
      <c r="R674" s="495"/>
      <c r="S674" s="667" t="s">
        <v>4968</v>
      </c>
      <c r="T674" s="508">
        <f t="shared" si="463"/>
        <v>0</v>
      </c>
      <c r="U674" s="225" t="str">
        <f>IF(NOT(ISNUMBER(G674)), "", VLOOKUP(A674,'Discount Lookup'!D:E,2,FALSE)*G674)</f>
        <v/>
      </c>
      <c r="V674" s="225" t="str">
        <f>IF(NOT(ISNUMBER(G674)), "", VLOOKUP(A674,'Discount Lookup'!G:H,2,FALSE)*G674)</f>
        <v/>
      </c>
      <c r="W674" s="508">
        <f t="shared" si="464"/>
        <v>0</v>
      </c>
      <c r="X674" s="508">
        <f t="shared" si="465"/>
        <v>0</v>
      </c>
      <c r="Y674" s="509" t="b">
        <f t="shared" si="466"/>
        <v>0</v>
      </c>
      <c r="Z674" s="510">
        <f t="shared" si="467"/>
        <v>0</v>
      </c>
      <c r="AA674" s="511"/>
      <c r="AB674" s="511" t="str">
        <f t="shared" si="468"/>
        <v/>
      </c>
      <c r="AC674" s="698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698"/>
      <c r="AE674" s="631" t="str">
        <f t="shared" si="469"/>
        <v/>
      </c>
      <c r="AF674" s="699" t="str">
        <f t="shared" si="470"/>
        <v/>
      </c>
      <c r="AG674" s="699"/>
      <c r="AH674" s="699"/>
      <c r="AI674" s="512">
        <f>IF(H674="credit",0,IF(AE674="free",0,IF(AE674="me",0,IF(G674&gt;0,(VLOOKUP(A674,'Discount Lookup'!J:K,2)*G674),0))))</f>
        <v>0</v>
      </c>
      <c r="AJ674" s="513" t="str">
        <f t="shared" ca="1" si="471"/>
        <v/>
      </c>
      <c r="AK674" s="700" t="str">
        <f t="shared" si="472"/>
        <v/>
      </c>
      <c r="AL674" s="700"/>
      <c r="AM674" s="505" t="str">
        <f t="shared" si="473"/>
        <v/>
      </c>
      <c r="AN674" s="506"/>
      <c r="AO674" s="507"/>
      <c r="AP674" s="507"/>
      <c r="AQ674" s="507"/>
      <c r="AR674" s="507"/>
      <c r="AS674" s="507"/>
      <c r="AT674" s="507"/>
      <c r="AU674" s="507"/>
      <c r="AV674" s="225"/>
      <c r="AW674" s="508"/>
      <c r="AX674" s="225"/>
      <c r="AY674" s="225"/>
      <c r="AZ674" s="225"/>
      <c r="BA674" s="225"/>
      <c r="BB674" s="225"/>
      <c r="BC674" s="56"/>
      <c r="BD674" s="56"/>
      <c r="BE674" s="56"/>
      <c r="BF674" s="107" t="str">
        <f t="shared" si="474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674" s="107" t="str">
        <f t="shared" si="475"/>
        <v>C</v>
      </c>
      <c r="BH674" s="254"/>
      <c r="BI674" s="254"/>
    </row>
    <row r="675" spans="1:61" customFormat="1" ht="18" x14ac:dyDescent="0.25">
      <c r="A675" s="523" t="s">
        <v>399</v>
      </c>
      <c r="B675" s="235"/>
      <c r="C675" s="676"/>
      <c r="D675" s="255" t="s">
        <v>398</v>
      </c>
      <c r="E675" s="236"/>
      <c r="F675" s="236"/>
      <c r="G675" s="236"/>
      <c r="H675" s="582" t="s">
        <v>321</v>
      </c>
      <c r="I675" s="498" t="s">
        <v>661</v>
      </c>
      <c r="J675" s="237"/>
      <c r="K675" s="237"/>
      <c r="L675" s="274"/>
      <c r="M675" s="668" t="s">
        <v>4962</v>
      </c>
      <c r="N675" s="681" t="str">
        <f>IF(AND(ISTEXT($A675), ISERROR($A675+0)), HYPERLINK($BF675, "Images"), "")</f>
        <v>Images</v>
      </c>
      <c r="O675" s="663" t="s">
        <v>4967</v>
      </c>
      <c r="P675" s="253"/>
      <c r="Q675" s="238"/>
      <c r="R675" s="239"/>
      <c r="S675" s="275"/>
      <c r="T675" s="508">
        <f t="shared" si="463"/>
        <v>0</v>
      </c>
      <c r="U675" s="225" t="str">
        <f>IF(NOT(ISNUMBER(G675)), "", VLOOKUP(A675,'Discount Lookup'!D:E,2,FALSE)*G675)</f>
        <v/>
      </c>
      <c r="V675" s="225" t="str">
        <f>IF(NOT(ISNUMBER(G675)), "", VLOOKUP(A675,'Discount Lookup'!G:H,2,FALSE)*G675)</f>
        <v/>
      </c>
      <c r="W675" s="508">
        <f t="shared" si="464"/>
        <v>0</v>
      </c>
      <c r="X675" s="508" t="str">
        <f t="shared" si="465"/>
        <v>Dark Purple bloom</v>
      </c>
      <c r="Y675" s="509" t="b">
        <f t="shared" si="466"/>
        <v>0</v>
      </c>
      <c r="Z675" s="510">
        <f t="shared" si="467"/>
        <v>0</v>
      </c>
      <c r="AA675" s="511"/>
      <c r="AB675" s="511" t="str">
        <f t="shared" si="468"/>
        <v/>
      </c>
      <c r="AC675" s="698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698"/>
      <c r="AE675" s="631" t="str">
        <f t="shared" si="469"/>
        <v/>
      </c>
      <c r="AF675" s="699" t="str">
        <f t="shared" si="470"/>
        <v/>
      </c>
      <c r="AG675" s="699"/>
      <c r="AH675" s="699"/>
      <c r="AI675" s="512">
        <f>IF(H675="credit",0,IF(AE675="free",0,IF(AE675="me",0,IF(G675&gt;0,(VLOOKUP(A675,'Discount Lookup'!J:K,2)*G675),0))))</f>
        <v>0</v>
      </c>
      <c r="AJ675" s="513" t="str">
        <f t="shared" ca="1" si="471"/>
        <v/>
      </c>
      <c r="AK675" s="700" t="str">
        <f t="shared" si="472"/>
        <v/>
      </c>
      <c r="AL675" s="700"/>
      <c r="AM675" s="505" t="str">
        <f t="shared" si="473"/>
        <v/>
      </c>
      <c r="AN675" s="506"/>
      <c r="AO675" s="507"/>
      <c r="AP675" s="507"/>
      <c r="AQ675" s="507"/>
      <c r="AR675" s="507"/>
      <c r="AS675" s="507"/>
      <c r="AT675" s="507"/>
      <c r="AU675" s="507"/>
      <c r="AV675" s="225"/>
      <c r="AW675" s="508"/>
      <c r="AX675" s="225"/>
      <c r="AY675" s="225"/>
      <c r="AZ675" s="225"/>
      <c r="BA675" s="225"/>
      <c r="BB675" s="225"/>
      <c r="BC675" s="56"/>
      <c r="BD675" s="56"/>
      <c r="BE675" s="56"/>
      <c r="BF675" s="107" t="str">
        <f t="shared" si="474"/>
        <v>https://www.google.com/search?tbm=isch&amp;q=Catawba%20Crape%20Myrtle%20Lagerstroemia%20indica%20%27Catawba%27</v>
      </c>
      <c r="BG675" s="107" t="str">
        <f t="shared" si="475"/>
        <v>C</v>
      </c>
      <c r="BH675" s="254"/>
      <c r="BI675" s="254"/>
    </row>
    <row r="676" spans="1:61" customFormat="1" ht="15.75" x14ac:dyDescent="0.25">
      <c r="A676" s="276">
        <v>10</v>
      </c>
      <c r="B676" s="240" t="s">
        <v>291</v>
      </c>
      <c r="C676" s="241" t="s">
        <v>4659</v>
      </c>
      <c r="D676" s="242" t="s">
        <v>297</v>
      </c>
      <c r="E676" s="243">
        <v>83.95</v>
      </c>
      <c r="F676" s="517" t="s">
        <v>293</v>
      </c>
      <c r="G676" s="232">
        <v>0</v>
      </c>
      <c r="H676" s="661" t="str">
        <f>IF(G676=0,"",IF(F676="Buy",IF(G676=1,"plant","plants"),IF(F676&gt;0.01,"warranty","Error")))</f>
        <v/>
      </c>
      <c r="I676" s="244">
        <f>IF(H676="free",0,IF(H676="credit",((E676*(F676))*G676*-1),IF(F676="Buy",(E676*G676),((E676*(1-F676))*G676))))</f>
        <v>0</v>
      </c>
      <c r="J676" s="244">
        <f>IF(H676="warranty",0,(I676*(_xlfn.SINGLE(SalesTaxPercentage))))</f>
        <v>0</v>
      </c>
      <c r="K676" s="696">
        <f t="shared" ref="K676" si="492">I676+J676</f>
        <v>0</v>
      </c>
      <c r="L676" s="696"/>
      <c r="M676" s="659" t="str">
        <f>IF(AND(G676&gt;0,E676=0),"WARNING - no PRICE inserted",IF(H676="free"," FREE ~ no charge this plant",IF(H676="credit",CONCATENATE(" -$",ROUND(K676*(1-T2GDiscount)*-1,2)," CREDIT after discount"),IF(T2GDiscount=0,"",IF(G676=0,"",IF(F676="Buy",CONCATENATE(" $",ROUND(K676*(1-T2GDiscount),2)," with ",(T2GDiscount*100),"% discount"),CONCATENATE(" $",ROUND(K676*(1-T2GDiscount),2)," with ",((T2GDiscount*100+F676*100)-(T2GDiscount*100*F676)),IF(F676&gt;0,"% discounts",IF(NoWarrantyDiscount&gt;0,"% discounts","% discount")))))))))</f>
        <v/>
      </c>
      <c r="N676" s="660"/>
      <c r="O676" s="233"/>
      <c r="P676" s="233"/>
      <c r="Q676" s="233"/>
      <c r="R676" s="233"/>
      <c r="S676" s="233"/>
      <c r="T676" s="508">
        <f t="shared" si="463"/>
        <v>0</v>
      </c>
      <c r="U676" s="225">
        <f>IF(NOT(ISNUMBER(G676)), "", VLOOKUP(A676,'Discount Lookup'!D:E,2,FALSE)*G676)</f>
        <v>0</v>
      </c>
      <c r="V676" s="225">
        <f>IF(NOT(ISNUMBER(G676)), "", VLOOKUP(A676,'Discount Lookup'!G:H,2,FALSE)*G676)</f>
        <v>0</v>
      </c>
      <c r="W676" s="508">
        <f t="shared" si="464"/>
        <v>0</v>
      </c>
      <c r="X676" s="508">
        <f t="shared" si="465"/>
        <v>0</v>
      </c>
      <c r="Y676" s="509" t="b">
        <f t="shared" si="466"/>
        <v>0</v>
      </c>
      <c r="Z676" s="510">
        <f t="shared" si="467"/>
        <v>0</v>
      </c>
      <c r="AA676" s="511"/>
      <c r="AB676" s="511" t="str">
        <f t="shared" si="468"/>
        <v/>
      </c>
      <c r="AC676" s="698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698"/>
      <c r="AE676" s="631" t="str">
        <f t="shared" si="469"/>
        <v/>
      </c>
      <c r="AF676" s="699" t="str">
        <f t="shared" si="470"/>
        <v/>
      </c>
      <c r="AG676" s="699"/>
      <c r="AH676" s="699"/>
      <c r="AI676" s="512">
        <f>IF(H676="credit",0,IF(AE676="free",0,IF(AE676="me",0,IF(G676&gt;0,(VLOOKUP(A676,'Discount Lookup'!J:K,2)*G676),0))))</f>
        <v>0</v>
      </c>
      <c r="AJ676" s="513" t="str">
        <f t="shared" ca="1" si="471"/>
        <v/>
      </c>
      <c r="AK676" s="700" t="str">
        <f t="shared" si="472"/>
        <v/>
      </c>
      <c r="AL676" s="700"/>
      <c r="AM676" s="505" t="str">
        <f t="shared" si="473"/>
        <v/>
      </c>
      <c r="AN676" s="506"/>
      <c r="AO676" s="507"/>
      <c r="AP676" s="507"/>
      <c r="AQ676" s="507"/>
      <c r="AR676" s="507"/>
      <c r="AS676" s="507"/>
      <c r="AT676" s="507"/>
      <c r="AU676" s="507"/>
      <c r="AV676" s="225"/>
      <c r="AW676" s="508"/>
      <c r="AX676" s="225"/>
      <c r="AY676" s="225"/>
      <c r="AZ676" s="225"/>
      <c r="BA676" s="225"/>
      <c r="BB676" s="225"/>
      <c r="BC676" s="56"/>
      <c r="BD676" s="56"/>
      <c r="BE676" s="56"/>
      <c r="BF676" s="107" t="str">
        <f t="shared" si="474"/>
        <v>https://www.google.com/search?tbm=isch&amp;q=10%20G3</v>
      </c>
      <c r="BG676" s="107" t="str">
        <f t="shared" si="475"/>
        <v>C</v>
      </c>
      <c r="BH676" s="254"/>
      <c r="BI676" s="254"/>
    </row>
    <row r="677" spans="1:61" customFormat="1" ht="17.25" thickBot="1" x14ac:dyDescent="0.3">
      <c r="A677" s="524" t="s">
        <v>2355</v>
      </c>
      <c r="B677" s="245"/>
      <c r="C677" s="677"/>
      <c r="D677" s="499"/>
      <c r="E677" s="499"/>
      <c r="F677" s="500"/>
      <c r="G677" s="501"/>
      <c r="H677" s="502"/>
      <c r="I677" s="246"/>
      <c r="J677" s="247"/>
      <c r="K677" s="503"/>
      <c r="L677" s="544"/>
      <c r="M677" s="544"/>
      <c r="N677" s="500"/>
      <c r="O677" s="500"/>
      <c r="P677" s="500"/>
      <c r="Q677" s="500"/>
      <c r="R677" s="500"/>
      <c r="S677" s="278"/>
      <c r="T677" s="508">
        <f t="shared" si="463"/>
        <v>0</v>
      </c>
      <c r="U677" s="225" t="str">
        <f>IF(NOT(ISNUMBER(G677)), "", VLOOKUP(A677,'Discount Lookup'!D:E,2,FALSE)*G677)</f>
        <v/>
      </c>
      <c r="V677" s="225" t="str">
        <f>IF(NOT(ISNUMBER(G677)), "", VLOOKUP(A677,'Discount Lookup'!G:H,2,FALSE)*G677)</f>
        <v/>
      </c>
      <c r="W677" s="508">
        <f t="shared" si="464"/>
        <v>0</v>
      </c>
      <c r="X677" s="508">
        <f t="shared" si="465"/>
        <v>0</v>
      </c>
      <c r="Y677" s="509" t="b">
        <f t="shared" si="466"/>
        <v>0</v>
      </c>
      <c r="Z677" s="510">
        <f t="shared" si="467"/>
        <v>0</v>
      </c>
      <c r="AA677" s="511"/>
      <c r="AB677" s="511" t="str">
        <f t="shared" si="468"/>
        <v/>
      </c>
      <c r="AC677" s="698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698"/>
      <c r="AE677" s="631" t="str">
        <f t="shared" si="469"/>
        <v/>
      </c>
      <c r="AF677" s="699" t="str">
        <f t="shared" si="470"/>
        <v/>
      </c>
      <c r="AG677" s="699"/>
      <c r="AH677" s="699"/>
      <c r="AI677" s="512">
        <f>IF(H677="credit",0,IF(AE677="free",0,IF(AE677="me",0,IF(G677&gt;0,(VLOOKUP(A677,'Discount Lookup'!J:K,2)*G677),0))))</f>
        <v>0</v>
      </c>
      <c r="AJ677" s="513" t="str">
        <f t="shared" ca="1" si="471"/>
        <v/>
      </c>
      <c r="AK677" s="700" t="str">
        <f t="shared" si="472"/>
        <v/>
      </c>
      <c r="AL677" s="700"/>
      <c r="AM677" s="505" t="str">
        <f t="shared" si="473"/>
        <v/>
      </c>
      <c r="AN677" s="506"/>
      <c r="AO677" s="507"/>
      <c r="AP677" s="507"/>
      <c r="AQ677" s="507"/>
      <c r="AR677" s="507"/>
      <c r="AS677" s="507"/>
      <c r="AT677" s="507"/>
      <c r="AU677" s="507"/>
      <c r="AV677" s="225"/>
      <c r="AW677" s="508"/>
      <c r="AX677" s="225"/>
      <c r="AY677" s="225"/>
      <c r="AZ677" s="225"/>
      <c r="BA677" s="225"/>
      <c r="BB677" s="225"/>
      <c r="BC677" s="56"/>
      <c r="BD677" s="56"/>
      <c r="BE677" s="56"/>
      <c r="BF677" s="107" t="str">
        <f t="shared" si="474"/>
        <v>https://www.google.com/search?tbm=isch&amp;q=Catawba%20foliage%20is%20bright%20green%2C%20then%20turns%20to%20vibrant%20orange-red%20in%20fall.%20Multi-colored%20bark%20</v>
      </c>
      <c r="BG677" s="107" t="str">
        <f t="shared" si="475"/>
        <v>C</v>
      </c>
      <c r="BH677" s="254"/>
      <c r="BI677" s="254"/>
    </row>
    <row r="678" spans="1:61" customFormat="1" ht="18" x14ac:dyDescent="0.25">
      <c r="A678" s="523" t="s">
        <v>5368</v>
      </c>
      <c r="B678" s="235"/>
      <c r="C678" s="676"/>
      <c r="D678" s="255" t="s">
        <v>2121</v>
      </c>
      <c r="E678" s="236"/>
      <c r="F678" s="236"/>
      <c r="G678" s="236"/>
      <c r="H678" s="582" t="s">
        <v>326</v>
      </c>
      <c r="I678" s="498" t="s">
        <v>654</v>
      </c>
      <c r="J678" s="237"/>
      <c r="K678" s="237"/>
      <c r="L678" s="274"/>
      <c r="M678" s="668" t="s">
        <v>4975</v>
      </c>
      <c r="N678" s="681" t="str">
        <f>IF(AND(ISTEXT($A678), ISERROR($A678+0)), HYPERLINK($BF678, "Images"), "")</f>
        <v>Images</v>
      </c>
      <c r="O678" s="663" t="s">
        <v>4967</v>
      </c>
      <c r="P678" s="253"/>
      <c r="Q678" s="238"/>
      <c r="R678" s="239"/>
      <c r="S678" s="275"/>
      <c r="T678" s="508">
        <f t="shared" si="463"/>
        <v>0</v>
      </c>
      <c r="U678" s="225" t="str">
        <f>IF(NOT(ISNUMBER(G678)), "", VLOOKUP(A678,'Discount Lookup'!D:E,2,FALSE)*G678)</f>
        <v/>
      </c>
      <c r="V678" s="225" t="str">
        <f>IF(NOT(ISNUMBER(G678)), "", VLOOKUP(A678,'Discount Lookup'!G:H,2,FALSE)*G678)</f>
        <v/>
      </c>
      <c r="W678" s="508">
        <f t="shared" si="464"/>
        <v>0</v>
      </c>
      <c r="X678" s="508" t="str">
        <f t="shared" si="465"/>
        <v>White bloom</v>
      </c>
      <c r="Y678" s="509" t="b">
        <f t="shared" si="466"/>
        <v>0</v>
      </c>
      <c r="Z678" s="510">
        <f t="shared" si="467"/>
        <v>0</v>
      </c>
      <c r="AA678" s="511"/>
      <c r="AB678" s="511" t="str">
        <f t="shared" si="468"/>
        <v/>
      </c>
      <c r="AC678" s="698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698"/>
      <c r="AE678" s="631" t="str">
        <f t="shared" si="469"/>
        <v/>
      </c>
      <c r="AF678" s="699" t="str">
        <f t="shared" si="470"/>
        <v/>
      </c>
      <c r="AG678" s="699"/>
      <c r="AH678" s="699"/>
      <c r="AI678" s="512">
        <f>IF(H678="credit",0,IF(AE678="free",0,IF(AE678="me",0,IF(G678&gt;0,(VLOOKUP(A678,'Discount Lookup'!J:K,2)*G678),0))))</f>
        <v>0</v>
      </c>
      <c r="AJ678" s="513" t="str">
        <f t="shared" ca="1" si="471"/>
        <v/>
      </c>
      <c r="AK678" s="700" t="str">
        <f t="shared" si="472"/>
        <v/>
      </c>
      <c r="AL678" s="700"/>
      <c r="AM678" s="505" t="str">
        <f t="shared" si="473"/>
        <v/>
      </c>
      <c r="AN678" s="506"/>
      <c r="AO678" s="507"/>
      <c r="AP678" s="507"/>
      <c r="AQ678" s="507"/>
      <c r="AR678" s="507"/>
      <c r="AS678" s="507"/>
      <c r="AT678" s="507"/>
      <c r="AU678" s="507"/>
      <c r="AV678" s="225"/>
      <c r="AW678" s="508"/>
      <c r="AX678" s="225"/>
      <c r="AY678" s="225"/>
      <c r="AZ678" s="225"/>
      <c r="BA678" s="225"/>
      <c r="BB678" s="225"/>
      <c r="BC678" s="56"/>
      <c r="BD678" s="56"/>
      <c r="BE678" s="56"/>
      <c r="BF678" s="107" t="str">
        <f t="shared" si="474"/>
        <v>https://www.google.com/search?tbm=isch&amp;q=Celestial%20Shadow%C2%AE%20Dogwood%20Cornus%20x%20rutgersensis%20%27Celestial%20Shadow%27</v>
      </c>
      <c r="BG678" s="107" t="str">
        <f t="shared" si="475"/>
        <v>C</v>
      </c>
      <c r="BH678" s="254"/>
      <c r="BI678" s="254"/>
    </row>
    <row r="679" spans="1:61" customFormat="1" ht="15.75" x14ac:dyDescent="0.25">
      <c r="A679" s="276">
        <v>7</v>
      </c>
      <c r="B679" s="240" t="s">
        <v>291</v>
      </c>
      <c r="C679" s="241" t="s">
        <v>3370</v>
      </c>
      <c r="D679" s="242" t="s">
        <v>292</v>
      </c>
      <c r="E679" s="243">
        <v>109.95</v>
      </c>
      <c r="F679" s="517" t="s">
        <v>293</v>
      </c>
      <c r="G679" s="232">
        <v>0</v>
      </c>
      <c r="H679" s="661" t="str">
        <f>IF(G679=0,"",IF(F679="Buy",IF(G679=1,"plant","plants"),IF(F679&gt;0.01,"warranty","Error")))</f>
        <v/>
      </c>
      <c r="I679" s="244">
        <f>IF(H679="free",0,IF(H679="credit",((E679*(F679))*G679*-1),IF(F679="Buy",(E679*G679),((E679*(1-F679))*G679))))</f>
        <v>0</v>
      </c>
      <c r="J679" s="244">
        <f>IF(H679="warranty",0,(I679*(_xlfn.SINGLE(SalesTaxPercentage))))</f>
        <v>0</v>
      </c>
      <c r="K679" s="696">
        <f t="shared" ref="K679" si="493">I679+J679</f>
        <v>0</v>
      </c>
      <c r="L679" s="696"/>
      <c r="M679" s="659" t="str">
        <f>IF(AND(G679&gt;0,E679=0),"WARNING - no PRICE inserted",IF(H679="free"," FREE ~ no charge this plant",IF(H679="credit",CONCATENATE(" -$",ROUND(K679*(1-T2GDiscount)*-1,2)," CREDIT after discount"),IF(T2GDiscount=0,"",IF(G679=0,"",IF(F679="Buy",CONCATENATE(" $",ROUND(K679*(1-T2GDiscount),2)," with ",(T2GDiscount*100),"% discount"),CONCATENATE(" $",ROUND(K679*(1-T2GDiscount),2)," with ",((T2GDiscount*100+F679*100)-(T2GDiscount*100*F679)),IF(F679&gt;0,"% discounts",IF(NoWarrantyDiscount&gt;0,"% discounts","% discount")))))))))</f>
        <v/>
      </c>
      <c r="N679" s="660"/>
      <c r="O679" s="233"/>
      <c r="P679" s="233"/>
      <c r="Q679" s="233"/>
      <c r="R679" s="233"/>
      <c r="S679" s="233"/>
      <c r="T679" s="508">
        <f t="shared" si="463"/>
        <v>0</v>
      </c>
      <c r="U679" s="225">
        <f>IF(NOT(ISNUMBER(G679)), "", VLOOKUP(A679,'Discount Lookup'!D:E,2,FALSE)*G679)</f>
        <v>0</v>
      </c>
      <c r="V679" s="225">
        <f>IF(NOT(ISNUMBER(G679)), "", VLOOKUP(A679,'Discount Lookup'!G:H,2,FALSE)*G679)</f>
        <v>0</v>
      </c>
      <c r="W679" s="508">
        <f t="shared" si="464"/>
        <v>0</v>
      </c>
      <c r="X679" s="508">
        <f t="shared" si="465"/>
        <v>0</v>
      </c>
      <c r="Y679" s="509" t="b">
        <f t="shared" si="466"/>
        <v>0</v>
      </c>
      <c r="Z679" s="510">
        <f t="shared" si="467"/>
        <v>0</v>
      </c>
      <c r="AA679" s="511"/>
      <c r="AB679" s="511" t="str">
        <f t="shared" si="468"/>
        <v/>
      </c>
      <c r="AC679" s="698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698"/>
      <c r="AE679" s="631" t="str">
        <f t="shared" si="469"/>
        <v/>
      </c>
      <c r="AF679" s="699" t="str">
        <f t="shared" si="470"/>
        <v/>
      </c>
      <c r="AG679" s="699"/>
      <c r="AH679" s="699"/>
      <c r="AI679" s="512">
        <f>IF(H679="credit",0,IF(AE679="free",0,IF(AE679="me",0,IF(G679&gt;0,(VLOOKUP(A679,'Discount Lookup'!J:K,2)*G679),0))))</f>
        <v>0</v>
      </c>
      <c r="AJ679" s="513" t="str">
        <f t="shared" ca="1" si="471"/>
        <v/>
      </c>
      <c r="AK679" s="700" t="str">
        <f t="shared" si="472"/>
        <v/>
      </c>
      <c r="AL679" s="700"/>
      <c r="AM679" s="505" t="str">
        <f t="shared" si="473"/>
        <v/>
      </c>
      <c r="AN679" s="506"/>
      <c r="AO679" s="507"/>
      <c r="AP679" s="507"/>
      <c r="AQ679" s="507"/>
      <c r="AR679" s="507"/>
      <c r="AS679" s="507"/>
      <c r="AT679" s="507"/>
      <c r="AU679" s="507"/>
      <c r="AV679" s="225"/>
      <c r="AW679" s="508"/>
      <c r="AX679" s="225"/>
      <c r="AY679" s="225"/>
      <c r="AZ679" s="225"/>
      <c r="BA679" s="225"/>
      <c r="BB679" s="225"/>
      <c r="BC679" s="56"/>
      <c r="BD679" s="56"/>
      <c r="BE679" s="56"/>
      <c r="BF679" s="107" t="str">
        <f t="shared" si="474"/>
        <v>https://www.google.com/search?tbm=isch&amp;q=7%20G4</v>
      </c>
      <c r="BG679" s="107" t="str">
        <f t="shared" si="475"/>
        <v>C</v>
      </c>
      <c r="BH679" s="254"/>
      <c r="BI679" s="254"/>
    </row>
    <row r="680" spans="1:61" customFormat="1" ht="15.75" x14ac:dyDescent="0.25">
      <c r="A680" s="276">
        <v>10</v>
      </c>
      <c r="B680" s="240" t="s">
        <v>291</v>
      </c>
      <c r="C680" s="241" t="s">
        <v>3484</v>
      </c>
      <c r="D680" s="242" t="s">
        <v>292</v>
      </c>
      <c r="E680" s="243">
        <v>171.95</v>
      </c>
      <c r="F680" s="517" t="s">
        <v>293</v>
      </c>
      <c r="G680" s="232">
        <v>0</v>
      </c>
      <c r="H680" s="661" t="str">
        <f>IF(G680=0,"",IF(F680="Buy",IF(G680=1,"plant","plants"),IF(F680&gt;0.01,"warranty","Error")))</f>
        <v/>
      </c>
      <c r="I680" s="244">
        <f>IF(H680="free",0,IF(H680="credit",((E680*(F680))*G680*-1),IF(F680="Buy",(E680*G680),((E680*(1-F680))*G680))))</f>
        <v>0</v>
      </c>
      <c r="J680" s="244">
        <f>IF(H680="warranty",0,(I680*(_xlfn.SINGLE(SalesTaxPercentage))))</f>
        <v>0</v>
      </c>
      <c r="K680" s="696">
        <f t="shared" ref="K680" si="494">I680+J680</f>
        <v>0</v>
      </c>
      <c r="L680" s="696"/>
      <c r="M680" s="659" t="str">
        <f>IF(AND(G680&gt;0,E680=0),"WARNING - no PRICE inserted",IF(H680="free"," FREE ~ no charge this plant",IF(H680="credit",CONCATENATE(" -$",ROUND(K680*(1-T2GDiscount)*-1,2)," CREDIT after discount"),IF(T2GDiscount=0,"",IF(G680=0,"",IF(F680="Buy",CONCATENATE(" $",ROUND(K680*(1-T2GDiscount),2)," with ",(T2GDiscount*100),"% discount"),CONCATENATE(" $",ROUND(K680*(1-T2GDiscount),2)," with ",((T2GDiscount*100+F680*100)-(T2GDiscount*100*F680)),IF(F680&gt;0,"% discounts",IF(NoWarrantyDiscount&gt;0,"% discounts","% discount")))))))))</f>
        <v/>
      </c>
      <c r="N680" s="660"/>
      <c r="O680" s="233"/>
      <c r="P680" s="233"/>
      <c r="Q680" s="233"/>
      <c r="R680" s="233"/>
      <c r="S680" s="233"/>
      <c r="T680" s="508">
        <f t="shared" si="463"/>
        <v>0</v>
      </c>
      <c r="U680" s="225">
        <f>IF(NOT(ISNUMBER(G680)), "", VLOOKUP(A680,'Discount Lookup'!D:E,2,FALSE)*G680)</f>
        <v>0</v>
      </c>
      <c r="V680" s="225">
        <f>IF(NOT(ISNUMBER(G680)), "", VLOOKUP(A680,'Discount Lookup'!G:H,2,FALSE)*G680)</f>
        <v>0</v>
      </c>
      <c r="W680" s="508">
        <f t="shared" si="464"/>
        <v>0</v>
      </c>
      <c r="X680" s="508">
        <f t="shared" si="465"/>
        <v>0</v>
      </c>
      <c r="Y680" s="509" t="b">
        <f t="shared" si="466"/>
        <v>0</v>
      </c>
      <c r="Z680" s="510">
        <f t="shared" si="467"/>
        <v>0</v>
      </c>
      <c r="AA680" s="511"/>
      <c r="AB680" s="511" t="str">
        <f t="shared" si="468"/>
        <v/>
      </c>
      <c r="AC680" s="698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698"/>
      <c r="AE680" s="631" t="str">
        <f t="shared" si="469"/>
        <v/>
      </c>
      <c r="AF680" s="699" t="str">
        <f t="shared" si="470"/>
        <v/>
      </c>
      <c r="AG680" s="699"/>
      <c r="AH680" s="699"/>
      <c r="AI680" s="512">
        <f>IF(H680="credit",0,IF(AE680="free",0,IF(AE680="me",0,IF(G680&gt;0,(VLOOKUP(A680,'Discount Lookup'!J:K,2)*G680),0))))</f>
        <v>0</v>
      </c>
      <c r="AJ680" s="513" t="str">
        <f t="shared" ca="1" si="471"/>
        <v/>
      </c>
      <c r="AK680" s="700" t="str">
        <f t="shared" si="472"/>
        <v/>
      </c>
      <c r="AL680" s="700"/>
      <c r="AM680" s="505" t="str">
        <f t="shared" si="473"/>
        <v/>
      </c>
      <c r="AN680" s="506"/>
      <c r="AO680" s="507"/>
      <c r="AP680" s="507"/>
      <c r="AQ680" s="507"/>
      <c r="AR680" s="507"/>
      <c r="AS680" s="507"/>
      <c r="AT680" s="507"/>
      <c r="AU680" s="507"/>
      <c r="AV680" s="225"/>
      <c r="AW680" s="508"/>
      <c r="AX680" s="225"/>
      <c r="AY680" s="225"/>
      <c r="AZ680" s="225"/>
      <c r="BA680" s="225"/>
      <c r="BB680" s="225"/>
      <c r="BC680" s="56"/>
      <c r="BD680" s="56"/>
      <c r="BE680" s="56"/>
      <c r="BF680" s="107" t="str">
        <f t="shared" si="474"/>
        <v>https://www.google.com/search?tbm=isch&amp;q=10%20G4</v>
      </c>
      <c r="BG680" s="107" t="str">
        <f t="shared" si="475"/>
        <v>C</v>
      </c>
      <c r="BH680" s="254"/>
      <c r="BI680" s="254"/>
    </row>
    <row r="681" spans="1:61" customFormat="1" ht="17.25" thickBot="1" x14ac:dyDescent="0.3">
      <c r="A681" s="524" t="s">
        <v>4065</v>
      </c>
      <c r="B681" s="245"/>
      <c r="C681" s="677"/>
      <c r="D681" s="499"/>
      <c r="E681" s="499"/>
      <c r="F681" s="500"/>
      <c r="G681" s="501"/>
      <c r="H681" s="502"/>
      <c r="I681" s="246"/>
      <c r="J681" s="247"/>
      <c r="K681" s="503"/>
      <c r="L681" s="544"/>
      <c r="M681" s="544"/>
      <c r="N681" s="500"/>
      <c r="O681" s="500"/>
      <c r="P681" s="500"/>
      <c r="Q681" s="500"/>
      <c r="R681" s="500"/>
      <c r="S681" s="669" t="s">
        <v>4980</v>
      </c>
      <c r="T681" s="508">
        <f t="shared" si="463"/>
        <v>0</v>
      </c>
      <c r="U681" s="225" t="str">
        <f>IF(NOT(ISNUMBER(G681)), "", VLOOKUP(A681,'Discount Lookup'!D:E,2,FALSE)*G681)</f>
        <v/>
      </c>
      <c r="V681" s="225" t="str">
        <f>IF(NOT(ISNUMBER(G681)), "", VLOOKUP(A681,'Discount Lookup'!G:H,2,FALSE)*G681)</f>
        <v/>
      </c>
      <c r="W681" s="508">
        <f t="shared" si="464"/>
        <v>0</v>
      </c>
      <c r="X681" s="508">
        <f t="shared" si="465"/>
        <v>0</v>
      </c>
      <c r="Y681" s="509" t="b">
        <f t="shared" si="466"/>
        <v>0</v>
      </c>
      <c r="Z681" s="510">
        <f t="shared" si="467"/>
        <v>0</v>
      </c>
      <c r="AA681" s="511"/>
      <c r="AB681" s="511" t="str">
        <f t="shared" si="468"/>
        <v/>
      </c>
      <c r="AC681" s="698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698"/>
      <c r="AE681" s="631" t="str">
        <f t="shared" si="469"/>
        <v/>
      </c>
      <c r="AF681" s="699" t="str">
        <f t="shared" si="470"/>
        <v/>
      </c>
      <c r="AG681" s="699"/>
      <c r="AH681" s="699"/>
      <c r="AI681" s="512">
        <f>IF(H681="credit",0,IF(AE681="free",0,IF(AE681="me",0,IF(G681&gt;0,(VLOOKUP(A681,'Discount Lookup'!J:K,2)*G681),0))))</f>
        <v>0</v>
      </c>
      <c r="AJ681" s="513" t="str">
        <f t="shared" ca="1" si="471"/>
        <v/>
      </c>
      <c r="AK681" s="700" t="str">
        <f t="shared" si="472"/>
        <v/>
      </c>
      <c r="AL681" s="700"/>
      <c r="AM681" s="505" t="str">
        <f t="shared" si="473"/>
        <v/>
      </c>
      <c r="AN681" s="506"/>
      <c r="AO681" s="507"/>
      <c r="AP681" s="507"/>
      <c r="AQ681" s="507"/>
      <c r="AR681" s="507"/>
      <c r="AS681" s="507"/>
      <c r="AT681" s="507"/>
      <c r="AU681" s="507"/>
      <c r="AV681" s="225"/>
      <c r="AW681" s="508"/>
      <c r="AX681" s="225"/>
      <c r="AY681" s="225"/>
      <c r="AZ681" s="225"/>
      <c r="BA681" s="225"/>
      <c r="BB681" s="225"/>
      <c r="BC681" s="56"/>
      <c r="BD681" s="56"/>
      <c r="BE681" s="56"/>
      <c r="BF681" s="107" t="str">
        <f t="shared" si="474"/>
        <v>https://www.google.com/search?tbm=isch&amp;q=Celestial%20Shadow%20bright%20yellow%20foliage%20variegated%20with%20deep%20green%20centers.%20Rather%20sun-tolerant%20dogwood%20</v>
      </c>
      <c r="BG681" s="107" t="str">
        <f t="shared" si="475"/>
        <v>C</v>
      </c>
      <c r="BH681" s="254"/>
      <c r="BI681" s="254"/>
    </row>
    <row r="682" spans="1:61" customFormat="1" ht="18" x14ac:dyDescent="0.25">
      <c r="A682" s="523" t="s">
        <v>5369</v>
      </c>
      <c r="B682" s="235"/>
      <c r="C682" s="676"/>
      <c r="D682" s="255" t="s">
        <v>2122</v>
      </c>
      <c r="E682" s="236"/>
      <c r="F682" s="236"/>
      <c r="G682" s="236"/>
      <c r="H682" s="582" t="s">
        <v>357</v>
      </c>
      <c r="I682" s="498" t="s">
        <v>654</v>
      </c>
      <c r="J682" s="237"/>
      <c r="K682" s="237"/>
      <c r="L682" s="274"/>
      <c r="M682" s="668" t="s">
        <v>4975</v>
      </c>
      <c r="N682" s="681" t="str">
        <f>IF(AND(ISTEXT($A682), ISERROR($A682+0)), HYPERLINK($BF682, "Images"), "")</f>
        <v>Images</v>
      </c>
      <c r="O682" s="663" t="s">
        <v>4967</v>
      </c>
      <c r="P682" s="253"/>
      <c r="Q682" s="238"/>
      <c r="R682" s="239"/>
      <c r="S682" s="275"/>
      <c r="T682" s="508">
        <f t="shared" si="463"/>
        <v>0</v>
      </c>
      <c r="U682" s="225" t="str">
        <f>IF(NOT(ISNUMBER(G682)), "", VLOOKUP(A682,'Discount Lookup'!D:E,2,FALSE)*G682)</f>
        <v/>
      </c>
      <c r="V682" s="225" t="str">
        <f>IF(NOT(ISNUMBER(G682)), "", VLOOKUP(A682,'Discount Lookup'!G:H,2,FALSE)*G682)</f>
        <v/>
      </c>
      <c r="W682" s="508">
        <f t="shared" si="464"/>
        <v>0</v>
      </c>
      <c r="X682" s="508" t="str">
        <f t="shared" si="465"/>
        <v>White bloom</v>
      </c>
      <c r="Y682" s="509" t="b">
        <f t="shared" si="466"/>
        <v>0</v>
      </c>
      <c r="Z682" s="510">
        <f t="shared" si="467"/>
        <v>0</v>
      </c>
      <c r="AA682" s="511"/>
      <c r="AB682" s="511" t="str">
        <f t="shared" si="468"/>
        <v/>
      </c>
      <c r="AC682" s="698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698"/>
      <c r="AE682" s="631" t="str">
        <f t="shared" si="469"/>
        <v/>
      </c>
      <c r="AF682" s="699" t="str">
        <f t="shared" si="470"/>
        <v/>
      </c>
      <c r="AG682" s="699"/>
      <c r="AH682" s="699"/>
      <c r="AI682" s="512">
        <f>IF(H682="credit",0,IF(AE682="free",0,IF(AE682="me",0,IF(G682&gt;0,(VLOOKUP(A682,'Discount Lookup'!J:K,2)*G682),0))))</f>
        <v>0</v>
      </c>
      <c r="AJ682" s="513" t="str">
        <f t="shared" ca="1" si="471"/>
        <v/>
      </c>
      <c r="AK682" s="700" t="str">
        <f t="shared" si="472"/>
        <v/>
      </c>
      <c r="AL682" s="700"/>
      <c r="AM682" s="505" t="str">
        <f t="shared" si="473"/>
        <v/>
      </c>
      <c r="AN682" s="506"/>
      <c r="AO682" s="507"/>
      <c r="AP682" s="507"/>
      <c r="AQ682" s="507"/>
      <c r="AR682" s="507"/>
      <c r="AS682" s="507"/>
      <c r="AT682" s="507"/>
      <c r="AU682" s="507"/>
      <c r="AV682" s="225"/>
      <c r="AW682" s="508"/>
      <c r="AX682" s="225"/>
      <c r="AY682" s="225"/>
      <c r="AZ682" s="225"/>
      <c r="BA682" s="225"/>
      <c r="BB682" s="225"/>
      <c r="BC682" s="56"/>
      <c r="BD682" s="56"/>
      <c r="BE682" s="56"/>
      <c r="BF682" s="107" t="str">
        <f t="shared" si="474"/>
        <v>https://www.google.com/search?tbm=isch&amp;q=Celestial%C2%AE%20Dogwood%20Cornus%20x%20rutgersensis%20%27Rutdan%27%20PP%237204Exp.</v>
      </c>
      <c r="BG682" s="107" t="str">
        <f t="shared" si="475"/>
        <v>C</v>
      </c>
      <c r="BH682" s="254"/>
      <c r="BI682" s="254"/>
    </row>
    <row r="683" spans="1:61" customFormat="1" ht="15.75" x14ac:dyDescent="0.25">
      <c r="A683" s="276">
        <v>7</v>
      </c>
      <c r="B683" s="240" t="s">
        <v>291</v>
      </c>
      <c r="C683" s="241" t="s">
        <v>3371</v>
      </c>
      <c r="D683" s="242" t="s">
        <v>292</v>
      </c>
      <c r="E683" s="243">
        <v>104.95</v>
      </c>
      <c r="F683" s="517" t="s">
        <v>293</v>
      </c>
      <c r="G683" s="232">
        <v>0</v>
      </c>
      <c r="H683" s="661" t="str">
        <f>IF(G683=0,"",IF(F683="Buy",IF(G683=1,"plant","plants"),IF(F683&gt;0.01,"warranty","Error")))</f>
        <v/>
      </c>
      <c r="I683" s="244">
        <f>IF(H683="free",0,IF(H683="credit",((E683*(F683))*G683*-1),IF(F683="Buy",(E683*G683),((E683*(1-F683))*G683))))</f>
        <v>0</v>
      </c>
      <c r="J683" s="244">
        <f>IF(H683="warranty",0,(I683*(_xlfn.SINGLE(SalesTaxPercentage))))</f>
        <v>0</v>
      </c>
      <c r="K683" s="696">
        <f t="shared" ref="K683" si="495">I683+J683</f>
        <v>0</v>
      </c>
      <c r="L683" s="696"/>
      <c r="M683" s="659" t="str">
        <f>IF(AND(G683&gt;0,E683=0),"WARNING - no PRICE inserted",IF(H683="free"," FREE ~ no charge this plant",IF(H683="credit",CONCATENATE(" -$",ROUND(K683*(1-T2GDiscount)*-1,2)," CREDIT after discount"),IF(T2GDiscount=0,"",IF(G683=0,"",IF(F683="Buy",CONCATENATE(" $",ROUND(K683*(1-T2GDiscount),2)," with ",(T2GDiscount*100),"% discount"),CONCATENATE(" $",ROUND(K683*(1-T2GDiscount),2)," with ",((T2GDiscount*100+F683*100)-(T2GDiscount*100*F683)),IF(F683&gt;0,"% discounts",IF(NoWarrantyDiscount&gt;0,"% discounts","% discount")))))))))</f>
        <v/>
      </c>
      <c r="N683" s="660"/>
      <c r="O683" s="233"/>
      <c r="P683" s="233"/>
      <c r="Q683" s="233"/>
      <c r="R683" s="233"/>
      <c r="S683" s="233"/>
      <c r="T683" s="508">
        <f t="shared" si="463"/>
        <v>0</v>
      </c>
      <c r="U683" s="225">
        <f>IF(NOT(ISNUMBER(G683)), "", VLOOKUP(A683,'Discount Lookup'!D:E,2,FALSE)*G683)</f>
        <v>0</v>
      </c>
      <c r="V683" s="225">
        <f>IF(NOT(ISNUMBER(G683)), "", VLOOKUP(A683,'Discount Lookup'!G:H,2,FALSE)*G683)</f>
        <v>0</v>
      </c>
      <c r="W683" s="508">
        <f t="shared" si="464"/>
        <v>0</v>
      </c>
      <c r="X683" s="508">
        <f t="shared" si="465"/>
        <v>0</v>
      </c>
      <c r="Y683" s="509" t="b">
        <f t="shared" si="466"/>
        <v>0</v>
      </c>
      <c r="Z683" s="510">
        <f t="shared" si="467"/>
        <v>0</v>
      </c>
      <c r="AA683" s="511"/>
      <c r="AB683" s="511" t="str">
        <f t="shared" si="468"/>
        <v/>
      </c>
      <c r="AC683" s="698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698"/>
      <c r="AE683" s="631" t="str">
        <f t="shared" si="469"/>
        <v/>
      </c>
      <c r="AF683" s="699" t="str">
        <f t="shared" si="470"/>
        <v/>
      </c>
      <c r="AG683" s="699"/>
      <c r="AH683" s="699"/>
      <c r="AI683" s="512">
        <f>IF(H683="credit",0,IF(AE683="free",0,IF(AE683="me",0,IF(G683&gt;0,(VLOOKUP(A683,'Discount Lookup'!J:K,2)*G683),0))))</f>
        <v>0</v>
      </c>
      <c r="AJ683" s="513" t="str">
        <f t="shared" ca="1" si="471"/>
        <v/>
      </c>
      <c r="AK683" s="700" t="str">
        <f t="shared" si="472"/>
        <v/>
      </c>
      <c r="AL683" s="700"/>
      <c r="AM683" s="505" t="str">
        <f t="shared" si="473"/>
        <v/>
      </c>
      <c r="AN683" s="506"/>
      <c r="AO683" s="507"/>
      <c r="AP683" s="507"/>
      <c r="AQ683" s="507"/>
      <c r="AR683" s="507"/>
      <c r="AS683" s="507"/>
      <c r="AT683" s="507"/>
      <c r="AU683" s="507"/>
      <c r="AV683" s="225"/>
      <c r="AW683" s="508"/>
      <c r="AX683" s="225"/>
      <c r="AY683" s="225"/>
      <c r="AZ683" s="225"/>
      <c r="BA683" s="225"/>
      <c r="BB683" s="225"/>
      <c r="BC683" s="56"/>
      <c r="BD683" s="56"/>
      <c r="BE683" s="56"/>
      <c r="BF683" s="107" t="str">
        <f t="shared" si="474"/>
        <v>https://www.google.com/search?tbm=isch&amp;q=7%20G4</v>
      </c>
      <c r="BG683" s="107" t="str">
        <f t="shared" si="475"/>
        <v>C</v>
      </c>
      <c r="BH683" s="254"/>
      <c r="BI683" s="254"/>
    </row>
    <row r="684" spans="1:61" customFormat="1" ht="17.25" thickBot="1" x14ac:dyDescent="0.3">
      <c r="A684" s="524" t="s">
        <v>4066</v>
      </c>
      <c r="B684" s="245"/>
      <c r="C684" s="677"/>
      <c r="D684" s="499"/>
      <c r="E684" s="499"/>
      <c r="F684" s="500"/>
      <c r="G684" s="501"/>
      <c r="H684" s="502"/>
      <c r="I684" s="246"/>
      <c r="J684" s="247"/>
      <c r="K684" s="503"/>
      <c r="L684" s="544"/>
      <c r="M684" s="544"/>
      <c r="N684" s="500"/>
      <c r="O684" s="500"/>
      <c r="P684" s="500"/>
      <c r="Q684" s="500"/>
      <c r="R684" s="500"/>
      <c r="S684" s="669" t="s">
        <v>4972</v>
      </c>
      <c r="T684" s="508">
        <f t="shared" si="463"/>
        <v>0</v>
      </c>
      <c r="U684" s="225" t="str">
        <f>IF(NOT(ISNUMBER(G684)), "", VLOOKUP(A684,'Discount Lookup'!D:E,2,FALSE)*G684)</f>
        <v/>
      </c>
      <c r="V684" s="225" t="str">
        <f>IF(NOT(ISNUMBER(G684)), "", VLOOKUP(A684,'Discount Lookup'!G:H,2,FALSE)*G684)</f>
        <v/>
      </c>
      <c r="W684" s="508">
        <f t="shared" si="464"/>
        <v>0</v>
      </c>
      <c r="X684" s="508">
        <f t="shared" si="465"/>
        <v>0</v>
      </c>
      <c r="Y684" s="509" t="b">
        <f t="shared" si="466"/>
        <v>0</v>
      </c>
      <c r="Z684" s="510">
        <f t="shared" si="467"/>
        <v>0</v>
      </c>
      <c r="AA684" s="511"/>
      <c r="AB684" s="511" t="str">
        <f t="shared" si="468"/>
        <v/>
      </c>
      <c r="AC684" s="698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698"/>
      <c r="AE684" s="631" t="str">
        <f t="shared" si="469"/>
        <v/>
      </c>
      <c r="AF684" s="699" t="str">
        <f t="shared" si="470"/>
        <v/>
      </c>
      <c r="AG684" s="699"/>
      <c r="AH684" s="699"/>
      <c r="AI684" s="512">
        <f>IF(H684="credit",0,IF(AE684="free",0,IF(AE684="me",0,IF(G684&gt;0,(VLOOKUP(A684,'Discount Lookup'!J:K,2)*G684),0))))</f>
        <v>0</v>
      </c>
      <c r="AJ684" s="513" t="str">
        <f t="shared" ca="1" si="471"/>
        <v/>
      </c>
      <c r="AK684" s="700" t="str">
        <f t="shared" si="472"/>
        <v/>
      </c>
      <c r="AL684" s="700"/>
      <c r="AM684" s="505" t="str">
        <f t="shared" si="473"/>
        <v/>
      </c>
      <c r="AN684" s="506"/>
      <c r="AO684" s="507"/>
      <c r="AP684" s="507"/>
      <c r="AQ684" s="507"/>
      <c r="AR684" s="507"/>
      <c r="AS684" s="507"/>
      <c r="AT684" s="507"/>
      <c r="AU684" s="507"/>
      <c r="AV684" s="225"/>
      <c r="AW684" s="508"/>
      <c r="AX684" s="225"/>
      <c r="AY684" s="225"/>
      <c r="AZ684" s="225"/>
      <c r="BA684" s="225"/>
      <c r="BB684" s="225"/>
      <c r="BC684" s="56"/>
      <c r="BD684" s="56"/>
      <c r="BE684" s="56"/>
      <c r="BF684" s="107" t="str">
        <f t="shared" si="474"/>
        <v>https://www.google.com/search?tbm=isch&amp;q=Celestial%20known%20for%20prolific%20blooms%20of%20large%2C%20long%20lasting%20flowers.%20Dark%20Green%20foliage%20turns%20Purple-Red%20in%20fall%20</v>
      </c>
      <c r="BG684" s="107" t="str">
        <f t="shared" si="475"/>
        <v>C</v>
      </c>
      <c r="BH684" s="254"/>
      <c r="BI684" s="254"/>
    </row>
    <row r="685" spans="1:61" customFormat="1" ht="18" x14ac:dyDescent="0.25">
      <c r="A685" s="523" t="s">
        <v>5370</v>
      </c>
      <c r="B685" s="235"/>
      <c r="C685" s="676"/>
      <c r="D685" s="255" t="s">
        <v>409</v>
      </c>
      <c r="E685" s="236"/>
      <c r="F685" s="236"/>
      <c r="G685" s="236"/>
      <c r="H685" s="582" t="s">
        <v>316</v>
      </c>
      <c r="I685" s="498" t="s">
        <v>2123</v>
      </c>
      <c r="J685" s="237"/>
      <c r="K685" s="237"/>
      <c r="L685" s="274"/>
      <c r="M685" s="668" t="s">
        <v>4962</v>
      </c>
      <c r="N685" s="681" t="str">
        <f>IF(AND(ISTEXT($A685), ISERROR($A685+0)), HYPERLINK($BF685, "Images"), "")</f>
        <v>Images</v>
      </c>
      <c r="O685" s="663" t="s">
        <v>4969</v>
      </c>
      <c r="P685" s="253"/>
      <c r="Q685" s="238"/>
      <c r="R685" s="239"/>
      <c r="S685" s="275"/>
      <c r="T685" s="508">
        <f t="shared" si="463"/>
        <v>0</v>
      </c>
      <c r="U685" s="225" t="str">
        <f>IF(NOT(ISNUMBER(G685)), "", VLOOKUP(A685,'Discount Lookup'!D:E,2,FALSE)*G685)</f>
        <v/>
      </c>
      <c r="V685" s="225" t="str">
        <f>IF(NOT(ISNUMBER(G685)), "", VLOOKUP(A685,'Discount Lookup'!G:H,2,FALSE)*G685)</f>
        <v/>
      </c>
      <c r="W685" s="508">
        <f t="shared" si="464"/>
        <v>0</v>
      </c>
      <c r="X685" s="508" t="str">
        <f t="shared" si="465"/>
        <v>Coral-Pink bloom</v>
      </c>
      <c r="Y685" s="509" t="b">
        <f t="shared" si="466"/>
        <v>0</v>
      </c>
      <c r="Z685" s="510">
        <f t="shared" si="467"/>
        <v>0</v>
      </c>
      <c r="AA685" s="511"/>
      <c r="AB685" s="511" t="str">
        <f t="shared" si="468"/>
        <v/>
      </c>
      <c r="AC685" s="698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698"/>
      <c r="AE685" s="631" t="str">
        <f t="shared" si="469"/>
        <v/>
      </c>
      <c r="AF685" s="699" t="str">
        <f t="shared" si="470"/>
        <v/>
      </c>
      <c r="AG685" s="699"/>
      <c r="AH685" s="699"/>
      <c r="AI685" s="512">
        <f>IF(H685="credit",0,IF(AE685="free",0,IF(AE685="me",0,IF(G685&gt;0,(VLOOKUP(A685,'Discount Lookup'!J:K,2)*G685),0))))</f>
        <v>0</v>
      </c>
      <c r="AJ685" s="513" t="str">
        <f t="shared" ca="1" si="471"/>
        <v/>
      </c>
      <c r="AK685" s="700" t="str">
        <f t="shared" si="472"/>
        <v/>
      </c>
      <c r="AL685" s="700"/>
      <c r="AM685" s="505" t="str">
        <f t="shared" si="473"/>
        <v/>
      </c>
      <c r="AN685" s="506"/>
      <c r="AO685" s="507"/>
      <c r="AP685" s="507"/>
      <c r="AQ685" s="507"/>
      <c r="AR685" s="507"/>
      <c r="AS685" s="507"/>
      <c r="AT685" s="507"/>
      <c r="AU685" s="507"/>
      <c r="AV685" s="225"/>
      <c r="AW685" s="508"/>
      <c r="AX685" s="225"/>
      <c r="AY685" s="225"/>
      <c r="AZ685" s="225"/>
      <c r="BA685" s="225"/>
      <c r="BB685" s="225"/>
      <c r="BC685" s="56"/>
      <c r="BD685" s="56"/>
      <c r="BE685" s="56"/>
      <c r="BF685" s="107" t="str">
        <f t="shared" si="474"/>
        <v>https://www.google.com/search?tbm=isch&amp;q=Center%20Stage%C2%AE%20Coral%20Crape%20Myrtle%20Lagerstroemia%20%27SMNLIJ%27%20PP%2333292</v>
      </c>
      <c r="BG685" s="107" t="str">
        <f t="shared" si="475"/>
        <v>C</v>
      </c>
      <c r="BH685" s="254"/>
      <c r="BI685" s="254"/>
    </row>
    <row r="686" spans="1:61" customFormat="1" ht="15.75" x14ac:dyDescent="0.25">
      <c r="A686" s="276">
        <v>3</v>
      </c>
      <c r="B686" s="240" t="s">
        <v>291</v>
      </c>
      <c r="C686" s="241" t="s">
        <v>1838</v>
      </c>
      <c r="D686" s="242" t="s">
        <v>299</v>
      </c>
      <c r="E686" s="243">
        <v>40.950000000000003</v>
      </c>
      <c r="F686" s="517" t="s">
        <v>293</v>
      </c>
      <c r="G686" s="232">
        <v>0</v>
      </c>
      <c r="H686" s="661" t="str">
        <f>IF(G686=0,"",IF(F686="Buy",IF(G686=1,"plant","plants"),IF(F686&gt;0.01,"warranty","Error")))</f>
        <v/>
      </c>
      <c r="I686" s="244">
        <f>IF(H686="free",0,IF(H686="credit",((E686*(F686))*G686*-1),IF(F686="Buy",(E686*G686),((E686*(1-F686))*G686))))</f>
        <v>0</v>
      </c>
      <c r="J686" s="244">
        <f>IF(H686="warranty",0,(I686*(_xlfn.SINGLE(SalesTaxPercentage))))</f>
        <v>0</v>
      </c>
      <c r="K686" s="696">
        <f t="shared" ref="K686" si="496">I686+J686</f>
        <v>0</v>
      </c>
      <c r="L686" s="696"/>
      <c r="M686" s="659" t="str">
        <f>IF(AND(G686&gt;0,E686=0),"WARNING - no PRICE inserted",IF(H686="free"," FREE ~ no charge this plant",IF(H686="credit",CONCATENATE(" -$",ROUND(K686*(1-T2GDiscount)*-1,2)," CREDIT after discount"),IF(T2GDiscount=0,"",IF(G686=0,"",IF(F686="Buy",CONCATENATE(" $",ROUND(K686*(1-T2GDiscount),2)," with ",(T2GDiscount*100),"% discount"),CONCATENATE(" $",ROUND(K686*(1-T2GDiscount),2)," with ",((T2GDiscount*100+F686*100)-(T2GDiscount*100*F686)),IF(F686&gt;0,"% discounts",IF(NoWarrantyDiscount&gt;0,"% discounts","% discount")))))))))</f>
        <v/>
      </c>
      <c r="N686" s="660"/>
      <c r="O686" s="233"/>
      <c r="P686" s="233"/>
      <c r="Q686" s="233"/>
      <c r="R686" s="233"/>
      <c r="S686" s="233"/>
      <c r="T686" s="508">
        <f t="shared" si="463"/>
        <v>0</v>
      </c>
      <c r="U686" s="225">
        <f>IF(NOT(ISNUMBER(G686)), "", VLOOKUP(A686,'Discount Lookup'!D:E,2,FALSE)*G686)</f>
        <v>0</v>
      </c>
      <c r="V686" s="225">
        <f>IF(NOT(ISNUMBER(G686)), "", VLOOKUP(A686,'Discount Lookup'!G:H,2,FALSE)*G686)</f>
        <v>0</v>
      </c>
      <c r="W686" s="508">
        <f t="shared" si="464"/>
        <v>0</v>
      </c>
      <c r="X686" s="508">
        <f t="shared" si="465"/>
        <v>0</v>
      </c>
      <c r="Y686" s="509" t="b">
        <f t="shared" si="466"/>
        <v>0</v>
      </c>
      <c r="Z686" s="510">
        <f t="shared" si="467"/>
        <v>0</v>
      </c>
      <c r="AA686" s="511"/>
      <c r="AB686" s="511" t="str">
        <f t="shared" si="468"/>
        <v/>
      </c>
      <c r="AC686" s="698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698"/>
      <c r="AE686" s="631" t="str">
        <f t="shared" si="469"/>
        <v/>
      </c>
      <c r="AF686" s="699" t="str">
        <f t="shared" si="470"/>
        <v/>
      </c>
      <c r="AG686" s="699"/>
      <c r="AH686" s="699"/>
      <c r="AI686" s="512">
        <f>IF(H686="credit",0,IF(AE686="free",0,IF(AE686="me",0,IF(G686&gt;0,(VLOOKUP(A686,'Discount Lookup'!J:K,2)*G686),0))))</f>
        <v>0</v>
      </c>
      <c r="AJ686" s="513" t="str">
        <f t="shared" ca="1" si="471"/>
        <v/>
      </c>
      <c r="AK686" s="700" t="str">
        <f t="shared" si="472"/>
        <v/>
      </c>
      <c r="AL686" s="700"/>
      <c r="AM686" s="505" t="str">
        <f t="shared" si="473"/>
        <v/>
      </c>
      <c r="AN686" s="506"/>
      <c r="AO686" s="507"/>
      <c r="AP686" s="507"/>
      <c r="AQ686" s="507"/>
      <c r="AR686" s="507"/>
      <c r="AS686" s="507"/>
      <c r="AT686" s="507"/>
      <c r="AU686" s="507"/>
      <c r="AV686" s="225"/>
      <c r="AW686" s="508"/>
      <c r="AX686" s="225"/>
      <c r="AY686" s="225"/>
      <c r="AZ686" s="225"/>
      <c r="BA686" s="225"/>
      <c r="BB686" s="225"/>
      <c r="BC686" s="56"/>
      <c r="BD686" s="56"/>
      <c r="BE686" s="56"/>
      <c r="BF686" s="107" t="str">
        <f t="shared" si="474"/>
        <v>https://www.google.com/search?tbm=isch&amp;q=3%20G5</v>
      </c>
      <c r="BG686" s="107" t="str">
        <f t="shared" si="475"/>
        <v>C</v>
      </c>
      <c r="BH686" s="254"/>
      <c r="BI686" s="254"/>
    </row>
    <row r="687" spans="1:61" customFormat="1" ht="15.75" x14ac:dyDescent="0.25">
      <c r="A687" s="276">
        <v>7</v>
      </c>
      <c r="B687" s="240" t="s">
        <v>291</v>
      </c>
      <c r="C687" s="241" t="s">
        <v>2723</v>
      </c>
      <c r="D687" s="242" t="s">
        <v>299</v>
      </c>
      <c r="E687" s="243">
        <v>79.95</v>
      </c>
      <c r="F687" s="517" t="s">
        <v>293</v>
      </c>
      <c r="G687" s="232">
        <v>0</v>
      </c>
      <c r="H687" s="661" t="str">
        <f>IF(G687=0,"",IF(F687="Buy",IF(G687=1,"plant","plants"),IF(F687&gt;0.01,"warranty","Error")))</f>
        <v/>
      </c>
      <c r="I687" s="244">
        <f>IF(H687="free",0,IF(H687="credit",((E687*(F687))*G687*-1),IF(F687="Buy",(E687*G687),((E687*(1-F687))*G687))))</f>
        <v>0</v>
      </c>
      <c r="J687" s="244">
        <f>IF(H687="warranty",0,(I687*(_xlfn.SINGLE(SalesTaxPercentage))))</f>
        <v>0</v>
      </c>
      <c r="K687" s="696">
        <f t="shared" ref="K687" si="497">I687+J687</f>
        <v>0</v>
      </c>
      <c r="L687" s="696"/>
      <c r="M687" s="659" t="str">
        <f>IF(AND(G687&gt;0,E687=0),"WARNING - no PRICE inserted",IF(H687="free"," FREE ~ no charge this plant",IF(H687="credit",CONCATENATE(" -$",ROUND(K687*(1-T2GDiscount)*-1,2)," CREDIT after discount"),IF(T2GDiscount=0,"",IF(G687=0,"",IF(F687="Buy",CONCATENATE(" $",ROUND(K687*(1-T2GDiscount),2)," with ",(T2GDiscount*100),"% discount"),CONCATENATE(" $",ROUND(K687*(1-T2GDiscount),2)," with ",((T2GDiscount*100+F687*100)-(T2GDiscount*100*F687)),IF(F687&gt;0,"% discounts",IF(NoWarrantyDiscount&gt;0,"% discounts","% discount")))))))))</f>
        <v/>
      </c>
      <c r="N687" s="660"/>
      <c r="O687" s="233"/>
      <c r="P687" s="233"/>
      <c r="Q687" s="233"/>
      <c r="R687" s="233"/>
      <c r="S687" s="233"/>
      <c r="T687" s="508">
        <f t="shared" si="463"/>
        <v>0</v>
      </c>
      <c r="U687" s="225">
        <f>IF(NOT(ISNUMBER(G687)), "", VLOOKUP(A687,'Discount Lookup'!D:E,2,FALSE)*G687)</f>
        <v>0</v>
      </c>
      <c r="V687" s="225">
        <f>IF(NOT(ISNUMBER(G687)), "", VLOOKUP(A687,'Discount Lookup'!G:H,2,FALSE)*G687)</f>
        <v>0</v>
      </c>
      <c r="W687" s="508">
        <f t="shared" si="464"/>
        <v>0</v>
      </c>
      <c r="X687" s="508">
        <f t="shared" si="465"/>
        <v>0</v>
      </c>
      <c r="Y687" s="509" t="b">
        <f t="shared" si="466"/>
        <v>0</v>
      </c>
      <c r="Z687" s="510">
        <f t="shared" si="467"/>
        <v>0</v>
      </c>
      <c r="AA687" s="511"/>
      <c r="AB687" s="511" t="str">
        <f t="shared" si="468"/>
        <v/>
      </c>
      <c r="AC687" s="698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698"/>
      <c r="AE687" s="631" t="str">
        <f t="shared" si="469"/>
        <v/>
      </c>
      <c r="AF687" s="699" t="str">
        <f t="shared" si="470"/>
        <v/>
      </c>
      <c r="AG687" s="699"/>
      <c r="AH687" s="699"/>
      <c r="AI687" s="512">
        <f>IF(H687="credit",0,IF(AE687="free",0,IF(AE687="me",0,IF(G687&gt;0,(VLOOKUP(A687,'Discount Lookup'!J:K,2)*G687),0))))</f>
        <v>0</v>
      </c>
      <c r="AJ687" s="513" t="str">
        <f t="shared" ca="1" si="471"/>
        <v/>
      </c>
      <c r="AK687" s="700" t="str">
        <f t="shared" si="472"/>
        <v/>
      </c>
      <c r="AL687" s="700"/>
      <c r="AM687" s="505" t="str">
        <f t="shared" si="473"/>
        <v/>
      </c>
      <c r="AN687" s="506"/>
      <c r="AO687" s="507"/>
      <c r="AP687" s="507"/>
      <c r="AQ687" s="507"/>
      <c r="AR687" s="507"/>
      <c r="AS687" s="507"/>
      <c r="AT687" s="507"/>
      <c r="AU687" s="507"/>
      <c r="AV687" s="225"/>
      <c r="AW687" s="508"/>
      <c r="AX687" s="225"/>
      <c r="AY687" s="225"/>
      <c r="AZ687" s="225"/>
      <c r="BA687" s="225"/>
      <c r="BB687" s="225"/>
      <c r="BC687" s="56"/>
      <c r="BD687" s="56"/>
      <c r="BE687" s="56"/>
      <c r="BF687" s="107" t="str">
        <f t="shared" si="474"/>
        <v>https://www.google.com/search?tbm=isch&amp;q=7%20G5</v>
      </c>
      <c r="BG687" s="107" t="str">
        <f t="shared" si="475"/>
        <v>C</v>
      </c>
      <c r="BH687" s="254"/>
      <c r="BI687" s="254"/>
    </row>
    <row r="688" spans="1:61" customFormat="1" ht="17.25" thickBot="1" x14ac:dyDescent="0.3">
      <c r="A688" s="524" t="s">
        <v>4067</v>
      </c>
      <c r="B688" s="245"/>
      <c r="C688" s="677"/>
      <c r="D688" s="499"/>
      <c r="E688" s="499"/>
      <c r="F688" s="500"/>
      <c r="G688" s="501"/>
      <c r="H688" s="502"/>
      <c r="I688" s="246"/>
      <c r="J688" s="247"/>
      <c r="K688" s="503"/>
      <c r="L688" s="544"/>
      <c r="M688" s="544"/>
      <c r="N688" s="500"/>
      <c r="O688" s="500"/>
      <c r="P688" s="500"/>
      <c r="Q688" s="500"/>
      <c r="R688" s="500"/>
      <c r="S688" s="278"/>
      <c r="T688" s="508">
        <f t="shared" si="463"/>
        <v>0</v>
      </c>
      <c r="U688" s="225" t="str">
        <f>IF(NOT(ISNUMBER(G688)), "", VLOOKUP(A688,'Discount Lookup'!D:E,2,FALSE)*G688)</f>
        <v/>
      </c>
      <c r="V688" s="225" t="str">
        <f>IF(NOT(ISNUMBER(G688)), "", VLOOKUP(A688,'Discount Lookup'!G:H,2,FALSE)*G688)</f>
        <v/>
      </c>
      <c r="W688" s="508">
        <f t="shared" si="464"/>
        <v>0</v>
      </c>
      <c r="X688" s="508">
        <f t="shared" si="465"/>
        <v>0</v>
      </c>
      <c r="Y688" s="509" t="b">
        <f t="shared" si="466"/>
        <v>0</v>
      </c>
      <c r="Z688" s="510">
        <f t="shared" si="467"/>
        <v>0</v>
      </c>
      <c r="AA688" s="511"/>
      <c r="AB688" s="511" t="str">
        <f t="shared" si="468"/>
        <v/>
      </c>
      <c r="AC688" s="698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698"/>
      <c r="AE688" s="631" t="str">
        <f t="shared" si="469"/>
        <v/>
      </c>
      <c r="AF688" s="699" t="str">
        <f t="shared" si="470"/>
        <v/>
      </c>
      <c r="AG688" s="699"/>
      <c r="AH688" s="699"/>
      <c r="AI688" s="512">
        <f>IF(H688="credit",0,IF(AE688="free",0,IF(AE688="me",0,IF(G688&gt;0,(VLOOKUP(A688,'Discount Lookup'!J:K,2)*G688),0))))</f>
        <v>0</v>
      </c>
      <c r="AJ688" s="513" t="str">
        <f t="shared" ca="1" si="471"/>
        <v/>
      </c>
      <c r="AK688" s="700" t="str">
        <f t="shared" si="472"/>
        <v/>
      </c>
      <c r="AL688" s="700"/>
      <c r="AM688" s="505" t="str">
        <f t="shared" si="473"/>
        <v/>
      </c>
      <c r="AN688" s="506"/>
      <c r="AO688" s="507"/>
      <c r="AP688" s="507"/>
      <c r="AQ688" s="507"/>
      <c r="AR688" s="507"/>
      <c r="AS688" s="507"/>
      <c r="AT688" s="507"/>
      <c r="AU688" s="507"/>
      <c r="AV688" s="225"/>
      <c r="AW688" s="508"/>
      <c r="AX688" s="225"/>
      <c r="AY688" s="225"/>
      <c r="AZ688" s="225"/>
      <c r="BA688" s="225"/>
      <c r="BB688" s="225"/>
      <c r="BC688" s="56"/>
      <c r="BD688" s="56"/>
      <c r="BE688" s="56"/>
      <c r="BF688" s="107" t="str">
        <f t="shared" si="474"/>
        <v>https://www.google.com/search?tbm=isch&amp;q=Center%20Stage%20Coral%20is%20quite%20showy%20with%20striking%20dark%2C%20near%20black%20foliage%20contrating%20with%20bright%20flowers%20</v>
      </c>
      <c r="BG688" s="107" t="str">
        <f t="shared" si="475"/>
        <v>C</v>
      </c>
      <c r="BH688" s="254"/>
      <c r="BI688" s="254"/>
    </row>
    <row r="689" spans="1:61" customFormat="1" ht="18" x14ac:dyDescent="0.25">
      <c r="A689" s="521" t="s">
        <v>4278</v>
      </c>
      <c r="B689" s="477"/>
      <c r="C689" s="674"/>
      <c r="D689" s="478" t="s">
        <v>440</v>
      </c>
      <c r="E689" s="479"/>
      <c r="F689" s="479"/>
      <c r="G689" s="479"/>
      <c r="H689" s="582" t="s">
        <v>508</v>
      </c>
      <c r="I689" s="480" t="s">
        <v>2668</v>
      </c>
      <c r="J689" s="479"/>
      <c r="K689" s="479"/>
      <c r="L689" s="560"/>
      <c r="M689" s="666" t="s">
        <v>4966</v>
      </c>
      <c r="N689" s="680" t="str">
        <f>IF(AND(ISTEXT($A689), ISERROR($A689+0)), HYPERLINK($BF689, "Images"), "")</f>
        <v>Images</v>
      </c>
      <c r="O689" s="662" t="s">
        <v>4969</v>
      </c>
      <c r="P689" s="482"/>
      <c r="Q689" s="483"/>
      <c r="R689" s="483"/>
      <c r="S689" s="484"/>
      <c r="T689" s="508">
        <f t="shared" si="463"/>
        <v>0</v>
      </c>
      <c r="U689" s="225" t="str">
        <f>IF(NOT(ISNUMBER(G689)), "", VLOOKUP(A689,'Discount Lookup'!D:E,2,FALSE)*G689)</f>
        <v/>
      </c>
      <c r="V689" s="225" t="str">
        <f>IF(NOT(ISNUMBER(G689)), "", VLOOKUP(A689,'Discount Lookup'!G:H,2,FALSE)*G689)</f>
        <v/>
      </c>
      <c r="W689" s="508">
        <f t="shared" si="464"/>
        <v>0</v>
      </c>
      <c r="X689" s="508" t="str">
        <f t="shared" si="465"/>
        <v>Greenish-Yellow bloom</v>
      </c>
      <c r="Y689" s="509" t="b">
        <f t="shared" si="466"/>
        <v>0</v>
      </c>
      <c r="Z689" s="510">
        <f t="shared" si="467"/>
        <v>0</v>
      </c>
      <c r="AA689" s="511"/>
      <c r="AB689" s="511" t="str">
        <f t="shared" si="468"/>
        <v/>
      </c>
      <c r="AC689" s="698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698"/>
      <c r="AE689" s="631" t="str">
        <f t="shared" si="469"/>
        <v/>
      </c>
      <c r="AF689" s="699" t="str">
        <f t="shared" si="470"/>
        <v/>
      </c>
      <c r="AG689" s="699"/>
      <c r="AH689" s="699"/>
      <c r="AI689" s="512">
        <f>IF(H689="credit",0,IF(AE689="free",0,IF(AE689="me",0,IF(G689&gt;0,(VLOOKUP(A689,'Discount Lookup'!J:K,2)*G689),0))))</f>
        <v>0</v>
      </c>
      <c r="AJ689" s="513" t="str">
        <f t="shared" ca="1" si="471"/>
        <v/>
      </c>
      <c r="AK689" s="700" t="str">
        <f t="shared" si="472"/>
        <v/>
      </c>
      <c r="AL689" s="700"/>
      <c r="AM689" s="505" t="str">
        <f t="shared" si="473"/>
        <v/>
      </c>
      <c r="AN689" s="506"/>
      <c r="AO689" s="507"/>
      <c r="AP689" s="507"/>
      <c r="AQ689" s="507"/>
      <c r="AR689" s="507"/>
      <c r="AS689" s="507"/>
      <c r="AT689" s="507"/>
      <c r="AU689" s="507"/>
      <c r="AV689" s="225"/>
      <c r="AW689" s="508"/>
      <c r="AX689" s="225"/>
      <c r="AY689" s="225"/>
      <c r="AZ689" s="225"/>
      <c r="BA689" s="225"/>
      <c r="BB689" s="225"/>
      <c r="BC689" s="56"/>
      <c r="BD689" s="56"/>
      <c r="BE689" s="56"/>
      <c r="BF689" s="107" t="str">
        <f t="shared" si="474"/>
        <v>https://www.google.com/search?tbm=isch&amp;q=Center%20Stripe%20Agave%20Agave%20lophantha%20%27Splendida%27</v>
      </c>
      <c r="BG689" s="107" t="str">
        <f t="shared" si="475"/>
        <v>C</v>
      </c>
      <c r="BH689" s="254"/>
      <c r="BI689" s="254"/>
    </row>
    <row r="690" spans="1:61" customFormat="1" ht="15.75" x14ac:dyDescent="0.25">
      <c r="A690" s="485">
        <v>3</v>
      </c>
      <c r="B690" s="486" t="s">
        <v>291</v>
      </c>
      <c r="C690" s="487" t="s">
        <v>4388</v>
      </c>
      <c r="D690" s="488" t="s">
        <v>292</v>
      </c>
      <c r="E690" s="489">
        <v>40.950000000000003</v>
      </c>
      <c r="F690" s="516" t="s">
        <v>293</v>
      </c>
      <c r="G690" s="232">
        <v>0</v>
      </c>
      <c r="H690" s="658" t="str">
        <f>IF(G690=0,"",IF(F690="Buy",IF(G690=1,"plant","plants"),IF(F690&gt;0.01,"warranty","Error")))</f>
        <v/>
      </c>
      <c r="I690" s="490">
        <f>IF(H690="free",0,IF(H690="credit",((E690*(F690))*G690*-1),IF(F690="Buy",(E690*G690),((E690*(1-F690))*G690))))</f>
        <v>0</v>
      </c>
      <c r="J690" s="490">
        <f>IF(H690="warranty",0,(I690*(_xlfn.SINGLE(SalesTaxPercentage))))</f>
        <v>0</v>
      </c>
      <c r="K690" s="695">
        <f t="shared" ref="K690" si="498">I690+J690</f>
        <v>0</v>
      </c>
      <c r="L690" s="695"/>
      <c r="M690" s="659" t="str">
        <f>IF(AND(G690&gt;0,E690=0),"WARNING - no PRICE inserted",IF(H690="free"," FREE ~ no charge this plant",IF(H690="credit",CONCATENATE(" -$",ROUND(K690*(1-T2GDiscount)*-1,2)," CREDIT after discount"),IF(T2GDiscount=0,"",IF(G690=0,"",IF(F690="Buy",CONCATENATE(" $",ROUND(K690*(1-T2GDiscount),2)," with ",(T2GDiscount*100),"% discount"),CONCATENATE(" $",ROUND(K690*(1-T2GDiscount),2)," with ",((T2GDiscount*100+F690*100)-(T2GDiscount*100*F690)),IF(F690&gt;0,"% discounts",IF(NoWarrantyDiscount&gt;0,"% discounts","% discount")))))))))</f>
        <v/>
      </c>
      <c r="N690" s="660"/>
      <c r="O690" s="233"/>
      <c r="P690" s="233"/>
      <c r="Q690" s="233"/>
      <c r="R690" s="233"/>
      <c r="S690" s="233"/>
      <c r="T690" s="508">
        <f t="shared" si="463"/>
        <v>0</v>
      </c>
      <c r="U690" s="225">
        <f>IF(NOT(ISNUMBER(G690)), "", VLOOKUP(A690,'Discount Lookup'!D:E,2,FALSE)*G690)</f>
        <v>0</v>
      </c>
      <c r="V690" s="225">
        <f>IF(NOT(ISNUMBER(G690)), "", VLOOKUP(A690,'Discount Lookup'!G:H,2,FALSE)*G690)</f>
        <v>0</v>
      </c>
      <c r="W690" s="508">
        <f t="shared" si="464"/>
        <v>0</v>
      </c>
      <c r="X690" s="508">
        <f t="shared" si="465"/>
        <v>0</v>
      </c>
      <c r="Y690" s="509" t="b">
        <f t="shared" si="466"/>
        <v>0</v>
      </c>
      <c r="Z690" s="510">
        <f t="shared" si="467"/>
        <v>0</v>
      </c>
      <c r="AA690" s="511"/>
      <c r="AB690" s="511" t="str">
        <f t="shared" si="468"/>
        <v/>
      </c>
      <c r="AC690" s="698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698"/>
      <c r="AE690" s="631" t="str">
        <f t="shared" si="469"/>
        <v/>
      </c>
      <c r="AF690" s="699" t="str">
        <f t="shared" si="470"/>
        <v/>
      </c>
      <c r="AG690" s="699"/>
      <c r="AH690" s="699"/>
      <c r="AI690" s="512">
        <f>IF(H690="credit",0,IF(AE690="free",0,IF(AE690="me",0,IF(G690&gt;0,(VLOOKUP(A690,'Discount Lookup'!J:K,2)*G690),0))))</f>
        <v>0</v>
      </c>
      <c r="AJ690" s="513" t="str">
        <f t="shared" ca="1" si="471"/>
        <v/>
      </c>
      <c r="AK690" s="700" t="str">
        <f t="shared" si="472"/>
        <v/>
      </c>
      <c r="AL690" s="700"/>
      <c r="AM690" s="505" t="str">
        <f t="shared" si="473"/>
        <v/>
      </c>
      <c r="AN690" s="506"/>
      <c r="AO690" s="507"/>
      <c r="AP690" s="507"/>
      <c r="AQ690" s="507"/>
      <c r="AR690" s="507"/>
      <c r="AS690" s="507"/>
      <c r="AT690" s="507"/>
      <c r="AU690" s="507"/>
      <c r="AV690" s="225"/>
      <c r="AW690" s="508"/>
      <c r="AX690" s="225"/>
      <c r="AY690" s="225"/>
      <c r="AZ690" s="225"/>
      <c r="BA690" s="225"/>
      <c r="BB690" s="225"/>
      <c r="BC690" s="56"/>
      <c r="BD690" s="56"/>
      <c r="BE690" s="56"/>
      <c r="BF690" s="107" t="str">
        <f t="shared" si="474"/>
        <v>https://www.google.com/search?tbm=isch&amp;q=3%20G4</v>
      </c>
      <c r="BG690" s="107" t="str">
        <f t="shared" si="475"/>
        <v>C</v>
      </c>
      <c r="BH690" s="254"/>
      <c r="BI690" s="254"/>
    </row>
    <row r="691" spans="1:61" customFormat="1" ht="16.5" thickBot="1" x14ac:dyDescent="0.3">
      <c r="A691" s="522" t="s">
        <v>4279</v>
      </c>
      <c r="B691" s="491"/>
      <c r="C691" s="675"/>
      <c r="D691" s="491"/>
      <c r="E691" s="491"/>
      <c r="F691" s="492"/>
      <c r="G691" s="493"/>
      <c r="H691" s="491"/>
      <c r="I691" s="234"/>
      <c r="J691" s="234"/>
      <c r="K691" s="494"/>
      <c r="L691" s="543"/>
      <c r="M691" s="561"/>
      <c r="N691" s="495"/>
      <c r="O691" s="496"/>
      <c r="P691" s="497"/>
      <c r="Q691" s="495"/>
      <c r="R691" s="495"/>
      <c r="S691" s="667" t="s">
        <v>4968</v>
      </c>
      <c r="T691" s="508">
        <f t="shared" si="463"/>
        <v>0</v>
      </c>
      <c r="U691" s="225" t="str">
        <f>IF(NOT(ISNUMBER(G691)), "", VLOOKUP(A691,'Discount Lookup'!D:E,2,FALSE)*G691)</f>
        <v/>
      </c>
      <c r="V691" s="225" t="str">
        <f>IF(NOT(ISNUMBER(G691)), "", VLOOKUP(A691,'Discount Lookup'!G:H,2,FALSE)*G691)</f>
        <v/>
      </c>
      <c r="W691" s="508">
        <f t="shared" si="464"/>
        <v>0</v>
      </c>
      <c r="X691" s="508">
        <f t="shared" si="465"/>
        <v>0</v>
      </c>
      <c r="Y691" s="509" t="b">
        <f t="shared" si="466"/>
        <v>0</v>
      </c>
      <c r="Z691" s="510">
        <f t="shared" si="467"/>
        <v>0</v>
      </c>
      <c r="AA691" s="511"/>
      <c r="AB691" s="511" t="str">
        <f t="shared" si="468"/>
        <v/>
      </c>
      <c r="AC691" s="698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698"/>
      <c r="AE691" s="631" t="str">
        <f t="shared" si="469"/>
        <v/>
      </c>
      <c r="AF691" s="699" t="str">
        <f t="shared" si="470"/>
        <v/>
      </c>
      <c r="AG691" s="699"/>
      <c r="AH691" s="699"/>
      <c r="AI691" s="512">
        <f>IF(H691="credit",0,IF(AE691="free",0,IF(AE691="me",0,IF(G691&gt;0,(VLOOKUP(A691,'Discount Lookup'!J:K,2)*G691),0))))</f>
        <v>0</v>
      </c>
      <c r="AJ691" s="513" t="str">
        <f t="shared" ca="1" si="471"/>
        <v/>
      </c>
      <c r="AK691" s="700" t="str">
        <f t="shared" si="472"/>
        <v/>
      </c>
      <c r="AL691" s="700"/>
      <c r="AM691" s="505" t="str">
        <f t="shared" si="473"/>
        <v/>
      </c>
      <c r="AN691" s="506"/>
      <c r="AO691" s="507"/>
      <c r="AP691" s="507"/>
      <c r="AQ691" s="507"/>
      <c r="AR691" s="507"/>
      <c r="AS691" s="507"/>
      <c r="AT691" s="507"/>
      <c r="AU691" s="507"/>
      <c r="AV691" s="225"/>
      <c r="AW691" s="508"/>
      <c r="AX691" s="225"/>
      <c r="AY691" s="225"/>
      <c r="AZ691" s="225"/>
      <c r="BA691" s="225"/>
      <c r="BB691" s="225"/>
      <c r="BC691" s="56"/>
      <c r="BD691" s="56"/>
      <c r="BE691" s="56"/>
      <c r="BF691" s="107" t="str">
        <f t="shared" si="474"/>
        <v>https://www.google.com/search?tbm=isch&amp;q=Center%20Stripe%20has%20Dark%20Green%20foliage%20and%20a%20bold%20Yellow%20stripe.%20Blooms%20just%20once%20with%20a%2010%27-12%27%20towering%20stalk%20at%20the%20end%20of%20its%20life%20</v>
      </c>
      <c r="BG691" s="107" t="str">
        <f t="shared" si="475"/>
        <v>C</v>
      </c>
      <c r="BH691" s="254"/>
      <c r="BI691" s="254"/>
    </row>
    <row r="692" spans="1:61" customFormat="1" ht="18" x14ac:dyDescent="0.25">
      <c r="A692" s="521" t="s">
        <v>3206</v>
      </c>
      <c r="B692" s="477"/>
      <c r="C692" s="674"/>
      <c r="D692" s="478" t="s">
        <v>3207</v>
      </c>
      <c r="E692" s="479"/>
      <c r="F692" s="479"/>
      <c r="G692" s="479"/>
      <c r="H692" s="582" t="s">
        <v>2625</v>
      </c>
      <c r="I692" s="480" t="s">
        <v>2668</v>
      </c>
      <c r="J692" s="479"/>
      <c r="K692" s="479"/>
      <c r="L692" s="560"/>
      <c r="M692" s="666" t="s">
        <v>4963</v>
      </c>
      <c r="N692" s="680" t="str">
        <f>IF(AND(ISTEXT($A692), ISERROR($A692+0)), HYPERLINK($BF692, "Images"), "")</f>
        <v>Images</v>
      </c>
      <c r="O692" s="662" t="s">
        <v>4969</v>
      </c>
      <c r="P692" s="482"/>
      <c r="Q692" s="483"/>
      <c r="R692" s="483"/>
      <c r="S692" s="484"/>
      <c r="T692" s="508">
        <f t="shared" si="463"/>
        <v>0</v>
      </c>
      <c r="U692" s="225" t="str">
        <f>IF(NOT(ISNUMBER(G692)), "", VLOOKUP(A692,'Discount Lookup'!D:E,2,FALSE)*G692)</f>
        <v/>
      </c>
      <c r="V692" s="225" t="str">
        <f>IF(NOT(ISNUMBER(G692)), "", VLOOKUP(A692,'Discount Lookup'!G:H,2,FALSE)*G692)</f>
        <v/>
      </c>
      <c r="W692" s="508">
        <f t="shared" si="464"/>
        <v>0</v>
      </c>
      <c r="X692" s="508" t="str">
        <f t="shared" si="465"/>
        <v>Greenish-Yellow bloom</v>
      </c>
      <c r="Y692" s="509" t="b">
        <f t="shared" si="466"/>
        <v>0</v>
      </c>
      <c r="Z692" s="510">
        <f t="shared" si="467"/>
        <v>0</v>
      </c>
      <c r="AA692" s="511"/>
      <c r="AB692" s="511" t="str">
        <f t="shared" si="468"/>
        <v/>
      </c>
      <c r="AC692" s="698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698"/>
      <c r="AE692" s="631" t="str">
        <f t="shared" si="469"/>
        <v/>
      </c>
      <c r="AF692" s="699" t="str">
        <f t="shared" si="470"/>
        <v/>
      </c>
      <c r="AG692" s="699"/>
      <c r="AH692" s="699"/>
      <c r="AI692" s="512">
        <f>IF(H692="credit",0,IF(AE692="free",0,IF(AE692="me",0,IF(G692&gt;0,(VLOOKUP(A692,'Discount Lookup'!J:K,2)*G692),0))))</f>
        <v>0</v>
      </c>
      <c r="AJ692" s="513" t="str">
        <f t="shared" ca="1" si="471"/>
        <v/>
      </c>
      <c r="AK692" s="700" t="str">
        <f t="shared" si="472"/>
        <v/>
      </c>
      <c r="AL692" s="700"/>
      <c r="AM692" s="505" t="str">
        <f t="shared" si="473"/>
        <v/>
      </c>
      <c r="AN692" s="506"/>
      <c r="AO692" s="507"/>
      <c r="AP692" s="507"/>
      <c r="AQ692" s="507"/>
      <c r="AR692" s="507"/>
      <c r="AS692" s="507"/>
      <c r="AT692" s="507"/>
      <c r="AU692" s="507"/>
      <c r="AV692" s="225"/>
      <c r="AW692" s="508"/>
      <c r="AX692" s="225"/>
      <c r="AY692" s="225"/>
      <c r="AZ692" s="225"/>
      <c r="BA692" s="225"/>
      <c r="BB692" s="225"/>
      <c r="BC692" s="56"/>
      <c r="BD692" s="56"/>
      <c r="BE692" s="56"/>
      <c r="BF692" s="107" t="str">
        <f t="shared" si="474"/>
        <v>https://www.google.com/search?tbm=isch&amp;q=Century%20Plant%20Agave%20americana</v>
      </c>
      <c r="BG692" s="107" t="str">
        <f t="shared" si="475"/>
        <v>C</v>
      </c>
      <c r="BH692" s="254"/>
      <c r="BI692" s="254"/>
    </row>
    <row r="693" spans="1:61" customFormat="1" ht="15.75" x14ac:dyDescent="0.25">
      <c r="A693" s="485">
        <v>3</v>
      </c>
      <c r="B693" s="486" t="s">
        <v>291</v>
      </c>
      <c r="C693" s="487" t="s">
        <v>4389</v>
      </c>
      <c r="D693" s="488" t="s">
        <v>292</v>
      </c>
      <c r="E693" s="489">
        <v>40.950000000000003</v>
      </c>
      <c r="F693" s="516" t="s">
        <v>293</v>
      </c>
      <c r="G693" s="232">
        <v>0</v>
      </c>
      <c r="H693" s="658" t="str">
        <f>IF(G693=0,"",IF(F693="Buy",IF(G693=1,"plant","plants"),IF(F693&gt;0.01,"warranty","Error")))</f>
        <v/>
      </c>
      <c r="I693" s="490">
        <f>IF(H693="free",0,IF(H693="credit",((E693*(F693))*G693*-1),IF(F693="Buy",(E693*G693),((E693*(1-F693))*G693))))</f>
        <v>0</v>
      </c>
      <c r="J693" s="490">
        <f>IF(H693="warranty",0,(I693*(_xlfn.SINGLE(SalesTaxPercentage))))</f>
        <v>0</v>
      </c>
      <c r="K693" s="695">
        <f t="shared" ref="K693" si="499">I693+J693</f>
        <v>0</v>
      </c>
      <c r="L693" s="695"/>
      <c r="M693" s="659" t="str">
        <f>IF(AND(G693&gt;0,E693=0),"WARNING - no PRICE inserted",IF(H693="free"," FREE ~ no charge this plant",IF(H693="credit",CONCATENATE(" -$",ROUND(K693*(1-T2GDiscount)*-1,2)," CREDIT after discount"),IF(T2GDiscount=0,"",IF(G693=0,"",IF(F693="Buy",CONCATENATE(" $",ROUND(K693*(1-T2GDiscount),2)," with ",(T2GDiscount*100),"% discount"),CONCATENATE(" $",ROUND(K693*(1-T2GDiscount),2)," with ",((T2GDiscount*100+F693*100)-(T2GDiscount*100*F693)),IF(F693&gt;0,"% discounts",IF(NoWarrantyDiscount&gt;0,"% discounts","% discount")))))))))</f>
        <v/>
      </c>
      <c r="N693" s="660"/>
      <c r="O693" s="233"/>
      <c r="P693" s="233"/>
      <c r="Q693" s="233"/>
      <c r="R693" s="233"/>
      <c r="S693" s="233"/>
      <c r="T693" s="508">
        <f t="shared" si="463"/>
        <v>0</v>
      </c>
      <c r="U693" s="225">
        <f>IF(NOT(ISNUMBER(G693)), "", VLOOKUP(A693,'Discount Lookup'!D:E,2,FALSE)*G693)</f>
        <v>0</v>
      </c>
      <c r="V693" s="225">
        <f>IF(NOT(ISNUMBER(G693)), "", VLOOKUP(A693,'Discount Lookup'!G:H,2,FALSE)*G693)</f>
        <v>0</v>
      </c>
      <c r="W693" s="508">
        <f t="shared" si="464"/>
        <v>0</v>
      </c>
      <c r="X693" s="508">
        <f t="shared" si="465"/>
        <v>0</v>
      </c>
      <c r="Y693" s="509" t="b">
        <f t="shared" si="466"/>
        <v>0</v>
      </c>
      <c r="Z693" s="510">
        <f t="shared" si="467"/>
        <v>0</v>
      </c>
      <c r="AA693" s="511"/>
      <c r="AB693" s="511" t="str">
        <f t="shared" si="468"/>
        <v/>
      </c>
      <c r="AC693" s="698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698"/>
      <c r="AE693" s="631" t="str">
        <f t="shared" si="469"/>
        <v/>
      </c>
      <c r="AF693" s="699" t="str">
        <f t="shared" si="470"/>
        <v/>
      </c>
      <c r="AG693" s="699"/>
      <c r="AH693" s="699"/>
      <c r="AI693" s="512">
        <f>IF(H693="credit",0,IF(AE693="free",0,IF(AE693="me",0,IF(G693&gt;0,(VLOOKUP(A693,'Discount Lookup'!J:K,2)*G693),0))))</f>
        <v>0</v>
      </c>
      <c r="AJ693" s="513" t="str">
        <f t="shared" ca="1" si="471"/>
        <v/>
      </c>
      <c r="AK693" s="700" t="str">
        <f t="shared" si="472"/>
        <v/>
      </c>
      <c r="AL693" s="700"/>
      <c r="AM693" s="505" t="str">
        <f t="shared" si="473"/>
        <v/>
      </c>
      <c r="AN693" s="506"/>
      <c r="AO693" s="507"/>
      <c r="AP693" s="507"/>
      <c r="AQ693" s="507"/>
      <c r="AR693" s="507"/>
      <c r="AS693" s="507"/>
      <c r="AT693" s="507"/>
      <c r="AU693" s="507"/>
      <c r="AV693" s="225"/>
      <c r="AW693" s="508"/>
      <c r="AX693" s="225"/>
      <c r="AY693" s="225"/>
      <c r="AZ693" s="225"/>
      <c r="BA693" s="225"/>
      <c r="BB693" s="225"/>
      <c r="BC693" s="56"/>
      <c r="BD693" s="56"/>
      <c r="BE693" s="56"/>
      <c r="BF693" s="107" t="str">
        <f t="shared" si="474"/>
        <v>https://www.google.com/search?tbm=isch&amp;q=3%20G4</v>
      </c>
      <c r="BG693" s="107" t="str">
        <f t="shared" si="475"/>
        <v>C</v>
      </c>
      <c r="BH693" s="254"/>
      <c r="BI693" s="254"/>
    </row>
    <row r="694" spans="1:61" customFormat="1" ht="16.5" thickBot="1" x14ac:dyDescent="0.3">
      <c r="A694" s="522" t="s">
        <v>4280</v>
      </c>
      <c r="B694" s="491"/>
      <c r="C694" s="675"/>
      <c r="D694" s="491"/>
      <c r="E694" s="491"/>
      <c r="F694" s="492"/>
      <c r="G694" s="493"/>
      <c r="H694" s="491"/>
      <c r="I694" s="234"/>
      <c r="J694" s="234"/>
      <c r="K694" s="494"/>
      <c r="L694" s="543"/>
      <c r="M694" s="561"/>
      <c r="N694" s="495"/>
      <c r="O694" s="496"/>
      <c r="P694" s="497"/>
      <c r="Q694" s="495"/>
      <c r="R694" s="495"/>
      <c r="S694" s="667" t="s">
        <v>4968</v>
      </c>
      <c r="T694" s="508">
        <f t="shared" si="463"/>
        <v>0</v>
      </c>
      <c r="U694" s="225" t="str">
        <f>IF(NOT(ISNUMBER(G694)), "", VLOOKUP(A694,'Discount Lookup'!D:E,2,FALSE)*G694)</f>
        <v/>
      </c>
      <c r="V694" s="225" t="str">
        <f>IF(NOT(ISNUMBER(G694)), "", VLOOKUP(A694,'Discount Lookup'!G:H,2,FALSE)*G694)</f>
        <v/>
      </c>
      <c r="W694" s="508">
        <f t="shared" si="464"/>
        <v>0</v>
      </c>
      <c r="X694" s="508">
        <f t="shared" si="465"/>
        <v>0</v>
      </c>
      <c r="Y694" s="509" t="b">
        <f t="shared" si="466"/>
        <v>0</v>
      </c>
      <c r="Z694" s="510">
        <f t="shared" si="467"/>
        <v>0</v>
      </c>
      <c r="AA694" s="511"/>
      <c r="AB694" s="511" t="str">
        <f t="shared" si="468"/>
        <v/>
      </c>
      <c r="AC694" s="698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698"/>
      <c r="AE694" s="631" t="str">
        <f t="shared" si="469"/>
        <v/>
      </c>
      <c r="AF694" s="699" t="str">
        <f t="shared" si="470"/>
        <v/>
      </c>
      <c r="AG694" s="699"/>
      <c r="AH694" s="699"/>
      <c r="AI694" s="512">
        <f>IF(H694="credit",0,IF(AE694="free",0,IF(AE694="me",0,IF(G694&gt;0,(VLOOKUP(A694,'Discount Lookup'!J:K,2)*G694),0))))</f>
        <v>0</v>
      </c>
      <c r="AJ694" s="513" t="str">
        <f t="shared" ca="1" si="471"/>
        <v/>
      </c>
      <c r="AK694" s="700" t="str">
        <f t="shared" si="472"/>
        <v/>
      </c>
      <c r="AL694" s="700"/>
      <c r="AM694" s="505" t="str">
        <f t="shared" si="473"/>
        <v/>
      </c>
      <c r="AN694" s="506"/>
      <c r="AO694" s="507"/>
      <c r="AP694" s="507"/>
      <c r="AQ694" s="507"/>
      <c r="AR694" s="507"/>
      <c r="AS694" s="507"/>
      <c r="AT694" s="507"/>
      <c r="AU694" s="507"/>
      <c r="AV694" s="225"/>
      <c r="AW694" s="508"/>
      <c r="AX694" s="225"/>
      <c r="AY694" s="225"/>
      <c r="AZ694" s="225"/>
      <c r="BA694" s="225"/>
      <c r="BB694" s="225"/>
      <c r="BC694" s="56"/>
      <c r="BD694" s="56"/>
      <c r="BE694" s="56"/>
      <c r="BF694" s="107" t="str">
        <f t="shared" si="474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694" s="107" t="str">
        <f t="shared" si="475"/>
        <v>C</v>
      </c>
      <c r="BH694" s="254"/>
      <c r="BI694" s="254"/>
    </row>
    <row r="695" spans="1:61" customFormat="1" ht="18" x14ac:dyDescent="0.25">
      <c r="A695" s="521" t="s">
        <v>500</v>
      </c>
      <c r="B695" s="477"/>
      <c r="C695" s="674"/>
      <c r="D695" s="478" t="s">
        <v>499</v>
      </c>
      <c r="E695" s="479"/>
      <c r="F695" s="479"/>
      <c r="G695" s="479"/>
      <c r="H695" s="582" t="s">
        <v>441</v>
      </c>
      <c r="I695" s="480" t="s">
        <v>2669</v>
      </c>
      <c r="J695" s="479"/>
      <c r="K695" s="479"/>
      <c r="L695" s="560"/>
      <c r="M695" s="666" t="s">
        <v>4966</v>
      </c>
      <c r="N695" s="680" t="str">
        <f>IF(AND(ISTEXT($A695), ISERROR($A695+0)), HYPERLINK($BF695, "Images"), "")</f>
        <v>Images</v>
      </c>
      <c r="O695" s="662" t="s">
        <v>4967</v>
      </c>
      <c r="P695" s="482"/>
      <c r="Q695" s="483"/>
      <c r="R695" s="483"/>
      <c r="S695" s="484"/>
      <c r="T695" s="508">
        <f t="shared" si="463"/>
        <v>0</v>
      </c>
      <c r="U695" s="225" t="str">
        <f>IF(NOT(ISNUMBER(G695)), "", VLOOKUP(A695,'Discount Lookup'!D:E,2,FALSE)*G695)</f>
        <v/>
      </c>
      <c r="V695" s="225" t="str">
        <f>IF(NOT(ISNUMBER(G695)), "", VLOOKUP(A695,'Discount Lookup'!G:H,2,FALSE)*G695)</f>
        <v/>
      </c>
      <c r="W695" s="508">
        <f t="shared" si="464"/>
        <v>0</v>
      </c>
      <c r="X695" s="508" t="str">
        <f t="shared" si="465"/>
        <v>Pinkish-Red bloom</v>
      </c>
      <c r="Y695" s="509" t="b">
        <f t="shared" si="466"/>
        <v>0</v>
      </c>
      <c r="Z695" s="510">
        <f t="shared" si="467"/>
        <v>0</v>
      </c>
      <c r="AA695" s="511"/>
      <c r="AB695" s="511" t="str">
        <f t="shared" si="468"/>
        <v/>
      </c>
      <c r="AC695" s="698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698"/>
      <c r="AE695" s="631" t="str">
        <f t="shared" si="469"/>
        <v/>
      </c>
      <c r="AF695" s="699" t="str">
        <f t="shared" si="470"/>
        <v/>
      </c>
      <c r="AG695" s="699"/>
      <c r="AH695" s="699"/>
      <c r="AI695" s="512">
        <f>IF(H695="credit",0,IF(AE695="free",0,IF(AE695="me",0,IF(G695&gt;0,(VLOOKUP(A695,'Discount Lookup'!J:K,2)*G695),0))))</f>
        <v>0</v>
      </c>
      <c r="AJ695" s="513" t="str">
        <f t="shared" ca="1" si="471"/>
        <v/>
      </c>
      <c r="AK695" s="700" t="str">
        <f t="shared" si="472"/>
        <v/>
      </c>
      <c r="AL695" s="700"/>
      <c r="AM695" s="505" t="str">
        <f t="shared" si="473"/>
        <v/>
      </c>
      <c r="AN695" s="506"/>
      <c r="AO695" s="507"/>
      <c r="AP695" s="507"/>
      <c r="AQ695" s="507"/>
      <c r="AR695" s="507"/>
      <c r="AS695" s="507"/>
      <c r="AT695" s="507"/>
      <c r="AU695" s="507"/>
      <c r="AV695" s="225"/>
      <c r="AW695" s="508"/>
      <c r="AX695" s="225"/>
      <c r="AY695" s="225"/>
      <c r="AZ695" s="225"/>
      <c r="BA695" s="225"/>
      <c r="BB695" s="225"/>
      <c r="BC695" s="56"/>
      <c r="BD695" s="56"/>
      <c r="BE695" s="56"/>
      <c r="BF695" s="107" t="str">
        <f t="shared" si="474"/>
        <v>https://www.google.com/search?tbm=isch&amp;q=Cerise%20Charm%20Loropetalum%20Loropetalum%20chin.%20var.%20r.%20%27Kurobijin%27%20PP%2323176</v>
      </c>
      <c r="BG695" s="107" t="str">
        <f t="shared" si="475"/>
        <v>C</v>
      </c>
      <c r="BH695" s="254"/>
      <c r="BI695" s="254"/>
    </row>
    <row r="696" spans="1:61" customFormat="1" ht="15.75" x14ac:dyDescent="0.25">
      <c r="A696" s="485">
        <v>3</v>
      </c>
      <c r="B696" s="486" t="s">
        <v>291</v>
      </c>
      <c r="C696" s="487" t="s">
        <v>4604</v>
      </c>
      <c r="D696" s="488" t="s">
        <v>297</v>
      </c>
      <c r="E696" s="489">
        <v>33.950000000000003</v>
      </c>
      <c r="F696" s="516" t="s">
        <v>293</v>
      </c>
      <c r="G696" s="232">
        <v>0</v>
      </c>
      <c r="H696" s="658" t="str">
        <f>IF(G696=0,"",IF(F696="Buy",IF(G696=1,"plant","plants"),IF(F696&gt;0.01,"warranty","Error")))</f>
        <v/>
      </c>
      <c r="I696" s="490">
        <f>IF(H696="free",0,IF(H696="credit",((E696*(F696))*G696*-1),IF(F696="Buy",(E696*G696),((E696*(1-F696))*G696))))</f>
        <v>0</v>
      </c>
      <c r="J696" s="490">
        <f>IF(H696="warranty",0,(I696*(_xlfn.SINGLE(SalesTaxPercentage))))</f>
        <v>0</v>
      </c>
      <c r="K696" s="695">
        <f t="shared" ref="K696" si="500">I696+J696</f>
        <v>0</v>
      </c>
      <c r="L696" s="695"/>
      <c r="M696" s="659" t="str">
        <f>IF(AND(G696&gt;0,E696=0),"WARNING - no PRICE inserted",IF(H696="free"," FREE ~ no charge this plant",IF(H696="credit",CONCATENATE(" -$",ROUND(K696*(1-T2GDiscount)*-1,2)," CREDIT after discount"),IF(T2GDiscount=0,"",IF(G696=0,"",IF(F696="Buy",CONCATENATE(" $",ROUND(K696*(1-T2GDiscount),2)," with ",(T2GDiscount*100),"% discount"),CONCATENATE(" $",ROUND(K696*(1-T2GDiscount),2)," with ",((T2GDiscount*100+F696*100)-(T2GDiscount*100*F696)),IF(F696&gt;0,"% discounts",IF(NoWarrantyDiscount&gt;0,"% discounts","% discount")))))))))</f>
        <v/>
      </c>
      <c r="N696" s="660"/>
      <c r="O696" s="233"/>
      <c r="P696" s="233"/>
      <c r="Q696" s="233"/>
      <c r="R696" s="233"/>
      <c r="S696" s="233"/>
      <c r="T696" s="508">
        <f t="shared" si="463"/>
        <v>0</v>
      </c>
      <c r="U696" s="225">
        <f>IF(NOT(ISNUMBER(G696)), "", VLOOKUP(A696,'Discount Lookup'!D:E,2,FALSE)*G696)</f>
        <v>0</v>
      </c>
      <c r="V696" s="225">
        <f>IF(NOT(ISNUMBER(G696)), "", VLOOKUP(A696,'Discount Lookup'!G:H,2,FALSE)*G696)</f>
        <v>0</v>
      </c>
      <c r="W696" s="508">
        <f t="shared" si="464"/>
        <v>0</v>
      </c>
      <c r="X696" s="508">
        <f t="shared" si="465"/>
        <v>0</v>
      </c>
      <c r="Y696" s="509" t="b">
        <f t="shared" si="466"/>
        <v>0</v>
      </c>
      <c r="Z696" s="510">
        <f t="shared" si="467"/>
        <v>0</v>
      </c>
      <c r="AA696" s="511"/>
      <c r="AB696" s="511" t="str">
        <f t="shared" si="468"/>
        <v/>
      </c>
      <c r="AC696" s="698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698"/>
      <c r="AE696" s="631" t="str">
        <f t="shared" si="469"/>
        <v/>
      </c>
      <c r="AF696" s="699" t="str">
        <f t="shared" si="470"/>
        <v/>
      </c>
      <c r="AG696" s="699"/>
      <c r="AH696" s="699"/>
      <c r="AI696" s="512">
        <f>IF(H696="credit",0,IF(AE696="free",0,IF(AE696="me",0,IF(G696&gt;0,(VLOOKUP(A696,'Discount Lookup'!J:K,2)*G696),0))))</f>
        <v>0</v>
      </c>
      <c r="AJ696" s="513" t="str">
        <f t="shared" ca="1" si="471"/>
        <v/>
      </c>
      <c r="AK696" s="700" t="str">
        <f t="shared" si="472"/>
        <v/>
      </c>
      <c r="AL696" s="700"/>
      <c r="AM696" s="505" t="str">
        <f t="shared" si="473"/>
        <v/>
      </c>
      <c r="AN696" s="506"/>
      <c r="AO696" s="507"/>
      <c r="AP696" s="507"/>
      <c r="AQ696" s="507"/>
      <c r="AR696" s="507"/>
      <c r="AS696" s="507"/>
      <c r="AT696" s="507"/>
      <c r="AU696" s="507"/>
      <c r="AV696" s="225"/>
      <c r="AW696" s="508"/>
      <c r="AX696" s="225"/>
      <c r="AY696" s="225"/>
      <c r="AZ696" s="225"/>
      <c r="BA696" s="225"/>
      <c r="BB696" s="225"/>
      <c r="BC696" s="56"/>
      <c r="BD696" s="56"/>
      <c r="BE696" s="56"/>
      <c r="BF696" s="107" t="str">
        <f t="shared" si="474"/>
        <v>https://www.google.com/search?tbm=isch&amp;q=3%20G3</v>
      </c>
      <c r="BG696" s="107" t="str">
        <f t="shared" si="475"/>
        <v>C</v>
      </c>
      <c r="BH696" s="254"/>
      <c r="BI696" s="254"/>
    </row>
    <row r="697" spans="1:61" customFormat="1" ht="15.75" x14ac:dyDescent="0.25">
      <c r="A697" s="485">
        <v>3</v>
      </c>
      <c r="B697" s="486" t="s">
        <v>291</v>
      </c>
      <c r="C697" s="487" t="s">
        <v>4509</v>
      </c>
      <c r="D697" s="488" t="s">
        <v>312</v>
      </c>
      <c r="E697" s="489">
        <v>38.950000000000003</v>
      </c>
      <c r="F697" s="516" t="s">
        <v>293</v>
      </c>
      <c r="G697" s="232">
        <v>0</v>
      </c>
      <c r="H697" s="658" t="str">
        <f>IF(G697=0,"",IF(F697="Buy",IF(G697=1,"plant","plants"),IF(F697&gt;0.01,"warranty","Error")))</f>
        <v/>
      </c>
      <c r="I697" s="490">
        <f>IF(H697="free",0,IF(H697="credit",((E697*(F697))*G697*-1),IF(F697="Buy",(E697*G697),((E697*(1-F697))*G697))))</f>
        <v>0</v>
      </c>
      <c r="J697" s="490">
        <f>IF(H697="warranty",0,(I697*(_xlfn.SINGLE(SalesTaxPercentage))))</f>
        <v>0</v>
      </c>
      <c r="K697" s="695">
        <f t="shared" ref="K697" si="501">I697+J697</f>
        <v>0</v>
      </c>
      <c r="L697" s="695"/>
      <c r="M697" s="659" t="str">
        <f>IF(AND(G697&gt;0,E697=0),"WARNING - no PRICE inserted",IF(H697="free"," FREE ~ no charge this plant",IF(H697="credit",CONCATENATE(" -$",ROUND(K697*(1-T2GDiscount)*-1,2)," CREDIT after discount"),IF(T2GDiscount=0,"",IF(G697=0,"",IF(F697="Buy",CONCATENATE(" $",ROUND(K697*(1-T2GDiscount),2)," with ",(T2GDiscount*100),"% discount"),CONCATENATE(" $",ROUND(K697*(1-T2GDiscount),2)," with ",((T2GDiscount*100+F697*100)-(T2GDiscount*100*F697)),IF(F697&gt;0,"% discounts",IF(NoWarrantyDiscount&gt;0,"% discounts","% discount")))))))))</f>
        <v/>
      </c>
      <c r="N697" s="660"/>
      <c r="O697" s="233"/>
      <c r="P697" s="233"/>
      <c r="Q697" s="233"/>
      <c r="R697" s="233"/>
      <c r="S697" s="233"/>
      <c r="T697" s="508">
        <f t="shared" si="463"/>
        <v>0</v>
      </c>
      <c r="U697" s="225">
        <f>IF(NOT(ISNUMBER(G697)), "", VLOOKUP(A697,'Discount Lookup'!D:E,2,FALSE)*G697)</f>
        <v>0</v>
      </c>
      <c r="V697" s="225">
        <f>IF(NOT(ISNUMBER(G697)), "", VLOOKUP(A697,'Discount Lookup'!G:H,2,FALSE)*G697)</f>
        <v>0</v>
      </c>
      <c r="W697" s="508">
        <f t="shared" si="464"/>
        <v>0</v>
      </c>
      <c r="X697" s="508">
        <f t="shared" si="465"/>
        <v>0</v>
      </c>
      <c r="Y697" s="509" t="b">
        <f t="shared" si="466"/>
        <v>0</v>
      </c>
      <c r="Z697" s="510">
        <f t="shared" si="467"/>
        <v>0</v>
      </c>
      <c r="AA697" s="511"/>
      <c r="AB697" s="511" t="str">
        <f t="shared" si="468"/>
        <v/>
      </c>
      <c r="AC697" s="698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698"/>
      <c r="AE697" s="631" t="str">
        <f t="shared" si="469"/>
        <v/>
      </c>
      <c r="AF697" s="699" t="str">
        <f t="shared" si="470"/>
        <v/>
      </c>
      <c r="AG697" s="699"/>
      <c r="AH697" s="699"/>
      <c r="AI697" s="512">
        <f>IF(H697="credit",0,IF(AE697="free",0,IF(AE697="me",0,IF(G697&gt;0,(VLOOKUP(A697,'Discount Lookup'!J:K,2)*G697),0))))</f>
        <v>0</v>
      </c>
      <c r="AJ697" s="513" t="str">
        <f t="shared" ca="1" si="471"/>
        <v/>
      </c>
      <c r="AK697" s="700" t="str">
        <f t="shared" si="472"/>
        <v/>
      </c>
      <c r="AL697" s="700"/>
      <c r="AM697" s="505" t="str">
        <f t="shared" si="473"/>
        <v/>
      </c>
      <c r="AN697" s="506"/>
      <c r="AO697" s="507"/>
      <c r="AP697" s="507"/>
      <c r="AQ697" s="507"/>
      <c r="AR697" s="507"/>
      <c r="AS697" s="507"/>
      <c r="AT697" s="507"/>
      <c r="AU697" s="507"/>
      <c r="AV697" s="225"/>
      <c r="AW697" s="508"/>
      <c r="AX697" s="225"/>
      <c r="AY697" s="225"/>
      <c r="AZ697" s="225"/>
      <c r="BA697" s="225"/>
      <c r="BB697" s="225"/>
      <c r="BC697" s="56"/>
      <c r="BD697" s="56"/>
      <c r="BE697" s="56"/>
      <c r="BF697" s="107" t="str">
        <f t="shared" si="474"/>
        <v>https://www.google.com/search?tbm=isch&amp;q=3%20G2</v>
      </c>
      <c r="BG697" s="107" t="str">
        <f t="shared" si="475"/>
        <v>C</v>
      </c>
      <c r="BH697" s="254"/>
      <c r="BI697" s="254"/>
    </row>
    <row r="698" spans="1:61" customFormat="1" ht="16.5" thickBot="1" x14ac:dyDescent="0.3">
      <c r="A698" s="522" t="s">
        <v>2925</v>
      </c>
      <c r="B698" s="491"/>
      <c r="C698" s="675"/>
      <c r="D698" s="491"/>
      <c r="E698" s="491"/>
      <c r="F698" s="492"/>
      <c r="G698" s="493"/>
      <c r="H698" s="491"/>
      <c r="I698" s="234"/>
      <c r="J698" s="234"/>
      <c r="K698" s="494"/>
      <c r="L698" s="543"/>
      <c r="M698" s="561"/>
      <c r="N698" s="495"/>
      <c r="O698" s="496"/>
      <c r="P698" s="497"/>
      <c r="Q698" s="495"/>
      <c r="R698" s="495"/>
      <c r="S698" s="277"/>
      <c r="T698" s="508">
        <f t="shared" si="463"/>
        <v>0</v>
      </c>
      <c r="U698" s="225" t="str">
        <f>IF(NOT(ISNUMBER(G698)), "", VLOOKUP(A698,'Discount Lookup'!D:E,2,FALSE)*G698)</f>
        <v/>
      </c>
      <c r="V698" s="225" t="str">
        <f>IF(NOT(ISNUMBER(G698)), "", VLOOKUP(A698,'Discount Lookup'!G:H,2,FALSE)*G698)</f>
        <v/>
      </c>
      <c r="W698" s="508">
        <f t="shared" si="464"/>
        <v>0</v>
      </c>
      <c r="X698" s="508">
        <f t="shared" si="465"/>
        <v>0</v>
      </c>
      <c r="Y698" s="509" t="b">
        <f t="shared" si="466"/>
        <v>0</v>
      </c>
      <c r="Z698" s="510">
        <f t="shared" si="467"/>
        <v>0</v>
      </c>
      <c r="AA698" s="511"/>
      <c r="AB698" s="511" t="str">
        <f t="shared" si="468"/>
        <v/>
      </c>
      <c r="AC698" s="698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698"/>
      <c r="AE698" s="631" t="str">
        <f t="shared" si="469"/>
        <v/>
      </c>
      <c r="AF698" s="699" t="str">
        <f t="shared" si="470"/>
        <v/>
      </c>
      <c r="AG698" s="699"/>
      <c r="AH698" s="699"/>
      <c r="AI698" s="512">
        <f>IF(H698="credit",0,IF(AE698="free",0,IF(AE698="me",0,IF(G698&gt;0,(VLOOKUP(A698,'Discount Lookup'!J:K,2)*G698),0))))</f>
        <v>0</v>
      </c>
      <c r="AJ698" s="513" t="str">
        <f t="shared" ca="1" si="471"/>
        <v/>
      </c>
      <c r="AK698" s="700" t="str">
        <f t="shared" si="472"/>
        <v/>
      </c>
      <c r="AL698" s="700"/>
      <c r="AM698" s="505" t="str">
        <f t="shared" si="473"/>
        <v/>
      </c>
      <c r="AN698" s="506"/>
      <c r="AO698" s="507"/>
      <c r="AP698" s="507"/>
      <c r="AQ698" s="507"/>
      <c r="AR698" s="507"/>
      <c r="AS698" s="507"/>
      <c r="AT698" s="507"/>
      <c r="AU698" s="507"/>
      <c r="AV698" s="225"/>
      <c r="AW698" s="508"/>
      <c r="AX698" s="225"/>
      <c r="AY698" s="225"/>
      <c r="AZ698" s="225"/>
      <c r="BA698" s="225"/>
      <c r="BB698" s="225"/>
      <c r="BC698" s="56"/>
      <c r="BD698" s="56"/>
      <c r="BE698" s="56"/>
      <c r="BF698" s="107" t="str">
        <f t="shared" si="474"/>
        <v>https://www.google.com/search?tbm=isch&amp;q=Cerise%20Charm%20has%20Deep%20Plum-colored%20foliage.%20Fringe-like%20flowers%20bloom%20periodically%20after%20spring%20</v>
      </c>
      <c r="BG698" s="107" t="str">
        <f t="shared" si="475"/>
        <v>C</v>
      </c>
      <c r="BH698" s="254"/>
      <c r="BI698" s="254"/>
    </row>
    <row r="699" spans="1:61" customFormat="1" ht="18" x14ac:dyDescent="0.25">
      <c r="A699" s="521" t="s">
        <v>3175</v>
      </c>
      <c r="B699" s="477"/>
      <c r="C699" s="674"/>
      <c r="D699" s="478" t="s">
        <v>3176</v>
      </c>
      <c r="E699" s="479"/>
      <c r="F699" s="479"/>
      <c r="G699" s="479"/>
      <c r="H699" s="582" t="s">
        <v>1858</v>
      </c>
      <c r="I699" s="480" t="s">
        <v>3177</v>
      </c>
      <c r="J699" s="479"/>
      <c r="K699" s="479"/>
      <c r="L699" s="560"/>
      <c r="M699" s="666" t="s">
        <v>4966</v>
      </c>
      <c r="N699" s="680" t="str">
        <f>IF(AND(ISTEXT($A699), ISERROR($A699+0)), HYPERLINK($BF699, "Images"), "")</f>
        <v>Images</v>
      </c>
      <c r="O699" s="662" t="s">
        <v>4974</v>
      </c>
      <c r="P699" s="482"/>
      <c r="Q699" s="483"/>
      <c r="R699" s="483"/>
      <c r="S699" s="484"/>
      <c r="T699" s="508">
        <f t="shared" si="463"/>
        <v>0</v>
      </c>
      <c r="U699" s="225" t="str">
        <f>IF(NOT(ISNUMBER(G699)), "", VLOOKUP(A699,'Discount Lookup'!D:E,2,FALSE)*G699)</f>
        <v/>
      </c>
      <c r="V699" s="225" t="str">
        <f>IF(NOT(ISNUMBER(G699)), "", VLOOKUP(A699,'Discount Lookup'!G:H,2,FALSE)*G699)</f>
        <v/>
      </c>
      <c r="W699" s="508">
        <f t="shared" si="464"/>
        <v>0</v>
      </c>
      <c r="X699" s="508" t="str">
        <f t="shared" si="465"/>
        <v>Pink buds open to White</v>
      </c>
      <c r="Y699" s="509" t="b">
        <f t="shared" si="466"/>
        <v>0</v>
      </c>
      <c r="Z699" s="510">
        <f t="shared" si="467"/>
        <v>0</v>
      </c>
      <c r="AA699" s="511"/>
      <c r="AB699" s="511" t="str">
        <f t="shared" si="468"/>
        <v/>
      </c>
      <c r="AC699" s="698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698"/>
      <c r="AE699" s="631" t="str">
        <f t="shared" si="469"/>
        <v/>
      </c>
      <c r="AF699" s="699" t="str">
        <f t="shared" si="470"/>
        <v/>
      </c>
      <c r="AG699" s="699"/>
      <c r="AH699" s="699"/>
      <c r="AI699" s="512">
        <f>IF(H699="credit",0,IF(AE699="free",0,IF(AE699="me",0,IF(G699&gt;0,(VLOOKUP(A699,'Discount Lookup'!J:K,2)*G699),0))))</f>
        <v>0</v>
      </c>
      <c r="AJ699" s="513" t="str">
        <f t="shared" ca="1" si="471"/>
        <v/>
      </c>
      <c r="AK699" s="700" t="str">
        <f t="shared" si="472"/>
        <v/>
      </c>
      <c r="AL699" s="700"/>
      <c r="AM699" s="505" t="str">
        <f t="shared" si="473"/>
        <v/>
      </c>
      <c r="AN699" s="506"/>
      <c r="AO699" s="507"/>
      <c r="AP699" s="507"/>
      <c r="AQ699" s="507"/>
      <c r="AR699" s="507"/>
      <c r="AS699" s="507"/>
      <c r="AT699" s="507"/>
      <c r="AU699" s="507"/>
      <c r="AV699" s="225"/>
      <c r="AW699" s="508"/>
      <c r="AX699" s="225"/>
      <c r="AY699" s="225"/>
      <c r="AZ699" s="225"/>
      <c r="BA699" s="225"/>
      <c r="BB699" s="225"/>
      <c r="BC699" s="56"/>
      <c r="BD699" s="56"/>
      <c r="BE699" s="56"/>
      <c r="BF699" s="107" t="str">
        <f t="shared" si="474"/>
        <v>https://www.google.com/search?tbm=isch&amp;q=Charles%20Loomis%27%20Rhododendron%20Rhod.%20%27Charles%20Loomis%27</v>
      </c>
      <c r="BG699" s="107" t="str">
        <f t="shared" si="475"/>
        <v>C</v>
      </c>
      <c r="BH699" s="254"/>
      <c r="BI699" s="254"/>
    </row>
    <row r="700" spans="1:61" customFormat="1" ht="15.75" x14ac:dyDescent="0.25">
      <c r="A700" s="485">
        <v>7</v>
      </c>
      <c r="B700" s="486" t="s">
        <v>291</v>
      </c>
      <c r="C700" s="487" t="s">
        <v>3178</v>
      </c>
      <c r="D700" s="488" t="s">
        <v>300</v>
      </c>
      <c r="E700" s="489">
        <v>158.94999999999999</v>
      </c>
      <c r="F700" s="516" t="s">
        <v>293</v>
      </c>
      <c r="G700" s="232">
        <v>0</v>
      </c>
      <c r="H700" s="658" t="str">
        <f>IF(G700=0,"",IF(F700="Buy",IF(G700=1,"plant","plants"),IF(F700&gt;0.01,"warranty","Error")))</f>
        <v/>
      </c>
      <c r="I700" s="490">
        <f>IF(H700="free",0,IF(H700="credit",((E700*(F700))*G700*-1),IF(F700="Buy",(E700*G700),((E700*(1-F700))*G700))))</f>
        <v>0</v>
      </c>
      <c r="J700" s="490">
        <f>IF(H700="warranty",0,(I700*(_xlfn.SINGLE(SalesTaxPercentage))))</f>
        <v>0</v>
      </c>
      <c r="K700" s="695">
        <f t="shared" ref="K700" si="502">I700+J700</f>
        <v>0</v>
      </c>
      <c r="L700" s="695"/>
      <c r="M700" s="659" t="str">
        <f>IF(AND(G700&gt;0,E700=0),"WARNING - no PRICE inserted",IF(H700="free"," FREE ~ no charge this plant",IF(H700="credit",CONCATENATE(" -$",ROUND(K700*(1-T2GDiscount)*-1,2)," CREDIT after discount"),IF(T2GDiscount=0,"",IF(G700=0,"",IF(F700="Buy",CONCATENATE(" $",ROUND(K700*(1-T2GDiscount),2)," with ",(T2GDiscount*100),"% discount"),CONCATENATE(" $",ROUND(K700*(1-T2GDiscount),2)," with ",((T2GDiscount*100+F700*100)-(T2GDiscount*100*F700)),IF(F700&gt;0,"% discounts",IF(NoWarrantyDiscount&gt;0,"% discounts","% discount")))))))))</f>
        <v/>
      </c>
      <c r="N700" s="660"/>
      <c r="O700" s="233"/>
      <c r="P700" s="233"/>
      <c r="Q700" s="233"/>
      <c r="R700" s="233"/>
      <c r="S700" s="233"/>
      <c r="T700" s="508">
        <f t="shared" si="463"/>
        <v>0</v>
      </c>
      <c r="U700" s="225">
        <f>IF(NOT(ISNUMBER(G700)), "", VLOOKUP(A700,'Discount Lookup'!D:E,2,FALSE)*G700)</f>
        <v>0</v>
      </c>
      <c r="V700" s="225">
        <f>IF(NOT(ISNUMBER(G700)), "", VLOOKUP(A700,'Discount Lookup'!G:H,2,FALSE)*G700)</f>
        <v>0</v>
      </c>
      <c r="W700" s="508">
        <f t="shared" si="464"/>
        <v>0</v>
      </c>
      <c r="X700" s="508">
        <f t="shared" si="465"/>
        <v>0</v>
      </c>
      <c r="Y700" s="509" t="b">
        <f t="shared" si="466"/>
        <v>0</v>
      </c>
      <c r="Z700" s="510">
        <f t="shared" si="467"/>
        <v>0</v>
      </c>
      <c r="AA700" s="511"/>
      <c r="AB700" s="511" t="str">
        <f t="shared" si="468"/>
        <v/>
      </c>
      <c r="AC700" s="698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698"/>
      <c r="AE700" s="631" t="str">
        <f t="shared" si="469"/>
        <v/>
      </c>
      <c r="AF700" s="699" t="str">
        <f t="shared" si="470"/>
        <v/>
      </c>
      <c r="AG700" s="699"/>
      <c r="AH700" s="699"/>
      <c r="AI700" s="512">
        <f>IF(H700="credit",0,IF(AE700="free",0,IF(AE700="me",0,IF(G700&gt;0,(VLOOKUP(A700,'Discount Lookup'!J:K,2)*G700),0))))</f>
        <v>0</v>
      </c>
      <c r="AJ700" s="513" t="str">
        <f t="shared" ca="1" si="471"/>
        <v/>
      </c>
      <c r="AK700" s="700" t="str">
        <f t="shared" si="472"/>
        <v/>
      </c>
      <c r="AL700" s="700"/>
      <c r="AM700" s="505" t="str">
        <f t="shared" si="473"/>
        <v/>
      </c>
      <c r="AN700" s="506"/>
      <c r="AO700" s="507"/>
      <c r="AP700" s="507"/>
      <c r="AQ700" s="507"/>
      <c r="AR700" s="507"/>
      <c r="AS700" s="507"/>
      <c r="AT700" s="507"/>
      <c r="AU700" s="507"/>
      <c r="AV700" s="225"/>
      <c r="AW700" s="508"/>
      <c r="AX700" s="225"/>
      <c r="AY700" s="225"/>
      <c r="AZ700" s="225"/>
      <c r="BA700" s="225"/>
      <c r="BB700" s="225"/>
      <c r="BC700" s="56"/>
      <c r="BD700" s="56"/>
      <c r="BE700" s="56"/>
      <c r="BF700" s="107" t="str">
        <f t="shared" si="474"/>
        <v>https://www.google.com/search?tbm=isch&amp;q=7%20G6</v>
      </c>
      <c r="BG700" s="107" t="str">
        <f t="shared" si="475"/>
        <v>C</v>
      </c>
      <c r="BH700" s="254"/>
      <c r="BI700" s="254"/>
    </row>
    <row r="701" spans="1:61" customFormat="1" ht="17.25" thickBot="1" x14ac:dyDescent="0.3">
      <c r="A701" s="522" t="s">
        <v>3179</v>
      </c>
      <c r="B701" s="491"/>
      <c r="C701" s="675"/>
      <c r="D701" s="491"/>
      <c r="E701" s="491"/>
      <c r="F701" s="492"/>
      <c r="G701" s="493"/>
      <c r="H701" s="491"/>
      <c r="I701" s="234"/>
      <c r="J701" s="234"/>
      <c r="K701" s="494"/>
      <c r="L701" s="543"/>
      <c r="M701" s="561"/>
      <c r="N701" s="495"/>
      <c r="O701" s="496"/>
      <c r="P701" s="497"/>
      <c r="Q701" s="495"/>
      <c r="R701" s="495"/>
      <c r="S701" s="667" t="s">
        <v>4988</v>
      </c>
      <c r="T701" s="508">
        <f t="shared" si="463"/>
        <v>0</v>
      </c>
      <c r="U701" s="225" t="str">
        <f>IF(NOT(ISNUMBER(G701)), "", VLOOKUP(A701,'Discount Lookup'!D:E,2,FALSE)*G701)</f>
        <v/>
      </c>
      <c r="V701" s="225" t="str">
        <f>IF(NOT(ISNUMBER(G701)), "", VLOOKUP(A701,'Discount Lookup'!G:H,2,FALSE)*G701)</f>
        <v/>
      </c>
      <c r="W701" s="508">
        <f t="shared" si="464"/>
        <v>0</v>
      </c>
      <c r="X701" s="508">
        <f t="shared" si="465"/>
        <v>0</v>
      </c>
      <c r="Y701" s="509" t="b">
        <f t="shared" si="466"/>
        <v>0</v>
      </c>
      <c r="Z701" s="510">
        <f t="shared" si="467"/>
        <v>0</v>
      </c>
      <c r="AA701" s="511"/>
      <c r="AB701" s="511" t="str">
        <f t="shared" si="468"/>
        <v/>
      </c>
      <c r="AC701" s="698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698"/>
      <c r="AE701" s="631" t="str">
        <f t="shared" si="469"/>
        <v/>
      </c>
      <c r="AF701" s="699" t="str">
        <f t="shared" si="470"/>
        <v/>
      </c>
      <c r="AG701" s="699"/>
      <c r="AH701" s="699"/>
      <c r="AI701" s="512">
        <f>IF(H701="credit",0,IF(AE701="free",0,IF(AE701="me",0,IF(G701&gt;0,(VLOOKUP(A701,'Discount Lookup'!J:K,2)*G701),0))))</f>
        <v>0</v>
      </c>
      <c r="AJ701" s="513" t="str">
        <f t="shared" ca="1" si="471"/>
        <v/>
      </c>
      <c r="AK701" s="700" t="str">
        <f t="shared" si="472"/>
        <v/>
      </c>
      <c r="AL701" s="700"/>
      <c r="AM701" s="505" t="str">
        <f t="shared" si="473"/>
        <v/>
      </c>
      <c r="AN701" s="506"/>
      <c r="AO701" s="507"/>
      <c r="AP701" s="507"/>
      <c r="AQ701" s="507"/>
      <c r="AR701" s="507"/>
      <c r="AS701" s="507"/>
      <c r="AT701" s="507"/>
      <c r="AU701" s="507"/>
      <c r="AV701" s="225"/>
      <c r="AW701" s="508"/>
      <c r="AX701" s="225"/>
      <c r="AY701" s="225"/>
      <c r="AZ701" s="225"/>
      <c r="BA701" s="225"/>
      <c r="BB701" s="225"/>
      <c r="BC701" s="56"/>
      <c r="BD701" s="56"/>
      <c r="BE701" s="56"/>
      <c r="BF701" s="107" t="str">
        <f t="shared" si="474"/>
        <v>https://www.google.com/search?tbm=isch&amp;q=Charles%20Loomis%27%20is%20exceptionally%20heat-%20and%20sun-tolerant%2C%20able%20to%20thrive%20in%20Southern%20climates%20</v>
      </c>
      <c r="BG701" s="107" t="str">
        <f t="shared" si="475"/>
        <v>C</v>
      </c>
      <c r="BH701" s="254"/>
      <c r="BI701" s="254"/>
    </row>
    <row r="702" spans="1:61" customFormat="1" ht="18" x14ac:dyDescent="0.25">
      <c r="A702" s="521" t="s">
        <v>477</v>
      </c>
      <c r="B702" s="477"/>
      <c r="C702" s="674"/>
      <c r="D702" s="478" t="s">
        <v>476</v>
      </c>
      <c r="E702" s="479"/>
      <c r="F702" s="479"/>
      <c r="G702" s="479"/>
      <c r="H702" s="582" t="s">
        <v>387</v>
      </c>
      <c r="I702" s="480" t="s">
        <v>2093</v>
      </c>
      <c r="J702" s="479"/>
      <c r="K702" s="479"/>
      <c r="L702" s="560"/>
      <c r="M702" s="666" t="s">
        <v>4966</v>
      </c>
      <c r="N702" s="680" t="str">
        <f>IF(AND(ISTEXT($A702), ISERROR($A702+0)), HYPERLINK($BF702, "Images"), "")</f>
        <v>Images</v>
      </c>
      <c r="O702" s="662" t="s">
        <v>4969</v>
      </c>
      <c r="P702" s="482"/>
      <c r="Q702" s="483"/>
      <c r="R702" s="483"/>
      <c r="S702" s="484"/>
      <c r="T702" s="508">
        <f t="shared" si="463"/>
        <v>0</v>
      </c>
      <c r="U702" s="225" t="str">
        <f>IF(NOT(ISNUMBER(G702)), "", VLOOKUP(A702,'Discount Lookup'!D:E,2,FALSE)*G702)</f>
        <v/>
      </c>
      <c r="V702" s="225" t="str">
        <f>IF(NOT(ISNUMBER(G702)), "", VLOOKUP(A702,'Discount Lookup'!G:H,2,FALSE)*G702)</f>
        <v/>
      </c>
      <c r="W702" s="508">
        <f t="shared" si="464"/>
        <v>0</v>
      </c>
      <c r="X702" s="508" t="str">
        <f t="shared" si="465"/>
        <v>Dark Green foliage</v>
      </c>
      <c r="Y702" s="509" t="b">
        <f t="shared" si="466"/>
        <v>0</v>
      </c>
      <c r="Z702" s="510">
        <f t="shared" si="467"/>
        <v>0</v>
      </c>
      <c r="AA702" s="511"/>
      <c r="AB702" s="511" t="str">
        <f t="shared" si="468"/>
        <v/>
      </c>
      <c r="AC702" s="698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698"/>
      <c r="AE702" s="631" t="str">
        <f t="shared" si="469"/>
        <v/>
      </c>
      <c r="AF702" s="699" t="str">
        <f t="shared" si="470"/>
        <v/>
      </c>
      <c r="AG702" s="699"/>
      <c r="AH702" s="699"/>
      <c r="AI702" s="512">
        <f>IF(H702="credit",0,IF(AE702="free",0,IF(AE702="me",0,IF(G702&gt;0,(VLOOKUP(A702,'Discount Lookup'!J:K,2)*G702),0))))</f>
        <v>0</v>
      </c>
      <c r="AJ702" s="513" t="str">
        <f t="shared" ca="1" si="471"/>
        <v/>
      </c>
      <c r="AK702" s="700" t="str">
        <f t="shared" si="472"/>
        <v/>
      </c>
      <c r="AL702" s="700"/>
      <c r="AM702" s="505" t="str">
        <f t="shared" si="473"/>
        <v/>
      </c>
      <c r="AN702" s="506"/>
      <c r="AO702" s="507"/>
      <c r="AP702" s="507"/>
      <c r="AQ702" s="507"/>
      <c r="AR702" s="507"/>
      <c r="AS702" s="507"/>
      <c r="AT702" s="507"/>
      <c r="AU702" s="507"/>
      <c r="AV702" s="225"/>
      <c r="AW702" s="508"/>
      <c r="AX702" s="225"/>
      <c r="AY702" s="225"/>
      <c r="AZ702" s="225"/>
      <c r="BA702" s="225"/>
      <c r="BB702" s="225"/>
      <c r="BC702" s="56"/>
      <c r="BD702" s="56"/>
      <c r="BE702" s="56"/>
      <c r="BF702" s="107" t="str">
        <f t="shared" si="474"/>
        <v>https://www.google.com/search?tbm=isch&amp;q=Cherry%20Bomb%20Holly%20Ilex%20%27Cherry%20Bomb%27</v>
      </c>
      <c r="BG702" s="107" t="str">
        <f t="shared" si="475"/>
        <v>C</v>
      </c>
      <c r="BH702" s="254"/>
      <c r="BI702" s="254"/>
    </row>
    <row r="703" spans="1:61" customFormat="1" ht="15.75" x14ac:dyDescent="0.25">
      <c r="A703" s="485">
        <v>7</v>
      </c>
      <c r="B703" s="486" t="s">
        <v>291</v>
      </c>
      <c r="C703" s="487" t="s">
        <v>3373</v>
      </c>
      <c r="D703" s="488" t="s">
        <v>292</v>
      </c>
      <c r="E703" s="489">
        <v>104.95</v>
      </c>
      <c r="F703" s="516" t="s">
        <v>293</v>
      </c>
      <c r="G703" s="232">
        <v>0</v>
      </c>
      <c r="H703" s="658" t="str">
        <f>IF(G703=0,"",IF(F703="Buy",IF(G703=1,"plant","plants"),IF(F703&gt;0.01,"warranty","Error")))</f>
        <v/>
      </c>
      <c r="I703" s="490">
        <f>IF(H703="free",0,IF(H703="credit",((E703*(F703))*G703*-1),IF(F703="Buy",(E703*G703),((E703*(1-F703))*G703))))</f>
        <v>0</v>
      </c>
      <c r="J703" s="490">
        <f>IF(H703="warranty",0,(I703*(_xlfn.SINGLE(SalesTaxPercentage))))</f>
        <v>0</v>
      </c>
      <c r="K703" s="695">
        <f t="shared" ref="K703" si="503">I703+J703</f>
        <v>0</v>
      </c>
      <c r="L703" s="695"/>
      <c r="M703" s="659" t="str">
        <f>IF(AND(G703&gt;0,E703=0),"WARNING - no PRICE inserted",IF(H703="free"," FREE ~ no charge this plant",IF(H703="credit",CONCATENATE(" -$",ROUND(K703*(1-T2GDiscount)*-1,2)," CREDIT after discount"),IF(T2GDiscount=0,"",IF(G703=0,"",IF(F703="Buy",CONCATENATE(" $",ROUND(K703*(1-T2GDiscount),2)," with ",(T2GDiscount*100),"% discount"),CONCATENATE(" $",ROUND(K703*(1-T2GDiscount),2)," with ",((T2GDiscount*100+F703*100)-(T2GDiscount*100*F703)),IF(F703&gt;0,"% discounts",IF(NoWarrantyDiscount&gt;0,"% discounts","% discount")))))))))</f>
        <v/>
      </c>
      <c r="N703" s="660"/>
      <c r="O703" s="233"/>
      <c r="P703" s="233"/>
      <c r="Q703" s="233"/>
      <c r="R703" s="233"/>
      <c r="S703" s="233"/>
      <c r="T703" s="508">
        <f t="shared" si="463"/>
        <v>0</v>
      </c>
      <c r="U703" s="225">
        <f>IF(NOT(ISNUMBER(G703)), "", VLOOKUP(A703,'Discount Lookup'!D:E,2,FALSE)*G703)</f>
        <v>0</v>
      </c>
      <c r="V703" s="225">
        <f>IF(NOT(ISNUMBER(G703)), "", VLOOKUP(A703,'Discount Lookup'!G:H,2,FALSE)*G703)</f>
        <v>0</v>
      </c>
      <c r="W703" s="508">
        <f t="shared" si="464"/>
        <v>0</v>
      </c>
      <c r="X703" s="508">
        <f t="shared" si="465"/>
        <v>0</v>
      </c>
      <c r="Y703" s="509" t="b">
        <f t="shared" si="466"/>
        <v>0</v>
      </c>
      <c r="Z703" s="510">
        <f t="shared" si="467"/>
        <v>0</v>
      </c>
      <c r="AA703" s="511"/>
      <c r="AB703" s="511" t="str">
        <f t="shared" si="468"/>
        <v/>
      </c>
      <c r="AC703" s="698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698"/>
      <c r="AE703" s="631" t="str">
        <f t="shared" si="469"/>
        <v/>
      </c>
      <c r="AF703" s="699" t="str">
        <f t="shared" si="470"/>
        <v/>
      </c>
      <c r="AG703" s="699"/>
      <c r="AH703" s="699"/>
      <c r="AI703" s="512">
        <f>IF(H703="credit",0,IF(AE703="free",0,IF(AE703="me",0,IF(G703&gt;0,(VLOOKUP(A703,'Discount Lookup'!J:K,2)*G703),0))))</f>
        <v>0</v>
      </c>
      <c r="AJ703" s="513" t="str">
        <f t="shared" ca="1" si="471"/>
        <v/>
      </c>
      <c r="AK703" s="700" t="str">
        <f t="shared" si="472"/>
        <v/>
      </c>
      <c r="AL703" s="700"/>
      <c r="AM703" s="505" t="str">
        <f t="shared" si="473"/>
        <v/>
      </c>
      <c r="AN703" s="506"/>
      <c r="AO703" s="507"/>
      <c r="AP703" s="507"/>
      <c r="AQ703" s="507"/>
      <c r="AR703" s="507"/>
      <c r="AS703" s="507"/>
      <c r="AT703" s="507"/>
      <c r="AU703" s="507"/>
      <c r="AV703" s="225"/>
      <c r="AW703" s="508"/>
      <c r="AX703" s="225"/>
      <c r="AY703" s="225"/>
      <c r="AZ703" s="225"/>
      <c r="BA703" s="225"/>
      <c r="BB703" s="225"/>
      <c r="BC703" s="56"/>
      <c r="BD703" s="56"/>
      <c r="BE703" s="56"/>
      <c r="BF703" s="107" t="str">
        <f t="shared" si="474"/>
        <v>https://www.google.com/search?tbm=isch&amp;q=7%20G4</v>
      </c>
      <c r="BG703" s="107" t="str">
        <f t="shared" si="475"/>
        <v>C</v>
      </c>
      <c r="BH703" s="254"/>
      <c r="BI703" s="254"/>
    </row>
    <row r="704" spans="1:61" customFormat="1" ht="27" x14ac:dyDescent="0.25">
      <c r="A704" s="485">
        <v>15</v>
      </c>
      <c r="B704" s="486" t="s">
        <v>291</v>
      </c>
      <c r="C704" s="487" t="s">
        <v>4742</v>
      </c>
      <c r="D704" s="488" t="s">
        <v>292</v>
      </c>
      <c r="E704" s="489">
        <v>201.95</v>
      </c>
      <c r="F704" s="516" t="s">
        <v>293</v>
      </c>
      <c r="G704" s="232">
        <v>0</v>
      </c>
      <c r="H704" s="658" t="str">
        <f>IF(G704=0,"",IF(F704="Buy",IF(G704=1,"plant","plants"),IF(F704&gt;0.01,"warranty","Error")))</f>
        <v/>
      </c>
      <c r="I704" s="490">
        <f>IF(H704="free",0,IF(H704="credit",((E704*(F704))*G704*-1),IF(F704="Buy",(E704*G704),((E704*(1-F704))*G704))))</f>
        <v>0</v>
      </c>
      <c r="J704" s="490">
        <f>IF(H704="warranty",0,(I704*(_xlfn.SINGLE(SalesTaxPercentage))))</f>
        <v>0</v>
      </c>
      <c r="K704" s="695">
        <f t="shared" ref="K704" si="504">I704+J704</f>
        <v>0</v>
      </c>
      <c r="L704" s="695"/>
      <c r="M704" s="659" t="str">
        <f>IF(AND(G704&gt;0,E704=0),"WARNING - no PRICE inserted",IF(H704="free"," FREE ~ no charge this plant",IF(H704="credit",CONCATENATE(" -$",ROUND(K704*(1-T2GDiscount)*-1,2)," CREDIT after discount"),IF(T2GDiscount=0,"",IF(G704=0,"",IF(F704="Buy",CONCATENATE(" $",ROUND(K704*(1-T2GDiscount),2)," with ",(T2GDiscount*100),"% discount"),CONCATENATE(" $",ROUND(K704*(1-T2GDiscount),2)," with ",((T2GDiscount*100+F704*100)-(T2GDiscount*100*F704)),IF(F704&gt;0,"% discounts",IF(NoWarrantyDiscount&gt;0,"% discounts","% discount")))))))))</f>
        <v/>
      </c>
      <c r="N704" s="660"/>
      <c r="O704" s="233"/>
      <c r="P704" s="233"/>
      <c r="Q704" s="233"/>
      <c r="R704" s="233"/>
      <c r="S704" s="233"/>
      <c r="T704" s="508">
        <f t="shared" si="463"/>
        <v>0</v>
      </c>
      <c r="U704" s="225">
        <f>IF(NOT(ISNUMBER(G704)), "", VLOOKUP(A704,'Discount Lookup'!D:E,2,FALSE)*G704)</f>
        <v>0</v>
      </c>
      <c r="V704" s="225">
        <f>IF(NOT(ISNUMBER(G704)), "", VLOOKUP(A704,'Discount Lookup'!G:H,2,FALSE)*G704)</f>
        <v>0</v>
      </c>
      <c r="W704" s="508">
        <f t="shared" si="464"/>
        <v>0</v>
      </c>
      <c r="X704" s="508">
        <f t="shared" si="465"/>
        <v>0</v>
      </c>
      <c r="Y704" s="509" t="b">
        <f t="shared" si="466"/>
        <v>0</v>
      </c>
      <c r="Z704" s="510">
        <f t="shared" si="467"/>
        <v>0</v>
      </c>
      <c r="AA704" s="511"/>
      <c r="AB704" s="511" t="str">
        <f t="shared" si="468"/>
        <v/>
      </c>
      <c r="AC704" s="698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698"/>
      <c r="AE704" s="631" t="str">
        <f t="shared" si="469"/>
        <v/>
      </c>
      <c r="AF704" s="699" t="str">
        <f t="shared" si="470"/>
        <v/>
      </c>
      <c r="AG704" s="699"/>
      <c r="AH704" s="699"/>
      <c r="AI704" s="512">
        <f>IF(H704="credit",0,IF(AE704="free",0,IF(AE704="me",0,IF(G704&gt;0,(VLOOKUP(A704,'Discount Lookup'!J:K,2)*G704),0))))</f>
        <v>0</v>
      </c>
      <c r="AJ704" s="513" t="str">
        <f t="shared" ca="1" si="471"/>
        <v/>
      </c>
      <c r="AK704" s="700" t="str">
        <f t="shared" si="472"/>
        <v/>
      </c>
      <c r="AL704" s="700"/>
      <c r="AM704" s="505" t="str">
        <f t="shared" si="473"/>
        <v/>
      </c>
      <c r="AN704" s="506"/>
      <c r="AO704" s="507"/>
      <c r="AP704" s="507"/>
      <c r="AQ704" s="507"/>
      <c r="AR704" s="507"/>
      <c r="AS704" s="507"/>
      <c r="AT704" s="507"/>
      <c r="AU704" s="507"/>
      <c r="AV704" s="225"/>
      <c r="AW704" s="508"/>
      <c r="AX704" s="225"/>
      <c r="AY704" s="225"/>
      <c r="AZ704" s="225"/>
      <c r="BA704" s="225"/>
      <c r="BB704" s="225"/>
      <c r="BC704" s="56"/>
      <c r="BD704" s="56"/>
      <c r="BE704" s="56"/>
      <c r="BF704" s="107" t="str">
        <f t="shared" si="474"/>
        <v>https://www.google.com/search?tbm=isch&amp;q=15%20G4</v>
      </c>
      <c r="BG704" s="107" t="str">
        <f t="shared" si="475"/>
        <v>C</v>
      </c>
      <c r="BH704" s="254"/>
      <c r="BI704" s="254"/>
    </row>
    <row r="705" spans="1:61" customFormat="1" ht="27" x14ac:dyDescent="0.25">
      <c r="A705" s="485">
        <v>25</v>
      </c>
      <c r="B705" s="486" t="s">
        <v>291</v>
      </c>
      <c r="C705" s="487" t="s">
        <v>4743</v>
      </c>
      <c r="D705" s="488" t="s">
        <v>292</v>
      </c>
      <c r="E705" s="489">
        <v>378.95</v>
      </c>
      <c r="F705" s="516" t="s">
        <v>293</v>
      </c>
      <c r="G705" s="232">
        <v>0</v>
      </c>
      <c r="H705" s="658" t="str">
        <f>IF(G705=0,"",IF(F705="Buy",IF(G705=1,"plant","plants"),IF(F705&gt;0.01,"warranty","Error")))</f>
        <v/>
      </c>
      <c r="I705" s="490">
        <f>IF(H705="free",0,IF(H705="credit",((E705*(F705))*G705*-1),IF(F705="Buy",(E705*G705),((E705*(1-F705))*G705))))</f>
        <v>0</v>
      </c>
      <c r="J705" s="490">
        <f>IF(H705="warranty",0,(I705*(_xlfn.SINGLE(SalesTaxPercentage))))</f>
        <v>0</v>
      </c>
      <c r="K705" s="695">
        <f t="shared" ref="K705" si="505">I705+J705</f>
        <v>0</v>
      </c>
      <c r="L705" s="695"/>
      <c r="M705" s="659" t="str">
        <f>IF(AND(G705&gt;0,E705=0),"WARNING - no PRICE inserted",IF(H705="free"," FREE ~ no charge this plant",IF(H705="credit",CONCATENATE(" -$",ROUND(K705*(1-T2GDiscount)*-1,2)," CREDIT after discount"),IF(T2GDiscount=0,"",IF(G705=0,"",IF(F705="Buy",CONCATENATE(" $",ROUND(K705*(1-T2GDiscount),2)," with ",(T2GDiscount*100),"% discount"),CONCATENATE(" $",ROUND(K705*(1-T2GDiscount),2)," with ",((T2GDiscount*100+F705*100)-(T2GDiscount*100*F705)),IF(F705&gt;0,"% discounts",IF(NoWarrantyDiscount&gt;0,"% discounts","% discount")))))))))</f>
        <v/>
      </c>
      <c r="N705" s="660"/>
      <c r="O705" s="233"/>
      <c r="P705" s="233"/>
      <c r="Q705" s="233"/>
      <c r="R705" s="233"/>
      <c r="S705" s="233"/>
      <c r="T705" s="508">
        <f t="shared" si="463"/>
        <v>0</v>
      </c>
      <c r="U705" s="225">
        <f>IF(NOT(ISNUMBER(G705)), "", VLOOKUP(A705,'Discount Lookup'!D:E,2,FALSE)*G705)</f>
        <v>0</v>
      </c>
      <c r="V705" s="225">
        <f>IF(NOT(ISNUMBER(G705)), "", VLOOKUP(A705,'Discount Lookup'!G:H,2,FALSE)*G705)</f>
        <v>0</v>
      </c>
      <c r="W705" s="508">
        <f t="shared" si="464"/>
        <v>0</v>
      </c>
      <c r="X705" s="508">
        <f t="shared" si="465"/>
        <v>0</v>
      </c>
      <c r="Y705" s="509" t="b">
        <f t="shared" si="466"/>
        <v>0</v>
      </c>
      <c r="Z705" s="510">
        <f t="shared" si="467"/>
        <v>0</v>
      </c>
      <c r="AA705" s="511"/>
      <c r="AB705" s="511" t="str">
        <f t="shared" si="468"/>
        <v/>
      </c>
      <c r="AC705" s="698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698"/>
      <c r="AE705" s="631" t="str">
        <f t="shared" si="469"/>
        <v/>
      </c>
      <c r="AF705" s="699" t="str">
        <f t="shared" si="470"/>
        <v/>
      </c>
      <c r="AG705" s="699"/>
      <c r="AH705" s="699"/>
      <c r="AI705" s="512">
        <f>IF(H705="credit",0,IF(AE705="free",0,IF(AE705="me",0,IF(G705&gt;0,(VLOOKUP(A705,'Discount Lookup'!J:K,2)*G705),0))))</f>
        <v>0</v>
      </c>
      <c r="AJ705" s="513" t="str">
        <f t="shared" ca="1" si="471"/>
        <v/>
      </c>
      <c r="AK705" s="700" t="str">
        <f t="shared" si="472"/>
        <v/>
      </c>
      <c r="AL705" s="700"/>
      <c r="AM705" s="505" t="str">
        <f t="shared" si="473"/>
        <v/>
      </c>
      <c r="AN705" s="506"/>
      <c r="AO705" s="507"/>
      <c r="AP705" s="507"/>
      <c r="AQ705" s="507"/>
      <c r="AR705" s="507"/>
      <c r="AS705" s="507"/>
      <c r="AT705" s="507"/>
      <c r="AU705" s="507"/>
      <c r="AV705" s="225"/>
      <c r="AW705" s="508"/>
      <c r="AX705" s="225"/>
      <c r="AY705" s="225"/>
      <c r="AZ705" s="225"/>
      <c r="BA705" s="225"/>
      <c r="BB705" s="225"/>
      <c r="BC705" s="56"/>
      <c r="BD705" s="56"/>
      <c r="BE705" s="56"/>
      <c r="BF705" s="107" t="str">
        <f t="shared" si="474"/>
        <v>https://www.google.com/search?tbm=isch&amp;q=25%20G4</v>
      </c>
      <c r="BG705" s="107" t="str">
        <f t="shared" si="475"/>
        <v>C</v>
      </c>
      <c r="BH705" s="254"/>
      <c r="BI705" s="254"/>
    </row>
    <row r="706" spans="1:61" customFormat="1" ht="17.25" thickBot="1" x14ac:dyDescent="0.3">
      <c r="A706" s="522" t="s">
        <v>2724</v>
      </c>
      <c r="B706" s="491"/>
      <c r="C706" s="675"/>
      <c r="D706" s="491"/>
      <c r="E706" s="491"/>
      <c r="F706" s="492"/>
      <c r="G706" s="493"/>
      <c r="H706" s="491"/>
      <c r="I706" s="234"/>
      <c r="J706" s="234"/>
      <c r="K706" s="494"/>
      <c r="L706" s="543"/>
      <c r="M706" s="561"/>
      <c r="N706" s="495"/>
      <c r="O706" s="496"/>
      <c r="P706" s="497"/>
      <c r="Q706" s="495"/>
      <c r="R706" s="495"/>
      <c r="S706" s="667" t="s">
        <v>5000</v>
      </c>
      <c r="T706" s="508">
        <f t="shared" si="463"/>
        <v>0</v>
      </c>
      <c r="U706" s="225" t="str">
        <f>IF(NOT(ISNUMBER(G706)), "", VLOOKUP(A706,'Discount Lookup'!D:E,2,FALSE)*G706)</f>
        <v/>
      </c>
      <c r="V706" s="225" t="str">
        <f>IF(NOT(ISNUMBER(G706)), "", VLOOKUP(A706,'Discount Lookup'!G:H,2,FALSE)*G706)</f>
        <v/>
      </c>
      <c r="W706" s="508">
        <f t="shared" si="464"/>
        <v>0</v>
      </c>
      <c r="X706" s="508">
        <f t="shared" si="465"/>
        <v>0</v>
      </c>
      <c r="Y706" s="509" t="b">
        <f t="shared" si="466"/>
        <v>0</v>
      </c>
      <c r="Z706" s="510">
        <f t="shared" si="467"/>
        <v>0</v>
      </c>
      <c r="AA706" s="511"/>
      <c r="AB706" s="511" t="str">
        <f t="shared" si="468"/>
        <v/>
      </c>
      <c r="AC706" s="698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698"/>
      <c r="AE706" s="631" t="str">
        <f t="shared" si="469"/>
        <v/>
      </c>
      <c r="AF706" s="699" t="str">
        <f t="shared" si="470"/>
        <v/>
      </c>
      <c r="AG706" s="699"/>
      <c r="AH706" s="699"/>
      <c r="AI706" s="512">
        <f>IF(H706="credit",0,IF(AE706="free",0,IF(AE706="me",0,IF(G706&gt;0,(VLOOKUP(A706,'Discount Lookup'!J:K,2)*G706),0))))</f>
        <v>0</v>
      </c>
      <c r="AJ706" s="513" t="str">
        <f t="shared" ca="1" si="471"/>
        <v/>
      </c>
      <c r="AK706" s="700" t="str">
        <f t="shared" si="472"/>
        <v/>
      </c>
      <c r="AL706" s="700"/>
      <c r="AM706" s="505" t="str">
        <f t="shared" si="473"/>
        <v/>
      </c>
      <c r="AN706" s="506"/>
      <c r="AO706" s="507"/>
      <c r="AP706" s="507"/>
      <c r="AQ706" s="507"/>
      <c r="AR706" s="507"/>
      <c r="AS706" s="507"/>
      <c r="AT706" s="507"/>
      <c r="AU706" s="507"/>
      <c r="AV706" s="225"/>
      <c r="AW706" s="508"/>
      <c r="AX706" s="225"/>
      <c r="AY706" s="225"/>
      <c r="AZ706" s="225"/>
      <c r="BA706" s="225"/>
      <c r="BB706" s="225"/>
      <c r="BC706" s="56"/>
      <c r="BD706" s="56"/>
      <c r="BE706" s="56"/>
      <c r="BF706" s="107" t="str">
        <f t="shared" si="474"/>
        <v>https://www.google.com/search?tbm=isch&amp;q=Cherry%20Bomb%20best%20if%20kept%20pruned%20to%20about%205%27%20tall.%20Abundant%20Red%20berries%20from%20fall%20through%20spring%20</v>
      </c>
      <c r="BG706" s="107" t="str">
        <f t="shared" si="475"/>
        <v>C</v>
      </c>
      <c r="BH706" s="254"/>
      <c r="BI706" s="254"/>
    </row>
    <row r="707" spans="1:61" customFormat="1" ht="18" x14ac:dyDescent="0.25">
      <c r="A707" s="523" t="s">
        <v>5371</v>
      </c>
      <c r="B707" s="235"/>
      <c r="C707" s="676"/>
      <c r="D707" s="255" t="s">
        <v>3098</v>
      </c>
      <c r="E707" s="236"/>
      <c r="F707" s="236"/>
      <c r="G707" s="236"/>
      <c r="H707" s="582" t="s">
        <v>441</v>
      </c>
      <c r="I707" s="498" t="s">
        <v>3099</v>
      </c>
      <c r="J707" s="237"/>
      <c r="K707" s="237"/>
      <c r="L707" s="274"/>
      <c r="M707" s="670" t="s">
        <v>4973</v>
      </c>
      <c r="N707" s="681" t="str">
        <f>IF(AND(ISTEXT($A707), ISERROR($A707+0)), HYPERLINK($BF707, "Images"), "")</f>
        <v>Images</v>
      </c>
      <c r="O707" s="663" t="s">
        <v>4974</v>
      </c>
      <c r="P707" s="253"/>
      <c r="Q707" s="238"/>
      <c r="R707" s="239"/>
      <c r="S707" s="275"/>
      <c r="T707" s="508">
        <f t="shared" si="463"/>
        <v>0</v>
      </c>
      <c r="U707" s="225" t="str">
        <f>IF(NOT(ISNUMBER(G707)), "", VLOOKUP(A707,'Discount Lookup'!D:E,2,FALSE)*G707)</f>
        <v/>
      </c>
      <c r="V707" s="225" t="str">
        <f>IF(NOT(ISNUMBER(G707)), "", VLOOKUP(A707,'Discount Lookup'!G:H,2,FALSE)*G707)</f>
        <v/>
      </c>
      <c r="W707" s="508">
        <f t="shared" si="464"/>
        <v>0</v>
      </c>
      <c r="X707" s="508" t="str">
        <f t="shared" si="465"/>
        <v>Cherry-Red bloom ages to Purple</v>
      </c>
      <c r="Y707" s="509" t="b">
        <f t="shared" si="466"/>
        <v>0</v>
      </c>
      <c r="Z707" s="510">
        <f t="shared" si="467"/>
        <v>0</v>
      </c>
      <c r="AA707" s="511"/>
      <c r="AB707" s="511" t="str">
        <f t="shared" si="468"/>
        <v/>
      </c>
      <c r="AC707" s="698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698"/>
      <c r="AE707" s="631" t="str">
        <f t="shared" si="469"/>
        <v/>
      </c>
      <c r="AF707" s="699" t="str">
        <f t="shared" si="470"/>
        <v/>
      </c>
      <c r="AG707" s="699"/>
      <c r="AH707" s="699"/>
      <c r="AI707" s="512">
        <f>IF(H707="credit",0,IF(AE707="free",0,IF(AE707="me",0,IF(G707&gt;0,(VLOOKUP(A707,'Discount Lookup'!J:K,2)*G707),0))))</f>
        <v>0</v>
      </c>
      <c r="AJ707" s="513" t="str">
        <f t="shared" ca="1" si="471"/>
        <v/>
      </c>
      <c r="AK707" s="700" t="str">
        <f t="shared" si="472"/>
        <v/>
      </c>
      <c r="AL707" s="700"/>
      <c r="AM707" s="505" t="str">
        <f t="shared" si="473"/>
        <v/>
      </c>
      <c r="AN707" s="506"/>
      <c r="AO707" s="507"/>
      <c r="AP707" s="507"/>
      <c r="AQ707" s="507"/>
      <c r="AR707" s="507"/>
      <c r="AS707" s="507"/>
      <c r="AT707" s="507"/>
      <c r="AU707" s="507"/>
      <c r="AV707" s="225"/>
      <c r="AW707" s="508"/>
      <c r="AX707" s="225"/>
      <c r="AY707" s="225"/>
      <c r="AZ707" s="225"/>
      <c r="BA707" s="225"/>
      <c r="BB707" s="225"/>
      <c r="BC707" s="56"/>
      <c r="BD707" s="56"/>
      <c r="BE707" s="56"/>
      <c r="BF707" s="107" t="str">
        <f t="shared" si="474"/>
        <v>https://www.google.com/search?tbm=isch&amp;q=Cherry%20Explosion%E2%84%A2%20Bigleaf%20Hydrangea%20Hyd.%20macrophylla%20%27McKay%27%20PP%2328757</v>
      </c>
      <c r="BG707" s="107" t="str">
        <f t="shared" si="475"/>
        <v>C</v>
      </c>
      <c r="BH707" s="254"/>
      <c r="BI707" s="254"/>
    </row>
    <row r="708" spans="1:61" customFormat="1" ht="15.75" x14ac:dyDescent="0.25">
      <c r="A708" s="276">
        <v>3</v>
      </c>
      <c r="B708" s="240" t="s">
        <v>291</v>
      </c>
      <c r="C708" s="241" t="s">
        <v>329</v>
      </c>
      <c r="D708" s="242" t="s">
        <v>298</v>
      </c>
      <c r="E708" s="243">
        <v>32.950000000000003</v>
      </c>
      <c r="F708" s="517" t="s">
        <v>293</v>
      </c>
      <c r="G708" s="232">
        <v>0</v>
      </c>
      <c r="H708" s="661" t="str">
        <f>IF(G708=0,"",IF(F708="Buy",IF(G708=1,"plant","plants"),IF(F708&gt;0.01,"warranty","Error")))</f>
        <v/>
      </c>
      <c r="I708" s="244">
        <f>IF(H708="free",0,IF(H708="credit",((E708*(F708))*G708*-1),IF(F708="Buy",(E708*G708),((E708*(1-F708))*G708))))</f>
        <v>0</v>
      </c>
      <c r="J708" s="244">
        <f>IF(H708="warranty",0,(I708*(_xlfn.SINGLE(SalesTaxPercentage))))</f>
        <v>0</v>
      </c>
      <c r="K708" s="696">
        <f t="shared" ref="K708" si="506">I708+J708</f>
        <v>0</v>
      </c>
      <c r="L708" s="696"/>
      <c r="M708" s="659" t="str">
        <f>IF(AND(G708&gt;0,E708=0),"WARNING - no PRICE inserted",IF(H708="free"," FREE ~ no charge this plant",IF(H708="credit",CONCATENATE(" -$",ROUND(K708*(1-T2GDiscount)*-1,2)," CREDIT after discount"),IF(T2GDiscount=0,"",IF(G708=0,"",IF(F708="Buy",CONCATENATE(" $",ROUND(K708*(1-T2GDiscount),2)," with ",(T2GDiscount*100),"% discount"),CONCATENATE(" $",ROUND(K708*(1-T2GDiscount),2)," with ",((T2GDiscount*100+F708*100)-(T2GDiscount*100*F708)),IF(F708&gt;0,"% discounts",IF(NoWarrantyDiscount&gt;0,"% discounts","% discount")))))))))</f>
        <v/>
      </c>
      <c r="N708" s="660"/>
      <c r="O708" s="233"/>
      <c r="P708" s="233"/>
      <c r="Q708" s="233"/>
      <c r="R708" s="233"/>
      <c r="S708" s="233"/>
      <c r="T708" s="508">
        <f t="shared" si="463"/>
        <v>0</v>
      </c>
      <c r="U708" s="225">
        <f>IF(NOT(ISNUMBER(G708)), "", VLOOKUP(A708,'Discount Lookup'!D:E,2,FALSE)*G708)</f>
        <v>0</v>
      </c>
      <c r="V708" s="225">
        <f>IF(NOT(ISNUMBER(G708)), "", VLOOKUP(A708,'Discount Lookup'!G:H,2,FALSE)*G708)</f>
        <v>0</v>
      </c>
      <c r="W708" s="508">
        <f t="shared" si="464"/>
        <v>0</v>
      </c>
      <c r="X708" s="508">
        <f t="shared" si="465"/>
        <v>0</v>
      </c>
      <c r="Y708" s="509" t="b">
        <f t="shared" si="466"/>
        <v>0</v>
      </c>
      <c r="Z708" s="510">
        <f t="shared" si="467"/>
        <v>0</v>
      </c>
      <c r="AA708" s="511"/>
      <c r="AB708" s="511" t="str">
        <f t="shared" si="468"/>
        <v/>
      </c>
      <c r="AC708" s="698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698"/>
      <c r="AE708" s="631" t="str">
        <f t="shared" si="469"/>
        <v/>
      </c>
      <c r="AF708" s="699" t="str">
        <f t="shared" si="470"/>
        <v/>
      </c>
      <c r="AG708" s="699"/>
      <c r="AH708" s="699"/>
      <c r="AI708" s="512">
        <f>IF(H708="credit",0,IF(AE708="free",0,IF(AE708="me",0,IF(G708&gt;0,(VLOOKUP(A708,'Discount Lookup'!J:K,2)*G708),0))))</f>
        <v>0</v>
      </c>
      <c r="AJ708" s="513" t="str">
        <f t="shared" ca="1" si="471"/>
        <v/>
      </c>
      <c r="AK708" s="700" t="str">
        <f t="shared" si="472"/>
        <v/>
      </c>
      <c r="AL708" s="700"/>
      <c r="AM708" s="505" t="str">
        <f t="shared" si="473"/>
        <v/>
      </c>
      <c r="AN708" s="506"/>
      <c r="AO708" s="507"/>
      <c r="AP708" s="507"/>
      <c r="AQ708" s="507"/>
      <c r="AR708" s="507"/>
      <c r="AS708" s="507"/>
      <c r="AT708" s="507"/>
      <c r="AU708" s="507"/>
      <c r="AV708" s="225"/>
      <c r="AW708" s="508"/>
      <c r="AX708" s="225"/>
      <c r="AY708" s="225"/>
      <c r="AZ708" s="225"/>
      <c r="BA708" s="225"/>
      <c r="BB708" s="225"/>
      <c r="BC708" s="56"/>
      <c r="BD708" s="56"/>
      <c r="BE708" s="56"/>
      <c r="BF708" s="107" t="str">
        <f t="shared" si="474"/>
        <v>https://www.google.com/search?tbm=isch&amp;q=3%20G1</v>
      </c>
      <c r="BG708" s="107" t="str">
        <f t="shared" si="475"/>
        <v>C</v>
      </c>
      <c r="BH708" s="254"/>
      <c r="BI708" s="254"/>
    </row>
    <row r="709" spans="1:61" customFormat="1" ht="15.75" x14ac:dyDescent="0.25">
      <c r="A709" s="276">
        <v>3</v>
      </c>
      <c r="B709" s="240" t="s">
        <v>291</v>
      </c>
      <c r="C709" s="241" t="s">
        <v>3100</v>
      </c>
      <c r="D709" s="242" t="s">
        <v>297</v>
      </c>
      <c r="E709" s="243">
        <v>32.950000000000003</v>
      </c>
      <c r="F709" s="517" t="s">
        <v>293</v>
      </c>
      <c r="G709" s="232">
        <v>0</v>
      </c>
      <c r="H709" s="661" t="str">
        <f>IF(G709=0,"",IF(F709="Buy",IF(G709=1,"plant","plants"),IF(F709&gt;0.01,"warranty","Error")))</f>
        <v/>
      </c>
      <c r="I709" s="244">
        <f>IF(H709="free",0,IF(H709="credit",((E709*(F709))*G709*-1),IF(F709="Buy",(E709*G709),((E709*(1-F709))*G709))))</f>
        <v>0</v>
      </c>
      <c r="J709" s="244">
        <f>IF(H709="warranty",0,(I709*(_xlfn.SINGLE(SalesTaxPercentage))))</f>
        <v>0</v>
      </c>
      <c r="K709" s="696">
        <f t="shared" ref="K709" si="507">I709+J709</f>
        <v>0</v>
      </c>
      <c r="L709" s="696"/>
      <c r="M709" s="659" t="str">
        <f>IF(AND(G709&gt;0,E709=0),"WARNING - no PRICE inserted",IF(H709="free"," FREE ~ no charge this plant",IF(H709="credit",CONCATENATE(" -$",ROUND(K709*(1-T2GDiscount)*-1,2)," CREDIT after discount"),IF(T2GDiscount=0,"",IF(G709=0,"",IF(F709="Buy",CONCATENATE(" $",ROUND(K709*(1-T2GDiscount),2)," with ",(T2GDiscount*100),"% discount"),CONCATENATE(" $",ROUND(K709*(1-T2GDiscount),2)," with ",((T2GDiscount*100+F709*100)-(T2GDiscount*100*F709)),IF(F709&gt;0,"% discounts",IF(NoWarrantyDiscount&gt;0,"% discounts","% discount")))))))))</f>
        <v/>
      </c>
      <c r="N709" s="660"/>
      <c r="O709" s="233"/>
      <c r="P709" s="233"/>
      <c r="Q709" s="233"/>
      <c r="R709" s="233"/>
      <c r="S709" s="233"/>
      <c r="T709" s="508">
        <f t="shared" si="463"/>
        <v>0</v>
      </c>
      <c r="U709" s="225">
        <f>IF(NOT(ISNUMBER(G709)), "", VLOOKUP(A709,'Discount Lookup'!D:E,2,FALSE)*G709)</f>
        <v>0</v>
      </c>
      <c r="V709" s="225">
        <f>IF(NOT(ISNUMBER(G709)), "", VLOOKUP(A709,'Discount Lookup'!G:H,2,FALSE)*G709)</f>
        <v>0</v>
      </c>
      <c r="W709" s="508">
        <f t="shared" si="464"/>
        <v>0</v>
      </c>
      <c r="X709" s="508">
        <f t="shared" si="465"/>
        <v>0</v>
      </c>
      <c r="Y709" s="509" t="b">
        <f t="shared" si="466"/>
        <v>0</v>
      </c>
      <c r="Z709" s="510">
        <f t="shared" si="467"/>
        <v>0</v>
      </c>
      <c r="AA709" s="511"/>
      <c r="AB709" s="511" t="str">
        <f t="shared" si="468"/>
        <v/>
      </c>
      <c r="AC709" s="698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698"/>
      <c r="AE709" s="631" t="str">
        <f t="shared" si="469"/>
        <v/>
      </c>
      <c r="AF709" s="699" t="str">
        <f t="shared" si="470"/>
        <v/>
      </c>
      <c r="AG709" s="699"/>
      <c r="AH709" s="699"/>
      <c r="AI709" s="512">
        <f>IF(H709="credit",0,IF(AE709="free",0,IF(AE709="me",0,IF(G709&gt;0,(VLOOKUP(A709,'Discount Lookup'!J:K,2)*G709),0))))</f>
        <v>0</v>
      </c>
      <c r="AJ709" s="513" t="str">
        <f t="shared" ca="1" si="471"/>
        <v/>
      </c>
      <c r="AK709" s="700" t="str">
        <f t="shared" si="472"/>
        <v/>
      </c>
      <c r="AL709" s="700"/>
      <c r="AM709" s="505" t="str">
        <f t="shared" si="473"/>
        <v/>
      </c>
      <c r="AN709" s="506"/>
      <c r="AO709" s="507"/>
      <c r="AP709" s="507"/>
      <c r="AQ709" s="507"/>
      <c r="AR709" s="507"/>
      <c r="AS709" s="507"/>
      <c r="AT709" s="507"/>
      <c r="AU709" s="507"/>
      <c r="AV709" s="225"/>
      <c r="AW709" s="508"/>
      <c r="AX709" s="225"/>
      <c r="AY709" s="225"/>
      <c r="AZ709" s="225"/>
      <c r="BA709" s="225"/>
      <c r="BB709" s="225"/>
      <c r="BC709" s="56"/>
      <c r="BD709" s="56"/>
      <c r="BE709" s="56"/>
      <c r="BF709" s="107" t="str">
        <f t="shared" si="474"/>
        <v>https://www.google.com/search?tbm=isch&amp;q=3%20G3</v>
      </c>
      <c r="BG709" s="107" t="str">
        <f t="shared" si="475"/>
        <v>C</v>
      </c>
      <c r="BH709" s="254"/>
      <c r="BI709" s="254"/>
    </row>
    <row r="710" spans="1:61" customFormat="1" ht="15.75" x14ac:dyDescent="0.25">
      <c r="A710" s="276">
        <v>3</v>
      </c>
      <c r="B710" s="240" t="s">
        <v>291</v>
      </c>
      <c r="C710" s="241" t="s">
        <v>4744</v>
      </c>
      <c r="D710" s="242" t="s">
        <v>312</v>
      </c>
      <c r="E710" s="243">
        <v>33.950000000000003</v>
      </c>
      <c r="F710" s="517" t="s">
        <v>293</v>
      </c>
      <c r="G710" s="232">
        <v>0</v>
      </c>
      <c r="H710" s="661" t="str">
        <f>IF(G710=0,"",IF(F710="Buy",IF(G710=1,"plant","plants"),IF(F710&gt;0.01,"warranty","Error")))</f>
        <v/>
      </c>
      <c r="I710" s="244">
        <f>IF(H710="free",0,IF(H710="credit",((E710*(F710))*G710*-1),IF(F710="Buy",(E710*G710),((E710*(1-F710))*G710))))</f>
        <v>0</v>
      </c>
      <c r="J710" s="244">
        <f>IF(H710="warranty",0,(I710*(_xlfn.SINGLE(SalesTaxPercentage))))</f>
        <v>0</v>
      </c>
      <c r="K710" s="696">
        <f t="shared" ref="K710" si="508">I710+J710</f>
        <v>0</v>
      </c>
      <c r="L710" s="696"/>
      <c r="M710" s="659" t="str">
        <f>IF(AND(G710&gt;0,E710=0),"WARNING - no PRICE inserted",IF(H710="free"," FREE ~ no charge this plant",IF(H710="credit",CONCATENATE(" -$",ROUND(K710*(1-T2GDiscount)*-1,2)," CREDIT after discount"),IF(T2GDiscount=0,"",IF(G710=0,"",IF(F710="Buy",CONCATENATE(" $",ROUND(K710*(1-T2GDiscount),2)," with ",(T2GDiscount*100),"% discount"),CONCATENATE(" $",ROUND(K710*(1-T2GDiscount),2)," with ",((T2GDiscount*100+F710*100)-(T2GDiscount*100*F710)),IF(F710&gt;0,"% discounts",IF(NoWarrantyDiscount&gt;0,"% discounts","% discount")))))))))</f>
        <v/>
      </c>
      <c r="N710" s="660"/>
      <c r="O710" s="233"/>
      <c r="P710" s="233"/>
      <c r="Q710" s="233"/>
      <c r="R710" s="233"/>
      <c r="S710" s="233"/>
      <c r="T710" s="508">
        <f t="shared" si="463"/>
        <v>0</v>
      </c>
      <c r="U710" s="225">
        <f>IF(NOT(ISNUMBER(G710)), "", VLOOKUP(A710,'Discount Lookup'!D:E,2,FALSE)*G710)</f>
        <v>0</v>
      </c>
      <c r="V710" s="225">
        <f>IF(NOT(ISNUMBER(G710)), "", VLOOKUP(A710,'Discount Lookup'!G:H,2,FALSE)*G710)</f>
        <v>0</v>
      </c>
      <c r="W710" s="508">
        <f t="shared" si="464"/>
        <v>0</v>
      </c>
      <c r="X710" s="508">
        <f t="shared" si="465"/>
        <v>0</v>
      </c>
      <c r="Y710" s="509" t="b">
        <f t="shared" si="466"/>
        <v>0</v>
      </c>
      <c r="Z710" s="510">
        <f t="shared" si="467"/>
        <v>0</v>
      </c>
      <c r="AA710" s="511"/>
      <c r="AB710" s="511" t="str">
        <f t="shared" si="468"/>
        <v/>
      </c>
      <c r="AC710" s="698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698"/>
      <c r="AE710" s="631" t="str">
        <f t="shared" si="469"/>
        <v/>
      </c>
      <c r="AF710" s="699" t="str">
        <f t="shared" si="470"/>
        <v/>
      </c>
      <c r="AG710" s="699"/>
      <c r="AH710" s="699"/>
      <c r="AI710" s="512">
        <f>IF(H710="credit",0,IF(AE710="free",0,IF(AE710="me",0,IF(G710&gt;0,(VLOOKUP(A710,'Discount Lookup'!J:K,2)*G710),0))))</f>
        <v>0</v>
      </c>
      <c r="AJ710" s="513" t="str">
        <f t="shared" ca="1" si="471"/>
        <v/>
      </c>
      <c r="AK710" s="700" t="str">
        <f t="shared" si="472"/>
        <v/>
      </c>
      <c r="AL710" s="700"/>
      <c r="AM710" s="505" t="str">
        <f t="shared" si="473"/>
        <v/>
      </c>
      <c r="AN710" s="506"/>
      <c r="AO710" s="507"/>
      <c r="AP710" s="507"/>
      <c r="AQ710" s="507"/>
      <c r="AR710" s="507"/>
      <c r="AS710" s="507"/>
      <c r="AT710" s="507"/>
      <c r="AU710" s="507"/>
      <c r="AV710" s="225"/>
      <c r="AW710" s="508"/>
      <c r="AX710" s="225"/>
      <c r="AY710" s="225"/>
      <c r="AZ710" s="225"/>
      <c r="BA710" s="225"/>
      <c r="BB710" s="225"/>
      <c r="BC710" s="56"/>
      <c r="BD710" s="56"/>
      <c r="BE710" s="56"/>
      <c r="BF710" s="107" t="str">
        <f t="shared" si="474"/>
        <v>https://www.google.com/search?tbm=isch&amp;q=3%20G2</v>
      </c>
      <c r="BG710" s="107" t="str">
        <f t="shared" si="475"/>
        <v>C</v>
      </c>
      <c r="BH710" s="254"/>
      <c r="BI710" s="254"/>
    </row>
    <row r="711" spans="1:61" customFormat="1" ht="17.25" thickBot="1" x14ac:dyDescent="0.3">
      <c r="A711" s="673" t="s">
        <v>5078</v>
      </c>
      <c r="B711" s="245"/>
      <c r="C711" s="677"/>
      <c r="D711" s="499"/>
      <c r="E711" s="499"/>
      <c r="F711" s="500"/>
      <c r="G711" s="501"/>
      <c r="H711" s="502"/>
      <c r="I711" s="246"/>
      <c r="J711" s="247"/>
      <c r="K711" s="503"/>
      <c r="L711" s="544"/>
      <c r="M711" s="544"/>
      <c r="N711" s="500"/>
      <c r="O711" s="500"/>
      <c r="P711" s="500"/>
      <c r="Q711" s="500"/>
      <c r="R711" s="500"/>
      <c r="S711" s="278"/>
      <c r="T711" s="508">
        <f t="shared" si="463"/>
        <v>0</v>
      </c>
      <c r="U711" s="225" t="str">
        <f>IF(NOT(ISNUMBER(G711)), "", VLOOKUP(A711,'Discount Lookup'!D:E,2,FALSE)*G711)</f>
        <v/>
      </c>
      <c r="V711" s="225" t="str">
        <f>IF(NOT(ISNUMBER(G711)), "", VLOOKUP(A711,'Discount Lookup'!G:H,2,FALSE)*G711)</f>
        <v/>
      </c>
      <c r="W711" s="508">
        <f t="shared" si="464"/>
        <v>0</v>
      </c>
      <c r="X711" s="508">
        <f t="shared" si="465"/>
        <v>0</v>
      </c>
      <c r="Y711" s="509" t="b">
        <f t="shared" si="466"/>
        <v>0</v>
      </c>
      <c r="Z711" s="510">
        <f t="shared" si="467"/>
        <v>0</v>
      </c>
      <c r="AA711" s="511"/>
      <c r="AB711" s="511" t="str">
        <f t="shared" si="468"/>
        <v/>
      </c>
      <c r="AC711" s="698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698"/>
      <c r="AE711" s="631" t="str">
        <f t="shared" si="469"/>
        <v/>
      </c>
      <c r="AF711" s="699" t="str">
        <f t="shared" si="470"/>
        <v/>
      </c>
      <c r="AG711" s="699"/>
      <c r="AH711" s="699"/>
      <c r="AI711" s="512">
        <f>IF(H711="credit",0,IF(AE711="free",0,IF(AE711="me",0,IF(G711&gt;0,(VLOOKUP(A711,'Discount Lookup'!J:K,2)*G711),0))))</f>
        <v>0</v>
      </c>
      <c r="AJ711" s="513" t="str">
        <f t="shared" ca="1" si="471"/>
        <v/>
      </c>
      <c r="AK711" s="700" t="str">
        <f t="shared" si="472"/>
        <v/>
      </c>
      <c r="AL711" s="700"/>
      <c r="AM711" s="505" t="str">
        <f t="shared" si="473"/>
        <v/>
      </c>
      <c r="AN711" s="506"/>
      <c r="AO711" s="507"/>
      <c r="AP711" s="507"/>
      <c r="AQ711" s="507"/>
      <c r="AR711" s="507"/>
      <c r="AS711" s="507"/>
      <c r="AT711" s="507"/>
      <c r="AU711" s="507"/>
      <c r="AV711" s="225"/>
      <c r="AW711" s="508"/>
      <c r="AX711" s="225"/>
      <c r="AY711" s="225"/>
      <c r="AZ711" s="225"/>
      <c r="BA711" s="225"/>
      <c r="BB711" s="225"/>
      <c r="BC711" s="56"/>
      <c r="BD711" s="56"/>
      <c r="BE711" s="56"/>
      <c r="BF711" s="107" t="str">
        <f t="shared" si="474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711" s="107" t="str">
        <f t="shared" si="475"/>
        <v>m</v>
      </c>
      <c r="BH711" s="254"/>
      <c r="BI711" s="254"/>
    </row>
    <row r="712" spans="1:61" customFormat="1" ht="18" x14ac:dyDescent="0.25">
      <c r="A712" s="523" t="s">
        <v>5372</v>
      </c>
      <c r="B712" s="235"/>
      <c r="C712" s="676"/>
      <c r="D712" s="255" t="s">
        <v>567</v>
      </c>
      <c r="E712" s="236"/>
      <c r="F712" s="236"/>
      <c r="G712" s="236"/>
      <c r="H712" s="582" t="s">
        <v>474</v>
      </c>
      <c r="I712" s="498" t="s">
        <v>654</v>
      </c>
      <c r="J712" s="237"/>
      <c r="K712" s="237"/>
      <c r="L712" s="274"/>
      <c r="M712" s="668" t="s">
        <v>4975</v>
      </c>
      <c r="N712" s="681" t="str">
        <f>IF(AND(ISTEXT($A712), ISERROR($A712+0)), HYPERLINK($BF712, "Images"), "")</f>
        <v>Images</v>
      </c>
      <c r="O712" s="663" t="s">
        <v>4974</v>
      </c>
      <c r="P712" s="253"/>
      <c r="Q712" s="238"/>
      <c r="R712" s="239"/>
      <c r="S712" s="275"/>
      <c r="T712" s="508">
        <f t="shared" si="463"/>
        <v>0</v>
      </c>
      <c r="U712" s="225" t="str">
        <f>IF(NOT(ISNUMBER(G712)), "", VLOOKUP(A712,'Discount Lookup'!D:E,2,FALSE)*G712)</f>
        <v/>
      </c>
      <c r="V712" s="225" t="str">
        <f>IF(NOT(ISNUMBER(G712)), "", VLOOKUP(A712,'Discount Lookup'!G:H,2,FALSE)*G712)</f>
        <v/>
      </c>
      <c r="W712" s="508">
        <f t="shared" si="464"/>
        <v>0</v>
      </c>
      <c r="X712" s="508" t="str">
        <f t="shared" si="465"/>
        <v>White bloom</v>
      </c>
      <c r="Y712" s="509" t="b">
        <f t="shared" si="466"/>
        <v>0</v>
      </c>
      <c r="Z712" s="510">
        <f t="shared" si="467"/>
        <v>0</v>
      </c>
      <c r="AA712" s="511"/>
      <c r="AB712" s="511" t="str">
        <f t="shared" si="468"/>
        <v/>
      </c>
      <c r="AC712" s="698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698"/>
      <c r="AE712" s="631" t="str">
        <f t="shared" si="469"/>
        <v/>
      </c>
      <c r="AF712" s="699" t="str">
        <f t="shared" si="470"/>
        <v/>
      </c>
      <c r="AG712" s="699"/>
      <c r="AH712" s="699"/>
      <c r="AI712" s="512">
        <f>IF(H712="credit",0,IF(AE712="free",0,IF(AE712="me",0,IF(G712&gt;0,(VLOOKUP(A712,'Discount Lookup'!J:K,2)*G712),0))))</f>
        <v>0</v>
      </c>
      <c r="AJ712" s="513" t="str">
        <f t="shared" ca="1" si="471"/>
        <v/>
      </c>
      <c r="AK712" s="700" t="str">
        <f t="shared" si="472"/>
        <v/>
      </c>
      <c r="AL712" s="700"/>
      <c r="AM712" s="505" t="str">
        <f t="shared" si="473"/>
        <v/>
      </c>
      <c r="AN712" s="506"/>
      <c r="AO712" s="507"/>
      <c r="AP712" s="507"/>
      <c r="AQ712" s="507"/>
      <c r="AR712" s="507"/>
      <c r="AS712" s="507"/>
      <c r="AT712" s="507"/>
      <c r="AU712" s="507"/>
      <c r="AV712" s="225"/>
      <c r="AW712" s="508"/>
      <c r="AX712" s="225"/>
      <c r="AY712" s="225"/>
      <c r="AZ712" s="225"/>
      <c r="BA712" s="225"/>
      <c r="BB712" s="225"/>
      <c r="BC712" s="56"/>
      <c r="BD712" s="56"/>
      <c r="BE712" s="56"/>
      <c r="BF712" s="107" t="str">
        <f t="shared" si="474"/>
        <v>https://www.google.com/search?tbm=isch&amp;q=Cherry%20on%20Top%E2%84%A2%20Sorbaria%20Sorbaria%20sorbifolia%20%27Bococot%27%20PP%2333639</v>
      </c>
      <c r="BG712" s="107" t="str">
        <f t="shared" si="475"/>
        <v>C</v>
      </c>
      <c r="BH712" s="254"/>
      <c r="BI712" s="254"/>
    </row>
    <row r="713" spans="1:61" customFormat="1" ht="15.75" x14ac:dyDescent="0.25">
      <c r="A713" s="276">
        <v>1</v>
      </c>
      <c r="B713" s="240" t="s">
        <v>291</v>
      </c>
      <c r="C713" s="241" t="s">
        <v>4701</v>
      </c>
      <c r="D713" s="242" t="s">
        <v>312</v>
      </c>
      <c r="E713" s="243">
        <v>30.95</v>
      </c>
      <c r="F713" s="517" t="s">
        <v>293</v>
      </c>
      <c r="G713" s="232">
        <v>0</v>
      </c>
      <c r="H713" s="661" t="str">
        <f>IF(G713=0,"",IF(F713="Buy",IF(G713=1,"plant","plants"),IF(F713&gt;0.01,"warranty","Error")))</f>
        <v/>
      </c>
      <c r="I713" s="244">
        <f>IF(H713="free",0,IF(H713="credit",((E713*(F713))*G713*-1),IF(F713="Buy",(E713*G713),((E713*(1-F713))*G713))))</f>
        <v>0</v>
      </c>
      <c r="J713" s="244">
        <f>IF(H713="warranty",0,(I713*(_xlfn.SINGLE(SalesTaxPercentage))))</f>
        <v>0</v>
      </c>
      <c r="K713" s="696">
        <f t="shared" ref="K713" si="509">I713+J713</f>
        <v>0</v>
      </c>
      <c r="L713" s="696"/>
      <c r="M713" s="659" t="str">
        <f>IF(AND(G713&gt;0,E713=0),"WARNING - no PRICE inserted",IF(H713="free"," FREE ~ no charge this plant",IF(H713="credit",CONCATENATE(" -$",ROUND(K713*(1-T2GDiscount)*-1,2)," CREDIT after discount"),IF(T2GDiscount=0,"",IF(G713=0,"",IF(F713="Buy",CONCATENATE(" $",ROUND(K713*(1-T2GDiscount),2)," with ",(T2GDiscount*100),"% discount"),CONCATENATE(" $",ROUND(K713*(1-T2GDiscount),2)," with ",((T2GDiscount*100+F713*100)-(T2GDiscount*100*F713)),IF(F713&gt;0,"% discounts",IF(NoWarrantyDiscount&gt;0,"% discounts","% discount")))))))))</f>
        <v/>
      </c>
      <c r="N713" s="660"/>
      <c r="O713" s="233"/>
      <c r="P713" s="233"/>
      <c r="Q713" s="233"/>
      <c r="R713" s="233"/>
      <c r="S713" s="233"/>
      <c r="T713" s="508">
        <f t="shared" si="463"/>
        <v>0</v>
      </c>
      <c r="U713" s="225">
        <f>IF(NOT(ISNUMBER(G713)), "", VLOOKUP(A713,'Discount Lookup'!D:E,2,FALSE)*G713)</f>
        <v>0</v>
      </c>
      <c r="V713" s="225">
        <f>IF(NOT(ISNUMBER(G713)), "", VLOOKUP(A713,'Discount Lookup'!G:H,2,FALSE)*G713)</f>
        <v>0</v>
      </c>
      <c r="W713" s="508">
        <f t="shared" si="464"/>
        <v>0</v>
      </c>
      <c r="X713" s="508">
        <f t="shared" si="465"/>
        <v>0</v>
      </c>
      <c r="Y713" s="509" t="b">
        <f t="shared" si="466"/>
        <v>0</v>
      </c>
      <c r="Z713" s="510">
        <f t="shared" si="467"/>
        <v>0</v>
      </c>
      <c r="AA713" s="511"/>
      <c r="AB713" s="511" t="str">
        <f t="shared" si="468"/>
        <v/>
      </c>
      <c r="AC713" s="698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698"/>
      <c r="AE713" s="631" t="str">
        <f t="shared" si="469"/>
        <v/>
      </c>
      <c r="AF713" s="699" t="str">
        <f t="shared" si="470"/>
        <v/>
      </c>
      <c r="AG713" s="699"/>
      <c r="AH713" s="699"/>
      <c r="AI713" s="512">
        <f>IF(H713="credit",0,IF(AE713="free",0,IF(AE713="me",0,IF(G713&gt;0,(VLOOKUP(A713,'Discount Lookup'!J:K,2)*G713),0))))</f>
        <v>0</v>
      </c>
      <c r="AJ713" s="513" t="str">
        <f t="shared" ca="1" si="471"/>
        <v/>
      </c>
      <c r="AK713" s="700" t="str">
        <f t="shared" si="472"/>
        <v/>
      </c>
      <c r="AL713" s="700"/>
      <c r="AM713" s="505" t="str">
        <f t="shared" si="473"/>
        <v/>
      </c>
      <c r="AN713" s="506"/>
      <c r="AO713" s="507"/>
      <c r="AP713" s="507"/>
      <c r="AQ713" s="507"/>
      <c r="AR713" s="507"/>
      <c r="AS713" s="507"/>
      <c r="AT713" s="507"/>
      <c r="AU713" s="507"/>
      <c r="AV713" s="225"/>
      <c r="AW713" s="508"/>
      <c r="AX713" s="225"/>
      <c r="AY713" s="225"/>
      <c r="AZ713" s="225"/>
      <c r="BA713" s="225"/>
      <c r="BB713" s="225"/>
      <c r="BC713" s="56"/>
      <c r="BD713" s="56"/>
      <c r="BE713" s="56"/>
      <c r="BF713" s="107" t="str">
        <f t="shared" si="474"/>
        <v>https://www.google.com/search?tbm=isch&amp;q=1%20G2</v>
      </c>
      <c r="BG713" s="107" t="str">
        <f t="shared" si="475"/>
        <v>C</v>
      </c>
      <c r="BH713" s="254"/>
      <c r="BI713" s="254"/>
    </row>
    <row r="714" spans="1:61" customFormat="1" ht="17.25" thickBot="1" x14ac:dyDescent="0.3">
      <c r="A714" s="673" t="s">
        <v>5079</v>
      </c>
      <c r="B714" s="245"/>
      <c r="C714" s="677"/>
      <c r="D714" s="499"/>
      <c r="E714" s="499"/>
      <c r="F714" s="500"/>
      <c r="G714" s="501"/>
      <c r="H714" s="502"/>
      <c r="I714" s="246"/>
      <c r="J714" s="247"/>
      <c r="K714" s="503"/>
      <c r="L714" s="544"/>
      <c r="M714" s="544"/>
      <c r="N714" s="500"/>
      <c r="O714" s="500"/>
      <c r="P714" s="500"/>
      <c r="Q714" s="500"/>
      <c r="R714" s="500"/>
      <c r="S714" s="669" t="s">
        <v>4972</v>
      </c>
      <c r="T714" s="508">
        <f t="shared" si="463"/>
        <v>0</v>
      </c>
      <c r="U714" s="225" t="str">
        <f>IF(NOT(ISNUMBER(G714)), "", VLOOKUP(A714,'Discount Lookup'!D:E,2,FALSE)*G714)</f>
        <v/>
      </c>
      <c r="V714" s="225" t="str">
        <f>IF(NOT(ISNUMBER(G714)), "", VLOOKUP(A714,'Discount Lookup'!G:H,2,FALSE)*G714)</f>
        <v/>
      </c>
      <c r="W714" s="508">
        <f t="shared" si="464"/>
        <v>0</v>
      </c>
      <c r="X714" s="508">
        <f t="shared" si="465"/>
        <v>0</v>
      </c>
      <c r="Y714" s="509" t="b">
        <f t="shared" si="466"/>
        <v>0</v>
      </c>
      <c r="Z714" s="510">
        <f t="shared" si="467"/>
        <v>0</v>
      </c>
      <c r="AA714" s="511"/>
      <c r="AB714" s="511" t="str">
        <f t="shared" si="468"/>
        <v/>
      </c>
      <c r="AC714" s="698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698"/>
      <c r="AE714" s="631" t="str">
        <f t="shared" si="469"/>
        <v/>
      </c>
      <c r="AF714" s="699" t="str">
        <f t="shared" si="470"/>
        <v/>
      </c>
      <c r="AG714" s="699"/>
      <c r="AH714" s="699"/>
      <c r="AI714" s="512">
        <f>IF(H714="credit",0,IF(AE714="free",0,IF(AE714="me",0,IF(G714&gt;0,(VLOOKUP(A714,'Discount Lookup'!J:K,2)*G714),0))))</f>
        <v>0</v>
      </c>
      <c r="AJ714" s="513" t="str">
        <f t="shared" ca="1" si="471"/>
        <v/>
      </c>
      <c r="AK714" s="700" t="str">
        <f t="shared" si="472"/>
        <v/>
      </c>
      <c r="AL714" s="700"/>
      <c r="AM714" s="505" t="str">
        <f t="shared" si="473"/>
        <v/>
      </c>
      <c r="AN714" s="506"/>
      <c r="AO714" s="507"/>
      <c r="AP714" s="507"/>
      <c r="AQ714" s="507"/>
      <c r="AR714" s="507"/>
      <c r="AS714" s="507"/>
      <c r="AT714" s="507"/>
      <c r="AU714" s="507"/>
      <c r="AV714" s="225"/>
      <c r="AW714" s="508"/>
      <c r="AX714" s="225"/>
      <c r="AY714" s="225"/>
      <c r="AZ714" s="225"/>
      <c r="BA714" s="225"/>
      <c r="BB714" s="225"/>
      <c r="BC714" s="56"/>
      <c r="BD714" s="56"/>
      <c r="BE714" s="56"/>
      <c r="BF714" s="107" t="str">
        <f t="shared" si="474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714" s="107" t="str">
        <f t="shared" si="475"/>
        <v>m</v>
      </c>
      <c r="BH714" s="254"/>
      <c r="BI714" s="254"/>
    </row>
    <row r="715" spans="1:61" customFormat="1" ht="18" x14ac:dyDescent="0.25">
      <c r="A715" s="523" t="s">
        <v>5373</v>
      </c>
      <c r="B715" s="235"/>
      <c r="C715" s="676"/>
      <c r="D715" s="255" t="s">
        <v>547</v>
      </c>
      <c r="E715" s="236"/>
      <c r="F715" s="236"/>
      <c r="G715" s="236"/>
      <c r="H715" s="582" t="s">
        <v>443</v>
      </c>
      <c r="I715" s="498" t="s">
        <v>3099</v>
      </c>
      <c r="J715" s="237"/>
      <c r="K715" s="237"/>
      <c r="L715" s="274"/>
      <c r="M715" s="670" t="s">
        <v>4973</v>
      </c>
      <c r="N715" s="681" t="str">
        <f>IF(AND(ISTEXT($A715), ISERROR($A715+0)), HYPERLINK($BF715, "Images"), "")</f>
        <v>Images</v>
      </c>
      <c r="O715" s="663" t="s">
        <v>4974</v>
      </c>
      <c r="P715" s="253"/>
      <c r="Q715" s="238"/>
      <c r="R715" s="239"/>
      <c r="S715" s="275"/>
      <c r="T715" s="508">
        <f t="shared" si="463"/>
        <v>0</v>
      </c>
      <c r="U715" s="225" t="str">
        <f>IF(NOT(ISNUMBER(G715)), "", VLOOKUP(A715,'Discount Lookup'!D:E,2,FALSE)*G715)</f>
        <v/>
      </c>
      <c r="V715" s="225" t="str">
        <f>IF(NOT(ISNUMBER(G715)), "", VLOOKUP(A715,'Discount Lookup'!G:H,2,FALSE)*G715)</f>
        <v/>
      </c>
      <c r="W715" s="508">
        <f t="shared" si="464"/>
        <v>0</v>
      </c>
      <c r="X715" s="508" t="str">
        <f t="shared" si="465"/>
        <v>Cherry-Red bloom ages to Purple</v>
      </c>
      <c r="Y715" s="509" t="b">
        <f t="shared" si="466"/>
        <v>0</v>
      </c>
      <c r="Z715" s="510">
        <f t="shared" si="467"/>
        <v>0</v>
      </c>
      <c r="AA715" s="511"/>
      <c r="AB715" s="511" t="str">
        <f t="shared" si="468"/>
        <v/>
      </c>
      <c r="AC715" s="698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698"/>
      <c r="AE715" s="631" t="str">
        <f t="shared" si="469"/>
        <v/>
      </c>
      <c r="AF715" s="699" t="str">
        <f t="shared" si="470"/>
        <v/>
      </c>
      <c r="AG715" s="699"/>
      <c r="AH715" s="699"/>
      <c r="AI715" s="512">
        <f>IF(H715="credit",0,IF(AE715="free",0,IF(AE715="me",0,IF(G715&gt;0,(VLOOKUP(A715,'Discount Lookup'!J:K,2)*G715),0))))</f>
        <v>0</v>
      </c>
      <c r="AJ715" s="513" t="str">
        <f t="shared" ca="1" si="471"/>
        <v/>
      </c>
      <c r="AK715" s="700" t="str">
        <f t="shared" si="472"/>
        <v/>
      </c>
      <c r="AL715" s="700"/>
      <c r="AM715" s="505" t="str">
        <f t="shared" si="473"/>
        <v/>
      </c>
      <c r="AN715" s="506"/>
      <c r="AO715" s="507"/>
      <c r="AP715" s="507"/>
      <c r="AQ715" s="507"/>
      <c r="AR715" s="507"/>
      <c r="AS715" s="507"/>
      <c r="AT715" s="507"/>
      <c r="AU715" s="507"/>
      <c r="AV715" s="225"/>
      <c r="AW715" s="508"/>
      <c r="AX715" s="225"/>
      <c r="AY715" s="225"/>
      <c r="AZ715" s="225"/>
      <c r="BA715" s="225"/>
      <c r="BB715" s="225"/>
      <c r="BC715" s="56"/>
      <c r="BD715" s="56"/>
      <c r="BE715" s="56"/>
      <c r="BF715" s="107" t="str">
        <f t="shared" si="474"/>
        <v>https://www.google.com/search?tbm=isch&amp;q=Cherry-Go-Round%E2%84%A2%20Bigleaf%20Hydrangea%20Hyd.%20macrophylla%20%27Hokomaburlac%27%20PPAF</v>
      </c>
      <c r="BG715" s="107" t="str">
        <f t="shared" si="475"/>
        <v>C</v>
      </c>
      <c r="BH715" s="254"/>
      <c r="BI715" s="254"/>
    </row>
    <row r="716" spans="1:61" customFormat="1" ht="15.75" x14ac:dyDescent="0.25">
      <c r="A716" s="276">
        <v>1</v>
      </c>
      <c r="B716" s="240" t="s">
        <v>291</v>
      </c>
      <c r="C716" s="241"/>
      <c r="D716" s="242" t="s">
        <v>312</v>
      </c>
      <c r="E716" s="243">
        <v>30.95</v>
      </c>
      <c r="F716" s="517" t="s">
        <v>293</v>
      </c>
      <c r="G716" s="232">
        <v>0</v>
      </c>
      <c r="H716" s="661" t="str">
        <f>IF(G716=0,"",IF(F716="Buy",IF(G716=1,"plant","plants"),IF(F716&gt;0.01,"warranty","Error")))</f>
        <v/>
      </c>
      <c r="I716" s="244">
        <f>IF(H716="free",0,IF(H716="credit",((E716*(F716))*G716*-1),IF(F716="Buy",(E716*G716),((E716*(1-F716))*G716))))</f>
        <v>0</v>
      </c>
      <c r="J716" s="244">
        <f>IF(H716="warranty",0,(I716*(_xlfn.SINGLE(SalesTaxPercentage))))</f>
        <v>0</v>
      </c>
      <c r="K716" s="696">
        <f t="shared" ref="K716" si="510">I716+J716</f>
        <v>0</v>
      </c>
      <c r="L716" s="696"/>
      <c r="M716" s="659" t="str">
        <f>IF(AND(G716&gt;0,E716=0),"WARNING - no PRICE inserted",IF(H716="free"," FREE ~ no charge this plant",IF(H716="credit",CONCATENATE(" -$",ROUND(K716*(1-T2GDiscount)*-1,2)," CREDIT after discount"),IF(T2GDiscount=0,"",IF(G716=0,"",IF(F716="Buy",CONCATENATE(" $",ROUND(K716*(1-T2GDiscount),2)," with ",(T2GDiscount*100),"% discount"),CONCATENATE(" $",ROUND(K716*(1-T2GDiscount),2)," with ",((T2GDiscount*100+F716*100)-(T2GDiscount*100*F716)),IF(F716&gt;0,"% discounts",IF(NoWarrantyDiscount&gt;0,"% discounts","% discount")))))))))</f>
        <v/>
      </c>
      <c r="N716" s="660"/>
      <c r="O716" s="233"/>
      <c r="P716" s="233"/>
      <c r="Q716" s="233"/>
      <c r="R716" s="233"/>
      <c r="S716" s="233"/>
      <c r="T716" s="508">
        <f t="shared" si="463"/>
        <v>0</v>
      </c>
      <c r="U716" s="225">
        <f>IF(NOT(ISNUMBER(G716)), "", VLOOKUP(A716,'Discount Lookup'!D:E,2,FALSE)*G716)</f>
        <v>0</v>
      </c>
      <c r="V716" s="225">
        <f>IF(NOT(ISNUMBER(G716)), "", VLOOKUP(A716,'Discount Lookup'!G:H,2,FALSE)*G716)</f>
        <v>0</v>
      </c>
      <c r="W716" s="508">
        <f t="shared" si="464"/>
        <v>0</v>
      </c>
      <c r="X716" s="508">
        <f t="shared" si="465"/>
        <v>0</v>
      </c>
      <c r="Y716" s="509" t="b">
        <f t="shared" si="466"/>
        <v>0</v>
      </c>
      <c r="Z716" s="510">
        <f t="shared" si="467"/>
        <v>0</v>
      </c>
      <c r="AA716" s="511"/>
      <c r="AB716" s="511" t="str">
        <f t="shared" si="468"/>
        <v/>
      </c>
      <c r="AC716" s="698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698"/>
      <c r="AE716" s="631" t="str">
        <f t="shared" si="469"/>
        <v/>
      </c>
      <c r="AF716" s="699" t="str">
        <f t="shared" si="470"/>
        <v/>
      </c>
      <c r="AG716" s="699"/>
      <c r="AH716" s="699"/>
      <c r="AI716" s="512">
        <f>IF(H716="credit",0,IF(AE716="free",0,IF(AE716="me",0,IF(G716&gt;0,(VLOOKUP(A716,'Discount Lookup'!J:K,2)*G716),0))))</f>
        <v>0</v>
      </c>
      <c r="AJ716" s="513" t="str">
        <f t="shared" ca="1" si="471"/>
        <v/>
      </c>
      <c r="AK716" s="700" t="str">
        <f t="shared" si="472"/>
        <v/>
      </c>
      <c r="AL716" s="700"/>
      <c r="AM716" s="505" t="str">
        <f t="shared" si="473"/>
        <v/>
      </c>
      <c r="AN716" s="506"/>
      <c r="AO716" s="507"/>
      <c r="AP716" s="507"/>
      <c r="AQ716" s="507"/>
      <c r="AR716" s="507"/>
      <c r="AS716" s="507"/>
      <c r="AT716" s="507"/>
      <c r="AU716" s="507"/>
      <c r="AV716" s="225"/>
      <c r="AW716" s="508"/>
      <c r="AX716" s="225"/>
      <c r="AY716" s="225"/>
      <c r="AZ716" s="225"/>
      <c r="BA716" s="225"/>
      <c r="BB716" s="225"/>
      <c r="BC716" s="56"/>
      <c r="BD716" s="56"/>
      <c r="BE716" s="56"/>
      <c r="BF716" s="107" t="str">
        <f t="shared" si="474"/>
        <v>https://www.google.com/search?tbm=isch&amp;q=1%20G2</v>
      </c>
      <c r="BG716" s="107" t="str">
        <f t="shared" si="475"/>
        <v>C</v>
      </c>
      <c r="BH716" s="254"/>
      <c r="BI716" s="254"/>
    </row>
    <row r="717" spans="1:61" customFormat="1" ht="17.25" thickBot="1" x14ac:dyDescent="0.3">
      <c r="A717" s="673" t="s">
        <v>5080</v>
      </c>
      <c r="B717" s="245"/>
      <c r="C717" s="677"/>
      <c r="D717" s="499"/>
      <c r="E717" s="499"/>
      <c r="F717" s="500"/>
      <c r="G717" s="501"/>
      <c r="H717" s="502"/>
      <c r="I717" s="246"/>
      <c r="J717" s="247"/>
      <c r="K717" s="503"/>
      <c r="L717" s="544"/>
      <c r="M717" s="544"/>
      <c r="N717" s="500"/>
      <c r="O717" s="500"/>
      <c r="P717" s="500"/>
      <c r="Q717" s="500"/>
      <c r="R717" s="500"/>
      <c r="S717" s="278"/>
      <c r="T717" s="508">
        <f t="shared" si="463"/>
        <v>0</v>
      </c>
      <c r="U717" s="225" t="str">
        <f>IF(NOT(ISNUMBER(G717)), "", VLOOKUP(A717,'Discount Lookup'!D:E,2,FALSE)*G717)</f>
        <v/>
      </c>
      <c r="V717" s="225" t="str">
        <f>IF(NOT(ISNUMBER(G717)), "", VLOOKUP(A717,'Discount Lookup'!G:H,2,FALSE)*G717)</f>
        <v/>
      </c>
      <c r="W717" s="508">
        <f t="shared" si="464"/>
        <v>0</v>
      </c>
      <c r="X717" s="508">
        <f t="shared" si="465"/>
        <v>0</v>
      </c>
      <c r="Y717" s="509" t="b">
        <f t="shared" si="466"/>
        <v>0</v>
      </c>
      <c r="Z717" s="510">
        <f t="shared" si="467"/>
        <v>0</v>
      </c>
      <c r="AA717" s="511"/>
      <c r="AB717" s="511" t="str">
        <f t="shared" si="468"/>
        <v/>
      </c>
      <c r="AC717" s="698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698"/>
      <c r="AE717" s="631" t="str">
        <f t="shared" si="469"/>
        <v/>
      </c>
      <c r="AF717" s="699" t="str">
        <f t="shared" si="470"/>
        <v/>
      </c>
      <c r="AG717" s="699"/>
      <c r="AH717" s="699"/>
      <c r="AI717" s="512">
        <f>IF(H717="credit",0,IF(AE717="free",0,IF(AE717="me",0,IF(G717&gt;0,(VLOOKUP(A717,'Discount Lookup'!J:K,2)*G717),0))))</f>
        <v>0</v>
      </c>
      <c r="AJ717" s="513" t="str">
        <f t="shared" ca="1" si="471"/>
        <v/>
      </c>
      <c r="AK717" s="700" t="str">
        <f t="shared" si="472"/>
        <v/>
      </c>
      <c r="AL717" s="700"/>
      <c r="AM717" s="505" t="str">
        <f t="shared" si="473"/>
        <v/>
      </c>
      <c r="AN717" s="506"/>
      <c r="AO717" s="507"/>
      <c r="AP717" s="507"/>
      <c r="AQ717" s="507"/>
      <c r="AR717" s="507"/>
      <c r="AS717" s="507"/>
      <c r="AT717" s="507"/>
      <c r="AU717" s="507"/>
      <c r="AV717" s="225"/>
      <c r="AW717" s="508"/>
      <c r="AX717" s="225"/>
      <c r="AY717" s="225"/>
      <c r="AZ717" s="225"/>
      <c r="BA717" s="225"/>
      <c r="BB717" s="225"/>
      <c r="BC717" s="56"/>
      <c r="BD717" s="56"/>
      <c r="BE717" s="56"/>
      <c r="BF717" s="107" t="str">
        <f t="shared" si="474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717" s="107" t="str">
        <f t="shared" si="475"/>
        <v>m</v>
      </c>
      <c r="BH717" s="254"/>
      <c r="BI717" s="254"/>
    </row>
    <row r="718" spans="1:61" customFormat="1" ht="18" x14ac:dyDescent="0.25">
      <c r="A718" s="523" t="s">
        <v>622</v>
      </c>
      <c r="B718" s="235"/>
      <c r="C718" s="676"/>
      <c r="D718" s="255" t="s">
        <v>621</v>
      </c>
      <c r="E718" s="236"/>
      <c r="F718" s="236"/>
      <c r="G718" s="236"/>
      <c r="H718" s="582" t="s">
        <v>2947</v>
      </c>
      <c r="I718" s="498" t="s">
        <v>670</v>
      </c>
      <c r="J718" s="237"/>
      <c r="K718" s="237"/>
      <c r="L718" s="274"/>
      <c r="M718" s="668" t="s">
        <v>4962</v>
      </c>
      <c r="N718" s="681" t="str">
        <f>IF(AND(ISTEXT($A718), ISERROR($A718+0)), HYPERLINK($BF718, "Images"), "")</f>
        <v>Images</v>
      </c>
      <c r="O718" s="663" t="s">
        <v>4967</v>
      </c>
      <c r="P718" s="253"/>
      <c r="Q718" s="238"/>
      <c r="R718" s="239"/>
      <c r="S718" s="275" t="s">
        <v>305</v>
      </c>
      <c r="T718" s="508">
        <f t="shared" ref="T718:T781" si="511">E718*G718</f>
        <v>0</v>
      </c>
      <c r="U718" s="225" t="str">
        <f>IF(NOT(ISNUMBER(G718)), "", VLOOKUP(A718,'Discount Lookup'!D:E,2,FALSE)*G718)</f>
        <v/>
      </c>
      <c r="V718" s="225" t="str">
        <f>IF(NOT(ISNUMBER(G718)), "", VLOOKUP(A718,'Discount Lookup'!G:H,2,FALSE)*G718)</f>
        <v/>
      </c>
      <c r="W718" s="508">
        <f t="shared" ref="W718:W781" si="512">IF(H718="credit",0,E718*(SalesTaxPercentage)*G718)</f>
        <v>0</v>
      </c>
      <c r="X718" s="508" t="str">
        <f t="shared" ref="X718:X781" si="513">I718</f>
        <v>Multi-color bloom</v>
      </c>
      <c r="Y718" s="509" t="b">
        <f t="shared" ref="Y718:Y781" si="514">IF(AE718="T2G",0,IF(H718="credit",0,IF(G718&gt;0,IF(AE718="me","",G718))))</f>
        <v>0</v>
      </c>
      <c r="Z718" s="510">
        <f t="shared" ref="Z718:Z781" si="515">IF(H718="credit",G718,0)</f>
        <v>0</v>
      </c>
      <c r="AA718" s="511"/>
      <c r="AB718" s="511" t="str">
        <f t="shared" ref="AB718:AB781" si="516">IF(AE718="T2G","by Trees2Go",IF(H718="credit","CREDIT only ~",IF(AND(K718="",AE718=OR(PlanterYesMe="No",PlanterYesMe="N",PlanterYesMe="me")),"not THIS line⇨",IF(AND(K718="images",AE718="me"),"not THIS line⇨",IF(H718="credit","",IF(G718=0,"",IF(AE718="me","",IF(OR(PlanterYesMe="No",PlanterYesMe="N",PlanterYesMe="me"),"",IF(AE718="free","warranty",IF(OR(PlanterYesMe="yes",PlanterYesMe="y"),"Edison install:","to install:"))))))))))</f>
        <v/>
      </c>
      <c r="AC718" s="698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698"/>
      <c r="AE718" s="631" t="str">
        <f t="shared" ref="AE718:AE781" si="517">IF(H718="credit","",IF(G718=0,"",IF(OR(PlanterYesMe="No",PlanterYesMe="N",PlanterYesMe="me"),"me",IF(H718="warranty","free",IF(OR(PlanterYesMe="yes",PlanterYesMe="y"),"ELP","")))))</f>
        <v/>
      </c>
      <c r="AF718" s="699" t="str">
        <f t="shared" ref="AF718:AF781" si="518">IF(OR(PlanterYesMe="No",PlanterYesMe="N",PlanterYesMe="me"),"",IF(H718="credit","",IF(G718&gt;0,(CONCATENATE((G718)," quantity, ",(A718)," ",B718)),"")))</f>
        <v/>
      </c>
      <c r="AG718" s="699"/>
      <c r="AH718" s="699"/>
      <c r="AI718" s="512">
        <f>IF(H718="credit",0,IF(AE718="free",0,IF(AE718="me",0,IF(G718&gt;0,(VLOOKUP(A718,'Discount Lookup'!J:K,2)*G718),0))))</f>
        <v>0</v>
      </c>
      <c r="AJ718" s="513" t="str">
        <f t="shared" ref="AJ718:AJ781" ca="1" si="519">IF(AND(ISREF(H718),H718="credit"),"",IF(AND(AND(OFFSET(G718,0,0)=0,OFFSET(G718,1,0)&gt;0,ISNUMBER(OFFSET(AC718,1,0)),OFFSET(AC718,1,0)&gt;0),OR(PlanterYesMe="yes",PlanterYesMe="y")),"T2G+ELP=",IF(AND(OFFSET(G718,0,0)=0,OFFSET(G718,1,0)&gt;0,ISNUMBER(OFFSET(AC718,1,0)),OFFSET(AC718,1,0)&gt;0),"if T2G+ELP=",IF(AND(OFFSET(G718,0,0)=0,OFFSET(G718,1,0)&gt;0),"T2G Subtotal",IF(H718="credit","",IF(G718=0,"",IF(AE718="free",(K718*(1-T2GDiscount)),IF(OR(PlanterYesMe="No",PlanterYesMe="N",PlanterYesMe="me"),(K718*(1-T2GDiscount)),IF(OR(AE718="me",AE718="T2G"),(K718*(1-T2GDiscount)),(K718*(1-T2GDiscount))+AC718)))))))))</f>
        <v/>
      </c>
      <c r="AK718" s="700" t="str">
        <f t="shared" ref="AK718:AK781" si="520">IF(H718="credit","",IF(G718=0,"",IF(OR(AE718="me",AE718="T2G"),"  delivery-only",IF(OR(PlanterYesMe="No",PlanterYesMe="N",PlanterYesMe="me"),"  delivery-only",CONCATENATE(" $",ROUND(AJ718/G718,2)," each")))))</f>
        <v/>
      </c>
      <c r="AL718" s="700"/>
      <c r="AM718" s="505" t="str">
        <f t="shared" ref="AM718:AM781" si="521">IF(H718="credit","",IF(AE718="free","      ~ discounts included, no tax or planting fee applies ~",IF(G718=0,"",IF(OR(PlanterYesMe="No",PlanterYesMe="N",PlanterYesMe="me"),CONCATENATE(" $",ROUND(AJ718/G718,2)," per plant, with tax &amp; discount"),IF(OR(AE718="me",AE718="T2G"),CONCATENATE(" $",ROUND(AJ718/G718,2)," per plant, with tax &amp; discount"),CONCATENATE("= $",ROUND((K718*(1-T2GDiscount))/G718,2)," per plant + $",AC718/G718,(" per planting      ~ includes tax &amp; discounts ~")))))))</f>
        <v/>
      </c>
      <c r="AN718" s="506"/>
      <c r="AO718" s="507"/>
      <c r="AP718" s="507"/>
      <c r="AQ718" s="507"/>
      <c r="AR718" s="507"/>
      <c r="AS718" s="507"/>
      <c r="AT718" s="507"/>
      <c r="AU718" s="507"/>
      <c r="AV718" s="225"/>
      <c r="AW718" s="508"/>
      <c r="AX718" s="225"/>
      <c r="AY718" s="225"/>
      <c r="AZ718" s="225"/>
      <c r="BA718" s="225"/>
      <c r="BB718" s="225"/>
      <c r="BC718" s="56"/>
      <c r="BD718" s="56"/>
      <c r="BE718" s="56"/>
      <c r="BF718" s="107" t="str">
        <f t="shared" ref="BF718:BF781" si="522">"https://www.google.com/search?tbm=isch&amp;q=" &amp; _xlfn.ENCODEURL($A718 &amp; " " &amp; $D718)</f>
        <v>https://www.google.com/search?tbm=isch&amp;q=Cheyenne%20Spirit%20Coneflower%20Echinacea%20purpurea%20%27Cheyenne%20Spirit%27%20PP%237982110</v>
      </c>
      <c r="BG718" s="107" t="str">
        <f t="shared" ref="BG718:BG781" si="523">IF(ISTEXT(A718),LEFT(A718,1),BG717)</f>
        <v>C</v>
      </c>
      <c r="BH718" s="254"/>
      <c r="BI718" s="254"/>
    </row>
    <row r="719" spans="1:61" customFormat="1" ht="15.75" x14ac:dyDescent="0.25">
      <c r="A719" s="276">
        <v>1</v>
      </c>
      <c r="B719" s="240" t="s">
        <v>291</v>
      </c>
      <c r="C719" s="241"/>
      <c r="D719" s="242" t="s">
        <v>300</v>
      </c>
      <c r="E719" s="243">
        <v>26.95</v>
      </c>
      <c r="F719" s="517" t="s">
        <v>293</v>
      </c>
      <c r="G719" s="232">
        <v>0</v>
      </c>
      <c r="H719" s="661" t="str">
        <f>IF(G719=0,"",IF(F719="Buy",IF(G719=1,"plant","plants"),IF(F719&gt;0.01,"warranty","Error")))</f>
        <v/>
      </c>
      <c r="I719" s="244">
        <f>IF(H719="free",0,IF(H719="credit",((E719*(F719))*G719*-1),IF(F719="Buy",(E719*G719),((E719*(1-F719))*G719))))</f>
        <v>0</v>
      </c>
      <c r="J719" s="244">
        <f>IF(H719="warranty",0,(I719*(_xlfn.SINGLE(SalesTaxPercentage))))</f>
        <v>0</v>
      </c>
      <c r="K719" s="696">
        <f t="shared" ref="K719" si="524">I719+J719</f>
        <v>0</v>
      </c>
      <c r="L719" s="696"/>
      <c r="M719" s="659" t="str">
        <f>IF(AND(G719&gt;0,E719=0),"WARNING - no PRICE inserted",IF(H719="free"," FREE ~ no charge this plant",IF(H719="credit",CONCATENATE(" -$",ROUND(K719*(1-T2GDiscount)*-1,2)," CREDIT after discount"),IF(T2GDiscount=0,"",IF(G719=0,"",IF(F719="Buy",CONCATENATE(" $",ROUND(K719*(1-T2GDiscount),2)," with ",(T2GDiscount*100),"% discount"),CONCATENATE(" $",ROUND(K719*(1-T2GDiscount),2)," with ",((T2GDiscount*100+F719*100)-(T2GDiscount*100*F719)),IF(F719&gt;0,"% discounts",IF(NoWarrantyDiscount&gt;0,"% discounts","% discount")))))))))</f>
        <v/>
      </c>
      <c r="N719" s="660"/>
      <c r="O719" s="233"/>
      <c r="P719" s="233"/>
      <c r="Q719" s="233"/>
      <c r="R719" s="233"/>
      <c r="S719" s="233"/>
      <c r="T719" s="508">
        <f t="shared" si="511"/>
        <v>0</v>
      </c>
      <c r="U719" s="225">
        <f>IF(NOT(ISNUMBER(G719)), "", VLOOKUP(A719,'Discount Lookup'!D:E,2,FALSE)*G719)</f>
        <v>0</v>
      </c>
      <c r="V719" s="225">
        <f>IF(NOT(ISNUMBER(G719)), "", VLOOKUP(A719,'Discount Lookup'!G:H,2,FALSE)*G719)</f>
        <v>0</v>
      </c>
      <c r="W719" s="508">
        <f t="shared" si="512"/>
        <v>0</v>
      </c>
      <c r="X719" s="508">
        <f t="shared" si="513"/>
        <v>0</v>
      </c>
      <c r="Y719" s="509" t="b">
        <f t="shared" si="514"/>
        <v>0</v>
      </c>
      <c r="Z719" s="510">
        <f t="shared" si="515"/>
        <v>0</v>
      </c>
      <c r="AA719" s="511"/>
      <c r="AB719" s="511" t="str">
        <f t="shared" si="516"/>
        <v/>
      </c>
      <c r="AC719" s="698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698"/>
      <c r="AE719" s="631" t="str">
        <f t="shared" si="517"/>
        <v/>
      </c>
      <c r="AF719" s="699" t="str">
        <f t="shared" si="518"/>
        <v/>
      </c>
      <c r="AG719" s="699"/>
      <c r="AH719" s="699"/>
      <c r="AI719" s="512">
        <f>IF(H719="credit",0,IF(AE719="free",0,IF(AE719="me",0,IF(G719&gt;0,(VLOOKUP(A719,'Discount Lookup'!J:K,2)*G719),0))))</f>
        <v>0</v>
      </c>
      <c r="AJ719" s="513" t="str">
        <f t="shared" ca="1" si="519"/>
        <v/>
      </c>
      <c r="AK719" s="700" t="str">
        <f t="shared" si="520"/>
        <v/>
      </c>
      <c r="AL719" s="700"/>
      <c r="AM719" s="505" t="str">
        <f t="shared" si="521"/>
        <v/>
      </c>
      <c r="AN719" s="506"/>
      <c r="AO719" s="507"/>
      <c r="AP719" s="507"/>
      <c r="AQ719" s="507"/>
      <c r="AR719" s="507"/>
      <c r="AS719" s="507"/>
      <c r="AT719" s="507"/>
      <c r="AU719" s="507"/>
      <c r="AV719" s="225"/>
      <c r="AW719" s="508"/>
      <c r="AX719" s="225"/>
      <c r="AY719" s="225"/>
      <c r="AZ719" s="225"/>
      <c r="BA719" s="225"/>
      <c r="BB719" s="225"/>
      <c r="BC719" s="56"/>
      <c r="BD719" s="56"/>
      <c r="BE719" s="56"/>
      <c r="BF719" s="107" t="str">
        <f t="shared" si="522"/>
        <v>https://www.google.com/search?tbm=isch&amp;q=1%20G6</v>
      </c>
      <c r="BG719" s="107" t="str">
        <f t="shared" si="523"/>
        <v>C</v>
      </c>
      <c r="BH719" s="254"/>
      <c r="BI719" s="254"/>
    </row>
    <row r="720" spans="1:61" customFormat="1" ht="17.25" thickBot="1" x14ac:dyDescent="0.3">
      <c r="A720" s="524" t="s">
        <v>4241</v>
      </c>
      <c r="B720" s="245"/>
      <c r="C720" s="677"/>
      <c r="D720" s="499"/>
      <c r="E720" s="499"/>
      <c r="F720" s="500"/>
      <c r="G720" s="501"/>
      <c r="H720" s="502"/>
      <c r="I720" s="246"/>
      <c r="J720" s="247"/>
      <c r="K720" s="503"/>
      <c r="L720" s="544"/>
      <c r="M720" s="544"/>
      <c r="N720" s="500"/>
      <c r="O720" s="500"/>
      <c r="P720" s="500"/>
      <c r="Q720" s="500"/>
      <c r="R720" s="500"/>
      <c r="S720" s="669" t="s">
        <v>4979</v>
      </c>
      <c r="T720" s="508">
        <f t="shared" si="511"/>
        <v>0</v>
      </c>
      <c r="U720" s="225" t="str">
        <f>IF(NOT(ISNUMBER(G720)), "", VLOOKUP(A720,'Discount Lookup'!D:E,2,FALSE)*G720)</f>
        <v/>
      </c>
      <c r="V720" s="225" t="str">
        <f>IF(NOT(ISNUMBER(G720)), "", VLOOKUP(A720,'Discount Lookup'!G:H,2,FALSE)*G720)</f>
        <v/>
      </c>
      <c r="W720" s="508">
        <f t="shared" si="512"/>
        <v>0</v>
      </c>
      <c r="X720" s="508">
        <f t="shared" si="513"/>
        <v>0</v>
      </c>
      <c r="Y720" s="509" t="b">
        <f t="shared" si="514"/>
        <v>0</v>
      </c>
      <c r="Z720" s="510">
        <f t="shared" si="515"/>
        <v>0</v>
      </c>
      <c r="AA720" s="511"/>
      <c r="AB720" s="511" t="str">
        <f t="shared" si="516"/>
        <v/>
      </c>
      <c r="AC720" s="698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698"/>
      <c r="AE720" s="631" t="str">
        <f t="shared" si="517"/>
        <v/>
      </c>
      <c r="AF720" s="699" t="str">
        <f t="shared" si="518"/>
        <v/>
      </c>
      <c r="AG720" s="699"/>
      <c r="AH720" s="699"/>
      <c r="AI720" s="512">
        <f>IF(H720="credit",0,IF(AE720="free",0,IF(AE720="me",0,IF(G720&gt;0,(VLOOKUP(A720,'Discount Lookup'!J:K,2)*G720),0))))</f>
        <v>0</v>
      </c>
      <c r="AJ720" s="513" t="str">
        <f t="shared" ca="1" si="519"/>
        <v/>
      </c>
      <c r="AK720" s="700" t="str">
        <f t="shared" si="520"/>
        <v/>
      </c>
      <c r="AL720" s="700"/>
      <c r="AM720" s="505" t="str">
        <f t="shared" si="521"/>
        <v/>
      </c>
      <c r="AN720" s="506"/>
      <c r="AO720" s="507"/>
      <c r="AP720" s="507"/>
      <c r="AQ720" s="507"/>
      <c r="AR720" s="507"/>
      <c r="AS720" s="507"/>
      <c r="AT720" s="507"/>
      <c r="AU720" s="507"/>
      <c r="AV720" s="225"/>
      <c r="AW720" s="508"/>
      <c r="AX720" s="225"/>
      <c r="AY720" s="225"/>
      <c r="AZ720" s="225"/>
      <c r="BA720" s="225"/>
      <c r="BB720" s="225"/>
      <c r="BC720" s="56"/>
      <c r="BD720" s="56"/>
      <c r="BE720" s="56"/>
      <c r="BF720" s="107" t="str">
        <f t="shared" si="522"/>
        <v>https://www.google.com/search?tbm=isch&amp;q=Cheyenne%20Spirit%20is%20a%20mix%20of%20Pink%2C%20Purple%2C%20Scarlet%2C%20Yellow%2C%20Gold%2C%20Orange%20and%20Cream%20flowers%20</v>
      </c>
      <c r="BG720" s="107" t="str">
        <f t="shared" si="523"/>
        <v>C</v>
      </c>
      <c r="BH720" s="254"/>
      <c r="BI720" s="254"/>
    </row>
    <row r="721" spans="1:61" customFormat="1" ht="18" x14ac:dyDescent="0.25">
      <c r="A721" s="523" t="s">
        <v>381</v>
      </c>
      <c r="B721" s="235"/>
      <c r="C721" s="676"/>
      <c r="D721" s="255" t="s">
        <v>380</v>
      </c>
      <c r="E721" s="236"/>
      <c r="F721" s="236"/>
      <c r="G721" s="236"/>
      <c r="H721" s="582" t="s">
        <v>357</v>
      </c>
      <c r="I721" s="498" t="s">
        <v>2124</v>
      </c>
      <c r="J721" s="237"/>
      <c r="K721" s="237"/>
      <c r="L721" s="274"/>
      <c r="M721" s="668" t="s">
        <v>4975</v>
      </c>
      <c r="N721" s="681" t="str">
        <f>IF(AND(ISTEXT($A721), ISERROR($A721+0)), HYPERLINK($BF721, "Images"), "")</f>
        <v>Images</v>
      </c>
      <c r="O721" s="663" t="s">
        <v>4967</v>
      </c>
      <c r="P721" s="253"/>
      <c r="Q721" s="238"/>
      <c r="R721" s="239"/>
      <c r="S721" s="275"/>
      <c r="T721" s="508">
        <f t="shared" si="511"/>
        <v>0</v>
      </c>
      <c r="U721" s="225" t="str">
        <f>IF(NOT(ISNUMBER(G721)), "", VLOOKUP(A721,'Discount Lookup'!D:E,2,FALSE)*G721)</f>
        <v/>
      </c>
      <c r="V721" s="225" t="str">
        <f>IF(NOT(ISNUMBER(G721)), "", VLOOKUP(A721,'Discount Lookup'!G:H,2,FALSE)*G721)</f>
        <v/>
      </c>
      <c r="W721" s="508">
        <f t="shared" si="512"/>
        <v>0</v>
      </c>
      <c r="X721" s="508" t="str">
        <f t="shared" si="513"/>
        <v>Snow White bloom</v>
      </c>
      <c r="Y721" s="509" t="b">
        <f t="shared" si="514"/>
        <v>0</v>
      </c>
      <c r="Z721" s="510">
        <f t="shared" si="515"/>
        <v>0</v>
      </c>
      <c r="AA721" s="511"/>
      <c r="AB721" s="511" t="str">
        <f t="shared" si="516"/>
        <v/>
      </c>
      <c r="AC721" s="698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698"/>
      <c r="AE721" s="631" t="str">
        <f t="shared" si="517"/>
        <v/>
      </c>
      <c r="AF721" s="699" t="str">
        <f t="shared" si="518"/>
        <v/>
      </c>
      <c r="AG721" s="699"/>
      <c r="AH721" s="699"/>
      <c r="AI721" s="512">
        <f>IF(H721="credit",0,IF(AE721="free",0,IF(AE721="me",0,IF(G721&gt;0,(VLOOKUP(A721,'Discount Lookup'!J:K,2)*G721),0))))</f>
        <v>0</v>
      </c>
      <c r="AJ721" s="513" t="str">
        <f t="shared" ca="1" si="519"/>
        <v/>
      </c>
      <c r="AK721" s="700" t="str">
        <f t="shared" si="520"/>
        <v/>
      </c>
      <c r="AL721" s="700"/>
      <c r="AM721" s="505" t="str">
        <f t="shared" si="521"/>
        <v/>
      </c>
      <c r="AN721" s="506"/>
      <c r="AO721" s="507"/>
      <c r="AP721" s="507"/>
      <c r="AQ721" s="507"/>
      <c r="AR721" s="507"/>
      <c r="AS721" s="507"/>
      <c r="AT721" s="507"/>
      <c r="AU721" s="507"/>
      <c r="AV721" s="225"/>
      <c r="AW721" s="508"/>
      <c r="AX721" s="225"/>
      <c r="AY721" s="225"/>
      <c r="AZ721" s="225"/>
      <c r="BA721" s="225"/>
      <c r="BB721" s="225"/>
      <c r="BC721" s="56"/>
      <c r="BD721" s="56"/>
      <c r="BE721" s="56"/>
      <c r="BF721" s="107" t="str">
        <f t="shared" si="522"/>
        <v>https://www.google.com/search?tbm=isch&amp;q=China%20Doll%20Fringetree%20Chionanthus%20retusus%20%27China%20Doll%27</v>
      </c>
      <c r="BG721" s="107" t="str">
        <f t="shared" si="523"/>
        <v>C</v>
      </c>
      <c r="BH721" s="254"/>
      <c r="BI721" s="254"/>
    </row>
    <row r="722" spans="1:61" customFormat="1" ht="27" x14ac:dyDescent="0.25">
      <c r="A722" s="276">
        <v>7</v>
      </c>
      <c r="B722" s="240" t="s">
        <v>291</v>
      </c>
      <c r="C722" s="241" t="s">
        <v>3374</v>
      </c>
      <c r="D722" s="242" t="s">
        <v>292</v>
      </c>
      <c r="E722" s="243">
        <v>118.95</v>
      </c>
      <c r="F722" s="517" t="s">
        <v>293</v>
      </c>
      <c r="G722" s="232">
        <v>0</v>
      </c>
      <c r="H722" s="661" t="str">
        <f>IF(G722=0,"",IF(F722="Buy",IF(G722=1,"plant","plants"),IF(F722&gt;0.01,"warranty","Error")))</f>
        <v/>
      </c>
      <c r="I722" s="244">
        <f>IF(H722="free",0,IF(H722="credit",((E722*(F722))*G722*-1),IF(F722="Buy",(E722*G722),((E722*(1-F722))*G722))))</f>
        <v>0</v>
      </c>
      <c r="J722" s="244">
        <f>IF(H722="warranty",0,(I722*(_xlfn.SINGLE(SalesTaxPercentage))))</f>
        <v>0</v>
      </c>
      <c r="K722" s="696">
        <f t="shared" ref="K722" si="525">I722+J722</f>
        <v>0</v>
      </c>
      <c r="L722" s="696"/>
      <c r="M722" s="659" t="str">
        <f>IF(AND(G722&gt;0,E722=0),"WARNING - no PRICE inserted",IF(H722="free"," FREE ~ no charge this plant",IF(H722="credit",CONCATENATE(" -$",ROUND(K722*(1-T2GDiscount)*-1,2)," CREDIT after discount"),IF(T2GDiscount=0,"",IF(G722=0,"",IF(F722="Buy",CONCATENATE(" $",ROUND(K722*(1-T2GDiscount),2)," with ",(T2GDiscount*100),"% discount"),CONCATENATE(" $",ROUND(K722*(1-T2GDiscount),2)," with ",((T2GDiscount*100+F722*100)-(T2GDiscount*100*F722)),IF(F722&gt;0,"% discounts",IF(NoWarrantyDiscount&gt;0,"% discounts","% discount")))))))))</f>
        <v/>
      </c>
      <c r="N722" s="660"/>
      <c r="O722" s="233"/>
      <c r="P722" s="233"/>
      <c r="Q722" s="233"/>
      <c r="R722" s="233"/>
      <c r="S722" s="233"/>
      <c r="T722" s="508">
        <f t="shared" si="511"/>
        <v>0</v>
      </c>
      <c r="U722" s="225">
        <f>IF(NOT(ISNUMBER(G722)), "", VLOOKUP(A722,'Discount Lookup'!D:E,2,FALSE)*G722)</f>
        <v>0</v>
      </c>
      <c r="V722" s="225">
        <f>IF(NOT(ISNUMBER(G722)), "", VLOOKUP(A722,'Discount Lookup'!G:H,2,FALSE)*G722)</f>
        <v>0</v>
      </c>
      <c r="W722" s="508">
        <f t="shared" si="512"/>
        <v>0</v>
      </c>
      <c r="X722" s="508">
        <f t="shared" si="513"/>
        <v>0</v>
      </c>
      <c r="Y722" s="509" t="b">
        <f t="shared" si="514"/>
        <v>0</v>
      </c>
      <c r="Z722" s="510">
        <f t="shared" si="515"/>
        <v>0</v>
      </c>
      <c r="AA722" s="511"/>
      <c r="AB722" s="511" t="str">
        <f t="shared" si="516"/>
        <v/>
      </c>
      <c r="AC722" s="698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698"/>
      <c r="AE722" s="631" t="str">
        <f t="shared" si="517"/>
        <v/>
      </c>
      <c r="AF722" s="699" t="str">
        <f t="shared" si="518"/>
        <v/>
      </c>
      <c r="AG722" s="699"/>
      <c r="AH722" s="699"/>
      <c r="AI722" s="512">
        <f>IF(H722="credit",0,IF(AE722="free",0,IF(AE722="me",0,IF(G722&gt;0,(VLOOKUP(A722,'Discount Lookup'!J:K,2)*G722),0))))</f>
        <v>0</v>
      </c>
      <c r="AJ722" s="513" t="str">
        <f t="shared" ca="1" si="519"/>
        <v/>
      </c>
      <c r="AK722" s="700" t="str">
        <f t="shared" si="520"/>
        <v/>
      </c>
      <c r="AL722" s="700"/>
      <c r="AM722" s="505" t="str">
        <f t="shared" si="521"/>
        <v/>
      </c>
      <c r="AN722" s="506"/>
      <c r="AO722" s="507"/>
      <c r="AP722" s="507"/>
      <c r="AQ722" s="507"/>
      <c r="AR722" s="507"/>
      <c r="AS722" s="507"/>
      <c r="AT722" s="507"/>
      <c r="AU722" s="507"/>
      <c r="AV722" s="225"/>
      <c r="AW722" s="508"/>
      <c r="AX722" s="225"/>
      <c r="AY722" s="225"/>
      <c r="AZ722" s="225"/>
      <c r="BA722" s="225"/>
      <c r="BB722" s="225"/>
      <c r="BC722" s="56"/>
      <c r="BD722" s="56"/>
      <c r="BE722" s="56"/>
      <c r="BF722" s="107" t="str">
        <f t="shared" si="522"/>
        <v>https://www.google.com/search?tbm=isch&amp;q=7%20G4</v>
      </c>
      <c r="BG722" s="107" t="str">
        <f t="shared" si="523"/>
        <v>C</v>
      </c>
      <c r="BH722" s="254"/>
      <c r="BI722" s="254"/>
    </row>
    <row r="723" spans="1:61" customFormat="1" ht="17.25" thickBot="1" x14ac:dyDescent="0.3">
      <c r="A723" s="524" t="s">
        <v>2356</v>
      </c>
      <c r="B723" s="245"/>
      <c r="C723" s="677"/>
      <c r="D723" s="499"/>
      <c r="E723" s="499"/>
      <c r="F723" s="500"/>
      <c r="G723" s="501"/>
      <c r="H723" s="502"/>
      <c r="I723" s="246"/>
      <c r="J723" s="247"/>
      <c r="K723" s="503"/>
      <c r="L723" s="544"/>
      <c r="M723" s="544"/>
      <c r="N723" s="500"/>
      <c r="O723" s="500"/>
      <c r="P723" s="500"/>
      <c r="Q723" s="500"/>
      <c r="R723" s="500"/>
      <c r="S723" s="278"/>
      <c r="T723" s="508">
        <f t="shared" si="511"/>
        <v>0</v>
      </c>
      <c r="U723" s="225" t="str">
        <f>IF(NOT(ISNUMBER(G723)), "", VLOOKUP(A723,'Discount Lookup'!D:E,2,FALSE)*G723)</f>
        <v/>
      </c>
      <c r="V723" s="225" t="str">
        <f>IF(NOT(ISNUMBER(G723)), "", VLOOKUP(A723,'Discount Lookup'!G:H,2,FALSE)*G723)</f>
        <v/>
      </c>
      <c r="W723" s="508">
        <f t="shared" si="512"/>
        <v>0</v>
      </c>
      <c r="X723" s="508">
        <f t="shared" si="513"/>
        <v>0</v>
      </c>
      <c r="Y723" s="509" t="b">
        <f t="shared" si="514"/>
        <v>0</v>
      </c>
      <c r="Z723" s="510">
        <f t="shared" si="515"/>
        <v>0</v>
      </c>
      <c r="AA723" s="511"/>
      <c r="AB723" s="511" t="str">
        <f t="shared" si="516"/>
        <v/>
      </c>
      <c r="AC723" s="698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698"/>
      <c r="AE723" s="631" t="str">
        <f t="shared" si="517"/>
        <v/>
      </c>
      <c r="AF723" s="699" t="str">
        <f t="shared" si="518"/>
        <v/>
      </c>
      <c r="AG723" s="699"/>
      <c r="AH723" s="699"/>
      <c r="AI723" s="512">
        <f>IF(H723="credit",0,IF(AE723="free",0,IF(AE723="me",0,IF(G723&gt;0,(VLOOKUP(A723,'Discount Lookup'!J:K,2)*G723),0))))</f>
        <v>0</v>
      </c>
      <c r="AJ723" s="513" t="str">
        <f t="shared" ca="1" si="519"/>
        <v/>
      </c>
      <c r="AK723" s="700" t="str">
        <f t="shared" si="520"/>
        <v/>
      </c>
      <c r="AL723" s="700"/>
      <c r="AM723" s="505" t="str">
        <f t="shared" si="521"/>
        <v/>
      </c>
      <c r="AN723" s="506"/>
      <c r="AO723" s="507"/>
      <c r="AP723" s="507"/>
      <c r="AQ723" s="507"/>
      <c r="AR723" s="507"/>
      <c r="AS723" s="507"/>
      <c r="AT723" s="507"/>
      <c r="AU723" s="507"/>
      <c r="AV723" s="225"/>
      <c r="AW723" s="508"/>
      <c r="AX723" s="225"/>
      <c r="AY723" s="225"/>
      <c r="AZ723" s="225"/>
      <c r="BA723" s="225"/>
      <c r="BB723" s="225"/>
      <c r="BC723" s="56"/>
      <c r="BD723" s="56"/>
      <c r="BE723" s="56"/>
      <c r="BF723" s="107" t="str">
        <f t="shared" si="522"/>
        <v>https://www.google.com/search?tbm=isch&amp;q=China%20Doll%20blooms%20earlier%20than%20native%20fringetree%2C%20for%20a%20longer%20season%20</v>
      </c>
      <c r="BG723" s="107" t="str">
        <f t="shared" si="523"/>
        <v>C</v>
      </c>
      <c r="BH723" s="254"/>
      <c r="BI723" s="254"/>
    </row>
    <row r="724" spans="1:61" customFormat="1" ht="18" x14ac:dyDescent="0.25">
      <c r="A724" s="523" t="s">
        <v>383</v>
      </c>
      <c r="B724" s="235"/>
      <c r="C724" s="676"/>
      <c r="D724" s="255" t="s">
        <v>382</v>
      </c>
      <c r="E724" s="236"/>
      <c r="F724" s="236"/>
      <c r="G724" s="236"/>
      <c r="H724" s="582" t="s">
        <v>357</v>
      </c>
      <c r="I724" s="498" t="s">
        <v>2023</v>
      </c>
      <c r="J724" s="237"/>
      <c r="K724" s="237"/>
      <c r="L724" s="274"/>
      <c r="M724" s="668" t="s">
        <v>4975</v>
      </c>
      <c r="N724" s="681" t="str">
        <f>IF(AND(ISTEXT($A724), ISERROR($A724+0)), HYPERLINK($BF724, "Images"), "")</f>
        <v>Images</v>
      </c>
      <c r="O724" s="663" t="s">
        <v>4967</v>
      </c>
      <c r="P724" s="253"/>
      <c r="Q724" s="238"/>
      <c r="R724" s="239"/>
      <c r="S724" s="275"/>
      <c r="T724" s="508">
        <f t="shared" si="511"/>
        <v>0</v>
      </c>
      <c r="U724" s="225" t="str">
        <f>IF(NOT(ISNUMBER(G724)), "", VLOOKUP(A724,'Discount Lookup'!D:E,2,FALSE)*G724)</f>
        <v/>
      </c>
      <c r="V724" s="225" t="str">
        <f>IF(NOT(ISNUMBER(G724)), "", VLOOKUP(A724,'Discount Lookup'!G:H,2,FALSE)*G724)</f>
        <v/>
      </c>
      <c r="W724" s="508">
        <f t="shared" si="512"/>
        <v>0</v>
      </c>
      <c r="X724" s="508" t="str">
        <f t="shared" si="513"/>
        <v>Pure White bloom</v>
      </c>
      <c r="Y724" s="509" t="b">
        <f t="shared" si="514"/>
        <v>0</v>
      </c>
      <c r="Z724" s="510">
        <f t="shared" si="515"/>
        <v>0</v>
      </c>
      <c r="AA724" s="511"/>
      <c r="AB724" s="511" t="str">
        <f t="shared" si="516"/>
        <v/>
      </c>
      <c r="AC724" s="698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698"/>
      <c r="AE724" s="631" t="str">
        <f t="shared" si="517"/>
        <v/>
      </c>
      <c r="AF724" s="699" t="str">
        <f t="shared" si="518"/>
        <v/>
      </c>
      <c r="AG724" s="699"/>
      <c r="AH724" s="699"/>
      <c r="AI724" s="512">
        <f>IF(H724="credit",0,IF(AE724="free",0,IF(AE724="me",0,IF(G724&gt;0,(VLOOKUP(A724,'Discount Lookup'!J:K,2)*G724),0))))</f>
        <v>0</v>
      </c>
      <c r="AJ724" s="513" t="str">
        <f t="shared" ca="1" si="519"/>
        <v/>
      </c>
      <c r="AK724" s="700" t="str">
        <f t="shared" si="520"/>
        <v/>
      </c>
      <c r="AL724" s="700"/>
      <c r="AM724" s="505" t="str">
        <f t="shared" si="521"/>
        <v/>
      </c>
      <c r="AN724" s="506"/>
      <c r="AO724" s="507"/>
      <c r="AP724" s="507"/>
      <c r="AQ724" s="507"/>
      <c r="AR724" s="507"/>
      <c r="AS724" s="507"/>
      <c r="AT724" s="507"/>
      <c r="AU724" s="507"/>
      <c r="AV724" s="225"/>
      <c r="AW724" s="508"/>
      <c r="AX724" s="225"/>
      <c r="AY724" s="225"/>
      <c r="AZ724" s="225"/>
      <c r="BA724" s="225"/>
      <c r="BB724" s="225"/>
      <c r="BC724" s="56"/>
      <c r="BD724" s="56"/>
      <c r="BE724" s="56"/>
      <c r="BF724" s="107" t="str">
        <f t="shared" si="522"/>
        <v>https://www.google.com/search?tbm=isch&amp;q=China%20Snow%20Fringetree%20Chionanthus%20retusus%20%27China%20Snow%27</v>
      </c>
      <c r="BG724" s="107" t="str">
        <f t="shared" si="523"/>
        <v>C</v>
      </c>
      <c r="BH724" s="254"/>
      <c r="BI724" s="254"/>
    </row>
    <row r="725" spans="1:61" customFormat="1" ht="15.75" x14ac:dyDescent="0.25">
      <c r="A725" s="276">
        <v>7</v>
      </c>
      <c r="B725" s="240" t="s">
        <v>291</v>
      </c>
      <c r="C725" s="241" t="s">
        <v>4390</v>
      </c>
      <c r="D725" s="242" t="s">
        <v>292</v>
      </c>
      <c r="E725" s="243">
        <v>123.95</v>
      </c>
      <c r="F725" s="517" t="s">
        <v>293</v>
      </c>
      <c r="G725" s="232">
        <v>0</v>
      </c>
      <c r="H725" s="661" t="str">
        <f>IF(G725=0,"",IF(F725="Buy",IF(G725=1,"plant","plants"),IF(F725&gt;0.01,"warranty","Error")))</f>
        <v/>
      </c>
      <c r="I725" s="244">
        <f>IF(H725="free",0,IF(H725="credit",((E725*(F725))*G725*-1),IF(F725="Buy",(E725*G725),((E725*(1-F725))*G725))))</f>
        <v>0</v>
      </c>
      <c r="J725" s="244">
        <f>IF(H725="warranty",0,(I725*(_xlfn.SINGLE(SalesTaxPercentage))))</f>
        <v>0</v>
      </c>
      <c r="K725" s="696">
        <f t="shared" ref="K725" si="526">I725+J725</f>
        <v>0</v>
      </c>
      <c r="L725" s="696"/>
      <c r="M725" s="659" t="str">
        <f>IF(AND(G725&gt;0,E725=0),"WARNING - no PRICE inserted",IF(H725="free"," FREE ~ no charge this plant",IF(H725="credit",CONCATENATE(" -$",ROUND(K725*(1-T2GDiscount)*-1,2)," CREDIT after discount"),IF(T2GDiscount=0,"",IF(G725=0,"",IF(F725="Buy",CONCATENATE(" $",ROUND(K725*(1-T2GDiscount),2)," with ",(T2GDiscount*100),"% discount"),CONCATENATE(" $",ROUND(K725*(1-T2GDiscount),2)," with ",((T2GDiscount*100+F725*100)-(T2GDiscount*100*F725)),IF(F725&gt;0,"% discounts",IF(NoWarrantyDiscount&gt;0,"% discounts","% discount")))))))))</f>
        <v/>
      </c>
      <c r="N725" s="660"/>
      <c r="O725" s="233"/>
      <c r="P725" s="233"/>
      <c r="Q725" s="233"/>
      <c r="R725" s="233"/>
      <c r="S725" s="233"/>
      <c r="T725" s="508">
        <f t="shared" si="511"/>
        <v>0</v>
      </c>
      <c r="U725" s="225">
        <f>IF(NOT(ISNUMBER(G725)), "", VLOOKUP(A725,'Discount Lookup'!D:E,2,FALSE)*G725)</f>
        <v>0</v>
      </c>
      <c r="V725" s="225">
        <f>IF(NOT(ISNUMBER(G725)), "", VLOOKUP(A725,'Discount Lookup'!G:H,2,FALSE)*G725)</f>
        <v>0</v>
      </c>
      <c r="W725" s="508">
        <f t="shared" si="512"/>
        <v>0</v>
      </c>
      <c r="X725" s="508">
        <f t="shared" si="513"/>
        <v>0</v>
      </c>
      <c r="Y725" s="509" t="b">
        <f t="shared" si="514"/>
        <v>0</v>
      </c>
      <c r="Z725" s="510">
        <f t="shared" si="515"/>
        <v>0</v>
      </c>
      <c r="AA725" s="511"/>
      <c r="AB725" s="511" t="str">
        <f t="shared" si="516"/>
        <v/>
      </c>
      <c r="AC725" s="698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698"/>
      <c r="AE725" s="631" t="str">
        <f t="shared" si="517"/>
        <v/>
      </c>
      <c r="AF725" s="699" t="str">
        <f t="shared" si="518"/>
        <v/>
      </c>
      <c r="AG725" s="699"/>
      <c r="AH725" s="699"/>
      <c r="AI725" s="512">
        <f>IF(H725="credit",0,IF(AE725="free",0,IF(AE725="me",0,IF(G725&gt;0,(VLOOKUP(A725,'Discount Lookup'!J:K,2)*G725),0))))</f>
        <v>0</v>
      </c>
      <c r="AJ725" s="513" t="str">
        <f t="shared" ca="1" si="519"/>
        <v/>
      </c>
      <c r="AK725" s="700" t="str">
        <f t="shared" si="520"/>
        <v/>
      </c>
      <c r="AL725" s="700"/>
      <c r="AM725" s="505" t="str">
        <f t="shared" si="521"/>
        <v/>
      </c>
      <c r="AN725" s="506"/>
      <c r="AO725" s="507"/>
      <c r="AP725" s="507"/>
      <c r="AQ725" s="507"/>
      <c r="AR725" s="507"/>
      <c r="AS725" s="507"/>
      <c r="AT725" s="507"/>
      <c r="AU725" s="507"/>
      <c r="AV725" s="225"/>
      <c r="AW725" s="508"/>
      <c r="AX725" s="225"/>
      <c r="AY725" s="225"/>
      <c r="AZ725" s="225"/>
      <c r="BA725" s="225"/>
      <c r="BB725" s="225"/>
      <c r="BC725" s="56"/>
      <c r="BD725" s="56"/>
      <c r="BE725" s="56"/>
      <c r="BF725" s="107" t="str">
        <f t="shared" si="522"/>
        <v>https://www.google.com/search?tbm=isch&amp;q=7%20G4</v>
      </c>
      <c r="BG725" s="107" t="str">
        <f t="shared" si="523"/>
        <v>C</v>
      </c>
      <c r="BH725" s="254"/>
      <c r="BI725" s="254"/>
    </row>
    <row r="726" spans="1:61" customFormat="1" ht="15.75" x14ac:dyDescent="0.25">
      <c r="A726" s="276">
        <v>15</v>
      </c>
      <c r="B726" s="240" t="s">
        <v>291</v>
      </c>
      <c r="C726" s="241" t="s">
        <v>3375</v>
      </c>
      <c r="D726" s="242" t="s">
        <v>292</v>
      </c>
      <c r="E726" s="243">
        <v>206.95</v>
      </c>
      <c r="F726" s="517" t="s">
        <v>293</v>
      </c>
      <c r="G726" s="232">
        <v>0</v>
      </c>
      <c r="H726" s="661" t="str">
        <f>IF(G726=0,"",IF(F726="Buy",IF(G726=1,"plant","plants"),IF(F726&gt;0.01,"warranty","Error")))</f>
        <v/>
      </c>
      <c r="I726" s="244">
        <f>IF(H726="free",0,IF(H726="credit",((E726*(F726))*G726*-1),IF(F726="Buy",(E726*G726),((E726*(1-F726))*G726))))</f>
        <v>0</v>
      </c>
      <c r="J726" s="244">
        <f>IF(H726="warranty",0,(I726*(_xlfn.SINGLE(SalesTaxPercentage))))</f>
        <v>0</v>
      </c>
      <c r="K726" s="696">
        <f t="shared" ref="K726" si="527">I726+J726</f>
        <v>0</v>
      </c>
      <c r="L726" s="696"/>
      <c r="M726" s="659" t="str">
        <f>IF(AND(G726&gt;0,E726=0),"WARNING - no PRICE inserted",IF(H726="free"," FREE ~ no charge this plant",IF(H726="credit",CONCATENATE(" -$",ROUND(K726*(1-T2GDiscount)*-1,2)," CREDIT after discount"),IF(T2GDiscount=0,"",IF(G726=0,"",IF(F726="Buy",CONCATENATE(" $",ROUND(K726*(1-T2GDiscount),2)," with ",(T2GDiscount*100),"% discount"),CONCATENATE(" $",ROUND(K726*(1-T2GDiscount),2)," with ",((T2GDiscount*100+F726*100)-(T2GDiscount*100*F726)),IF(F726&gt;0,"% discounts",IF(NoWarrantyDiscount&gt;0,"% discounts","% discount")))))))))</f>
        <v/>
      </c>
      <c r="N726" s="660"/>
      <c r="O726" s="233"/>
      <c r="P726" s="233"/>
      <c r="Q726" s="233"/>
      <c r="R726" s="233"/>
      <c r="S726" s="233"/>
      <c r="T726" s="508">
        <f t="shared" si="511"/>
        <v>0</v>
      </c>
      <c r="U726" s="225">
        <f>IF(NOT(ISNUMBER(G726)), "", VLOOKUP(A726,'Discount Lookup'!D:E,2,FALSE)*G726)</f>
        <v>0</v>
      </c>
      <c r="V726" s="225">
        <f>IF(NOT(ISNUMBER(G726)), "", VLOOKUP(A726,'Discount Lookup'!G:H,2,FALSE)*G726)</f>
        <v>0</v>
      </c>
      <c r="W726" s="508">
        <f t="shared" si="512"/>
        <v>0</v>
      </c>
      <c r="X726" s="508">
        <f t="shared" si="513"/>
        <v>0</v>
      </c>
      <c r="Y726" s="509" t="b">
        <f t="shared" si="514"/>
        <v>0</v>
      </c>
      <c r="Z726" s="510">
        <f t="shared" si="515"/>
        <v>0</v>
      </c>
      <c r="AA726" s="511"/>
      <c r="AB726" s="511" t="str">
        <f t="shared" si="516"/>
        <v/>
      </c>
      <c r="AC726" s="698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698"/>
      <c r="AE726" s="631" t="str">
        <f t="shared" si="517"/>
        <v/>
      </c>
      <c r="AF726" s="699" t="str">
        <f t="shared" si="518"/>
        <v/>
      </c>
      <c r="AG726" s="699"/>
      <c r="AH726" s="699"/>
      <c r="AI726" s="512">
        <f>IF(H726="credit",0,IF(AE726="free",0,IF(AE726="me",0,IF(G726&gt;0,(VLOOKUP(A726,'Discount Lookup'!J:K,2)*G726),0))))</f>
        <v>0</v>
      </c>
      <c r="AJ726" s="513" t="str">
        <f t="shared" ca="1" si="519"/>
        <v/>
      </c>
      <c r="AK726" s="700" t="str">
        <f t="shared" si="520"/>
        <v/>
      </c>
      <c r="AL726" s="700"/>
      <c r="AM726" s="505" t="str">
        <f t="shared" si="521"/>
        <v/>
      </c>
      <c r="AN726" s="506"/>
      <c r="AO726" s="507"/>
      <c r="AP726" s="507"/>
      <c r="AQ726" s="507"/>
      <c r="AR726" s="507"/>
      <c r="AS726" s="507"/>
      <c r="AT726" s="507"/>
      <c r="AU726" s="507"/>
      <c r="AV726" s="225"/>
      <c r="AW726" s="508"/>
      <c r="AX726" s="225"/>
      <c r="AY726" s="225"/>
      <c r="AZ726" s="225"/>
      <c r="BA726" s="225"/>
      <c r="BB726" s="225"/>
      <c r="BC726" s="56"/>
      <c r="BD726" s="56"/>
      <c r="BE726" s="56"/>
      <c r="BF726" s="107" t="str">
        <f t="shared" si="522"/>
        <v>https://www.google.com/search?tbm=isch&amp;q=15%20G4</v>
      </c>
      <c r="BG726" s="107" t="str">
        <f t="shared" si="523"/>
        <v>C</v>
      </c>
      <c r="BH726" s="254"/>
      <c r="BI726" s="254"/>
    </row>
    <row r="727" spans="1:61" customFormat="1" ht="27" x14ac:dyDescent="0.25">
      <c r="A727" s="276">
        <v>15</v>
      </c>
      <c r="B727" s="240" t="s">
        <v>291</v>
      </c>
      <c r="C727" s="241" t="s">
        <v>3376</v>
      </c>
      <c r="D727" s="242" t="s">
        <v>292</v>
      </c>
      <c r="E727" s="243">
        <v>206.95</v>
      </c>
      <c r="F727" s="517" t="s">
        <v>293</v>
      </c>
      <c r="G727" s="232">
        <v>0</v>
      </c>
      <c r="H727" s="661" t="str">
        <f>IF(G727=0,"",IF(F727="Buy",IF(G727=1,"plant","plants"),IF(F727&gt;0.01,"warranty","Error")))</f>
        <v/>
      </c>
      <c r="I727" s="244">
        <f>IF(H727="free",0,IF(H727="credit",((E727*(F727))*G727*-1),IF(F727="Buy",(E727*G727),((E727*(1-F727))*G727))))</f>
        <v>0</v>
      </c>
      <c r="J727" s="244">
        <f>IF(H727="warranty",0,(I727*(_xlfn.SINGLE(SalesTaxPercentage))))</f>
        <v>0</v>
      </c>
      <c r="K727" s="696">
        <f t="shared" ref="K727" si="528">I727+J727</f>
        <v>0</v>
      </c>
      <c r="L727" s="696"/>
      <c r="M727" s="659" t="str">
        <f>IF(AND(G727&gt;0,E727=0),"WARNING - no PRICE inserted",IF(H727="free"," FREE ~ no charge this plant",IF(H727="credit",CONCATENATE(" -$",ROUND(K727*(1-T2GDiscount)*-1,2)," CREDIT after discount"),IF(T2GDiscount=0,"",IF(G727=0,"",IF(F727="Buy",CONCATENATE(" $",ROUND(K727*(1-T2GDiscount),2)," with ",(T2GDiscount*100),"% discount"),CONCATENATE(" $",ROUND(K727*(1-T2GDiscount),2)," with ",((T2GDiscount*100+F727*100)-(T2GDiscount*100*F727)),IF(F727&gt;0,"% discounts",IF(NoWarrantyDiscount&gt;0,"% discounts","% discount")))))))))</f>
        <v/>
      </c>
      <c r="N727" s="660"/>
      <c r="O727" s="233"/>
      <c r="P727" s="233"/>
      <c r="Q727" s="233"/>
      <c r="R727" s="233"/>
      <c r="S727" s="233"/>
      <c r="T727" s="508">
        <f t="shared" si="511"/>
        <v>0</v>
      </c>
      <c r="U727" s="225">
        <f>IF(NOT(ISNUMBER(G727)), "", VLOOKUP(A727,'Discount Lookup'!D:E,2,FALSE)*G727)</f>
        <v>0</v>
      </c>
      <c r="V727" s="225">
        <f>IF(NOT(ISNUMBER(G727)), "", VLOOKUP(A727,'Discount Lookup'!G:H,2,FALSE)*G727)</f>
        <v>0</v>
      </c>
      <c r="W727" s="508">
        <f t="shared" si="512"/>
        <v>0</v>
      </c>
      <c r="X727" s="508">
        <f t="shared" si="513"/>
        <v>0</v>
      </c>
      <c r="Y727" s="509" t="b">
        <f t="shared" si="514"/>
        <v>0</v>
      </c>
      <c r="Z727" s="510">
        <f t="shared" si="515"/>
        <v>0</v>
      </c>
      <c r="AA727" s="511"/>
      <c r="AB727" s="511" t="str">
        <f t="shared" si="516"/>
        <v/>
      </c>
      <c r="AC727" s="698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698"/>
      <c r="AE727" s="631" t="str">
        <f t="shared" si="517"/>
        <v/>
      </c>
      <c r="AF727" s="699" t="str">
        <f t="shared" si="518"/>
        <v/>
      </c>
      <c r="AG727" s="699"/>
      <c r="AH727" s="699"/>
      <c r="AI727" s="512">
        <f>IF(H727="credit",0,IF(AE727="free",0,IF(AE727="me",0,IF(G727&gt;0,(VLOOKUP(A727,'Discount Lookup'!J:K,2)*G727),0))))</f>
        <v>0</v>
      </c>
      <c r="AJ727" s="513" t="str">
        <f t="shared" ca="1" si="519"/>
        <v/>
      </c>
      <c r="AK727" s="700" t="str">
        <f t="shared" si="520"/>
        <v/>
      </c>
      <c r="AL727" s="700"/>
      <c r="AM727" s="505" t="str">
        <f t="shared" si="521"/>
        <v/>
      </c>
      <c r="AN727" s="506"/>
      <c r="AO727" s="507"/>
      <c r="AP727" s="507"/>
      <c r="AQ727" s="507"/>
      <c r="AR727" s="507"/>
      <c r="AS727" s="507"/>
      <c r="AT727" s="507"/>
      <c r="AU727" s="507"/>
      <c r="AV727" s="225"/>
      <c r="AW727" s="508"/>
      <c r="AX727" s="225"/>
      <c r="AY727" s="225"/>
      <c r="AZ727" s="225"/>
      <c r="BA727" s="225"/>
      <c r="BB727" s="225"/>
      <c r="BC727" s="56"/>
      <c r="BD727" s="56"/>
      <c r="BE727" s="56"/>
      <c r="BF727" s="107" t="str">
        <f t="shared" si="522"/>
        <v>https://www.google.com/search?tbm=isch&amp;q=15%20G4</v>
      </c>
      <c r="BG727" s="107" t="str">
        <f t="shared" si="523"/>
        <v>C</v>
      </c>
      <c r="BH727" s="254"/>
      <c r="BI727" s="254"/>
    </row>
    <row r="728" spans="1:61" customFormat="1" ht="17.25" thickBot="1" x14ac:dyDescent="0.3">
      <c r="A728" s="524" t="s">
        <v>2125</v>
      </c>
      <c r="B728" s="245"/>
      <c r="C728" s="677"/>
      <c r="D728" s="499"/>
      <c r="E728" s="499"/>
      <c r="F728" s="500"/>
      <c r="G728" s="501"/>
      <c r="H728" s="502"/>
      <c r="I728" s="246"/>
      <c r="J728" s="247"/>
      <c r="K728" s="503"/>
      <c r="L728" s="544"/>
      <c r="M728" s="544"/>
      <c r="N728" s="500"/>
      <c r="O728" s="500"/>
      <c r="P728" s="500"/>
      <c r="Q728" s="500"/>
      <c r="R728" s="500"/>
      <c r="S728" s="278"/>
      <c r="T728" s="508">
        <f t="shared" si="511"/>
        <v>0</v>
      </c>
      <c r="U728" s="225" t="str">
        <f>IF(NOT(ISNUMBER(G728)), "", VLOOKUP(A728,'Discount Lookup'!D:E,2,FALSE)*G728)</f>
        <v/>
      </c>
      <c r="V728" s="225" t="str">
        <f>IF(NOT(ISNUMBER(G728)), "", VLOOKUP(A728,'Discount Lookup'!G:H,2,FALSE)*G728)</f>
        <v/>
      </c>
      <c r="W728" s="508">
        <f t="shared" si="512"/>
        <v>0</v>
      </c>
      <c r="X728" s="508">
        <f t="shared" si="513"/>
        <v>0</v>
      </c>
      <c r="Y728" s="509" t="b">
        <f t="shared" si="514"/>
        <v>0</v>
      </c>
      <c r="Z728" s="510">
        <f t="shared" si="515"/>
        <v>0</v>
      </c>
      <c r="AA728" s="511"/>
      <c r="AB728" s="511" t="str">
        <f t="shared" si="516"/>
        <v/>
      </c>
      <c r="AC728" s="698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698"/>
      <c r="AE728" s="631" t="str">
        <f t="shared" si="517"/>
        <v/>
      </c>
      <c r="AF728" s="699" t="str">
        <f t="shared" si="518"/>
        <v/>
      </c>
      <c r="AG728" s="699"/>
      <c r="AH728" s="699"/>
      <c r="AI728" s="512">
        <f>IF(H728="credit",0,IF(AE728="free",0,IF(AE728="me",0,IF(G728&gt;0,(VLOOKUP(A728,'Discount Lookup'!J:K,2)*G728),0))))</f>
        <v>0</v>
      </c>
      <c r="AJ728" s="513" t="str">
        <f t="shared" ca="1" si="519"/>
        <v/>
      </c>
      <c r="AK728" s="700" t="str">
        <f t="shared" si="520"/>
        <v/>
      </c>
      <c r="AL728" s="700"/>
      <c r="AM728" s="505" t="str">
        <f t="shared" si="521"/>
        <v/>
      </c>
      <c r="AN728" s="506"/>
      <c r="AO728" s="507"/>
      <c r="AP728" s="507"/>
      <c r="AQ728" s="507"/>
      <c r="AR728" s="507"/>
      <c r="AS728" s="507"/>
      <c r="AT728" s="507"/>
      <c r="AU728" s="507"/>
      <c r="AV728" s="225"/>
      <c r="AW728" s="508"/>
      <c r="AX728" s="225"/>
      <c r="AY728" s="225"/>
      <c r="AZ728" s="225"/>
      <c r="BA728" s="225"/>
      <c r="BB728" s="225"/>
      <c r="BC728" s="56"/>
      <c r="BD728" s="56"/>
      <c r="BE728" s="56"/>
      <c r="BF728" s="107" t="str">
        <f t="shared" si="522"/>
        <v>https://www.google.com/search?tbm=isch&amp;q=China%20Snow%20exceptionally%20heavy.%20Bark%20exfoliates%20to%20a%20Cinnamon-Brown%20inner%20bark%20</v>
      </c>
      <c r="BG728" s="107" t="str">
        <f t="shared" si="523"/>
        <v>C</v>
      </c>
      <c r="BH728" s="254"/>
      <c r="BI728" s="254"/>
    </row>
    <row r="729" spans="1:61" customFormat="1" ht="18" x14ac:dyDescent="0.25">
      <c r="A729" s="521" t="s">
        <v>348</v>
      </c>
      <c r="B729" s="477"/>
      <c r="C729" s="674"/>
      <c r="D729" s="478" t="s">
        <v>347</v>
      </c>
      <c r="E729" s="479"/>
      <c r="F729" s="479"/>
      <c r="G729" s="479"/>
      <c r="H729" s="582" t="s">
        <v>2635</v>
      </c>
      <c r="I729" s="480" t="s">
        <v>654</v>
      </c>
      <c r="J729" s="479"/>
      <c r="K729" s="479"/>
      <c r="L729" s="560"/>
      <c r="M729" s="666" t="s">
        <v>4966</v>
      </c>
      <c r="N729" s="680" t="str">
        <f>IF(AND(ISTEXT($A729), ISERROR($A729+0)), HYPERLINK($BF729, "Images"), "")</f>
        <v>Images</v>
      </c>
      <c r="O729" s="662" t="s">
        <v>4967</v>
      </c>
      <c r="P729" s="482"/>
      <c r="Q729" s="483"/>
      <c r="R729" s="483"/>
      <c r="S729" s="484"/>
      <c r="T729" s="508">
        <f t="shared" si="511"/>
        <v>0</v>
      </c>
      <c r="U729" s="225" t="str">
        <f>IF(NOT(ISNUMBER(G729)), "", VLOOKUP(A729,'Discount Lookup'!D:E,2,FALSE)*G729)</f>
        <v/>
      </c>
      <c r="V729" s="225" t="str">
        <f>IF(NOT(ISNUMBER(G729)), "", VLOOKUP(A729,'Discount Lookup'!G:H,2,FALSE)*G729)</f>
        <v/>
      </c>
      <c r="W729" s="508">
        <f t="shared" si="512"/>
        <v>0</v>
      </c>
      <c r="X729" s="508" t="str">
        <f t="shared" si="513"/>
        <v>White bloom</v>
      </c>
      <c r="Y729" s="509" t="b">
        <f t="shared" si="514"/>
        <v>0</v>
      </c>
      <c r="Z729" s="510">
        <f t="shared" si="515"/>
        <v>0</v>
      </c>
      <c r="AA729" s="511"/>
      <c r="AB729" s="511" t="str">
        <f t="shared" si="516"/>
        <v/>
      </c>
      <c r="AC729" s="698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698"/>
      <c r="AE729" s="631" t="str">
        <f t="shared" si="517"/>
        <v/>
      </c>
      <c r="AF729" s="699" t="str">
        <f t="shared" si="518"/>
        <v/>
      </c>
      <c r="AG729" s="699"/>
      <c r="AH729" s="699"/>
      <c r="AI729" s="512">
        <f>IF(H729="credit",0,IF(AE729="free",0,IF(AE729="me",0,IF(G729&gt;0,(VLOOKUP(A729,'Discount Lookup'!J:K,2)*G729),0))))</f>
        <v>0</v>
      </c>
      <c r="AJ729" s="513" t="str">
        <f t="shared" ca="1" si="519"/>
        <v/>
      </c>
      <c r="AK729" s="700" t="str">
        <f t="shared" si="520"/>
        <v/>
      </c>
      <c r="AL729" s="700"/>
      <c r="AM729" s="505" t="str">
        <f t="shared" si="521"/>
        <v/>
      </c>
      <c r="AN729" s="506"/>
      <c r="AO729" s="507"/>
      <c r="AP729" s="507"/>
      <c r="AQ729" s="507"/>
      <c r="AR729" s="507"/>
      <c r="AS729" s="507"/>
      <c r="AT729" s="507"/>
      <c r="AU729" s="507"/>
      <c r="AV729" s="225"/>
      <c r="AW729" s="508"/>
      <c r="AX729" s="225"/>
      <c r="AY729" s="225"/>
      <c r="AZ729" s="225"/>
      <c r="BA729" s="225"/>
      <c r="BB729" s="225"/>
      <c r="BC729" s="56"/>
      <c r="BD729" s="56"/>
      <c r="BE729" s="56"/>
      <c r="BF729" s="107" t="str">
        <f t="shared" si="522"/>
        <v>https://www.google.com/search?tbm=isch&amp;q=Chindo%20Viburnum%20Viburnum%20awabuki%20%27Chindo%27%20PP%2336488</v>
      </c>
      <c r="BG729" s="107" t="str">
        <f t="shared" si="523"/>
        <v>C</v>
      </c>
      <c r="BH729" s="254"/>
      <c r="BI729" s="254"/>
    </row>
    <row r="730" spans="1:61" customFormat="1" ht="15.75" x14ac:dyDescent="0.25">
      <c r="A730" s="485">
        <v>3</v>
      </c>
      <c r="B730" s="486" t="s">
        <v>291</v>
      </c>
      <c r="C730" s="487" t="s">
        <v>328</v>
      </c>
      <c r="D730" s="488" t="s">
        <v>298</v>
      </c>
      <c r="E730" s="489">
        <v>26.95</v>
      </c>
      <c r="F730" s="516" t="s">
        <v>293</v>
      </c>
      <c r="G730" s="232">
        <v>0</v>
      </c>
      <c r="H730" s="658" t="str">
        <f t="shared" ref="H730:H741" si="529">IF(G730=0,"",IF(F730="Buy",IF(G730=1,"plant","plants"),IF(F730&gt;0.01,"warranty","Error")))</f>
        <v/>
      </c>
      <c r="I730" s="490">
        <f t="shared" ref="I730:I741" si="530">IF(H730="free",0,IF(H730="credit",((E730*(F730))*G730*-1),IF(F730="Buy",(E730*G730),((E730*(1-F730))*G730))))</f>
        <v>0</v>
      </c>
      <c r="J730" s="490">
        <f t="shared" ref="J730:J741" si="531">IF(H730="warranty",0,(I730*(_xlfn.SINGLE(SalesTaxPercentage))))</f>
        <v>0</v>
      </c>
      <c r="K730" s="695">
        <f t="shared" ref="K730" si="532">I730+J730</f>
        <v>0</v>
      </c>
      <c r="L730" s="695"/>
      <c r="M730" s="659" t="str">
        <f t="shared" ref="M730:M741" si="533">IF(AND(G730&gt;0,E730=0),"WARNING - no PRICE inserted",IF(H730="free"," FREE ~ no charge this plant",IF(H730="credit",CONCATENATE(" -$",ROUND(K730*(1-T2GDiscount)*-1,2)," CREDIT after discount"),IF(T2GDiscount=0,"",IF(G730=0,"",IF(F730="Buy",CONCATENATE(" $",ROUND(K730*(1-T2GDiscount),2)," with ",(T2GDiscount*100),"% discount"),CONCATENATE(" $",ROUND(K730*(1-T2GDiscount),2)," with ",((T2GDiscount*100+F730*100)-(T2GDiscount*100*F730)),IF(F730&gt;0,"% discounts",IF(NoWarrantyDiscount&gt;0,"% discounts","% discount")))))))))</f>
        <v/>
      </c>
      <c r="N730" s="660"/>
      <c r="O730" s="233"/>
      <c r="P730" s="233"/>
      <c r="Q730" s="233"/>
      <c r="R730" s="233"/>
      <c r="S730" s="233"/>
      <c r="T730" s="508">
        <f t="shared" si="511"/>
        <v>0</v>
      </c>
      <c r="U730" s="225">
        <f>IF(NOT(ISNUMBER(G730)), "", VLOOKUP(A730,'Discount Lookup'!D:E,2,FALSE)*G730)</f>
        <v>0</v>
      </c>
      <c r="V730" s="225">
        <f>IF(NOT(ISNUMBER(G730)), "", VLOOKUP(A730,'Discount Lookup'!G:H,2,FALSE)*G730)</f>
        <v>0</v>
      </c>
      <c r="W730" s="508">
        <f t="shared" si="512"/>
        <v>0</v>
      </c>
      <c r="X730" s="508">
        <f t="shared" si="513"/>
        <v>0</v>
      </c>
      <c r="Y730" s="509" t="b">
        <f t="shared" si="514"/>
        <v>0</v>
      </c>
      <c r="Z730" s="510">
        <f t="shared" si="515"/>
        <v>0</v>
      </c>
      <c r="AA730" s="511"/>
      <c r="AB730" s="511" t="str">
        <f t="shared" si="516"/>
        <v/>
      </c>
      <c r="AC730" s="698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698"/>
      <c r="AE730" s="631" t="str">
        <f t="shared" si="517"/>
        <v/>
      </c>
      <c r="AF730" s="699" t="str">
        <f t="shared" si="518"/>
        <v/>
      </c>
      <c r="AG730" s="699"/>
      <c r="AH730" s="699"/>
      <c r="AI730" s="512">
        <f>IF(H730="credit",0,IF(AE730="free",0,IF(AE730="me",0,IF(G730&gt;0,(VLOOKUP(A730,'Discount Lookup'!J:K,2)*G730),0))))</f>
        <v>0</v>
      </c>
      <c r="AJ730" s="513" t="str">
        <f t="shared" ca="1" si="519"/>
        <v/>
      </c>
      <c r="AK730" s="700" t="str">
        <f t="shared" si="520"/>
        <v/>
      </c>
      <c r="AL730" s="700"/>
      <c r="AM730" s="505" t="str">
        <f t="shared" si="521"/>
        <v/>
      </c>
      <c r="AN730" s="506"/>
      <c r="AO730" s="507"/>
      <c r="AP730" s="507"/>
      <c r="AQ730" s="507"/>
      <c r="AR730" s="507"/>
      <c r="AS730" s="507"/>
      <c r="AT730" s="507"/>
      <c r="AU730" s="507"/>
      <c r="AV730" s="225"/>
      <c r="AW730" s="508"/>
      <c r="AX730" s="225"/>
      <c r="AY730" s="225"/>
      <c r="AZ730" s="225"/>
      <c r="BA730" s="225"/>
      <c r="BB730" s="225"/>
      <c r="BC730" s="56"/>
      <c r="BD730" s="56"/>
      <c r="BE730" s="56"/>
      <c r="BF730" s="107" t="str">
        <f t="shared" si="522"/>
        <v>https://www.google.com/search?tbm=isch&amp;q=3%20G1</v>
      </c>
      <c r="BG730" s="107" t="str">
        <f t="shared" si="523"/>
        <v>C</v>
      </c>
      <c r="BH730" s="254"/>
      <c r="BI730" s="254"/>
    </row>
    <row r="731" spans="1:61" customFormat="1" ht="15.75" x14ac:dyDescent="0.25">
      <c r="A731" s="485">
        <v>3</v>
      </c>
      <c r="B731" s="486" t="s">
        <v>291</v>
      </c>
      <c r="C731" s="487"/>
      <c r="D731" s="488" t="s">
        <v>312</v>
      </c>
      <c r="E731" s="489">
        <v>33.950000000000003</v>
      </c>
      <c r="F731" s="516" t="s">
        <v>293</v>
      </c>
      <c r="G731" s="232">
        <v>0</v>
      </c>
      <c r="H731" s="658" t="str">
        <f t="shared" si="529"/>
        <v/>
      </c>
      <c r="I731" s="490">
        <f t="shared" si="530"/>
        <v>0</v>
      </c>
      <c r="J731" s="490">
        <f t="shared" si="531"/>
        <v>0</v>
      </c>
      <c r="K731" s="695">
        <f t="shared" ref="K731" si="534">I731+J731</f>
        <v>0</v>
      </c>
      <c r="L731" s="695"/>
      <c r="M731" s="659" t="str">
        <f t="shared" si="533"/>
        <v/>
      </c>
      <c r="N731" s="660"/>
      <c r="O731" s="233"/>
      <c r="P731" s="233"/>
      <c r="Q731" s="233"/>
      <c r="R731" s="233"/>
      <c r="S731" s="233"/>
      <c r="T731" s="508">
        <f t="shared" si="511"/>
        <v>0</v>
      </c>
      <c r="U731" s="225">
        <f>IF(NOT(ISNUMBER(G731)), "", VLOOKUP(A731,'Discount Lookup'!D:E,2,FALSE)*G731)</f>
        <v>0</v>
      </c>
      <c r="V731" s="225">
        <f>IF(NOT(ISNUMBER(G731)), "", VLOOKUP(A731,'Discount Lookup'!G:H,2,FALSE)*G731)</f>
        <v>0</v>
      </c>
      <c r="W731" s="508">
        <f t="shared" si="512"/>
        <v>0</v>
      </c>
      <c r="X731" s="508">
        <f t="shared" si="513"/>
        <v>0</v>
      </c>
      <c r="Y731" s="509" t="b">
        <f t="shared" si="514"/>
        <v>0</v>
      </c>
      <c r="Z731" s="510">
        <f t="shared" si="515"/>
        <v>0</v>
      </c>
      <c r="AA731" s="511"/>
      <c r="AB731" s="511" t="str">
        <f t="shared" si="516"/>
        <v/>
      </c>
      <c r="AC731" s="698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698"/>
      <c r="AE731" s="631" t="str">
        <f t="shared" si="517"/>
        <v/>
      </c>
      <c r="AF731" s="699" t="str">
        <f t="shared" si="518"/>
        <v/>
      </c>
      <c r="AG731" s="699"/>
      <c r="AH731" s="699"/>
      <c r="AI731" s="512">
        <f>IF(H731="credit",0,IF(AE731="free",0,IF(AE731="me",0,IF(G731&gt;0,(VLOOKUP(A731,'Discount Lookup'!J:K,2)*G731),0))))</f>
        <v>0</v>
      </c>
      <c r="AJ731" s="513" t="str">
        <f t="shared" ca="1" si="519"/>
        <v/>
      </c>
      <c r="AK731" s="700" t="str">
        <f t="shared" si="520"/>
        <v/>
      </c>
      <c r="AL731" s="700"/>
      <c r="AM731" s="505" t="str">
        <f t="shared" si="521"/>
        <v/>
      </c>
      <c r="AN731" s="506"/>
      <c r="AO731" s="507"/>
      <c r="AP731" s="507"/>
      <c r="AQ731" s="507"/>
      <c r="AR731" s="507"/>
      <c r="AS731" s="507"/>
      <c r="AT731" s="507"/>
      <c r="AU731" s="507"/>
      <c r="AV731" s="225"/>
      <c r="AW731" s="508"/>
      <c r="AX731" s="225"/>
      <c r="AY731" s="225"/>
      <c r="AZ731" s="225"/>
      <c r="BA731" s="225"/>
      <c r="BB731" s="225"/>
      <c r="BC731" s="56"/>
      <c r="BD731" s="56"/>
      <c r="BE731" s="56"/>
      <c r="BF731" s="107" t="str">
        <f t="shared" si="522"/>
        <v>https://www.google.com/search?tbm=isch&amp;q=3%20G2</v>
      </c>
      <c r="BG731" s="107" t="str">
        <f t="shared" si="523"/>
        <v>C</v>
      </c>
      <c r="BH731" s="254"/>
      <c r="BI731" s="254"/>
    </row>
    <row r="732" spans="1:61" customFormat="1" ht="15.75" x14ac:dyDescent="0.25">
      <c r="A732" s="485">
        <v>7</v>
      </c>
      <c r="B732" s="486" t="s">
        <v>291</v>
      </c>
      <c r="C732" s="487" t="s">
        <v>925</v>
      </c>
      <c r="D732" s="488" t="s">
        <v>299</v>
      </c>
      <c r="E732" s="489">
        <v>68.95</v>
      </c>
      <c r="F732" s="516" t="s">
        <v>293</v>
      </c>
      <c r="G732" s="232">
        <v>0</v>
      </c>
      <c r="H732" s="658" t="str">
        <f t="shared" si="529"/>
        <v/>
      </c>
      <c r="I732" s="490">
        <f t="shared" si="530"/>
        <v>0</v>
      </c>
      <c r="J732" s="490">
        <f t="shared" si="531"/>
        <v>0</v>
      </c>
      <c r="K732" s="695">
        <f t="shared" ref="K732" si="535">I732+J732</f>
        <v>0</v>
      </c>
      <c r="L732" s="695"/>
      <c r="M732" s="659" t="str">
        <f t="shared" si="533"/>
        <v/>
      </c>
      <c r="N732" s="660"/>
      <c r="O732" s="233"/>
      <c r="P732" s="233"/>
      <c r="Q732" s="233"/>
      <c r="R732" s="233"/>
      <c r="S732" s="233"/>
      <c r="T732" s="508">
        <f t="shared" si="511"/>
        <v>0</v>
      </c>
      <c r="U732" s="225">
        <f>IF(NOT(ISNUMBER(G732)), "", VLOOKUP(A732,'Discount Lookup'!D:E,2,FALSE)*G732)</f>
        <v>0</v>
      </c>
      <c r="V732" s="225">
        <f>IF(NOT(ISNUMBER(G732)), "", VLOOKUP(A732,'Discount Lookup'!G:H,2,FALSE)*G732)</f>
        <v>0</v>
      </c>
      <c r="W732" s="508">
        <f t="shared" si="512"/>
        <v>0</v>
      </c>
      <c r="X732" s="508">
        <f t="shared" si="513"/>
        <v>0</v>
      </c>
      <c r="Y732" s="509" t="b">
        <f t="shared" si="514"/>
        <v>0</v>
      </c>
      <c r="Z732" s="510">
        <f t="shared" si="515"/>
        <v>0</v>
      </c>
      <c r="AA732" s="511"/>
      <c r="AB732" s="511" t="str">
        <f t="shared" si="516"/>
        <v/>
      </c>
      <c r="AC732" s="698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698"/>
      <c r="AE732" s="631" t="str">
        <f t="shared" si="517"/>
        <v/>
      </c>
      <c r="AF732" s="699" t="str">
        <f t="shared" si="518"/>
        <v/>
      </c>
      <c r="AG732" s="699"/>
      <c r="AH732" s="699"/>
      <c r="AI732" s="512">
        <f>IF(H732="credit",0,IF(AE732="free",0,IF(AE732="me",0,IF(G732&gt;0,(VLOOKUP(A732,'Discount Lookup'!J:K,2)*G732),0))))</f>
        <v>0</v>
      </c>
      <c r="AJ732" s="513" t="str">
        <f t="shared" ca="1" si="519"/>
        <v/>
      </c>
      <c r="AK732" s="700" t="str">
        <f t="shared" si="520"/>
        <v/>
      </c>
      <c r="AL732" s="700"/>
      <c r="AM732" s="505" t="str">
        <f t="shared" si="521"/>
        <v/>
      </c>
      <c r="AN732" s="506"/>
      <c r="AO732" s="507"/>
      <c r="AP732" s="507"/>
      <c r="AQ732" s="507"/>
      <c r="AR732" s="507"/>
      <c r="AS732" s="507"/>
      <c r="AT732" s="507"/>
      <c r="AU732" s="507"/>
      <c r="AV732" s="225"/>
      <c r="AW732" s="508"/>
      <c r="AX732" s="225"/>
      <c r="AY732" s="225"/>
      <c r="AZ732" s="225"/>
      <c r="BA732" s="225"/>
      <c r="BB732" s="225"/>
      <c r="BC732" s="56"/>
      <c r="BD732" s="56"/>
      <c r="BE732" s="56"/>
      <c r="BF732" s="107" t="str">
        <f t="shared" si="522"/>
        <v>https://www.google.com/search?tbm=isch&amp;q=7%20G5</v>
      </c>
      <c r="BG732" s="107" t="str">
        <f t="shared" si="523"/>
        <v>C</v>
      </c>
      <c r="BH732" s="254"/>
      <c r="BI732" s="254"/>
    </row>
    <row r="733" spans="1:61" customFormat="1" ht="15.75" x14ac:dyDescent="0.25">
      <c r="A733" s="485">
        <v>7</v>
      </c>
      <c r="B733" s="486" t="s">
        <v>291</v>
      </c>
      <c r="C733" s="487" t="s">
        <v>3377</v>
      </c>
      <c r="D733" s="488" t="s">
        <v>292</v>
      </c>
      <c r="E733" s="489">
        <v>81.95</v>
      </c>
      <c r="F733" s="516" t="s">
        <v>293</v>
      </c>
      <c r="G733" s="232">
        <v>0</v>
      </c>
      <c r="H733" s="658" t="str">
        <f t="shared" si="529"/>
        <v/>
      </c>
      <c r="I733" s="490">
        <f t="shared" si="530"/>
        <v>0</v>
      </c>
      <c r="J733" s="490">
        <f t="shared" si="531"/>
        <v>0</v>
      </c>
      <c r="K733" s="695">
        <f t="shared" ref="K733" si="536">I733+J733</f>
        <v>0</v>
      </c>
      <c r="L733" s="695"/>
      <c r="M733" s="659" t="str">
        <f t="shared" si="533"/>
        <v/>
      </c>
      <c r="N733" s="660"/>
      <c r="O733" s="233"/>
      <c r="P733" s="233"/>
      <c r="Q733" s="233"/>
      <c r="R733" s="233"/>
      <c r="S733" s="233"/>
      <c r="T733" s="508">
        <f t="shared" si="511"/>
        <v>0</v>
      </c>
      <c r="U733" s="225">
        <f>IF(NOT(ISNUMBER(G733)), "", VLOOKUP(A733,'Discount Lookup'!D:E,2,FALSE)*G733)</f>
        <v>0</v>
      </c>
      <c r="V733" s="225">
        <f>IF(NOT(ISNUMBER(G733)), "", VLOOKUP(A733,'Discount Lookup'!G:H,2,FALSE)*G733)</f>
        <v>0</v>
      </c>
      <c r="W733" s="508">
        <f t="shared" si="512"/>
        <v>0</v>
      </c>
      <c r="X733" s="508">
        <f t="shared" si="513"/>
        <v>0</v>
      </c>
      <c r="Y733" s="509" t="b">
        <f t="shared" si="514"/>
        <v>0</v>
      </c>
      <c r="Z733" s="510">
        <f t="shared" si="515"/>
        <v>0</v>
      </c>
      <c r="AA733" s="511"/>
      <c r="AB733" s="511" t="str">
        <f t="shared" si="516"/>
        <v/>
      </c>
      <c r="AC733" s="698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698"/>
      <c r="AE733" s="631" t="str">
        <f t="shared" si="517"/>
        <v/>
      </c>
      <c r="AF733" s="699" t="str">
        <f t="shared" si="518"/>
        <v/>
      </c>
      <c r="AG733" s="699"/>
      <c r="AH733" s="699"/>
      <c r="AI733" s="512">
        <f>IF(H733="credit",0,IF(AE733="free",0,IF(AE733="me",0,IF(G733&gt;0,(VLOOKUP(A733,'Discount Lookup'!J:K,2)*G733),0))))</f>
        <v>0</v>
      </c>
      <c r="AJ733" s="513" t="str">
        <f t="shared" ca="1" si="519"/>
        <v/>
      </c>
      <c r="AK733" s="700" t="str">
        <f t="shared" si="520"/>
        <v/>
      </c>
      <c r="AL733" s="700"/>
      <c r="AM733" s="505" t="str">
        <f t="shared" si="521"/>
        <v/>
      </c>
      <c r="AN733" s="506"/>
      <c r="AO733" s="507"/>
      <c r="AP733" s="507"/>
      <c r="AQ733" s="507"/>
      <c r="AR733" s="507"/>
      <c r="AS733" s="507"/>
      <c r="AT733" s="507"/>
      <c r="AU733" s="507"/>
      <c r="AV733" s="225"/>
      <c r="AW733" s="508"/>
      <c r="AX733" s="225"/>
      <c r="AY733" s="225"/>
      <c r="AZ733" s="225"/>
      <c r="BA733" s="225"/>
      <c r="BB733" s="225"/>
      <c r="BC733" s="56"/>
      <c r="BD733" s="56"/>
      <c r="BE733" s="56"/>
      <c r="BF733" s="107" t="str">
        <f t="shared" si="522"/>
        <v>https://www.google.com/search?tbm=isch&amp;q=7%20G4</v>
      </c>
      <c r="BG733" s="107" t="str">
        <f t="shared" si="523"/>
        <v>C</v>
      </c>
      <c r="BH733" s="254"/>
      <c r="BI733" s="254"/>
    </row>
    <row r="734" spans="1:61" customFormat="1" ht="15.75" x14ac:dyDescent="0.25">
      <c r="A734" s="485">
        <v>15</v>
      </c>
      <c r="B734" s="486" t="s">
        <v>291</v>
      </c>
      <c r="C734" s="487" t="s">
        <v>2725</v>
      </c>
      <c r="D734" s="488" t="s">
        <v>297</v>
      </c>
      <c r="E734" s="489">
        <v>155.94999999999999</v>
      </c>
      <c r="F734" s="516" t="s">
        <v>293</v>
      </c>
      <c r="G734" s="232">
        <v>0</v>
      </c>
      <c r="H734" s="658" t="str">
        <f t="shared" si="529"/>
        <v/>
      </c>
      <c r="I734" s="490">
        <f t="shared" si="530"/>
        <v>0</v>
      </c>
      <c r="J734" s="490">
        <f t="shared" si="531"/>
        <v>0</v>
      </c>
      <c r="K734" s="695">
        <f t="shared" ref="K734" si="537">I734+J734</f>
        <v>0</v>
      </c>
      <c r="L734" s="695"/>
      <c r="M734" s="659" t="str">
        <f t="shared" si="533"/>
        <v/>
      </c>
      <c r="N734" s="660"/>
      <c r="O734" s="233"/>
      <c r="P734" s="233"/>
      <c r="Q734" s="233"/>
      <c r="R734" s="233"/>
      <c r="S734" s="233"/>
      <c r="T734" s="508">
        <f t="shared" si="511"/>
        <v>0</v>
      </c>
      <c r="U734" s="225">
        <f>IF(NOT(ISNUMBER(G734)), "", VLOOKUP(A734,'Discount Lookup'!D:E,2,FALSE)*G734)</f>
        <v>0</v>
      </c>
      <c r="V734" s="225">
        <f>IF(NOT(ISNUMBER(G734)), "", VLOOKUP(A734,'Discount Lookup'!G:H,2,FALSE)*G734)</f>
        <v>0</v>
      </c>
      <c r="W734" s="508">
        <f t="shared" si="512"/>
        <v>0</v>
      </c>
      <c r="X734" s="508">
        <f t="shared" si="513"/>
        <v>0</v>
      </c>
      <c r="Y734" s="509" t="b">
        <f t="shared" si="514"/>
        <v>0</v>
      </c>
      <c r="Z734" s="510">
        <f t="shared" si="515"/>
        <v>0</v>
      </c>
      <c r="AA734" s="511"/>
      <c r="AB734" s="511" t="str">
        <f t="shared" si="516"/>
        <v/>
      </c>
      <c r="AC734" s="698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698"/>
      <c r="AE734" s="631" t="str">
        <f t="shared" si="517"/>
        <v/>
      </c>
      <c r="AF734" s="699" t="str">
        <f t="shared" si="518"/>
        <v/>
      </c>
      <c r="AG734" s="699"/>
      <c r="AH734" s="699"/>
      <c r="AI734" s="512">
        <f>IF(H734="credit",0,IF(AE734="free",0,IF(AE734="me",0,IF(G734&gt;0,(VLOOKUP(A734,'Discount Lookup'!J:K,2)*G734),0))))</f>
        <v>0</v>
      </c>
      <c r="AJ734" s="513" t="str">
        <f t="shared" ca="1" si="519"/>
        <v/>
      </c>
      <c r="AK734" s="700" t="str">
        <f t="shared" si="520"/>
        <v/>
      </c>
      <c r="AL734" s="700"/>
      <c r="AM734" s="505" t="str">
        <f t="shared" si="521"/>
        <v/>
      </c>
      <c r="AN734" s="506"/>
      <c r="AO734" s="507"/>
      <c r="AP734" s="507"/>
      <c r="AQ734" s="507"/>
      <c r="AR734" s="507"/>
      <c r="AS734" s="507"/>
      <c r="AT734" s="507"/>
      <c r="AU734" s="507"/>
      <c r="AV734" s="225"/>
      <c r="AW734" s="508"/>
      <c r="AX734" s="225"/>
      <c r="AY734" s="225"/>
      <c r="AZ734" s="225"/>
      <c r="BA734" s="225"/>
      <c r="BB734" s="225"/>
      <c r="BC734" s="56"/>
      <c r="BD734" s="56"/>
      <c r="BE734" s="56"/>
      <c r="BF734" s="107" t="str">
        <f t="shared" si="522"/>
        <v>https://www.google.com/search?tbm=isch&amp;q=15%20G3</v>
      </c>
      <c r="BG734" s="107" t="str">
        <f t="shared" si="523"/>
        <v>C</v>
      </c>
      <c r="BH734" s="254"/>
      <c r="BI734" s="254"/>
    </row>
    <row r="735" spans="1:61" customFormat="1" ht="15.75" x14ac:dyDescent="0.25">
      <c r="A735" s="485">
        <v>15</v>
      </c>
      <c r="B735" s="486" t="s">
        <v>291</v>
      </c>
      <c r="C735" s="487" t="s">
        <v>4745</v>
      </c>
      <c r="D735" s="488" t="s">
        <v>292</v>
      </c>
      <c r="E735" s="489">
        <v>155.94999999999999</v>
      </c>
      <c r="F735" s="516" t="s">
        <v>293</v>
      </c>
      <c r="G735" s="232">
        <v>0</v>
      </c>
      <c r="H735" s="658" t="str">
        <f t="shared" si="529"/>
        <v/>
      </c>
      <c r="I735" s="490">
        <f t="shared" si="530"/>
        <v>0</v>
      </c>
      <c r="J735" s="490">
        <f t="shared" si="531"/>
        <v>0</v>
      </c>
      <c r="K735" s="695">
        <f t="shared" ref="K735" si="538">I735+J735</f>
        <v>0</v>
      </c>
      <c r="L735" s="695"/>
      <c r="M735" s="659" t="str">
        <f t="shared" si="533"/>
        <v/>
      </c>
      <c r="N735" s="660"/>
      <c r="O735" s="233"/>
      <c r="P735" s="233"/>
      <c r="Q735" s="233"/>
      <c r="R735" s="233"/>
      <c r="S735" s="233"/>
      <c r="T735" s="508">
        <f t="shared" si="511"/>
        <v>0</v>
      </c>
      <c r="U735" s="225">
        <f>IF(NOT(ISNUMBER(G735)), "", VLOOKUP(A735,'Discount Lookup'!D:E,2,FALSE)*G735)</f>
        <v>0</v>
      </c>
      <c r="V735" s="225">
        <f>IF(NOT(ISNUMBER(G735)), "", VLOOKUP(A735,'Discount Lookup'!G:H,2,FALSE)*G735)</f>
        <v>0</v>
      </c>
      <c r="W735" s="508">
        <f t="shared" si="512"/>
        <v>0</v>
      </c>
      <c r="X735" s="508">
        <f t="shared" si="513"/>
        <v>0</v>
      </c>
      <c r="Y735" s="509" t="b">
        <f t="shared" si="514"/>
        <v>0</v>
      </c>
      <c r="Z735" s="510">
        <f t="shared" si="515"/>
        <v>0</v>
      </c>
      <c r="AA735" s="511"/>
      <c r="AB735" s="511" t="str">
        <f t="shared" si="516"/>
        <v/>
      </c>
      <c r="AC735" s="698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698"/>
      <c r="AE735" s="631" t="str">
        <f t="shared" si="517"/>
        <v/>
      </c>
      <c r="AF735" s="699" t="str">
        <f t="shared" si="518"/>
        <v/>
      </c>
      <c r="AG735" s="699"/>
      <c r="AH735" s="699"/>
      <c r="AI735" s="512">
        <f>IF(H735="credit",0,IF(AE735="free",0,IF(AE735="me",0,IF(G735&gt;0,(VLOOKUP(A735,'Discount Lookup'!J:K,2)*G735),0))))</f>
        <v>0</v>
      </c>
      <c r="AJ735" s="513" t="str">
        <f t="shared" ca="1" si="519"/>
        <v/>
      </c>
      <c r="AK735" s="700" t="str">
        <f t="shared" si="520"/>
        <v/>
      </c>
      <c r="AL735" s="700"/>
      <c r="AM735" s="505" t="str">
        <f t="shared" si="521"/>
        <v/>
      </c>
      <c r="AN735" s="506"/>
      <c r="AO735" s="507"/>
      <c r="AP735" s="507"/>
      <c r="AQ735" s="507"/>
      <c r="AR735" s="507"/>
      <c r="AS735" s="507"/>
      <c r="AT735" s="507"/>
      <c r="AU735" s="507"/>
      <c r="AV735" s="225"/>
      <c r="AW735" s="508"/>
      <c r="AX735" s="225"/>
      <c r="AY735" s="225"/>
      <c r="AZ735" s="225"/>
      <c r="BA735" s="225"/>
      <c r="BB735" s="225"/>
      <c r="BC735" s="56"/>
      <c r="BD735" s="56"/>
      <c r="BE735" s="56"/>
      <c r="BF735" s="107" t="str">
        <f t="shared" si="522"/>
        <v>https://www.google.com/search?tbm=isch&amp;q=15%20G4</v>
      </c>
      <c r="BG735" s="107" t="str">
        <f t="shared" si="523"/>
        <v>C</v>
      </c>
      <c r="BH735" s="254"/>
      <c r="BI735" s="254"/>
    </row>
    <row r="736" spans="1:61" customFormat="1" ht="15.75" x14ac:dyDescent="0.25">
      <c r="A736" s="485">
        <v>15</v>
      </c>
      <c r="B736" s="486" t="s">
        <v>291</v>
      </c>
      <c r="C736" s="487" t="s">
        <v>1792</v>
      </c>
      <c r="D736" s="488" t="s">
        <v>299</v>
      </c>
      <c r="E736" s="489">
        <v>171.95</v>
      </c>
      <c r="F736" s="516" t="s">
        <v>293</v>
      </c>
      <c r="G736" s="232">
        <v>0</v>
      </c>
      <c r="H736" s="658" t="str">
        <f t="shared" si="529"/>
        <v/>
      </c>
      <c r="I736" s="490">
        <f t="shared" si="530"/>
        <v>0</v>
      </c>
      <c r="J736" s="490">
        <f t="shared" si="531"/>
        <v>0</v>
      </c>
      <c r="K736" s="695">
        <f t="shared" ref="K736" si="539">I736+J736</f>
        <v>0</v>
      </c>
      <c r="L736" s="695"/>
      <c r="M736" s="659" t="str">
        <f t="shared" si="533"/>
        <v/>
      </c>
      <c r="N736" s="660"/>
      <c r="O736" s="233"/>
      <c r="P736" s="233"/>
      <c r="Q736" s="233"/>
      <c r="R736" s="233"/>
      <c r="S736" s="233"/>
      <c r="T736" s="508">
        <f t="shared" si="511"/>
        <v>0</v>
      </c>
      <c r="U736" s="225">
        <f>IF(NOT(ISNUMBER(G736)), "", VLOOKUP(A736,'Discount Lookup'!D:E,2,FALSE)*G736)</f>
        <v>0</v>
      </c>
      <c r="V736" s="225">
        <f>IF(NOT(ISNUMBER(G736)), "", VLOOKUP(A736,'Discount Lookup'!G:H,2,FALSE)*G736)</f>
        <v>0</v>
      </c>
      <c r="W736" s="508">
        <f t="shared" si="512"/>
        <v>0</v>
      </c>
      <c r="X736" s="508">
        <f t="shared" si="513"/>
        <v>0</v>
      </c>
      <c r="Y736" s="509" t="b">
        <f t="shared" si="514"/>
        <v>0</v>
      </c>
      <c r="Z736" s="510">
        <f t="shared" si="515"/>
        <v>0</v>
      </c>
      <c r="AA736" s="511"/>
      <c r="AB736" s="511" t="str">
        <f t="shared" si="516"/>
        <v/>
      </c>
      <c r="AC736" s="698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698"/>
      <c r="AE736" s="631" t="str">
        <f t="shared" si="517"/>
        <v/>
      </c>
      <c r="AF736" s="699" t="str">
        <f t="shared" si="518"/>
        <v/>
      </c>
      <c r="AG736" s="699"/>
      <c r="AH736" s="699"/>
      <c r="AI736" s="512">
        <f>IF(H736="credit",0,IF(AE736="free",0,IF(AE736="me",0,IF(G736&gt;0,(VLOOKUP(A736,'Discount Lookup'!J:K,2)*G736),0))))</f>
        <v>0</v>
      </c>
      <c r="AJ736" s="513" t="str">
        <f t="shared" ca="1" si="519"/>
        <v/>
      </c>
      <c r="AK736" s="700" t="str">
        <f t="shared" si="520"/>
        <v/>
      </c>
      <c r="AL736" s="700"/>
      <c r="AM736" s="505" t="str">
        <f t="shared" si="521"/>
        <v/>
      </c>
      <c r="AN736" s="506"/>
      <c r="AO736" s="507"/>
      <c r="AP736" s="507"/>
      <c r="AQ736" s="507"/>
      <c r="AR736" s="507"/>
      <c r="AS736" s="507"/>
      <c r="AT736" s="507"/>
      <c r="AU736" s="507"/>
      <c r="AV736" s="225"/>
      <c r="AW736" s="508"/>
      <c r="AX736" s="225"/>
      <c r="AY736" s="225"/>
      <c r="AZ736" s="225"/>
      <c r="BA736" s="225"/>
      <c r="BB736" s="225"/>
      <c r="BC736" s="56"/>
      <c r="BD736" s="56"/>
      <c r="BE736" s="56"/>
      <c r="BF736" s="107" t="str">
        <f t="shared" si="522"/>
        <v>https://www.google.com/search?tbm=isch&amp;q=15%20G5</v>
      </c>
      <c r="BG736" s="107" t="str">
        <f t="shared" si="523"/>
        <v>C</v>
      </c>
      <c r="BH736" s="254"/>
      <c r="BI736" s="254"/>
    </row>
    <row r="737" spans="1:61" customFormat="1" ht="15.75" x14ac:dyDescent="0.25">
      <c r="A737" s="485">
        <v>15</v>
      </c>
      <c r="B737" s="486" t="s">
        <v>291</v>
      </c>
      <c r="C737" s="487" t="s">
        <v>12</v>
      </c>
      <c r="D737" s="488" t="s">
        <v>312</v>
      </c>
      <c r="E737" s="489">
        <v>175.95</v>
      </c>
      <c r="F737" s="516" t="s">
        <v>293</v>
      </c>
      <c r="G737" s="232">
        <v>0</v>
      </c>
      <c r="H737" s="658" t="str">
        <f t="shared" si="529"/>
        <v/>
      </c>
      <c r="I737" s="490">
        <f t="shared" si="530"/>
        <v>0</v>
      </c>
      <c r="J737" s="490">
        <f t="shared" si="531"/>
        <v>0</v>
      </c>
      <c r="K737" s="695">
        <f t="shared" ref="K737" si="540">I737+J737</f>
        <v>0</v>
      </c>
      <c r="L737" s="695"/>
      <c r="M737" s="659" t="str">
        <f t="shared" si="533"/>
        <v/>
      </c>
      <c r="N737" s="660"/>
      <c r="O737" s="233"/>
      <c r="P737" s="233"/>
      <c r="Q737" s="233"/>
      <c r="R737" s="233"/>
      <c r="S737" s="233"/>
      <c r="T737" s="508">
        <f t="shared" si="511"/>
        <v>0</v>
      </c>
      <c r="U737" s="225">
        <f>IF(NOT(ISNUMBER(G737)), "", VLOOKUP(A737,'Discount Lookup'!D:E,2,FALSE)*G737)</f>
        <v>0</v>
      </c>
      <c r="V737" s="225">
        <f>IF(NOT(ISNUMBER(G737)), "", VLOOKUP(A737,'Discount Lookup'!G:H,2,FALSE)*G737)</f>
        <v>0</v>
      </c>
      <c r="W737" s="508">
        <f t="shared" si="512"/>
        <v>0</v>
      </c>
      <c r="X737" s="508">
        <f t="shared" si="513"/>
        <v>0</v>
      </c>
      <c r="Y737" s="509" t="b">
        <f t="shared" si="514"/>
        <v>0</v>
      </c>
      <c r="Z737" s="510">
        <f t="shared" si="515"/>
        <v>0</v>
      </c>
      <c r="AA737" s="511"/>
      <c r="AB737" s="511" t="str">
        <f t="shared" si="516"/>
        <v/>
      </c>
      <c r="AC737" s="698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698"/>
      <c r="AE737" s="631" t="str">
        <f t="shared" si="517"/>
        <v/>
      </c>
      <c r="AF737" s="699" t="str">
        <f t="shared" si="518"/>
        <v/>
      </c>
      <c r="AG737" s="699"/>
      <c r="AH737" s="699"/>
      <c r="AI737" s="512">
        <f>IF(H737="credit",0,IF(AE737="free",0,IF(AE737="me",0,IF(G737&gt;0,(VLOOKUP(A737,'Discount Lookup'!J:K,2)*G737),0))))</f>
        <v>0</v>
      </c>
      <c r="AJ737" s="513" t="str">
        <f t="shared" ca="1" si="519"/>
        <v/>
      </c>
      <c r="AK737" s="700" t="str">
        <f t="shared" si="520"/>
        <v/>
      </c>
      <c r="AL737" s="700"/>
      <c r="AM737" s="505" t="str">
        <f t="shared" si="521"/>
        <v/>
      </c>
      <c r="AN737" s="506"/>
      <c r="AO737" s="507"/>
      <c r="AP737" s="507"/>
      <c r="AQ737" s="507"/>
      <c r="AR737" s="507"/>
      <c r="AS737" s="507"/>
      <c r="AT737" s="507"/>
      <c r="AU737" s="507"/>
      <c r="AV737" s="225"/>
      <c r="AW737" s="508"/>
      <c r="AX737" s="225"/>
      <c r="AY737" s="225"/>
      <c r="AZ737" s="225"/>
      <c r="BA737" s="225"/>
      <c r="BB737" s="225"/>
      <c r="BC737" s="56"/>
      <c r="BD737" s="56"/>
      <c r="BE737" s="56"/>
      <c r="BF737" s="107" t="str">
        <f t="shared" si="522"/>
        <v>https://www.google.com/search?tbm=isch&amp;q=15%20G2</v>
      </c>
      <c r="BG737" s="107" t="str">
        <f t="shared" si="523"/>
        <v>C</v>
      </c>
      <c r="BH737" s="254"/>
      <c r="BI737" s="254"/>
    </row>
    <row r="738" spans="1:61" customFormat="1" ht="15.75" x14ac:dyDescent="0.25">
      <c r="A738" s="485">
        <v>20</v>
      </c>
      <c r="B738" s="486" t="s">
        <v>291</v>
      </c>
      <c r="C738" s="487" t="s">
        <v>349</v>
      </c>
      <c r="D738" s="488" t="s">
        <v>300</v>
      </c>
      <c r="E738" s="489">
        <v>269.95</v>
      </c>
      <c r="F738" s="516" t="s">
        <v>293</v>
      </c>
      <c r="G738" s="232">
        <v>0</v>
      </c>
      <c r="H738" s="658" t="str">
        <f t="shared" si="529"/>
        <v/>
      </c>
      <c r="I738" s="490">
        <f t="shared" si="530"/>
        <v>0</v>
      </c>
      <c r="J738" s="490">
        <f t="shared" si="531"/>
        <v>0</v>
      </c>
      <c r="K738" s="695">
        <f t="shared" ref="K738" si="541">I738+J738</f>
        <v>0</v>
      </c>
      <c r="L738" s="695"/>
      <c r="M738" s="659" t="str">
        <f t="shared" si="533"/>
        <v/>
      </c>
      <c r="N738" s="660"/>
      <c r="O738" s="233"/>
      <c r="P738" s="233"/>
      <c r="Q738" s="233"/>
      <c r="R738" s="233"/>
      <c r="S738" s="233"/>
      <c r="T738" s="508">
        <f t="shared" si="511"/>
        <v>0</v>
      </c>
      <c r="U738" s="225">
        <f>IF(NOT(ISNUMBER(G738)), "", VLOOKUP(A738,'Discount Lookup'!D:E,2,FALSE)*G738)</f>
        <v>0</v>
      </c>
      <c r="V738" s="225">
        <f>IF(NOT(ISNUMBER(G738)), "", VLOOKUP(A738,'Discount Lookup'!G:H,2,FALSE)*G738)</f>
        <v>0</v>
      </c>
      <c r="W738" s="508">
        <f t="shared" si="512"/>
        <v>0</v>
      </c>
      <c r="X738" s="508">
        <f t="shared" si="513"/>
        <v>0</v>
      </c>
      <c r="Y738" s="509" t="b">
        <f t="shared" si="514"/>
        <v>0</v>
      </c>
      <c r="Z738" s="510">
        <f t="shared" si="515"/>
        <v>0</v>
      </c>
      <c r="AA738" s="511"/>
      <c r="AB738" s="511" t="str">
        <f t="shared" si="516"/>
        <v/>
      </c>
      <c r="AC738" s="698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698"/>
      <c r="AE738" s="631" t="str">
        <f t="shared" si="517"/>
        <v/>
      </c>
      <c r="AF738" s="699" t="str">
        <f t="shared" si="518"/>
        <v/>
      </c>
      <c r="AG738" s="699"/>
      <c r="AH738" s="699"/>
      <c r="AI738" s="512">
        <f>IF(H738="credit",0,IF(AE738="free",0,IF(AE738="me",0,IF(G738&gt;0,(VLOOKUP(A738,'Discount Lookup'!J:K,2)*G738),0))))</f>
        <v>0</v>
      </c>
      <c r="AJ738" s="513" t="str">
        <f t="shared" ca="1" si="519"/>
        <v/>
      </c>
      <c r="AK738" s="700" t="str">
        <f t="shared" si="520"/>
        <v/>
      </c>
      <c r="AL738" s="700"/>
      <c r="AM738" s="505" t="str">
        <f t="shared" si="521"/>
        <v/>
      </c>
      <c r="AN738" s="506"/>
      <c r="AO738" s="507"/>
      <c r="AP738" s="507"/>
      <c r="AQ738" s="507"/>
      <c r="AR738" s="507"/>
      <c r="AS738" s="507"/>
      <c r="AT738" s="507"/>
      <c r="AU738" s="507"/>
      <c r="AV738" s="225"/>
      <c r="AW738" s="508"/>
      <c r="AX738" s="225"/>
      <c r="AY738" s="225"/>
      <c r="AZ738" s="225"/>
      <c r="BA738" s="225"/>
      <c r="BB738" s="225"/>
      <c r="BC738" s="56"/>
      <c r="BD738" s="56"/>
      <c r="BE738" s="56"/>
      <c r="BF738" s="107" t="str">
        <f t="shared" si="522"/>
        <v>https://www.google.com/search?tbm=isch&amp;q=20%20G6</v>
      </c>
      <c r="BG738" s="107" t="str">
        <f t="shared" si="523"/>
        <v>C</v>
      </c>
      <c r="BH738" s="254"/>
      <c r="BI738" s="254"/>
    </row>
    <row r="739" spans="1:61" customFormat="1" ht="27" x14ac:dyDescent="0.25">
      <c r="A739" s="485">
        <v>45</v>
      </c>
      <c r="B739" s="486" t="s">
        <v>291</v>
      </c>
      <c r="C739" s="487" t="s">
        <v>4746</v>
      </c>
      <c r="D739" s="488" t="s">
        <v>292</v>
      </c>
      <c r="E739" s="489">
        <v>432.95</v>
      </c>
      <c r="F739" s="516" t="s">
        <v>293</v>
      </c>
      <c r="G739" s="232">
        <v>0</v>
      </c>
      <c r="H739" s="658" t="str">
        <f t="shared" si="529"/>
        <v/>
      </c>
      <c r="I739" s="490">
        <f t="shared" si="530"/>
        <v>0</v>
      </c>
      <c r="J739" s="490">
        <f t="shared" si="531"/>
        <v>0</v>
      </c>
      <c r="K739" s="695">
        <f t="shared" ref="K739" si="542">I739+J739</f>
        <v>0</v>
      </c>
      <c r="L739" s="695"/>
      <c r="M739" s="659" t="str">
        <f t="shared" si="533"/>
        <v/>
      </c>
      <c r="N739" s="660"/>
      <c r="O739" s="233"/>
      <c r="P739" s="233"/>
      <c r="Q739" s="233"/>
      <c r="R739" s="233"/>
      <c r="S739" s="233"/>
      <c r="T739" s="508">
        <f t="shared" si="511"/>
        <v>0</v>
      </c>
      <c r="U739" s="225">
        <f>IF(NOT(ISNUMBER(G739)), "", VLOOKUP(A739,'Discount Lookup'!D:E,2,FALSE)*G739)</f>
        <v>0</v>
      </c>
      <c r="V739" s="225">
        <f>IF(NOT(ISNUMBER(G739)), "", VLOOKUP(A739,'Discount Lookup'!G:H,2,FALSE)*G739)</f>
        <v>0</v>
      </c>
      <c r="W739" s="508">
        <f t="shared" si="512"/>
        <v>0</v>
      </c>
      <c r="X739" s="508">
        <f t="shared" si="513"/>
        <v>0</v>
      </c>
      <c r="Y739" s="509" t="b">
        <f t="shared" si="514"/>
        <v>0</v>
      </c>
      <c r="Z739" s="510">
        <f t="shared" si="515"/>
        <v>0</v>
      </c>
      <c r="AA739" s="511"/>
      <c r="AB739" s="511" t="str">
        <f t="shared" si="516"/>
        <v/>
      </c>
      <c r="AC739" s="698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698"/>
      <c r="AE739" s="631" t="str">
        <f t="shared" si="517"/>
        <v/>
      </c>
      <c r="AF739" s="699" t="str">
        <f t="shared" si="518"/>
        <v/>
      </c>
      <c r="AG739" s="699"/>
      <c r="AH739" s="699"/>
      <c r="AI739" s="512">
        <f>IF(H739="credit",0,IF(AE739="free",0,IF(AE739="me",0,IF(G739&gt;0,(VLOOKUP(A739,'Discount Lookup'!J:K,2)*G739),0))))</f>
        <v>0</v>
      </c>
      <c r="AJ739" s="513" t="str">
        <f t="shared" ca="1" si="519"/>
        <v/>
      </c>
      <c r="AK739" s="700" t="str">
        <f t="shared" si="520"/>
        <v/>
      </c>
      <c r="AL739" s="700"/>
      <c r="AM739" s="505" t="str">
        <f t="shared" si="521"/>
        <v/>
      </c>
      <c r="AN739" s="506"/>
      <c r="AO739" s="507"/>
      <c r="AP739" s="507"/>
      <c r="AQ739" s="507"/>
      <c r="AR739" s="507"/>
      <c r="AS739" s="507"/>
      <c r="AT739" s="507"/>
      <c r="AU739" s="507"/>
      <c r="AV739" s="225"/>
      <c r="AW739" s="508"/>
      <c r="AX739" s="225"/>
      <c r="AY739" s="225"/>
      <c r="AZ739" s="225"/>
      <c r="BA739" s="225"/>
      <c r="BB739" s="225"/>
      <c r="BC739" s="56"/>
      <c r="BD739" s="56"/>
      <c r="BE739" s="56"/>
      <c r="BF739" s="107" t="str">
        <f t="shared" si="522"/>
        <v>https://www.google.com/search?tbm=isch&amp;q=45%20G4</v>
      </c>
      <c r="BG739" s="107" t="str">
        <f t="shared" si="523"/>
        <v>C</v>
      </c>
      <c r="BH739" s="254"/>
      <c r="BI739" s="254"/>
    </row>
    <row r="740" spans="1:61" customFormat="1" ht="15.75" x14ac:dyDescent="0.25">
      <c r="A740" s="485">
        <v>65</v>
      </c>
      <c r="B740" s="486" t="s">
        <v>291</v>
      </c>
      <c r="C740" s="487" t="s">
        <v>3979</v>
      </c>
      <c r="D740" s="488" t="s">
        <v>292</v>
      </c>
      <c r="E740" s="489">
        <v>598.95000000000005</v>
      </c>
      <c r="F740" s="516" t="s">
        <v>293</v>
      </c>
      <c r="G740" s="232">
        <v>0</v>
      </c>
      <c r="H740" s="658" t="str">
        <f t="shared" si="529"/>
        <v/>
      </c>
      <c r="I740" s="490">
        <f t="shared" si="530"/>
        <v>0</v>
      </c>
      <c r="J740" s="490">
        <f t="shared" si="531"/>
        <v>0</v>
      </c>
      <c r="K740" s="695">
        <f t="shared" ref="K740" si="543">I740+J740</f>
        <v>0</v>
      </c>
      <c r="L740" s="695"/>
      <c r="M740" s="659" t="str">
        <f t="shared" si="533"/>
        <v/>
      </c>
      <c r="N740" s="660"/>
      <c r="O740" s="233"/>
      <c r="P740" s="233"/>
      <c r="Q740" s="233"/>
      <c r="R740" s="233"/>
      <c r="S740" s="233"/>
      <c r="T740" s="508">
        <f t="shared" si="511"/>
        <v>0</v>
      </c>
      <c r="U740" s="225">
        <f>IF(NOT(ISNUMBER(G740)), "", VLOOKUP(A740,'Discount Lookup'!D:E,2,FALSE)*G740)</f>
        <v>0</v>
      </c>
      <c r="V740" s="225">
        <f>IF(NOT(ISNUMBER(G740)), "", VLOOKUP(A740,'Discount Lookup'!G:H,2,FALSE)*G740)</f>
        <v>0</v>
      </c>
      <c r="W740" s="508">
        <f t="shared" si="512"/>
        <v>0</v>
      </c>
      <c r="X740" s="508">
        <f t="shared" si="513"/>
        <v>0</v>
      </c>
      <c r="Y740" s="509" t="b">
        <f t="shared" si="514"/>
        <v>0</v>
      </c>
      <c r="Z740" s="510">
        <f t="shared" si="515"/>
        <v>0</v>
      </c>
      <c r="AA740" s="511"/>
      <c r="AB740" s="511" t="str">
        <f t="shared" si="516"/>
        <v/>
      </c>
      <c r="AC740" s="698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698"/>
      <c r="AE740" s="631" t="str">
        <f t="shared" si="517"/>
        <v/>
      </c>
      <c r="AF740" s="699" t="str">
        <f t="shared" si="518"/>
        <v/>
      </c>
      <c r="AG740" s="699"/>
      <c r="AH740" s="699"/>
      <c r="AI740" s="512">
        <f>IF(H740="credit",0,IF(AE740="free",0,IF(AE740="me",0,IF(G740&gt;0,(VLOOKUP(A740,'Discount Lookup'!J:K,2)*G740),0))))</f>
        <v>0</v>
      </c>
      <c r="AJ740" s="513" t="str">
        <f t="shared" ca="1" si="519"/>
        <v/>
      </c>
      <c r="AK740" s="700" t="str">
        <f t="shared" si="520"/>
        <v/>
      </c>
      <c r="AL740" s="700"/>
      <c r="AM740" s="505" t="str">
        <f t="shared" si="521"/>
        <v/>
      </c>
      <c r="AN740" s="506"/>
      <c r="AO740" s="507"/>
      <c r="AP740" s="507"/>
      <c r="AQ740" s="507"/>
      <c r="AR740" s="507"/>
      <c r="AS740" s="507"/>
      <c r="AT740" s="507"/>
      <c r="AU740" s="507"/>
      <c r="AV740" s="225"/>
      <c r="AW740" s="508"/>
      <c r="AX740" s="225"/>
      <c r="AY740" s="225"/>
      <c r="AZ740" s="225"/>
      <c r="BA740" s="225"/>
      <c r="BB740" s="225"/>
      <c r="BC740" s="56"/>
      <c r="BD740" s="56"/>
      <c r="BE740" s="56"/>
      <c r="BF740" s="107" t="str">
        <f t="shared" si="522"/>
        <v>https://www.google.com/search?tbm=isch&amp;q=65%20G4</v>
      </c>
      <c r="BG740" s="107" t="str">
        <f t="shared" si="523"/>
        <v>C</v>
      </c>
      <c r="BH740" s="254"/>
      <c r="BI740" s="254"/>
    </row>
    <row r="741" spans="1:61" customFormat="1" ht="15.75" x14ac:dyDescent="0.25">
      <c r="A741" s="485">
        <v>45</v>
      </c>
      <c r="B741" s="486" t="s">
        <v>291</v>
      </c>
      <c r="C741" s="487" t="s">
        <v>4660</v>
      </c>
      <c r="D741" s="488" t="s">
        <v>300</v>
      </c>
      <c r="E741" s="489">
        <v>645.95000000000005</v>
      </c>
      <c r="F741" s="516" t="s">
        <v>293</v>
      </c>
      <c r="G741" s="232">
        <v>0</v>
      </c>
      <c r="H741" s="658" t="str">
        <f t="shared" si="529"/>
        <v/>
      </c>
      <c r="I741" s="490">
        <f t="shared" si="530"/>
        <v>0</v>
      </c>
      <c r="J741" s="490">
        <f t="shared" si="531"/>
        <v>0</v>
      </c>
      <c r="K741" s="695">
        <f t="shared" ref="K741" si="544">I741+J741</f>
        <v>0</v>
      </c>
      <c r="L741" s="695"/>
      <c r="M741" s="659" t="str">
        <f t="shared" si="533"/>
        <v/>
      </c>
      <c r="N741" s="660"/>
      <c r="O741" s="233"/>
      <c r="P741" s="233"/>
      <c r="Q741" s="233"/>
      <c r="R741" s="233"/>
      <c r="S741" s="233"/>
      <c r="T741" s="508">
        <f t="shared" si="511"/>
        <v>0</v>
      </c>
      <c r="U741" s="225">
        <f>IF(NOT(ISNUMBER(G741)), "", VLOOKUP(A741,'Discount Lookup'!D:E,2,FALSE)*G741)</f>
        <v>0</v>
      </c>
      <c r="V741" s="225">
        <f>IF(NOT(ISNUMBER(G741)), "", VLOOKUP(A741,'Discount Lookup'!G:H,2,FALSE)*G741)</f>
        <v>0</v>
      </c>
      <c r="W741" s="508">
        <f t="shared" si="512"/>
        <v>0</v>
      </c>
      <c r="X741" s="508">
        <f t="shared" si="513"/>
        <v>0</v>
      </c>
      <c r="Y741" s="509" t="b">
        <f t="shared" si="514"/>
        <v>0</v>
      </c>
      <c r="Z741" s="510">
        <f t="shared" si="515"/>
        <v>0</v>
      </c>
      <c r="AA741" s="511"/>
      <c r="AB741" s="511" t="str">
        <f t="shared" si="516"/>
        <v/>
      </c>
      <c r="AC741" s="698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698"/>
      <c r="AE741" s="631" t="str">
        <f t="shared" si="517"/>
        <v/>
      </c>
      <c r="AF741" s="699" t="str">
        <f t="shared" si="518"/>
        <v/>
      </c>
      <c r="AG741" s="699"/>
      <c r="AH741" s="699"/>
      <c r="AI741" s="512">
        <f>IF(H741="credit",0,IF(AE741="free",0,IF(AE741="me",0,IF(G741&gt;0,(VLOOKUP(A741,'Discount Lookup'!J:K,2)*G741),0))))</f>
        <v>0</v>
      </c>
      <c r="AJ741" s="513" t="str">
        <f t="shared" ca="1" si="519"/>
        <v/>
      </c>
      <c r="AK741" s="700" t="str">
        <f t="shared" si="520"/>
        <v/>
      </c>
      <c r="AL741" s="700"/>
      <c r="AM741" s="505" t="str">
        <f t="shared" si="521"/>
        <v/>
      </c>
      <c r="AN741" s="506"/>
      <c r="AO741" s="507"/>
      <c r="AP741" s="507"/>
      <c r="AQ741" s="507"/>
      <c r="AR741" s="507"/>
      <c r="AS741" s="507"/>
      <c r="AT741" s="507"/>
      <c r="AU741" s="507"/>
      <c r="AV741" s="225"/>
      <c r="AW741" s="508"/>
      <c r="AX741" s="225"/>
      <c r="AY741" s="225"/>
      <c r="AZ741" s="225"/>
      <c r="BA741" s="225"/>
      <c r="BB741" s="225"/>
      <c r="BC741" s="56"/>
      <c r="BD741" s="56"/>
      <c r="BE741" s="56"/>
      <c r="BF741" s="107" t="str">
        <f t="shared" si="522"/>
        <v>https://www.google.com/search?tbm=isch&amp;q=45%20G6</v>
      </c>
      <c r="BG741" s="107" t="str">
        <f t="shared" si="523"/>
        <v>C</v>
      </c>
      <c r="BH741" s="254"/>
      <c r="BI741" s="254"/>
    </row>
    <row r="742" spans="1:61" customFormat="1" ht="17.25" thickBot="1" x14ac:dyDescent="0.3">
      <c r="A742" s="522" t="s">
        <v>2636</v>
      </c>
      <c r="B742" s="491"/>
      <c r="C742" s="675"/>
      <c r="D742" s="491"/>
      <c r="E742" s="491"/>
      <c r="F742" s="492"/>
      <c r="G742" s="493"/>
      <c r="H742" s="491"/>
      <c r="I742" s="234"/>
      <c r="J742" s="234"/>
      <c r="K742" s="494"/>
      <c r="L742" s="543"/>
      <c r="M742" s="561"/>
      <c r="N742" s="495"/>
      <c r="O742" s="496"/>
      <c r="P742" s="497"/>
      <c r="Q742" s="495"/>
      <c r="R742" s="495"/>
      <c r="S742" s="667" t="s">
        <v>4984</v>
      </c>
      <c r="T742" s="508">
        <f t="shared" si="511"/>
        <v>0</v>
      </c>
      <c r="U742" s="225" t="str">
        <f>IF(NOT(ISNUMBER(G742)), "", VLOOKUP(A742,'Discount Lookup'!D:E,2,FALSE)*G742)</f>
        <v/>
      </c>
      <c r="V742" s="225" t="str">
        <f>IF(NOT(ISNUMBER(G742)), "", VLOOKUP(A742,'Discount Lookup'!G:H,2,FALSE)*G742)</f>
        <v/>
      </c>
      <c r="W742" s="508">
        <f t="shared" si="512"/>
        <v>0</v>
      </c>
      <c r="X742" s="508">
        <f t="shared" si="513"/>
        <v>0</v>
      </c>
      <c r="Y742" s="509" t="b">
        <f t="shared" si="514"/>
        <v>0</v>
      </c>
      <c r="Z742" s="510">
        <f t="shared" si="515"/>
        <v>0</v>
      </c>
      <c r="AA742" s="511"/>
      <c r="AB742" s="511" t="str">
        <f t="shared" si="516"/>
        <v/>
      </c>
      <c r="AC742" s="698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698"/>
      <c r="AE742" s="631" t="str">
        <f t="shared" si="517"/>
        <v/>
      </c>
      <c r="AF742" s="699" t="str">
        <f t="shared" si="518"/>
        <v/>
      </c>
      <c r="AG742" s="699"/>
      <c r="AH742" s="699"/>
      <c r="AI742" s="512">
        <f>IF(H742="credit",0,IF(AE742="free",0,IF(AE742="me",0,IF(G742&gt;0,(VLOOKUP(A742,'Discount Lookup'!J:K,2)*G742),0))))</f>
        <v>0</v>
      </c>
      <c r="AJ742" s="513" t="str">
        <f t="shared" ca="1" si="519"/>
        <v/>
      </c>
      <c r="AK742" s="700" t="str">
        <f t="shared" si="520"/>
        <v/>
      </c>
      <c r="AL742" s="700"/>
      <c r="AM742" s="505" t="str">
        <f t="shared" si="521"/>
        <v/>
      </c>
      <c r="AN742" s="506"/>
      <c r="AO742" s="507"/>
      <c r="AP742" s="507"/>
      <c r="AQ742" s="507"/>
      <c r="AR742" s="507"/>
      <c r="AS742" s="507"/>
      <c r="AT742" s="507"/>
      <c r="AU742" s="507"/>
      <c r="AV742" s="225"/>
      <c r="AW742" s="508"/>
      <c r="AX742" s="225"/>
      <c r="AY742" s="225"/>
      <c r="AZ742" s="225"/>
      <c r="BA742" s="225"/>
      <c r="BB742" s="225"/>
      <c r="BC742" s="56"/>
      <c r="BD742" s="56"/>
      <c r="BE742" s="56"/>
      <c r="BF742" s="107" t="str">
        <f t="shared" si="522"/>
        <v>https://www.google.com/search?tbm=isch&amp;q=Chindo%20offers%20glossy%20%E2%80%9Cmirror%E2%80%9D%20leaves%2C%20fragrant%20spring%20blooms%2C%20and%20showy%20Red%20fruit%20on%20a%20fast%2C%20pyramidal%20form%20</v>
      </c>
      <c r="BG742" s="107" t="str">
        <f t="shared" si="523"/>
        <v>C</v>
      </c>
      <c r="BH742" s="254"/>
      <c r="BI742" s="254"/>
    </row>
    <row r="743" spans="1:61" customFormat="1" ht="18" x14ac:dyDescent="0.25">
      <c r="A743" s="523" t="s">
        <v>377</v>
      </c>
      <c r="B743" s="235"/>
      <c r="C743" s="676"/>
      <c r="D743" s="255" t="s">
        <v>376</v>
      </c>
      <c r="E743" s="236"/>
      <c r="F743" s="236"/>
      <c r="G743" s="236"/>
      <c r="H743" s="582" t="s">
        <v>378</v>
      </c>
      <c r="I743" s="498" t="s">
        <v>654</v>
      </c>
      <c r="J743" s="237"/>
      <c r="K743" s="237"/>
      <c r="L743" s="274"/>
      <c r="M743" s="668" t="s">
        <v>4975</v>
      </c>
      <c r="N743" s="681" t="str">
        <f>IF(AND(ISTEXT($A743), ISERROR($A743+0)), HYPERLINK($BF743, "Images"), "")</f>
        <v>Images</v>
      </c>
      <c r="O743" s="663" t="s">
        <v>4967</v>
      </c>
      <c r="P743" s="253"/>
      <c r="Q743" s="238"/>
      <c r="R743" s="239"/>
      <c r="S743" s="275"/>
      <c r="T743" s="508">
        <f t="shared" si="511"/>
        <v>0</v>
      </c>
      <c r="U743" s="225" t="str">
        <f>IF(NOT(ISNUMBER(G743)), "", VLOOKUP(A743,'Discount Lookup'!D:E,2,FALSE)*G743)</f>
        <v/>
      </c>
      <c r="V743" s="225" t="str">
        <f>IF(NOT(ISNUMBER(G743)), "", VLOOKUP(A743,'Discount Lookup'!G:H,2,FALSE)*G743)</f>
        <v/>
      </c>
      <c r="W743" s="508">
        <f t="shared" si="512"/>
        <v>0</v>
      </c>
      <c r="X743" s="508" t="str">
        <f t="shared" si="513"/>
        <v>White bloom</v>
      </c>
      <c r="Y743" s="509" t="b">
        <f t="shared" si="514"/>
        <v>0</v>
      </c>
      <c r="Z743" s="510">
        <f t="shared" si="515"/>
        <v>0</v>
      </c>
      <c r="AA743" s="511"/>
      <c r="AB743" s="511" t="str">
        <f t="shared" si="516"/>
        <v/>
      </c>
      <c r="AC743" s="698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698"/>
      <c r="AE743" s="631" t="str">
        <f t="shared" si="517"/>
        <v/>
      </c>
      <c r="AF743" s="699" t="str">
        <f t="shared" si="518"/>
        <v/>
      </c>
      <c r="AG743" s="699"/>
      <c r="AH743" s="699"/>
      <c r="AI743" s="512">
        <f>IF(H743="credit",0,IF(AE743="free",0,IF(AE743="me",0,IF(G743&gt;0,(VLOOKUP(A743,'Discount Lookup'!J:K,2)*G743),0))))</f>
        <v>0</v>
      </c>
      <c r="AJ743" s="513" t="str">
        <f t="shared" ca="1" si="519"/>
        <v/>
      </c>
      <c r="AK743" s="700" t="str">
        <f t="shared" si="520"/>
        <v/>
      </c>
      <c r="AL743" s="700"/>
      <c r="AM743" s="505" t="str">
        <f t="shared" si="521"/>
        <v/>
      </c>
      <c r="AN743" s="506"/>
      <c r="AO743" s="507"/>
      <c r="AP743" s="507"/>
      <c r="AQ743" s="507"/>
      <c r="AR743" s="507"/>
      <c r="AS743" s="507"/>
      <c r="AT743" s="507"/>
      <c r="AU743" s="507"/>
      <c r="AV743" s="225"/>
      <c r="AW743" s="508"/>
      <c r="AX743" s="225"/>
      <c r="AY743" s="225"/>
      <c r="AZ743" s="225"/>
      <c r="BA743" s="225"/>
      <c r="BB743" s="225"/>
      <c r="BC743" s="56"/>
      <c r="BD743" s="56"/>
      <c r="BE743" s="56"/>
      <c r="BF743" s="107" t="str">
        <f t="shared" si="522"/>
        <v>https://www.google.com/search?tbm=isch&amp;q=Chinese%20Fringetree%20Chionanthus%20retusus</v>
      </c>
      <c r="BG743" s="107" t="str">
        <f t="shared" si="523"/>
        <v>C</v>
      </c>
      <c r="BH743" s="254"/>
      <c r="BI743" s="254"/>
    </row>
    <row r="744" spans="1:61" customFormat="1" ht="15.75" x14ac:dyDescent="0.25">
      <c r="A744" s="276">
        <v>7</v>
      </c>
      <c r="B744" s="240" t="s">
        <v>291</v>
      </c>
      <c r="C744" s="241"/>
      <c r="D744" s="242" t="s">
        <v>299</v>
      </c>
      <c r="E744" s="243">
        <v>102.95</v>
      </c>
      <c r="F744" s="517" t="s">
        <v>293</v>
      </c>
      <c r="G744" s="232">
        <v>0</v>
      </c>
      <c r="H744" s="661" t="str">
        <f>IF(G744=0,"",IF(F744="Buy",IF(G744=1,"plant","plants"),IF(F744&gt;0.01,"warranty","Error")))</f>
        <v/>
      </c>
      <c r="I744" s="244">
        <f>IF(H744="free",0,IF(H744="credit",((E744*(F744))*G744*-1),IF(F744="Buy",(E744*G744),((E744*(1-F744))*G744))))</f>
        <v>0</v>
      </c>
      <c r="J744" s="244">
        <f>IF(H744="warranty",0,(I744*(_xlfn.SINGLE(SalesTaxPercentage))))</f>
        <v>0</v>
      </c>
      <c r="K744" s="696">
        <f t="shared" ref="K744" si="545">I744+J744</f>
        <v>0</v>
      </c>
      <c r="L744" s="696"/>
      <c r="M744" s="659" t="str">
        <f>IF(AND(G744&gt;0,E744=0),"WARNING - no PRICE inserted",IF(H744="free"," FREE ~ no charge this plant",IF(H744="credit",CONCATENATE(" -$",ROUND(K744*(1-T2GDiscount)*-1,2)," CREDIT after discount"),IF(T2GDiscount=0,"",IF(G744=0,"",IF(F744="Buy",CONCATENATE(" $",ROUND(K744*(1-T2GDiscount),2)," with ",(T2GDiscount*100),"% discount"),CONCATENATE(" $",ROUND(K744*(1-T2GDiscount),2)," with ",((T2GDiscount*100+F744*100)-(T2GDiscount*100*F744)),IF(F744&gt;0,"% discounts",IF(NoWarrantyDiscount&gt;0,"% discounts","% discount")))))))))</f>
        <v/>
      </c>
      <c r="N744" s="660"/>
      <c r="O744" s="233"/>
      <c r="P744" s="233"/>
      <c r="Q744" s="233"/>
      <c r="R744" s="233"/>
      <c r="S744" s="233"/>
      <c r="T744" s="508">
        <f t="shared" si="511"/>
        <v>0</v>
      </c>
      <c r="U744" s="225">
        <f>IF(NOT(ISNUMBER(G744)), "", VLOOKUP(A744,'Discount Lookup'!D:E,2,FALSE)*G744)</f>
        <v>0</v>
      </c>
      <c r="V744" s="225">
        <f>IF(NOT(ISNUMBER(G744)), "", VLOOKUP(A744,'Discount Lookup'!G:H,2,FALSE)*G744)</f>
        <v>0</v>
      </c>
      <c r="W744" s="508">
        <f t="shared" si="512"/>
        <v>0</v>
      </c>
      <c r="X744" s="508">
        <f t="shared" si="513"/>
        <v>0</v>
      </c>
      <c r="Y744" s="509" t="b">
        <f t="shared" si="514"/>
        <v>0</v>
      </c>
      <c r="Z744" s="510">
        <f t="shared" si="515"/>
        <v>0</v>
      </c>
      <c r="AA744" s="511"/>
      <c r="AB744" s="511" t="str">
        <f t="shared" si="516"/>
        <v/>
      </c>
      <c r="AC744" s="698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698"/>
      <c r="AE744" s="631" t="str">
        <f t="shared" si="517"/>
        <v/>
      </c>
      <c r="AF744" s="699" t="str">
        <f t="shared" si="518"/>
        <v/>
      </c>
      <c r="AG744" s="699"/>
      <c r="AH744" s="699"/>
      <c r="AI744" s="512">
        <f>IF(H744="credit",0,IF(AE744="free",0,IF(AE744="me",0,IF(G744&gt;0,(VLOOKUP(A744,'Discount Lookup'!J:K,2)*G744),0))))</f>
        <v>0</v>
      </c>
      <c r="AJ744" s="513" t="str">
        <f t="shared" ca="1" si="519"/>
        <v/>
      </c>
      <c r="AK744" s="700" t="str">
        <f t="shared" si="520"/>
        <v/>
      </c>
      <c r="AL744" s="700"/>
      <c r="AM744" s="505" t="str">
        <f t="shared" si="521"/>
        <v/>
      </c>
      <c r="AN744" s="506"/>
      <c r="AO744" s="507"/>
      <c r="AP744" s="507"/>
      <c r="AQ744" s="507"/>
      <c r="AR744" s="507"/>
      <c r="AS744" s="507"/>
      <c r="AT744" s="507"/>
      <c r="AU744" s="507"/>
      <c r="AV744" s="225"/>
      <c r="AW744" s="508"/>
      <c r="AX744" s="225"/>
      <c r="AY744" s="225"/>
      <c r="AZ744" s="225"/>
      <c r="BA744" s="225"/>
      <c r="BB744" s="225"/>
      <c r="BC744" s="56"/>
      <c r="BD744" s="56"/>
      <c r="BE744" s="56"/>
      <c r="BF744" s="107" t="str">
        <f t="shared" si="522"/>
        <v>https://www.google.com/search?tbm=isch&amp;q=7%20G5</v>
      </c>
      <c r="BG744" s="107" t="str">
        <f t="shared" si="523"/>
        <v>C</v>
      </c>
      <c r="BH744" s="254"/>
      <c r="BI744" s="254"/>
    </row>
    <row r="745" spans="1:61" customFormat="1" ht="15.75" x14ac:dyDescent="0.25">
      <c r="A745" s="276">
        <v>7</v>
      </c>
      <c r="B745" s="240" t="s">
        <v>291</v>
      </c>
      <c r="C745" s="241" t="s">
        <v>358</v>
      </c>
      <c r="D745" s="242" t="s">
        <v>312</v>
      </c>
      <c r="E745" s="243">
        <v>111.95</v>
      </c>
      <c r="F745" s="517" t="s">
        <v>293</v>
      </c>
      <c r="G745" s="232">
        <v>0</v>
      </c>
      <c r="H745" s="661" t="str">
        <f>IF(G745=0,"",IF(F745="Buy",IF(G745=1,"plant","plants"),IF(F745&gt;0.01,"warranty","Error")))</f>
        <v/>
      </c>
      <c r="I745" s="244">
        <f>IF(H745="free",0,IF(H745="credit",((E745*(F745))*G745*-1),IF(F745="Buy",(E745*G745),((E745*(1-F745))*G745))))</f>
        <v>0</v>
      </c>
      <c r="J745" s="244">
        <f>IF(H745="warranty",0,(I745*(_xlfn.SINGLE(SalesTaxPercentage))))</f>
        <v>0</v>
      </c>
      <c r="K745" s="696">
        <f t="shared" ref="K745" si="546">I745+J745</f>
        <v>0</v>
      </c>
      <c r="L745" s="696"/>
      <c r="M745" s="659" t="str">
        <f>IF(AND(G745&gt;0,E745=0),"WARNING - no PRICE inserted",IF(H745="free"," FREE ~ no charge this plant",IF(H745="credit",CONCATENATE(" -$",ROUND(K745*(1-T2GDiscount)*-1,2)," CREDIT after discount"),IF(T2GDiscount=0,"",IF(G745=0,"",IF(F745="Buy",CONCATENATE(" $",ROUND(K745*(1-T2GDiscount),2)," with ",(T2GDiscount*100),"% discount"),CONCATENATE(" $",ROUND(K745*(1-T2GDiscount),2)," with ",((T2GDiscount*100+F745*100)-(T2GDiscount*100*F745)),IF(F745&gt;0,"% discounts",IF(NoWarrantyDiscount&gt;0,"% discounts","% discount")))))))))</f>
        <v/>
      </c>
      <c r="N745" s="660"/>
      <c r="O745" s="233"/>
      <c r="P745" s="233"/>
      <c r="Q745" s="233"/>
      <c r="R745" s="233"/>
      <c r="S745" s="233"/>
      <c r="T745" s="508">
        <f t="shared" si="511"/>
        <v>0</v>
      </c>
      <c r="U745" s="225">
        <f>IF(NOT(ISNUMBER(G745)), "", VLOOKUP(A745,'Discount Lookup'!D:E,2,FALSE)*G745)</f>
        <v>0</v>
      </c>
      <c r="V745" s="225">
        <f>IF(NOT(ISNUMBER(G745)), "", VLOOKUP(A745,'Discount Lookup'!G:H,2,FALSE)*G745)</f>
        <v>0</v>
      </c>
      <c r="W745" s="508">
        <f t="shared" si="512"/>
        <v>0</v>
      </c>
      <c r="X745" s="508">
        <f t="shared" si="513"/>
        <v>0</v>
      </c>
      <c r="Y745" s="509" t="b">
        <f t="shared" si="514"/>
        <v>0</v>
      </c>
      <c r="Z745" s="510">
        <f t="shared" si="515"/>
        <v>0</v>
      </c>
      <c r="AA745" s="511"/>
      <c r="AB745" s="511" t="str">
        <f t="shared" si="516"/>
        <v/>
      </c>
      <c r="AC745" s="698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698"/>
      <c r="AE745" s="631" t="str">
        <f t="shared" si="517"/>
        <v/>
      </c>
      <c r="AF745" s="699" t="str">
        <f t="shared" si="518"/>
        <v/>
      </c>
      <c r="AG745" s="699"/>
      <c r="AH745" s="699"/>
      <c r="AI745" s="512">
        <f>IF(H745="credit",0,IF(AE745="free",0,IF(AE745="me",0,IF(G745&gt;0,(VLOOKUP(A745,'Discount Lookup'!J:K,2)*G745),0))))</f>
        <v>0</v>
      </c>
      <c r="AJ745" s="513" t="str">
        <f t="shared" ca="1" si="519"/>
        <v/>
      </c>
      <c r="AK745" s="700" t="str">
        <f t="shared" si="520"/>
        <v/>
      </c>
      <c r="AL745" s="700"/>
      <c r="AM745" s="505" t="str">
        <f t="shared" si="521"/>
        <v/>
      </c>
      <c r="AN745" s="506"/>
      <c r="AO745" s="507"/>
      <c r="AP745" s="507"/>
      <c r="AQ745" s="507"/>
      <c r="AR745" s="507"/>
      <c r="AS745" s="507"/>
      <c r="AT745" s="507"/>
      <c r="AU745" s="507"/>
      <c r="AV745" s="225"/>
      <c r="AW745" s="508"/>
      <c r="AX745" s="225"/>
      <c r="AY745" s="225"/>
      <c r="AZ745" s="225"/>
      <c r="BA745" s="225"/>
      <c r="BB745" s="225"/>
      <c r="BC745" s="56"/>
      <c r="BD745" s="56"/>
      <c r="BE745" s="56"/>
      <c r="BF745" s="107" t="str">
        <f t="shared" si="522"/>
        <v>https://www.google.com/search?tbm=isch&amp;q=7%20G2</v>
      </c>
      <c r="BG745" s="107" t="str">
        <f t="shared" si="523"/>
        <v>C</v>
      </c>
      <c r="BH745" s="254"/>
      <c r="BI745" s="254"/>
    </row>
    <row r="746" spans="1:61" customFormat="1" ht="15.75" x14ac:dyDescent="0.25">
      <c r="A746" s="276">
        <v>7</v>
      </c>
      <c r="B746" s="240" t="s">
        <v>291</v>
      </c>
      <c r="C746" s="241" t="s">
        <v>3378</v>
      </c>
      <c r="D746" s="242" t="s">
        <v>292</v>
      </c>
      <c r="E746" s="243">
        <v>118.95</v>
      </c>
      <c r="F746" s="517" t="s">
        <v>293</v>
      </c>
      <c r="G746" s="232">
        <v>0</v>
      </c>
      <c r="H746" s="661" t="str">
        <f>IF(G746=0,"",IF(F746="Buy",IF(G746=1,"plant","plants"),IF(F746&gt;0.01,"warranty","Error")))</f>
        <v/>
      </c>
      <c r="I746" s="244">
        <f>IF(H746="free",0,IF(H746="credit",((E746*(F746))*G746*-1),IF(F746="Buy",(E746*G746),((E746*(1-F746))*G746))))</f>
        <v>0</v>
      </c>
      <c r="J746" s="244">
        <f>IF(H746="warranty",0,(I746*(_xlfn.SINGLE(SalesTaxPercentage))))</f>
        <v>0</v>
      </c>
      <c r="K746" s="696">
        <f t="shared" ref="K746" si="547">I746+J746</f>
        <v>0</v>
      </c>
      <c r="L746" s="696"/>
      <c r="M746" s="659" t="str">
        <f>IF(AND(G746&gt;0,E746=0),"WARNING - no PRICE inserted",IF(H746="free"," FREE ~ no charge this plant",IF(H746="credit",CONCATENATE(" -$",ROUND(K746*(1-T2GDiscount)*-1,2)," CREDIT after discount"),IF(T2GDiscount=0,"",IF(G746=0,"",IF(F746="Buy",CONCATENATE(" $",ROUND(K746*(1-T2GDiscount),2)," with ",(T2GDiscount*100),"% discount"),CONCATENATE(" $",ROUND(K746*(1-T2GDiscount),2)," with ",((T2GDiscount*100+F746*100)-(T2GDiscount*100*F746)),IF(F746&gt;0,"% discounts",IF(NoWarrantyDiscount&gt;0,"% discounts","% discount")))))))))</f>
        <v/>
      </c>
      <c r="N746" s="660"/>
      <c r="O746" s="233"/>
      <c r="P746" s="233"/>
      <c r="Q746" s="233"/>
      <c r="R746" s="233"/>
      <c r="S746" s="233"/>
      <c r="T746" s="508">
        <f t="shared" si="511"/>
        <v>0</v>
      </c>
      <c r="U746" s="225">
        <f>IF(NOT(ISNUMBER(G746)), "", VLOOKUP(A746,'Discount Lookup'!D:E,2,FALSE)*G746)</f>
        <v>0</v>
      </c>
      <c r="V746" s="225">
        <f>IF(NOT(ISNUMBER(G746)), "", VLOOKUP(A746,'Discount Lookup'!G:H,2,FALSE)*G746)</f>
        <v>0</v>
      </c>
      <c r="W746" s="508">
        <f t="shared" si="512"/>
        <v>0</v>
      </c>
      <c r="X746" s="508">
        <f t="shared" si="513"/>
        <v>0</v>
      </c>
      <c r="Y746" s="509" t="b">
        <f t="shared" si="514"/>
        <v>0</v>
      </c>
      <c r="Z746" s="510">
        <f t="shared" si="515"/>
        <v>0</v>
      </c>
      <c r="AA746" s="511"/>
      <c r="AB746" s="511" t="str">
        <f t="shared" si="516"/>
        <v/>
      </c>
      <c r="AC746" s="698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698"/>
      <c r="AE746" s="631" t="str">
        <f t="shared" si="517"/>
        <v/>
      </c>
      <c r="AF746" s="699" t="str">
        <f t="shared" si="518"/>
        <v/>
      </c>
      <c r="AG746" s="699"/>
      <c r="AH746" s="699"/>
      <c r="AI746" s="512">
        <f>IF(H746="credit",0,IF(AE746="free",0,IF(AE746="me",0,IF(G746&gt;0,(VLOOKUP(A746,'Discount Lookup'!J:K,2)*G746),0))))</f>
        <v>0</v>
      </c>
      <c r="AJ746" s="513" t="str">
        <f t="shared" ca="1" si="519"/>
        <v/>
      </c>
      <c r="AK746" s="700" t="str">
        <f t="shared" si="520"/>
        <v/>
      </c>
      <c r="AL746" s="700"/>
      <c r="AM746" s="505" t="str">
        <f t="shared" si="521"/>
        <v/>
      </c>
      <c r="AN746" s="506"/>
      <c r="AO746" s="507"/>
      <c r="AP746" s="507"/>
      <c r="AQ746" s="507"/>
      <c r="AR746" s="507"/>
      <c r="AS746" s="507"/>
      <c r="AT746" s="507"/>
      <c r="AU746" s="507"/>
      <c r="AV746" s="225"/>
      <c r="AW746" s="508"/>
      <c r="AX746" s="225"/>
      <c r="AY746" s="225"/>
      <c r="AZ746" s="225"/>
      <c r="BA746" s="225"/>
      <c r="BB746" s="225"/>
      <c r="BC746" s="56"/>
      <c r="BD746" s="56"/>
      <c r="BE746" s="56"/>
      <c r="BF746" s="107" t="str">
        <f t="shared" si="522"/>
        <v>https://www.google.com/search?tbm=isch&amp;q=7%20G4</v>
      </c>
      <c r="BG746" s="107" t="str">
        <f t="shared" si="523"/>
        <v>C</v>
      </c>
      <c r="BH746" s="254"/>
      <c r="BI746" s="254"/>
    </row>
    <row r="747" spans="1:61" customFormat="1" ht="15.75" x14ac:dyDescent="0.25">
      <c r="A747" s="276">
        <v>15</v>
      </c>
      <c r="B747" s="240" t="s">
        <v>291</v>
      </c>
      <c r="C747" s="241" t="s">
        <v>2357</v>
      </c>
      <c r="D747" s="242" t="s">
        <v>299</v>
      </c>
      <c r="E747" s="243">
        <v>171.95</v>
      </c>
      <c r="F747" s="517" t="s">
        <v>293</v>
      </c>
      <c r="G747" s="232">
        <v>0</v>
      </c>
      <c r="H747" s="661" t="str">
        <f>IF(G747=0,"",IF(F747="Buy",IF(G747=1,"plant","plants"),IF(F747&gt;0.01,"warranty","Error")))</f>
        <v/>
      </c>
      <c r="I747" s="244">
        <f>IF(H747="free",0,IF(H747="credit",((E747*(F747))*G747*-1),IF(F747="Buy",(E747*G747),((E747*(1-F747))*G747))))</f>
        <v>0</v>
      </c>
      <c r="J747" s="244">
        <f>IF(H747="warranty",0,(I747*(_xlfn.SINGLE(SalesTaxPercentage))))</f>
        <v>0</v>
      </c>
      <c r="K747" s="696">
        <f t="shared" ref="K747" si="548">I747+J747</f>
        <v>0</v>
      </c>
      <c r="L747" s="696"/>
      <c r="M747" s="659" t="str">
        <f>IF(AND(G747&gt;0,E747=0),"WARNING - no PRICE inserted",IF(H747="free"," FREE ~ no charge this plant",IF(H747="credit",CONCATENATE(" -$",ROUND(K747*(1-T2GDiscount)*-1,2)," CREDIT after discount"),IF(T2GDiscount=0,"",IF(G747=0,"",IF(F747="Buy",CONCATENATE(" $",ROUND(K747*(1-T2GDiscount),2)," with ",(T2GDiscount*100),"% discount"),CONCATENATE(" $",ROUND(K747*(1-T2GDiscount),2)," with ",((T2GDiscount*100+F747*100)-(T2GDiscount*100*F747)),IF(F747&gt;0,"% discounts",IF(NoWarrantyDiscount&gt;0,"% discounts","% discount")))))))))</f>
        <v/>
      </c>
      <c r="N747" s="660"/>
      <c r="O747" s="233"/>
      <c r="P747" s="233"/>
      <c r="Q747" s="233"/>
      <c r="R747" s="233"/>
      <c r="S747" s="233"/>
      <c r="T747" s="508">
        <f t="shared" si="511"/>
        <v>0</v>
      </c>
      <c r="U747" s="225">
        <f>IF(NOT(ISNUMBER(G747)), "", VLOOKUP(A747,'Discount Lookup'!D:E,2,FALSE)*G747)</f>
        <v>0</v>
      </c>
      <c r="V747" s="225">
        <f>IF(NOT(ISNUMBER(G747)), "", VLOOKUP(A747,'Discount Lookup'!G:H,2,FALSE)*G747)</f>
        <v>0</v>
      </c>
      <c r="W747" s="508">
        <f t="shared" si="512"/>
        <v>0</v>
      </c>
      <c r="X747" s="508">
        <f t="shared" si="513"/>
        <v>0</v>
      </c>
      <c r="Y747" s="509" t="b">
        <f t="shared" si="514"/>
        <v>0</v>
      </c>
      <c r="Z747" s="510">
        <f t="shared" si="515"/>
        <v>0</v>
      </c>
      <c r="AA747" s="511"/>
      <c r="AB747" s="511" t="str">
        <f t="shared" si="516"/>
        <v/>
      </c>
      <c r="AC747" s="698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698"/>
      <c r="AE747" s="631" t="str">
        <f t="shared" si="517"/>
        <v/>
      </c>
      <c r="AF747" s="699" t="str">
        <f t="shared" si="518"/>
        <v/>
      </c>
      <c r="AG747" s="699"/>
      <c r="AH747" s="699"/>
      <c r="AI747" s="512">
        <f>IF(H747="credit",0,IF(AE747="free",0,IF(AE747="me",0,IF(G747&gt;0,(VLOOKUP(A747,'Discount Lookup'!J:K,2)*G747),0))))</f>
        <v>0</v>
      </c>
      <c r="AJ747" s="513" t="str">
        <f t="shared" ca="1" si="519"/>
        <v/>
      </c>
      <c r="AK747" s="700" t="str">
        <f t="shared" si="520"/>
        <v/>
      </c>
      <c r="AL747" s="700"/>
      <c r="AM747" s="505" t="str">
        <f t="shared" si="521"/>
        <v/>
      </c>
      <c r="AN747" s="506"/>
      <c r="AO747" s="507"/>
      <c r="AP747" s="507"/>
      <c r="AQ747" s="507"/>
      <c r="AR747" s="507"/>
      <c r="AS747" s="507"/>
      <c r="AT747" s="507"/>
      <c r="AU747" s="507"/>
      <c r="AV747" s="225"/>
      <c r="AW747" s="508"/>
      <c r="AX747" s="225"/>
      <c r="AY747" s="225"/>
      <c r="AZ747" s="225"/>
      <c r="BA747" s="225"/>
      <c r="BB747" s="225"/>
      <c r="BC747" s="56"/>
      <c r="BD747" s="56"/>
      <c r="BE747" s="56"/>
      <c r="BF747" s="107" t="str">
        <f t="shared" si="522"/>
        <v>https://www.google.com/search?tbm=isch&amp;q=15%20G5</v>
      </c>
      <c r="BG747" s="107" t="str">
        <f t="shared" si="523"/>
        <v>C</v>
      </c>
      <c r="BH747" s="254"/>
      <c r="BI747" s="254"/>
    </row>
    <row r="748" spans="1:61" customFormat="1" ht="15.75" x14ac:dyDescent="0.25">
      <c r="A748" s="276">
        <v>15</v>
      </c>
      <c r="B748" s="240" t="s">
        <v>291</v>
      </c>
      <c r="C748" s="241" t="s">
        <v>379</v>
      </c>
      <c r="D748" s="242" t="s">
        <v>300</v>
      </c>
      <c r="E748" s="243">
        <v>299.95</v>
      </c>
      <c r="F748" s="517" t="s">
        <v>293</v>
      </c>
      <c r="G748" s="232">
        <v>0</v>
      </c>
      <c r="H748" s="661" t="str">
        <f>IF(G748=0,"",IF(F748="Buy",IF(G748=1,"plant","plants"),IF(F748&gt;0.01,"warranty","Error")))</f>
        <v/>
      </c>
      <c r="I748" s="244">
        <f>IF(H748="free",0,IF(H748="credit",((E748*(F748))*G748*-1),IF(F748="Buy",(E748*G748),((E748*(1-F748))*G748))))</f>
        <v>0</v>
      </c>
      <c r="J748" s="244">
        <f>IF(H748="warranty",0,(I748*(_xlfn.SINGLE(SalesTaxPercentage))))</f>
        <v>0</v>
      </c>
      <c r="K748" s="696">
        <f t="shared" ref="K748" si="549">I748+J748</f>
        <v>0</v>
      </c>
      <c r="L748" s="696"/>
      <c r="M748" s="659" t="str">
        <f>IF(AND(G748&gt;0,E748=0),"WARNING - no PRICE inserted",IF(H748="free"," FREE ~ no charge this plant",IF(H748="credit",CONCATENATE(" -$",ROUND(K748*(1-T2GDiscount)*-1,2)," CREDIT after discount"),IF(T2GDiscount=0,"",IF(G748=0,"",IF(F748="Buy",CONCATENATE(" $",ROUND(K748*(1-T2GDiscount),2)," with ",(T2GDiscount*100),"% discount"),CONCATENATE(" $",ROUND(K748*(1-T2GDiscount),2)," with ",((T2GDiscount*100+F748*100)-(T2GDiscount*100*F748)),IF(F748&gt;0,"% discounts",IF(NoWarrantyDiscount&gt;0,"% discounts","% discount")))))))))</f>
        <v/>
      </c>
      <c r="N748" s="660"/>
      <c r="O748" s="233"/>
      <c r="P748" s="233"/>
      <c r="Q748" s="233"/>
      <c r="R748" s="233"/>
      <c r="S748" s="233"/>
      <c r="T748" s="508">
        <f t="shared" si="511"/>
        <v>0</v>
      </c>
      <c r="U748" s="225">
        <f>IF(NOT(ISNUMBER(G748)), "", VLOOKUP(A748,'Discount Lookup'!D:E,2,FALSE)*G748)</f>
        <v>0</v>
      </c>
      <c r="V748" s="225">
        <f>IF(NOT(ISNUMBER(G748)), "", VLOOKUP(A748,'Discount Lookup'!G:H,2,FALSE)*G748)</f>
        <v>0</v>
      </c>
      <c r="W748" s="508">
        <f t="shared" si="512"/>
        <v>0</v>
      </c>
      <c r="X748" s="508">
        <f t="shared" si="513"/>
        <v>0</v>
      </c>
      <c r="Y748" s="509" t="b">
        <f t="shared" si="514"/>
        <v>0</v>
      </c>
      <c r="Z748" s="510">
        <f t="shared" si="515"/>
        <v>0</v>
      </c>
      <c r="AA748" s="511"/>
      <c r="AB748" s="511" t="str">
        <f t="shared" si="516"/>
        <v/>
      </c>
      <c r="AC748" s="698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698"/>
      <c r="AE748" s="631" t="str">
        <f t="shared" si="517"/>
        <v/>
      </c>
      <c r="AF748" s="699" t="str">
        <f t="shared" si="518"/>
        <v/>
      </c>
      <c r="AG748" s="699"/>
      <c r="AH748" s="699"/>
      <c r="AI748" s="512">
        <f>IF(H748="credit",0,IF(AE748="free",0,IF(AE748="me",0,IF(G748&gt;0,(VLOOKUP(A748,'Discount Lookup'!J:K,2)*G748),0))))</f>
        <v>0</v>
      </c>
      <c r="AJ748" s="513" t="str">
        <f t="shared" ca="1" si="519"/>
        <v/>
      </c>
      <c r="AK748" s="700" t="str">
        <f t="shared" si="520"/>
        <v/>
      </c>
      <c r="AL748" s="700"/>
      <c r="AM748" s="505" t="str">
        <f t="shared" si="521"/>
        <v/>
      </c>
      <c r="AN748" s="506"/>
      <c r="AO748" s="507"/>
      <c r="AP748" s="507"/>
      <c r="AQ748" s="507"/>
      <c r="AR748" s="507"/>
      <c r="AS748" s="507"/>
      <c r="AT748" s="507"/>
      <c r="AU748" s="507"/>
      <c r="AV748" s="225"/>
      <c r="AW748" s="508"/>
      <c r="AX748" s="225"/>
      <c r="AY748" s="225"/>
      <c r="AZ748" s="225"/>
      <c r="BA748" s="225"/>
      <c r="BB748" s="225"/>
      <c r="BC748" s="56"/>
      <c r="BD748" s="56"/>
      <c r="BE748" s="56"/>
      <c r="BF748" s="107" t="str">
        <f t="shared" si="522"/>
        <v>https://www.google.com/search?tbm=isch&amp;q=15%20G6</v>
      </c>
      <c r="BG748" s="107" t="str">
        <f t="shared" si="523"/>
        <v>C</v>
      </c>
      <c r="BH748" s="254"/>
      <c r="BI748" s="254"/>
    </row>
    <row r="749" spans="1:61" customFormat="1" ht="17.25" thickBot="1" x14ac:dyDescent="0.3">
      <c r="A749" s="524" t="s">
        <v>2844</v>
      </c>
      <c r="B749" s="245"/>
      <c r="C749" s="677"/>
      <c r="D749" s="499"/>
      <c r="E749" s="499"/>
      <c r="F749" s="500"/>
      <c r="G749" s="501"/>
      <c r="H749" s="502"/>
      <c r="I749" s="246"/>
      <c r="J749" s="247"/>
      <c r="K749" s="503"/>
      <c r="L749" s="544"/>
      <c r="M749" s="544"/>
      <c r="N749" s="500"/>
      <c r="O749" s="500"/>
      <c r="P749" s="500"/>
      <c r="Q749" s="500"/>
      <c r="R749" s="500"/>
      <c r="S749" s="669" t="s">
        <v>4978</v>
      </c>
      <c r="T749" s="508">
        <f t="shared" si="511"/>
        <v>0</v>
      </c>
      <c r="U749" s="225" t="str">
        <f>IF(NOT(ISNUMBER(G749)), "", VLOOKUP(A749,'Discount Lookup'!D:E,2,FALSE)*G749)</f>
        <v/>
      </c>
      <c r="V749" s="225" t="str">
        <f>IF(NOT(ISNUMBER(G749)), "", VLOOKUP(A749,'Discount Lookup'!G:H,2,FALSE)*G749)</f>
        <v/>
      </c>
      <c r="W749" s="508">
        <f t="shared" si="512"/>
        <v>0</v>
      </c>
      <c r="X749" s="508">
        <f t="shared" si="513"/>
        <v>0</v>
      </c>
      <c r="Y749" s="509" t="b">
        <f t="shared" si="514"/>
        <v>0</v>
      </c>
      <c r="Z749" s="510">
        <f t="shared" si="515"/>
        <v>0</v>
      </c>
      <c r="AA749" s="511"/>
      <c r="AB749" s="511" t="str">
        <f t="shared" si="516"/>
        <v/>
      </c>
      <c r="AC749" s="698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698"/>
      <c r="AE749" s="631" t="str">
        <f t="shared" si="517"/>
        <v/>
      </c>
      <c r="AF749" s="699" t="str">
        <f t="shared" si="518"/>
        <v/>
      </c>
      <c r="AG749" s="699"/>
      <c r="AH749" s="699"/>
      <c r="AI749" s="512">
        <f>IF(H749="credit",0,IF(AE749="free",0,IF(AE749="me",0,IF(G749&gt;0,(VLOOKUP(A749,'Discount Lookup'!J:K,2)*G749),0))))</f>
        <v>0</v>
      </c>
      <c r="AJ749" s="513" t="str">
        <f t="shared" ca="1" si="519"/>
        <v/>
      </c>
      <c r="AK749" s="700" t="str">
        <f t="shared" si="520"/>
        <v/>
      </c>
      <c r="AL749" s="700"/>
      <c r="AM749" s="505" t="str">
        <f t="shared" si="521"/>
        <v/>
      </c>
      <c r="AN749" s="506"/>
      <c r="AO749" s="507"/>
      <c r="AP749" s="507"/>
      <c r="AQ749" s="507"/>
      <c r="AR749" s="507"/>
      <c r="AS749" s="507"/>
      <c r="AT749" s="507"/>
      <c r="AU749" s="507"/>
      <c r="AV749" s="225"/>
      <c r="AW749" s="508"/>
      <c r="AX749" s="225"/>
      <c r="AY749" s="225"/>
      <c r="AZ749" s="225"/>
      <c r="BA749" s="225"/>
      <c r="BB749" s="225"/>
      <c r="BC749" s="56"/>
      <c r="BD749" s="56"/>
      <c r="BE749" s="56"/>
      <c r="BF749" s="107" t="str">
        <f t="shared" si="522"/>
        <v>https://www.google.com/search?tbm=isch&amp;q=Fringetree%20blooms%20May%2FJune.%20Fragrant%20blooms%20will%20fall%20to%20ground%2C%20looking%20like%20a%20snowfall%20</v>
      </c>
      <c r="BG749" s="107" t="str">
        <f t="shared" si="523"/>
        <v>F</v>
      </c>
      <c r="BH749" s="254"/>
      <c r="BI749" s="254"/>
    </row>
    <row r="750" spans="1:61" customFormat="1" ht="18" x14ac:dyDescent="0.25">
      <c r="A750" s="523" t="s">
        <v>425</v>
      </c>
      <c r="B750" s="235"/>
      <c r="C750" s="676"/>
      <c r="D750" s="255" t="s">
        <v>424</v>
      </c>
      <c r="E750" s="236"/>
      <c r="F750" s="236"/>
      <c r="G750" s="236"/>
      <c r="H750" s="582" t="s">
        <v>419</v>
      </c>
      <c r="I750" s="498" t="s">
        <v>827</v>
      </c>
      <c r="J750" s="237"/>
      <c r="K750" s="237"/>
      <c r="L750" s="274"/>
      <c r="M750" s="668" t="s">
        <v>4975</v>
      </c>
      <c r="N750" s="681" t="str">
        <f>IF(AND(ISTEXT($A750), ISERROR($A750+0)), HYPERLINK($BF750, "Images"), "")</f>
        <v>Images</v>
      </c>
      <c r="O750" s="663" t="s">
        <v>4967</v>
      </c>
      <c r="P750" s="253"/>
      <c r="Q750" s="238"/>
      <c r="R750" s="239"/>
      <c r="S750" s="275"/>
      <c r="T750" s="508">
        <f t="shared" si="511"/>
        <v>0</v>
      </c>
      <c r="U750" s="225" t="str">
        <f>IF(NOT(ISNUMBER(G750)), "", VLOOKUP(A750,'Discount Lookup'!D:E,2,FALSE)*G750)</f>
        <v/>
      </c>
      <c r="V750" s="225" t="str">
        <f>IF(NOT(ISNUMBER(G750)), "", VLOOKUP(A750,'Discount Lookup'!G:H,2,FALSE)*G750)</f>
        <v/>
      </c>
      <c r="W750" s="508">
        <f t="shared" si="512"/>
        <v>0</v>
      </c>
      <c r="X750" s="508" t="str">
        <f t="shared" si="513"/>
        <v>Creamy White bloom</v>
      </c>
      <c r="Y750" s="509" t="b">
        <f t="shared" si="514"/>
        <v>0</v>
      </c>
      <c r="Z750" s="510">
        <f t="shared" si="515"/>
        <v>0</v>
      </c>
      <c r="AA750" s="511"/>
      <c r="AB750" s="511" t="str">
        <f t="shared" si="516"/>
        <v/>
      </c>
      <c r="AC750" s="698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698"/>
      <c r="AE750" s="631" t="str">
        <f t="shared" si="517"/>
        <v/>
      </c>
      <c r="AF750" s="699" t="str">
        <f t="shared" si="518"/>
        <v/>
      </c>
      <c r="AG750" s="699"/>
      <c r="AH750" s="699"/>
      <c r="AI750" s="512">
        <f>IF(H750="credit",0,IF(AE750="free",0,IF(AE750="me",0,IF(G750&gt;0,(VLOOKUP(A750,'Discount Lookup'!J:K,2)*G750),0))))</f>
        <v>0</v>
      </c>
      <c r="AJ750" s="513" t="str">
        <f t="shared" ca="1" si="519"/>
        <v/>
      </c>
      <c r="AK750" s="700" t="str">
        <f t="shared" si="520"/>
        <v/>
      </c>
      <c r="AL750" s="700"/>
      <c r="AM750" s="505" t="str">
        <f t="shared" si="521"/>
        <v/>
      </c>
      <c r="AN750" s="506"/>
      <c r="AO750" s="507"/>
      <c r="AP750" s="507"/>
      <c r="AQ750" s="507"/>
      <c r="AR750" s="507"/>
      <c r="AS750" s="507"/>
      <c r="AT750" s="507"/>
      <c r="AU750" s="507"/>
      <c r="AV750" s="225"/>
      <c r="AW750" s="508"/>
      <c r="AX750" s="225"/>
      <c r="AY750" s="225"/>
      <c r="AZ750" s="225"/>
      <c r="BA750" s="225"/>
      <c r="BB750" s="225"/>
      <c r="BC750" s="56"/>
      <c r="BD750" s="56"/>
      <c r="BE750" s="56"/>
      <c r="BF750" s="107" t="str">
        <f t="shared" si="522"/>
        <v>https://www.google.com/search?tbm=isch&amp;q=Chinese%20Pearlbloom%20Poliothyrsis%20sinensis</v>
      </c>
      <c r="BG750" s="107" t="str">
        <f t="shared" si="523"/>
        <v>C</v>
      </c>
      <c r="BH750" s="254"/>
      <c r="BI750" s="254"/>
    </row>
    <row r="751" spans="1:61" customFormat="1" ht="15.75" x14ac:dyDescent="0.25">
      <c r="A751" s="276">
        <v>25</v>
      </c>
      <c r="B751" s="240" t="s">
        <v>291</v>
      </c>
      <c r="C751" s="241" t="s">
        <v>3379</v>
      </c>
      <c r="D751" s="242" t="s">
        <v>292</v>
      </c>
      <c r="E751" s="243">
        <v>401.95</v>
      </c>
      <c r="F751" s="517" t="s">
        <v>293</v>
      </c>
      <c r="G751" s="232">
        <v>0</v>
      </c>
      <c r="H751" s="661" t="str">
        <f>IF(G751=0,"",IF(F751="Buy",IF(G751=1,"plant","plants"),IF(F751&gt;0.01,"warranty","Error")))</f>
        <v/>
      </c>
      <c r="I751" s="244">
        <f>IF(H751="free",0,IF(H751="credit",((E751*(F751))*G751*-1),IF(F751="Buy",(E751*G751),((E751*(1-F751))*G751))))</f>
        <v>0</v>
      </c>
      <c r="J751" s="244">
        <f>IF(H751="warranty",0,(I751*(_xlfn.SINGLE(SalesTaxPercentage))))</f>
        <v>0</v>
      </c>
      <c r="K751" s="696">
        <f t="shared" ref="K751" si="550">I751+J751</f>
        <v>0</v>
      </c>
      <c r="L751" s="696"/>
      <c r="M751" s="659" t="str">
        <f>IF(AND(G751&gt;0,E751=0),"WARNING - no PRICE inserted",IF(H751="free"," FREE ~ no charge this plant",IF(H751="credit",CONCATENATE(" -$",ROUND(K751*(1-T2GDiscount)*-1,2)," CREDIT after discount"),IF(T2GDiscount=0,"",IF(G751=0,"",IF(F751="Buy",CONCATENATE(" $",ROUND(K751*(1-T2GDiscount),2)," with ",(T2GDiscount*100),"% discount"),CONCATENATE(" $",ROUND(K751*(1-T2GDiscount),2)," with ",((T2GDiscount*100+F751*100)-(T2GDiscount*100*F751)),IF(F751&gt;0,"% discounts",IF(NoWarrantyDiscount&gt;0,"% discounts","% discount")))))))))</f>
        <v/>
      </c>
      <c r="N751" s="660"/>
      <c r="O751" s="233"/>
      <c r="P751" s="233"/>
      <c r="Q751" s="233"/>
      <c r="R751" s="233"/>
      <c r="S751" s="233"/>
      <c r="T751" s="508">
        <f t="shared" si="511"/>
        <v>0</v>
      </c>
      <c r="U751" s="225">
        <f>IF(NOT(ISNUMBER(G751)), "", VLOOKUP(A751,'Discount Lookup'!D:E,2,FALSE)*G751)</f>
        <v>0</v>
      </c>
      <c r="V751" s="225">
        <f>IF(NOT(ISNUMBER(G751)), "", VLOOKUP(A751,'Discount Lookup'!G:H,2,FALSE)*G751)</f>
        <v>0</v>
      </c>
      <c r="W751" s="508">
        <f t="shared" si="512"/>
        <v>0</v>
      </c>
      <c r="X751" s="508">
        <f t="shared" si="513"/>
        <v>0</v>
      </c>
      <c r="Y751" s="509" t="b">
        <f t="shared" si="514"/>
        <v>0</v>
      </c>
      <c r="Z751" s="510">
        <f t="shared" si="515"/>
        <v>0</v>
      </c>
      <c r="AA751" s="511"/>
      <c r="AB751" s="511" t="str">
        <f t="shared" si="516"/>
        <v/>
      </c>
      <c r="AC751" s="698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698"/>
      <c r="AE751" s="631" t="str">
        <f t="shared" si="517"/>
        <v/>
      </c>
      <c r="AF751" s="699" t="str">
        <f t="shared" si="518"/>
        <v/>
      </c>
      <c r="AG751" s="699"/>
      <c r="AH751" s="699"/>
      <c r="AI751" s="512">
        <f>IF(H751="credit",0,IF(AE751="free",0,IF(AE751="me",0,IF(G751&gt;0,(VLOOKUP(A751,'Discount Lookup'!J:K,2)*G751),0))))</f>
        <v>0</v>
      </c>
      <c r="AJ751" s="513" t="str">
        <f t="shared" ca="1" si="519"/>
        <v/>
      </c>
      <c r="AK751" s="700" t="str">
        <f t="shared" si="520"/>
        <v/>
      </c>
      <c r="AL751" s="700"/>
      <c r="AM751" s="505" t="str">
        <f t="shared" si="521"/>
        <v/>
      </c>
      <c r="AN751" s="506"/>
      <c r="AO751" s="507"/>
      <c r="AP751" s="507"/>
      <c r="AQ751" s="507"/>
      <c r="AR751" s="507"/>
      <c r="AS751" s="507"/>
      <c r="AT751" s="507"/>
      <c r="AU751" s="507"/>
      <c r="AV751" s="225"/>
      <c r="AW751" s="508"/>
      <c r="AX751" s="225"/>
      <c r="AY751" s="225"/>
      <c r="AZ751" s="225"/>
      <c r="BA751" s="225"/>
      <c r="BB751" s="225"/>
      <c r="BC751" s="56"/>
      <c r="BD751" s="56"/>
      <c r="BE751" s="56"/>
      <c r="BF751" s="107" t="str">
        <f t="shared" si="522"/>
        <v>https://www.google.com/search?tbm=isch&amp;q=25%20G4</v>
      </c>
      <c r="BG751" s="107" t="str">
        <f t="shared" si="523"/>
        <v>C</v>
      </c>
      <c r="BH751" s="254"/>
      <c r="BI751" s="254"/>
    </row>
    <row r="752" spans="1:61" customFormat="1" ht="17.25" thickBot="1" x14ac:dyDescent="0.3">
      <c r="A752" s="524" t="s">
        <v>2358</v>
      </c>
      <c r="B752" s="245"/>
      <c r="C752" s="677"/>
      <c r="D752" s="499"/>
      <c r="E752" s="499"/>
      <c r="F752" s="500"/>
      <c r="G752" s="501"/>
      <c r="H752" s="502"/>
      <c r="I752" s="246"/>
      <c r="J752" s="247"/>
      <c r="K752" s="503"/>
      <c r="L752" s="544"/>
      <c r="M752" s="544"/>
      <c r="N752" s="500"/>
      <c r="O752" s="500"/>
      <c r="P752" s="500"/>
      <c r="Q752" s="500"/>
      <c r="R752" s="500"/>
      <c r="S752" s="669" t="s">
        <v>4999</v>
      </c>
      <c r="T752" s="508">
        <f t="shared" si="511"/>
        <v>0</v>
      </c>
      <c r="U752" s="225" t="str">
        <f>IF(NOT(ISNUMBER(G752)), "", VLOOKUP(A752,'Discount Lookup'!D:E,2,FALSE)*G752)</f>
        <v/>
      </c>
      <c r="V752" s="225" t="str">
        <f>IF(NOT(ISNUMBER(G752)), "", VLOOKUP(A752,'Discount Lookup'!G:H,2,FALSE)*G752)</f>
        <v/>
      </c>
      <c r="W752" s="508">
        <f t="shared" si="512"/>
        <v>0</v>
      </c>
      <c r="X752" s="508">
        <f t="shared" si="513"/>
        <v>0</v>
      </c>
      <c r="Y752" s="509" t="b">
        <f t="shared" si="514"/>
        <v>0</v>
      </c>
      <c r="Z752" s="510">
        <f t="shared" si="515"/>
        <v>0</v>
      </c>
      <c r="AA752" s="511"/>
      <c r="AB752" s="511" t="str">
        <f t="shared" si="516"/>
        <v/>
      </c>
      <c r="AC752" s="698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698"/>
      <c r="AE752" s="631" t="str">
        <f t="shared" si="517"/>
        <v/>
      </c>
      <c r="AF752" s="699" t="str">
        <f t="shared" si="518"/>
        <v/>
      </c>
      <c r="AG752" s="699"/>
      <c r="AH752" s="699"/>
      <c r="AI752" s="512">
        <f>IF(H752="credit",0,IF(AE752="free",0,IF(AE752="me",0,IF(G752&gt;0,(VLOOKUP(A752,'Discount Lookup'!J:K,2)*G752),0))))</f>
        <v>0</v>
      </c>
      <c r="AJ752" s="513" t="str">
        <f t="shared" ca="1" si="519"/>
        <v/>
      </c>
      <c r="AK752" s="700" t="str">
        <f t="shared" si="520"/>
        <v/>
      </c>
      <c r="AL752" s="700"/>
      <c r="AM752" s="505" t="str">
        <f t="shared" si="521"/>
        <v/>
      </c>
      <c r="AN752" s="506"/>
      <c r="AO752" s="507"/>
      <c r="AP752" s="507"/>
      <c r="AQ752" s="507"/>
      <c r="AR752" s="507"/>
      <c r="AS752" s="507"/>
      <c r="AT752" s="507"/>
      <c r="AU752" s="507"/>
      <c r="AV752" s="225"/>
      <c r="AW752" s="508"/>
      <c r="AX752" s="225"/>
      <c r="AY752" s="225"/>
      <c r="AZ752" s="225"/>
      <c r="BA752" s="225"/>
      <c r="BB752" s="225"/>
      <c r="BC752" s="56"/>
      <c r="BD752" s="56"/>
      <c r="BE752" s="56"/>
      <c r="BF752" s="107" t="str">
        <f t="shared" si="522"/>
        <v>https://www.google.com/search?tbm=isch&amp;q=Chinese%20Pearlbloom%20valued%20for%20it%27s%20late-summer%20blooms%20%28resembling%20pearls%29%2C%20when%20other%20plants%20are%20done.%20Bark%20exfoliates%20</v>
      </c>
      <c r="BG752" s="107" t="str">
        <f t="shared" si="523"/>
        <v>C</v>
      </c>
      <c r="BH752" s="254"/>
      <c r="BI752" s="254"/>
    </row>
    <row r="753" spans="1:61" customFormat="1" ht="18" x14ac:dyDescent="0.25">
      <c r="A753" s="523" t="s">
        <v>664</v>
      </c>
      <c r="B753" s="235"/>
      <c r="C753" s="676"/>
      <c r="D753" s="255" t="s">
        <v>663</v>
      </c>
      <c r="E753" s="236"/>
      <c r="F753" s="236"/>
      <c r="G753" s="236"/>
      <c r="H753" s="582" t="s">
        <v>2287</v>
      </c>
      <c r="I753" s="498" t="s">
        <v>2093</v>
      </c>
      <c r="J753" s="237"/>
      <c r="K753" s="237"/>
      <c r="L753" s="274"/>
      <c r="M753" s="668" t="s">
        <v>4962</v>
      </c>
      <c r="N753" s="681" t="str">
        <f>IF(AND(ISTEXT($A753), ISERROR($A753+0)), HYPERLINK($BF753, "Images"), "")</f>
        <v>Images</v>
      </c>
      <c r="O753" s="663" t="s">
        <v>4967</v>
      </c>
      <c r="P753" s="253"/>
      <c r="Q753" s="238"/>
      <c r="R753" s="239"/>
      <c r="S753" s="275"/>
      <c r="T753" s="508">
        <f t="shared" si="511"/>
        <v>0</v>
      </c>
      <c r="U753" s="225" t="str">
        <f>IF(NOT(ISNUMBER(G753)), "", VLOOKUP(A753,'Discount Lookup'!D:E,2,FALSE)*G753)</f>
        <v/>
      </c>
      <c r="V753" s="225" t="str">
        <f>IF(NOT(ISNUMBER(G753)), "", VLOOKUP(A753,'Discount Lookup'!G:H,2,FALSE)*G753)</f>
        <v/>
      </c>
      <c r="W753" s="508">
        <f t="shared" si="512"/>
        <v>0</v>
      </c>
      <c r="X753" s="508" t="str">
        <f t="shared" si="513"/>
        <v>Dark Green foliage</v>
      </c>
      <c r="Y753" s="509" t="b">
        <f t="shared" si="514"/>
        <v>0</v>
      </c>
      <c r="Z753" s="510">
        <f t="shared" si="515"/>
        <v>0</v>
      </c>
      <c r="AA753" s="511"/>
      <c r="AB753" s="511" t="str">
        <f t="shared" si="516"/>
        <v/>
      </c>
      <c r="AC753" s="698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698"/>
      <c r="AE753" s="631" t="str">
        <f t="shared" si="517"/>
        <v/>
      </c>
      <c r="AF753" s="699" t="str">
        <f t="shared" si="518"/>
        <v/>
      </c>
      <c r="AG753" s="699"/>
      <c r="AH753" s="699"/>
      <c r="AI753" s="512">
        <f>IF(H753="credit",0,IF(AE753="free",0,IF(AE753="me",0,IF(G753&gt;0,(VLOOKUP(A753,'Discount Lookup'!J:K,2)*G753),0))))</f>
        <v>0</v>
      </c>
      <c r="AJ753" s="513" t="str">
        <f t="shared" ca="1" si="519"/>
        <v/>
      </c>
      <c r="AK753" s="700" t="str">
        <f t="shared" si="520"/>
        <v/>
      </c>
      <c r="AL753" s="700"/>
      <c r="AM753" s="505" t="str">
        <f t="shared" si="521"/>
        <v/>
      </c>
      <c r="AN753" s="506"/>
      <c r="AO753" s="507"/>
      <c r="AP753" s="507"/>
      <c r="AQ753" s="507"/>
      <c r="AR753" s="507"/>
      <c r="AS753" s="507"/>
      <c r="AT753" s="507"/>
      <c r="AU753" s="507"/>
      <c r="AV753" s="225"/>
      <c r="AW753" s="508"/>
      <c r="AX753" s="225"/>
      <c r="AY753" s="225"/>
      <c r="AZ753" s="225"/>
      <c r="BA753" s="225"/>
      <c r="BB753" s="225"/>
      <c r="BC753" s="56"/>
      <c r="BD753" s="56"/>
      <c r="BE753" s="56"/>
      <c r="BF753" s="107" t="str">
        <f t="shared" si="522"/>
        <v>https://www.google.com/search?tbm=isch&amp;q=Chinese%20Pistachio%20Pistacia%20chinensis</v>
      </c>
      <c r="BG753" s="107" t="str">
        <f t="shared" si="523"/>
        <v>C</v>
      </c>
      <c r="BH753" s="254"/>
      <c r="BI753" s="254"/>
    </row>
    <row r="754" spans="1:61" customFormat="1" ht="27" x14ac:dyDescent="0.25">
      <c r="A754" s="276">
        <v>15</v>
      </c>
      <c r="B754" s="240" t="s">
        <v>291</v>
      </c>
      <c r="C754" s="241" t="s">
        <v>4068</v>
      </c>
      <c r="D754" s="242" t="s">
        <v>292</v>
      </c>
      <c r="E754" s="243">
        <v>160.94999999999999</v>
      </c>
      <c r="F754" s="517" t="s">
        <v>293</v>
      </c>
      <c r="G754" s="232">
        <v>0</v>
      </c>
      <c r="H754" s="661" t="str">
        <f>IF(G754=0,"",IF(F754="Buy",IF(G754=1,"plant","plants"),IF(F754&gt;0.01,"warranty","Error")))</f>
        <v/>
      </c>
      <c r="I754" s="244">
        <f>IF(H754="free",0,IF(H754="credit",((E754*(F754))*G754*-1),IF(F754="Buy",(E754*G754),((E754*(1-F754))*G754))))</f>
        <v>0</v>
      </c>
      <c r="J754" s="244">
        <f>IF(H754="warranty",0,(I754*(_xlfn.SINGLE(SalesTaxPercentage))))</f>
        <v>0</v>
      </c>
      <c r="K754" s="696">
        <f t="shared" ref="K754" si="551">I754+J754</f>
        <v>0</v>
      </c>
      <c r="L754" s="696"/>
      <c r="M754" s="659" t="str">
        <f>IF(AND(G754&gt;0,E754=0),"WARNING - no PRICE inserted",IF(H754="free"," FREE ~ no charge this plant",IF(H754="credit",CONCATENATE(" -$",ROUND(K754*(1-T2GDiscount)*-1,2)," CREDIT after discount"),IF(T2GDiscount=0,"",IF(G754=0,"",IF(F754="Buy",CONCATENATE(" $",ROUND(K754*(1-T2GDiscount),2)," with ",(T2GDiscount*100),"% discount"),CONCATENATE(" $",ROUND(K754*(1-T2GDiscount),2)," with ",((T2GDiscount*100+F754*100)-(T2GDiscount*100*F754)),IF(F754&gt;0,"% discounts",IF(NoWarrantyDiscount&gt;0,"% discounts","% discount")))))))))</f>
        <v/>
      </c>
      <c r="N754" s="660"/>
      <c r="O754" s="233"/>
      <c r="P754" s="233"/>
      <c r="Q754" s="233"/>
      <c r="R754" s="233"/>
      <c r="S754" s="233"/>
      <c r="T754" s="508">
        <f t="shared" si="511"/>
        <v>0</v>
      </c>
      <c r="U754" s="225">
        <f>IF(NOT(ISNUMBER(G754)), "", VLOOKUP(A754,'Discount Lookup'!D:E,2,FALSE)*G754)</f>
        <v>0</v>
      </c>
      <c r="V754" s="225">
        <f>IF(NOT(ISNUMBER(G754)), "", VLOOKUP(A754,'Discount Lookup'!G:H,2,FALSE)*G754)</f>
        <v>0</v>
      </c>
      <c r="W754" s="508">
        <f t="shared" si="512"/>
        <v>0</v>
      </c>
      <c r="X754" s="508">
        <f t="shared" si="513"/>
        <v>0</v>
      </c>
      <c r="Y754" s="509" t="b">
        <f t="shared" si="514"/>
        <v>0</v>
      </c>
      <c r="Z754" s="510">
        <f t="shared" si="515"/>
        <v>0</v>
      </c>
      <c r="AA754" s="511"/>
      <c r="AB754" s="511" t="str">
        <f t="shared" si="516"/>
        <v/>
      </c>
      <c r="AC754" s="698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698"/>
      <c r="AE754" s="631" t="str">
        <f t="shared" si="517"/>
        <v/>
      </c>
      <c r="AF754" s="699" t="str">
        <f t="shared" si="518"/>
        <v/>
      </c>
      <c r="AG754" s="699"/>
      <c r="AH754" s="699"/>
      <c r="AI754" s="512">
        <f>IF(H754="credit",0,IF(AE754="free",0,IF(AE754="me",0,IF(G754&gt;0,(VLOOKUP(A754,'Discount Lookup'!J:K,2)*G754),0))))</f>
        <v>0</v>
      </c>
      <c r="AJ754" s="513" t="str">
        <f t="shared" ca="1" si="519"/>
        <v/>
      </c>
      <c r="AK754" s="700" t="str">
        <f t="shared" si="520"/>
        <v/>
      </c>
      <c r="AL754" s="700"/>
      <c r="AM754" s="505" t="str">
        <f t="shared" si="521"/>
        <v/>
      </c>
      <c r="AN754" s="506"/>
      <c r="AO754" s="507"/>
      <c r="AP754" s="507"/>
      <c r="AQ754" s="507"/>
      <c r="AR754" s="507"/>
      <c r="AS754" s="507"/>
      <c r="AT754" s="507"/>
      <c r="AU754" s="507"/>
      <c r="AV754" s="225"/>
      <c r="AW754" s="508"/>
      <c r="AX754" s="225"/>
      <c r="AY754" s="225"/>
      <c r="AZ754" s="225"/>
      <c r="BA754" s="225"/>
      <c r="BB754" s="225"/>
      <c r="BC754" s="56"/>
      <c r="BD754" s="56"/>
      <c r="BE754" s="56"/>
      <c r="BF754" s="107" t="str">
        <f t="shared" si="522"/>
        <v>https://www.google.com/search?tbm=isch&amp;q=15%20G4</v>
      </c>
      <c r="BG754" s="107" t="str">
        <f t="shared" si="523"/>
        <v>C</v>
      </c>
      <c r="BH754" s="254"/>
      <c r="BI754" s="254"/>
    </row>
    <row r="755" spans="1:61" customFormat="1" ht="15.75" x14ac:dyDescent="0.25">
      <c r="A755" s="276">
        <v>15</v>
      </c>
      <c r="B755" s="240" t="s">
        <v>291</v>
      </c>
      <c r="C755" s="241" t="s">
        <v>2726</v>
      </c>
      <c r="D755" s="242" t="s">
        <v>299</v>
      </c>
      <c r="E755" s="243">
        <v>171.95</v>
      </c>
      <c r="F755" s="517" t="s">
        <v>293</v>
      </c>
      <c r="G755" s="232">
        <v>0</v>
      </c>
      <c r="H755" s="661" t="str">
        <f>IF(G755=0,"",IF(F755="Buy",IF(G755=1,"plant","plants"),IF(F755&gt;0.01,"warranty","Error")))</f>
        <v/>
      </c>
      <c r="I755" s="244">
        <f>IF(H755="free",0,IF(H755="credit",((E755*(F755))*G755*-1),IF(F755="Buy",(E755*G755),((E755*(1-F755))*G755))))</f>
        <v>0</v>
      </c>
      <c r="J755" s="244">
        <f>IF(H755="warranty",0,(I755*(_xlfn.SINGLE(SalesTaxPercentage))))</f>
        <v>0</v>
      </c>
      <c r="K755" s="696">
        <f t="shared" ref="K755" si="552">I755+J755</f>
        <v>0</v>
      </c>
      <c r="L755" s="696"/>
      <c r="M755" s="659" t="str">
        <f>IF(AND(G755&gt;0,E755=0),"WARNING - no PRICE inserted",IF(H755="free"," FREE ~ no charge this plant",IF(H755="credit",CONCATENATE(" -$",ROUND(K755*(1-T2GDiscount)*-1,2)," CREDIT after discount"),IF(T2GDiscount=0,"",IF(G755=0,"",IF(F755="Buy",CONCATENATE(" $",ROUND(K755*(1-T2GDiscount),2)," with ",(T2GDiscount*100),"% discount"),CONCATENATE(" $",ROUND(K755*(1-T2GDiscount),2)," with ",((T2GDiscount*100+F755*100)-(T2GDiscount*100*F755)),IF(F755&gt;0,"% discounts",IF(NoWarrantyDiscount&gt;0,"% discounts","% discount")))))))))</f>
        <v/>
      </c>
      <c r="N755" s="660"/>
      <c r="O755" s="233"/>
      <c r="P755" s="233"/>
      <c r="Q755" s="233"/>
      <c r="R755" s="233"/>
      <c r="S755" s="233"/>
      <c r="T755" s="508">
        <f t="shared" si="511"/>
        <v>0</v>
      </c>
      <c r="U755" s="225">
        <f>IF(NOT(ISNUMBER(G755)), "", VLOOKUP(A755,'Discount Lookup'!D:E,2,FALSE)*G755)</f>
        <v>0</v>
      </c>
      <c r="V755" s="225">
        <f>IF(NOT(ISNUMBER(G755)), "", VLOOKUP(A755,'Discount Lookup'!G:H,2,FALSE)*G755)</f>
        <v>0</v>
      </c>
      <c r="W755" s="508">
        <f t="shared" si="512"/>
        <v>0</v>
      </c>
      <c r="X755" s="508">
        <f t="shared" si="513"/>
        <v>0</v>
      </c>
      <c r="Y755" s="509" t="b">
        <f t="shared" si="514"/>
        <v>0</v>
      </c>
      <c r="Z755" s="510">
        <f t="shared" si="515"/>
        <v>0</v>
      </c>
      <c r="AA755" s="511"/>
      <c r="AB755" s="511" t="str">
        <f t="shared" si="516"/>
        <v/>
      </c>
      <c r="AC755" s="698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698"/>
      <c r="AE755" s="631" t="str">
        <f t="shared" si="517"/>
        <v/>
      </c>
      <c r="AF755" s="699" t="str">
        <f t="shared" si="518"/>
        <v/>
      </c>
      <c r="AG755" s="699"/>
      <c r="AH755" s="699"/>
      <c r="AI755" s="512">
        <f>IF(H755="credit",0,IF(AE755="free",0,IF(AE755="me",0,IF(G755&gt;0,(VLOOKUP(A755,'Discount Lookup'!J:K,2)*G755),0))))</f>
        <v>0</v>
      </c>
      <c r="AJ755" s="513" t="str">
        <f t="shared" ca="1" si="519"/>
        <v/>
      </c>
      <c r="AK755" s="700" t="str">
        <f t="shared" si="520"/>
        <v/>
      </c>
      <c r="AL755" s="700"/>
      <c r="AM755" s="505" t="str">
        <f t="shared" si="521"/>
        <v/>
      </c>
      <c r="AN755" s="506"/>
      <c r="AO755" s="507"/>
      <c r="AP755" s="507"/>
      <c r="AQ755" s="507"/>
      <c r="AR755" s="507"/>
      <c r="AS755" s="507"/>
      <c r="AT755" s="507"/>
      <c r="AU755" s="507"/>
      <c r="AV755" s="225"/>
      <c r="AW755" s="508"/>
      <c r="AX755" s="225"/>
      <c r="AY755" s="225"/>
      <c r="AZ755" s="225"/>
      <c r="BA755" s="225"/>
      <c r="BB755" s="225"/>
      <c r="BC755" s="56"/>
      <c r="BD755" s="56"/>
      <c r="BE755" s="56"/>
      <c r="BF755" s="107" t="str">
        <f t="shared" si="522"/>
        <v>https://www.google.com/search?tbm=isch&amp;q=15%20G5</v>
      </c>
      <c r="BG755" s="107" t="str">
        <f t="shared" si="523"/>
        <v>C</v>
      </c>
      <c r="BH755" s="254"/>
      <c r="BI755" s="254"/>
    </row>
    <row r="756" spans="1:61" customFormat="1" ht="17.25" thickBot="1" x14ac:dyDescent="0.3">
      <c r="A756" s="524" t="s">
        <v>2359</v>
      </c>
      <c r="B756" s="245"/>
      <c r="C756" s="677"/>
      <c r="D756" s="499"/>
      <c r="E756" s="499"/>
      <c r="F756" s="500"/>
      <c r="G756" s="501"/>
      <c r="H756" s="502"/>
      <c r="I756" s="246"/>
      <c r="J756" s="247"/>
      <c r="K756" s="503"/>
      <c r="L756" s="544"/>
      <c r="M756" s="544"/>
      <c r="N756" s="500"/>
      <c r="O756" s="500"/>
      <c r="P756" s="500"/>
      <c r="Q756" s="500"/>
      <c r="R756" s="500"/>
      <c r="S756" s="278"/>
      <c r="T756" s="508">
        <f t="shared" si="511"/>
        <v>0</v>
      </c>
      <c r="U756" s="225" t="str">
        <f>IF(NOT(ISNUMBER(G756)), "", VLOOKUP(A756,'Discount Lookup'!D:E,2,FALSE)*G756)</f>
        <v/>
      </c>
      <c r="V756" s="225" t="str">
        <f>IF(NOT(ISNUMBER(G756)), "", VLOOKUP(A756,'Discount Lookup'!G:H,2,FALSE)*G756)</f>
        <v/>
      </c>
      <c r="W756" s="508">
        <f t="shared" si="512"/>
        <v>0</v>
      </c>
      <c r="X756" s="508">
        <f t="shared" si="513"/>
        <v>0</v>
      </c>
      <c r="Y756" s="509" t="b">
        <f t="shared" si="514"/>
        <v>0</v>
      </c>
      <c r="Z756" s="510">
        <f t="shared" si="515"/>
        <v>0</v>
      </c>
      <c r="AA756" s="511"/>
      <c r="AB756" s="511" t="str">
        <f t="shared" si="516"/>
        <v/>
      </c>
      <c r="AC756" s="698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698"/>
      <c r="AE756" s="631" t="str">
        <f t="shared" si="517"/>
        <v/>
      </c>
      <c r="AF756" s="699" t="str">
        <f t="shared" si="518"/>
        <v/>
      </c>
      <c r="AG756" s="699"/>
      <c r="AH756" s="699"/>
      <c r="AI756" s="512">
        <f>IF(H756="credit",0,IF(AE756="free",0,IF(AE756="me",0,IF(G756&gt;0,(VLOOKUP(A756,'Discount Lookup'!J:K,2)*G756),0))))</f>
        <v>0</v>
      </c>
      <c r="AJ756" s="513" t="str">
        <f t="shared" ca="1" si="519"/>
        <v/>
      </c>
      <c r="AK756" s="700" t="str">
        <f t="shared" si="520"/>
        <v/>
      </c>
      <c r="AL756" s="700"/>
      <c r="AM756" s="505" t="str">
        <f t="shared" si="521"/>
        <v/>
      </c>
      <c r="AN756" s="506"/>
      <c r="AO756" s="507"/>
      <c r="AP756" s="507"/>
      <c r="AQ756" s="507"/>
      <c r="AR756" s="507"/>
      <c r="AS756" s="507"/>
      <c r="AT756" s="507"/>
      <c r="AU756" s="507"/>
      <c r="AV756" s="225"/>
      <c r="AW756" s="508"/>
      <c r="AX756" s="225"/>
      <c r="AY756" s="225"/>
      <c r="AZ756" s="225"/>
      <c r="BA756" s="225"/>
      <c r="BB756" s="225"/>
      <c r="BC756" s="56"/>
      <c r="BD756" s="56"/>
      <c r="BE756" s="56"/>
      <c r="BF756" s="107" t="str">
        <f t="shared" si="522"/>
        <v>https://www.google.com/search?tbm=isch&amp;q=Chinese%20Pistachio%20is%20gawky%20to%20start%2C%20but%20matures%20to%20a%20gorgeous%2C%20tough%20tree.%20Orange-Crimson%20fall.%20Tap%20root%20</v>
      </c>
      <c r="BG756" s="107" t="str">
        <f t="shared" si="523"/>
        <v>C</v>
      </c>
      <c r="BH756" s="254"/>
      <c r="BI756" s="254"/>
    </row>
    <row r="757" spans="1:61" customFormat="1" ht="18" x14ac:dyDescent="0.25">
      <c r="A757" s="523" t="s">
        <v>571</v>
      </c>
      <c r="B757" s="235"/>
      <c r="C757" s="676"/>
      <c r="D757" s="255" t="s">
        <v>570</v>
      </c>
      <c r="E757" s="236"/>
      <c r="F757" s="236"/>
      <c r="G757" s="236"/>
      <c r="H757" s="582" t="s">
        <v>311</v>
      </c>
      <c r="I757" s="498" t="s">
        <v>654</v>
      </c>
      <c r="J757" s="237"/>
      <c r="K757" s="237"/>
      <c r="L757" s="274"/>
      <c r="M757" s="668" t="s">
        <v>4975</v>
      </c>
      <c r="N757" s="681" t="str">
        <f>IF(AND(ISTEXT($A757), ISERROR($A757+0)), HYPERLINK($BF757, "Images"), "")</f>
        <v>Images</v>
      </c>
      <c r="O757" s="663" t="s">
        <v>4967</v>
      </c>
      <c r="P757" s="253"/>
      <c r="Q757" s="238"/>
      <c r="R757" s="239"/>
      <c r="S757" s="275"/>
      <c r="T757" s="508">
        <f t="shared" si="511"/>
        <v>0</v>
      </c>
      <c r="U757" s="225" t="str">
        <f>IF(NOT(ISNUMBER(G757)), "", VLOOKUP(A757,'Discount Lookup'!D:E,2,FALSE)*G757)</f>
        <v/>
      </c>
      <c r="V757" s="225" t="str">
        <f>IF(NOT(ISNUMBER(G757)), "", VLOOKUP(A757,'Discount Lookup'!G:H,2,FALSE)*G757)</f>
        <v/>
      </c>
      <c r="W757" s="508">
        <f t="shared" si="512"/>
        <v>0</v>
      </c>
      <c r="X757" s="508" t="str">
        <f t="shared" si="513"/>
        <v>White bloom</v>
      </c>
      <c r="Y757" s="509" t="b">
        <f t="shared" si="514"/>
        <v>0</v>
      </c>
      <c r="Z757" s="510">
        <f t="shared" si="515"/>
        <v>0</v>
      </c>
      <c r="AA757" s="511"/>
      <c r="AB757" s="511" t="str">
        <f t="shared" si="516"/>
        <v/>
      </c>
      <c r="AC757" s="698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698"/>
      <c r="AE757" s="631" t="str">
        <f t="shared" si="517"/>
        <v/>
      </c>
      <c r="AF757" s="699" t="str">
        <f t="shared" si="518"/>
        <v/>
      </c>
      <c r="AG757" s="699"/>
      <c r="AH757" s="699"/>
      <c r="AI757" s="512">
        <f>IF(H757="credit",0,IF(AE757="free",0,IF(AE757="me",0,IF(G757&gt;0,(VLOOKUP(A757,'Discount Lookup'!J:K,2)*G757),0))))</f>
        <v>0</v>
      </c>
      <c r="AJ757" s="513" t="str">
        <f t="shared" ca="1" si="519"/>
        <v/>
      </c>
      <c r="AK757" s="700" t="str">
        <f t="shared" si="520"/>
        <v/>
      </c>
      <c r="AL757" s="700"/>
      <c r="AM757" s="505" t="str">
        <f t="shared" si="521"/>
        <v/>
      </c>
      <c r="AN757" s="506"/>
      <c r="AO757" s="507"/>
      <c r="AP757" s="507"/>
      <c r="AQ757" s="507"/>
      <c r="AR757" s="507"/>
      <c r="AS757" s="507"/>
      <c r="AT757" s="507"/>
      <c r="AU757" s="507"/>
      <c r="AV757" s="225"/>
      <c r="AW757" s="508"/>
      <c r="AX757" s="225"/>
      <c r="AY757" s="225"/>
      <c r="AZ757" s="225"/>
      <c r="BA757" s="225"/>
      <c r="BB757" s="225"/>
      <c r="BC757" s="56"/>
      <c r="BD757" s="56"/>
      <c r="BE757" s="56"/>
      <c r="BF757" s="107" t="str">
        <f t="shared" si="522"/>
        <v>https://www.google.com/search?tbm=isch&amp;q=Chinese%20Snowball%20Viburnum%20Viburnum%20macrocephalum</v>
      </c>
      <c r="BG757" s="107" t="str">
        <f t="shared" si="523"/>
        <v>C</v>
      </c>
      <c r="BH757" s="254"/>
      <c r="BI757" s="254"/>
    </row>
    <row r="758" spans="1:61" customFormat="1" ht="15.75" x14ac:dyDescent="0.25">
      <c r="A758" s="276">
        <v>3</v>
      </c>
      <c r="B758" s="240" t="s">
        <v>291</v>
      </c>
      <c r="C758" s="241" t="s">
        <v>17</v>
      </c>
      <c r="D758" s="242" t="s">
        <v>298</v>
      </c>
      <c r="E758" s="243">
        <v>27.95</v>
      </c>
      <c r="F758" s="517" t="s">
        <v>293</v>
      </c>
      <c r="G758" s="232">
        <v>0</v>
      </c>
      <c r="H758" s="661" t="str">
        <f t="shared" ref="H758:H766" si="553">IF(G758=0,"",IF(F758="Buy",IF(G758=1,"plant","plants"),IF(F758&gt;0.01,"warranty","Error")))</f>
        <v/>
      </c>
      <c r="I758" s="244">
        <f t="shared" ref="I758:I766" si="554">IF(H758="free",0,IF(H758="credit",((E758*(F758))*G758*-1),IF(F758="Buy",(E758*G758),((E758*(1-F758))*G758))))</f>
        <v>0</v>
      </c>
      <c r="J758" s="244">
        <f t="shared" ref="J758:J766" si="555">IF(H758="warranty",0,(I758*(_xlfn.SINGLE(SalesTaxPercentage))))</f>
        <v>0</v>
      </c>
      <c r="K758" s="696">
        <f t="shared" ref="K758" si="556">I758+J758</f>
        <v>0</v>
      </c>
      <c r="L758" s="696"/>
      <c r="M758" s="659" t="str">
        <f t="shared" ref="M758:M766" si="557">IF(AND(G758&gt;0,E758=0),"WARNING - no PRICE inserted",IF(H758="free"," FREE ~ no charge this plant",IF(H758="credit",CONCATENATE(" -$",ROUND(K758*(1-T2GDiscount)*-1,2)," CREDIT after discount"),IF(T2GDiscount=0,"",IF(G758=0,"",IF(F758="Buy",CONCATENATE(" $",ROUND(K758*(1-T2GDiscount),2)," with ",(T2GDiscount*100),"% discount"),CONCATENATE(" $",ROUND(K758*(1-T2GDiscount),2)," with ",((T2GDiscount*100+F758*100)-(T2GDiscount*100*F758)),IF(F758&gt;0,"% discounts",IF(NoWarrantyDiscount&gt;0,"% discounts","% discount")))))))))</f>
        <v/>
      </c>
      <c r="N758" s="660"/>
      <c r="O758" s="233"/>
      <c r="P758" s="233"/>
      <c r="Q758" s="233"/>
      <c r="R758" s="233"/>
      <c r="S758" s="233"/>
      <c r="T758" s="508">
        <f t="shared" si="511"/>
        <v>0</v>
      </c>
      <c r="U758" s="225">
        <f>IF(NOT(ISNUMBER(G758)), "", VLOOKUP(A758,'Discount Lookup'!D:E,2,FALSE)*G758)</f>
        <v>0</v>
      </c>
      <c r="V758" s="225">
        <f>IF(NOT(ISNUMBER(G758)), "", VLOOKUP(A758,'Discount Lookup'!G:H,2,FALSE)*G758)</f>
        <v>0</v>
      </c>
      <c r="W758" s="508">
        <f t="shared" si="512"/>
        <v>0</v>
      </c>
      <c r="X758" s="508">
        <f t="shared" si="513"/>
        <v>0</v>
      </c>
      <c r="Y758" s="509" t="b">
        <f t="shared" si="514"/>
        <v>0</v>
      </c>
      <c r="Z758" s="510">
        <f t="shared" si="515"/>
        <v>0</v>
      </c>
      <c r="AA758" s="511"/>
      <c r="AB758" s="511" t="str">
        <f t="shared" si="516"/>
        <v/>
      </c>
      <c r="AC758" s="698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698"/>
      <c r="AE758" s="631" t="str">
        <f t="shared" si="517"/>
        <v/>
      </c>
      <c r="AF758" s="699" t="str">
        <f t="shared" si="518"/>
        <v/>
      </c>
      <c r="AG758" s="699"/>
      <c r="AH758" s="699"/>
      <c r="AI758" s="512">
        <f>IF(H758="credit",0,IF(AE758="free",0,IF(AE758="me",0,IF(G758&gt;0,(VLOOKUP(A758,'Discount Lookup'!J:K,2)*G758),0))))</f>
        <v>0</v>
      </c>
      <c r="AJ758" s="513" t="str">
        <f t="shared" ca="1" si="519"/>
        <v/>
      </c>
      <c r="AK758" s="700" t="str">
        <f t="shared" si="520"/>
        <v/>
      </c>
      <c r="AL758" s="700"/>
      <c r="AM758" s="505" t="str">
        <f t="shared" si="521"/>
        <v/>
      </c>
      <c r="AN758" s="506"/>
      <c r="AO758" s="507"/>
      <c r="AP758" s="507"/>
      <c r="AQ758" s="507"/>
      <c r="AR758" s="507"/>
      <c r="AS758" s="507"/>
      <c r="AT758" s="507"/>
      <c r="AU758" s="507"/>
      <c r="AV758" s="225"/>
      <c r="AW758" s="508"/>
      <c r="AX758" s="225"/>
      <c r="AY758" s="225"/>
      <c r="AZ758" s="225"/>
      <c r="BA758" s="225"/>
      <c r="BB758" s="225"/>
      <c r="BC758" s="56"/>
      <c r="BD758" s="56"/>
      <c r="BE758" s="56"/>
      <c r="BF758" s="107" t="str">
        <f t="shared" si="522"/>
        <v>https://www.google.com/search?tbm=isch&amp;q=3%20G1</v>
      </c>
      <c r="BG758" s="107" t="str">
        <f t="shared" si="523"/>
        <v>C</v>
      </c>
      <c r="BH758" s="254"/>
      <c r="BI758" s="254"/>
    </row>
    <row r="759" spans="1:61" customFormat="1" ht="15.75" x14ac:dyDescent="0.25">
      <c r="A759" s="276">
        <v>3</v>
      </c>
      <c r="B759" s="240" t="s">
        <v>291</v>
      </c>
      <c r="C759" s="241" t="s">
        <v>3055</v>
      </c>
      <c r="D759" s="242" t="s">
        <v>312</v>
      </c>
      <c r="E759" s="243">
        <v>29.95</v>
      </c>
      <c r="F759" s="517" t="s">
        <v>293</v>
      </c>
      <c r="G759" s="232">
        <v>0</v>
      </c>
      <c r="H759" s="661" t="str">
        <f t="shared" si="553"/>
        <v/>
      </c>
      <c r="I759" s="244">
        <f t="shared" si="554"/>
        <v>0</v>
      </c>
      <c r="J759" s="244">
        <f t="shared" si="555"/>
        <v>0</v>
      </c>
      <c r="K759" s="696">
        <f t="shared" ref="K759" si="558">I759+J759</f>
        <v>0</v>
      </c>
      <c r="L759" s="696"/>
      <c r="M759" s="659" t="str">
        <f t="shared" si="557"/>
        <v/>
      </c>
      <c r="N759" s="660"/>
      <c r="O759" s="233"/>
      <c r="P759" s="233"/>
      <c r="Q759" s="233"/>
      <c r="R759" s="233"/>
      <c r="S759" s="233"/>
      <c r="T759" s="508">
        <f t="shared" si="511"/>
        <v>0</v>
      </c>
      <c r="U759" s="225">
        <f>IF(NOT(ISNUMBER(G759)), "", VLOOKUP(A759,'Discount Lookup'!D:E,2,FALSE)*G759)</f>
        <v>0</v>
      </c>
      <c r="V759" s="225">
        <f>IF(NOT(ISNUMBER(G759)), "", VLOOKUP(A759,'Discount Lookup'!G:H,2,FALSE)*G759)</f>
        <v>0</v>
      </c>
      <c r="W759" s="508">
        <f t="shared" si="512"/>
        <v>0</v>
      </c>
      <c r="X759" s="508">
        <f t="shared" si="513"/>
        <v>0</v>
      </c>
      <c r="Y759" s="509" t="b">
        <f t="shared" si="514"/>
        <v>0</v>
      </c>
      <c r="Z759" s="510">
        <f t="shared" si="515"/>
        <v>0</v>
      </c>
      <c r="AA759" s="511"/>
      <c r="AB759" s="511" t="str">
        <f t="shared" si="516"/>
        <v/>
      </c>
      <c r="AC759" s="698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698"/>
      <c r="AE759" s="631" t="str">
        <f t="shared" si="517"/>
        <v/>
      </c>
      <c r="AF759" s="699" t="str">
        <f t="shared" si="518"/>
        <v/>
      </c>
      <c r="AG759" s="699"/>
      <c r="AH759" s="699"/>
      <c r="AI759" s="512">
        <f>IF(H759="credit",0,IF(AE759="free",0,IF(AE759="me",0,IF(G759&gt;0,(VLOOKUP(A759,'Discount Lookup'!J:K,2)*G759),0))))</f>
        <v>0</v>
      </c>
      <c r="AJ759" s="513" t="str">
        <f t="shared" ca="1" si="519"/>
        <v/>
      </c>
      <c r="AK759" s="700" t="str">
        <f t="shared" si="520"/>
        <v/>
      </c>
      <c r="AL759" s="700"/>
      <c r="AM759" s="505" t="str">
        <f t="shared" si="521"/>
        <v/>
      </c>
      <c r="AN759" s="506"/>
      <c r="AO759" s="507"/>
      <c r="AP759" s="507"/>
      <c r="AQ759" s="507"/>
      <c r="AR759" s="507"/>
      <c r="AS759" s="507"/>
      <c r="AT759" s="507"/>
      <c r="AU759" s="507"/>
      <c r="AV759" s="225"/>
      <c r="AW759" s="508"/>
      <c r="AX759" s="225"/>
      <c r="AY759" s="225"/>
      <c r="AZ759" s="225"/>
      <c r="BA759" s="225"/>
      <c r="BB759" s="225"/>
      <c r="BC759" s="56"/>
      <c r="BD759" s="56"/>
      <c r="BE759" s="56"/>
      <c r="BF759" s="107" t="str">
        <f t="shared" si="522"/>
        <v>https://www.google.com/search?tbm=isch&amp;q=3%20G2</v>
      </c>
      <c r="BG759" s="107" t="str">
        <f t="shared" si="523"/>
        <v>C</v>
      </c>
      <c r="BH759" s="254"/>
      <c r="BI759" s="254"/>
    </row>
    <row r="760" spans="1:61" customFormat="1" ht="15.75" x14ac:dyDescent="0.25">
      <c r="A760" s="276">
        <v>3</v>
      </c>
      <c r="B760" s="240" t="s">
        <v>291</v>
      </c>
      <c r="C760" s="241" t="s">
        <v>4702</v>
      </c>
      <c r="D760" s="242" t="s">
        <v>292</v>
      </c>
      <c r="E760" s="243">
        <v>35.950000000000003</v>
      </c>
      <c r="F760" s="517" t="s">
        <v>293</v>
      </c>
      <c r="G760" s="232">
        <v>0</v>
      </c>
      <c r="H760" s="661" t="str">
        <f t="shared" si="553"/>
        <v/>
      </c>
      <c r="I760" s="244">
        <f t="shared" si="554"/>
        <v>0</v>
      </c>
      <c r="J760" s="244">
        <f t="shared" si="555"/>
        <v>0</v>
      </c>
      <c r="K760" s="696">
        <f t="shared" ref="K760" si="559">I760+J760</f>
        <v>0</v>
      </c>
      <c r="L760" s="696"/>
      <c r="M760" s="659" t="str">
        <f t="shared" si="557"/>
        <v/>
      </c>
      <c r="N760" s="660"/>
      <c r="O760" s="233"/>
      <c r="P760" s="233"/>
      <c r="Q760" s="233"/>
      <c r="R760" s="233"/>
      <c r="S760" s="233"/>
      <c r="T760" s="508">
        <f t="shared" si="511"/>
        <v>0</v>
      </c>
      <c r="U760" s="225">
        <f>IF(NOT(ISNUMBER(G760)), "", VLOOKUP(A760,'Discount Lookup'!D:E,2,FALSE)*G760)</f>
        <v>0</v>
      </c>
      <c r="V760" s="225">
        <f>IF(NOT(ISNUMBER(G760)), "", VLOOKUP(A760,'Discount Lookup'!G:H,2,FALSE)*G760)</f>
        <v>0</v>
      </c>
      <c r="W760" s="508">
        <f t="shared" si="512"/>
        <v>0</v>
      </c>
      <c r="X760" s="508">
        <f t="shared" si="513"/>
        <v>0</v>
      </c>
      <c r="Y760" s="509" t="b">
        <f t="shared" si="514"/>
        <v>0</v>
      </c>
      <c r="Z760" s="510">
        <f t="shared" si="515"/>
        <v>0</v>
      </c>
      <c r="AA760" s="511"/>
      <c r="AB760" s="511" t="str">
        <f t="shared" si="516"/>
        <v/>
      </c>
      <c r="AC760" s="698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698"/>
      <c r="AE760" s="631" t="str">
        <f t="shared" si="517"/>
        <v/>
      </c>
      <c r="AF760" s="699" t="str">
        <f t="shared" si="518"/>
        <v/>
      </c>
      <c r="AG760" s="699"/>
      <c r="AH760" s="699"/>
      <c r="AI760" s="512">
        <f>IF(H760="credit",0,IF(AE760="free",0,IF(AE760="me",0,IF(G760&gt;0,(VLOOKUP(A760,'Discount Lookup'!J:K,2)*G760),0))))</f>
        <v>0</v>
      </c>
      <c r="AJ760" s="513" t="str">
        <f t="shared" ca="1" si="519"/>
        <v/>
      </c>
      <c r="AK760" s="700" t="str">
        <f t="shared" si="520"/>
        <v/>
      </c>
      <c r="AL760" s="700"/>
      <c r="AM760" s="505" t="str">
        <f t="shared" si="521"/>
        <v/>
      </c>
      <c r="AN760" s="506"/>
      <c r="AO760" s="507"/>
      <c r="AP760" s="507"/>
      <c r="AQ760" s="507"/>
      <c r="AR760" s="507"/>
      <c r="AS760" s="507"/>
      <c r="AT760" s="507"/>
      <c r="AU760" s="507"/>
      <c r="AV760" s="225"/>
      <c r="AW760" s="508"/>
      <c r="AX760" s="225"/>
      <c r="AY760" s="225"/>
      <c r="AZ760" s="225"/>
      <c r="BA760" s="225"/>
      <c r="BB760" s="225"/>
      <c r="BC760" s="56"/>
      <c r="BD760" s="56"/>
      <c r="BE760" s="56"/>
      <c r="BF760" s="107" t="str">
        <f t="shared" si="522"/>
        <v>https://www.google.com/search?tbm=isch&amp;q=3%20G4</v>
      </c>
      <c r="BG760" s="107" t="str">
        <f t="shared" si="523"/>
        <v>C</v>
      </c>
      <c r="BH760" s="254"/>
      <c r="BI760" s="254"/>
    </row>
    <row r="761" spans="1:61" customFormat="1" ht="27" x14ac:dyDescent="0.25">
      <c r="A761" s="276">
        <v>3</v>
      </c>
      <c r="B761" s="240" t="s">
        <v>291</v>
      </c>
      <c r="C761" s="241" t="s">
        <v>2727</v>
      </c>
      <c r="D761" s="242" t="s">
        <v>299</v>
      </c>
      <c r="E761" s="243">
        <v>35.950000000000003</v>
      </c>
      <c r="F761" s="517" t="s">
        <v>293</v>
      </c>
      <c r="G761" s="232">
        <v>0</v>
      </c>
      <c r="H761" s="661" t="str">
        <f t="shared" si="553"/>
        <v/>
      </c>
      <c r="I761" s="244">
        <f t="shared" si="554"/>
        <v>0</v>
      </c>
      <c r="J761" s="244">
        <f t="shared" si="555"/>
        <v>0</v>
      </c>
      <c r="K761" s="696">
        <f t="shared" ref="K761" si="560">I761+J761</f>
        <v>0</v>
      </c>
      <c r="L761" s="696"/>
      <c r="M761" s="659" t="str">
        <f t="shared" si="557"/>
        <v/>
      </c>
      <c r="N761" s="660"/>
      <c r="O761" s="233"/>
      <c r="P761" s="233"/>
      <c r="Q761" s="233"/>
      <c r="R761" s="233"/>
      <c r="S761" s="233"/>
      <c r="T761" s="508">
        <f t="shared" si="511"/>
        <v>0</v>
      </c>
      <c r="U761" s="225">
        <f>IF(NOT(ISNUMBER(G761)), "", VLOOKUP(A761,'Discount Lookup'!D:E,2,FALSE)*G761)</f>
        <v>0</v>
      </c>
      <c r="V761" s="225">
        <f>IF(NOT(ISNUMBER(G761)), "", VLOOKUP(A761,'Discount Lookup'!G:H,2,FALSE)*G761)</f>
        <v>0</v>
      </c>
      <c r="W761" s="508">
        <f t="shared" si="512"/>
        <v>0</v>
      </c>
      <c r="X761" s="508">
        <f t="shared" si="513"/>
        <v>0</v>
      </c>
      <c r="Y761" s="509" t="b">
        <f t="shared" si="514"/>
        <v>0</v>
      </c>
      <c r="Z761" s="510">
        <f t="shared" si="515"/>
        <v>0</v>
      </c>
      <c r="AA761" s="511"/>
      <c r="AB761" s="511" t="str">
        <f t="shared" si="516"/>
        <v/>
      </c>
      <c r="AC761" s="698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698"/>
      <c r="AE761" s="631" t="str">
        <f t="shared" si="517"/>
        <v/>
      </c>
      <c r="AF761" s="699" t="str">
        <f t="shared" si="518"/>
        <v/>
      </c>
      <c r="AG761" s="699"/>
      <c r="AH761" s="699"/>
      <c r="AI761" s="512">
        <f>IF(H761="credit",0,IF(AE761="free",0,IF(AE761="me",0,IF(G761&gt;0,(VLOOKUP(A761,'Discount Lookup'!J:K,2)*G761),0))))</f>
        <v>0</v>
      </c>
      <c r="AJ761" s="513" t="str">
        <f t="shared" ca="1" si="519"/>
        <v/>
      </c>
      <c r="AK761" s="700" t="str">
        <f t="shared" si="520"/>
        <v/>
      </c>
      <c r="AL761" s="700"/>
      <c r="AM761" s="505" t="str">
        <f t="shared" si="521"/>
        <v/>
      </c>
      <c r="AN761" s="506"/>
      <c r="AO761" s="507"/>
      <c r="AP761" s="507"/>
      <c r="AQ761" s="507"/>
      <c r="AR761" s="507"/>
      <c r="AS761" s="507"/>
      <c r="AT761" s="507"/>
      <c r="AU761" s="507"/>
      <c r="AV761" s="225"/>
      <c r="AW761" s="508"/>
      <c r="AX761" s="225"/>
      <c r="AY761" s="225"/>
      <c r="AZ761" s="225"/>
      <c r="BA761" s="225"/>
      <c r="BB761" s="225"/>
      <c r="BC761" s="56"/>
      <c r="BD761" s="56"/>
      <c r="BE761" s="56"/>
      <c r="BF761" s="107" t="str">
        <f t="shared" si="522"/>
        <v>https://www.google.com/search?tbm=isch&amp;q=3%20G5</v>
      </c>
      <c r="BG761" s="107" t="str">
        <f t="shared" si="523"/>
        <v>C</v>
      </c>
      <c r="BH761" s="254"/>
      <c r="BI761" s="254"/>
    </row>
    <row r="762" spans="1:61" customFormat="1" ht="15.75" x14ac:dyDescent="0.25">
      <c r="A762" s="276">
        <v>7</v>
      </c>
      <c r="B762" s="240" t="s">
        <v>291</v>
      </c>
      <c r="C762" s="241" t="s">
        <v>2360</v>
      </c>
      <c r="D762" s="242" t="s">
        <v>299</v>
      </c>
      <c r="E762" s="243">
        <v>79.95</v>
      </c>
      <c r="F762" s="517" t="s">
        <v>293</v>
      </c>
      <c r="G762" s="232">
        <v>0</v>
      </c>
      <c r="H762" s="661" t="str">
        <f t="shared" si="553"/>
        <v/>
      </c>
      <c r="I762" s="244">
        <f t="shared" si="554"/>
        <v>0</v>
      </c>
      <c r="J762" s="244">
        <f t="shared" si="555"/>
        <v>0</v>
      </c>
      <c r="K762" s="696">
        <f t="shared" ref="K762" si="561">I762+J762</f>
        <v>0</v>
      </c>
      <c r="L762" s="696"/>
      <c r="M762" s="659" t="str">
        <f t="shared" si="557"/>
        <v/>
      </c>
      <c r="N762" s="660"/>
      <c r="O762" s="233"/>
      <c r="P762" s="233"/>
      <c r="Q762" s="233"/>
      <c r="R762" s="233"/>
      <c r="S762" s="233"/>
      <c r="T762" s="508">
        <f t="shared" si="511"/>
        <v>0</v>
      </c>
      <c r="U762" s="225">
        <f>IF(NOT(ISNUMBER(G762)), "", VLOOKUP(A762,'Discount Lookup'!D:E,2,FALSE)*G762)</f>
        <v>0</v>
      </c>
      <c r="V762" s="225">
        <f>IF(NOT(ISNUMBER(G762)), "", VLOOKUP(A762,'Discount Lookup'!G:H,2,FALSE)*G762)</f>
        <v>0</v>
      </c>
      <c r="W762" s="508">
        <f t="shared" si="512"/>
        <v>0</v>
      </c>
      <c r="X762" s="508">
        <f t="shared" si="513"/>
        <v>0</v>
      </c>
      <c r="Y762" s="509" t="b">
        <f t="shared" si="514"/>
        <v>0</v>
      </c>
      <c r="Z762" s="510">
        <f t="shared" si="515"/>
        <v>0</v>
      </c>
      <c r="AA762" s="511"/>
      <c r="AB762" s="511" t="str">
        <f t="shared" si="516"/>
        <v/>
      </c>
      <c r="AC762" s="698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698"/>
      <c r="AE762" s="631" t="str">
        <f t="shared" si="517"/>
        <v/>
      </c>
      <c r="AF762" s="699" t="str">
        <f t="shared" si="518"/>
        <v/>
      </c>
      <c r="AG762" s="699"/>
      <c r="AH762" s="699"/>
      <c r="AI762" s="512">
        <f>IF(H762="credit",0,IF(AE762="free",0,IF(AE762="me",0,IF(G762&gt;0,(VLOOKUP(A762,'Discount Lookup'!J:K,2)*G762),0))))</f>
        <v>0</v>
      </c>
      <c r="AJ762" s="513" t="str">
        <f t="shared" ca="1" si="519"/>
        <v/>
      </c>
      <c r="AK762" s="700" t="str">
        <f t="shared" si="520"/>
        <v/>
      </c>
      <c r="AL762" s="700"/>
      <c r="AM762" s="505" t="str">
        <f t="shared" si="521"/>
        <v/>
      </c>
      <c r="AN762" s="506"/>
      <c r="AO762" s="507"/>
      <c r="AP762" s="507"/>
      <c r="AQ762" s="507"/>
      <c r="AR762" s="507"/>
      <c r="AS762" s="507"/>
      <c r="AT762" s="507"/>
      <c r="AU762" s="507"/>
      <c r="AV762" s="225"/>
      <c r="AW762" s="508"/>
      <c r="AX762" s="225"/>
      <c r="AY762" s="225"/>
      <c r="AZ762" s="225"/>
      <c r="BA762" s="225"/>
      <c r="BB762" s="225"/>
      <c r="BC762" s="56"/>
      <c r="BD762" s="56"/>
      <c r="BE762" s="56"/>
      <c r="BF762" s="107" t="str">
        <f t="shared" si="522"/>
        <v>https://www.google.com/search?tbm=isch&amp;q=7%20G5</v>
      </c>
      <c r="BG762" s="107" t="str">
        <f t="shared" si="523"/>
        <v>C</v>
      </c>
      <c r="BH762" s="254"/>
      <c r="BI762" s="254"/>
    </row>
    <row r="763" spans="1:61" customFormat="1" ht="15.75" x14ac:dyDescent="0.25">
      <c r="A763" s="276">
        <v>7</v>
      </c>
      <c r="B763" s="240" t="s">
        <v>291</v>
      </c>
      <c r="C763" s="241" t="s">
        <v>4496</v>
      </c>
      <c r="D763" s="242" t="s">
        <v>300</v>
      </c>
      <c r="E763" s="243">
        <v>84.95</v>
      </c>
      <c r="F763" s="517" t="s">
        <v>293</v>
      </c>
      <c r="G763" s="232">
        <v>0</v>
      </c>
      <c r="H763" s="661" t="str">
        <f t="shared" si="553"/>
        <v/>
      </c>
      <c r="I763" s="244">
        <f t="shared" si="554"/>
        <v>0</v>
      </c>
      <c r="J763" s="244">
        <f t="shared" si="555"/>
        <v>0</v>
      </c>
      <c r="K763" s="696">
        <f t="shared" ref="K763" si="562">I763+J763</f>
        <v>0</v>
      </c>
      <c r="L763" s="696"/>
      <c r="M763" s="659" t="str">
        <f t="shared" si="557"/>
        <v/>
      </c>
      <c r="N763" s="660"/>
      <c r="O763" s="233"/>
      <c r="P763" s="233"/>
      <c r="Q763" s="233"/>
      <c r="R763" s="233"/>
      <c r="S763" s="233"/>
      <c r="T763" s="508">
        <f t="shared" si="511"/>
        <v>0</v>
      </c>
      <c r="U763" s="225">
        <f>IF(NOT(ISNUMBER(G763)), "", VLOOKUP(A763,'Discount Lookup'!D:E,2,FALSE)*G763)</f>
        <v>0</v>
      </c>
      <c r="V763" s="225">
        <f>IF(NOT(ISNUMBER(G763)), "", VLOOKUP(A763,'Discount Lookup'!G:H,2,FALSE)*G763)</f>
        <v>0</v>
      </c>
      <c r="W763" s="508">
        <f t="shared" si="512"/>
        <v>0</v>
      </c>
      <c r="X763" s="508">
        <f t="shared" si="513"/>
        <v>0</v>
      </c>
      <c r="Y763" s="509" t="b">
        <f t="shared" si="514"/>
        <v>0</v>
      </c>
      <c r="Z763" s="510">
        <f t="shared" si="515"/>
        <v>0</v>
      </c>
      <c r="AA763" s="511"/>
      <c r="AB763" s="511" t="str">
        <f t="shared" si="516"/>
        <v/>
      </c>
      <c r="AC763" s="698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698"/>
      <c r="AE763" s="631" t="str">
        <f t="shared" si="517"/>
        <v/>
      </c>
      <c r="AF763" s="699" t="str">
        <f t="shared" si="518"/>
        <v/>
      </c>
      <c r="AG763" s="699"/>
      <c r="AH763" s="699"/>
      <c r="AI763" s="512">
        <f>IF(H763="credit",0,IF(AE763="free",0,IF(AE763="me",0,IF(G763&gt;0,(VLOOKUP(A763,'Discount Lookup'!J:K,2)*G763),0))))</f>
        <v>0</v>
      </c>
      <c r="AJ763" s="513" t="str">
        <f t="shared" ca="1" si="519"/>
        <v/>
      </c>
      <c r="AK763" s="700" t="str">
        <f t="shared" si="520"/>
        <v/>
      </c>
      <c r="AL763" s="700"/>
      <c r="AM763" s="505" t="str">
        <f t="shared" si="521"/>
        <v/>
      </c>
      <c r="AN763" s="506"/>
      <c r="AO763" s="507"/>
      <c r="AP763" s="507"/>
      <c r="AQ763" s="507"/>
      <c r="AR763" s="507"/>
      <c r="AS763" s="507"/>
      <c r="AT763" s="507"/>
      <c r="AU763" s="507"/>
      <c r="AV763" s="225"/>
      <c r="AW763" s="508"/>
      <c r="AX763" s="225"/>
      <c r="AY763" s="225"/>
      <c r="AZ763" s="225"/>
      <c r="BA763" s="225"/>
      <c r="BB763" s="225"/>
      <c r="BC763" s="56"/>
      <c r="BD763" s="56"/>
      <c r="BE763" s="56"/>
      <c r="BF763" s="107" t="str">
        <f t="shared" si="522"/>
        <v>https://www.google.com/search?tbm=isch&amp;q=7%20G6</v>
      </c>
      <c r="BG763" s="107" t="str">
        <f t="shared" si="523"/>
        <v>C</v>
      </c>
      <c r="BH763" s="254"/>
      <c r="BI763" s="254"/>
    </row>
    <row r="764" spans="1:61" customFormat="1" ht="27" x14ac:dyDescent="0.25">
      <c r="A764" s="276">
        <v>7</v>
      </c>
      <c r="B764" s="240" t="s">
        <v>291</v>
      </c>
      <c r="C764" s="241" t="s">
        <v>3380</v>
      </c>
      <c r="D764" s="242" t="s">
        <v>292</v>
      </c>
      <c r="E764" s="243">
        <v>86.95</v>
      </c>
      <c r="F764" s="517" t="s">
        <v>293</v>
      </c>
      <c r="G764" s="232">
        <v>0</v>
      </c>
      <c r="H764" s="661" t="str">
        <f t="shared" si="553"/>
        <v/>
      </c>
      <c r="I764" s="244">
        <f t="shared" si="554"/>
        <v>0</v>
      </c>
      <c r="J764" s="244">
        <f t="shared" si="555"/>
        <v>0</v>
      </c>
      <c r="K764" s="696">
        <f t="shared" ref="K764" si="563">I764+J764</f>
        <v>0</v>
      </c>
      <c r="L764" s="696"/>
      <c r="M764" s="659" t="str">
        <f t="shared" si="557"/>
        <v/>
      </c>
      <c r="N764" s="660"/>
      <c r="O764" s="233"/>
      <c r="P764" s="233"/>
      <c r="Q764" s="233"/>
      <c r="R764" s="233"/>
      <c r="S764" s="233"/>
      <c r="T764" s="508">
        <f t="shared" si="511"/>
        <v>0</v>
      </c>
      <c r="U764" s="225">
        <f>IF(NOT(ISNUMBER(G764)), "", VLOOKUP(A764,'Discount Lookup'!D:E,2,FALSE)*G764)</f>
        <v>0</v>
      </c>
      <c r="V764" s="225">
        <f>IF(NOT(ISNUMBER(G764)), "", VLOOKUP(A764,'Discount Lookup'!G:H,2,FALSE)*G764)</f>
        <v>0</v>
      </c>
      <c r="W764" s="508">
        <f t="shared" si="512"/>
        <v>0</v>
      </c>
      <c r="X764" s="508">
        <f t="shared" si="513"/>
        <v>0</v>
      </c>
      <c r="Y764" s="509" t="b">
        <f t="shared" si="514"/>
        <v>0</v>
      </c>
      <c r="Z764" s="510">
        <f t="shared" si="515"/>
        <v>0</v>
      </c>
      <c r="AA764" s="511"/>
      <c r="AB764" s="511" t="str">
        <f t="shared" si="516"/>
        <v/>
      </c>
      <c r="AC764" s="698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698"/>
      <c r="AE764" s="631" t="str">
        <f t="shared" si="517"/>
        <v/>
      </c>
      <c r="AF764" s="699" t="str">
        <f t="shared" si="518"/>
        <v/>
      </c>
      <c r="AG764" s="699"/>
      <c r="AH764" s="699"/>
      <c r="AI764" s="512">
        <f>IF(H764="credit",0,IF(AE764="free",0,IF(AE764="me",0,IF(G764&gt;0,(VLOOKUP(A764,'Discount Lookup'!J:K,2)*G764),0))))</f>
        <v>0</v>
      </c>
      <c r="AJ764" s="513" t="str">
        <f t="shared" ca="1" si="519"/>
        <v/>
      </c>
      <c r="AK764" s="700" t="str">
        <f t="shared" si="520"/>
        <v/>
      </c>
      <c r="AL764" s="700"/>
      <c r="AM764" s="505" t="str">
        <f t="shared" si="521"/>
        <v/>
      </c>
      <c r="AN764" s="506"/>
      <c r="AO764" s="507"/>
      <c r="AP764" s="507"/>
      <c r="AQ764" s="507"/>
      <c r="AR764" s="507"/>
      <c r="AS764" s="507"/>
      <c r="AT764" s="507"/>
      <c r="AU764" s="507"/>
      <c r="AV764" s="225"/>
      <c r="AW764" s="508"/>
      <c r="AX764" s="225"/>
      <c r="AY764" s="225"/>
      <c r="AZ764" s="225"/>
      <c r="BA764" s="225"/>
      <c r="BB764" s="225"/>
      <c r="BC764" s="56"/>
      <c r="BD764" s="56"/>
      <c r="BE764" s="56"/>
      <c r="BF764" s="107" t="str">
        <f t="shared" si="522"/>
        <v>https://www.google.com/search?tbm=isch&amp;q=7%20G4</v>
      </c>
      <c r="BG764" s="107" t="str">
        <f t="shared" si="523"/>
        <v>C</v>
      </c>
      <c r="BH764" s="254"/>
      <c r="BI764" s="254"/>
    </row>
    <row r="765" spans="1:61" customFormat="1" ht="27" x14ac:dyDescent="0.25">
      <c r="A765" s="276">
        <v>7</v>
      </c>
      <c r="B765" s="240" t="s">
        <v>291</v>
      </c>
      <c r="C765" s="241" t="s">
        <v>3381</v>
      </c>
      <c r="D765" s="242" t="s">
        <v>292</v>
      </c>
      <c r="E765" s="243">
        <v>118.95</v>
      </c>
      <c r="F765" s="517" t="s">
        <v>293</v>
      </c>
      <c r="G765" s="232">
        <v>0</v>
      </c>
      <c r="H765" s="661" t="str">
        <f t="shared" si="553"/>
        <v/>
      </c>
      <c r="I765" s="244">
        <f t="shared" si="554"/>
        <v>0</v>
      </c>
      <c r="J765" s="244">
        <f t="shared" si="555"/>
        <v>0</v>
      </c>
      <c r="K765" s="696">
        <f t="shared" ref="K765" si="564">I765+J765</f>
        <v>0</v>
      </c>
      <c r="L765" s="696"/>
      <c r="M765" s="659" t="str">
        <f t="shared" si="557"/>
        <v/>
      </c>
      <c r="N765" s="660"/>
      <c r="O765" s="233"/>
      <c r="P765" s="233"/>
      <c r="Q765" s="233"/>
      <c r="R765" s="233"/>
      <c r="S765" s="233"/>
      <c r="T765" s="508">
        <f t="shared" si="511"/>
        <v>0</v>
      </c>
      <c r="U765" s="225">
        <f>IF(NOT(ISNUMBER(G765)), "", VLOOKUP(A765,'Discount Lookup'!D:E,2,FALSE)*G765)</f>
        <v>0</v>
      </c>
      <c r="V765" s="225">
        <f>IF(NOT(ISNUMBER(G765)), "", VLOOKUP(A765,'Discount Lookup'!G:H,2,FALSE)*G765)</f>
        <v>0</v>
      </c>
      <c r="W765" s="508">
        <f t="shared" si="512"/>
        <v>0</v>
      </c>
      <c r="X765" s="508">
        <f t="shared" si="513"/>
        <v>0</v>
      </c>
      <c r="Y765" s="509" t="b">
        <f t="shared" si="514"/>
        <v>0</v>
      </c>
      <c r="Z765" s="510">
        <f t="shared" si="515"/>
        <v>0</v>
      </c>
      <c r="AA765" s="511"/>
      <c r="AB765" s="511" t="str">
        <f t="shared" si="516"/>
        <v/>
      </c>
      <c r="AC765" s="698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698"/>
      <c r="AE765" s="631" t="str">
        <f t="shared" si="517"/>
        <v/>
      </c>
      <c r="AF765" s="699" t="str">
        <f t="shared" si="518"/>
        <v/>
      </c>
      <c r="AG765" s="699"/>
      <c r="AH765" s="699"/>
      <c r="AI765" s="512">
        <f>IF(H765="credit",0,IF(AE765="free",0,IF(AE765="me",0,IF(G765&gt;0,(VLOOKUP(A765,'Discount Lookup'!J:K,2)*G765),0))))</f>
        <v>0</v>
      </c>
      <c r="AJ765" s="513" t="str">
        <f t="shared" ca="1" si="519"/>
        <v/>
      </c>
      <c r="AK765" s="700" t="str">
        <f t="shared" si="520"/>
        <v/>
      </c>
      <c r="AL765" s="700"/>
      <c r="AM765" s="505" t="str">
        <f t="shared" si="521"/>
        <v/>
      </c>
      <c r="AN765" s="506"/>
      <c r="AO765" s="507"/>
      <c r="AP765" s="507"/>
      <c r="AQ765" s="507"/>
      <c r="AR765" s="507"/>
      <c r="AS765" s="507"/>
      <c r="AT765" s="507"/>
      <c r="AU765" s="507"/>
      <c r="AV765" s="225"/>
      <c r="AW765" s="508"/>
      <c r="AX765" s="225"/>
      <c r="AY765" s="225"/>
      <c r="AZ765" s="225"/>
      <c r="BA765" s="225"/>
      <c r="BB765" s="225"/>
      <c r="BC765" s="56"/>
      <c r="BD765" s="56"/>
      <c r="BE765" s="56"/>
      <c r="BF765" s="107" t="str">
        <f t="shared" si="522"/>
        <v>https://www.google.com/search?tbm=isch&amp;q=7%20G4</v>
      </c>
      <c r="BG765" s="107" t="str">
        <f t="shared" si="523"/>
        <v>C</v>
      </c>
      <c r="BH765" s="254"/>
      <c r="BI765" s="254"/>
    </row>
    <row r="766" spans="1:61" customFormat="1" ht="15.75" x14ac:dyDescent="0.25">
      <c r="A766" s="276">
        <v>15</v>
      </c>
      <c r="B766" s="240" t="s">
        <v>291</v>
      </c>
      <c r="C766" s="241" t="s">
        <v>3382</v>
      </c>
      <c r="D766" s="242" t="s">
        <v>292</v>
      </c>
      <c r="E766" s="243">
        <v>192.95</v>
      </c>
      <c r="F766" s="517" t="s">
        <v>293</v>
      </c>
      <c r="G766" s="232">
        <v>0</v>
      </c>
      <c r="H766" s="661" t="str">
        <f t="shared" si="553"/>
        <v/>
      </c>
      <c r="I766" s="244">
        <f t="shared" si="554"/>
        <v>0</v>
      </c>
      <c r="J766" s="244">
        <f t="shared" si="555"/>
        <v>0</v>
      </c>
      <c r="K766" s="696">
        <f t="shared" ref="K766" si="565">I766+J766</f>
        <v>0</v>
      </c>
      <c r="L766" s="696"/>
      <c r="M766" s="659" t="str">
        <f t="shared" si="557"/>
        <v/>
      </c>
      <c r="N766" s="660"/>
      <c r="O766" s="233"/>
      <c r="P766" s="233"/>
      <c r="Q766" s="233"/>
      <c r="R766" s="233"/>
      <c r="S766" s="233"/>
      <c r="T766" s="508">
        <f t="shared" si="511"/>
        <v>0</v>
      </c>
      <c r="U766" s="225">
        <f>IF(NOT(ISNUMBER(G766)), "", VLOOKUP(A766,'Discount Lookup'!D:E,2,FALSE)*G766)</f>
        <v>0</v>
      </c>
      <c r="V766" s="225">
        <f>IF(NOT(ISNUMBER(G766)), "", VLOOKUP(A766,'Discount Lookup'!G:H,2,FALSE)*G766)</f>
        <v>0</v>
      </c>
      <c r="W766" s="508">
        <f t="shared" si="512"/>
        <v>0</v>
      </c>
      <c r="X766" s="508">
        <f t="shared" si="513"/>
        <v>0</v>
      </c>
      <c r="Y766" s="509" t="b">
        <f t="shared" si="514"/>
        <v>0</v>
      </c>
      <c r="Z766" s="510">
        <f t="shared" si="515"/>
        <v>0</v>
      </c>
      <c r="AA766" s="511"/>
      <c r="AB766" s="511" t="str">
        <f t="shared" si="516"/>
        <v/>
      </c>
      <c r="AC766" s="698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698"/>
      <c r="AE766" s="631" t="str">
        <f t="shared" si="517"/>
        <v/>
      </c>
      <c r="AF766" s="699" t="str">
        <f t="shared" si="518"/>
        <v/>
      </c>
      <c r="AG766" s="699"/>
      <c r="AH766" s="699"/>
      <c r="AI766" s="512">
        <f>IF(H766="credit",0,IF(AE766="free",0,IF(AE766="me",0,IF(G766&gt;0,(VLOOKUP(A766,'Discount Lookup'!J:K,2)*G766),0))))</f>
        <v>0</v>
      </c>
      <c r="AJ766" s="513" t="str">
        <f t="shared" ca="1" si="519"/>
        <v/>
      </c>
      <c r="AK766" s="700" t="str">
        <f t="shared" si="520"/>
        <v/>
      </c>
      <c r="AL766" s="700"/>
      <c r="AM766" s="505" t="str">
        <f t="shared" si="521"/>
        <v/>
      </c>
      <c r="AN766" s="506"/>
      <c r="AO766" s="507"/>
      <c r="AP766" s="507"/>
      <c r="AQ766" s="507"/>
      <c r="AR766" s="507"/>
      <c r="AS766" s="507"/>
      <c r="AT766" s="507"/>
      <c r="AU766" s="507"/>
      <c r="AV766" s="225"/>
      <c r="AW766" s="508"/>
      <c r="AX766" s="225"/>
      <c r="AY766" s="225"/>
      <c r="AZ766" s="225"/>
      <c r="BA766" s="225"/>
      <c r="BB766" s="225"/>
      <c r="BC766" s="56"/>
      <c r="BD766" s="56"/>
      <c r="BE766" s="56"/>
      <c r="BF766" s="107" t="str">
        <f t="shared" si="522"/>
        <v>https://www.google.com/search?tbm=isch&amp;q=15%20G4</v>
      </c>
      <c r="BG766" s="107" t="str">
        <f t="shared" si="523"/>
        <v>C</v>
      </c>
      <c r="BH766" s="254"/>
      <c r="BI766" s="254"/>
    </row>
    <row r="767" spans="1:61" customFormat="1" ht="17.25" thickBot="1" x14ac:dyDescent="0.3">
      <c r="A767" s="524" t="s">
        <v>2845</v>
      </c>
      <c r="B767" s="245"/>
      <c r="C767" s="677"/>
      <c r="D767" s="499"/>
      <c r="E767" s="499"/>
      <c r="F767" s="500"/>
      <c r="G767" s="501"/>
      <c r="H767" s="502"/>
      <c r="I767" s="246"/>
      <c r="J767" s="247"/>
      <c r="K767" s="503"/>
      <c r="L767" s="544"/>
      <c r="M767" s="544"/>
      <c r="N767" s="500"/>
      <c r="O767" s="500"/>
      <c r="P767" s="500"/>
      <c r="Q767" s="500"/>
      <c r="R767" s="500"/>
      <c r="S767" s="669" t="s">
        <v>4980</v>
      </c>
      <c r="T767" s="508">
        <f t="shared" si="511"/>
        <v>0</v>
      </c>
      <c r="U767" s="225" t="str">
        <f>IF(NOT(ISNUMBER(G767)), "", VLOOKUP(A767,'Discount Lookup'!D:E,2,FALSE)*G767)</f>
        <v/>
      </c>
      <c r="V767" s="225" t="str">
        <f>IF(NOT(ISNUMBER(G767)), "", VLOOKUP(A767,'Discount Lookup'!G:H,2,FALSE)*G767)</f>
        <v/>
      </c>
      <c r="W767" s="508">
        <f t="shared" si="512"/>
        <v>0</v>
      </c>
      <c r="X767" s="508">
        <f t="shared" si="513"/>
        <v>0</v>
      </c>
      <c r="Y767" s="509" t="b">
        <f t="shared" si="514"/>
        <v>0</v>
      </c>
      <c r="Z767" s="510">
        <f t="shared" si="515"/>
        <v>0</v>
      </c>
      <c r="AA767" s="511"/>
      <c r="AB767" s="511" t="str">
        <f t="shared" si="516"/>
        <v/>
      </c>
      <c r="AC767" s="698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698"/>
      <c r="AE767" s="631" t="str">
        <f t="shared" si="517"/>
        <v/>
      </c>
      <c r="AF767" s="699" t="str">
        <f t="shared" si="518"/>
        <v/>
      </c>
      <c r="AG767" s="699"/>
      <c r="AH767" s="699"/>
      <c r="AI767" s="512">
        <f>IF(H767="credit",0,IF(AE767="free",0,IF(AE767="me",0,IF(G767&gt;0,(VLOOKUP(A767,'Discount Lookup'!J:K,2)*G767),0))))</f>
        <v>0</v>
      </c>
      <c r="AJ767" s="513" t="str">
        <f t="shared" ca="1" si="519"/>
        <v/>
      </c>
      <c r="AK767" s="700" t="str">
        <f t="shared" si="520"/>
        <v/>
      </c>
      <c r="AL767" s="700"/>
      <c r="AM767" s="505" t="str">
        <f t="shared" si="521"/>
        <v/>
      </c>
      <c r="AN767" s="506"/>
      <c r="AO767" s="507"/>
      <c r="AP767" s="507"/>
      <c r="AQ767" s="507"/>
      <c r="AR767" s="507"/>
      <c r="AS767" s="507"/>
      <c r="AT767" s="507"/>
      <c r="AU767" s="507"/>
      <c r="AV767" s="225"/>
      <c r="AW767" s="508"/>
      <c r="AX767" s="225"/>
      <c r="AY767" s="225"/>
      <c r="AZ767" s="225"/>
      <c r="BA767" s="225"/>
      <c r="BB767" s="225"/>
      <c r="BC767" s="56"/>
      <c r="BD767" s="56"/>
      <c r="BE767" s="56"/>
      <c r="BF767" s="107" t="str">
        <f t="shared" si="522"/>
        <v>https://www.google.com/search?tbm=isch&amp;q=Chinese%20Snowbal%20has%20striking%20snowball-like%20clusters%20of%20flowers%2C%20up%20to%208%22%20diameter.%20May%20stay%20evergreen%20in%20mild%20winters%20</v>
      </c>
      <c r="BG767" s="107" t="str">
        <f t="shared" si="523"/>
        <v>C</v>
      </c>
      <c r="BH767" s="254"/>
      <c r="BI767" s="254"/>
    </row>
    <row r="768" spans="1:61" customFormat="1" ht="18" x14ac:dyDescent="0.25">
      <c r="A768" s="521" t="s">
        <v>511</v>
      </c>
      <c r="B768" s="477"/>
      <c r="C768" s="674"/>
      <c r="D768" s="478" t="s">
        <v>510</v>
      </c>
      <c r="E768" s="479"/>
      <c r="F768" s="479"/>
      <c r="G768" s="479"/>
      <c r="H768" s="582" t="s">
        <v>508</v>
      </c>
      <c r="I768" s="480" t="s">
        <v>2598</v>
      </c>
      <c r="J768" s="479"/>
      <c r="K768" s="479"/>
      <c r="L768" s="560"/>
      <c r="M768" s="671" t="s">
        <v>4990</v>
      </c>
      <c r="N768" s="680" t="str">
        <f>IF(AND(ISTEXT($A768), ISERROR($A768+0)), HYPERLINK($BF768, "Images"), "")</f>
        <v>Images</v>
      </c>
      <c r="O768" s="662" t="s">
        <v>4974</v>
      </c>
      <c r="P768" s="482"/>
      <c r="Q768" s="483"/>
      <c r="R768" s="483"/>
      <c r="S768" s="484"/>
      <c r="T768" s="508">
        <f t="shared" si="511"/>
        <v>0</v>
      </c>
      <c r="U768" s="225" t="str">
        <f>IF(NOT(ISNUMBER(G768)), "", VLOOKUP(A768,'Discount Lookup'!D:E,2,FALSE)*G768)</f>
        <v/>
      </c>
      <c r="V768" s="225" t="str">
        <f>IF(NOT(ISNUMBER(G768)), "", VLOOKUP(A768,'Discount Lookup'!G:H,2,FALSE)*G768)</f>
        <v/>
      </c>
      <c r="W768" s="508">
        <f t="shared" si="512"/>
        <v>0</v>
      </c>
      <c r="X768" s="508" t="str">
        <f t="shared" si="513"/>
        <v>Salmon-Pink bloom</v>
      </c>
      <c r="Y768" s="509" t="b">
        <f t="shared" si="514"/>
        <v>0</v>
      </c>
      <c r="Z768" s="510">
        <f t="shared" si="515"/>
        <v>0</v>
      </c>
      <c r="AA768" s="511"/>
      <c r="AB768" s="511" t="str">
        <f t="shared" si="516"/>
        <v/>
      </c>
      <c r="AC768" s="698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698"/>
      <c r="AE768" s="631" t="str">
        <f t="shared" si="517"/>
        <v/>
      </c>
      <c r="AF768" s="699" t="str">
        <f t="shared" si="518"/>
        <v/>
      </c>
      <c r="AG768" s="699"/>
      <c r="AH768" s="699"/>
      <c r="AI768" s="512">
        <f>IF(H768="credit",0,IF(AE768="free",0,IF(AE768="me",0,IF(G768&gt;0,(VLOOKUP(A768,'Discount Lookup'!J:K,2)*G768),0))))</f>
        <v>0</v>
      </c>
      <c r="AJ768" s="513" t="str">
        <f t="shared" ca="1" si="519"/>
        <v/>
      </c>
      <c r="AK768" s="700" t="str">
        <f t="shared" si="520"/>
        <v/>
      </c>
      <c r="AL768" s="700"/>
      <c r="AM768" s="505" t="str">
        <f t="shared" si="521"/>
        <v/>
      </c>
      <c r="AN768" s="506"/>
      <c r="AO768" s="507"/>
      <c r="AP768" s="507"/>
      <c r="AQ768" s="507"/>
      <c r="AR768" s="507"/>
      <c r="AS768" s="507"/>
      <c r="AT768" s="507"/>
      <c r="AU768" s="507"/>
      <c r="AV768" s="225"/>
      <c r="AW768" s="508"/>
      <c r="AX768" s="225"/>
      <c r="AY768" s="225"/>
      <c r="AZ768" s="225"/>
      <c r="BA768" s="225"/>
      <c r="BB768" s="225"/>
      <c r="BC768" s="56"/>
      <c r="BD768" s="56"/>
      <c r="BE768" s="56"/>
      <c r="BF768" s="107" t="str">
        <f t="shared" si="522"/>
        <v>https://www.google.com/search?tbm=isch&amp;q=Chinzan%20Azalea%20Rhod.%20satsuki%20%27Chinzan%27</v>
      </c>
      <c r="BG768" s="107" t="str">
        <f t="shared" si="523"/>
        <v>C</v>
      </c>
      <c r="BH768" s="254"/>
      <c r="BI768" s="254"/>
    </row>
    <row r="769" spans="1:61" customFormat="1" ht="15.75" x14ac:dyDescent="0.25">
      <c r="A769" s="485">
        <v>3</v>
      </c>
      <c r="B769" s="486" t="s">
        <v>291</v>
      </c>
      <c r="C769" s="487" t="s">
        <v>501</v>
      </c>
      <c r="D769" s="488" t="s">
        <v>312</v>
      </c>
      <c r="E769" s="489">
        <v>24.95</v>
      </c>
      <c r="F769" s="516" t="s">
        <v>293</v>
      </c>
      <c r="G769" s="232">
        <v>0</v>
      </c>
      <c r="H769" s="658" t="str">
        <f>IF(G769=0,"",IF(F769="Buy",IF(G769=1,"plant","plants"),IF(F769&gt;0.01,"warranty","Error")))</f>
        <v/>
      </c>
      <c r="I769" s="490">
        <f>IF(H769="free",0,IF(H769="credit",((E769*(F769))*G769*-1),IF(F769="Buy",(E769*G769),((E769*(1-F769))*G769))))</f>
        <v>0</v>
      </c>
      <c r="J769" s="490">
        <f>IF(H769="warranty",0,(I769*(_xlfn.SINGLE(SalesTaxPercentage))))</f>
        <v>0</v>
      </c>
      <c r="K769" s="695">
        <f t="shared" ref="K769" si="566">I769+J769</f>
        <v>0</v>
      </c>
      <c r="L769" s="695"/>
      <c r="M769" s="659" t="str">
        <f>IF(AND(G769&gt;0,E769=0),"WARNING - no PRICE inserted",IF(H769="free"," FREE ~ no charge this plant",IF(H769="credit",CONCATENATE(" -$",ROUND(K769*(1-T2GDiscount)*-1,2)," CREDIT after discount"),IF(T2GDiscount=0,"",IF(G769=0,"",IF(F769="Buy",CONCATENATE(" $",ROUND(K769*(1-T2GDiscount),2)," with ",(T2GDiscount*100),"% discount"),CONCATENATE(" $",ROUND(K769*(1-T2GDiscount),2)," with ",((T2GDiscount*100+F769*100)-(T2GDiscount*100*F769)),IF(F769&gt;0,"% discounts",IF(NoWarrantyDiscount&gt;0,"% discounts","% discount")))))))))</f>
        <v/>
      </c>
      <c r="N769" s="660"/>
      <c r="O769" s="233"/>
      <c r="P769" s="233"/>
      <c r="Q769" s="233"/>
      <c r="R769" s="233"/>
      <c r="S769" s="233"/>
      <c r="T769" s="508">
        <f t="shared" si="511"/>
        <v>0</v>
      </c>
      <c r="U769" s="225">
        <f>IF(NOT(ISNUMBER(G769)), "", VLOOKUP(A769,'Discount Lookup'!D:E,2,FALSE)*G769)</f>
        <v>0</v>
      </c>
      <c r="V769" s="225">
        <f>IF(NOT(ISNUMBER(G769)), "", VLOOKUP(A769,'Discount Lookup'!G:H,2,FALSE)*G769)</f>
        <v>0</v>
      </c>
      <c r="W769" s="508">
        <f t="shared" si="512"/>
        <v>0</v>
      </c>
      <c r="X769" s="508">
        <f t="shared" si="513"/>
        <v>0</v>
      </c>
      <c r="Y769" s="509" t="b">
        <f t="shared" si="514"/>
        <v>0</v>
      </c>
      <c r="Z769" s="510">
        <f t="shared" si="515"/>
        <v>0</v>
      </c>
      <c r="AA769" s="511"/>
      <c r="AB769" s="511" t="str">
        <f t="shared" si="516"/>
        <v/>
      </c>
      <c r="AC769" s="698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698"/>
      <c r="AE769" s="631" t="str">
        <f t="shared" si="517"/>
        <v/>
      </c>
      <c r="AF769" s="699" t="str">
        <f t="shared" si="518"/>
        <v/>
      </c>
      <c r="AG769" s="699"/>
      <c r="AH769" s="699"/>
      <c r="AI769" s="512">
        <f>IF(H769="credit",0,IF(AE769="free",0,IF(AE769="me",0,IF(G769&gt;0,(VLOOKUP(A769,'Discount Lookup'!J:K,2)*G769),0))))</f>
        <v>0</v>
      </c>
      <c r="AJ769" s="513" t="str">
        <f t="shared" ca="1" si="519"/>
        <v/>
      </c>
      <c r="AK769" s="700" t="str">
        <f t="shared" si="520"/>
        <v/>
      </c>
      <c r="AL769" s="700"/>
      <c r="AM769" s="505" t="str">
        <f t="shared" si="521"/>
        <v/>
      </c>
      <c r="AN769" s="506"/>
      <c r="AO769" s="507"/>
      <c r="AP769" s="507"/>
      <c r="AQ769" s="507"/>
      <c r="AR769" s="507"/>
      <c r="AS769" s="507"/>
      <c r="AT769" s="507"/>
      <c r="AU769" s="507"/>
      <c r="AV769" s="225"/>
      <c r="AW769" s="508"/>
      <c r="AX769" s="225"/>
      <c r="AY769" s="225"/>
      <c r="AZ769" s="225"/>
      <c r="BA769" s="225"/>
      <c r="BB769" s="225"/>
      <c r="BC769" s="56"/>
      <c r="BD769" s="56"/>
      <c r="BE769" s="56"/>
      <c r="BF769" s="107" t="str">
        <f t="shared" si="522"/>
        <v>https://www.google.com/search?tbm=isch&amp;q=3%20G2</v>
      </c>
      <c r="BG769" s="107" t="str">
        <f t="shared" si="523"/>
        <v>C</v>
      </c>
      <c r="BH769" s="254"/>
      <c r="BI769" s="254"/>
    </row>
    <row r="770" spans="1:61" customFormat="1" ht="17.25" thickBot="1" x14ac:dyDescent="0.3">
      <c r="A770" s="522" t="s">
        <v>2599</v>
      </c>
      <c r="B770" s="491"/>
      <c r="C770" s="675"/>
      <c r="D770" s="491"/>
      <c r="E770" s="491"/>
      <c r="F770" s="492"/>
      <c r="G770" s="493"/>
      <c r="H770" s="491"/>
      <c r="I770" s="234"/>
      <c r="J770" s="234"/>
      <c r="K770" s="494"/>
      <c r="L770" s="543"/>
      <c r="M770" s="561"/>
      <c r="N770" s="495"/>
      <c r="O770" s="496"/>
      <c r="P770" s="497"/>
      <c r="Q770" s="495"/>
      <c r="R770" s="495"/>
      <c r="S770" s="667" t="s">
        <v>4988</v>
      </c>
      <c r="T770" s="508">
        <f t="shared" si="511"/>
        <v>0</v>
      </c>
      <c r="U770" s="225" t="str">
        <f>IF(NOT(ISNUMBER(G770)), "", VLOOKUP(A770,'Discount Lookup'!D:E,2,FALSE)*G770)</f>
        <v/>
      </c>
      <c r="V770" s="225" t="str">
        <f>IF(NOT(ISNUMBER(G770)), "", VLOOKUP(A770,'Discount Lookup'!G:H,2,FALSE)*G770)</f>
        <v/>
      </c>
      <c r="W770" s="508">
        <f t="shared" si="512"/>
        <v>0</v>
      </c>
      <c r="X770" s="508">
        <f t="shared" si="513"/>
        <v>0</v>
      </c>
      <c r="Y770" s="509" t="b">
        <f t="shared" si="514"/>
        <v>0</v>
      </c>
      <c r="Z770" s="510">
        <f t="shared" si="515"/>
        <v>0</v>
      </c>
      <c r="AA770" s="511"/>
      <c r="AB770" s="511" t="str">
        <f t="shared" si="516"/>
        <v/>
      </c>
      <c r="AC770" s="698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698"/>
      <c r="AE770" s="631" t="str">
        <f t="shared" si="517"/>
        <v/>
      </c>
      <c r="AF770" s="699" t="str">
        <f t="shared" si="518"/>
        <v/>
      </c>
      <c r="AG770" s="699"/>
      <c r="AH770" s="699"/>
      <c r="AI770" s="512">
        <f>IF(H770="credit",0,IF(AE770="free",0,IF(AE770="me",0,IF(G770&gt;0,(VLOOKUP(A770,'Discount Lookup'!J:K,2)*G770),0))))</f>
        <v>0</v>
      </c>
      <c r="AJ770" s="513" t="str">
        <f t="shared" ca="1" si="519"/>
        <v/>
      </c>
      <c r="AK770" s="700" t="str">
        <f t="shared" si="520"/>
        <v/>
      </c>
      <c r="AL770" s="700"/>
      <c r="AM770" s="505" t="str">
        <f t="shared" si="521"/>
        <v/>
      </c>
      <c r="AN770" s="506"/>
      <c r="AO770" s="507"/>
      <c r="AP770" s="507"/>
      <c r="AQ770" s="507"/>
      <c r="AR770" s="507"/>
      <c r="AS770" s="507"/>
      <c r="AT770" s="507"/>
      <c r="AU770" s="507"/>
      <c r="AV770" s="225"/>
      <c r="AW770" s="508"/>
      <c r="AX770" s="225"/>
      <c r="AY770" s="225"/>
      <c r="AZ770" s="225"/>
      <c r="BA770" s="225"/>
      <c r="BB770" s="225"/>
      <c r="BC770" s="56"/>
      <c r="BD770" s="56"/>
      <c r="BE770" s="56"/>
      <c r="BF770" s="107" t="str">
        <f t="shared" si="522"/>
        <v>https://www.google.com/search?tbm=isch&amp;q=Chinzan%20is%20a%20compact%20Satsuki%20cultivar%20%20with%20a%20tidy%20mounding%20habit.%20Reblooms%20lightly%20in%20late%20summer%20</v>
      </c>
      <c r="BG770" s="107" t="str">
        <f t="shared" si="523"/>
        <v>C</v>
      </c>
      <c r="BH770" s="254"/>
      <c r="BI770" s="254"/>
    </row>
    <row r="771" spans="1:61" customFormat="1" ht="18" x14ac:dyDescent="0.25">
      <c r="A771" s="521" t="s">
        <v>588</v>
      </c>
      <c r="B771" s="477"/>
      <c r="C771" s="674"/>
      <c r="D771" s="478" t="s">
        <v>587</v>
      </c>
      <c r="E771" s="479"/>
      <c r="F771" s="479"/>
      <c r="G771" s="479"/>
      <c r="H771" s="582" t="s">
        <v>589</v>
      </c>
      <c r="I771" s="480" t="s">
        <v>657</v>
      </c>
      <c r="J771" s="479"/>
      <c r="K771" s="479"/>
      <c r="L771" s="560"/>
      <c r="M771" s="671" t="s">
        <v>4985</v>
      </c>
      <c r="N771" s="680" t="str">
        <f>IF(AND(ISTEXT($A771), ISERROR($A771+0)), HYPERLINK($BF771, "Images"), "")</f>
        <v>Images</v>
      </c>
      <c r="O771" s="662" t="s">
        <v>4967</v>
      </c>
      <c r="P771" s="482"/>
      <c r="Q771" s="483"/>
      <c r="R771" s="483"/>
      <c r="S771" s="484"/>
      <c r="T771" s="508">
        <f t="shared" si="511"/>
        <v>0</v>
      </c>
      <c r="U771" s="225" t="str">
        <f>IF(NOT(ISNUMBER(G771)), "", VLOOKUP(A771,'Discount Lookup'!D:E,2,FALSE)*G771)</f>
        <v/>
      </c>
      <c r="V771" s="225" t="str">
        <f>IF(NOT(ISNUMBER(G771)), "", VLOOKUP(A771,'Discount Lookup'!G:H,2,FALSE)*G771)</f>
        <v/>
      </c>
      <c r="W771" s="508">
        <f t="shared" si="512"/>
        <v>0</v>
      </c>
      <c r="X771" s="508" t="str">
        <f t="shared" si="513"/>
        <v>Purple bloom</v>
      </c>
      <c r="Y771" s="509" t="b">
        <f t="shared" si="514"/>
        <v>0</v>
      </c>
      <c r="Z771" s="510">
        <f t="shared" si="515"/>
        <v>0</v>
      </c>
      <c r="AA771" s="511"/>
      <c r="AB771" s="511" t="str">
        <f t="shared" si="516"/>
        <v/>
      </c>
      <c r="AC771" s="698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698"/>
      <c r="AE771" s="631" t="str">
        <f t="shared" si="517"/>
        <v/>
      </c>
      <c r="AF771" s="699" t="str">
        <f t="shared" si="518"/>
        <v/>
      </c>
      <c r="AG771" s="699"/>
      <c r="AH771" s="699"/>
      <c r="AI771" s="512">
        <f>IF(H771="credit",0,IF(AE771="free",0,IF(AE771="me",0,IF(G771&gt;0,(VLOOKUP(A771,'Discount Lookup'!J:K,2)*G771),0))))</f>
        <v>0</v>
      </c>
      <c r="AJ771" s="513" t="str">
        <f t="shared" ca="1" si="519"/>
        <v/>
      </c>
      <c r="AK771" s="700" t="str">
        <f t="shared" si="520"/>
        <v/>
      </c>
      <c r="AL771" s="700"/>
      <c r="AM771" s="505" t="str">
        <f t="shared" si="521"/>
        <v/>
      </c>
      <c r="AN771" s="506"/>
      <c r="AO771" s="507"/>
      <c r="AP771" s="507"/>
      <c r="AQ771" s="507"/>
      <c r="AR771" s="507"/>
      <c r="AS771" s="507"/>
      <c r="AT771" s="507"/>
      <c r="AU771" s="507"/>
      <c r="AV771" s="225"/>
      <c r="AW771" s="508"/>
      <c r="AX771" s="225"/>
      <c r="AY771" s="225"/>
      <c r="AZ771" s="225"/>
      <c r="BA771" s="225"/>
      <c r="BB771" s="225"/>
      <c r="BC771" s="56"/>
      <c r="BD771" s="56"/>
      <c r="BE771" s="56"/>
      <c r="BF771" s="107" t="str">
        <f t="shared" si="522"/>
        <v>https://www.google.com/search?tbm=isch&amp;q=Chocolate%20Chip%20Bugleweed%20Ajuga%20reptans%20%27Valfredda%27</v>
      </c>
      <c r="BG771" s="107" t="str">
        <f t="shared" si="523"/>
        <v>C</v>
      </c>
      <c r="BH771" s="254"/>
      <c r="BI771" s="254"/>
    </row>
    <row r="772" spans="1:61" customFormat="1" ht="15.75" x14ac:dyDescent="0.25">
      <c r="A772" s="485">
        <v>1</v>
      </c>
      <c r="B772" s="486" t="s">
        <v>291</v>
      </c>
      <c r="C772" s="487" t="s">
        <v>2728</v>
      </c>
      <c r="D772" s="488" t="s">
        <v>299</v>
      </c>
      <c r="E772" s="489">
        <v>11.95</v>
      </c>
      <c r="F772" s="516" t="s">
        <v>293</v>
      </c>
      <c r="G772" s="232">
        <v>0</v>
      </c>
      <c r="H772" s="658" t="str">
        <f>IF(G772=0,"",IF(F772="Buy",IF(G772=1,"plant","plants"),IF(F772&gt;0.01,"warranty","Error")))</f>
        <v/>
      </c>
      <c r="I772" s="490">
        <f>IF(H772="free",0,IF(H772="credit",((E772*(F772))*G772*-1),IF(F772="Buy",(E772*G772),((E772*(1-F772))*G772))))</f>
        <v>0</v>
      </c>
      <c r="J772" s="490">
        <f>IF(H772="warranty",0,(I772*(_xlfn.SINGLE(SalesTaxPercentage))))</f>
        <v>0</v>
      </c>
      <c r="K772" s="695">
        <f t="shared" ref="K772" si="567">I772+J772</f>
        <v>0</v>
      </c>
      <c r="L772" s="695"/>
      <c r="M772" s="659" t="str">
        <f>IF(AND(G772&gt;0,E772=0),"WARNING - no PRICE inserted",IF(H772="free"," FREE ~ no charge this plant",IF(H772="credit",CONCATENATE(" -$",ROUND(K772*(1-T2GDiscount)*-1,2)," CREDIT after discount"),IF(T2GDiscount=0,"",IF(G772=0,"",IF(F772="Buy",CONCATENATE(" $",ROUND(K772*(1-T2GDiscount),2)," with ",(T2GDiscount*100),"% discount"),CONCATENATE(" $",ROUND(K772*(1-T2GDiscount),2)," with ",((T2GDiscount*100+F772*100)-(T2GDiscount*100*F772)),IF(F772&gt;0,"% discounts",IF(NoWarrantyDiscount&gt;0,"% discounts","% discount")))))))))</f>
        <v/>
      </c>
      <c r="N772" s="660"/>
      <c r="O772" s="233"/>
      <c r="P772" s="233"/>
      <c r="Q772" s="233"/>
      <c r="R772" s="233"/>
      <c r="S772" s="233"/>
      <c r="T772" s="508">
        <f t="shared" si="511"/>
        <v>0</v>
      </c>
      <c r="U772" s="225">
        <f>IF(NOT(ISNUMBER(G772)), "", VLOOKUP(A772,'Discount Lookup'!D:E,2,FALSE)*G772)</f>
        <v>0</v>
      </c>
      <c r="V772" s="225">
        <f>IF(NOT(ISNUMBER(G772)), "", VLOOKUP(A772,'Discount Lookup'!G:H,2,FALSE)*G772)</f>
        <v>0</v>
      </c>
      <c r="W772" s="508">
        <f t="shared" si="512"/>
        <v>0</v>
      </c>
      <c r="X772" s="508">
        <f t="shared" si="513"/>
        <v>0</v>
      </c>
      <c r="Y772" s="509" t="b">
        <f t="shared" si="514"/>
        <v>0</v>
      </c>
      <c r="Z772" s="510">
        <f t="shared" si="515"/>
        <v>0</v>
      </c>
      <c r="AA772" s="511"/>
      <c r="AB772" s="511" t="str">
        <f t="shared" si="516"/>
        <v/>
      </c>
      <c r="AC772" s="698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698"/>
      <c r="AE772" s="631" t="str">
        <f t="shared" si="517"/>
        <v/>
      </c>
      <c r="AF772" s="699" t="str">
        <f t="shared" si="518"/>
        <v/>
      </c>
      <c r="AG772" s="699"/>
      <c r="AH772" s="699"/>
      <c r="AI772" s="512">
        <f>IF(H772="credit",0,IF(AE772="free",0,IF(AE772="me",0,IF(G772&gt;0,(VLOOKUP(A772,'Discount Lookup'!J:K,2)*G772),0))))</f>
        <v>0</v>
      </c>
      <c r="AJ772" s="513" t="str">
        <f t="shared" ca="1" si="519"/>
        <v/>
      </c>
      <c r="AK772" s="700" t="str">
        <f t="shared" si="520"/>
        <v/>
      </c>
      <c r="AL772" s="700"/>
      <c r="AM772" s="505" t="str">
        <f t="shared" si="521"/>
        <v/>
      </c>
      <c r="AN772" s="506"/>
      <c r="AO772" s="507"/>
      <c r="AP772" s="507"/>
      <c r="AQ772" s="507"/>
      <c r="AR772" s="507"/>
      <c r="AS772" s="507"/>
      <c r="AT772" s="507"/>
      <c r="AU772" s="507"/>
      <c r="AV772" s="225"/>
      <c r="AW772" s="508"/>
      <c r="AX772" s="225"/>
      <c r="AY772" s="225"/>
      <c r="AZ772" s="225"/>
      <c r="BA772" s="225"/>
      <c r="BB772" s="225"/>
      <c r="BC772" s="56"/>
      <c r="BD772" s="56"/>
      <c r="BE772" s="56"/>
      <c r="BF772" s="107" t="str">
        <f t="shared" si="522"/>
        <v>https://www.google.com/search?tbm=isch&amp;q=1%20G5</v>
      </c>
      <c r="BG772" s="107" t="str">
        <f t="shared" si="523"/>
        <v>C</v>
      </c>
      <c r="BH772" s="254"/>
      <c r="BI772" s="254"/>
    </row>
    <row r="773" spans="1:61" customFormat="1" ht="15.75" x14ac:dyDescent="0.25">
      <c r="A773" s="485">
        <v>1</v>
      </c>
      <c r="B773" s="486" t="s">
        <v>291</v>
      </c>
      <c r="C773" s="487"/>
      <c r="D773" s="488" t="s">
        <v>312</v>
      </c>
      <c r="E773" s="489">
        <v>12.95</v>
      </c>
      <c r="F773" s="516" t="s">
        <v>293</v>
      </c>
      <c r="G773" s="232">
        <v>0</v>
      </c>
      <c r="H773" s="658" t="str">
        <f>IF(G773=0,"",IF(F773="Buy",IF(G773=1,"plant","plants"),IF(F773&gt;0.01,"warranty","Error")))</f>
        <v/>
      </c>
      <c r="I773" s="490">
        <f>IF(H773="free",0,IF(H773="credit",((E773*(F773))*G773*-1),IF(F773="Buy",(E773*G773),((E773*(1-F773))*G773))))</f>
        <v>0</v>
      </c>
      <c r="J773" s="490">
        <f>IF(H773="warranty",0,(I773*(_xlfn.SINGLE(SalesTaxPercentage))))</f>
        <v>0</v>
      </c>
      <c r="K773" s="695">
        <f t="shared" ref="K773" si="568">I773+J773</f>
        <v>0</v>
      </c>
      <c r="L773" s="695"/>
      <c r="M773" s="659" t="str">
        <f>IF(AND(G773&gt;0,E773=0),"WARNING - no PRICE inserted",IF(H773="free"," FREE ~ no charge this plant",IF(H773="credit",CONCATENATE(" -$",ROUND(K773*(1-T2GDiscount)*-1,2)," CREDIT after discount"),IF(T2GDiscount=0,"",IF(G773=0,"",IF(F773="Buy",CONCATENATE(" $",ROUND(K773*(1-T2GDiscount),2)," with ",(T2GDiscount*100),"% discount"),CONCATENATE(" $",ROUND(K773*(1-T2GDiscount),2)," with ",((T2GDiscount*100+F773*100)-(T2GDiscount*100*F773)),IF(F773&gt;0,"% discounts",IF(NoWarrantyDiscount&gt;0,"% discounts","% discount")))))))))</f>
        <v/>
      </c>
      <c r="N773" s="660"/>
      <c r="O773" s="233"/>
      <c r="P773" s="233"/>
      <c r="Q773" s="233"/>
      <c r="R773" s="233"/>
      <c r="S773" s="233"/>
      <c r="T773" s="508">
        <f t="shared" si="511"/>
        <v>0</v>
      </c>
      <c r="U773" s="225">
        <f>IF(NOT(ISNUMBER(G773)), "", VLOOKUP(A773,'Discount Lookup'!D:E,2,FALSE)*G773)</f>
        <v>0</v>
      </c>
      <c r="V773" s="225">
        <f>IF(NOT(ISNUMBER(G773)), "", VLOOKUP(A773,'Discount Lookup'!G:H,2,FALSE)*G773)</f>
        <v>0</v>
      </c>
      <c r="W773" s="508">
        <f t="shared" si="512"/>
        <v>0</v>
      </c>
      <c r="X773" s="508">
        <f t="shared" si="513"/>
        <v>0</v>
      </c>
      <c r="Y773" s="509" t="b">
        <f t="shared" si="514"/>
        <v>0</v>
      </c>
      <c r="Z773" s="510">
        <f t="shared" si="515"/>
        <v>0</v>
      </c>
      <c r="AA773" s="511"/>
      <c r="AB773" s="511" t="str">
        <f t="shared" si="516"/>
        <v/>
      </c>
      <c r="AC773" s="698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698"/>
      <c r="AE773" s="631" t="str">
        <f t="shared" si="517"/>
        <v/>
      </c>
      <c r="AF773" s="699" t="str">
        <f t="shared" si="518"/>
        <v/>
      </c>
      <c r="AG773" s="699"/>
      <c r="AH773" s="699"/>
      <c r="AI773" s="512">
        <f>IF(H773="credit",0,IF(AE773="free",0,IF(AE773="me",0,IF(G773&gt;0,(VLOOKUP(A773,'Discount Lookup'!J:K,2)*G773),0))))</f>
        <v>0</v>
      </c>
      <c r="AJ773" s="513" t="str">
        <f t="shared" ca="1" si="519"/>
        <v/>
      </c>
      <c r="AK773" s="700" t="str">
        <f t="shared" si="520"/>
        <v/>
      </c>
      <c r="AL773" s="700"/>
      <c r="AM773" s="505" t="str">
        <f t="shared" si="521"/>
        <v/>
      </c>
      <c r="AN773" s="506"/>
      <c r="AO773" s="507"/>
      <c r="AP773" s="507"/>
      <c r="AQ773" s="507"/>
      <c r="AR773" s="507"/>
      <c r="AS773" s="507"/>
      <c r="AT773" s="507"/>
      <c r="AU773" s="507"/>
      <c r="AV773" s="225"/>
      <c r="AW773" s="508"/>
      <c r="AX773" s="225"/>
      <c r="AY773" s="225"/>
      <c r="AZ773" s="225"/>
      <c r="BA773" s="225"/>
      <c r="BB773" s="225"/>
      <c r="BC773" s="56"/>
      <c r="BD773" s="56"/>
      <c r="BE773" s="56"/>
      <c r="BF773" s="107" t="str">
        <f t="shared" si="522"/>
        <v>https://www.google.com/search?tbm=isch&amp;q=1%20G2</v>
      </c>
      <c r="BG773" s="107" t="str">
        <f t="shared" si="523"/>
        <v>C</v>
      </c>
      <c r="BH773" s="254"/>
      <c r="BI773" s="254"/>
    </row>
    <row r="774" spans="1:61" customFormat="1" ht="16.5" thickBot="1" x14ac:dyDescent="0.3">
      <c r="A774" s="672" t="s">
        <v>5081</v>
      </c>
      <c r="B774" s="491"/>
      <c r="C774" s="675"/>
      <c r="D774" s="491"/>
      <c r="E774" s="491"/>
      <c r="F774" s="492"/>
      <c r="G774" s="493"/>
      <c r="H774" s="491"/>
      <c r="I774" s="234"/>
      <c r="J774" s="234"/>
      <c r="K774" s="494"/>
      <c r="L774" s="543"/>
      <c r="M774" s="561"/>
      <c r="N774" s="495"/>
      <c r="O774" s="496"/>
      <c r="P774" s="497"/>
      <c r="Q774" s="495"/>
      <c r="R774" s="495"/>
      <c r="S774" s="667" t="s">
        <v>4968</v>
      </c>
      <c r="T774" s="508">
        <f t="shared" si="511"/>
        <v>0</v>
      </c>
      <c r="U774" s="225" t="str">
        <f>IF(NOT(ISNUMBER(G774)), "", VLOOKUP(A774,'Discount Lookup'!D:E,2,FALSE)*G774)</f>
        <v/>
      </c>
      <c r="V774" s="225" t="str">
        <f>IF(NOT(ISNUMBER(G774)), "", VLOOKUP(A774,'Discount Lookup'!G:H,2,FALSE)*G774)</f>
        <v/>
      </c>
      <c r="W774" s="508">
        <f t="shared" si="512"/>
        <v>0</v>
      </c>
      <c r="X774" s="508">
        <f t="shared" si="513"/>
        <v>0</v>
      </c>
      <c r="Y774" s="509" t="b">
        <f t="shared" si="514"/>
        <v>0</v>
      </c>
      <c r="Z774" s="510">
        <f t="shared" si="515"/>
        <v>0</v>
      </c>
      <c r="AA774" s="511"/>
      <c r="AB774" s="511" t="str">
        <f t="shared" si="516"/>
        <v/>
      </c>
      <c r="AC774" s="698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698"/>
      <c r="AE774" s="631" t="str">
        <f t="shared" si="517"/>
        <v/>
      </c>
      <c r="AF774" s="699" t="str">
        <f t="shared" si="518"/>
        <v/>
      </c>
      <c r="AG774" s="699"/>
      <c r="AH774" s="699"/>
      <c r="AI774" s="512">
        <f>IF(H774="credit",0,IF(AE774="free",0,IF(AE774="me",0,IF(G774&gt;0,(VLOOKUP(A774,'Discount Lookup'!J:K,2)*G774),0))))</f>
        <v>0</v>
      </c>
      <c r="AJ774" s="513" t="str">
        <f t="shared" ca="1" si="519"/>
        <v/>
      </c>
      <c r="AK774" s="700" t="str">
        <f t="shared" si="520"/>
        <v/>
      </c>
      <c r="AL774" s="700"/>
      <c r="AM774" s="505" t="str">
        <f t="shared" si="521"/>
        <v/>
      </c>
      <c r="AN774" s="506"/>
      <c r="AO774" s="507"/>
      <c r="AP774" s="507"/>
      <c r="AQ774" s="507"/>
      <c r="AR774" s="507"/>
      <c r="AS774" s="507"/>
      <c r="AT774" s="507"/>
      <c r="AU774" s="507"/>
      <c r="AV774" s="225"/>
      <c r="AW774" s="508"/>
      <c r="AX774" s="225"/>
      <c r="AY774" s="225"/>
      <c r="AZ774" s="225"/>
      <c r="BA774" s="225"/>
      <c r="BB774" s="225"/>
      <c r="BC774" s="56"/>
      <c r="BD774" s="56"/>
      <c r="BE774" s="56"/>
      <c r="BF774" s="107" t="str">
        <f t="shared" si="522"/>
        <v>https://www.google.com/search?tbm=isch&amp;q=moist%20sites%F0%9F%92%A7BEST%2C%20Chocolate%20Chip%20named%20for%20Chocolate-Brown%20hue%20in%20winter%2C%20after%20more%20of%20a%20Chocolate-Purple-Green%20summer%20color%20</v>
      </c>
      <c r="BG774" s="107" t="str">
        <f t="shared" si="523"/>
        <v>m</v>
      </c>
      <c r="BH774" s="254"/>
      <c r="BI774" s="254"/>
    </row>
    <row r="775" spans="1:61" customFormat="1" ht="18" x14ac:dyDescent="0.25">
      <c r="A775" s="523" t="s">
        <v>5374</v>
      </c>
      <c r="B775" s="235"/>
      <c r="C775" s="676"/>
      <c r="D775" s="255" t="s">
        <v>650</v>
      </c>
      <c r="E775" s="236"/>
      <c r="F775" s="236"/>
      <c r="G775" s="236"/>
      <c r="H775" s="582" t="s">
        <v>311</v>
      </c>
      <c r="I775" s="498" t="s">
        <v>656</v>
      </c>
      <c r="J775" s="237"/>
      <c r="K775" s="237"/>
      <c r="L775" s="274"/>
      <c r="M775" s="668" t="s">
        <v>4962</v>
      </c>
      <c r="N775" s="681" t="str">
        <f>IF(AND(ISTEXT($A775), ISERROR($A775+0)), HYPERLINK($BF775, "Images"), "")</f>
        <v>Images</v>
      </c>
      <c r="O775" s="663" t="s">
        <v>4969</v>
      </c>
      <c r="P775" s="253"/>
      <c r="Q775" s="238"/>
      <c r="R775" s="239"/>
      <c r="S775" s="275"/>
      <c r="T775" s="508">
        <f t="shared" si="511"/>
        <v>0</v>
      </c>
      <c r="U775" s="225" t="str">
        <f>IF(NOT(ISNUMBER(G775)), "", VLOOKUP(A775,'Discount Lookup'!D:E,2,FALSE)*G775)</f>
        <v/>
      </c>
      <c r="V775" s="225" t="str">
        <f>IF(NOT(ISNUMBER(G775)), "", VLOOKUP(A775,'Discount Lookup'!G:H,2,FALSE)*G775)</f>
        <v/>
      </c>
      <c r="W775" s="508">
        <f t="shared" si="512"/>
        <v>0</v>
      </c>
      <c r="X775" s="508" t="str">
        <f t="shared" si="513"/>
        <v>Pink bloom</v>
      </c>
      <c r="Y775" s="509" t="b">
        <f t="shared" si="514"/>
        <v>0</v>
      </c>
      <c r="Z775" s="510">
        <f t="shared" si="515"/>
        <v>0</v>
      </c>
      <c r="AA775" s="511"/>
      <c r="AB775" s="511" t="str">
        <f t="shared" si="516"/>
        <v/>
      </c>
      <c r="AC775" s="698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698"/>
      <c r="AE775" s="631" t="str">
        <f t="shared" si="517"/>
        <v/>
      </c>
      <c r="AF775" s="699" t="str">
        <f t="shared" si="518"/>
        <v/>
      </c>
      <c r="AG775" s="699"/>
      <c r="AH775" s="699"/>
      <c r="AI775" s="512">
        <f>IF(H775="credit",0,IF(AE775="free",0,IF(AE775="me",0,IF(G775&gt;0,(VLOOKUP(A775,'Discount Lookup'!J:K,2)*G775),0))))</f>
        <v>0</v>
      </c>
      <c r="AJ775" s="513" t="str">
        <f t="shared" ca="1" si="519"/>
        <v/>
      </c>
      <c r="AK775" s="700" t="str">
        <f t="shared" si="520"/>
        <v/>
      </c>
      <c r="AL775" s="700"/>
      <c r="AM775" s="505" t="str">
        <f t="shared" si="521"/>
        <v/>
      </c>
      <c r="AN775" s="506"/>
      <c r="AO775" s="507"/>
      <c r="AP775" s="507"/>
      <c r="AQ775" s="507"/>
      <c r="AR775" s="507"/>
      <c r="AS775" s="507"/>
      <c r="AT775" s="507"/>
      <c r="AU775" s="507"/>
      <c r="AV775" s="225"/>
      <c r="AW775" s="508"/>
      <c r="AX775" s="225"/>
      <c r="AY775" s="225"/>
      <c r="AZ775" s="225"/>
      <c r="BA775" s="225"/>
      <c r="BB775" s="225"/>
      <c r="BC775" s="56"/>
      <c r="BD775" s="56"/>
      <c r="BE775" s="56"/>
      <c r="BF775" s="107" t="str">
        <f t="shared" si="522"/>
        <v>https://www.google.com/search?tbm=isch&amp;q=Chocolate%20Fountain%E2%84%A2%20Mimosa%20Albizia%20julibrissin%20%27NCAJ1%27%20PP%2325813</v>
      </c>
      <c r="BG775" s="107" t="str">
        <f t="shared" si="523"/>
        <v>C</v>
      </c>
      <c r="BH775" s="254"/>
      <c r="BI775" s="254"/>
    </row>
    <row r="776" spans="1:61" customFormat="1" ht="15.75" x14ac:dyDescent="0.25">
      <c r="A776" s="276">
        <v>7</v>
      </c>
      <c r="B776" s="240" t="s">
        <v>291</v>
      </c>
      <c r="C776" s="241" t="s">
        <v>3383</v>
      </c>
      <c r="D776" s="242" t="s">
        <v>292</v>
      </c>
      <c r="E776" s="243">
        <v>109.95</v>
      </c>
      <c r="F776" s="517" t="s">
        <v>293</v>
      </c>
      <c r="G776" s="232">
        <v>0</v>
      </c>
      <c r="H776" s="661" t="str">
        <f>IF(G776=0,"",IF(F776="Buy",IF(G776=1,"plant","plants"),IF(F776&gt;0.01,"warranty","Error")))</f>
        <v/>
      </c>
      <c r="I776" s="244">
        <f>IF(H776="free",0,IF(H776="credit",((E776*(F776))*G776*-1),IF(F776="Buy",(E776*G776),((E776*(1-F776))*G776))))</f>
        <v>0</v>
      </c>
      <c r="J776" s="244">
        <f>IF(H776="warranty",0,(I776*(_xlfn.SINGLE(SalesTaxPercentage))))</f>
        <v>0</v>
      </c>
      <c r="K776" s="696">
        <f t="shared" ref="K776" si="569">I776+J776</f>
        <v>0</v>
      </c>
      <c r="L776" s="696"/>
      <c r="M776" s="659" t="str">
        <f>IF(AND(G776&gt;0,E776=0),"WARNING - no PRICE inserted",IF(H776="free"," FREE ~ no charge this plant",IF(H776="credit",CONCATENATE(" -$",ROUND(K776*(1-T2GDiscount)*-1,2)," CREDIT after discount"),IF(T2GDiscount=0,"",IF(G776=0,"",IF(F776="Buy",CONCATENATE(" $",ROUND(K776*(1-T2GDiscount),2)," with ",(T2GDiscount*100),"% discount"),CONCATENATE(" $",ROUND(K776*(1-T2GDiscount),2)," with ",((T2GDiscount*100+F776*100)-(T2GDiscount*100*F776)),IF(F776&gt;0,"% discounts",IF(NoWarrantyDiscount&gt;0,"% discounts","% discount")))))))))</f>
        <v/>
      </c>
      <c r="N776" s="660"/>
      <c r="O776" s="233"/>
      <c r="P776" s="233"/>
      <c r="Q776" s="233"/>
      <c r="R776" s="233"/>
      <c r="S776" s="233"/>
      <c r="T776" s="508">
        <f t="shared" si="511"/>
        <v>0</v>
      </c>
      <c r="U776" s="225">
        <f>IF(NOT(ISNUMBER(G776)), "", VLOOKUP(A776,'Discount Lookup'!D:E,2,FALSE)*G776)</f>
        <v>0</v>
      </c>
      <c r="V776" s="225">
        <f>IF(NOT(ISNUMBER(G776)), "", VLOOKUP(A776,'Discount Lookup'!G:H,2,FALSE)*G776)</f>
        <v>0</v>
      </c>
      <c r="W776" s="508">
        <f t="shared" si="512"/>
        <v>0</v>
      </c>
      <c r="X776" s="508">
        <f t="shared" si="513"/>
        <v>0</v>
      </c>
      <c r="Y776" s="509" t="b">
        <f t="shared" si="514"/>
        <v>0</v>
      </c>
      <c r="Z776" s="510">
        <f t="shared" si="515"/>
        <v>0</v>
      </c>
      <c r="AA776" s="511"/>
      <c r="AB776" s="511" t="str">
        <f t="shared" si="516"/>
        <v/>
      </c>
      <c r="AC776" s="698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698"/>
      <c r="AE776" s="631" t="str">
        <f t="shared" si="517"/>
        <v/>
      </c>
      <c r="AF776" s="699" t="str">
        <f t="shared" si="518"/>
        <v/>
      </c>
      <c r="AG776" s="699"/>
      <c r="AH776" s="699"/>
      <c r="AI776" s="512">
        <f>IF(H776="credit",0,IF(AE776="free",0,IF(AE776="me",0,IF(G776&gt;0,(VLOOKUP(A776,'Discount Lookup'!J:K,2)*G776),0))))</f>
        <v>0</v>
      </c>
      <c r="AJ776" s="513" t="str">
        <f t="shared" ca="1" si="519"/>
        <v/>
      </c>
      <c r="AK776" s="700" t="str">
        <f t="shared" si="520"/>
        <v/>
      </c>
      <c r="AL776" s="700"/>
      <c r="AM776" s="505" t="str">
        <f t="shared" si="521"/>
        <v/>
      </c>
      <c r="AN776" s="506"/>
      <c r="AO776" s="507"/>
      <c r="AP776" s="507"/>
      <c r="AQ776" s="507"/>
      <c r="AR776" s="507"/>
      <c r="AS776" s="507"/>
      <c r="AT776" s="507"/>
      <c r="AU776" s="507"/>
      <c r="AV776" s="225"/>
      <c r="AW776" s="508"/>
      <c r="AX776" s="225"/>
      <c r="AY776" s="225"/>
      <c r="AZ776" s="225"/>
      <c r="BA776" s="225"/>
      <c r="BB776" s="225"/>
      <c r="BC776" s="56"/>
      <c r="BD776" s="56"/>
      <c r="BE776" s="56"/>
      <c r="BF776" s="107" t="str">
        <f t="shared" si="522"/>
        <v>https://www.google.com/search?tbm=isch&amp;q=7%20G4</v>
      </c>
      <c r="BG776" s="107" t="str">
        <f t="shared" si="523"/>
        <v>C</v>
      </c>
      <c r="BH776" s="254"/>
      <c r="BI776" s="254"/>
    </row>
    <row r="777" spans="1:61" customFormat="1" ht="17.25" thickBot="1" x14ac:dyDescent="0.3">
      <c r="A777" s="524" t="s">
        <v>2361</v>
      </c>
      <c r="B777" s="245"/>
      <c r="C777" s="677"/>
      <c r="D777" s="499"/>
      <c r="E777" s="499"/>
      <c r="F777" s="500"/>
      <c r="G777" s="501"/>
      <c r="H777" s="502"/>
      <c r="I777" s="246"/>
      <c r="J777" s="247"/>
      <c r="K777" s="503"/>
      <c r="L777" s="544"/>
      <c r="M777" s="544"/>
      <c r="N777" s="500"/>
      <c r="O777" s="500"/>
      <c r="P777" s="500"/>
      <c r="Q777" s="500"/>
      <c r="R777" s="500"/>
      <c r="S777" s="669" t="s">
        <v>4996</v>
      </c>
      <c r="T777" s="508">
        <f t="shared" si="511"/>
        <v>0</v>
      </c>
      <c r="U777" s="225" t="str">
        <f>IF(NOT(ISNUMBER(G777)), "", VLOOKUP(A777,'Discount Lookup'!D:E,2,FALSE)*G777)</f>
        <v/>
      </c>
      <c r="V777" s="225" t="str">
        <f>IF(NOT(ISNUMBER(G777)), "", VLOOKUP(A777,'Discount Lookup'!G:H,2,FALSE)*G777)</f>
        <v/>
      </c>
      <c r="W777" s="508">
        <f t="shared" si="512"/>
        <v>0</v>
      </c>
      <c r="X777" s="508">
        <f t="shared" si="513"/>
        <v>0</v>
      </c>
      <c r="Y777" s="509" t="b">
        <f t="shared" si="514"/>
        <v>0</v>
      </c>
      <c r="Z777" s="510">
        <f t="shared" si="515"/>
        <v>0</v>
      </c>
      <c r="AA777" s="511"/>
      <c r="AB777" s="511" t="str">
        <f t="shared" si="516"/>
        <v/>
      </c>
      <c r="AC777" s="698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698"/>
      <c r="AE777" s="631" t="str">
        <f t="shared" si="517"/>
        <v/>
      </c>
      <c r="AF777" s="699" t="str">
        <f t="shared" si="518"/>
        <v/>
      </c>
      <c r="AG777" s="699"/>
      <c r="AH777" s="699"/>
      <c r="AI777" s="512">
        <f>IF(H777="credit",0,IF(AE777="free",0,IF(AE777="me",0,IF(G777&gt;0,(VLOOKUP(A777,'Discount Lookup'!J:K,2)*G777),0))))</f>
        <v>0</v>
      </c>
      <c r="AJ777" s="513" t="str">
        <f t="shared" ca="1" si="519"/>
        <v/>
      </c>
      <c r="AK777" s="700" t="str">
        <f t="shared" si="520"/>
        <v/>
      </c>
      <c r="AL777" s="700"/>
      <c r="AM777" s="505" t="str">
        <f t="shared" si="521"/>
        <v/>
      </c>
      <c r="AN777" s="506"/>
      <c r="AO777" s="507"/>
      <c r="AP777" s="507"/>
      <c r="AQ777" s="507"/>
      <c r="AR777" s="507"/>
      <c r="AS777" s="507"/>
      <c r="AT777" s="507"/>
      <c r="AU777" s="507"/>
      <c r="AV777" s="225"/>
      <c r="AW777" s="508"/>
      <c r="AX777" s="225"/>
      <c r="AY777" s="225"/>
      <c r="AZ777" s="225"/>
      <c r="BA777" s="225"/>
      <c r="BB777" s="225"/>
      <c r="BC777" s="56"/>
      <c r="BD777" s="56"/>
      <c r="BE777" s="56"/>
      <c r="BF777" s="107" t="str">
        <f t="shared" si="522"/>
        <v>https://www.google.com/search?tbm=isch&amp;q=Chocoate%20Fountain%20foliage%20emerges%20btonze-greem%2C%20then%20mature%20to%20purple.%20Fragrant%20blooms.%20Can%20be%20invasive%20</v>
      </c>
      <c r="BG777" s="107" t="str">
        <f t="shared" si="523"/>
        <v>C</v>
      </c>
      <c r="BH777" s="254"/>
      <c r="BI777" s="254"/>
    </row>
    <row r="778" spans="1:61" customFormat="1" ht="18" x14ac:dyDescent="0.25">
      <c r="A778" s="521" t="s">
        <v>461</v>
      </c>
      <c r="B778" s="477"/>
      <c r="C778" s="674"/>
      <c r="D778" s="478" t="s">
        <v>460</v>
      </c>
      <c r="E778" s="479"/>
      <c r="F778" s="479"/>
      <c r="G778" s="479"/>
      <c r="H778" s="582" t="s">
        <v>463</v>
      </c>
      <c r="I778" s="480" t="s">
        <v>2557</v>
      </c>
      <c r="J778" s="479"/>
      <c r="K778" s="479"/>
      <c r="L778" s="560"/>
      <c r="M778" s="671" t="s">
        <v>4990</v>
      </c>
      <c r="N778" s="680" t="str">
        <f>IF(AND(ISTEXT($A778), ISERROR($A778+0)), HYPERLINK($BF778, "Images"), "")</f>
        <v>Images</v>
      </c>
      <c r="O778" s="662" t="s">
        <v>4967</v>
      </c>
      <c r="P778" s="482"/>
      <c r="Q778" s="483"/>
      <c r="R778" s="483"/>
      <c r="S778" s="484"/>
      <c r="T778" s="508">
        <f t="shared" si="511"/>
        <v>0</v>
      </c>
      <c r="U778" s="225" t="str">
        <f>IF(NOT(ISNUMBER(G778)), "", VLOOKUP(A778,'Discount Lookup'!D:E,2,FALSE)*G778)</f>
        <v/>
      </c>
      <c r="V778" s="225" t="str">
        <f>IF(NOT(ISNUMBER(G778)), "", VLOOKUP(A778,'Discount Lookup'!G:H,2,FALSE)*G778)</f>
        <v/>
      </c>
      <c r="W778" s="508">
        <f t="shared" si="512"/>
        <v>0</v>
      </c>
      <c r="X778" s="508" t="str">
        <f t="shared" si="513"/>
        <v>Pink bloom, Yellow stamen</v>
      </c>
      <c r="Y778" s="509" t="b">
        <f t="shared" si="514"/>
        <v>0</v>
      </c>
      <c r="Z778" s="510">
        <f t="shared" si="515"/>
        <v>0</v>
      </c>
      <c r="AA778" s="511"/>
      <c r="AB778" s="511" t="str">
        <f t="shared" si="516"/>
        <v/>
      </c>
      <c r="AC778" s="698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698"/>
      <c r="AE778" s="631" t="str">
        <f t="shared" si="517"/>
        <v/>
      </c>
      <c r="AF778" s="699" t="str">
        <f t="shared" si="518"/>
        <v/>
      </c>
      <c r="AG778" s="699"/>
      <c r="AH778" s="699"/>
      <c r="AI778" s="512">
        <f>IF(H778="credit",0,IF(AE778="free",0,IF(AE778="me",0,IF(G778&gt;0,(VLOOKUP(A778,'Discount Lookup'!J:K,2)*G778),0))))</f>
        <v>0</v>
      </c>
      <c r="AJ778" s="513" t="str">
        <f t="shared" ca="1" si="519"/>
        <v/>
      </c>
      <c r="AK778" s="700" t="str">
        <f t="shared" si="520"/>
        <v/>
      </c>
      <c r="AL778" s="700"/>
      <c r="AM778" s="505" t="str">
        <f t="shared" si="521"/>
        <v/>
      </c>
      <c r="AN778" s="506"/>
      <c r="AO778" s="507"/>
      <c r="AP778" s="507"/>
      <c r="AQ778" s="507"/>
      <c r="AR778" s="507"/>
      <c r="AS778" s="507"/>
      <c r="AT778" s="507"/>
      <c r="AU778" s="507"/>
      <c r="AV778" s="225"/>
      <c r="AW778" s="508"/>
      <c r="AX778" s="225"/>
      <c r="AY778" s="225"/>
      <c r="AZ778" s="225"/>
      <c r="BA778" s="225"/>
      <c r="BB778" s="225"/>
      <c r="BC778" s="56"/>
      <c r="BD778" s="56"/>
      <c r="BE778" s="56"/>
      <c r="BF778" s="107" t="str">
        <f t="shared" si="522"/>
        <v>https://www.google.com/search?tbm=isch&amp;q=Christmas%20Candy%20Camellia%20Camellia%20x%20vernalis%20%27Christmas%20Candy%27</v>
      </c>
      <c r="BG778" s="107" t="str">
        <f t="shared" si="523"/>
        <v>C</v>
      </c>
      <c r="BH778" s="254"/>
      <c r="BI778" s="254"/>
    </row>
    <row r="779" spans="1:61" customFormat="1" ht="15.75" x14ac:dyDescent="0.25">
      <c r="A779" s="485">
        <v>7</v>
      </c>
      <c r="B779" s="486" t="s">
        <v>291</v>
      </c>
      <c r="C779" s="487" t="s">
        <v>4391</v>
      </c>
      <c r="D779" s="488" t="s">
        <v>292</v>
      </c>
      <c r="E779" s="489">
        <v>104.95</v>
      </c>
      <c r="F779" s="516" t="s">
        <v>293</v>
      </c>
      <c r="G779" s="232">
        <v>0</v>
      </c>
      <c r="H779" s="658" t="str">
        <f>IF(G779=0,"",IF(F779="Buy",IF(G779=1,"plant","plants"),IF(F779&gt;0.01,"warranty","Error")))</f>
        <v/>
      </c>
      <c r="I779" s="490">
        <f>IF(H779="free",0,IF(H779="credit",((E779*(F779))*G779*-1),IF(F779="Buy",(E779*G779),((E779*(1-F779))*G779))))</f>
        <v>0</v>
      </c>
      <c r="J779" s="490">
        <f>IF(H779="warranty",0,(I779*(_xlfn.SINGLE(SalesTaxPercentage))))</f>
        <v>0</v>
      </c>
      <c r="K779" s="695">
        <f t="shared" ref="K779" si="570">I779+J779</f>
        <v>0</v>
      </c>
      <c r="L779" s="695"/>
      <c r="M779" s="659" t="str">
        <f>IF(AND(G779&gt;0,E779=0),"WARNING - no PRICE inserted",IF(H779="free"," FREE ~ no charge this plant",IF(H779="credit",CONCATENATE(" -$",ROUND(K779*(1-T2GDiscount)*-1,2)," CREDIT after discount"),IF(T2GDiscount=0,"",IF(G779=0,"",IF(F779="Buy",CONCATENATE(" $",ROUND(K779*(1-T2GDiscount),2)," with ",(T2GDiscount*100),"% discount"),CONCATENATE(" $",ROUND(K779*(1-T2GDiscount),2)," with ",((T2GDiscount*100+F779*100)-(T2GDiscount*100*F779)),IF(F779&gt;0,"% discounts",IF(NoWarrantyDiscount&gt;0,"% discounts","% discount")))))))))</f>
        <v/>
      </c>
      <c r="N779" s="660"/>
      <c r="O779" s="233"/>
      <c r="P779" s="233"/>
      <c r="Q779" s="233"/>
      <c r="R779" s="233"/>
      <c r="S779" s="233"/>
      <c r="T779" s="508">
        <f t="shared" si="511"/>
        <v>0</v>
      </c>
      <c r="U779" s="225">
        <f>IF(NOT(ISNUMBER(G779)), "", VLOOKUP(A779,'Discount Lookup'!D:E,2,FALSE)*G779)</f>
        <v>0</v>
      </c>
      <c r="V779" s="225">
        <f>IF(NOT(ISNUMBER(G779)), "", VLOOKUP(A779,'Discount Lookup'!G:H,2,FALSE)*G779)</f>
        <v>0</v>
      </c>
      <c r="W779" s="508">
        <f t="shared" si="512"/>
        <v>0</v>
      </c>
      <c r="X779" s="508">
        <f t="shared" si="513"/>
        <v>0</v>
      </c>
      <c r="Y779" s="509" t="b">
        <f t="shared" si="514"/>
        <v>0</v>
      </c>
      <c r="Z779" s="510">
        <f t="shared" si="515"/>
        <v>0</v>
      </c>
      <c r="AA779" s="511"/>
      <c r="AB779" s="511" t="str">
        <f t="shared" si="516"/>
        <v/>
      </c>
      <c r="AC779" s="698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698"/>
      <c r="AE779" s="631" t="str">
        <f t="shared" si="517"/>
        <v/>
      </c>
      <c r="AF779" s="699" t="str">
        <f t="shared" si="518"/>
        <v/>
      </c>
      <c r="AG779" s="699"/>
      <c r="AH779" s="699"/>
      <c r="AI779" s="512">
        <f>IF(H779="credit",0,IF(AE779="free",0,IF(AE779="me",0,IF(G779&gt;0,(VLOOKUP(A779,'Discount Lookup'!J:K,2)*G779),0))))</f>
        <v>0</v>
      </c>
      <c r="AJ779" s="513" t="str">
        <f t="shared" ca="1" si="519"/>
        <v/>
      </c>
      <c r="AK779" s="700" t="str">
        <f t="shared" si="520"/>
        <v/>
      </c>
      <c r="AL779" s="700"/>
      <c r="AM779" s="505" t="str">
        <f t="shared" si="521"/>
        <v/>
      </c>
      <c r="AN779" s="506"/>
      <c r="AO779" s="507"/>
      <c r="AP779" s="507"/>
      <c r="AQ779" s="507"/>
      <c r="AR779" s="507"/>
      <c r="AS779" s="507"/>
      <c r="AT779" s="507"/>
      <c r="AU779" s="507"/>
      <c r="AV779" s="225"/>
      <c r="AW779" s="508"/>
      <c r="AX779" s="225"/>
      <c r="AY779" s="225"/>
      <c r="AZ779" s="225"/>
      <c r="BA779" s="225"/>
      <c r="BB779" s="225"/>
      <c r="BC779" s="56"/>
      <c r="BD779" s="56"/>
      <c r="BE779" s="56"/>
      <c r="BF779" s="107" t="str">
        <f t="shared" si="522"/>
        <v>https://www.google.com/search?tbm=isch&amp;q=7%20G4</v>
      </c>
      <c r="BG779" s="107" t="str">
        <f t="shared" si="523"/>
        <v>C</v>
      </c>
      <c r="BH779" s="254"/>
      <c r="BI779" s="254"/>
    </row>
    <row r="780" spans="1:61" customFormat="1" ht="17.25" thickBot="1" x14ac:dyDescent="0.3">
      <c r="A780" s="522" t="s">
        <v>2558</v>
      </c>
      <c r="B780" s="491"/>
      <c r="C780" s="675"/>
      <c r="D780" s="491"/>
      <c r="E780" s="491"/>
      <c r="F780" s="492"/>
      <c r="G780" s="493"/>
      <c r="H780" s="491"/>
      <c r="I780" s="234"/>
      <c r="J780" s="234"/>
      <c r="K780" s="494"/>
      <c r="L780" s="543"/>
      <c r="M780" s="561"/>
      <c r="N780" s="495"/>
      <c r="O780" s="496"/>
      <c r="P780" s="497"/>
      <c r="Q780" s="495"/>
      <c r="R780" s="495"/>
      <c r="S780" s="667" t="s">
        <v>4986</v>
      </c>
      <c r="T780" s="508">
        <f t="shared" si="511"/>
        <v>0</v>
      </c>
      <c r="U780" s="225" t="str">
        <f>IF(NOT(ISNUMBER(G780)), "", VLOOKUP(A780,'Discount Lookup'!D:E,2,FALSE)*G780)</f>
        <v/>
      </c>
      <c r="V780" s="225" t="str">
        <f>IF(NOT(ISNUMBER(G780)), "", VLOOKUP(A780,'Discount Lookup'!G:H,2,FALSE)*G780)</f>
        <v/>
      </c>
      <c r="W780" s="508">
        <f t="shared" si="512"/>
        <v>0</v>
      </c>
      <c r="X780" s="508">
        <f t="shared" si="513"/>
        <v>0</v>
      </c>
      <c r="Y780" s="509" t="b">
        <f t="shared" si="514"/>
        <v>0</v>
      </c>
      <c r="Z780" s="510">
        <f t="shared" si="515"/>
        <v>0</v>
      </c>
      <c r="AA780" s="511"/>
      <c r="AB780" s="511" t="str">
        <f t="shared" si="516"/>
        <v/>
      </c>
      <c r="AC780" s="698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698"/>
      <c r="AE780" s="631" t="str">
        <f t="shared" si="517"/>
        <v/>
      </c>
      <c r="AF780" s="699" t="str">
        <f t="shared" si="518"/>
        <v/>
      </c>
      <c r="AG780" s="699"/>
      <c r="AH780" s="699"/>
      <c r="AI780" s="512">
        <f>IF(H780="credit",0,IF(AE780="free",0,IF(AE780="me",0,IF(G780&gt;0,(VLOOKUP(A780,'Discount Lookup'!J:K,2)*G780),0))))</f>
        <v>0</v>
      </c>
      <c r="AJ780" s="513" t="str">
        <f t="shared" ca="1" si="519"/>
        <v/>
      </c>
      <c r="AK780" s="700" t="str">
        <f t="shared" si="520"/>
        <v/>
      </c>
      <c r="AL780" s="700"/>
      <c r="AM780" s="505" t="str">
        <f t="shared" si="521"/>
        <v/>
      </c>
      <c r="AN780" s="506"/>
      <c r="AO780" s="507"/>
      <c r="AP780" s="507"/>
      <c r="AQ780" s="507"/>
      <c r="AR780" s="507"/>
      <c r="AS780" s="507"/>
      <c r="AT780" s="507"/>
      <c r="AU780" s="507"/>
      <c r="AV780" s="225"/>
      <c r="AW780" s="508"/>
      <c r="AX780" s="225"/>
      <c r="AY780" s="225"/>
      <c r="AZ780" s="225"/>
      <c r="BA780" s="225"/>
      <c r="BB780" s="225"/>
      <c r="BC780" s="56"/>
      <c r="BD780" s="56"/>
      <c r="BE780" s="56"/>
      <c r="BF780" s="107" t="str">
        <f t="shared" si="522"/>
        <v>https://www.google.com/search?tbm=isch&amp;q=Christmas%20Candy%20dazzles%20with%20abundant%20winter%20blooms%20and%20variable%20picotee%20edges%2C%20carpeting%20the%20ground%20with%20petals%20</v>
      </c>
      <c r="BG780" s="107" t="str">
        <f t="shared" si="523"/>
        <v>C</v>
      </c>
      <c r="BH780" s="254"/>
      <c r="BI780" s="254"/>
    </row>
    <row r="781" spans="1:61" customFormat="1" ht="18" x14ac:dyDescent="0.25">
      <c r="A781" s="521" t="s">
        <v>5375</v>
      </c>
      <c r="B781" s="477"/>
      <c r="C781" s="674"/>
      <c r="D781" s="478" t="s">
        <v>462</v>
      </c>
      <c r="E781" s="479"/>
      <c r="F781" s="479"/>
      <c r="G781" s="479"/>
      <c r="H781" s="582" t="s">
        <v>1398</v>
      </c>
      <c r="I781" s="480" t="s">
        <v>2559</v>
      </c>
      <c r="J781" s="479"/>
      <c r="K781" s="479"/>
      <c r="L781" s="560"/>
      <c r="M781" s="666" t="s">
        <v>4966</v>
      </c>
      <c r="N781" s="680" t="str">
        <f>IF(AND(ISTEXT($A781), ISERROR($A781+0)), HYPERLINK($BF781, "Images"), "")</f>
        <v>Images</v>
      </c>
      <c r="O781" s="662" t="s">
        <v>4967</v>
      </c>
      <c r="P781" s="482"/>
      <c r="Q781" s="483"/>
      <c r="R781" s="483"/>
      <c r="S781" s="484"/>
      <c r="T781" s="508">
        <f t="shared" si="511"/>
        <v>0</v>
      </c>
      <c r="U781" s="225" t="str">
        <f>IF(NOT(ISNUMBER(G781)), "", VLOOKUP(A781,'Discount Lookup'!D:E,2,FALSE)*G781)</f>
        <v/>
      </c>
      <c r="V781" s="225" t="str">
        <f>IF(NOT(ISNUMBER(G781)), "", VLOOKUP(A781,'Discount Lookup'!G:H,2,FALSE)*G781)</f>
        <v/>
      </c>
      <c r="W781" s="508">
        <f t="shared" si="512"/>
        <v>0</v>
      </c>
      <c r="X781" s="508" t="str">
        <f t="shared" si="513"/>
        <v>Red bloom, White edges</v>
      </c>
      <c r="Y781" s="509" t="b">
        <f t="shared" si="514"/>
        <v>0</v>
      </c>
      <c r="Z781" s="510">
        <f t="shared" si="515"/>
        <v>0</v>
      </c>
      <c r="AA781" s="511"/>
      <c r="AB781" s="511" t="str">
        <f t="shared" si="516"/>
        <v/>
      </c>
      <c r="AC781" s="698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698"/>
      <c r="AE781" s="631" t="str">
        <f t="shared" si="517"/>
        <v/>
      </c>
      <c r="AF781" s="699" t="str">
        <f t="shared" si="518"/>
        <v/>
      </c>
      <c r="AG781" s="699"/>
      <c r="AH781" s="699"/>
      <c r="AI781" s="512">
        <f>IF(H781="credit",0,IF(AE781="free",0,IF(AE781="me",0,IF(G781&gt;0,(VLOOKUP(A781,'Discount Lookup'!J:K,2)*G781),0))))</f>
        <v>0</v>
      </c>
      <c r="AJ781" s="513" t="str">
        <f t="shared" ca="1" si="519"/>
        <v/>
      </c>
      <c r="AK781" s="700" t="str">
        <f t="shared" si="520"/>
        <v/>
      </c>
      <c r="AL781" s="700"/>
      <c r="AM781" s="505" t="str">
        <f t="shared" si="521"/>
        <v/>
      </c>
      <c r="AN781" s="506"/>
      <c r="AO781" s="507"/>
      <c r="AP781" s="507"/>
      <c r="AQ781" s="507"/>
      <c r="AR781" s="507"/>
      <c r="AS781" s="507"/>
      <c r="AT781" s="507"/>
      <c r="AU781" s="507"/>
      <c r="AV781" s="225"/>
      <c r="AW781" s="508"/>
      <c r="AX781" s="225"/>
      <c r="AY781" s="225"/>
      <c r="AZ781" s="225"/>
      <c r="BA781" s="225"/>
      <c r="BB781" s="225"/>
      <c r="BC781" s="56"/>
      <c r="BD781" s="56"/>
      <c r="BE781" s="56"/>
      <c r="BF781" s="107" t="str">
        <f t="shared" si="522"/>
        <v>https://www.google.com/search?tbm=isch&amp;q=Christmas%20Carol%E2%84%A2%20Camellia%20Camellia%20x%20vernalis%20%27Christmas%20Carol%27</v>
      </c>
      <c r="BG781" s="107" t="str">
        <f t="shared" si="523"/>
        <v>C</v>
      </c>
      <c r="BH781" s="254"/>
      <c r="BI781" s="254"/>
    </row>
    <row r="782" spans="1:61" customFormat="1" ht="15.75" x14ac:dyDescent="0.25">
      <c r="A782" s="485">
        <v>3</v>
      </c>
      <c r="B782" s="486" t="s">
        <v>291</v>
      </c>
      <c r="C782" s="487" t="s">
        <v>445</v>
      </c>
      <c r="D782" s="488" t="s">
        <v>312</v>
      </c>
      <c r="E782" s="489">
        <v>35.950000000000003</v>
      </c>
      <c r="F782" s="516" t="s">
        <v>293</v>
      </c>
      <c r="G782" s="232">
        <v>0</v>
      </c>
      <c r="H782" s="658" t="str">
        <f>IF(G782=0,"",IF(F782="Buy",IF(G782=1,"plant","plants"),IF(F782&gt;0.01,"warranty","Error")))</f>
        <v/>
      </c>
      <c r="I782" s="490">
        <f>IF(H782="free",0,IF(H782="credit",((E782*(F782))*G782*-1),IF(F782="Buy",(E782*G782),((E782*(1-F782))*G782))))</f>
        <v>0</v>
      </c>
      <c r="J782" s="490">
        <f>IF(H782="warranty",0,(I782*(_xlfn.SINGLE(SalesTaxPercentage))))</f>
        <v>0</v>
      </c>
      <c r="K782" s="695">
        <f t="shared" ref="K782" si="571">I782+J782</f>
        <v>0</v>
      </c>
      <c r="L782" s="695"/>
      <c r="M782" s="659" t="str">
        <f>IF(AND(G782&gt;0,E782=0),"WARNING - no PRICE inserted",IF(H782="free"," FREE ~ no charge this plant",IF(H782="credit",CONCATENATE(" -$",ROUND(K782*(1-T2GDiscount)*-1,2)," CREDIT after discount"),IF(T2GDiscount=0,"",IF(G782=0,"",IF(F782="Buy",CONCATENATE(" $",ROUND(K782*(1-T2GDiscount),2)," with ",(T2GDiscount*100),"% discount"),CONCATENATE(" $",ROUND(K782*(1-T2GDiscount),2)," with ",((T2GDiscount*100+F782*100)-(T2GDiscount*100*F782)),IF(F782&gt;0,"% discounts",IF(NoWarrantyDiscount&gt;0,"% discounts","% discount")))))))))</f>
        <v/>
      </c>
      <c r="N782" s="660"/>
      <c r="O782" s="233"/>
      <c r="P782" s="233"/>
      <c r="Q782" s="233"/>
      <c r="R782" s="233"/>
      <c r="S782" s="233"/>
      <c r="T782" s="508">
        <f t="shared" ref="T782:T845" si="572">E782*G782</f>
        <v>0</v>
      </c>
      <c r="U782" s="225">
        <f>IF(NOT(ISNUMBER(G782)), "", VLOOKUP(A782,'Discount Lookup'!D:E,2,FALSE)*G782)</f>
        <v>0</v>
      </c>
      <c r="V782" s="225">
        <f>IF(NOT(ISNUMBER(G782)), "", VLOOKUP(A782,'Discount Lookup'!G:H,2,FALSE)*G782)</f>
        <v>0</v>
      </c>
      <c r="W782" s="508">
        <f t="shared" ref="W782:W845" si="573">IF(H782="credit",0,E782*(SalesTaxPercentage)*G782)</f>
        <v>0</v>
      </c>
      <c r="X782" s="508">
        <f t="shared" ref="X782:X845" si="574">I782</f>
        <v>0</v>
      </c>
      <c r="Y782" s="509" t="b">
        <f t="shared" ref="Y782:Y845" si="575">IF(AE782="T2G",0,IF(H782="credit",0,IF(G782&gt;0,IF(AE782="me","",G782))))</f>
        <v>0</v>
      </c>
      <c r="Z782" s="510">
        <f t="shared" ref="Z782:Z845" si="576">IF(H782="credit",G782,0)</f>
        <v>0</v>
      </c>
      <c r="AA782" s="511"/>
      <c r="AB782" s="511" t="str">
        <f t="shared" ref="AB782:AB845" si="577">IF(AE782="T2G","by Trees2Go",IF(H782="credit","CREDIT only ~",IF(AND(K782="",AE782=OR(PlanterYesMe="No",PlanterYesMe="N",PlanterYesMe="me")),"not THIS line⇨",IF(AND(K782="images",AE782="me"),"not THIS line⇨",IF(H782="credit","",IF(G782=0,"",IF(AE782="me","",IF(OR(PlanterYesMe="No",PlanterYesMe="N",PlanterYesMe="me"),"",IF(AE782="free","warranty",IF(OR(PlanterYesMe="yes",PlanterYesMe="y"),"Edison install:","to install:"))))))))))</f>
        <v/>
      </c>
      <c r="AC782" s="698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698"/>
      <c r="AE782" s="631" t="str">
        <f t="shared" ref="AE782:AE845" si="578">IF(H782="credit","",IF(G782=0,"",IF(OR(PlanterYesMe="No",PlanterYesMe="N",PlanterYesMe="me"),"me",IF(H782="warranty","free",IF(OR(PlanterYesMe="yes",PlanterYesMe="y"),"ELP","")))))</f>
        <v/>
      </c>
      <c r="AF782" s="699" t="str">
        <f t="shared" ref="AF782:AF845" si="579">IF(OR(PlanterYesMe="No",PlanterYesMe="N",PlanterYesMe="me"),"",IF(H782="credit","",IF(G782&gt;0,(CONCATENATE((G782)," quantity, ",(A782)," ",B782)),"")))</f>
        <v/>
      </c>
      <c r="AG782" s="699"/>
      <c r="AH782" s="699"/>
      <c r="AI782" s="512">
        <f>IF(H782="credit",0,IF(AE782="free",0,IF(AE782="me",0,IF(G782&gt;0,(VLOOKUP(A782,'Discount Lookup'!J:K,2)*G782),0))))</f>
        <v>0</v>
      </c>
      <c r="AJ782" s="513" t="str">
        <f t="shared" ref="AJ782:AJ845" ca="1" si="580">IF(AND(ISREF(H782),H782="credit"),"",IF(AND(AND(OFFSET(G782,0,0)=0,OFFSET(G782,1,0)&gt;0,ISNUMBER(OFFSET(AC782,1,0)),OFFSET(AC782,1,0)&gt;0),OR(PlanterYesMe="yes",PlanterYesMe="y")),"T2G+ELP=",IF(AND(OFFSET(G782,0,0)=0,OFFSET(G782,1,0)&gt;0,ISNUMBER(OFFSET(AC782,1,0)),OFFSET(AC782,1,0)&gt;0),"if T2G+ELP=",IF(AND(OFFSET(G782,0,0)=0,OFFSET(G782,1,0)&gt;0),"T2G Subtotal",IF(H782="credit","",IF(G782=0,"",IF(AE782="free",(K782*(1-T2GDiscount)),IF(OR(PlanterYesMe="No",PlanterYesMe="N",PlanterYesMe="me"),(K782*(1-T2GDiscount)),IF(OR(AE782="me",AE782="T2G"),(K782*(1-T2GDiscount)),(K782*(1-T2GDiscount))+AC782)))))))))</f>
        <v/>
      </c>
      <c r="AK782" s="700" t="str">
        <f t="shared" ref="AK782:AK845" si="581">IF(H782="credit","",IF(G782=0,"",IF(OR(AE782="me",AE782="T2G"),"  delivery-only",IF(OR(PlanterYesMe="No",PlanterYesMe="N",PlanterYesMe="me"),"  delivery-only",CONCATENATE(" $",ROUND(AJ782/G782,2)," each")))))</f>
        <v/>
      </c>
      <c r="AL782" s="700"/>
      <c r="AM782" s="505" t="str">
        <f t="shared" ref="AM782:AM845" si="582">IF(H782="credit","",IF(AE782="free","      ~ discounts included, no tax or planting fee applies ~",IF(G782=0,"",IF(OR(PlanterYesMe="No",PlanterYesMe="N",PlanterYesMe="me"),CONCATENATE(" $",ROUND(AJ782/G782,2)," per plant, with tax &amp; discount"),IF(OR(AE782="me",AE782="T2G"),CONCATENATE(" $",ROUND(AJ782/G782,2)," per plant, with tax &amp; discount"),CONCATENATE("= $",ROUND((K782*(1-T2GDiscount))/G782,2)," per plant + $",AC782/G782,(" per planting      ~ includes tax &amp; discounts ~")))))))</f>
        <v/>
      </c>
      <c r="AN782" s="506"/>
      <c r="AO782" s="507"/>
      <c r="AP782" s="507"/>
      <c r="AQ782" s="507"/>
      <c r="AR782" s="507"/>
      <c r="AS782" s="507"/>
      <c r="AT782" s="507"/>
      <c r="AU782" s="507"/>
      <c r="AV782" s="225"/>
      <c r="AW782" s="508"/>
      <c r="AX782" s="225"/>
      <c r="AY782" s="225"/>
      <c r="AZ782" s="225"/>
      <c r="BA782" s="225"/>
      <c r="BB782" s="225"/>
      <c r="BC782" s="56"/>
      <c r="BD782" s="56"/>
      <c r="BE782" s="56"/>
      <c r="BF782" s="107" t="str">
        <f t="shared" ref="BF782:BF845" si="583">"https://www.google.com/search?tbm=isch&amp;q=" &amp; _xlfn.ENCODEURL($A782 &amp; " " &amp; $D782)</f>
        <v>https://www.google.com/search?tbm=isch&amp;q=3%20G2</v>
      </c>
      <c r="BG782" s="107" t="str">
        <f t="shared" ref="BG782:BG845" si="584">IF(ISTEXT(A782),LEFT(A782,1),BG781)</f>
        <v>C</v>
      </c>
      <c r="BH782" s="254"/>
      <c r="BI782" s="254"/>
    </row>
    <row r="783" spans="1:61" customFormat="1" ht="17.25" thickBot="1" x14ac:dyDescent="0.3">
      <c r="A783" s="522" t="s">
        <v>4069</v>
      </c>
      <c r="B783" s="491"/>
      <c r="C783" s="675"/>
      <c r="D783" s="491"/>
      <c r="E783" s="491"/>
      <c r="F783" s="492"/>
      <c r="G783" s="493"/>
      <c r="H783" s="491"/>
      <c r="I783" s="234"/>
      <c r="J783" s="234"/>
      <c r="K783" s="494"/>
      <c r="L783" s="543"/>
      <c r="M783" s="561"/>
      <c r="N783" s="495"/>
      <c r="O783" s="496"/>
      <c r="P783" s="497"/>
      <c r="Q783" s="495"/>
      <c r="R783" s="495"/>
      <c r="S783" s="667" t="s">
        <v>4986</v>
      </c>
      <c r="T783" s="508">
        <f t="shared" si="572"/>
        <v>0</v>
      </c>
      <c r="U783" s="225" t="str">
        <f>IF(NOT(ISNUMBER(G783)), "", VLOOKUP(A783,'Discount Lookup'!D:E,2,FALSE)*G783)</f>
        <v/>
      </c>
      <c r="V783" s="225" t="str">
        <f>IF(NOT(ISNUMBER(G783)), "", VLOOKUP(A783,'Discount Lookup'!G:H,2,FALSE)*G783)</f>
        <v/>
      </c>
      <c r="W783" s="508">
        <f t="shared" si="573"/>
        <v>0</v>
      </c>
      <c r="X783" s="508">
        <f t="shared" si="574"/>
        <v>0</v>
      </c>
      <c r="Y783" s="509" t="b">
        <f t="shared" si="575"/>
        <v>0</v>
      </c>
      <c r="Z783" s="510">
        <f t="shared" si="576"/>
        <v>0</v>
      </c>
      <c r="AA783" s="511"/>
      <c r="AB783" s="511" t="str">
        <f t="shared" si="577"/>
        <v/>
      </c>
      <c r="AC783" s="698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698"/>
      <c r="AE783" s="631" t="str">
        <f t="shared" si="578"/>
        <v/>
      </c>
      <c r="AF783" s="699" t="str">
        <f t="shared" si="579"/>
        <v/>
      </c>
      <c r="AG783" s="699"/>
      <c r="AH783" s="699"/>
      <c r="AI783" s="512">
        <f>IF(H783="credit",0,IF(AE783="free",0,IF(AE783="me",0,IF(G783&gt;0,(VLOOKUP(A783,'Discount Lookup'!J:K,2)*G783),0))))</f>
        <v>0</v>
      </c>
      <c r="AJ783" s="513" t="str">
        <f t="shared" ca="1" si="580"/>
        <v/>
      </c>
      <c r="AK783" s="700" t="str">
        <f t="shared" si="581"/>
        <v/>
      </c>
      <c r="AL783" s="700"/>
      <c r="AM783" s="505" t="str">
        <f t="shared" si="582"/>
        <v/>
      </c>
      <c r="AN783" s="506"/>
      <c r="AO783" s="507"/>
      <c r="AP783" s="507"/>
      <c r="AQ783" s="507"/>
      <c r="AR783" s="507"/>
      <c r="AS783" s="507"/>
      <c r="AT783" s="507"/>
      <c r="AU783" s="507"/>
      <c r="AV783" s="225"/>
      <c r="AW783" s="508"/>
      <c r="AX783" s="225"/>
      <c r="AY783" s="225"/>
      <c r="AZ783" s="225"/>
      <c r="BA783" s="225"/>
      <c r="BB783" s="225"/>
      <c r="BC783" s="56"/>
      <c r="BD783" s="56"/>
      <c r="BE783" s="56"/>
      <c r="BF783" s="107" t="str">
        <f t="shared" si="583"/>
        <v>https://www.google.com/search?tbm=isch&amp;q=Christmas%20Carol%20%20is%20known%20for%20its%20graceful%2C%20semi-weeping%20habit%20and%20beautiful%20bell-shaped%20flowers%20that%20bloom%20from%20fall%20into%20early%20winter%20</v>
      </c>
      <c r="BG783" s="107" t="str">
        <f t="shared" si="584"/>
        <v>C</v>
      </c>
      <c r="BH783" s="254"/>
      <c r="BI783" s="254"/>
    </row>
    <row r="784" spans="1:61" customFormat="1" ht="18" x14ac:dyDescent="0.25">
      <c r="A784" s="521" t="s">
        <v>490</v>
      </c>
      <c r="B784" s="477"/>
      <c r="C784" s="674"/>
      <c r="D784" s="478" t="s">
        <v>489</v>
      </c>
      <c r="E784" s="479"/>
      <c r="F784" s="479"/>
      <c r="G784" s="479"/>
      <c r="H784" s="582" t="s">
        <v>463</v>
      </c>
      <c r="I784" s="480" t="s">
        <v>2093</v>
      </c>
      <c r="J784" s="479"/>
      <c r="K784" s="479"/>
      <c r="L784" s="560"/>
      <c r="M784" s="666" t="s">
        <v>4966</v>
      </c>
      <c r="N784" s="680" t="str">
        <f>IF(AND(ISTEXT($A784), ISERROR($A784+0)), HYPERLINK($BF784, "Images"), "")</f>
        <v>Images</v>
      </c>
      <c r="O784" s="662" t="s">
        <v>5001</v>
      </c>
      <c r="P784" s="482"/>
      <c r="Q784" s="483"/>
      <c r="R784" s="483"/>
      <c r="S784" s="484"/>
      <c r="T784" s="508">
        <f t="shared" si="572"/>
        <v>0</v>
      </c>
      <c r="U784" s="225" t="str">
        <f>IF(NOT(ISNUMBER(G784)), "", VLOOKUP(A784,'Discount Lookup'!D:E,2,FALSE)*G784)</f>
        <v/>
      </c>
      <c r="V784" s="225" t="str">
        <f>IF(NOT(ISNUMBER(G784)), "", VLOOKUP(A784,'Discount Lookup'!G:H,2,FALSE)*G784)</f>
        <v/>
      </c>
      <c r="W784" s="508">
        <f t="shared" si="573"/>
        <v>0</v>
      </c>
      <c r="X784" s="508" t="str">
        <f t="shared" si="574"/>
        <v>Dark Green foliage</v>
      </c>
      <c r="Y784" s="509" t="b">
        <f t="shared" si="575"/>
        <v>0</v>
      </c>
      <c r="Z784" s="510">
        <f t="shared" si="576"/>
        <v>0</v>
      </c>
      <c r="AA784" s="511"/>
      <c r="AB784" s="511" t="str">
        <f t="shared" si="577"/>
        <v/>
      </c>
      <c r="AC784" s="698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698"/>
      <c r="AE784" s="631" t="str">
        <f t="shared" si="578"/>
        <v/>
      </c>
      <c r="AF784" s="699" t="str">
        <f t="shared" si="579"/>
        <v/>
      </c>
      <c r="AG784" s="699"/>
      <c r="AH784" s="699"/>
      <c r="AI784" s="512">
        <f>IF(H784="credit",0,IF(AE784="free",0,IF(AE784="me",0,IF(G784&gt;0,(VLOOKUP(A784,'Discount Lookup'!J:K,2)*G784),0))))</f>
        <v>0</v>
      </c>
      <c r="AJ784" s="513" t="str">
        <f t="shared" ca="1" si="580"/>
        <v/>
      </c>
      <c r="AK784" s="700" t="str">
        <f t="shared" si="581"/>
        <v/>
      </c>
      <c r="AL784" s="700"/>
      <c r="AM784" s="505" t="str">
        <f t="shared" si="582"/>
        <v/>
      </c>
      <c r="AN784" s="506"/>
      <c r="AO784" s="507"/>
      <c r="AP784" s="507"/>
      <c r="AQ784" s="507"/>
      <c r="AR784" s="507"/>
      <c r="AS784" s="507"/>
      <c r="AT784" s="507"/>
      <c r="AU784" s="507"/>
      <c r="AV784" s="225"/>
      <c r="AW784" s="508"/>
      <c r="AX784" s="225"/>
      <c r="AY784" s="225"/>
      <c r="AZ784" s="225"/>
      <c r="BA784" s="225"/>
      <c r="BB784" s="225"/>
      <c r="BC784" s="56"/>
      <c r="BD784" s="56"/>
      <c r="BE784" s="56"/>
      <c r="BF784" s="107" t="str">
        <f t="shared" si="583"/>
        <v>https://www.google.com/search?tbm=isch&amp;q=Christmas%20Jewel%20Holly%20Ilex%20%27HL10-90%27%20PP%2314477</v>
      </c>
      <c r="BG784" s="107" t="str">
        <f t="shared" si="584"/>
        <v>C</v>
      </c>
      <c r="BH784" s="254"/>
      <c r="BI784" s="254"/>
    </row>
    <row r="785" spans="1:61" customFormat="1" ht="15.75" x14ac:dyDescent="0.25">
      <c r="A785" s="485">
        <v>7</v>
      </c>
      <c r="B785" s="486" t="s">
        <v>291</v>
      </c>
      <c r="C785" s="487" t="s">
        <v>343</v>
      </c>
      <c r="D785" s="488" t="s">
        <v>297</v>
      </c>
      <c r="E785" s="489">
        <v>68.95</v>
      </c>
      <c r="F785" s="516" t="s">
        <v>293</v>
      </c>
      <c r="G785" s="232">
        <v>0</v>
      </c>
      <c r="H785" s="658" t="str">
        <f>IF(G785=0,"",IF(F785="Buy",IF(G785=1,"plant","plants"),IF(F785&gt;0.01,"warranty","Error")))</f>
        <v/>
      </c>
      <c r="I785" s="490">
        <f>IF(H785="free",0,IF(H785="credit",((E785*(F785))*G785*-1),IF(F785="Buy",(E785*G785),((E785*(1-F785))*G785))))</f>
        <v>0</v>
      </c>
      <c r="J785" s="490">
        <f>IF(H785="warranty",0,(I785*(_xlfn.SINGLE(SalesTaxPercentage))))</f>
        <v>0</v>
      </c>
      <c r="K785" s="695">
        <f t="shared" ref="K785" si="585">I785+J785</f>
        <v>0</v>
      </c>
      <c r="L785" s="695"/>
      <c r="M785" s="659" t="str">
        <f>IF(AND(G785&gt;0,E785=0),"WARNING - no PRICE inserted",IF(H785="free"," FREE ~ no charge this plant",IF(H785="credit",CONCATENATE(" -$",ROUND(K785*(1-T2GDiscount)*-1,2)," CREDIT after discount"),IF(T2GDiscount=0,"",IF(G785=0,"",IF(F785="Buy",CONCATENATE(" $",ROUND(K785*(1-T2GDiscount),2)," with ",(T2GDiscount*100),"% discount"),CONCATENATE(" $",ROUND(K785*(1-T2GDiscount),2)," with ",((T2GDiscount*100+F785*100)-(T2GDiscount*100*F785)),IF(F785&gt;0,"% discounts",IF(NoWarrantyDiscount&gt;0,"% discounts","% discount")))))))))</f>
        <v/>
      </c>
      <c r="N785" s="660"/>
      <c r="O785" s="233"/>
      <c r="P785" s="233"/>
      <c r="Q785" s="233"/>
      <c r="R785" s="233"/>
      <c r="S785" s="233"/>
      <c r="T785" s="508">
        <f t="shared" si="572"/>
        <v>0</v>
      </c>
      <c r="U785" s="225">
        <f>IF(NOT(ISNUMBER(G785)), "", VLOOKUP(A785,'Discount Lookup'!D:E,2,FALSE)*G785)</f>
        <v>0</v>
      </c>
      <c r="V785" s="225">
        <f>IF(NOT(ISNUMBER(G785)), "", VLOOKUP(A785,'Discount Lookup'!G:H,2,FALSE)*G785)</f>
        <v>0</v>
      </c>
      <c r="W785" s="508">
        <f t="shared" si="573"/>
        <v>0</v>
      </c>
      <c r="X785" s="508">
        <f t="shared" si="574"/>
        <v>0</v>
      </c>
      <c r="Y785" s="509" t="b">
        <f t="shared" si="575"/>
        <v>0</v>
      </c>
      <c r="Z785" s="510">
        <f t="shared" si="576"/>
        <v>0</v>
      </c>
      <c r="AA785" s="511"/>
      <c r="AB785" s="511" t="str">
        <f t="shared" si="577"/>
        <v/>
      </c>
      <c r="AC785" s="698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698"/>
      <c r="AE785" s="631" t="str">
        <f t="shared" si="578"/>
        <v/>
      </c>
      <c r="AF785" s="699" t="str">
        <f t="shared" si="579"/>
        <v/>
      </c>
      <c r="AG785" s="699"/>
      <c r="AH785" s="699"/>
      <c r="AI785" s="512">
        <f>IF(H785="credit",0,IF(AE785="free",0,IF(AE785="me",0,IF(G785&gt;0,(VLOOKUP(A785,'Discount Lookup'!J:K,2)*G785),0))))</f>
        <v>0</v>
      </c>
      <c r="AJ785" s="513" t="str">
        <f t="shared" ca="1" si="580"/>
        <v/>
      </c>
      <c r="AK785" s="700" t="str">
        <f t="shared" si="581"/>
        <v/>
      </c>
      <c r="AL785" s="700"/>
      <c r="AM785" s="505" t="str">
        <f t="shared" si="582"/>
        <v/>
      </c>
      <c r="AN785" s="506"/>
      <c r="AO785" s="507"/>
      <c r="AP785" s="507"/>
      <c r="AQ785" s="507"/>
      <c r="AR785" s="507"/>
      <c r="AS785" s="507"/>
      <c r="AT785" s="507"/>
      <c r="AU785" s="507"/>
      <c r="AV785" s="225"/>
      <c r="AW785" s="508"/>
      <c r="AX785" s="225"/>
      <c r="AY785" s="225"/>
      <c r="AZ785" s="225"/>
      <c r="BA785" s="225"/>
      <c r="BB785" s="225"/>
      <c r="BC785" s="56"/>
      <c r="BD785" s="56"/>
      <c r="BE785" s="56"/>
      <c r="BF785" s="107" t="str">
        <f t="shared" si="583"/>
        <v>https://www.google.com/search?tbm=isch&amp;q=7%20G3</v>
      </c>
      <c r="BG785" s="107" t="str">
        <f t="shared" si="584"/>
        <v>C</v>
      </c>
      <c r="BH785" s="254"/>
      <c r="BI785" s="254"/>
    </row>
    <row r="786" spans="1:61" customFormat="1" ht="15.75" x14ac:dyDescent="0.25">
      <c r="A786" s="485">
        <v>7</v>
      </c>
      <c r="B786" s="486" t="s">
        <v>291</v>
      </c>
      <c r="C786" s="487" t="s">
        <v>1749</v>
      </c>
      <c r="D786" s="488" t="s">
        <v>299</v>
      </c>
      <c r="E786" s="489">
        <v>68.95</v>
      </c>
      <c r="F786" s="516" t="s">
        <v>293</v>
      </c>
      <c r="G786" s="232">
        <v>0</v>
      </c>
      <c r="H786" s="658" t="str">
        <f>IF(G786=0,"",IF(F786="Buy",IF(G786=1,"plant","plants"),IF(F786&gt;0.01,"warranty","Error")))</f>
        <v/>
      </c>
      <c r="I786" s="490">
        <f>IF(H786="free",0,IF(H786="credit",((E786*(F786))*G786*-1),IF(F786="Buy",(E786*G786),((E786*(1-F786))*G786))))</f>
        <v>0</v>
      </c>
      <c r="J786" s="490">
        <f>IF(H786="warranty",0,(I786*(_xlfn.SINGLE(SalesTaxPercentage))))</f>
        <v>0</v>
      </c>
      <c r="K786" s="695">
        <f t="shared" ref="K786" si="586">I786+J786</f>
        <v>0</v>
      </c>
      <c r="L786" s="695"/>
      <c r="M786" s="659" t="str">
        <f>IF(AND(G786&gt;0,E786=0),"WARNING - no PRICE inserted",IF(H786="free"," FREE ~ no charge this plant",IF(H786="credit",CONCATENATE(" -$",ROUND(K786*(1-T2GDiscount)*-1,2)," CREDIT after discount"),IF(T2GDiscount=0,"",IF(G786=0,"",IF(F786="Buy",CONCATENATE(" $",ROUND(K786*(1-T2GDiscount),2)," with ",(T2GDiscount*100),"% discount"),CONCATENATE(" $",ROUND(K786*(1-T2GDiscount),2)," with ",((T2GDiscount*100+F786*100)-(T2GDiscount*100*F786)),IF(F786&gt;0,"% discounts",IF(NoWarrantyDiscount&gt;0,"% discounts","% discount")))))))))</f>
        <v/>
      </c>
      <c r="N786" s="660"/>
      <c r="O786" s="233"/>
      <c r="P786" s="233"/>
      <c r="Q786" s="233"/>
      <c r="R786" s="233"/>
      <c r="S786" s="233"/>
      <c r="T786" s="508">
        <f t="shared" si="572"/>
        <v>0</v>
      </c>
      <c r="U786" s="225">
        <f>IF(NOT(ISNUMBER(G786)), "", VLOOKUP(A786,'Discount Lookup'!D:E,2,FALSE)*G786)</f>
        <v>0</v>
      </c>
      <c r="V786" s="225">
        <f>IF(NOT(ISNUMBER(G786)), "", VLOOKUP(A786,'Discount Lookup'!G:H,2,FALSE)*G786)</f>
        <v>0</v>
      </c>
      <c r="W786" s="508">
        <f t="shared" si="573"/>
        <v>0</v>
      </c>
      <c r="X786" s="508">
        <f t="shared" si="574"/>
        <v>0</v>
      </c>
      <c r="Y786" s="509" t="b">
        <f t="shared" si="575"/>
        <v>0</v>
      </c>
      <c r="Z786" s="510">
        <f t="shared" si="576"/>
        <v>0</v>
      </c>
      <c r="AA786" s="511"/>
      <c r="AB786" s="511" t="str">
        <f t="shared" si="577"/>
        <v/>
      </c>
      <c r="AC786" s="698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698"/>
      <c r="AE786" s="631" t="str">
        <f t="shared" si="578"/>
        <v/>
      </c>
      <c r="AF786" s="699" t="str">
        <f t="shared" si="579"/>
        <v/>
      </c>
      <c r="AG786" s="699"/>
      <c r="AH786" s="699"/>
      <c r="AI786" s="512">
        <f>IF(H786="credit",0,IF(AE786="free",0,IF(AE786="me",0,IF(G786&gt;0,(VLOOKUP(A786,'Discount Lookup'!J:K,2)*G786),0))))</f>
        <v>0</v>
      </c>
      <c r="AJ786" s="513" t="str">
        <f t="shared" ca="1" si="580"/>
        <v/>
      </c>
      <c r="AK786" s="700" t="str">
        <f t="shared" si="581"/>
        <v/>
      </c>
      <c r="AL786" s="700"/>
      <c r="AM786" s="505" t="str">
        <f t="shared" si="582"/>
        <v/>
      </c>
      <c r="AN786" s="506"/>
      <c r="AO786" s="507"/>
      <c r="AP786" s="507"/>
      <c r="AQ786" s="507"/>
      <c r="AR786" s="507"/>
      <c r="AS786" s="507"/>
      <c r="AT786" s="507"/>
      <c r="AU786" s="507"/>
      <c r="AV786" s="225"/>
      <c r="AW786" s="508"/>
      <c r="AX786" s="225"/>
      <c r="AY786" s="225"/>
      <c r="AZ786" s="225"/>
      <c r="BA786" s="225"/>
      <c r="BB786" s="225"/>
      <c r="BC786" s="56"/>
      <c r="BD786" s="56"/>
      <c r="BE786" s="56"/>
      <c r="BF786" s="107" t="str">
        <f t="shared" si="583"/>
        <v>https://www.google.com/search?tbm=isch&amp;q=7%20G5</v>
      </c>
      <c r="BG786" s="107" t="str">
        <f t="shared" si="584"/>
        <v>C</v>
      </c>
      <c r="BH786" s="254"/>
      <c r="BI786" s="254"/>
    </row>
    <row r="787" spans="1:61" customFormat="1" ht="27" x14ac:dyDescent="0.25">
      <c r="A787" s="485">
        <v>7</v>
      </c>
      <c r="B787" s="486" t="s">
        <v>291</v>
      </c>
      <c r="C787" s="487" t="s">
        <v>3384</v>
      </c>
      <c r="D787" s="488" t="s">
        <v>292</v>
      </c>
      <c r="E787" s="489">
        <v>118.95</v>
      </c>
      <c r="F787" s="516" t="s">
        <v>293</v>
      </c>
      <c r="G787" s="232">
        <v>0</v>
      </c>
      <c r="H787" s="658" t="str">
        <f>IF(G787=0,"",IF(F787="Buy",IF(G787=1,"plant","plants"),IF(F787&gt;0.01,"warranty","Error")))</f>
        <v/>
      </c>
      <c r="I787" s="490">
        <f>IF(H787="free",0,IF(H787="credit",((E787*(F787))*G787*-1),IF(F787="Buy",(E787*G787),((E787*(1-F787))*G787))))</f>
        <v>0</v>
      </c>
      <c r="J787" s="490">
        <f>IF(H787="warranty",0,(I787*(_xlfn.SINGLE(SalesTaxPercentage))))</f>
        <v>0</v>
      </c>
      <c r="K787" s="695">
        <f t="shared" ref="K787" si="587">I787+J787</f>
        <v>0</v>
      </c>
      <c r="L787" s="695"/>
      <c r="M787" s="659" t="str">
        <f>IF(AND(G787&gt;0,E787=0),"WARNING - no PRICE inserted",IF(H787="free"," FREE ~ no charge this plant",IF(H787="credit",CONCATENATE(" -$",ROUND(K787*(1-T2GDiscount)*-1,2)," CREDIT after discount"),IF(T2GDiscount=0,"",IF(G787=0,"",IF(F787="Buy",CONCATENATE(" $",ROUND(K787*(1-T2GDiscount),2)," with ",(T2GDiscount*100),"% discount"),CONCATENATE(" $",ROUND(K787*(1-T2GDiscount),2)," with ",((T2GDiscount*100+F787*100)-(T2GDiscount*100*F787)),IF(F787&gt;0,"% discounts",IF(NoWarrantyDiscount&gt;0,"% discounts","% discount")))))))))</f>
        <v/>
      </c>
      <c r="N787" s="660"/>
      <c r="O787" s="233"/>
      <c r="P787" s="233"/>
      <c r="Q787" s="233"/>
      <c r="R787" s="233"/>
      <c r="S787" s="233"/>
      <c r="T787" s="508">
        <f t="shared" si="572"/>
        <v>0</v>
      </c>
      <c r="U787" s="225">
        <f>IF(NOT(ISNUMBER(G787)), "", VLOOKUP(A787,'Discount Lookup'!D:E,2,FALSE)*G787)</f>
        <v>0</v>
      </c>
      <c r="V787" s="225">
        <f>IF(NOT(ISNUMBER(G787)), "", VLOOKUP(A787,'Discount Lookup'!G:H,2,FALSE)*G787)</f>
        <v>0</v>
      </c>
      <c r="W787" s="508">
        <f t="shared" si="573"/>
        <v>0</v>
      </c>
      <c r="X787" s="508">
        <f t="shared" si="574"/>
        <v>0</v>
      </c>
      <c r="Y787" s="509" t="b">
        <f t="shared" si="575"/>
        <v>0</v>
      </c>
      <c r="Z787" s="510">
        <f t="shared" si="576"/>
        <v>0</v>
      </c>
      <c r="AA787" s="511"/>
      <c r="AB787" s="511" t="str">
        <f t="shared" si="577"/>
        <v/>
      </c>
      <c r="AC787" s="698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698"/>
      <c r="AE787" s="631" t="str">
        <f t="shared" si="578"/>
        <v/>
      </c>
      <c r="AF787" s="699" t="str">
        <f t="shared" si="579"/>
        <v/>
      </c>
      <c r="AG787" s="699"/>
      <c r="AH787" s="699"/>
      <c r="AI787" s="512">
        <f>IF(H787="credit",0,IF(AE787="free",0,IF(AE787="me",0,IF(G787&gt;0,(VLOOKUP(A787,'Discount Lookup'!J:K,2)*G787),0))))</f>
        <v>0</v>
      </c>
      <c r="AJ787" s="513" t="str">
        <f t="shared" ca="1" si="580"/>
        <v/>
      </c>
      <c r="AK787" s="700" t="str">
        <f t="shared" si="581"/>
        <v/>
      </c>
      <c r="AL787" s="700"/>
      <c r="AM787" s="505" t="str">
        <f t="shared" si="582"/>
        <v/>
      </c>
      <c r="AN787" s="506"/>
      <c r="AO787" s="507"/>
      <c r="AP787" s="507"/>
      <c r="AQ787" s="507"/>
      <c r="AR787" s="507"/>
      <c r="AS787" s="507"/>
      <c r="AT787" s="507"/>
      <c r="AU787" s="507"/>
      <c r="AV787" s="225"/>
      <c r="AW787" s="508"/>
      <c r="AX787" s="225"/>
      <c r="AY787" s="225"/>
      <c r="AZ787" s="225"/>
      <c r="BA787" s="225"/>
      <c r="BB787" s="225"/>
      <c r="BC787" s="56"/>
      <c r="BD787" s="56"/>
      <c r="BE787" s="56"/>
      <c r="BF787" s="107" t="str">
        <f t="shared" si="583"/>
        <v>https://www.google.com/search?tbm=isch&amp;q=7%20G4</v>
      </c>
      <c r="BG787" s="107" t="str">
        <f t="shared" si="584"/>
        <v>C</v>
      </c>
      <c r="BH787" s="254"/>
      <c r="BI787" s="254"/>
    </row>
    <row r="788" spans="1:61" customFormat="1" ht="15.75" x14ac:dyDescent="0.25">
      <c r="A788" s="485">
        <v>15</v>
      </c>
      <c r="B788" s="486" t="s">
        <v>291</v>
      </c>
      <c r="C788" s="487" t="s">
        <v>1913</v>
      </c>
      <c r="D788" s="488" t="s">
        <v>299</v>
      </c>
      <c r="E788" s="489">
        <v>171.95</v>
      </c>
      <c r="F788" s="516" t="s">
        <v>293</v>
      </c>
      <c r="G788" s="232">
        <v>0</v>
      </c>
      <c r="H788" s="658" t="str">
        <f>IF(G788=0,"",IF(F788="Buy",IF(G788=1,"plant","plants"),IF(F788&gt;0.01,"warranty","Error")))</f>
        <v/>
      </c>
      <c r="I788" s="490">
        <f>IF(H788="free",0,IF(H788="credit",((E788*(F788))*G788*-1),IF(F788="Buy",(E788*G788),((E788*(1-F788))*G788))))</f>
        <v>0</v>
      </c>
      <c r="J788" s="490">
        <f>IF(H788="warranty",0,(I788*(_xlfn.SINGLE(SalesTaxPercentage))))</f>
        <v>0</v>
      </c>
      <c r="K788" s="695">
        <f t="shared" ref="K788" si="588">I788+J788</f>
        <v>0</v>
      </c>
      <c r="L788" s="695"/>
      <c r="M788" s="659" t="str">
        <f>IF(AND(G788&gt;0,E788=0),"WARNING - no PRICE inserted",IF(H788="free"," FREE ~ no charge this plant",IF(H788="credit",CONCATENATE(" -$",ROUND(K788*(1-T2GDiscount)*-1,2)," CREDIT after discount"),IF(T2GDiscount=0,"",IF(G788=0,"",IF(F788="Buy",CONCATENATE(" $",ROUND(K788*(1-T2GDiscount),2)," with ",(T2GDiscount*100),"% discount"),CONCATENATE(" $",ROUND(K788*(1-T2GDiscount),2)," with ",((T2GDiscount*100+F788*100)-(T2GDiscount*100*F788)),IF(F788&gt;0,"% discounts",IF(NoWarrantyDiscount&gt;0,"% discounts","% discount")))))))))</f>
        <v/>
      </c>
      <c r="N788" s="660"/>
      <c r="O788" s="233"/>
      <c r="P788" s="233"/>
      <c r="Q788" s="233"/>
      <c r="R788" s="233"/>
      <c r="S788" s="233"/>
      <c r="T788" s="508">
        <f t="shared" si="572"/>
        <v>0</v>
      </c>
      <c r="U788" s="225">
        <f>IF(NOT(ISNUMBER(G788)), "", VLOOKUP(A788,'Discount Lookup'!D:E,2,FALSE)*G788)</f>
        <v>0</v>
      </c>
      <c r="V788" s="225">
        <f>IF(NOT(ISNUMBER(G788)), "", VLOOKUP(A788,'Discount Lookup'!G:H,2,FALSE)*G788)</f>
        <v>0</v>
      </c>
      <c r="W788" s="508">
        <f t="shared" si="573"/>
        <v>0</v>
      </c>
      <c r="X788" s="508">
        <f t="shared" si="574"/>
        <v>0</v>
      </c>
      <c r="Y788" s="509" t="b">
        <f t="shared" si="575"/>
        <v>0</v>
      </c>
      <c r="Z788" s="510">
        <f t="shared" si="576"/>
        <v>0</v>
      </c>
      <c r="AA788" s="511"/>
      <c r="AB788" s="511" t="str">
        <f t="shared" si="577"/>
        <v/>
      </c>
      <c r="AC788" s="698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698"/>
      <c r="AE788" s="631" t="str">
        <f t="shared" si="578"/>
        <v/>
      </c>
      <c r="AF788" s="699" t="str">
        <f t="shared" si="579"/>
        <v/>
      </c>
      <c r="AG788" s="699"/>
      <c r="AH788" s="699"/>
      <c r="AI788" s="512">
        <f>IF(H788="credit",0,IF(AE788="free",0,IF(AE788="me",0,IF(G788&gt;0,(VLOOKUP(A788,'Discount Lookup'!J:K,2)*G788),0))))</f>
        <v>0</v>
      </c>
      <c r="AJ788" s="513" t="str">
        <f t="shared" ca="1" si="580"/>
        <v/>
      </c>
      <c r="AK788" s="700" t="str">
        <f t="shared" si="581"/>
        <v/>
      </c>
      <c r="AL788" s="700"/>
      <c r="AM788" s="505" t="str">
        <f t="shared" si="582"/>
        <v/>
      </c>
      <c r="AN788" s="506"/>
      <c r="AO788" s="507"/>
      <c r="AP788" s="507"/>
      <c r="AQ788" s="507"/>
      <c r="AR788" s="507"/>
      <c r="AS788" s="507"/>
      <c r="AT788" s="507"/>
      <c r="AU788" s="507"/>
      <c r="AV788" s="225"/>
      <c r="AW788" s="508"/>
      <c r="AX788" s="225"/>
      <c r="AY788" s="225"/>
      <c r="AZ788" s="225"/>
      <c r="BA788" s="225"/>
      <c r="BB788" s="225"/>
      <c r="BC788" s="56"/>
      <c r="BD788" s="56"/>
      <c r="BE788" s="56"/>
      <c r="BF788" s="107" t="str">
        <f t="shared" si="583"/>
        <v>https://www.google.com/search?tbm=isch&amp;q=15%20G5</v>
      </c>
      <c r="BG788" s="107" t="str">
        <f t="shared" si="584"/>
        <v>C</v>
      </c>
      <c r="BH788" s="254"/>
      <c r="BI788" s="254"/>
    </row>
    <row r="789" spans="1:61" customFormat="1" ht="15.75" x14ac:dyDescent="0.25">
      <c r="A789" s="485">
        <v>30</v>
      </c>
      <c r="B789" s="486" t="s">
        <v>291</v>
      </c>
      <c r="C789" s="487" t="s">
        <v>2729</v>
      </c>
      <c r="D789" s="488" t="s">
        <v>299</v>
      </c>
      <c r="E789" s="489">
        <v>353.95</v>
      </c>
      <c r="F789" s="516" t="s">
        <v>293</v>
      </c>
      <c r="G789" s="232">
        <v>0</v>
      </c>
      <c r="H789" s="658" t="str">
        <f>IF(G789=0,"",IF(F789="Buy",IF(G789=1,"plant","plants"),IF(F789&gt;0.01,"warranty","Error")))</f>
        <v/>
      </c>
      <c r="I789" s="490">
        <f>IF(H789="free",0,IF(H789="credit",((E789*(F789))*G789*-1),IF(F789="Buy",(E789*G789),((E789*(1-F789))*G789))))</f>
        <v>0</v>
      </c>
      <c r="J789" s="490">
        <f>IF(H789="warranty",0,(I789*(_xlfn.SINGLE(SalesTaxPercentage))))</f>
        <v>0</v>
      </c>
      <c r="K789" s="695">
        <f t="shared" ref="K789" si="589">I789+J789</f>
        <v>0</v>
      </c>
      <c r="L789" s="695"/>
      <c r="M789" s="659" t="str">
        <f>IF(AND(G789&gt;0,E789=0),"WARNING - no PRICE inserted",IF(H789="free"," FREE ~ no charge this plant",IF(H789="credit",CONCATENATE(" -$",ROUND(K789*(1-T2GDiscount)*-1,2)," CREDIT after discount"),IF(T2GDiscount=0,"",IF(G789=0,"",IF(F789="Buy",CONCATENATE(" $",ROUND(K789*(1-T2GDiscount),2)," with ",(T2GDiscount*100),"% discount"),CONCATENATE(" $",ROUND(K789*(1-T2GDiscount),2)," with ",((T2GDiscount*100+F789*100)-(T2GDiscount*100*F789)),IF(F789&gt;0,"% discounts",IF(NoWarrantyDiscount&gt;0,"% discounts","% discount")))))))))</f>
        <v/>
      </c>
      <c r="N789" s="660"/>
      <c r="O789" s="233"/>
      <c r="P789" s="233"/>
      <c r="Q789" s="233"/>
      <c r="R789" s="233"/>
      <c r="S789" s="233"/>
      <c r="T789" s="508">
        <f t="shared" si="572"/>
        <v>0</v>
      </c>
      <c r="U789" s="225">
        <f>IF(NOT(ISNUMBER(G789)), "", VLOOKUP(A789,'Discount Lookup'!D:E,2,FALSE)*G789)</f>
        <v>0</v>
      </c>
      <c r="V789" s="225">
        <f>IF(NOT(ISNUMBER(G789)), "", VLOOKUP(A789,'Discount Lookup'!G:H,2,FALSE)*G789)</f>
        <v>0</v>
      </c>
      <c r="W789" s="508">
        <f t="shared" si="573"/>
        <v>0</v>
      </c>
      <c r="X789" s="508">
        <f t="shared" si="574"/>
        <v>0</v>
      </c>
      <c r="Y789" s="509" t="b">
        <f t="shared" si="575"/>
        <v>0</v>
      </c>
      <c r="Z789" s="510">
        <f t="shared" si="576"/>
        <v>0</v>
      </c>
      <c r="AA789" s="511"/>
      <c r="AB789" s="511" t="str">
        <f t="shared" si="577"/>
        <v/>
      </c>
      <c r="AC789" s="698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698"/>
      <c r="AE789" s="631" t="str">
        <f t="shared" si="578"/>
        <v/>
      </c>
      <c r="AF789" s="699" t="str">
        <f t="shared" si="579"/>
        <v/>
      </c>
      <c r="AG789" s="699"/>
      <c r="AH789" s="699"/>
      <c r="AI789" s="512">
        <f>IF(H789="credit",0,IF(AE789="free",0,IF(AE789="me",0,IF(G789&gt;0,(VLOOKUP(A789,'Discount Lookup'!J:K,2)*G789),0))))</f>
        <v>0</v>
      </c>
      <c r="AJ789" s="513" t="str">
        <f t="shared" ca="1" si="580"/>
        <v/>
      </c>
      <c r="AK789" s="700" t="str">
        <f t="shared" si="581"/>
        <v/>
      </c>
      <c r="AL789" s="700"/>
      <c r="AM789" s="505" t="str">
        <f t="shared" si="582"/>
        <v/>
      </c>
      <c r="AN789" s="506"/>
      <c r="AO789" s="507"/>
      <c r="AP789" s="507"/>
      <c r="AQ789" s="507"/>
      <c r="AR789" s="507"/>
      <c r="AS789" s="507"/>
      <c r="AT789" s="507"/>
      <c r="AU789" s="507"/>
      <c r="AV789" s="225"/>
      <c r="AW789" s="508"/>
      <c r="AX789" s="225"/>
      <c r="AY789" s="225"/>
      <c r="AZ789" s="225"/>
      <c r="BA789" s="225"/>
      <c r="BB789" s="225"/>
      <c r="BC789" s="56"/>
      <c r="BD789" s="56"/>
      <c r="BE789" s="56"/>
      <c r="BF789" s="107" t="str">
        <f t="shared" si="583"/>
        <v>https://www.google.com/search?tbm=isch&amp;q=30%20G5</v>
      </c>
      <c r="BG789" s="107" t="str">
        <f t="shared" si="584"/>
        <v>C</v>
      </c>
      <c r="BH789" s="254"/>
      <c r="BI789" s="254"/>
    </row>
    <row r="790" spans="1:61" customFormat="1" ht="17.25" thickBot="1" x14ac:dyDescent="0.3">
      <c r="A790" s="522" t="s">
        <v>2126</v>
      </c>
      <c r="B790" s="491"/>
      <c r="C790" s="675"/>
      <c r="D790" s="491"/>
      <c r="E790" s="491"/>
      <c r="F790" s="492"/>
      <c r="G790" s="493"/>
      <c r="H790" s="491"/>
      <c r="I790" s="234"/>
      <c r="J790" s="234"/>
      <c r="K790" s="494"/>
      <c r="L790" s="543"/>
      <c r="M790" s="561"/>
      <c r="N790" s="495"/>
      <c r="O790" s="496"/>
      <c r="P790" s="497"/>
      <c r="Q790" s="495"/>
      <c r="R790" s="495"/>
      <c r="S790" s="667" t="s">
        <v>5004</v>
      </c>
      <c r="T790" s="508">
        <f t="shared" si="572"/>
        <v>0</v>
      </c>
      <c r="U790" s="225" t="str">
        <f>IF(NOT(ISNUMBER(G790)), "", VLOOKUP(A790,'Discount Lookup'!D:E,2,FALSE)*G790)</f>
        <v/>
      </c>
      <c r="V790" s="225" t="str">
        <f>IF(NOT(ISNUMBER(G790)), "", VLOOKUP(A790,'Discount Lookup'!G:H,2,FALSE)*G790)</f>
        <v/>
      </c>
      <c r="W790" s="508">
        <f t="shared" si="573"/>
        <v>0</v>
      </c>
      <c r="X790" s="508">
        <f t="shared" si="574"/>
        <v>0</v>
      </c>
      <c r="Y790" s="509" t="b">
        <f t="shared" si="575"/>
        <v>0</v>
      </c>
      <c r="Z790" s="510">
        <f t="shared" si="576"/>
        <v>0</v>
      </c>
      <c r="AA790" s="511"/>
      <c r="AB790" s="511" t="str">
        <f t="shared" si="577"/>
        <v/>
      </c>
      <c r="AC790" s="698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698"/>
      <c r="AE790" s="631" t="str">
        <f t="shared" si="578"/>
        <v/>
      </c>
      <c r="AF790" s="699" t="str">
        <f t="shared" si="579"/>
        <v/>
      </c>
      <c r="AG790" s="699"/>
      <c r="AH790" s="699"/>
      <c r="AI790" s="512">
        <f>IF(H790="credit",0,IF(AE790="free",0,IF(AE790="me",0,IF(G790&gt;0,(VLOOKUP(A790,'Discount Lookup'!J:K,2)*G790),0))))</f>
        <v>0</v>
      </c>
      <c r="AJ790" s="513" t="str">
        <f t="shared" ca="1" si="580"/>
        <v/>
      </c>
      <c r="AK790" s="700" t="str">
        <f t="shared" si="581"/>
        <v/>
      </c>
      <c r="AL790" s="700"/>
      <c r="AM790" s="505" t="str">
        <f t="shared" si="582"/>
        <v/>
      </c>
      <c r="AN790" s="506"/>
      <c r="AO790" s="507"/>
      <c r="AP790" s="507"/>
      <c r="AQ790" s="507"/>
      <c r="AR790" s="507"/>
      <c r="AS790" s="507"/>
      <c r="AT790" s="507"/>
      <c r="AU790" s="507"/>
      <c r="AV790" s="225"/>
      <c r="AW790" s="508"/>
      <c r="AX790" s="225"/>
      <c r="AY790" s="225"/>
      <c r="AZ790" s="225"/>
      <c r="BA790" s="225"/>
      <c r="BB790" s="225"/>
      <c r="BC790" s="56"/>
      <c r="BD790" s="56"/>
      <c r="BE790" s="56"/>
      <c r="BF790" s="107" t="str">
        <f t="shared" si="583"/>
        <v>https://www.google.com/search?tbm=isch&amp;q=Christmas%20Jewel%20has%20painless%20blunt%20spines.%20Self-pollinating%20female%20produces%20large%20berries%20by%20Christmas%20</v>
      </c>
      <c r="BG790" s="107" t="str">
        <f t="shared" si="584"/>
        <v>C</v>
      </c>
      <c r="BH790" s="254"/>
      <c r="BI790" s="254"/>
    </row>
    <row r="791" spans="1:61" customFormat="1" ht="18" x14ac:dyDescent="0.25">
      <c r="A791" s="523" t="s">
        <v>5376</v>
      </c>
      <c r="B791" s="235"/>
      <c r="C791" s="676"/>
      <c r="D791" s="255" t="s">
        <v>530</v>
      </c>
      <c r="E791" s="236"/>
      <c r="F791" s="236"/>
      <c r="G791" s="236"/>
      <c r="H791" s="582" t="s">
        <v>3139</v>
      </c>
      <c r="I791" s="498" t="s">
        <v>3140</v>
      </c>
      <c r="J791" s="237"/>
      <c r="K791" s="237"/>
      <c r="L791" s="274"/>
      <c r="M791" s="668" t="s">
        <v>4962</v>
      </c>
      <c r="N791" s="681" t="str">
        <f>IF(AND(ISTEXT($A791), ISERROR($A791+0)), HYPERLINK($BF791, "Images"), "")</f>
        <v>Images</v>
      </c>
      <c r="O791" s="663" t="s">
        <v>4969</v>
      </c>
      <c r="P791" s="253"/>
      <c r="Q791" s="238"/>
      <c r="R791" s="239"/>
      <c r="S791" s="275"/>
      <c r="T791" s="508">
        <f t="shared" si="572"/>
        <v>0</v>
      </c>
      <c r="U791" s="225" t="str">
        <f>IF(NOT(ISNUMBER(G791)), "", VLOOKUP(A791,'Discount Lookup'!D:E,2,FALSE)*G791)</f>
        <v/>
      </c>
      <c r="V791" s="225" t="str">
        <f>IF(NOT(ISNUMBER(G791)), "", VLOOKUP(A791,'Discount Lookup'!G:H,2,FALSE)*G791)</f>
        <v/>
      </c>
      <c r="W791" s="508">
        <f t="shared" si="573"/>
        <v>0</v>
      </c>
      <c r="X791" s="508" t="str">
        <f t="shared" si="574"/>
        <v>Violet-Blue bloom, Orange eye</v>
      </c>
      <c r="Y791" s="509" t="b">
        <f t="shared" si="575"/>
        <v>0</v>
      </c>
      <c r="Z791" s="510">
        <f t="shared" si="576"/>
        <v>0</v>
      </c>
      <c r="AA791" s="511"/>
      <c r="AB791" s="511" t="str">
        <f t="shared" si="577"/>
        <v/>
      </c>
      <c r="AC791" s="698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698"/>
      <c r="AE791" s="631" t="str">
        <f t="shared" si="578"/>
        <v/>
      </c>
      <c r="AF791" s="699" t="str">
        <f t="shared" si="579"/>
        <v/>
      </c>
      <c r="AG791" s="699"/>
      <c r="AH791" s="699"/>
      <c r="AI791" s="512">
        <f>IF(H791="credit",0,IF(AE791="free",0,IF(AE791="me",0,IF(G791&gt;0,(VLOOKUP(A791,'Discount Lookup'!J:K,2)*G791),0))))</f>
        <v>0</v>
      </c>
      <c r="AJ791" s="513" t="str">
        <f t="shared" ca="1" si="580"/>
        <v/>
      </c>
      <c r="AK791" s="700" t="str">
        <f t="shared" si="581"/>
        <v/>
      </c>
      <c r="AL791" s="700"/>
      <c r="AM791" s="505" t="str">
        <f t="shared" si="582"/>
        <v/>
      </c>
      <c r="AN791" s="506"/>
      <c r="AO791" s="507"/>
      <c r="AP791" s="507"/>
      <c r="AQ791" s="507"/>
      <c r="AR791" s="507"/>
      <c r="AS791" s="507"/>
      <c r="AT791" s="507"/>
      <c r="AU791" s="507"/>
      <c r="AV791" s="225"/>
      <c r="AW791" s="508"/>
      <c r="AX791" s="225"/>
      <c r="AY791" s="225"/>
      <c r="AZ791" s="225"/>
      <c r="BA791" s="225"/>
      <c r="BB791" s="225"/>
      <c r="BC791" s="56"/>
      <c r="BD791" s="56"/>
      <c r="BE791" s="56"/>
      <c r="BF791" s="107" t="str">
        <f t="shared" si="583"/>
        <v>https://www.google.com/search?tbm=isch&amp;q=Chrysalis%E2%84%A2%20Blue%20Butterfly%20Bush%20Buddleia%20%27Balchrylu%27%20PP%2333842</v>
      </c>
      <c r="BG791" s="107" t="str">
        <f t="shared" si="584"/>
        <v>C</v>
      </c>
      <c r="BH791" s="254"/>
      <c r="BI791" s="254"/>
    </row>
    <row r="792" spans="1:61" customFormat="1" ht="15.75" x14ac:dyDescent="0.25">
      <c r="A792" s="276">
        <v>4</v>
      </c>
      <c r="B792" s="240" t="s">
        <v>340</v>
      </c>
      <c r="C792" s="241"/>
      <c r="D792" s="242" t="s">
        <v>312</v>
      </c>
      <c r="E792" s="243">
        <v>15.95</v>
      </c>
      <c r="F792" s="517" t="s">
        <v>293</v>
      </c>
      <c r="G792" s="232">
        <v>0</v>
      </c>
      <c r="H792" s="661" t="str">
        <f>IF(G792=0,"",IF(F792="Buy",IF(G792=1,"plant","plants"),IF(F792&gt;0.01,"warranty","Error")))</f>
        <v/>
      </c>
      <c r="I792" s="244">
        <f>IF(H792="free",0,IF(H792="credit",((E792*(F792))*G792*-1),IF(F792="Buy",(E792*G792),((E792*(1-F792))*G792))))</f>
        <v>0</v>
      </c>
      <c r="J792" s="244">
        <f>IF(H792="warranty",0,(I792*(_xlfn.SINGLE(SalesTaxPercentage))))</f>
        <v>0</v>
      </c>
      <c r="K792" s="696">
        <f t="shared" ref="K792" si="590">I792+J792</f>
        <v>0</v>
      </c>
      <c r="L792" s="696"/>
      <c r="M792" s="659" t="str">
        <f>IF(AND(G792&gt;0,E792=0),"WARNING - no PRICE inserted",IF(H792="free"," FREE ~ no charge this plant",IF(H792="credit",CONCATENATE(" -$",ROUND(K792*(1-T2GDiscount)*-1,2)," CREDIT after discount"),IF(T2GDiscount=0,"",IF(G792=0,"",IF(F792="Buy",CONCATENATE(" $",ROUND(K792*(1-T2GDiscount),2)," with ",(T2GDiscount*100),"% discount"),CONCATENATE(" $",ROUND(K792*(1-T2GDiscount),2)," with ",((T2GDiscount*100+F792*100)-(T2GDiscount*100*F792)),IF(F792&gt;0,"% discounts",IF(NoWarrantyDiscount&gt;0,"% discounts","% discount")))))))))</f>
        <v/>
      </c>
      <c r="N792" s="660"/>
      <c r="O792" s="233"/>
      <c r="P792" s="233"/>
      <c r="Q792" s="233"/>
      <c r="R792" s="233"/>
      <c r="S792" s="233"/>
      <c r="T792" s="508">
        <f t="shared" si="572"/>
        <v>0</v>
      </c>
      <c r="U792" s="225">
        <f>IF(NOT(ISNUMBER(G792)), "", VLOOKUP(A792,'Discount Lookup'!D:E,2,FALSE)*G792)</f>
        <v>0</v>
      </c>
      <c r="V792" s="225">
        <f>IF(NOT(ISNUMBER(G792)), "", VLOOKUP(A792,'Discount Lookup'!G:H,2,FALSE)*G792)</f>
        <v>0</v>
      </c>
      <c r="W792" s="508">
        <f t="shared" si="573"/>
        <v>0</v>
      </c>
      <c r="X792" s="508">
        <f t="shared" si="574"/>
        <v>0</v>
      </c>
      <c r="Y792" s="509" t="b">
        <f t="shared" si="575"/>
        <v>0</v>
      </c>
      <c r="Z792" s="510">
        <f t="shared" si="576"/>
        <v>0</v>
      </c>
      <c r="AA792" s="511"/>
      <c r="AB792" s="511" t="str">
        <f t="shared" si="577"/>
        <v/>
      </c>
      <c r="AC792" s="698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698"/>
      <c r="AE792" s="631" t="str">
        <f t="shared" si="578"/>
        <v/>
      </c>
      <c r="AF792" s="699" t="str">
        <f t="shared" si="579"/>
        <v/>
      </c>
      <c r="AG792" s="699"/>
      <c r="AH792" s="699"/>
      <c r="AI792" s="512">
        <f>IF(H792="credit",0,IF(AE792="free",0,IF(AE792="me",0,IF(G792&gt;0,(VLOOKUP(A792,'Discount Lookup'!J:K,2)*G792),0))))</f>
        <v>0</v>
      </c>
      <c r="AJ792" s="513" t="str">
        <f t="shared" ca="1" si="580"/>
        <v/>
      </c>
      <c r="AK792" s="700" t="str">
        <f t="shared" si="581"/>
        <v/>
      </c>
      <c r="AL792" s="700"/>
      <c r="AM792" s="505" t="str">
        <f t="shared" si="582"/>
        <v/>
      </c>
      <c r="AN792" s="506"/>
      <c r="AO792" s="507"/>
      <c r="AP792" s="507"/>
      <c r="AQ792" s="507"/>
      <c r="AR792" s="507"/>
      <c r="AS792" s="507"/>
      <c r="AT792" s="507"/>
      <c r="AU792" s="507"/>
      <c r="AV792" s="225"/>
      <c r="AW792" s="508"/>
      <c r="AX792" s="225"/>
      <c r="AY792" s="225"/>
      <c r="AZ792" s="225"/>
      <c r="BA792" s="225"/>
      <c r="BB792" s="225"/>
      <c r="BC792" s="56"/>
      <c r="BD792" s="56"/>
      <c r="BE792" s="56"/>
      <c r="BF792" s="107" t="str">
        <f t="shared" si="583"/>
        <v>https://www.google.com/search?tbm=isch&amp;q=4%20G2</v>
      </c>
      <c r="BG792" s="107" t="str">
        <f t="shared" si="584"/>
        <v>C</v>
      </c>
      <c r="BH792" s="254"/>
      <c r="BI792" s="254"/>
    </row>
    <row r="793" spans="1:61" customFormat="1" ht="17.25" thickBot="1" x14ac:dyDescent="0.3">
      <c r="A793" s="524" t="s">
        <v>4070</v>
      </c>
      <c r="B793" s="245"/>
      <c r="C793" s="677"/>
      <c r="D793" s="499"/>
      <c r="E793" s="499"/>
      <c r="F793" s="500"/>
      <c r="G793" s="501"/>
      <c r="H793" s="502"/>
      <c r="I793" s="246"/>
      <c r="J793" s="247"/>
      <c r="K793" s="503"/>
      <c r="L793" s="544"/>
      <c r="M793" s="544"/>
      <c r="N793" s="500"/>
      <c r="O793" s="500"/>
      <c r="P793" s="500"/>
      <c r="Q793" s="500"/>
      <c r="R793" s="500"/>
      <c r="S793" s="669" t="s">
        <v>4980</v>
      </c>
      <c r="T793" s="508">
        <f t="shared" si="572"/>
        <v>0</v>
      </c>
      <c r="U793" s="225" t="str">
        <f>IF(NOT(ISNUMBER(G793)), "", VLOOKUP(A793,'Discount Lookup'!D:E,2,FALSE)*G793)</f>
        <v/>
      </c>
      <c r="V793" s="225" t="str">
        <f>IF(NOT(ISNUMBER(G793)), "", VLOOKUP(A793,'Discount Lookup'!G:H,2,FALSE)*G793)</f>
        <v/>
      </c>
      <c r="W793" s="508">
        <f t="shared" si="573"/>
        <v>0</v>
      </c>
      <c r="X793" s="508">
        <f t="shared" si="574"/>
        <v>0</v>
      </c>
      <c r="Y793" s="509" t="b">
        <f t="shared" si="575"/>
        <v>0</v>
      </c>
      <c r="Z793" s="510">
        <f t="shared" si="576"/>
        <v>0</v>
      </c>
      <c r="AA793" s="511"/>
      <c r="AB793" s="511" t="str">
        <f t="shared" si="577"/>
        <v/>
      </c>
      <c r="AC793" s="698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698"/>
      <c r="AE793" s="631" t="str">
        <f t="shared" si="578"/>
        <v/>
      </c>
      <c r="AF793" s="699" t="str">
        <f t="shared" si="579"/>
        <v/>
      </c>
      <c r="AG793" s="699"/>
      <c r="AH793" s="699"/>
      <c r="AI793" s="512">
        <f>IF(H793="credit",0,IF(AE793="free",0,IF(AE793="me",0,IF(G793&gt;0,(VLOOKUP(A793,'Discount Lookup'!J:K,2)*G793),0))))</f>
        <v>0</v>
      </c>
      <c r="AJ793" s="513" t="str">
        <f t="shared" ca="1" si="580"/>
        <v/>
      </c>
      <c r="AK793" s="700" t="str">
        <f t="shared" si="581"/>
        <v/>
      </c>
      <c r="AL793" s="700"/>
      <c r="AM793" s="505" t="str">
        <f t="shared" si="582"/>
        <v/>
      </c>
      <c r="AN793" s="506"/>
      <c r="AO793" s="507"/>
      <c r="AP793" s="507"/>
      <c r="AQ793" s="507"/>
      <c r="AR793" s="507"/>
      <c r="AS793" s="507"/>
      <c r="AT793" s="507"/>
      <c r="AU793" s="507"/>
      <c r="AV793" s="225"/>
      <c r="AW793" s="508"/>
      <c r="AX793" s="225"/>
      <c r="AY793" s="225"/>
      <c r="AZ793" s="225"/>
      <c r="BA793" s="225"/>
      <c r="BB793" s="225"/>
      <c r="BC793" s="56"/>
      <c r="BD793" s="56"/>
      <c r="BE793" s="56"/>
      <c r="BF793" s="107" t="str">
        <f t="shared" si="583"/>
        <v>https://www.google.com/search?tbm=isch&amp;q=Chrysalis%20Blue%20has%20Grey-Green%20foliage.%20%20All%20BB%20bloom%20summer%20to%20frost%2C%20on%20new%20wood%2C%20so%20cut%20back%20hard%20late%20winter%20</v>
      </c>
      <c r="BG793" s="107" t="str">
        <f t="shared" si="584"/>
        <v>C</v>
      </c>
      <c r="BH793" s="254"/>
      <c r="BI793" s="254"/>
    </row>
    <row r="794" spans="1:61" customFormat="1" ht="18" x14ac:dyDescent="0.25">
      <c r="A794" s="523" t="s">
        <v>639</v>
      </c>
      <c r="B794" s="235"/>
      <c r="C794" s="676"/>
      <c r="D794" s="255" t="s">
        <v>638</v>
      </c>
      <c r="E794" s="236"/>
      <c r="F794" s="236"/>
      <c r="G794" s="236"/>
      <c r="H794" s="582" t="s">
        <v>394</v>
      </c>
      <c r="I794" s="498" t="s">
        <v>4223</v>
      </c>
      <c r="J794" s="237"/>
      <c r="K794" s="237"/>
      <c r="L794" s="274"/>
      <c r="M794" s="670" t="s">
        <v>4987</v>
      </c>
      <c r="N794" s="681" t="str">
        <f>IF(AND(ISTEXT($A794), ISERROR($A794+0)), HYPERLINK($BF794, "Images"), "")</f>
        <v>Images</v>
      </c>
      <c r="O794" s="663" t="s">
        <v>4969</v>
      </c>
      <c r="P794" s="253"/>
      <c r="Q794" s="238"/>
      <c r="R794" s="239"/>
      <c r="S794" s="275"/>
      <c r="T794" s="508">
        <f t="shared" si="572"/>
        <v>0</v>
      </c>
      <c r="U794" s="225" t="str">
        <f>IF(NOT(ISNUMBER(G794)), "", VLOOKUP(A794,'Discount Lookup'!D:E,2,FALSE)*G794)</f>
        <v/>
      </c>
      <c r="V794" s="225" t="str">
        <f>IF(NOT(ISNUMBER(G794)), "", VLOOKUP(A794,'Discount Lookup'!G:H,2,FALSE)*G794)</f>
        <v/>
      </c>
      <c r="W794" s="508">
        <f t="shared" si="573"/>
        <v>0</v>
      </c>
      <c r="X794" s="508" t="str">
        <f t="shared" si="574"/>
        <v>Green fronds</v>
      </c>
      <c r="Y794" s="509" t="b">
        <f t="shared" si="575"/>
        <v>0</v>
      </c>
      <c r="Z794" s="510">
        <f t="shared" si="576"/>
        <v>0</v>
      </c>
      <c r="AA794" s="511"/>
      <c r="AB794" s="511" t="str">
        <f t="shared" si="577"/>
        <v/>
      </c>
      <c r="AC794" s="698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698"/>
      <c r="AE794" s="631" t="str">
        <f t="shared" si="578"/>
        <v/>
      </c>
      <c r="AF794" s="699" t="str">
        <f t="shared" si="579"/>
        <v/>
      </c>
      <c r="AG794" s="699"/>
      <c r="AH794" s="699"/>
      <c r="AI794" s="512">
        <f>IF(H794="credit",0,IF(AE794="free",0,IF(AE794="me",0,IF(G794&gt;0,(VLOOKUP(A794,'Discount Lookup'!J:K,2)*G794),0))))</f>
        <v>0</v>
      </c>
      <c r="AJ794" s="513" t="str">
        <f t="shared" ca="1" si="580"/>
        <v/>
      </c>
      <c r="AK794" s="700" t="str">
        <f t="shared" si="581"/>
        <v/>
      </c>
      <c r="AL794" s="700"/>
      <c r="AM794" s="505" t="str">
        <f t="shared" si="582"/>
        <v/>
      </c>
      <c r="AN794" s="506"/>
      <c r="AO794" s="507"/>
      <c r="AP794" s="507"/>
      <c r="AQ794" s="507"/>
      <c r="AR794" s="507"/>
      <c r="AS794" s="507"/>
      <c r="AT794" s="507"/>
      <c r="AU794" s="507"/>
      <c r="AV794" s="225"/>
      <c r="AW794" s="508"/>
      <c r="AX794" s="225"/>
      <c r="AY794" s="225"/>
      <c r="AZ794" s="225"/>
      <c r="BA794" s="225"/>
      <c r="BB794" s="225"/>
      <c r="BC794" s="56"/>
      <c r="BD794" s="56"/>
      <c r="BE794" s="56"/>
      <c r="BF794" s="107" t="str">
        <f t="shared" si="583"/>
        <v>https://www.google.com/search?tbm=isch&amp;q=Cinnamon%20Fern%20Osmunda%20cinnamomea</v>
      </c>
      <c r="BG794" s="107" t="str">
        <f t="shared" si="584"/>
        <v>C</v>
      </c>
      <c r="BH794" s="254"/>
      <c r="BI794" s="254"/>
    </row>
    <row r="795" spans="1:61" customFormat="1" ht="15.75" x14ac:dyDescent="0.25">
      <c r="A795" s="276">
        <v>1</v>
      </c>
      <c r="B795" s="240" t="s">
        <v>291</v>
      </c>
      <c r="C795" s="241"/>
      <c r="D795" s="242" t="s">
        <v>312</v>
      </c>
      <c r="E795" s="243">
        <v>11.95</v>
      </c>
      <c r="F795" s="517" t="s">
        <v>293</v>
      </c>
      <c r="G795" s="232">
        <v>0</v>
      </c>
      <c r="H795" s="661" t="str">
        <f>IF(G795=0,"",IF(F795="Buy",IF(G795=1,"plant","plants"),IF(F795&gt;0.01,"warranty","Error")))</f>
        <v/>
      </c>
      <c r="I795" s="244">
        <f>IF(H795="free",0,IF(H795="credit",((E795*(F795))*G795*-1),IF(F795="Buy",(E795*G795),((E795*(1-F795))*G795))))</f>
        <v>0</v>
      </c>
      <c r="J795" s="244">
        <f>IF(H795="warranty",0,(I795*(_xlfn.SINGLE(SalesTaxPercentage))))</f>
        <v>0</v>
      </c>
      <c r="K795" s="696">
        <f t="shared" ref="K795" si="591">I795+J795</f>
        <v>0</v>
      </c>
      <c r="L795" s="696"/>
      <c r="M795" s="659" t="str">
        <f>IF(AND(G795&gt;0,E795=0),"WARNING - no PRICE inserted",IF(H795="free"," FREE ~ no charge this plant",IF(H795="credit",CONCATENATE(" -$",ROUND(K795*(1-T2GDiscount)*-1,2)," CREDIT after discount"),IF(T2GDiscount=0,"",IF(G795=0,"",IF(F795="Buy",CONCATENATE(" $",ROUND(K795*(1-T2GDiscount),2)," with ",(T2GDiscount*100),"% discount"),CONCATENATE(" $",ROUND(K795*(1-T2GDiscount),2)," with ",((T2GDiscount*100+F795*100)-(T2GDiscount*100*F795)),IF(F795&gt;0,"% discounts",IF(NoWarrantyDiscount&gt;0,"% discounts","% discount")))))))))</f>
        <v/>
      </c>
      <c r="N795" s="660"/>
      <c r="O795" s="233"/>
      <c r="P795" s="233"/>
      <c r="Q795" s="233"/>
      <c r="R795" s="233"/>
      <c r="S795" s="233"/>
      <c r="T795" s="508">
        <f t="shared" si="572"/>
        <v>0</v>
      </c>
      <c r="U795" s="225">
        <f>IF(NOT(ISNUMBER(G795)), "", VLOOKUP(A795,'Discount Lookup'!D:E,2,FALSE)*G795)</f>
        <v>0</v>
      </c>
      <c r="V795" s="225">
        <f>IF(NOT(ISNUMBER(G795)), "", VLOOKUP(A795,'Discount Lookup'!G:H,2,FALSE)*G795)</f>
        <v>0</v>
      </c>
      <c r="W795" s="508">
        <f t="shared" si="573"/>
        <v>0</v>
      </c>
      <c r="X795" s="508">
        <f t="shared" si="574"/>
        <v>0</v>
      </c>
      <c r="Y795" s="509" t="b">
        <f t="shared" si="575"/>
        <v>0</v>
      </c>
      <c r="Z795" s="510">
        <f t="shared" si="576"/>
        <v>0</v>
      </c>
      <c r="AA795" s="511"/>
      <c r="AB795" s="511" t="str">
        <f t="shared" si="577"/>
        <v/>
      </c>
      <c r="AC795" s="698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698"/>
      <c r="AE795" s="631" t="str">
        <f t="shared" si="578"/>
        <v/>
      </c>
      <c r="AF795" s="699" t="str">
        <f t="shared" si="579"/>
        <v/>
      </c>
      <c r="AG795" s="699"/>
      <c r="AH795" s="699"/>
      <c r="AI795" s="512">
        <f>IF(H795="credit",0,IF(AE795="free",0,IF(AE795="me",0,IF(G795&gt;0,(VLOOKUP(A795,'Discount Lookup'!J:K,2)*G795),0))))</f>
        <v>0</v>
      </c>
      <c r="AJ795" s="513" t="str">
        <f t="shared" ca="1" si="580"/>
        <v/>
      </c>
      <c r="AK795" s="700" t="str">
        <f t="shared" si="581"/>
        <v/>
      </c>
      <c r="AL795" s="700"/>
      <c r="AM795" s="505" t="str">
        <f t="shared" si="582"/>
        <v/>
      </c>
      <c r="AN795" s="506"/>
      <c r="AO795" s="507"/>
      <c r="AP795" s="507"/>
      <c r="AQ795" s="507"/>
      <c r="AR795" s="507"/>
      <c r="AS795" s="507"/>
      <c r="AT795" s="507"/>
      <c r="AU795" s="507"/>
      <c r="AV795" s="225"/>
      <c r="AW795" s="508"/>
      <c r="AX795" s="225"/>
      <c r="AY795" s="225"/>
      <c r="AZ795" s="225"/>
      <c r="BA795" s="225"/>
      <c r="BB795" s="225"/>
      <c r="BC795" s="56"/>
      <c r="BD795" s="56"/>
      <c r="BE795" s="56"/>
      <c r="BF795" s="107" t="str">
        <f t="shared" si="583"/>
        <v>https://www.google.com/search?tbm=isch&amp;q=1%20G2</v>
      </c>
      <c r="BG795" s="107" t="str">
        <f t="shared" si="584"/>
        <v>C</v>
      </c>
      <c r="BH795" s="254"/>
      <c r="BI795" s="254"/>
    </row>
    <row r="796" spans="1:61" customFormat="1" ht="17.25" thickBot="1" x14ac:dyDescent="0.3">
      <c r="A796" s="673" t="s">
        <v>5082</v>
      </c>
      <c r="B796" s="245"/>
      <c r="C796" s="677"/>
      <c r="D796" s="499"/>
      <c r="E796" s="499"/>
      <c r="F796" s="500"/>
      <c r="G796" s="501"/>
      <c r="H796" s="502"/>
      <c r="I796" s="246"/>
      <c r="J796" s="247"/>
      <c r="K796" s="503"/>
      <c r="L796" s="544"/>
      <c r="M796" s="544"/>
      <c r="N796" s="500"/>
      <c r="O796" s="500"/>
      <c r="P796" s="500"/>
      <c r="Q796" s="500"/>
      <c r="R796" s="500"/>
      <c r="S796" s="669" t="s">
        <v>4993</v>
      </c>
      <c r="T796" s="508">
        <f t="shared" si="572"/>
        <v>0</v>
      </c>
      <c r="U796" s="225" t="str">
        <f>IF(NOT(ISNUMBER(G796)), "", VLOOKUP(A796,'Discount Lookup'!D:E,2,FALSE)*G796)</f>
        <v/>
      </c>
      <c r="V796" s="225" t="str">
        <f>IF(NOT(ISNUMBER(G796)), "", VLOOKUP(A796,'Discount Lookup'!G:H,2,FALSE)*G796)</f>
        <v/>
      </c>
      <c r="W796" s="508">
        <f t="shared" si="573"/>
        <v>0</v>
      </c>
      <c r="X796" s="508">
        <f t="shared" si="574"/>
        <v>0</v>
      </c>
      <c r="Y796" s="509" t="b">
        <f t="shared" si="575"/>
        <v>0</v>
      </c>
      <c r="Z796" s="510">
        <f t="shared" si="576"/>
        <v>0</v>
      </c>
      <c r="AA796" s="511"/>
      <c r="AB796" s="511" t="str">
        <f t="shared" si="577"/>
        <v/>
      </c>
      <c r="AC796" s="698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698"/>
      <c r="AE796" s="631" t="str">
        <f t="shared" si="578"/>
        <v/>
      </c>
      <c r="AF796" s="699" t="str">
        <f t="shared" si="579"/>
        <v/>
      </c>
      <c r="AG796" s="699"/>
      <c r="AH796" s="699"/>
      <c r="AI796" s="512">
        <f>IF(H796="credit",0,IF(AE796="free",0,IF(AE796="me",0,IF(G796&gt;0,(VLOOKUP(A796,'Discount Lookup'!J:K,2)*G796),0))))</f>
        <v>0</v>
      </c>
      <c r="AJ796" s="513" t="str">
        <f t="shared" ca="1" si="580"/>
        <v/>
      </c>
      <c r="AK796" s="700" t="str">
        <f t="shared" si="581"/>
        <v/>
      </c>
      <c r="AL796" s="700"/>
      <c r="AM796" s="505" t="str">
        <f t="shared" si="582"/>
        <v/>
      </c>
      <c r="AN796" s="506"/>
      <c r="AO796" s="507"/>
      <c r="AP796" s="507"/>
      <c r="AQ796" s="507"/>
      <c r="AR796" s="507"/>
      <c r="AS796" s="507"/>
      <c r="AT796" s="507"/>
      <c r="AU796" s="507"/>
      <c r="AV796" s="225"/>
      <c r="AW796" s="508"/>
      <c r="AX796" s="225"/>
      <c r="AY796" s="225"/>
      <c r="AZ796" s="225"/>
      <c r="BA796" s="225"/>
      <c r="BB796" s="225"/>
      <c r="BC796" s="56"/>
      <c r="BD796" s="56"/>
      <c r="BE796" s="56"/>
      <c r="BF796" s="107" t="str">
        <f t="shared" si="583"/>
        <v>https://www.google.com/search?tbm=isch&amp;q=moist%20sites%F0%9F%92%A7GOOD%2C%20Cinnamon%20fern%20sends%20up%20striking%20Cinnamon-Brown%20fertile%20fronds%20among%20tall%20Green%20fronds%20in%20spring%20</v>
      </c>
      <c r="BG796" s="107" t="str">
        <f t="shared" si="584"/>
        <v>m</v>
      </c>
      <c r="BH796" s="254"/>
      <c r="BI796" s="254"/>
    </row>
    <row r="797" spans="1:61" customFormat="1" ht="18" x14ac:dyDescent="0.25">
      <c r="A797" s="521" t="s">
        <v>5585</v>
      </c>
      <c r="B797" s="477"/>
      <c r="C797" s="674"/>
      <c r="D797" s="478" t="s">
        <v>872</v>
      </c>
      <c r="E797" s="479"/>
      <c r="F797" s="479"/>
      <c r="G797" s="479"/>
      <c r="H797" s="582" t="s">
        <v>873</v>
      </c>
      <c r="I797" s="480" t="s">
        <v>2092</v>
      </c>
      <c r="J797" s="479"/>
      <c r="K797" s="479"/>
      <c r="L797" s="560"/>
      <c r="M797" s="666" t="s">
        <v>4966</v>
      </c>
      <c r="N797" s="680" t="str">
        <f>IF(AND(ISTEXT($A797), ISERROR($A797+0)), HYPERLINK($BF797, "Images"), "")</f>
        <v>Images</v>
      </c>
      <c r="O797" s="662" t="s">
        <v>4969</v>
      </c>
      <c r="P797" s="482"/>
      <c r="Q797" s="483"/>
      <c r="R797" s="483"/>
      <c r="S797" s="484"/>
      <c r="T797" s="508">
        <f t="shared" si="572"/>
        <v>0</v>
      </c>
      <c r="U797" s="225" t="str">
        <f>IF(NOT(ISNUMBER(G797)), "", VLOOKUP(A797,'Discount Lookup'!D:E,2,FALSE)*G797)</f>
        <v/>
      </c>
      <c r="V797" s="225" t="str">
        <f>IF(NOT(ISNUMBER(G797)), "", VLOOKUP(A797,'Discount Lookup'!G:H,2,FALSE)*G797)</f>
        <v/>
      </c>
      <c r="W797" s="508">
        <f t="shared" si="573"/>
        <v>0</v>
      </c>
      <c r="X797" s="508" t="str">
        <f t="shared" si="574"/>
        <v>Blue-Green foliage</v>
      </c>
      <c r="Y797" s="509" t="b">
        <f t="shared" si="575"/>
        <v>0</v>
      </c>
      <c r="Z797" s="510">
        <f t="shared" si="576"/>
        <v>0</v>
      </c>
      <c r="AA797" s="511"/>
      <c r="AB797" s="511" t="str">
        <f t="shared" si="577"/>
        <v/>
      </c>
      <c r="AC797" s="698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698"/>
      <c r="AE797" s="631" t="str">
        <f t="shared" si="578"/>
        <v/>
      </c>
      <c r="AF797" s="699" t="str">
        <f t="shared" si="579"/>
        <v/>
      </c>
      <c r="AG797" s="699"/>
      <c r="AH797" s="699"/>
      <c r="AI797" s="512">
        <f>IF(H797="credit",0,IF(AE797="free",0,IF(AE797="me",0,IF(G797&gt;0,(VLOOKUP(A797,'Discount Lookup'!J:K,2)*G797),0))))</f>
        <v>0</v>
      </c>
      <c r="AJ797" s="513" t="str">
        <f t="shared" ca="1" si="580"/>
        <v/>
      </c>
      <c r="AK797" s="700" t="str">
        <f t="shared" si="581"/>
        <v/>
      </c>
      <c r="AL797" s="700"/>
      <c r="AM797" s="505" t="str">
        <f t="shared" si="582"/>
        <v/>
      </c>
      <c r="AN797" s="506"/>
      <c r="AO797" s="507"/>
      <c r="AP797" s="507"/>
      <c r="AQ797" s="507"/>
      <c r="AR797" s="507"/>
      <c r="AS797" s="507"/>
      <c r="AT797" s="507"/>
      <c r="AU797" s="507"/>
      <c r="AV797" s="225"/>
      <c r="AW797" s="508"/>
      <c r="AX797" s="225"/>
      <c r="AY797" s="225"/>
      <c r="AZ797" s="225"/>
      <c r="BA797" s="225"/>
      <c r="BB797" s="225"/>
      <c r="BC797" s="56"/>
      <c r="BD797" s="56"/>
      <c r="BE797" s="56"/>
      <c r="BF797" s="107" t="str">
        <f t="shared" si="583"/>
        <v>https://www.google.com/search?tbm=isch&amp;q=Cinnamon%20Girl%C2%AE%20Distylium%20%28FE%C2%AE%29%20Distylium%20%27PIIDIST-V%27%20PP%2327631</v>
      </c>
      <c r="BG797" s="107" t="str">
        <f t="shared" si="584"/>
        <v>C</v>
      </c>
      <c r="BH797" s="254"/>
      <c r="BI797" s="254"/>
    </row>
    <row r="798" spans="1:61" customFormat="1" ht="15.75" x14ac:dyDescent="0.25">
      <c r="A798" s="485">
        <v>3</v>
      </c>
      <c r="B798" s="486" t="s">
        <v>291</v>
      </c>
      <c r="C798" s="487"/>
      <c r="D798" s="488" t="s">
        <v>298</v>
      </c>
      <c r="E798" s="489">
        <v>34.950000000000003</v>
      </c>
      <c r="F798" s="516" t="s">
        <v>293</v>
      </c>
      <c r="G798" s="232">
        <v>0</v>
      </c>
      <c r="H798" s="658" t="str">
        <f>IF(G798=0,"",IF(F798="Buy",IF(G798=1,"plant","plants"),IF(F798&gt;0.01,"warranty","Error")))</f>
        <v/>
      </c>
      <c r="I798" s="490">
        <f>IF(H798="free",0,IF(H798="credit",((E798*(F798))*G798*-1),IF(F798="Buy",(E798*G798),((E798*(1-F798))*G798))))</f>
        <v>0</v>
      </c>
      <c r="J798" s="490">
        <f>IF(H798="warranty",0,(I798*(_xlfn.SINGLE(SalesTaxPercentage))))</f>
        <v>0</v>
      </c>
      <c r="K798" s="695">
        <f t="shared" ref="K798" si="592">I798+J798</f>
        <v>0</v>
      </c>
      <c r="L798" s="695"/>
      <c r="M798" s="659" t="str">
        <f>IF(AND(G798&gt;0,E798=0),"WARNING - no PRICE inserted",IF(H798="free"," FREE ~ no charge this plant",IF(H798="credit",CONCATENATE(" -$",ROUND(K798*(1-T2GDiscount)*-1,2)," CREDIT after discount"),IF(T2GDiscount=0,"",IF(G798=0,"",IF(F798="Buy",CONCATENATE(" $",ROUND(K798*(1-T2GDiscount),2)," with ",(T2GDiscount*100),"% discount"),CONCATENATE(" $",ROUND(K798*(1-T2GDiscount),2)," with ",((T2GDiscount*100+F798*100)-(T2GDiscount*100*F798)),IF(F798&gt;0,"% discounts",IF(NoWarrantyDiscount&gt;0,"% discounts","% discount")))))))))</f>
        <v/>
      </c>
      <c r="N798" s="660"/>
      <c r="O798" s="233"/>
      <c r="P798" s="233"/>
      <c r="Q798" s="233"/>
      <c r="R798" s="233"/>
      <c r="S798" s="233"/>
      <c r="T798" s="508">
        <f t="shared" si="572"/>
        <v>0</v>
      </c>
      <c r="U798" s="225">
        <f>IF(NOT(ISNUMBER(G798)), "", VLOOKUP(A798,'Discount Lookup'!D:E,2,FALSE)*G798)</f>
        <v>0</v>
      </c>
      <c r="V798" s="225">
        <f>IF(NOT(ISNUMBER(G798)), "", VLOOKUP(A798,'Discount Lookup'!G:H,2,FALSE)*G798)</f>
        <v>0</v>
      </c>
      <c r="W798" s="508">
        <f t="shared" si="573"/>
        <v>0</v>
      </c>
      <c r="X798" s="508">
        <f t="shared" si="574"/>
        <v>0</v>
      </c>
      <c r="Y798" s="509" t="b">
        <f t="shared" si="575"/>
        <v>0</v>
      </c>
      <c r="Z798" s="510">
        <f t="shared" si="576"/>
        <v>0</v>
      </c>
      <c r="AA798" s="511"/>
      <c r="AB798" s="511" t="str">
        <f t="shared" si="577"/>
        <v/>
      </c>
      <c r="AC798" s="698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698"/>
      <c r="AE798" s="631" t="str">
        <f t="shared" si="578"/>
        <v/>
      </c>
      <c r="AF798" s="699" t="str">
        <f t="shared" si="579"/>
        <v/>
      </c>
      <c r="AG798" s="699"/>
      <c r="AH798" s="699"/>
      <c r="AI798" s="512">
        <f>IF(H798="credit",0,IF(AE798="free",0,IF(AE798="me",0,IF(G798&gt;0,(VLOOKUP(A798,'Discount Lookup'!J:K,2)*G798),0))))</f>
        <v>0</v>
      </c>
      <c r="AJ798" s="513" t="str">
        <f t="shared" ca="1" si="580"/>
        <v/>
      </c>
      <c r="AK798" s="700" t="str">
        <f t="shared" si="581"/>
        <v/>
      </c>
      <c r="AL798" s="700"/>
      <c r="AM798" s="505" t="str">
        <f t="shared" si="582"/>
        <v/>
      </c>
      <c r="AN798" s="506"/>
      <c r="AO798" s="507"/>
      <c r="AP798" s="507"/>
      <c r="AQ798" s="507"/>
      <c r="AR798" s="507"/>
      <c r="AS798" s="507"/>
      <c r="AT798" s="507"/>
      <c r="AU798" s="507"/>
      <c r="AV798" s="225"/>
      <c r="AW798" s="508"/>
      <c r="AX798" s="225"/>
      <c r="AY798" s="225"/>
      <c r="AZ798" s="225"/>
      <c r="BA798" s="225"/>
      <c r="BB798" s="225"/>
      <c r="BC798" s="56"/>
      <c r="BD798" s="56"/>
      <c r="BE798" s="56"/>
      <c r="BF798" s="107" t="str">
        <f t="shared" si="583"/>
        <v>https://www.google.com/search?tbm=isch&amp;q=3%20G1</v>
      </c>
      <c r="BG798" s="107" t="str">
        <f t="shared" si="584"/>
        <v>C</v>
      </c>
      <c r="BH798" s="254"/>
      <c r="BI798" s="254"/>
    </row>
    <row r="799" spans="1:61" customFormat="1" ht="15.75" x14ac:dyDescent="0.25">
      <c r="A799" s="485">
        <v>3</v>
      </c>
      <c r="B799" s="486" t="s">
        <v>291</v>
      </c>
      <c r="C799" s="487" t="s">
        <v>874</v>
      </c>
      <c r="D799" s="488" t="s">
        <v>299</v>
      </c>
      <c r="E799" s="489">
        <v>36.950000000000003</v>
      </c>
      <c r="F799" s="516" t="s">
        <v>293</v>
      </c>
      <c r="G799" s="232">
        <v>0</v>
      </c>
      <c r="H799" s="658" t="str">
        <f>IF(G799=0,"",IF(F799="Buy",IF(G799=1,"plant","plants"),IF(F799&gt;0.01,"warranty","Error")))</f>
        <v/>
      </c>
      <c r="I799" s="490">
        <f>IF(H799="free",0,IF(H799="credit",((E799*(F799))*G799*-1),IF(F799="Buy",(E799*G799),((E799*(1-F799))*G799))))</f>
        <v>0</v>
      </c>
      <c r="J799" s="490">
        <f>IF(H799="warranty",0,(I799*(_xlfn.SINGLE(SalesTaxPercentage))))</f>
        <v>0</v>
      </c>
      <c r="K799" s="695">
        <f t="shared" ref="K799" si="593">I799+J799</f>
        <v>0</v>
      </c>
      <c r="L799" s="695"/>
      <c r="M799" s="659" t="str">
        <f>IF(AND(G799&gt;0,E799=0),"WARNING - no PRICE inserted",IF(H799="free"," FREE ~ no charge this plant",IF(H799="credit",CONCATENATE(" -$",ROUND(K799*(1-T2GDiscount)*-1,2)," CREDIT after discount"),IF(T2GDiscount=0,"",IF(G799=0,"",IF(F799="Buy",CONCATENATE(" $",ROUND(K799*(1-T2GDiscount),2)," with ",(T2GDiscount*100),"% discount"),CONCATENATE(" $",ROUND(K799*(1-T2GDiscount),2)," with ",((T2GDiscount*100+F799*100)-(T2GDiscount*100*F799)),IF(F799&gt;0,"% discounts",IF(NoWarrantyDiscount&gt;0,"% discounts","% discount")))))))))</f>
        <v/>
      </c>
      <c r="N799" s="660"/>
      <c r="O799" s="233"/>
      <c r="P799" s="233"/>
      <c r="Q799" s="233"/>
      <c r="R799" s="233"/>
      <c r="S799" s="233"/>
      <c r="T799" s="508">
        <f t="shared" si="572"/>
        <v>0</v>
      </c>
      <c r="U799" s="225">
        <f>IF(NOT(ISNUMBER(G799)), "", VLOOKUP(A799,'Discount Lookup'!D:E,2,FALSE)*G799)</f>
        <v>0</v>
      </c>
      <c r="V799" s="225">
        <f>IF(NOT(ISNUMBER(G799)), "", VLOOKUP(A799,'Discount Lookup'!G:H,2,FALSE)*G799)</f>
        <v>0</v>
      </c>
      <c r="W799" s="508">
        <f t="shared" si="573"/>
        <v>0</v>
      </c>
      <c r="X799" s="508">
        <f t="shared" si="574"/>
        <v>0</v>
      </c>
      <c r="Y799" s="509" t="b">
        <f t="shared" si="575"/>
        <v>0</v>
      </c>
      <c r="Z799" s="510">
        <f t="shared" si="576"/>
        <v>0</v>
      </c>
      <c r="AA799" s="511"/>
      <c r="AB799" s="511" t="str">
        <f t="shared" si="577"/>
        <v/>
      </c>
      <c r="AC799" s="698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698"/>
      <c r="AE799" s="631" t="str">
        <f t="shared" si="578"/>
        <v/>
      </c>
      <c r="AF799" s="699" t="str">
        <f t="shared" si="579"/>
        <v/>
      </c>
      <c r="AG799" s="699"/>
      <c r="AH799" s="699"/>
      <c r="AI799" s="512">
        <f>IF(H799="credit",0,IF(AE799="free",0,IF(AE799="me",0,IF(G799&gt;0,(VLOOKUP(A799,'Discount Lookup'!J:K,2)*G799),0))))</f>
        <v>0</v>
      </c>
      <c r="AJ799" s="513" t="str">
        <f t="shared" ca="1" si="580"/>
        <v/>
      </c>
      <c r="AK799" s="700" t="str">
        <f t="shared" si="581"/>
        <v/>
      </c>
      <c r="AL799" s="700"/>
      <c r="AM799" s="505" t="str">
        <f t="shared" si="582"/>
        <v/>
      </c>
      <c r="AN799" s="506"/>
      <c r="AO799" s="507"/>
      <c r="AP799" s="507"/>
      <c r="AQ799" s="507"/>
      <c r="AR799" s="507"/>
      <c r="AS799" s="507"/>
      <c r="AT799" s="507"/>
      <c r="AU799" s="507"/>
      <c r="AV799" s="225"/>
      <c r="AW799" s="508"/>
      <c r="AX799" s="225"/>
      <c r="AY799" s="225"/>
      <c r="AZ799" s="225"/>
      <c r="BA799" s="225"/>
      <c r="BB799" s="225"/>
      <c r="BC799" s="56"/>
      <c r="BD799" s="56"/>
      <c r="BE799" s="56"/>
      <c r="BF799" s="107" t="str">
        <f t="shared" si="583"/>
        <v>https://www.google.com/search?tbm=isch&amp;q=3%20G5</v>
      </c>
      <c r="BG799" s="107" t="str">
        <f t="shared" si="584"/>
        <v>C</v>
      </c>
      <c r="BH799" s="254"/>
      <c r="BI799" s="254"/>
    </row>
    <row r="800" spans="1:61" customFormat="1" ht="15.75" x14ac:dyDescent="0.25">
      <c r="A800" s="485">
        <v>3</v>
      </c>
      <c r="B800" s="486" t="s">
        <v>291</v>
      </c>
      <c r="C800" s="487" t="s">
        <v>4747</v>
      </c>
      <c r="D800" s="488" t="s">
        <v>292</v>
      </c>
      <c r="E800" s="489">
        <v>39.950000000000003</v>
      </c>
      <c r="F800" s="516" t="s">
        <v>293</v>
      </c>
      <c r="G800" s="232">
        <v>0</v>
      </c>
      <c r="H800" s="658" t="str">
        <f>IF(G800=0,"",IF(F800="Buy",IF(G800=1,"plant","plants"),IF(F800&gt;0.01,"warranty","Error")))</f>
        <v/>
      </c>
      <c r="I800" s="490">
        <f>IF(H800="free",0,IF(H800="credit",((E800*(F800))*G800*-1),IF(F800="Buy",(E800*G800),((E800*(1-F800))*G800))))</f>
        <v>0</v>
      </c>
      <c r="J800" s="490">
        <f>IF(H800="warranty",0,(I800*(_xlfn.SINGLE(SalesTaxPercentage))))</f>
        <v>0</v>
      </c>
      <c r="K800" s="695">
        <f t="shared" ref="K800" si="594">I800+J800</f>
        <v>0</v>
      </c>
      <c r="L800" s="695"/>
      <c r="M800" s="659" t="str">
        <f>IF(AND(G800&gt;0,E800=0),"WARNING - no PRICE inserted",IF(H800="free"," FREE ~ no charge this plant",IF(H800="credit",CONCATENATE(" -$",ROUND(K800*(1-T2GDiscount)*-1,2)," CREDIT after discount"),IF(T2GDiscount=0,"",IF(G800=0,"",IF(F800="Buy",CONCATENATE(" $",ROUND(K800*(1-T2GDiscount),2)," with ",(T2GDiscount*100),"% discount"),CONCATENATE(" $",ROUND(K800*(1-T2GDiscount),2)," with ",((T2GDiscount*100+F800*100)-(T2GDiscount*100*F800)),IF(F800&gt;0,"% discounts",IF(NoWarrantyDiscount&gt;0,"% discounts","% discount")))))))))</f>
        <v/>
      </c>
      <c r="N800" s="660"/>
      <c r="O800" s="233"/>
      <c r="P800" s="233"/>
      <c r="Q800" s="233"/>
      <c r="R800" s="233"/>
      <c r="S800" s="233"/>
      <c r="T800" s="508">
        <f t="shared" si="572"/>
        <v>0</v>
      </c>
      <c r="U800" s="225">
        <f>IF(NOT(ISNUMBER(G800)), "", VLOOKUP(A800,'Discount Lookup'!D:E,2,FALSE)*G800)</f>
        <v>0</v>
      </c>
      <c r="V800" s="225">
        <f>IF(NOT(ISNUMBER(G800)), "", VLOOKUP(A800,'Discount Lookup'!G:H,2,FALSE)*G800)</f>
        <v>0</v>
      </c>
      <c r="W800" s="508">
        <f t="shared" si="573"/>
        <v>0</v>
      </c>
      <c r="X800" s="508">
        <f t="shared" si="574"/>
        <v>0</v>
      </c>
      <c r="Y800" s="509" t="b">
        <f t="shared" si="575"/>
        <v>0</v>
      </c>
      <c r="Z800" s="510">
        <f t="shared" si="576"/>
        <v>0</v>
      </c>
      <c r="AA800" s="511"/>
      <c r="AB800" s="511" t="str">
        <f t="shared" si="577"/>
        <v/>
      </c>
      <c r="AC800" s="698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698"/>
      <c r="AE800" s="631" t="str">
        <f t="shared" si="578"/>
        <v/>
      </c>
      <c r="AF800" s="699" t="str">
        <f t="shared" si="579"/>
        <v/>
      </c>
      <c r="AG800" s="699"/>
      <c r="AH800" s="699"/>
      <c r="AI800" s="512">
        <f>IF(H800="credit",0,IF(AE800="free",0,IF(AE800="me",0,IF(G800&gt;0,(VLOOKUP(A800,'Discount Lookup'!J:K,2)*G800),0))))</f>
        <v>0</v>
      </c>
      <c r="AJ800" s="513" t="str">
        <f t="shared" ca="1" si="580"/>
        <v/>
      </c>
      <c r="AK800" s="700" t="str">
        <f t="shared" si="581"/>
        <v/>
      </c>
      <c r="AL800" s="700"/>
      <c r="AM800" s="505" t="str">
        <f t="shared" si="582"/>
        <v/>
      </c>
      <c r="AN800" s="506"/>
      <c r="AO800" s="507"/>
      <c r="AP800" s="507"/>
      <c r="AQ800" s="507"/>
      <c r="AR800" s="507"/>
      <c r="AS800" s="507"/>
      <c r="AT800" s="507"/>
      <c r="AU800" s="507"/>
      <c r="AV800" s="225"/>
      <c r="AW800" s="508"/>
      <c r="AX800" s="225"/>
      <c r="AY800" s="225"/>
      <c r="AZ800" s="225"/>
      <c r="BA800" s="225"/>
      <c r="BB800" s="225"/>
      <c r="BC800" s="56"/>
      <c r="BD800" s="56"/>
      <c r="BE800" s="56"/>
      <c r="BF800" s="107" t="str">
        <f t="shared" si="583"/>
        <v>https://www.google.com/search?tbm=isch&amp;q=3%20G4</v>
      </c>
      <c r="BG800" s="107" t="str">
        <f t="shared" si="584"/>
        <v>C</v>
      </c>
      <c r="BH800" s="254"/>
      <c r="BI800" s="254"/>
    </row>
    <row r="801" spans="1:61" customFormat="1" ht="15.75" x14ac:dyDescent="0.25">
      <c r="A801" s="485">
        <v>7</v>
      </c>
      <c r="B801" s="486" t="s">
        <v>291</v>
      </c>
      <c r="C801" s="487" t="s">
        <v>3980</v>
      </c>
      <c r="D801" s="488" t="s">
        <v>292</v>
      </c>
      <c r="E801" s="489">
        <v>95.95</v>
      </c>
      <c r="F801" s="516" t="s">
        <v>293</v>
      </c>
      <c r="G801" s="232">
        <v>0</v>
      </c>
      <c r="H801" s="658" t="str">
        <f>IF(G801=0,"",IF(F801="Buy",IF(G801=1,"plant","plants"),IF(F801&gt;0.01,"warranty","Error")))</f>
        <v/>
      </c>
      <c r="I801" s="490">
        <f>IF(H801="free",0,IF(H801="credit",((E801*(F801))*G801*-1),IF(F801="Buy",(E801*G801),((E801*(1-F801))*G801))))</f>
        <v>0</v>
      </c>
      <c r="J801" s="490">
        <f>IF(H801="warranty",0,(I801*(_xlfn.SINGLE(SalesTaxPercentage))))</f>
        <v>0</v>
      </c>
      <c r="K801" s="695">
        <f t="shared" ref="K801" si="595">I801+J801</f>
        <v>0</v>
      </c>
      <c r="L801" s="695"/>
      <c r="M801" s="659" t="str">
        <f>IF(AND(G801&gt;0,E801=0),"WARNING - no PRICE inserted",IF(H801="free"," FREE ~ no charge this plant",IF(H801="credit",CONCATENATE(" -$",ROUND(K801*(1-T2GDiscount)*-1,2)," CREDIT after discount"),IF(T2GDiscount=0,"",IF(G801=0,"",IF(F801="Buy",CONCATENATE(" $",ROUND(K801*(1-T2GDiscount),2)," with ",(T2GDiscount*100),"% discount"),CONCATENATE(" $",ROUND(K801*(1-T2GDiscount),2)," with ",((T2GDiscount*100+F801*100)-(T2GDiscount*100*F801)),IF(F801&gt;0,"% discounts",IF(NoWarrantyDiscount&gt;0,"% discounts","% discount")))))))))</f>
        <v/>
      </c>
      <c r="N801" s="660"/>
      <c r="O801" s="233"/>
      <c r="P801" s="233"/>
      <c r="Q801" s="233"/>
      <c r="R801" s="233"/>
      <c r="S801" s="233"/>
      <c r="T801" s="508">
        <f t="shared" si="572"/>
        <v>0</v>
      </c>
      <c r="U801" s="225">
        <f>IF(NOT(ISNUMBER(G801)), "", VLOOKUP(A801,'Discount Lookup'!D:E,2,FALSE)*G801)</f>
        <v>0</v>
      </c>
      <c r="V801" s="225">
        <f>IF(NOT(ISNUMBER(G801)), "", VLOOKUP(A801,'Discount Lookup'!G:H,2,FALSE)*G801)</f>
        <v>0</v>
      </c>
      <c r="W801" s="508">
        <f t="shared" si="573"/>
        <v>0</v>
      </c>
      <c r="X801" s="508">
        <f t="shared" si="574"/>
        <v>0</v>
      </c>
      <c r="Y801" s="509" t="b">
        <f t="shared" si="575"/>
        <v>0</v>
      </c>
      <c r="Z801" s="510">
        <f t="shared" si="576"/>
        <v>0</v>
      </c>
      <c r="AA801" s="511"/>
      <c r="AB801" s="511" t="str">
        <f t="shared" si="577"/>
        <v/>
      </c>
      <c r="AC801" s="698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698"/>
      <c r="AE801" s="631" t="str">
        <f t="shared" si="578"/>
        <v/>
      </c>
      <c r="AF801" s="699" t="str">
        <f t="shared" si="579"/>
        <v/>
      </c>
      <c r="AG801" s="699"/>
      <c r="AH801" s="699"/>
      <c r="AI801" s="512">
        <f>IF(H801="credit",0,IF(AE801="free",0,IF(AE801="me",0,IF(G801&gt;0,(VLOOKUP(A801,'Discount Lookup'!J:K,2)*G801),0))))</f>
        <v>0</v>
      </c>
      <c r="AJ801" s="513" t="str">
        <f t="shared" ca="1" si="580"/>
        <v/>
      </c>
      <c r="AK801" s="700" t="str">
        <f t="shared" si="581"/>
        <v/>
      </c>
      <c r="AL801" s="700"/>
      <c r="AM801" s="505" t="str">
        <f t="shared" si="582"/>
        <v/>
      </c>
      <c r="AN801" s="506"/>
      <c r="AO801" s="507"/>
      <c r="AP801" s="507"/>
      <c r="AQ801" s="507"/>
      <c r="AR801" s="507"/>
      <c r="AS801" s="507"/>
      <c r="AT801" s="507"/>
      <c r="AU801" s="507"/>
      <c r="AV801" s="225"/>
      <c r="AW801" s="508"/>
      <c r="AX801" s="225"/>
      <c r="AY801" s="225"/>
      <c r="AZ801" s="225"/>
      <c r="BA801" s="225"/>
      <c r="BB801" s="225"/>
      <c r="BC801" s="56"/>
      <c r="BD801" s="56"/>
      <c r="BE801" s="56"/>
      <c r="BF801" s="107" t="str">
        <f t="shared" si="583"/>
        <v>https://www.google.com/search?tbm=isch&amp;q=7%20G4</v>
      </c>
      <c r="BG801" s="107" t="str">
        <f t="shared" si="584"/>
        <v>C</v>
      </c>
      <c r="BH801" s="254"/>
      <c r="BI801" s="254"/>
    </row>
    <row r="802" spans="1:61" customFormat="1" ht="15.75" x14ac:dyDescent="0.25">
      <c r="A802" s="485">
        <v>7</v>
      </c>
      <c r="B802" s="486" t="s">
        <v>291</v>
      </c>
      <c r="C802" s="487" t="s">
        <v>789</v>
      </c>
      <c r="D802" s="488" t="s">
        <v>300</v>
      </c>
      <c r="E802" s="489">
        <v>109.95</v>
      </c>
      <c r="F802" s="516" t="s">
        <v>293</v>
      </c>
      <c r="G802" s="232">
        <v>0</v>
      </c>
      <c r="H802" s="658" t="str">
        <f>IF(G802=0,"",IF(F802="Buy",IF(G802=1,"plant","plants"),IF(F802&gt;0.01,"warranty","Error")))</f>
        <v/>
      </c>
      <c r="I802" s="490">
        <f>IF(H802="free",0,IF(H802="credit",((E802*(F802))*G802*-1),IF(F802="Buy",(E802*G802),((E802*(1-F802))*G802))))</f>
        <v>0</v>
      </c>
      <c r="J802" s="490">
        <f>IF(H802="warranty",0,(I802*(_xlfn.SINGLE(SalesTaxPercentage))))</f>
        <v>0</v>
      </c>
      <c r="K802" s="695">
        <f t="shared" ref="K802" si="596">I802+J802</f>
        <v>0</v>
      </c>
      <c r="L802" s="695"/>
      <c r="M802" s="659" t="str">
        <f>IF(AND(G802&gt;0,E802=0),"WARNING - no PRICE inserted",IF(H802="free"," FREE ~ no charge this plant",IF(H802="credit",CONCATENATE(" -$",ROUND(K802*(1-T2GDiscount)*-1,2)," CREDIT after discount"),IF(T2GDiscount=0,"",IF(G802=0,"",IF(F802="Buy",CONCATENATE(" $",ROUND(K802*(1-T2GDiscount),2)," with ",(T2GDiscount*100),"% discount"),CONCATENATE(" $",ROUND(K802*(1-T2GDiscount),2)," with ",((T2GDiscount*100+F802*100)-(T2GDiscount*100*F802)),IF(F802&gt;0,"% discounts",IF(NoWarrantyDiscount&gt;0,"% discounts","% discount")))))))))</f>
        <v/>
      </c>
      <c r="N802" s="660"/>
      <c r="O802" s="233"/>
      <c r="P802" s="233"/>
      <c r="Q802" s="233"/>
      <c r="R802" s="233"/>
      <c r="S802" s="233"/>
      <c r="T802" s="508">
        <f t="shared" si="572"/>
        <v>0</v>
      </c>
      <c r="U802" s="225">
        <f>IF(NOT(ISNUMBER(G802)), "", VLOOKUP(A802,'Discount Lookup'!D:E,2,FALSE)*G802)</f>
        <v>0</v>
      </c>
      <c r="V802" s="225">
        <f>IF(NOT(ISNUMBER(G802)), "", VLOOKUP(A802,'Discount Lookup'!G:H,2,FALSE)*G802)</f>
        <v>0</v>
      </c>
      <c r="W802" s="508">
        <f t="shared" si="573"/>
        <v>0</v>
      </c>
      <c r="X802" s="508">
        <f t="shared" si="574"/>
        <v>0</v>
      </c>
      <c r="Y802" s="509" t="b">
        <f t="shared" si="575"/>
        <v>0</v>
      </c>
      <c r="Z802" s="510">
        <f t="shared" si="576"/>
        <v>0</v>
      </c>
      <c r="AA802" s="511"/>
      <c r="AB802" s="511" t="str">
        <f t="shared" si="577"/>
        <v/>
      </c>
      <c r="AC802" s="698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698"/>
      <c r="AE802" s="631" t="str">
        <f t="shared" si="578"/>
        <v/>
      </c>
      <c r="AF802" s="699" t="str">
        <f t="shared" si="579"/>
        <v/>
      </c>
      <c r="AG802" s="699"/>
      <c r="AH802" s="699"/>
      <c r="AI802" s="512">
        <f>IF(H802="credit",0,IF(AE802="free",0,IF(AE802="me",0,IF(G802&gt;0,(VLOOKUP(A802,'Discount Lookup'!J:K,2)*G802),0))))</f>
        <v>0</v>
      </c>
      <c r="AJ802" s="513" t="str">
        <f t="shared" ca="1" si="580"/>
        <v/>
      </c>
      <c r="AK802" s="700" t="str">
        <f t="shared" si="581"/>
        <v/>
      </c>
      <c r="AL802" s="700"/>
      <c r="AM802" s="505" t="str">
        <f t="shared" si="582"/>
        <v/>
      </c>
      <c r="AN802" s="506"/>
      <c r="AO802" s="507"/>
      <c r="AP802" s="507"/>
      <c r="AQ802" s="507"/>
      <c r="AR802" s="507"/>
      <c r="AS802" s="507"/>
      <c r="AT802" s="507"/>
      <c r="AU802" s="507"/>
      <c r="AV802" s="225"/>
      <c r="AW802" s="508"/>
      <c r="AX802" s="225"/>
      <c r="AY802" s="225"/>
      <c r="AZ802" s="225"/>
      <c r="BA802" s="225"/>
      <c r="BB802" s="225"/>
      <c r="BC802" s="56"/>
      <c r="BD802" s="56"/>
      <c r="BE802" s="56"/>
      <c r="BF802" s="107" t="str">
        <f t="shared" si="583"/>
        <v>https://www.google.com/search?tbm=isch&amp;q=7%20G6</v>
      </c>
      <c r="BG802" s="107" t="str">
        <f t="shared" si="584"/>
        <v>C</v>
      </c>
      <c r="BH802" s="254"/>
      <c r="BI802" s="254"/>
    </row>
    <row r="803" spans="1:61" customFormat="1" ht="16.5" thickBot="1" x14ac:dyDescent="0.3">
      <c r="A803" s="522" t="s">
        <v>4071</v>
      </c>
      <c r="B803" s="491"/>
      <c r="C803" s="675"/>
      <c r="D803" s="491"/>
      <c r="E803" s="491"/>
      <c r="F803" s="492"/>
      <c r="G803" s="493"/>
      <c r="H803" s="491"/>
      <c r="I803" s="234"/>
      <c r="J803" s="234"/>
      <c r="K803" s="494"/>
      <c r="L803" s="543"/>
      <c r="M803" s="561"/>
      <c r="N803" s="495"/>
      <c r="O803" s="496"/>
      <c r="P803" s="497"/>
      <c r="Q803" s="495"/>
      <c r="R803" s="495"/>
      <c r="S803" s="667" t="s">
        <v>4968</v>
      </c>
      <c r="T803" s="508">
        <f t="shared" si="572"/>
        <v>0</v>
      </c>
      <c r="U803" s="225" t="str">
        <f>IF(NOT(ISNUMBER(G803)), "", VLOOKUP(A803,'Discount Lookup'!D:E,2,FALSE)*G803)</f>
        <v/>
      </c>
      <c r="V803" s="225" t="str">
        <f>IF(NOT(ISNUMBER(G803)), "", VLOOKUP(A803,'Discount Lookup'!G:H,2,FALSE)*G803)</f>
        <v/>
      </c>
      <c r="W803" s="508">
        <f t="shared" si="573"/>
        <v>0</v>
      </c>
      <c r="X803" s="508">
        <f t="shared" si="574"/>
        <v>0</v>
      </c>
      <c r="Y803" s="509" t="b">
        <f t="shared" si="575"/>
        <v>0</v>
      </c>
      <c r="Z803" s="510">
        <f t="shared" si="576"/>
        <v>0</v>
      </c>
      <c r="AA803" s="511"/>
      <c r="AB803" s="511" t="str">
        <f t="shared" si="577"/>
        <v/>
      </c>
      <c r="AC803" s="698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698"/>
      <c r="AE803" s="631" t="str">
        <f t="shared" si="578"/>
        <v/>
      </c>
      <c r="AF803" s="699" t="str">
        <f t="shared" si="579"/>
        <v/>
      </c>
      <c r="AG803" s="699"/>
      <c r="AH803" s="699"/>
      <c r="AI803" s="512">
        <f>IF(H803="credit",0,IF(AE803="free",0,IF(AE803="me",0,IF(G803&gt;0,(VLOOKUP(A803,'Discount Lookup'!J:K,2)*G803),0))))</f>
        <v>0</v>
      </c>
      <c r="AJ803" s="513" t="str">
        <f t="shared" ca="1" si="580"/>
        <v/>
      </c>
      <c r="AK803" s="700" t="str">
        <f t="shared" si="581"/>
        <v/>
      </c>
      <c r="AL803" s="700"/>
      <c r="AM803" s="505" t="str">
        <f t="shared" si="582"/>
        <v/>
      </c>
      <c r="AN803" s="506"/>
      <c r="AO803" s="507"/>
      <c r="AP803" s="507"/>
      <c r="AQ803" s="507"/>
      <c r="AR803" s="507"/>
      <c r="AS803" s="507"/>
      <c r="AT803" s="507"/>
      <c r="AU803" s="507"/>
      <c r="AV803" s="225"/>
      <c r="AW803" s="508"/>
      <c r="AX803" s="225"/>
      <c r="AY803" s="225"/>
      <c r="AZ803" s="225"/>
      <c r="BA803" s="225"/>
      <c r="BB803" s="225"/>
      <c r="BC803" s="56"/>
      <c r="BD803" s="56"/>
      <c r="BE803" s="56"/>
      <c r="BF803" s="107" t="str">
        <f t="shared" si="583"/>
        <v>https://www.google.com/search?tbm=isch&amp;q=Cinnamon%20Girl%20named%20for%20look%20of%20Plum-Purple%20new%20foliage%20against%20Blue-Green%20summer%20foliage.%20Subtle%20Red%20winter%20blooms.%20Heat%2Fdrought%20tol.%20</v>
      </c>
      <c r="BG803" s="107" t="str">
        <f t="shared" si="584"/>
        <v>C</v>
      </c>
      <c r="BH803" s="254"/>
      <c r="BI803" s="254"/>
    </row>
    <row r="804" spans="1:61" customFormat="1" ht="18" x14ac:dyDescent="0.25">
      <c r="A804" s="521" t="s">
        <v>2637</v>
      </c>
      <c r="B804" s="477"/>
      <c r="C804" s="674"/>
      <c r="D804" s="478" t="s">
        <v>2638</v>
      </c>
      <c r="E804" s="479"/>
      <c r="F804" s="479"/>
      <c r="G804" s="479"/>
      <c r="H804" s="582" t="s">
        <v>463</v>
      </c>
      <c r="I804" s="480" t="s">
        <v>4392</v>
      </c>
      <c r="J804" s="479"/>
      <c r="K804" s="479"/>
      <c r="L804" s="560"/>
      <c r="M804" s="666" t="s">
        <v>4966</v>
      </c>
      <c r="N804" s="680" t="str">
        <f>IF(AND(ISTEXT($A804), ISERROR($A804+0)), HYPERLINK($BF804, "Images"), "")</f>
        <v>Images</v>
      </c>
      <c r="O804" s="662" t="s">
        <v>4967</v>
      </c>
      <c r="P804" s="482"/>
      <c r="Q804" s="483"/>
      <c r="R804" s="483"/>
      <c r="S804" s="484"/>
      <c r="T804" s="508">
        <f t="shared" si="572"/>
        <v>0</v>
      </c>
      <c r="U804" s="225" t="str">
        <f>IF(NOT(ISNUMBER(G804)), "", VLOOKUP(A804,'Discount Lookup'!D:E,2,FALSE)*G804)</f>
        <v/>
      </c>
      <c r="V804" s="225" t="str">
        <f>IF(NOT(ISNUMBER(G804)), "", VLOOKUP(A804,'Discount Lookup'!G:H,2,FALSE)*G804)</f>
        <v/>
      </c>
      <c r="W804" s="508">
        <f t="shared" si="573"/>
        <v>0</v>
      </c>
      <c r="X804" s="508" t="str">
        <f t="shared" si="574"/>
        <v>Soft Pink, Yellow stamen</v>
      </c>
      <c r="Y804" s="509" t="b">
        <f t="shared" si="575"/>
        <v>0</v>
      </c>
      <c r="Z804" s="510">
        <f t="shared" si="576"/>
        <v>0</v>
      </c>
      <c r="AA804" s="511"/>
      <c r="AB804" s="511" t="str">
        <f t="shared" si="577"/>
        <v/>
      </c>
      <c r="AC804" s="698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698"/>
      <c r="AE804" s="631" t="str">
        <f t="shared" si="578"/>
        <v/>
      </c>
      <c r="AF804" s="699" t="str">
        <f t="shared" si="579"/>
        <v/>
      </c>
      <c r="AG804" s="699"/>
      <c r="AH804" s="699"/>
      <c r="AI804" s="512">
        <f>IF(H804="credit",0,IF(AE804="free",0,IF(AE804="me",0,IF(G804&gt;0,(VLOOKUP(A804,'Discount Lookup'!J:K,2)*G804),0))))</f>
        <v>0</v>
      </c>
      <c r="AJ804" s="513" t="str">
        <f t="shared" ca="1" si="580"/>
        <v/>
      </c>
      <c r="AK804" s="700" t="str">
        <f t="shared" si="581"/>
        <v/>
      </c>
      <c r="AL804" s="700"/>
      <c r="AM804" s="505" t="str">
        <f t="shared" si="582"/>
        <v/>
      </c>
      <c r="AN804" s="506"/>
      <c r="AO804" s="507"/>
      <c r="AP804" s="507"/>
      <c r="AQ804" s="507"/>
      <c r="AR804" s="507"/>
      <c r="AS804" s="507"/>
      <c r="AT804" s="507"/>
      <c r="AU804" s="507"/>
      <c r="AV804" s="225"/>
      <c r="AW804" s="508"/>
      <c r="AX804" s="225"/>
      <c r="AY804" s="225"/>
      <c r="AZ804" s="225"/>
      <c r="BA804" s="225"/>
      <c r="BB804" s="225"/>
      <c r="BC804" s="56"/>
      <c r="BD804" s="56"/>
      <c r="BE804" s="56"/>
      <c r="BF804" s="107" t="str">
        <f t="shared" si="583"/>
        <v>https://www.google.com/search?tbm=isch&amp;q=Cleopatra%20Camellia%20Camellia%20sasanqua%20%27Cleopatra%27</v>
      </c>
      <c r="BG804" s="107" t="str">
        <f t="shared" si="584"/>
        <v>C</v>
      </c>
      <c r="BH804" s="254"/>
      <c r="BI804" s="254"/>
    </row>
    <row r="805" spans="1:61" customFormat="1" ht="15.75" x14ac:dyDescent="0.25">
      <c r="A805" s="485">
        <v>10</v>
      </c>
      <c r="B805" s="486" t="s">
        <v>291</v>
      </c>
      <c r="C805" s="487" t="s">
        <v>4497</v>
      </c>
      <c r="D805" s="488" t="s">
        <v>297</v>
      </c>
      <c r="E805" s="489">
        <v>83.95</v>
      </c>
      <c r="F805" s="516" t="s">
        <v>293</v>
      </c>
      <c r="G805" s="232">
        <v>0</v>
      </c>
      <c r="H805" s="658" t="str">
        <f>IF(G805=0,"",IF(F805="Buy",IF(G805=1,"plant","plants"),IF(F805&gt;0.01,"warranty","Error")))</f>
        <v/>
      </c>
      <c r="I805" s="490">
        <f>IF(H805="free",0,IF(H805="credit",((E805*(F805))*G805*-1),IF(F805="Buy",(E805*G805),((E805*(1-F805))*G805))))</f>
        <v>0</v>
      </c>
      <c r="J805" s="490">
        <f>IF(H805="warranty",0,(I805*(_xlfn.SINGLE(SalesTaxPercentage))))</f>
        <v>0</v>
      </c>
      <c r="K805" s="695">
        <f t="shared" ref="K805" si="597">I805+J805</f>
        <v>0</v>
      </c>
      <c r="L805" s="695"/>
      <c r="M805" s="659" t="str">
        <f>IF(AND(G805&gt;0,E805=0),"WARNING - no PRICE inserted",IF(H805="free"," FREE ~ no charge this plant",IF(H805="credit",CONCATENATE(" -$",ROUND(K805*(1-T2GDiscount)*-1,2)," CREDIT after discount"),IF(T2GDiscount=0,"",IF(G805=0,"",IF(F805="Buy",CONCATENATE(" $",ROUND(K805*(1-T2GDiscount),2)," with ",(T2GDiscount*100),"% discount"),CONCATENATE(" $",ROUND(K805*(1-T2GDiscount),2)," with ",((T2GDiscount*100+F805*100)-(T2GDiscount*100*F805)),IF(F805&gt;0,"% discounts",IF(NoWarrantyDiscount&gt;0,"% discounts","% discount")))))))))</f>
        <v/>
      </c>
      <c r="N805" s="660"/>
      <c r="O805" s="233"/>
      <c r="P805" s="233"/>
      <c r="Q805" s="233"/>
      <c r="R805" s="233"/>
      <c r="S805" s="233"/>
      <c r="T805" s="508">
        <f t="shared" si="572"/>
        <v>0</v>
      </c>
      <c r="U805" s="225">
        <f>IF(NOT(ISNUMBER(G805)), "", VLOOKUP(A805,'Discount Lookup'!D:E,2,FALSE)*G805)</f>
        <v>0</v>
      </c>
      <c r="V805" s="225">
        <f>IF(NOT(ISNUMBER(G805)), "", VLOOKUP(A805,'Discount Lookup'!G:H,2,FALSE)*G805)</f>
        <v>0</v>
      </c>
      <c r="W805" s="508">
        <f t="shared" si="573"/>
        <v>0</v>
      </c>
      <c r="X805" s="508">
        <f t="shared" si="574"/>
        <v>0</v>
      </c>
      <c r="Y805" s="509" t="b">
        <f t="shared" si="575"/>
        <v>0</v>
      </c>
      <c r="Z805" s="510">
        <f t="shared" si="576"/>
        <v>0</v>
      </c>
      <c r="AA805" s="511"/>
      <c r="AB805" s="511" t="str">
        <f t="shared" si="577"/>
        <v/>
      </c>
      <c r="AC805" s="698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698"/>
      <c r="AE805" s="631" t="str">
        <f t="shared" si="578"/>
        <v/>
      </c>
      <c r="AF805" s="699" t="str">
        <f t="shared" si="579"/>
        <v/>
      </c>
      <c r="AG805" s="699"/>
      <c r="AH805" s="699"/>
      <c r="AI805" s="512">
        <f>IF(H805="credit",0,IF(AE805="free",0,IF(AE805="me",0,IF(G805&gt;0,(VLOOKUP(A805,'Discount Lookup'!J:K,2)*G805),0))))</f>
        <v>0</v>
      </c>
      <c r="AJ805" s="513" t="str">
        <f t="shared" ca="1" si="580"/>
        <v/>
      </c>
      <c r="AK805" s="700" t="str">
        <f t="shared" si="581"/>
        <v/>
      </c>
      <c r="AL805" s="700"/>
      <c r="AM805" s="505" t="str">
        <f t="shared" si="582"/>
        <v/>
      </c>
      <c r="AN805" s="506"/>
      <c r="AO805" s="507"/>
      <c r="AP805" s="507"/>
      <c r="AQ805" s="507"/>
      <c r="AR805" s="507"/>
      <c r="AS805" s="507"/>
      <c r="AT805" s="507"/>
      <c r="AU805" s="507"/>
      <c r="AV805" s="225"/>
      <c r="AW805" s="508"/>
      <c r="AX805" s="225"/>
      <c r="AY805" s="225"/>
      <c r="AZ805" s="225"/>
      <c r="BA805" s="225"/>
      <c r="BB805" s="225"/>
      <c r="BC805" s="56"/>
      <c r="BD805" s="56"/>
      <c r="BE805" s="56"/>
      <c r="BF805" s="107" t="str">
        <f t="shared" si="583"/>
        <v>https://www.google.com/search?tbm=isch&amp;q=10%20G3</v>
      </c>
      <c r="BG805" s="107" t="str">
        <f t="shared" si="584"/>
        <v>C</v>
      </c>
      <c r="BH805" s="254"/>
      <c r="BI805" s="254"/>
    </row>
    <row r="806" spans="1:61" customFormat="1" ht="17.25" thickBot="1" x14ac:dyDescent="0.3">
      <c r="A806" s="522" t="s">
        <v>2639</v>
      </c>
      <c r="B806" s="491"/>
      <c r="C806" s="675"/>
      <c r="D806" s="491"/>
      <c r="E806" s="491"/>
      <c r="F806" s="492"/>
      <c r="G806" s="493"/>
      <c r="H806" s="491"/>
      <c r="I806" s="234"/>
      <c r="J806" s="234"/>
      <c r="K806" s="494"/>
      <c r="L806" s="543"/>
      <c r="M806" s="561"/>
      <c r="N806" s="495"/>
      <c r="O806" s="496"/>
      <c r="P806" s="497"/>
      <c r="Q806" s="495"/>
      <c r="R806" s="495"/>
      <c r="S806" s="667" t="s">
        <v>4986</v>
      </c>
      <c r="T806" s="508">
        <f t="shared" si="572"/>
        <v>0</v>
      </c>
      <c r="U806" s="225" t="str">
        <f>IF(NOT(ISNUMBER(G806)), "", VLOOKUP(A806,'Discount Lookup'!D:E,2,FALSE)*G806)</f>
        <v/>
      </c>
      <c r="V806" s="225" t="str">
        <f>IF(NOT(ISNUMBER(G806)), "", VLOOKUP(A806,'Discount Lookup'!G:H,2,FALSE)*G806)</f>
        <v/>
      </c>
      <c r="W806" s="508">
        <f t="shared" si="573"/>
        <v>0</v>
      </c>
      <c r="X806" s="508">
        <f t="shared" si="574"/>
        <v>0</v>
      </c>
      <c r="Y806" s="509" t="b">
        <f t="shared" si="575"/>
        <v>0</v>
      </c>
      <c r="Z806" s="510">
        <f t="shared" si="576"/>
        <v>0</v>
      </c>
      <c r="AA806" s="511"/>
      <c r="AB806" s="511" t="str">
        <f t="shared" si="577"/>
        <v/>
      </c>
      <c r="AC806" s="698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698"/>
      <c r="AE806" s="631" t="str">
        <f t="shared" si="578"/>
        <v/>
      </c>
      <c r="AF806" s="699" t="str">
        <f t="shared" si="579"/>
        <v/>
      </c>
      <c r="AG806" s="699"/>
      <c r="AH806" s="699"/>
      <c r="AI806" s="512">
        <f>IF(H806="credit",0,IF(AE806="free",0,IF(AE806="me",0,IF(G806&gt;0,(VLOOKUP(A806,'Discount Lookup'!J:K,2)*G806),0))))</f>
        <v>0</v>
      </c>
      <c r="AJ806" s="513" t="str">
        <f t="shared" ca="1" si="580"/>
        <v/>
      </c>
      <c r="AK806" s="700" t="str">
        <f t="shared" si="581"/>
        <v/>
      </c>
      <c r="AL806" s="700"/>
      <c r="AM806" s="505" t="str">
        <f t="shared" si="582"/>
        <v/>
      </c>
      <c r="AN806" s="506"/>
      <c r="AO806" s="507"/>
      <c r="AP806" s="507"/>
      <c r="AQ806" s="507"/>
      <c r="AR806" s="507"/>
      <c r="AS806" s="507"/>
      <c r="AT806" s="507"/>
      <c r="AU806" s="507"/>
      <c r="AV806" s="225"/>
      <c r="AW806" s="508"/>
      <c r="AX806" s="225"/>
      <c r="AY806" s="225"/>
      <c r="AZ806" s="225"/>
      <c r="BA806" s="225"/>
      <c r="BB806" s="225"/>
      <c r="BC806" s="56"/>
      <c r="BD806" s="56"/>
      <c r="BE806" s="56"/>
      <c r="BF806" s="107" t="str">
        <f t="shared" si="583"/>
        <v>https://www.google.com/search?tbm=isch&amp;q=Cleopatra%20blooms%20from%20fall%20into%20winter%20with%20glossy%20evergreen%20foliage%20and%20graceful%20upright%20form.%20Notably%20pleasant%20light%20fragrance%20</v>
      </c>
      <c r="BG806" s="107" t="str">
        <f t="shared" si="584"/>
        <v>C</v>
      </c>
      <c r="BH806" s="254"/>
      <c r="BI806" s="254"/>
    </row>
    <row r="807" spans="1:61" customFormat="1" ht="18" x14ac:dyDescent="0.25">
      <c r="A807" s="523" t="s">
        <v>4317</v>
      </c>
      <c r="B807" s="235"/>
      <c r="C807" s="676"/>
      <c r="D807" s="255" t="s">
        <v>4318</v>
      </c>
      <c r="E807" s="236"/>
      <c r="F807" s="236"/>
      <c r="G807" s="236"/>
      <c r="H807" s="582" t="s">
        <v>317</v>
      </c>
      <c r="I807" s="498" t="s">
        <v>4319</v>
      </c>
      <c r="J807" s="237"/>
      <c r="K807" s="237"/>
      <c r="L807" s="274"/>
      <c r="M807" s="668" t="s">
        <v>4975</v>
      </c>
      <c r="N807" s="681" t="str">
        <f>IF(AND(ISTEXT($A807), ISERROR($A807+0)), HYPERLINK($BF807, "Images"), "")</f>
        <v>Images</v>
      </c>
      <c r="O807" s="663" t="s">
        <v>4967</v>
      </c>
      <c r="P807" s="253"/>
      <c r="Q807" s="238"/>
      <c r="R807" s="239"/>
      <c r="S807" s="275"/>
      <c r="T807" s="508">
        <f t="shared" si="572"/>
        <v>0</v>
      </c>
      <c r="U807" s="225" t="str">
        <f>IF(NOT(ISNUMBER(G807)), "", VLOOKUP(A807,'Discount Lookup'!D:E,2,FALSE)*G807)</f>
        <v/>
      </c>
      <c r="V807" s="225" t="str">
        <f>IF(NOT(ISNUMBER(G807)), "", VLOOKUP(A807,'Discount Lookup'!G:H,2,FALSE)*G807)</f>
        <v/>
      </c>
      <c r="W807" s="508">
        <f t="shared" si="573"/>
        <v>0</v>
      </c>
      <c r="X807" s="508" t="str">
        <f t="shared" si="574"/>
        <v>Purple-Burgundy bloom</v>
      </c>
      <c r="Y807" s="509" t="b">
        <f t="shared" si="575"/>
        <v>0</v>
      </c>
      <c r="Z807" s="510">
        <f t="shared" si="576"/>
        <v>0</v>
      </c>
      <c r="AA807" s="511"/>
      <c r="AB807" s="511" t="str">
        <f t="shared" si="577"/>
        <v/>
      </c>
      <c r="AC807" s="698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698"/>
      <c r="AE807" s="631" t="str">
        <f t="shared" si="578"/>
        <v/>
      </c>
      <c r="AF807" s="699" t="str">
        <f t="shared" si="579"/>
        <v/>
      </c>
      <c r="AG807" s="699"/>
      <c r="AH807" s="699"/>
      <c r="AI807" s="512">
        <f>IF(H807="credit",0,IF(AE807="free",0,IF(AE807="me",0,IF(G807&gt;0,(VLOOKUP(A807,'Discount Lookup'!J:K,2)*G807),0))))</f>
        <v>0</v>
      </c>
      <c r="AJ807" s="513" t="str">
        <f t="shared" ca="1" si="580"/>
        <v/>
      </c>
      <c r="AK807" s="700" t="str">
        <f t="shared" si="581"/>
        <v/>
      </c>
      <c r="AL807" s="700"/>
      <c r="AM807" s="505" t="str">
        <f t="shared" si="582"/>
        <v/>
      </c>
      <c r="AN807" s="506"/>
      <c r="AO807" s="507"/>
      <c r="AP807" s="507"/>
      <c r="AQ807" s="507"/>
      <c r="AR807" s="507"/>
      <c r="AS807" s="507"/>
      <c r="AT807" s="507"/>
      <c r="AU807" s="507"/>
      <c r="AV807" s="225"/>
      <c r="AW807" s="508"/>
      <c r="AX807" s="225"/>
      <c r="AY807" s="225"/>
      <c r="AZ807" s="225"/>
      <c r="BA807" s="225"/>
      <c r="BB807" s="225"/>
      <c r="BC807" s="56"/>
      <c r="BD807" s="56"/>
      <c r="BE807" s="56"/>
      <c r="BF807" s="107" t="str">
        <f t="shared" si="583"/>
        <v>https://www.google.com/search?tbm=isch&amp;q=Cleopatra%20Magnolia%20Magnolia%20%27Cleopatra%27</v>
      </c>
      <c r="BG807" s="107" t="str">
        <f t="shared" si="584"/>
        <v>C</v>
      </c>
      <c r="BH807" s="254"/>
      <c r="BI807" s="254"/>
    </row>
    <row r="808" spans="1:61" customFormat="1" ht="15.75" x14ac:dyDescent="0.25">
      <c r="A808" s="276">
        <v>7</v>
      </c>
      <c r="B808" s="240" t="s">
        <v>291</v>
      </c>
      <c r="C808" s="241" t="s">
        <v>4320</v>
      </c>
      <c r="D808" s="242" t="s">
        <v>292</v>
      </c>
      <c r="E808" s="243">
        <v>127.95</v>
      </c>
      <c r="F808" s="517" t="s">
        <v>293</v>
      </c>
      <c r="G808" s="232">
        <v>0</v>
      </c>
      <c r="H808" s="661" t="str">
        <f>IF(G808=0,"",IF(F808="Buy",IF(G808=1,"plant","plants"),IF(F808&gt;0.01,"warranty","Error")))</f>
        <v/>
      </c>
      <c r="I808" s="244">
        <f>IF(H808="free",0,IF(H808="credit",((E808*(F808))*G808*-1),IF(F808="Buy",(E808*G808),((E808*(1-F808))*G808))))</f>
        <v>0</v>
      </c>
      <c r="J808" s="244">
        <f>IF(H808="warranty",0,(I808*(_xlfn.SINGLE(SalesTaxPercentage))))</f>
        <v>0</v>
      </c>
      <c r="K808" s="696">
        <f t="shared" ref="K808" si="598">I808+J808</f>
        <v>0</v>
      </c>
      <c r="L808" s="696"/>
      <c r="M808" s="659" t="str">
        <f>IF(AND(G808&gt;0,E808=0),"WARNING - no PRICE inserted",IF(H808="free"," FREE ~ no charge this plant",IF(H808="credit",CONCATENATE(" -$",ROUND(K808*(1-T2GDiscount)*-1,2)," CREDIT after discount"),IF(T2GDiscount=0,"",IF(G808=0,"",IF(F808="Buy",CONCATENATE(" $",ROUND(K808*(1-T2GDiscount),2)," with ",(T2GDiscount*100),"% discount"),CONCATENATE(" $",ROUND(K808*(1-T2GDiscount),2)," with ",((T2GDiscount*100+F808*100)-(T2GDiscount*100*F808)),IF(F808&gt;0,"% discounts",IF(NoWarrantyDiscount&gt;0,"% discounts","% discount")))))))))</f>
        <v/>
      </c>
      <c r="N808" s="660"/>
      <c r="O808" s="233"/>
      <c r="P808" s="233"/>
      <c r="Q808" s="233"/>
      <c r="R808" s="233"/>
      <c r="S808" s="233"/>
      <c r="T808" s="508">
        <f t="shared" si="572"/>
        <v>0</v>
      </c>
      <c r="U808" s="225">
        <f>IF(NOT(ISNUMBER(G808)), "", VLOOKUP(A808,'Discount Lookup'!D:E,2,FALSE)*G808)</f>
        <v>0</v>
      </c>
      <c r="V808" s="225">
        <f>IF(NOT(ISNUMBER(G808)), "", VLOOKUP(A808,'Discount Lookup'!G:H,2,FALSE)*G808)</f>
        <v>0</v>
      </c>
      <c r="W808" s="508">
        <f t="shared" si="573"/>
        <v>0</v>
      </c>
      <c r="X808" s="508">
        <f t="shared" si="574"/>
        <v>0</v>
      </c>
      <c r="Y808" s="509" t="b">
        <f t="shared" si="575"/>
        <v>0</v>
      </c>
      <c r="Z808" s="510">
        <f t="shared" si="576"/>
        <v>0</v>
      </c>
      <c r="AA808" s="511"/>
      <c r="AB808" s="511" t="str">
        <f t="shared" si="577"/>
        <v/>
      </c>
      <c r="AC808" s="698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698"/>
      <c r="AE808" s="631" t="str">
        <f t="shared" si="578"/>
        <v/>
      </c>
      <c r="AF808" s="699" t="str">
        <f t="shared" si="579"/>
        <v/>
      </c>
      <c r="AG808" s="699"/>
      <c r="AH808" s="699"/>
      <c r="AI808" s="512">
        <f>IF(H808="credit",0,IF(AE808="free",0,IF(AE808="me",0,IF(G808&gt;0,(VLOOKUP(A808,'Discount Lookup'!J:K,2)*G808),0))))</f>
        <v>0</v>
      </c>
      <c r="AJ808" s="513" t="str">
        <f t="shared" ca="1" si="580"/>
        <v/>
      </c>
      <c r="AK808" s="700" t="str">
        <f t="shared" si="581"/>
        <v/>
      </c>
      <c r="AL808" s="700"/>
      <c r="AM808" s="505" t="str">
        <f t="shared" si="582"/>
        <v/>
      </c>
      <c r="AN808" s="506"/>
      <c r="AO808" s="507"/>
      <c r="AP808" s="507"/>
      <c r="AQ808" s="507"/>
      <c r="AR808" s="507"/>
      <c r="AS808" s="507"/>
      <c r="AT808" s="507"/>
      <c r="AU808" s="507"/>
      <c r="AV808" s="225"/>
      <c r="AW808" s="508"/>
      <c r="AX808" s="225"/>
      <c r="AY808" s="225"/>
      <c r="AZ808" s="225"/>
      <c r="BA808" s="225"/>
      <c r="BB808" s="225"/>
      <c r="BC808" s="56"/>
      <c r="BD808" s="56"/>
      <c r="BE808" s="56"/>
      <c r="BF808" s="107" t="str">
        <f t="shared" si="583"/>
        <v>https://www.google.com/search?tbm=isch&amp;q=7%20G4</v>
      </c>
      <c r="BG808" s="107" t="str">
        <f t="shared" si="584"/>
        <v>C</v>
      </c>
      <c r="BH808" s="254"/>
      <c r="BI808" s="254"/>
    </row>
    <row r="809" spans="1:61" customFormat="1" ht="17.25" thickBot="1" x14ac:dyDescent="0.3">
      <c r="A809" s="524" t="s">
        <v>4321</v>
      </c>
      <c r="B809" s="245"/>
      <c r="C809" s="677"/>
      <c r="D809" s="499"/>
      <c r="E809" s="499"/>
      <c r="F809" s="500"/>
      <c r="G809" s="501"/>
      <c r="H809" s="502"/>
      <c r="I809" s="246"/>
      <c r="J809" s="247"/>
      <c r="K809" s="503"/>
      <c r="L809" s="544"/>
      <c r="M809" s="544"/>
      <c r="N809" s="500"/>
      <c r="O809" s="500"/>
      <c r="P809" s="500"/>
      <c r="Q809" s="500"/>
      <c r="R809" s="500"/>
      <c r="S809" s="278"/>
      <c r="T809" s="508">
        <f t="shared" si="572"/>
        <v>0</v>
      </c>
      <c r="U809" s="225" t="str">
        <f>IF(NOT(ISNUMBER(G809)), "", VLOOKUP(A809,'Discount Lookup'!D:E,2,FALSE)*G809)</f>
        <v/>
      </c>
      <c r="V809" s="225" t="str">
        <f>IF(NOT(ISNUMBER(G809)), "", VLOOKUP(A809,'Discount Lookup'!G:H,2,FALSE)*G809)</f>
        <v/>
      </c>
      <c r="W809" s="508">
        <f t="shared" si="573"/>
        <v>0</v>
      </c>
      <c r="X809" s="508">
        <f t="shared" si="574"/>
        <v>0</v>
      </c>
      <c r="Y809" s="509" t="b">
        <f t="shared" si="575"/>
        <v>0</v>
      </c>
      <c r="Z809" s="510">
        <f t="shared" si="576"/>
        <v>0</v>
      </c>
      <c r="AA809" s="511"/>
      <c r="AB809" s="511" t="str">
        <f t="shared" si="577"/>
        <v/>
      </c>
      <c r="AC809" s="698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698"/>
      <c r="AE809" s="631" t="str">
        <f t="shared" si="578"/>
        <v/>
      </c>
      <c r="AF809" s="699" t="str">
        <f t="shared" si="579"/>
        <v/>
      </c>
      <c r="AG809" s="699"/>
      <c r="AH809" s="699"/>
      <c r="AI809" s="512">
        <f>IF(H809="credit",0,IF(AE809="free",0,IF(AE809="me",0,IF(G809&gt;0,(VLOOKUP(A809,'Discount Lookup'!J:K,2)*G809),0))))</f>
        <v>0</v>
      </c>
      <c r="AJ809" s="513" t="str">
        <f t="shared" ca="1" si="580"/>
        <v/>
      </c>
      <c r="AK809" s="700" t="str">
        <f t="shared" si="581"/>
        <v/>
      </c>
      <c r="AL809" s="700"/>
      <c r="AM809" s="505" t="str">
        <f t="shared" si="582"/>
        <v/>
      </c>
      <c r="AN809" s="506"/>
      <c r="AO809" s="507"/>
      <c r="AP809" s="507"/>
      <c r="AQ809" s="507"/>
      <c r="AR809" s="507"/>
      <c r="AS809" s="507"/>
      <c r="AT809" s="507"/>
      <c r="AU809" s="507"/>
      <c r="AV809" s="225"/>
      <c r="AW809" s="508"/>
      <c r="AX809" s="225"/>
      <c r="AY809" s="225"/>
      <c r="AZ809" s="225"/>
      <c r="BA809" s="225"/>
      <c r="BB809" s="225"/>
      <c r="BC809" s="56"/>
      <c r="BD809" s="56"/>
      <c r="BE809" s="56"/>
      <c r="BF809" s="107" t="str">
        <f t="shared" si="583"/>
        <v>https://www.google.com/search?tbm=isch&amp;q=Cleopatra%20has%20abundant%2C%20large%2C%20goblet-shaped%2C%20flowers%20that%20have%20a%20Metallic%20sheen%20and%20often%20rebloom%20in%20summer%20</v>
      </c>
      <c r="BG809" s="107" t="str">
        <f t="shared" si="584"/>
        <v>C</v>
      </c>
      <c r="BH809" s="254"/>
      <c r="BI809" s="254"/>
    </row>
    <row r="810" spans="1:61" customFormat="1" ht="18" x14ac:dyDescent="0.25">
      <c r="A810" s="523" t="s">
        <v>679</v>
      </c>
      <c r="B810" s="235"/>
      <c r="C810" s="676"/>
      <c r="D810" s="255" t="s">
        <v>680</v>
      </c>
      <c r="E810" s="236"/>
      <c r="F810" s="236"/>
      <c r="G810" s="236"/>
      <c r="H810" s="582" t="s">
        <v>471</v>
      </c>
      <c r="I810" s="498" t="s">
        <v>2362</v>
      </c>
      <c r="J810" s="237"/>
      <c r="K810" s="237"/>
      <c r="L810" s="274"/>
      <c r="M810" s="668" t="s">
        <v>4962</v>
      </c>
      <c r="N810" s="681" t="str">
        <f>IF(AND(ISTEXT($A810), ISERROR($A810+0)), HYPERLINK($BF810, "Images"), "")</f>
        <v>Images</v>
      </c>
      <c r="O810" s="663" t="s">
        <v>4971</v>
      </c>
      <c r="P810" s="253"/>
      <c r="Q810" s="238"/>
      <c r="R810" s="239"/>
      <c r="S810" s="275" t="s">
        <v>305</v>
      </c>
      <c r="T810" s="508">
        <f t="shared" si="572"/>
        <v>0</v>
      </c>
      <c r="U810" s="225" t="str">
        <f>IF(NOT(ISNUMBER(G810)), "", VLOOKUP(A810,'Discount Lookup'!D:E,2,FALSE)*G810)</f>
        <v/>
      </c>
      <c r="V810" s="225" t="str">
        <f>IF(NOT(ISNUMBER(G810)), "", VLOOKUP(A810,'Discount Lookup'!G:H,2,FALSE)*G810)</f>
        <v/>
      </c>
      <c r="W810" s="508">
        <f t="shared" si="573"/>
        <v>0</v>
      </c>
      <c r="X810" s="508" t="str">
        <f t="shared" si="574"/>
        <v>White to pale Pink bloom</v>
      </c>
      <c r="Y810" s="509" t="b">
        <f t="shared" si="575"/>
        <v>0</v>
      </c>
      <c r="Z810" s="510">
        <f t="shared" si="576"/>
        <v>0</v>
      </c>
      <c r="AA810" s="511"/>
      <c r="AB810" s="511" t="str">
        <f t="shared" si="577"/>
        <v/>
      </c>
      <c r="AC810" s="698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698"/>
      <c r="AE810" s="631" t="str">
        <f t="shared" si="578"/>
        <v/>
      </c>
      <c r="AF810" s="699" t="str">
        <f t="shared" si="579"/>
        <v/>
      </c>
      <c r="AG810" s="699"/>
      <c r="AH810" s="699"/>
      <c r="AI810" s="512">
        <f>IF(H810="credit",0,IF(AE810="free",0,IF(AE810="me",0,IF(G810&gt;0,(VLOOKUP(A810,'Discount Lookup'!J:K,2)*G810),0))))</f>
        <v>0</v>
      </c>
      <c r="AJ810" s="513" t="str">
        <f t="shared" ca="1" si="580"/>
        <v/>
      </c>
      <c r="AK810" s="700" t="str">
        <f t="shared" si="581"/>
        <v/>
      </c>
      <c r="AL810" s="700"/>
      <c r="AM810" s="505" t="str">
        <f t="shared" si="582"/>
        <v/>
      </c>
      <c r="AN810" s="506"/>
      <c r="AO810" s="507"/>
      <c r="AP810" s="507"/>
      <c r="AQ810" s="507"/>
      <c r="AR810" s="507"/>
      <c r="AS810" s="507"/>
      <c r="AT810" s="507"/>
      <c r="AU810" s="507"/>
      <c r="AV810" s="225"/>
      <c r="AW810" s="508"/>
      <c r="AX810" s="225"/>
      <c r="AY810" s="225"/>
      <c r="AZ810" s="225"/>
      <c r="BA810" s="225"/>
      <c r="BB810" s="225"/>
      <c r="BC810" s="56"/>
      <c r="BD810" s="56"/>
      <c r="BE810" s="56"/>
      <c r="BF810" s="107" t="str">
        <f t="shared" si="583"/>
        <v>https://www.google.com/search?tbm=isch&amp;q=Climax%20Blueberry%20Vac.%20corymbosum%20%27Climax%27</v>
      </c>
      <c r="BG810" s="107" t="str">
        <f t="shared" si="584"/>
        <v>C</v>
      </c>
      <c r="BH810" s="254"/>
      <c r="BI810" s="254"/>
    </row>
    <row r="811" spans="1:61" customFormat="1" ht="15.75" x14ac:dyDescent="0.25">
      <c r="A811" s="276">
        <v>3</v>
      </c>
      <c r="B811" s="240" t="s">
        <v>291</v>
      </c>
      <c r="C811" s="241" t="s">
        <v>334</v>
      </c>
      <c r="D811" s="242" t="s">
        <v>312</v>
      </c>
      <c r="E811" s="243">
        <v>26.95</v>
      </c>
      <c r="F811" s="517" t="s">
        <v>293</v>
      </c>
      <c r="G811" s="232">
        <v>0</v>
      </c>
      <c r="H811" s="661" t="str">
        <f>IF(G811=0,"",IF(F811="Buy",IF(G811=1,"plant","plants"),IF(F811&gt;0.01,"warranty","Error")))</f>
        <v/>
      </c>
      <c r="I811" s="244">
        <f>IF(H811="free",0,IF(H811="credit",((E811*(F811))*G811*-1),IF(F811="Buy",(E811*G811),((E811*(1-F811))*G811))))</f>
        <v>0</v>
      </c>
      <c r="J811" s="244">
        <f>IF(H811="warranty",0,(I811*(_xlfn.SINGLE(SalesTaxPercentage))))</f>
        <v>0</v>
      </c>
      <c r="K811" s="696">
        <f t="shared" ref="K811" si="599">I811+J811</f>
        <v>0</v>
      </c>
      <c r="L811" s="696"/>
      <c r="M811" s="659" t="str">
        <f>IF(AND(G811&gt;0,E811=0),"WARNING - no PRICE inserted",IF(H811="free"," FREE ~ no charge this plant",IF(H811="credit",CONCATENATE(" -$",ROUND(K811*(1-T2GDiscount)*-1,2)," CREDIT after discount"),IF(T2GDiscount=0,"",IF(G811=0,"",IF(F811="Buy",CONCATENATE(" $",ROUND(K811*(1-T2GDiscount),2)," with ",(T2GDiscount*100),"% discount"),CONCATENATE(" $",ROUND(K811*(1-T2GDiscount),2)," with ",((T2GDiscount*100+F811*100)-(T2GDiscount*100*F811)),IF(F811&gt;0,"% discounts",IF(NoWarrantyDiscount&gt;0,"% discounts","% discount")))))))))</f>
        <v/>
      </c>
      <c r="N811" s="660"/>
      <c r="O811" s="233"/>
      <c r="P811" s="233"/>
      <c r="Q811" s="233"/>
      <c r="R811" s="233"/>
      <c r="S811" s="233"/>
      <c r="T811" s="508">
        <f t="shared" si="572"/>
        <v>0</v>
      </c>
      <c r="U811" s="225">
        <f>IF(NOT(ISNUMBER(G811)), "", VLOOKUP(A811,'Discount Lookup'!D:E,2,FALSE)*G811)</f>
        <v>0</v>
      </c>
      <c r="V811" s="225">
        <f>IF(NOT(ISNUMBER(G811)), "", VLOOKUP(A811,'Discount Lookup'!G:H,2,FALSE)*G811)</f>
        <v>0</v>
      </c>
      <c r="W811" s="508">
        <f t="shared" si="573"/>
        <v>0</v>
      </c>
      <c r="X811" s="508">
        <f t="shared" si="574"/>
        <v>0</v>
      </c>
      <c r="Y811" s="509" t="b">
        <f t="shared" si="575"/>
        <v>0</v>
      </c>
      <c r="Z811" s="510">
        <f t="shared" si="576"/>
        <v>0</v>
      </c>
      <c r="AA811" s="511"/>
      <c r="AB811" s="511" t="str">
        <f t="shared" si="577"/>
        <v/>
      </c>
      <c r="AC811" s="698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698"/>
      <c r="AE811" s="631" t="str">
        <f t="shared" si="578"/>
        <v/>
      </c>
      <c r="AF811" s="699" t="str">
        <f t="shared" si="579"/>
        <v/>
      </c>
      <c r="AG811" s="699"/>
      <c r="AH811" s="699"/>
      <c r="AI811" s="512">
        <f>IF(H811="credit",0,IF(AE811="free",0,IF(AE811="me",0,IF(G811&gt;0,(VLOOKUP(A811,'Discount Lookup'!J:K,2)*G811),0))))</f>
        <v>0</v>
      </c>
      <c r="AJ811" s="513" t="str">
        <f t="shared" ca="1" si="580"/>
        <v/>
      </c>
      <c r="AK811" s="700" t="str">
        <f t="shared" si="581"/>
        <v/>
      </c>
      <c r="AL811" s="700"/>
      <c r="AM811" s="505" t="str">
        <f t="shared" si="582"/>
        <v/>
      </c>
      <c r="AN811" s="506"/>
      <c r="AO811" s="507"/>
      <c r="AP811" s="507"/>
      <c r="AQ811" s="507"/>
      <c r="AR811" s="507"/>
      <c r="AS811" s="507"/>
      <c r="AT811" s="507"/>
      <c r="AU811" s="507"/>
      <c r="AV811" s="225"/>
      <c r="AW811" s="508"/>
      <c r="AX811" s="225"/>
      <c r="AY811" s="225"/>
      <c r="AZ811" s="225"/>
      <c r="BA811" s="225"/>
      <c r="BB811" s="225"/>
      <c r="BC811" s="56"/>
      <c r="BD811" s="56"/>
      <c r="BE811" s="56"/>
      <c r="BF811" s="107" t="str">
        <f t="shared" si="583"/>
        <v>https://www.google.com/search?tbm=isch&amp;q=3%20G2</v>
      </c>
      <c r="BG811" s="107" t="str">
        <f t="shared" si="584"/>
        <v>C</v>
      </c>
      <c r="BH811" s="254"/>
      <c r="BI811" s="254"/>
    </row>
    <row r="812" spans="1:61" customFormat="1" ht="17.25" thickBot="1" x14ac:dyDescent="0.3">
      <c r="A812" s="673" t="s">
        <v>5083</v>
      </c>
      <c r="B812" s="245"/>
      <c r="C812" s="677"/>
      <c r="D812" s="499"/>
      <c r="E812" s="499"/>
      <c r="F812" s="500"/>
      <c r="G812" s="501"/>
      <c r="H812" s="502"/>
      <c r="I812" s="246"/>
      <c r="J812" s="247"/>
      <c r="K812" s="503"/>
      <c r="L812" s="544"/>
      <c r="M812" s="544"/>
      <c r="N812" s="500"/>
      <c r="O812" s="500"/>
      <c r="P812" s="500"/>
      <c r="Q812" s="500"/>
      <c r="R812" s="500"/>
      <c r="S812" s="669" t="s">
        <v>5005</v>
      </c>
      <c r="T812" s="508">
        <f t="shared" si="572"/>
        <v>0</v>
      </c>
      <c r="U812" s="225" t="str">
        <f>IF(NOT(ISNUMBER(G812)), "", VLOOKUP(A812,'Discount Lookup'!D:E,2,FALSE)*G812)</f>
        <v/>
      </c>
      <c r="V812" s="225" t="str">
        <f>IF(NOT(ISNUMBER(G812)), "", VLOOKUP(A812,'Discount Lookup'!G:H,2,FALSE)*G812)</f>
        <v/>
      </c>
      <c r="W812" s="508">
        <f t="shared" si="573"/>
        <v>0</v>
      </c>
      <c r="X812" s="508">
        <f t="shared" si="574"/>
        <v>0</v>
      </c>
      <c r="Y812" s="509" t="b">
        <f t="shared" si="575"/>
        <v>0</v>
      </c>
      <c r="Z812" s="510">
        <f t="shared" si="576"/>
        <v>0</v>
      </c>
      <c r="AA812" s="511"/>
      <c r="AB812" s="511" t="str">
        <f t="shared" si="577"/>
        <v/>
      </c>
      <c r="AC812" s="698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698"/>
      <c r="AE812" s="631" t="str">
        <f t="shared" si="578"/>
        <v/>
      </c>
      <c r="AF812" s="699" t="str">
        <f t="shared" si="579"/>
        <v/>
      </c>
      <c r="AG812" s="699"/>
      <c r="AH812" s="699"/>
      <c r="AI812" s="512">
        <f>IF(H812="credit",0,IF(AE812="free",0,IF(AE812="me",0,IF(G812&gt;0,(VLOOKUP(A812,'Discount Lookup'!J:K,2)*G812),0))))</f>
        <v>0</v>
      </c>
      <c r="AJ812" s="513" t="str">
        <f t="shared" ca="1" si="580"/>
        <v/>
      </c>
      <c r="AK812" s="700" t="str">
        <f t="shared" si="581"/>
        <v/>
      </c>
      <c r="AL812" s="700"/>
      <c r="AM812" s="505" t="str">
        <f t="shared" si="582"/>
        <v/>
      </c>
      <c r="AN812" s="506"/>
      <c r="AO812" s="507"/>
      <c r="AP812" s="507"/>
      <c r="AQ812" s="507"/>
      <c r="AR812" s="507"/>
      <c r="AS812" s="507"/>
      <c r="AT812" s="507"/>
      <c r="AU812" s="507"/>
      <c r="AV812" s="225"/>
      <c r="AW812" s="508"/>
      <c r="AX812" s="225"/>
      <c r="AY812" s="225"/>
      <c r="AZ812" s="225"/>
      <c r="BA812" s="225"/>
      <c r="BB812" s="225"/>
      <c r="BC812" s="56"/>
      <c r="BD812" s="56"/>
      <c r="BE812" s="56"/>
      <c r="BF812" s="107" t="str">
        <f t="shared" si="583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812" s="107" t="str">
        <f t="shared" si="584"/>
        <v>m</v>
      </c>
      <c r="BH812" s="254"/>
      <c r="BI812" s="254"/>
    </row>
    <row r="813" spans="1:61" customFormat="1" ht="18" x14ac:dyDescent="0.25">
      <c r="A813" s="523" t="s">
        <v>546</v>
      </c>
      <c r="B813" s="235"/>
      <c r="C813" s="676"/>
      <c r="D813" s="255" t="s">
        <v>545</v>
      </c>
      <c r="E813" s="236"/>
      <c r="F813" s="236"/>
      <c r="G813" s="236"/>
      <c r="H813" s="582" t="s">
        <v>3101</v>
      </c>
      <c r="I813" s="498" t="s">
        <v>827</v>
      </c>
      <c r="J813" s="237"/>
      <c r="K813" s="237"/>
      <c r="L813" s="274"/>
      <c r="M813" s="670" t="s">
        <v>4973</v>
      </c>
      <c r="N813" s="681" t="str">
        <f>IF(AND(ISTEXT($A813), ISERROR($A813+0)), HYPERLINK($BF813, "Images"), "")</f>
        <v>Images</v>
      </c>
      <c r="O813" s="663" t="s">
        <v>4974</v>
      </c>
      <c r="P813" s="253"/>
      <c r="Q813" s="238"/>
      <c r="R813" s="239"/>
      <c r="S813" s="275"/>
      <c r="T813" s="508">
        <f t="shared" si="572"/>
        <v>0</v>
      </c>
      <c r="U813" s="225" t="str">
        <f>IF(NOT(ISNUMBER(G813)), "", VLOOKUP(A813,'Discount Lookup'!D:E,2,FALSE)*G813)</f>
        <v/>
      </c>
      <c r="V813" s="225" t="str">
        <f>IF(NOT(ISNUMBER(G813)), "", VLOOKUP(A813,'Discount Lookup'!G:H,2,FALSE)*G813)</f>
        <v/>
      </c>
      <c r="W813" s="508">
        <f t="shared" si="573"/>
        <v>0</v>
      </c>
      <c r="X813" s="508" t="str">
        <f t="shared" si="574"/>
        <v>Creamy White bloom</v>
      </c>
      <c r="Y813" s="509" t="b">
        <f t="shared" si="575"/>
        <v>0</v>
      </c>
      <c r="Z813" s="510">
        <f t="shared" si="576"/>
        <v>0</v>
      </c>
      <c r="AA813" s="511"/>
      <c r="AB813" s="511" t="str">
        <f t="shared" si="577"/>
        <v/>
      </c>
      <c r="AC813" s="698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698"/>
      <c r="AE813" s="631" t="str">
        <f t="shared" si="578"/>
        <v/>
      </c>
      <c r="AF813" s="699" t="str">
        <f t="shared" si="579"/>
        <v/>
      </c>
      <c r="AG813" s="699"/>
      <c r="AH813" s="699"/>
      <c r="AI813" s="512">
        <f>IF(H813="credit",0,IF(AE813="free",0,IF(AE813="me",0,IF(G813&gt;0,(VLOOKUP(A813,'Discount Lookup'!J:K,2)*G813),0))))</f>
        <v>0</v>
      </c>
      <c r="AJ813" s="513" t="str">
        <f t="shared" ca="1" si="580"/>
        <v/>
      </c>
      <c r="AK813" s="700" t="str">
        <f t="shared" si="581"/>
        <v/>
      </c>
      <c r="AL813" s="700"/>
      <c r="AM813" s="505" t="str">
        <f t="shared" si="582"/>
        <v/>
      </c>
      <c r="AN813" s="506"/>
      <c r="AO813" s="507"/>
      <c r="AP813" s="507"/>
      <c r="AQ813" s="507"/>
      <c r="AR813" s="507"/>
      <c r="AS813" s="507"/>
      <c r="AT813" s="507"/>
      <c r="AU813" s="507"/>
      <c r="AV813" s="225"/>
      <c r="AW813" s="508"/>
      <c r="AX813" s="225"/>
      <c r="AY813" s="225"/>
      <c r="AZ813" s="225"/>
      <c r="BA813" s="225"/>
      <c r="BB813" s="225"/>
      <c r="BC813" s="56"/>
      <c r="BD813" s="56"/>
      <c r="BE813" s="56"/>
      <c r="BF813" s="107" t="str">
        <f t="shared" si="583"/>
        <v>https://www.google.com/search?tbm=isch&amp;q=Climbing%20Hydrangea%20Hyd.%20anomala%20petiolaris</v>
      </c>
      <c r="BG813" s="107" t="str">
        <f t="shared" si="584"/>
        <v>C</v>
      </c>
      <c r="BH813" s="254"/>
      <c r="BI813" s="254"/>
    </row>
    <row r="814" spans="1:61" customFormat="1" ht="15.75" x14ac:dyDescent="0.25">
      <c r="A814" s="276">
        <v>3</v>
      </c>
      <c r="B814" s="240" t="s">
        <v>291</v>
      </c>
      <c r="C814" s="241" t="s">
        <v>327</v>
      </c>
      <c r="D814" s="242" t="s">
        <v>312</v>
      </c>
      <c r="E814" s="243">
        <v>32.950000000000003</v>
      </c>
      <c r="F814" s="517" t="s">
        <v>293</v>
      </c>
      <c r="G814" s="232">
        <v>0</v>
      </c>
      <c r="H814" s="661" t="str">
        <f>IF(G814=0,"",IF(F814="Buy",IF(G814=1,"plant","plants"),IF(F814&gt;0.01,"warranty","Error")))</f>
        <v/>
      </c>
      <c r="I814" s="244">
        <f>IF(H814="free",0,IF(H814="credit",((E814*(F814))*G814*-1),IF(F814="Buy",(E814*G814),((E814*(1-F814))*G814))))</f>
        <v>0</v>
      </c>
      <c r="J814" s="244">
        <f>IF(H814="warranty",0,(I814*(_xlfn.SINGLE(SalesTaxPercentage))))</f>
        <v>0</v>
      </c>
      <c r="K814" s="696">
        <f t="shared" ref="K814" si="600">I814+J814</f>
        <v>0</v>
      </c>
      <c r="L814" s="696"/>
      <c r="M814" s="659" t="str">
        <f>IF(AND(G814&gt;0,E814=0),"WARNING - no PRICE inserted",IF(H814="free"," FREE ~ no charge this plant",IF(H814="credit",CONCATENATE(" -$",ROUND(K814*(1-T2GDiscount)*-1,2)," CREDIT after discount"),IF(T2GDiscount=0,"",IF(G814=0,"",IF(F814="Buy",CONCATENATE(" $",ROUND(K814*(1-T2GDiscount),2)," with ",(T2GDiscount*100),"% discount"),CONCATENATE(" $",ROUND(K814*(1-T2GDiscount),2)," with ",((T2GDiscount*100+F814*100)-(T2GDiscount*100*F814)),IF(F814&gt;0,"% discounts",IF(NoWarrantyDiscount&gt;0,"% discounts","% discount")))))))))</f>
        <v/>
      </c>
      <c r="N814" s="660"/>
      <c r="O814" s="233"/>
      <c r="P814" s="233"/>
      <c r="Q814" s="233"/>
      <c r="R814" s="233"/>
      <c r="S814" s="233"/>
      <c r="T814" s="508">
        <f t="shared" si="572"/>
        <v>0</v>
      </c>
      <c r="U814" s="225">
        <f>IF(NOT(ISNUMBER(G814)), "", VLOOKUP(A814,'Discount Lookup'!D:E,2,FALSE)*G814)</f>
        <v>0</v>
      </c>
      <c r="V814" s="225">
        <f>IF(NOT(ISNUMBER(G814)), "", VLOOKUP(A814,'Discount Lookup'!G:H,2,FALSE)*G814)</f>
        <v>0</v>
      </c>
      <c r="W814" s="508">
        <f t="shared" si="573"/>
        <v>0</v>
      </c>
      <c r="X814" s="508">
        <f t="shared" si="574"/>
        <v>0</v>
      </c>
      <c r="Y814" s="509" t="b">
        <f t="shared" si="575"/>
        <v>0</v>
      </c>
      <c r="Z814" s="510">
        <f t="shared" si="576"/>
        <v>0</v>
      </c>
      <c r="AA814" s="511"/>
      <c r="AB814" s="511" t="str">
        <f t="shared" si="577"/>
        <v/>
      </c>
      <c r="AC814" s="698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698"/>
      <c r="AE814" s="631" t="str">
        <f t="shared" si="578"/>
        <v/>
      </c>
      <c r="AF814" s="699" t="str">
        <f t="shared" si="579"/>
        <v/>
      </c>
      <c r="AG814" s="699"/>
      <c r="AH814" s="699"/>
      <c r="AI814" s="512">
        <f>IF(H814="credit",0,IF(AE814="free",0,IF(AE814="me",0,IF(G814&gt;0,(VLOOKUP(A814,'Discount Lookup'!J:K,2)*G814),0))))</f>
        <v>0</v>
      </c>
      <c r="AJ814" s="513" t="str">
        <f t="shared" ca="1" si="580"/>
        <v/>
      </c>
      <c r="AK814" s="700" t="str">
        <f t="shared" si="581"/>
        <v/>
      </c>
      <c r="AL814" s="700"/>
      <c r="AM814" s="505" t="str">
        <f t="shared" si="582"/>
        <v/>
      </c>
      <c r="AN814" s="506"/>
      <c r="AO814" s="507"/>
      <c r="AP814" s="507"/>
      <c r="AQ814" s="507"/>
      <c r="AR814" s="507"/>
      <c r="AS814" s="507"/>
      <c r="AT814" s="507"/>
      <c r="AU814" s="507"/>
      <c r="AV814" s="225"/>
      <c r="AW814" s="508"/>
      <c r="AX814" s="225"/>
      <c r="AY814" s="225"/>
      <c r="AZ814" s="225"/>
      <c r="BA814" s="225"/>
      <c r="BB814" s="225"/>
      <c r="BC814" s="56"/>
      <c r="BD814" s="56"/>
      <c r="BE814" s="56"/>
      <c r="BF814" s="107" t="str">
        <f t="shared" si="583"/>
        <v>https://www.google.com/search?tbm=isch&amp;q=3%20G2</v>
      </c>
      <c r="BG814" s="107" t="str">
        <f t="shared" si="584"/>
        <v>C</v>
      </c>
      <c r="BH814" s="254"/>
      <c r="BI814" s="254"/>
    </row>
    <row r="815" spans="1:61" customFormat="1" ht="27" x14ac:dyDescent="0.25">
      <c r="A815" s="276">
        <v>7</v>
      </c>
      <c r="B815" s="240" t="s">
        <v>291</v>
      </c>
      <c r="C815" s="241" t="s">
        <v>3385</v>
      </c>
      <c r="D815" s="242" t="s">
        <v>292</v>
      </c>
      <c r="E815" s="243">
        <v>127.95</v>
      </c>
      <c r="F815" s="517" t="s">
        <v>293</v>
      </c>
      <c r="G815" s="232">
        <v>0</v>
      </c>
      <c r="H815" s="661" t="str">
        <f>IF(G815=0,"",IF(F815="Buy",IF(G815=1,"plant","plants"),IF(F815&gt;0.01,"warranty","Error")))</f>
        <v/>
      </c>
      <c r="I815" s="244">
        <f>IF(H815="free",0,IF(H815="credit",((E815*(F815))*G815*-1),IF(F815="Buy",(E815*G815),((E815*(1-F815))*G815))))</f>
        <v>0</v>
      </c>
      <c r="J815" s="244">
        <f>IF(H815="warranty",0,(I815*(_xlfn.SINGLE(SalesTaxPercentage))))</f>
        <v>0</v>
      </c>
      <c r="K815" s="696">
        <f t="shared" ref="K815" si="601">I815+J815</f>
        <v>0</v>
      </c>
      <c r="L815" s="696"/>
      <c r="M815" s="659" t="str">
        <f>IF(AND(G815&gt;0,E815=0),"WARNING - no PRICE inserted",IF(H815="free"," FREE ~ no charge this plant",IF(H815="credit",CONCATENATE(" -$",ROUND(K815*(1-T2GDiscount)*-1,2)," CREDIT after discount"),IF(T2GDiscount=0,"",IF(G815=0,"",IF(F815="Buy",CONCATENATE(" $",ROUND(K815*(1-T2GDiscount),2)," with ",(T2GDiscount*100),"% discount"),CONCATENATE(" $",ROUND(K815*(1-T2GDiscount),2)," with ",((T2GDiscount*100+F815*100)-(T2GDiscount*100*F815)),IF(F815&gt;0,"% discounts",IF(NoWarrantyDiscount&gt;0,"% discounts","% discount")))))))))</f>
        <v/>
      </c>
      <c r="N815" s="660"/>
      <c r="O815" s="233"/>
      <c r="P815" s="233"/>
      <c r="Q815" s="233"/>
      <c r="R815" s="233"/>
      <c r="S815" s="233"/>
      <c r="T815" s="508">
        <f t="shared" si="572"/>
        <v>0</v>
      </c>
      <c r="U815" s="225">
        <f>IF(NOT(ISNUMBER(G815)), "", VLOOKUP(A815,'Discount Lookup'!D:E,2,FALSE)*G815)</f>
        <v>0</v>
      </c>
      <c r="V815" s="225">
        <f>IF(NOT(ISNUMBER(G815)), "", VLOOKUP(A815,'Discount Lookup'!G:H,2,FALSE)*G815)</f>
        <v>0</v>
      </c>
      <c r="W815" s="508">
        <f t="shared" si="573"/>
        <v>0</v>
      </c>
      <c r="X815" s="508">
        <f t="shared" si="574"/>
        <v>0</v>
      </c>
      <c r="Y815" s="509" t="b">
        <f t="shared" si="575"/>
        <v>0</v>
      </c>
      <c r="Z815" s="510">
        <f t="shared" si="576"/>
        <v>0</v>
      </c>
      <c r="AA815" s="511"/>
      <c r="AB815" s="511" t="str">
        <f t="shared" si="577"/>
        <v/>
      </c>
      <c r="AC815" s="698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698"/>
      <c r="AE815" s="631" t="str">
        <f t="shared" si="578"/>
        <v/>
      </c>
      <c r="AF815" s="699" t="str">
        <f t="shared" si="579"/>
        <v/>
      </c>
      <c r="AG815" s="699"/>
      <c r="AH815" s="699"/>
      <c r="AI815" s="512">
        <f>IF(H815="credit",0,IF(AE815="free",0,IF(AE815="me",0,IF(G815&gt;0,(VLOOKUP(A815,'Discount Lookup'!J:K,2)*G815),0))))</f>
        <v>0</v>
      </c>
      <c r="AJ815" s="513" t="str">
        <f t="shared" ca="1" si="580"/>
        <v/>
      </c>
      <c r="AK815" s="700" t="str">
        <f t="shared" si="581"/>
        <v/>
      </c>
      <c r="AL815" s="700"/>
      <c r="AM815" s="505" t="str">
        <f t="shared" si="582"/>
        <v/>
      </c>
      <c r="AN815" s="506"/>
      <c r="AO815" s="507"/>
      <c r="AP815" s="507"/>
      <c r="AQ815" s="507"/>
      <c r="AR815" s="507"/>
      <c r="AS815" s="507"/>
      <c r="AT815" s="507"/>
      <c r="AU815" s="507"/>
      <c r="AV815" s="225"/>
      <c r="AW815" s="508"/>
      <c r="AX815" s="225"/>
      <c r="AY815" s="225"/>
      <c r="AZ815" s="225"/>
      <c r="BA815" s="225"/>
      <c r="BB815" s="225"/>
      <c r="BC815" s="56"/>
      <c r="BD815" s="56"/>
      <c r="BE815" s="56"/>
      <c r="BF815" s="107" t="str">
        <f t="shared" si="583"/>
        <v>https://www.google.com/search?tbm=isch&amp;q=7%20G4</v>
      </c>
      <c r="BG815" s="107" t="str">
        <f t="shared" si="584"/>
        <v>C</v>
      </c>
      <c r="BH815" s="254"/>
      <c r="BI815" s="254"/>
    </row>
    <row r="816" spans="1:61" customFormat="1" ht="27" x14ac:dyDescent="0.25">
      <c r="A816" s="276">
        <v>7</v>
      </c>
      <c r="B816" s="240" t="s">
        <v>291</v>
      </c>
      <c r="C816" s="241" t="s">
        <v>3386</v>
      </c>
      <c r="D816" s="242" t="s">
        <v>292</v>
      </c>
      <c r="E816" s="243">
        <v>164.95</v>
      </c>
      <c r="F816" s="517" t="s">
        <v>293</v>
      </c>
      <c r="G816" s="232">
        <v>0</v>
      </c>
      <c r="H816" s="661" t="str">
        <f>IF(G816=0,"",IF(F816="Buy",IF(G816=1,"plant","plants"),IF(F816&gt;0.01,"warranty","Error")))</f>
        <v/>
      </c>
      <c r="I816" s="244">
        <f>IF(H816="free",0,IF(H816="credit",((E816*(F816))*G816*-1),IF(F816="Buy",(E816*G816),((E816*(1-F816))*G816))))</f>
        <v>0</v>
      </c>
      <c r="J816" s="244">
        <f>IF(H816="warranty",0,(I816*(_xlfn.SINGLE(SalesTaxPercentage))))</f>
        <v>0</v>
      </c>
      <c r="K816" s="696">
        <f t="shared" ref="K816" si="602">I816+J816</f>
        <v>0</v>
      </c>
      <c r="L816" s="696"/>
      <c r="M816" s="659" t="str">
        <f>IF(AND(G816&gt;0,E816=0),"WARNING - no PRICE inserted",IF(H816="free"," FREE ~ no charge this plant",IF(H816="credit",CONCATENATE(" -$",ROUND(K816*(1-T2GDiscount)*-1,2)," CREDIT after discount"),IF(T2GDiscount=0,"",IF(G816=0,"",IF(F816="Buy",CONCATENATE(" $",ROUND(K816*(1-T2GDiscount),2)," with ",(T2GDiscount*100),"% discount"),CONCATENATE(" $",ROUND(K816*(1-T2GDiscount),2)," with ",((T2GDiscount*100+F816*100)-(T2GDiscount*100*F816)),IF(F816&gt;0,"% discounts",IF(NoWarrantyDiscount&gt;0,"% discounts","% discount")))))))))</f>
        <v/>
      </c>
      <c r="N816" s="660"/>
      <c r="O816" s="233"/>
      <c r="P816" s="233"/>
      <c r="Q816" s="233"/>
      <c r="R816" s="233"/>
      <c r="S816" s="233"/>
      <c r="T816" s="508">
        <f t="shared" si="572"/>
        <v>0</v>
      </c>
      <c r="U816" s="225">
        <f>IF(NOT(ISNUMBER(G816)), "", VLOOKUP(A816,'Discount Lookup'!D:E,2,FALSE)*G816)</f>
        <v>0</v>
      </c>
      <c r="V816" s="225">
        <f>IF(NOT(ISNUMBER(G816)), "", VLOOKUP(A816,'Discount Lookup'!G:H,2,FALSE)*G816)</f>
        <v>0</v>
      </c>
      <c r="W816" s="508">
        <f t="shared" si="573"/>
        <v>0</v>
      </c>
      <c r="X816" s="508">
        <f t="shared" si="574"/>
        <v>0</v>
      </c>
      <c r="Y816" s="509" t="b">
        <f t="shared" si="575"/>
        <v>0</v>
      </c>
      <c r="Z816" s="510">
        <f t="shared" si="576"/>
        <v>0</v>
      </c>
      <c r="AA816" s="511"/>
      <c r="AB816" s="511" t="str">
        <f t="shared" si="577"/>
        <v/>
      </c>
      <c r="AC816" s="698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698"/>
      <c r="AE816" s="631" t="str">
        <f t="shared" si="578"/>
        <v/>
      </c>
      <c r="AF816" s="699" t="str">
        <f t="shared" si="579"/>
        <v/>
      </c>
      <c r="AG816" s="699"/>
      <c r="AH816" s="699"/>
      <c r="AI816" s="512">
        <f>IF(H816="credit",0,IF(AE816="free",0,IF(AE816="me",0,IF(G816&gt;0,(VLOOKUP(A816,'Discount Lookup'!J:K,2)*G816),0))))</f>
        <v>0</v>
      </c>
      <c r="AJ816" s="513" t="str">
        <f t="shared" ca="1" si="580"/>
        <v/>
      </c>
      <c r="AK816" s="700" t="str">
        <f t="shared" si="581"/>
        <v/>
      </c>
      <c r="AL816" s="700"/>
      <c r="AM816" s="505" t="str">
        <f t="shared" si="582"/>
        <v/>
      </c>
      <c r="AN816" s="506"/>
      <c r="AO816" s="507"/>
      <c r="AP816" s="507"/>
      <c r="AQ816" s="507"/>
      <c r="AR816" s="507"/>
      <c r="AS816" s="507"/>
      <c r="AT816" s="507"/>
      <c r="AU816" s="507"/>
      <c r="AV816" s="225"/>
      <c r="AW816" s="508"/>
      <c r="AX816" s="225"/>
      <c r="AY816" s="225"/>
      <c r="AZ816" s="225"/>
      <c r="BA816" s="225"/>
      <c r="BB816" s="225"/>
      <c r="BC816" s="56"/>
      <c r="BD816" s="56"/>
      <c r="BE816" s="56"/>
      <c r="BF816" s="107" t="str">
        <f t="shared" si="583"/>
        <v>https://www.google.com/search?tbm=isch&amp;q=7%20G4</v>
      </c>
      <c r="BG816" s="107" t="str">
        <f t="shared" si="584"/>
        <v>C</v>
      </c>
      <c r="BH816" s="254"/>
      <c r="BI816" s="254"/>
    </row>
    <row r="817" spans="1:61" customFormat="1" ht="27" x14ac:dyDescent="0.25">
      <c r="A817" s="276">
        <v>15</v>
      </c>
      <c r="B817" s="240" t="s">
        <v>291</v>
      </c>
      <c r="C817" s="241" t="s">
        <v>3387</v>
      </c>
      <c r="D817" s="242" t="s">
        <v>292</v>
      </c>
      <c r="E817" s="243">
        <v>339.95</v>
      </c>
      <c r="F817" s="517" t="s">
        <v>293</v>
      </c>
      <c r="G817" s="232">
        <v>0</v>
      </c>
      <c r="H817" s="661" t="str">
        <f>IF(G817=0,"",IF(F817="Buy",IF(G817=1,"plant","plants"),IF(F817&gt;0.01,"warranty","Error")))</f>
        <v/>
      </c>
      <c r="I817" s="244">
        <f>IF(H817="free",0,IF(H817="credit",((E817*(F817))*G817*-1),IF(F817="Buy",(E817*G817),((E817*(1-F817))*G817))))</f>
        <v>0</v>
      </c>
      <c r="J817" s="244">
        <f>IF(H817="warranty",0,(I817*(_xlfn.SINGLE(SalesTaxPercentage))))</f>
        <v>0</v>
      </c>
      <c r="K817" s="696">
        <f t="shared" ref="K817" si="603">I817+J817</f>
        <v>0</v>
      </c>
      <c r="L817" s="696"/>
      <c r="M817" s="659" t="str">
        <f>IF(AND(G817&gt;0,E817=0),"WARNING - no PRICE inserted",IF(H817="free"," FREE ~ no charge this plant",IF(H817="credit",CONCATENATE(" -$",ROUND(K817*(1-T2GDiscount)*-1,2)," CREDIT after discount"),IF(T2GDiscount=0,"",IF(G817=0,"",IF(F817="Buy",CONCATENATE(" $",ROUND(K817*(1-T2GDiscount),2)," with ",(T2GDiscount*100),"% discount"),CONCATENATE(" $",ROUND(K817*(1-T2GDiscount),2)," with ",((T2GDiscount*100+F817*100)-(T2GDiscount*100*F817)),IF(F817&gt;0,"% discounts",IF(NoWarrantyDiscount&gt;0,"% discounts","% discount")))))))))</f>
        <v/>
      </c>
      <c r="N817" s="660"/>
      <c r="O817" s="233"/>
      <c r="P817" s="233"/>
      <c r="Q817" s="233"/>
      <c r="R817" s="233"/>
      <c r="S817" s="233"/>
      <c r="T817" s="508">
        <f t="shared" si="572"/>
        <v>0</v>
      </c>
      <c r="U817" s="225">
        <f>IF(NOT(ISNUMBER(G817)), "", VLOOKUP(A817,'Discount Lookup'!D:E,2,FALSE)*G817)</f>
        <v>0</v>
      </c>
      <c r="V817" s="225">
        <f>IF(NOT(ISNUMBER(G817)), "", VLOOKUP(A817,'Discount Lookup'!G:H,2,FALSE)*G817)</f>
        <v>0</v>
      </c>
      <c r="W817" s="508">
        <f t="shared" si="573"/>
        <v>0</v>
      </c>
      <c r="X817" s="508">
        <f t="shared" si="574"/>
        <v>0</v>
      </c>
      <c r="Y817" s="509" t="b">
        <f t="shared" si="575"/>
        <v>0</v>
      </c>
      <c r="Z817" s="510">
        <f t="shared" si="576"/>
        <v>0</v>
      </c>
      <c r="AA817" s="511"/>
      <c r="AB817" s="511" t="str">
        <f t="shared" si="577"/>
        <v/>
      </c>
      <c r="AC817" s="698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698"/>
      <c r="AE817" s="631" t="str">
        <f t="shared" si="578"/>
        <v/>
      </c>
      <c r="AF817" s="699" t="str">
        <f t="shared" si="579"/>
        <v/>
      </c>
      <c r="AG817" s="699"/>
      <c r="AH817" s="699"/>
      <c r="AI817" s="512">
        <f>IF(H817="credit",0,IF(AE817="free",0,IF(AE817="me",0,IF(G817&gt;0,(VLOOKUP(A817,'Discount Lookup'!J:K,2)*G817),0))))</f>
        <v>0</v>
      </c>
      <c r="AJ817" s="513" t="str">
        <f t="shared" ca="1" si="580"/>
        <v/>
      </c>
      <c r="AK817" s="700" t="str">
        <f t="shared" si="581"/>
        <v/>
      </c>
      <c r="AL817" s="700"/>
      <c r="AM817" s="505" t="str">
        <f t="shared" si="582"/>
        <v/>
      </c>
      <c r="AN817" s="506"/>
      <c r="AO817" s="507"/>
      <c r="AP817" s="507"/>
      <c r="AQ817" s="507"/>
      <c r="AR817" s="507"/>
      <c r="AS817" s="507"/>
      <c r="AT817" s="507"/>
      <c r="AU817" s="507"/>
      <c r="AV817" s="225"/>
      <c r="AW817" s="508"/>
      <c r="AX817" s="225"/>
      <c r="AY817" s="225"/>
      <c r="AZ817" s="225"/>
      <c r="BA817" s="225"/>
      <c r="BB817" s="225"/>
      <c r="BC817" s="56"/>
      <c r="BD817" s="56"/>
      <c r="BE817" s="56"/>
      <c r="BF817" s="107" t="str">
        <f t="shared" si="583"/>
        <v>https://www.google.com/search?tbm=isch&amp;q=15%20G4</v>
      </c>
      <c r="BG817" s="107" t="str">
        <f t="shared" si="584"/>
        <v>C</v>
      </c>
      <c r="BH817" s="254"/>
      <c r="BI817" s="254"/>
    </row>
    <row r="818" spans="1:61" customFormat="1" ht="17.25" thickBot="1" x14ac:dyDescent="0.3">
      <c r="A818" s="524" t="s">
        <v>3114</v>
      </c>
      <c r="B818" s="245"/>
      <c r="C818" s="677"/>
      <c r="D818" s="499"/>
      <c r="E818" s="499"/>
      <c r="F818" s="500"/>
      <c r="G818" s="501"/>
      <c r="H818" s="502"/>
      <c r="I818" s="246"/>
      <c r="J818" s="247"/>
      <c r="K818" s="503"/>
      <c r="L818" s="544"/>
      <c r="M818" s="544"/>
      <c r="N818" s="500"/>
      <c r="O818" s="500"/>
      <c r="P818" s="500"/>
      <c r="Q818" s="500"/>
      <c r="R818" s="500"/>
      <c r="S818" s="278"/>
      <c r="T818" s="508">
        <f t="shared" si="572"/>
        <v>0</v>
      </c>
      <c r="U818" s="225" t="str">
        <f>IF(NOT(ISNUMBER(G818)), "", VLOOKUP(A818,'Discount Lookup'!D:E,2,FALSE)*G818)</f>
        <v/>
      </c>
      <c r="V818" s="225" t="str">
        <f>IF(NOT(ISNUMBER(G818)), "", VLOOKUP(A818,'Discount Lookup'!G:H,2,FALSE)*G818)</f>
        <v/>
      </c>
      <c r="W818" s="508">
        <f t="shared" si="573"/>
        <v>0</v>
      </c>
      <c r="X818" s="508">
        <f t="shared" si="574"/>
        <v>0</v>
      </c>
      <c r="Y818" s="509" t="b">
        <f t="shared" si="575"/>
        <v>0</v>
      </c>
      <c r="Z818" s="510">
        <f t="shared" si="576"/>
        <v>0</v>
      </c>
      <c r="AA818" s="511"/>
      <c r="AB818" s="511" t="str">
        <f t="shared" si="577"/>
        <v/>
      </c>
      <c r="AC818" s="698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698"/>
      <c r="AE818" s="631" t="str">
        <f t="shared" si="578"/>
        <v/>
      </c>
      <c r="AF818" s="699" t="str">
        <f t="shared" si="579"/>
        <v/>
      </c>
      <c r="AG818" s="699"/>
      <c r="AH818" s="699"/>
      <c r="AI818" s="512">
        <f>IF(H818="credit",0,IF(AE818="free",0,IF(AE818="me",0,IF(G818&gt;0,(VLOOKUP(A818,'Discount Lookup'!J:K,2)*G818),0))))</f>
        <v>0</v>
      </c>
      <c r="AJ818" s="513" t="str">
        <f t="shared" ca="1" si="580"/>
        <v/>
      </c>
      <c r="AK818" s="700" t="str">
        <f t="shared" si="581"/>
        <v/>
      </c>
      <c r="AL818" s="700"/>
      <c r="AM818" s="505" t="str">
        <f t="shared" si="582"/>
        <v/>
      </c>
      <c r="AN818" s="506"/>
      <c r="AO818" s="507"/>
      <c r="AP818" s="507"/>
      <c r="AQ818" s="507"/>
      <c r="AR818" s="507"/>
      <c r="AS818" s="507"/>
      <c r="AT818" s="507"/>
      <c r="AU818" s="507"/>
      <c r="AV818" s="225"/>
      <c r="AW818" s="508"/>
      <c r="AX818" s="225"/>
      <c r="AY818" s="225"/>
      <c r="AZ818" s="225"/>
      <c r="BA818" s="225"/>
      <c r="BB818" s="225"/>
      <c r="BC818" s="56"/>
      <c r="BD818" s="56"/>
      <c r="BE818" s="56"/>
      <c r="BF818" s="107" t="str">
        <f t="shared" si="583"/>
        <v>https://www.google.com/search?tbm=isch&amp;q=Climbing%20has%20Dark%20Green%20foliage.%20%22Climbing%22%20Hydrangea%20is%20a%20vine%2C%20with%20Lacecap%20flowers%20on%20old%20wood.%20Exfoliating%20bark%20</v>
      </c>
      <c r="BG818" s="107" t="str">
        <f t="shared" si="584"/>
        <v>C</v>
      </c>
      <c r="BH818" s="254"/>
      <c r="BI818" s="254"/>
    </row>
    <row r="819" spans="1:61" customFormat="1" ht="18" x14ac:dyDescent="0.25">
      <c r="A819" s="521" t="s">
        <v>520</v>
      </c>
      <c r="B819" s="477"/>
      <c r="C819" s="674"/>
      <c r="D819" s="478" t="s">
        <v>519</v>
      </c>
      <c r="E819" s="479"/>
      <c r="F819" s="479"/>
      <c r="G819" s="479"/>
      <c r="H819" s="582" t="s">
        <v>443</v>
      </c>
      <c r="I819" s="480" t="s">
        <v>666</v>
      </c>
      <c r="J819" s="479"/>
      <c r="K819" s="479"/>
      <c r="L819" s="560"/>
      <c r="M819" s="666" t="s">
        <v>4963</v>
      </c>
      <c r="N819" s="680" t="str">
        <f>IF(AND(ISTEXT($A819), ISERROR($A819+0)), HYPERLINK($BF819, "Images"), "")</f>
        <v>Images</v>
      </c>
      <c r="O819" s="662" t="s">
        <v>4969</v>
      </c>
      <c r="P819" s="482"/>
      <c r="Q819" s="483"/>
      <c r="R819" s="483"/>
      <c r="S819" s="484"/>
      <c r="T819" s="508">
        <f t="shared" si="572"/>
        <v>0</v>
      </c>
      <c r="U819" s="225" t="str">
        <f>IF(NOT(ISNUMBER(G819)), "", VLOOKUP(A819,'Discount Lookup'!D:E,2,FALSE)*G819)</f>
        <v/>
      </c>
      <c r="V819" s="225" t="str">
        <f>IF(NOT(ISNUMBER(G819)), "", VLOOKUP(A819,'Discount Lookup'!G:H,2,FALSE)*G819)</f>
        <v/>
      </c>
      <c r="W819" s="508">
        <f t="shared" si="573"/>
        <v>0</v>
      </c>
      <c r="X819" s="508" t="str">
        <f t="shared" si="574"/>
        <v>Ivory bloom</v>
      </c>
      <c r="Y819" s="509" t="b">
        <f t="shared" si="575"/>
        <v>0</v>
      </c>
      <c r="Z819" s="510">
        <f t="shared" si="576"/>
        <v>0</v>
      </c>
      <c r="AA819" s="511"/>
      <c r="AB819" s="511" t="str">
        <f t="shared" si="577"/>
        <v/>
      </c>
      <c r="AC819" s="698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698"/>
      <c r="AE819" s="631" t="str">
        <f t="shared" si="578"/>
        <v/>
      </c>
      <c r="AF819" s="699" t="str">
        <f t="shared" si="579"/>
        <v/>
      </c>
      <c r="AG819" s="699"/>
      <c r="AH819" s="699"/>
      <c r="AI819" s="512">
        <f>IF(H819="credit",0,IF(AE819="free",0,IF(AE819="me",0,IF(G819&gt;0,(VLOOKUP(A819,'Discount Lookup'!J:K,2)*G819),0))))</f>
        <v>0</v>
      </c>
      <c r="AJ819" s="513" t="str">
        <f t="shared" ca="1" si="580"/>
        <v/>
      </c>
      <c r="AK819" s="700" t="str">
        <f t="shared" si="581"/>
        <v/>
      </c>
      <c r="AL819" s="700"/>
      <c r="AM819" s="505" t="str">
        <f t="shared" si="582"/>
        <v/>
      </c>
      <c r="AN819" s="506"/>
      <c r="AO819" s="507"/>
      <c r="AP819" s="507"/>
      <c r="AQ819" s="507"/>
      <c r="AR819" s="507"/>
      <c r="AS819" s="507"/>
      <c r="AT819" s="507"/>
      <c r="AU819" s="507"/>
      <c r="AV819" s="225"/>
      <c r="AW819" s="508"/>
      <c r="AX819" s="225"/>
      <c r="AY819" s="225"/>
      <c r="AZ819" s="225"/>
      <c r="BA819" s="225"/>
      <c r="BB819" s="225"/>
      <c r="BC819" s="56"/>
      <c r="BD819" s="56"/>
      <c r="BE819" s="56"/>
      <c r="BF819" s="107" t="str">
        <f t="shared" si="583"/>
        <v>https://www.google.com/search?tbm=isch&amp;q=Color%20Guard%20Yucca%20Yucca%20filamentosa%20%27Color%20Guard%27%20PP%239393Exp.</v>
      </c>
      <c r="BG819" s="107" t="str">
        <f t="shared" si="584"/>
        <v>C</v>
      </c>
      <c r="BH819" s="254"/>
      <c r="BI819" s="254"/>
    </row>
    <row r="820" spans="1:61" customFormat="1" ht="15.75" x14ac:dyDescent="0.25">
      <c r="A820" s="485">
        <v>3</v>
      </c>
      <c r="B820" s="486" t="s">
        <v>291</v>
      </c>
      <c r="C820" s="487" t="s">
        <v>521</v>
      </c>
      <c r="D820" s="488" t="s">
        <v>300</v>
      </c>
      <c r="E820" s="489">
        <v>32.950000000000003</v>
      </c>
      <c r="F820" s="516" t="s">
        <v>293</v>
      </c>
      <c r="G820" s="232">
        <v>0</v>
      </c>
      <c r="H820" s="658" t="str">
        <f>IF(G820=0,"",IF(F820="Buy",IF(G820=1,"plant","plants"),IF(F820&gt;0.01,"warranty","Error")))</f>
        <v/>
      </c>
      <c r="I820" s="490">
        <f>IF(H820="free",0,IF(H820="credit",((E820*(F820))*G820*-1),IF(F820="Buy",(E820*G820),((E820*(1-F820))*G820))))</f>
        <v>0</v>
      </c>
      <c r="J820" s="490">
        <f>IF(H820="warranty",0,(I820*(_xlfn.SINGLE(SalesTaxPercentage))))</f>
        <v>0</v>
      </c>
      <c r="K820" s="695">
        <f t="shared" ref="K820" si="604">I820+J820</f>
        <v>0</v>
      </c>
      <c r="L820" s="695"/>
      <c r="M820" s="659" t="str">
        <f>IF(AND(G820&gt;0,E820=0),"WARNING - no PRICE inserted",IF(H820="free"," FREE ~ no charge this plant",IF(H820="credit",CONCATENATE(" -$",ROUND(K820*(1-T2GDiscount)*-1,2)," CREDIT after discount"),IF(T2GDiscount=0,"",IF(G820=0,"",IF(F820="Buy",CONCATENATE(" $",ROUND(K820*(1-T2GDiscount),2)," with ",(T2GDiscount*100),"% discount"),CONCATENATE(" $",ROUND(K820*(1-T2GDiscount),2)," with ",((T2GDiscount*100+F820*100)-(T2GDiscount*100*F820)),IF(F820&gt;0,"% discounts",IF(NoWarrantyDiscount&gt;0,"% discounts","% discount")))))))))</f>
        <v/>
      </c>
      <c r="N820" s="660"/>
      <c r="O820" s="233"/>
      <c r="P820" s="233"/>
      <c r="Q820" s="233"/>
      <c r="R820" s="233"/>
      <c r="S820" s="233"/>
      <c r="T820" s="508">
        <f t="shared" si="572"/>
        <v>0</v>
      </c>
      <c r="U820" s="225">
        <f>IF(NOT(ISNUMBER(G820)), "", VLOOKUP(A820,'Discount Lookup'!D:E,2,FALSE)*G820)</f>
        <v>0</v>
      </c>
      <c r="V820" s="225">
        <f>IF(NOT(ISNUMBER(G820)), "", VLOOKUP(A820,'Discount Lookup'!G:H,2,FALSE)*G820)</f>
        <v>0</v>
      </c>
      <c r="W820" s="508">
        <f t="shared" si="573"/>
        <v>0</v>
      </c>
      <c r="X820" s="508">
        <f t="shared" si="574"/>
        <v>0</v>
      </c>
      <c r="Y820" s="509" t="b">
        <f t="shared" si="575"/>
        <v>0</v>
      </c>
      <c r="Z820" s="510">
        <f t="shared" si="576"/>
        <v>0</v>
      </c>
      <c r="AA820" s="511"/>
      <c r="AB820" s="511" t="str">
        <f t="shared" si="577"/>
        <v/>
      </c>
      <c r="AC820" s="698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698"/>
      <c r="AE820" s="631" t="str">
        <f t="shared" si="578"/>
        <v/>
      </c>
      <c r="AF820" s="699" t="str">
        <f t="shared" si="579"/>
        <v/>
      </c>
      <c r="AG820" s="699"/>
      <c r="AH820" s="699"/>
      <c r="AI820" s="512">
        <f>IF(H820="credit",0,IF(AE820="free",0,IF(AE820="me",0,IF(G820&gt;0,(VLOOKUP(A820,'Discount Lookup'!J:K,2)*G820),0))))</f>
        <v>0</v>
      </c>
      <c r="AJ820" s="513" t="str">
        <f t="shared" ca="1" si="580"/>
        <v/>
      </c>
      <c r="AK820" s="700" t="str">
        <f t="shared" si="581"/>
        <v/>
      </c>
      <c r="AL820" s="700"/>
      <c r="AM820" s="505" t="str">
        <f t="shared" si="582"/>
        <v/>
      </c>
      <c r="AN820" s="506"/>
      <c r="AO820" s="507"/>
      <c r="AP820" s="507"/>
      <c r="AQ820" s="507"/>
      <c r="AR820" s="507"/>
      <c r="AS820" s="507"/>
      <c r="AT820" s="507"/>
      <c r="AU820" s="507"/>
      <c r="AV820" s="225"/>
      <c r="AW820" s="508"/>
      <c r="AX820" s="225"/>
      <c r="AY820" s="225"/>
      <c r="AZ820" s="225"/>
      <c r="BA820" s="225"/>
      <c r="BB820" s="225"/>
      <c r="BC820" s="56"/>
      <c r="BD820" s="56"/>
      <c r="BE820" s="56"/>
      <c r="BF820" s="107" t="str">
        <f t="shared" si="583"/>
        <v>https://www.google.com/search?tbm=isch&amp;q=3%20G6</v>
      </c>
      <c r="BG820" s="107" t="str">
        <f t="shared" si="584"/>
        <v>C</v>
      </c>
      <c r="BH820" s="254"/>
      <c r="BI820" s="254"/>
    </row>
    <row r="821" spans="1:61" customFormat="1" ht="15.75" x14ac:dyDescent="0.25">
      <c r="A821" s="485">
        <v>3</v>
      </c>
      <c r="B821" s="486" t="s">
        <v>291</v>
      </c>
      <c r="C821" s="487" t="s">
        <v>329</v>
      </c>
      <c r="D821" s="488" t="s">
        <v>312</v>
      </c>
      <c r="E821" s="489">
        <v>34.950000000000003</v>
      </c>
      <c r="F821" s="516" t="s">
        <v>293</v>
      </c>
      <c r="G821" s="232">
        <v>0</v>
      </c>
      <c r="H821" s="658" t="str">
        <f>IF(G821=0,"",IF(F821="Buy",IF(G821=1,"plant","plants"),IF(F821&gt;0.01,"warranty","Error")))</f>
        <v/>
      </c>
      <c r="I821" s="490">
        <f>IF(H821="free",0,IF(H821="credit",((E821*(F821))*G821*-1),IF(F821="Buy",(E821*G821),((E821*(1-F821))*G821))))</f>
        <v>0</v>
      </c>
      <c r="J821" s="490">
        <f>IF(H821="warranty",0,(I821*(_xlfn.SINGLE(SalesTaxPercentage))))</f>
        <v>0</v>
      </c>
      <c r="K821" s="695">
        <f t="shared" ref="K821" si="605">I821+J821</f>
        <v>0</v>
      </c>
      <c r="L821" s="695"/>
      <c r="M821" s="659" t="str">
        <f>IF(AND(G821&gt;0,E821=0),"WARNING - no PRICE inserted",IF(H821="free"," FREE ~ no charge this plant",IF(H821="credit",CONCATENATE(" -$",ROUND(K821*(1-T2GDiscount)*-1,2)," CREDIT after discount"),IF(T2GDiscount=0,"",IF(G821=0,"",IF(F821="Buy",CONCATENATE(" $",ROUND(K821*(1-T2GDiscount),2)," with ",(T2GDiscount*100),"% discount"),CONCATENATE(" $",ROUND(K821*(1-T2GDiscount),2)," with ",((T2GDiscount*100+F821*100)-(T2GDiscount*100*F821)),IF(F821&gt;0,"% discounts",IF(NoWarrantyDiscount&gt;0,"% discounts","% discount")))))))))</f>
        <v/>
      </c>
      <c r="N821" s="660"/>
      <c r="O821" s="233"/>
      <c r="P821" s="233"/>
      <c r="Q821" s="233"/>
      <c r="R821" s="233"/>
      <c r="S821" s="233"/>
      <c r="T821" s="508">
        <f t="shared" si="572"/>
        <v>0</v>
      </c>
      <c r="U821" s="225">
        <f>IF(NOT(ISNUMBER(G821)), "", VLOOKUP(A821,'Discount Lookup'!D:E,2,FALSE)*G821)</f>
        <v>0</v>
      </c>
      <c r="V821" s="225">
        <f>IF(NOT(ISNUMBER(G821)), "", VLOOKUP(A821,'Discount Lookup'!G:H,2,FALSE)*G821)</f>
        <v>0</v>
      </c>
      <c r="W821" s="508">
        <f t="shared" si="573"/>
        <v>0</v>
      </c>
      <c r="X821" s="508">
        <f t="shared" si="574"/>
        <v>0</v>
      </c>
      <c r="Y821" s="509" t="b">
        <f t="shared" si="575"/>
        <v>0</v>
      </c>
      <c r="Z821" s="510">
        <f t="shared" si="576"/>
        <v>0</v>
      </c>
      <c r="AA821" s="511"/>
      <c r="AB821" s="511" t="str">
        <f t="shared" si="577"/>
        <v/>
      </c>
      <c r="AC821" s="698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698"/>
      <c r="AE821" s="631" t="str">
        <f t="shared" si="578"/>
        <v/>
      </c>
      <c r="AF821" s="699" t="str">
        <f t="shared" si="579"/>
        <v/>
      </c>
      <c r="AG821" s="699"/>
      <c r="AH821" s="699"/>
      <c r="AI821" s="512">
        <f>IF(H821="credit",0,IF(AE821="free",0,IF(AE821="me",0,IF(G821&gt;0,(VLOOKUP(A821,'Discount Lookup'!J:K,2)*G821),0))))</f>
        <v>0</v>
      </c>
      <c r="AJ821" s="513" t="str">
        <f t="shared" ca="1" si="580"/>
        <v/>
      </c>
      <c r="AK821" s="700" t="str">
        <f t="shared" si="581"/>
        <v/>
      </c>
      <c r="AL821" s="700"/>
      <c r="AM821" s="505" t="str">
        <f t="shared" si="582"/>
        <v/>
      </c>
      <c r="AN821" s="506"/>
      <c r="AO821" s="507"/>
      <c r="AP821" s="507"/>
      <c r="AQ821" s="507"/>
      <c r="AR821" s="507"/>
      <c r="AS821" s="507"/>
      <c r="AT821" s="507"/>
      <c r="AU821" s="507"/>
      <c r="AV821" s="225"/>
      <c r="AW821" s="508"/>
      <c r="AX821" s="225"/>
      <c r="AY821" s="225"/>
      <c r="AZ821" s="225"/>
      <c r="BA821" s="225"/>
      <c r="BB821" s="225"/>
      <c r="BC821" s="56"/>
      <c r="BD821" s="56"/>
      <c r="BE821" s="56"/>
      <c r="BF821" s="107" t="str">
        <f t="shared" si="583"/>
        <v>https://www.google.com/search?tbm=isch&amp;q=3%20G2</v>
      </c>
      <c r="BG821" s="107" t="str">
        <f t="shared" si="584"/>
        <v>C</v>
      </c>
      <c r="BH821" s="254"/>
      <c r="BI821" s="254"/>
    </row>
    <row r="822" spans="1:61" customFormat="1" ht="15.75" x14ac:dyDescent="0.25">
      <c r="A822" s="485">
        <v>3</v>
      </c>
      <c r="B822" s="486" t="s">
        <v>291</v>
      </c>
      <c r="C822" s="487" t="s">
        <v>4703</v>
      </c>
      <c r="D822" s="488" t="s">
        <v>312</v>
      </c>
      <c r="E822" s="489">
        <v>34.950000000000003</v>
      </c>
      <c r="F822" s="516" t="s">
        <v>293</v>
      </c>
      <c r="G822" s="232">
        <v>0</v>
      </c>
      <c r="H822" s="658" t="str">
        <f>IF(G822=0,"",IF(F822="Buy",IF(G822=1,"plant","plants"),IF(F822&gt;0.01,"warranty","Error")))</f>
        <v/>
      </c>
      <c r="I822" s="490">
        <f>IF(H822="free",0,IF(H822="credit",((E822*(F822))*G822*-1),IF(F822="Buy",(E822*G822),((E822*(1-F822))*G822))))</f>
        <v>0</v>
      </c>
      <c r="J822" s="490">
        <f>IF(H822="warranty",0,(I822*(_xlfn.SINGLE(SalesTaxPercentage))))</f>
        <v>0</v>
      </c>
      <c r="K822" s="695">
        <f t="shared" ref="K822" si="606">I822+J822</f>
        <v>0</v>
      </c>
      <c r="L822" s="695"/>
      <c r="M822" s="659" t="str">
        <f>IF(AND(G822&gt;0,E822=0),"WARNING - no PRICE inserted",IF(H822="free"," FREE ~ no charge this plant",IF(H822="credit",CONCATENATE(" -$",ROUND(K822*(1-T2GDiscount)*-1,2)," CREDIT after discount"),IF(T2GDiscount=0,"",IF(G822=0,"",IF(F822="Buy",CONCATENATE(" $",ROUND(K822*(1-T2GDiscount),2)," with ",(T2GDiscount*100),"% discount"),CONCATENATE(" $",ROUND(K822*(1-T2GDiscount),2)," with ",((T2GDiscount*100+F822*100)-(T2GDiscount*100*F822)),IF(F822&gt;0,"% discounts",IF(NoWarrantyDiscount&gt;0,"% discounts","% discount")))))))))</f>
        <v/>
      </c>
      <c r="N822" s="660"/>
      <c r="O822" s="233"/>
      <c r="P822" s="233"/>
      <c r="Q822" s="233"/>
      <c r="R822" s="233"/>
      <c r="S822" s="233"/>
      <c r="T822" s="508">
        <f t="shared" si="572"/>
        <v>0</v>
      </c>
      <c r="U822" s="225">
        <f>IF(NOT(ISNUMBER(G822)), "", VLOOKUP(A822,'Discount Lookup'!D:E,2,FALSE)*G822)</f>
        <v>0</v>
      </c>
      <c r="V822" s="225">
        <f>IF(NOT(ISNUMBER(G822)), "", VLOOKUP(A822,'Discount Lookup'!G:H,2,FALSE)*G822)</f>
        <v>0</v>
      </c>
      <c r="W822" s="508">
        <f t="shared" si="573"/>
        <v>0</v>
      </c>
      <c r="X822" s="508">
        <f t="shared" si="574"/>
        <v>0</v>
      </c>
      <c r="Y822" s="509" t="b">
        <f t="shared" si="575"/>
        <v>0</v>
      </c>
      <c r="Z822" s="510">
        <f t="shared" si="576"/>
        <v>0</v>
      </c>
      <c r="AA822" s="511"/>
      <c r="AB822" s="511" t="str">
        <f t="shared" si="577"/>
        <v/>
      </c>
      <c r="AC822" s="698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698"/>
      <c r="AE822" s="631" t="str">
        <f t="shared" si="578"/>
        <v/>
      </c>
      <c r="AF822" s="699" t="str">
        <f t="shared" si="579"/>
        <v/>
      </c>
      <c r="AG822" s="699"/>
      <c r="AH822" s="699"/>
      <c r="AI822" s="512">
        <f>IF(H822="credit",0,IF(AE822="free",0,IF(AE822="me",0,IF(G822&gt;0,(VLOOKUP(A822,'Discount Lookup'!J:K,2)*G822),0))))</f>
        <v>0</v>
      </c>
      <c r="AJ822" s="513" t="str">
        <f t="shared" ca="1" si="580"/>
        <v/>
      </c>
      <c r="AK822" s="700" t="str">
        <f t="shared" si="581"/>
        <v/>
      </c>
      <c r="AL822" s="700"/>
      <c r="AM822" s="505" t="str">
        <f t="shared" si="582"/>
        <v/>
      </c>
      <c r="AN822" s="506"/>
      <c r="AO822" s="507"/>
      <c r="AP822" s="507"/>
      <c r="AQ822" s="507"/>
      <c r="AR822" s="507"/>
      <c r="AS822" s="507"/>
      <c r="AT822" s="507"/>
      <c r="AU822" s="507"/>
      <c r="AV822" s="225"/>
      <c r="AW822" s="508"/>
      <c r="AX822" s="225"/>
      <c r="AY822" s="225"/>
      <c r="AZ822" s="225"/>
      <c r="BA822" s="225"/>
      <c r="BB822" s="225"/>
      <c r="BC822" s="56"/>
      <c r="BD822" s="56"/>
      <c r="BE822" s="56"/>
      <c r="BF822" s="107" t="str">
        <f t="shared" si="583"/>
        <v>https://www.google.com/search?tbm=isch&amp;q=3%20G2</v>
      </c>
      <c r="BG822" s="107" t="str">
        <f t="shared" si="584"/>
        <v>C</v>
      </c>
      <c r="BH822" s="254"/>
      <c r="BI822" s="254"/>
    </row>
    <row r="823" spans="1:61" customFormat="1" ht="16.5" thickBot="1" x14ac:dyDescent="0.3">
      <c r="A823" s="522" t="s">
        <v>2868</v>
      </c>
      <c r="B823" s="491"/>
      <c r="C823" s="675"/>
      <c r="D823" s="491"/>
      <c r="E823" s="491"/>
      <c r="F823" s="492"/>
      <c r="G823" s="493"/>
      <c r="H823" s="491"/>
      <c r="I823" s="234"/>
      <c r="J823" s="234"/>
      <c r="K823" s="494"/>
      <c r="L823" s="543"/>
      <c r="M823" s="561"/>
      <c r="N823" s="495"/>
      <c r="O823" s="496"/>
      <c r="P823" s="497"/>
      <c r="Q823" s="495"/>
      <c r="R823" s="495"/>
      <c r="S823" s="667" t="s">
        <v>4968</v>
      </c>
      <c r="T823" s="508">
        <f t="shared" si="572"/>
        <v>0</v>
      </c>
      <c r="U823" s="225" t="str">
        <f>IF(NOT(ISNUMBER(G823)), "", VLOOKUP(A823,'Discount Lookup'!D:E,2,FALSE)*G823)</f>
        <v/>
      </c>
      <c r="V823" s="225" t="str">
        <f>IF(NOT(ISNUMBER(G823)), "", VLOOKUP(A823,'Discount Lookup'!G:H,2,FALSE)*G823)</f>
        <v/>
      </c>
      <c r="W823" s="508">
        <f t="shared" si="573"/>
        <v>0</v>
      </c>
      <c r="X823" s="508">
        <f t="shared" si="574"/>
        <v>0</v>
      </c>
      <c r="Y823" s="509" t="b">
        <f t="shared" si="575"/>
        <v>0</v>
      </c>
      <c r="Z823" s="510">
        <f t="shared" si="576"/>
        <v>0</v>
      </c>
      <c r="AA823" s="511"/>
      <c r="AB823" s="511" t="str">
        <f t="shared" si="577"/>
        <v/>
      </c>
      <c r="AC823" s="698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698"/>
      <c r="AE823" s="631" t="str">
        <f t="shared" si="578"/>
        <v/>
      </c>
      <c r="AF823" s="699" t="str">
        <f t="shared" si="579"/>
        <v/>
      </c>
      <c r="AG823" s="699"/>
      <c r="AH823" s="699"/>
      <c r="AI823" s="512">
        <f>IF(H823="credit",0,IF(AE823="free",0,IF(AE823="me",0,IF(G823&gt;0,(VLOOKUP(A823,'Discount Lookup'!J:K,2)*G823),0))))</f>
        <v>0</v>
      </c>
      <c r="AJ823" s="513" t="str">
        <f t="shared" ca="1" si="580"/>
        <v/>
      </c>
      <c r="AK823" s="700" t="str">
        <f t="shared" si="581"/>
        <v/>
      </c>
      <c r="AL823" s="700"/>
      <c r="AM823" s="505" t="str">
        <f t="shared" si="582"/>
        <v/>
      </c>
      <c r="AN823" s="506"/>
      <c r="AO823" s="507"/>
      <c r="AP823" s="507"/>
      <c r="AQ823" s="507"/>
      <c r="AR823" s="507"/>
      <c r="AS823" s="507"/>
      <c r="AT823" s="507"/>
      <c r="AU823" s="507"/>
      <c r="AV823" s="225"/>
      <c r="AW823" s="508"/>
      <c r="AX823" s="225"/>
      <c r="AY823" s="225"/>
      <c r="AZ823" s="225"/>
      <c r="BA823" s="225"/>
      <c r="BB823" s="225"/>
      <c r="BC823" s="56"/>
      <c r="BD823" s="56"/>
      <c r="BE823" s="56"/>
      <c r="BF823" s="107" t="str">
        <f t="shared" si="583"/>
        <v>https://www.google.com/search?tbm=isch&amp;q=Color%20Guard%20has%20sword-like%20leaves%20with%20Bright%20Yellow%20centers%20and%20Green%20margins.%20Tall%20summer%20flower%20spikes%20</v>
      </c>
      <c r="BG823" s="107" t="str">
        <f t="shared" si="584"/>
        <v>C</v>
      </c>
      <c r="BH823" s="254"/>
      <c r="BI823" s="254"/>
    </row>
    <row r="824" spans="1:61" customFormat="1" ht="18" x14ac:dyDescent="0.25">
      <c r="A824" s="523" t="s">
        <v>406</v>
      </c>
      <c r="B824" s="235"/>
      <c r="C824" s="676"/>
      <c r="D824" s="255" t="s">
        <v>405</v>
      </c>
      <c r="E824" s="236"/>
      <c r="F824" s="236"/>
      <c r="G824" s="236"/>
      <c r="H824" s="582" t="s">
        <v>407</v>
      </c>
      <c r="I824" s="498" t="s">
        <v>655</v>
      </c>
      <c r="J824" s="237"/>
      <c r="K824" s="237"/>
      <c r="L824" s="274"/>
      <c r="M824" s="668" t="s">
        <v>4962</v>
      </c>
      <c r="N824" s="681" t="str">
        <f>IF(AND(ISTEXT($A824), ISERROR($A824+0)), HYPERLINK($BF824, "Images"), "")</f>
        <v>Images</v>
      </c>
      <c r="O824" s="663" t="s">
        <v>4967</v>
      </c>
      <c r="P824" s="253"/>
      <c r="Q824" s="238"/>
      <c r="R824" s="239"/>
      <c r="S824" s="275"/>
      <c r="T824" s="508">
        <f t="shared" si="572"/>
        <v>0</v>
      </c>
      <c r="U824" s="225" t="str">
        <f>IF(NOT(ISNUMBER(G824)), "", VLOOKUP(A824,'Discount Lookup'!D:E,2,FALSE)*G824)</f>
        <v/>
      </c>
      <c r="V824" s="225" t="str">
        <f>IF(NOT(ISNUMBER(G824)), "", VLOOKUP(A824,'Discount Lookup'!G:H,2,FALSE)*G824)</f>
        <v/>
      </c>
      <c r="W824" s="508">
        <f t="shared" si="573"/>
        <v>0</v>
      </c>
      <c r="X824" s="508" t="str">
        <f t="shared" si="574"/>
        <v>Red bloom</v>
      </c>
      <c r="Y824" s="509" t="b">
        <f t="shared" si="575"/>
        <v>0</v>
      </c>
      <c r="Z824" s="510">
        <f t="shared" si="576"/>
        <v>0</v>
      </c>
      <c r="AA824" s="511"/>
      <c r="AB824" s="511" t="str">
        <f t="shared" si="577"/>
        <v/>
      </c>
      <c r="AC824" s="698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698"/>
      <c r="AE824" s="631" t="str">
        <f t="shared" si="578"/>
        <v/>
      </c>
      <c r="AF824" s="699" t="str">
        <f t="shared" si="579"/>
        <v/>
      </c>
      <c r="AG824" s="699"/>
      <c r="AH824" s="699"/>
      <c r="AI824" s="512">
        <f>IF(H824="credit",0,IF(AE824="free",0,IF(AE824="me",0,IF(G824&gt;0,(VLOOKUP(A824,'Discount Lookup'!J:K,2)*G824),0))))</f>
        <v>0</v>
      </c>
      <c r="AJ824" s="513" t="str">
        <f t="shared" ca="1" si="580"/>
        <v/>
      </c>
      <c r="AK824" s="700" t="str">
        <f t="shared" si="581"/>
        <v/>
      </c>
      <c r="AL824" s="700"/>
      <c r="AM824" s="505" t="str">
        <f t="shared" si="582"/>
        <v/>
      </c>
      <c r="AN824" s="506"/>
      <c r="AO824" s="507"/>
      <c r="AP824" s="507"/>
      <c r="AQ824" s="507"/>
      <c r="AR824" s="507"/>
      <c r="AS824" s="507"/>
      <c r="AT824" s="507"/>
      <c r="AU824" s="507"/>
      <c r="AV824" s="225"/>
      <c r="AW824" s="508"/>
      <c r="AX824" s="225"/>
      <c r="AY824" s="225"/>
      <c r="AZ824" s="225"/>
      <c r="BA824" s="225"/>
      <c r="BB824" s="225"/>
      <c r="BC824" s="56"/>
      <c r="BD824" s="56"/>
      <c r="BE824" s="56"/>
      <c r="BF824" s="107" t="str">
        <f t="shared" si="583"/>
        <v>https://www.google.com/search?tbm=isch&amp;q=Colorama%20Scarlet%20Crape%20Myrtle%20Lagerstroemia%20%27JM1%27%20PP%2331585</v>
      </c>
      <c r="BG824" s="107" t="str">
        <f t="shared" si="584"/>
        <v>C</v>
      </c>
      <c r="BH824" s="254"/>
      <c r="BI824" s="254"/>
    </row>
    <row r="825" spans="1:61" customFormat="1" ht="27" x14ac:dyDescent="0.25">
      <c r="A825" s="276">
        <v>7</v>
      </c>
      <c r="B825" s="240" t="s">
        <v>291</v>
      </c>
      <c r="C825" s="241" t="s">
        <v>3388</v>
      </c>
      <c r="D825" s="242" t="s">
        <v>292</v>
      </c>
      <c r="E825" s="243">
        <v>97.95</v>
      </c>
      <c r="F825" s="517" t="s">
        <v>293</v>
      </c>
      <c r="G825" s="232">
        <v>0</v>
      </c>
      <c r="H825" s="661" t="str">
        <f t="shared" ref="H825:H831" si="607">IF(G825=0,"",IF(F825="Buy",IF(G825=1,"plant","plants"),IF(F825&gt;0.01,"warranty","Error")))</f>
        <v/>
      </c>
      <c r="I825" s="244">
        <f t="shared" ref="I825:I831" si="608">IF(H825="free",0,IF(H825="credit",((E825*(F825))*G825*-1),IF(F825="Buy",(E825*G825),((E825*(1-F825))*G825))))</f>
        <v>0</v>
      </c>
      <c r="J825" s="244">
        <f t="shared" ref="J825:J831" si="609">IF(H825="warranty",0,(I825*(_xlfn.SINGLE(SalesTaxPercentage))))</f>
        <v>0</v>
      </c>
      <c r="K825" s="696">
        <f t="shared" ref="K825" si="610">I825+J825</f>
        <v>0</v>
      </c>
      <c r="L825" s="696"/>
      <c r="M825" s="659" t="str">
        <f t="shared" ref="M825:M831" si="611">IF(AND(G825&gt;0,E825=0),"WARNING - no PRICE inserted",IF(H825="free"," FREE ~ no charge this plant",IF(H825="credit",CONCATENATE(" -$",ROUND(K825*(1-T2GDiscount)*-1,2)," CREDIT after discount"),IF(T2GDiscount=0,"",IF(G825=0,"",IF(F825="Buy",CONCATENATE(" $",ROUND(K825*(1-T2GDiscount),2)," with ",(T2GDiscount*100),"% discount"),CONCATENATE(" $",ROUND(K825*(1-T2GDiscount),2)," with ",((T2GDiscount*100+F825*100)-(T2GDiscount*100*F825)),IF(F825&gt;0,"% discounts",IF(NoWarrantyDiscount&gt;0,"% discounts","% discount")))))))))</f>
        <v/>
      </c>
      <c r="N825" s="660"/>
      <c r="O825" s="233"/>
      <c r="P825" s="233"/>
      <c r="Q825" s="233"/>
      <c r="R825" s="233"/>
      <c r="S825" s="233"/>
      <c r="T825" s="508">
        <f t="shared" si="572"/>
        <v>0</v>
      </c>
      <c r="U825" s="225">
        <f>IF(NOT(ISNUMBER(G825)), "", VLOOKUP(A825,'Discount Lookup'!D:E,2,FALSE)*G825)</f>
        <v>0</v>
      </c>
      <c r="V825" s="225">
        <f>IF(NOT(ISNUMBER(G825)), "", VLOOKUP(A825,'Discount Lookup'!G:H,2,FALSE)*G825)</f>
        <v>0</v>
      </c>
      <c r="W825" s="508">
        <f t="shared" si="573"/>
        <v>0</v>
      </c>
      <c r="X825" s="508">
        <f t="shared" si="574"/>
        <v>0</v>
      </c>
      <c r="Y825" s="509" t="b">
        <f t="shared" si="575"/>
        <v>0</v>
      </c>
      <c r="Z825" s="510">
        <f t="shared" si="576"/>
        <v>0</v>
      </c>
      <c r="AA825" s="511"/>
      <c r="AB825" s="511" t="str">
        <f t="shared" si="577"/>
        <v/>
      </c>
      <c r="AC825" s="698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698"/>
      <c r="AE825" s="631" t="str">
        <f t="shared" si="578"/>
        <v/>
      </c>
      <c r="AF825" s="699" t="str">
        <f t="shared" si="579"/>
        <v/>
      </c>
      <c r="AG825" s="699"/>
      <c r="AH825" s="699"/>
      <c r="AI825" s="512">
        <f>IF(H825="credit",0,IF(AE825="free",0,IF(AE825="me",0,IF(G825&gt;0,(VLOOKUP(A825,'Discount Lookup'!J:K,2)*G825),0))))</f>
        <v>0</v>
      </c>
      <c r="AJ825" s="513" t="str">
        <f t="shared" ca="1" si="580"/>
        <v/>
      </c>
      <c r="AK825" s="700" t="str">
        <f t="shared" si="581"/>
        <v/>
      </c>
      <c r="AL825" s="700"/>
      <c r="AM825" s="505" t="str">
        <f t="shared" si="582"/>
        <v/>
      </c>
      <c r="AN825" s="506"/>
      <c r="AO825" s="507"/>
      <c r="AP825" s="507"/>
      <c r="AQ825" s="507"/>
      <c r="AR825" s="507"/>
      <c r="AS825" s="507"/>
      <c r="AT825" s="507"/>
      <c r="AU825" s="507"/>
      <c r="AV825" s="225"/>
      <c r="AW825" s="508"/>
      <c r="AX825" s="225"/>
      <c r="AY825" s="225"/>
      <c r="AZ825" s="225"/>
      <c r="BA825" s="225"/>
      <c r="BB825" s="225"/>
      <c r="BC825" s="56"/>
      <c r="BD825" s="56"/>
      <c r="BE825" s="56"/>
      <c r="BF825" s="107" t="str">
        <f t="shared" si="583"/>
        <v>https://www.google.com/search?tbm=isch&amp;q=7%20G4</v>
      </c>
      <c r="BG825" s="107" t="str">
        <f t="shared" si="584"/>
        <v>C</v>
      </c>
      <c r="BH825" s="254"/>
      <c r="BI825" s="254"/>
    </row>
    <row r="826" spans="1:61" customFormat="1" ht="27" x14ac:dyDescent="0.25">
      <c r="A826" s="276">
        <v>15</v>
      </c>
      <c r="B826" s="240" t="s">
        <v>291</v>
      </c>
      <c r="C826" s="241" t="s">
        <v>3389</v>
      </c>
      <c r="D826" s="242" t="s">
        <v>292</v>
      </c>
      <c r="E826" s="243">
        <v>171.95</v>
      </c>
      <c r="F826" s="517" t="s">
        <v>293</v>
      </c>
      <c r="G826" s="232">
        <v>0</v>
      </c>
      <c r="H826" s="661" t="str">
        <f t="shared" si="607"/>
        <v/>
      </c>
      <c r="I826" s="244">
        <f t="shared" si="608"/>
        <v>0</v>
      </c>
      <c r="J826" s="244">
        <f t="shared" si="609"/>
        <v>0</v>
      </c>
      <c r="K826" s="696">
        <f t="shared" ref="K826" si="612">I826+J826</f>
        <v>0</v>
      </c>
      <c r="L826" s="696"/>
      <c r="M826" s="659" t="str">
        <f t="shared" si="611"/>
        <v/>
      </c>
      <c r="N826" s="660"/>
      <c r="O826" s="233"/>
      <c r="P826" s="233"/>
      <c r="Q826" s="233"/>
      <c r="R826" s="233"/>
      <c r="S826" s="233"/>
      <c r="T826" s="508">
        <f t="shared" si="572"/>
        <v>0</v>
      </c>
      <c r="U826" s="225">
        <f>IF(NOT(ISNUMBER(G826)), "", VLOOKUP(A826,'Discount Lookup'!D:E,2,FALSE)*G826)</f>
        <v>0</v>
      </c>
      <c r="V826" s="225">
        <f>IF(NOT(ISNUMBER(G826)), "", VLOOKUP(A826,'Discount Lookup'!G:H,2,FALSE)*G826)</f>
        <v>0</v>
      </c>
      <c r="W826" s="508">
        <f t="shared" si="573"/>
        <v>0</v>
      </c>
      <c r="X826" s="508">
        <f t="shared" si="574"/>
        <v>0</v>
      </c>
      <c r="Y826" s="509" t="b">
        <f t="shared" si="575"/>
        <v>0</v>
      </c>
      <c r="Z826" s="510">
        <f t="shared" si="576"/>
        <v>0</v>
      </c>
      <c r="AA826" s="511"/>
      <c r="AB826" s="511" t="str">
        <f t="shared" si="577"/>
        <v/>
      </c>
      <c r="AC826" s="698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698"/>
      <c r="AE826" s="631" t="str">
        <f t="shared" si="578"/>
        <v/>
      </c>
      <c r="AF826" s="699" t="str">
        <f t="shared" si="579"/>
        <v/>
      </c>
      <c r="AG826" s="699"/>
      <c r="AH826" s="699"/>
      <c r="AI826" s="512">
        <f>IF(H826="credit",0,IF(AE826="free",0,IF(AE826="me",0,IF(G826&gt;0,(VLOOKUP(A826,'Discount Lookup'!J:K,2)*G826),0))))</f>
        <v>0</v>
      </c>
      <c r="AJ826" s="513" t="str">
        <f t="shared" ca="1" si="580"/>
        <v/>
      </c>
      <c r="AK826" s="700" t="str">
        <f t="shared" si="581"/>
        <v/>
      </c>
      <c r="AL826" s="700"/>
      <c r="AM826" s="505" t="str">
        <f t="shared" si="582"/>
        <v/>
      </c>
      <c r="AN826" s="506"/>
      <c r="AO826" s="507"/>
      <c r="AP826" s="507"/>
      <c r="AQ826" s="507"/>
      <c r="AR826" s="507"/>
      <c r="AS826" s="507"/>
      <c r="AT826" s="507"/>
      <c r="AU826" s="507"/>
      <c r="AV826" s="225"/>
      <c r="AW826" s="508"/>
      <c r="AX826" s="225"/>
      <c r="AY826" s="225"/>
      <c r="AZ826" s="225"/>
      <c r="BA826" s="225"/>
      <c r="BB826" s="225"/>
      <c r="BC826" s="56"/>
      <c r="BD826" s="56"/>
      <c r="BE826" s="56"/>
      <c r="BF826" s="107" t="str">
        <f t="shared" si="583"/>
        <v>https://www.google.com/search?tbm=isch&amp;q=15%20G4</v>
      </c>
      <c r="BG826" s="107" t="str">
        <f t="shared" si="584"/>
        <v>C</v>
      </c>
      <c r="BH826" s="254"/>
      <c r="BI826" s="254"/>
    </row>
    <row r="827" spans="1:61" customFormat="1" ht="15.75" x14ac:dyDescent="0.25">
      <c r="A827" s="276">
        <v>15</v>
      </c>
      <c r="B827" s="240" t="s">
        <v>291</v>
      </c>
      <c r="C827" s="241" t="s">
        <v>2730</v>
      </c>
      <c r="D827" s="242" t="s">
        <v>299</v>
      </c>
      <c r="E827" s="243">
        <v>171.95</v>
      </c>
      <c r="F827" s="517" t="s">
        <v>293</v>
      </c>
      <c r="G827" s="232">
        <v>0</v>
      </c>
      <c r="H827" s="661" t="str">
        <f t="shared" si="607"/>
        <v/>
      </c>
      <c r="I827" s="244">
        <f t="shared" si="608"/>
        <v>0</v>
      </c>
      <c r="J827" s="244">
        <f t="shared" si="609"/>
        <v>0</v>
      </c>
      <c r="K827" s="696">
        <f t="shared" ref="K827" si="613">I827+J827</f>
        <v>0</v>
      </c>
      <c r="L827" s="696"/>
      <c r="M827" s="659" t="str">
        <f t="shared" si="611"/>
        <v/>
      </c>
      <c r="N827" s="660"/>
      <c r="O827" s="233"/>
      <c r="P827" s="233"/>
      <c r="Q827" s="233"/>
      <c r="R827" s="233"/>
      <c r="S827" s="233"/>
      <c r="T827" s="508">
        <f t="shared" si="572"/>
        <v>0</v>
      </c>
      <c r="U827" s="225">
        <f>IF(NOT(ISNUMBER(G827)), "", VLOOKUP(A827,'Discount Lookup'!D:E,2,FALSE)*G827)</f>
        <v>0</v>
      </c>
      <c r="V827" s="225">
        <f>IF(NOT(ISNUMBER(G827)), "", VLOOKUP(A827,'Discount Lookup'!G:H,2,FALSE)*G827)</f>
        <v>0</v>
      </c>
      <c r="W827" s="508">
        <f t="shared" si="573"/>
        <v>0</v>
      </c>
      <c r="X827" s="508">
        <f t="shared" si="574"/>
        <v>0</v>
      </c>
      <c r="Y827" s="509" t="b">
        <f t="shared" si="575"/>
        <v>0</v>
      </c>
      <c r="Z827" s="510">
        <f t="shared" si="576"/>
        <v>0</v>
      </c>
      <c r="AA827" s="511"/>
      <c r="AB827" s="511" t="str">
        <f t="shared" si="577"/>
        <v/>
      </c>
      <c r="AC827" s="698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698"/>
      <c r="AE827" s="631" t="str">
        <f t="shared" si="578"/>
        <v/>
      </c>
      <c r="AF827" s="699" t="str">
        <f t="shared" si="579"/>
        <v/>
      </c>
      <c r="AG827" s="699"/>
      <c r="AH827" s="699"/>
      <c r="AI827" s="512">
        <f>IF(H827="credit",0,IF(AE827="free",0,IF(AE827="me",0,IF(G827&gt;0,(VLOOKUP(A827,'Discount Lookup'!J:K,2)*G827),0))))</f>
        <v>0</v>
      </c>
      <c r="AJ827" s="513" t="str">
        <f t="shared" ca="1" si="580"/>
        <v/>
      </c>
      <c r="AK827" s="700" t="str">
        <f t="shared" si="581"/>
        <v/>
      </c>
      <c r="AL827" s="700"/>
      <c r="AM827" s="505" t="str">
        <f t="shared" si="582"/>
        <v/>
      </c>
      <c r="AN827" s="506"/>
      <c r="AO827" s="507"/>
      <c r="AP827" s="507"/>
      <c r="AQ827" s="507"/>
      <c r="AR827" s="507"/>
      <c r="AS827" s="507"/>
      <c r="AT827" s="507"/>
      <c r="AU827" s="507"/>
      <c r="AV827" s="225"/>
      <c r="AW827" s="508"/>
      <c r="AX827" s="225"/>
      <c r="AY827" s="225"/>
      <c r="AZ827" s="225"/>
      <c r="BA827" s="225"/>
      <c r="BB827" s="225"/>
      <c r="BC827" s="56"/>
      <c r="BD827" s="56"/>
      <c r="BE827" s="56"/>
      <c r="BF827" s="107" t="str">
        <f t="shared" si="583"/>
        <v>https://www.google.com/search?tbm=isch&amp;q=15%20G5</v>
      </c>
      <c r="BG827" s="107" t="str">
        <f t="shared" si="584"/>
        <v>C</v>
      </c>
      <c r="BH827" s="254"/>
      <c r="BI827" s="254"/>
    </row>
    <row r="828" spans="1:61" customFormat="1" ht="27" x14ac:dyDescent="0.25">
      <c r="A828" s="276">
        <v>15</v>
      </c>
      <c r="B828" s="240" t="s">
        <v>291</v>
      </c>
      <c r="C828" s="241" t="s">
        <v>3390</v>
      </c>
      <c r="D828" s="242" t="s">
        <v>292</v>
      </c>
      <c r="E828" s="243">
        <v>178.95</v>
      </c>
      <c r="F828" s="517" t="s">
        <v>293</v>
      </c>
      <c r="G828" s="232">
        <v>0</v>
      </c>
      <c r="H828" s="661" t="str">
        <f t="shared" si="607"/>
        <v/>
      </c>
      <c r="I828" s="244">
        <f t="shared" si="608"/>
        <v>0</v>
      </c>
      <c r="J828" s="244">
        <f t="shared" si="609"/>
        <v>0</v>
      </c>
      <c r="K828" s="696">
        <f t="shared" ref="K828" si="614">I828+J828</f>
        <v>0</v>
      </c>
      <c r="L828" s="696"/>
      <c r="M828" s="659" t="str">
        <f t="shared" si="611"/>
        <v/>
      </c>
      <c r="N828" s="660"/>
      <c r="O828" s="233"/>
      <c r="P828" s="233"/>
      <c r="Q828" s="233"/>
      <c r="R828" s="233"/>
      <c r="S828" s="233"/>
      <c r="T828" s="508">
        <f t="shared" si="572"/>
        <v>0</v>
      </c>
      <c r="U828" s="225">
        <f>IF(NOT(ISNUMBER(G828)), "", VLOOKUP(A828,'Discount Lookup'!D:E,2,FALSE)*G828)</f>
        <v>0</v>
      </c>
      <c r="V828" s="225">
        <f>IF(NOT(ISNUMBER(G828)), "", VLOOKUP(A828,'Discount Lookup'!G:H,2,FALSE)*G828)</f>
        <v>0</v>
      </c>
      <c r="W828" s="508">
        <f t="shared" si="573"/>
        <v>0</v>
      </c>
      <c r="X828" s="508">
        <f t="shared" si="574"/>
        <v>0</v>
      </c>
      <c r="Y828" s="509" t="b">
        <f t="shared" si="575"/>
        <v>0</v>
      </c>
      <c r="Z828" s="510">
        <f t="shared" si="576"/>
        <v>0</v>
      </c>
      <c r="AA828" s="511"/>
      <c r="AB828" s="511" t="str">
        <f t="shared" si="577"/>
        <v/>
      </c>
      <c r="AC828" s="698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698"/>
      <c r="AE828" s="631" t="str">
        <f t="shared" si="578"/>
        <v/>
      </c>
      <c r="AF828" s="699" t="str">
        <f t="shared" si="579"/>
        <v/>
      </c>
      <c r="AG828" s="699"/>
      <c r="AH828" s="699"/>
      <c r="AI828" s="512">
        <f>IF(H828="credit",0,IF(AE828="free",0,IF(AE828="me",0,IF(G828&gt;0,(VLOOKUP(A828,'Discount Lookup'!J:K,2)*G828),0))))</f>
        <v>0</v>
      </c>
      <c r="AJ828" s="513" t="str">
        <f t="shared" ca="1" si="580"/>
        <v/>
      </c>
      <c r="AK828" s="700" t="str">
        <f t="shared" si="581"/>
        <v/>
      </c>
      <c r="AL828" s="700"/>
      <c r="AM828" s="505" t="str">
        <f t="shared" si="582"/>
        <v/>
      </c>
      <c r="AN828" s="506"/>
      <c r="AO828" s="507"/>
      <c r="AP828" s="507"/>
      <c r="AQ828" s="507"/>
      <c r="AR828" s="507"/>
      <c r="AS828" s="507"/>
      <c r="AT828" s="507"/>
      <c r="AU828" s="507"/>
      <c r="AV828" s="225"/>
      <c r="AW828" s="508"/>
      <c r="AX828" s="225"/>
      <c r="AY828" s="225"/>
      <c r="AZ828" s="225"/>
      <c r="BA828" s="225"/>
      <c r="BB828" s="225"/>
      <c r="BC828" s="56"/>
      <c r="BD828" s="56"/>
      <c r="BE828" s="56"/>
      <c r="BF828" s="107" t="str">
        <f t="shared" si="583"/>
        <v>https://www.google.com/search?tbm=isch&amp;q=15%20G4</v>
      </c>
      <c r="BG828" s="107" t="str">
        <f t="shared" si="584"/>
        <v>C</v>
      </c>
      <c r="BH828" s="254"/>
      <c r="BI828" s="254"/>
    </row>
    <row r="829" spans="1:61" customFormat="1" ht="15.75" x14ac:dyDescent="0.25">
      <c r="A829" s="276">
        <v>15</v>
      </c>
      <c r="B829" s="240" t="s">
        <v>291</v>
      </c>
      <c r="C829" s="241" t="s">
        <v>2731</v>
      </c>
      <c r="D829" s="242" t="s">
        <v>297</v>
      </c>
      <c r="E829" s="243">
        <v>186.95</v>
      </c>
      <c r="F829" s="517" t="s">
        <v>293</v>
      </c>
      <c r="G829" s="232">
        <v>0</v>
      </c>
      <c r="H829" s="661" t="str">
        <f t="shared" si="607"/>
        <v/>
      </c>
      <c r="I829" s="244">
        <f t="shared" si="608"/>
        <v>0</v>
      </c>
      <c r="J829" s="244">
        <f t="shared" si="609"/>
        <v>0</v>
      </c>
      <c r="K829" s="696">
        <f t="shared" ref="K829" si="615">I829+J829</f>
        <v>0</v>
      </c>
      <c r="L829" s="696"/>
      <c r="M829" s="659" t="str">
        <f t="shared" si="611"/>
        <v/>
      </c>
      <c r="N829" s="660"/>
      <c r="O829" s="233"/>
      <c r="P829" s="233"/>
      <c r="Q829" s="233"/>
      <c r="R829" s="233"/>
      <c r="S829" s="233"/>
      <c r="T829" s="508">
        <f t="shared" si="572"/>
        <v>0</v>
      </c>
      <c r="U829" s="225">
        <f>IF(NOT(ISNUMBER(G829)), "", VLOOKUP(A829,'Discount Lookup'!D:E,2,FALSE)*G829)</f>
        <v>0</v>
      </c>
      <c r="V829" s="225">
        <f>IF(NOT(ISNUMBER(G829)), "", VLOOKUP(A829,'Discount Lookup'!G:H,2,FALSE)*G829)</f>
        <v>0</v>
      </c>
      <c r="W829" s="508">
        <f t="shared" si="573"/>
        <v>0</v>
      </c>
      <c r="X829" s="508">
        <f t="shared" si="574"/>
        <v>0</v>
      </c>
      <c r="Y829" s="509" t="b">
        <f t="shared" si="575"/>
        <v>0</v>
      </c>
      <c r="Z829" s="510">
        <f t="shared" si="576"/>
        <v>0</v>
      </c>
      <c r="AA829" s="511"/>
      <c r="AB829" s="511" t="str">
        <f t="shared" si="577"/>
        <v/>
      </c>
      <c r="AC829" s="698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698"/>
      <c r="AE829" s="631" t="str">
        <f t="shared" si="578"/>
        <v/>
      </c>
      <c r="AF829" s="699" t="str">
        <f t="shared" si="579"/>
        <v/>
      </c>
      <c r="AG829" s="699"/>
      <c r="AH829" s="699"/>
      <c r="AI829" s="512">
        <f>IF(H829="credit",0,IF(AE829="free",0,IF(AE829="me",0,IF(G829&gt;0,(VLOOKUP(A829,'Discount Lookup'!J:K,2)*G829),0))))</f>
        <v>0</v>
      </c>
      <c r="AJ829" s="513" t="str">
        <f t="shared" ca="1" si="580"/>
        <v/>
      </c>
      <c r="AK829" s="700" t="str">
        <f t="shared" si="581"/>
        <v/>
      </c>
      <c r="AL829" s="700"/>
      <c r="AM829" s="505" t="str">
        <f t="shared" si="582"/>
        <v/>
      </c>
      <c r="AN829" s="506"/>
      <c r="AO829" s="507"/>
      <c r="AP829" s="507"/>
      <c r="AQ829" s="507"/>
      <c r="AR829" s="507"/>
      <c r="AS829" s="507"/>
      <c r="AT829" s="507"/>
      <c r="AU829" s="507"/>
      <c r="AV829" s="225"/>
      <c r="AW829" s="508"/>
      <c r="AX829" s="225"/>
      <c r="AY829" s="225"/>
      <c r="AZ829" s="225"/>
      <c r="BA829" s="225"/>
      <c r="BB829" s="225"/>
      <c r="BC829" s="56"/>
      <c r="BD829" s="56"/>
      <c r="BE829" s="56"/>
      <c r="BF829" s="107" t="str">
        <f t="shared" si="583"/>
        <v>https://www.google.com/search?tbm=isch&amp;q=15%20G3</v>
      </c>
      <c r="BG829" s="107" t="str">
        <f t="shared" si="584"/>
        <v>C</v>
      </c>
      <c r="BH829" s="254"/>
      <c r="BI829" s="254"/>
    </row>
    <row r="830" spans="1:61" customFormat="1" ht="27" x14ac:dyDescent="0.25">
      <c r="A830" s="276">
        <v>25</v>
      </c>
      <c r="B830" s="240" t="s">
        <v>291</v>
      </c>
      <c r="C830" s="241" t="s">
        <v>4393</v>
      </c>
      <c r="D830" s="242" t="s">
        <v>292</v>
      </c>
      <c r="E830" s="243">
        <v>293.95</v>
      </c>
      <c r="F830" s="517" t="s">
        <v>293</v>
      </c>
      <c r="G830" s="232">
        <v>0</v>
      </c>
      <c r="H830" s="661" t="str">
        <f t="shared" si="607"/>
        <v/>
      </c>
      <c r="I830" s="244">
        <f t="shared" si="608"/>
        <v>0</v>
      </c>
      <c r="J830" s="244">
        <f t="shared" si="609"/>
        <v>0</v>
      </c>
      <c r="K830" s="696">
        <f t="shared" ref="K830" si="616">I830+J830</f>
        <v>0</v>
      </c>
      <c r="L830" s="696"/>
      <c r="M830" s="659" t="str">
        <f t="shared" si="611"/>
        <v/>
      </c>
      <c r="N830" s="660"/>
      <c r="O830" s="233"/>
      <c r="P830" s="233"/>
      <c r="Q830" s="233"/>
      <c r="R830" s="233"/>
      <c r="S830" s="233"/>
      <c r="T830" s="508">
        <f t="shared" si="572"/>
        <v>0</v>
      </c>
      <c r="U830" s="225">
        <f>IF(NOT(ISNUMBER(G830)), "", VLOOKUP(A830,'Discount Lookup'!D:E,2,FALSE)*G830)</f>
        <v>0</v>
      </c>
      <c r="V830" s="225">
        <f>IF(NOT(ISNUMBER(G830)), "", VLOOKUP(A830,'Discount Lookup'!G:H,2,FALSE)*G830)</f>
        <v>0</v>
      </c>
      <c r="W830" s="508">
        <f t="shared" si="573"/>
        <v>0</v>
      </c>
      <c r="X830" s="508">
        <f t="shared" si="574"/>
        <v>0</v>
      </c>
      <c r="Y830" s="509" t="b">
        <f t="shared" si="575"/>
        <v>0</v>
      </c>
      <c r="Z830" s="510">
        <f t="shared" si="576"/>
        <v>0</v>
      </c>
      <c r="AA830" s="511"/>
      <c r="AB830" s="511" t="str">
        <f t="shared" si="577"/>
        <v/>
      </c>
      <c r="AC830" s="698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698"/>
      <c r="AE830" s="631" t="str">
        <f t="shared" si="578"/>
        <v/>
      </c>
      <c r="AF830" s="699" t="str">
        <f t="shared" si="579"/>
        <v/>
      </c>
      <c r="AG830" s="699"/>
      <c r="AH830" s="699"/>
      <c r="AI830" s="512">
        <f>IF(H830="credit",0,IF(AE830="free",0,IF(AE830="me",0,IF(G830&gt;0,(VLOOKUP(A830,'Discount Lookup'!J:K,2)*G830),0))))</f>
        <v>0</v>
      </c>
      <c r="AJ830" s="513" t="str">
        <f t="shared" ca="1" si="580"/>
        <v/>
      </c>
      <c r="AK830" s="700" t="str">
        <f t="shared" si="581"/>
        <v/>
      </c>
      <c r="AL830" s="700"/>
      <c r="AM830" s="505" t="str">
        <f t="shared" si="582"/>
        <v/>
      </c>
      <c r="AN830" s="506"/>
      <c r="AO830" s="507"/>
      <c r="AP830" s="507"/>
      <c r="AQ830" s="507"/>
      <c r="AR830" s="507"/>
      <c r="AS830" s="507"/>
      <c r="AT830" s="507"/>
      <c r="AU830" s="507"/>
      <c r="AV830" s="225"/>
      <c r="AW830" s="508"/>
      <c r="AX830" s="225"/>
      <c r="AY830" s="225"/>
      <c r="AZ830" s="225"/>
      <c r="BA830" s="225"/>
      <c r="BB830" s="225"/>
      <c r="BC830" s="56"/>
      <c r="BD830" s="56"/>
      <c r="BE830" s="56"/>
      <c r="BF830" s="107" t="str">
        <f t="shared" si="583"/>
        <v>https://www.google.com/search?tbm=isch&amp;q=25%20G4</v>
      </c>
      <c r="BG830" s="107" t="str">
        <f t="shared" si="584"/>
        <v>C</v>
      </c>
      <c r="BH830" s="254"/>
      <c r="BI830" s="254"/>
    </row>
    <row r="831" spans="1:61" customFormat="1" ht="27" x14ac:dyDescent="0.25">
      <c r="A831" s="276">
        <v>65</v>
      </c>
      <c r="B831" s="240" t="s">
        <v>291</v>
      </c>
      <c r="C831" s="241" t="s">
        <v>3391</v>
      </c>
      <c r="D831" s="242" t="s">
        <v>292</v>
      </c>
      <c r="E831" s="243">
        <v>745.95</v>
      </c>
      <c r="F831" s="517" t="s">
        <v>293</v>
      </c>
      <c r="G831" s="232">
        <v>0</v>
      </c>
      <c r="H831" s="661" t="str">
        <f t="shared" si="607"/>
        <v/>
      </c>
      <c r="I831" s="244">
        <f t="shared" si="608"/>
        <v>0</v>
      </c>
      <c r="J831" s="244">
        <f t="shared" si="609"/>
        <v>0</v>
      </c>
      <c r="K831" s="696">
        <f t="shared" ref="K831" si="617">I831+J831</f>
        <v>0</v>
      </c>
      <c r="L831" s="696"/>
      <c r="M831" s="659" t="str">
        <f t="shared" si="611"/>
        <v/>
      </c>
      <c r="N831" s="660"/>
      <c r="O831" s="233"/>
      <c r="P831" s="233"/>
      <c r="Q831" s="233"/>
      <c r="R831" s="233"/>
      <c r="S831" s="233"/>
      <c r="T831" s="508">
        <f t="shared" si="572"/>
        <v>0</v>
      </c>
      <c r="U831" s="225">
        <f>IF(NOT(ISNUMBER(G831)), "", VLOOKUP(A831,'Discount Lookup'!D:E,2,FALSE)*G831)</f>
        <v>0</v>
      </c>
      <c r="V831" s="225">
        <f>IF(NOT(ISNUMBER(G831)), "", VLOOKUP(A831,'Discount Lookup'!G:H,2,FALSE)*G831)</f>
        <v>0</v>
      </c>
      <c r="W831" s="508">
        <f t="shared" si="573"/>
        <v>0</v>
      </c>
      <c r="X831" s="508">
        <f t="shared" si="574"/>
        <v>0</v>
      </c>
      <c r="Y831" s="509" t="b">
        <f t="shared" si="575"/>
        <v>0</v>
      </c>
      <c r="Z831" s="510">
        <f t="shared" si="576"/>
        <v>0</v>
      </c>
      <c r="AA831" s="511"/>
      <c r="AB831" s="511" t="str">
        <f t="shared" si="577"/>
        <v/>
      </c>
      <c r="AC831" s="698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698"/>
      <c r="AE831" s="631" t="str">
        <f t="shared" si="578"/>
        <v/>
      </c>
      <c r="AF831" s="699" t="str">
        <f t="shared" si="579"/>
        <v/>
      </c>
      <c r="AG831" s="699"/>
      <c r="AH831" s="699"/>
      <c r="AI831" s="512">
        <f>IF(H831="credit",0,IF(AE831="free",0,IF(AE831="me",0,IF(G831&gt;0,(VLOOKUP(A831,'Discount Lookup'!J:K,2)*G831),0))))</f>
        <v>0</v>
      </c>
      <c r="AJ831" s="513" t="str">
        <f t="shared" ca="1" si="580"/>
        <v/>
      </c>
      <c r="AK831" s="700" t="str">
        <f t="shared" si="581"/>
        <v/>
      </c>
      <c r="AL831" s="700"/>
      <c r="AM831" s="505" t="str">
        <f t="shared" si="582"/>
        <v/>
      </c>
      <c r="AN831" s="506"/>
      <c r="AO831" s="507"/>
      <c r="AP831" s="507"/>
      <c r="AQ831" s="507"/>
      <c r="AR831" s="507"/>
      <c r="AS831" s="507"/>
      <c r="AT831" s="507"/>
      <c r="AU831" s="507"/>
      <c r="AV831" s="225"/>
      <c r="AW831" s="508"/>
      <c r="AX831" s="225"/>
      <c r="AY831" s="225"/>
      <c r="AZ831" s="225"/>
      <c r="BA831" s="225"/>
      <c r="BB831" s="225"/>
      <c r="BC831" s="56"/>
      <c r="BD831" s="56"/>
      <c r="BE831" s="56"/>
      <c r="BF831" s="107" t="str">
        <f t="shared" si="583"/>
        <v>https://www.google.com/search?tbm=isch&amp;q=65%20G4</v>
      </c>
      <c r="BG831" s="107" t="str">
        <f t="shared" si="584"/>
        <v>C</v>
      </c>
      <c r="BH831" s="254"/>
      <c r="BI831" s="254"/>
    </row>
    <row r="832" spans="1:61" customFormat="1" ht="17.25" thickBot="1" x14ac:dyDescent="0.3">
      <c r="A832" s="524" t="s">
        <v>2363</v>
      </c>
      <c r="B832" s="245"/>
      <c r="C832" s="677"/>
      <c r="D832" s="499"/>
      <c r="E832" s="499"/>
      <c r="F832" s="500"/>
      <c r="G832" s="501"/>
      <c r="H832" s="502"/>
      <c r="I832" s="246"/>
      <c r="J832" s="247"/>
      <c r="K832" s="503"/>
      <c r="L832" s="544"/>
      <c r="M832" s="544"/>
      <c r="N832" s="500"/>
      <c r="O832" s="500"/>
      <c r="P832" s="500"/>
      <c r="Q832" s="500"/>
      <c r="R832" s="500"/>
      <c r="S832" s="278"/>
      <c r="T832" s="508">
        <f t="shared" si="572"/>
        <v>0</v>
      </c>
      <c r="U832" s="225" t="str">
        <f>IF(NOT(ISNUMBER(G832)), "", VLOOKUP(A832,'Discount Lookup'!D:E,2,FALSE)*G832)</f>
        <v/>
      </c>
      <c r="V832" s="225" t="str">
        <f>IF(NOT(ISNUMBER(G832)), "", VLOOKUP(A832,'Discount Lookup'!G:H,2,FALSE)*G832)</f>
        <v/>
      </c>
      <c r="W832" s="508">
        <f t="shared" si="573"/>
        <v>0</v>
      </c>
      <c r="X832" s="508">
        <f t="shared" si="574"/>
        <v>0</v>
      </c>
      <c r="Y832" s="509" t="b">
        <f t="shared" si="575"/>
        <v>0</v>
      </c>
      <c r="Z832" s="510">
        <f t="shared" si="576"/>
        <v>0</v>
      </c>
      <c r="AA832" s="511"/>
      <c r="AB832" s="511" t="str">
        <f t="shared" si="577"/>
        <v/>
      </c>
      <c r="AC832" s="698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698"/>
      <c r="AE832" s="631" t="str">
        <f t="shared" si="578"/>
        <v/>
      </c>
      <c r="AF832" s="699" t="str">
        <f t="shared" si="579"/>
        <v/>
      </c>
      <c r="AG832" s="699"/>
      <c r="AH832" s="699"/>
      <c r="AI832" s="512">
        <f>IF(H832="credit",0,IF(AE832="free",0,IF(AE832="me",0,IF(G832&gt;0,(VLOOKUP(A832,'Discount Lookup'!J:K,2)*G832),0))))</f>
        <v>0</v>
      </c>
      <c r="AJ832" s="513" t="str">
        <f t="shared" ca="1" si="580"/>
        <v/>
      </c>
      <c r="AK832" s="700" t="str">
        <f t="shared" si="581"/>
        <v/>
      </c>
      <c r="AL832" s="700"/>
      <c r="AM832" s="505" t="str">
        <f t="shared" si="582"/>
        <v/>
      </c>
      <c r="AN832" s="506"/>
      <c r="AO832" s="507"/>
      <c r="AP832" s="507"/>
      <c r="AQ832" s="507"/>
      <c r="AR832" s="507"/>
      <c r="AS832" s="507"/>
      <c r="AT832" s="507"/>
      <c r="AU832" s="507"/>
      <c r="AV832" s="225"/>
      <c r="AW832" s="508"/>
      <c r="AX832" s="225"/>
      <c r="AY832" s="225"/>
      <c r="AZ832" s="225"/>
      <c r="BA832" s="225"/>
      <c r="BB832" s="225"/>
      <c r="BC832" s="56"/>
      <c r="BD832" s="56"/>
      <c r="BE832" s="56"/>
      <c r="BF832" s="107" t="str">
        <f t="shared" si="583"/>
        <v>https://www.google.com/search?tbm=isch&amp;q=Colorama%20foliage%20emerges%20deep%20green%2C%20then%20turns%20to%20shades%20of%20orange%20%26%20red%20in%20fall.%20Bark%20exfoliates%20to%20grey-brown%20</v>
      </c>
      <c r="BG832" s="107" t="str">
        <f t="shared" si="584"/>
        <v>C</v>
      </c>
      <c r="BH832" s="254"/>
      <c r="BI832" s="254"/>
    </row>
    <row r="833" spans="1:61" customFormat="1" ht="18" x14ac:dyDescent="0.25">
      <c r="A833" s="523" t="s">
        <v>3208</v>
      </c>
      <c r="B833" s="235"/>
      <c r="C833" s="676"/>
      <c r="D833" s="255" t="s">
        <v>3209</v>
      </c>
      <c r="E833" s="236"/>
      <c r="F833" s="236"/>
      <c r="G833" s="236"/>
      <c r="H833" s="582" t="s">
        <v>326</v>
      </c>
      <c r="I833" s="498" t="s">
        <v>3252</v>
      </c>
      <c r="J833" s="237"/>
      <c r="K833" s="237"/>
      <c r="L833" s="274"/>
      <c r="M833" s="668" t="s">
        <v>4975</v>
      </c>
      <c r="N833" s="681" t="str">
        <f>IF(AND(ISTEXT($A833), ISERROR($A833+0)), HYPERLINK($BF833, "Images"), "")</f>
        <v>Images</v>
      </c>
      <c r="O833" s="663" t="s">
        <v>4967</v>
      </c>
      <c r="P833" s="253"/>
      <c r="Q833" s="238"/>
      <c r="R833" s="239"/>
      <c r="S833" s="275"/>
      <c r="T833" s="508">
        <f t="shared" si="572"/>
        <v>0</v>
      </c>
      <c r="U833" s="225" t="str">
        <f>IF(NOT(ISNUMBER(G833)), "", VLOOKUP(A833,'Discount Lookup'!D:E,2,FALSE)*G833)</f>
        <v/>
      </c>
      <c r="V833" s="225" t="str">
        <f>IF(NOT(ISNUMBER(G833)), "", VLOOKUP(A833,'Discount Lookup'!G:H,2,FALSE)*G833)</f>
        <v/>
      </c>
      <c r="W833" s="508">
        <f t="shared" si="573"/>
        <v>0</v>
      </c>
      <c r="X833" s="508" t="str">
        <f t="shared" si="574"/>
        <v>White bloom, Red-Pink eye</v>
      </c>
      <c r="Y833" s="509" t="b">
        <f t="shared" si="575"/>
        <v>0</v>
      </c>
      <c r="Z833" s="510">
        <f t="shared" si="576"/>
        <v>0</v>
      </c>
      <c r="AA833" s="511"/>
      <c r="AB833" s="511" t="str">
        <f t="shared" si="577"/>
        <v/>
      </c>
      <c r="AC833" s="698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698"/>
      <c r="AE833" s="631" t="str">
        <f t="shared" si="578"/>
        <v/>
      </c>
      <c r="AF833" s="699" t="str">
        <f t="shared" si="579"/>
        <v/>
      </c>
      <c r="AG833" s="699"/>
      <c r="AH833" s="699"/>
      <c r="AI833" s="512">
        <f>IF(H833="credit",0,IF(AE833="free",0,IF(AE833="me",0,IF(G833&gt;0,(VLOOKUP(A833,'Discount Lookup'!J:K,2)*G833),0))))</f>
        <v>0</v>
      </c>
      <c r="AJ833" s="513" t="str">
        <f t="shared" ca="1" si="580"/>
        <v/>
      </c>
      <c r="AK833" s="700" t="str">
        <f t="shared" si="581"/>
        <v/>
      </c>
      <c r="AL833" s="700"/>
      <c r="AM833" s="505" t="str">
        <f t="shared" si="582"/>
        <v/>
      </c>
      <c r="AN833" s="506"/>
      <c r="AO833" s="507"/>
      <c r="AP833" s="507"/>
      <c r="AQ833" s="507"/>
      <c r="AR833" s="507"/>
      <c r="AS833" s="507"/>
      <c r="AT833" s="507"/>
      <c r="AU833" s="507"/>
      <c r="AV833" s="225"/>
      <c r="AW833" s="508"/>
      <c r="AX833" s="225"/>
      <c r="AY833" s="225"/>
      <c r="AZ833" s="225"/>
      <c r="BA833" s="225"/>
      <c r="BB833" s="225"/>
      <c r="BC833" s="56"/>
      <c r="BD833" s="56"/>
      <c r="BE833" s="56"/>
      <c r="BF833" s="107" t="str">
        <f t="shared" si="583"/>
        <v>https://www.google.com/search?tbm=isch&amp;q=Colossus%20Oyama%20Magnolia%20Magnolia%20sieboldii%20%27Colossus%27</v>
      </c>
      <c r="BG833" s="107" t="str">
        <f t="shared" si="584"/>
        <v>C</v>
      </c>
      <c r="BH833" s="254"/>
      <c r="BI833" s="254"/>
    </row>
    <row r="834" spans="1:61" customFormat="1" ht="15.75" x14ac:dyDescent="0.25">
      <c r="A834" s="276">
        <v>5</v>
      </c>
      <c r="B834" s="240" t="s">
        <v>291</v>
      </c>
      <c r="C834" s="241" t="s">
        <v>3392</v>
      </c>
      <c r="D834" s="242" t="s">
        <v>292</v>
      </c>
      <c r="E834" s="243">
        <v>100.95</v>
      </c>
      <c r="F834" s="517" t="s">
        <v>293</v>
      </c>
      <c r="G834" s="232">
        <v>0</v>
      </c>
      <c r="H834" s="661" t="str">
        <f>IF(G834=0,"",IF(F834="Buy",IF(G834=1,"plant","plants"),IF(F834&gt;0.01,"warranty","Error")))</f>
        <v/>
      </c>
      <c r="I834" s="244">
        <f>IF(H834="free",0,IF(H834="credit",((E834*(F834))*G834*-1),IF(F834="Buy",(E834*G834),((E834*(1-F834))*G834))))</f>
        <v>0</v>
      </c>
      <c r="J834" s="244">
        <f>IF(H834="warranty",0,(I834*(_xlfn.SINGLE(SalesTaxPercentage))))</f>
        <v>0</v>
      </c>
      <c r="K834" s="696">
        <f t="shared" ref="K834" si="618">I834+J834</f>
        <v>0</v>
      </c>
      <c r="L834" s="696"/>
      <c r="M834" s="659" t="str">
        <f>IF(AND(G834&gt;0,E834=0),"WARNING - no PRICE inserted",IF(H834="free"," FREE ~ no charge this plant",IF(H834="credit",CONCATENATE(" -$",ROUND(K834*(1-T2GDiscount)*-1,2)," CREDIT after discount"),IF(T2GDiscount=0,"",IF(G834=0,"",IF(F834="Buy",CONCATENATE(" $",ROUND(K834*(1-T2GDiscount),2)," with ",(T2GDiscount*100),"% discount"),CONCATENATE(" $",ROUND(K834*(1-T2GDiscount),2)," with ",((T2GDiscount*100+F834*100)-(T2GDiscount*100*F834)),IF(F834&gt;0,"% discounts",IF(NoWarrantyDiscount&gt;0,"% discounts","% discount")))))))))</f>
        <v/>
      </c>
      <c r="N834" s="660"/>
      <c r="O834" s="233"/>
      <c r="P834" s="233"/>
      <c r="Q834" s="233"/>
      <c r="R834" s="233"/>
      <c r="S834" s="233"/>
      <c r="T834" s="508">
        <f t="shared" si="572"/>
        <v>0</v>
      </c>
      <c r="U834" s="225">
        <f>IF(NOT(ISNUMBER(G834)), "", VLOOKUP(A834,'Discount Lookup'!D:E,2,FALSE)*G834)</f>
        <v>0</v>
      </c>
      <c r="V834" s="225">
        <f>IF(NOT(ISNUMBER(G834)), "", VLOOKUP(A834,'Discount Lookup'!G:H,2,FALSE)*G834)</f>
        <v>0</v>
      </c>
      <c r="W834" s="508">
        <f t="shared" si="573"/>
        <v>0</v>
      </c>
      <c r="X834" s="508">
        <f t="shared" si="574"/>
        <v>0</v>
      </c>
      <c r="Y834" s="509" t="b">
        <f t="shared" si="575"/>
        <v>0</v>
      </c>
      <c r="Z834" s="510">
        <f t="shared" si="576"/>
        <v>0</v>
      </c>
      <c r="AA834" s="511"/>
      <c r="AB834" s="511" t="str">
        <f t="shared" si="577"/>
        <v/>
      </c>
      <c r="AC834" s="698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698"/>
      <c r="AE834" s="631" t="str">
        <f t="shared" si="578"/>
        <v/>
      </c>
      <c r="AF834" s="699" t="str">
        <f t="shared" si="579"/>
        <v/>
      </c>
      <c r="AG834" s="699"/>
      <c r="AH834" s="699"/>
      <c r="AI834" s="512">
        <f>IF(H834="credit",0,IF(AE834="free",0,IF(AE834="me",0,IF(G834&gt;0,(VLOOKUP(A834,'Discount Lookup'!J:K,2)*G834),0))))</f>
        <v>0</v>
      </c>
      <c r="AJ834" s="513" t="str">
        <f t="shared" ca="1" si="580"/>
        <v/>
      </c>
      <c r="AK834" s="700" t="str">
        <f t="shared" si="581"/>
        <v/>
      </c>
      <c r="AL834" s="700"/>
      <c r="AM834" s="505" t="str">
        <f t="shared" si="582"/>
        <v/>
      </c>
      <c r="AN834" s="506"/>
      <c r="AO834" s="507"/>
      <c r="AP834" s="507"/>
      <c r="AQ834" s="507"/>
      <c r="AR834" s="507"/>
      <c r="AS834" s="507"/>
      <c r="AT834" s="507"/>
      <c r="AU834" s="507"/>
      <c r="AV834" s="225"/>
      <c r="AW834" s="508"/>
      <c r="AX834" s="225"/>
      <c r="AY834" s="225"/>
      <c r="AZ834" s="225"/>
      <c r="BA834" s="225"/>
      <c r="BB834" s="225"/>
      <c r="BC834" s="56"/>
      <c r="BD834" s="56"/>
      <c r="BE834" s="56"/>
      <c r="BF834" s="107" t="str">
        <f t="shared" si="583"/>
        <v>https://www.google.com/search?tbm=isch&amp;q=5%20G4</v>
      </c>
      <c r="BG834" s="107" t="str">
        <f t="shared" si="584"/>
        <v>C</v>
      </c>
      <c r="BH834" s="254"/>
      <c r="BI834" s="254"/>
    </row>
    <row r="835" spans="1:61" customFormat="1" ht="17.25" thickBot="1" x14ac:dyDescent="0.3">
      <c r="A835" s="673" t="s">
        <v>5084</v>
      </c>
      <c r="B835" s="245"/>
      <c r="C835" s="677"/>
      <c r="D835" s="499"/>
      <c r="E835" s="499"/>
      <c r="F835" s="500"/>
      <c r="G835" s="501"/>
      <c r="H835" s="502"/>
      <c r="I835" s="246"/>
      <c r="J835" s="247"/>
      <c r="K835" s="503"/>
      <c r="L835" s="544"/>
      <c r="M835" s="544"/>
      <c r="N835" s="500"/>
      <c r="O835" s="500"/>
      <c r="P835" s="500"/>
      <c r="Q835" s="500"/>
      <c r="R835" s="500"/>
      <c r="S835" s="278"/>
      <c r="T835" s="508">
        <f t="shared" si="572"/>
        <v>0</v>
      </c>
      <c r="U835" s="225" t="str">
        <f>IF(NOT(ISNUMBER(G835)), "", VLOOKUP(A835,'Discount Lookup'!D:E,2,FALSE)*G835)</f>
        <v/>
      </c>
      <c r="V835" s="225" t="str">
        <f>IF(NOT(ISNUMBER(G835)), "", VLOOKUP(A835,'Discount Lookup'!G:H,2,FALSE)*G835)</f>
        <v/>
      </c>
      <c r="W835" s="508">
        <f t="shared" si="573"/>
        <v>0</v>
      </c>
      <c r="X835" s="508">
        <f t="shared" si="574"/>
        <v>0</v>
      </c>
      <c r="Y835" s="509" t="b">
        <f t="shared" si="575"/>
        <v>0</v>
      </c>
      <c r="Z835" s="510">
        <f t="shared" si="576"/>
        <v>0</v>
      </c>
      <c r="AA835" s="511"/>
      <c r="AB835" s="511" t="str">
        <f t="shared" si="577"/>
        <v/>
      </c>
      <c r="AC835" s="698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698"/>
      <c r="AE835" s="631" t="str">
        <f t="shared" si="578"/>
        <v/>
      </c>
      <c r="AF835" s="699" t="str">
        <f t="shared" si="579"/>
        <v/>
      </c>
      <c r="AG835" s="699"/>
      <c r="AH835" s="699"/>
      <c r="AI835" s="512">
        <f>IF(H835="credit",0,IF(AE835="free",0,IF(AE835="me",0,IF(G835&gt;0,(VLOOKUP(A835,'Discount Lookup'!J:K,2)*G835),0))))</f>
        <v>0</v>
      </c>
      <c r="AJ835" s="513" t="str">
        <f t="shared" ca="1" si="580"/>
        <v/>
      </c>
      <c r="AK835" s="700" t="str">
        <f t="shared" si="581"/>
        <v/>
      </c>
      <c r="AL835" s="700"/>
      <c r="AM835" s="505" t="str">
        <f t="shared" si="582"/>
        <v/>
      </c>
      <c r="AN835" s="506"/>
      <c r="AO835" s="507"/>
      <c r="AP835" s="507"/>
      <c r="AQ835" s="507"/>
      <c r="AR835" s="507"/>
      <c r="AS835" s="507"/>
      <c r="AT835" s="507"/>
      <c r="AU835" s="507"/>
      <c r="AV835" s="225"/>
      <c r="AW835" s="508"/>
      <c r="AX835" s="225"/>
      <c r="AY835" s="225"/>
      <c r="AZ835" s="225"/>
      <c r="BA835" s="225"/>
      <c r="BB835" s="225"/>
      <c r="BC835" s="56"/>
      <c r="BD835" s="56"/>
      <c r="BE835" s="56"/>
      <c r="BF835" s="107" t="str">
        <f t="shared" si="583"/>
        <v>https://www.google.com/search?tbm=isch&amp;q=moist%20sites%F0%9F%92%A7OK%2C%20Colossus%20Oyama%20named%20for%20its%20very%20large%2C%20fragrant%2C%20downward-facing%20blooms.%20Attractive%20Yellow%20fall%20coloration%20</v>
      </c>
      <c r="BG835" s="107" t="str">
        <f t="shared" si="584"/>
        <v>m</v>
      </c>
      <c r="BH835" s="254"/>
      <c r="BI835" s="254"/>
    </row>
    <row r="836" spans="1:61" customFormat="1" ht="18" x14ac:dyDescent="0.25">
      <c r="A836" s="521" t="s">
        <v>290</v>
      </c>
      <c r="B836" s="477"/>
      <c r="C836" s="674"/>
      <c r="D836" s="478" t="s">
        <v>289</v>
      </c>
      <c r="E836" s="479"/>
      <c r="F836" s="479"/>
      <c r="G836" s="479"/>
      <c r="H836" s="582" t="s">
        <v>2091</v>
      </c>
      <c r="I836" s="480" t="s">
        <v>2209</v>
      </c>
      <c r="J836" s="479"/>
      <c r="K836" s="479"/>
      <c r="L836" s="560"/>
      <c r="M836" s="666" t="s">
        <v>4963</v>
      </c>
      <c r="N836" s="680" t="str">
        <f>IF(AND(ISTEXT($A836), ISERROR($A836+0)), HYPERLINK($BF836, "Images"), "")</f>
        <v>Images</v>
      </c>
      <c r="O836" s="662" t="s">
        <v>4974</v>
      </c>
      <c r="P836" s="482"/>
      <c r="Q836" s="483"/>
      <c r="R836" s="483"/>
      <c r="S836" s="484"/>
      <c r="T836" s="508">
        <f t="shared" si="572"/>
        <v>0</v>
      </c>
      <c r="U836" s="225" t="str">
        <f>IF(NOT(ISNUMBER(G836)), "", VLOOKUP(A836,'Discount Lookup'!D:E,2,FALSE)*G836)</f>
        <v/>
      </c>
      <c r="V836" s="225" t="str">
        <f>IF(NOT(ISNUMBER(G836)), "", VLOOKUP(A836,'Discount Lookup'!G:H,2,FALSE)*G836)</f>
        <v/>
      </c>
      <c r="W836" s="508">
        <f t="shared" si="573"/>
        <v>0</v>
      </c>
      <c r="X836" s="508" t="str">
        <f t="shared" si="574"/>
        <v>Blue-Green needles</v>
      </c>
      <c r="Y836" s="509" t="b">
        <f t="shared" si="575"/>
        <v>0</v>
      </c>
      <c r="Z836" s="510">
        <f t="shared" si="576"/>
        <v>0</v>
      </c>
      <c r="AA836" s="511"/>
      <c r="AB836" s="511" t="str">
        <f t="shared" si="577"/>
        <v/>
      </c>
      <c r="AC836" s="698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698"/>
      <c r="AE836" s="631" t="str">
        <f t="shared" si="578"/>
        <v/>
      </c>
      <c r="AF836" s="699" t="str">
        <f t="shared" si="579"/>
        <v/>
      </c>
      <c r="AG836" s="699"/>
      <c r="AH836" s="699"/>
      <c r="AI836" s="512">
        <f>IF(H836="credit",0,IF(AE836="free",0,IF(AE836="me",0,IF(G836&gt;0,(VLOOKUP(A836,'Discount Lookup'!J:K,2)*G836),0))))</f>
        <v>0</v>
      </c>
      <c r="AJ836" s="513" t="str">
        <f t="shared" ca="1" si="580"/>
        <v/>
      </c>
      <c r="AK836" s="700" t="str">
        <f t="shared" si="581"/>
        <v/>
      </c>
      <c r="AL836" s="700"/>
      <c r="AM836" s="505" t="str">
        <f t="shared" si="582"/>
        <v/>
      </c>
      <c r="AN836" s="506"/>
      <c r="AO836" s="507"/>
      <c r="AP836" s="507"/>
      <c r="AQ836" s="507"/>
      <c r="AR836" s="507"/>
      <c r="AS836" s="507"/>
      <c r="AT836" s="507"/>
      <c r="AU836" s="507"/>
      <c r="AV836" s="225"/>
      <c r="AW836" s="508"/>
      <c r="AX836" s="225"/>
      <c r="AY836" s="225"/>
      <c r="AZ836" s="225"/>
      <c r="BA836" s="225"/>
      <c r="BB836" s="225"/>
      <c r="BC836" s="56"/>
      <c r="BD836" s="56"/>
      <c r="BE836" s="56"/>
      <c r="BF836" s="107" t="str">
        <f t="shared" si="583"/>
        <v>https://www.google.com/search?tbm=isch&amp;q=Columnar%20Blue%20Atlas%20Cedar%20Cedrus%20atlantica%20%27Fastigiata%27</v>
      </c>
      <c r="BG836" s="107" t="str">
        <f t="shared" si="584"/>
        <v>C</v>
      </c>
      <c r="BH836" s="254"/>
      <c r="BI836" s="254"/>
    </row>
    <row r="837" spans="1:61" customFormat="1" ht="27" x14ac:dyDescent="0.25">
      <c r="A837" s="485">
        <v>7</v>
      </c>
      <c r="B837" s="486" t="s">
        <v>291</v>
      </c>
      <c r="C837" s="487" t="s">
        <v>3393</v>
      </c>
      <c r="D837" s="488" t="s">
        <v>292</v>
      </c>
      <c r="E837" s="489">
        <v>210.95</v>
      </c>
      <c r="F837" s="516" t="s">
        <v>293</v>
      </c>
      <c r="G837" s="232">
        <v>0</v>
      </c>
      <c r="H837" s="658" t="str">
        <f>IF(G837=0,"",IF(F837="Buy",IF(G837=1,"plant","plants"),IF(F837&gt;0.01,"warranty","Error")))</f>
        <v/>
      </c>
      <c r="I837" s="490">
        <f>IF(H837="free",0,IF(H837="credit",((E837*(F837))*G837*-1),IF(F837="Buy",(E837*G837),((E837*(1-F837))*G837))))</f>
        <v>0</v>
      </c>
      <c r="J837" s="490">
        <f>IF(H837="warranty",0,(I837*(_xlfn.SINGLE(SalesTaxPercentage))))</f>
        <v>0</v>
      </c>
      <c r="K837" s="695">
        <f t="shared" ref="K837" si="619">I837+J837</f>
        <v>0</v>
      </c>
      <c r="L837" s="695"/>
      <c r="M837" s="659" t="str">
        <f>IF(AND(G837&gt;0,E837=0),"WARNING - no PRICE inserted",IF(H837="free"," FREE ~ no charge this plant",IF(H837="credit",CONCATENATE(" -$",ROUND(K837*(1-T2GDiscount)*-1,2)," CREDIT after discount"),IF(T2GDiscount=0,"",IF(G837=0,"",IF(F837="Buy",CONCATENATE(" $",ROUND(K837*(1-T2GDiscount),2)," with ",(T2GDiscount*100),"% discount"),CONCATENATE(" $",ROUND(K837*(1-T2GDiscount),2)," with ",((T2GDiscount*100+F837*100)-(T2GDiscount*100*F837)),IF(F837&gt;0,"% discounts",IF(NoWarrantyDiscount&gt;0,"% discounts","% discount")))))))))</f>
        <v/>
      </c>
      <c r="N837" s="660"/>
      <c r="O837" s="233"/>
      <c r="P837" s="233"/>
      <c r="Q837" s="233"/>
      <c r="R837" s="233"/>
      <c r="S837" s="233"/>
      <c r="T837" s="508">
        <f t="shared" si="572"/>
        <v>0</v>
      </c>
      <c r="U837" s="225">
        <f>IF(NOT(ISNUMBER(G837)), "", VLOOKUP(A837,'Discount Lookup'!D:E,2,FALSE)*G837)</f>
        <v>0</v>
      </c>
      <c r="V837" s="225">
        <f>IF(NOT(ISNUMBER(G837)), "", VLOOKUP(A837,'Discount Lookup'!G:H,2,FALSE)*G837)</f>
        <v>0</v>
      </c>
      <c r="W837" s="508">
        <f t="shared" si="573"/>
        <v>0</v>
      </c>
      <c r="X837" s="508">
        <f t="shared" si="574"/>
        <v>0</v>
      </c>
      <c r="Y837" s="509" t="b">
        <f t="shared" si="575"/>
        <v>0</v>
      </c>
      <c r="Z837" s="510">
        <f t="shared" si="576"/>
        <v>0</v>
      </c>
      <c r="AA837" s="511"/>
      <c r="AB837" s="511" t="str">
        <f t="shared" si="577"/>
        <v/>
      </c>
      <c r="AC837" s="698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698"/>
      <c r="AE837" s="631" t="str">
        <f t="shared" si="578"/>
        <v/>
      </c>
      <c r="AF837" s="699" t="str">
        <f t="shared" si="579"/>
        <v/>
      </c>
      <c r="AG837" s="699"/>
      <c r="AH837" s="699"/>
      <c r="AI837" s="512">
        <f>IF(H837="credit",0,IF(AE837="free",0,IF(AE837="me",0,IF(G837&gt;0,(VLOOKUP(A837,'Discount Lookup'!J:K,2)*G837),0))))</f>
        <v>0</v>
      </c>
      <c r="AJ837" s="513" t="str">
        <f t="shared" ca="1" si="580"/>
        <v/>
      </c>
      <c r="AK837" s="700" t="str">
        <f t="shared" si="581"/>
        <v/>
      </c>
      <c r="AL837" s="700"/>
      <c r="AM837" s="505" t="str">
        <f t="shared" si="582"/>
        <v/>
      </c>
      <c r="AN837" s="506"/>
      <c r="AO837" s="507"/>
      <c r="AP837" s="507"/>
      <c r="AQ837" s="507"/>
      <c r="AR837" s="507"/>
      <c r="AS837" s="507"/>
      <c r="AT837" s="507"/>
      <c r="AU837" s="507"/>
      <c r="AV837" s="225"/>
      <c r="AW837" s="508"/>
      <c r="AX837" s="225"/>
      <c r="AY837" s="225"/>
      <c r="AZ837" s="225"/>
      <c r="BA837" s="225"/>
      <c r="BB837" s="225"/>
      <c r="BC837" s="56"/>
      <c r="BD837" s="56"/>
      <c r="BE837" s="56"/>
      <c r="BF837" s="107" t="str">
        <f t="shared" si="583"/>
        <v>https://www.google.com/search?tbm=isch&amp;q=7%20G4</v>
      </c>
      <c r="BG837" s="107" t="str">
        <f t="shared" si="584"/>
        <v>C</v>
      </c>
      <c r="BH837" s="254"/>
      <c r="BI837" s="254"/>
    </row>
    <row r="838" spans="1:61" customFormat="1" ht="17.25" thickBot="1" x14ac:dyDescent="0.3">
      <c r="A838" s="522" t="s">
        <v>3141</v>
      </c>
      <c r="B838" s="491"/>
      <c r="C838" s="675"/>
      <c r="D838" s="491"/>
      <c r="E838" s="491"/>
      <c r="F838" s="492"/>
      <c r="G838" s="493"/>
      <c r="H838" s="491"/>
      <c r="I838" s="234"/>
      <c r="J838" s="234"/>
      <c r="K838" s="494"/>
      <c r="L838" s="543"/>
      <c r="M838" s="561"/>
      <c r="N838" s="495"/>
      <c r="O838" s="496"/>
      <c r="P838" s="497"/>
      <c r="Q838" s="495"/>
      <c r="R838" s="495"/>
      <c r="S838" s="667" t="s">
        <v>4984</v>
      </c>
      <c r="T838" s="508">
        <f t="shared" si="572"/>
        <v>0</v>
      </c>
      <c r="U838" s="225" t="str">
        <f>IF(NOT(ISNUMBER(G838)), "", VLOOKUP(A838,'Discount Lookup'!D:E,2,FALSE)*G838)</f>
        <v/>
      </c>
      <c r="V838" s="225" t="str">
        <f>IF(NOT(ISNUMBER(G838)), "", VLOOKUP(A838,'Discount Lookup'!G:H,2,FALSE)*G838)</f>
        <v/>
      </c>
      <c r="W838" s="508">
        <f t="shared" si="573"/>
        <v>0</v>
      </c>
      <c r="X838" s="508">
        <f t="shared" si="574"/>
        <v>0</v>
      </c>
      <c r="Y838" s="509" t="b">
        <f t="shared" si="575"/>
        <v>0</v>
      </c>
      <c r="Z838" s="510">
        <f t="shared" si="576"/>
        <v>0</v>
      </c>
      <c r="AA838" s="511"/>
      <c r="AB838" s="511" t="str">
        <f t="shared" si="577"/>
        <v/>
      </c>
      <c r="AC838" s="698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698"/>
      <c r="AE838" s="631" t="str">
        <f t="shared" si="578"/>
        <v/>
      </c>
      <c r="AF838" s="699" t="str">
        <f t="shared" si="579"/>
        <v/>
      </c>
      <c r="AG838" s="699"/>
      <c r="AH838" s="699"/>
      <c r="AI838" s="512">
        <f>IF(H838="credit",0,IF(AE838="free",0,IF(AE838="me",0,IF(G838&gt;0,(VLOOKUP(A838,'Discount Lookup'!J:K,2)*G838),0))))</f>
        <v>0</v>
      </c>
      <c r="AJ838" s="513" t="str">
        <f t="shared" ca="1" si="580"/>
        <v/>
      </c>
      <c r="AK838" s="700" t="str">
        <f t="shared" si="581"/>
        <v/>
      </c>
      <c r="AL838" s="700"/>
      <c r="AM838" s="505" t="str">
        <f t="shared" si="582"/>
        <v/>
      </c>
      <c r="AN838" s="506"/>
      <c r="AO838" s="507"/>
      <c r="AP838" s="507"/>
      <c r="AQ838" s="507"/>
      <c r="AR838" s="507"/>
      <c r="AS838" s="507"/>
      <c r="AT838" s="507"/>
      <c r="AU838" s="507"/>
      <c r="AV838" s="225"/>
      <c r="AW838" s="508"/>
      <c r="AX838" s="225"/>
      <c r="AY838" s="225"/>
      <c r="AZ838" s="225"/>
      <c r="BA838" s="225"/>
      <c r="BB838" s="225"/>
      <c r="BC838" s="56"/>
      <c r="BD838" s="56"/>
      <c r="BE838" s="56"/>
      <c r="BF838" s="107" t="str">
        <f t="shared" si="583"/>
        <v>https://www.google.com/search?tbm=isch&amp;q=Columnar%20Blue%20Atlas%20is%20low%20maintenance%2C%20heat%2Fhumidity%20resistant%2C%20and%20long-lived%20</v>
      </c>
      <c r="BG838" s="107" t="str">
        <f t="shared" si="584"/>
        <v>C</v>
      </c>
      <c r="BH838" s="254"/>
      <c r="BI838" s="254"/>
    </row>
    <row r="839" spans="1:61" customFormat="1" ht="18" x14ac:dyDescent="0.25">
      <c r="A839" s="521" t="s">
        <v>447</v>
      </c>
      <c r="B839" s="477"/>
      <c r="C839" s="674"/>
      <c r="D839" s="478" t="s">
        <v>446</v>
      </c>
      <c r="E839" s="479"/>
      <c r="F839" s="479"/>
      <c r="G839" s="479"/>
      <c r="H839" s="582" t="s">
        <v>355</v>
      </c>
      <c r="I839" s="480" t="s">
        <v>2093</v>
      </c>
      <c r="J839" s="479"/>
      <c r="K839" s="479"/>
      <c r="L839" s="560"/>
      <c r="M839" s="666" t="s">
        <v>4966</v>
      </c>
      <c r="N839" s="680" t="str">
        <f>IF(AND(ISTEXT($A839), ISERROR($A839+0)), HYPERLINK($BF839, "Images"), "")</f>
        <v>Images</v>
      </c>
      <c r="O839" s="662" t="s">
        <v>4969</v>
      </c>
      <c r="P839" s="482"/>
      <c r="Q839" s="483"/>
      <c r="R839" s="483"/>
      <c r="S839" s="484"/>
      <c r="T839" s="508">
        <f t="shared" si="572"/>
        <v>0</v>
      </c>
      <c r="U839" s="225" t="str">
        <f>IF(NOT(ISNUMBER(G839)), "", VLOOKUP(A839,'Discount Lookup'!D:E,2,FALSE)*G839)</f>
        <v/>
      </c>
      <c r="V839" s="225" t="str">
        <f>IF(NOT(ISNUMBER(G839)), "", VLOOKUP(A839,'Discount Lookup'!G:H,2,FALSE)*G839)</f>
        <v/>
      </c>
      <c r="W839" s="508">
        <f t="shared" si="573"/>
        <v>0</v>
      </c>
      <c r="X839" s="508" t="str">
        <f t="shared" si="574"/>
        <v>Dark Green foliage</v>
      </c>
      <c r="Y839" s="509" t="b">
        <f t="shared" si="575"/>
        <v>0</v>
      </c>
      <c r="Z839" s="510">
        <f t="shared" si="576"/>
        <v>0</v>
      </c>
      <c r="AA839" s="511"/>
      <c r="AB839" s="511" t="str">
        <f t="shared" si="577"/>
        <v/>
      </c>
      <c r="AC839" s="698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698"/>
      <c r="AE839" s="631" t="str">
        <f t="shared" si="578"/>
        <v/>
      </c>
      <c r="AF839" s="699" t="str">
        <f t="shared" si="579"/>
        <v/>
      </c>
      <c r="AG839" s="699"/>
      <c r="AH839" s="699"/>
      <c r="AI839" s="512">
        <f>IF(H839="credit",0,IF(AE839="free",0,IF(AE839="me",0,IF(G839&gt;0,(VLOOKUP(A839,'Discount Lookup'!J:K,2)*G839),0))))</f>
        <v>0</v>
      </c>
      <c r="AJ839" s="513" t="str">
        <f t="shared" ca="1" si="580"/>
        <v/>
      </c>
      <c r="AK839" s="700" t="str">
        <f t="shared" si="581"/>
        <v/>
      </c>
      <c r="AL839" s="700"/>
      <c r="AM839" s="505" t="str">
        <f t="shared" si="582"/>
        <v/>
      </c>
      <c r="AN839" s="506"/>
      <c r="AO839" s="507"/>
      <c r="AP839" s="507"/>
      <c r="AQ839" s="507"/>
      <c r="AR839" s="507"/>
      <c r="AS839" s="507"/>
      <c r="AT839" s="507"/>
      <c r="AU839" s="507"/>
      <c r="AV839" s="225"/>
      <c r="AW839" s="508"/>
      <c r="AX839" s="225"/>
      <c r="AY839" s="225"/>
      <c r="AZ839" s="225"/>
      <c r="BA839" s="225"/>
      <c r="BB839" s="225"/>
      <c r="BC839" s="56"/>
      <c r="BD839" s="56"/>
      <c r="BE839" s="56"/>
      <c r="BF839" s="107" t="str">
        <f t="shared" si="583"/>
        <v>https://www.google.com/search?tbm=isch&amp;q=Common%20Boxwood%20Buxus%20sempervirens</v>
      </c>
      <c r="BG839" s="107" t="str">
        <f t="shared" si="584"/>
        <v>C</v>
      </c>
      <c r="BH839" s="254"/>
      <c r="BI839" s="254"/>
    </row>
    <row r="840" spans="1:61" customFormat="1" ht="27" x14ac:dyDescent="0.25">
      <c r="A840" s="485">
        <v>20</v>
      </c>
      <c r="B840" s="486" t="s">
        <v>291</v>
      </c>
      <c r="C840" s="487" t="s">
        <v>3394</v>
      </c>
      <c r="D840" s="488" t="s">
        <v>292</v>
      </c>
      <c r="E840" s="489">
        <v>334.95</v>
      </c>
      <c r="F840" s="516" t="s">
        <v>293</v>
      </c>
      <c r="G840" s="232">
        <v>0</v>
      </c>
      <c r="H840" s="658" t="str">
        <f>IF(G840=0,"",IF(F840="Buy",IF(G840=1,"plant","plants"),IF(F840&gt;0.01,"warranty","Error")))</f>
        <v/>
      </c>
      <c r="I840" s="490">
        <f>IF(H840="free",0,IF(H840="credit",((E840*(F840))*G840*-1),IF(F840="Buy",(E840*G840),((E840*(1-F840))*G840))))</f>
        <v>0</v>
      </c>
      <c r="J840" s="490">
        <f>IF(H840="warranty",0,(I840*(_xlfn.SINGLE(SalesTaxPercentage))))</f>
        <v>0</v>
      </c>
      <c r="K840" s="695">
        <f t="shared" ref="K840" si="620">I840+J840</f>
        <v>0</v>
      </c>
      <c r="L840" s="695"/>
      <c r="M840" s="659" t="str">
        <f>IF(AND(G840&gt;0,E840=0),"WARNING - no PRICE inserted",IF(H840="free"," FREE ~ no charge this plant",IF(H840="credit",CONCATENATE(" -$",ROUND(K840*(1-T2GDiscount)*-1,2)," CREDIT after discount"),IF(T2GDiscount=0,"",IF(G840=0,"",IF(F840="Buy",CONCATENATE(" $",ROUND(K840*(1-T2GDiscount),2)," with ",(T2GDiscount*100),"% discount"),CONCATENATE(" $",ROUND(K840*(1-T2GDiscount),2)," with ",((T2GDiscount*100+F840*100)-(T2GDiscount*100*F840)),IF(F840&gt;0,"% discounts",IF(NoWarrantyDiscount&gt;0,"% discounts","% discount")))))))))</f>
        <v/>
      </c>
      <c r="N840" s="660"/>
      <c r="O840" s="233"/>
      <c r="P840" s="233"/>
      <c r="Q840" s="233"/>
      <c r="R840" s="233"/>
      <c r="S840" s="233"/>
      <c r="T840" s="508">
        <f t="shared" si="572"/>
        <v>0</v>
      </c>
      <c r="U840" s="225">
        <f>IF(NOT(ISNUMBER(G840)), "", VLOOKUP(A840,'Discount Lookup'!D:E,2,FALSE)*G840)</f>
        <v>0</v>
      </c>
      <c r="V840" s="225">
        <f>IF(NOT(ISNUMBER(G840)), "", VLOOKUP(A840,'Discount Lookup'!G:H,2,FALSE)*G840)</f>
        <v>0</v>
      </c>
      <c r="W840" s="508">
        <f t="shared" si="573"/>
        <v>0</v>
      </c>
      <c r="X840" s="508">
        <f t="shared" si="574"/>
        <v>0</v>
      </c>
      <c r="Y840" s="509" t="b">
        <f t="shared" si="575"/>
        <v>0</v>
      </c>
      <c r="Z840" s="510">
        <f t="shared" si="576"/>
        <v>0</v>
      </c>
      <c r="AA840" s="511"/>
      <c r="AB840" s="511" t="str">
        <f t="shared" si="577"/>
        <v/>
      </c>
      <c r="AC840" s="698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698"/>
      <c r="AE840" s="631" t="str">
        <f t="shared" si="578"/>
        <v/>
      </c>
      <c r="AF840" s="699" t="str">
        <f t="shared" si="579"/>
        <v/>
      </c>
      <c r="AG840" s="699"/>
      <c r="AH840" s="699"/>
      <c r="AI840" s="512">
        <f>IF(H840="credit",0,IF(AE840="free",0,IF(AE840="me",0,IF(G840&gt;0,(VLOOKUP(A840,'Discount Lookup'!J:K,2)*G840),0))))</f>
        <v>0</v>
      </c>
      <c r="AJ840" s="513" t="str">
        <f t="shared" ca="1" si="580"/>
        <v/>
      </c>
      <c r="AK840" s="700" t="str">
        <f t="shared" si="581"/>
        <v/>
      </c>
      <c r="AL840" s="700"/>
      <c r="AM840" s="505" t="str">
        <f t="shared" si="582"/>
        <v/>
      </c>
      <c r="AN840" s="506"/>
      <c r="AO840" s="507"/>
      <c r="AP840" s="507"/>
      <c r="AQ840" s="507"/>
      <c r="AR840" s="507"/>
      <c r="AS840" s="507"/>
      <c r="AT840" s="507"/>
      <c r="AU840" s="507"/>
      <c r="AV840" s="225"/>
      <c r="AW840" s="508"/>
      <c r="AX840" s="225"/>
      <c r="AY840" s="225"/>
      <c r="AZ840" s="225"/>
      <c r="BA840" s="225"/>
      <c r="BB840" s="225"/>
      <c r="BC840" s="56"/>
      <c r="BD840" s="56"/>
      <c r="BE840" s="56"/>
      <c r="BF840" s="107" t="str">
        <f t="shared" si="583"/>
        <v>https://www.google.com/search?tbm=isch&amp;q=20%20G4</v>
      </c>
      <c r="BG840" s="107" t="str">
        <f t="shared" si="584"/>
        <v>C</v>
      </c>
      <c r="BH840" s="254"/>
      <c r="BI840" s="254"/>
    </row>
    <row r="841" spans="1:61" customFormat="1" ht="16.5" thickBot="1" x14ac:dyDescent="0.3">
      <c r="A841" s="522" t="s">
        <v>2980</v>
      </c>
      <c r="B841" s="491"/>
      <c r="C841" s="675"/>
      <c r="D841" s="491"/>
      <c r="E841" s="491"/>
      <c r="F841" s="492"/>
      <c r="G841" s="493"/>
      <c r="H841" s="491"/>
      <c r="I841" s="234"/>
      <c r="J841" s="234"/>
      <c r="K841" s="494"/>
      <c r="L841" s="543"/>
      <c r="M841" s="561"/>
      <c r="N841" s="495"/>
      <c r="O841" s="496"/>
      <c r="P841" s="497"/>
      <c r="Q841" s="495"/>
      <c r="R841" s="495"/>
      <c r="S841" s="667" t="s">
        <v>4968</v>
      </c>
      <c r="T841" s="508">
        <f t="shared" si="572"/>
        <v>0</v>
      </c>
      <c r="U841" s="225" t="str">
        <f>IF(NOT(ISNUMBER(G841)), "", VLOOKUP(A841,'Discount Lookup'!D:E,2,FALSE)*G841)</f>
        <v/>
      </c>
      <c r="V841" s="225" t="str">
        <f>IF(NOT(ISNUMBER(G841)), "", VLOOKUP(A841,'Discount Lookup'!G:H,2,FALSE)*G841)</f>
        <v/>
      </c>
      <c r="W841" s="508">
        <f t="shared" si="573"/>
        <v>0</v>
      </c>
      <c r="X841" s="508">
        <f t="shared" si="574"/>
        <v>0</v>
      </c>
      <c r="Y841" s="509" t="b">
        <f t="shared" si="575"/>
        <v>0</v>
      </c>
      <c r="Z841" s="510">
        <f t="shared" si="576"/>
        <v>0</v>
      </c>
      <c r="AA841" s="511"/>
      <c r="AB841" s="511" t="str">
        <f t="shared" si="577"/>
        <v/>
      </c>
      <c r="AC841" s="698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698"/>
      <c r="AE841" s="631" t="str">
        <f t="shared" si="578"/>
        <v/>
      </c>
      <c r="AF841" s="699" t="str">
        <f t="shared" si="579"/>
        <v/>
      </c>
      <c r="AG841" s="699"/>
      <c r="AH841" s="699"/>
      <c r="AI841" s="512">
        <f>IF(H841="credit",0,IF(AE841="free",0,IF(AE841="me",0,IF(G841&gt;0,(VLOOKUP(A841,'Discount Lookup'!J:K,2)*G841),0))))</f>
        <v>0</v>
      </c>
      <c r="AJ841" s="513" t="str">
        <f t="shared" ca="1" si="580"/>
        <v/>
      </c>
      <c r="AK841" s="700" t="str">
        <f t="shared" si="581"/>
        <v/>
      </c>
      <c r="AL841" s="700"/>
      <c r="AM841" s="505" t="str">
        <f t="shared" si="582"/>
        <v/>
      </c>
      <c r="AN841" s="506"/>
      <c r="AO841" s="507"/>
      <c r="AP841" s="507"/>
      <c r="AQ841" s="507"/>
      <c r="AR841" s="507"/>
      <c r="AS841" s="507"/>
      <c r="AT841" s="507"/>
      <c r="AU841" s="507"/>
      <c r="AV841" s="225"/>
      <c r="AW841" s="508"/>
      <c r="AX841" s="225"/>
      <c r="AY841" s="225"/>
      <c r="AZ841" s="225"/>
      <c r="BA841" s="225"/>
      <c r="BB841" s="225"/>
      <c r="BC841" s="56"/>
      <c r="BD841" s="56"/>
      <c r="BE841" s="56"/>
      <c r="BF841" s="107" t="str">
        <f t="shared" si="583"/>
        <v>https://www.google.com/search?tbm=isch&amp;q=Common%20Boxwood%20long%20used%20in%20formal%20gardens%20for%20it%27s%20tolerance%20of%20shearing%2Fshaping.%20Slow-growing%2C%20dense%2C%20and%20ideal%20for%20hedges%20and%20borders%20</v>
      </c>
      <c r="BG841" s="107" t="str">
        <f t="shared" si="584"/>
        <v>C</v>
      </c>
      <c r="BH841" s="254"/>
      <c r="BI841" s="254"/>
    </row>
    <row r="842" spans="1:61" customFormat="1" ht="18" x14ac:dyDescent="0.25">
      <c r="A842" s="523" t="s">
        <v>4322</v>
      </c>
      <c r="B842" s="235"/>
      <c r="C842" s="676"/>
      <c r="D842" s="255" t="s">
        <v>4323</v>
      </c>
      <c r="E842" s="236"/>
      <c r="F842" s="236"/>
      <c r="G842" s="236"/>
      <c r="H842" s="582" t="s">
        <v>1244</v>
      </c>
      <c r="I842" s="498" t="s">
        <v>2109</v>
      </c>
      <c r="J842" s="237"/>
      <c r="K842" s="237"/>
      <c r="L842" s="274"/>
      <c r="M842" s="668" t="s">
        <v>4962</v>
      </c>
      <c r="N842" s="681" t="str">
        <f>IF(AND(ISTEXT($A842), ISERROR($A842+0)), HYPERLINK($BF842, "Images"), "")</f>
        <v>Images</v>
      </c>
      <c r="O842" s="663" t="s">
        <v>4967</v>
      </c>
      <c r="P842" s="253"/>
      <c r="Q842" s="238"/>
      <c r="R842" s="239"/>
      <c r="S842" s="275" t="s">
        <v>305</v>
      </c>
      <c r="T842" s="508">
        <f t="shared" si="572"/>
        <v>0</v>
      </c>
      <c r="U842" s="225" t="str">
        <f>IF(NOT(ISNUMBER(G842)), "", VLOOKUP(A842,'Discount Lookup'!D:E,2,FALSE)*G842)</f>
        <v/>
      </c>
      <c r="V842" s="225" t="str">
        <f>IF(NOT(ISNUMBER(G842)), "", VLOOKUP(A842,'Discount Lookup'!G:H,2,FALSE)*G842)</f>
        <v/>
      </c>
      <c r="W842" s="508">
        <f t="shared" si="573"/>
        <v>0</v>
      </c>
      <c r="X842" s="508" t="str">
        <f t="shared" si="574"/>
        <v>Green foliage</v>
      </c>
      <c r="Y842" s="509" t="b">
        <f t="shared" si="575"/>
        <v>0</v>
      </c>
      <c r="Z842" s="510">
        <f t="shared" si="576"/>
        <v>0</v>
      </c>
      <c r="AA842" s="511"/>
      <c r="AB842" s="511" t="str">
        <f t="shared" si="577"/>
        <v/>
      </c>
      <c r="AC842" s="698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698"/>
      <c r="AE842" s="631" t="str">
        <f t="shared" si="578"/>
        <v/>
      </c>
      <c r="AF842" s="699" t="str">
        <f t="shared" si="579"/>
        <v/>
      </c>
      <c r="AG842" s="699"/>
      <c r="AH842" s="699"/>
      <c r="AI842" s="512">
        <f>IF(H842="credit",0,IF(AE842="free",0,IF(AE842="me",0,IF(G842&gt;0,(VLOOKUP(A842,'Discount Lookup'!J:K,2)*G842),0))))</f>
        <v>0</v>
      </c>
      <c r="AJ842" s="513" t="str">
        <f t="shared" ca="1" si="580"/>
        <v/>
      </c>
      <c r="AK842" s="700" t="str">
        <f t="shared" si="581"/>
        <v/>
      </c>
      <c r="AL842" s="700"/>
      <c r="AM842" s="505" t="str">
        <f t="shared" si="582"/>
        <v/>
      </c>
      <c r="AN842" s="506"/>
      <c r="AO842" s="507"/>
      <c r="AP842" s="507"/>
      <c r="AQ842" s="507"/>
      <c r="AR842" s="507"/>
      <c r="AS842" s="507"/>
      <c r="AT842" s="507"/>
      <c r="AU842" s="507"/>
      <c r="AV842" s="225"/>
      <c r="AW842" s="508"/>
      <c r="AX842" s="225"/>
      <c r="AY842" s="225"/>
      <c r="AZ842" s="225"/>
      <c r="BA842" s="225"/>
      <c r="BB842" s="225"/>
      <c r="BC842" s="56"/>
      <c r="BD842" s="56"/>
      <c r="BE842" s="56"/>
      <c r="BF842" s="107" t="str">
        <f t="shared" si="583"/>
        <v>https://www.google.com/search?tbm=isch&amp;q=Common%20Hackberry%20Celtis%20occidentalis</v>
      </c>
      <c r="BG842" s="107" t="str">
        <f t="shared" si="584"/>
        <v>C</v>
      </c>
      <c r="BH842" s="254"/>
      <c r="BI842" s="254"/>
    </row>
    <row r="843" spans="1:61" customFormat="1" ht="15.75" x14ac:dyDescent="0.25">
      <c r="A843" s="276">
        <v>7</v>
      </c>
      <c r="B843" s="240" t="s">
        <v>291</v>
      </c>
      <c r="C843" s="241" t="s">
        <v>4324</v>
      </c>
      <c r="D843" s="242" t="s">
        <v>292</v>
      </c>
      <c r="E843" s="243">
        <v>125.95</v>
      </c>
      <c r="F843" s="517" t="s">
        <v>293</v>
      </c>
      <c r="G843" s="232">
        <v>0</v>
      </c>
      <c r="H843" s="661" t="str">
        <f>IF(G843=0,"",IF(F843="Buy",IF(G843=1,"plant","plants"),IF(F843&gt;0.01,"warranty","Error")))</f>
        <v/>
      </c>
      <c r="I843" s="244">
        <f>IF(H843="free",0,IF(H843="credit",((E843*(F843))*G843*-1),IF(F843="Buy",(E843*G843),((E843*(1-F843))*G843))))</f>
        <v>0</v>
      </c>
      <c r="J843" s="244">
        <f>IF(H843="warranty",0,(I843*(_xlfn.SINGLE(SalesTaxPercentage))))</f>
        <v>0</v>
      </c>
      <c r="K843" s="696">
        <f t="shared" ref="K843" si="621">I843+J843</f>
        <v>0</v>
      </c>
      <c r="L843" s="696"/>
      <c r="M843" s="659" t="str">
        <f>IF(AND(G843&gt;0,E843=0),"WARNING - no PRICE inserted",IF(H843="free"," FREE ~ no charge this plant",IF(H843="credit",CONCATENATE(" -$",ROUND(K843*(1-T2GDiscount)*-1,2)," CREDIT after discount"),IF(T2GDiscount=0,"",IF(G843=0,"",IF(F843="Buy",CONCATENATE(" $",ROUND(K843*(1-T2GDiscount),2)," with ",(T2GDiscount*100),"% discount"),CONCATENATE(" $",ROUND(K843*(1-T2GDiscount),2)," with ",((T2GDiscount*100+F843*100)-(T2GDiscount*100*F843)),IF(F843&gt;0,"% discounts",IF(NoWarrantyDiscount&gt;0,"% discounts","% discount")))))))))</f>
        <v/>
      </c>
      <c r="N843" s="660"/>
      <c r="O843" s="233"/>
      <c r="P843" s="233"/>
      <c r="Q843" s="233"/>
      <c r="R843" s="233"/>
      <c r="S843" s="233"/>
      <c r="T843" s="508">
        <f t="shared" si="572"/>
        <v>0</v>
      </c>
      <c r="U843" s="225">
        <f>IF(NOT(ISNUMBER(G843)), "", VLOOKUP(A843,'Discount Lookup'!D:E,2,FALSE)*G843)</f>
        <v>0</v>
      </c>
      <c r="V843" s="225">
        <f>IF(NOT(ISNUMBER(G843)), "", VLOOKUP(A843,'Discount Lookup'!G:H,2,FALSE)*G843)</f>
        <v>0</v>
      </c>
      <c r="W843" s="508">
        <f t="shared" si="573"/>
        <v>0</v>
      </c>
      <c r="X843" s="508">
        <f t="shared" si="574"/>
        <v>0</v>
      </c>
      <c r="Y843" s="509" t="b">
        <f t="shared" si="575"/>
        <v>0</v>
      </c>
      <c r="Z843" s="510">
        <f t="shared" si="576"/>
        <v>0</v>
      </c>
      <c r="AA843" s="511"/>
      <c r="AB843" s="511" t="str">
        <f t="shared" si="577"/>
        <v/>
      </c>
      <c r="AC843" s="698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698"/>
      <c r="AE843" s="631" t="str">
        <f t="shared" si="578"/>
        <v/>
      </c>
      <c r="AF843" s="699" t="str">
        <f t="shared" si="579"/>
        <v/>
      </c>
      <c r="AG843" s="699"/>
      <c r="AH843" s="699"/>
      <c r="AI843" s="512">
        <f>IF(H843="credit",0,IF(AE843="free",0,IF(AE843="me",0,IF(G843&gt;0,(VLOOKUP(A843,'Discount Lookup'!J:K,2)*G843),0))))</f>
        <v>0</v>
      </c>
      <c r="AJ843" s="513" t="str">
        <f t="shared" ca="1" si="580"/>
        <v/>
      </c>
      <c r="AK843" s="700" t="str">
        <f t="shared" si="581"/>
        <v/>
      </c>
      <c r="AL843" s="700"/>
      <c r="AM843" s="505" t="str">
        <f t="shared" si="582"/>
        <v/>
      </c>
      <c r="AN843" s="506"/>
      <c r="AO843" s="507"/>
      <c r="AP843" s="507"/>
      <c r="AQ843" s="507"/>
      <c r="AR843" s="507"/>
      <c r="AS843" s="507"/>
      <c r="AT843" s="507"/>
      <c r="AU843" s="507"/>
      <c r="AV843" s="225"/>
      <c r="AW843" s="508"/>
      <c r="AX843" s="225"/>
      <c r="AY843" s="225"/>
      <c r="AZ843" s="225"/>
      <c r="BA843" s="225"/>
      <c r="BB843" s="225"/>
      <c r="BC843" s="56"/>
      <c r="BD843" s="56"/>
      <c r="BE843" s="56"/>
      <c r="BF843" s="107" t="str">
        <f t="shared" si="583"/>
        <v>https://www.google.com/search?tbm=isch&amp;q=7%20G4</v>
      </c>
      <c r="BG843" s="107" t="str">
        <f t="shared" si="584"/>
        <v>C</v>
      </c>
      <c r="BH843" s="254"/>
      <c r="BI843" s="254"/>
    </row>
    <row r="844" spans="1:61" customFormat="1" ht="17.25" thickBot="1" x14ac:dyDescent="0.3">
      <c r="A844" s="673" t="s">
        <v>5085</v>
      </c>
      <c r="B844" s="245"/>
      <c r="C844" s="677"/>
      <c r="D844" s="499"/>
      <c r="E844" s="499"/>
      <c r="F844" s="500"/>
      <c r="G844" s="501"/>
      <c r="H844" s="502"/>
      <c r="I844" s="246"/>
      <c r="J844" s="247"/>
      <c r="K844" s="503"/>
      <c r="L844" s="544"/>
      <c r="M844" s="544"/>
      <c r="N844" s="500"/>
      <c r="O844" s="500"/>
      <c r="P844" s="500"/>
      <c r="Q844" s="500"/>
      <c r="R844" s="500"/>
      <c r="S844" s="669" t="s">
        <v>4996</v>
      </c>
      <c r="T844" s="508">
        <f t="shared" si="572"/>
        <v>0</v>
      </c>
      <c r="U844" s="225" t="str">
        <f>IF(NOT(ISNUMBER(G844)), "", VLOOKUP(A844,'Discount Lookup'!D:E,2,FALSE)*G844)</f>
        <v/>
      </c>
      <c r="V844" s="225" t="str">
        <f>IF(NOT(ISNUMBER(G844)), "", VLOOKUP(A844,'Discount Lookup'!G:H,2,FALSE)*G844)</f>
        <v/>
      </c>
      <c r="W844" s="508">
        <f t="shared" si="573"/>
        <v>0</v>
      </c>
      <c r="X844" s="508">
        <f t="shared" si="574"/>
        <v>0</v>
      </c>
      <c r="Y844" s="509" t="b">
        <f t="shared" si="575"/>
        <v>0</v>
      </c>
      <c r="Z844" s="510">
        <f t="shared" si="576"/>
        <v>0</v>
      </c>
      <c r="AA844" s="511"/>
      <c r="AB844" s="511" t="str">
        <f t="shared" si="577"/>
        <v/>
      </c>
      <c r="AC844" s="698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698"/>
      <c r="AE844" s="631" t="str">
        <f t="shared" si="578"/>
        <v/>
      </c>
      <c r="AF844" s="699" t="str">
        <f t="shared" si="579"/>
        <v/>
      </c>
      <c r="AG844" s="699"/>
      <c r="AH844" s="699"/>
      <c r="AI844" s="512">
        <f>IF(H844="credit",0,IF(AE844="free",0,IF(AE844="me",0,IF(G844&gt;0,(VLOOKUP(A844,'Discount Lookup'!J:K,2)*G844),0))))</f>
        <v>0</v>
      </c>
      <c r="AJ844" s="513" t="str">
        <f t="shared" ca="1" si="580"/>
        <v/>
      </c>
      <c r="AK844" s="700" t="str">
        <f t="shared" si="581"/>
        <v/>
      </c>
      <c r="AL844" s="700"/>
      <c r="AM844" s="505" t="str">
        <f t="shared" si="582"/>
        <v/>
      </c>
      <c r="AN844" s="506"/>
      <c r="AO844" s="507"/>
      <c r="AP844" s="507"/>
      <c r="AQ844" s="507"/>
      <c r="AR844" s="507"/>
      <c r="AS844" s="507"/>
      <c r="AT844" s="507"/>
      <c r="AU844" s="507"/>
      <c r="AV844" s="225"/>
      <c r="AW844" s="508"/>
      <c r="AX844" s="225"/>
      <c r="AY844" s="225"/>
      <c r="AZ844" s="225"/>
      <c r="BA844" s="225"/>
      <c r="BB844" s="225"/>
      <c r="BC844" s="56"/>
      <c r="BD844" s="56"/>
      <c r="BE844" s="56"/>
      <c r="BF844" s="107" t="str">
        <f t="shared" si="583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844" s="107" t="str">
        <f t="shared" si="584"/>
        <v>m</v>
      </c>
      <c r="BH844" s="254"/>
      <c r="BI844" s="254"/>
    </row>
    <row r="845" spans="1:61" customFormat="1" ht="18" x14ac:dyDescent="0.25">
      <c r="A845" s="523" t="s">
        <v>3210</v>
      </c>
      <c r="B845" s="235"/>
      <c r="C845" s="676"/>
      <c r="D845" s="255" t="s">
        <v>3211</v>
      </c>
      <c r="E845" s="236"/>
      <c r="F845" s="236"/>
      <c r="G845" s="236"/>
      <c r="H845" s="582" t="s">
        <v>3212</v>
      </c>
      <c r="I845" s="498" t="s">
        <v>3213</v>
      </c>
      <c r="J845" s="237"/>
      <c r="K845" s="237"/>
      <c r="L845" s="274"/>
      <c r="M845" s="668" t="s">
        <v>4975</v>
      </c>
      <c r="N845" s="681" t="str">
        <f>IF(AND(ISTEXT($A845), ISERROR($A845+0)), HYPERLINK($BF845, "Images"), "")</f>
        <v>Images</v>
      </c>
      <c r="O845" s="663" t="s">
        <v>4967</v>
      </c>
      <c r="P845" s="253"/>
      <c r="Q845" s="238"/>
      <c r="R845" s="239"/>
      <c r="S845" s="275" t="s">
        <v>305</v>
      </c>
      <c r="T845" s="508">
        <f t="shared" si="572"/>
        <v>0</v>
      </c>
      <c r="U845" s="225" t="str">
        <f>IF(NOT(ISNUMBER(G845)), "", VLOOKUP(A845,'Discount Lookup'!D:E,2,FALSE)*G845)</f>
        <v/>
      </c>
      <c r="V845" s="225" t="str">
        <f>IF(NOT(ISNUMBER(G845)), "", VLOOKUP(A845,'Discount Lookup'!G:H,2,FALSE)*G845)</f>
        <v/>
      </c>
      <c r="W845" s="508">
        <f t="shared" si="573"/>
        <v>0</v>
      </c>
      <c r="X845" s="508" t="str">
        <f t="shared" si="574"/>
        <v>White to Yellow bloom</v>
      </c>
      <c r="Y845" s="509" t="b">
        <f t="shared" si="575"/>
        <v>0</v>
      </c>
      <c r="Z845" s="510">
        <f t="shared" si="576"/>
        <v>0</v>
      </c>
      <c r="AA845" s="511"/>
      <c r="AB845" s="511" t="str">
        <f t="shared" si="577"/>
        <v/>
      </c>
      <c r="AC845" s="698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698"/>
      <c r="AE845" s="631" t="str">
        <f t="shared" si="578"/>
        <v/>
      </c>
      <c r="AF845" s="699" t="str">
        <f t="shared" si="579"/>
        <v/>
      </c>
      <c r="AG845" s="699"/>
      <c r="AH845" s="699"/>
      <c r="AI845" s="512">
        <f>IF(H845="credit",0,IF(AE845="free",0,IF(AE845="me",0,IF(G845&gt;0,(VLOOKUP(A845,'Discount Lookup'!J:K,2)*G845),0))))</f>
        <v>0</v>
      </c>
      <c r="AJ845" s="513" t="str">
        <f t="shared" ca="1" si="580"/>
        <v/>
      </c>
      <c r="AK845" s="700" t="str">
        <f t="shared" si="581"/>
        <v/>
      </c>
      <c r="AL845" s="700"/>
      <c r="AM845" s="505" t="str">
        <f t="shared" si="582"/>
        <v/>
      </c>
      <c r="AN845" s="506"/>
      <c r="AO845" s="507"/>
      <c r="AP845" s="507"/>
      <c r="AQ845" s="507"/>
      <c r="AR845" s="507"/>
      <c r="AS845" s="507"/>
      <c r="AT845" s="507"/>
      <c r="AU845" s="507"/>
      <c r="AV845" s="225"/>
      <c r="AW845" s="508"/>
      <c r="AX845" s="225"/>
      <c r="AY845" s="225"/>
      <c r="AZ845" s="225"/>
      <c r="BA845" s="225"/>
      <c r="BB845" s="225"/>
      <c r="BC845" s="56"/>
      <c r="BD845" s="56"/>
      <c r="BE845" s="56"/>
      <c r="BF845" s="107" t="str">
        <f t="shared" si="583"/>
        <v>https://www.google.com/search?tbm=isch&amp;q=Common%20Persimmon%20Diaspyros%20virginiana%20L.</v>
      </c>
      <c r="BG845" s="107" t="str">
        <f t="shared" si="584"/>
        <v>C</v>
      </c>
      <c r="BH845" s="254"/>
      <c r="BI845" s="254"/>
    </row>
    <row r="846" spans="1:61" customFormat="1" ht="15.75" x14ac:dyDescent="0.25">
      <c r="A846" s="276">
        <v>7</v>
      </c>
      <c r="B846" s="240" t="s">
        <v>291</v>
      </c>
      <c r="C846" s="241" t="s">
        <v>3395</v>
      </c>
      <c r="D846" s="242" t="s">
        <v>292</v>
      </c>
      <c r="E846" s="243">
        <v>104.95</v>
      </c>
      <c r="F846" s="517" t="s">
        <v>293</v>
      </c>
      <c r="G846" s="232">
        <v>0</v>
      </c>
      <c r="H846" s="661" t="str">
        <f>IF(G846=0,"",IF(F846="Buy",IF(G846=1,"plant","plants"),IF(F846&gt;0.01,"warranty","Error")))</f>
        <v/>
      </c>
      <c r="I846" s="244">
        <f>IF(H846="free",0,IF(H846="credit",((E846*(F846))*G846*-1),IF(F846="Buy",(E846*G846),((E846*(1-F846))*G846))))</f>
        <v>0</v>
      </c>
      <c r="J846" s="244">
        <f>IF(H846="warranty",0,(I846*(_xlfn.SINGLE(SalesTaxPercentage))))</f>
        <v>0</v>
      </c>
      <c r="K846" s="696">
        <f t="shared" ref="K846" si="622">I846+J846</f>
        <v>0</v>
      </c>
      <c r="L846" s="696"/>
      <c r="M846" s="659" t="str">
        <f>IF(AND(G846&gt;0,E846=0),"WARNING - no PRICE inserted",IF(H846="free"," FREE ~ no charge this plant",IF(H846="credit",CONCATENATE(" -$",ROUND(K846*(1-T2GDiscount)*-1,2)," CREDIT after discount"),IF(T2GDiscount=0,"",IF(G846=0,"",IF(F846="Buy",CONCATENATE(" $",ROUND(K846*(1-T2GDiscount),2)," with ",(T2GDiscount*100),"% discount"),CONCATENATE(" $",ROUND(K846*(1-T2GDiscount),2)," with ",((T2GDiscount*100+F846*100)-(T2GDiscount*100*F846)),IF(F846&gt;0,"% discounts",IF(NoWarrantyDiscount&gt;0,"% discounts","% discount")))))))))</f>
        <v/>
      </c>
      <c r="N846" s="660"/>
      <c r="O846" s="233"/>
      <c r="P846" s="233"/>
      <c r="Q846" s="233"/>
      <c r="R846" s="233"/>
      <c r="S846" s="233"/>
      <c r="T846" s="508">
        <f t="shared" ref="T846:T909" si="623">E846*G846</f>
        <v>0</v>
      </c>
      <c r="U846" s="225">
        <f>IF(NOT(ISNUMBER(G846)), "", VLOOKUP(A846,'Discount Lookup'!D:E,2,FALSE)*G846)</f>
        <v>0</v>
      </c>
      <c r="V846" s="225">
        <f>IF(NOT(ISNUMBER(G846)), "", VLOOKUP(A846,'Discount Lookup'!G:H,2,FALSE)*G846)</f>
        <v>0</v>
      </c>
      <c r="W846" s="508">
        <f t="shared" ref="W846:W909" si="624">IF(H846="credit",0,E846*(SalesTaxPercentage)*G846)</f>
        <v>0</v>
      </c>
      <c r="X846" s="508">
        <f t="shared" ref="X846:X909" si="625">I846</f>
        <v>0</v>
      </c>
      <c r="Y846" s="509" t="b">
        <f t="shared" ref="Y846:Y909" si="626">IF(AE846="T2G",0,IF(H846="credit",0,IF(G846&gt;0,IF(AE846="me","",G846))))</f>
        <v>0</v>
      </c>
      <c r="Z846" s="510">
        <f t="shared" ref="Z846:Z909" si="627">IF(H846="credit",G846,0)</f>
        <v>0</v>
      </c>
      <c r="AA846" s="511"/>
      <c r="AB846" s="511" t="str">
        <f t="shared" ref="AB846:AB909" si="628">IF(AE846="T2G","by Trees2Go",IF(H846="credit","CREDIT only ~",IF(AND(K846="",AE846=OR(PlanterYesMe="No",PlanterYesMe="N",PlanterYesMe="me")),"not THIS line⇨",IF(AND(K846="images",AE846="me"),"not THIS line⇨",IF(H846="credit","",IF(G846=0,"",IF(AE846="me","",IF(OR(PlanterYesMe="No",PlanterYesMe="N",PlanterYesMe="me"),"",IF(AE846="free","warranty",IF(OR(PlanterYesMe="yes",PlanterYesMe="y"),"Edison install:","to install:"))))))))))</f>
        <v/>
      </c>
      <c r="AC846" s="698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698"/>
      <c r="AE846" s="631" t="str">
        <f t="shared" ref="AE846:AE909" si="629">IF(H846="credit","",IF(G846=0,"",IF(OR(PlanterYesMe="No",PlanterYesMe="N",PlanterYesMe="me"),"me",IF(H846="warranty","free",IF(OR(PlanterYesMe="yes",PlanterYesMe="y"),"ELP","")))))</f>
        <v/>
      </c>
      <c r="AF846" s="699" t="str">
        <f t="shared" ref="AF846:AF909" si="630">IF(OR(PlanterYesMe="No",PlanterYesMe="N",PlanterYesMe="me"),"",IF(H846="credit","",IF(G846&gt;0,(CONCATENATE((G846)," quantity, ",(A846)," ",B846)),"")))</f>
        <v/>
      </c>
      <c r="AG846" s="699"/>
      <c r="AH846" s="699"/>
      <c r="AI846" s="512">
        <f>IF(H846="credit",0,IF(AE846="free",0,IF(AE846="me",0,IF(G846&gt;0,(VLOOKUP(A846,'Discount Lookup'!J:K,2)*G846),0))))</f>
        <v>0</v>
      </c>
      <c r="AJ846" s="513" t="str">
        <f t="shared" ref="AJ846:AJ909" ca="1" si="631">IF(AND(ISREF(H846),H846="credit"),"",IF(AND(AND(OFFSET(G846,0,0)=0,OFFSET(G846,1,0)&gt;0,ISNUMBER(OFFSET(AC846,1,0)),OFFSET(AC846,1,0)&gt;0),OR(PlanterYesMe="yes",PlanterYesMe="y")),"T2G+ELP=",IF(AND(OFFSET(G846,0,0)=0,OFFSET(G846,1,0)&gt;0,ISNUMBER(OFFSET(AC846,1,0)),OFFSET(AC846,1,0)&gt;0),"if T2G+ELP=",IF(AND(OFFSET(G846,0,0)=0,OFFSET(G846,1,0)&gt;0),"T2G Subtotal",IF(H846="credit","",IF(G846=0,"",IF(AE846="free",(K846*(1-T2GDiscount)),IF(OR(PlanterYesMe="No",PlanterYesMe="N",PlanterYesMe="me"),(K846*(1-T2GDiscount)),IF(OR(AE846="me",AE846="T2G"),(K846*(1-T2GDiscount)),(K846*(1-T2GDiscount))+AC846)))))))))</f>
        <v/>
      </c>
      <c r="AK846" s="700" t="str">
        <f t="shared" ref="AK846:AK909" si="632">IF(H846="credit","",IF(G846=0,"",IF(OR(AE846="me",AE846="T2G"),"  delivery-only",IF(OR(PlanterYesMe="No",PlanterYesMe="N",PlanterYesMe="me"),"  delivery-only",CONCATENATE(" $",ROUND(AJ846/G846,2)," each")))))</f>
        <v/>
      </c>
      <c r="AL846" s="700"/>
      <c r="AM846" s="505" t="str">
        <f t="shared" ref="AM846:AM909" si="633">IF(H846="credit","",IF(AE846="free","      ~ discounts included, no tax or planting fee applies ~",IF(G846=0,"",IF(OR(PlanterYesMe="No",PlanterYesMe="N",PlanterYesMe="me"),CONCATENATE(" $",ROUND(AJ846/G846,2)," per plant, with tax &amp; discount"),IF(OR(AE846="me",AE846="T2G"),CONCATENATE(" $",ROUND(AJ846/G846,2)," per plant, with tax &amp; discount"),CONCATENATE("= $",ROUND((K846*(1-T2GDiscount))/G846,2)," per plant + $",AC846/G846,(" per planting      ~ includes tax &amp; discounts ~")))))))</f>
        <v/>
      </c>
      <c r="AN846" s="506"/>
      <c r="AO846" s="507"/>
      <c r="AP846" s="507"/>
      <c r="AQ846" s="507"/>
      <c r="AR846" s="507"/>
      <c r="AS846" s="507"/>
      <c r="AT846" s="507"/>
      <c r="AU846" s="507"/>
      <c r="AV846" s="225"/>
      <c r="AW846" s="508"/>
      <c r="AX846" s="225"/>
      <c r="AY846" s="225"/>
      <c r="AZ846" s="225"/>
      <c r="BA846" s="225"/>
      <c r="BB846" s="225"/>
      <c r="BC846" s="56"/>
      <c r="BD846" s="56"/>
      <c r="BE846" s="56"/>
      <c r="BF846" s="107" t="str">
        <f t="shared" ref="BF846:BF909" si="634">"https://www.google.com/search?tbm=isch&amp;q=" &amp; _xlfn.ENCODEURL($A846 &amp; " " &amp; $D846)</f>
        <v>https://www.google.com/search?tbm=isch&amp;q=7%20G4</v>
      </c>
      <c r="BG846" s="107" t="str">
        <f t="shared" ref="BG846:BG909" si="635">IF(ISTEXT(A846),LEFT(A846,1),BG845)</f>
        <v>C</v>
      </c>
      <c r="BH846" s="254"/>
      <c r="BI846" s="254"/>
    </row>
    <row r="847" spans="1:61" customFormat="1" ht="17.25" thickBot="1" x14ac:dyDescent="0.3">
      <c r="A847" s="524" t="s">
        <v>3214</v>
      </c>
      <c r="B847" s="245"/>
      <c r="C847" s="677"/>
      <c r="D847" s="499"/>
      <c r="E847" s="499"/>
      <c r="F847" s="500"/>
      <c r="G847" s="501"/>
      <c r="H847" s="502"/>
      <c r="I847" s="246"/>
      <c r="J847" s="247"/>
      <c r="K847" s="503"/>
      <c r="L847" s="544"/>
      <c r="M847" s="544"/>
      <c r="N847" s="500"/>
      <c r="O847" s="500"/>
      <c r="P847" s="500"/>
      <c r="Q847" s="500"/>
      <c r="R847" s="500"/>
      <c r="S847" s="669" t="s">
        <v>4972</v>
      </c>
      <c r="T847" s="508">
        <f t="shared" si="623"/>
        <v>0</v>
      </c>
      <c r="U847" s="225" t="str">
        <f>IF(NOT(ISNUMBER(G847)), "", VLOOKUP(A847,'Discount Lookup'!D:E,2,FALSE)*G847)</f>
        <v/>
      </c>
      <c r="V847" s="225" t="str">
        <f>IF(NOT(ISNUMBER(G847)), "", VLOOKUP(A847,'Discount Lookup'!G:H,2,FALSE)*G847)</f>
        <v/>
      </c>
      <c r="W847" s="508">
        <f t="shared" si="624"/>
        <v>0</v>
      </c>
      <c r="X847" s="508">
        <f t="shared" si="625"/>
        <v>0</v>
      </c>
      <c r="Y847" s="509" t="b">
        <f t="shared" si="626"/>
        <v>0</v>
      </c>
      <c r="Z847" s="510">
        <f t="shared" si="627"/>
        <v>0</v>
      </c>
      <c r="AA847" s="511"/>
      <c r="AB847" s="511" t="str">
        <f t="shared" si="628"/>
        <v/>
      </c>
      <c r="AC847" s="698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698"/>
      <c r="AE847" s="631" t="str">
        <f t="shared" si="629"/>
        <v/>
      </c>
      <c r="AF847" s="699" t="str">
        <f t="shared" si="630"/>
        <v/>
      </c>
      <c r="AG847" s="699"/>
      <c r="AH847" s="699"/>
      <c r="AI847" s="512">
        <f>IF(H847="credit",0,IF(AE847="free",0,IF(AE847="me",0,IF(G847&gt;0,(VLOOKUP(A847,'Discount Lookup'!J:K,2)*G847),0))))</f>
        <v>0</v>
      </c>
      <c r="AJ847" s="513" t="str">
        <f t="shared" ca="1" si="631"/>
        <v/>
      </c>
      <c r="AK847" s="700" t="str">
        <f t="shared" si="632"/>
        <v/>
      </c>
      <c r="AL847" s="700"/>
      <c r="AM847" s="505" t="str">
        <f t="shared" si="633"/>
        <v/>
      </c>
      <c r="AN847" s="506"/>
      <c r="AO847" s="507"/>
      <c r="AP847" s="507"/>
      <c r="AQ847" s="507"/>
      <c r="AR847" s="507"/>
      <c r="AS847" s="507"/>
      <c r="AT847" s="507"/>
      <c r="AU847" s="507"/>
      <c r="AV847" s="225"/>
      <c r="AW847" s="508"/>
      <c r="AX847" s="225"/>
      <c r="AY847" s="225"/>
      <c r="AZ847" s="225"/>
      <c r="BA847" s="225"/>
      <c r="BB847" s="225"/>
      <c r="BC847" s="56"/>
      <c r="BD847" s="56"/>
      <c r="BE847" s="56"/>
      <c r="BF847" s="107" t="str">
        <f t="shared" si="634"/>
        <v>https://www.google.com/search?tbm=isch&amp;q=Common%20Persimmon%20fruit%20is%20orange%20%26%20sweet.%20Fragrant%20blooms.%20Requires%20both%20male%20and%20female%20plants%20to%20set%20fruit%20</v>
      </c>
      <c r="BG847" s="107" t="str">
        <f t="shared" si="635"/>
        <v>C</v>
      </c>
      <c r="BH847" s="254"/>
      <c r="BI847" s="254"/>
    </row>
    <row r="848" spans="1:61" customFormat="1" ht="18" x14ac:dyDescent="0.25">
      <c r="A848" s="521" t="s">
        <v>466</v>
      </c>
      <c r="B848" s="477"/>
      <c r="C848" s="674"/>
      <c r="D848" s="478" t="s">
        <v>465</v>
      </c>
      <c r="E848" s="479"/>
      <c r="F848" s="479"/>
      <c r="G848" s="479"/>
      <c r="H848" s="582" t="s">
        <v>359</v>
      </c>
      <c r="I848" s="480" t="s">
        <v>2293</v>
      </c>
      <c r="J848" s="479"/>
      <c r="K848" s="479"/>
      <c r="L848" s="560"/>
      <c r="M848" s="666" t="s">
        <v>4966</v>
      </c>
      <c r="N848" s="680" t="str">
        <f>IF(AND(ISTEXT($A848), ISERROR($A848+0)), HYPERLINK($BF848, "Images"), "")</f>
        <v>Images</v>
      </c>
      <c r="O848" s="662" t="s">
        <v>4969</v>
      </c>
      <c r="P848" s="482"/>
      <c r="Q848" s="483"/>
      <c r="R848" s="483"/>
      <c r="S848" s="484"/>
      <c r="T848" s="508">
        <f t="shared" si="623"/>
        <v>0</v>
      </c>
      <c r="U848" s="225" t="str">
        <f>IF(NOT(ISNUMBER(G848)), "", VLOOKUP(A848,'Discount Lookup'!D:E,2,FALSE)*G848)</f>
        <v/>
      </c>
      <c r="V848" s="225" t="str">
        <f>IF(NOT(ISNUMBER(G848)), "", VLOOKUP(A848,'Discount Lookup'!G:H,2,FALSE)*G848)</f>
        <v/>
      </c>
      <c r="W848" s="508">
        <f t="shared" si="624"/>
        <v>0</v>
      </c>
      <c r="X848" s="508" t="str">
        <f t="shared" si="625"/>
        <v>Golden-Yellow foliage</v>
      </c>
      <c r="Y848" s="509" t="b">
        <f t="shared" si="626"/>
        <v>0</v>
      </c>
      <c r="Z848" s="510">
        <f t="shared" si="627"/>
        <v>0</v>
      </c>
      <c r="AA848" s="511"/>
      <c r="AB848" s="511" t="str">
        <f t="shared" si="628"/>
        <v/>
      </c>
      <c r="AC848" s="698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698"/>
      <c r="AE848" s="631" t="str">
        <f t="shared" si="629"/>
        <v/>
      </c>
      <c r="AF848" s="699" t="str">
        <f t="shared" si="630"/>
        <v/>
      </c>
      <c r="AG848" s="699"/>
      <c r="AH848" s="699"/>
      <c r="AI848" s="512">
        <f>IF(H848="credit",0,IF(AE848="free",0,IF(AE848="me",0,IF(G848&gt;0,(VLOOKUP(A848,'Discount Lookup'!J:K,2)*G848),0))))</f>
        <v>0</v>
      </c>
      <c r="AJ848" s="513" t="str">
        <f t="shared" ca="1" si="631"/>
        <v/>
      </c>
      <c r="AK848" s="700" t="str">
        <f t="shared" si="632"/>
        <v/>
      </c>
      <c r="AL848" s="700"/>
      <c r="AM848" s="505" t="str">
        <f t="shared" si="633"/>
        <v/>
      </c>
      <c r="AN848" s="506"/>
      <c r="AO848" s="507"/>
      <c r="AP848" s="507"/>
      <c r="AQ848" s="507"/>
      <c r="AR848" s="507"/>
      <c r="AS848" s="507"/>
      <c r="AT848" s="507"/>
      <c r="AU848" s="507"/>
      <c r="AV848" s="225"/>
      <c r="AW848" s="508"/>
      <c r="AX848" s="225"/>
      <c r="AY848" s="225"/>
      <c r="AZ848" s="225"/>
      <c r="BA848" s="225"/>
      <c r="BB848" s="225"/>
      <c r="BC848" s="56"/>
      <c r="BD848" s="56"/>
      <c r="BE848" s="56"/>
      <c r="BF848" s="107" t="str">
        <f t="shared" si="634"/>
        <v>https://www.google.com/search?tbm=isch&amp;q=Compact%20Golden%20Cypress%20Chamaecyparis%20obtusa%20%27Lutea%20Compacta%27</v>
      </c>
      <c r="BG848" s="107" t="str">
        <f t="shared" si="635"/>
        <v>C</v>
      </c>
      <c r="BH848" s="254"/>
      <c r="BI848" s="254"/>
    </row>
    <row r="849" spans="1:61" customFormat="1" ht="27" x14ac:dyDescent="0.25">
      <c r="A849" s="485">
        <v>7</v>
      </c>
      <c r="B849" s="486" t="s">
        <v>291</v>
      </c>
      <c r="C849" s="487" t="s">
        <v>4748</v>
      </c>
      <c r="D849" s="488" t="s">
        <v>292</v>
      </c>
      <c r="E849" s="489">
        <v>107.95</v>
      </c>
      <c r="F849" s="516" t="s">
        <v>293</v>
      </c>
      <c r="G849" s="232">
        <v>0</v>
      </c>
      <c r="H849" s="658" t="str">
        <f>IF(G849=0,"",IF(F849="Buy",IF(G849=1,"plant","plants"),IF(F849&gt;0.01,"warranty","Error")))</f>
        <v/>
      </c>
      <c r="I849" s="490">
        <f>IF(H849="free",0,IF(H849="credit",((E849*(F849))*G849*-1),IF(F849="Buy",(E849*G849),((E849*(1-F849))*G849))))</f>
        <v>0</v>
      </c>
      <c r="J849" s="490">
        <f>IF(H849="warranty",0,(I849*(_xlfn.SINGLE(SalesTaxPercentage))))</f>
        <v>0</v>
      </c>
      <c r="K849" s="695">
        <f t="shared" ref="K849" si="636">I849+J849</f>
        <v>0</v>
      </c>
      <c r="L849" s="695"/>
      <c r="M849" s="659" t="str">
        <f>IF(AND(G849&gt;0,E849=0),"WARNING - no PRICE inserted",IF(H849="free"," FREE ~ no charge this plant",IF(H849="credit",CONCATENATE(" -$",ROUND(K849*(1-T2GDiscount)*-1,2)," CREDIT after discount"),IF(T2GDiscount=0,"",IF(G849=0,"",IF(F849="Buy",CONCATENATE(" $",ROUND(K849*(1-T2GDiscount),2)," with ",(T2GDiscount*100),"% discount"),CONCATENATE(" $",ROUND(K849*(1-T2GDiscount),2)," with ",((T2GDiscount*100+F849*100)-(T2GDiscount*100*F849)),IF(F849&gt;0,"% discounts",IF(NoWarrantyDiscount&gt;0,"% discounts","% discount")))))))))</f>
        <v/>
      </c>
      <c r="N849" s="660"/>
      <c r="O849" s="233"/>
      <c r="P849" s="233"/>
      <c r="Q849" s="233"/>
      <c r="R849" s="233"/>
      <c r="S849" s="233"/>
      <c r="T849" s="508">
        <f t="shared" si="623"/>
        <v>0</v>
      </c>
      <c r="U849" s="225">
        <f>IF(NOT(ISNUMBER(G849)), "", VLOOKUP(A849,'Discount Lookup'!D:E,2,FALSE)*G849)</f>
        <v>0</v>
      </c>
      <c r="V849" s="225">
        <f>IF(NOT(ISNUMBER(G849)), "", VLOOKUP(A849,'Discount Lookup'!G:H,2,FALSE)*G849)</f>
        <v>0</v>
      </c>
      <c r="W849" s="508">
        <f t="shared" si="624"/>
        <v>0</v>
      </c>
      <c r="X849" s="508">
        <f t="shared" si="625"/>
        <v>0</v>
      </c>
      <c r="Y849" s="509" t="b">
        <f t="shared" si="626"/>
        <v>0</v>
      </c>
      <c r="Z849" s="510">
        <f t="shared" si="627"/>
        <v>0</v>
      </c>
      <c r="AA849" s="511"/>
      <c r="AB849" s="511" t="str">
        <f t="shared" si="628"/>
        <v/>
      </c>
      <c r="AC849" s="698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698"/>
      <c r="AE849" s="631" t="str">
        <f t="shared" si="629"/>
        <v/>
      </c>
      <c r="AF849" s="699" t="str">
        <f t="shared" si="630"/>
        <v/>
      </c>
      <c r="AG849" s="699"/>
      <c r="AH849" s="699"/>
      <c r="AI849" s="512">
        <f>IF(H849="credit",0,IF(AE849="free",0,IF(AE849="me",0,IF(G849&gt;0,(VLOOKUP(A849,'Discount Lookup'!J:K,2)*G849),0))))</f>
        <v>0</v>
      </c>
      <c r="AJ849" s="513" t="str">
        <f t="shared" ca="1" si="631"/>
        <v/>
      </c>
      <c r="AK849" s="700" t="str">
        <f t="shared" si="632"/>
        <v/>
      </c>
      <c r="AL849" s="700"/>
      <c r="AM849" s="505" t="str">
        <f t="shared" si="633"/>
        <v/>
      </c>
      <c r="AN849" s="506"/>
      <c r="AO849" s="507"/>
      <c r="AP849" s="507"/>
      <c r="AQ849" s="507"/>
      <c r="AR849" s="507"/>
      <c r="AS849" s="507"/>
      <c r="AT849" s="507"/>
      <c r="AU849" s="507"/>
      <c r="AV849" s="225"/>
      <c r="AW849" s="508"/>
      <c r="AX849" s="225"/>
      <c r="AY849" s="225"/>
      <c r="AZ849" s="225"/>
      <c r="BA849" s="225"/>
      <c r="BB849" s="225"/>
      <c r="BC849" s="56"/>
      <c r="BD849" s="56"/>
      <c r="BE849" s="56"/>
      <c r="BF849" s="107" t="str">
        <f t="shared" si="634"/>
        <v>https://www.google.com/search?tbm=isch&amp;q=7%20G4</v>
      </c>
      <c r="BG849" s="107" t="str">
        <f t="shared" si="635"/>
        <v>C</v>
      </c>
      <c r="BH849" s="254"/>
      <c r="BI849" s="254"/>
    </row>
    <row r="850" spans="1:61" customFormat="1" ht="17.25" thickBot="1" x14ac:dyDescent="0.3">
      <c r="A850" s="522" t="s">
        <v>2869</v>
      </c>
      <c r="B850" s="491"/>
      <c r="C850" s="675"/>
      <c r="D850" s="491"/>
      <c r="E850" s="491"/>
      <c r="F850" s="492"/>
      <c r="G850" s="493"/>
      <c r="H850" s="491"/>
      <c r="I850" s="234"/>
      <c r="J850" s="234"/>
      <c r="K850" s="494"/>
      <c r="L850" s="543"/>
      <c r="M850" s="561"/>
      <c r="N850" s="495"/>
      <c r="O850" s="496"/>
      <c r="P850" s="497"/>
      <c r="Q850" s="495"/>
      <c r="R850" s="495"/>
      <c r="S850" s="667" t="s">
        <v>4984</v>
      </c>
      <c r="T850" s="508">
        <f t="shared" si="623"/>
        <v>0</v>
      </c>
      <c r="U850" s="225" t="str">
        <f>IF(NOT(ISNUMBER(G850)), "", VLOOKUP(A850,'Discount Lookup'!D:E,2,FALSE)*G850)</f>
        <v/>
      </c>
      <c r="V850" s="225" t="str">
        <f>IF(NOT(ISNUMBER(G850)), "", VLOOKUP(A850,'Discount Lookup'!G:H,2,FALSE)*G850)</f>
        <v/>
      </c>
      <c r="W850" s="508">
        <f t="shared" si="624"/>
        <v>0</v>
      </c>
      <c r="X850" s="508">
        <f t="shared" si="625"/>
        <v>0</v>
      </c>
      <c r="Y850" s="509" t="b">
        <f t="shared" si="626"/>
        <v>0</v>
      </c>
      <c r="Z850" s="510">
        <f t="shared" si="627"/>
        <v>0</v>
      </c>
      <c r="AA850" s="511"/>
      <c r="AB850" s="511" t="str">
        <f t="shared" si="628"/>
        <v/>
      </c>
      <c r="AC850" s="698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698"/>
      <c r="AE850" s="631" t="str">
        <f t="shared" si="629"/>
        <v/>
      </c>
      <c r="AF850" s="699" t="str">
        <f t="shared" si="630"/>
        <v/>
      </c>
      <c r="AG850" s="699"/>
      <c r="AH850" s="699"/>
      <c r="AI850" s="512">
        <f>IF(H850="credit",0,IF(AE850="free",0,IF(AE850="me",0,IF(G850&gt;0,(VLOOKUP(A850,'Discount Lookup'!J:K,2)*G850),0))))</f>
        <v>0</v>
      </c>
      <c r="AJ850" s="513" t="str">
        <f t="shared" ca="1" si="631"/>
        <v/>
      </c>
      <c r="AK850" s="700" t="str">
        <f t="shared" si="632"/>
        <v/>
      </c>
      <c r="AL850" s="700"/>
      <c r="AM850" s="505" t="str">
        <f t="shared" si="633"/>
        <v/>
      </c>
      <c r="AN850" s="506"/>
      <c r="AO850" s="507"/>
      <c r="AP850" s="507"/>
      <c r="AQ850" s="507"/>
      <c r="AR850" s="507"/>
      <c r="AS850" s="507"/>
      <c r="AT850" s="507"/>
      <c r="AU850" s="507"/>
      <c r="AV850" s="225"/>
      <c r="AW850" s="508"/>
      <c r="AX850" s="225"/>
      <c r="AY850" s="225"/>
      <c r="AZ850" s="225"/>
      <c r="BA850" s="225"/>
      <c r="BB850" s="225"/>
      <c r="BC850" s="56"/>
      <c r="BD850" s="56"/>
      <c r="BE850" s="56"/>
      <c r="BF850" s="107" t="str">
        <f t="shared" si="634"/>
        <v>https://www.google.com/search?tbm=isch&amp;q=Compact%20Golden%20offers%20a%20luminous%20Golden%20accent%20with%20gently%20twisting%20sprays%20and%20a%20compact%2C%20upright%20habit%20</v>
      </c>
      <c r="BG850" s="107" t="str">
        <f t="shared" si="635"/>
        <v>C</v>
      </c>
      <c r="BH850" s="254"/>
      <c r="BI850" s="254"/>
    </row>
    <row r="851" spans="1:61" customFormat="1" ht="18" x14ac:dyDescent="0.25">
      <c r="A851" s="521" t="s">
        <v>2870</v>
      </c>
      <c r="B851" s="477"/>
      <c r="C851" s="674"/>
      <c r="D851" s="478" t="s">
        <v>464</v>
      </c>
      <c r="E851" s="479"/>
      <c r="F851" s="479"/>
      <c r="G851" s="479"/>
      <c r="H851" s="582" t="s">
        <v>471</v>
      </c>
      <c r="I851" s="480" t="s">
        <v>2093</v>
      </c>
      <c r="J851" s="479"/>
      <c r="K851" s="479"/>
      <c r="L851" s="560"/>
      <c r="M851" s="666" t="s">
        <v>4966</v>
      </c>
      <c r="N851" s="680" t="str">
        <f>IF(AND(ISTEXT($A851), ISERROR($A851+0)), HYPERLINK($BF851, "Images"), "")</f>
        <v>Images</v>
      </c>
      <c r="O851" s="662" t="s">
        <v>4969</v>
      </c>
      <c r="P851" s="482"/>
      <c r="Q851" s="483"/>
      <c r="R851" s="483"/>
      <c r="S851" s="484"/>
      <c r="T851" s="508">
        <f t="shared" si="623"/>
        <v>0</v>
      </c>
      <c r="U851" s="225" t="str">
        <f>IF(NOT(ISNUMBER(G851)), "", VLOOKUP(A851,'Discount Lookup'!D:E,2,FALSE)*G851)</f>
        <v/>
      </c>
      <c r="V851" s="225" t="str">
        <f>IF(NOT(ISNUMBER(G851)), "", VLOOKUP(A851,'Discount Lookup'!G:H,2,FALSE)*G851)</f>
        <v/>
      </c>
      <c r="W851" s="508">
        <f t="shared" si="624"/>
        <v>0</v>
      </c>
      <c r="X851" s="508" t="str">
        <f t="shared" si="625"/>
        <v>Dark Green foliage</v>
      </c>
      <c r="Y851" s="509" t="b">
        <f t="shared" si="626"/>
        <v>0</v>
      </c>
      <c r="Z851" s="510">
        <f t="shared" si="627"/>
        <v>0</v>
      </c>
      <c r="AA851" s="511"/>
      <c r="AB851" s="511" t="str">
        <f t="shared" si="628"/>
        <v/>
      </c>
      <c r="AC851" s="698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698"/>
      <c r="AE851" s="631" t="str">
        <f t="shared" si="629"/>
        <v/>
      </c>
      <c r="AF851" s="699" t="str">
        <f t="shared" si="630"/>
        <v/>
      </c>
      <c r="AG851" s="699"/>
      <c r="AH851" s="699"/>
      <c r="AI851" s="512">
        <f>IF(H851="credit",0,IF(AE851="free",0,IF(AE851="me",0,IF(G851&gt;0,(VLOOKUP(A851,'Discount Lookup'!J:K,2)*G851),0))))</f>
        <v>0</v>
      </c>
      <c r="AJ851" s="513" t="str">
        <f t="shared" ca="1" si="631"/>
        <v/>
      </c>
      <c r="AK851" s="700" t="str">
        <f t="shared" si="632"/>
        <v/>
      </c>
      <c r="AL851" s="700"/>
      <c r="AM851" s="505" t="str">
        <f t="shared" si="633"/>
        <v/>
      </c>
      <c r="AN851" s="506"/>
      <c r="AO851" s="507"/>
      <c r="AP851" s="507"/>
      <c r="AQ851" s="507"/>
      <c r="AR851" s="507"/>
      <c r="AS851" s="507"/>
      <c r="AT851" s="507"/>
      <c r="AU851" s="507"/>
      <c r="AV851" s="225"/>
      <c r="AW851" s="508"/>
      <c r="AX851" s="225"/>
      <c r="AY851" s="225"/>
      <c r="AZ851" s="225"/>
      <c r="BA851" s="225"/>
      <c r="BB851" s="225"/>
      <c r="BC851" s="56"/>
      <c r="BD851" s="56"/>
      <c r="BE851" s="56"/>
      <c r="BF851" s="107" t="str">
        <f t="shared" si="634"/>
        <v>https://www.google.com/search?tbm=isch&amp;q=Compact%20Hinoki%20Cypress%20Chamaecyparis%20obtusa%20%27Compacta%27</v>
      </c>
      <c r="BG851" s="107" t="str">
        <f t="shared" si="635"/>
        <v>C</v>
      </c>
      <c r="BH851" s="254"/>
      <c r="BI851" s="254"/>
    </row>
    <row r="852" spans="1:61" customFormat="1" ht="15.75" x14ac:dyDescent="0.25">
      <c r="A852" s="485">
        <v>7</v>
      </c>
      <c r="B852" s="486" t="s">
        <v>291</v>
      </c>
      <c r="C852" s="487" t="s">
        <v>3981</v>
      </c>
      <c r="D852" s="488" t="s">
        <v>292</v>
      </c>
      <c r="E852" s="489">
        <v>100.95</v>
      </c>
      <c r="F852" s="516" t="s">
        <v>293</v>
      </c>
      <c r="G852" s="232">
        <v>0</v>
      </c>
      <c r="H852" s="658" t="str">
        <f>IF(G852=0,"",IF(F852="Buy",IF(G852=1,"plant","plants"),IF(F852&gt;0.01,"warranty","Error")))</f>
        <v/>
      </c>
      <c r="I852" s="490">
        <f>IF(H852="free",0,IF(H852="credit",((E852*(F852))*G852*-1),IF(F852="Buy",(E852*G852),((E852*(1-F852))*G852))))</f>
        <v>0</v>
      </c>
      <c r="J852" s="490">
        <f>IF(H852="warranty",0,(I852*(_xlfn.SINGLE(SalesTaxPercentage))))</f>
        <v>0</v>
      </c>
      <c r="K852" s="695">
        <f t="shared" ref="K852" si="637">I852+J852</f>
        <v>0</v>
      </c>
      <c r="L852" s="695"/>
      <c r="M852" s="659" t="str">
        <f>IF(AND(G852&gt;0,E852=0),"WARNING - no PRICE inserted",IF(H852="free"," FREE ~ no charge this plant",IF(H852="credit",CONCATENATE(" -$",ROUND(K852*(1-T2GDiscount)*-1,2)," CREDIT after discount"),IF(T2GDiscount=0,"",IF(G852=0,"",IF(F852="Buy",CONCATENATE(" $",ROUND(K852*(1-T2GDiscount),2)," with ",(T2GDiscount*100),"% discount"),CONCATENATE(" $",ROUND(K852*(1-T2GDiscount),2)," with ",((T2GDiscount*100+F852*100)-(T2GDiscount*100*F852)),IF(F852&gt;0,"% discounts",IF(NoWarrantyDiscount&gt;0,"% discounts","% discount")))))))))</f>
        <v/>
      </c>
      <c r="N852" s="660"/>
      <c r="O852" s="233"/>
      <c r="P852" s="233"/>
      <c r="Q852" s="233"/>
      <c r="R852" s="233"/>
      <c r="S852" s="233"/>
      <c r="T852" s="508">
        <f t="shared" si="623"/>
        <v>0</v>
      </c>
      <c r="U852" s="225">
        <f>IF(NOT(ISNUMBER(G852)), "", VLOOKUP(A852,'Discount Lookup'!D:E,2,FALSE)*G852)</f>
        <v>0</v>
      </c>
      <c r="V852" s="225">
        <f>IF(NOT(ISNUMBER(G852)), "", VLOOKUP(A852,'Discount Lookup'!G:H,2,FALSE)*G852)</f>
        <v>0</v>
      </c>
      <c r="W852" s="508">
        <f t="shared" si="624"/>
        <v>0</v>
      </c>
      <c r="X852" s="508">
        <f t="shared" si="625"/>
        <v>0</v>
      </c>
      <c r="Y852" s="509" t="b">
        <f t="shared" si="626"/>
        <v>0</v>
      </c>
      <c r="Z852" s="510">
        <f t="shared" si="627"/>
        <v>0</v>
      </c>
      <c r="AA852" s="511"/>
      <c r="AB852" s="511" t="str">
        <f t="shared" si="628"/>
        <v/>
      </c>
      <c r="AC852" s="698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698"/>
      <c r="AE852" s="631" t="str">
        <f t="shared" si="629"/>
        <v/>
      </c>
      <c r="AF852" s="699" t="str">
        <f t="shared" si="630"/>
        <v/>
      </c>
      <c r="AG852" s="699"/>
      <c r="AH852" s="699"/>
      <c r="AI852" s="512">
        <f>IF(H852="credit",0,IF(AE852="free",0,IF(AE852="me",0,IF(G852&gt;0,(VLOOKUP(A852,'Discount Lookup'!J:K,2)*G852),0))))</f>
        <v>0</v>
      </c>
      <c r="AJ852" s="513" t="str">
        <f t="shared" ca="1" si="631"/>
        <v/>
      </c>
      <c r="AK852" s="700" t="str">
        <f t="shared" si="632"/>
        <v/>
      </c>
      <c r="AL852" s="700"/>
      <c r="AM852" s="505" t="str">
        <f t="shared" si="633"/>
        <v/>
      </c>
      <c r="AN852" s="506"/>
      <c r="AO852" s="507"/>
      <c r="AP852" s="507"/>
      <c r="AQ852" s="507"/>
      <c r="AR852" s="507"/>
      <c r="AS852" s="507"/>
      <c r="AT852" s="507"/>
      <c r="AU852" s="507"/>
      <c r="AV852" s="225"/>
      <c r="AW852" s="508"/>
      <c r="AX852" s="225"/>
      <c r="AY852" s="225"/>
      <c r="AZ852" s="225"/>
      <c r="BA852" s="225"/>
      <c r="BB852" s="225"/>
      <c r="BC852" s="56"/>
      <c r="BD852" s="56"/>
      <c r="BE852" s="56"/>
      <c r="BF852" s="107" t="str">
        <f t="shared" si="634"/>
        <v>https://www.google.com/search?tbm=isch&amp;q=7%20G4</v>
      </c>
      <c r="BG852" s="107" t="str">
        <f t="shared" si="635"/>
        <v>C</v>
      </c>
      <c r="BH852" s="254"/>
      <c r="BI852" s="254"/>
    </row>
    <row r="853" spans="1:61" customFormat="1" ht="17.25" thickBot="1" x14ac:dyDescent="0.3">
      <c r="A853" s="522" t="s">
        <v>2871</v>
      </c>
      <c r="B853" s="491"/>
      <c r="C853" s="675"/>
      <c r="D853" s="491"/>
      <c r="E853" s="491"/>
      <c r="F853" s="492"/>
      <c r="G853" s="493"/>
      <c r="H853" s="491"/>
      <c r="I853" s="234"/>
      <c r="J853" s="234"/>
      <c r="K853" s="494"/>
      <c r="L853" s="543"/>
      <c r="M853" s="561"/>
      <c r="N853" s="495"/>
      <c r="O853" s="496"/>
      <c r="P853" s="497"/>
      <c r="Q853" s="495"/>
      <c r="R853" s="495"/>
      <c r="S853" s="667" t="s">
        <v>4984</v>
      </c>
      <c r="T853" s="508">
        <f t="shared" si="623"/>
        <v>0</v>
      </c>
      <c r="U853" s="225" t="str">
        <f>IF(NOT(ISNUMBER(G853)), "", VLOOKUP(A853,'Discount Lookup'!D:E,2,FALSE)*G853)</f>
        <v/>
      </c>
      <c r="V853" s="225" t="str">
        <f>IF(NOT(ISNUMBER(G853)), "", VLOOKUP(A853,'Discount Lookup'!G:H,2,FALSE)*G853)</f>
        <v/>
      </c>
      <c r="W853" s="508">
        <f t="shared" si="624"/>
        <v>0</v>
      </c>
      <c r="X853" s="508">
        <f t="shared" si="625"/>
        <v>0</v>
      </c>
      <c r="Y853" s="509" t="b">
        <f t="shared" si="626"/>
        <v>0</v>
      </c>
      <c r="Z853" s="510">
        <f t="shared" si="627"/>
        <v>0</v>
      </c>
      <c r="AA853" s="511"/>
      <c r="AB853" s="511" t="str">
        <f t="shared" si="628"/>
        <v/>
      </c>
      <c r="AC853" s="698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698"/>
      <c r="AE853" s="631" t="str">
        <f t="shared" si="629"/>
        <v/>
      </c>
      <c r="AF853" s="699" t="str">
        <f t="shared" si="630"/>
        <v/>
      </c>
      <c r="AG853" s="699"/>
      <c r="AH853" s="699"/>
      <c r="AI853" s="512">
        <f>IF(H853="credit",0,IF(AE853="free",0,IF(AE853="me",0,IF(G853&gt;0,(VLOOKUP(A853,'Discount Lookup'!J:K,2)*G853),0))))</f>
        <v>0</v>
      </c>
      <c r="AJ853" s="513" t="str">
        <f t="shared" ca="1" si="631"/>
        <v/>
      </c>
      <c r="AK853" s="700" t="str">
        <f t="shared" si="632"/>
        <v/>
      </c>
      <c r="AL853" s="700"/>
      <c r="AM853" s="505" t="str">
        <f t="shared" si="633"/>
        <v/>
      </c>
      <c r="AN853" s="506"/>
      <c r="AO853" s="507"/>
      <c r="AP853" s="507"/>
      <c r="AQ853" s="507"/>
      <c r="AR853" s="507"/>
      <c r="AS853" s="507"/>
      <c r="AT853" s="507"/>
      <c r="AU853" s="507"/>
      <c r="AV853" s="225"/>
      <c r="AW853" s="508"/>
      <c r="AX853" s="225"/>
      <c r="AY853" s="225"/>
      <c r="AZ853" s="225"/>
      <c r="BA853" s="225"/>
      <c r="BB853" s="225"/>
      <c r="BC853" s="56"/>
      <c r="BD853" s="56"/>
      <c r="BE853" s="56"/>
      <c r="BF853" s="107" t="str">
        <f t="shared" si="634"/>
        <v>https://www.google.com/search?tbm=isch&amp;q=Compact%20Hinoki%20offers%20elegant%2C%20slow-growing%20structure%20with%20lush%2C%20fan-like%20foliage%20and%20a%20tidy%20habit%20</v>
      </c>
      <c r="BG853" s="107" t="str">
        <f t="shared" si="635"/>
        <v>C</v>
      </c>
      <c r="BH853" s="254"/>
      <c r="BI853" s="254"/>
    </row>
    <row r="854" spans="1:61" customFormat="1" ht="18" x14ac:dyDescent="0.25">
      <c r="A854" s="521" t="s">
        <v>485</v>
      </c>
      <c r="B854" s="477"/>
      <c r="C854" s="674"/>
      <c r="D854" s="478" t="s">
        <v>484</v>
      </c>
      <c r="E854" s="479"/>
      <c r="F854" s="479"/>
      <c r="G854" s="479"/>
      <c r="H854" s="582" t="s">
        <v>356</v>
      </c>
      <c r="I854" s="480" t="s">
        <v>2093</v>
      </c>
      <c r="J854" s="479"/>
      <c r="K854" s="479"/>
      <c r="L854" s="560"/>
      <c r="M854" s="666" t="s">
        <v>4966</v>
      </c>
      <c r="N854" s="680" t="str">
        <f>IF(AND(ISTEXT($A854), ISERROR($A854+0)), HYPERLINK($BF854, "Images"), "")</f>
        <v>Images</v>
      </c>
      <c r="O854" s="662" t="s">
        <v>5001</v>
      </c>
      <c r="P854" s="482"/>
      <c r="Q854" s="483"/>
      <c r="R854" s="483"/>
      <c r="S854" s="484"/>
      <c r="T854" s="508">
        <f t="shared" si="623"/>
        <v>0</v>
      </c>
      <c r="U854" s="225" t="str">
        <f>IF(NOT(ISNUMBER(G854)), "", VLOOKUP(A854,'Discount Lookup'!D:E,2,FALSE)*G854)</f>
        <v/>
      </c>
      <c r="V854" s="225" t="str">
        <f>IF(NOT(ISNUMBER(G854)), "", VLOOKUP(A854,'Discount Lookup'!G:H,2,FALSE)*G854)</f>
        <v/>
      </c>
      <c r="W854" s="508">
        <f t="shared" si="624"/>
        <v>0</v>
      </c>
      <c r="X854" s="508" t="str">
        <f t="shared" si="625"/>
        <v>Dark Green foliage</v>
      </c>
      <c r="Y854" s="509" t="b">
        <f t="shared" si="626"/>
        <v>0</v>
      </c>
      <c r="Z854" s="510">
        <f t="shared" si="627"/>
        <v>0</v>
      </c>
      <c r="AA854" s="511"/>
      <c r="AB854" s="511" t="str">
        <f t="shared" si="628"/>
        <v/>
      </c>
      <c r="AC854" s="698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698"/>
      <c r="AE854" s="631" t="str">
        <f t="shared" si="629"/>
        <v/>
      </c>
      <c r="AF854" s="699" t="str">
        <f t="shared" si="630"/>
        <v/>
      </c>
      <c r="AG854" s="699"/>
      <c r="AH854" s="699"/>
      <c r="AI854" s="512">
        <f>IF(H854="credit",0,IF(AE854="free",0,IF(AE854="me",0,IF(G854&gt;0,(VLOOKUP(A854,'Discount Lookup'!J:K,2)*G854),0))))</f>
        <v>0</v>
      </c>
      <c r="AJ854" s="513" t="str">
        <f t="shared" ca="1" si="631"/>
        <v/>
      </c>
      <c r="AK854" s="700" t="str">
        <f t="shared" si="632"/>
        <v/>
      </c>
      <c r="AL854" s="700"/>
      <c r="AM854" s="505" t="str">
        <f t="shared" si="633"/>
        <v/>
      </c>
      <c r="AN854" s="506"/>
      <c r="AO854" s="507"/>
      <c r="AP854" s="507"/>
      <c r="AQ854" s="507"/>
      <c r="AR854" s="507"/>
      <c r="AS854" s="507"/>
      <c r="AT854" s="507"/>
      <c r="AU854" s="507"/>
      <c r="AV854" s="225"/>
      <c r="AW854" s="508"/>
      <c r="AX854" s="225"/>
      <c r="AY854" s="225"/>
      <c r="AZ854" s="225"/>
      <c r="BA854" s="225"/>
      <c r="BB854" s="225"/>
      <c r="BC854" s="56"/>
      <c r="BD854" s="56"/>
      <c r="BE854" s="56"/>
      <c r="BF854" s="107" t="str">
        <f t="shared" si="634"/>
        <v>https://www.google.com/search?tbm=isch&amp;q=Compacta%20Japanese%20Holly%20Ilex%20crenata%20%27Compacta%27</v>
      </c>
      <c r="BG854" s="107" t="str">
        <f t="shared" si="635"/>
        <v>C</v>
      </c>
      <c r="BH854" s="254"/>
      <c r="BI854" s="254"/>
    </row>
    <row r="855" spans="1:61" customFormat="1" ht="15.75" x14ac:dyDescent="0.25">
      <c r="A855" s="485">
        <v>1</v>
      </c>
      <c r="B855" s="486" t="s">
        <v>291</v>
      </c>
      <c r="C855" s="487"/>
      <c r="D855" s="488" t="s">
        <v>298</v>
      </c>
      <c r="E855" s="489">
        <v>7.95</v>
      </c>
      <c r="F855" s="516" t="s">
        <v>293</v>
      </c>
      <c r="G855" s="232">
        <v>0</v>
      </c>
      <c r="H855" s="658" t="str">
        <f t="shared" ref="H855:H865" si="638">IF(G855=0,"",IF(F855="Buy",IF(G855=1,"plant","plants"),IF(F855&gt;0.01,"warranty","Error")))</f>
        <v/>
      </c>
      <c r="I855" s="490">
        <f t="shared" ref="I855:I865" si="639">IF(H855="free",0,IF(H855="credit",((E855*(F855))*G855*-1),IF(F855="Buy",(E855*G855),((E855*(1-F855))*G855))))</f>
        <v>0</v>
      </c>
      <c r="J855" s="490">
        <f t="shared" ref="J855:J865" si="640">IF(H855="warranty",0,(I855*(_xlfn.SINGLE(SalesTaxPercentage))))</f>
        <v>0</v>
      </c>
      <c r="K855" s="695">
        <f t="shared" ref="K855" si="641">I855+J855</f>
        <v>0</v>
      </c>
      <c r="L855" s="695"/>
      <c r="M855" s="659" t="str">
        <f t="shared" ref="M855:M865" si="642">IF(AND(G855&gt;0,E855=0),"WARNING - no PRICE inserted",IF(H855="free"," FREE ~ no charge this plant",IF(H855="credit",CONCATENATE(" -$",ROUND(K855*(1-T2GDiscount)*-1,2)," CREDIT after discount"),IF(T2GDiscount=0,"",IF(G855=0,"",IF(F855="Buy",CONCATENATE(" $",ROUND(K855*(1-T2GDiscount),2)," with ",(T2GDiscount*100),"% discount"),CONCATENATE(" $",ROUND(K855*(1-T2GDiscount),2)," with ",((T2GDiscount*100+F855*100)-(T2GDiscount*100*F855)),IF(F855&gt;0,"% discounts",IF(NoWarrantyDiscount&gt;0,"% discounts","% discount")))))))))</f>
        <v/>
      </c>
      <c r="N855" s="660"/>
      <c r="O855" s="233"/>
      <c r="P855" s="233"/>
      <c r="Q855" s="233"/>
      <c r="R855" s="233"/>
      <c r="S855" s="233"/>
      <c r="T855" s="508">
        <f t="shared" si="623"/>
        <v>0</v>
      </c>
      <c r="U855" s="225">
        <f>IF(NOT(ISNUMBER(G855)), "", VLOOKUP(A855,'Discount Lookup'!D:E,2,FALSE)*G855)</f>
        <v>0</v>
      </c>
      <c r="V855" s="225">
        <f>IF(NOT(ISNUMBER(G855)), "", VLOOKUP(A855,'Discount Lookup'!G:H,2,FALSE)*G855)</f>
        <v>0</v>
      </c>
      <c r="W855" s="508">
        <f t="shared" si="624"/>
        <v>0</v>
      </c>
      <c r="X855" s="508">
        <f t="shared" si="625"/>
        <v>0</v>
      </c>
      <c r="Y855" s="509" t="b">
        <f t="shared" si="626"/>
        <v>0</v>
      </c>
      <c r="Z855" s="510">
        <f t="shared" si="627"/>
        <v>0</v>
      </c>
      <c r="AA855" s="511"/>
      <c r="AB855" s="511" t="str">
        <f t="shared" si="628"/>
        <v/>
      </c>
      <c r="AC855" s="698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698"/>
      <c r="AE855" s="631" t="str">
        <f t="shared" si="629"/>
        <v/>
      </c>
      <c r="AF855" s="699" t="str">
        <f t="shared" si="630"/>
        <v/>
      </c>
      <c r="AG855" s="699"/>
      <c r="AH855" s="699"/>
      <c r="AI855" s="512">
        <f>IF(H855="credit",0,IF(AE855="free",0,IF(AE855="me",0,IF(G855&gt;0,(VLOOKUP(A855,'Discount Lookup'!J:K,2)*G855),0))))</f>
        <v>0</v>
      </c>
      <c r="AJ855" s="513" t="str">
        <f t="shared" ca="1" si="631"/>
        <v/>
      </c>
      <c r="AK855" s="700" t="str">
        <f t="shared" si="632"/>
        <v/>
      </c>
      <c r="AL855" s="700"/>
      <c r="AM855" s="505" t="str">
        <f t="shared" si="633"/>
        <v/>
      </c>
      <c r="AN855" s="506"/>
      <c r="AO855" s="507"/>
      <c r="AP855" s="507"/>
      <c r="AQ855" s="507"/>
      <c r="AR855" s="507"/>
      <c r="AS855" s="507"/>
      <c r="AT855" s="507"/>
      <c r="AU855" s="507"/>
      <c r="AV855" s="225"/>
      <c r="AW855" s="508"/>
      <c r="AX855" s="225"/>
      <c r="AY855" s="225"/>
      <c r="AZ855" s="225"/>
      <c r="BA855" s="225"/>
      <c r="BB855" s="225"/>
      <c r="BC855" s="56"/>
      <c r="BD855" s="56"/>
      <c r="BE855" s="56"/>
      <c r="BF855" s="107" t="str">
        <f t="shared" si="634"/>
        <v>https://www.google.com/search?tbm=isch&amp;q=1%20G1</v>
      </c>
      <c r="BG855" s="107" t="str">
        <f t="shared" si="635"/>
        <v>C</v>
      </c>
      <c r="BH855" s="254"/>
      <c r="BI855" s="254"/>
    </row>
    <row r="856" spans="1:61" customFormat="1" ht="15.75" x14ac:dyDescent="0.25">
      <c r="A856" s="485">
        <v>1</v>
      </c>
      <c r="B856" s="486" t="s">
        <v>291</v>
      </c>
      <c r="C856" s="487" t="s">
        <v>486</v>
      </c>
      <c r="D856" s="488" t="s">
        <v>299</v>
      </c>
      <c r="E856" s="489">
        <v>7.95</v>
      </c>
      <c r="F856" s="516" t="s">
        <v>293</v>
      </c>
      <c r="G856" s="232">
        <v>0</v>
      </c>
      <c r="H856" s="658" t="str">
        <f t="shared" si="638"/>
        <v/>
      </c>
      <c r="I856" s="490">
        <f t="shared" si="639"/>
        <v>0</v>
      </c>
      <c r="J856" s="490">
        <f t="shared" si="640"/>
        <v>0</v>
      </c>
      <c r="K856" s="695">
        <f t="shared" ref="K856" si="643">I856+J856</f>
        <v>0</v>
      </c>
      <c r="L856" s="695"/>
      <c r="M856" s="659" t="str">
        <f t="shared" si="642"/>
        <v/>
      </c>
      <c r="N856" s="660"/>
      <c r="O856" s="233"/>
      <c r="P856" s="233"/>
      <c r="Q856" s="233"/>
      <c r="R856" s="233"/>
      <c r="S856" s="233"/>
      <c r="T856" s="508">
        <f t="shared" si="623"/>
        <v>0</v>
      </c>
      <c r="U856" s="225">
        <f>IF(NOT(ISNUMBER(G856)), "", VLOOKUP(A856,'Discount Lookup'!D:E,2,FALSE)*G856)</f>
        <v>0</v>
      </c>
      <c r="V856" s="225">
        <f>IF(NOT(ISNUMBER(G856)), "", VLOOKUP(A856,'Discount Lookup'!G:H,2,FALSE)*G856)</f>
        <v>0</v>
      </c>
      <c r="W856" s="508">
        <f t="shared" si="624"/>
        <v>0</v>
      </c>
      <c r="X856" s="508">
        <f t="shared" si="625"/>
        <v>0</v>
      </c>
      <c r="Y856" s="509" t="b">
        <f t="shared" si="626"/>
        <v>0</v>
      </c>
      <c r="Z856" s="510">
        <f t="shared" si="627"/>
        <v>0</v>
      </c>
      <c r="AA856" s="511"/>
      <c r="AB856" s="511" t="str">
        <f t="shared" si="628"/>
        <v/>
      </c>
      <c r="AC856" s="698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698"/>
      <c r="AE856" s="631" t="str">
        <f t="shared" si="629"/>
        <v/>
      </c>
      <c r="AF856" s="699" t="str">
        <f t="shared" si="630"/>
        <v/>
      </c>
      <c r="AG856" s="699"/>
      <c r="AH856" s="699"/>
      <c r="AI856" s="512">
        <f>IF(H856="credit",0,IF(AE856="free",0,IF(AE856="me",0,IF(G856&gt;0,(VLOOKUP(A856,'Discount Lookup'!J:K,2)*G856),0))))</f>
        <v>0</v>
      </c>
      <c r="AJ856" s="513" t="str">
        <f t="shared" ca="1" si="631"/>
        <v/>
      </c>
      <c r="AK856" s="700" t="str">
        <f t="shared" si="632"/>
        <v/>
      </c>
      <c r="AL856" s="700"/>
      <c r="AM856" s="505" t="str">
        <f t="shared" si="633"/>
        <v/>
      </c>
      <c r="AN856" s="506"/>
      <c r="AO856" s="507"/>
      <c r="AP856" s="507"/>
      <c r="AQ856" s="507"/>
      <c r="AR856" s="507"/>
      <c r="AS856" s="507"/>
      <c r="AT856" s="507"/>
      <c r="AU856" s="507"/>
      <c r="AV856" s="225"/>
      <c r="AW856" s="508"/>
      <c r="AX856" s="225"/>
      <c r="AY856" s="225"/>
      <c r="AZ856" s="225"/>
      <c r="BA856" s="225"/>
      <c r="BB856" s="225"/>
      <c r="BC856" s="56"/>
      <c r="BD856" s="56"/>
      <c r="BE856" s="56"/>
      <c r="BF856" s="107" t="str">
        <f t="shared" si="634"/>
        <v>https://www.google.com/search?tbm=isch&amp;q=1%20G5</v>
      </c>
      <c r="BG856" s="107" t="str">
        <f t="shared" si="635"/>
        <v>C</v>
      </c>
      <c r="BH856" s="254"/>
      <c r="BI856" s="254"/>
    </row>
    <row r="857" spans="1:61" customFormat="1" ht="15.75" x14ac:dyDescent="0.25">
      <c r="A857" s="485">
        <v>3</v>
      </c>
      <c r="B857" s="486" t="s">
        <v>291</v>
      </c>
      <c r="C857" s="487" t="s">
        <v>487</v>
      </c>
      <c r="D857" s="488" t="s">
        <v>297</v>
      </c>
      <c r="E857" s="489">
        <v>22.95</v>
      </c>
      <c r="F857" s="516" t="s">
        <v>293</v>
      </c>
      <c r="G857" s="232">
        <v>0</v>
      </c>
      <c r="H857" s="658" t="str">
        <f t="shared" si="638"/>
        <v/>
      </c>
      <c r="I857" s="490">
        <f t="shared" si="639"/>
        <v>0</v>
      </c>
      <c r="J857" s="490">
        <f t="shared" si="640"/>
        <v>0</v>
      </c>
      <c r="K857" s="695">
        <f t="shared" ref="K857" si="644">I857+J857</f>
        <v>0</v>
      </c>
      <c r="L857" s="695"/>
      <c r="M857" s="659" t="str">
        <f t="shared" si="642"/>
        <v/>
      </c>
      <c r="N857" s="660"/>
      <c r="O857" s="233"/>
      <c r="P857" s="233"/>
      <c r="Q857" s="233"/>
      <c r="R857" s="233"/>
      <c r="S857" s="233"/>
      <c r="T857" s="508">
        <f t="shared" si="623"/>
        <v>0</v>
      </c>
      <c r="U857" s="225">
        <f>IF(NOT(ISNUMBER(G857)), "", VLOOKUP(A857,'Discount Lookup'!D:E,2,FALSE)*G857)</f>
        <v>0</v>
      </c>
      <c r="V857" s="225">
        <f>IF(NOT(ISNUMBER(G857)), "", VLOOKUP(A857,'Discount Lookup'!G:H,2,FALSE)*G857)</f>
        <v>0</v>
      </c>
      <c r="W857" s="508">
        <f t="shared" si="624"/>
        <v>0</v>
      </c>
      <c r="X857" s="508">
        <f t="shared" si="625"/>
        <v>0</v>
      </c>
      <c r="Y857" s="509" t="b">
        <f t="shared" si="626"/>
        <v>0</v>
      </c>
      <c r="Z857" s="510">
        <f t="shared" si="627"/>
        <v>0</v>
      </c>
      <c r="AA857" s="511"/>
      <c r="AB857" s="511" t="str">
        <f t="shared" si="628"/>
        <v/>
      </c>
      <c r="AC857" s="698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698"/>
      <c r="AE857" s="631" t="str">
        <f t="shared" si="629"/>
        <v/>
      </c>
      <c r="AF857" s="699" t="str">
        <f t="shared" si="630"/>
        <v/>
      </c>
      <c r="AG857" s="699"/>
      <c r="AH857" s="699"/>
      <c r="AI857" s="512">
        <f>IF(H857="credit",0,IF(AE857="free",0,IF(AE857="me",0,IF(G857&gt;0,(VLOOKUP(A857,'Discount Lookup'!J:K,2)*G857),0))))</f>
        <v>0</v>
      </c>
      <c r="AJ857" s="513" t="str">
        <f t="shared" ca="1" si="631"/>
        <v/>
      </c>
      <c r="AK857" s="700" t="str">
        <f t="shared" si="632"/>
        <v/>
      </c>
      <c r="AL857" s="700"/>
      <c r="AM857" s="505" t="str">
        <f t="shared" si="633"/>
        <v/>
      </c>
      <c r="AN857" s="506"/>
      <c r="AO857" s="507"/>
      <c r="AP857" s="507"/>
      <c r="AQ857" s="507"/>
      <c r="AR857" s="507"/>
      <c r="AS857" s="507"/>
      <c r="AT857" s="507"/>
      <c r="AU857" s="507"/>
      <c r="AV857" s="225"/>
      <c r="AW857" s="508"/>
      <c r="AX857" s="225"/>
      <c r="AY857" s="225"/>
      <c r="AZ857" s="225"/>
      <c r="BA857" s="225"/>
      <c r="BB857" s="225"/>
      <c r="BC857" s="56"/>
      <c r="BD857" s="56"/>
      <c r="BE857" s="56"/>
      <c r="BF857" s="107" t="str">
        <f t="shared" si="634"/>
        <v>https://www.google.com/search?tbm=isch&amp;q=3%20G3</v>
      </c>
      <c r="BG857" s="107" t="str">
        <f t="shared" si="635"/>
        <v>C</v>
      </c>
      <c r="BH857" s="254"/>
      <c r="BI857" s="254"/>
    </row>
    <row r="858" spans="1:61" customFormat="1" ht="15.75" x14ac:dyDescent="0.25">
      <c r="A858" s="485">
        <v>3</v>
      </c>
      <c r="B858" s="486" t="s">
        <v>291</v>
      </c>
      <c r="C858" s="487" t="s">
        <v>445</v>
      </c>
      <c r="D858" s="488" t="s">
        <v>298</v>
      </c>
      <c r="E858" s="489">
        <v>25.95</v>
      </c>
      <c r="F858" s="516" t="s">
        <v>293</v>
      </c>
      <c r="G858" s="232">
        <v>0</v>
      </c>
      <c r="H858" s="658" t="str">
        <f t="shared" si="638"/>
        <v/>
      </c>
      <c r="I858" s="490">
        <f t="shared" si="639"/>
        <v>0</v>
      </c>
      <c r="J858" s="490">
        <f t="shared" si="640"/>
        <v>0</v>
      </c>
      <c r="K858" s="695">
        <f t="shared" ref="K858" si="645">I858+J858</f>
        <v>0</v>
      </c>
      <c r="L858" s="695"/>
      <c r="M858" s="659" t="str">
        <f t="shared" si="642"/>
        <v/>
      </c>
      <c r="N858" s="660"/>
      <c r="O858" s="233"/>
      <c r="P858" s="233"/>
      <c r="Q858" s="233"/>
      <c r="R858" s="233"/>
      <c r="S858" s="233"/>
      <c r="T858" s="508">
        <f t="shared" si="623"/>
        <v>0</v>
      </c>
      <c r="U858" s="225">
        <f>IF(NOT(ISNUMBER(G858)), "", VLOOKUP(A858,'Discount Lookup'!D:E,2,FALSE)*G858)</f>
        <v>0</v>
      </c>
      <c r="V858" s="225">
        <f>IF(NOT(ISNUMBER(G858)), "", VLOOKUP(A858,'Discount Lookup'!G:H,2,FALSE)*G858)</f>
        <v>0</v>
      </c>
      <c r="W858" s="508">
        <f t="shared" si="624"/>
        <v>0</v>
      </c>
      <c r="X858" s="508">
        <f t="shared" si="625"/>
        <v>0</v>
      </c>
      <c r="Y858" s="509" t="b">
        <f t="shared" si="626"/>
        <v>0</v>
      </c>
      <c r="Z858" s="510">
        <f t="shared" si="627"/>
        <v>0</v>
      </c>
      <c r="AA858" s="511"/>
      <c r="AB858" s="511" t="str">
        <f t="shared" si="628"/>
        <v/>
      </c>
      <c r="AC858" s="698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698"/>
      <c r="AE858" s="631" t="str">
        <f t="shared" si="629"/>
        <v/>
      </c>
      <c r="AF858" s="699" t="str">
        <f t="shared" si="630"/>
        <v/>
      </c>
      <c r="AG858" s="699"/>
      <c r="AH858" s="699"/>
      <c r="AI858" s="512">
        <f>IF(H858="credit",0,IF(AE858="free",0,IF(AE858="me",0,IF(G858&gt;0,(VLOOKUP(A858,'Discount Lookup'!J:K,2)*G858),0))))</f>
        <v>0</v>
      </c>
      <c r="AJ858" s="513" t="str">
        <f t="shared" ca="1" si="631"/>
        <v/>
      </c>
      <c r="AK858" s="700" t="str">
        <f t="shared" si="632"/>
        <v/>
      </c>
      <c r="AL858" s="700"/>
      <c r="AM858" s="505" t="str">
        <f t="shared" si="633"/>
        <v/>
      </c>
      <c r="AN858" s="506"/>
      <c r="AO858" s="507"/>
      <c r="AP858" s="507"/>
      <c r="AQ858" s="507"/>
      <c r="AR858" s="507"/>
      <c r="AS858" s="507"/>
      <c r="AT858" s="507"/>
      <c r="AU858" s="507"/>
      <c r="AV858" s="225"/>
      <c r="AW858" s="508"/>
      <c r="AX858" s="225"/>
      <c r="AY858" s="225"/>
      <c r="AZ858" s="225"/>
      <c r="BA858" s="225"/>
      <c r="BB858" s="225"/>
      <c r="BC858" s="56"/>
      <c r="BD858" s="56"/>
      <c r="BE858" s="56"/>
      <c r="BF858" s="107" t="str">
        <f t="shared" si="634"/>
        <v>https://www.google.com/search?tbm=isch&amp;q=3%20G1</v>
      </c>
      <c r="BG858" s="107" t="str">
        <f t="shared" si="635"/>
        <v>C</v>
      </c>
      <c r="BH858" s="254"/>
      <c r="BI858" s="254"/>
    </row>
    <row r="859" spans="1:61" customFormat="1" ht="15.75" x14ac:dyDescent="0.25">
      <c r="A859" s="485">
        <v>3</v>
      </c>
      <c r="B859" s="486" t="s">
        <v>291</v>
      </c>
      <c r="C859" s="487" t="s">
        <v>4498</v>
      </c>
      <c r="D859" s="488" t="s">
        <v>299</v>
      </c>
      <c r="E859" s="489">
        <v>27.95</v>
      </c>
      <c r="F859" s="516" t="s">
        <v>293</v>
      </c>
      <c r="G859" s="232">
        <v>0</v>
      </c>
      <c r="H859" s="658" t="str">
        <f t="shared" si="638"/>
        <v/>
      </c>
      <c r="I859" s="490">
        <f t="shared" si="639"/>
        <v>0</v>
      </c>
      <c r="J859" s="490">
        <f t="shared" si="640"/>
        <v>0</v>
      </c>
      <c r="K859" s="695">
        <f t="shared" ref="K859" si="646">I859+J859</f>
        <v>0</v>
      </c>
      <c r="L859" s="695"/>
      <c r="M859" s="659" t="str">
        <f t="shared" si="642"/>
        <v/>
      </c>
      <c r="N859" s="660"/>
      <c r="O859" s="233"/>
      <c r="P859" s="233"/>
      <c r="Q859" s="233"/>
      <c r="R859" s="233"/>
      <c r="S859" s="233"/>
      <c r="T859" s="508">
        <f t="shared" si="623"/>
        <v>0</v>
      </c>
      <c r="U859" s="225">
        <f>IF(NOT(ISNUMBER(G859)), "", VLOOKUP(A859,'Discount Lookup'!D:E,2,FALSE)*G859)</f>
        <v>0</v>
      </c>
      <c r="V859" s="225">
        <f>IF(NOT(ISNUMBER(G859)), "", VLOOKUP(A859,'Discount Lookup'!G:H,2,FALSE)*G859)</f>
        <v>0</v>
      </c>
      <c r="W859" s="508">
        <f t="shared" si="624"/>
        <v>0</v>
      </c>
      <c r="X859" s="508">
        <f t="shared" si="625"/>
        <v>0</v>
      </c>
      <c r="Y859" s="509" t="b">
        <f t="shared" si="626"/>
        <v>0</v>
      </c>
      <c r="Z859" s="510">
        <f t="shared" si="627"/>
        <v>0</v>
      </c>
      <c r="AA859" s="511"/>
      <c r="AB859" s="511" t="str">
        <f t="shared" si="628"/>
        <v/>
      </c>
      <c r="AC859" s="698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698"/>
      <c r="AE859" s="631" t="str">
        <f t="shared" si="629"/>
        <v/>
      </c>
      <c r="AF859" s="699" t="str">
        <f t="shared" si="630"/>
        <v/>
      </c>
      <c r="AG859" s="699"/>
      <c r="AH859" s="699"/>
      <c r="AI859" s="512">
        <f>IF(H859="credit",0,IF(AE859="free",0,IF(AE859="me",0,IF(G859&gt;0,(VLOOKUP(A859,'Discount Lookup'!J:K,2)*G859),0))))</f>
        <v>0</v>
      </c>
      <c r="AJ859" s="513" t="str">
        <f t="shared" ca="1" si="631"/>
        <v/>
      </c>
      <c r="AK859" s="700" t="str">
        <f t="shared" si="632"/>
        <v/>
      </c>
      <c r="AL859" s="700"/>
      <c r="AM859" s="505" t="str">
        <f t="shared" si="633"/>
        <v/>
      </c>
      <c r="AN859" s="506"/>
      <c r="AO859" s="507"/>
      <c r="AP859" s="507"/>
      <c r="AQ859" s="507"/>
      <c r="AR859" s="507"/>
      <c r="AS859" s="507"/>
      <c r="AT859" s="507"/>
      <c r="AU859" s="507"/>
      <c r="AV859" s="225"/>
      <c r="AW859" s="508"/>
      <c r="AX859" s="225"/>
      <c r="AY859" s="225"/>
      <c r="AZ859" s="225"/>
      <c r="BA859" s="225"/>
      <c r="BB859" s="225"/>
      <c r="BC859" s="56"/>
      <c r="BD859" s="56"/>
      <c r="BE859" s="56"/>
      <c r="BF859" s="107" t="str">
        <f t="shared" si="634"/>
        <v>https://www.google.com/search?tbm=isch&amp;q=3%20G5</v>
      </c>
      <c r="BG859" s="107" t="str">
        <f t="shared" si="635"/>
        <v>C</v>
      </c>
      <c r="BH859" s="254"/>
      <c r="BI859" s="254"/>
    </row>
    <row r="860" spans="1:61" customFormat="1" ht="15.75" x14ac:dyDescent="0.25">
      <c r="A860" s="485">
        <v>3</v>
      </c>
      <c r="B860" s="486" t="s">
        <v>291</v>
      </c>
      <c r="C860" s="487" t="s">
        <v>488</v>
      </c>
      <c r="D860" s="488" t="s">
        <v>300</v>
      </c>
      <c r="E860" s="489">
        <v>27.95</v>
      </c>
      <c r="F860" s="516" t="s">
        <v>293</v>
      </c>
      <c r="G860" s="232">
        <v>0</v>
      </c>
      <c r="H860" s="658" t="str">
        <f t="shared" si="638"/>
        <v/>
      </c>
      <c r="I860" s="490">
        <f t="shared" si="639"/>
        <v>0</v>
      </c>
      <c r="J860" s="490">
        <f t="shared" si="640"/>
        <v>0</v>
      </c>
      <c r="K860" s="695">
        <f t="shared" ref="K860" si="647">I860+J860</f>
        <v>0</v>
      </c>
      <c r="L860" s="695"/>
      <c r="M860" s="659" t="str">
        <f t="shared" si="642"/>
        <v/>
      </c>
      <c r="N860" s="660"/>
      <c r="O860" s="233"/>
      <c r="P860" s="233"/>
      <c r="Q860" s="233"/>
      <c r="R860" s="233"/>
      <c r="S860" s="233"/>
      <c r="T860" s="508">
        <f t="shared" si="623"/>
        <v>0</v>
      </c>
      <c r="U860" s="225">
        <f>IF(NOT(ISNUMBER(G860)), "", VLOOKUP(A860,'Discount Lookup'!D:E,2,FALSE)*G860)</f>
        <v>0</v>
      </c>
      <c r="V860" s="225">
        <f>IF(NOT(ISNUMBER(G860)), "", VLOOKUP(A860,'Discount Lookup'!G:H,2,FALSE)*G860)</f>
        <v>0</v>
      </c>
      <c r="W860" s="508">
        <f t="shared" si="624"/>
        <v>0</v>
      </c>
      <c r="X860" s="508">
        <f t="shared" si="625"/>
        <v>0</v>
      </c>
      <c r="Y860" s="509" t="b">
        <f t="shared" si="626"/>
        <v>0</v>
      </c>
      <c r="Z860" s="510">
        <f t="shared" si="627"/>
        <v>0</v>
      </c>
      <c r="AA860" s="511"/>
      <c r="AB860" s="511" t="str">
        <f t="shared" si="628"/>
        <v/>
      </c>
      <c r="AC860" s="698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698"/>
      <c r="AE860" s="631" t="str">
        <f t="shared" si="629"/>
        <v/>
      </c>
      <c r="AF860" s="699" t="str">
        <f t="shared" si="630"/>
        <v/>
      </c>
      <c r="AG860" s="699"/>
      <c r="AH860" s="699"/>
      <c r="AI860" s="512">
        <f>IF(H860="credit",0,IF(AE860="free",0,IF(AE860="me",0,IF(G860&gt;0,(VLOOKUP(A860,'Discount Lookup'!J:K,2)*G860),0))))</f>
        <v>0</v>
      </c>
      <c r="AJ860" s="513" t="str">
        <f t="shared" ca="1" si="631"/>
        <v/>
      </c>
      <c r="AK860" s="700" t="str">
        <f t="shared" si="632"/>
        <v/>
      </c>
      <c r="AL860" s="700"/>
      <c r="AM860" s="505" t="str">
        <f t="shared" si="633"/>
        <v/>
      </c>
      <c r="AN860" s="506"/>
      <c r="AO860" s="507"/>
      <c r="AP860" s="507"/>
      <c r="AQ860" s="507"/>
      <c r="AR860" s="507"/>
      <c r="AS860" s="507"/>
      <c r="AT860" s="507"/>
      <c r="AU860" s="507"/>
      <c r="AV860" s="225"/>
      <c r="AW860" s="508"/>
      <c r="AX860" s="225"/>
      <c r="AY860" s="225"/>
      <c r="AZ860" s="225"/>
      <c r="BA860" s="225"/>
      <c r="BB860" s="225"/>
      <c r="BC860" s="56"/>
      <c r="BD860" s="56"/>
      <c r="BE860" s="56"/>
      <c r="BF860" s="107" t="str">
        <f t="shared" si="634"/>
        <v>https://www.google.com/search?tbm=isch&amp;q=3%20G6</v>
      </c>
      <c r="BG860" s="107" t="str">
        <f t="shared" si="635"/>
        <v>C</v>
      </c>
      <c r="BH860" s="254"/>
      <c r="BI860" s="254"/>
    </row>
    <row r="861" spans="1:61" customFormat="1" ht="15.75" x14ac:dyDescent="0.25">
      <c r="A861" s="485">
        <v>5</v>
      </c>
      <c r="B861" s="486" t="s">
        <v>291</v>
      </c>
      <c r="C861" s="487" t="s">
        <v>3253</v>
      </c>
      <c r="D861" s="488" t="s">
        <v>299</v>
      </c>
      <c r="E861" s="489">
        <v>40.950000000000003</v>
      </c>
      <c r="F861" s="516" t="s">
        <v>293</v>
      </c>
      <c r="G861" s="232">
        <v>0</v>
      </c>
      <c r="H861" s="658" t="str">
        <f t="shared" si="638"/>
        <v/>
      </c>
      <c r="I861" s="490">
        <f t="shared" si="639"/>
        <v>0</v>
      </c>
      <c r="J861" s="490">
        <f t="shared" si="640"/>
        <v>0</v>
      </c>
      <c r="K861" s="695">
        <f t="shared" ref="K861" si="648">I861+J861</f>
        <v>0</v>
      </c>
      <c r="L861" s="695"/>
      <c r="M861" s="659" t="str">
        <f t="shared" si="642"/>
        <v/>
      </c>
      <c r="N861" s="660"/>
      <c r="O861" s="233"/>
      <c r="P861" s="233"/>
      <c r="Q861" s="233"/>
      <c r="R861" s="233"/>
      <c r="S861" s="233"/>
      <c r="T861" s="508">
        <f t="shared" si="623"/>
        <v>0</v>
      </c>
      <c r="U861" s="225">
        <f>IF(NOT(ISNUMBER(G861)), "", VLOOKUP(A861,'Discount Lookup'!D:E,2,FALSE)*G861)</f>
        <v>0</v>
      </c>
      <c r="V861" s="225">
        <f>IF(NOT(ISNUMBER(G861)), "", VLOOKUP(A861,'Discount Lookup'!G:H,2,FALSE)*G861)</f>
        <v>0</v>
      </c>
      <c r="W861" s="508">
        <f t="shared" si="624"/>
        <v>0</v>
      </c>
      <c r="X861" s="508">
        <f t="shared" si="625"/>
        <v>0</v>
      </c>
      <c r="Y861" s="509" t="b">
        <f t="shared" si="626"/>
        <v>0</v>
      </c>
      <c r="Z861" s="510">
        <f t="shared" si="627"/>
        <v>0</v>
      </c>
      <c r="AA861" s="511"/>
      <c r="AB861" s="511" t="str">
        <f t="shared" si="628"/>
        <v/>
      </c>
      <c r="AC861" s="698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698"/>
      <c r="AE861" s="631" t="str">
        <f t="shared" si="629"/>
        <v/>
      </c>
      <c r="AF861" s="699" t="str">
        <f t="shared" si="630"/>
        <v/>
      </c>
      <c r="AG861" s="699"/>
      <c r="AH861" s="699"/>
      <c r="AI861" s="512">
        <f>IF(H861="credit",0,IF(AE861="free",0,IF(AE861="me",0,IF(G861&gt;0,(VLOOKUP(A861,'Discount Lookup'!J:K,2)*G861),0))))</f>
        <v>0</v>
      </c>
      <c r="AJ861" s="513" t="str">
        <f t="shared" ca="1" si="631"/>
        <v/>
      </c>
      <c r="AK861" s="700" t="str">
        <f t="shared" si="632"/>
        <v/>
      </c>
      <c r="AL861" s="700"/>
      <c r="AM861" s="505" t="str">
        <f t="shared" si="633"/>
        <v/>
      </c>
      <c r="AN861" s="506"/>
      <c r="AO861" s="507"/>
      <c r="AP861" s="507"/>
      <c r="AQ861" s="507"/>
      <c r="AR861" s="507"/>
      <c r="AS861" s="507"/>
      <c r="AT861" s="507"/>
      <c r="AU861" s="507"/>
      <c r="AV861" s="225"/>
      <c r="AW861" s="508"/>
      <c r="AX861" s="225"/>
      <c r="AY861" s="225"/>
      <c r="AZ861" s="225"/>
      <c r="BA861" s="225"/>
      <c r="BB861" s="225"/>
      <c r="BC861" s="56"/>
      <c r="BD861" s="56"/>
      <c r="BE861" s="56"/>
      <c r="BF861" s="107" t="str">
        <f t="shared" si="634"/>
        <v>https://www.google.com/search?tbm=isch&amp;q=5%20G5</v>
      </c>
      <c r="BG861" s="107" t="str">
        <f t="shared" si="635"/>
        <v>C</v>
      </c>
      <c r="BH861" s="254"/>
      <c r="BI861" s="254"/>
    </row>
    <row r="862" spans="1:61" customFormat="1" ht="15.75" x14ac:dyDescent="0.25">
      <c r="A862" s="485">
        <v>5</v>
      </c>
      <c r="B862" s="486" t="s">
        <v>291</v>
      </c>
      <c r="C862" s="487" t="s">
        <v>4704</v>
      </c>
      <c r="D862" s="488" t="s">
        <v>297</v>
      </c>
      <c r="E862" s="489">
        <v>41.95</v>
      </c>
      <c r="F862" s="516" t="s">
        <v>293</v>
      </c>
      <c r="G862" s="232">
        <v>0</v>
      </c>
      <c r="H862" s="658" t="str">
        <f t="shared" si="638"/>
        <v/>
      </c>
      <c r="I862" s="490">
        <f t="shared" si="639"/>
        <v>0</v>
      </c>
      <c r="J862" s="490">
        <f t="shared" si="640"/>
        <v>0</v>
      </c>
      <c r="K862" s="695">
        <f t="shared" ref="K862" si="649">I862+J862</f>
        <v>0</v>
      </c>
      <c r="L862" s="695"/>
      <c r="M862" s="659" t="str">
        <f t="shared" si="642"/>
        <v/>
      </c>
      <c r="N862" s="660"/>
      <c r="O862" s="233"/>
      <c r="P862" s="233"/>
      <c r="Q862" s="233"/>
      <c r="R862" s="233"/>
      <c r="S862" s="233"/>
      <c r="T862" s="508">
        <f t="shared" si="623"/>
        <v>0</v>
      </c>
      <c r="U862" s="225">
        <f>IF(NOT(ISNUMBER(G862)), "", VLOOKUP(A862,'Discount Lookup'!D:E,2,FALSE)*G862)</f>
        <v>0</v>
      </c>
      <c r="V862" s="225">
        <f>IF(NOT(ISNUMBER(G862)), "", VLOOKUP(A862,'Discount Lookup'!G:H,2,FALSE)*G862)</f>
        <v>0</v>
      </c>
      <c r="W862" s="508">
        <f t="shared" si="624"/>
        <v>0</v>
      </c>
      <c r="X862" s="508">
        <f t="shared" si="625"/>
        <v>0</v>
      </c>
      <c r="Y862" s="509" t="b">
        <f t="shared" si="626"/>
        <v>0</v>
      </c>
      <c r="Z862" s="510">
        <f t="shared" si="627"/>
        <v>0</v>
      </c>
      <c r="AA862" s="511"/>
      <c r="AB862" s="511" t="str">
        <f t="shared" si="628"/>
        <v/>
      </c>
      <c r="AC862" s="698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698"/>
      <c r="AE862" s="631" t="str">
        <f t="shared" si="629"/>
        <v/>
      </c>
      <c r="AF862" s="699" t="str">
        <f t="shared" si="630"/>
        <v/>
      </c>
      <c r="AG862" s="699"/>
      <c r="AH862" s="699"/>
      <c r="AI862" s="512">
        <f>IF(H862="credit",0,IF(AE862="free",0,IF(AE862="me",0,IF(G862&gt;0,(VLOOKUP(A862,'Discount Lookup'!J:K,2)*G862),0))))</f>
        <v>0</v>
      </c>
      <c r="AJ862" s="513" t="str">
        <f t="shared" ca="1" si="631"/>
        <v/>
      </c>
      <c r="AK862" s="700" t="str">
        <f t="shared" si="632"/>
        <v/>
      </c>
      <c r="AL862" s="700"/>
      <c r="AM862" s="505" t="str">
        <f t="shared" si="633"/>
        <v/>
      </c>
      <c r="AN862" s="506"/>
      <c r="AO862" s="507"/>
      <c r="AP862" s="507"/>
      <c r="AQ862" s="507"/>
      <c r="AR862" s="507"/>
      <c r="AS862" s="507"/>
      <c r="AT862" s="507"/>
      <c r="AU862" s="507"/>
      <c r="AV862" s="225"/>
      <c r="AW862" s="508"/>
      <c r="AX862" s="225"/>
      <c r="AY862" s="225"/>
      <c r="AZ862" s="225"/>
      <c r="BA862" s="225"/>
      <c r="BB862" s="225"/>
      <c r="BC862" s="56"/>
      <c r="BD862" s="56"/>
      <c r="BE862" s="56"/>
      <c r="BF862" s="107" t="str">
        <f t="shared" si="634"/>
        <v>https://www.google.com/search?tbm=isch&amp;q=5%20G3</v>
      </c>
      <c r="BG862" s="107" t="str">
        <f t="shared" si="635"/>
        <v>C</v>
      </c>
      <c r="BH862" s="254"/>
      <c r="BI862" s="254"/>
    </row>
    <row r="863" spans="1:61" customFormat="1" ht="15.75" x14ac:dyDescent="0.25">
      <c r="A863" s="485">
        <v>7</v>
      </c>
      <c r="B863" s="486" t="s">
        <v>291</v>
      </c>
      <c r="C863" s="487" t="s">
        <v>2732</v>
      </c>
      <c r="D863" s="488" t="s">
        <v>299</v>
      </c>
      <c r="E863" s="489">
        <v>56.95</v>
      </c>
      <c r="F863" s="516" t="s">
        <v>293</v>
      </c>
      <c r="G863" s="232">
        <v>0</v>
      </c>
      <c r="H863" s="658" t="str">
        <f t="shared" si="638"/>
        <v/>
      </c>
      <c r="I863" s="490">
        <f t="shared" si="639"/>
        <v>0</v>
      </c>
      <c r="J863" s="490">
        <f t="shared" si="640"/>
        <v>0</v>
      </c>
      <c r="K863" s="695">
        <f t="shared" ref="K863" si="650">I863+J863</f>
        <v>0</v>
      </c>
      <c r="L863" s="695"/>
      <c r="M863" s="659" t="str">
        <f t="shared" si="642"/>
        <v/>
      </c>
      <c r="N863" s="660"/>
      <c r="O863" s="233"/>
      <c r="P863" s="233"/>
      <c r="Q863" s="233"/>
      <c r="R863" s="233"/>
      <c r="S863" s="233"/>
      <c r="T863" s="508">
        <f t="shared" si="623"/>
        <v>0</v>
      </c>
      <c r="U863" s="225">
        <f>IF(NOT(ISNUMBER(G863)), "", VLOOKUP(A863,'Discount Lookup'!D:E,2,FALSE)*G863)</f>
        <v>0</v>
      </c>
      <c r="V863" s="225">
        <f>IF(NOT(ISNUMBER(G863)), "", VLOOKUP(A863,'Discount Lookup'!G:H,2,FALSE)*G863)</f>
        <v>0</v>
      </c>
      <c r="W863" s="508">
        <f t="shared" si="624"/>
        <v>0</v>
      </c>
      <c r="X863" s="508">
        <f t="shared" si="625"/>
        <v>0</v>
      </c>
      <c r="Y863" s="509" t="b">
        <f t="shared" si="626"/>
        <v>0</v>
      </c>
      <c r="Z863" s="510">
        <f t="shared" si="627"/>
        <v>0</v>
      </c>
      <c r="AA863" s="511"/>
      <c r="AB863" s="511" t="str">
        <f t="shared" si="628"/>
        <v/>
      </c>
      <c r="AC863" s="698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698"/>
      <c r="AE863" s="631" t="str">
        <f t="shared" si="629"/>
        <v/>
      </c>
      <c r="AF863" s="699" t="str">
        <f t="shared" si="630"/>
        <v/>
      </c>
      <c r="AG863" s="699"/>
      <c r="AH863" s="699"/>
      <c r="AI863" s="512">
        <f>IF(H863="credit",0,IF(AE863="free",0,IF(AE863="me",0,IF(G863&gt;0,(VLOOKUP(A863,'Discount Lookup'!J:K,2)*G863),0))))</f>
        <v>0</v>
      </c>
      <c r="AJ863" s="513" t="str">
        <f t="shared" ca="1" si="631"/>
        <v/>
      </c>
      <c r="AK863" s="700" t="str">
        <f t="shared" si="632"/>
        <v/>
      </c>
      <c r="AL863" s="700"/>
      <c r="AM863" s="505" t="str">
        <f t="shared" si="633"/>
        <v/>
      </c>
      <c r="AN863" s="506"/>
      <c r="AO863" s="507"/>
      <c r="AP863" s="507"/>
      <c r="AQ863" s="507"/>
      <c r="AR863" s="507"/>
      <c r="AS863" s="507"/>
      <c r="AT863" s="507"/>
      <c r="AU863" s="507"/>
      <c r="AV863" s="225"/>
      <c r="AW863" s="508"/>
      <c r="AX863" s="225"/>
      <c r="AY863" s="225"/>
      <c r="AZ863" s="225"/>
      <c r="BA863" s="225"/>
      <c r="BB863" s="225"/>
      <c r="BC863" s="56"/>
      <c r="BD863" s="56"/>
      <c r="BE863" s="56"/>
      <c r="BF863" s="107" t="str">
        <f t="shared" si="634"/>
        <v>https://www.google.com/search?tbm=isch&amp;q=7%20G5</v>
      </c>
      <c r="BG863" s="107" t="str">
        <f t="shared" si="635"/>
        <v>C</v>
      </c>
      <c r="BH863" s="254"/>
      <c r="BI863" s="254"/>
    </row>
    <row r="864" spans="1:61" customFormat="1" ht="27" x14ac:dyDescent="0.25">
      <c r="A864" s="485">
        <v>10</v>
      </c>
      <c r="B864" s="486" t="s">
        <v>291</v>
      </c>
      <c r="C864" s="487" t="s">
        <v>681</v>
      </c>
      <c r="D864" s="488" t="s">
        <v>297</v>
      </c>
      <c r="E864" s="489">
        <v>83.95</v>
      </c>
      <c r="F864" s="516" t="s">
        <v>293</v>
      </c>
      <c r="G864" s="232">
        <v>0</v>
      </c>
      <c r="H864" s="658" t="str">
        <f t="shared" si="638"/>
        <v/>
      </c>
      <c r="I864" s="490">
        <f t="shared" si="639"/>
        <v>0</v>
      </c>
      <c r="J864" s="490">
        <f t="shared" si="640"/>
        <v>0</v>
      </c>
      <c r="K864" s="695">
        <f t="shared" ref="K864" si="651">I864+J864</f>
        <v>0</v>
      </c>
      <c r="L864" s="695"/>
      <c r="M864" s="659" t="str">
        <f t="shared" si="642"/>
        <v/>
      </c>
      <c r="N864" s="660"/>
      <c r="O864" s="233"/>
      <c r="P864" s="233"/>
      <c r="Q864" s="233"/>
      <c r="R864" s="233"/>
      <c r="S864" s="233"/>
      <c r="T864" s="508">
        <f t="shared" si="623"/>
        <v>0</v>
      </c>
      <c r="U864" s="225">
        <f>IF(NOT(ISNUMBER(G864)), "", VLOOKUP(A864,'Discount Lookup'!D:E,2,FALSE)*G864)</f>
        <v>0</v>
      </c>
      <c r="V864" s="225">
        <f>IF(NOT(ISNUMBER(G864)), "", VLOOKUP(A864,'Discount Lookup'!G:H,2,FALSE)*G864)</f>
        <v>0</v>
      </c>
      <c r="W864" s="508">
        <f t="shared" si="624"/>
        <v>0</v>
      </c>
      <c r="X864" s="508">
        <f t="shared" si="625"/>
        <v>0</v>
      </c>
      <c r="Y864" s="509" t="b">
        <f t="shared" si="626"/>
        <v>0</v>
      </c>
      <c r="Z864" s="510">
        <f t="shared" si="627"/>
        <v>0</v>
      </c>
      <c r="AA864" s="511"/>
      <c r="AB864" s="511" t="str">
        <f t="shared" si="628"/>
        <v/>
      </c>
      <c r="AC864" s="698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698"/>
      <c r="AE864" s="631" t="str">
        <f t="shared" si="629"/>
        <v/>
      </c>
      <c r="AF864" s="699" t="str">
        <f t="shared" si="630"/>
        <v/>
      </c>
      <c r="AG864" s="699"/>
      <c r="AH864" s="699"/>
      <c r="AI864" s="512">
        <f>IF(H864="credit",0,IF(AE864="free",0,IF(AE864="me",0,IF(G864&gt;0,(VLOOKUP(A864,'Discount Lookup'!J:K,2)*G864),0))))</f>
        <v>0</v>
      </c>
      <c r="AJ864" s="513" t="str">
        <f t="shared" ca="1" si="631"/>
        <v/>
      </c>
      <c r="AK864" s="700" t="str">
        <f t="shared" si="632"/>
        <v/>
      </c>
      <c r="AL864" s="700"/>
      <c r="AM864" s="505" t="str">
        <f t="shared" si="633"/>
        <v/>
      </c>
      <c r="AN864" s="506"/>
      <c r="AO864" s="507"/>
      <c r="AP864" s="507"/>
      <c r="AQ864" s="507"/>
      <c r="AR864" s="507"/>
      <c r="AS864" s="507"/>
      <c r="AT864" s="507"/>
      <c r="AU864" s="507"/>
      <c r="AV864" s="225"/>
      <c r="AW864" s="508"/>
      <c r="AX864" s="225"/>
      <c r="AY864" s="225"/>
      <c r="AZ864" s="225"/>
      <c r="BA864" s="225"/>
      <c r="BB864" s="225"/>
      <c r="BC864" s="56"/>
      <c r="BD864" s="56"/>
      <c r="BE864" s="56"/>
      <c r="BF864" s="107" t="str">
        <f t="shared" si="634"/>
        <v>https://www.google.com/search?tbm=isch&amp;q=10%20G3</v>
      </c>
      <c r="BG864" s="107" t="str">
        <f t="shared" si="635"/>
        <v>C</v>
      </c>
      <c r="BH864" s="254"/>
      <c r="BI864" s="254"/>
    </row>
    <row r="865" spans="1:61" customFormat="1" ht="15.75" x14ac:dyDescent="0.25">
      <c r="A865" s="485">
        <v>10</v>
      </c>
      <c r="B865" s="486" t="s">
        <v>291</v>
      </c>
      <c r="C865" s="487"/>
      <c r="D865" s="488" t="s">
        <v>298</v>
      </c>
      <c r="E865" s="489">
        <v>91.95</v>
      </c>
      <c r="F865" s="516" t="s">
        <v>293</v>
      </c>
      <c r="G865" s="232">
        <v>0</v>
      </c>
      <c r="H865" s="658" t="str">
        <f t="shared" si="638"/>
        <v/>
      </c>
      <c r="I865" s="490">
        <f t="shared" si="639"/>
        <v>0</v>
      </c>
      <c r="J865" s="490">
        <f t="shared" si="640"/>
        <v>0</v>
      </c>
      <c r="K865" s="695">
        <f t="shared" ref="K865" si="652">I865+J865</f>
        <v>0</v>
      </c>
      <c r="L865" s="695"/>
      <c r="M865" s="659" t="str">
        <f t="shared" si="642"/>
        <v/>
      </c>
      <c r="N865" s="660"/>
      <c r="O865" s="233"/>
      <c r="P865" s="233"/>
      <c r="Q865" s="233"/>
      <c r="R865" s="233"/>
      <c r="S865" s="233"/>
      <c r="T865" s="508">
        <f t="shared" si="623"/>
        <v>0</v>
      </c>
      <c r="U865" s="225">
        <f>IF(NOT(ISNUMBER(G865)), "", VLOOKUP(A865,'Discount Lookup'!D:E,2,FALSE)*G865)</f>
        <v>0</v>
      </c>
      <c r="V865" s="225">
        <f>IF(NOT(ISNUMBER(G865)), "", VLOOKUP(A865,'Discount Lookup'!G:H,2,FALSE)*G865)</f>
        <v>0</v>
      </c>
      <c r="W865" s="508">
        <f t="shared" si="624"/>
        <v>0</v>
      </c>
      <c r="X865" s="508">
        <f t="shared" si="625"/>
        <v>0</v>
      </c>
      <c r="Y865" s="509" t="b">
        <f t="shared" si="626"/>
        <v>0</v>
      </c>
      <c r="Z865" s="510">
        <f t="shared" si="627"/>
        <v>0</v>
      </c>
      <c r="AA865" s="511"/>
      <c r="AB865" s="511" t="str">
        <f t="shared" si="628"/>
        <v/>
      </c>
      <c r="AC865" s="698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698"/>
      <c r="AE865" s="631" t="str">
        <f t="shared" si="629"/>
        <v/>
      </c>
      <c r="AF865" s="699" t="str">
        <f t="shared" si="630"/>
        <v/>
      </c>
      <c r="AG865" s="699"/>
      <c r="AH865" s="699"/>
      <c r="AI865" s="512">
        <f>IF(H865="credit",0,IF(AE865="free",0,IF(AE865="me",0,IF(G865&gt;0,(VLOOKUP(A865,'Discount Lookup'!J:K,2)*G865),0))))</f>
        <v>0</v>
      </c>
      <c r="AJ865" s="513" t="str">
        <f t="shared" ca="1" si="631"/>
        <v/>
      </c>
      <c r="AK865" s="700" t="str">
        <f t="shared" si="632"/>
        <v/>
      </c>
      <c r="AL865" s="700"/>
      <c r="AM865" s="505" t="str">
        <f t="shared" si="633"/>
        <v/>
      </c>
      <c r="AN865" s="506"/>
      <c r="AO865" s="507"/>
      <c r="AP865" s="507"/>
      <c r="AQ865" s="507"/>
      <c r="AR865" s="507"/>
      <c r="AS865" s="507"/>
      <c r="AT865" s="507"/>
      <c r="AU865" s="507"/>
      <c r="AV865" s="225"/>
      <c r="AW865" s="508"/>
      <c r="AX865" s="225"/>
      <c r="AY865" s="225"/>
      <c r="AZ865" s="225"/>
      <c r="BA865" s="225"/>
      <c r="BB865" s="225"/>
      <c r="BC865" s="56"/>
      <c r="BD865" s="56"/>
      <c r="BE865" s="56"/>
      <c r="BF865" s="107" t="str">
        <f t="shared" si="634"/>
        <v>https://www.google.com/search?tbm=isch&amp;q=10%20G1</v>
      </c>
      <c r="BG865" s="107" t="str">
        <f t="shared" si="635"/>
        <v>C</v>
      </c>
      <c r="BH865" s="254"/>
      <c r="BI865" s="254"/>
    </row>
    <row r="866" spans="1:61" customFormat="1" ht="16.5" thickBot="1" x14ac:dyDescent="0.3">
      <c r="A866" s="522" t="s">
        <v>2538</v>
      </c>
      <c r="B866" s="491"/>
      <c r="C866" s="675"/>
      <c r="D866" s="491"/>
      <c r="E866" s="491"/>
      <c r="F866" s="492"/>
      <c r="G866" s="493"/>
      <c r="H866" s="491"/>
      <c r="I866" s="234"/>
      <c r="J866" s="234"/>
      <c r="K866" s="494"/>
      <c r="L866" s="543"/>
      <c r="M866" s="561"/>
      <c r="N866" s="495"/>
      <c r="O866" s="496"/>
      <c r="P866" s="497"/>
      <c r="Q866" s="495"/>
      <c r="R866" s="495"/>
      <c r="S866" s="667" t="s">
        <v>4968</v>
      </c>
      <c r="T866" s="508">
        <f t="shared" si="623"/>
        <v>0</v>
      </c>
      <c r="U866" s="225" t="str">
        <f>IF(NOT(ISNUMBER(G866)), "", VLOOKUP(A866,'Discount Lookup'!D:E,2,FALSE)*G866)</f>
        <v/>
      </c>
      <c r="V866" s="225" t="str">
        <f>IF(NOT(ISNUMBER(G866)), "", VLOOKUP(A866,'Discount Lookup'!G:H,2,FALSE)*G866)</f>
        <v/>
      </c>
      <c r="W866" s="508">
        <f t="shared" si="624"/>
        <v>0</v>
      </c>
      <c r="X866" s="508">
        <f t="shared" si="625"/>
        <v>0</v>
      </c>
      <c r="Y866" s="509" t="b">
        <f t="shared" si="626"/>
        <v>0</v>
      </c>
      <c r="Z866" s="510">
        <f t="shared" si="627"/>
        <v>0</v>
      </c>
      <c r="AA866" s="511"/>
      <c r="AB866" s="511" t="str">
        <f t="shared" si="628"/>
        <v/>
      </c>
      <c r="AC866" s="698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698"/>
      <c r="AE866" s="631" t="str">
        <f t="shared" si="629"/>
        <v/>
      </c>
      <c r="AF866" s="699" t="str">
        <f t="shared" si="630"/>
        <v/>
      </c>
      <c r="AG866" s="699"/>
      <c r="AH866" s="699"/>
      <c r="AI866" s="512">
        <f>IF(H866="credit",0,IF(AE866="free",0,IF(AE866="me",0,IF(G866&gt;0,(VLOOKUP(A866,'Discount Lookup'!J:K,2)*G866),0))))</f>
        <v>0</v>
      </c>
      <c r="AJ866" s="513" t="str">
        <f t="shared" ca="1" si="631"/>
        <v/>
      </c>
      <c r="AK866" s="700" t="str">
        <f t="shared" si="632"/>
        <v/>
      </c>
      <c r="AL866" s="700"/>
      <c r="AM866" s="505" t="str">
        <f t="shared" si="633"/>
        <v/>
      </c>
      <c r="AN866" s="506"/>
      <c r="AO866" s="507"/>
      <c r="AP866" s="507"/>
      <c r="AQ866" s="507"/>
      <c r="AR866" s="507"/>
      <c r="AS866" s="507"/>
      <c r="AT866" s="507"/>
      <c r="AU866" s="507"/>
      <c r="AV866" s="225"/>
      <c r="AW866" s="508"/>
      <c r="AX866" s="225"/>
      <c r="AY866" s="225"/>
      <c r="AZ866" s="225"/>
      <c r="BA866" s="225"/>
      <c r="BB866" s="225"/>
      <c r="BC866" s="56"/>
      <c r="BD866" s="56"/>
      <c r="BE866" s="56"/>
      <c r="BF866" s="107" t="str">
        <f t="shared" si="634"/>
        <v>https://www.google.com/search?tbm=isch&amp;q=Compacta%20is%20optimal%20in%20full%20sun%2C%20as%20a%20hedge%20or%20foundation%20plant.%20Good%20substitute%20for%20Boxwood%20</v>
      </c>
      <c r="BG866" s="107" t="str">
        <f t="shared" si="635"/>
        <v>C</v>
      </c>
      <c r="BH866" s="254"/>
      <c r="BI866" s="254"/>
    </row>
    <row r="867" spans="1:61" customFormat="1" ht="18" x14ac:dyDescent="0.25">
      <c r="A867" s="521" t="s">
        <v>682</v>
      </c>
      <c r="B867" s="477"/>
      <c r="C867" s="674"/>
      <c r="D867" s="478" t="s">
        <v>683</v>
      </c>
      <c r="E867" s="479"/>
      <c r="F867" s="479"/>
      <c r="G867" s="479"/>
      <c r="H867" s="582" t="s">
        <v>463</v>
      </c>
      <c r="I867" s="480" t="s">
        <v>2093</v>
      </c>
      <c r="J867" s="479"/>
      <c r="K867" s="479"/>
      <c r="L867" s="560"/>
      <c r="M867" s="666" t="s">
        <v>4966</v>
      </c>
      <c r="N867" s="680" t="str">
        <f>IF(AND(ISTEXT($A867), ISERROR($A867+0)), HYPERLINK($BF867, "Images"), "")</f>
        <v>Images</v>
      </c>
      <c r="O867" s="662" t="s">
        <v>4967</v>
      </c>
      <c r="P867" s="482"/>
      <c r="Q867" s="483"/>
      <c r="R867" s="483"/>
      <c r="S867" s="484"/>
      <c r="T867" s="508">
        <f t="shared" si="623"/>
        <v>0</v>
      </c>
      <c r="U867" s="225" t="str">
        <f>IF(NOT(ISNUMBER(G867)), "", VLOOKUP(A867,'Discount Lookup'!D:E,2,FALSE)*G867)</f>
        <v/>
      </c>
      <c r="V867" s="225" t="str">
        <f>IF(NOT(ISNUMBER(G867)), "", VLOOKUP(A867,'Discount Lookup'!G:H,2,FALSE)*G867)</f>
        <v/>
      </c>
      <c r="W867" s="508">
        <f t="shared" si="624"/>
        <v>0</v>
      </c>
      <c r="X867" s="508" t="str">
        <f t="shared" si="625"/>
        <v>Dark Green foliage</v>
      </c>
      <c r="Y867" s="509" t="b">
        <f t="shared" si="626"/>
        <v>0</v>
      </c>
      <c r="Z867" s="510">
        <f t="shared" si="627"/>
        <v>0</v>
      </c>
      <c r="AA867" s="511"/>
      <c r="AB867" s="511" t="str">
        <f t="shared" si="628"/>
        <v/>
      </c>
      <c r="AC867" s="698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698"/>
      <c r="AE867" s="631" t="str">
        <f t="shared" si="629"/>
        <v/>
      </c>
      <c r="AF867" s="699" t="str">
        <f t="shared" si="630"/>
        <v/>
      </c>
      <c r="AG867" s="699"/>
      <c r="AH867" s="699"/>
      <c r="AI867" s="512">
        <f>IF(H867="credit",0,IF(AE867="free",0,IF(AE867="me",0,IF(G867&gt;0,(VLOOKUP(A867,'Discount Lookup'!J:K,2)*G867),0))))</f>
        <v>0</v>
      </c>
      <c r="AJ867" s="513" t="str">
        <f t="shared" ca="1" si="631"/>
        <v/>
      </c>
      <c r="AK867" s="700" t="str">
        <f t="shared" si="632"/>
        <v/>
      </c>
      <c r="AL867" s="700"/>
      <c r="AM867" s="505" t="str">
        <f t="shared" si="633"/>
        <v/>
      </c>
      <c r="AN867" s="506"/>
      <c r="AO867" s="507"/>
      <c r="AP867" s="507"/>
      <c r="AQ867" s="507"/>
      <c r="AR867" s="507"/>
      <c r="AS867" s="507"/>
      <c r="AT867" s="507"/>
      <c r="AU867" s="507"/>
      <c r="AV867" s="225"/>
      <c r="AW867" s="508"/>
      <c r="AX867" s="225"/>
      <c r="AY867" s="225"/>
      <c r="AZ867" s="225"/>
      <c r="BA867" s="225"/>
      <c r="BB867" s="225"/>
      <c r="BC867" s="56"/>
      <c r="BD867" s="56"/>
      <c r="BE867" s="56"/>
      <c r="BF867" s="107" t="str">
        <f t="shared" si="634"/>
        <v>https://www.google.com/search?tbm=isch&amp;q=Compacta%20Superba%20Cypress%20Chamaecyparis%20obtusa%20%27Compacta%20Superba%27</v>
      </c>
      <c r="BG867" s="107" t="str">
        <f t="shared" si="635"/>
        <v>C</v>
      </c>
      <c r="BH867" s="254"/>
      <c r="BI867" s="254"/>
    </row>
    <row r="868" spans="1:61" customFormat="1" ht="27" x14ac:dyDescent="0.25">
      <c r="A868" s="485">
        <v>7</v>
      </c>
      <c r="B868" s="486" t="s">
        <v>291</v>
      </c>
      <c r="C868" s="487" t="s">
        <v>3396</v>
      </c>
      <c r="D868" s="488" t="s">
        <v>292</v>
      </c>
      <c r="E868" s="489">
        <v>111.95</v>
      </c>
      <c r="F868" s="516" t="s">
        <v>293</v>
      </c>
      <c r="G868" s="232">
        <v>0</v>
      </c>
      <c r="H868" s="658" t="str">
        <f>IF(G868=0,"",IF(F868="Buy",IF(G868=1,"plant","plants"),IF(F868&gt;0.01,"warranty","Error")))</f>
        <v/>
      </c>
      <c r="I868" s="490">
        <f>IF(H868="free",0,IF(H868="credit",((E868*(F868))*G868*-1),IF(F868="Buy",(E868*G868),((E868*(1-F868))*G868))))</f>
        <v>0</v>
      </c>
      <c r="J868" s="490">
        <f>IF(H868="warranty",0,(I868*(_xlfn.SINGLE(SalesTaxPercentage))))</f>
        <v>0</v>
      </c>
      <c r="K868" s="695">
        <f t="shared" ref="K868" si="653">I868+J868</f>
        <v>0</v>
      </c>
      <c r="L868" s="695"/>
      <c r="M868" s="659" t="str">
        <f>IF(AND(G868&gt;0,E868=0),"WARNING - no PRICE inserted",IF(H868="free"," FREE ~ no charge this plant",IF(H868="credit",CONCATENATE(" -$",ROUND(K868*(1-T2GDiscount)*-1,2)," CREDIT after discount"),IF(T2GDiscount=0,"",IF(G868=0,"",IF(F868="Buy",CONCATENATE(" $",ROUND(K868*(1-T2GDiscount),2)," with ",(T2GDiscount*100),"% discount"),CONCATENATE(" $",ROUND(K868*(1-T2GDiscount),2)," with ",((T2GDiscount*100+F868*100)-(T2GDiscount*100*F868)),IF(F868&gt;0,"% discounts",IF(NoWarrantyDiscount&gt;0,"% discounts","% discount")))))))))</f>
        <v/>
      </c>
      <c r="N868" s="660"/>
      <c r="O868" s="233"/>
      <c r="P868" s="233"/>
      <c r="Q868" s="233"/>
      <c r="R868" s="233"/>
      <c r="S868" s="233"/>
      <c r="T868" s="508">
        <f t="shared" si="623"/>
        <v>0</v>
      </c>
      <c r="U868" s="225">
        <f>IF(NOT(ISNUMBER(G868)), "", VLOOKUP(A868,'Discount Lookup'!D:E,2,FALSE)*G868)</f>
        <v>0</v>
      </c>
      <c r="V868" s="225">
        <f>IF(NOT(ISNUMBER(G868)), "", VLOOKUP(A868,'Discount Lookup'!G:H,2,FALSE)*G868)</f>
        <v>0</v>
      </c>
      <c r="W868" s="508">
        <f t="shared" si="624"/>
        <v>0</v>
      </c>
      <c r="X868" s="508">
        <f t="shared" si="625"/>
        <v>0</v>
      </c>
      <c r="Y868" s="509" t="b">
        <f t="shared" si="626"/>
        <v>0</v>
      </c>
      <c r="Z868" s="510">
        <f t="shared" si="627"/>
        <v>0</v>
      </c>
      <c r="AA868" s="511"/>
      <c r="AB868" s="511" t="str">
        <f t="shared" si="628"/>
        <v/>
      </c>
      <c r="AC868" s="698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698"/>
      <c r="AE868" s="631" t="str">
        <f t="shared" si="629"/>
        <v/>
      </c>
      <c r="AF868" s="699" t="str">
        <f t="shared" si="630"/>
        <v/>
      </c>
      <c r="AG868" s="699"/>
      <c r="AH868" s="699"/>
      <c r="AI868" s="512">
        <f>IF(H868="credit",0,IF(AE868="free",0,IF(AE868="me",0,IF(G868&gt;0,(VLOOKUP(A868,'Discount Lookup'!J:K,2)*G868),0))))</f>
        <v>0</v>
      </c>
      <c r="AJ868" s="513" t="str">
        <f t="shared" ca="1" si="631"/>
        <v/>
      </c>
      <c r="AK868" s="700" t="str">
        <f t="shared" si="632"/>
        <v/>
      </c>
      <c r="AL868" s="700"/>
      <c r="AM868" s="505" t="str">
        <f t="shared" si="633"/>
        <v/>
      </c>
      <c r="AN868" s="506"/>
      <c r="AO868" s="507"/>
      <c r="AP868" s="507"/>
      <c r="AQ868" s="507"/>
      <c r="AR868" s="507"/>
      <c r="AS868" s="507"/>
      <c r="AT868" s="507"/>
      <c r="AU868" s="507"/>
      <c r="AV868" s="225"/>
      <c r="AW868" s="508"/>
      <c r="AX868" s="225"/>
      <c r="AY868" s="225"/>
      <c r="AZ868" s="225"/>
      <c r="BA868" s="225"/>
      <c r="BB868" s="225"/>
      <c r="BC868" s="56"/>
      <c r="BD868" s="56"/>
      <c r="BE868" s="56"/>
      <c r="BF868" s="107" t="str">
        <f t="shared" si="634"/>
        <v>https://www.google.com/search?tbm=isch&amp;q=7%20G4</v>
      </c>
      <c r="BG868" s="107" t="str">
        <f t="shared" si="635"/>
        <v>C</v>
      </c>
      <c r="BH868" s="254"/>
      <c r="BI868" s="254"/>
    </row>
    <row r="869" spans="1:61" customFormat="1" ht="17.25" thickBot="1" x14ac:dyDescent="0.3">
      <c r="A869" s="522" t="s">
        <v>2872</v>
      </c>
      <c r="B869" s="491"/>
      <c r="C869" s="675"/>
      <c r="D869" s="491"/>
      <c r="E869" s="491"/>
      <c r="F869" s="492"/>
      <c r="G869" s="493"/>
      <c r="H869" s="491"/>
      <c r="I869" s="234"/>
      <c r="J869" s="234"/>
      <c r="K869" s="494"/>
      <c r="L869" s="543"/>
      <c r="M869" s="561"/>
      <c r="N869" s="495"/>
      <c r="O869" s="496"/>
      <c r="P869" s="497"/>
      <c r="Q869" s="495"/>
      <c r="R869" s="495"/>
      <c r="S869" s="667" t="s">
        <v>4984</v>
      </c>
      <c r="T869" s="508">
        <f t="shared" si="623"/>
        <v>0</v>
      </c>
      <c r="U869" s="225" t="str">
        <f>IF(NOT(ISNUMBER(G869)), "", VLOOKUP(A869,'Discount Lookup'!D:E,2,FALSE)*G869)</f>
        <v/>
      </c>
      <c r="V869" s="225" t="str">
        <f>IF(NOT(ISNUMBER(G869)), "", VLOOKUP(A869,'Discount Lookup'!G:H,2,FALSE)*G869)</f>
        <v/>
      </c>
      <c r="W869" s="508">
        <f t="shared" si="624"/>
        <v>0</v>
      </c>
      <c r="X869" s="508">
        <f t="shared" si="625"/>
        <v>0</v>
      </c>
      <c r="Y869" s="509" t="b">
        <f t="shared" si="626"/>
        <v>0</v>
      </c>
      <c r="Z869" s="510">
        <f t="shared" si="627"/>
        <v>0</v>
      </c>
      <c r="AA869" s="511"/>
      <c r="AB869" s="511" t="str">
        <f t="shared" si="628"/>
        <v/>
      </c>
      <c r="AC869" s="698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698"/>
      <c r="AE869" s="631" t="str">
        <f t="shared" si="629"/>
        <v/>
      </c>
      <c r="AF869" s="699" t="str">
        <f t="shared" si="630"/>
        <v/>
      </c>
      <c r="AG869" s="699"/>
      <c r="AH869" s="699"/>
      <c r="AI869" s="512">
        <f>IF(H869="credit",0,IF(AE869="free",0,IF(AE869="me",0,IF(G869&gt;0,(VLOOKUP(A869,'Discount Lookup'!J:K,2)*G869),0))))</f>
        <v>0</v>
      </c>
      <c r="AJ869" s="513" t="str">
        <f t="shared" ca="1" si="631"/>
        <v/>
      </c>
      <c r="AK869" s="700" t="str">
        <f t="shared" si="632"/>
        <v/>
      </c>
      <c r="AL869" s="700"/>
      <c r="AM869" s="505" t="str">
        <f t="shared" si="633"/>
        <v/>
      </c>
      <c r="AN869" s="506"/>
      <c r="AO869" s="507"/>
      <c r="AP869" s="507"/>
      <c r="AQ869" s="507"/>
      <c r="AR869" s="507"/>
      <c r="AS869" s="507"/>
      <c r="AT869" s="507"/>
      <c r="AU869" s="507"/>
      <c r="AV869" s="225"/>
      <c r="AW869" s="508"/>
      <c r="AX869" s="225"/>
      <c r="AY869" s="225"/>
      <c r="AZ869" s="225"/>
      <c r="BA869" s="225"/>
      <c r="BB869" s="225"/>
      <c r="BC869" s="56"/>
      <c r="BD869" s="56"/>
      <c r="BE869" s="56"/>
      <c r="BF869" s="107" t="str">
        <f t="shared" si="634"/>
        <v>https://www.google.com/search?tbm=isch&amp;q=Compacta%20Superba%20has%20rich%2C%20layered%20foliage%20with%20a%20refined%20pyramidal%20form%2C%20offering%20structure%20and%20subtle%20bluish%20tones%20</v>
      </c>
      <c r="BG869" s="107" t="str">
        <f t="shared" si="635"/>
        <v>C</v>
      </c>
      <c r="BH869" s="254"/>
      <c r="BI869" s="254"/>
    </row>
    <row r="870" spans="1:61" customFormat="1" ht="18" x14ac:dyDescent="0.25">
      <c r="A870" s="521" t="s">
        <v>684</v>
      </c>
      <c r="B870" s="477"/>
      <c r="C870" s="674"/>
      <c r="D870" s="478" t="s">
        <v>685</v>
      </c>
      <c r="E870" s="479"/>
      <c r="F870" s="479"/>
      <c r="G870" s="479"/>
      <c r="H870" s="582" t="s">
        <v>3937</v>
      </c>
      <c r="I870" s="480" t="s">
        <v>2093</v>
      </c>
      <c r="J870" s="479"/>
      <c r="K870" s="479"/>
      <c r="L870" s="560"/>
      <c r="M870" s="666" t="s">
        <v>4965</v>
      </c>
      <c r="N870" s="680" t="str">
        <f>IF(AND(ISTEXT($A870), ISERROR($A870+0)), HYPERLINK($BF870, "Images"), "")</f>
        <v>Images</v>
      </c>
      <c r="O870" s="662" t="s">
        <v>4967</v>
      </c>
      <c r="P870" s="482"/>
      <c r="Q870" s="483"/>
      <c r="R870" s="483"/>
      <c r="S870" s="484"/>
      <c r="T870" s="508">
        <f t="shared" si="623"/>
        <v>0</v>
      </c>
      <c r="U870" s="225" t="str">
        <f>IF(NOT(ISNUMBER(G870)), "", VLOOKUP(A870,'Discount Lookup'!D:E,2,FALSE)*G870)</f>
        <v/>
      </c>
      <c r="V870" s="225" t="str">
        <f>IF(NOT(ISNUMBER(G870)), "", VLOOKUP(A870,'Discount Lookup'!G:H,2,FALSE)*G870)</f>
        <v/>
      </c>
      <c r="W870" s="508">
        <f t="shared" si="624"/>
        <v>0</v>
      </c>
      <c r="X870" s="508" t="str">
        <f t="shared" si="625"/>
        <v>Dark Green foliage</v>
      </c>
      <c r="Y870" s="509" t="b">
        <f t="shared" si="626"/>
        <v>0</v>
      </c>
      <c r="Z870" s="510">
        <f t="shared" si="627"/>
        <v>0</v>
      </c>
      <c r="AA870" s="511"/>
      <c r="AB870" s="511" t="str">
        <f t="shared" si="628"/>
        <v/>
      </c>
      <c r="AC870" s="698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698"/>
      <c r="AE870" s="631" t="str">
        <f t="shared" si="629"/>
        <v/>
      </c>
      <c r="AF870" s="699" t="str">
        <f t="shared" si="630"/>
        <v/>
      </c>
      <c r="AG870" s="699"/>
      <c r="AH870" s="699"/>
      <c r="AI870" s="512">
        <f>IF(H870="credit",0,IF(AE870="free",0,IF(AE870="me",0,IF(G870&gt;0,(VLOOKUP(A870,'Discount Lookup'!J:K,2)*G870),0))))</f>
        <v>0</v>
      </c>
      <c r="AJ870" s="513" t="str">
        <f t="shared" ca="1" si="631"/>
        <v/>
      </c>
      <c r="AK870" s="700" t="str">
        <f t="shared" si="632"/>
        <v/>
      </c>
      <c r="AL870" s="700"/>
      <c r="AM870" s="505" t="str">
        <f t="shared" si="633"/>
        <v/>
      </c>
      <c r="AN870" s="506"/>
      <c r="AO870" s="507"/>
      <c r="AP870" s="507"/>
      <c r="AQ870" s="507"/>
      <c r="AR870" s="507"/>
      <c r="AS870" s="507"/>
      <c r="AT870" s="507"/>
      <c r="AU870" s="507"/>
      <c r="AV870" s="225"/>
      <c r="AW870" s="508"/>
      <c r="AX870" s="225"/>
      <c r="AY870" s="225"/>
      <c r="AZ870" s="225"/>
      <c r="BA870" s="225"/>
      <c r="BB870" s="225"/>
      <c r="BC870" s="56"/>
      <c r="BD870" s="56"/>
      <c r="BE870" s="56"/>
      <c r="BF870" s="107" t="str">
        <f t="shared" si="634"/>
        <v>https://www.google.com/search?tbm=isch&amp;q=Confederate%20Jasmine%20Vine%20Trachelospermum%20jasminoides</v>
      </c>
      <c r="BG870" s="107" t="str">
        <f t="shared" si="635"/>
        <v>C</v>
      </c>
      <c r="BH870" s="254"/>
      <c r="BI870" s="254"/>
    </row>
    <row r="871" spans="1:61" customFormat="1" ht="15.75" x14ac:dyDescent="0.25">
      <c r="A871" s="485">
        <v>3</v>
      </c>
      <c r="B871" s="486" t="s">
        <v>291</v>
      </c>
      <c r="C871" s="487"/>
      <c r="D871" s="488" t="s">
        <v>298</v>
      </c>
      <c r="E871" s="489">
        <v>30.95</v>
      </c>
      <c r="F871" s="516" t="s">
        <v>293</v>
      </c>
      <c r="G871" s="232">
        <v>0</v>
      </c>
      <c r="H871" s="658" t="str">
        <f>IF(G871=0,"",IF(F871="Buy",IF(G871=1,"plant","plants"),IF(F871&gt;0.01,"warranty","Error")))</f>
        <v/>
      </c>
      <c r="I871" s="490">
        <f>IF(H871="free",0,IF(H871="credit",((E871*(F871))*G871*-1),IF(F871="Buy",(E871*G871),((E871*(1-F871))*G871))))</f>
        <v>0</v>
      </c>
      <c r="J871" s="490">
        <f>IF(H871="warranty",0,(I871*(_xlfn.SINGLE(SalesTaxPercentage))))</f>
        <v>0</v>
      </c>
      <c r="K871" s="695">
        <f t="shared" ref="K871" si="654">I871+J871</f>
        <v>0</v>
      </c>
      <c r="L871" s="695"/>
      <c r="M871" s="659" t="str">
        <f>IF(AND(G871&gt;0,E871=0),"WARNING - no PRICE inserted",IF(H871="free"," FREE ~ no charge this plant",IF(H871="credit",CONCATENATE(" -$",ROUND(K871*(1-T2GDiscount)*-1,2)," CREDIT after discount"),IF(T2GDiscount=0,"",IF(G871=0,"",IF(F871="Buy",CONCATENATE(" $",ROUND(K871*(1-T2GDiscount),2)," with ",(T2GDiscount*100),"% discount"),CONCATENATE(" $",ROUND(K871*(1-T2GDiscount),2)," with ",((T2GDiscount*100+F871*100)-(T2GDiscount*100*F871)),IF(F871&gt;0,"% discounts",IF(NoWarrantyDiscount&gt;0,"% discounts","% discount")))))))))</f>
        <v/>
      </c>
      <c r="N871" s="660"/>
      <c r="O871" s="233"/>
      <c r="P871" s="233"/>
      <c r="Q871" s="233"/>
      <c r="R871" s="233"/>
      <c r="S871" s="233"/>
      <c r="T871" s="508">
        <f t="shared" si="623"/>
        <v>0</v>
      </c>
      <c r="U871" s="225">
        <f>IF(NOT(ISNUMBER(G871)), "", VLOOKUP(A871,'Discount Lookup'!D:E,2,FALSE)*G871)</f>
        <v>0</v>
      </c>
      <c r="V871" s="225">
        <f>IF(NOT(ISNUMBER(G871)), "", VLOOKUP(A871,'Discount Lookup'!G:H,2,FALSE)*G871)</f>
        <v>0</v>
      </c>
      <c r="W871" s="508">
        <f t="shared" si="624"/>
        <v>0</v>
      </c>
      <c r="X871" s="508">
        <f t="shared" si="625"/>
        <v>0</v>
      </c>
      <c r="Y871" s="509" t="b">
        <f t="shared" si="626"/>
        <v>0</v>
      </c>
      <c r="Z871" s="510">
        <f t="shared" si="627"/>
        <v>0</v>
      </c>
      <c r="AA871" s="511"/>
      <c r="AB871" s="511" t="str">
        <f t="shared" si="628"/>
        <v/>
      </c>
      <c r="AC871" s="698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698"/>
      <c r="AE871" s="631" t="str">
        <f t="shared" si="629"/>
        <v/>
      </c>
      <c r="AF871" s="699" t="str">
        <f t="shared" si="630"/>
        <v/>
      </c>
      <c r="AG871" s="699"/>
      <c r="AH871" s="699"/>
      <c r="AI871" s="512">
        <f>IF(H871="credit",0,IF(AE871="free",0,IF(AE871="me",0,IF(G871&gt;0,(VLOOKUP(A871,'Discount Lookup'!J:K,2)*G871),0))))</f>
        <v>0</v>
      </c>
      <c r="AJ871" s="513" t="str">
        <f t="shared" ca="1" si="631"/>
        <v/>
      </c>
      <c r="AK871" s="700" t="str">
        <f t="shared" si="632"/>
        <v/>
      </c>
      <c r="AL871" s="700"/>
      <c r="AM871" s="505" t="str">
        <f t="shared" si="633"/>
        <v/>
      </c>
      <c r="AN871" s="506"/>
      <c r="AO871" s="507"/>
      <c r="AP871" s="507"/>
      <c r="AQ871" s="507"/>
      <c r="AR871" s="507"/>
      <c r="AS871" s="507"/>
      <c r="AT871" s="507"/>
      <c r="AU871" s="507"/>
      <c r="AV871" s="225"/>
      <c r="AW871" s="508"/>
      <c r="AX871" s="225"/>
      <c r="AY871" s="225"/>
      <c r="AZ871" s="225"/>
      <c r="BA871" s="225"/>
      <c r="BB871" s="225"/>
      <c r="BC871" s="56"/>
      <c r="BD871" s="56"/>
      <c r="BE871" s="56"/>
      <c r="BF871" s="107" t="str">
        <f t="shared" si="634"/>
        <v>https://www.google.com/search?tbm=isch&amp;q=3%20G1</v>
      </c>
      <c r="BG871" s="107" t="str">
        <f t="shared" si="635"/>
        <v>C</v>
      </c>
      <c r="BH871" s="254"/>
      <c r="BI871" s="254"/>
    </row>
    <row r="872" spans="1:61" customFormat="1" ht="15.75" x14ac:dyDescent="0.25">
      <c r="A872" s="485">
        <v>3</v>
      </c>
      <c r="B872" s="486" t="s">
        <v>291</v>
      </c>
      <c r="C872" s="487"/>
      <c r="D872" s="488" t="s">
        <v>312</v>
      </c>
      <c r="E872" s="489">
        <v>31.95</v>
      </c>
      <c r="F872" s="516" t="s">
        <v>293</v>
      </c>
      <c r="G872" s="232">
        <v>0</v>
      </c>
      <c r="H872" s="658" t="str">
        <f>IF(G872=0,"",IF(F872="Buy",IF(G872=1,"plant","plants"),IF(F872&gt;0.01,"warranty","Error")))</f>
        <v/>
      </c>
      <c r="I872" s="490">
        <f>IF(H872="free",0,IF(H872="credit",((E872*(F872))*G872*-1),IF(F872="Buy",(E872*G872),((E872*(1-F872))*G872))))</f>
        <v>0</v>
      </c>
      <c r="J872" s="490">
        <f>IF(H872="warranty",0,(I872*(_xlfn.SINGLE(SalesTaxPercentage))))</f>
        <v>0</v>
      </c>
      <c r="K872" s="695">
        <f t="shared" ref="K872" si="655">I872+J872</f>
        <v>0</v>
      </c>
      <c r="L872" s="695"/>
      <c r="M872" s="659" t="str">
        <f>IF(AND(G872&gt;0,E872=0),"WARNING - no PRICE inserted",IF(H872="free"," FREE ~ no charge this plant",IF(H872="credit",CONCATENATE(" -$",ROUND(K872*(1-T2GDiscount)*-1,2)," CREDIT after discount"),IF(T2GDiscount=0,"",IF(G872=0,"",IF(F872="Buy",CONCATENATE(" $",ROUND(K872*(1-T2GDiscount),2)," with ",(T2GDiscount*100),"% discount"),CONCATENATE(" $",ROUND(K872*(1-T2GDiscount),2)," with ",((T2GDiscount*100+F872*100)-(T2GDiscount*100*F872)),IF(F872&gt;0,"% discounts",IF(NoWarrantyDiscount&gt;0,"% discounts","% discount")))))))))</f>
        <v/>
      </c>
      <c r="N872" s="660"/>
      <c r="O872" s="233"/>
      <c r="P872" s="233"/>
      <c r="Q872" s="233"/>
      <c r="R872" s="233"/>
      <c r="S872" s="233"/>
      <c r="T872" s="508">
        <f t="shared" si="623"/>
        <v>0</v>
      </c>
      <c r="U872" s="225">
        <f>IF(NOT(ISNUMBER(G872)), "", VLOOKUP(A872,'Discount Lookup'!D:E,2,FALSE)*G872)</f>
        <v>0</v>
      </c>
      <c r="V872" s="225">
        <f>IF(NOT(ISNUMBER(G872)), "", VLOOKUP(A872,'Discount Lookup'!G:H,2,FALSE)*G872)</f>
        <v>0</v>
      </c>
      <c r="W872" s="508">
        <f t="shared" si="624"/>
        <v>0</v>
      </c>
      <c r="X872" s="508">
        <f t="shared" si="625"/>
        <v>0</v>
      </c>
      <c r="Y872" s="509" t="b">
        <f t="shared" si="626"/>
        <v>0</v>
      </c>
      <c r="Z872" s="510">
        <f t="shared" si="627"/>
        <v>0</v>
      </c>
      <c r="AA872" s="511"/>
      <c r="AB872" s="511" t="str">
        <f t="shared" si="628"/>
        <v/>
      </c>
      <c r="AC872" s="698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698"/>
      <c r="AE872" s="631" t="str">
        <f t="shared" si="629"/>
        <v/>
      </c>
      <c r="AF872" s="699" t="str">
        <f t="shared" si="630"/>
        <v/>
      </c>
      <c r="AG872" s="699"/>
      <c r="AH872" s="699"/>
      <c r="AI872" s="512">
        <f>IF(H872="credit",0,IF(AE872="free",0,IF(AE872="me",0,IF(G872&gt;0,(VLOOKUP(A872,'Discount Lookup'!J:K,2)*G872),0))))</f>
        <v>0</v>
      </c>
      <c r="AJ872" s="513" t="str">
        <f t="shared" ca="1" si="631"/>
        <v/>
      </c>
      <c r="AK872" s="700" t="str">
        <f t="shared" si="632"/>
        <v/>
      </c>
      <c r="AL872" s="700"/>
      <c r="AM872" s="505" t="str">
        <f t="shared" si="633"/>
        <v/>
      </c>
      <c r="AN872" s="506"/>
      <c r="AO872" s="507"/>
      <c r="AP872" s="507"/>
      <c r="AQ872" s="507"/>
      <c r="AR872" s="507"/>
      <c r="AS872" s="507"/>
      <c r="AT872" s="507"/>
      <c r="AU872" s="507"/>
      <c r="AV872" s="225"/>
      <c r="AW872" s="508"/>
      <c r="AX872" s="225"/>
      <c r="AY872" s="225"/>
      <c r="AZ872" s="225"/>
      <c r="BA872" s="225"/>
      <c r="BB872" s="225"/>
      <c r="BC872" s="56"/>
      <c r="BD872" s="56"/>
      <c r="BE872" s="56"/>
      <c r="BF872" s="107" t="str">
        <f t="shared" si="634"/>
        <v>https://www.google.com/search?tbm=isch&amp;q=3%20G2</v>
      </c>
      <c r="BG872" s="107" t="str">
        <f t="shared" si="635"/>
        <v>C</v>
      </c>
      <c r="BH872" s="254"/>
      <c r="BI872" s="254"/>
    </row>
    <row r="873" spans="1:61" customFormat="1" ht="15.75" x14ac:dyDescent="0.25">
      <c r="A873" s="485">
        <v>3</v>
      </c>
      <c r="B873" s="486" t="s">
        <v>291</v>
      </c>
      <c r="C873" s="487" t="s">
        <v>687</v>
      </c>
      <c r="D873" s="488" t="s">
        <v>300</v>
      </c>
      <c r="E873" s="489">
        <v>52.95</v>
      </c>
      <c r="F873" s="516" t="s">
        <v>293</v>
      </c>
      <c r="G873" s="232">
        <v>0</v>
      </c>
      <c r="H873" s="658" t="str">
        <f>IF(G873=0,"",IF(F873="Buy",IF(G873=1,"plant","plants"),IF(F873&gt;0.01,"warranty","Error")))</f>
        <v/>
      </c>
      <c r="I873" s="490">
        <f>IF(H873="free",0,IF(H873="credit",((E873*(F873))*G873*-1),IF(F873="Buy",(E873*G873),((E873*(1-F873))*G873))))</f>
        <v>0</v>
      </c>
      <c r="J873" s="490">
        <f>IF(H873="warranty",0,(I873*(_xlfn.SINGLE(SalesTaxPercentage))))</f>
        <v>0</v>
      </c>
      <c r="K873" s="695">
        <f t="shared" ref="K873" si="656">I873+J873</f>
        <v>0</v>
      </c>
      <c r="L873" s="695"/>
      <c r="M873" s="659" t="str">
        <f>IF(AND(G873&gt;0,E873=0),"WARNING - no PRICE inserted",IF(H873="free"," FREE ~ no charge this plant",IF(H873="credit",CONCATENATE(" -$",ROUND(K873*(1-T2GDiscount)*-1,2)," CREDIT after discount"),IF(T2GDiscount=0,"",IF(G873=0,"",IF(F873="Buy",CONCATENATE(" $",ROUND(K873*(1-T2GDiscount),2)," with ",(T2GDiscount*100),"% discount"),CONCATENATE(" $",ROUND(K873*(1-T2GDiscount),2)," with ",((T2GDiscount*100+F873*100)-(T2GDiscount*100*F873)),IF(F873&gt;0,"% discounts",IF(NoWarrantyDiscount&gt;0,"% discounts","% discount")))))))))</f>
        <v/>
      </c>
      <c r="N873" s="660"/>
      <c r="O873" s="233"/>
      <c r="P873" s="233"/>
      <c r="Q873" s="233"/>
      <c r="R873" s="233"/>
      <c r="S873" s="233"/>
      <c r="T873" s="508">
        <f t="shared" si="623"/>
        <v>0</v>
      </c>
      <c r="U873" s="225">
        <f>IF(NOT(ISNUMBER(G873)), "", VLOOKUP(A873,'Discount Lookup'!D:E,2,FALSE)*G873)</f>
        <v>0</v>
      </c>
      <c r="V873" s="225">
        <f>IF(NOT(ISNUMBER(G873)), "", VLOOKUP(A873,'Discount Lookup'!G:H,2,FALSE)*G873)</f>
        <v>0</v>
      </c>
      <c r="W873" s="508">
        <f t="shared" si="624"/>
        <v>0</v>
      </c>
      <c r="X873" s="508">
        <f t="shared" si="625"/>
        <v>0</v>
      </c>
      <c r="Y873" s="509" t="b">
        <f t="shared" si="626"/>
        <v>0</v>
      </c>
      <c r="Z873" s="510">
        <f t="shared" si="627"/>
        <v>0</v>
      </c>
      <c r="AA873" s="511"/>
      <c r="AB873" s="511" t="str">
        <f t="shared" si="628"/>
        <v/>
      </c>
      <c r="AC873" s="698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698"/>
      <c r="AE873" s="631" t="str">
        <f t="shared" si="629"/>
        <v/>
      </c>
      <c r="AF873" s="699" t="str">
        <f t="shared" si="630"/>
        <v/>
      </c>
      <c r="AG873" s="699"/>
      <c r="AH873" s="699"/>
      <c r="AI873" s="512">
        <f>IF(H873="credit",0,IF(AE873="free",0,IF(AE873="me",0,IF(G873&gt;0,(VLOOKUP(A873,'Discount Lookup'!J:K,2)*G873),0))))</f>
        <v>0</v>
      </c>
      <c r="AJ873" s="513" t="str">
        <f t="shared" ca="1" si="631"/>
        <v/>
      </c>
      <c r="AK873" s="700" t="str">
        <f t="shared" si="632"/>
        <v/>
      </c>
      <c r="AL873" s="700"/>
      <c r="AM873" s="505" t="str">
        <f t="shared" si="633"/>
        <v/>
      </c>
      <c r="AN873" s="506"/>
      <c r="AO873" s="507"/>
      <c r="AP873" s="507"/>
      <c r="AQ873" s="507"/>
      <c r="AR873" s="507"/>
      <c r="AS873" s="507"/>
      <c r="AT873" s="507"/>
      <c r="AU873" s="507"/>
      <c r="AV873" s="225"/>
      <c r="AW873" s="508"/>
      <c r="AX873" s="225"/>
      <c r="AY873" s="225"/>
      <c r="AZ873" s="225"/>
      <c r="BA873" s="225"/>
      <c r="BB873" s="225"/>
      <c r="BC873" s="56"/>
      <c r="BD873" s="56"/>
      <c r="BE873" s="56"/>
      <c r="BF873" s="107" t="str">
        <f t="shared" si="634"/>
        <v>https://www.google.com/search?tbm=isch&amp;q=3%20G6</v>
      </c>
      <c r="BG873" s="107" t="str">
        <f t="shared" si="635"/>
        <v>C</v>
      </c>
      <c r="BH873" s="254"/>
      <c r="BI873" s="254"/>
    </row>
    <row r="874" spans="1:61" customFormat="1" ht="16.5" thickBot="1" x14ac:dyDescent="0.3">
      <c r="A874" s="522" t="s">
        <v>3938</v>
      </c>
      <c r="B874" s="491"/>
      <c r="C874" s="675"/>
      <c r="D874" s="491"/>
      <c r="E874" s="491"/>
      <c r="F874" s="492"/>
      <c r="G874" s="493"/>
      <c r="H874" s="491"/>
      <c r="I874" s="234"/>
      <c r="J874" s="234"/>
      <c r="K874" s="494"/>
      <c r="L874" s="543"/>
      <c r="M874" s="561"/>
      <c r="N874" s="495"/>
      <c r="O874" s="496"/>
      <c r="P874" s="497"/>
      <c r="Q874" s="495"/>
      <c r="R874" s="495"/>
      <c r="S874" s="277"/>
      <c r="T874" s="508">
        <f t="shared" si="623"/>
        <v>0</v>
      </c>
      <c r="U874" s="225" t="str">
        <f>IF(NOT(ISNUMBER(G874)), "", VLOOKUP(A874,'Discount Lookup'!D:E,2,FALSE)*G874)</f>
        <v/>
      </c>
      <c r="V874" s="225" t="str">
        <f>IF(NOT(ISNUMBER(G874)), "", VLOOKUP(A874,'Discount Lookup'!G:H,2,FALSE)*G874)</f>
        <v/>
      </c>
      <c r="W874" s="508">
        <f t="shared" si="624"/>
        <v>0</v>
      </c>
      <c r="X874" s="508">
        <f t="shared" si="625"/>
        <v>0</v>
      </c>
      <c r="Y874" s="509" t="b">
        <f t="shared" si="626"/>
        <v>0</v>
      </c>
      <c r="Z874" s="510">
        <f t="shared" si="627"/>
        <v>0</v>
      </c>
      <c r="AA874" s="511"/>
      <c r="AB874" s="511" t="str">
        <f t="shared" si="628"/>
        <v/>
      </c>
      <c r="AC874" s="698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698"/>
      <c r="AE874" s="631" t="str">
        <f t="shared" si="629"/>
        <v/>
      </c>
      <c r="AF874" s="699" t="str">
        <f t="shared" si="630"/>
        <v/>
      </c>
      <c r="AG874" s="699"/>
      <c r="AH874" s="699"/>
      <c r="AI874" s="512">
        <f>IF(H874="credit",0,IF(AE874="free",0,IF(AE874="me",0,IF(G874&gt;0,(VLOOKUP(A874,'Discount Lookup'!J:K,2)*G874),0))))</f>
        <v>0</v>
      </c>
      <c r="AJ874" s="513" t="str">
        <f t="shared" ca="1" si="631"/>
        <v/>
      </c>
      <c r="AK874" s="700" t="str">
        <f t="shared" si="632"/>
        <v/>
      </c>
      <c r="AL874" s="700"/>
      <c r="AM874" s="505" t="str">
        <f t="shared" si="633"/>
        <v/>
      </c>
      <c r="AN874" s="506"/>
      <c r="AO874" s="507"/>
      <c r="AP874" s="507"/>
      <c r="AQ874" s="507"/>
      <c r="AR874" s="507"/>
      <c r="AS874" s="507"/>
      <c r="AT874" s="507"/>
      <c r="AU874" s="507"/>
      <c r="AV874" s="225"/>
      <c r="AW874" s="508"/>
      <c r="AX874" s="225"/>
      <c r="AY874" s="225"/>
      <c r="AZ874" s="225"/>
      <c r="BA874" s="225"/>
      <c r="BB874" s="225"/>
      <c r="BC874" s="56"/>
      <c r="BD874" s="56"/>
      <c r="BE874" s="56"/>
      <c r="BF874" s="107" t="str">
        <f t="shared" si="634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874" s="107" t="str">
        <f t="shared" si="635"/>
        <v>C</v>
      </c>
      <c r="BH874" s="254"/>
      <c r="BI874" s="254"/>
    </row>
    <row r="875" spans="1:61" customFormat="1" ht="18" x14ac:dyDescent="0.25">
      <c r="A875" s="523" t="s">
        <v>5377</v>
      </c>
      <c r="B875" s="235"/>
      <c r="C875" s="676"/>
      <c r="D875" s="255" t="s">
        <v>4072</v>
      </c>
      <c r="E875" s="236"/>
      <c r="F875" s="236"/>
      <c r="G875" s="236"/>
      <c r="H875" s="582" t="s">
        <v>357</v>
      </c>
      <c r="I875" s="498" t="s">
        <v>654</v>
      </c>
      <c r="J875" s="237"/>
      <c r="K875" s="237"/>
      <c r="L875" s="274"/>
      <c r="M875" s="668" t="s">
        <v>4975</v>
      </c>
      <c r="N875" s="681" t="str">
        <f>IF(AND(ISTEXT($A875), ISERROR($A875+0)), HYPERLINK($BF875, "Images"), "")</f>
        <v>Images</v>
      </c>
      <c r="O875" s="663" t="s">
        <v>4967</v>
      </c>
      <c r="P875" s="253"/>
      <c r="Q875" s="238"/>
      <c r="R875" s="239"/>
      <c r="S875" s="275"/>
      <c r="T875" s="508">
        <f t="shared" si="623"/>
        <v>0</v>
      </c>
      <c r="U875" s="225" t="str">
        <f>IF(NOT(ISNUMBER(G875)), "", VLOOKUP(A875,'Discount Lookup'!D:E,2,FALSE)*G875)</f>
        <v/>
      </c>
      <c r="V875" s="225" t="str">
        <f>IF(NOT(ISNUMBER(G875)), "", VLOOKUP(A875,'Discount Lookup'!G:H,2,FALSE)*G875)</f>
        <v/>
      </c>
      <c r="W875" s="508">
        <f t="shared" si="624"/>
        <v>0</v>
      </c>
      <c r="X875" s="508" t="str">
        <f t="shared" si="625"/>
        <v>White bloom</v>
      </c>
      <c r="Y875" s="509" t="b">
        <f t="shared" si="626"/>
        <v>0</v>
      </c>
      <c r="Z875" s="510">
        <f t="shared" si="627"/>
        <v>0</v>
      </c>
      <c r="AA875" s="511"/>
      <c r="AB875" s="511" t="str">
        <f t="shared" si="628"/>
        <v/>
      </c>
      <c r="AC875" s="698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698"/>
      <c r="AE875" s="631" t="str">
        <f t="shared" si="629"/>
        <v/>
      </c>
      <c r="AF875" s="699" t="str">
        <f t="shared" si="630"/>
        <v/>
      </c>
      <c r="AG875" s="699"/>
      <c r="AH875" s="699"/>
      <c r="AI875" s="512">
        <f>IF(H875="credit",0,IF(AE875="free",0,IF(AE875="me",0,IF(G875&gt;0,(VLOOKUP(A875,'Discount Lookup'!J:K,2)*G875),0))))</f>
        <v>0</v>
      </c>
      <c r="AJ875" s="513" t="str">
        <f t="shared" ca="1" si="631"/>
        <v/>
      </c>
      <c r="AK875" s="700" t="str">
        <f t="shared" si="632"/>
        <v/>
      </c>
      <c r="AL875" s="700"/>
      <c r="AM875" s="505" t="str">
        <f t="shared" si="633"/>
        <v/>
      </c>
      <c r="AN875" s="506"/>
      <c r="AO875" s="507"/>
      <c r="AP875" s="507"/>
      <c r="AQ875" s="507"/>
      <c r="AR875" s="507"/>
      <c r="AS875" s="507"/>
      <c r="AT875" s="507"/>
      <c r="AU875" s="507"/>
      <c r="AV875" s="225"/>
      <c r="AW875" s="508"/>
      <c r="AX875" s="225"/>
      <c r="AY875" s="225"/>
      <c r="AZ875" s="225"/>
      <c r="BA875" s="225"/>
      <c r="BB875" s="225"/>
      <c r="BC875" s="56"/>
      <c r="BD875" s="56"/>
      <c r="BE875" s="56"/>
      <c r="BF875" s="107" t="str">
        <f t="shared" si="634"/>
        <v>https://www.google.com/search?tbm=isch&amp;q=Constellation%C2%AE%20Dogwood%20Cornus%20x%20rutgersensis%20%27Rutcan%27%20PP%237210Exp.</v>
      </c>
      <c r="BG875" s="107" t="str">
        <f t="shared" si="635"/>
        <v>C</v>
      </c>
      <c r="BH875" s="254"/>
      <c r="BI875" s="254"/>
    </row>
    <row r="876" spans="1:61" customFormat="1" ht="15.75" x14ac:dyDescent="0.25">
      <c r="A876" s="276">
        <v>15</v>
      </c>
      <c r="B876" s="240" t="s">
        <v>291</v>
      </c>
      <c r="C876" s="241" t="s">
        <v>4394</v>
      </c>
      <c r="D876" s="242" t="s">
        <v>292</v>
      </c>
      <c r="E876" s="243">
        <v>192.95</v>
      </c>
      <c r="F876" s="517" t="s">
        <v>293</v>
      </c>
      <c r="G876" s="232">
        <v>0</v>
      </c>
      <c r="H876" s="661" t="str">
        <f>IF(G876=0,"",IF(F876="Buy",IF(G876=1,"plant","plants"),IF(F876&gt;0.01,"warranty","Error")))</f>
        <v/>
      </c>
      <c r="I876" s="244">
        <f>IF(H876="free",0,IF(H876="credit",((E876*(F876))*G876*-1),IF(F876="Buy",(E876*G876),((E876*(1-F876))*G876))))</f>
        <v>0</v>
      </c>
      <c r="J876" s="244">
        <f>IF(H876="warranty",0,(I876*(_xlfn.SINGLE(SalesTaxPercentage))))</f>
        <v>0</v>
      </c>
      <c r="K876" s="696">
        <f t="shared" ref="K876" si="657">I876+J876</f>
        <v>0</v>
      </c>
      <c r="L876" s="696"/>
      <c r="M876" s="659" t="str">
        <f>IF(AND(G876&gt;0,E876=0),"WARNING - no PRICE inserted",IF(H876="free"," FREE ~ no charge this plant",IF(H876="credit",CONCATENATE(" -$",ROUND(K876*(1-T2GDiscount)*-1,2)," CREDIT after discount"),IF(T2GDiscount=0,"",IF(G876=0,"",IF(F876="Buy",CONCATENATE(" $",ROUND(K876*(1-T2GDiscount),2)," with ",(T2GDiscount*100),"% discount"),CONCATENATE(" $",ROUND(K876*(1-T2GDiscount),2)," with ",((T2GDiscount*100+F876*100)-(T2GDiscount*100*F876)),IF(F876&gt;0,"% discounts",IF(NoWarrantyDiscount&gt;0,"% discounts","% discount")))))))))</f>
        <v/>
      </c>
      <c r="N876" s="660"/>
      <c r="O876" s="233"/>
      <c r="P876" s="233"/>
      <c r="Q876" s="233"/>
      <c r="R876" s="233"/>
      <c r="S876" s="233"/>
      <c r="T876" s="508">
        <f t="shared" si="623"/>
        <v>0</v>
      </c>
      <c r="U876" s="225">
        <f>IF(NOT(ISNUMBER(G876)), "", VLOOKUP(A876,'Discount Lookup'!D:E,2,FALSE)*G876)</f>
        <v>0</v>
      </c>
      <c r="V876" s="225">
        <f>IF(NOT(ISNUMBER(G876)), "", VLOOKUP(A876,'Discount Lookup'!G:H,2,FALSE)*G876)</f>
        <v>0</v>
      </c>
      <c r="W876" s="508">
        <f t="shared" si="624"/>
        <v>0</v>
      </c>
      <c r="X876" s="508">
        <f t="shared" si="625"/>
        <v>0</v>
      </c>
      <c r="Y876" s="509" t="b">
        <f t="shared" si="626"/>
        <v>0</v>
      </c>
      <c r="Z876" s="510">
        <f t="shared" si="627"/>
        <v>0</v>
      </c>
      <c r="AA876" s="511"/>
      <c r="AB876" s="511" t="str">
        <f t="shared" si="628"/>
        <v/>
      </c>
      <c r="AC876" s="698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698"/>
      <c r="AE876" s="631" t="str">
        <f t="shared" si="629"/>
        <v/>
      </c>
      <c r="AF876" s="699" t="str">
        <f t="shared" si="630"/>
        <v/>
      </c>
      <c r="AG876" s="699"/>
      <c r="AH876" s="699"/>
      <c r="AI876" s="512">
        <f>IF(H876="credit",0,IF(AE876="free",0,IF(AE876="me",0,IF(G876&gt;0,(VLOOKUP(A876,'Discount Lookup'!J:K,2)*G876),0))))</f>
        <v>0</v>
      </c>
      <c r="AJ876" s="513" t="str">
        <f t="shared" ca="1" si="631"/>
        <v/>
      </c>
      <c r="AK876" s="700" t="str">
        <f t="shared" si="632"/>
        <v/>
      </c>
      <c r="AL876" s="700"/>
      <c r="AM876" s="505" t="str">
        <f t="shared" si="633"/>
        <v/>
      </c>
      <c r="AN876" s="506"/>
      <c r="AO876" s="507"/>
      <c r="AP876" s="507"/>
      <c r="AQ876" s="507"/>
      <c r="AR876" s="507"/>
      <c r="AS876" s="507"/>
      <c r="AT876" s="507"/>
      <c r="AU876" s="507"/>
      <c r="AV876" s="225"/>
      <c r="AW876" s="508"/>
      <c r="AX876" s="225"/>
      <c r="AY876" s="225"/>
      <c r="AZ876" s="225"/>
      <c r="BA876" s="225"/>
      <c r="BB876" s="225"/>
      <c r="BC876" s="56"/>
      <c r="BD876" s="56"/>
      <c r="BE876" s="56"/>
      <c r="BF876" s="107" t="str">
        <f t="shared" si="634"/>
        <v>https://www.google.com/search?tbm=isch&amp;q=15%20G4</v>
      </c>
      <c r="BG876" s="107" t="str">
        <f t="shared" si="635"/>
        <v>C</v>
      </c>
      <c r="BH876" s="254"/>
      <c r="BI876" s="254"/>
    </row>
    <row r="877" spans="1:61" customFormat="1" ht="17.25" thickBot="1" x14ac:dyDescent="0.3">
      <c r="A877" s="524" t="s">
        <v>4073</v>
      </c>
      <c r="B877" s="245"/>
      <c r="C877" s="677"/>
      <c r="D877" s="499"/>
      <c r="E877" s="499"/>
      <c r="F877" s="500"/>
      <c r="G877" s="501"/>
      <c r="H877" s="502"/>
      <c r="I877" s="246"/>
      <c r="J877" s="247"/>
      <c r="K877" s="503"/>
      <c r="L877" s="544"/>
      <c r="M877" s="544"/>
      <c r="N877" s="500"/>
      <c r="O877" s="500"/>
      <c r="P877" s="500"/>
      <c r="Q877" s="500"/>
      <c r="R877" s="500"/>
      <c r="S877" s="669" t="s">
        <v>4980</v>
      </c>
      <c r="T877" s="508">
        <f t="shared" si="623"/>
        <v>0</v>
      </c>
      <c r="U877" s="225" t="str">
        <f>IF(NOT(ISNUMBER(G877)), "", VLOOKUP(A877,'Discount Lookup'!D:E,2,FALSE)*G877)</f>
        <v/>
      </c>
      <c r="V877" s="225" t="str">
        <f>IF(NOT(ISNUMBER(G877)), "", VLOOKUP(A877,'Discount Lookup'!G:H,2,FALSE)*G877)</f>
        <v/>
      </c>
      <c r="W877" s="508">
        <f t="shared" si="624"/>
        <v>0</v>
      </c>
      <c r="X877" s="508">
        <f t="shared" si="625"/>
        <v>0</v>
      </c>
      <c r="Y877" s="509" t="b">
        <f t="shared" si="626"/>
        <v>0</v>
      </c>
      <c r="Z877" s="510">
        <f t="shared" si="627"/>
        <v>0</v>
      </c>
      <c r="AA877" s="511"/>
      <c r="AB877" s="511" t="str">
        <f t="shared" si="628"/>
        <v/>
      </c>
      <c r="AC877" s="698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698"/>
      <c r="AE877" s="631" t="str">
        <f t="shared" si="629"/>
        <v/>
      </c>
      <c r="AF877" s="699" t="str">
        <f t="shared" si="630"/>
        <v/>
      </c>
      <c r="AG877" s="699"/>
      <c r="AH877" s="699"/>
      <c r="AI877" s="512">
        <f>IF(H877="credit",0,IF(AE877="free",0,IF(AE877="me",0,IF(G877&gt;0,(VLOOKUP(A877,'Discount Lookup'!J:K,2)*G877),0))))</f>
        <v>0</v>
      </c>
      <c r="AJ877" s="513" t="str">
        <f t="shared" ca="1" si="631"/>
        <v/>
      </c>
      <c r="AK877" s="700" t="str">
        <f t="shared" si="632"/>
        <v/>
      </c>
      <c r="AL877" s="700"/>
      <c r="AM877" s="505" t="str">
        <f t="shared" si="633"/>
        <v/>
      </c>
      <c r="AN877" s="506"/>
      <c r="AO877" s="507"/>
      <c r="AP877" s="507"/>
      <c r="AQ877" s="507"/>
      <c r="AR877" s="507"/>
      <c r="AS877" s="507"/>
      <c r="AT877" s="507"/>
      <c r="AU877" s="507"/>
      <c r="AV877" s="225"/>
      <c r="AW877" s="508"/>
      <c r="AX877" s="225"/>
      <c r="AY877" s="225"/>
      <c r="AZ877" s="225"/>
      <c r="BA877" s="225"/>
      <c r="BB877" s="225"/>
      <c r="BC877" s="56"/>
      <c r="BD877" s="56"/>
      <c r="BE877" s="56"/>
      <c r="BF877" s="107" t="str">
        <f t="shared" si="634"/>
        <v>https://www.google.com/search?tbm=isch&amp;q=Constellation%20has%20a%20vigorous%20habit%20and%20profuse%20blooming.%20Good%20resistance%20to%20anthracnose%20and%20borers%20</v>
      </c>
      <c r="BG877" s="107" t="str">
        <f t="shared" si="635"/>
        <v>C</v>
      </c>
      <c r="BH877" s="254"/>
      <c r="BI877" s="254"/>
    </row>
    <row r="878" spans="1:61" customFormat="1" ht="18" x14ac:dyDescent="0.25">
      <c r="A878" s="521" t="s">
        <v>688</v>
      </c>
      <c r="B878" s="477"/>
      <c r="C878" s="674"/>
      <c r="D878" s="478" t="s">
        <v>689</v>
      </c>
      <c r="E878" s="479"/>
      <c r="F878" s="479"/>
      <c r="G878" s="479"/>
      <c r="H878" s="582" t="s">
        <v>471</v>
      </c>
      <c r="I878" s="480" t="s">
        <v>2093</v>
      </c>
      <c r="J878" s="479"/>
      <c r="K878" s="479"/>
      <c r="L878" s="560"/>
      <c r="M878" s="666" t="s">
        <v>4966</v>
      </c>
      <c r="N878" s="680" t="str">
        <f>IF(AND(ISTEXT($A878), ISERROR($A878+0)), HYPERLINK($BF878, "Images"), "")</f>
        <v>Images</v>
      </c>
      <c r="O878" s="662" t="s">
        <v>4967</v>
      </c>
      <c r="P878" s="482"/>
      <c r="Q878" s="483"/>
      <c r="R878" s="483"/>
      <c r="S878" s="484"/>
      <c r="T878" s="508">
        <f t="shared" si="623"/>
        <v>0</v>
      </c>
      <c r="U878" s="225" t="str">
        <f>IF(NOT(ISNUMBER(G878)), "", VLOOKUP(A878,'Discount Lookup'!D:E,2,FALSE)*G878)</f>
        <v/>
      </c>
      <c r="V878" s="225" t="str">
        <f>IF(NOT(ISNUMBER(G878)), "", VLOOKUP(A878,'Discount Lookup'!G:H,2,FALSE)*G878)</f>
        <v/>
      </c>
      <c r="W878" s="508">
        <f t="shared" si="624"/>
        <v>0</v>
      </c>
      <c r="X878" s="508" t="str">
        <f t="shared" si="625"/>
        <v>Dark Green foliage</v>
      </c>
      <c r="Y878" s="509" t="b">
        <f t="shared" si="626"/>
        <v>0</v>
      </c>
      <c r="Z878" s="510">
        <f t="shared" si="627"/>
        <v>0</v>
      </c>
      <c r="AA878" s="511"/>
      <c r="AB878" s="511" t="str">
        <f t="shared" si="628"/>
        <v/>
      </c>
      <c r="AC878" s="698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698"/>
      <c r="AE878" s="631" t="str">
        <f t="shared" si="629"/>
        <v/>
      </c>
      <c r="AF878" s="699" t="str">
        <f t="shared" si="630"/>
        <v/>
      </c>
      <c r="AG878" s="699"/>
      <c r="AH878" s="699"/>
      <c r="AI878" s="512">
        <f>IF(H878="credit",0,IF(AE878="free",0,IF(AE878="me",0,IF(G878&gt;0,(VLOOKUP(A878,'Discount Lookup'!J:K,2)*G878),0))))</f>
        <v>0</v>
      </c>
      <c r="AJ878" s="513" t="str">
        <f t="shared" ca="1" si="631"/>
        <v/>
      </c>
      <c r="AK878" s="700" t="str">
        <f t="shared" si="632"/>
        <v/>
      </c>
      <c r="AL878" s="700"/>
      <c r="AM878" s="505" t="str">
        <f t="shared" si="633"/>
        <v/>
      </c>
      <c r="AN878" s="506"/>
      <c r="AO878" s="507"/>
      <c r="AP878" s="507"/>
      <c r="AQ878" s="507"/>
      <c r="AR878" s="507"/>
      <c r="AS878" s="507"/>
      <c r="AT878" s="507"/>
      <c r="AU878" s="507"/>
      <c r="AV878" s="225"/>
      <c r="AW878" s="508"/>
      <c r="AX878" s="225"/>
      <c r="AY878" s="225"/>
      <c r="AZ878" s="225"/>
      <c r="BA878" s="225"/>
      <c r="BB878" s="225"/>
      <c r="BC878" s="56"/>
      <c r="BD878" s="56"/>
      <c r="BE878" s="56"/>
      <c r="BF878" s="107" t="str">
        <f t="shared" si="634"/>
        <v>https://www.google.com/search?tbm=isch&amp;q=Copper%20Crown%20Cleyera%20Ternstroemia%20gymnanthera%20%27Copper%20Crown%27</v>
      </c>
      <c r="BG878" s="107" t="str">
        <f t="shared" si="635"/>
        <v>C</v>
      </c>
      <c r="BH878" s="254"/>
      <c r="BI878" s="254"/>
    </row>
    <row r="879" spans="1:61" customFormat="1" ht="15.75" x14ac:dyDescent="0.25">
      <c r="A879" s="485">
        <v>7</v>
      </c>
      <c r="B879" s="486" t="s">
        <v>291</v>
      </c>
      <c r="C879" s="487" t="s">
        <v>3397</v>
      </c>
      <c r="D879" s="488" t="s">
        <v>292</v>
      </c>
      <c r="E879" s="489">
        <v>91.95</v>
      </c>
      <c r="F879" s="516" t="s">
        <v>293</v>
      </c>
      <c r="G879" s="232">
        <v>0</v>
      </c>
      <c r="H879" s="658" t="str">
        <f>IF(G879=0,"",IF(F879="Buy",IF(G879=1,"plant","plants"),IF(F879&gt;0.01,"warranty","Error")))</f>
        <v/>
      </c>
      <c r="I879" s="490">
        <f>IF(H879="free",0,IF(H879="credit",((E879*(F879))*G879*-1),IF(F879="Buy",(E879*G879),((E879*(1-F879))*G879))))</f>
        <v>0</v>
      </c>
      <c r="J879" s="490">
        <f>IF(H879="warranty",0,(I879*(_xlfn.SINGLE(SalesTaxPercentage))))</f>
        <v>0</v>
      </c>
      <c r="K879" s="695">
        <f t="shared" ref="K879" si="658">I879+J879</f>
        <v>0</v>
      </c>
      <c r="L879" s="695"/>
      <c r="M879" s="659" t="str">
        <f>IF(AND(G879&gt;0,E879=0),"WARNING - no PRICE inserted",IF(H879="free"," FREE ~ no charge this plant",IF(H879="credit",CONCATENATE(" -$",ROUND(K879*(1-T2GDiscount)*-1,2)," CREDIT after discount"),IF(T2GDiscount=0,"",IF(G879=0,"",IF(F879="Buy",CONCATENATE(" $",ROUND(K879*(1-T2GDiscount),2)," with ",(T2GDiscount*100),"% discount"),CONCATENATE(" $",ROUND(K879*(1-T2GDiscount),2)," with ",((T2GDiscount*100+F879*100)-(T2GDiscount*100*F879)),IF(F879&gt;0,"% discounts",IF(NoWarrantyDiscount&gt;0,"% discounts","% discount")))))))))</f>
        <v/>
      </c>
      <c r="N879" s="660"/>
      <c r="O879" s="233"/>
      <c r="P879" s="233"/>
      <c r="Q879" s="233"/>
      <c r="R879" s="233"/>
      <c r="S879" s="233"/>
      <c r="T879" s="508">
        <f t="shared" si="623"/>
        <v>0</v>
      </c>
      <c r="U879" s="225">
        <f>IF(NOT(ISNUMBER(G879)), "", VLOOKUP(A879,'Discount Lookup'!D:E,2,FALSE)*G879)</f>
        <v>0</v>
      </c>
      <c r="V879" s="225">
        <f>IF(NOT(ISNUMBER(G879)), "", VLOOKUP(A879,'Discount Lookup'!G:H,2,FALSE)*G879)</f>
        <v>0</v>
      </c>
      <c r="W879" s="508">
        <f t="shared" si="624"/>
        <v>0</v>
      </c>
      <c r="X879" s="508">
        <f t="shared" si="625"/>
        <v>0</v>
      </c>
      <c r="Y879" s="509" t="b">
        <f t="shared" si="626"/>
        <v>0</v>
      </c>
      <c r="Z879" s="510">
        <f t="shared" si="627"/>
        <v>0</v>
      </c>
      <c r="AA879" s="511"/>
      <c r="AB879" s="511" t="str">
        <f t="shared" si="628"/>
        <v/>
      </c>
      <c r="AC879" s="698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698"/>
      <c r="AE879" s="631" t="str">
        <f t="shared" si="629"/>
        <v/>
      </c>
      <c r="AF879" s="699" t="str">
        <f t="shared" si="630"/>
        <v/>
      </c>
      <c r="AG879" s="699"/>
      <c r="AH879" s="699"/>
      <c r="AI879" s="512">
        <f>IF(H879="credit",0,IF(AE879="free",0,IF(AE879="me",0,IF(G879&gt;0,(VLOOKUP(A879,'Discount Lookup'!J:K,2)*G879),0))))</f>
        <v>0</v>
      </c>
      <c r="AJ879" s="513" t="str">
        <f t="shared" ca="1" si="631"/>
        <v/>
      </c>
      <c r="AK879" s="700" t="str">
        <f t="shared" si="632"/>
        <v/>
      </c>
      <c r="AL879" s="700"/>
      <c r="AM879" s="505" t="str">
        <f t="shared" si="633"/>
        <v/>
      </c>
      <c r="AN879" s="506"/>
      <c r="AO879" s="507"/>
      <c r="AP879" s="507"/>
      <c r="AQ879" s="507"/>
      <c r="AR879" s="507"/>
      <c r="AS879" s="507"/>
      <c r="AT879" s="507"/>
      <c r="AU879" s="507"/>
      <c r="AV879" s="225"/>
      <c r="AW879" s="508"/>
      <c r="AX879" s="225"/>
      <c r="AY879" s="225"/>
      <c r="AZ879" s="225"/>
      <c r="BA879" s="225"/>
      <c r="BB879" s="225"/>
      <c r="BC879" s="56"/>
      <c r="BD879" s="56"/>
      <c r="BE879" s="56"/>
      <c r="BF879" s="107" t="str">
        <f t="shared" si="634"/>
        <v>https://www.google.com/search?tbm=isch&amp;q=7%20G4</v>
      </c>
      <c r="BG879" s="107" t="str">
        <f t="shared" si="635"/>
        <v>C</v>
      </c>
      <c r="BH879" s="254"/>
      <c r="BI879" s="254"/>
    </row>
    <row r="880" spans="1:61" customFormat="1" ht="16.5" thickBot="1" x14ac:dyDescent="0.3">
      <c r="A880" s="522" t="s">
        <v>2873</v>
      </c>
      <c r="B880" s="491"/>
      <c r="C880" s="675"/>
      <c r="D880" s="491"/>
      <c r="E880" s="491"/>
      <c r="F880" s="492"/>
      <c r="G880" s="493"/>
      <c r="H880" s="491"/>
      <c r="I880" s="234"/>
      <c r="J880" s="234"/>
      <c r="K880" s="494"/>
      <c r="L880" s="543"/>
      <c r="M880" s="561"/>
      <c r="N880" s="495"/>
      <c r="O880" s="496"/>
      <c r="P880" s="497"/>
      <c r="Q880" s="495"/>
      <c r="R880" s="495"/>
      <c r="S880" s="277"/>
      <c r="T880" s="508">
        <f t="shared" si="623"/>
        <v>0</v>
      </c>
      <c r="U880" s="225" t="str">
        <f>IF(NOT(ISNUMBER(G880)), "", VLOOKUP(A880,'Discount Lookup'!D:E,2,FALSE)*G880)</f>
        <v/>
      </c>
      <c r="V880" s="225" t="str">
        <f>IF(NOT(ISNUMBER(G880)), "", VLOOKUP(A880,'Discount Lookup'!G:H,2,FALSE)*G880)</f>
        <v/>
      </c>
      <c r="W880" s="508">
        <f t="shared" si="624"/>
        <v>0</v>
      </c>
      <c r="X880" s="508">
        <f t="shared" si="625"/>
        <v>0</v>
      </c>
      <c r="Y880" s="509" t="b">
        <f t="shared" si="626"/>
        <v>0</v>
      </c>
      <c r="Z880" s="510">
        <f t="shared" si="627"/>
        <v>0</v>
      </c>
      <c r="AA880" s="511"/>
      <c r="AB880" s="511" t="str">
        <f t="shared" si="628"/>
        <v/>
      </c>
      <c r="AC880" s="698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698"/>
      <c r="AE880" s="631" t="str">
        <f t="shared" si="629"/>
        <v/>
      </c>
      <c r="AF880" s="699" t="str">
        <f t="shared" si="630"/>
        <v/>
      </c>
      <c r="AG880" s="699"/>
      <c r="AH880" s="699"/>
      <c r="AI880" s="512">
        <f>IF(H880="credit",0,IF(AE880="free",0,IF(AE880="me",0,IF(G880&gt;0,(VLOOKUP(A880,'Discount Lookup'!J:K,2)*G880),0))))</f>
        <v>0</v>
      </c>
      <c r="AJ880" s="513" t="str">
        <f t="shared" ca="1" si="631"/>
        <v/>
      </c>
      <c r="AK880" s="700" t="str">
        <f t="shared" si="632"/>
        <v/>
      </c>
      <c r="AL880" s="700"/>
      <c r="AM880" s="505" t="str">
        <f t="shared" si="633"/>
        <v/>
      </c>
      <c r="AN880" s="506"/>
      <c r="AO880" s="507"/>
      <c r="AP880" s="507"/>
      <c r="AQ880" s="507"/>
      <c r="AR880" s="507"/>
      <c r="AS880" s="507"/>
      <c r="AT880" s="507"/>
      <c r="AU880" s="507"/>
      <c r="AV880" s="225"/>
      <c r="AW880" s="508"/>
      <c r="AX880" s="225"/>
      <c r="AY880" s="225"/>
      <c r="AZ880" s="225"/>
      <c r="BA880" s="225"/>
      <c r="BB880" s="225"/>
      <c r="BC880" s="56"/>
      <c r="BD880" s="56"/>
      <c r="BE880" s="56"/>
      <c r="BF880" s="107" t="str">
        <f t="shared" si="634"/>
        <v>https://www.google.com/search?tbm=isch&amp;q=Copper%20Crown%20has%20vibrant%20foliage%20that%20transitions%20from%20Coppery-Red%20to%20Glossy%20Green%2C%20then%20Burgundy%20in%20fall.%20Small%20White%20bloom%20</v>
      </c>
      <c r="BG880" s="107" t="str">
        <f t="shared" si="635"/>
        <v>C</v>
      </c>
      <c r="BH880" s="254"/>
      <c r="BI880" s="254"/>
    </row>
    <row r="881" spans="1:61" customFormat="1" ht="18" x14ac:dyDescent="0.25">
      <c r="A881" s="521" t="s">
        <v>690</v>
      </c>
      <c r="B881" s="477"/>
      <c r="C881" s="674"/>
      <c r="D881" s="478" t="s">
        <v>691</v>
      </c>
      <c r="E881" s="479"/>
      <c r="F881" s="479"/>
      <c r="G881" s="479"/>
      <c r="H881" s="582" t="s">
        <v>1698</v>
      </c>
      <c r="I881" s="480" t="s">
        <v>827</v>
      </c>
      <c r="J881" s="479"/>
      <c r="K881" s="479"/>
      <c r="L881" s="560"/>
      <c r="M881" s="666" t="s">
        <v>4966</v>
      </c>
      <c r="N881" s="680" t="str">
        <f>IF(AND(ISTEXT($A881), ISERROR($A881+0)), HYPERLINK($BF881, "Images"), "")</f>
        <v>Images</v>
      </c>
      <c r="O881" s="662" t="s">
        <v>4967</v>
      </c>
      <c r="P881" s="482"/>
      <c r="Q881" s="483"/>
      <c r="R881" s="483"/>
      <c r="S881" s="484"/>
      <c r="T881" s="508">
        <f t="shared" si="623"/>
        <v>0</v>
      </c>
      <c r="U881" s="225" t="str">
        <f>IF(NOT(ISNUMBER(G881)), "", VLOOKUP(A881,'Discount Lookup'!D:E,2,FALSE)*G881)</f>
        <v/>
      </c>
      <c r="V881" s="225" t="str">
        <f>IF(NOT(ISNUMBER(G881)), "", VLOOKUP(A881,'Discount Lookup'!G:H,2,FALSE)*G881)</f>
        <v/>
      </c>
      <c r="W881" s="508">
        <f t="shared" si="624"/>
        <v>0</v>
      </c>
      <c r="X881" s="508" t="str">
        <f t="shared" si="625"/>
        <v>Creamy White bloom</v>
      </c>
      <c r="Y881" s="509" t="b">
        <f t="shared" si="626"/>
        <v>0</v>
      </c>
      <c r="Z881" s="510">
        <f t="shared" si="627"/>
        <v>0</v>
      </c>
      <c r="AA881" s="511"/>
      <c r="AB881" s="511" t="str">
        <f t="shared" si="628"/>
        <v/>
      </c>
      <c r="AC881" s="698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698"/>
      <c r="AE881" s="631" t="str">
        <f t="shared" si="629"/>
        <v/>
      </c>
      <c r="AF881" s="699" t="str">
        <f t="shared" si="630"/>
        <v/>
      </c>
      <c r="AG881" s="699"/>
      <c r="AH881" s="699"/>
      <c r="AI881" s="512">
        <f>IF(H881="credit",0,IF(AE881="free",0,IF(AE881="me",0,IF(G881&gt;0,(VLOOKUP(A881,'Discount Lookup'!J:K,2)*G881),0))))</f>
        <v>0</v>
      </c>
      <c r="AJ881" s="513" t="str">
        <f t="shared" ca="1" si="631"/>
        <v/>
      </c>
      <c r="AK881" s="700" t="str">
        <f t="shared" si="632"/>
        <v/>
      </c>
      <c r="AL881" s="700"/>
      <c r="AM881" s="505" t="str">
        <f t="shared" si="633"/>
        <v/>
      </c>
      <c r="AN881" s="506"/>
      <c r="AO881" s="507"/>
      <c r="AP881" s="507"/>
      <c r="AQ881" s="507"/>
      <c r="AR881" s="507"/>
      <c r="AS881" s="507"/>
      <c r="AT881" s="507"/>
      <c r="AU881" s="507"/>
      <c r="AV881" s="225"/>
      <c r="AW881" s="508"/>
      <c r="AX881" s="225"/>
      <c r="AY881" s="225"/>
      <c r="AZ881" s="225"/>
      <c r="BA881" s="225"/>
      <c r="BB881" s="225"/>
      <c r="BC881" s="56"/>
      <c r="BD881" s="56"/>
      <c r="BE881" s="56"/>
      <c r="BF881" s="107" t="str">
        <f t="shared" si="634"/>
        <v>https://www.google.com/search?tbm=isch&amp;q=Coppertallica%20Magnolia%20Magnolia%20michelia%20%27Coppertallica%27</v>
      </c>
      <c r="BG881" s="107" t="str">
        <f t="shared" si="635"/>
        <v>C</v>
      </c>
      <c r="BH881" s="254"/>
      <c r="BI881" s="254"/>
    </row>
    <row r="882" spans="1:61" customFormat="1" ht="15.75" x14ac:dyDescent="0.25">
      <c r="A882" s="485">
        <v>7</v>
      </c>
      <c r="B882" s="486" t="s">
        <v>291</v>
      </c>
      <c r="C882" s="487" t="s">
        <v>3398</v>
      </c>
      <c r="D882" s="488" t="s">
        <v>292</v>
      </c>
      <c r="E882" s="489">
        <v>109.95</v>
      </c>
      <c r="F882" s="516" t="s">
        <v>293</v>
      </c>
      <c r="G882" s="232">
        <v>0</v>
      </c>
      <c r="H882" s="658" t="str">
        <f>IF(G882=0,"",IF(F882="Buy",IF(G882=1,"plant","plants"),IF(F882&gt;0.01,"warranty","Error")))</f>
        <v/>
      </c>
      <c r="I882" s="490">
        <f>IF(H882="free",0,IF(H882="credit",((E882*(F882))*G882*-1),IF(F882="Buy",(E882*G882),((E882*(1-F882))*G882))))</f>
        <v>0</v>
      </c>
      <c r="J882" s="490">
        <f>IF(H882="warranty",0,(I882*(_xlfn.SINGLE(SalesTaxPercentage))))</f>
        <v>0</v>
      </c>
      <c r="K882" s="695">
        <f t="shared" ref="K882" si="659">I882+J882</f>
        <v>0</v>
      </c>
      <c r="L882" s="695"/>
      <c r="M882" s="659" t="str">
        <f>IF(AND(G882&gt;0,E882=0),"WARNING - no PRICE inserted",IF(H882="free"," FREE ~ no charge this plant",IF(H882="credit",CONCATENATE(" -$",ROUND(K882*(1-T2GDiscount)*-1,2)," CREDIT after discount"),IF(T2GDiscount=0,"",IF(G882=0,"",IF(F882="Buy",CONCATENATE(" $",ROUND(K882*(1-T2GDiscount),2)," with ",(T2GDiscount*100),"% discount"),CONCATENATE(" $",ROUND(K882*(1-T2GDiscount),2)," with ",((T2GDiscount*100+F882*100)-(T2GDiscount*100*F882)),IF(F882&gt;0,"% discounts",IF(NoWarrantyDiscount&gt;0,"% discounts","% discount")))))))))</f>
        <v/>
      </c>
      <c r="N882" s="660"/>
      <c r="O882" s="233"/>
      <c r="P882" s="233"/>
      <c r="Q882" s="233"/>
      <c r="R882" s="233"/>
      <c r="S882" s="233"/>
      <c r="T882" s="508">
        <f t="shared" si="623"/>
        <v>0</v>
      </c>
      <c r="U882" s="225">
        <f>IF(NOT(ISNUMBER(G882)), "", VLOOKUP(A882,'Discount Lookup'!D:E,2,FALSE)*G882)</f>
        <v>0</v>
      </c>
      <c r="V882" s="225">
        <f>IF(NOT(ISNUMBER(G882)), "", VLOOKUP(A882,'Discount Lookup'!G:H,2,FALSE)*G882)</f>
        <v>0</v>
      </c>
      <c r="W882" s="508">
        <f t="shared" si="624"/>
        <v>0</v>
      </c>
      <c r="X882" s="508">
        <f t="shared" si="625"/>
        <v>0</v>
      </c>
      <c r="Y882" s="509" t="b">
        <f t="shared" si="626"/>
        <v>0</v>
      </c>
      <c r="Z882" s="510">
        <f t="shared" si="627"/>
        <v>0</v>
      </c>
      <c r="AA882" s="511"/>
      <c r="AB882" s="511" t="str">
        <f t="shared" si="628"/>
        <v/>
      </c>
      <c r="AC882" s="698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698"/>
      <c r="AE882" s="631" t="str">
        <f t="shared" si="629"/>
        <v/>
      </c>
      <c r="AF882" s="699" t="str">
        <f t="shared" si="630"/>
        <v/>
      </c>
      <c r="AG882" s="699"/>
      <c r="AH882" s="699"/>
      <c r="AI882" s="512">
        <f>IF(H882="credit",0,IF(AE882="free",0,IF(AE882="me",0,IF(G882&gt;0,(VLOOKUP(A882,'Discount Lookup'!J:K,2)*G882),0))))</f>
        <v>0</v>
      </c>
      <c r="AJ882" s="513" t="str">
        <f t="shared" ca="1" si="631"/>
        <v/>
      </c>
      <c r="AK882" s="700" t="str">
        <f t="shared" si="632"/>
        <v/>
      </c>
      <c r="AL882" s="700"/>
      <c r="AM882" s="505" t="str">
        <f t="shared" si="633"/>
        <v/>
      </c>
      <c r="AN882" s="506"/>
      <c r="AO882" s="507"/>
      <c r="AP882" s="507"/>
      <c r="AQ882" s="507"/>
      <c r="AR882" s="507"/>
      <c r="AS882" s="507"/>
      <c r="AT882" s="507"/>
      <c r="AU882" s="507"/>
      <c r="AV882" s="225"/>
      <c r="AW882" s="508"/>
      <c r="AX882" s="225"/>
      <c r="AY882" s="225"/>
      <c r="AZ882" s="225"/>
      <c r="BA882" s="225"/>
      <c r="BB882" s="225"/>
      <c r="BC882" s="56"/>
      <c r="BD882" s="56"/>
      <c r="BE882" s="56"/>
      <c r="BF882" s="107" t="str">
        <f t="shared" si="634"/>
        <v>https://www.google.com/search?tbm=isch&amp;q=7%20G4</v>
      </c>
      <c r="BG882" s="107" t="str">
        <f t="shared" si="635"/>
        <v>C</v>
      </c>
      <c r="BH882" s="254"/>
      <c r="BI882" s="254"/>
    </row>
    <row r="883" spans="1:61" customFormat="1" ht="15.75" x14ac:dyDescent="0.25">
      <c r="A883" s="485">
        <v>15</v>
      </c>
      <c r="B883" s="486" t="s">
        <v>291</v>
      </c>
      <c r="C883" s="487" t="s">
        <v>3399</v>
      </c>
      <c r="D883" s="488" t="s">
        <v>292</v>
      </c>
      <c r="E883" s="489">
        <v>252.95</v>
      </c>
      <c r="F883" s="516" t="s">
        <v>293</v>
      </c>
      <c r="G883" s="232">
        <v>0</v>
      </c>
      <c r="H883" s="658" t="str">
        <f>IF(G883=0,"",IF(F883="Buy",IF(G883=1,"plant","plants"),IF(F883&gt;0.01,"warranty","Error")))</f>
        <v/>
      </c>
      <c r="I883" s="490">
        <f>IF(H883="free",0,IF(H883="credit",((E883*(F883))*G883*-1),IF(F883="Buy",(E883*G883),((E883*(1-F883))*G883))))</f>
        <v>0</v>
      </c>
      <c r="J883" s="490">
        <f>IF(H883="warranty",0,(I883*(_xlfn.SINGLE(SalesTaxPercentage))))</f>
        <v>0</v>
      </c>
      <c r="K883" s="695">
        <f t="shared" ref="K883" si="660">I883+J883</f>
        <v>0</v>
      </c>
      <c r="L883" s="695"/>
      <c r="M883" s="659" t="str">
        <f>IF(AND(G883&gt;0,E883=0),"WARNING - no PRICE inserted",IF(H883="free"," FREE ~ no charge this plant",IF(H883="credit",CONCATENATE(" -$",ROUND(K883*(1-T2GDiscount)*-1,2)," CREDIT after discount"),IF(T2GDiscount=0,"",IF(G883=0,"",IF(F883="Buy",CONCATENATE(" $",ROUND(K883*(1-T2GDiscount),2)," with ",(T2GDiscount*100),"% discount"),CONCATENATE(" $",ROUND(K883*(1-T2GDiscount),2)," with ",((T2GDiscount*100+F883*100)-(T2GDiscount*100*F883)),IF(F883&gt;0,"% discounts",IF(NoWarrantyDiscount&gt;0,"% discounts","% discount")))))))))</f>
        <v/>
      </c>
      <c r="N883" s="660"/>
      <c r="O883" s="233"/>
      <c r="P883" s="233"/>
      <c r="Q883" s="233"/>
      <c r="R883" s="233"/>
      <c r="S883" s="233"/>
      <c r="T883" s="508">
        <f t="shared" si="623"/>
        <v>0</v>
      </c>
      <c r="U883" s="225">
        <f>IF(NOT(ISNUMBER(G883)), "", VLOOKUP(A883,'Discount Lookup'!D:E,2,FALSE)*G883)</f>
        <v>0</v>
      </c>
      <c r="V883" s="225">
        <f>IF(NOT(ISNUMBER(G883)), "", VLOOKUP(A883,'Discount Lookup'!G:H,2,FALSE)*G883)</f>
        <v>0</v>
      </c>
      <c r="W883" s="508">
        <f t="shared" si="624"/>
        <v>0</v>
      </c>
      <c r="X883" s="508">
        <f t="shared" si="625"/>
        <v>0</v>
      </c>
      <c r="Y883" s="509" t="b">
        <f t="shared" si="626"/>
        <v>0</v>
      </c>
      <c r="Z883" s="510">
        <f t="shared" si="627"/>
        <v>0</v>
      </c>
      <c r="AA883" s="511"/>
      <c r="AB883" s="511" t="str">
        <f t="shared" si="628"/>
        <v/>
      </c>
      <c r="AC883" s="698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698"/>
      <c r="AE883" s="631" t="str">
        <f t="shared" si="629"/>
        <v/>
      </c>
      <c r="AF883" s="699" t="str">
        <f t="shared" si="630"/>
        <v/>
      </c>
      <c r="AG883" s="699"/>
      <c r="AH883" s="699"/>
      <c r="AI883" s="512">
        <f>IF(H883="credit",0,IF(AE883="free",0,IF(AE883="me",0,IF(G883&gt;0,(VLOOKUP(A883,'Discount Lookup'!J:K,2)*G883),0))))</f>
        <v>0</v>
      </c>
      <c r="AJ883" s="513" t="str">
        <f t="shared" ca="1" si="631"/>
        <v/>
      </c>
      <c r="AK883" s="700" t="str">
        <f t="shared" si="632"/>
        <v/>
      </c>
      <c r="AL883" s="700"/>
      <c r="AM883" s="505" t="str">
        <f t="shared" si="633"/>
        <v/>
      </c>
      <c r="AN883" s="506"/>
      <c r="AO883" s="507"/>
      <c r="AP883" s="507"/>
      <c r="AQ883" s="507"/>
      <c r="AR883" s="507"/>
      <c r="AS883" s="507"/>
      <c r="AT883" s="507"/>
      <c r="AU883" s="507"/>
      <c r="AV883" s="225"/>
      <c r="AW883" s="508"/>
      <c r="AX883" s="225"/>
      <c r="AY883" s="225"/>
      <c r="AZ883" s="225"/>
      <c r="BA883" s="225"/>
      <c r="BB883" s="225"/>
      <c r="BC883" s="56"/>
      <c r="BD883" s="56"/>
      <c r="BE883" s="56"/>
      <c r="BF883" s="107" t="str">
        <f t="shared" si="634"/>
        <v>https://www.google.com/search?tbm=isch&amp;q=15%20G4</v>
      </c>
      <c r="BG883" s="107" t="str">
        <f t="shared" si="635"/>
        <v>C</v>
      </c>
      <c r="BH883" s="254"/>
      <c r="BI883" s="254"/>
    </row>
    <row r="884" spans="1:61" customFormat="1" ht="16.5" thickBot="1" x14ac:dyDescent="0.3">
      <c r="A884" s="522" t="s">
        <v>2127</v>
      </c>
      <c r="B884" s="491"/>
      <c r="C884" s="675"/>
      <c r="D884" s="491"/>
      <c r="E884" s="491"/>
      <c r="F884" s="492"/>
      <c r="G884" s="493"/>
      <c r="H884" s="491"/>
      <c r="I884" s="234"/>
      <c r="J884" s="234"/>
      <c r="K884" s="494"/>
      <c r="L884" s="543"/>
      <c r="M884" s="561"/>
      <c r="N884" s="495"/>
      <c r="O884" s="496"/>
      <c r="P884" s="497"/>
      <c r="Q884" s="495"/>
      <c r="R884" s="495"/>
      <c r="S884" s="277"/>
      <c r="T884" s="508">
        <f t="shared" si="623"/>
        <v>0</v>
      </c>
      <c r="U884" s="225" t="str">
        <f>IF(NOT(ISNUMBER(G884)), "", VLOOKUP(A884,'Discount Lookup'!D:E,2,FALSE)*G884)</f>
        <v/>
      </c>
      <c r="V884" s="225" t="str">
        <f>IF(NOT(ISNUMBER(G884)), "", VLOOKUP(A884,'Discount Lookup'!G:H,2,FALSE)*G884)</f>
        <v/>
      </c>
      <c r="W884" s="508">
        <f t="shared" si="624"/>
        <v>0</v>
      </c>
      <c r="X884" s="508">
        <f t="shared" si="625"/>
        <v>0</v>
      </c>
      <c r="Y884" s="509" t="b">
        <f t="shared" si="626"/>
        <v>0</v>
      </c>
      <c r="Z884" s="510">
        <f t="shared" si="627"/>
        <v>0</v>
      </c>
      <c r="AA884" s="511"/>
      <c r="AB884" s="511" t="str">
        <f t="shared" si="628"/>
        <v/>
      </c>
      <c r="AC884" s="698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698"/>
      <c r="AE884" s="631" t="str">
        <f t="shared" si="629"/>
        <v/>
      </c>
      <c r="AF884" s="699" t="str">
        <f t="shared" si="630"/>
        <v/>
      </c>
      <c r="AG884" s="699"/>
      <c r="AH884" s="699"/>
      <c r="AI884" s="512">
        <f>IF(H884="credit",0,IF(AE884="free",0,IF(AE884="me",0,IF(G884&gt;0,(VLOOKUP(A884,'Discount Lookup'!J:K,2)*G884),0))))</f>
        <v>0</v>
      </c>
      <c r="AJ884" s="513" t="str">
        <f t="shared" ca="1" si="631"/>
        <v/>
      </c>
      <c r="AK884" s="700" t="str">
        <f t="shared" si="632"/>
        <v/>
      </c>
      <c r="AL884" s="700"/>
      <c r="AM884" s="505" t="str">
        <f t="shared" si="633"/>
        <v/>
      </c>
      <c r="AN884" s="506"/>
      <c r="AO884" s="507"/>
      <c r="AP884" s="507"/>
      <c r="AQ884" s="507"/>
      <c r="AR884" s="507"/>
      <c r="AS884" s="507"/>
      <c r="AT884" s="507"/>
      <c r="AU884" s="507"/>
      <c r="AV884" s="225"/>
      <c r="AW884" s="508"/>
      <c r="AX884" s="225"/>
      <c r="AY884" s="225"/>
      <c r="AZ884" s="225"/>
      <c r="BA884" s="225"/>
      <c r="BB884" s="225"/>
      <c r="BC884" s="56"/>
      <c r="BD884" s="56"/>
      <c r="BE884" s="56"/>
      <c r="BF884" s="107" t="str">
        <f t="shared" si="634"/>
        <v>https://www.google.com/search?tbm=isch&amp;q=Coppertallica%20named%20for%20it%27s%20metallic%20copper%20undersides.%20Fragrant%20bloome%20with%20Yellow%20stamens%20and%20a%20Red%20eye%20</v>
      </c>
      <c r="BG884" s="107" t="str">
        <f t="shared" si="635"/>
        <v>C</v>
      </c>
      <c r="BH884" s="254"/>
      <c r="BI884" s="254"/>
    </row>
    <row r="885" spans="1:61" customFormat="1" ht="18" x14ac:dyDescent="0.25">
      <c r="A885" s="521" t="s">
        <v>5586</v>
      </c>
      <c r="B885" s="477"/>
      <c r="C885" s="674"/>
      <c r="D885" s="478" t="s">
        <v>875</v>
      </c>
      <c r="E885" s="479"/>
      <c r="F885" s="479"/>
      <c r="G885" s="479"/>
      <c r="H885" s="582" t="s">
        <v>483</v>
      </c>
      <c r="I885" s="480" t="s">
        <v>2092</v>
      </c>
      <c r="J885" s="479"/>
      <c r="K885" s="479"/>
      <c r="L885" s="560"/>
      <c r="M885" s="666" t="s">
        <v>4966</v>
      </c>
      <c r="N885" s="680" t="str">
        <f>IF(AND(ISTEXT($A885), ISERROR($A885+0)), HYPERLINK($BF885, "Images"), "")</f>
        <v>Images</v>
      </c>
      <c r="O885" s="662" t="s">
        <v>4969</v>
      </c>
      <c r="P885" s="482"/>
      <c r="Q885" s="483"/>
      <c r="R885" s="483"/>
      <c r="S885" s="484"/>
      <c r="T885" s="508">
        <f t="shared" si="623"/>
        <v>0</v>
      </c>
      <c r="U885" s="225" t="str">
        <f>IF(NOT(ISNUMBER(G885)), "", VLOOKUP(A885,'Discount Lookup'!D:E,2,FALSE)*G885)</f>
        <v/>
      </c>
      <c r="V885" s="225" t="str">
        <f>IF(NOT(ISNUMBER(G885)), "", VLOOKUP(A885,'Discount Lookup'!G:H,2,FALSE)*G885)</f>
        <v/>
      </c>
      <c r="W885" s="508">
        <f t="shared" si="624"/>
        <v>0</v>
      </c>
      <c r="X885" s="508" t="str">
        <f t="shared" si="625"/>
        <v>Blue-Green foliage</v>
      </c>
      <c r="Y885" s="509" t="b">
        <f t="shared" si="626"/>
        <v>0</v>
      </c>
      <c r="Z885" s="510">
        <f t="shared" si="627"/>
        <v>0</v>
      </c>
      <c r="AA885" s="511"/>
      <c r="AB885" s="511" t="str">
        <f t="shared" si="628"/>
        <v/>
      </c>
      <c r="AC885" s="698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698"/>
      <c r="AE885" s="631" t="str">
        <f t="shared" si="629"/>
        <v/>
      </c>
      <c r="AF885" s="699" t="str">
        <f t="shared" si="630"/>
        <v/>
      </c>
      <c r="AG885" s="699"/>
      <c r="AH885" s="699"/>
      <c r="AI885" s="512">
        <f>IF(H885="credit",0,IF(AE885="free",0,IF(AE885="me",0,IF(G885&gt;0,(VLOOKUP(A885,'Discount Lookup'!J:K,2)*G885),0))))</f>
        <v>0</v>
      </c>
      <c r="AJ885" s="513" t="str">
        <f t="shared" ca="1" si="631"/>
        <v/>
      </c>
      <c r="AK885" s="700" t="str">
        <f t="shared" si="632"/>
        <v/>
      </c>
      <c r="AL885" s="700"/>
      <c r="AM885" s="505" t="str">
        <f t="shared" si="633"/>
        <v/>
      </c>
      <c r="AN885" s="506"/>
      <c r="AO885" s="507"/>
      <c r="AP885" s="507"/>
      <c r="AQ885" s="507"/>
      <c r="AR885" s="507"/>
      <c r="AS885" s="507"/>
      <c r="AT885" s="507"/>
      <c r="AU885" s="507"/>
      <c r="AV885" s="225"/>
      <c r="AW885" s="508"/>
      <c r="AX885" s="225"/>
      <c r="AY885" s="225"/>
      <c r="AZ885" s="225"/>
      <c r="BA885" s="225"/>
      <c r="BB885" s="225"/>
      <c r="BC885" s="56"/>
      <c r="BD885" s="56"/>
      <c r="BE885" s="56"/>
      <c r="BF885" s="107" t="str">
        <f t="shared" si="634"/>
        <v>https://www.google.com/search?tbm=isch&amp;q=Coppertone%E2%84%A2%20Distyllium%20%28FE%C2%AE%29%20Distylium%20%27PIIDIST-III%27%20PP%2325304</v>
      </c>
      <c r="BG885" s="107" t="str">
        <f t="shared" si="635"/>
        <v>C</v>
      </c>
      <c r="BH885" s="254"/>
      <c r="BI885" s="254"/>
    </row>
    <row r="886" spans="1:61" customFormat="1" ht="15.75" x14ac:dyDescent="0.25">
      <c r="A886" s="485">
        <v>3</v>
      </c>
      <c r="B886" s="486" t="s">
        <v>291</v>
      </c>
      <c r="C886" s="487" t="s">
        <v>4749</v>
      </c>
      <c r="D886" s="488" t="s">
        <v>312</v>
      </c>
      <c r="E886" s="489">
        <v>33.950000000000003</v>
      </c>
      <c r="F886" s="516" t="s">
        <v>293</v>
      </c>
      <c r="G886" s="232">
        <v>0</v>
      </c>
      <c r="H886" s="658" t="str">
        <f>IF(G886=0,"",IF(F886="Buy",IF(G886=1,"plant","plants"),IF(F886&gt;0.01,"warranty","Error")))</f>
        <v/>
      </c>
      <c r="I886" s="490">
        <f>IF(H886="free",0,IF(H886="credit",((E886*(F886))*G886*-1),IF(F886="Buy",(E886*G886),((E886*(1-F886))*G886))))</f>
        <v>0</v>
      </c>
      <c r="J886" s="490">
        <f>IF(H886="warranty",0,(I886*(_xlfn.SINGLE(SalesTaxPercentage))))</f>
        <v>0</v>
      </c>
      <c r="K886" s="695">
        <f t="shared" ref="K886" si="661">I886+J886</f>
        <v>0</v>
      </c>
      <c r="L886" s="695"/>
      <c r="M886" s="659" t="str">
        <f>IF(AND(G886&gt;0,E886=0),"WARNING - no PRICE inserted",IF(H886="free"," FREE ~ no charge this plant",IF(H886="credit",CONCATENATE(" -$",ROUND(K886*(1-T2GDiscount)*-1,2)," CREDIT after discount"),IF(T2GDiscount=0,"",IF(G886=0,"",IF(F886="Buy",CONCATENATE(" $",ROUND(K886*(1-T2GDiscount),2)," with ",(T2GDiscount*100),"% discount"),CONCATENATE(" $",ROUND(K886*(1-T2GDiscount),2)," with ",((T2GDiscount*100+F886*100)-(T2GDiscount*100*F886)),IF(F886&gt;0,"% discounts",IF(NoWarrantyDiscount&gt;0,"% discounts","% discount")))))))))</f>
        <v/>
      </c>
      <c r="N886" s="660"/>
      <c r="O886" s="233"/>
      <c r="P886" s="233"/>
      <c r="Q886" s="233"/>
      <c r="R886" s="233"/>
      <c r="S886" s="233"/>
      <c r="T886" s="508">
        <f t="shared" si="623"/>
        <v>0</v>
      </c>
      <c r="U886" s="225">
        <f>IF(NOT(ISNUMBER(G886)), "", VLOOKUP(A886,'Discount Lookup'!D:E,2,FALSE)*G886)</f>
        <v>0</v>
      </c>
      <c r="V886" s="225">
        <f>IF(NOT(ISNUMBER(G886)), "", VLOOKUP(A886,'Discount Lookup'!G:H,2,FALSE)*G886)</f>
        <v>0</v>
      </c>
      <c r="W886" s="508">
        <f t="shared" si="624"/>
        <v>0</v>
      </c>
      <c r="X886" s="508">
        <f t="shared" si="625"/>
        <v>0</v>
      </c>
      <c r="Y886" s="509" t="b">
        <f t="shared" si="626"/>
        <v>0</v>
      </c>
      <c r="Z886" s="510">
        <f t="shared" si="627"/>
        <v>0</v>
      </c>
      <c r="AA886" s="511"/>
      <c r="AB886" s="511" t="str">
        <f t="shared" si="628"/>
        <v/>
      </c>
      <c r="AC886" s="698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698"/>
      <c r="AE886" s="631" t="str">
        <f t="shared" si="629"/>
        <v/>
      </c>
      <c r="AF886" s="699" t="str">
        <f t="shared" si="630"/>
        <v/>
      </c>
      <c r="AG886" s="699"/>
      <c r="AH886" s="699"/>
      <c r="AI886" s="512">
        <f>IF(H886="credit",0,IF(AE886="free",0,IF(AE886="me",0,IF(G886&gt;0,(VLOOKUP(A886,'Discount Lookup'!J:K,2)*G886),0))))</f>
        <v>0</v>
      </c>
      <c r="AJ886" s="513" t="str">
        <f t="shared" ca="1" si="631"/>
        <v/>
      </c>
      <c r="AK886" s="700" t="str">
        <f t="shared" si="632"/>
        <v/>
      </c>
      <c r="AL886" s="700"/>
      <c r="AM886" s="505" t="str">
        <f t="shared" si="633"/>
        <v/>
      </c>
      <c r="AN886" s="506"/>
      <c r="AO886" s="507"/>
      <c r="AP886" s="507"/>
      <c r="AQ886" s="507"/>
      <c r="AR886" s="507"/>
      <c r="AS886" s="507"/>
      <c r="AT886" s="507"/>
      <c r="AU886" s="507"/>
      <c r="AV886" s="225"/>
      <c r="AW886" s="508"/>
      <c r="AX886" s="225"/>
      <c r="AY886" s="225"/>
      <c r="AZ886" s="225"/>
      <c r="BA886" s="225"/>
      <c r="BB886" s="225"/>
      <c r="BC886" s="56"/>
      <c r="BD886" s="56"/>
      <c r="BE886" s="56"/>
      <c r="BF886" s="107" t="str">
        <f t="shared" si="634"/>
        <v>https://www.google.com/search?tbm=isch&amp;q=3%20G2</v>
      </c>
      <c r="BG886" s="107" t="str">
        <f t="shared" si="635"/>
        <v>C</v>
      </c>
      <c r="BH886" s="254"/>
      <c r="BI886" s="254"/>
    </row>
    <row r="887" spans="1:61" customFormat="1" ht="15.75" x14ac:dyDescent="0.25">
      <c r="A887" s="485">
        <v>3</v>
      </c>
      <c r="B887" s="486" t="s">
        <v>291</v>
      </c>
      <c r="C887" s="487"/>
      <c r="D887" s="488" t="s">
        <v>298</v>
      </c>
      <c r="E887" s="489">
        <v>34.950000000000003</v>
      </c>
      <c r="F887" s="516" t="s">
        <v>293</v>
      </c>
      <c r="G887" s="232">
        <v>0</v>
      </c>
      <c r="H887" s="658" t="str">
        <f>IF(G887=0,"",IF(F887="Buy",IF(G887=1,"plant","plants"),IF(F887&gt;0.01,"warranty","Error")))</f>
        <v/>
      </c>
      <c r="I887" s="490">
        <f>IF(H887="free",0,IF(H887="credit",((E887*(F887))*G887*-1),IF(F887="Buy",(E887*G887),((E887*(1-F887))*G887))))</f>
        <v>0</v>
      </c>
      <c r="J887" s="490">
        <f>IF(H887="warranty",0,(I887*(_xlfn.SINGLE(SalesTaxPercentage))))</f>
        <v>0</v>
      </c>
      <c r="K887" s="695">
        <f t="shared" ref="K887" si="662">I887+J887</f>
        <v>0</v>
      </c>
      <c r="L887" s="695"/>
      <c r="M887" s="659" t="str">
        <f>IF(AND(G887&gt;0,E887=0),"WARNING - no PRICE inserted",IF(H887="free"," FREE ~ no charge this plant",IF(H887="credit",CONCATENATE(" -$",ROUND(K887*(1-T2GDiscount)*-1,2)," CREDIT after discount"),IF(T2GDiscount=0,"",IF(G887=0,"",IF(F887="Buy",CONCATENATE(" $",ROUND(K887*(1-T2GDiscount),2)," with ",(T2GDiscount*100),"% discount"),CONCATENATE(" $",ROUND(K887*(1-T2GDiscount),2)," with ",((T2GDiscount*100+F887*100)-(T2GDiscount*100*F887)),IF(F887&gt;0,"% discounts",IF(NoWarrantyDiscount&gt;0,"% discounts","% discount")))))))))</f>
        <v/>
      </c>
      <c r="N887" s="660"/>
      <c r="O887" s="233"/>
      <c r="P887" s="233"/>
      <c r="Q887" s="233"/>
      <c r="R887" s="233"/>
      <c r="S887" s="233"/>
      <c r="T887" s="508">
        <f t="shared" si="623"/>
        <v>0</v>
      </c>
      <c r="U887" s="225">
        <f>IF(NOT(ISNUMBER(G887)), "", VLOOKUP(A887,'Discount Lookup'!D:E,2,FALSE)*G887)</f>
        <v>0</v>
      </c>
      <c r="V887" s="225">
        <f>IF(NOT(ISNUMBER(G887)), "", VLOOKUP(A887,'Discount Lookup'!G:H,2,FALSE)*G887)</f>
        <v>0</v>
      </c>
      <c r="W887" s="508">
        <f t="shared" si="624"/>
        <v>0</v>
      </c>
      <c r="X887" s="508">
        <f t="shared" si="625"/>
        <v>0</v>
      </c>
      <c r="Y887" s="509" t="b">
        <f t="shared" si="626"/>
        <v>0</v>
      </c>
      <c r="Z887" s="510">
        <f t="shared" si="627"/>
        <v>0</v>
      </c>
      <c r="AA887" s="511"/>
      <c r="AB887" s="511" t="str">
        <f t="shared" si="628"/>
        <v/>
      </c>
      <c r="AC887" s="698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698"/>
      <c r="AE887" s="631" t="str">
        <f t="shared" si="629"/>
        <v/>
      </c>
      <c r="AF887" s="699" t="str">
        <f t="shared" si="630"/>
        <v/>
      </c>
      <c r="AG887" s="699"/>
      <c r="AH887" s="699"/>
      <c r="AI887" s="512">
        <f>IF(H887="credit",0,IF(AE887="free",0,IF(AE887="me",0,IF(G887&gt;0,(VLOOKUP(A887,'Discount Lookup'!J:K,2)*G887),0))))</f>
        <v>0</v>
      </c>
      <c r="AJ887" s="513" t="str">
        <f t="shared" ca="1" si="631"/>
        <v/>
      </c>
      <c r="AK887" s="700" t="str">
        <f t="shared" si="632"/>
        <v/>
      </c>
      <c r="AL887" s="700"/>
      <c r="AM887" s="505" t="str">
        <f t="shared" si="633"/>
        <v/>
      </c>
      <c r="AN887" s="506"/>
      <c r="AO887" s="507"/>
      <c r="AP887" s="507"/>
      <c r="AQ887" s="507"/>
      <c r="AR887" s="507"/>
      <c r="AS887" s="507"/>
      <c r="AT887" s="507"/>
      <c r="AU887" s="507"/>
      <c r="AV887" s="225"/>
      <c r="AW887" s="508"/>
      <c r="AX887" s="225"/>
      <c r="AY887" s="225"/>
      <c r="AZ887" s="225"/>
      <c r="BA887" s="225"/>
      <c r="BB887" s="225"/>
      <c r="BC887" s="56"/>
      <c r="BD887" s="56"/>
      <c r="BE887" s="56"/>
      <c r="BF887" s="107" t="str">
        <f t="shared" si="634"/>
        <v>https://www.google.com/search?tbm=isch&amp;q=3%20G1</v>
      </c>
      <c r="BG887" s="107" t="str">
        <f t="shared" si="635"/>
        <v>C</v>
      </c>
      <c r="BH887" s="254"/>
      <c r="BI887" s="254"/>
    </row>
    <row r="888" spans="1:61" customFormat="1" ht="15.75" x14ac:dyDescent="0.25">
      <c r="A888" s="485">
        <v>7</v>
      </c>
      <c r="B888" s="486" t="s">
        <v>291</v>
      </c>
      <c r="C888" s="487" t="s">
        <v>4499</v>
      </c>
      <c r="D888" s="488" t="s">
        <v>300</v>
      </c>
      <c r="E888" s="489">
        <v>109.95</v>
      </c>
      <c r="F888" s="516" t="s">
        <v>293</v>
      </c>
      <c r="G888" s="232">
        <v>0</v>
      </c>
      <c r="H888" s="658" t="str">
        <f>IF(G888=0,"",IF(F888="Buy",IF(G888=1,"plant","plants"),IF(F888&gt;0.01,"warranty","Error")))</f>
        <v/>
      </c>
      <c r="I888" s="490">
        <f>IF(H888="free",0,IF(H888="credit",((E888*(F888))*G888*-1),IF(F888="Buy",(E888*G888),((E888*(1-F888))*G888))))</f>
        <v>0</v>
      </c>
      <c r="J888" s="490">
        <f>IF(H888="warranty",0,(I888*(_xlfn.SINGLE(SalesTaxPercentage))))</f>
        <v>0</v>
      </c>
      <c r="K888" s="695">
        <f t="shared" ref="K888" si="663">I888+J888</f>
        <v>0</v>
      </c>
      <c r="L888" s="695"/>
      <c r="M888" s="659" t="str">
        <f>IF(AND(G888&gt;0,E888=0),"WARNING - no PRICE inserted",IF(H888="free"," FREE ~ no charge this plant",IF(H888="credit",CONCATENATE(" -$",ROUND(K888*(1-T2GDiscount)*-1,2)," CREDIT after discount"),IF(T2GDiscount=0,"",IF(G888=0,"",IF(F888="Buy",CONCATENATE(" $",ROUND(K888*(1-T2GDiscount),2)," with ",(T2GDiscount*100),"% discount"),CONCATENATE(" $",ROUND(K888*(1-T2GDiscount),2)," with ",((T2GDiscount*100+F888*100)-(T2GDiscount*100*F888)),IF(F888&gt;0,"% discounts",IF(NoWarrantyDiscount&gt;0,"% discounts","% discount")))))))))</f>
        <v/>
      </c>
      <c r="N888" s="660"/>
      <c r="O888" s="233"/>
      <c r="P888" s="233"/>
      <c r="Q888" s="233"/>
      <c r="R888" s="233"/>
      <c r="S888" s="233"/>
      <c r="T888" s="508">
        <f t="shared" si="623"/>
        <v>0</v>
      </c>
      <c r="U888" s="225">
        <f>IF(NOT(ISNUMBER(G888)), "", VLOOKUP(A888,'Discount Lookup'!D:E,2,FALSE)*G888)</f>
        <v>0</v>
      </c>
      <c r="V888" s="225">
        <f>IF(NOT(ISNUMBER(G888)), "", VLOOKUP(A888,'Discount Lookup'!G:H,2,FALSE)*G888)</f>
        <v>0</v>
      </c>
      <c r="W888" s="508">
        <f t="shared" si="624"/>
        <v>0</v>
      </c>
      <c r="X888" s="508">
        <f t="shared" si="625"/>
        <v>0</v>
      </c>
      <c r="Y888" s="509" t="b">
        <f t="shared" si="626"/>
        <v>0</v>
      </c>
      <c r="Z888" s="510">
        <f t="shared" si="627"/>
        <v>0</v>
      </c>
      <c r="AA888" s="511"/>
      <c r="AB888" s="511" t="str">
        <f t="shared" si="628"/>
        <v/>
      </c>
      <c r="AC888" s="698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698"/>
      <c r="AE888" s="631" t="str">
        <f t="shared" si="629"/>
        <v/>
      </c>
      <c r="AF888" s="699" t="str">
        <f t="shared" si="630"/>
        <v/>
      </c>
      <c r="AG888" s="699"/>
      <c r="AH888" s="699"/>
      <c r="AI888" s="512">
        <f>IF(H888="credit",0,IF(AE888="free",0,IF(AE888="me",0,IF(G888&gt;0,(VLOOKUP(A888,'Discount Lookup'!J:K,2)*G888),0))))</f>
        <v>0</v>
      </c>
      <c r="AJ888" s="513" t="str">
        <f t="shared" ca="1" si="631"/>
        <v/>
      </c>
      <c r="AK888" s="700" t="str">
        <f t="shared" si="632"/>
        <v/>
      </c>
      <c r="AL888" s="700"/>
      <c r="AM888" s="505" t="str">
        <f t="shared" si="633"/>
        <v/>
      </c>
      <c r="AN888" s="506"/>
      <c r="AO888" s="507"/>
      <c r="AP888" s="507"/>
      <c r="AQ888" s="507"/>
      <c r="AR888" s="507"/>
      <c r="AS888" s="507"/>
      <c r="AT888" s="507"/>
      <c r="AU888" s="507"/>
      <c r="AV888" s="225"/>
      <c r="AW888" s="508"/>
      <c r="AX888" s="225"/>
      <c r="AY888" s="225"/>
      <c r="AZ888" s="225"/>
      <c r="BA888" s="225"/>
      <c r="BB888" s="225"/>
      <c r="BC888" s="56"/>
      <c r="BD888" s="56"/>
      <c r="BE888" s="56"/>
      <c r="BF888" s="107" t="str">
        <f t="shared" si="634"/>
        <v>https://www.google.com/search?tbm=isch&amp;q=7%20G6</v>
      </c>
      <c r="BG888" s="107" t="str">
        <f t="shared" si="635"/>
        <v>C</v>
      </c>
      <c r="BH888" s="254"/>
      <c r="BI888" s="254"/>
    </row>
    <row r="889" spans="1:61" customFormat="1" ht="16.5" thickBot="1" x14ac:dyDescent="0.3">
      <c r="A889" s="522" t="s">
        <v>4074</v>
      </c>
      <c r="B889" s="491"/>
      <c r="C889" s="675"/>
      <c r="D889" s="491"/>
      <c r="E889" s="491"/>
      <c r="F889" s="492"/>
      <c r="G889" s="493"/>
      <c r="H889" s="491"/>
      <c r="I889" s="234"/>
      <c r="J889" s="234"/>
      <c r="K889" s="494"/>
      <c r="L889" s="543"/>
      <c r="M889" s="561"/>
      <c r="N889" s="495"/>
      <c r="O889" s="496"/>
      <c r="P889" s="497"/>
      <c r="Q889" s="495"/>
      <c r="R889" s="495"/>
      <c r="S889" s="667" t="s">
        <v>4968</v>
      </c>
      <c r="T889" s="508">
        <f t="shared" si="623"/>
        <v>0</v>
      </c>
      <c r="U889" s="225" t="str">
        <f>IF(NOT(ISNUMBER(G889)), "", VLOOKUP(A889,'Discount Lookup'!D:E,2,FALSE)*G889)</f>
        <v/>
      </c>
      <c r="V889" s="225" t="str">
        <f>IF(NOT(ISNUMBER(G889)), "", VLOOKUP(A889,'Discount Lookup'!G:H,2,FALSE)*G889)</f>
        <v/>
      </c>
      <c r="W889" s="508">
        <f t="shared" si="624"/>
        <v>0</v>
      </c>
      <c r="X889" s="508">
        <f t="shared" si="625"/>
        <v>0</v>
      </c>
      <c r="Y889" s="509" t="b">
        <f t="shared" si="626"/>
        <v>0</v>
      </c>
      <c r="Z889" s="510">
        <f t="shared" si="627"/>
        <v>0</v>
      </c>
      <c r="AA889" s="511"/>
      <c r="AB889" s="511" t="str">
        <f t="shared" si="628"/>
        <v/>
      </c>
      <c r="AC889" s="698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698"/>
      <c r="AE889" s="631" t="str">
        <f t="shared" si="629"/>
        <v/>
      </c>
      <c r="AF889" s="699" t="str">
        <f t="shared" si="630"/>
        <v/>
      </c>
      <c r="AG889" s="699"/>
      <c r="AH889" s="699"/>
      <c r="AI889" s="512">
        <f>IF(H889="credit",0,IF(AE889="free",0,IF(AE889="me",0,IF(G889&gt;0,(VLOOKUP(A889,'Discount Lookup'!J:K,2)*G889),0))))</f>
        <v>0</v>
      </c>
      <c r="AJ889" s="513" t="str">
        <f t="shared" ca="1" si="631"/>
        <v/>
      </c>
      <c r="AK889" s="700" t="str">
        <f t="shared" si="632"/>
        <v/>
      </c>
      <c r="AL889" s="700"/>
      <c r="AM889" s="505" t="str">
        <f t="shared" si="633"/>
        <v/>
      </c>
      <c r="AN889" s="506"/>
      <c r="AO889" s="507"/>
      <c r="AP889" s="507"/>
      <c r="AQ889" s="507"/>
      <c r="AR889" s="507"/>
      <c r="AS889" s="507"/>
      <c r="AT889" s="507"/>
      <c r="AU889" s="507"/>
      <c r="AV889" s="225"/>
      <c r="AW889" s="508"/>
      <c r="AX889" s="225"/>
      <c r="AY889" s="225"/>
      <c r="AZ889" s="225"/>
      <c r="BA889" s="225"/>
      <c r="BB889" s="225"/>
      <c r="BC889" s="56"/>
      <c r="BD889" s="56"/>
      <c r="BE889" s="56"/>
      <c r="BF889" s="107" t="str">
        <f t="shared" si="634"/>
        <v>https://www.google.com/search?tbm=isch&amp;q=Coppertone%20named%20for%20Coppery%20spring%20flush%2C%20matures%20to%20cool%20blue-green%20summer%20tones%2C%20then%20rich%20winter%20Purples.%20Heat%20and%20drought%20tolerant%20</v>
      </c>
      <c r="BG889" s="107" t="str">
        <f t="shared" si="635"/>
        <v>C</v>
      </c>
      <c r="BH889" s="254"/>
      <c r="BI889" s="254"/>
    </row>
    <row r="890" spans="1:61" customFormat="1" ht="18" x14ac:dyDescent="0.25">
      <c r="A890" s="523" t="s">
        <v>692</v>
      </c>
      <c r="B890" s="235"/>
      <c r="C890" s="676"/>
      <c r="D890" s="255" t="s">
        <v>693</v>
      </c>
      <c r="E890" s="236"/>
      <c r="F890" s="236"/>
      <c r="G890" s="236"/>
      <c r="H890" s="582" t="s">
        <v>357</v>
      </c>
      <c r="I890" s="498" t="s">
        <v>2241</v>
      </c>
      <c r="J890" s="237"/>
      <c r="K890" s="237"/>
      <c r="L890" s="274"/>
      <c r="M890" s="668" t="s">
        <v>4975</v>
      </c>
      <c r="N890" s="681" t="str">
        <f>IF(AND(ISTEXT($A890), ISERROR($A890+0)), HYPERLINK($BF890, "Images"), "")</f>
        <v>Images</v>
      </c>
      <c r="O890" s="663" t="s">
        <v>4967</v>
      </c>
      <c r="P890" s="253"/>
      <c r="Q890" s="238"/>
      <c r="R890" s="239"/>
      <c r="S890" s="275"/>
      <c r="T890" s="508">
        <f t="shared" si="623"/>
        <v>0</v>
      </c>
      <c r="U890" s="225" t="str">
        <f>IF(NOT(ISNUMBER(G890)), "", VLOOKUP(A890,'Discount Lookup'!D:E,2,FALSE)*G890)</f>
        <v/>
      </c>
      <c r="V890" s="225" t="str">
        <f>IF(NOT(ISNUMBER(G890)), "", VLOOKUP(A890,'Discount Lookup'!G:H,2,FALSE)*G890)</f>
        <v/>
      </c>
      <c r="W890" s="508">
        <f t="shared" si="624"/>
        <v>0</v>
      </c>
      <c r="X890" s="508" t="str">
        <f t="shared" si="625"/>
        <v>Green foliage, Red edges</v>
      </c>
      <c r="Y890" s="509" t="b">
        <f t="shared" si="626"/>
        <v>0</v>
      </c>
      <c r="Z890" s="510">
        <f t="shared" si="627"/>
        <v>0</v>
      </c>
      <c r="AA890" s="511"/>
      <c r="AB890" s="511" t="str">
        <f t="shared" si="628"/>
        <v/>
      </c>
      <c r="AC890" s="698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698"/>
      <c r="AE890" s="631" t="str">
        <f t="shared" si="629"/>
        <v/>
      </c>
      <c r="AF890" s="699" t="str">
        <f t="shared" si="630"/>
        <v/>
      </c>
      <c r="AG890" s="699"/>
      <c r="AH890" s="699"/>
      <c r="AI890" s="512">
        <f>IF(H890="credit",0,IF(AE890="free",0,IF(AE890="me",0,IF(G890&gt;0,(VLOOKUP(A890,'Discount Lookup'!J:K,2)*G890),0))))</f>
        <v>0</v>
      </c>
      <c r="AJ890" s="513" t="str">
        <f t="shared" ca="1" si="631"/>
        <v/>
      </c>
      <c r="AK890" s="700" t="str">
        <f t="shared" si="632"/>
        <v/>
      </c>
      <c r="AL890" s="700"/>
      <c r="AM890" s="505" t="str">
        <f t="shared" si="633"/>
        <v/>
      </c>
      <c r="AN890" s="506"/>
      <c r="AO890" s="507"/>
      <c r="AP890" s="507"/>
      <c r="AQ890" s="507"/>
      <c r="AR890" s="507"/>
      <c r="AS890" s="507"/>
      <c r="AT890" s="507"/>
      <c r="AU890" s="507"/>
      <c r="AV890" s="225"/>
      <c r="AW890" s="508"/>
      <c r="AX890" s="225"/>
      <c r="AY890" s="225"/>
      <c r="AZ890" s="225"/>
      <c r="BA890" s="225"/>
      <c r="BB890" s="225"/>
      <c r="BC890" s="56"/>
      <c r="BD890" s="56"/>
      <c r="BE890" s="56"/>
      <c r="BF890" s="107" t="str">
        <f t="shared" si="634"/>
        <v>https://www.google.com/search?tbm=isch&amp;q=Coral%20Bark%20Japanese%20Maple%20Acer%20palmatum%20%27Sango-kaku%27</v>
      </c>
      <c r="BG890" s="107" t="str">
        <f t="shared" si="635"/>
        <v>C</v>
      </c>
      <c r="BH890" s="254"/>
      <c r="BI890" s="254"/>
    </row>
    <row r="891" spans="1:61" customFormat="1" ht="15.75" x14ac:dyDescent="0.25">
      <c r="A891" s="276">
        <v>7</v>
      </c>
      <c r="B891" s="240" t="s">
        <v>291</v>
      </c>
      <c r="C891" s="241"/>
      <c r="D891" s="242" t="s">
        <v>299</v>
      </c>
      <c r="E891" s="243">
        <v>217.95</v>
      </c>
      <c r="F891" s="517" t="s">
        <v>293</v>
      </c>
      <c r="G891" s="232">
        <v>0</v>
      </c>
      <c r="H891" s="661" t="str">
        <f>IF(G891=0,"",IF(F891="Buy",IF(G891=1,"plant","plants"),IF(F891&gt;0.01,"warranty","Error")))</f>
        <v/>
      </c>
      <c r="I891" s="244">
        <f>IF(H891="free",0,IF(H891="credit",((E891*(F891))*G891*-1),IF(F891="Buy",(E891*G891),((E891*(1-F891))*G891))))</f>
        <v>0</v>
      </c>
      <c r="J891" s="244">
        <f>IF(H891="warranty",0,(I891*(_xlfn.SINGLE(SalesTaxPercentage))))</f>
        <v>0</v>
      </c>
      <c r="K891" s="696">
        <f t="shared" ref="K891" si="664">I891+J891</f>
        <v>0</v>
      </c>
      <c r="L891" s="696"/>
      <c r="M891" s="659" t="str">
        <f>IF(AND(G891&gt;0,E891=0),"WARNING - no PRICE inserted",IF(H891="free"," FREE ~ no charge this plant",IF(H891="credit",CONCATENATE(" -$",ROUND(K891*(1-T2GDiscount)*-1,2)," CREDIT after discount"),IF(T2GDiscount=0,"",IF(G891=0,"",IF(F891="Buy",CONCATENATE(" $",ROUND(K891*(1-T2GDiscount),2)," with ",(T2GDiscount*100),"% discount"),CONCATENATE(" $",ROUND(K891*(1-T2GDiscount),2)," with ",((T2GDiscount*100+F891*100)-(T2GDiscount*100*F891)),IF(F891&gt;0,"% discounts",IF(NoWarrantyDiscount&gt;0,"% discounts","% discount")))))))))</f>
        <v/>
      </c>
      <c r="N891" s="660"/>
      <c r="O891" s="233"/>
      <c r="P891" s="233"/>
      <c r="Q891" s="233"/>
      <c r="R891" s="233"/>
      <c r="S891" s="233"/>
      <c r="T891" s="508">
        <f t="shared" si="623"/>
        <v>0</v>
      </c>
      <c r="U891" s="225">
        <f>IF(NOT(ISNUMBER(G891)), "", VLOOKUP(A891,'Discount Lookup'!D:E,2,FALSE)*G891)</f>
        <v>0</v>
      </c>
      <c r="V891" s="225">
        <f>IF(NOT(ISNUMBER(G891)), "", VLOOKUP(A891,'Discount Lookup'!G:H,2,FALSE)*G891)</f>
        <v>0</v>
      </c>
      <c r="W891" s="508">
        <f t="shared" si="624"/>
        <v>0</v>
      </c>
      <c r="X891" s="508">
        <f t="shared" si="625"/>
        <v>0</v>
      </c>
      <c r="Y891" s="509" t="b">
        <f t="shared" si="626"/>
        <v>0</v>
      </c>
      <c r="Z891" s="510">
        <f t="shared" si="627"/>
        <v>0</v>
      </c>
      <c r="AA891" s="511"/>
      <c r="AB891" s="511" t="str">
        <f t="shared" si="628"/>
        <v/>
      </c>
      <c r="AC891" s="698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698"/>
      <c r="AE891" s="631" t="str">
        <f t="shared" si="629"/>
        <v/>
      </c>
      <c r="AF891" s="699" t="str">
        <f t="shared" si="630"/>
        <v/>
      </c>
      <c r="AG891" s="699"/>
      <c r="AH891" s="699"/>
      <c r="AI891" s="512">
        <f>IF(H891="credit",0,IF(AE891="free",0,IF(AE891="me",0,IF(G891&gt;0,(VLOOKUP(A891,'Discount Lookup'!J:K,2)*G891),0))))</f>
        <v>0</v>
      </c>
      <c r="AJ891" s="513" t="str">
        <f t="shared" ca="1" si="631"/>
        <v/>
      </c>
      <c r="AK891" s="700" t="str">
        <f t="shared" si="632"/>
        <v/>
      </c>
      <c r="AL891" s="700"/>
      <c r="AM891" s="505" t="str">
        <f t="shared" si="633"/>
        <v/>
      </c>
      <c r="AN891" s="506"/>
      <c r="AO891" s="507"/>
      <c r="AP891" s="507"/>
      <c r="AQ891" s="507"/>
      <c r="AR891" s="507"/>
      <c r="AS891" s="507"/>
      <c r="AT891" s="507"/>
      <c r="AU891" s="507"/>
      <c r="AV891" s="225"/>
      <c r="AW891" s="508"/>
      <c r="AX891" s="225"/>
      <c r="AY891" s="225"/>
      <c r="AZ891" s="225"/>
      <c r="BA891" s="225"/>
      <c r="BB891" s="225"/>
      <c r="BC891" s="56"/>
      <c r="BD891" s="56"/>
      <c r="BE891" s="56"/>
      <c r="BF891" s="107" t="str">
        <f t="shared" si="634"/>
        <v>https://www.google.com/search?tbm=isch&amp;q=7%20G5</v>
      </c>
      <c r="BG891" s="107" t="str">
        <f t="shared" si="635"/>
        <v>C</v>
      </c>
      <c r="BH891" s="254"/>
      <c r="BI891" s="254"/>
    </row>
    <row r="892" spans="1:61" customFormat="1" ht="15.75" x14ac:dyDescent="0.25">
      <c r="A892" s="276">
        <v>7</v>
      </c>
      <c r="B892" s="240" t="s">
        <v>291</v>
      </c>
      <c r="C892" s="241" t="s">
        <v>4395</v>
      </c>
      <c r="D892" s="242" t="s">
        <v>292</v>
      </c>
      <c r="E892" s="243">
        <v>224.95</v>
      </c>
      <c r="F892" s="517" t="s">
        <v>293</v>
      </c>
      <c r="G892" s="232">
        <v>0</v>
      </c>
      <c r="H892" s="661" t="str">
        <f>IF(G892=0,"",IF(F892="Buy",IF(G892=1,"plant","plants"),IF(F892&gt;0.01,"warranty","Error")))</f>
        <v/>
      </c>
      <c r="I892" s="244">
        <f>IF(H892="free",0,IF(H892="credit",((E892*(F892))*G892*-1),IF(F892="Buy",(E892*G892),((E892*(1-F892))*G892))))</f>
        <v>0</v>
      </c>
      <c r="J892" s="244">
        <f>IF(H892="warranty",0,(I892*(_xlfn.SINGLE(SalesTaxPercentage))))</f>
        <v>0</v>
      </c>
      <c r="K892" s="696">
        <f t="shared" ref="K892" si="665">I892+J892</f>
        <v>0</v>
      </c>
      <c r="L892" s="696"/>
      <c r="M892" s="659" t="str">
        <f>IF(AND(G892&gt;0,E892=0),"WARNING - no PRICE inserted",IF(H892="free"," FREE ~ no charge this plant",IF(H892="credit",CONCATENATE(" -$",ROUND(K892*(1-T2GDiscount)*-1,2)," CREDIT after discount"),IF(T2GDiscount=0,"",IF(G892=0,"",IF(F892="Buy",CONCATENATE(" $",ROUND(K892*(1-T2GDiscount),2)," with ",(T2GDiscount*100),"% discount"),CONCATENATE(" $",ROUND(K892*(1-T2GDiscount),2)," with ",((T2GDiscount*100+F892*100)-(T2GDiscount*100*F892)),IF(F892&gt;0,"% discounts",IF(NoWarrantyDiscount&gt;0,"% discounts","% discount")))))))))</f>
        <v/>
      </c>
      <c r="N892" s="660"/>
      <c r="O892" s="233"/>
      <c r="P892" s="233"/>
      <c r="Q892" s="233"/>
      <c r="R892" s="233"/>
      <c r="S892" s="233"/>
      <c r="T892" s="508">
        <f t="shared" si="623"/>
        <v>0</v>
      </c>
      <c r="U892" s="225">
        <f>IF(NOT(ISNUMBER(G892)), "", VLOOKUP(A892,'Discount Lookup'!D:E,2,FALSE)*G892)</f>
        <v>0</v>
      </c>
      <c r="V892" s="225">
        <f>IF(NOT(ISNUMBER(G892)), "", VLOOKUP(A892,'Discount Lookup'!G:H,2,FALSE)*G892)</f>
        <v>0</v>
      </c>
      <c r="W892" s="508">
        <f t="shared" si="624"/>
        <v>0</v>
      </c>
      <c r="X892" s="508">
        <f t="shared" si="625"/>
        <v>0</v>
      </c>
      <c r="Y892" s="509" t="b">
        <f t="shared" si="626"/>
        <v>0</v>
      </c>
      <c r="Z892" s="510">
        <f t="shared" si="627"/>
        <v>0</v>
      </c>
      <c r="AA892" s="511"/>
      <c r="AB892" s="511" t="str">
        <f t="shared" si="628"/>
        <v/>
      </c>
      <c r="AC892" s="698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698"/>
      <c r="AE892" s="631" t="str">
        <f t="shared" si="629"/>
        <v/>
      </c>
      <c r="AF892" s="699" t="str">
        <f t="shared" si="630"/>
        <v/>
      </c>
      <c r="AG892" s="699"/>
      <c r="AH892" s="699"/>
      <c r="AI892" s="512">
        <f>IF(H892="credit",0,IF(AE892="free",0,IF(AE892="me",0,IF(G892&gt;0,(VLOOKUP(A892,'Discount Lookup'!J:K,2)*G892),0))))</f>
        <v>0</v>
      </c>
      <c r="AJ892" s="513" t="str">
        <f t="shared" ca="1" si="631"/>
        <v/>
      </c>
      <c r="AK892" s="700" t="str">
        <f t="shared" si="632"/>
        <v/>
      </c>
      <c r="AL892" s="700"/>
      <c r="AM892" s="505" t="str">
        <f t="shared" si="633"/>
        <v/>
      </c>
      <c r="AN892" s="506"/>
      <c r="AO892" s="507"/>
      <c r="AP892" s="507"/>
      <c r="AQ892" s="507"/>
      <c r="AR892" s="507"/>
      <c r="AS892" s="507"/>
      <c r="AT892" s="507"/>
      <c r="AU892" s="507"/>
      <c r="AV892" s="225"/>
      <c r="AW892" s="508"/>
      <c r="AX892" s="225"/>
      <c r="AY892" s="225"/>
      <c r="AZ892" s="225"/>
      <c r="BA892" s="225"/>
      <c r="BB892" s="225"/>
      <c r="BC892" s="56"/>
      <c r="BD892" s="56"/>
      <c r="BE892" s="56"/>
      <c r="BF892" s="107" t="str">
        <f t="shared" si="634"/>
        <v>https://www.google.com/search?tbm=isch&amp;q=7%20G4</v>
      </c>
      <c r="BG892" s="107" t="str">
        <f t="shared" si="635"/>
        <v>C</v>
      </c>
      <c r="BH892" s="254"/>
      <c r="BI892" s="254"/>
    </row>
    <row r="893" spans="1:61" customFormat="1" ht="15.75" x14ac:dyDescent="0.25">
      <c r="A893" s="276">
        <v>10</v>
      </c>
      <c r="B893" s="240" t="s">
        <v>291</v>
      </c>
      <c r="C893" s="241" t="s">
        <v>358</v>
      </c>
      <c r="D893" s="242" t="s">
        <v>312</v>
      </c>
      <c r="E893" s="243">
        <v>355.95</v>
      </c>
      <c r="F893" s="517" t="s">
        <v>293</v>
      </c>
      <c r="G893" s="232">
        <v>0</v>
      </c>
      <c r="H893" s="661" t="str">
        <f>IF(G893=0,"",IF(F893="Buy",IF(G893=1,"plant","plants"),IF(F893&gt;0.01,"warranty","Error")))</f>
        <v/>
      </c>
      <c r="I893" s="244">
        <f>IF(H893="free",0,IF(H893="credit",((E893*(F893))*G893*-1),IF(F893="Buy",(E893*G893),((E893*(1-F893))*G893))))</f>
        <v>0</v>
      </c>
      <c r="J893" s="244">
        <f>IF(H893="warranty",0,(I893*(_xlfn.SINGLE(SalesTaxPercentage))))</f>
        <v>0</v>
      </c>
      <c r="K893" s="696">
        <f t="shared" ref="K893" si="666">I893+J893</f>
        <v>0</v>
      </c>
      <c r="L893" s="696"/>
      <c r="M893" s="659" t="str">
        <f>IF(AND(G893&gt;0,E893=0),"WARNING - no PRICE inserted",IF(H893="free"," FREE ~ no charge this plant",IF(H893="credit",CONCATENATE(" -$",ROUND(K893*(1-T2GDiscount)*-1,2)," CREDIT after discount"),IF(T2GDiscount=0,"",IF(G893=0,"",IF(F893="Buy",CONCATENATE(" $",ROUND(K893*(1-T2GDiscount),2)," with ",(T2GDiscount*100),"% discount"),CONCATENATE(" $",ROUND(K893*(1-T2GDiscount),2)," with ",((T2GDiscount*100+F893*100)-(T2GDiscount*100*F893)),IF(F893&gt;0,"% discounts",IF(NoWarrantyDiscount&gt;0,"% discounts","% discount")))))))))</f>
        <v/>
      </c>
      <c r="N893" s="660"/>
      <c r="O893" s="233"/>
      <c r="P893" s="233"/>
      <c r="Q893" s="233"/>
      <c r="R893" s="233"/>
      <c r="S893" s="233"/>
      <c r="T893" s="508">
        <f t="shared" si="623"/>
        <v>0</v>
      </c>
      <c r="U893" s="225">
        <f>IF(NOT(ISNUMBER(G893)), "", VLOOKUP(A893,'Discount Lookup'!D:E,2,FALSE)*G893)</f>
        <v>0</v>
      </c>
      <c r="V893" s="225">
        <f>IF(NOT(ISNUMBER(G893)), "", VLOOKUP(A893,'Discount Lookup'!G:H,2,FALSE)*G893)</f>
        <v>0</v>
      </c>
      <c r="W893" s="508">
        <f t="shared" si="624"/>
        <v>0</v>
      </c>
      <c r="X893" s="508">
        <f t="shared" si="625"/>
        <v>0</v>
      </c>
      <c r="Y893" s="509" t="b">
        <f t="shared" si="626"/>
        <v>0</v>
      </c>
      <c r="Z893" s="510">
        <f t="shared" si="627"/>
        <v>0</v>
      </c>
      <c r="AA893" s="511"/>
      <c r="AB893" s="511" t="str">
        <f t="shared" si="628"/>
        <v/>
      </c>
      <c r="AC893" s="698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698"/>
      <c r="AE893" s="631" t="str">
        <f t="shared" si="629"/>
        <v/>
      </c>
      <c r="AF893" s="699" t="str">
        <f t="shared" si="630"/>
        <v/>
      </c>
      <c r="AG893" s="699"/>
      <c r="AH893" s="699"/>
      <c r="AI893" s="512">
        <f>IF(H893="credit",0,IF(AE893="free",0,IF(AE893="me",0,IF(G893&gt;0,(VLOOKUP(A893,'Discount Lookup'!J:K,2)*G893),0))))</f>
        <v>0</v>
      </c>
      <c r="AJ893" s="513" t="str">
        <f t="shared" ca="1" si="631"/>
        <v/>
      </c>
      <c r="AK893" s="700" t="str">
        <f t="shared" si="632"/>
        <v/>
      </c>
      <c r="AL893" s="700"/>
      <c r="AM893" s="505" t="str">
        <f t="shared" si="633"/>
        <v/>
      </c>
      <c r="AN893" s="506"/>
      <c r="AO893" s="507"/>
      <c r="AP893" s="507"/>
      <c r="AQ893" s="507"/>
      <c r="AR893" s="507"/>
      <c r="AS893" s="507"/>
      <c r="AT893" s="507"/>
      <c r="AU893" s="507"/>
      <c r="AV893" s="225"/>
      <c r="AW893" s="508"/>
      <c r="AX893" s="225"/>
      <c r="AY893" s="225"/>
      <c r="AZ893" s="225"/>
      <c r="BA893" s="225"/>
      <c r="BB893" s="225"/>
      <c r="BC893" s="56"/>
      <c r="BD893" s="56"/>
      <c r="BE893" s="56"/>
      <c r="BF893" s="107" t="str">
        <f t="shared" si="634"/>
        <v>https://www.google.com/search?tbm=isch&amp;q=10%20G2</v>
      </c>
      <c r="BG893" s="107" t="str">
        <f t="shared" si="635"/>
        <v>C</v>
      </c>
      <c r="BH893" s="254"/>
      <c r="BI893" s="254"/>
    </row>
    <row r="894" spans="1:61" customFormat="1" ht="15.75" x14ac:dyDescent="0.25">
      <c r="A894" s="276">
        <v>15</v>
      </c>
      <c r="B894" s="240" t="s">
        <v>291</v>
      </c>
      <c r="C894" s="241" t="s">
        <v>3400</v>
      </c>
      <c r="D894" s="242" t="s">
        <v>292</v>
      </c>
      <c r="E894" s="243">
        <v>390.95</v>
      </c>
      <c r="F894" s="517" t="s">
        <v>293</v>
      </c>
      <c r="G894" s="232">
        <v>0</v>
      </c>
      <c r="H894" s="661" t="str">
        <f>IF(G894=0,"",IF(F894="Buy",IF(G894=1,"plant","plants"),IF(F894&gt;0.01,"warranty","Error")))</f>
        <v/>
      </c>
      <c r="I894" s="244">
        <f>IF(H894="free",0,IF(H894="credit",((E894*(F894))*G894*-1),IF(F894="Buy",(E894*G894),((E894*(1-F894))*G894))))</f>
        <v>0</v>
      </c>
      <c r="J894" s="244">
        <f>IF(H894="warranty",0,(I894*(_xlfn.SINGLE(SalesTaxPercentage))))</f>
        <v>0</v>
      </c>
      <c r="K894" s="696">
        <f t="shared" ref="K894" si="667">I894+J894</f>
        <v>0</v>
      </c>
      <c r="L894" s="696"/>
      <c r="M894" s="659" t="str">
        <f>IF(AND(G894&gt;0,E894=0),"WARNING - no PRICE inserted",IF(H894="free"," FREE ~ no charge this plant",IF(H894="credit",CONCATENATE(" -$",ROUND(K894*(1-T2GDiscount)*-1,2)," CREDIT after discount"),IF(T2GDiscount=0,"",IF(G894=0,"",IF(F894="Buy",CONCATENATE(" $",ROUND(K894*(1-T2GDiscount),2)," with ",(T2GDiscount*100),"% discount"),CONCATENATE(" $",ROUND(K894*(1-T2GDiscount),2)," with ",((T2GDiscount*100+F894*100)-(T2GDiscount*100*F894)),IF(F894&gt;0,"% discounts",IF(NoWarrantyDiscount&gt;0,"% discounts","% discount")))))))))</f>
        <v/>
      </c>
      <c r="N894" s="660"/>
      <c r="O894" s="233"/>
      <c r="P894" s="233"/>
      <c r="Q894" s="233"/>
      <c r="R894" s="233"/>
      <c r="S894" s="233"/>
      <c r="T894" s="508">
        <f t="shared" si="623"/>
        <v>0</v>
      </c>
      <c r="U894" s="225">
        <f>IF(NOT(ISNUMBER(G894)), "", VLOOKUP(A894,'Discount Lookup'!D:E,2,FALSE)*G894)</f>
        <v>0</v>
      </c>
      <c r="V894" s="225">
        <f>IF(NOT(ISNUMBER(G894)), "", VLOOKUP(A894,'Discount Lookup'!G:H,2,FALSE)*G894)</f>
        <v>0</v>
      </c>
      <c r="W894" s="508">
        <f t="shared" si="624"/>
        <v>0</v>
      </c>
      <c r="X894" s="508">
        <f t="shared" si="625"/>
        <v>0</v>
      </c>
      <c r="Y894" s="509" t="b">
        <f t="shared" si="626"/>
        <v>0</v>
      </c>
      <c r="Z894" s="510">
        <f t="shared" si="627"/>
        <v>0</v>
      </c>
      <c r="AA894" s="511"/>
      <c r="AB894" s="511" t="str">
        <f t="shared" si="628"/>
        <v/>
      </c>
      <c r="AC894" s="698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698"/>
      <c r="AE894" s="631" t="str">
        <f t="shared" si="629"/>
        <v/>
      </c>
      <c r="AF894" s="699" t="str">
        <f t="shared" si="630"/>
        <v/>
      </c>
      <c r="AG894" s="699"/>
      <c r="AH894" s="699"/>
      <c r="AI894" s="512">
        <f>IF(H894="credit",0,IF(AE894="free",0,IF(AE894="me",0,IF(G894&gt;0,(VLOOKUP(A894,'Discount Lookup'!J:K,2)*G894),0))))</f>
        <v>0</v>
      </c>
      <c r="AJ894" s="513" t="str">
        <f t="shared" ca="1" si="631"/>
        <v/>
      </c>
      <c r="AK894" s="700" t="str">
        <f t="shared" si="632"/>
        <v/>
      </c>
      <c r="AL894" s="700"/>
      <c r="AM894" s="505" t="str">
        <f t="shared" si="633"/>
        <v/>
      </c>
      <c r="AN894" s="506"/>
      <c r="AO894" s="507"/>
      <c r="AP894" s="507"/>
      <c r="AQ894" s="507"/>
      <c r="AR894" s="507"/>
      <c r="AS894" s="507"/>
      <c r="AT894" s="507"/>
      <c r="AU894" s="507"/>
      <c r="AV894" s="225"/>
      <c r="AW894" s="508"/>
      <c r="AX894" s="225"/>
      <c r="AY894" s="225"/>
      <c r="AZ894" s="225"/>
      <c r="BA894" s="225"/>
      <c r="BB894" s="225"/>
      <c r="BC894" s="56"/>
      <c r="BD894" s="56"/>
      <c r="BE894" s="56"/>
      <c r="BF894" s="107" t="str">
        <f t="shared" si="634"/>
        <v>https://www.google.com/search?tbm=isch&amp;q=15%20G4</v>
      </c>
      <c r="BG894" s="107" t="str">
        <f t="shared" si="635"/>
        <v>C</v>
      </c>
      <c r="BH894" s="254"/>
      <c r="BI894" s="254"/>
    </row>
    <row r="895" spans="1:61" customFormat="1" ht="27" x14ac:dyDescent="0.25">
      <c r="A895" s="276">
        <v>25</v>
      </c>
      <c r="B895" s="240" t="s">
        <v>291</v>
      </c>
      <c r="C895" s="241" t="s">
        <v>3401</v>
      </c>
      <c r="D895" s="242" t="s">
        <v>292</v>
      </c>
      <c r="E895" s="243">
        <v>790.95</v>
      </c>
      <c r="F895" s="517" t="s">
        <v>293</v>
      </c>
      <c r="G895" s="232">
        <v>0</v>
      </c>
      <c r="H895" s="661" t="str">
        <f>IF(G895=0,"",IF(F895="Buy",IF(G895=1,"plant","plants"),IF(F895&gt;0.01,"warranty","Error")))</f>
        <v/>
      </c>
      <c r="I895" s="244">
        <f>IF(H895="free",0,IF(H895="credit",((E895*(F895))*G895*-1),IF(F895="Buy",(E895*G895),((E895*(1-F895))*G895))))</f>
        <v>0</v>
      </c>
      <c r="J895" s="244">
        <f>IF(H895="warranty",0,(I895*(_xlfn.SINGLE(SalesTaxPercentage))))</f>
        <v>0</v>
      </c>
      <c r="K895" s="696">
        <f t="shared" ref="K895" si="668">I895+J895</f>
        <v>0</v>
      </c>
      <c r="L895" s="696"/>
      <c r="M895" s="659" t="str">
        <f>IF(AND(G895&gt;0,E895=0),"WARNING - no PRICE inserted",IF(H895="free"," FREE ~ no charge this plant",IF(H895="credit",CONCATENATE(" -$",ROUND(K895*(1-T2GDiscount)*-1,2)," CREDIT after discount"),IF(T2GDiscount=0,"",IF(G895=0,"",IF(F895="Buy",CONCATENATE(" $",ROUND(K895*(1-T2GDiscount),2)," with ",(T2GDiscount*100),"% discount"),CONCATENATE(" $",ROUND(K895*(1-T2GDiscount),2)," with ",((T2GDiscount*100+F895*100)-(T2GDiscount*100*F895)),IF(F895&gt;0,"% discounts",IF(NoWarrantyDiscount&gt;0,"% discounts","% discount")))))))))</f>
        <v/>
      </c>
      <c r="N895" s="660"/>
      <c r="O895" s="233"/>
      <c r="P895" s="233"/>
      <c r="Q895" s="233"/>
      <c r="R895" s="233"/>
      <c r="S895" s="233"/>
      <c r="T895" s="508">
        <f t="shared" si="623"/>
        <v>0</v>
      </c>
      <c r="U895" s="225">
        <f>IF(NOT(ISNUMBER(G895)), "", VLOOKUP(A895,'Discount Lookup'!D:E,2,FALSE)*G895)</f>
        <v>0</v>
      </c>
      <c r="V895" s="225">
        <f>IF(NOT(ISNUMBER(G895)), "", VLOOKUP(A895,'Discount Lookup'!G:H,2,FALSE)*G895)</f>
        <v>0</v>
      </c>
      <c r="W895" s="508">
        <f t="shared" si="624"/>
        <v>0</v>
      </c>
      <c r="X895" s="508">
        <f t="shared" si="625"/>
        <v>0</v>
      </c>
      <c r="Y895" s="509" t="b">
        <f t="shared" si="626"/>
        <v>0</v>
      </c>
      <c r="Z895" s="510">
        <f t="shared" si="627"/>
        <v>0</v>
      </c>
      <c r="AA895" s="511"/>
      <c r="AB895" s="511" t="str">
        <f t="shared" si="628"/>
        <v/>
      </c>
      <c r="AC895" s="698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698"/>
      <c r="AE895" s="631" t="str">
        <f t="shared" si="629"/>
        <v/>
      </c>
      <c r="AF895" s="699" t="str">
        <f t="shared" si="630"/>
        <v/>
      </c>
      <c r="AG895" s="699"/>
      <c r="AH895" s="699"/>
      <c r="AI895" s="512">
        <f>IF(H895="credit",0,IF(AE895="free",0,IF(AE895="me",0,IF(G895&gt;0,(VLOOKUP(A895,'Discount Lookup'!J:K,2)*G895),0))))</f>
        <v>0</v>
      </c>
      <c r="AJ895" s="513" t="str">
        <f t="shared" ca="1" si="631"/>
        <v/>
      </c>
      <c r="AK895" s="700" t="str">
        <f t="shared" si="632"/>
        <v/>
      </c>
      <c r="AL895" s="700"/>
      <c r="AM895" s="505" t="str">
        <f t="shared" si="633"/>
        <v/>
      </c>
      <c r="AN895" s="506"/>
      <c r="AO895" s="507"/>
      <c r="AP895" s="507"/>
      <c r="AQ895" s="507"/>
      <c r="AR895" s="507"/>
      <c r="AS895" s="507"/>
      <c r="AT895" s="507"/>
      <c r="AU895" s="507"/>
      <c r="AV895" s="225"/>
      <c r="AW895" s="508"/>
      <c r="AX895" s="225"/>
      <c r="AY895" s="225"/>
      <c r="AZ895" s="225"/>
      <c r="BA895" s="225"/>
      <c r="BB895" s="225"/>
      <c r="BC895" s="56"/>
      <c r="BD895" s="56"/>
      <c r="BE895" s="56"/>
      <c r="BF895" s="107" t="str">
        <f t="shared" si="634"/>
        <v>https://www.google.com/search?tbm=isch&amp;q=25%20G4</v>
      </c>
      <c r="BG895" s="107" t="str">
        <f t="shared" si="635"/>
        <v>C</v>
      </c>
      <c r="BH895" s="254"/>
      <c r="BI895" s="254"/>
    </row>
    <row r="896" spans="1:61" customFormat="1" ht="17.25" thickBot="1" x14ac:dyDescent="0.3">
      <c r="A896" s="524" t="s">
        <v>4274</v>
      </c>
      <c r="B896" s="245"/>
      <c r="C896" s="677"/>
      <c r="D896" s="499"/>
      <c r="E896" s="499"/>
      <c r="F896" s="500"/>
      <c r="G896" s="501"/>
      <c r="H896" s="502"/>
      <c r="I896" s="246"/>
      <c r="J896" s="247"/>
      <c r="K896" s="503"/>
      <c r="L896" s="544"/>
      <c r="M896" s="544"/>
      <c r="N896" s="500"/>
      <c r="O896" s="500"/>
      <c r="P896" s="500"/>
      <c r="Q896" s="500"/>
      <c r="R896" s="500"/>
      <c r="S896" s="278"/>
      <c r="T896" s="508">
        <f t="shared" si="623"/>
        <v>0</v>
      </c>
      <c r="U896" s="225" t="str">
        <f>IF(NOT(ISNUMBER(G896)), "", VLOOKUP(A896,'Discount Lookup'!D:E,2,FALSE)*G896)</f>
        <v/>
      </c>
      <c r="V896" s="225" t="str">
        <f>IF(NOT(ISNUMBER(G896)), "", VLOOKUP(A896,'Discount Lookup'!G:H,2,FALSE)*G896)</f>
        <v/>
      </c>
      <c r="W896" s="508">
        <f t="shared" si="624"/>
        <v>0</v>
      </c>
      <c r="X896" s="508">
        <f t="shared" si="625"/>
        <v>0</v>
      </c>
      <c r="Y896" s="509" t="b">
        <f t="shared" si="626"/>
        <v>0</v>
      </c>
      <c r="Z896" s="510">
        <f t="shared" si="627"/>
        <v>0</v>
      </c>
      <c r="AA896" s="511"/>
      <c r="AB896" s="511" t="str">
        <f t="shared" si="628"/>
        <v/>
      </c>
      <c r="AC896" s="698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698"/>
      <c r="AE896" s="631" t="str">
        <f t="shared" si="629"/>
        <v/>
      </c>
      <c r="AF896" s="699" t="str">
        <f t="shared" si="630"/>
        <v/>
      </c>
      <c r="AG896" s="699"/>
      <c r="AH896" s="699"/>
      <c r="AI896" s="512">
        <f>IF(H896="credit",0,IF(AE896="free",0,IF(AE896="me",0,IF(G896&gt;0,(VLOOKUP(A896,'Discount Lookup'!J:K,2)*G896),0))))</f>
        <v>0</v>
      </c>
      <c r="AJ896" s="513" t="str">
        <f t="shared" ca="1" si="631"/>
        <v/>
      </c>
      <c r="AK896" s="700" t="str">
        <f t="shared" si="632"/>
        <v/>
      </c>
      <c r="AL896" s="700"/>
      <c r="AM896" s="505" t="str">
        <f t="shared" si="633"/>
        <v/>
      </c>
      <c r="AN896" s="506"/>
      <c r="AO896" s="507"/>
      <c r="AP896" s="507"/>
      <c r="AQ896" s="507"/>
      <c r="AR896" s="507"/>
      <c r="AS896" s="507"/>
      <c r="AT896" s="507"/>
      <c r="AU896" s="507"/>
      <c r="AV896" s="225"/>
      <c r="AW896" s="508"/>
      <c r="AX896" s="225"/>
      <c r="AY896" s="225"/>
      <c r="AZ896" s="225"/>
      <c r="BA896" s="225"/>
      <c r="BB896" s="225"/>
      <c r="BC896" s="56"/>
      <c r="BD896" s="56"/>
      <c r="BE896" s="56"/>
      <c r="BF896" s="107" t="str">
        <f t="shared" si="634"/>
        <v>https://www.google.com/search?tbm=isch&amp;q=Sango%20Kaku%20means%20%22coral%20pillars%22.%20Great%20foliage%20color%20in%20the%20summer%2C%20then%20Yellow-Red_Orange%20in%20fall.%20Bark%20is%20a%20stunner%20in%20winter-time%20</v>
      </c>
      <c r="BG896" s="107" t="str">
        <f t="shared" si="635"/>
        <v>S</v>
      </c>
      <c r="BH896" s="254"/>
      <c r="BI896" s="254"/>
    </row>
    <row r="897" spans="1:61" customFormat="1" ht="18" x14ac:dyDescent="0.25">
      <c r="A897" s="521" t="s">
        <v>694</v>
      </c>
      <c r="B897" s="477"/>
      <c r="C897" s="674"/>
      <c r="D897" s="478" t="s">
        <v>695</v>
      </c>
      <c r="E897" s="479"/>
      <c r="F897" s="479"/>
      <c r="G897" s="479"/>
      <c r="H897" s="582" t="s">
        <v>696</v>
      </c>
      <c r="I897" s="480" t="s">
        <v>654</v>
      </c>
      <c r="J897" s="479"/>
      <c r="K897" s="479"/>
      <c r="L897" s="560"/>
      <c r="M897" s="666" t="s">
        <v>4966</v>
      </c>
      <c r="N897" s="680" t="str">
        <f>IF(AND(ISTEXT($A897), ISERROR($A897+0)), HYPERLINK($BF897, "Images"), "")</f>
        <v>Images</v>
      </c>
      <c r="O897" s="662" t="s">
        <v>4967</v>
      </c>
      <c r="P897" s="482"/>
      <c r="Q897" s="483"/>
      <c r="R897" s="483"/>
      <c r="S897" s="484"/>
      <c r="T897" s="508">
        <f t="shared" si="623"/>
        <v>0</v>
      </c>
      <c r="U897" s="225" t="str">
        <f>IF(NOT(ISNUMBER(G897)), "", VLOOKUP(A897,'Discount Lookup'!D:E,2,FALSE)*G897)</f>
        <v/>
      </c>
      <c r="V897" s="225" t="str">
        <f>IF(NOT(ISNUMBER(G897)), "", VLOOKUP(A897,'Discount Lookup'!G:H,2,FALSE)*G897)</f>
        <v/>
      </c>
      <c r="W897" s="508">
        <f t="shared" si="624"/>
        <v>0</v>
      </c>
      <c r="X897" s="508" t="str">
        <f t="shared" si="625"/>
        <v>White bloom</v>
      </c>
      <c r="Y897" s="509" t="b">
        <f t="shared" si="626"/>
        <v>0</v>
      </c>
      <c r="Z897" s="510">
        <f t="shared" si="627"/>
        <v>0</v>
      </c>
      <c r="AA897" s="511"/>
      <c r="AB897" s="511" t="str">
        <f t="shared" si="628"/>
        <v/>
      </c>
      <c r="AC897" s="698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698"/>
      <c r="AE897" s="631" t="str">
        <f t="shared" si="629"/>
        <v/>
      </c>
      <c r="AF897" s="699" t="str">
        <f t="shared" si="630"/>
        <v/>
      </c>
      <c r="AG897" s="699"/>
      <c r="AH897" s="699"/>
      <c r="AI897" s="512">
        <f>IF(H897="credit",0,IF(AE897="free",0,IF(AE897="me",0,IF(G897&gt;0,(VLOOKUP(A897,'Discount Lookup'!J:K,2)*G897),0))))</f>
        <v>0</v>
      </c>
      <c r="AJ897" s="513" t="str">
        <f t="shared" ca="1" si="631"/>
        <v/>
      </c>
      <c r="AK897" s="700" t="str">
        <f t="shared" si="632"/>
        <v/>
      </c>
      <c r="AL897" s="700"/>
      <c r="AM897" s="505" t="str">
        <f t="shared" si="633"/>
        <v/>
      </c>
      <c r="AN897" s="506"/>
      <c r="AO897" s="507"/>
      <c r="AP897" s="507"/>
      <c r="AQ897" s="507"/>
      <c r="AR897" s="507"/>
      <c r="AS897" s="507"/>
      <c r="AT897" s="507"/>
      <c r="AU897" s="507"/>
      <c r="AV897" s="225"/>
      <c r="AW897" s="508"/>
      <c r="AX897" s="225"/>
      <c r="AY897" s="225"/>
      <c r="AZ897" s="225"/>
      <c r="BA897" s="225"/>
      <c r="BB897" s="225"/>
      <c r="BC897" s="56"/>
      <c r="BD897" s="56"/>
      <c r="BE897" s="56"/>
      <c r="BF897" s="107" t="str">
        <f t="shared" si="634"/>
        <v>https://www.google.com/search?tbm=isch&amp;q=Coral%20Beauty%20Cotoneaster%20Cotoneaster%20dammeri%20%27Coral%20Beauty%27</v>
      </c>
      <c r="BG897" s="107" t="str">
        <f t="shared" si="635"/>
        <v>C</v>
      </c>
      <c r="BH897" s="254"/>
      <c r="BI897" s="254"/>
    </row>
    <row r="898" spans="1:61" customFormat="1" ht="15.75" x14ac:dyDescent="0.25">
      <c r="A898" s="485">
        <v>1</v>
      </c>
      <c r="B898" s="486" t="s">
        <v>291</v>
      </c>
      <c r="C898" s="487"/>
      <c r="D898" s="488" t="s">
        <v>298</v>
      </c>
      <c r="E898" s="489">
        <v>7.95</v>
      </c>
      <c r="F898" s="516" t="s">
        <v>293</v>
      </c>
      <c r="G898" s="232">
        <v>0</v>
      </c>
      <c r="H898" s="658" t="str">
        <f>IF(G898=0,"",IF(F898="Buy",IF(G898=1,"plant","plants"),IF(F898&gt;0.01,"warranty","Error")))</f>
        <v/>
      </c>
      <c r="I898" s="490">
        <f>IF(H898="free",0,IF(H898="credit",((E898*(F898))*G898*-1),IF(F898="Buy",(E898*G898),((E898*(1-F898))*G898))))</f>
        <v>0</v>
      </c>
      <c r="J898" s="490">
        <f>IF(H898="warranty",0,(I898*(_xlfn.SINGLE(SalesTaxPercentage))))</f>
        <v>0</v>
      </c>
      <c r="K898" s="695">
        <f t="shared" ref="K898" si="669">I898+J898</f>
        <v>0</v>
      </c>
      <c r="L898" s="695"/>
      <c r="M898" s="659" t="str">
        <f>IF(AND(G898&gt;0,E898=0),"WARNING - no PRICE inserted",IF(H898="free"," FREE ~ no charge this plant",IF(H898="credit",CONCATENATE(" -$",ROUND(K898*(1-T2GDiscount)*-1,2)," CREDIT after discount"),IF(T2GDiscount=0,"",IF(G898=0,"",IF(F898="Buy",CONCATENATE(" $",ROUND(K898*(1-T2GDiscount),2)," with ",(T2GDiscount*100),"% discount"),CONCATENATE(" $",ROUND(K898*(1-T2GDiscount),2)," with ",((T2GDiscount*100+F898*100)-(T2GDiscount*100*F898)),IF(F898&gt;0,"% discounts",IF(NoWarrantyDiscount&gt;0,"% discounts","% discount")))))))))</f>
        <v/>
      </c>
      <c r="N898" s="660"/>
      <c r="O898" s="233"/>
      <c r="P898" s="233"/>
      <c r="Q898" s="233"/>
      <c r="R898" s="233"/>
      <c r="S898" s="233"/>
      <c r="T898" s="508">
        <f t="shared" si="623"/>
        <v>0</v>
      </c>
      <c r="U898" s="225">
        <f>IF(NOT(ISNUMBER(G898)), "", VLOOKUP(A898,'Discount Lookup'!D:E,2,FALSE)*G898)</f>
        <v>0</v>
      </c>
      <c r="V898" s="225">
        <f>IF(NOT(ISNUMBER(G898)), "", VLOOKUP(A898,'Discount Lookup'!G:H,2,FALSE)*G898)</f>
        <v>0</v>
      </c>
      <c r="W898" s="508">
        <f t="shared" si="624"/>
        <v>0</v>
      </c>
      <c r="X898" s="508">
        <f t="shared" si="625"/>
        <v>0</v>
      </c>
      <c r="Y898" s="509" t="b">
        <f t="shared" si="626"/>
        <v>0</v>
      </c>
      <c r="Z898" s="510">
        <f t="shared" si="627"/>
        <v>0</v>
      </c>
      <c r="AA898" s="511"/>
      <c r="AB898" s="511" t="str">
        <f t="shared" si="628"/>
        <v/>
      </c>
      <c r="AC898" s="698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698"/>
      <c r="AE898" s="631" t="str">
        <f t="shared" si="629"/>
        <v/>
      </c>
      <c r="AF898" s="699" t="str">
        <f t="shared" si="630"/>
        <v/>
      </c>
      <c r="AG898" s="699"/>
      <c r="AH898" s="699"/>
      <c r="AI898" s="512">
        <f>IF(H898="credit",0,IF(AE898="free",0,IF(AE898="me",0,IF(G898&gt;0,(VLOOKUP(A898,'Discount Lookup'!J:K,2)*G898),0))))</f>
        <v>0</v>
      </c>
      <c r="AJ898" s="513" t="str">
        <f t="shared" ca="1" si="631"/>
        <v/>
      </c>
      <c r="AK898" s="700" t="str">
        <f t="shared" si="632"/>
        <v/>
      </c>
      <c r="AL898" s="700"/>
      <c r="AM898" s="505" t="str">
        <f t="shared" si="633"/>
        <v/>
      </c>
      <c r="AN898" s="506"/>
      <c r="AO898" s="507"/>
      <c r="AP898" s="507"/>
      <c r="AQ898" s="507"/>
      <c r="AR898" s="507"/>
      <c r="AS898" s="507"/>
      <c r="AT898" s="507"/>
      <c r="AU898" s="507"/>
      <c r="AV898" s="225"/>
      <c r="AW898" s="508"/>
      <c r="AX898" s="225"/>
      <c r="AY898" s="225"/>
      <c r="AZ898" s="225"/>
      <c r="BA898" s="225"/>
      <c r="BB898" s="225"/>
      <c r="BC898" s="56"/>
      <c r="BD898" s="56"/>
      <c r="BE898" s="56"/>
      <c r="BF898" s="107" t="str">
        <f t="shared" si="634"/>
        <v>https://www.google.com/search?tbm=isch&amp;q=1%20G1</v>
      </c>
      <c r="BG898" s="107" t="str">
        <f t="shared" si="635"/>
        <v>C</v>
      </c>
      <c r="BH898" s="254"/>
      <c r="BI898" s="254"/>
    </row>
    <row r="899" spans="1:61" customFormat="1" ht="17.25" thickBot="1" x14ac:dyDescent="0.3">
      <c r="A899" s="522" t="s">
        <v>2364</v>
      </c>
      <c r="B899" s="491"/>
      <c r="C899" s="675"/>
      <c r="D899" s="491"/>
      <c r="E899" s="491"/>
      <c r="F899" s="492"/>
      <c r="G899" s="493"/>
      <c r="H899" s="491"/>
      <c r="I899" s="234"/>
      <c r="J899" s="234"/>
      <c r="K899" s="494"/>
      <c r="L899" s="543"/>
      <c r="M899" s="561"/>
      <c r="N899" s="495"/>
      <c r="O899" s="496"/>
      <c r="P899" s="497"/>
      <c r="Q899" s="495"/>
      <c r="R899" s="495"/>
      <c r="S899" s="667" t="s">
        <v>4983</v>
      </c>
      <c r="T899" s="508">
        <f t="shared" si="623"/>
        <v>0</v>
      </c>
      <c r="U899" s="225" t="str">
        <f>IF(NOT(ISNUMBER(G899)), "", VLOOKUP(A899,'Discount Lookup'!D:E,2,FALSE)*G899)</f>
        <v/>
      </c>
      <c r="V899" s="225" t="str">
        <f>IF(NOT(ISNUMBER(G899)), "", VLOOKUP(A899,'Discount Lookup'!G:H,2,FALSE)*G899)</f>
        <v/>
      </c>
      <c r="W899" s="508">
        <f t="shared" si="624"/>
        <v>0</v>
      </c>
      <c r="X899" s="508">
        <f t="shared" si="625"/>
        <v>0</v>
      </c>
      <c r="Y899" s="509" t="b">
        <f t="shared" si="626"/>
        <v>0</v>
      </c>
      <c r="Z899" s="510">
        <f t="shared" si="627"/>
        <v>0</v>
      </c>
      <c r="AA899" s="511"/>
      <c r="AB899" s="511" t="str">
        <f t="shared" si="628"/>
        <v/>
      </c>
      <c r="AC899" s="698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698"/>
      <c r="AE899" s="631" t="str">
        <f t="shared" si="629"/>
        <v/>
      </c>
      <c r="AF899" s="699" t="str">
        <f t="shared" si="630"/>
        <v/>
      </c>
      <c r="AG899" s="699"/>
      <c r="AH899" s="699"/>
      <c r="AI899" s="512">
        <f>IF(H899="credit",0,IF(AE899="free",0,IF(AE899="me",0,IF(G899&gt;0,(VLOOKUP(A899,'Discount Lookup'!J:K,2)*G899),0))))</f>
        <v>0</v>
      </c>
      <c r="AJ899" s="513" t="str">
        <f t="shared" ca="1" si="631"/>
        <v/>
      </c>
      <c r="AK899" s="700" t="str">
        <f t="shared" si="632"/>
        <v/>
      </c>
      <c r="AL899" s="700"/>
      <c r="AM899" s="505" t="str">
        <f t="shared" si="633"/>
        <v/>
      </c>
      <c r="AN899" s="506"/>
      <c r="AO899" s="507"/>
      <c r="AP899" s="507"/>
      <c r="AQ899" s="507"/>
      <c r="AR899" s="507"/>
      <c r="AS899" s="507"/>
      <c r="AT899" s="507"/>
      <c r="AU899" s="507"/>
      <c r="AV899" s="225"/>
      <c r="AW899" s="508"/>
      <c r="AX899" s="225"/>
      <c r="AY899" s="225"/>
      <c r="AZ899" s="225"/>
      <c r="BA899" s="225"/>
      <c r="BB899" s="225"/>
      <c r="BC899" s="56"/>
      <c r="BD899" s="56"/>
      <c r="BE899" s="56"/>
      <c r="BF899" s="107" t="str">
        <f t="shared" si="634"/>
        <v>https://www.google.com/search?tbm=isch&amp;q=Coral%20Beauty%20blooms%20followed%20by%20ornamental%20coral-red%20berries%2C%20against%20finely%20textured%20foliage%20</v>
      </c>
      <c r="BG899" s="107" t="str">
        <f t="shared" si="635"/>
        <v>C</v>
      </c>
      <c r="BH899" s="254"/>
      <c r="BI899" s="254"/>
    </row>
    <row r="900" spans="1:61" customFormat="1" ht="18" x14ac:dyDescent="0.25">
      <c r="A900" s="521" t="s">
        <v>697</v>
      </c>
      <c r="B900" s="477"/>
      <c r="C900" s="674"/>
      <c r="D900" s="478" t="s">
        <v>698</v>
      </c>
      <c r="E900" s="479"/>
      <c r="F900" s="479"/>
      <c r="G900" s="479"/>
      <c r="H900" s="582" t="s">
        <v>443</v>
      </c>
      <c r="I900" s="480" t="s">
        <v>2600</v>
      </c>
      <c r="J900" s="479"/>
      <c r="K900" s="479"/>
      <c r="L900" s="560"/>
      <c r="M900" s="671" t="s">
        <v>4990</v>
      </c>
      <c r="N900" s="680" t="str">
        <f>IF(AND(ISTEXT($A900), ISERROR($A900+0)), HYPERLINK($BF900, "Images"), "")</f>
        <v>Images</v>
      </c>
      <c r="O900" s="662" t="s">
        <v>4974</v>
      </c>
      <c r="P900" s="482"/>
      <c r="Q900" s="483"/>
      <c r="R900" s="483"/>
      <c r="S900" s="484"/>
      <c r="T900" s="508">
        <f t="shared" si="623"/>
        <v>0</v>
      </c>
      <c r="U900" s="225" t="str">
        <f>IF(NOT(ISNUMBER(G900)), "", VLOOKUP(A900,'Discount Lookup'!D:E,2,FALSE)*G900)</f>
        <v/>
      </c>
      <c r="V900" s="225" t="str">
        <f>IF(NOT(ISNUMBER(G900)), "", VLOOKUP(A900,'Discount Lookup'!G:H,2,FALSE)*G900)</f>
        <v/>
      </c>
      <c r="W900" s="508">
        <f t="shared" si="624"/>
        <v>0</v>
      </c>
      <c r="X900" s="508" t="str">
        <f t="shared" si="625"/>
        <v>Coral=Pink bloom</v>
      </c>
      <c r="Y900" s="509" t="b">
        <f t="shared" si="626"/>
        <v>0</v>
      </c>
      <c r="Z900" s="510">
        <f t="shared" si="627"/>
        <v>0</v>
      </c>
      <c r="AA900" s="511"/>
      <c r="AB900" s="511" t="str">
        <f t="shared" si="628"/>
        <v/>
      </c>
      <c r="AC900" s="698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698"/>
      <c r="AE900" s="631" t="str">
        <f t="shared" si="629"/>
        <v/>
      </c>
      <c r="AF900" s="699" t="str">
        <f t="shared" si="630"/>
        <v/>
      </c>
      <c r="AG900" s="699"/>
      <c r="AH900" s="699"/>
      <c r="AI900" s="512">
        <f>IF(H900="credit",0,IF(AE900="free",0,IF(AE900="me",0,IF(G900&gt;0,(VLOOKUP(A900,'Discount Lookup'!J:K,2)*G900),0))))</f>
        <v>0</v>
      </c>
      <c r="AJ900" s="513" t="str">
        <f t="shared" ca="1" si="631"/>
        <v/>
      </c>
      <c r="AK900" s="700" t="str">
        <f t="shared" si="632"/>
        <v/>
      </c>
      <c r="AL900" s="700"/>
      <c r="AM900" s="505" t="str">
        <f t="shared" si="633"/>
        <v/>
      </c>
      <c r="AN900" s="506"/>
      <c r="AO900" s="507"/>
      <c r="AP900" s="507"/>
      <c r="AQ900" s="507"/>
      <c r="AR900" s="507"/>
      <c r="AS900" s="507"/>
      <c r="AT900" s="507"/>
      <c r="AU900" s="507"/>
      <c r="AV900" s="225"/>
      <c r="AW900" s="508"/>
      <c r="AX900" s="225"/>
      <c r="AY900" s="225"/>
      <c r="AZ900" s="225"/>
      <c r="BA900" s="225"/>
      <c r="BB900" s="225"/>
      <c r="BC900" s="56"/>
      <c r="BD900" s="56"/>
      <c r="BE900" s="56"/>
      <c r="BF900" s="107" t="str">
        <f t="shared" si="634"/>
        <v>https://www.google.com/search?tbm=isch&amp;q=Coral%20Bells%20Azalea%20Rhod.%20indicum%20%27Coral%20Bells%27</v>
      </c>
      <c r="BG900" s="107" t="str">
        <f t="shared" si="635"/>
        <v>C</v>
      </c>
      <c r="BH900" s="254"/>
      <c r="BI900" s="254"/>
    </row>
    <row r="901" spans="1:61" customFormat="1" ht="15.75" x14ac:dyDescent="0.25">
      <c r="A901" s="485">
        <v>3</v>
      </c>
      <c r="B901" s="486" t="s">
        <v>291</v>
      </c>
      <c r="C901" s="487" t="s">
        <v>2733</v>
      </c>
      <c r="D901" s="488" t="s">
        <v>299</v>
      </c>
      <c r="E901" s="489">
        <v>33.950000000000003</v>
      </c>
      <c r="F901" s="516" t="s">
        <v>293</v>
      </c>
      <c r="G901" s="232">
        <v>0</v>
      </c>
      <c r="H901" s="658" t="str">
        <f>IF(G901=0,"",IF(F901="Buy",IF(G901=1,"plant","plants"),IF(F901&gt;0.01,"warranty","Error")))</f>
        <v/>
      </c>
      <c r="I901" s="490">
        <f>IF(H901="free",0,IF(H901="credit",((E901*(F901))*G901*-1),IF(F901="Buy",(E901*G901),((E901*(1-F901))*G901))))</f>
        <v>0</v>
      </c>
      <c r="J901" s="490">
        <f>IF(H901="warranty",0,(I901*(_xlfn.SINGLE(SalesTaxPercentage))))</f>
        <v>0</v>
      </c>
      <c r="K901" s="695">
        <f t="shared" ref="K901" si="670">I901+J901</f>
        <v>0</v>
      </c>
      <c r="L901" s="695"/>
      <c r="M901" s="659" t="str">
        <f>IF(AND(G901&gt;0,E901=0),"WARNING - no PRICE inserted",IF(H901="free"," FREE ~ no charge this plant",IF(H901="credit",CONCATENATE(" -$",ROUND(K901*(1-T2GDiscount)*-1,2)," CREDIT after discount"),IF(T2GDiscount=0,"",IF(G901=0,"",IF(F901="Buy",CONCATENATE(" $",ROUND(K901*(1-T2GDiscount),2)," with ",(T2GDiscount*100),"% discount"),CONCATENATE(" $",ROUND(K901*(1-T2GDiscount),2)," with ",((T2GDiscount*100+F901*100)-(T2GDiscount*100*F901)),IF(F901&gt;0,"% discounts",IF(NoWarrantyDiscount&gt;0,"% discounts","% discount")))))))))</f>
        <v/>
      </c>
      <c r="N901" s="660"/>
      <c r="O901" s="233"/>
      <c r="P901" s="233"/>
      <c r="Q901" s="233"/>
      <c r="R901" s="233"/>
      <c r="S901" s="233"/>
      <c r="T901" s="508">
        <f t="shared" si="623"/>
        <v>0</v>
      </c>
      <c r="U901" s="225">
        <f>IF(NOT(ISNUMBER(G901)), "", VLOOKUP(A901,'Discount Lookup'!D:E,2,FALSE)*G901)</f>
        <v>0</v>
      </c>
      <c r="V901" s="225">
        <f>IF(NOT(ISNUMBER(G901)), "", VLOOKUP(A901,'Discount Lookup'!G:H,2,FALSE)*G901)</f>
        <v>0</v>
      </c>
      <c r="W901" s="508">
        <f t="shared" si="624"/>
        <v>0</v>
      </c>
      <c r="X901" s="508">
        <f t="shared" si="625"/>
        <v>0</v>
      </c>
      <c r="Y901" s="509" t="b">
        <f t="shared" si="626"/>
        <v>0</v>
      </c>
      <c r="Z901" s="510">
        <f t="shared" si="627"/>
        <v>0</v>
      </c>
      <c r="AA901" s="511"/>
      <c r="AB901" s="511" t="str">
        <f t="shared" si="628"/>
        <v/>
      </c>
      <c r="AC901" s="698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698"/>
      <c r="AE901" s="631" t="str">
        <f t="shared" si="629"/>
        <v/>
      </c>
      <c r="AF901" s="699" t="str">
        <f t="shared" si="630"/>
        <v/>
      </c>
      <c r="AG901" s="699"/>
      <c r="AH901" s="699"/>
      <c r="AI901" s="512">
        <f>IF(H901="credit",0,IF(AE901="free",0,IF(AE901="me",0,IF(G901&gt;0,(VLOOKUP(A901,'Discount Lookup'!J:K,2)*G901),0))))</f>
        <v>0</v>
      </c>
      <c r="AJ901" s="513" t="str">
        <f t="shared" ca="1" si="631"/>
        <v/>
      </c>
      <c r="AK901" s="700" t="str">
        <f t="shared" si="632"/>
        <v/>
      </c>
      <c r="AL901" s="700"/>
      <c r="AM901" s="505" t="str">
        <f t="shared" si="633"/>
        <v/>
      </c>
      <c r="AN901" s="506"/>
      <c r="AO901" s="507"/>
      <c r="AP901" s="507"/>
      <c r="AQ901" s="507"/>
      <c r="AR901" s="507"/>
      <c r="AS901" s="507"/>
      <c r="AT901" s="507"/>
      <c r="AU901" s="507"/>
      <c r="AV901" s="225"/>
      <c r="AW901" s="508"/>
      <c r="AX901" s="225"/>
      <c r="AY901" s="225"/>
      <c r="AZ901" s="225"/>
      <c r="BA901" s="225"/>
      <c r="BB901" s="225"/>
      <c r="BC901" s="56"/>
      <c r="BD901" s="56"/>
      <c r="BE901" s="56"/>
      <c r="BF901" s="107" t="str">
        <f t="shared" si="634"/>
        <v>https://www.google.com/search?tbm=isch&amp;q=3%20G5</v>
      </c>
      <c r="BG901" s="107" t="str">
        <f t="shared" si="635"/>
        <v>C</v>
      </c>
      <c r="BH901" s="254"/>
      <c r="BI901" s="254"/>
    </row>
    <row r="902" spans="1:61" customFormat="1" ht="17.25" thickBot="1" x14ac:dyDescent="0.3">
      <c r="A902" s="522" t="s">
        <v>2601</v>
      </c>
      <c r="B902" s="491"/>
      <c r="C902" s="675"/>
      <c r="D902" s="491"/>
      <c r="E902" s="491"/>
      <c r="F902" s="492"/>
      <c r="G902" s="493"/>
      <c r="H902" s="491"/>
      <c r="I902" s="234"/>
      <c r="J902" s="234"/>
      <c r="K902" s="494"/>
      <c r="L902" s="543"/>
      <c r="M902" s="561"/>
      <c r="N902" s="495"/>
      <c r="O902" s="496"/>
      <c r="P902" s="497"/>
      <c r="Q902" s="495"/>
      <c r="R902" s="495"/>
      <c r="S902" s="667" t="s">
        <v>4988</v>
      </c>
      <c r="T902" s="508">
        <f t="shared" si="623"/>
        <v>0</v>
      </c>
      <c r="U902" s="225" t="str">
        <f>IF(NOT(ISNUMBER(G902)), "", VLOOKUP(A902,'Discount Lookup'!D:E,2,FALSE)*G902)</f>
        <v/>
      </c>
      <c r="V902" s="225" t="str">
        <f>IF(NOT(ISNUMBER(G902)), "", VLOOKUP(A902,'Discount Lookup'!G:H,2,FALSE)*G902)</f>
        <v/>
      </c>
      <c r="W902" s="508">
        <f t="shared" si="624"/>
        <v>0</v>
      </c>
      <c r="X902" s="508">
        <f t="shared" si="625"/>
        <v>0</v>
      </c>
      <c r="Y902" s="509" t="b">
        <f t="shared" si="626"/>
        <v>0</v>
      </c>
      <c r="Z902" s="510">
        <f t="shared" si="627"/>
        <v>0</v>
      </c>
      <c r="AA902" s="511"/>
      <c r="AB902" s="511" t="str">
        <f t="shared" si="628"/>
        <v/>
      </c>
      <c r="AC902" s="698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698"/>
      <c r="AE902" s="631" t="str">
        <f t="shared" si="629"/>
        <v/>
      </c>
      <c r="AF902" s="699" t="str">
        <f t="shared" si="630"/>
        <v/>
      </c>
      <c r="AG902" s="699"/>
      <c r="AH902" s="699"/>
      <c r="AI902" s="512">
        <f>IF(H902="credit",0,IF(AE902="free",0,IF(AE902="me",0,IF(G902&gt;0,(VLOOKUP(A902,'Discount Lookup'!J:K,2)*G902),0))))</f>
        <v>0</v>
      </c>
      <c r="AJ902" s="513" t="str">
        <f t="shared" ca="1" si="631"/>
        <v/>
      </c>
      <c r="AK902" s="700" t="str">
        <f t="shared" si="632"/>
        <v/>
      </c>
      <c r="AL902" s="700"/>
      <c r="AM902" s="505" t="str">
        <f t="shared" si="633"/>
        <v/>
      </c>
      <c r="AN902" s="506"/>
      <c r="AO902" s="507"/>
      <c r="AP902" s="507"/>
      <c r="AQ902" s="507"/>
      <c r="AR902" s="507"/>
      <c r="AS902" s="507"/>
      <c r="AT902" s="507"/>
      <c r="AU902" s="507"/>
      <c r="AV902" s="225"/>
      <c r="AW902" s="508"/>
      <c r="AX902" s="225"/>
      <c r="AY902" s="225"/>
      <c r="AZ902" s="225"/>
      <c r="BA902" s="225"/>
      <c r="BB902" s="225"/>
      <c r="BC902" s="56"/>
      <c r="BD902" s="56"/>
      <c r="BE902" s="56"/>
      <c r="BF902" s="107" t="str">
        <f t="shared" si="634"/>
        <v>https://www.google.com/search?tbm=isch&amp;q=Coral%20Bells%20named%20for%20trumpet-shaped%20flowers.%20Dense%2C%20mounding%20habit%20with%20Glossy%20Green%20foliage%20that%20turns%20Burgundy%20in%20fall%20</v>
      </c>
      <c r="BG902" s="107" t="str">
        <f t="shared" si="635"/>
        <v>C</v>
      </c>
      <c r="BH902" s="254"/>
      <c r="BI902" s="254"/>
    </row>
    <row r="903" spans="1:61" customFormat="1" ht="18" x14ac:dyDescent="0.25">
      <c r="A903" s="523" t="s">
        <v>5378</v>
      </c>
      <c r="B903" s="235"/>
      <c r="C903" s="676"/>
      <c r="D903" s="255" t="s">
        <v>699</v>
      </c>
      <c r="E903" s="236"/>
      <c r="F903" s="236"/>
      <c r="G903" s="236"/>
      <c r="H903" s="582" t="s">
        <v>356</v>
      </c>
      <c r="I903" s="498" t="s">
        <v>3007</v>
      </c>
      <c r="J903" s="237"/>
      <c r="K903" s="237"/>
      <c r="L903" s="274"/>
      <c r="M903" s="668" t="s">
        <v>4962</v>
      </c>
      <c r="N903" s="681" t="str">
        <f>IF(AND(ISTEXT($A903), ISERROR($A903+0)), HYPERLINK($BF903, "Images"), "")</f>
        <v>Images</v>
      </c>
      <c r="O903" s="663" t="s">
        <v>4974</v>
      </c>
      <c r="P903" s="253"/>
      <c r="Q903" s="238"/>
      <c r="R903" s="239"/>
      <c r="S903" s="275"/>
      <c r="T903" s="508">
        <f t="shared" si="623"/>
        <v>0</v>
      </c>
      <c r="U903" s="225" t="str">
        <f>IF(NOT(ISNUMBER(G903)), "", VLOOKUP(A903,'Discount Lookup'!D:E,2,FALSE)*G903)</f>
        <v/>
      </c>
      <c r="V903" s="225" t="str">
        <f>IF(NOT(ISNUMBER(G903)), "", VLOOKUP(A903,'Discount Lookup'!G:H,2,FALSE)*G903)</f>
        <v/>
      </c>
      <c r="W903" s="508">
        <f t="shared" si="624"/>
        <v>0</v>
      </c>
      <c r="X903" s="508" t="str">
        <f t="shared" si="625"/>
        <v>Brick Orange-Coral bloom</v>
      </c>
      <c r="Y903" s="509" t="b">
        <f t="shared" si="626"/>
        <v>0</v>
      </c>
      <c r="Z903" s="510">
        <f t="shared" si="627"/>
        <v>0</v>
      </c>
      <c r="AA903" s="511"/>
      <c r="AB903" s="511" t="str">
        <f t="shared" si="628"/>
        <v/>
      </c>
      <c r="AC903" s="698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698"/>
      <c r="AE903" s="631" t="str">
        <f t="shared" si="629"/>
        <v/>
      </c>
      <c r="AF903" s="699" t="str">
        <f t="shared" si="630"/>
        <v/>
      </c>
      <c r="AG903" s="699"/>
      <c r="AH903" s="699"/>
      <c r="AI903" s="512">
        <f>IF(H903="credit",0,IF(AE903="free",0,IF(AE903="me",0,IF(G903&gt;0,(VLOOKUP(A903,'Discount Lookup'!J:K,2)*G903),0))))</f>
        <v>0</v>
      </c>
      <c r="AJ903" s="513" t="str">
        <f t="shared" ca="1" si="631"/>
        <v/>
      </c>
      <c r="AK903" s="700" t="str">
        <f t="shared" si="632"/>
        <v/>
      </c>
      <c r="AL903" s="700"/>
      <c r="AM903" s="505" t="str">
        <f t="shared" si="633"/>
        <v/>
      </c>
      <c r="AN903" s="506"/>
      <c r="AO903" s="507"/>
      <c r="AP903" s="507"/>
      <c r="AQ903" s="507"/>
      <c r="AR903" s="507"/>
      <c r="AS903" s="507"/>
      <c r="AT903" s="507"/>
      <c r="AU903" s="507"/>
      <c r="AV903" s="225"/>
      <c r="AW903" s="508"/>
      <c r="AX903" s="225"/>
      <c r="AY903" s="225"/>
      <c r="AZ903" s="225"/>
      <c r="BA903" s="225"/>
      <c r="BB903" s="225"/>
      <c r="BC903" s="56"/>
      <c r="BD903" s="56"/>
      <c r="BE903" s="56"/>
      <c r="BF903" s="107" t="str">
        <f t="shared" si="634"/>
        <v>https://www.google.com/search?tbm=isch&amp;q=Coral%20Double%20Knock%20Out%C2%AE%20Rose%20Rosa%20%27Radral%27%20PP%2319803</v>
      </c>
      <c r="BG903" s="107" t="str">
        <f t="shared" si="635"/>
        <v>C</v>
      </c>
      <c r="BH903" s="254"/>
      <c r="BI903" s="254"/>
    </row>
    <row r="904" spans="1:61" customFormat="1" ht="15.75" x14ac:dyDescent="0.25">
      <c r="A904" s="276">
        <v>3</v>
      </c>
      <c r="B904" s="240" t="s">
        <v>291</v>
      </c>
      <c r="C904" s="241" t="s">
        <v>4872</v>
      </c>
      <c r="D904" s="242" t="s">
        <v>312</v>
      </c>
      <c r="E904" s="243">
        <v>30.95</v>
      </c>
      <c r="F904" s="517" t="s">
        <v>293</v>
      </c>
      <c r="G904" s="232">
        <v>0</v>
      </c>
      <c r="H904" s="661" t="str">
        <f>IF(G904=0,"",IF(F904="Buy",IF(G904=1,"plant","plants"),IF(F904&gt;0.01,"warranty","Error")))</f>
        <v/>
      </c>
      <c r="I904" s="244">
        <f>IF(H904="free",0,IF(H904="credit",((E904*(F904))*G904*-1),IF(F904="Buy",(E904*G904),((E904*(1-F904))*G904))))</f>
        <v>0</v>
      </c>
      <c r="J904" s="244">
        <f>IF(H904="warranty",0,(I904*(_xlfn.SINGLE(SalesTaxPercentage))))</f>
        <v>0</v>
      </c>
      <c r="K904" s="696">
        <f t="shared" ref="K904" si="671">I904+J904</f>
        <v>0</v>
      </c>
      <c r="L904" s="696"/>
      <c r="M904" s="659" t="str">
        <f>IF(AND(G904&gt;0,E904=0),"WARNING - no PRICE inserted",IF(H904="free"," FREE ~ no charge this plant",IF(H904="credit",CONCATENATE(" -$",ROUND(K904*(1-T2GDiscount)*-1,2)," CREDIT after discount"),IF(T2GDiscount=0,"",IF(G904=0,"",IF(F904="Buy",CONCATENATE(" $",ROUND(K904*(1-T2GDiscount),2)," with ",(T2GDiscount*100),"% discount"),CONCATENATE(" $",ROUND(K904*(1-T2GDiscount),2)," with ",((T2GDiscount*100+F904*100)-(T2GDiscount*100*F904)),IF(F904&gt;0,"% discounts",IF(NoWarrantyDiscount&gt;0,"% discounts","% discount")))))))))</f>
        <v/>
      </c>
      <c r="N904" s="660"/>
      <c r="O904" s="233"/>
      <c r="P904" s="233"/>
      <c r="Q904" s="233"/>
      <c r="R904" s="233"/>
      <c r="S904" s="233"/>
      <c r="T904" s="508">
        <f t="shared" si="623"/>
        <v>0</v>
      </c>
      <c r="U904" s="225">
        <f>IF(NOT(ISNUMBER(G904)), "", VLOOKUP(A904,'Discount Lookup'!D:E,2,FALSE)*G904)</f>
        <v>0</v>
      </c>
      <c r="V904" s="225">
        <f>IF(NOT(ISNUMBER(G904)), "", VLOOKUP(A904,'Discount Lookup'!G:H,2,FALSE)*G904)</f>
        <v>0</v>
      </c>
      <c r="W904" s="508">
        <f t="shared" si="624"/>
        <v>0</v>
      </c>
      <c r="X904" s="508">
        <f t="shared" si="625"/>
        <v>0</v>
      </c>
      <c r="Y904" s="509" t="b">
        <f t="shared" si="626"/>
        <v>0</v>
      </c>
      <c r="Z904" s="510">
        <f t="shared" si="627"/>
        <v>0</v>
      </c>
      <c r="AA904" s="511"/>
      <c r="AB904" s="511" t="str">
        <f t="shared" si="628"/>
        <v/>
      </c>
      <c r="AC904" s="698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698"/>
      <c r="AE904" s="631" t="str">
        <f t="shared" si="629"/>
        <v/>
      </c>
      <c r="AF904" s="699" t="str">
        <f t="shared" si="630"/>
        <v/>
      </c>
      <c r="AG904" s="699"/>
      <c r="AH904" s="699"/>
      <c r="AI904" s="512">
        <f>IF(H904="credit",0,IF(AE904="free",0,IF(AE904="me",0,IF(G904&gt;0,(VLOOKUP(A904,'Discount Lookup'!J:K,2)*G904),0))))</f>
        <v>0</v>
      </c>
      <c r="AJ904" s="513" t="str">
        <f t="shared" ca="1" si="631"/>
        <v/>
      </c>
      <c r="AK904" s="700" t="str">
        <f t="shared" si="632"/>
        <v/>
      </c>
      <c r="AL904" s="700"/>
      <c r="AM904" s="505" t="str">
        <f t="shared" si="633"/>
        <v/>
      </c>
      <c r="AN904" s="506"/>
      <c r="AO904" s="507"/>
      <c r="AP904" s="507"/>
      <c r="AQ904" s="507"/>
      <c r="AR904" s="507"/>
      <c r="AS904" s="507"/>
      <c r="AT904" s="507"/>
      <c r="AU904" s="507"/>
      <c r="AV904" s="225"/>
      <c r="AW904" s="508"/>
      <c r="AX904" s="225"/>
      <c r="AY904" s="225"/>
      <c r="AZ904" s="225"/>
      <c r="BA904" s="225"/>
      <c r="BB904" s="225"/>
      <c r="BC904" s="56"/>
      <c r="BD904" s="56"/>
      <c r="BE904" s="56"/>
      <c r="BF904" s="107" t="str">
        <f t="shared" si="634"/>
        <v>https://www.google.com/search?tbm=isch&amp;q=3%20G2</v>
      </c>
      <c r="BG904" s="107" t="str">
        <f t="shared" si="635"/>
        <v>C</v>
      </c>
      <c r="BH904" s="254"/>
      <c r="BI904" s="254"/>
    </row>
    <row r="905" spans="1:61" customFormat="1" ht="15.75" x14ac:dyDescent="0.25">
      <c r="A905" s="276">
        <v>3</v>
      </c>
      <c r="B905" s="240" t="s">
        <v>291</v>
      </c>
      <c r="C905" s="241"/>
      <c r="D905" s="242" t="s">
        <v>298</v>
      </c>
      <c r="E905" s="243">
        <v>31.95</v>
      </c>
      <c r="F905" s="517" t="s">
        <v>293</v>
      </c>
      <c r="G905" s="232">
        <v>0</v>
      </c>
      <c r="H905" s="661" t="str">
        <f>IF(G905=0,"",IF(F905="Buy",IF(G905=1,"plant","plants"),IF(F905&gt;0.01,"warranty","Error")))</f>
        <v/>
      </c>
      <c r="I905" s="244">
        <f>IF(H905="free",0,IF(H905="credit",((E905*(F905))*G905*-1),IF(F905="Buy",(E905*G905),((E905*(1-F905))*G905))))</f>
        <v>0</v>
      </c>
      <c r="J905" s="244">
        <f>IF(H905="warranty",0,(I905*(_xlfn.SINGLE(SalesTaxPercentage))))</f>
        <v>0</v>
      </c>
      <c r="K905" s="696">
        <f t="shared" ref="K905" si="672">I905+J905</f>
        <v>0</v>
      </c>
      <c r="L905" s="696"/>
      <c r="M905" s="659" t="str">
        <f>IF(AND(G905&gt;0,E905=0),"WARNING - no PRICE inserted",IF(H905="free"," FREE ~ no charge this plant",IF(H905="credit",CONCATENATE(" -$",ROUND(K905*(1-T2GDiscount)*-1,2)," CREDIT after discount"),IF(T2GDiscount=0,"",IF(G905=0,"",IF(F905="Buy",CONCATENATE(" $",ROUND(K905*(1-T2GDiscount),2)," with ",(T2GDiscount*100),"% discount"),CONCATENATE(" $",ROUND(K905*(1-T2GDiscount),2)," with ",((T2GDiscount*100+F905*100)-(T2GDiscount*100*F905)),IF(F905&gt;0,"% discounts",IF(NoWarrantyDiscount&gt;0,"% discounts","% discount")))))))))</f>
        <v/>
      </c>
      <c r="N905" s="660"/>
      <c r="O905" s="233"/>
      <c r="P905" s="233"/>
      <c r="Q905" s="233"/>
      <c r="R905" s="233"/>
      <c r="S905" s="233"/>
      <c r="T905" s="508">
        <f t="shared" si="623"/>
        <v>0</v>
      </c>
      <c r="U905" s="225">
        <f>IF(NOT(ISNUMBER(G905)), "", VLOOKUP(A905,'Discount Lookup'!D:E,2,FALSE)*G905)</f>
        <v>0</v>
      </c>
      <c r="V905" s="225">
        <f>IF(NOT(ISNUMBER(G905)), "", VLOOKUP(A905,'Discount Lookup'!G:H,2,FALSE)*G905)</f>
        <v>0</v>
      </c>
      <c r="W905" s="508">
        <f t="shared" si="624"/>
        <v>0</v>
      </c>
      <c r="X905" s="508">
        <f t="shared" si="625"/>
        <v>0</v>
      </c>
      <c r="Y905" s="509" t="b">
        <f t="shared" si="626"/>
        <v>0</v>
      </c>
      <c r="Z905" s="510">
        <f t="shared" si="627"/>
        <v>0</v>
      </c>
      <c r="AA905" s="511"/>
      <c r="AB905" s="511" t="str">
        <f t="shared" si="628"/>
        <v/>
      </c>
      <c r="AC905" s="698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698"/>
      <c r="AE905" s="631" t="str">
        <f t="shared" si="629"/>
        <v/>
      </c>
      <c r="AF905" s="699" t="str">
        <f t="shared" si="630"/>
        <v/>
      </c>
      <c r="AG905" s="699"/>
      <c r="AH905" s="699"/>
      <c r="AI905" s="512">
        <f>IF(H905="credit",0,IF(AE905="free",0,IF(AE905="me",0,IF(G905&gt;0,(VLOOKUP(A905,'Discount Lookup'!J:K,2)*G905),0))))</f>
        <v>0</v>
      </c>
      <c r="AJ905" s="513" t="str">
        <f t="shared" ca="1" si="631"/>
        <v/>
      </c>
      <c r="AK905" s="700" t="str">
        <f t="shared" si="632"/>
        <v/>
      </c>
      <c r="AL905" s="700"/>
      <c r="AM905" s="505" t="str">
        <f t="shared" si="633"/>
        <v/>
      </c>
      <c r="AN905" s="506"/>
      <c r="AO905" s="507"/>
      <c r="AP905" s="507"/>
      <c r="AQ905" s="507"/>
      <c r="AR905" s="507"/>
      <c r="AS905" s="507"/>
      <c r="AT905" s="507"/>
      <c r="AU905" s="507"/>
      <c r="AV905" s="225"/>
      <c r="AW905" s="508"/>
      <c r="AX905" s="225"/>
      <c r="AY905" s="225"/>
      <c r="AZ905" s="225"/>
      <c r="BA905" s="225"/>
      <c r="BB905" s="225"/>
      <c r="BC905" s="56"/>
      <c r="BD905" s="56"/>
      <c r="BE905" s="56"/>
      <c r="BF905" s="107" t="str">
        <f t="shared" si="634"/>
        <v>https://www.google.com/search?tbm=isch&amp;q=3%20G1</v>
      </c>
      <c r="BG905" s="107" t="str">
        <f t="shared" si="635"/>
        <v>C</v>
      </c>
      <c r="BH905" s="254"/>
      <c r="BI905" s="254"/>
    </row>
    <row r="906" spans="1:61" customFormat="1" ht="17.25" thickBot="1" x14ac:dyDescent="0.3">
      <c r="A906" s="524" t="s">
        <v>4075</v>
      </c>
      <c r="B906" s="245"/>
      <c r="C906" s="677"/>
      <c r="D906" s="499"/>
      <c r="E906" s="499"/>
      <c r="F906" s="500"/>
      <c r="G906" s="501"/>
      <c r="H906" s="502"/>
      <c r="I906" s="246"/>
      <c r="J906" s="247"/>
      <c r="K906" s="503"/>
      <c r="L906" s="544"/>
      <c r="M906" s="544"/>
      <c r="N906" s="500"/>
      <c r="O906" s="500"/>
      <c r="P906" s="500"/>
      <c r="Q906" s="500"/>
      <c r="R906" s="500"/>
      <c r="S906" s="669" t="s">
        <v>4980</v>
      </c>
      <c r="T906" s="508">
        <f t="shared" si="623"/>
        <v>0</v>
      </c>
      <c r="U906" s="225" t="str">
        <f>IF(NOT(ISNUMBER(G906)), "", VLOOKUP(A906,'Discount Lookup'!D:E,2,FALSE)*G906)</f>
        <v/>
      </c>
      <c r="V906" s="225" t="str">
        <f>IF(NOT(ISNUMBER(G906)), "", VLOOKUP(A906,'Discount Lookup'!G:H,2,FALSE)*G906)</f>
        <v/>
      </c>
      <c r="W906" s="508">
        <f t="shared" si="624"/>
        <v>0</v>
      </c>
      <c r="X906" s="508">
        <f t="shared" si="625"/>
        <v>0</v>
      </c>
      <c r="Y906" s="509" t="b">
        <f t="shared" si="626"/>
        <v>0</v>
      </c>
      <c r="Z906" s="510">
        <f t="shared" si="627"/>
        <v>0</v>
      </c>
      <c r="AA906" s="511"/>
      <c r="AB906" s="511" t="str">
        <f t="shared" si="628"/>
        <v/>
      </c>
      <c r="AC906" s="698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698"/>
      <c r="AE906" s="631" t="str">
        <f t="shared" si="629"/>
        <v/>
      </c>
      <c r="AF906" s="699" t="str">
        <f t="shared" si="630"/>
        <v/>
      </c>
      <c r="AG906" s="699"/>
      <c r="AH906" s="699"/>
      <c r="AI906" s="512">
        <f>IF(H906="credit",0,IF(AE906="free",0,IF(AE906="me",0,IF(G906&gt;0,(VLOOKUP(A906,'Discount Lookup'!J:K,2)*G906),0))))</f>
        <v>0</v>
      </c>
      <c r="AJ906" s="513" t="str">
        <f t="shared" ca="1" si="631"/>
        <v/>
      </c>
      <c r="AK906" s="700" t="str">
        <f t="shared" si="632"/>
        <v/>
      </c>
      <c r="AL906" s="700"/>
      <c r="AM906" s="505" t="str">
        <f t="shared" si="633"/>
        <v/>
      </c>
      <c r="AN906" s="506"/>
      <c r="AO906" s="507"/>
      <c r="AP906" s="507"/>
      <c r="AQ906" s="507"/>
      <c r="AR906" s="507"/>
      <c r="AS906" s="507"/>
      <c r="AT906" s="507"/>
      <c r="AU906" s="507"/>
      <c r="AV906" s="225"/>
      <c r="AW906" s="508"/>
      <c r="AX906" s="225"/>
      <c r="AY906" s="225"/>
      <c r="AZ906" s="225"/>
      <c r="BA906" s="225"/>
      <c r="BB906" s="225"/>
      <c r="BC906" s="56"/>
      <c r="BD906" s="56"/>
      <c r="BE906" s="56"/>
      <c r="BF906" s="107" t="str">
        <f t="shared" si="634"/>
        <v>https://www.google.com/search?tbm=isch&amp;q=Knock%20Out%20bloom%20all%20summer%20and%20don%27t%20need%20deadheading.%20Glossy%20Green%20foliage%20and%20thorns%20%28rabbits%20may%20still%20nibble%29.%20Cut%20back%20annually%20</v>
      </c>
      <c r="BG906" s="107" t="str">
        <f t="shared" si="635"/>
        <v>K</v>
      </c>
      <c r="BH906" s="254"/>
      <c r="BI906" s="254"/>
    </row>
    <row r="907" spans="1:61" customFormat="1" ht="18" x14ac:dyDescent="0.25">
      <c r="A907" s="523" t="s">
        <v>5379</v>
      </c>
      <c r="B907" s="235"/>
      <c r="C907" s="676"/>
      <c r="D907" s="255" t="s">
        <v>700</v>
      </c>
      <c r="E907" s="236"/>
      <c r="F907" s="236"/>
      <c r="G907" s="236"/>
      <c r="H907" s="582" t="s">
        <v>508</v>
      </c>
      <c r="I907" s="498" t="s">
        <v>701</v>
      </c>
      <c r="J907" s="237"/>
      <c r="K907" s="237"/>
      <c r="L907" s="274"/>
      <c r="M907" s="668" t="s">
        <v>4962</v>
      </c>
      <c r="N907" s="681" t="str">
        <f>IF(AND(ISTEXT($A907), ISERROR($A907+0)), HYPERLINK($BF907, "Images"), "")</f>
        <v>Images</v>
      </c>
      <c r="O907" s="663" t="s">
        <v>4974</v>
      </c>
      <c r="P907" s="253"/>
      <c r="Q907" s="238"/>
      <c r="R907" s="239"/>
      <c r="S907" s="275"/>
      <c r="T907" s="508">
        <f t="shared" si="623"/>
        <v>0</v>
      </c>
      <c r="U907" s="225" t="str">
        <f>IF(NOT(ISNUMBER(G907)), "", VLOOKUP(A907,'Discount Lookup'!D:E,2,FALSE)*G907)</f>
        <v/>
      </c>
      <c r="V907" s="225" t="str">
        <f>IF(NOT(ISNUMBER(G907)), "", VLOOKUP(A907,'Discount Lookup'!G:H,2,FALSE)*G907)</f>
        <v/>
      </c>
      <c r="W907" s="508">
        <f t="shared" si="624"/>
        <v>0</v>
      </c>
      <c r="X907" s="508" t="str">
        <f t="shared" si="625"/>
        <v>Coral-Orange bloom</v>
      </c>
      <c r="Y907" s="509" t="b">
        <f t="shared" si="626"/>
        <v>0</v>
      </c>
      <c r="Z907" s="510">
        <f t="shared" si="627"/>
        <v>0</v>
      </c>
      <c r="AA907" s="511"/>
      <c r="AB907" s="511" t="str">
        <f t="shared" si="628"/>
        <v/>
      </c>
      <c r="AC907" s="698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698"/>
      <c r="AE907" s="631" t="str">
        <f t="shared" si="629"/>
        <v/>
      </c>
      <c r="AF907" s="699" t="str">
        <f t="shared" si="630"/>
        <v/>
      </c>
      <c r="AG907" s="699"/>
      <c r="AH907" s="699"/>
      <c r="AI907" s="512">
        <f>IF(H907="credit",0,IF(AE907="free",0,IF(AE907="me",0,IF(G907&gt;0,(VLOOKUP(A907,'Discount Lookup'!J:K,2)*G907),0))))</f>
        <v>0</v>
      </c>
      <c r="AJ907" s="513" t="str">
        <f t="shared" ca="1" si="631"/>
        <v/>
      </c>
      <c r="AK907" s="700" t="str">
        <f t="shared" si="632"/>
        <v/>
      </c>
      <c r="AL907" s="700"/>
      <c r="AM907" s="505" t="str">
        <f t="shared" si="633"/>
        <v/>
      </c>
      <c r="AN907" s="506"/>
      <c r="AO907" s="507"/>
      <c r="AP907" s="507"/>
      <c r="AQ907" s="507"/>
      <c r="AR907" s="507"/>
      <c r="AS907" s="507"/>
      <c r="AT907" s="507"/>
      <c r="AU907" s="507"/>
      <c r="AV907" s="225"/>
      <c r="AW907" s="508"/>
      <c r="AX907" s="225"/>
      <c r="AY907" s="225"/>
      <c r="AZ907" s="225"/>
      <c r="BA907" s="225"/>
      <c r="BB907" s="225"/>
      <c r="BC907" s="56"/>
      <c r="BD907" s="56"/>
      <c r="BE907" s="56"/>
      <c r="BF907" s="107" t="str">
        <f t="shared" si="634"/>
        <v>https://www.google.com/search?tbm=isch&amp;q=Coral%20Drift%C2%AE%20Rose%20Rosa%20%27Meidrifora%27%20PP%2319148</v>
      </c>
      <c r="BG907" s="107" t="str">
        <f t="shared" si="635"/>
        <v>C</v>
      </c>
      <c r="BH907" s="254"/>
      <c r="BI907" s="254"/>
    </row>
    <row r="908" spans="1:61" customFormat="1" ht="15.75" x14ac:dyDescent="0.25">
      <c r="A908" s="276">
        <v>3</v>
      </c>
      <c r="B908" s="240" t="s">
        <v>291</v>
      </c>
      <c r="C908" s="241" t="s">
        <v>4859</v>
      </c>
      <c r="D908" s="242" t="s">
        <v>312</v>
      </c>
      <c r="E908" s="243">
        <v>31.95</v>
      </c>
      <c r="F908" s="517" t="s">
        <v>293</v>
      </c>
      <c r="G908" s="232">
        <v>0</v>
      </c>
      <c r="H908" s="661" t="str">
        <f>IF(G908=0,"",IF(F908="Buy",IF(G908=1,"plant","plants"),IF(F908&gt;0.01,"warranty","Error")))</f>
        <v/>
      </c>
      <c r="I908" s="244">
        <f>IF(H908="free",0,IF(H908="credit",((E908*(F908))*G908*-1),IF(F908="Buy",(E908*G908),((E908*(1-F908))*G908))))</f>
        <v>0</v>
      </c>
      <c r="J908" s="244">
        <f>IF(H908="warranty",0,(I908*(_xlfn.SINGLE(SalesTaxPercentage))))</f>
        <v>0</v>
      </c>
      <c r="K908" s="696">
        <f t="shared" ref="K908" si="673">I908+J908</f>
        <v>0</v>
      </c>
      <c r="L908" s="696"/>
      <c r="M908" s="659" t="str">
        <f>IF(AND(G908&gt;0,E908=0),"WARNING - no PRICE inserted",IF(H908="free"," FREE ~ no charge this plant",IF(H908="credit",CONCATENATE(" -$",ROUND(K908*(1-T2GDiscount)*-1,2)," CREDIT after discount"),IF(T2GDiscount=0,"",IF(G908=0,"",IF(F908="Buy",CONCATENATE(" $",ROUND(K908*(1-T2GDiscount),2)," with ",(T2GDiscount*100),"% discount"),CONCATENATE(" $",ROUND(K908*(1-T2GDiscount),2)," with ",((T2GDiscount*100+F908*100)-(T2GDiscount*100*F908)),IF(F908&gt;0,"% discounts",IF(NoWarrantyDiscount&gt;0,"% discounts","% discount")))))))))</f>
        <v/>
      </c>
      <c r="N908" s="660"/>
      <c r="O908" s="233"/>
      <c r="P908" s="233"/>
      <c r="Q908" s="233"/>
      <c r="R908" s="233"/>
      <c r="S908" s="233"/>
      <c r="T908" s="508">
        <f t="shared" si="623"/>
        <v>0</v>
      </c>
      <c r="U908" s="225">
        <f>IF(NOT(ISNUMBER(G908)), "", VLOOKUP(A908,'Discount Lookup'!D:E,2,FALSE)*G908)</f>
        <v>0</v>
      </c>
      <c r="V908" s="225">
        <f>IF(NOT(ISNUMBER(G908)), "", VLOOKUP(A908,'Discount Lookup'!G:H,2,FALSE)*G908)</f>
        <v>0</v>
      </c>
      <c r="W908" s="508">
        <f t="shared" si="624"/>
        <v>0</v>
      </c>
      <c r="X908" s="508">
        <f t="shared" si="625"/>
        <v>0</v>
      </c>
      <c r="Y908" s="509" t="b">
        <f t="shared" si="626"/>
        <v>0</v>
      </c>
      <c r="Z908" s="510">
        <f t="shared" si="627"/>
        <v>0</v>
      </c>
      <c r="AA908" s="511"/>
      <c r="AB908" s="511" t="str">
        <f t="shared" si="628"/>
        <v/>
      </c>
      <c r="AC908" s="698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698"/>
      <c r="AE908" s="631" t="str">
        <f t="shared" si="629"/>
        <v/>
      </c>
      <c r="AF908" s="699" t="str">
        <f t="shared" si="630"/>
        <v/>
      </c>
      <c r="AG908" s="699"/>
      <c r="AH908" s="699"/>
      <c r="AI908" s="512">
        <f>IF(H908="credit",0,IF(AE908="free",0,IF(AE908="me",0,IF(G908&gt;0,(VLOOKUP(A908,'Discount Lookup'!J:K,2)*G908),0))))</f>
        <v>0</v>
      </c>
      <c r="AJ908" s="513" t="str">
        <f t="shared" ca="1" si="631"/>
        <v/>
      </c>
      <c r="AK908" s="700" t="str">
        <f t="shared" si="632"/>
        <v/>
      </c>
      <c r="AL908" s="700"/>
      <c r="AM908" s="505" t="str">
        <f t="shared" si="633"/>
        <v/>
      </c>
      <c r="AN908" s="506"/>
      <c r="AO908" s="507"/>
      <c r="AP908" s="507"/>
      <c r="AQ908" s="507"/>
      <c r="AR908" s="507"/>
      <c r="AS908" s="507"/>
      <c r="AT908" s="507"/>
      <c r="AU908" s="507"/>
      <c r="AV908" s="225"/>
      <c r="AW908" s="508"/>
      <c r="AX908" s="225"/>
      <c r="AY908" s="225"/>
      <c r="AZ908" s="225"/>
      <c r="BA908" s="225"/>
      <c r="BB908" s="225"/>
      <c r="BC908" s="56"/>
      <c r="BD908" s="56"/>
      <c r="BE908" s="56"/>
      <c r="BF908" s="107" t="str">
        <f t="shared" si="634"/>
        <v>https://www.google.com/search?tbm=isch&amp;q=3%20G2</v>
      </c>
      <c r="BG908" s="107" t="str">
        <f t="shared" si="635"/>
        <v>C</v>
      </c>
      <c r="BH908" s="254"/>
      <c r="BI908" s="254"/>
    </row>
    <row r="909" spans="1:61" customFormat="1" ht="17.25" thickBot="1" x14ac:dyDescent="0.3">
      <c r="A909" s="524" t="s">
        <v>4052</v>
      </c>
      <c r="B909" s="245"/>
      <c r="C909" s="677"/>
      <c r="D909" s="499"/>
      <c r="E909" s="499"/>
      <c r="F909" s="500"/>
      <c r="G909" s="501"/>
      <c r="H909" s="502"/>
      <c r="I909" s="246"/>
      <c r="J909" s="247"/>
      <c r="K909" s="503"/>
      <c r="L909" s="544"/>
      <c r="M909" s="544"/>
      <c r="N909" s="500"/>
      <c r="O909" s="500"/>
      <c r="P909" s="500"/>
      <c r="Q909" s="500"/>
      <c r="R909" s="500"/>
      <c r="S909" s="669" t="s">
        <v>4980</v>
      </c>
      <c r="T909" s="508">
        <f t="shared" si="623"/>
        <v>0</v>
      </c>
      <c r="U909" s="225" t="str">
        <f>IF(NOT(ISNUMBER(G909)), "", VLOOKUP(A909,'Discount Lookup'!D:E,2,FALSE)*G909)</f>
        <v/>
      </c>
      <c r="V909" s="225" t="str">
        <f>IF(NOT(ISNUMBER(G909)), "", VLOOKUP(A909,'Discount Lookup'!G:H,2,FALSE)*G909)</f>
        <v/>
      </c>
      <c r="W909" s="508">
        <f t="shared" si="624"/>
        <v>0</v>
      </c>
      <c r="X909" s="508">
        <f t="shared" si="625"/>
        <v>0</v>
      </c>
      <c r="Y909" s="509" t="b">
        <f t="shared" si="626"/>
        <v>0</v>
      </c>
      <c r="Z909" s="510">
        <f t="shared" si="627"/>
        <v>0</v>
      </c>
      <c r="AA909" s="511"/>
      <c r="AB909" s="511" t="str">
        <f t="shared" si="628"/>
        <v/>
      </c>
      <c r="AC909" s="698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698"/>
      <c r="AE909" s="631" t="str">
        <f t="shared" si="629"/>
        <v/>
      </c>
      <c r="AF909" s="699" t="str">
        <f t="shared" si="630"/>
        <v/>
      </c>
      <c r="AG909" s="699"/>
      <c r="AH909" s="699"/>
      <c r="AI909" s="512">
        <f>IF(H909="credit",0,IF(AE909="free",0,IF(AE909="me",0,IF(G909&gt;0,(VLOOKUP(A909,'Discount Lookup'!J:K,2)*G909),0))))</f>
        <v>0</v>
      </c>
      <c r="AJ909" s="513" t="str">
        <f t="shared" ca="1" si="631"/>
        <v/>
      </c>
      <c r="AK909" s="700" t="str">
        <f t="shared" si="632"/>
        <v/>
      </c>
      <c r="AL909" s="700"/>
      <c r="AM909" s="505" t="str">
        <f t="shared" si="633"/>
        <v/>
      </c>
      <c r="AN909" s="506"/>
      <c r="AO909" s="507"/>
      <c r="AP909" s="507"/>
      <c r="AQ909" s="507"/>
      <c r="AR909" s="507"/>
      <c r="AS909" s="507"/>
      <c r="AT909" s="507"/>
      <c r="AU909" s="507"/>
      <c r="AV909" s="225"/>
      <c r="AW909" s="508"/>
      <c r="AX909" s="225"/>
      <c r="AY909" s="225"/>
      <c r="AZ909" s="225"/>
      <c r="BA909" s="225"/>
      <c r="BB909" s="225"/>
      <c r="BC909" s="56"/>
      <c r="BD909" s="56"/>
      <c r="BE909" s="56"/>
      <c r="BF909" s="107" t="str">
        <f t="shared" si="634"/>
        <v>https://www.google.com/search?tbm=isch&amp;q=Drift%20Roses%20bloom%20all%20summer%20and%20don%27t%20need%20deadheading%2C%20Glossy%20Green%20foliage%20and%20thorns%20%28rabbits%20may%20still%20nibble%29.%20Cut%20back%20annually%20</v>
      </c>
      <c r="BG909" s="107" t="str">
        <f t="shared" si="635"/>
        <v>D</v>
      </c>
      <c r="BH909" s="254"/>
      <c r="BI909" s="254"/>
    </row>
    <row r="910" spans="1:61" customFormat="1" ht="18" x14ac:dyDescent="0.25">
      <c r="A910" s="523" t="s">
        <v>702</v>
      </c>
      <c r="B910" s="235"/>
      <c r="C910" s="676"/>
      <c r="D910" s="255" t="s">
        <v>703</v>
      </c>
      <c r="E910" s="236"/>
      <c r="F910" s="236"/>
      <c r="G910" s="236"/>
      <c r="H910" s="582" t="s">
        <v>320</v>
      </c>
      <c r="I910" s="498" t="s">
        <v>656</v>
      </c>
      <c r="J910" s="237"/>
      <c r="K910" s="237"/>
      <c r="L910" s="274"/>
      <c r="M910" s="668" t="s">
        <v>4962</v>
      </c>
      <c r="N910" s="681" t="str">
        <f>IF(AND(ISTEXT($A910), ISERROR($A910+0)), HYPERLINK($BF910, "Images"), "")</f>
        <v>Images</v>
      </c>
      <c r="O910" s="663" t="s">
        <v>4974</v>
      </c>
      <c r="P910" s="253"/>
      <c r="Q910" s="238"/>
      <c r="R910" s="239"/>
      <c r="S910" s="275"/>
      <c r="T910" s="508">
        <f t="shared" ref="T910:T973" si="674">E910*G910</f>
        <v>0</v>
      </c>
      <c r="U910" s="225" t="str">
        <f>IF(NOT(ISNUMBER(G910)), "", VLOOKUP(A910,'Discount Lookup'!D:E,2,FALSE)*G910)</f>
        <v/>
      </c>
      <c r="V910" s="225" t="str">
        <f>IF(NOT(ISNUMBER(G910)), "", VLOOKUP(A910,'Discount Lookup'!G:H,2,FALSE)*G910)</f>
        <v/>
      </c>
      <c r="W910" s="508">
        <f t="shared" ref="W910:W973" si="675">IF(H910="credit",0,E910*(SalesTaxPercentage)*G910)</f>
        <v>0</v>
      </c>
      <c r="X910" s="508" t="str">
        <f t="shared" ref="X910:X973" si="676">I910</f>
        <v>Pink bloom</v>
      </c>
      <c r="Y910" s="509" t="b">
        <f t="shared" ref="Y910:Y973" si="677">IF(AE910="T2G",0,IF(H910="credit",0,IF(G910&gt;0,IF(AE910="me","",G910))))</f>
        <v>0</v>
      </c>
      <c r="Z910" s="510">
        <f t="shared" ref="Z910:Z973" si="678">IF(H910="credit",G910,0)</f>
        <v>0</v>
      </c>
      <c r="AA910" s="511"/>
      <c r="AB910" s="511" t="str">
        <f t="shared" ref="AB910:AB973" si="679">IF(AE910="T2G","by Trees2Go",IF(H910="credit","CREDIT only ~",IF(AND(K910="",AE910=OR(PlanterYesMe="No",PlanterYesMe="N",PlanterYesMe="me")),"not THIS line⇨",IF(AND(K910="images",AE910="me"),"not THIS line⇨",IF(H910="credit","",IF(G910=0,"",IF(AE910="me","",IF(OR(PlanterYesMe="No",PlanterYesMe="N",PlanterYesMe="me"),"",IF(AE910="free","warranty",IF(OR(PlanterYesMe="yes",PlanterYesMe="y"),"Edison install:","to install:"))))))))))</f>
        <v/>
      </c>
      <c r="AC910" s="698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698"/>
      <c r="AE910" s="631" t="str">
        <f t="shared" ref="AE910:AE973" si="680">IF(H910="credit","",IF(G910=0,"",IF(OR(PlanterYesMe="No",PlanterYesMe="N",PlanterYesMe="me"),"me",IF(H910="warranty","free",IF(OR(PlanterYesMe="yes",PlanterYesMe="y"),"ELP","")))))</f>
        <v/>
      </c>
      <c r="AF910" s="699" t="str">
        <f t="shared" ref="AF910:AF973" si="681">IF(OR(PlanterYesMe="No",PlanterYesMe="N",PlanterYesMe="me"),"",IF(H910="credit","",IF(G910&gt;0,(CONCATENATE((G910)," quantity, ",(A910)," ",B910)),"")))</f>
        <v/>
      </c>
      <c r="AG910" s="699"/>
      <c r="AH910" s="699"/>
      <c r="AI910" s="512">
        <f>IF(H910="credit",0,IF(AE910="free",0,IF(AE910="me",0,IF(G910&gt;0,(VLOOKUP(A910,'Discount Lookup'!J:K,2)*G910),0))))</f>
        <v>0</v>
      </c>
      <c r="AJ910" s="513" t="str">
        <f t="shared" ref="AJ910:AJ973" ca="1" si="682">IF(AND(ISREF(H910),H910="credit"),"",IF(AND(AND(OFFSET(G910,0,0)=0,OFFSET(G910,1,0)&gt;0,ISNUMBER(OFFSET(AC910,1,0)),OFFSET(AC910,1,0)&gt;0),OR(PlanterYesMe="yes",PlanterYesMe="y")),"T2G+ELP=",IF(AND(OFFSET(G910,0,0)=0,OFFSET(G910,1,0)&gt;0,ISNUMBER(OFFSET(AC910,1,0)),OFFSET(AC910,1,0)&gt;0),"if T2G+ELP=",IF(AND(OFFSET(G910,0,0)=0,OFFSET(G910,1,0)&gt;0),"T2G Subtotal",IF(H910="credit","",IF(G910=0,"",IF(AE910="free",(K910*(1-T2GDiscount)),IF(OR(PlanterYesMe="No",PlanterYesMe="N",PlanterYesMe="me"),(K910*(1-T2GDiscount)),IF(OR(AE910="me",AE910="T2G"),(K910*(1-T2GDiscount)),(K910*(1-T2GDiscount))+AC910)))))))))</f>
        <v/>
      </c>
      <c r="AK910" s="700" t="str">
        <f t="shared" ref="AK910:AK973" si="683">IF(H910="credit","",IF(G910=0,"",IF(OR(AE910="me",AE910="T2G"),"  delivery-only",IF(OR(PlanterYesMe="No",PlanterYesMe="N",PlanterYesMe="me"),"  delivery-only",CONCATENATE(" $",ROUND(AJ910/G910,2)," each")))))</f>
        <v/>
      </c>
      <c r="AL910" s="700"/>
      <c r="AM910" s="505" t="str">
        <f t="shared" ref="AM910:AM973" si="684">IF(H910="credit","",IF(AE910="free","      ~ discounts included, no tax or planting fee applies ~",IF(G910=0,"",IF(OR(PlanterYesMe="No",PlanterYesMe="N",PlanterYesMe="me"),CONCATENATE(" $",ROUND(AJ910/G910,2)," per plant, with tax &amp; discount"),IF(OR(AE910="me",AE910="T2G"),CONCATENATE(" $",ROUND(AJ910/G910,2)," per plant, with tax &amp; discount"),CONCATENATE("= $",ROUND((K910*(1-T2GDiscount))/G910,2)," per plant + $",AC910/G910,(" per planting      ~ includes tax &amp; discounts ~")))))))</f>
        <v/>
      </c>
      <c r="AN910" s="506"/>
      <c r="AO910" s="507"/>
      <c r="AP910" s="507"/>
      <c r="AQ910" s="507"/>
      <c r="AR910" s="507"/>
      <c r="AS910" s="507"/>
      <c r="AT910" s="507"/>
      <c r="AU910" s="507"/>
      <c r="AV910" s="225"/>
      <c r="AW910" s="508"/>
      <c r="AX910" s="225"/>
      <c r="AY910" s="225"/>
      <c r="AZ910" s="225"/>
      <c r="BA910" s="225"/>
      <c r="BB910" s="225"/>
      <c r="BC910" s="56"/>
      <c r="BD910" s="56"/>
      <c r="BE910" s="56"/>
      <c r="BF910" s="107" t="str">
        <f t="shared" ref="BF910:BF973" si="685">"https://www.google.com/search?tbm=isch&amp;q=" &amp; _xlfn.ENCODEURL($A910 &amp; " " &amp; $D910)</f>
        <v>https://www.google.com/search?tbm=isch&amp;q=Corinthian%20Pink%20Flowering%20Peach%20Prunus%20persica%20%27Corinthian%20Pink%27</v>
      </c>
      <c r="BG910" s="107" t="str">
        <f t="shared" ref="BG910:BG973" si="686">IF(ISTEXT(A910),LEFT(A910,1),BG909)</f>
        <v>C</v>
      </c>
      <c r="BH910" s="254"/>
      <c r="BI910" s="254"/>
    </row>
    <row r="911" spans="1:61" customFormat="1" ht="15.75" x14ac:dyDescent="0.25">
      <c r="A911" s="276">
        <v>7</v>
      </c>
      <c r="B911" s="240" t="s">
        <v>291</v>
      </c>
      <c r="C911" s="241" t="s">
        <v>3788</v>
      </c>
      <c r="D911" s="242" t="s">
        <v>292</v>
      </c>
      <c r="E911" s="243">
        <v>102.95</v>
      </c>
      <c r="F911" s="517" t="s">
        <v>293</v>
      </c>
      <c r="G911" s="232">
        <v>0</v>
      </c>
      <c r="H911" s="661" t="str">
        <f>IF(G911=0,"",IF(F911="Buy",IF(G911=1,"plant","plants"),IF(F911&gt;0.01,"warranty","Error")))</f>
        <v/>
      </c>
      <c r="I911" s="244">
        <f>IF(H911="free",0,IF(H911="credit",((E911*(F911))*G911*-1),IF(F911="Buy",(E911*G911),((E911*(1-F911))*G911))))</f>
        <v>0</v>
      </c>
      <c r="J911" s="244">
        <f>IF(H911="warranty",0,(I911*(_xlfn.SINGLE(SalesTaxPercentage))))</f>
        <v>0</v>
      </c>
      <c r="K911" s="696">
        <f t="shared" ref="K911" si="687">I911+J911</f>
        <v>0</v>
      </c>
      <c r="L911" s="696"/>
      <c r="M911" s="659" t="str">
        <f>IF(AND(G911&gt;0,E911=0),"WARNING - no PRICE inserted",IF(H911="free"," FREE ~ no charge this plant",IF(H911="credit",CONCATENATE(" -$",ROUND(K911*(1-T2GDiscount)*-1,2)," CREDIT after discount"),IF(T2GDiscount=0,"",IF(G911=0,"",IF(F911="Buy",CONCATENATE(" $",ROUND(K911*(1-T2GDiscount),2)," with ",(T2GDiscount*100),"% discount"),CONCATENATE(" $",ROUND(K911*(1-T2GDiscount),2)," with ",((T2GDiscount*100+F911*100)-(T2GDiscount*100*F911)),IF(F911&gt;0,"% discounts",IF(NoWarrantyDiscount&gt;0,"% discounts","% discount")))))))))</f>
        <v/>
      </c>
      <c r="N911" s="660"/>
      <c r="O911" s="233"/>
      <c r="P911" s="233"/>
      <c r="Q911" s="233"/>
      <c r="R911" s="233"/>
      <c r="S911" s="233"/>
      <c r="T911" s="508">
        <f t="shared" si="674"/>
        <v>0</v>
      </c>
      <c r="U911" s="225">
        <f>IF(NOT(ISNUMBER(G911)), "", VLOOKUP(A911,'Discount Lookup'!D:E,2,FALSE)*G911)</f>
        <v>0</v>
      </c>
      <c r="V911" s="225">
        <f>IF(NOT(ISNUMBER(G911)), "", VLOOKUP(A911,'Discount Lookup'!G:H,2,FALSE)*G911)</f>
        <v>0</v>
      </c>
      <c r="W911" s="508">
        <f t="shared" si="675"/>
        <v>0</v>
      </c>
      <c r="X911" s="508">
        <f t="shared" si="676"/>
        <v>0</v>
      </c>
      <c r="Y911" s="509" t="b">
        <f t="shared" si="677"/>
        <v>0</v>
      </c>
      <c r="Z911" s="510">
        <f t="shared" si="678"/>
        <v>0</v>
      </c>
      <c r="AA911" s="511"/>
      <c r="AB911" s="511" t="str">
        <f t="shared" si="679"/>
        <v/>
      </c>
      <c r="AC911" s="698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698"/>
      <c r="AE911" s="631" t="str">
        <f t="shared" si="680"/>
        <v/>
      </c>
      <c r="AF911" s="699" t="str">
        <f t="shared" si="681"/>
        <v/>
      </c>
      <c r="AG911" s="699"/>
      <c r="AH911" s="699"/>
      <c r="AI911" s="512">
        <f>IF(H911="credit",0,IF(AE911="free",0,IF(AE911="me",0,IF(G911&gt;0,(VLOOKUP(A911,'Discount Lookup'!J:K,2)*G911),0))))</f>
        <v>0</v>
      </c>
      <c r="AJ911" s="513" t="str">
        <f t="shared" ca="1" si="682"/>
        <v/>
      </c>
      <c r="AK911" s="700" t="str">
        <f t="shared" si="683"/>
        <v/>
      </c>
      <c r="AL911" s="700"/>
      <c r="AM911" s="505" t="str">
        <f t="shared" si="684"/>
        <v/>
      </c>
      <c r="AN911" s="506"/>
      <c r="AO911" s="507"/>
      <c r="AP911" s="507"/>
      <c r="AQ911" s="507"/>
      <c r="AR911" s="507"/>
      <c r="AS911" s="507"/>
      <c r="AT911" s="507"/>
      <c r="AU911" s="507"/>
      <c r="AV911" s="225"/>
      <c r="AW911" s="508"/>
      <c r="AX911" s="225"/>
      <c r="AY911" s="225"/>
      <c r="AZ911" s="225"/>
      <c r="BA911" s="225"/>
      <c r="BB911" s="225"/>
      <c r="BC911" s="56"/>
      <c r="BD911" s="56"/>
      <c r="BE911" s="56"/>
      <c r="BF911" s="107" t="str">
        <f t="shared" si="685"/>
        <v>https://www.google.com/search?tbm=isch&amp;q=7%20G4</v>
      </c>
      <c r="BG911" s="107" t="str">
        <f t="shared" si="686"/>
        <v>C</v>
      </c>
      <c r="BH911" s="254"/>
      <c r="BI911" s="254"/>
    </row>
    <row r="912" spans="1:61" customFormat="1" ht="17.25" thickBot="1" x14ac:dyDescent="0.3">
      <c r="A912" s="524" t="s">
        <v>2365</v>
      </c>
      <c r="B912" s="245"/>
      <c r="C912" s="677"/>
      <c r="D912" s="499"/>
      <c r="E912" s="499"/>
      <c r="F912" s="500"/>
      <c r="G912" s="501"/>
      <c r="H912" s="502"/>
      <c r="I912" s="246"/>
      <c r="J912" s="247"/>
      <c r="K912" s="503"/>
      <c r="L912" s="544"/>
      <c r="M912" s="544"/>
      <c r="N912" s="500"/>
      <c r="O912" s="500"/>
      <c r="P912" s="500"/>
      <c r="Q912" s="500"/>
      <c r="R912" s="500"/>
      <c r="S912" s="669" t="s">
        <v>4978</v>
      </c>
      <c r="T912" s="508">
        <f t="shared" si="674"/>
        <v>0</v>
      </c>
      <c r="U912" s="225" t="str">
        <f>IF(NOT(ISNUMBER(G912)), "", VLOOKUP(A912,'Discount Lookup'!D:E,2,FALSE)*G912)</f>
        <v/>
      </c>
      <c r="V912" s="225" t="str">
        <f>IF(NOT(ISNUMBER(G912)), "", VLOOKUP(A912,'Discount Lookup'!G:H,2,FALSE)*G912)</f>
        <v/>
      </c>
      <c r="W912" s="508">
        <f t="shared" si="675"/>
        <v>0</v>
      </c>
      <c r="X912" s="508">
        <f t="shared" si="676"/>
        <v>0</v>
      </c>
      <c r="Y912" s="509" t="b">
        <f t="shared" si="677"/>
        <v>0</v>
      </c>
      <c r="Z912" s="510">
        <f t="shared" si="678"/>
        <v>0</v>
      </c>
      <c r="AA912" s="511"/>
      <c r="AB912" s="511" t="str">
        <f t="shared" si="679"/>
        <v/>
      </c>
      <c r="AC912" s="698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698"/>
      <c r="AE912" s="631" t="str">
        <f t="shared" si="680"/>
        <v/>
      </c>
      <c r="AF912" s="699" t="str">
        <f t="shared" si="681"/>
        <v/>
      </c>
      <c r="AG912" s="699"/>
      <c r="AH912" s="699"/>
      <c r="AI912" s="512">
        <f>IF(H912="credit",0,IF(AE912="free",0,IF(AE912="me",0,IF(G912&gt;0,(VLOOKUP(A912,'Discount Lookup'!J:K,2)*G912),0))))</f>
        <v>0</v>
      </c>
      <c r="AJ912" s="513" t="str">
        <f t="shared" ca="1" si="682"/>
        <v/>
      </c>
      <c r="AK912" s="700" t="str">
        <f t="shared" si="683"/>
        <v/>
      </c>
      <c r="AL912" s="700"/>
      <c r="AM912" s="505" t="str">
        <f t="shared" si="684"/>
        <v/>
      </c>
      <c r="AN912" s="506"/>
      <c r="AO912" s="507"/>
      <c r="AP912" s="507"/>
      <c r="AQ912" s="507"/>
      <c r="AR912" s="507"/>
      <c r="AS912" s="507"/>
      <c r="AT912" s="507"/>
      <c r="AU912" s="507"/>
      <c r="AV912" s="225"/>
      <c r="AW912" s="508"/>
      <c r="AX912" s="225"/>
      <c r="AY912" s="225"/>
      <c r="AZ912" s="225"/>
      <c r="BA912" s="225"/>
      <c r="BB912" s="225"/>
      <c r="BC912" s="56"/>
      <c r="BD912" s="56"/>
      <c r="BE912" s="56"/>
      <c r="BF912" s="107" t="str">
        <f t="shared" si="685"/>
        <v>https://www.google.com/search?tbm=isch&amp;q=Corinthian%20Pink%20has%20Purple%20foliage%20in%20a%20tight%2C%20upright%20columnr%20form.%20Non-edible%20fruit%20good%20for%20wildlife%20</v>
      </c>
      <c r="BG912" s="107" t="str">
        <f t="shared" si="686"/>
        <v>C</v>
      </c>
      <c r="BH912" s="254"/>
      <c r="BI912" s="254"/>
    </row>
    <row r="913" spans="1:61" customFormat="1" ht="18" x14ac:dyDescent="0.25">
      <c r="A913" s="523" t="s">
        <v>3215</v>
      </c>
      <c r="B913" s="235"/>
      <c r="C913" s="676"/>
      <c r="D913" s="255" t="s">
        <v>3216</v>
      </c>
      <c r="E913" s="236"/>
      <c r="F913" s="236"/>
      <c r="G913" s="236"/>
      <c r="H913" s="582" t="s">
        <v>2042</v>
      </c>
      <c r="I913" s="498" t="s">
        <v>2512</v>
      </c>
      <c r="J913" s="237"/>
      <c r="K913" s="237"/>
      <c r="L913" s="274"/>
      <c r="M913" s="668" t="s">
        <v>4962</v>
      </c>
      <c r="N913" s="681" t="str">
        <f>IF(AND(ISTEXT($A913), ISERROR($A913+0)), HYPERLINK($BF913, "Images"), "")</f>
        <v>Images</v>
      </c>
      <c r="O913" s="663" t="s">
        <v>4971</v>
      </c>
      <c r="P913" s="253"/>
      <c r="Q913" s="238"/>
      <c r="R913" s="239"/>
      <c r="S913" s="275"/>
      <c r="T913" s="508">
        <f t="shared" si="674"/>
        <v>0</v>
      </c>
      <c r="U913" s="225" t="str">
        <f>IF(NOT(ISNUMBER(G913)), "", VLOOKUP(A913,'Discount Lookup'!D:E,2,FALSE)*G913)</f>
        <v/>
      </c>
      <c r="V913" s="225" t="str">
        <f>IF(NOT(ISNUMBER(G913)), "", VLOOKUP(A913,'Discount Lookup'!G:H,2,FALSE)*G913)</f>
        <v/>
      </c>
      <c r="W913" s="508">
        <f t="shared" si="675"/>
        <v>0</v>
      </c>
      <c r="X913" s="508" t="str">
        <f t="shared" si="676"/>
        <v>White bloom, Pink buds</v>
      </c>
      <c r="Y913" s="509" t="b">
        <f t="shared" si="677"/>
        <v>0</v>
      </c>
      <c r="Z913" s="510">
        <f t="shared" si="678"/>
        <v>0</v>
      </c>
      <c r="AA913" s="511"/>
      <c r="AB913" s="511" t="str">
        <f t="shared" si="679"/>
        <v/>
      </c>
      <c r="AC913" s="698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698"/>
      <c r="AE913" s="631" t="str">
        <f t="shared" si="680"/>
        <v/>
      </c>
      <c r="AF913" s="699" t="str">
        <f t="shared" si="681"/>
        <v/>
      </c>
      <c r="AG913" s="699"/>
      <c r="AH913" s="699"/>
      <c r="AI913" s="512">
        <f>IF(H913="credit",0,IF(AE913="free",0,IF(AE913="me",0,IF(G913&gt;0,(VLOOKUP(A913,'Discount Lookup'!J:K,2)*G913),0))))</f>
        <v>0</v>
      </c>
      <c r="AJ913" s="513" t="str">
        <f t="shared" ca="1" si="682"/>
        <v/>
      </c>
      <c r="AK913" s="700" t="str">
        <f t="shared" si="683"/>
        <v/>
      </c>
      <c r="AL913" s="700"/>
      <c r="AM913" s="505" t="str">
        <f t="shared" si="684"/>
        <v/>
      </c>
      <c r="AN913" s="506"/>
      <c r="AO913" s="507"/>
      <c r="AP913" s="507"/>
      <c r="AQ913" s="507"/>
      <c r="AR913" s="507"/>
      <c r="AS913" s="507"/>
      <c r="AT913" s="507"/>
      <c r="AU913" s="507"/>
      <c r="AV913" s="225"/>
      <c r="AW913" s="508"/>
      <c r="AX913" s="225"/>
      <c r="AY913" s="225"/>
      <c r="AZ913" s="225"/>
      <c r="BA913" s="225"/>
      <c r="BB913" s="225"/>
      <c r="BC913" s="56"/>
      <c r="BD913" s="56"/>
      <c r="BE913" s="56"/>
      <c r="BF913" s="107" t="str">
        <f t="shared" si="685"/>
        <v>https://www.google.com/search?tbm=isch&amp;q=Corinthian%20White%20Flowering%20Peach%20Prunus%20persica%20%27Corinthian%20White%27%20PP%2311493</v>
      </c>
      <c r="BG913" s="107" t="str">
        <f t="shared" si="686"/>
        <v>C</v>
      </c>
      <c r="BH913" s="254"/>
      <c r="BI913" s="254"/>
    </row>
    <row r="914" spans="1:61" customFormat="1" ht="15.75" x14ac:dyDescent="0.25">
      <c r="A914" s="276">
        <v>7</v>
      </c>
      <c r="B914" s="240" t="s">
        <v>291</v>
      </c>
      <c r="C914" s="241" t="s">
        <v>3402</v>
      </c>
      <c r="D914" s="242" t="s">
        <v>292</v>
      </c>
      <c r="E914" s="243">
        <v>102.95</v>
      </c>
      <c r="F914" s="517" t="s">
        <v>293</v>
      </c>
      <c r="G914" s="232">
        <v>0</v>
      </c>
      <c r="H914" s="661" t="str">
        <f>IF(G914=0,"",IF(F914="Buy",IF(G914=1,"plant","plants"),IF(F914&gt;0.01,"warranty","Error")))</f>
        <v/>
      </c>
      <c r="I914" s="244">
        <f>IF(H914="free",0,IF(H914="credit",((E914*(F914))*G914*-1),IF(F914="Buy",(E914*G914),((E914*(1-F914))*G914))))</f>
        <v>0</v>
      </c>
      <c r="J914" s="244">
        <f>IF(H914="warranty",0,(I914*(_xlfn.SINGLE(SalesTaxPercentage))))</f>
        <v>0</v>
      </c>
      <c r="K914" s="696">
        <f t="shared" ref="K914" si="688">I914+J914</f>
        <v>0</v>
      </c>
      <c r="L914" s="696"/>
      <c r="M914" s="659" t="str">
        <f>IF(AND(G914&gt;0,E914=0),"WARNING - no PRICE inserted",IF(H914="free"," FREE ~ no charge this plant",IF(H914="credit",CONCATENATE(" -$",ROUND(K914*(1-T2GDiscount)*-1,2)," CREDIT after discount"),IF(T2GDiscount=0,"",IF(G914=0,"",IF(F914="Buy",CONCATENATE(" $",ROUND(K914*(1-T2GDiscount),2)," with ",(T2GDiscount*100),"% discount"),CONCATENATE(" $",ROUND(K914*(1-T2GDiscount),2)," with ",((T2GDiscount*100+F914*100)-(T2GDiscount*100*F914)),IF(F914&gt;0,"% discounts",IF(NoWarrantyDiscount&gt;0,"% discounts","% discount")))))))))</f>
        <v/>
      </c>
      <c r="N914" s="660"/>
      <c r="O914" s="233"/>
      <c r="P914" s="233"/>
      <c r="Q914" s="233"/>
      <c r="R914" s="233"/>
      <c r="S914" s="233"/>
      <c r="T914" s="508">
        <f t="shared" si="674"/>
        <v>0</v>
      </c>
      <c r="U914" s="225">
        <f>IF(NOT(ISNUMBER(G914)), "", VLOOKUP(A914,'Discount Lookup'!D:E,2,FALSE)*G914)</f>
        <v>0</v>
      </c>
      <c r="V914" s="225">
        <f>IF(NOT(ISNUMBER(G914)), "", VLOOKUP(A914,'Discount Lookup'!G:H,2,FALSE)*G914)</f>
        <v>0</v>
      </c>
      <c r="W914" s="508">
        <f t="shared" si="675"/>
        <v>0</v>
      </c>
      <c r="X914" s="508">
        <f t="shared" si="676"/>
        <v>0</v>
      </c>
      <c r="Y914" s="509" t="b">
        <f t="shared" si="677"/>
        <v>0</v>
      </c>
      <c r="Z914" s="510">
        <f t="shared" si="678"/>
        <v>0</v>
      </c>
      <c r="AA914" s="511"/>
      <c r="AB914" s="511" t="str">
        <f t="shared" si="679"/>
        <v/>
      </c>
      <c r="AC914" s="698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698"/>
      <c r="AE914" s="631" t="str">
        <f t="shared" si="680"/>
        <v/>
      </c>
      <c r="AF914" s="699" t="str">
        <f t="shared" si="681"/>
        <v/>
      </c>
      <c r="AG914" s="699"/>
      <c r="AH914" s="699"/>
      <c r="AI914" s="512">
        <f>IF(H914="credit",0,IF(AE914="free",0,IF(AE914="me",0,IF(G914&gt;0,(VLOOKUP(A914,'Discount Lookup'!J:K,2)*G914),0))))</f>
        <v>0</v>
      </c>
      <c r="AJ914" s="513" t="str">
        <f t="shared" ca="1" si="682"/>
        <v/>
      </c>
      <c r="AK914" s="700" t="str">
        <f t="shared" si="683"/>
        <v/>
      </c>
      <c r="AL914" s="700"/>
      <c r="AM914" s="505" t="str">
        <f t="shared" si="684"/>
        <v/>
      </c>
      <c r="AN914" s="506"/>
      <c r="AO914" s="507"/>
      <c r="AP914" s="507"/>
      <c r="AQ914" s="507"/>
      <c r="AR914" s="507"/>
      <c r="AS914" s="507"/>
      <c r="AT914" s="507"/>
      <c r="AU914" s="507"/>
      <c r="AV914" s="225"/>
      <c r="AW914" s="508"/>
      <c r="AX914" s="225"/>
      <c r="AY914" s="225"/>
      <c r="AZ914" s="225"/>
      <c r="BA914" s="225"/>
      <c r="BB914" s="225"/>
      <c r="BC914" s="56"/>
      <c r="BD914" s="56"/>
      <c r="BE914" s="56"/>
      <c r="BF914" s="107" t="str">
        <f t="shared" si="685"/>
        <v>https://www.google.com/search?tbm=isch&amp;q=7%20G4</v>
      </c>
      <c r="BG914" s="107" t="str">
        <f t="shared" si="686"/>
        <v>C</v>
      </c>
      <c r="BH914" s="254"/>
      <c r="BI914" s="254"/>
    </row>
    <row r="915" spans="1:61" customFormat="1" ht="17.25" thickBot="1" x14ac:dyDescent="0.3">
      <c r="A915" s="673" t="s">
        <v>5086</v>
      </c>
      <c r="B915" s="245"/>
      <c r="C915" s="677"/>
      <c r="D915" s="499"/>
      <c r="E915" s="499"/>
      <c r="F915" s="500"/>
      <c r="G915" s="501"/>
      <c r="H915" s="502"/>
      <c r="I915" s="246"/>
      <c r="J915" s="247"/>
      <c r="K915" s="503"/>
      <c r="L915" s="544"/>
      <c r="M915" s="544"/>
      <c r="N915" s="500"/>
      <c r="O915" s="500"/>
      <c r="P915" s="500"/>
      <c r="Q915" s="500"/>
      <c r="R915" s="500"/>
      <c r="S915" s="669" t="s">
        <v>4978</v>
      </c>
      <c r="T915" s="508">
        <f t="shared" si="674"/>
        <v>0</v>
      </c>
      <c r="U915" s="225" t="str">
        <f>IF(NOT(ISNUMBER(G915)), "", VLOOKUP(A915,'Discount Lookup'!D:E,2,FALSE)*G915)</f>
        <v/>
      </c>
      <c r="V915" s="225" t="str">
        <f>IF(NOT(ISNUMBER(G915)), "", VLOOKUP(A915,'Discount Lookup'!G:H,2,FALSE)*G915)</f>
        <v/>
      </c>
      <c r="W915" s="508">
        <f t="shared" si="675"/>
        <v>0</v>
      </c>
      <c r="X915" s="508">
        <f t="shared" si="676"/>
        <v>0</v>
      </c>
      <c r="Y915" s="509" t="b">
        <f t="shared" si="677"/>
        <v>0</v>
      </c>
      <c r="Z915" s="510">
        <f t="shared" si="678"/>
        <v>0</v>
      </c>
      <c r="AA915" s="511"/>
      <c r="AB915" s="511" t="str">
        <f t="shared" si="679"/>
        <v/>
      </c>
      <c r="AC915" s="698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698"/>
      <c r="AE915" s="631" t="str">
        <f t="shared" si="680"/>
        <v/>
      </c>
      <c r="AF915" s="699" t="str">
        <f t="shared" si="681"/>
        <v/>
      </c>
      <c r="AG915" s="699"/>
      <c r="AH915" s="699"/>
      <c r="AI915" s="512">
        <f>IF(H915="credit",0,IF(AE915="free",0,IF(AE915="me",0,IF(G915&gt;0,(VLOOKUP(A915,'Discount Lookup'!J:K,2)*G915),0))))</f>
        <v>0</v>
      </c>
      <c r="AJ915" s="513" t="str">
        <f t="shared" ca="1" si="682"/>
        <v/>
      </c>
      <c r="AK915" s="700" t="str">
        <f t="shared" si="683"/>
        <v/>
      </c>
      <c r="AL915" s="700"/>
      <c r="AM915" s="505" t="str">
        <f t="shared" si="684"/>
        <v/>
      </c>
      <c r="AN915" s="506"/>
      <c r="AO915" s="507"/>
      <c r="AP915" s="507"/>
      <c r="AQ915" s="507"/>
      <c r="AR915" s="507"/>
      <c r="AS915" s="507"/>
      <c r="AT915" s="507"/>
      <c r="AU915" s="507"/>
      <c r="AV915" s="225"/>
      <c r="AW915" s="508"/>
      <c r="AX915" s="225"/>
      <c r="AY915" s="225"/>
      <c r="AZ915" s="225"/>
      <c r="BA915" s="225"/>
      <c r="BB915" s="225"/>
      <c r="BC915" s="56"/>
      <c r="BD915" s="56"/>
      <c r="BE915" s="56"/>
      <c r="BF915" s="107" t="str">
        <f t="shared" si="685"/>
        <v>https://www.google.com/search?tbm=isch&amp;q=moist%20sites%F0%9F%92%A7GOOD%2C%20Corinthian%20White%20is%20notable%20for%20its%20very%20narrow%2C%20upright%20columnar%20form.%20%20Green%20foliage%20turns%20Yellow%20in%20fall%20</v>
      </c>
      <c r="BG915" s="107" t="str">
        <f t="shared" si="686"/>
        <v>m</v>
      </c>
      <c r="BH915" s="254"/>
      <c r="BI915" s="254"/>
    </row>
    <row r="916" spans="1:61" customFormat="1" ht="18" x14ac:dyDescent="0.25">
      <c r="A916" s="521" t="s">
        <v>4396</v>
      </c>
      <c r="B916" s="477"/>
      <c r="C916" s="674"/>
      <c r="D916" s="478" t="s">
        <v>4397</v>
      </c>
      <c r="E916" s="479"/>
      <c r="F916" s="479"/>
      <c r="G916" s="479"/>
      <c r="H916" s="582" t="s">
        <v>471</v>
      </c>
      <c r="I916" s="480" t="s">
        <v>4392</v>
      </c>
      <c r="J916" s="479"/>
      <c r="K916" s="479"/>
      <c r="L916" s="560"/>
      <c r="M916" s="666" t="s">
        <v>4966</v>
      </c>
      <c r="N916" s="680" t="str">
        <f>IF(AND(ISTEXT($A916), ISERROR($A916+0)), HYPERLINK($BF916, "Images"), "")</f>
        <v>Images</v>
      </c>
      <c r="O916" s="662" t="s">
        <v>4967</v>
      </c>
      <c r="P916" s="482"/>
      <c r="Q916" s="483"/>
      <c r="R916" s="483"/>
      <c r="S916" s="484"/>
      <c r="T916" s="508">
        <f t="shared" si="674"/>
        <v>0</v>
      </c>
      <c r="U916" s="225" t="str">
        <f>IF(NOT(ISNUMBER(G916)), "", VLOOKUP(A916,'Discount Lookup'!D:E,2,FALSE)*G916)</f>
        <v/>
      </c>
      <c r="V916" s="225" t="str">
        <f>IF(NOT(ISNUMBER(G916)), "", VLOOKUP(A916,'Discount Lookup'!G:H,2,FALSE)*G916)</f>
        <v/>
      </c>
      <c r="W916" s="508">
        <f t="shared" si="675"/>
        <v>0</v>
      </c>
      <c r="X916" s="508" t="str">
        <f t="shared" si="676"/>
        <v>Soft Pink, Yellow stamen</v>
      </c>
      <c r="Y916" s="509" t="b">
        <f t="shared" si="677"/>
        <v>0</v>
      </c>
      <c r="Z916" s="510">
        <f t="shared" si="678"/>
        <v>0</v>
      </c>
      <c r="AA916" s="511"/>
      <c r="AB916" s="511" t="str">
        <f t="shared" si="679"/>
        <v/>
      </c>
      <c r="AC916" s="698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698"/>
      <c r="AE916" s="631" t="str">
        <f t="shared" si="680"/>
        <v/>
      </c>
      <c r="AF916" s="699" t="str">
        <f t="shared" si="681"/>
        <v/>
      </c>
      <c r="AG916" s="699"/>
      <c r="AH916" s="699"/>
      <c r="AI916" s="512">
        <f>IF(H916="credit",0,IF(AE916="free",0,IF(AE916="me",0,IF(G916&gt;0,(VLOOKUP(A916,'Discount Lookup'!J:K,2)*G916),0))))</f>
        <v>0</v>
      </c>
      <c r="AJ916" s="513" t="str">
        <f t="shared" ca="1" si="682"/>
        <v/>
      </c>
      <c r="AK916" s="700" t="str">
        <f t="shared" si="683"/>
        <v/>
      </c>
      <c r="AL916" s="700"/>
      <c r="AM916" s="505" t="str">
        <f t="shared" si="684"/>
        <v/>
      </c>
      <c r="AN916" s="506"/>
      <c r="AO916" s="507"/>
      <c r="AP916" s="507"/>
      <c r="AQ916" s="507"/>
      <c r="AR916" s="507"/>
      <c r="AS916" s="507"/>
      <c r="AT916" s="507"/>
      <c r="AU916" s="507"/>
      <c r="AV916" s="225"/>
      <c r="AW916" s="508"/>
      <c r="AX916" s="225"/>
      <c r="AY916" s="225"/>
      <c r="AZ916" s="225"/>
      <c r="BA916" s="225"/>
      <c r="BB916" s="225"/>
      <c r="BC916" s="56"/>
      <c r="BD916" s="56"/>
      <c r="BE916" s="56"/>
      <c r="BF916" s="107" t="str">
        <f t="shared" si="685"/>
        <v>https://www.google.com/search?tbm=isch&amp;q=Cotton%20Candy%20Camellia%20Camellia%20sasanqua%20%27Cotton%20Candy%27</v>
      </c>
      <c r="BG916" s="107" t="str">
        <f t="shared" si="686"/>
        <v>C</v>
      </c>
      <c r="BH916" s="254"/>
      <c r="BI916" s="254"/>
    </row>
    <row r="917" spans="1:61" customFormat="1" ht="15.75" x14ac:dyDescent="0.25">
      <c r="A917" s="485">
        <v>7</v>
      </c>
      <c r="B917" s="486" t="s">
        <v>291</v>
      </c>
      <c r="C917" s="487" t="s">
        <v>3710</v>
      </c>
      <c r="D917" s="488" t="s">
        <v>292</v>
      </c>
      <c r="E917" s="489">
        <v>104.95</v>
      </c>
      <c r="F917" s="516" t="s">
        <v>293</v>
      </c>
      <c r="G917" s="232">
        <v>0</v>
      </c>
      <c r="H917" s="658" t="str">
        <f>IF(G917=0,"",IF(F917="Buy",IF(G917=1,"plant","plants"),IF(F917&gt;0.01,"warranty","Error")))</f>
        <v/>
      </c>
      <c r="I917" s="490">
        <f>IF(H917="free",0,IF(H917="credit",((E917*(F917))*G917*-1),IF(F917="Buy",(E917*G917),((E917*(1-F917))*G917))))</f>
        <v>0</v>
      </c>
      <c r="J917" s="490">
        <f>IF(H917="warranty",0,(I917*(_xlfn.SINGLE(SalesTaxPercentage))))</f>
        <v>0</v>
      </c>
      <c r="K917" s="695">
        <f t="shared" ref="K917" si="689">I917+J917</f>
        <v>0</v>
      </c>
      <c r="L917" s="695"/>
      <c r="M917" s="659" t="str">
        <f>IF(AND(G917&gt;0,E917=0),"WARNING - no PRICE inserted",IF(H917="free"," FREE ~ no charge this plant",IF(H917="credit",CONCATENATE(" -$",ROUND(K917*(1-T2GDiscount)*-1,2)," CREDIT after discount"),IF(T2GDiscount=0,"",IF(G917=0,"",IF(F917="Buy",CONCATENATE(" $",ROUND(K917*(1-T2GDiscount),2)," with ",(T2GDiscount*100),"% discount"),CONCATENATE(" $",ROUND(K917*(1-T2GDiscount),2)," with ",((T2GDiscount*100+F917*100)-(T2GDiscount*100*F917)),IF(F917&gt;0,"% discounts",IF(NoWarrantyDiscount&gt;0,"% discounts","% discount")))))))))</f>
        <v/>
      </c>
      <c r="N917" s="660"/>
      <c r="O917" s="233"/>
      <c r="P917" s="233"/>
      <c r="Q917" s="233"/>
      <c r="R917" s="233"/>
      <c r="S917" s="233"/>
      <c r="T917" s="508">
        <f t="shared" si="674"/>
        <v>0</v>
      </c>
      <c r="U917" s="225">
        <f>IF(NOT(ISNUMBER(G917)), "", VLOOKUP(A917,'Discount Lookup'!D:E,2,FALSE)*G917)</f>
        <v>0</v>
      </c>
      <c r="V917" s="225">
        <f>IF(NOT(ISNUMBER(G917)), "", VLOOKUP(A917,'Discount Lookup'!G:H,2,FALSE)*G917)</f>
        <v>0</v>
      </c>
      <c r="W917" s="508">
        <f t="shared" si="675"/>
        <v>0</v>
      </c>
      <c r="X917" s="508">
        <f t="shared" si="676"/>
        <v>0</v>
      </c>
      <c r="Y917" s="509" t="b">
        <f t="shared" si="677"/>
        <v>0</v>
      </c>
      <c r="Z917" s="510">
        <f t="shared" si="678"/>
        <v>0</v>
      </c>
      <c r="AA917" s="511"/>
      <c r="AB917" s="511" t="str">
        <f t="shared" si="679"/>
        <v/>
      </c>
      <c r="AC917" s="698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698"/>
      <c r="AE917" s="631" t="str">
        <f t="shared" si="680"/>
        <v/>
      </c>
      <c r="AF917" s="699" t="str">
        <f t="shared" si="681"/>
        <v/>
      </c>
      <c r="AG917" s="699"/>
      <c r="AH917" s="699"/>
      <c r="AI917" s="512">
        <f>IF(H917="credit",0,IF(AE917="free",0,IF(AE917="me",0,IF(G917&gt;0,(VLOOKUP(A917,'Discount Lookup'!J:K,2)*G917),0))))</f>
        <v>0</v>
      </c>
      <c r="AJ917" s="513" t="str">
        <f t="shared" ca="1" si="682"/>
        <v/>
      </c>
      <c r="AK917" s="700" t="str">
        <f t="shared" si="683"/>
        <v/>
      </c>
      <c r="AL917" s="700"/>
      <c r="AM917" s="505" t="str">
        <f t="shared" si="684"/>
        <v/>
      </c>
      <c r="AN917" s="506"/>
      <c r="AO917" s="507"/>
      <c r="AP917" s="507"/>
      <c r="AQ917" s="507"/>
      <c r="AR917" s="507"/>
      <c r="AS917" s="507"/>
      <c r="AT917" s="507"/>
      <c r="AU917" s="507"/>
      <c r="AV917" s="225"/>
      <c r="AW917" s="508"/>
      <c r="AX917" s="225"/>
      <c r="AY917" s="225"/>
      <c r="AZ917" s="225"/>
      <c r="BA917" s="225"/>
      <c r="BB917" s="225"/>
      <c r="BC917" s="56"/>
      <c r="BD917" s="56"/>
      <c r="BE917" s="56"/>
      <c r="BF917" s="107" t="str">
        <f t="shared" si="685"/>
        <v>https://www.google.com/search?tbm=isch&amp;q=7%20G4</v>
      </c>
      <c r="BG917" s="107" t="str">
        <f t="shared" si="686"/>
        <v>C</v>
      </c>
      <c r="BH917" s="254"/>
      <c r="BI917" s="254"/>
    </row>
    <row r="918" spans="1:61" customFormat="1" ht="27" x14ac:dyDescent="0.25">
      <c r="A918" s="485">
        <v>25</v>
      </c>
      <c r="B918" s="486" t="s">
        <v>291</v>
      </c>
      <c r="C918" s="487" t="s">
        <v>4750</v>
      </c>
      <c r="D918" s="488" t="s">
        <v>292</v>
      </c>
      <c r="E918" s="489">
        <v>445.95</v>
      </c>
      <c r="F918" s="516" t="s">
        <v>293</v>
      </c>
      <c r="G918" s="232">
        <v>0</v>
      </c>
      <c r="H918" s="658" t="str">
        <f>IF(G918=0,"",IF(F918="Buy",IF(G918=1,"plant","plants"),IF(F918&gt;0.01,"warranty","Error")))</f>
        <v/>
      </c>
      <c r="I918" s="490">
        <f>IF(H918="free",0,IF(H918="credit",((E918*(F918))*G918*-1),IF(F918="Buy",(E918*G918),((E918*(1-F918))*G918))))</f>
        <v>0</v>
      </c>
      <c r="J918" s="490">
        <f>IF(H918="warranty",0,(I918*(_xlfn.SINGLE(SalesTaxPercentage))))</f>
        <v>0</v>
      </c>
      <c r="K918" s="695">
        <f t="shared" ref="K918" si="690">I918+J918</f>
        <v>0</v>
      </c>
      <c r="L918" s="695"/>
      <c r="M918" s="659" t="str">
        <f>IF(AND(G918&gt;0,E918=0),"WARNING - no PRICE inserted",IF(H918="free"," FREE ~ no charge this plant",IF(H918="credit",CONCATENATE(" -$",ROUND(K918*(1-T2GDiscount)*-1,2)," CREDIT after discount"),IF(T2GDiscount=0,"",IF(G918=0,"",IF(F918="Buy",CONCATENATE(" $",ROUND(K918*(1-T2GDiscount),2)," with ",(T2GDiscount*100),"% discount"),CONCATENATE(" $",ROUND(K918*(1-T2GDiscount),2)," with ",((T2GDiscount*100+F918*100)-(T2GDiscount*100*F918)),IF(F918&gt;0,"% discounts",IF(NoWarrantyDiscount&gt;0,"% discounts","% discount")))))))))</f>
        <v/>
      </c>
      <c r="N918" s="660"/>
      <c r="O918" s="233"/>
      <c r="P918" s="233"/>
      <c r="Q918" s="233"/>
      <c r="R918" s="233"/>
      <c r="S918" s="233"/>
      <c r="T918" s="508">
        <f t="shared" si="674"/>
        <v>0</v>
      </c>
      <c r="U918" s="225">
        <f>IF(NOT(ISNUMBER(G918)), "", VLOOKUP(A918,'Discount Lookup'!D:E,2,FALSE)*G918)</f>
        <v>0</v>
      </c>
      <c r="V918" s="225">
        <f>IF(NOT(ISNUMBER(G918)), "", VLOOKUP(A918,'Discount Lookup'!G:H,2,FALSE)*G918)</f>
        <v>0</v>
      </c>
      <c r="W918" s="508">
        <f t="shared" si="675"/>
        <v>0</v>
      </c>
      <c r="X918" s="508">
        <f t="shared" si="676"/>
        <v>0</v>
      </c>
      <c r="Y918" s="509" t="b">
        <f t="shared" si="677"/>
        <v>0</v>
      </c>
      <c r="Z918" s="510">
        <f t="shared" si="678"/>
        <v>0</v>
      </c>
      <c r="AA918" s="511"/>
      <c r="AB918" s="511" t="str">
        <f t="shared" si="679"/>
        <v/>
      </c>
      <c r="AC918" s="698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698"/>
      <c r="AE918" s="631" t="str">
        <f t="shared" si="680"/>
        <v/>
      </c>
      <c r="AF918" s="699" t="str">
        <f t="shared" si="681"/>
        <v/>
      </c>
      <c r="AG918" s="699"/>
      <c r="AH918" s="699"/>
      <c r="AI918" s="512">
        <f>IF(H918="credit",0,IF(AE918="free",0,IF(AE918="me",0,IF(G918&gt;0,(VLOOKUP(A918,'Discount Lookup'!J:K,2)*G918),0))))</f>
        <v>0</v>
      </c>
      <c r="AJ918" s="513" t="str">
        <f t="shared" ca="1" si="682"/>
        <v/>
      </c>
      <c r="AK918" s="700" t="str">
        <f t="shared" si="683"/>
        <v/>
      </c>
      <c r="AL918" s="700"/>
      <c r="AM918" s="505" t="str">
        <f t="shared" si="684"/>
        <v/>
      </c>
      <c r="AN918" s="506"/>
      <c r="AO918" s="507"/>
      <c r="AP918" s="507"/>
      <c r="AQ918" s="507"/>
      <c r="AR918" s="507"/>
      <c r="AS918" s="507"/>
      <c r="AT918" s="507"/>
      <c r="AU918" s="507"/>
      <c r="AV918" s="225"/>
      <c r="AW918" s="508"/>
      <c r="AX918" s="225"/>
      <c r="AY918" s="225"/>
      <c r="AZ918" s="225"/>
      <c r="BA918" s="225"/>
      <c r="BB918" s="225"/>
      <c r="BC918" s="56"/>
      <c r="BD918" s="56"/>
      <c r="BE918" s="56"/>
      <c r="BF918" s="107" t="str">
        <f t="shared" si="685"/>
        <v>https://www.google.com/search?tbm=isch&amp;q=25%20G4</v>
      </c>
      <c r="BG918" s="107" t="str">
        <f t="shared" si="686"/>
        <v>C</v>
      </c>
      <c r="BH918" s="254"/>
      <c r="BI918" s="254"/>
    </row>
    <row r="919" spans="1:61" customFormat="1" ht="27" x14ac:dyDescent="0.25">
      <c r="A919" s="485">
        <v>25</v>
      </c>
      <c r="B919" s="486" t="s">
        <v>291</v>
      </c>
      <c r="C919" s="487" t="s">
        <v>4751</v>
      </c>
      <c r="D919" s="488" t="s">
        <v>292</v>
      </c>
      <c r="E919" s="489">
        <v>445.95</v>
      </c>
      <c r="F919" s="516" t="s">
        <v>293</v>
      </c>
      <c r="G919" s="232">
        <v>0</v>
      </c>
      <c r="H919" s="658" t="str">
        <f>IF(G919=0,"",IF(F919="Buy",IF(G919=1,"plant","plants"),IF(F919&gt;0.01,"warranty","Error")))</f>
        <v/>
      </c>
      <c r="I919" s="490">
        <f>IF(H919="free",0,IF(H919="credit",((E919*(F919))*G919*-1),IF(F919="Buy",(E919*G919),((E919*(1-F919))*G919))))</f>
        <v>0</v>
      </c>
      <c r="J919" s="490">
        <f>IF(H919="warranty",0,(I919*(_xlfn.SINGLE(SalesTaxPercentage))))</f>
        <v>0</v>
      </c>
      <c r="K919" s="695">
        <f t="shared" ref="K919" si="691">I919+J919</f>
        <v>0</v>
      </c>
      <c r="L919" s="695"/>
      <c r="M919" s="659" t="str">
        <f>IF(AND(G919&gt;0,E919=0),"WARNING - no PRICE inserted",IF(H919="free"," FREE ~ no charge this plant",IF(H919="credit",CONCATENATE(" -$",ROUND(K919*(1-T2GDiscount)*-1,2)," CREDIT after discount"),IF(T2GDiscount=0,"",IF(G919=0,"",IF(F919="Buy",CONCATENATE(" $",ROUND(K919*(1-T2GDiscount),2)," with ",(T2GDiscount*100),"% discount"),CONCATENATE(" $",ROUND(K919*(1-T2GDiscount),2)," with ",((T2GDiscount*100+F919*100)-(T2GDiscount*100*F919)),IF(F919&gt;0,"% discounts",IF(NoWarrantyDiscount&gt;0,"% discounts","% discount")))))))))</f>
        <v/>
      </c>
      <c r="N919" s="660"/>
      <c r="O919" s="233"/>
      <c r="P919" s="233"/>
      <c r="Q919" s="233"/>
      <c r="R919" s="233"/>
      <c r="S919" s="233"/>
      <c r="T919" s="508">
        <f t="shared" si="674"/>
        <v>0</v>
      </c>
      <c r="U919" s="225">
        <f>IF(NOT(ISNUMBER(G919)), "", VLOOKUP(A919,'Discount Lookup'!D:E,2,FALSE)*G919)</f>
        <v>0</v>
      </c>
      <c r="V919" s="225">
        <f>IF(NOT(ISNUMBER(G919)), "", VLOOKUP(A919,'Discount Lookup'!G:H,2,FALSE)*G919)</f>
        <v>0</v>
      </c>
      <c r="W919" s="508">
        <f t="shared" si="675"/>
        <v>0</v>
      </c>
      <c r="X919" s="508">
        <f t="shared" si="676"/>
        <v>0</v>
      </c>
      <c r="Y919" s="509" t="b">
        <f t="shared" si="677"/>
        <v>0</v>
      </c>
      <c r="Z919" s="510">
        <f t="shared" si="678"/>
        <v>0</v>
      </c>
      <c r="AA919" s="511"/>
      <c r="AB919" s="511" t="str">
        <f t="shared" si="679"/>
        <v/>
      </c>
      <c r="AC919" s="698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698"/>
      <c r="AE919" s="631" t="str">
        <f t="shared" si="680"/>
        <v/>
      </c>
      <c r="AF919" s="699" t="str">
        <f t="shared" si="681"/>
        <v/>
      </c>
      <c r="AG919" s="699"/>
      <c r="AH919" s="699"/>
      <c r="AI919" s="512">
        <f>IF(H919="credit",0,IF(AE919="free",0,IF(AE919="me",0,IF(G919&gt;0,(VLOOKUP(A919,'Discount Lookup'!J:K,2)*G919),0))))</f>
        <v>0</v>
      </c>
      <c r="AJ919" s="513" t="str">
        <f t="shared" ca="1" si="682"/>
        <v/>
      </c>
      <c r="AK919" s="700" t="str">
        <f t="shared" si="683"/>
        <v/>
      </c>
      <c r="AL919" s="700"/>
      <c r="AM919" s="505" t="str">
        <f t="shared" si="684"/>
        <v/>
      </c>
      <c r="AN919" s="506"/>
      <c r="AO919" s="507"/>
      <c r="AP919" s="507"/>
      <c r="AQ919" s="507"/>
      <c r="AR919" s="507"/>
      <c r="AS919" s="507"/>
      <c r="AT919" s="507"/>
      <c r="AU919" s="507"/>
      <c r="AV919" s="225"/>
      <c r="AW919" s="508"/>
      <c r="AX919" s="225"/>
      <c r="AY919" s="225"/>
      <c r="AZ919" s="225"/>
      <c r="BA919" s="225"/>
      <c r="BB919" s="225"/>
      <c r="BC919" s="56"/>
      <c r="BD919" s="56"/>
      <c r="BE919" s="56"/>
      <c r="BF919" s="107" t="str">
        <f t="shared" si="685"/>
        <v>https://www.google.com/search?tbm=isch&amp;q=25%20G4</v>
      </c>
      <c r="BG919" s="107" t="str">
        <f t="shared" si="686"/>
        <v>C</v>
      </c>
      <c r="BH919" s="254"/>
      <c r="BI919" s="254"/>
    </row>
    <row r="920" spans="1:61" customFormat="1" ht="17.25" thickBot="1" x14ac:dyDescent="0.3">
      <c r="A920" s="522" t="s">
        <v>4398</v>
      </c>
      <c r="B920" s="491"/>
      <c r="C920" s="675"/>
      <c r="D920" s="491"/>
      <c r="E920" s="491"/>
      <c r="F920" s="492"/>
      <c r="G920" s="493"/>
      <c r="H920" s="491"/>
      <c r="I920" s="234"/>
      <c r="J920" s="234"/>
      <c r="K920" s="494"/>
      <c r="L920" s="543"/>
      <c r="M920" s="561"/>
      <c r="N920" s="495"/>
      <c r="O920" s="496"/>
      <c r="P920" s="497"/>
      <c r="Q920" s="495"/>
      <c r="R920" s="495"/>
      <c r="S920" s="667" t="s">
        <v>4986</v>
      </c>
      <c r="T920" s="508">
        <f t="shared" si="674"/>
        <v>0</v>
      </c>
      <c r="U920" s="225" t="str">
        <f>IF(NOT(ISNUMBER(G920)), "", VLOOKUP(A920,'Discount Lookup'!D:E,2,FALSE)*G920)</f>
        <v/>
      </c>
      <c r="V920" s="225" t="str">
        <f>IF(NOT(ISNUMBER(G920)), "", VLOOKUP(A920,'Discount Lookup'!G:H,2,FALSE)*G920)</f>
        <v/>
      </c>
      <c r="W920" s="508">
        <f t="shared" si="675"/>
        <v>0</v>
      </c>
      <c r="X920" s="508">
        <f t="shared" si="676"/>
        <v>0</v>
      </c>
      <c r="Y920" s="509" t="b">
        <f t="shared" si="677"/>
        <v>0</v>
      </c>
      <c r="Z920" s="510">
        <f t="shared" si="678"/>
        <v>0</v>
      </c>
      <c r="AA920" s="511"/>
      <c r="AB920" s="511" t="str">
        <f t="shared" si="679"/>
        <v/>
      </c>
      <c r="AC920" s="698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698"/>
      <c r="AE920" s="631" t="str">
        <f t="shared" si="680"/>
        <v/>
      </c>
      <c r="AF920" s="699" t="str">
        <f t="shared" si="681"/>
        <v/>
      </c>
      <c r="AG920" s="699"/>
      <c r="AH920" s="699"/>
      <c r="AI920" s="512">
        <f>IF(H920="credit",0,IF(AE920="free",0,IF(AE920="me",0,IF(G920&gt;0,(VLOOKUP(A920,'Discount Lookup'!J:K,2)*G920),0))))</f>
        <v>0</v>
      </c>
      <c r="AJ920" s="513" t="str">
        <f t="shared" ca="1" si="682"/>
        <v/>
      </c>
      <c r="AK920" s="700" t="str">
        <f t="shared" si="683"/>
        <v/>
      </c>
      <c r="AL920" s="700"/>
      <c r="AM920" s="505" t="str">
        <f t="shared" si="684"/>
        <v/>
      </c>
      <c r="AN920" s="506"/>
      <c r="AO920" s="507"/>
      <c r="AP920" s="507"/>
      <c r="AQ920" s="507"/>
      <c r="AR920" s="507"/>
      <c r="AS920" s="507"/>
      <c r="AT920" s="507"/>
      <c r="AU920" s="507"/>
      <c r="AV920" s="225"/>
      <c r="AW920" s="508"/>
      <c r="AX920" s="225"/>
      <c r="AY920" s="225"/>
      <c r="AZ920" s="225"/>
      <c r="BA920" s="225"/>
      <c r="BB920" s="225"/>
      <c r="BC920" s="56"/>
      <c r="BD920" s="56"/>
      <c r="BE920" s="56"/>
      <c r="BF920" s="107" t="str">
        <f t="shared" si="685"/>
        <v>https://www.google.com/search?tbm=isch&amp;q=Cotton%20Candy%27%20has%20abundant%2C%20semi-double%2C%20clear%20Pink%20flowers%20that%20appear%20from%20late%20fall%20to%20early%20winter%20</v>
      </c>
      <c r="BG920" s="107" t="str">
        <f t="shared" si="686"/>
        <v>C</v>
      </c>
      <c r="BH920" s="254"/>
      <c r="BI920" s="254"/>
    </row>
    <row r="921" spans="1:61" customFormat="1" ht="18" x14ac:dyDescent="0.25">
      <c r="A921" s="523" t="s">
        <v>5380</v>
      </c>
      <c r="B921" s="235"/>
      <c r="C921" s="676"/>
      <c r="D921" s="255" t="s">
        <v>3142</v>
      </c>
      <c r="E921" s="236"/>
      <c r="F921" s="236"/>
      <c r="G921" s="236"/>
      <c r="H921" s="582" t="s">
        <v>1858</v>
      </c>
      <c r="I921" s="498" t="s">
        <v>3143</v>
      </c>
      <c r="J921" s="237"/>
      <c r="K921" s="237"/>
      <c r="L921" s="274"/>
      <c r="M921" s="668" t="s">
        <v>4962</v>
      </c>
      <c r="N921" s="681" t="str">
        <f>IF(AND(ISTEXT($A921), ISERROR($A921+0)), HYPERLINK($BF921, "Images"), "")</f>
        <v>Images</v>
      </c>
      <c r="O921" s="663" t="s">
        <v>4969</v>
      </c>
      <c r="P921" s="253"/>
      <c r="Q921" s="238"/>
      <c r="R921" s="239"/>
      <c r="S921" s="275"/>
      <c r="T921" s="508">
        <f t="shared" si="674"/>
        <v>0</v>
      </c>
      <c r="U921" s="225" t="str">
        <f>IF(NOT(ISNUMBER(G921)), "", VLOOKUP(A921,'Discount Lookup'!D:E,2,FALSE)*G921)</f>
        <v/>
      </c>
      <c r="V921" s="225" t="str">
        <f>IF(NOT(ISNUMBER(G921)), "", VLOOKUP(A921,'Discount Lookup'!G:H,2,FALSE)*G921)</f>
        <v/>
      </c>
      <c r="W921" s="508">
        <f t="shared" si="675"/>
        <v>0</v>
      </c>
      <c r="X921" s="508" t="str">
        <f t="shared" si="676"/>
        <v>Raspberry -Red bloom, Yellow eye</v>
      </c>
      <c r="Y921" s="509" t="b">
        <f t="shared" si="677"/>
        <v>0</v>
      </c>
      <c r="Z921" s="510">
        <f t="shared" si="678"/>
        <v>0</v>
      </c>
      <c r="AA921" s="511"/>
      <c r="AB921" s="511" t="str">
        <f t="shared" si="679"/>
        <v/>
      </c>
      <c r="AC921" s="698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698"/>
      <c r="AE921" s="631" t="str">
        <f t="shared" si="680"/>
        <v/>
      </c>
      <c r="AF921" s="699" t="str">
        <f t="shared" si="681"/>
        <v/>
      </c>
      <c r="AG921" s="699"/>
      <c r="AH921" s="699"/>
      <c r="AI921" s="512">
        <f>IF(H921="credit",0,IF(AE921="free",0,IF(AE921="me",0,IF(G921&gt;0,(VLOOKUP(A921,'Discount Lookup'!J:K,2)*G921),0))))</f>
        <v>0</v>
      </c>
      <c r="AJ921" s="513" t="str">
        <f t="shared" ca="1" si="682"/>
        <v/>
      </c>
      <c r="AK921" s="700" t="str">
        <f t="shared" si="683"/>
        <v/>
      </c>
      <c r="AL921" s="700"/>
      <c r="AM921" s="505" t="str">
        <f t="shared" si="684"/>
        <v/>
      </c>
      <c r="AN921" s="506"/>
      <c r="AO921" s="507"/>
      <c r="AP921" s="507"/>
      <c r="AQ921" s="507"/>
      <c r="AR921" s="507"/>
      <c r="AS921" s="507"/>
      <c r="AT921" s="507"/>
      <c r="AU921" s="507"/>
      <c r="AV921" s="225"/>
      <c r="AW921" s="508"/>
      <c r="AX921" s="225"/>
      <c r="AY921" s="225"/>
      <c r="AZ921" s="225"/>
      <c r="BA921" s="225"/>
      <c r="BB921" s="225"/>
      <c r="BC921" s="56"/>
      <c r="BD921" s="56"/>
      <c r="BE921" s="56"/>
      <c r="BF921" s="107" t="str">
        <f t="shared" si="685"/>
        <v>https://www.google.com/search?tbm=isch&amp;q=CranRazz%E2%84%A2%20Butterfly%20Bush%20Buddleia%20%27Boscranz%27%20PP%2325730</v>
      </c>
      <c r="BG921" s="107" t="str">
        <f t="shared" si="686"/>
        <v>C</v>
      </c>
      <c r="BH921" s="254"/>
      <c r="BI921" s="254"/>
    </row>
    <row r="922" spans="1:61" customFormat="1" ht="15.75" x14ac:dyDescent="0.25">
      <c r="A922" s="276">
        <v>3</v>
      </c>
      <c r="B922" s="240" t="s">
        <v>291</v>
      </c>
      <c r="C922" s="241"/>
      <c r="D922" s="242" t="s">
        <v>298</v>
      </c>
      <c r="E922" s="243">
        <v>28.95</v>
      </c>
      <c r="F922" s="517" t="s">
        <v>293</v>
      </c>
      <c r="G922" s="232">
        <v>0</v>
      </c>
      <c r="H922" s="661" t="str">
        <f>IF(G922=0,"",IF(F922="Buy",IF(G922=1,"plant","plants"),IF(F922&gt;0.01,"warranty","Error")))</f>
        <v/>
      </c>
      <c r="I922" s="244">
        <f>IF(H922="free",0,IF(H922="credit",((E922*(F922))*G922*-1),IF(F922="Buy",(E922*G922),((E922*(1-F922))*G922))))</f>
        <v>0</v>
      </c>
      <c r="J922" s="244">
        <f>IF(H922="warranty",0,(I922*(_xlfn.SINGLE(SalesTaxPercentage))))</f>
        <v>0</v>
      </c>
      <c r="K922" s="696">
        <f t="shared" ref="K922" si="692">I922+J922</f>
        <v>0</v>
      </c>
      <c r="L922" s="696"/>
      <c r="M922" s="659" t="str">
        <f>IF(AND(G922&gt;0,E922=0),"WARNING - no PRICE inserted",IF(H922="free"," FREE ~ no charge this plant",IF(H922="credit",CONCATENATE(" -$",ROUND(K922*(1-T2GDiscount)*-1,2)," CREDIT after discount"),IF(T2GDiscount=0,"",IF(G922=0,"",IF(F922="Buy",CONCATENATE(" $",ROUND(K922*(1-T2GDiscount),2)," with ",(T2GDiscount*100),"% discount"),CONCATENATE(" $",ROUND(K922*(1-T2GDiscount),2)," with ",((T2GDiscount*100+F922*100)-(T2GDiscount*100*F922)),IF(F922&gt;0,"% discounts",IF(NoWarrantyDiscount&gt;0,"% discounts","% discount")))))))))</f>
        <v/>
      </c>
      <c r="N922" s="660"/>
      <c r="O922" s="233"/>
      <c r="P922" s="233"/>
      <c r="Q922" s="233"/>
      <c r="R922" s="233"/>
      <c r="S922" s="233"/>
      <c r="T922" s="508">
        <f t="shared" si="674"/>
        <v>0</v>
      </c>
      <c r="U922" s="225">
        <f>IF(NOT(ISNUMBER(G922)), "", VLOOKUP(A922,'Discount Lookup'!D:E,2,FALSE)*G922)</f>
        <v>0</v>
      </c>
      <c r="V922" s="225">
        <f>IF(NOT(ISNUMBER(G922)), "", VLOOKUP(A922,'Discount Lookup'!G:H,2,FALSE)*G922)</f>
        <v>0</v>
      </c>
      <c r="W922" s="508">
        <f t="shared" si="675"/>
        <v>0</v>
      </c>
      <c r="X922" s="508">
        <f t="shared" si="676"/>
        <v>0</v>
      </c>
      <c r="Y922" s="509" t="b">
        <f t="shared" si="677"/>
        <v>0</v>
      </c>
      <c r="Z922" s="510">
        <f t="shared" si="678"/>
        <v>0</v>
      </c>
      <c r="AA922" s="511"/>
      <c r="AB922" s="511" t="str">
        <f t="shared" si="679"/>
        <v/>
      </c>
      <c r="AC922" s="698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698"/>
      <c r="AE922" s="631" t="str">
        <f t="shared" si="680"/>
        <v/>
      </c>
      <c r="AF922" s="699" t="str">
        <f t="shared" si="681"/>
        <v/>
      </c>
      <c r="AG922" s="699"/>
      <c r="AH922" s="699"/>
      <c r="AI922" s="512">
        <f>IF(H922="credit",0,IF(AE922="free",0,IF(AE922="me",0,IF(G922&gt;0,(VLOOKUP(A922,'Discount Lookup'!J:K,2)*G922),0))))</f>
        <v>0</v>
      </c>
      <c r="AJ922" s="513" t="str">
        <f t="shared" ca="1" si="682"/>
        <v/>
      </c>
      <c r="AK922" s="700" t="str">
        <f t="shared" si="683"/>
        <v/>
      </c>
      <c r="AL922" s="700"/>
      <c r="AM922" s="505" t="str">
        <f t="shared" si="684"/>
        <v/>
      </c>
      <c r="AN922" s="506"/>
      <c r="AO922" s="507"/>
      <c r="AP922" s="507"/>
      <c r="AQ922" s="507"/>
      <c r="AR922" s="507"/>
      <c r="AS922" s="507"/>
      <c r="AT922" s="507"/>
      <c r="AU922" s="507"/>
      <c r="AV922" s="225"/>
      <c r="AW922" s="508"/>
      <c r="AX922" s="225"/>
      <c r="AY922" s="225"/>
      <c r="AZ922" s="225"/>
      <c r="BA922" s="225"/>
      <c r="BB922" s="225"/>
      <c r="BC922" s="56"/>
      <c r="BD922" s="56"/>
      <c r="BE922" s="56"/>
      <c r="BF922" s="107" t="str">
        <f t="shared" si="685"/>
        <v>https://www.google.com/search?tbm=isch&amp;q=3%20G1</v>
      </c>
      <c r="BG922" s="107" t="str">
        <f t="shared" si="686"/>
        <v>C</v>
      </c>
      <c r="BH922" s="254"/>
      <c r="BI922" s="254"/>
    </row>
    <row r="923" spans="1:61" customFormat="1" ht="15.75" x14ac:dyDescent="0.25">
      <c r="A923" s="276">
        <v>3</v>
      </c>
      <c r="B923" s="240" t="s">
        <v>291</v>
      </c>
      <c r="C923" s="241" t="s">
        <v>329</v>
      </c>
      <c r="D923" s="242" t="s">
        <v>312</v>
      </c>
      <c r="E923" s="243">
        <v>30.95</v>
      </c>
      <c r="F923" s="517" t="s">
        <v>293</v>
      </c>
      <c r="G923" s="232">
        <v>0</v>
      </c>
      <c r="H923" s="661" t="str">
        <f>IF(G923=0,"",IF(F923="Buy",IF(G923=1,"plant","plants"),IF(F923&gt;0.01,"warranty","Error")))</f>
        <v/>
      </c>
      <c r="I923" s="244">
        <f>IF(H923="free",0,IF(H923="credit",((E923*(F923))*G923*-1),IF(F923="Buy",(E923*G923),((E923*(1-F923))*G923))))</f>
        <v>0</v>
      </c>
      <c r="J923" s="244">
        <f>IF(H923="warranty",0,(I923*(_xlfn.SINGLE(SalesTaxPercentage))))</f>
        <v>0</v>
      </c>
      <c r="K923" s="696">
        <f t="shared" ref="K923" si="693">I923+J923</f>
        <v>0</v>
      </c>
      <c r="L923" s="696"/>
      <c r="M923" s="659" t="str">
        <f>IF(AND(G923&gt;0,E923=0),"WARNING - no PRICE inserted",IF(H923="free"," FREE ~ no charge this plant",IF(H923="credit",CONCATENATE(" -$",ROUND(K923*(1-T2GDiscount)*-1,2)," CREDIT after discount"),IF(T2GDiscount=0,"",IF(G923=0,"",IF(F923="Buy",CONCATENATE(" $",ROUND(K923*(1-T2GDiscount),2)," with ",(T2GDiscount*100),"% discount"),CONCATENATE(" $",ROUND(K923*(1-T2GDiscount),2)," with ",((T2GDiscount*100+F923*100)-(T2GDiscount*100*F923)),IF(F923&gt;0,"% discounts",IF(NoWarrantyDiscount&gt;0,"% discounts","% discount")))))))))</f>
        <v/>
      </c>
      <c r="N923" s="660"/>
      <c r="O923" s="233"/>
      <c r="P923" s="233"/>
      <c r="Q923" s="233"/>
      <c r="R923" s="233"/>
      <c r="S923" s="233"/>
      <c r="T923" s="508">
        <f t="shared" si="674"/>
        <v>0</v>
      </c>
      <c r="U923" s="225">
        <f>IF(NOT(ISNUMBER(G923)), "", VLOOKUP(A923,'Discount Lookup'!D:E,2,FALSE)*G923)</f>
        <v>0</v>
      </c>
      <c r="V923" s="225">
        <f>IF(NOT(ISNUMBER(G923)), "", VLOOKUP(A923,'Discount Lookup'!G:H,2,FALSE)*G923)</f>
        <v>0</v>
      </c>
      <c r="W923" s="508">
        <f t="shared" si="675"/>
        <v>0</v>
      </c>
      <c r="X923" s="508">
        <f t="shared" si="676"/>
        <v>0</v>
      </c>
      <c r="Y923" s="509" t="b">
        <f t="shared" si="677"/>
        <v>0</v>
      </c>
      <c r="Z923" s="510">
        <f t="shared" si="678"/>
        <v>0</v>
      </c>
      <c r="AA923" s="511"/>
      <c r="AB923" s="511" t="str">
        <f t="shared" si="679"/>
        <v/>
      </c>
      <c r="AC923" s="698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698"/>
      <c r="AE923" s="631" t="str">
        <f t="shared" si="680"/>
        <v/>
      </c>
      <c r="AF923" s="699" t="str">
        <f t="shared" si="681"/>
        <v/>
      </c>
      <c r="AG923" s="699"/>
      <c r="AH923" s="699"/>
      <c r="AI923" s="512">
        <f>IF(H923="credit",0,IF(AE923="free",0,IF(AE923="me",0,IF(G923&gt;0,(VLOOKUP(A923,'Discount Lookup'!J:K,2)*G923),0))))</f>
        <v>0</v>
      </c>
      <c r="AJ923" s="513" t="str">
        <f t="shared" ca="1" si="682"/>
        <v/>
      </c>
      <c r="AK923" s="700" t="str">
        <f t="shared" si="683"/>
        <v/>
      </c>
      <c r="AL923" s="700"/>
      <c r="AM923" s="505" t="str">
        <f t="shared" si="684"/>
        <v/>
      </c>
      <c r="AN923" s="506"/>
      <c r="AO923" s="507"/>
      <c r="AP923" s="507"/>
      <c r="AQ923" s="507"/>
      <c r="AR923" s="507"/>
      <c r="AS923" s="507"/>
      <c r="AT923" s="507"/>
      <c r="AU923" s="507"/>
      <c r="AV923" s="225"/>
      <c r="AW923" s="508"/>
      <c r="AX923" s="225"/>
      <c r="AY923" s="225"/>
      <c r="AZ923" s="225"/>
      <c r="BA923" s="225"/>
      <c r="BB923" s="225"/>
      <c r="BC923" s="56"/>
      <c r="BD923" s="56"/>
      <c r="BE923" s="56"/>
      <c r="BF923" s="107" t="str">
        <f t="shared" si="685"/>
        <v>https://www.google.com/search?tbm=isch&amp;q=3%20G2</v>
      </c>
      <c r="BG923" s="107" t="str">
        <f t="shared" si="686"/>
        <v>C</v>
      </c>
      <c r="BH923" s="254"/>
      <c r="BI923" s="254"/>
    </row>
    <row r="924" spans="1:61" customFormat="1" ht="17.25" thickBot="1" x14ac:dyDescent="0.3">
      <c r="A924" s="524" t="s">
        <v>4076</v>
      </c>
      <c r="B924" s="245"/>
      <c r="C924" s="677"/>
      <c r="D924" s="499"/>
      <c r="E924" s="499"/>
      <c r="F924" s="500"/>
      <c r="G924" s="501"/>
      <c r="H924" s="502"/>
      <c r="I924" s="246"/>
      <c r="J924" s="247"/>
      <c r="K924" s="503"/>
      <c r="L924" s="544"/>
      <c r="M924" s="544"/>
      <c r="N924" s="500"/>
      <c r="O924" s="500"/>
      <c r="P924" s="500"/>
      <c r="Q924" s="500"/>
      <c r="R924" s="500"/>
      <c r="S924" s="669" t="s">
        <v>4980</v>
      </c>
      <c r="T924" s="508">
        <f t="shared" si="674"/>
        <v>0</v>
      </c>
      <c r="U924" s="225" t="str">
        <f>IF(NOT(ISNUMBER(G924)), "", VLOOKUP(A924,'Discount Lookup'!D:E,2,FALSE)*G924)</f>
        <v/>
      </c>
      <c r="V924" s="225" t="str">
        <f>IF(NOT(ISNUMBER(G924)), "", VLOOKUP(A924,'Discount Lookup'!G:H,2,FALSE)*G924)</f>
        <v/>
      </c>
      <c r="W924" s="508">
        <f t="shared" si="675"/>
        <v>0</v>
      </c>
      <c r="X924" s="508">
        <f t="shared" si="676"/>
        <v>0</v>
      </c>
      <c r="Y924" s="509" t="b">
        <f t="shared" si="677"/>
        <v>0</v>
      </c>
      <c r="Z924" s="510">
        <f t="shared" si="678"/>
        <v>0</v>
      </c>
      <c r="AA924" s="511"/>
      <c r="AB924" s="511" t="str">
        <f t="shared" si="679"/>
        <v/>
      </c>
      <c r="AC924" s="698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698"/>
      <c r="AE924" s="631" t="str">
        <f t="shared" si="680"/>
        <v/>
      </c>
      <c r="AF924" s="699" t="str">
        <f t="shared" si="681"/>
        <v/>
      </c>
      <c r="AG924" s="699"/>
      <c r="AH924" s="699"/>
      <c r="AI924" s="512">
        <f>IF(H924="credit",0,IF(AE924="free",0,IF(AE924="me",0,IF(G924&gt;0,(VLOOKUP(A924,'Discount Lookup'!J:K,2)*G924),0))))</f>
        <v>0</v>
      </c>
      <c r="AJ924" s="513" t="str">
        <f t="shared" ca="1" si="682"/>
        <v/>
      </c>
      <c r="AK924" s="700" t="str">
        <f t="shared" si="683"/>
        <v/>
      </c>
      <c r="AL924" s="700"/>
      <c r="AM924" s="505" t="str">
        <f t="shared" si="684"/>
        <v/>
      </c>
      <c r="AN924" s="506"/>
      <c r="AO924" s="507"/>
      <c r="AP924" s="507"/>
      <c r="AQ924" s="507"/>
      <c r="AR924" s="507"/>
      <c r="AS924" s="507"/>
      <c r="AT924" s="507"/>
      <c r="AU924" s="507"/>
      <c r="AV924" s="225"/>
      <c r="AW924" s="508"/>
      <c r="AX924" s="225"/>
      <c r="AY924" s="225"/>
      <c r="AZ924" s="225"/>
      <c r="BA924" s="225"/>
      <c r="BB924" s="225"/>
      <c r="BC924" s="56"/>
      <c r="BD924" s="56"/>
      <c r="BE924" s="56"/>
      <c r="BF924" s="107" t="str">
        <f t="shared" si="685"/>
        <v>https://www.google.com/search?tbm=isch&amp;q=CranRazz%20has%20Gray-Green%20foliage%20and%20a%20fragrance.%20All%20BB%20bloom%20summer%20to%20frost%2C%20on%20new%20wood%2C%20so%20cut%20back%20hard%20late%20winter%20</v>
      </c>
      <c r="BG924" s="107" t="str">
        <f t="shared" si="686"/>
        <v>C</v>
      </c>
      <c r="BH924" s="254"/>
      <c r="BI924" s="254"/>
    </row>
    <row r="925" spans="1:61" customFormat="1" ht="18" x14ac:dyDescent="0.25">
      <c r="A925" s="521" t="s">
        <v>2366</v>
      </c>
      <c r="B925" s="477"/>
      <c r="C925" s="674"/>
      <c r="D925" s="478" t="s">
        <v>704</v>
      </c>
      <c r="E925" s="479"/>
      <c r="F925" s="479"/>
      <c r="G925" s="479"/>
      <c r="H925" s="582" t="s">
        <v>710</v>
      </c>
      <c r="I925" s="480" t="s">
        <v>2109</v>
      </c>
      <c r="J925" s="479"/>
      <c r="K925" s="479"/>
      <c r="L925" s="560"/>
      <c r="M925" s="481"/>
      <c r="N925" s="680" t="str">
        <f>IF(AND(ISTEXT($A925), ISERROR($A925+0)), HYPERLINK($BF925, "Images"), "")</f>
        <v>Images</v>
      </c>
      <c r="O925" s="662" t="s">
        <v>4974</v>
      </c>
      <c r="P925" s="482"/>
      <c r="Q925" s="483"/>
      <c r="R925" s="483"/>
      <c r="S925" s="484"/>
      <c r="T925" s="508">
        <f t="shared" si="674"/>
        <v>0</v>
      </c>
      <c r="U925" s="225" t="str">
        <f>IF(NOT(ISNUMBER(G925)), "", VLOOKUP(A925,'Discount Lookup'!D:E,2,FALSE)*G925)</f>
        <v/>
      </c>
      <c r="V925" s="225" t="str">
        <f>IF(NOT(ISNUMBER(G925)), "", VLOOKUP(A925,'Discount Lookup'!G:H,2,FALSE)*G925)</f>
        <v/>
      </c>
      <c r="W925" s="508">
        <f t="shared" si="675"/>
        <v>0</v>
      </c>
      <c r="X925" s="508" t="str">
        <f t="shared" si="676"/>
        <v>Green foliage</v>
      </c>
      <c r="Y925" s="509" t="b">
        <f t="shared" si="677"/>
        <v>0</v>
      </c>
      <c r="Z925" s="510">
        <f t="shared" si="678"/>
        <v>0</v>
      </c>
      <c r="AA925" s="511"/>
      <c r="AB925" s="511" t="str">
        <f t="shared" si="679"/>
        <v/>
      </c>
      <c r="AC925" s="698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698"/>
      <c r="AE925" s="631" t="str">
        <f t="shared" si="680"/>
        <v/>
      </c>
      <c r="AF925" s="699" t="str">
        <f t="shared" si="681"/>
        <v/>
      </c>
      <c r="AG925" s="699"/>
      <c r="AH925" s="699"/>
      <c r="AI925" s="512">
        <f>IF(H925="credit",0,IF(AE925="free",0,IF(AE925="me",0,IF(G925&gt;0,(VLOOKUP(A925,'Discount Lookup'!J:K,2)*G925),0))))</f>
        <v>0</v>
      </c>
      <c r="AJ925" s="513" t="str">
        <f t="shared" ca="1" si="682"/>
        <v/>
      </c>
      <c r="AK925" s="700" t="str">
        <f t="shared" si="683"/>
        <v/>
      </c>
      <c r="AL925" s="700"/>
      <c r="AM925" s="505" t="str">
        <f t="shared" si="684"/>
        <v/>
      </c>
      <c r="AN925" s="506"/>
      <c r="AO925" s="507"/>
      <c r="AP925" s="507"/>
      <c r="AQ925" s="507"/>
      <c r="AR925" s="507"/>
      <c r="AS925" s="507"/>
      <c r="AT925" s="507"/>
      <c r="AU925" s="507"/>
      <c r="AV925" s="225"/>
      <c r="AW925" s="508"/>
      <c r="AX925" s="225"/>
      <c r="AY925" s="225"/>
      <c r="AZ925" s="225"/>
      <c r="BA925" s="225"/>
      <c r="BB925" s="225"/>
      <c r="BC925" s="56"/>
      <c r="BD925" s="56"/>
      <c r="BE925" s="56"/>
      <c r="BF925" s="107" t="str">
        <f t="shared" si="685"/>
        <v>https://www.google.com/search?tbm=isch&amp;q=Creeping%20Fig%20Ficus%20pumila</v>
      </c>
      <c r="BG925" s="107" t="str">
        <f t="shared" si="686"/>
        <v>C</v>
      </c>
      <c r="BH925" s="254"/>
      <c r="BI925" s="254"/>
    </row>
    <row r="926" spans="1:61" customFormat="1" ht="15.75" x14ac:dyDescent="0.25">
      <c r="A926" s="485">
        <v>3</v>
      </c>
      <c r="B926" s="486" t="s">
        <v>291</v>
      </c>
      <c r="C926" s="487"/>
      <c r="D926" s="488" t="s">
        <v>300</v>
      </c>
      <c r="E926" s="489">
        <v>33.950000000000003</v>
      </c>
      <c r="F926" s="516" t="s">
        <v>293</v>
      </c>
      <c r="G926" s="232">
        <v>0</v>
      </c>
      <c r="H926" s="658" t="str">
        <f>IF(G926=0,"",IF(F926="Buy",IF(G926=1,"plant","plants"),IF(F926&gt;0.01,"warranty","Error")))</f>
        <v/>
      </c>
      <c r="I926" s="490">
        <f>IF(H926="free",0,IF(H926="credit",((E926*(F926))*G926*-1),IF(F926="Buy",(E926*G926),((E926*(1-F926))*G926))))</f>
        <v>0</v>
      </c>
      <c r="J926" s="490">
        <f>IF(H926="warranty",0,(I926*(_xlfn.SINGLE(SalesTaxPercentage))))</f>
        <v>0</v>
      </c>
      <c r="K926" s="695">
        <f t="shared" ref="K926" si="694">I926+J926</f>
        <v>0</v>
      </c>
      <c r="L926" s="695"/>
      <c r="M926" s="659" t="str">
        <f>IF(AND(G926&gt;0,E926=0),"WARNING - no PRICE inserted",IF(H926="free"," FREE ~ no charge this plant",IF(H926="credit",CONCATENATE(" -$",ROUND(K926*(1-T2GDiscount)*-1,2)," CREDIT after discount"),IF(T2GDiscount=0,"",IF(G926=0,"",IF(F926="Buy",CONCATENATE(" $",ROUND(K926*(1-T2GDiscount),2)," with ",(T2GDiscount*100),"% discount"),CONCATENATE(" $",ROUND(K926*(1-T2GDiscount),2)," with ",((T2GDiscount*100+F926*100)-(T2GDiscount*100*F926)),IF(F926&gt;0,"% discounts",IF(NoWarrantyDiscount&gt;0,"% discounts","% discount")))))))))</f>
        <v/>
      </c>
      <c r="N926" s="660"/>
      <c r="O926" s="233"/>
      <c r="P926" s="233"/>
      <c r="Q926" s="233"/>
      <c r="R926" s="233"/>
      <c r="S926" s="233"/>
      <c r="T926" s="508">
        <f t="shared" si="674"/>
        <v>0</v>
      </c>
      <c r="U926" s="225">
        <f>IF(NOT(ISNUMBER(G926)), "", VLOOKUP(A926,'Discount Lookup'!D:E,2,FALSE)*G926)</f>
        <v>0</v>
      </c>
      <c r="V926" s="225">
        <f>IF(NOT(ISNUMBER(G926)), "", VLOOKUP(A926,'Discount Lookup'!G:H,2,FALSE)*G926)</f>
        <v>0</v>
      </c>
      <c r="W926" s="508">
        <f t="shared" si="675"/>
        <v>0</v>
      </c>
      <c r="X926" s="508">
        <f t="shared" si="676"/>
        <v>0</v>
      </c>
      <c r="Y926" s="509" t="b">
        <f t="shared" si="677"/>
        <v>0</v>
      </c>
      <c r="Z926" s="510">
        <f t="shared" si="678"/>
        <v>0</v>
      </c>
      <c r="AA926" s="511"/>
      <c r="AB926" s="511" t="str">
        <f t="shared" si="679"/>
        <v/>
      </c>
      <c r="AC926" s="698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698"/>
      <c r="AE926" s="631" t="str">
        <f t="shared" si="680"/>
        <v/>
      </c>
      <c r="AF926" s="699" t="str">
        <f t="shared" si="681"/>
        <v/>
      </c>
      <c r="AG926" s="699"/>
      <c r="AH926" s="699"/>
      <c r="AI926" s="512">
        <f>IF(H926="credit",0,IF(AE926="free",0,IF(AE926="me",0,IF(G926&gt;0,(VLOOKUP(A926,'Discount Lookup'!J:K,2)*G926),0))))</f>
        <v>0</v>
      </c>
      <c r="AJ926" s="513" t="str">
        <f t="shared" ca="1" si="682"/>
        <v/>
      </c>
      <c r="AK926" s="700" t="str">
        <f t="shared" si="683"/>
        <v/>
      </c>
      <c r="AL926" s="700"/>
      <c r="AM926" s="505" t="str">
        <f t="shared" si="684"/>
        <v/>
      </c>
      <c r="AN926" s="506"/>
      <c r="AO926" s="507"/>
      <c r="AP926" s="507"/>
      <c r="AQ926" s="507"/>
      <c r="AR926" s="507"/>
      <c r="AS926" s="507"/>
      <c r="AT926" s="507"/>
      <c r="AU926" s="507"/>
      <c r="AV926" s="225"/>
      <c r="AW926" s="508"/>
      <c r="AX926" s="225"/>
      <c r="AY926" s="225"/>
      <c r="AZ926" s="225"/>
      <c r="BA926" s="225"/>
      <c r="BB926" s="225"/>
      <c r="BC926" s="56"/>
      <c r="BD926" s="56"/>
      <c r="BE926" s="56"/>
      <c r="BF926" s="107" t="str">
        <f t="shared" si="685"/>
        <v>https://www.google.com/search?tbm=isch&amp;q=3%20G6</v>
      </c>
      <c r="BG926" s="107" t="str">
        <f t="shared" si="686"/>
        <v>C</v>
      </c>
      <c r="BH926" s="254"/>
      <c r="BI926" s="254"/>
    </row>
    <row r="927" spans="1:61" customFormat="1" ht="16.5" thickBot="1" x14ac:dyDescent="0.3">
      <c r="A927" s="522" t="s">
        <v>2367</v>
      </c>
      <c r="B927" s="491"/>
      <c r="C927" s="675"/>
      <c r="D927" s="491"/>
      <c r="E927" s="491"/>
      <c r="F927" s="492"/>
      <c r="G927" s="493"/>
      <c r="H927" s="491"/>
      <c r="I927" s="234"/>
      <c r="J927" s="234"/>
      <c r="K927" s="494"/>
      <c r="L927" s="543"/>
      <c r="M927" s="561"/>
      <c r="N927" s="495"/>
      <c r="O927" s="496"/>
      <c r="P927" s="497"/>
      <c r="Q927" s="495"/>
      <c r="R927" s="495"/>
      <c r="S927" s="277"/>
      <c r="T927" s="508">
        <f t="shared" si="674"/>
        <v>0</v>
      </c>
      <c r="U927" s="225" t="str">
        <f>IF(NOT(ISNUMBER(G927)), "", VLOOKUP(A927,'Discount Lookup'!D:E,2,FALSE)*G927)</f>
        <v/>
      </c>
      <c r="V927" s="225" t="str">
        <f>IF(NOT(ISNUMBER(G927)), "", VLOOKUP(A927,'Discount Lookup'!G:H,2,FALSE)*G927)</f>
        <v/>
      </c>
      <c r="W927" s="508">
        <f t="shared" si="675"/>
        <v>0</v>
      </c>
      <c r="X927" s="508">
        <f t="shared" si="676"/>
        <v>0</v>
      </c>
      <c r="Y927" s="509" t="b">
        <f t="shared" si="677"/>
        <v>0</v>
      </c>
      <c r="Z927" s="510">
        <f t="shared" si="678"/>
        <v>0</v>
      </c>
      <c r="AA927" s="511"/>
      <c r="AB927" s="511" t="str">
        <f t="shared" si="679"/>
        <v/>
      </c>
      <c r="AC927" s="698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698"/>
      <c r="AE927" s="631" t="str">
        <f t="shared" si="680"/>
        <v/>
      </c>
      <c r="AF927" s="699" t="str">
        <f t="shared" si="681"/>
        <v/>
      </c>
      <c r="AG927" s="699"/>
      <c r="AH927" s="699"/>
      <c r="AI927" s="512">
        <f>IF(H927="credit",0,IF(AE927="free",0,IF(AE927="me",0,IF(G927&gt;0,(VLOOKUP(A927,'Discount Lookup'!J:K,2)*G927),0))))</f>
        <v>0</v>
      </c>
      <c r="AJ927" s="513" t="str">
        <f t="shared" ca="1" si="682"/>
        <v/>
      </c>
      <c r="AK927" s="700" t="str">
        <f t="shared" si="683"/>
        <v/>
      </c>
      <c r="AL927" s="700"/>
      <c r="AM927" s="505" t="str">
        <f t="shared" si="684"/>
        <v/>
      </c>
      <c r="AN927" s="506"/>
      <c r="AO927" s="507"/>
      <c r="AP927" s="507"/>
      <c r="AQ927" s="507"/>
      <c r="AR927" s="507"/>
      <c r="AS927" s="507"/>
      <c r="AT927" s="507"/>
      <c r="AU927" s="507"/>
      <c r="AV927" s="225"/>
      <c r="AW927" s="508"/>
      <c r="AX927" s="225"/>
      <c r="AY927" s="225"/>
      <c r="AZ927" s="225"/>
      <c r="BA927" s="225"/>
      <c r="BB927" s="225"/>
      <c r="BC927" s="56"/>
      <c r="BD927" s="56"/>
      <c r="BE927" s="56"/>
      <c r="BF927" s="107" t="str">
        <f t="shared" si="685"/>
        <v>https://www.google.com/search?tbm=isch&amp;q=Creeping%20Fig%20stays%20quite%20low%20as%20a%20groundcover%2C%20growing%20indifinitely.%20If%20allowed%2C%20it%20will%20climb%20as%20high%20as%20support%20structure%20</v>
      </c>
      <c r="BG927" s="107" t="str">
        <f t="shared" si="686"/>
        <v>C</v>
      </c>
      <c r="BH927" s="254"/>
      <c r="BI927" s="254"/>
    </row>
    <row r="928" spans="1:61" customFormat="1" ht="18" x14ac:dyDescent="0.25">
      <c r="A928" s="521" t="s">
        <v>705</v>
      </c>
      <c r="B928" s="477"/>
      <c r="C928" s="674"/>
      <c r="D928" s="478" t="s">
        <v>706</v>
      </c>
      <c r="E928" s="479"/>
      <c r="F928" s="479"/>
      <c r="G928" s="479"/>
      <c r="H928" s="582" t="s">
        <v>707</v>
      </c>
      <c r="I928" s="480" t="s">
        <v>665</v>
      </c>
      <c r="J928" s="479"/>
      <c r="K928" s="479"/>
      <c r="L928" s="560"/>
      <c r="M928" s="666" t="s">
        <v>4966</v>
      </c>
      <c r="N928" s="680" t="str">
        <f>IF(AND(ISTEXT($A928), ISERROR($A928+0)), HYPERLINK($BF928, "Images"), "")</f>
        <v>Images</v>
      </c>
      <c r="O928" s="662" t="s">
        <v>4969</v>
      </c>
      <c r="P928" s="482"/>
      <c r="Q928" s="483"/>
      <c r="R928" s="483"/>
      <c r="S928" s="484"/>
      <c r="T928" s="508">
        <f t="shared" si="674"/>
        <v>0</v>
      </c>
      <c r="U928" s="225" t="str">
        <f>IF(NOT(ISNUMBER(G928)), "", VLOOKUP(A928,'Discount Lookup'!D:E,2,FALSE)*G928)</f>
        <v/>
      </c>
      <c r="V928" s="225" t="str">
        <f>IF(NOT(ISNUMBER(G928)), "", VLOOKUP(A928,'Discount Lookup'!G:H,2,FALSE)*G928)</f>
        <v/>
      </c>
      <c r="W928" s="508">
        <f t="shared" si="675"/>
        <v>0</v>
      </c>
      <c r="X928" s="508" t="str">
        <f t="shared" si="676"/>
        <v>Yellow bloom</v>
      </c>
      <c r="Y928" s="509" t="b">
        <f t="shared" si="677"/>
        <v>0</v>
      </c>
      <c r="Z928" s="510">
        <f t="shared" si="678"/>
        <v>0</v>
      </c>
      <c r="AA928" s="511"/>
      <c r="AB928" s="511" t="str">
        <f t="shared" si="679"/>
        <v/>
      </c>
      <c r="AC928" s="698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698"/>
      <c r="AE928" s="631" t="str">
        <f t="shared" si="680"/>
        <v/>
      </c>
      <c r="AF928" s="699" t="str">
        <f t="shared" si="681"/>
        <v/>
      </c>
      <c r="AG928" s="699"/>
      <c r="AH928" s="699"/>
      <c r="AI928" s="512">
        <f>IF(H928="credit",0,IF(AE928="free",0,IF(AE928="me",0,IF(G928&gt;0,(VLOOKUP(A928,'Discount Lookup'!J:K,2)*G928),0))))</f>
        <v>0</v>
      </c>
      <c r="AJ928" s="513" t="str">
        <f t="shared" ca="1" si="682"/>
        <v/>
      </c>
      <c r="AK928" s="700" t="str">
        <f t="shared" si="683"/>
        <v/>
      </c>
      <c r="AL928" s="700"/>
      <c r="AM928" s="505" t="str">
        <f t="shared" si="684"/>
        <v/>
      </c>
      <c r="AN928" s="506"/>
      <c r="AO928" s="507"/>
      <c r="AP928" s="507"/>
      <c r="AQ928" s="507"/>
      <c r="AR928" s="507"/>
      <c r="AS928" s="507"/>
      <c r="AT928" s="507"/>
      <c r="AU928" s="507"/>
      <c r="AV928" s="225"/>
      <c r="AW928" s="508"/>
      <c r="AX928" s="225"/>
      <c r="AY928" s="225"/>
      <c r="AZ928" s="225"/>
      <c r="BA928" s="225"/>
      <c r="BB928" s="225"/>
      <c r="BC928" s="56"/>
      <c r="BD928" s="56"/>
      <c r="BE928" s="56"/>
      <c r="BF928" s="107" t="str">
        <f t="shared" si="685"/>
        <v>https://www.google.com/search?tbm=isch&amp;q=Creeping%20Jenny%20Lysimachia%20nummularia%20%27Aurea%27</v>
      </c>
      <c r="BG928" s="107" t="str">
        <f t="shared" si="686"/>
        <v>C</v>
      </c>
      <c r="BH928" s="254"/>
      <c r="BI928" s="254"/>
    </row>
    <row r="929" spans="1:61" customFormat="1" ht="15.75" x14ac:dyDescent="0.25">
      <c r="A929" s="485">
        <v>1</v>
      </c>
      <c r="B929" s="486" t="s">
        <v>291</v>
      </c>
      <c r="C929" s="487"/>
      <c r="D929" s="488" t="s">
        <v>312</v>
      </c>
      <c r="E929" s="489">
        <v>9.9499999999999993</v>
      </c>
      <c r="F929" s="516" t="s">
        <v>293</v>
      </c>
      <c r="G929" s="232">
        <v>0</v>
      </c>
      <c r="H929" s="658" t="str">
        <f>IF(G929=0,"",IF(F929="Buy",IF(G929=1,"plant","plants"),IF(F929&gt;0.01,"warranty","Error")))</f>
        <v/>
      </c>
      <c r="I929" s="490">
        <f>IF(H929="free",0,IF(H929="credit",((E929*(F929))*G929*-1),IF(F929="Buy",(E929*G929),((E929*(1-F929))*G929))))</f>
        <v>0</v>
      </c>
      <c r="J929" s="490">
        <f>IF(H929="warranty",0,(I929*(_xlfn.SINGLE(SalesTaxPercentage))))</f>
        <v>0</v>
      </c>
      <c r="K929" s="695">
        <f t="shared" ref="K929" si="695">I929+J929</f>
        <v>0</v>
      </c>
      <c r="L929" s="695"/>
      <c r="M929" s="659" t="str">
        <f>IF(AND(G929&gt;0,E929=0),"WARNING - no PRICE inserted",IF(H929="free"," FREE ~ no charge this plant",IF(H929="credit",CONCATENATE(" -$",ROUND(K929*(1-T2GDiscount)*-1,2)," CREDIT after discount"),IF(T2GDiscount=0,"",IF(G929=0,"",IF(F929="Buy",CONCATENATE(" $",ROUND(K929*(1-T2GDiscount),2)," with ",(T2GDiscount*100),"% discount"),CONCATENATE(" $",ROUND(K929*(1-T2GDiscount),2)," with ",((T2GDiscount*100+F929*100)-(T2GDiscount*100*F929)),IF(F929&gt;0,"% discounts",IF(NoWarrantyDiscount&gt;0,"% discounts","% discount")))))))))</f>
        <v/>
      </c>
      <c r="N929" s="660"/>
      <c r="O929" s="233"/>
      <c r="P929" s="233"/>
      <c r="Q929" s="233"/>
      <c r="R929" s="233"/>
      <c r="S929" s="233"/>
      <c r="T929" s="508">
        <f t="shared" si="674"/>
        <v>0</v>
      </c>
      <c r="U929" s="225">
        <f>IF(NOT(ISNUMBER(G929)), "", VLOOKUP(A929,'Discount Lookup'!D:E,2,FALSE)*G929)</f>
        <v>0</v>
      </c>
      <c r="V929" s="225">
        <f>IF(NOT(ISNUMBER(G929)), "", VLOOKUP(A929,'Discount Lookup'!G:H,2,FALSE)*G929)</f>
        <v>0</v>
      </c>
      <c r="W929" s="508">
        <f t="shared" si="675"/>
        <v>0</v>
      </c>
      <c r="X929" s="508">
        <f t="shared" si="676"/>
        <v>0</v>
      </c>
      <c r="Y929" s="509" t="b">
        <f t="shared" si="677"/>
        <v>0</v>
      </c>
      <c r="Z929" s="510">
        <f t="shared" si="678"/>
        <v>0</v>
      </c>
      <c r="AA929" s="511"/>
      <c r="AB929" s="511" t="str">
        <f t="shared" si="679"/>
        <v/>
      </c>
      <c r="AC929" s="698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698"/>
      <c r="AE929" s="631" t="str">
        <f t="shared" si="680"/>
        <v/>
      </c>
      <c r="AF929" s="699" t="str">
        <f t="shared" si="681"/>
        <v/>
      </c>
      <c r="AG929" s="699"/>
      <c r="AH929" s="699"/>
      <c r="AI929" s="512">
        <f>IF(H929="credit",0,IF(AE929="free",0,IF(AE929="me",0,IF(G929&gt;0,(VLOOKUP(A929,'Discount Lookup'!J:K,2)*G929),0))))</f>
        <v>0</v>
      </c>
      <c r="AJ929" s="513" t="str">
        <f t="shared" ca="1" si="682"/>
        <v/>
      </c>
      <c r="AK929" s="700" t="str">
        <f t="shared" si="683"/>
        <v/>
      </c>
      <c r="AL929" s="700"/>
      <c r="AM929" s="505" t="str">
        <f t="shared" si="684"/>
        <v/>
      </c>
      <c r="AN929" s="506"/>
      <c r="AO929" s="507"/>
      <c r="AP929" s="507"/>
      <c r="AQ929" s="507"/>
      <c r="AR929" s="507"/>
      <c r="AS929" s="507"/>
      <c r="AT929" s="507"/>
      <c r="AU929" s="507"/>
      <c r="AV929" s="225"/>
      <c r="AW929" s="508"/>
      <c r="AX929" s="225"/>
      <c r="AY929" s="225"/>
      <c r="AZ929" s="225"/>
      <c r="BA929" s="225"/>
      <c r="BB929" s="225"/>
      <c r="BC929" s="56"/>
      <c r="BD929" s="56"/>
      <c r="BE929" s="56"/>
      <c r="BF929" s="107" t="str">
        <f t="shared" si="685"/>
        <v>https://www.google.com/search?tbm=isch&amp;q=1%20G2</v>
      </c>
      <c r="BG929" s="107" t="str">
        <f t="shared" si="686"/>
        <v>C</v>
      </c>
      <c r="BH929" s="254"/>
      <c r="BI929" s="254"/>
    </row>
    <row r="930" spans="1:61" customFormat="1" ht="15.75" x14ac:dyDescent="0.25">
      <c r="A930" s="485">
        <v>2</v>
      </c>
      <c r="B930" s="486" t="s">
        <v>291</v>
      </c>
      <c r="C930" s="487"/>
      <c r="D930" s="488" t="s">
        <v>300</v>
      </c>
      <c r="E930" s="489">
        <v>25.95</v>
      </c>
      <c r="F930" s="516" t="s">
        <v>293</v>
      </c>
      <c r="G930" s="232">
        <v>0</v>
      </c>
      <c r="H930" s="658" t="str">
        <f>IF(G930=0,"",IF(F930="Buy",IF(G930=1,"plant","plants"),IF(F930&gt;0.01,"warranty","Error")))</f>
        <v/>
      </c>
      <c r="I930" s="490">
        <f>IF(H930="free",0,IF(H930="credit",((E930*(F930))*G930*-1),IF(F930="Buy",(E930*G930),((E930*(1-F930))*G930))))</f>
        <v>0</v>
      </c>
      <c r="J930" s="490">
        <f>IF(H930="warranty",0,(I930*(_xlfn.SINGLE(SalesTaxPercentage))))</f>
        <v>0</v>
      </c>
      <c r="K930" s="695">
        <f t="shared" ref="K930" si="696">I930+J930</f>
        <v>0</v>
      </c>
      <c r="L930" s="695"/>
      <c r="M930" s="659" t="str">
        <f>IF(AND(G930&gt;0,E930=0),"WARNING - no PRICE inserted",IF(H930="free"," FREE ~ no charge this plant",IF(H930="credit",CONCATENATE(" -$",ROUND(K930*(1-T2GDiscount)*-1,2)," CREDIT after discount"),IF(T2GDiscount=0,"",IF(G930=0,"",IF(F930="Buy",CONCATENATE(" $",ROUND(K930*(1-T2GDiscount),2)," with ",(T2GDiscount*100),"% discount"),CONCATENATE(" $",ROUND(K930*(1-T2GDiscount),2)," with ",((T2GDiscount*100+F930*100)-(T2GDiscount*100*F930)),IF(F930&gt;0,"% discounts",IF(NoWarrantyDiscount&gt;0,"% discounts","% discount")))))))))</f>
        <v/>
      </c>
      <c r="N930" s="660"/>
      <c r="O930" s="233"/>
      <c r="P930" s="233"/>
      <c r="Q930" s="233"/>
      <c r="R930" s="233"/>
      <c r="S930" s="233"/>
      <c r="T930" s="508">
        <f t="shared" si="674"/>
        <v>0</v>
      </c>
      <c r="U930" s="225">
        <f>IF(NOT(ISNUMBER(G930)), "", VLOOKUP(A930,'Discount Lookup'!D:E,2,FALSE)*G930)</f>
        <v>0</v>
      </c>
      <c r="V930" s="225">
        <f>IF(NOT(ISNUMBER(G930)), "", VLOOKUP(A930,'Discount Lookup'!G:H,2,FALSE)*G930)</f>
        <v>0</v>
      </c>
      <c r="W930" s="508">
        <f t="shared" si="675"/>
        <v>0</v>
      </c>
      <c r="X930" s="508">
        <f t="shared" si="676"/>
        <v>0</v>
      </c>
      <c r="Y930" s="509" t="b">
        <f t="shared" si="677"/>
        <v>0</v>
      </c>
      <c r="Z930" s="510">
        <f t="shared" si="678"/>
        <v>0</v>
      </c>
      <c r="AA930" s="511"/>
      <c r="AB930" s="511" t="str">
        <f t="shared" si="679"/>
        <v/>
      </c>
      <c r="AC930" s="698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698"/>
      <c r="AE930" s="631" t="str">
        <f t="shared" si="680"/>
        <v/>
      </c>
      <c r="AF930" s="699" t="str">
        <f t="shared" si="681"/>
        <v/>
      </c>
      <c r="AG930" s="699"/>
      <c r="AH930" s="699"/>
      <c r="AI930" s="512">
        <f>IF(H930="credit",0,IF(AE930="free",0,IF(AE930="me",0,IF(G930&gt;0,(VLOOKUP(A930,'Discount Lookup'!J:K,2)*G930),0))))</f>
        <v>0</v>
      </c>
      <c r="AJ930" s="513" t="str">
        <f t="shared" ca="1" si="682"/>
        <v/>
      </c>
      <c r="AK930" s="700" t="str">
        <f t="shared" si="683"/>
        <v/>
      </c>
      <c r="AL930" s="700"/>
      <c r="AM930" s="505" t="str">
        <f t="shared" si="684"/>
        <v/>
      </c>
      <c r="AN930" s="506"/>
      <c r="AO930" s="507"/>
      <c r="AP930" s="507"/>
      <c r="AQ930" s="507"/>
      <c r="AR930" s="507"/>
      <c r="AS930" s="507"/>
      <c r="AT930" s="507"/>
      <c r="AU930" s="507"/>
      <c r="AV930" s="225"/>
      <c r="AW930" s="508"/>
      <c r="AX930" s="225"/>
      <c r="AY930" s="225"/>
      <c r="AZ930" s="225"/>
      <c r="BA930" s="225"/>
      <c r="BB930" s="225"/>
      <c r="BC930" s="56"/>
      <c r="BD930" s="56"/>
      <c r="BE930" s="56"/>
      <c r="BF930" s="107" t="str">
        <f t="shared" si="685"/>
        <v>https://www.google.com/search?tbm=isch&amp;q=2%20G6</v>
      </c>
      <c r="BG930" s="107" t="str">
        <f t="shared" si="686"/>
        <v>C</v>
      </c>
      <c r="BH930" s="254"/>
      <c r="BI930" s="254"/>
    </row>
    <row r="931" spans="1:61" customFormat="1" ht="16.5" thickBot="1" x14ac:dyDescent="0.3">
      <c r="A931" s="672" t="s">
        <v>5087</v>
      </c>
      <c r="B931" s="491"/>
      <c r="C931" s="675"/>
      <c r="D931" s="491"/>
      <c r="E931" s="491"/>
      <c r="F931" s="492"/>
      <c r="G931" s="493"/>
      <c r="H931" s="491"/>
      <c r="I931" s="234"/>
      <c r="J931" s="234"/>
      <c r="K931" s="494"/>
      <c r="L931" s="543"/>
      <c r="M931" s="561"/>
      <c r="N931" s="495"/>
      <c r="O931" s="496"/>
      <c r="P931" s="497"/>
      <c r="Q931" s="495"/>
      <c r="R931" s="495"/>
      <c r="S931" s="277"/>
      <c r="T931" s="508">
        <f t="shared" si="674"/>
        <v>0</v>
      </c>
      <c r="U931" s="225" t="str">
        <f>IF(NOT(ISNUMBER(G931)), "", VLOOKUP(A931,'Discount Lookup'!D:E,2,FALSE)*G931)</f>
        <v/>
      </c>
      <c r="V931" s="225" t="str">
        <f>IF(NOT(ISNUMBER(G931)), "", VLOOKUP(A931,'Discount Lookup'!G:H,2,FALSE)*G931)</f>
        <v/>
      </c>
      <c r="W931" s="508">
        <f t="shared" si="675"/>
        <v>0</v>
      </c>
      <c r="X931" s="508">
        <f t="shared" si="676"/>
        <v>0</v>
      </c>
      <c r="Y931" s="509" t="b">
        <f t="shared" si="677"/>
        <v>0</v>
      </c>
      <c r="Z931" s="510">
        <f t="shared" si="678"/>
        <v>0</v>
      </c>
      <c r="AA931" s="511"/>
      <c r="AB931" s="511" t="str">
        <f t="shared" si="679"/>
        <v/>
      </c>
      <c r="AC931" s="698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698"/>
      <c r="AE931" s="631" t="str">
        <f t="shared" si="680"/>
        <v/>
      </c>
      <c r="AF931" s="699" t="str">
        <f t="shared" si="681"/>
        <v/>
      </c>
      <c r="AG931" s="699"/>
      <c r="AH931" s="699"/>
      <c r="AI931" s="512">
        <f>IF(H931="credit",0,IF(AE931="free",0,IF(AE931="me",0,IF(G931&gt;0,(VLOOKUP(A931,'Discount Lookup'!J:K,2)*G931),0))))</f>
        <v>0</v>
      </c>
      <c r="AJ931" s="513" t="str">
        <f t="shared" ca="1" si="682"/>
        <v/>
      </c>
      <c r="AK931" s="700" t="str">
        <f t="shared" si="683"/>
        <v/>
      </c>
      <c r="AL931" s="700"/>
      <c r="AM931" s="505" t="str">
        <f t="shared" si="684"/>
        <v/>
      </c>
      <c r="AN931" s="506"/>
      <c r="AO931" s="507"/>
      <c r="AP931" s="507"/>
      <c r="AQ931" s="507"/>
      <c r="AR931" s="507"/>
      <c r="AS931" s="507"/>
      <c r="AT931" s="507"/>
      <c r="AU931" s="507"/>
      <c r="AV931" s="225"/>
      <c r="AW931" s="508"/>
      <c r="AX931" s="225"/>
      <c r="AY931" s="225"/>
      <c r="AZ931" s="225"/>
      <c r="BA931" s="225"/>
      <c r="BB931" s="225"/>
      <c r="BC931" s="56"/>
      <c r="BD931" s="56"/>
      <c r="BE931" s="56"/>
      <c r="BF931" s="107" t="str">
        <f t="shared" si="685"/>
        <v>https://www.google.com/search?tbm=isch&amp;q=wet%20sites%F0%9F%92%A7BEST%2C%20Creeping%20Jenny%20is%20your%20easiest%20yellow%20groundcover.%20Occasional%20summer%20blooms.%20Will%20spread%2C%20so%20contain%20</v>
      </c>
      <c r="BG931" s="107" t="str">
        <f t="shared" si="686"/>
        <v>w</v>
      </c>
      <c r="BH931" s="254"/>
      <c r="BI931" s="254"/>
    </row>
    <row r="932" spans="1:61" customFormat="1" ht="18" x14ac:dyDescent="0.25">
      <c r="A932" s="521" t="s">
        <v>708</v>
      </c>
      <c r="B932" s="477"/>
      <c r="C932" s="674"/>
      <c r="D932" s="478" t="s">
        <v>709</v>
      </c>
      <c r="E932" s="479"/>
      <c r="F932" s="479"/>
      <c r="G932" s="479"/>
      <c r="H932" s="582" t="s">
        <v>710</v>
      </c>
      <c r="I932" s="480" t="s">
        <v>654</v>
      </c>
      <c r="J932" s="479"/>
      <c r="K932" s="479"/>
      <c r="L932" s="560"/>
      <c r="M932" s="666" t="s">
        <v>4966</v>
      </c>
      <c r="N932" s="680" t="str">
        <f>IF(AND(ISTEXT($A932), ISERROR($A932+0)), HYPERLINK($BF932, "Images"), "")</f>
        <v>Images</v>
      </c>
      <c r="O932" s="662" t="s">
        <v>4967</v>
      </c>
      <c r="P932" s="482"/>
      <c r="Q932" s="483"/>
      <c r="R932" s="483"/>
      <c r="S932" s="484"/>
      <c r="T932" s="508">
        <f t="shared" si="674"/>
        <v>0</v>
      </c>
      <c r="U932" s="225" t="str">
        <f>IF(NOT(ISNUMBER(G932)), "", VLOOKUP(A932,'Discount Lookup'!D:E,2,FALSE)*G932)</f>
        <v/>
      </c>
      <c r="V932" s="225" t="str">
        <f>IF(NOT(ISNUMBER(G932)), "", VLOOKUP(A932,'Discount Lookup'!G:H,2,FALSE)*G932)</f>
        <v/>
      </c>
      <c r="W932" s="508">
        <f t="shared" si="675"/>
        <v>0</v>
      </c>
      <c r="X932" s="508" t="str">
        <f t="shared" si="676"/>
        <v>White bloom</v>
      </c>
      <c r="Y932" s="509" t="b">
        <f t="shared" si="677"/>
        <v>0</v>
      </c>
      <c r="Z932" s="510">
        <f t="shared" si="678"/>
        <v>0</v>
      </c>
      <c r="AA932" s="511"/>
      <c r="AB932" s="511" t="str">
        <f t="shared" si="679"/>
        <v/>
      </c>
      <c r="AC932" s="698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698"/>
      <c r="AE932" s="631" t="str">
        <f t="shared" si="680"/>
        <v/>
      </c>
      <c r="AF932" s="699" t="str">
        <f t="shared" si="681"/>
        <v/>
      </c>
      <c r="AG932" s="699"/>
      <c r="AH932" s="699"/>
      <c r="AI932" s="512">
        <f>IF(H932="credit",0,IF(AE932="free",0,IF(AE932="me",0,IF(G932&gt;0,(VLOOKUP(A932,'Discount Lookup'!J:K,2)*G932),0))))</f>
        <v>0</v>
      </c>
      <c r="AJ932" s="513" t="str">
        <f t="shared" ca="1" si="682"/>
        <v/>
      </c>
      <c r="AK932" s="700" t="str">
        <f t="shared" si="683"/>
        <v/>
      </c>
      <c r="AL932" s="700"/>
      <c r="AM932" s="505" t="str">
        <f t="shared" si="684"/>
        <v/>
      </c>
      <c r="AN932" s="506"/>
      <c r="AO932" s="507"/>
      <c r="AP932" s="507"/>
      <c r="AQ932" s="507"/>
      <c r="AR932" s="507"/>
      <c r="AS932" s="507"/>
      <c r="AT932" s="507"/>
      <c r="AU932" s="507"/>
      <c r="AV932" s="225"/>
      <c r="AW932" s="508"/>
      <c r="AX932" s="225"/>
      <c r="AY932" s="225"/>
      <c r="AZ932" s="225"/>
      <c r="BA932" s="225"/>
      <c r="BB932" s="225"/>
      <c r="BC932" s="56"/>
      <c r="BD932" s="56"/>
      <c r="BE932" s="56"/>
      <c r="BF932" s="107" t="str">
        <f t="shared" si="685"/>
        <v>https://www.google.com/search?tbm=isch&amp;q=Creeping%20Raspberry%20Rubus%20rolfei</v>
      </c>
      <c r="BG932" s="107" t="str">
        <f t="shared" si="686"/>
        <v>C</v>
      </c>
      <c r="BH932" s="254"/>
      <c r="BI932" s="254"/>
    </row>
    <row r="933" spans="1:61" customFormat="1" ht="15.75" x14ac:dyDescent="0.25">
      <c r="A933" s="485">
        <v>1</v>
      </c>
      <c r="B933" s="486" t="s">
        <v>291</v>
      </c>
      <c r="C933" s="487"/>
      <c r="D933" s="488" t="s">
        <v>312</v>
      </c>
      <c r="E933" s="489">
        <v>10.95</v>
      </c>
      <c r="F933" s="516" t="s">
        <v>293</v>
      </c>
      <c r="G933" s="232">
        <v>0</v>
      </c>
      <c r="H933" s="658" t="str">
        <f>IF(G933=0,"",IF(F933="Buy",IF(G933=1,"plant","plants"),IF(F933&gt;0.01,"warranty","Error")))</f>
        <v/>
      </c>
      <c r="I933" s="490">
        <f>IF(H933="free",0,IF(H933="credit",((E933*(F933))*G933*-1),IF(F933="Buy",(E933*G933),((E933*(1-F933))*G933))))</f>
        <v>0</v>
      </c>
      <c r="J933" s="490">
        <f>IF(H933="warranty",0,(I933*(_xlfn.SINGLE(SalesTaxPercentage))))</f>
        <v>0</v>
      </c>
      <c r="K933" s="695">
        <f t="shared" ref="K933" si="697">I933+J933</f>
        <v>0</v>
      </c>
      <c r="L933" s="695"/>
      <c r="M933" s="659" t="str">
        <f>IF(AND(G933&gt;0,E933=0),"WARNING - no PRICE inserted",IF(H933="free"," FREE ~ no charge this plant",IF(H933="credit",CONCATENATE(" -$",ROUND(K933*(1-T2GDiscount)*-1,2)," CREDIT after discount"),IF(T2GDiscount=0,"",IF(G933=0,"",IF(F933="Buy",CONCATENATE(" $",ROUND(K933*(1-T2GDiscount),2)," with ",(T2GDiscount*100),"% discount"),CONCATENATE(" $",ROUND(K933*(1-T2GDiscount),2)," with ",((T2GDiscount*100+F933*100)-(T2GDiscount*100*F933)),IF(F933&gt;0,"% discounts",IF(NoWarrantyDiscount&gt;0,"% discounts","% discount")))))))))</f>
        <v/>
      </c>
      <c r="N933" s="660"/>
      <c r="O933" s="233"/>
      <c r="P933" s="233"/>
      <c r="Q933" s="233"/>
      <c r="R933" s="233"/>
      <c r="S933" s="233"/>
      <c r="T933" s="508">
        <f t="shared" si="674"/>
        <v>0</v>
      </c>
      <c r="U933" s="225">
        <f>IF(NOT(ISNUMBER(G933)), "", VLOOKUP(A933,'Discount Lookup'!D:E,2,FALSE)*G933)</f>
        <v>0</v>
      </c>
      <c r="V933" s="225">
        <f>IF(NOT(ISNUMBER(G933)), "", VLOOKUP(A933,'Discount Lookup'!G:H,2,FALSE)*G933)</f>
        <v>0</v>
      </c>
      <c r="W933" s="508">
        <f t="shared" si="675"/>
        <v>0</v>
      </c>
      <c r="X933" s="508">
        <f t="shared" si="676"/>
        <v>0</v>
      </c>
      <c r="Y933" s="509" t="b">
        <f t="shared" si="677"/>
        <v>0</v>
      </c>
      <c r="Z933" s="510">
        <f t="shared" si="678"/>
        <v>0</v>
      </c>
      <c r="AA933" s="511"/>
      <c r="AB933" s="511" t="str">
        <f t="shared" si="679"/>
        <v/>
      </c>
      <c r="AC933" s="698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698"/>
      <c r="AE933" s="631" t="str">
        <f t="shared" si="680"/>
        <v/>
      </c>
      <c r="AF933" s="699" t="str">
        <f t="shared" si="681"/>
        <v/>
      </c>
      <c r="AG933" s="699"/>
      <c r="AH933" s="699"/>
      <c r="AI933" s="512">
        <f>IF(H933="credit",0,IF(AE933="free",0,IF(AE933="me",0,IF(G933&gt;0,(VLOOKUP(A933,'Discount Lookup'!J:K,2)*G933),0))))</f>
        <v>0</v>
      </c>
      <c r="AJ933" s="513" t="str">
        <f t="shared" ca="1" si="682"/>
        <v/>
      </c>
      <c r="AK933" s="700" t="str">
        <f t="shared" si="683"/>
        <v/>
      </c>
      <c r="AL933" s="700"/>
      <c r="AM933" s="505" t="str">
        <f t="shared" si="684"/>
        <v/>
      </c>
      <c r="AN933" s="506"/>
      <c r="AO933" s="507"/>
      <c r="AP933" s="507"/>
      <c r="AQ933" s="507"/>
      <c r="AR933" s="507"/>
      <c r="AS933" s="507"/>
      <c r="AT933" s="507"/>
      <c r="AU933" s="507"/>
      <c r="AV933" s="225"/>
      <c r="AW933" s="508"/>
      <c r="AX933" s="225"/>
      <c r="AY933" s="225"/>
      <c r="AZ933" s="225"/>
      <c r="BA933" s="225"/>
      <c r="BB933" s="225"/>
      <c r="BC933" s="56"/>
      <c r="BD933" s="56"/>
      <c r="BE933" s="56"/>
      <c r="BF933" s="107" t="str">
        <f t="shared" si="685"/>
        <v>https://www.google.com/search?tbm=isch&amp;q=1%20G2</v>
      </c>
      <c r="BG933" s="107" t="str">
        <f t="shared" si="686"/>
        <v>C</v>
      </c>
      <c r="BH933" s="254"/>
      <c r="BI933" s="254"/>
    </row>
    <row r="934" spans="1:61" customFormat="1" ht="17.25" thickBot="1" x14ac:dyDescent="0.3">
      <c r="A934" s="522" t="s">
        <v>2368</v>
      </c>
      <c r="B934" s="491"/>
      <c r="C934" s="675"/>
      <c r="D934" s="491"/>
      <c r="E934" s="491"/>
      <c r="F934" s="492"/>
      <c r="G934" s="493"/>
      <c r="H934" s="491"/>
      <c r="I934" s="234"/>
      <c r="J934" s="234"/>
      <c r="K934" s="494"/>
      <c r="L934" s="543"/>
      <c r="M934" s="561"/>
      <c r="N934" s="495"/>
      <c r="O934" s="496"/>
      <c r="P934" s="497"/>
      <c r="Q934" s="495"/>
      <c r="R934" s="495"/>
      <c r="S934" s="667" t="s">
        <v>4984</v>
      </c>
      <c r="T934" s="508">
        <f t="shared" si="674"/>
        <v>0</v>
      </c>
      <c r="U934" s="225" t="str">
        <f>IF(NOT(ISNUMBER(G934)), "", VLOOKUP(A934,'Discount Lookup'!D:E,2,FALSE)*G934)</f>
        <v/>
      </c>
      <c r="V934" s="225" t="str">
        <f>IF(NOT(ISNUMBER(G934)), "", VLOOKUP(A934,'Discount Lookup'!G:H,2,FALSE)*G934)</f>
        <v/>
      </c>
      <c r="W934" s="508">
        <f t="shared" si="675"/>
        <v>0</v>
      </c>
      <c r="X934" s="508">
        <f t="shared" si="676"/>
        <v>0</v>
      </c>
      <c r="Y934" s="509" t="b">
        <f t="shared" si="677"/>
        <v>0</v>
      </c>
      <c r="Z934" s="510">
        <f t="shared" si="678"/>
        <v>0</v>
      </c>
      <c r="AA934" s="511"/>
      <c r="AB934" s="511" t="str">
        <f t="shared" si="679"/>
        <v/>
      </c>
      <c r="AC934" s="698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698"/>
      <c r="AE934" s="631" t="str">
        <f t="shared" si="680"/>
        <v/>
      </c>
      <c r="AF934" s="699" t="str">
        <f t="shared" si="681"/>
        <v/>
      </c>
      <c r="AG934" s="699"/>
      <c r="AH934" s="699"/>
      <c r="AI934" s="512">
        <f>IF(H934="credit",0,IF(AE934="free",0,IF(AE934="me",0,IF(G934&gt;0,(VLOOKUP(A934,'Discount Lookup'!J:K,2)*G934),0))))</f>
        <v>0</v>
      </c>
      <c r="AJ934" s="513" t="str">
        <f t="shared" ca="1" si="682"/>
        <v/>
      </c>
      <c r="AK934" s="700" t="str">
        <f t="shared" si="683"/>
        <v/>
      </c>
      <c r="AL934" s="700"/>
      <c r="AM934" s="505" t="str">
        <f t="shared" si="684"/>
        <v/>
      </c>
      <c r="AN934" s="506"/>
      <c r="AO934" s="507"/>
      <c r="AP934" s="507"/>
      <c r="AQ934" s="507"/>
      <c r="AR934" s="507"/>
      <c r="AS934" s="507"/>
      <c r="AT934" s="507"/>
      <c r="AU934" s="507"/>
      <c r="AV934" s="225"/>
      <c r="AW934" s="508"/>
      <c r="AX934" s="225"/>
      <c r="AY934" s="225"/>
      <c r="AZ934" s="225"/>
      <c r="BA934" s="225"/>
      <c r="BB934" s="225"/>
      <c r="BC934" s="56"/>
      <c r="BD934" s="56"/>
      <c r="BE934" s="56"/>
      <c r="BF934" s="107" t="str">
        <f t="shared" si="685"/>
        <v>https://www.google.com/search?tbm=isch&amp;q=Creeping%20Raspberry%20fruit%20is%20edible%2C%20but%20rather%20tiny%2C%20and%20not%20flavorful%2C%20Plant%20can%20replace%20lawn%2C%20taking%20light%20foot%20traffic%20</v>
      </c>
      <c r="BG934" s="107" t="str">
        <f t="shared" si="686"/>
        <v>C</v>
      </c>
      <c r="BH934" s="254"/>
      <c r="BI934" s="254"/>
    </row>
    <row r="935" spans="1:61" customFormat="1" ht="18" x14ac:dyDescent="0.25">
      <c r="A935" s="521" t="s">
        <v>711</v>
      </c>
      <c r="B935" s="477"/>
      <c r="C935" s="674"/>
      <c r="D935" s="478" t="s">
        <v>712</v>
      </c>
      <c r="E935" s="479"/>
      <c r="F935" s="479"/>
      <c r="G935" s="479"/>
      <c r="H935" s="582" t="s">
        <v>316</v>
      </c>
      <c r="I935" s="480" t="s">
        <v>2560</v>
      </c>
      <c r="J935" s="479"/>
      <c r="K935" s="479"/>
      <c r="L935" s="560"/>
      <c r="M935" s="671" t="s">
        <v>4990</v>
      </c>
      <c r="N935" s="680" t="str">
        <f>IF(AND(ISTEXT($A935), ISERROR($A935+0)), HYPERLINK($BF935, "Images"), "")</f>
        <v>Images</v>
      </c>
      <c r="O935" s="662" t="s">
        <v>4967</v>
      </c>
      <c r="P935" s="482"/>
      <c r="Q935" s="483"/>
      <c r="R935" s="483"/>
      <c r="S935" s="484"/>
      <c r="T935" s="508">
        <f t="shared" si="674"/>
        <v>0</v>
      </c>
      <c r="U935" s="225" t="str">
        <f>IF(NOT(ISNUMBER(G935)), "", VLOOKUP(A935,'Discount Lookup'!D:E,2,FALSE)*G935)</f>
        <v/>
      </c>
      <c r="V935" s="225" t="str">
        <f>IF(NOT(ISNUMBER(G935)), "", VLOOKUP(A935,'Discount Lookup'!G:H,2,FALSE)*G935)</f>
        <v/>
      </c>
      <c r="W935" s="508">
        <f t="shared" si="675"/>
        <v>0</v>
      </c>
      <c r="X935" s="508" t="str">
        <f t="shared" si="676"/>
        <v>Rose-Pink single bloom</v>
      </c>
      <c r="Y935" s="509" t="b">
        <f t="shared" si="677"/>
        <v>0</v>
      </c>
      <c r="Z935" s="510">
        <f t="shared" si="678"/>
        <v>0</v>
      </c>
      <c r="AA935" s="511"/>
      <c r="AB935" s="511" t="str">
        <f t="shared" si="679"/>
        <v/>
      </c>
      <c r="AC935" s="698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698"/>
      <c r="AE935" s="631" t="str">
        <f t="shared" si="680"/>
        <v/>
      </c>
      <c r="AF935" s="699" t="str">
        <f t="shared" si="681"/>
        <v/>
      </c>
      <c r="AG935" s="699"/>
      <c r="AH935" s="699"/>
      <c r="AI935" s="512">
        <f>IF(H935="credit",0,IF(AE935="free",0,IF(AE935="me",0,IF(G935&gt;0,(VLOOKUP(A935,'Discount Lookup'!J:K,2)*G935),0))))</f>
        <v>0</v>
      </c>
      <c r="AJ935" s="513" t="str">
        <f t="shared" ca="1" si="682"/>
        <v/>
      </c>
      <c r="AK935" s="700" t="str">
        <f t="shared" si="683"/>
        <v/>
      </c>
      <c r="AL935" s="700"/>
      <c r="AM935" s="505" t="str">
        <f t="shared" si="684"/>
        <v/>
      </c>
      <c r="AN935" s="506"/>
      <c r="AO935" s="507"/>
      <c r="AP935" s="507"/>
      <c r="AQ935" s="507"/>
      <c r="AR935" s="507"/>
      <c r="AS935" s="507"/>
      <c r="AT935" s="507"/>
      <c r="AU935" s="507"/>
      <c r="AV935" s="225"/>
      <c r="AW935" s="508"/>
      <c r="AX935" s="225"/>
      <c r="AY935" s="225"/>
      <c r="AZ935" s="225"/>
      <c r="BA935" s="225"/>
      <c r="BB935" s="225"/>
      <c r="BC935" s="56"/>
      <c r="BD935" s="56"/>
      <c r="BE935" s="56"/>
      <c r="BF935" s="107" t="str">
        <f t="shared" si="685"/>
        <v>https://www.google.com/search?tbm=isch&amp;q=Crimson%20Candles%20Camellia%20Camellia%20%27Crimson%20Candles%27</v>
      </c>
      <c r="BG935" s="107" t="str">
        <f t="shared" si="686"/>
        <v>C</v>
      </c>
      <c r="BH935" s="254"/>
      <c r="BI935" s="254"/>
    </row>
    <row r="936" spans="1:61" customFormat="1" ht="15.75" x14ac:dyDescent="0.25">
      <c r="A936" s="485">
        <v>15</v>
      </c>
      <c r="B936" s="486" t="s">
        <v>291</v>
      </c>
      <c r="C936" s="487" t="s">
        <v>713</v>
      </c>
      <c r="D936" s="488" t="s">
        <v>300</v>
      </c>
      <c r="E936" s="489">
        <v>295.95</v>
      </c>
      <c r="F936" s="516" t="s">
        <v>293</v>
      </c>
      <c r="G936" s="232">
        <v>0</v>
      </c>
      <c r="H936" s="658" t="str">
        <f>IF(G936=0,"",IF(F936="Buy",IF(G936=1,"plant","plants"),IF(F936&gt;0.01,"warranty","Error")))</f>
        <v/>
      </c>
      <c r="I936" s="490">
        <f>IF(H936="free",0,IF(H936="credit",((E936*(F936))*G936*-1),IF(F936="Buy",(E936*G936),((E936*(1-F936))*G936))))</f>
        <v>0</v>
      </c>
      <c r="J936" s="490">
        <f>IF(H936="warranty",0,(I936*(_xlfn.SINGLE(SalesTaxPercentage))))</f>
        <v>0</v>
      </c>
      <c r="K936" s="695">
        <f t="shared" ref="K936" si="698">I936+J936</f>
        <v>0</v>
      </c>
      <c r="L936" s="695"/>
      <c r="M936" s="659" t="str">
        <f>IF(AND(G936&gt;0,E936=0),"WARNING - no PRICE inserted",IF(H936="free"," FREE ~ no charge this plant",IF(H936="credit",CONCATENATE(" -$",ROUND(K936*(1-T2GDiscount)*-1,2)," CREDIT after discount"),IF(T2GDiscount=0,"",IF(G936=0,"",IF(F936="Buy",CONCATENATE(" $",ROUND(K936*(1-T2GDiscount),2)," with ",(T2GDiscount*100),"% discount"),CONCATENATE(" $",ROUND(K936*(1-T2GDiscount),2)," with ",((T2GDiscount*100+F936*100)-(T2GDiscount*100*F936)),IF(F936&gt;0,"% discounts",IF(NoWarrantyDiscount&gt;0,"% discounts","% discount")))))))))</f>
        <v/>
      </c>
      <c r="N936" s="660"/>
      <c r="O936" s="233"/>
      <c r="P936" s="233"/>
      <c r="Q936" s="233"/>
      <c r="R936" s="233"/>
      <c r="S936" s="233"/>
      <c r="T936" s="508">
        <f t="shared" si="674"/>
        <v>0</v>
      </c>
      <c r="U936" s="225">
        <f>IF(NOT(ISNUMBER(G936)), "", VLOOKUP(A936,'Discount Lookup'!D:E,2,FALSE)*G936)</f>
        <v>0</v>
      </c>
      <c r="V936" s="225">
        <f>IF(NOT(ISNUMBER(G936)), "", VLOOKUP(A936,'Discount Lookup'!G:H,2,FALSE)*G936)</f>
        <v>0</v>
      </c>
      <c r="W936" s="508">
        <f t="shared" si="675"/>
        <v>0</v>
      </c>
      <c r="X936" s="508">
        <f t="shared" si="676"/>
        <v>0</v>
      </c>
      <c r="Y936" s="509" t="b">
        <f t="shared" si="677"/>
        <v>0</v>
      </c>
      <c r="Z936" s="510">
        <f t="shared" si="678"/>
        <v>0</v>
      </c>
      <c r="AA936" s="511"/>
      <c r="AB936" s="511" t="str">
        <f t="shared" si="679"/>
        <v/>
      </c>
      <c r="AC936" s="698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698"/>
      <c r="AE936" s="631" t="str">
        <f t="shared" si="680"/>
        <v/>
      </c>
      <c r="AF936" s="699" t="str">
        <f t="shared" si="681"/>
        <v/>
      </c>
      <c r="AG936" s="699"/>
      <c r="AH936" s="699"/>
      <c r="AI936" s="512">
        <f>IF(H936="credit",0,IF(AE936="free",0,IF(AE936="me",0,IF(G936&gt;0,(VLOOKUP(A936,'Discount Lookup'!J:K,2)*G936),0))))</f>
        <v>0</v>
      </c>
      <c r="AJ936" s="513" t="str">
        <f t="shared" ca="1" si="682"/>
        <v/>
      </c>
      <c r="AK936" s="700" t="str">
        <f t="shared" si="683"/>
        <v/>
      </c>
      <c r="AL936" s="700"/>
      <c r="AM936" s="505" t="str">
        <f t="shared" si="684"/>
        <v/>
      </c>
      <c r="AN936" s="506"/>
      <c r="AO936" s="507"/>
      <c r="AP936" s="507"/>
      <c r="AQ936" s="507"/>
      <c r="AR936" s="507"/>
      <c r="AS936" s="507"/>
      <c r="AT936" s="507"/>
      <c r="AU936" s="507"/>
      <c r="AV936" s="225"/>
      <c r="AW936" s="508"/>
      <c r="AX936" s="225"/>
      <c r="AY936" s="225"/>
      <c r="AZ936" s="225"/>
      <c r="BA936" s="225"/>
      <c r="BB936" s="225"/>
      <c r="BC936" s="56"/>
      <c r="BD936" s="56"/>
      <c r="BE936" s="56"/>
      <c r="BF936" s="107" t="str">
        <f t="shared" si="685"/>
        <v>https://www.google.com/search?tbm=isch&amp;q=15%20G6</v>
      </c>
      <c r="BG936" s="107" t="str">
        <f t="shared" si="686"/>
        <v>C</v>
      </c>
      <c r="BH936" s="254"/>
      <c r="BI936" s="254"/>
    </row>
    <row r="937" spans="1:61" customFormat="1" ht="17.25" thickBot="1" x14ac:dyDescent="0.3">
      <c r="A937" s="522" t="s">
        <v>2561</v>
      </c>
      <c r="B937" s="491"/>
      <c r="C937" s="675"/>
      <c r="D937" s="491"/>
      <c r="E937" s="491"/>
      <c r="F937" s="492"/>
      <c r="G937" s="493"/>
      <c r="H937" s="491"/>
      <c r="I937" s="234"/>
      <c r="J937" s="234"/>
      <c r="K937" s="494"/>
      <c r="L937" s="543"/>
      <c r="M937" s="561"/>
      <c r="N937" s="495"/>
      <c r="O937" s="496"/>
      <c r="P937" s="497"/>
      <c r="Q937" s="495"/>
      <c r="R937" s="495"/>
      <c r="S937" s="667" t="s">
        <v>4986</v>
      </c>
      <c r="T937" s="508">
        <f t="shared" si="674"/>
        <v>0</v>
      </c>
      <c r="U937" s="225" t="str">
        <f>IF(NOT(ISNUMBER(G937)), "", VLOOKUP(A937,'Discount Lookup'!D:E,2,FALSE)*G937)</f>
        <v/>
      </c>
      <c r="V937" s="225" t="str">
        <f>IF(NOT(ISNUMBER(G937)), "", VLOOKUP(A937,'Discount Lookup'!G:H,2,FALSE)*G937)</f>
        <v/>
      </c>
      <c r="W937" s="508">
        <f t="shared" si="675"/>
        <v>0</v>
      </c>
      <c r="X937" s="508">
        <f t="shared" si="676"/>
        <v>0</v>
      </c>
      <c r="Y937" s="509" t="b">
        <f t="shared" si="677"/>
        <v>0</v>
      </c>
      <c r="Z937" s="510">
        <f t="shared" si="678"/>
        <v>0</v>
      </c>
      <c r="AA937" s="511"/>
      <c r="AB937" s="511" t="str">
        <f t="shared" si="679"/>
        <v/>
      </c>
      <c r="AC937" s="698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698"/>
      <c r="AE937" s="631" t="str">
        <f t="shared" si="680"/>
        <v/>
      </c>
      <c r="AF937" s="699" t="str">
        <f t="shared" si="681"/>
        <v/>
      </c>
      <c r="AG937" s="699"/>
      <c r="AH937" s="699"/>
      <c r="AI937" s="512">
        <f>IF(H937="credit",0,IF(AE937="free",0,IF(AE937="me",0,IF(G937&gt;0,(VLOOKUP(A937,'Discount Lookup'!J:K,2)*G937),0))))</f>
        <v>0</v>
      </c>
      <c r="AJ937" s="513" t="str">
        <f t="shared" ca="1" si="682"/>
        <v/>
      </c>
      <c r="AK937" s="700" t="str">
        <f t="shared" si="683"/>
        <v/>
      </c>
      <c r="AL937" s="700"/>
      <c r="AM937" s="505" t="str">
        <f t="shared" si="684"/>
        <v/>
      </c>
      <c r="AN937" s="506"/>
      <c r="AO937" s="507"/>
      <c r="AP937" s="507"/>
      <c r="AQ937" s="507"/>
      <c r="AR937" s="507"/>
      <c r="AS937" s="507"/>
      <c r="AT937" s="507"/>
      <c r="AU937" s="507"/>
      <c r="AV937" s="225"/>
      <c r="AW937" s="508"/>
      <c r="AX937" s="225"/>
      <c r="AY937" s="225"/>
      <c r="AZ937" s="225"/>
      <c r="BA937" s="225"/>
      <c r="BB937" s="225"/>
      <c r="BC937" s="56"/>
      <c r="BD937" s="56"/>
      <c r="BE937" s="56"/>
      <c r="BF937" s="107" t="str">
        <f t="shared" si="685"/>
        <v>https://www.google.com/search?tbm=isch&amp;q=Crimson%20Candles%20named%20for%20its%20striking%20elongated%20buds%20that%20resemble%20candles%20</v>
      </c>
      <c r="BG937" s="107" t="str">
        <f t="shared" si="686"/>
        <v>C</v>
      </c>
      <c r="BH937" s="254"/>
      <c r="BI937" s="254"/>
    </row>
    <row r="938" spans="1:61" customFormat="1" ht="18" x14ac:dyDescent="0.25">
      <c r="A938" s="523" t="s">
        <v>5381</v>
      </c>
      <c r="B938" s="235"/>
      <c r="C938" s="676"/>
      <c r="D938" s="255" t="s">
        <v>714</v>
      </c>
      <c r="E938" s="236"/>
      <c r="F938" s="236"/>
      <c r="G938" s="236"/>
      <c r="H938" s="582" t="s">
        <v>715</v>
      </c>
      <c r="I938" s="498" t="s">
        <v>716</v>
      </c>
      <c r="J938" s="237"/>
      <c r="K938" s="237"/>
      <c r="L938" s="274"/>
      <c r="M938" s="668" t="s">
        <v>4962</v>
      </c>
      <c r="N938" s="681" t="str">
        <f>IF(AND(ISTEXT($A938), ISERROR($A938+0)), HYPERLINK($BF938, "Images"), "")</f>
        <v>Images</v>
      </c>
      <c r="O938" s="663" t="s">
        <v>4974</v>
      </c>
      <c r="P938" s="253"/>
      <c r="Q938" s="238"/>
      <c r="R938" s="239"/>
      <c r="S938" s="275"/>
      <c r="T938" s="508">
        <f t="shared" si="674"/>
        <v>0</v>
      </c>
      <c r="U938" s="225" t="str">
        <f>IF(NOT(ISNUMBER(G938)), "", VLOOKUP(A938,'Discount Lookup'!D:E,2,FALSE)*G938)</f>
        <v/>
      </c>
      <c r="V938" s="225" t="str">
        <f>IF(NOT(ISNUMBER(G938)), "", VLOOKUP(A938,'Discount Lookup'!G:H,2,FALSE)*G938)</f>
        <v/>
      </c>
      <c r="W938" s="508">
        <f t="shared" si="675"/>
        <v>0</v>
      </c>
      <c r="X938" s="508" t="str">
        <f t="shared" si="676"/>
        <v>Reddish-Pink bloom</v>
      </c>
      <c r="Y938" s="509" t="b">
        <f t="shared" si="677"/>
        <v>0</v>
      </c>
      <c r="Z938" s="510">
        <f t="shared" si="678"/>
        <v>0</v>
      </c>
      <c r="AA938" s="511"/>
      <c r="AB938" s="511" t="str">
        <f t="shared" si="679"/>
        <v/>
      </c>
      <c r="AC938" s="698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698"/>
      <c r="AE938" s="631" t="str">
        <f t="shared" si="680"/>
        <v/>
      </c>
      <c r="AF938" s="699" t="str">
        <f t="shared" si="681"/>
        <v/>
      </c>
      <c r="AG938" s="699"/>
      <c r="AH938" s="699"/>
      <c r="AI938" s="512">
        <f>IF(H938="credit",0,IF(AE938="free",0,IF(AE938="me",0,IF(G938&gt;0,(VLOOKUP(A938,'Discount Lookup'!J:K,2)*G938),0))))</f>
        <v>0</v>
      </c>
      <c r="AJ938" s="513" t="str">
        <f t="shared" ca="1" si="682"/>
        <v/>
      </c>
      <c r="AK938" s="700" t="str">
        <f t="shared" si="683"/>
        <v/>
      </c>
      <c r="AL938" s="700"/>
      <c r="AM938" s="505" t="str">
        <f t="shared" si="684"/>
        <v/>
      </c>
      <c r="AN938" s="506"/>
      <c r="AO938" s="507"/>
      <c r="AP938" s="507"/>
      <c r="AQ938" s="507"/>
      <c r="AR938" s="507"/>
      <c r="AS938" s="507"/>
      <c r="AT938" s="507"/>
      <c r="AU938" s="507"/>
      <c r="AV938" s="225"/>
      <c r="AW938" s="508"/>
      <c r="AX938" s="225"/>
      <c r="AY938" s="225"/>
      <c r="AZ938" s="225"/>
      <c r="BA938" s="225"/>
      <c r="BB938" s="225"/>
      <c r="BC938" s="56"/>
      <c r="BD938" s="56"/>
      <c r="BE938" s="56"/>
      <c r="BF938" s="107" t="str">
        <f t="shared" si="685"/>
        <v>https://www.google.com/search?tbm=isch&amp;q=Crimson%20Doll%C2%AE%20Lilac%20Syringa%20%27Grecrimdoll%27%20PP%2310680</v>
      </c>
      <c r="BG938" s="107" t="str">
        <f t="shared" si="686"/>
        <v>C</v>
      </c>
      <c r="BH938" s="254"/>
      <c r="BI938" s="254"/>
    </row>
    <row r="939" spans="1:61" customFormat="1" ht="15.75" x14ac:dyDescent="0.25">
      <c r="A939" s="276">
        <v>7</v>
      </c>
      <c r="B939" s="240" t="s">
        <v>291</v>
      </c>
      <c r="C939" s="241" t="s">
        <v>3403</v>
      </c>
      <c r="D939" s="242" t="s">
        <v>292</v>
      </c>
      <c r="E939" s="243">
        <v>91.95</v>
      </c>
      <c r="F939" s="517" t="s">
        <v>293</v>
      </c>
      <c r="G939" s="232">
        <v>0</v>
      </c>
      <c r="H939" s="661" t="str">
        <f>IF(G939=0,"",IF(F939="Buy",IF(G939=1,"plant","plants"),IF(F939&gt;0.01,"warranty","Error")))</f>
        <v/>
      </c>
      <c r="I939" s="244">
        <f>IF(H939="free",0,IF(H939="credit",((E939*(F939))*G939*-1),IF(F939="Buy",(E939*G939),((E939*(1-F939))*G939))))</f>
        <v>0</v>
      </c>
      <c r="J939" s="244">
        <f>IF(H939="warranty",0,(I939*(_xlfn.SINGLE(SalesTaxPercentage))))</f>
        <v>0</v>
      </c>
      <c r="K939" s="696">
        <f t="shared" ref="K939" si="699">I939+J939</f>
        <v>0</v>
      </c>
      <c r="L939" s="696"/>
      <c r="M939" s="659" t="str">
        <f>IF(AND(G939&gt;0,E939=0),"WARNING - no PRICE inserted",IF(H939="free"," FREE ~ no charge this plant",IF(H939="credit",CONCATENATE(" -$",ROUND(K939*(1-T2GDiscount)*-1,2)," CREDIT after discount"),IF(T2GDiscount=0,"",IF(G939=0,"",IF(F939="Buy",CONCATENATE(" $",ROUND(K939*(1-T2GDiscount),2)," with ",(T2GDiscount*100),"% discount"),CONCATENATE(" $",ROUND(K939*(1-T2GDiscount),2)," with ",((T2GDiscount*100+F939*100)-(T2GDiscount*100*F939)),IF(F939&gt;0,"% discounts",IF(NoWarrantyDiscount&gt;0,"% discounts","% discount")))))))))</f>
        <v/>
      </c>
      <c r="N939" s="660"/>
      <c r="O939" s="233"/>
      <c r="P939" s="233"/>
      <c r="Q939" s="233"/>
      <c r="R939" s="233"/>
      <c r="S939" s="233"/>
      <c r="T939" s="508">
        <f t="shared" si="674"/>
        <v>0</v>
      </c>
      <c r="U939" s="225">
        <f>IF(NOT(ISNUMBER(G939)), "", VLOOKUP(A939,'Discount Lookup'!D:E,2,FALSE)*G939)</f>
        <v>0</v>
      </c>
      <c r="V939" s="225">
        <f>IF(NOT(ISNUMBER(G939)), "", VLOOKUP(A939,'Discount Lookup'!G:H,2,FALSE)*G939)</f>
        <v>0</v>
      </c>
      <c r="W939" s="508">
        <f t="shared" si="675"/>
        <v>0</v>
      </c>
      <c r="X939" s="508">
        <f t="shared" si="676"/>
        <v>0</v>
      </c>
      <c r="Y939" s="509" t="b">
        <f t="shared" si="677"/>
        <v>0</v>
      </c>
      <c r="Z939" s="510">
        <f t="shared" si="678"/>
        <v>0</v>
      </c>
      <c r="AA939" s="511"/>
      <c r="AB939" s="511" t="str">
        <f t="shared" si="679"/>
        <v/>
      </c>
      <c r="AC939" s="698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698"/>
      <c r="AE939" s="631" t="str">
        <f t="shared" si="680"/>
        <v/>
      </c>
      <c r="AF939" s="699" t="str">
        <f t="shared" si="681"/>
        <v/>
      </c>
      <c r="AG939" s="699"/>
      <c r="AH939" s="699"/>
      <c r="AI939" s="512">
        <f>IF(H939="credit",0,IF(AE939="free",0,IF(AE939="me",0,IF(G939&gt;0,(VLOOKUP(A939,'Discount Lookup'!J:K,2)*G939),0))))</f>
        <v>0</v>
      </c>
      <c r="AJ939" s="513" t="str">
        <f t="shared" ca="1" si="682"/>
        <v/>
      </c>
      <c r="AK939" s="700" t="str">
        <f t="shared" si="683"/>
        <v/>
      </c>
      <c r="AL939" s="700"/>
      <c r="AM939" s="505" t="str">
        <f t="shared" si="684"/>
        <v/>
      </c>
      <c r="AN939" s="506"/>
      <c r="AO939" s="507"/>
      <c r="AP939" s="507"/>
      <c r="AQ939" s="507"/>
      <c r="AR939" s="507"/>
      <c r="AS939" s="507"/>
      <c r="AT939" s="507"/>
      <c r="AU939" s="507"/>
      <c r="AV939" s="225"/>
      <c r="AW939" s="508"/>
      <c r="AX939" s="225"/>
      <c r="AY939" s="225"/>
      <c r="AZ939" s="225"/>
      <c r="BA939" s="225"/>
      <c r="BB939" s="225"/>
      <c r="BC939" s="56"/>
      <c r="BD939" s="56"/>
      <c r="BE939" s="56"/>
      <c r="BF939" s="107" t="str">
        <f t="shared" si="685"/>
        <v>https://www.google.com/search?tbm=isch&amp;q=7%20G4</v>
      </c>
      <c r="BG939" s="107" t="str">
        <f t="shared" si="686"/>
        <v>C</v>
      </c>
      <c r="BH939" s="254"/>
      <c r="BI939" s="254"/>
    </row>
    <row r="940" spans="1:61" customFormat="1" ht="17.25" thickBot="1" x14ac:dyDescent="0.3">
      <c r="A940" s="524" t="s">
        <v>3180</v>
      </c>
      <c r="B940" s="245"/>
      <c r="C940" s="677"/>
      <c r="D940" s="499"/>
      <c r="E940" s="499"/>
      <c r="F940" s="500"/>
      <c r="G940" s="501"/>
      <c r="H940" s="502"/>
      <c r="I940" s="246"/>
      <c r="J940" s="247"/>
      <c r="K940" s="503"/>
      <c r="L940" s="544"/>
      <c r="M940" s="544"/>
      <c r="N940" s="500"/>
      <c r="O940" s="500"/>
      <c r="P940" s="500"/>
      <c r="Q940" s="500"/>
      <c r="R940" s="500"/>
      <c r="S940" s="278"/>
      <c r="T940" s="508">
        <f t="shared" si="674"/>
        <v>0</v>
      </c>
      <c r="U940" s="225" t="str">
        <f>IF(NOT(ISNUMBER(G940)), "", VLOOKUP(A940,'Discount Lookup'!D:E,2,FALSE)*G940)</f>
        <v/>
      </c>
      <c r="V940" s="225" t="str">
        <f>IF(NOT(ISNUMBER(G940)), "", VLOOKUP(A940,'Discount Lookup'!G:H,2,FALSE)*G940)</f>
        <v/>
      </c>
      <c r="W940" s="508">
        <f t="shared" si="675"/>
        <v>0</v>
      </c>
      <c r="X940" s="508">
        <f t="shared" si="676"/>
        <v>0</v>
      </c>
      <c r="Y940" s="509" t="b">
        <f t="shared" si="677"/>
        <v>0</v>
      </c>
      <c r="Z940" s="510">
        <f t="shared" si="678"/>
        <v>0</v>
      </c>
      <c r="AA940" s="511"/>
      <c r="AB940" s="511" t="str">
        <f t="shared" si="679"/>
        <v/>
      </c>
      <c r="AC940" s="698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698"/>
      <c r="AE940" s="631" t="str">
        <f t="shared" si="680"/>
        <v/>
      </c>
      <c r="AF940" s="699" t="str">
        <f t="shared" si="681"/>
        <v/>
      </c>
      <c r="AG940" s="699"/>
      <c r="AH940" s="699"/>
      <c r="AI940" s="512">
        <f>IF(H940="credit",0,IF(AE940="free",0,IF(AE940="me",0,IF(G940&gt;0,(VLOOKUP(A940,'Discount Lookup'!J:K,2)*G940),0))))</f>
        <v>0</v>
      </c>
      <c r="AJ940" s="513" t="str">
        <f t="shared" ca="1" si="682"/>
        <v/>
      </c>
      <c r="AK940" s="700" t="str">
        <f t="shared" si="683"/>
        <v/>
      </c>
      <c r="AL940" s="700"/>
      <c r="AM940" s="505" t="str">
        <f t="shared" si="684"/>
        <v/>
      </c>
      <c r="AN940" s="506"/>
      <c r="AO940" s="507"/>
      <c r="AP940" s="507"/>
      <c r="AQ940" s="507"/>
      <c r="AR940" s="507"/>
      <c r="AS940" s="507"/>
      <c r="AT940" s="507"/>
      <c r="AU940" s="507"/>
      <c r="AV940" s="225"/>
      <c r="AW940" s="508"/>
      <c r="AX940" s="225"/>
      <c r="AY940" s="225"/>
      <c r="AZ940" s="225"/>
      <c r="BA940" s="225"/>
      <c r="BB940" s="225"/>
      <c r="BC940" s="56"/>
      <c r="BD940" s="56"/>
      <c r="BE940" s="56"/>
      <c r="BF940" s="107" t="str">
        <f t="shared" si="685"/>
        <v>https://www.google.com/search?tbm=isch&amp;q=Crimson%20Doll%20Green%20foliage%20turns%20Yellow%20in%20fall.%20Fragrant.%20Smooth%20tan%20bark%20</v>
      </c>
      <c r="BG940" s="107" t="str">
        <f t="shared" si="686"/>
        <v>C</v>
      </c>
      <c r="BH940" s="254"/>
      <c r="BI940" s="254"/>
    </row>
    <row r="941" spans="1:61" customFormat="1" ht="18" x14ac:dyDescent="0.25">
      <c r="A941" s="521" t="s">
        <v>5382</v>
      </c>
      <c r="B941" s="477"/>
      <c r="C941" s="674"/>
      <c r="D941" s="478" t="s">
        <v>717</v>
      </c>
      <c r="E941" s="479"/>
      <c r="F941" s="479"/>
      <c r="G941" s="479"/>
      <c r="H941" s="582" t="s">
        <v>720</v>
      </c>
      <c r="I941" s="480" t="s">
        <v>2670</v>
      </c>
      <c r="J941" s="479"/>
      <c r="K941" s="479"/>
      <c r="L941" s="560"/>
      <c r="M941" s="666" t="s">
        <v>4966</v>
      </c>
      <c r="N941" s="680" t="str">
        <f>IF(AND(ISTEXT($A941), ISERROR($A941+0)), HYPERLINK($BF941, "Images"), "")</f>
        <v>Images</v>
      </c>
      <c r="O941" s="662" t="s">
        <v>4967</v>
      </c>
      <c r="P941" s="482"/>
      <c r="Q941" s="483"/>
      <c r="R941" s="483"/>
      <c r="S941" s="484"/>
      <c r="T941" s="508">
        <f t="shared" si="674"/>
        <v>0</v>
      </c>
      <c r="U941" s="225" t="str">
        <f>IF(NOT(ISNUMBER(G941)), "", VLOOKUP(A941,'Discount Lookup'!D:E,2,FALSE)*G941)</f>
        <v/>
      </c>
      <c r="V941" s="225" t="str">
        <f>IF(NOT(ISNUMBER(G941)), "", VLOOKUP(A941,'Discount Lookup'!G:H,2,FALSE)*G941)</f>
        <v/>
      </c>
      <c r="W941" s="508">
        <f t="shared" si="675"/>
        <v>0</v>
      </c>
      <c r="X941" s="508" t="str">
        <f t="shared" si="676"/>
        <v>Neon-Pink bloom</v>
      </c>
      <c r="Y941" s="509" t="b">
        <f t="shared" si="677"/>
        <v>0</v>
      </c>
      <c r="Z941" s="510">
        <f t="shared" si="678"/>
        <v>0</v>
      </c>
      <c r="AA941" s="511"/>
      <c r="AB941" s="511" t="str">
        <f t="shared" si="679"/>
        <v/>
      </c>
      <c r="AC941" s="698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698"/>
      <c r="AE941" s="631" t="str">
        <f t="shared" si="680"/>
        <v/>
      </c>
      <c r="AF941" s="699" t="str">
        <f t="shared" si="681"/>
        <v/>
      </c>
      <c r="AG941" s="699"/>
      <c r="AH941" s="699"/>
      <c r="AI941" s="512">
        <f>IF(H941="credit",0,IF(AE941="free",0,IF(AE941="me",0,IF(G941&gt;0,(VLOOKUP(A941,'Discount Lookup'!J:K,2)*G941),0))))</f>
        <v>0</v>
      </c>
      <c r="AJ941" s="513" t="str">
        <f t="shared" ca="1" si="682"/>
        <v/>
      </c>
      <c r="AK941" s="700" t="str">
        <f t="shared" si="683"/>
        <v/>
      </c>
      <c r="AL941" s="700"/>
      <c r="AM941" s="505" t="str">
        <f t="shared" si="684"/>
        <v/>
      </c>
      <c r="AN941" s="506"/>
      <c r="AO941" s="507"/>
      <c r="AP941" s="507"/>
      <c r="AQ941" s="507"/>
      <c r="AR941" s="507"/>
      <c r="AS941" s="507"/>
      <c r="AT941" s="507"/>
      <c r="AU941" s="507"/>
      <c r="AV941" s="225"/>
      <c r="AW941" s="508"/>
      <c r="AX941" s="225"/>
      <c r="AY941" s="225"/>
      <c r="AZ941" s="225"/>
      <c r="BA941" s="225"/>
      <c r="BB941" s="225"/>
      <c r="BC941" s="56"/>
      <c r="BD941" s="56"/>
      <c r="BE941" s="56"/>
      <c r="BF941" s="107" t="str">
        <f t="shared" si="685"/>
        <v>https://www.google.com/search?tbm=isch&amp;q=Crimson%20Fire%E2%84%A2%20Loropetalum%20Loropetalum%20chin.%20var.%20r.%20%27PIILC-I%27%20%20PP%2325534</v>
      </c>
      <c r="BG941" s="107" t="str">
        <f t="shared" si="686"/>
        <v>C</v>
      </c>
      <c r="BH941" s="254"/>
      <c r="BI941" s="254"/>
    </row>
    <row r="942" spans="1:61" customFormat="1" ht="15.75" x14ac:dyDescent="0.25">
      <c r="A942" s="485">
        <v>3</v>
      </c>
      <c r="B942" s="486" t="s">
        <v>291</v>
      </c>
      <c r="C942" s="487" t="s">
        <v>4873</v>
      </c>
      <c r="D942" s="488" t="s">
        <v>312</v>
      </c>
      <c r="E942" s="489">
        <v>39.950000000000003</v>
      </c>
      <c r="F942" s="516" t="s">
        <v>293</v>
      </c>
      <c r="G942" s="232">
        <v>0</v>
      </c>
      <c r="H942" s="658" t="str">
        <f>IF(G942=0,"",IF(F942="Buy",IF(G942=1,"plant","plants"),IF(F942&gt;0.01,"warranty","Error")))</f>
        <v/>
      </c>
      <c r="I942" s="490">
        <f>IF(H942="free",0,IF(H942="credit",((E942*(F942))*G942*-1),IF(F942="Buy",(E942*G942),((E942*(1-F942))*G942))))</f>
        <v>0</v>
      </c>
      <c r="J942" s="490">
        <f>IF(H942="warranty",0,(I942*(_xlfn.SINGLE(SalesTaxPercentage))))</f>
        <v>0</v>
      </c>
      <c r="K942" s="695">
        <f t="shared" ref="K942" si="700">I942+J942</f>
        <v>0</v>
      </c>
      <c r="L942" s="695"/>
      <c r="M942" s="659" t="str">
        <f>IF(AND(G942&gt;0,E942=0),"WARNING - no PRICE inserted",IF(H942="free"," FREE ~ no charge this plant",IF(H942="credit",CONCATENATE(" -$",ROUND(K942*(1-T2GDiscount)*-1,2)," CREDIT after discount"),IF(T2GDiscount=0,"",IF(G942=0,"",IF(F942="Buy",CONCATENATE(" $",ROUND(K942*(1-T2GDiscount),2)," with ",(T2GDiscount*100),"% discount"),CONCATENATE(" $",ROUND(K942*(1-T2GDiscount),2)," with ",((T2GDiscount*100+F942*100)-(T2GDiscount*100*F942)),IF(F942&gt;0,"% discounts",IF(NoWarrantyDiscount&gt;0,"% discounts","% discount")))))))))</f>
        <v/>
      </c>
      <c r="N942" s="660"/>
      <c r="O942" s="233"/>
      <c r="P942" s="233"/>
      <c r="Q942" s="233"/>
      <c r="R942" s="233"/>
      <c r="S942" s="233"/>
      <c r="T942" s="508">
        <f t="shared" si="674"/>
        <v>0</v>
      </c>
      <c r="U942" s="225">
        <f>IF(NOT(ISNUMBER(G942)), "", VLOOKUP(A942,'Discount Lookup'!D:E,2,FALSE)*G942)</f>
        <v>0</v>
      </c>
      <c r="V942" s="225">
        <f>IF(NOT(ISNUMBER(G942)), "", VLOOKUP(A942,'Discount Lookup'!G:H,2,FALSE)*G942)</f>
        <v>0</v>
      </c>
      <c r="W942" s="508">
        <f t="shared" si="675"/>
        <v>0</v>
      </c>
      <c r="X942" s="508">
        <f t="shared" si="676"/>
        <v>0</v>
      </c>
      <c r="Y942" s="509" t="b">
        <f t="shared" si="677"/>
        <v>0</v>
      </c>
      <c r="Z942" s="510">
        <f t="shared" si="678"/>
        <v>0</v>
      </c>
      <c r="AA942" s="511"/>
      <c r="AB942" s="511" t="str">
        <f t="shared" si="679"/>
        <v/>
      </c>
      <c r="AC942" s="698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698"/>
      <c r="AE942" s="631" t="str">
        <f t="shared" si="680"/>
        <v/>
      </c>
      <c r="AF942" s="699" t="str">
        <f t="shared" si="681"/>
        <v/>
      </c>
      <c r="AG942" s="699"/>
      <c r="AH942" s="699"/>
      <c r="AI942" s="512">
        <f>IF(H942="credit",0,IF(AE942="free",0,IF(AE942="me",0,IF(G942&gt;0,(VLOOKUP(A942,'Discount Lookup'!J:K,2)*G942),0))))</f>
        <v>0</v>
      </c>
      <c r="AJ942" s="513" t="str">
        <f t="shared" ca="1" si="682"/>
        <v/>
      </c>
      <c r="AK942" s="700" t="str">
        <f t="shared" si="683"/>
        <v/>
      </c>
      <c r="AL942" s="700"/>
      <c r="AM942" s="505" t="str">
        <f t="shared" si="684"/>
        <v/>
      </c>
      <c r="AN942" s="506"/>
      <c r="AO942" s="507"/>
      <c r="AP942" s="507"/>
      <c r="AQ942" s="507"/>
      <c r="AR942" s="507"/>
      <c r="AS942" s="507"/>
      <c r="AT942" s="507"/>
      <c r="AU942" s="507"/>
      <c r="AV942" s="225"/>
      <c r="AW942" s="508"/>
      <c r="AX942" s="225"/>
      <c r="AY942" s="225"/>
      <c r="AZ942" s="225"/>
      <c r="BA942" s="225"/>
      <c r="BB942" s="225"/>
      <c r="BC942" s="56"/>
      <c r="BD942" s="56"/>
      <c r="BE942" s="56"/>
      <c r="BF942" s="107" t="str">
        <f t="shared" si="685"/>
        <v>https://www.google.com/search?tbm=isch&amp;q=3%20G2</v>
      </c>
      <c r="BG942" s="107" t="str">
        <f t="shared" si="686"/>
        <v>C</v>
      </c>
      <c r="BH942" s="254"/>
      <c r="BI942" s="254"/>
    </row>
    <row r="943" spans="1:61" customFormat="1" ht="15.75" x14ac:dyDescent="0.25">
      <c r="A943" s="485">
        <v>3</v>
      </c>
      <c r="B943" s="486" t="s">
        <v>291</v>
      </c>
      <c r="C943" s="487" t="s">
        <v>1371</v>
      </c>
      <c r="D943" s="488" t="s">
        <v>312</v>
      </c>
      <c r="E943" s="489">
        <v>43.95</v>
      </c>
      <c r="F943" s="516" t="s">
        <v>293</v>
      </c>
      <c r="G943" s="232">
        <v>0</v>
      </c>
      <c r="H943" s="658" t="str">
        <f>IF(G943=0,"",IF(F943="Buy",IF(G943=1,"plant","plants"),IF(F943&gt;0.01,"warranty","Error")))</f>
        <v/>
      </c>
      <c r="I943" s="490">
        <f>IF(H943="free",0,IF(H943="credit",((E943*(F943))*G943*-1),IF(F943="Buy",(E943*G943),((E943*(1-F943))*G943))))</f>
        <v>0</v>
      </c>
      <c r="J943" s="490">
        <f>IF(H943="warranty",0,(I943*(_xlfn.SINGLE(SalesTaxPercentage))))</f>
        <v>0</v>
      </c>
      <c r="K943" s="695">
        <f t="shared" ref="K943" si="701">I943+J943</f>
        <v>0</v>
      </c>
      <c r="L943" s="695"/>
      <c r="M943" s="659" t="str">
        <f>IF(AND(G943&gt;0,E943=0),"WARNING - no PRICE inserted",IF(H943="free"," FREE ~ no charge this plant",IF(H943="credit",CONCATENATE(" -$",ROUND(K943*(1-T2GDiscount)*-1,2)," CREDIT after discount"),IF(T2GDiscount=0,"",IF(G943=0,"",IF(F943="Buy",CONCATENATE(" $",ROUND(K943*(1-T2GDiscount),2)," with ",(T2GDiscount*100),"% discount"),CONCATENATE(" $",ROUND(K943*(1-T2GDiscount),2)," with ",((T2GDiscount*100+F943*100)-(T2GDiscount*100*F943)),IF(F943&gt;0,"% discounts",IF(NoWarrantyDiscount&gt;0,"% discounts","% discount")))))))))</f>
        <v/>
      </c>
      <c r="N943" s="660"/>
      <c r="O943" s="233"/>
      <c r="P943" s="233"/>
      <c r="Q943" s="233"/>
      <c r="R943" s="233"/>
      <c r="S943" s="233"/>
      <c r="T943" s="508">
        <f t="shared" si="674"/>
        <v>0</v>
      </c>
      <c r="U943" s="225">
        <f>IF(NOT(ISNUMBER(G943)), "", VLOOKUP(A943,'Discount Lookup'!D:E,2,FALSE)*G943)</f>
        <v>0</v>
      </c>
      <c r="V943" s="225">
        <f>IF(NOT(ISNUMBER(G943)), "", VLOOKUP(A943,'Discount Lookup'!G:H,2,FALSE)*G943)</f>
        <v>0</v>
      </c>
      <c r="W943" s="508">
        <f t="shared" si="675"/>
        <v>0</v>
      </c>
      <c r="X943" s="508">
        <f t="shared" si="676"/>
        <v>0</v>
      </c>
      <c r="Y943" s="509" t="b">
        <f t="shared" si="677"/>
        <v>0</v>
      </c>
      <c r="Z943" s="510">
        <f t="shared" si="678"/>
        <v>0</v>
      </c>
      <c r="AA943" s="511"/>
      <c r="AB943" s="511" t="str">
        <f t="shared" si="679"/>
        <v/>
      </c>
      <c r="AC943" s="698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698"/>
      <c r="AE943" s="631" t="str">
        <f t="shared" si="680"/>
        <v/>
      </c>
      <c r="AF943" s="699" t="str">
        <f t="shared" si="681"/>
        <v/>
      </c>
      <c r="AG943" s="699"/>
      <c r="AH943" s="699"/>
      <c r="AI943" s="512">
        <f>IF(H943="credit",0,IF(AE943="free",0,IF(AE943="me",0,IF(G943&gt;0,(VLOOKUP(A943,'Discount Lookup'!J:K,2)*G943),0))))</f>
        <v>0</v>
      </c>
      <c r="AJ943" s="513" t="str">
        <f t="shared" ca="1" si="682"/>
        <v/>
      </c>
      <c r="AK943" s="700" t="str">
        <f t="shared" si="683"/>
        <v/>
      </c>
      <c r="AL943" s="700"/>
      <c r="AM943" s="505" t="str">
        <f t="shared" si="684"/>
        <v/>
      </c>
      <c r="AN943" s="506"/>
      <c r="AO943" s="507"/>
      <c r="AP943" s="507"/>
      <c r="AQ943" s="507"/>
      <c r="AR943" s="507"/>
      <c r="AS943" s="507"/>
      <c r="AT943" s="507"/>
      <c r="AU943" s="507"/>
      <c r="AV943" s="225"/>
      <c r="AW943" s="508"/>
      <c r="AX943" s="225"/>
      <c r="AY943" s="225"/>
      <c r="AZ943" s="225"/>
      <c r="BA943" s="225"/>
      <c r="BB943" s="225"/>
      <c r="BC943" s="56"/>
      <c r="BD943" s="56"/>
      <c r="BE943" s="56"/>
      <c r="BF943" s="107" t="str">
        <f t="shared" si="685"/>
        <v>https://www.google.com/search?tbm=isch&amp;q=3%20G2</v>
      </c>
      <c r="BG943" s="107" t="str">
        <f t="shared" si="686"/>
        <v>C</v>
      </c>
      <c r="BH943" s="254"/>
      <c r="BI943" s="254"/>
    </row>
    <row r="944" spans="1:61" customFormat="1" ht="16.5" thickBot="1" x14ac:dyDescent="0.3">
      <c r="A944" s="522" t="s">
        <v>4077</v>
      </c>
      <c r="B944" s="491"/>
      <c r="C944" s="675"/>
      <c r="D944" s="491"/>
      <c r="E944" s="491"/>
      <c r="F944" s="492"/>
      <c r="G944" s="493"/>
      <c r="H944" s="491"/>
      <c r="I944" s="234"/>
      <c r="J944" s="234"/>
      <c r="K944" s="494"/>
      <c r="L944" s="543"/>
      <c r="M944" s="561"/>
      <c r="N944" s="495"/>
      <c r="O944" s="496"/>
      <c r="P944" s="497"/>
      <c r="Q944" s="495"/>
      <c r="R944" s="495"/>
      <c r="S944" s="277"/>
      <c r="T944" s="508">
        <f t="shared" si="674"/>
        <v>0</v>
      </c>
      <c r="U944" s="225" t="str">
        <f>IF(NOT(ISNUMBER(G944)), "", VLOOKUP(A944,'Discount Lookup'!D:E,2,FALSE)*G944)</f>
        <v/>
      </c>
      <c r="V944" s="225" t="str">
        <f>IF(NOT(ISNUMBER(G944)), "", VLOOKUP(A944,'Discount Lookup'!G:H,2,FALSE)*G944)</f>
        <v/>
      </c>
      <c r="W944" s="508">
        <f t="shared" si="675"/>
        <v>0</v>
      </c>
      <c r="X944" s="508">
        <f t="shared" si="676"/>
        <v>0</v>
      </c>
      <c r="Y944" s="509" t="b">
        <f t="shared" si="677"/>
        <v>0</v>
      </c>
      <c r="Z944" s="510">
        <f t="shared" si="678"/>
        <v>0</v>
      </c>
      <c r="AA944" s="511"/>
      <c r="AB944" s="511" t="str">
        <f t="shared" si="679"/>
        <v/>
      </c>
      <c r="AC944" s="698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698"/>
      <c r="AE944" s="631" t="str">
        <f t="shared" si="680"/>
        <v/>
      </c>
      <c r="AF944" s="699" t="str">
        <f t="shared" si="681"/>
        <v/>
      </c>
      <c r="AG944" s="699"/>
      <c r="AH944" s="699"/>
      <c r="AI944" s="512">
        <f>IF(H944="credit",0,IF(AE944="free",0,IF(AE944="me",0,IF(G944&gt;0,(VLOOKUP(A944,'Discount Lookup'!J:K,2)*G944),0))))</f>
        <v>0</v>
      </c>
      <c r="AJ944" s="513" t="str">
        <f t="shared" ca="1" si="682"/>
        <v/>
      </c>
      <c r="AK944" s="700" t="str">
        <f t="shared" si="683"/>
        <v/>
      </c>
      <c r="AL944" s="700"/>
      <c r="AM944" s="505" t="str">
        <f t="shared" si="684"/>
        <v/>
      </c>
      <c r="AN944" s="506"/>
      <c r="AO944" s="507"/>
      <c r="AP944" s="507"/>
      <c r="AQ944" s="507"/>
      <c r="AR944" s="507"/>
      <c r="AS944" s="507"/>
      <c r="AT944" s="507"/>
      <c r="AU944" s="507"/>
      <c r="AV944" s="225"/>
      <c r="AW944" s="508"/>
      <c r="AX944" s="225"/>
      <c r="AY944" s="225"/>
      <c r="AZ944" s="225"/>
      <c r="BA944" s="225"/>
      <c r="BB944" s="225"/>
      <c r="BC944" s="56"/>
      <c r="BD944" s="56"/>
      <c r="BE944" s="56"/>
      <c r="BF944" s="107" t="str">
        <f t="shared" si="685"/>
        <v>https://www.google.com/search?tbm=isch&amp;q=Crimson%20Fire%20has%20Deep%20Burgundy-Red%20foliage.%20Fringe-like%20flowers%20bloom%20periodically%20after%20spring%20</v>
      </c>
      <c r="BG944" s="107" t="str">
        <f t="shared" si="686"/>
        <v>C</v>
      </c>
      <c r="BH944" s="254"/>
      <c r="BI944" s="254"/>
    </row>
    <row r="945" spans="1:61" customFormat="1" ht="18" x14ac:dyDescent="0.25">
      <c r="A945" s="523" t="s">
        <v>718</v>
      </c>
      <c r="B945" s="235"/>
      <c r="C945" s="676"/>
      <c r="D945" s="255" t="s">
        <v>719</v>
      </c>
      <c r="E945" s="236"/>
      <c r="F945" s="236"/>
      <c r="G945" s="236"/>
      <c r="H945" s="582" t="s">
        <v>720</v>
      </c>
      <c r="I945" s="498" t="s">
        <v>665</v>
      </c>
      <c r="J945" s="237"/>
      <c r="K945" s="237"/>
      <c r="L945" s="274"/>
      <c r="M945" s="668" t="s">
        <v>4975</v>
      </c>
      <c r="N945" s="681" t="str">
        <f>IF(AND(ISTEXT($A945), ISERROR($A945+0)), HYPERLINK($BF945, "Images"), "")</f>
        <v>Images</v>
      </c>
      <c r="O945" s="663" t="s">
        <v>4969</v>
      </c>
      <c r="P945" s="253"/>
      <c r="Q945" s="238"/>
      <c r="R945" s="239"/>
      <c r="S945" s="275"/>
      <c r="T945" s="508">
        <f t="shared" si="674"/>
        <v>0</v>
      </c>
      <c r="U945" s="225" t="str">
        <f>IF(NOT(ISNUMBER(G945)), "", VLOOKUP(A945,'Discount Lookup'!D:E,2,FALSE)*G945)</f>
        <v/>
      </c>
      <c r="V945" s="225" t="str">
        <f>IF(NOT(ISNUMBER(G945)), "", VLOOKUP(A945,'Discount Lookup'!G:H,2,FALSE)*G945)</f>
        <v/>
      </c>
      <c r="W945" s="508">
        <f t="shared" si="675"/>
        <v>0</v>
      </c>
      <c r="X945" s="508" t="str">
        <f t="shared" si="676"/>
        <v>Yellow bloom</v>
      </c>
      <c r="Y945" s="509" t="b">
        <f t="shared" si="677"/>
        <v>0</v>
      </c>
      <c r="Z945" s="510">
        <f t="shared" si="678"/>
        <v>0</v>
      </c>
      <c r="AA945" s="511"/>
      <c r="AB945" s="511" t="str">
        <f t="shared" si="679"/>
        <v/>
      </c>
      <c r="AC945" s="698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698"/>
      <c r="AE945" s="631" t="str">
        <f t="shared" si="680"/>
        <v/>
      </c>
      <c r="AF945" s="699" t="str">
        <f t="shared" si="681"/>
        <v/>
      </c>
      <c r="AG945" s="699"/>
      <c r="AH945" s="699"/>
      <c r="AI945" s="512">
        <f>IF(H945="credit",0,IF(AE945="free",0,IF(AE945="me",0,IF(G945&gt;0,(VLOOKUP(A945,'Discount Lookup'!J:K,2)*G945),0))))</f>
        <v>0</v>
      </c>
      <c r="AJ945" s="513" t="str">
        <f t="shared" ca="1" si="682"/>
        <v/>
      </c>
      <c r="AK945" s="700" t="str">
        <f t="shared" si="683"/>
        <v/>
      </c>
      <c r="AL945" s="700"/>
      <c r="AM945" s="505" t="str">
        <f t="shared" si="684"/>
        <v/>
      </c>
      <c r="AN945" s="506"/>
      <c r="AO945" s="507"/>
      <c r="AP945" s="507"/>
      <c r="AQ945" s="507"/>
      <c r="AR945" s="507"/>
      <c r="AS945" s="507"/>
      <c r="AT945" s="507"/>
      <c r="AU945" s="507"/>
      <c r="AV945" s="225"/>
      <c r="AW945" s="508"/>
      <c r="AX945" s="225"/>
      <c r="AY945" s="225"/>
      <c r="AZ945" s="225"/>
      <c r="BA945" s="225"/>
      <c r="BB945" s="225"/>
      <c r="BC945" s="56"/>
      <c r="BD945" s="56"/>
      <c r="BE945" s="56"/>
      <c r="BF945" s="107" t="str">
        <f t="shared" si="685"/>
        <v>https://www.google.com/search?tbm=isch&amp;q=Crimson%20Pygmy%20Barberry%20Berberis%20thunbergii%20%27Crimson%20Pygmy%27</v>
      </c>
      <c r="BG945" s="107" t="str">
        <f t="shared" si="686"/>
        <v>C</v>
      </c>
      <c r="BH945" s="254"/>
      <c r="BI945" s="254"/>
    </row>
    <row r="946" spans="1:61" customFormat="1" ht="15.75" x14ac:dyDescent="0.25">
      <c r="A946" s="276">
        <v>3</v>
      </c>
      <c r="B946" s="240" t="s">
        <v>291</v>
      </c>
      <c r="C946" s="241" t="s">
        <v>721</v>
      </c>
      <c r="D946" s="242" t="s">
        <v>297</v>
      </c>
      <c r="E946" s="243">
        <v>24.95</v>
      </c>
      <c r="F946" s="517" t="s">
        <v>293</v>
      </c>
      <c r="G946" s="232">
        <v>0</v>
      </c>
      <c r="H946" s="661" t="str">
        <f>IF(G946=0,"",IF(F946="Buy",IF(G946=1,"plant","plants"),IF(F946&gt;0.01,"warranty","Error")))</f>
        <v/>
      </c>
      <c r="I946" s="244">
        <f>IF(H946="free",0,IF(H946="credit",((E946*(F946))*G946*-1),IF(F946="Buy",(E946*G946),((E946*(1-F946))*G946))))</f>
        <v>0</v>
      </c>
      <c r="J946" s="244">
        <f>IF(H946="warranty",0,(I946*(_xlfn.SINGLE(SalesTaxPercentage))))</f>
        <v>0</v>
      </c>
      <c r="K946" s="696">
        <f t="shared" ref="K946" si="702">I946+J946</f>
        <v>0</v>
      </c>
      <c r="L946" s="696"/>
      <c r="M946" s="659" t="str">
        <f>IF(AND(G946&gt;0,E946=0),"WARNING - no PRICE inserted",IF(H946="free"," FREE ~ no charge this plant",IF(H946="credit",CONCATENATE(" -$",ROUND(K946*(1-T2GDiscount)*-1,2)," CREDIT after discount"),IF(T2GDiscount=0,"",IF(G946=0,"",IF(F946="Buy",CONCATENATE(" $",ROUND(K946*(1-T2GDiscount),2)," with ",(T2GDiscount*100),"% discount"),CONCATENATE(" $",ROUND(K946*(1-T2GDiscount),2)," with ",((T2GDiscount*100+F946*100)-(T2GDiscount*100*F946)),IF(F946&gt;0,"% discounts",IF(NoWarrantyDiscount&gt;0,"% discounts","% discount")))))))))</f>
        <v/>
      </c>
      <c r="N946" s="660"/>
      <c r="O946" s="233"/>
      <c r="P946" s="233"/>
      <c r="Q946" s="233"/>
      <c r="R946" s="233"/>
      <c r="S946" s="233"/>
      <c r="T946" s="508">
        <f t="shared" si="674"/>
        <v>0</v>
      </c>
      <c r="U946" s="225">
        <f>IF(NOT(ISNUMBER(G946)), "", VLOOKUP(A946,'Discount Lookup'!D:E,2,FALSE)*G946)</f>
        <v>0</v>
      </c>
      <c r="V946" s="225">
        <f>IF(NOT(ISNUMBER(G946)), "", VLOOKUP(A946,'Discount Lookup'!G:H,2,FALSE)*G946)</f>
        <v>0</v>
      </c>
      <c r="W946" s="508">
        <f t="shared" si="675"/>
        <v>0</v>
      </c>
      <c r="X946" s="508">
        <f t="shared" si="676"/>
        <v>0</v>
      </c>
      <c r="Y946" s="509" t="b">
        <f t="shared" si="677"/>
        <v>0</v>
      </c>
      <c r="Z946" s="510">
        <f t="shared" si="678"/>
        <v>0</v>
      </c>
      <c r="AA946" s="511"/>
      <c r="AB946" s="511" t="str">
        <f t="shared" si="679"/>
        <v/>
      </c>
      <c r="AC946" s="698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698"/>
      <c r="AE946" s="631" t="str">
        <f t="shared" si="680"/>
        <v/>
      </c>
      <c r="AF946" s="699" t="str">
        <f t="shared" si="681"/>
        <v/>
      </c>
      <c r="AG946" s="699"/>
      <c r="AH946" s="699"/>
      <c r="AI946" s="512">
        <f>IF(H946="credit",0,IF(AE946="free",0,IF(AE946="me",0,IF(G946&gt;0,(VLOOKUP(A946,'Discount Lookup'!J:K,2)*G946),0))))</f>
        <v>0</v>
      </c>
      <c r="AJ946" s="513" t="str">
        <f t="shared" ca="1" si="682"/>
        <v/>
      </c>
      <c r="AK946" s="700" t="str">
        <f t="shared" si="683"/>
        <v/>
      </c>
      <c r="AL946" s="700"/>
      <c r="AM946" s="505" t="str">
        <f t="shared" si="684"/>
        <v/>
      </c>
      <c r="AN946" s="506"/>
      <c r="AO946" s="507"/>
      <c r="AP946" s="507"/>
      <c r="AQ946" s="507"/>
      <c r="AR946" s="507"/>
      <c r="AS946" s="507"/>
      <c r="AT946" s="507"/>
      <c r="AU946" s="507"/>
      <c r="AV946" s="225"/>
      <c r="AW946" s="508"/>
      <c r="AX946" s="225"/>
      <c r="AY946" s="225"/>
      <c r="AZ946" s="225"/>
      <c r="BA946" s="225"/>
      <c r="BB946" s="225"/>
      <c r="BC946" s="56"/>
      <c r="BD946" s="56"/>
      <c r="BE946" s="56"/>
      <c r="BF946" s="107" t="str">
        <f t="shared" si="685"/>
        <v>https://www.google.com/search?tbm=isch&amp;q=3%20G3</v>
      </c>
      <c r="BG946" s="107" t="str">
        <f t="shared" si="686"/>
        <v>C</v>
      </c>
      <c r="BH946" s="254"/>
      <c r="BI946" s="254"/>
    </row>
    <row r="947" spans="1:61" customFormat="1" ht="15.75" x14ac:dyDescent="0.25">
      <c r="A947" s="276">
        <v>3</v>
      </c>
      <c r="B947" s="240" t="s">
        <v>291</v>
      </c>
      <c r="C947" s="241" t="s">
        <v>445</v>
      </c>
      <c r="D947" s="242" t="s">
        <v>298</v>
      </c>
      <c r="E947" s="243">
        <v>25.95</v>
      </c>
      <c r="F947" s="517" t="s">
        <v>293</v>
      </c>
      <c r="G947" s="232">
        <v>0</v>
      </c>
      <c r="H947" s="661" t="str">
        <f>IF(G947=0,"",IF(F947="Buy",IF(G947=1,"plant","plants"),IF(F947&gt;0.01,"warranty","Error")))</f>
        <v/>
      </c>
      <c r="I947" s="244">
        <f>IF(H947="free",0,IF(H947="credit",((E947*(F947))*G947*-1),IF(F947="Buy",(E947*G947),((E947*(1-F947))*G947))))</f>
        <v>0</v>
      </c>
      <c r="J947" s="244">
        <f>IF(H947="warranty",0,(I947*(_xlfn.SINGLE(SalesTaxPercentage))))</f>
        <v>0</v>
      </c>
      <c r="K947" s="696">
        <f t="shared" ref="K947" si="703">I947+J947</f>
        <v>0</v>
      </c>
      <c r="L947" s="696"/>
      <c r="M947" s="659" t="str">
        <f>IF(AND(G947&gt;0,E947=0),"WARNING - no PRICE inserted",IF(H947="free"," FREE ~ no charge this plant",IF(H947="credit",CONCATENATE(" -$",ROUND(K947*(1-T2GDiscount)*-1,2)," CREDIT after discount"),IF(T2GDiscount=0,"",IF(G947=0,"",IF(F947="Buy",CONCATENATE(" $",ROUND(K947*(1-T2GDiscount),2)," with ",(T2GDiscount*100),"% discount"),CONCATENATE(" $",ROUND(K947*(1-T2GDiscount),2)," with ",((T2GDiscount*100+F947*100)-(T2GDiscount*100*F947)),IF(F947&gt;0,"% discounts",IF(NoWarrantyDiscount&gt;0,"% discounts","% discount")))))))))</f>
        <v/>
      </c>
      <c r="N947" s="660"/>
      <c r="O947" s="233"/>
      <c r="P947" s="233"/>
      <c r="Q947" s="233"/>
      <c r="R947" s="233"/>
      <c r="S947" s="233"/>
      <c r="T947" s="508">
        <f t="shared" si="674"/>
        <v>0</v>
      </c>
      <c r="U947" s="225">
        <f>IF(NOT(ISNUMBER(G947)), "", VLOOKUP(A947,'Discount Lookup'!D:E,2,FALSE)*G947)</f>
        <v>0</v>
      </c>
      <c r="V947" s="225">
        <f>IF(NOT(ISNUMBER(G947)), "", VLOOKUP(A947,'Discount Lookup'!G:H,2,FALSE)*G947)</f>
        <v>0</v>
      </c>
      <c r="W947" s="508">
        <f t="shared" si="675"/>
        <v>0</v>
      </c>
      <c r="X947" s="508">
        <f t="shared" si="676"/>
        <v>0</v>
      </c>
      <c r="Y947" s="509" t="b">
        <f t="shared" si="677"/>
        <v>0</v>
      </c>
      <c r="Z947" s="510">
        <f t="shared" si="678"/>
        <v>0</v>
      </c>
      <c r="AA947" s="511"/>
      <c r="AB947" s="511" t="str">
        <f t="shared" si="679"/>
        <v/>
      </c>
      <c r="AC947" s="698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698"/>
      <c r="AE947" s="631" t="str">
        <f t="shared" si="680"/>
        <v/>
      </c>
      <c r="AF947" s="699" t="str">
        <f t="shared" si="681"/>
        <v/>
      </c>
      <c r="AG947" s="699"/>
      <c r="AH947" s="699"/>
      <c r="AI947" s="512">
        <f>IF(H947="credit",0,IF(AE947="free",0,IF(AE947="me",0,IF(G947&gt;0,(VLOOKUP(A947,'Discount Lookup'!J:K,2)*G947),0))))</f>
        <v>0</v>
      </c>
      <c r="AJ947" s="513" t="str">
        <f t="shared" ca="1" si="682"/>
        <v/>
      </c>
      <c r="AK947" s="700" t="str">
        <f t="shared" si="683"/>
        <v/>
      </c>
      <c r="AL947" s="700"/>
      <c r="AM947" s="505" t="str">
        <f t="shared" si="684"/>
        <v/>
      </c>
      <c r="AN947" s="506"/>
      <c r="AO947" s="507"/>
      <c r="AP947" s="507"/>
      <c r="AQ947" s="507"/>
      <c r="AR947" s="507"/>
      <c r="AS947" s="507"/>
      <c r="AT947" s="507"/>
      <c r="AU947" s="507"/>
      <c r="AV947" s="225"/>
      <c r="AW947" s="508"/>
      <c r="AX947" s="225"/>
      <c r="AY947" s="225"/>
      <c r="AZ947" s="225"/>
      <c r="BA947" s="225"/>
      <c r="BB947" s="225"/>
      <c r="BC947" s="56"/>
      <c r="BD947" s="56"/>
      <c r="BE947" s="56"/>
      <c r="BF947" s="107" t="str">
        <f t="shared" si="685"/>
        <v>https://www.google.com/search?tbm=isch&amp;q=3%20G1</v>
      </c>
      <c r="BG947" s="107" t="str">
        <f t="shared" si="686"/>
        <v>C</v>
      </c>
      <c r="BH947" s="254"/>
      <c r="BI947" s="254"/>
    </row>
    <row r="948" spans="1:61" customFormat="1" ht="17.25" thickBot="1" x14ac:dyDescent="0.3">
      <c r="A948" s="524" t="s">
        <v>2369</v>
      </c>
      <c r="B948" s="245"/>
      <c r="C948" s="677"/>
      <c r="D948" s="499"/>
      <c r="E948" s="499"/>
      <c r="F948" s="500"/>
      <c r="G948" s="501"/>
      <c r="H948" s="502"/>
      <c r="I948" s="246"/>
      <c r="J948" s="247"/>
      <c r="K948" s="503"/>
      <c r="L948" s="544"/>
      <c r="M948" s="544"/>
      <c r="N948" s="500"/>
      <c r="O948" s="500"/>
      <c r="P948" s="500"/>
      <c r="Q948" s="500"/>
      <c r="R948" s="500"/>
      <c r="S948" s="669" t="s">
        <v>4972</v>
      </c>
      <c r="T948" s="508">
        <f t="shared" si="674"/>
        <v>0</v>
      </c>
      <c r="U948" s="225" t="str">
        <f>IF(NOT(ISNUMBER(G948)), "", VLOOKUP(A948,'Discount Lookup'!D:E,2,FALSE)*G948)</f>
        <v/>
      </c>
      <c r="V948" s="225" t="str">
        <f>IF(NOT(ISNUMBER(G948)), "", VLOOKUP(A948,'Discount Lookup'!G:H,2,FALSE)*G948)</f>
        <v/>
      </c>
      <c r="W948" s="508">
        <f t="shared" si="675"/>
        <v>0</v>
      </c>
      <c r="X948" s="508">
        <f t="shared" si="676"/>
        <v>0</v>
      </c>
      <c r="Y948" s="509" t="b">
        <f t="shared" si="677"/>
        <v>0</v>
      </c>
      <c r="Z948" s="510">
        <f t="shared" si="678"/>
        <v>0</v>
      </c>
      <c r="AA948" s="511"/>
      <c r="AB948" s="511" t="str">
        <f t="shared" si="679"/>
        <v/>
      </c>
      <c r="AC948" s="698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698"/>
      <c r="AE948" s="631" t="str">
        <f t="shared" si="680"/>
        <v/>
      </c>
      <c r="AF948" s="699" t="str">
        <f t="shared" si="681"/>
        <v/>
      </c>
      <c r="AG948" s="699"/>
      <c r="AH948" s="699"/>
      <c r="AI948" s="512">
        <f>IF(H948="credit",0,IF(AE948="free",0,IF(AE948="me",0,IF(G948&gt;0,(VLOOKUP(A948,'Discount Lookup'!J:K,2)*G948),0))))</f>
        <v>0</v>
      </c>
      <c r="AJ948" s="513" t="str">
        <f t="shared" ca="1" si="682"/>
        <v/>
      </c>
      <c r="AK948" s="700" t="str">
        <f t="shared" si="683"/>
        <v/>
      </c>
      <c r="AL948" s="700"/>
      <c r="AM948" s="505" t="str">
        <f t="shared" si="684"/>
        <v/>
      </c>
      <c r="AN948" s="506"/>
      <c r="AO948" s="507"/>
      <c r="AP948" s="507"/>
      <c r="AQ948" s="507"/>
      <c r="AR948" s="507"/>
      <c r="AS948" s="507"/>
      <c r="AT948" s="507"/>
      <c r="AU948" s="507"/>
      <c r="AV948" s="225"/>
      <c r="AW948" s="508"/>
      <c r="AX948" s="225"/>
      <c r="AY948" s="225"/>
      <c r="AZ948" s="225"/>
      <c r="BA948" s="225"/>
      <c r="BB948" s="225"/>
      <c r="BC948" s="56"/>
      <c r="BD948" s="56"/>
      <c r="BE948" s="56"/>
      <c r="BF948" s="107" t="str">
        <f t="shared" si="685"/>
        <v>https://www.google.com/search?tbm=isch&amp;q=Crimson%20Pygmy%20is%20sharp%2C%20beware.%20Known%20for%20it%27s%20intense%20crimson%20foliage%2C%20not%20the%20flowers.%20Bright%20red%20berries%20in%20fall%20</v>
      </c>
      <c r="BG948" s="107" t="str">
        <f t="shared" si="686"/>
        <v>C</v>
      </c>
      <c r="BH948" s="254"/>
      <c r="BI948" s="254"/>
    </row>
    <row r="949" spans="1:61" customFormat="1" ht="18" x14ac:dyDescent="0.25">
      <c r="A949" s="521" t="s">
        <v>5383</v>
      </c>
      <c r="B949" s="477"/>
      <c r="C949" s="674"/>
      <c r="D949" s="478" t="s">
        <v>722</v>
      </c>
      <c r="E949" s="479"/>
      <c r="F949" s="479"/>
      <c r="G949" s="479"/>
      <c r="H949" s="582" t="s">
        <v>686</v>
      </c>
      <c r="I949" s="480" t="s">
        <v>2093</v>
      </c>
      <c r="J949" s="479"/>
      <c r="K949" s="479"/>
      <c r="L949" s="560"/>
      <c r="M949" s="666" t="s">
        <v>4966</v>
      </c>
      <c r="N949" s="680" t="str">
        <f>IF(AND(ISTEXT($A949), ISERROR($A949+0)), HYPERLINK($BF949, "Images"), "")</f>
        <v>Images</v>
      </c>
      <c r="O949" s="662" t="s">
        <v>4969</v>
      </c>
      <c r="P949" s="482"/>
      <c r="Q949" s="483"/>
      <c r="R949" s="483"/>
      <c r="S949" s="484"/>
      <c r="T949" s="508">
        <f t="shared" si="674"/>
        <v>0</v>
      </c>
      <c r="U949" s="225" t="str">
        <f>IF(NOT(ISNUMBER(G949)), "", VLOOKUP(A949,'Discount Lookup'!D:E,2,FALSE)*G949)</f>
        <v/>
      </c>
      <c r="V949" s="225" t="str">
        <f>IF(NOT(ISNUMBER(G949)), "", VLOOKUP(A949,'Discount Lookup'!G:H,2,FALSE)*G949)</f>
        <v/>
      </c>
      <c r="W949" s="508">
        <f t="shared" si="675"/>
        <v>0</v>
      </c>
      <c r="X949" s="508" t="str">
        <f t="shared" si="676"/>
        <v>Dark Green foliage</v>
      </c>
      <c r="Y949" s="509" t="b">
        <f t="shared" si="677"/>
        <v>0</v>
      </c>
      <c r="Z949" s="510">
        <f t="shared" si="678"/>
        <v>0</v>
      </c>
      <c r="AA949" s="511"/>
      <c r="AB949" s="511" t="str">
        <f t="shared" si="679"/>
        <v/>
      </c>
      <c r="AC949" s="698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698"/>
      <c r="AE949" s="631" t="str">
        <f t="shared" si="680"/>
        <v/>
      </c>
      <c r="AF949" s="699" t="str">
        <f t="shared" si="681"/>
        <v/>
      </c>
      <c r="AG949" s="699"/>
      <c r="AH949" s="699"/>
      <c r="AI949" s="512">
        <f>IF(H949="credit",0,IF(AE949="free",0,IF(AE949="me",0,IF(G949&gt;0,(VLOOKUP(A949,'Discount Lookup'!J:K,2)*G949),0))))</f>
        <v>0</v>
      </c>
      <c r="AJ949" s="513" t="str">
        <f t="shared" ca="1" si="682"/>
        <v/>
      </c>
      <c r="AK949" s="700" t="str">
        <f t="shared" si="683"/>
        <v/>
      </c>
      <c r="AL949" s="700"/>
      <c r="AM949" s="505" t="str">
        <f t="shared" si="684"/>
        <v/>
      </c>
      <c r="AN949" s="506"/>
      <c r="AO949" s="507"/>
      <c r="AP949" s="507"/>
      <c r="AQ949" s="507"/>
      <c r="AR949" s="507"/>
      <c r="AS949" s="507"/>
      <c r="AT949" s="507"/>
      <c r="AU949" s="507"/>
      <c r="AV949" s="225"/>
      <c r="AW949" s="508"/>
      <c r="AX949" s="225"/>
      <c r="AY949" s="225"/>
      <c r="AZ949" s="225"/>
      <c r="BA949" s="225"/>
      <c r="BB949" s="225"/>
      <c r="BC949" s="56"/>
      <c r="BD949" s="56"/>
      <c r="BE949" s="56"/>
      <c r="BF949" s="107" t="str">
        <f t="shared" si="685"/>
        <v>https://www.google.com/search?tbm=isch&amp;q=Crown%20Point%E2%84%A2%20Holly%20Ilex%20%27EN-7%27%20PPAF</v>
      </c>
      <c r="BG949" s="107" t="str">
        <f t="shared" si="686"/>
        <v>C</v>
      </c>
      <c r="BH949" s="254"/>
      <c r="BI949" s="254"/>
    </row>
    <row r="950" spans="1:61" customFormat="1" ht="15.75" x14ac:dyDescent="0.25">
      <c r="A950" s="485">
        <v>15</v>
      </c>
      <c r="B950" s="486" t="s">
        <v>291</v>
      </c>
      <c r="C950" s="487" t="s">
        <v>3404</v>
      </c>
      <c r="D950" s="488" t="s">
        <v>292</v>
      </c>
      <c r="E950" s="489">
        <v>270.95</v>
      </c>
      <c r="F950" s="516" t="s">
        <v>293</v>
      </c>
      <c r="G950" s="232">
        <v>0</v>
      </c>
      <c r="H950" s="658" t="str">
        <f>IF(G950=0,"",IF(F950="Buy",IF(G950=1,"plant","plants"),IF(F950&gt;0.01,"warranty","Error")))</f>
        <v/>
      </c>
      <c r="I950" s="490">
        <f>IF(H950="free",0,IF(H950="credit",((E950*(F950))*G950*-1),IF(F950="Buy",(E950*G950),((E950*(1-F950))*G950))))</f>
        <v>0</v>
      </c>
      <c r="J950" s="490">
        <f>IF(H950="warranty",0,(I950*(_xlfn.SINGLE(SalesTaxPercentage))))</f>
        <v>0</v>
      </c>
      <c r="K950" s="695">
        <f t="shared" ref="K950" si="704">I950+J950</f>
        <v>0</v>
      </c>
      <c r="L950" s="695"/>
      <c r="M950" s="659" t="str">
        <f>IF(AND(G950&gt;0,E950=0),"WARNING - no PRICE inserted",IF(H950="free"," FREE ~ no charge this plant",IF(H950="credit",CONCATENATE(" -$",ROUND(K950*(1-T2GDiscount)*-1,2)," CREDIT after discount"),IF(T2GDiscount=0,"",IF(G950=0,"",IF(F950="Buy",CONCATENATE(" $",ROUND(K950*(1-T2GDiscount),2)," with ",(T2GDiscount*100),"% discount"),CONCATENATE(" $",ROUND(K950*(1-T2GDiscount),2)," with ",((T2GDiscount*100+F950*100)-(T2GDiscount*100*F950)),IF(F950&gt;0,"% discounts",IF(NoWarrantyDiscount&gt;0,"% discounts","% discount")))))))))</f>
        <v/>
      </c>
      <c r="N950" s="660"/>
      <c r="O950" s="233"/>
      <c r="P950" s="233"/>
      <c r="Q950" s="233"/>
      <c r="R950" s="233"/>
      <c r="S950" s="233"/>
      <c r="T950" s="508">
        <f t="shared" si="674"/>
        <v>0</v>
      </c>
      <c r="U950" s="225">
        <f>IF(NOT(ISNUMBER(G950)), "", VLOOKUP(A950,'Discount Lookup'!D:E,2,FALSE)*G950)</f>
        <v>0</v>
      </c>
      <c r="V950" s="225">
        <f>IF(NOT(ISNUMBER(G950)), "", VLOOKUP(A950,'Discount Lookup'!G:H,2,FALSE)*G950)</f>
        <v>0</v>
      </c>
      <c r="W950" s="508">
        <f t="shared" si="675"/>
        <v>0</v>
      </c>
      <c r="X950" s="508">
        <f t="shared" si="676"/>
        <v>0</v>
      </c>
      <c r="Y950" s="509" t="b">
        <f t="shared" si="677"/>
        <v>0</v>
      </c>
      <c r="Z950" s="510">
        <f t="shared" si="678"/>
        <v>0</v>
      </c>
      <c r="AA950" s="511"/>
      <c r="AB950" s="511" t="str">
        <f t="shared" si="679"/>
        <v/>
      </c>
      <c r="AC950" s="698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698"/>
      <c r="AE950" s="631" t="str">
        <f t="shared" si="680"/>
        <v/>
      </c>
      <c r="AF950" s="699" t="str">
        <f t="shared" si="681"/>
        <v/>
      </c>
      <c r="AG950" s="699"/>
      <c r="AH950" s="699"/>
      <c r="AI950" s="512">
        <f>IF(H950="credit",0,IF(AE950="free",0,IF(AE950="me",0,IF(G950&gt;0,(VLOOKUP(A950,'Discount Lookup'!J:K,2)*G950),0))))</f>
        <v>0</v>
      </c>
      <c r="AJ950" s="513" t="str">
        <f t="shared" ca="1" si="682"/>
        <v/>
      </c>
      <c r="AK950" s="700" t="str">
        <f t="shared" si="683"/>
        <v/>
      </c>
      <c r="AL950" s="700"/>
      <c r="AM950" s="505" t="str">
        <f t="shared" si="684"/>
        <v/>
      </c>
      <c r="AN950" s="506"/>
      <c r="AO950" s="507"/>
      <c r="AP950" s="507"/>
      <c r="AQ950" s="507"/>
      <c r="AR950" s="507"/>
      <c r="AS950" s="507"/>
      <c r="AT950" s="507"/>
      <c r="AU950" s="507"/>
      <c r="AV950" s="225"/>
      <c r="AW950" s="508"/>
      <c r="AX950" s="225"/>
      <c r="AY950" s="225"/>
      <c r="AZ950" s="225"/>
      <c r="BA950" s="225"/>
      <c r="BB950" s="225"/>
      <c r="BC950" s="56"/>
      <c r="BD950" s="56"/>
      <c r="BE950" s="56"/>
      <c r="BF950" s="107" t="str">
        <f t="shared" si="685"/>
        <v>https://www.google.com/search?tbm=isch&amp;q=15%20G4</v>
      </c>
      <c r="BG950" s="107" t="str">
        <f t="shared" si="686"/>
        <v>C</v>
      </c>
      <c r="BH950" s="254"/>
      <c r="BI950" s="254"/>
    </row>
    <row r="951" spans="1:61" customFormat="1" ht="17.25" thickBot="1" x14ac:dyDescent="0.3">
      <c r="A951" s="522" t="s">
        <v>4078</v>
      </c>
      <c r="B951" s="491"/>
      <c r="C951" s="675"/>
      <c r="D951" s="491"/>
      <c r="E951" s="491"/>
      <c r="F951" s="492"/>
      <c r="G951" s="493"/>
      <c r="H951" s="491"/>
      <c r="I951" s="234"/>
      <c r="J951" s="234"/>
      <c r="K951" s="494"/>
      <c r="L951" s="543"/>
      <c r="M951" s="561"/>
      <c r="N951" s="495"/>
      <c r="O951" s="496"/>
      <c r="P951" s="497"/>
      <c r="Q951" s="495"/>
      <c r="R951" s="495"/>
      <c r="S951" s="667" t="s">
        <v>4984</v>
      </c>
      <c r="T951" s="508">
        <f t="shared" si="674"/>
        <v>0</v>
      </c>
      <c r="U951" s="225" t="str">
        <f>IF(NOT(ISNUMBER(G951)), "", VLOOKUP(A951,'Discount Lookup'!D:E,2,FALSE)*G951)</f>
        <v/>
      </c>
      <c r="V951" s="225" t="str">
        <f>IF(NOT(ISNUMBER(G951)), "", VLOOKUP(A951,'Discount Lookup'!G:H,2,FALSE)*G951)</f>
        <v/>
      </c>
      <c r="W951" s="508">
        <f t="shared" si="675"/>
        <v>0</v>
      </c>
      <c r="X951" s="508">
        <f t="shared" si="676"/>
        <v>0</v>
      </c>
      <c r="Y951" s="509" t="b">
        <f t="shared" si="677"/>
        <v>0</v>
      </c>
      <c r="Z951" s="510">
        <f t="shared" si="678"/>
        <v>0</v>
      </c>
      <c r="AA951" s="511"/>
      <c r="AB951" s="511" t="str">
        <f t="shared" si="679"/>
        <v/>
      </c>
      <c r="AC951" s="698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698"/>
      <c r="AE951" s="631" t="str">
        <f t="shared" si="680"/>
        <v/>
      </c>
      <c r="AF951" s="699" t="str">
        <f t="shared" si="681"/>
        <v/>
      </c>
      <c r="AG951" s="699"/>
      <c r="AH951" s="699"/>
      <c r="AI951" s="512">
        <f>IF(H951="credit",0,IF(AE951="free",0,IF(AE951="me",0,IF(G951&gt;0,(VLOOKUP(A951,'Discount Lookup'!J:K,2)*G951),0))))</f>
        <v>0</v>
      </c>
      <c r="AJ951" s="513" t="str">
        <f t="shared" ca="1" si="682"/>
        <v/>
      </c>
      <c r="AK951" s="700" t="str">
        <f t="shared" si="683"/>
        <v/>
      </c>
      <c r="AL951" s="700"/>
      <c r="AM951" s="505" t="str">
        <f t="shared" si="684"/>
        <v/>
      </c>
      <c r="AN951" s="506"/>
      <c r="AO951" s="507"/>
      <c r="AP951" s="507"/>
      <c r="AQ951" s="507"/>
      <c r="AR951" s="507"/>
      <c r="AS951" s="507"/>
      <c r="AT951" s="507"/>
      <c r="AU951" s="507"/>
      <c r="AV951" s="225"/>
      <c r="AW951" s="508"/>
      <c r="AX951" s="225"/>
      <c r="AY951" s="225"/>
      <c r="AZ951" s="225"/>
      <c r="BA951" s="225"/>
      <c r="BB951" s="225"/>
      <c r="BC951" s="56"/>
      <c r="BD951" s="56"/>
      <c r="BE951" s="56"/>
      <c r="BF951" s="107" t="str">
        <f t="shared" si="685"/>
        <v>https://www.google.com/search?tbm=isch&amp;q=Crown%20Point%20Holly%20is%20a%20striking%2C%20columnar%20evergreen%20with%20elongated%20foliage%20and%20a%20compact%20habit.Berries%20if%20pollinated%20</v>
      </c>
      <c r="BG951" s="107" t="str">
        <f t="shared" si="686"/>
        <v>C</v>
      </c>
      <c r="BH951" s="254"/>
      <c r="BI951" s="254"/>
    </row>
    <row r="952" spans="1:61" customFormat="1" ht="18" x14ac:dyDescent="0.25">
      <c r="A952" s="521" t="s">
        <v>723</v>
      </c>
      <c r="B952" s="477"/>
      <c r="C952" s="674"/>
      <c r="D952" s="478" t="s">
        <v>724</v>
      </c>
      <c r="E952" s="479"/>
      <c r="F952" s="479"/>
      <c r="G952" s="479"/>
      <c r="H952" s="582" t="s">
        <v>471</v>
      </c>
      <c r="I952" s="480" t="s">
        <v>654</v>
      </c>
      <c r="J952" s="479"/>
      <c r="K952" s="479"/>
      <c r="L952" s="560"/>
      <c r="M952" s="666" t="s">
        <v>4966</v>
      </c>
      <c r="N952" s="680" t="str">
        <f>IF(AND(ISTEXT($A952), ISERROR($A952+0)), HYPERLINK($BF952, "Images"), "")</f>
        <v>Images</v>
      </c>
      <c r="O952" s="662" t="s">
        <v>4974</v>
      </c>
      <c r="P952" s="482"/>
      <c r="Q952" s="483"/>
      <c r="R952" s="483"/>
      <c r="S952" s="484"/>
      <c r="T952" s="508">
        <f t="shared" si="674"/>
        <v>0</v>
      </c>
      <c r="U952" s="225" t="str">
        <f>IF(NOT(ISNUMBER(G952)), "", VLOOKUP(A952,'Discount Lookup'!D:E,2,FALSE)*G952)</f>
        <v/>
      </c>
      <c r="V952" s="225" t="str">
        <f>IF(NOT(ISNUMBER(G952)), "", VLOOKUP(A952,'Discount Lookup'!G:H,2,FALSE)*G952)</f>
        <v/>
      </c>
      <c r="W952" s="508">
        <f t="shared" si="675"/>
        <v>0</v>
      </c>
      <c r="X952" s="508" t="str">
        <f t="shared" si="676"/>
        <v>White bloom</v>
      </c>
      <c r="Y952" s="509" t="b">
        <f t="shared" si="677"/>
        <v>0</v>
      </c>
      <c r="Z952" s="510">
        <f t="shared" si="678"/>
        <v>0</v>
      </c>
      <c r="AA952" s="511"/>
      <c r="AB952" s="511" t="str">
        <f t="shared" si="679"/>
        <v/>
      </c>
      <c r="AC952" s="698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698"/>
      <c r="AE952" s="631" t="str">
        <f t="shared" si="680"/>
        <v/>
      </c>
      <c r="AF952" s="699" t="str">
        <f t="shared" si="681"/>
        <v/>
      </c>
      <c r="AG952" s="699"/>
      <c r="AH952" s="699"/>
      <c r="AI952" s="512">
        <f>IF(H952="credit",0,IF(AE952="free",0,IF(AE952="me",0,IF(G952&gt;0,(VLOOKUP(A952,'Discount Lookup'!J:K,2)*G952),0))))</f>
        <v>0</v>
      </c>
      <c r="AJ952" s="513" t="str">
        <f t="shared" ca="1" si="682"/>
        <v/>
      </c>
      <c r="AK952" s="700" t="str">
        <f t="shared" si="683"/>
        <v/>
      </c>
      <c r="AL952" s="700"/>
      <c r="AM952" s="505" t="str">
        <f t="shared" si="684"/>
        <v/>
      </c>
      <c r="AN952" s="506"/>
      <c r="AO952" s="507"/>
      <c r="AP952" s="507"/>
      <c r="AQ952" s="507"/>
      <c r="AR952" s="507"/>
      <c r="AS952" s="507"/>
      <c r="AT952" s="507"/>
      <c r="AU952" s="507"/>
      <c r="AV952" s="225"/>
      <c r="AW952" s="508"/>
      <c r="AX952" s="225"/>
      <c r="AY952" s="225"/>
      <c r="AZ952" s="225"/>
      <c r="BA952" s="225"/>
      <c r="BB952" s="225"/>
      <c r="BC952" s="56"/>
      <c r="BD952" s="56"/>
      <c r="BE952" s="56"/>
      <c r="BF952" s="107" t="str">
        <f t="shared" si="685"/>
        <v>https://www.google.com/search?tbm=isch&amp;q=Curly%20Leaf%20Privet%20Ligustrum%20japonicum%20%27Rotundifolium%27</v>
      </c>
      <c r="BG952" s="107" t="str">
        <f t="shared" si="686"/>
        <v>C</v>
      </c>
      <c r="BH952" s="254"/>
      <c r="BI952" s="254"/>
    </row>
    <row r="953" spans="1:61" customFormat="1" ht="15.75" x14ac:dyDescent="0.25">
      <c r="A953" s="485">
        <v>3</v>
      </c>
      <c r="B953" s="486" t="s">
        <v>291</v>
      </c>
      <c r="C953" s="487" t="s">
        <v>725</v>
      </c>
      <c r="D953" s="488" t="s">
        <v>297</v>
      </c>
      <c r="E953" s="489">
        <v>24.95</v>
      </c>
      <c r="F953" s="516" t="s">
        <v>293</v>
      </c>
      <c r="G953" s="232">
        <v>0</v>
      </c>
      <c r="H953" s="658" t="str">
        <f>IF(G953=0,"",IF(F953="Buy",IF(G953=1,"plant","plants"),IF(F953&gt;0.01,"warranty","Error")))</f>
        <v/>
      </c>
      <c r="I953" s="490">
        <f>IF(H953="free",0,IF(H953="credit",((E953*(F953))*G953*-1),IF(F953="Buy",(E953*G953),((E953*(1-F953))*G953))))</f>
        <v>0</v>
      </c>
      <c r="J953" s="490">
        <f>IF(H953="warranty",0,(I953*(_xlfn.SINGLE(SalesTaxPercentage))))</f>
        <v>0</v>
      </c>
      <c r="K953" s="695">
        <f t="shared" ref="K953" si="705">I953+J953</f>
        <v>0</v>
      </c>
      <c r="L953" s="695"/>
      <c r="M953" s="659" t="str">
        <f>IF(AND(G953&gt;0,E953=0),"WARNING - no PRICE inserted",IF(H953="free"," FREE ~ no charge this plant",IF(H953="credit",CONCATENATE(" -$",ROUND(K953*(1-T2GDiscount)*-1,2)," CREDIT after discount"),IF(T2GDiscount=0,"",IF(G953=0,"",IF(F953="Buy",CONCATENATE(" $",ROUND(K953*(1-T2GDiscount),2)," with ",(T2GDiscount*100),"% discount"),CONCATENATE(" $",ROUND(K953*(1-T2GDiscount),2)," with ",((T2GDiscount*100+F953*100)-(T2GDiscount*100*F953)),IF(F953&gt;0,"% discounts",IF(NoWarrantyDiscount&gt;0,"% discounts","% discount")))))))))</f>
        <v/>
      </c>
      <c r="N953" s="660"/>
      <c r="O953" s="233"/>
      <c r="P953" s="233"/>
      <c r="Q953" s="233"/>
      <c r="R953" s="233"/>
      <c r="S953" s="233"/>
      <c r="T953" s="508">
        <f t="shared" si="674"/>
        <v>0</v>
      </c>
      <c r="U953" s="225">
        <f>IF(NOT(ISNUMBER(G953)), "", VLOOKUP(A953,'Discount Lookup'!D:E,2,FALSE)*G953)</f>
        <v>0</v>
      </c>
      <c r="V953" s="225">
        <f>IF(NOT(ISNUMBER(G953)), "", VLOOKUP(A953,'Discount Lookup'!G:H,2,FALSE)*G953)</f>
        <v>0</v>
      </c>
      <c r="W953" s="508">
        <f t="shared" si="675"/>
        <v>0</v>
      </c>
      <c r="X953" s="508">
        <f t="shared" si="676"/>
        <v>0</v>
      </c>
      <c r="Y953" s="509" t="b">
        <f t="shared" si="677"/>
        <v>0</v>
      </c>
      <c r="Z953" s="510">
        <f t="shared" si="678"/>
        <v>0</v>
      </c>
      <c r="AA953" s="511"/>
      <c r="AB953" s="511" t="str">
        <f t="shared" si="679"/>
        <v/>
      </c>
      <c r="AC953" s="698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698"/>
      <c r="AE953" s="631" t="str">
        <f t="shared" si="680"/>
        <v/>
      </c>
      <c r="AF953" s="699" t="str">
        <f t="shared" si="681"/>
        <v/>
      </c>
      <c r="AG953" s="699"/>
      <c r="AH953" s="699"/>
      <c r="AI953" s="512">
        <f>IF(H953="credit",0,IF(AE953="free",0,IF(AE953="me",0,IF(G953&gt;0,(VLOOKUP(A953,'Discount Lookup'!J:K,2)*G953),0))))</f>
        <v>0</v>
      </c>
      <c r="AJ953" s="513" t="str">
        <f t="shared" ca="1" si="682"/>
        <v/>
      </c>
      <c r="AK953" s="700" t="str">
        <f t="shared" si="683"/>
        <v/>
      </c>
      <c r="AL953" s="700"/>
      <c r="AM953" s="505" t="str">
        <f t="shared" si="684"/>
        <v/>
      </c>
      <c r="AN953" s="506"/>
      <c r="AO953" s="507"/>
      <c r="AP953" s="507"/>
      <c r="AQ953" s="507"/>
      <c r="AR953" s="507"/>
      <c r="AS953" s="507"/>
      <c r="AT953" s="507"/>
      <c r="AU953" s="507"/>
      <c r="AV953" s="225"/>
      <c r="AW953" s="508"/>
      <c r="AX953" s="225"/>
      <c r="AY953" s="225"/>
      <c r="AZ953" s="225"/>
      <c r="BA953" s="225"/>
      <c r="BB953" s="225"/>
      <c r="BC953" s="56"/>
      <c r="BD953" s="56"/>
      <c r="BE953" s="56"/>
      <c r="BF953" s="107" t="str">
        <f t="shared" si="685"/>
        <v>https://www.google.com/search?tbm=isch&amp;q=3%20G3</v>
      </c>
      <c r="BG953" s="107" t="str">
        <f t="shared" si="686"/>
        <v>C</v>
      </c>
      <c r="BH953" s="254"/>
      <c r="BI953" s="254"/>
    </row>
    <row r="954" spans="1:61" customFormat="1" ht="15.75" x14ac:dyDescent="0.25">
      <c r="A954" s="485">
        <v>3</v>
      </c>
      <c r="B954" s="486" t="s">
        <v>291</v>
      </c>
      <c r="C954" s="487"/>
      <c r="D954" s="488" t="s">
        <v>298</v>
      </c>
      <c r="E954" s="489">
        <v>25.95</v>
      </c>
      <c r="F954" s="516" t="s">
        <v>293</v>
      </c>
      <c r="G954" s="232">
        <v>0</v>
      </c>
      <c r="H954" s="658" t="str">
        <f>IF(G954=0,"",IF(F954="Buy",IF(G954=1,"plant","plants"),IF(F954&gt;0.01,"warranty","Error")))</f>
        <v/>
      </c>
      <c r="I954" s="490">
        <f>IF(H954="free",0,IF(H954="credit",((E954*(F954))*G954*-1),IF(F954="Buy",(E954*G954),((E954*(1-F954))*G954))))</f>
        <v>0</v>
      </c>
      <c r="J954" s="490">
        <f>IF(H954="warranty",0,(I954*(_xlfn.SINGLE(SalesTaxPercentage))))</f>
        <v>0</v>
      </c>
      <c r="K954" s="695">
        <f t="shared" ref="K954" si="706">I954+J954</f>
        <v>0</v>
      </c>
      <c r="L954" s="695"/>
      <c r="M954" s="659" t="str">
        <f>IF(AND(G954&gt;0,E954=0),"WARNING - no PRICE inserted",IF(H954="free"," FREE ~ no charge this plant",IF(H954="credit",CONCATENATE(" -$",ROUND(K954*(1-T2GDiscount)*-1,2)," CREDIT after discount"),IF(T2GDiscount=0,"",IF(G954=0,"",IF(F954="Buy",CONCATENATE(" $",ROUND(K954*(1-T2GDiscount),2)," with ",(T2GDiscount*100),"% discount"),CONCATENATE(" $",ROUND(K954*(1-T2GDiscount),2)," with ",((T2GDiscount*100+F954*100)-(T2GDiscount*100*F954)),IF(F954&gt;0,"% discounts",IF(NoWarrantyDiscount&gt;0,"% discounts","% discount")))))))))</f>
        <v/>
      </c>
      <c r="N954" s="660"/>
      <c r="O954" s="233"/>
      <c r="P954" s="233"/>
      <c r="Q954" s="233"/>
      <c r="R954" s="233"/>
      <c r="S954" s="233"/>
      <c r="T954" s="508">
        <f t="shared" si="674"/>
        <v>0</v>
      </c>
      <c r="U954" s="225">
        <f>IF(NOT(ISNUMBER(G954)), "", VLOOKUP(A954,'Discount Lookup'!D:E,2,FALSE)*G954)</f>
        <v>0</v>
      </c>
      <c r="V954" s="225">
        <f>IF(NOT(ISNUMBER(G954)), "", VLOOKUP(A954,'Discount Lookup'!G:H,2,FALSE)*G954)</f>
        <v>0</v>
      </c>
      <c r="W954" s="508">
        <f t="shared" si="675"/>
        <v>0</v>
      </c>
      <c r="X954" s="508">
        <f t="shared" si="676"/>
        <v>0</v>
      </c>
      <c r="Y954" s="509" t="b">
        <f t="shared" si="677"/>
        <v>0</v>
      </c>
      <c r="Z954" s="510">
        <f t="shared" si="678"/>
        <v>0</v>
      </c>
      <c r="AA954" s="511"/>
      <c r="AB954" s="511" t="str">
        <f t="shared" si="679"/>
        <v/>
      </c>
      <c r="AC954" s="698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698"/>
      <c r="AE954" s="631" t="str">
        <f t="shared" si="680"/>
        <v/>
      </c>
      <c r="AF954" s="699" t="str">
        <f t="shared" si="681"/>
        <v/>
      </c>
      <c r="AG954" s="699"/>
      <c r="AH954" s="699"/>
      <c r="AI954" s="512">
        <f>IF(H954="credit",0,IF(AE954="free",0,IF(AE954="me",0,IF(G954&gt;0,(VLOOKUP(A954,'Discount Lookup'!J:K,2)*G954),0))))</f>
        <v>0</v>
      </c>
      <c r="AJ954" s="513" t="str">
        <f t="shared" ca="1" si="682"/>
        <v/>
      </c>
      <c r="AK954" s="700" t="str">
        <f t="shared" si="683"/>
        <v/>
      </c>
      <c r="AL954" s="700"/>
      <c r="AM954" s="505" t="str">
        <f t="shared" si="684"/>
        <v/>
      </c>
      <c r="AN954" s="506"/>
      <c r="AO954" s="507"/>
      <c r="AP954" s="507"/>
      <c r="AQ954" s="507"/>
      <c r="AR954" s="507"/>
      <c r="AS954" s="507"/>
      <c r="AT954" s="507"/>
      <c r="AU954" s="507"/>
      <c r="AV954" s="225"/>
      <c r="AW954" s="508"/>
      <c r="AX954" s="225"/>
      <c r="AY954" s="225"/>
      <c r="AZ954" s="225"/>
      <c r="BA954" s="225"/>
      <c r="BB954" s="225"/>
      <c r="BC954" s="56"/>
      <c r="BD954" s="56"/>
      <c r="BE954" s="56"/>
      <c r="BF954" s="107" t="str">
        <f t="shared" si="685"/>
        <v>https://www.google.com/search?tbm=isch&amp;q=3%20G1</v>
      </c>
      <c r="BG954" s="107" t="str">
        <f t="shared" si="686"/>
        <v>C</v>
      </c>
      <c r="BH954" s="254"/>
      <c r="BI954" s="254"/>
    </row>
    <row r="955" spans="1:61" customFormat="1" ht="15.75" x14ac:dyDescent="0.25">
      <c r="A955" s="485">
        <v>3</v>
      </c>
      <c r="B955" s="486" t="s">
        <v>291</v>
      </c>
      <c r="C955" s="487" t="s">
        <v>2483</v>
      </c>
      <c r="D955" s="488" t="s">
        <v>312</v>
      </c>
      <c r="E955" s="489">
        <v>28.95</v>
      </c>
      <c r="F955" s="516" t="s">
        <v>293</v>
      </c>
      <c r="G955" s="232">
        <v>0</v>
      </c>
      <c r="H955" s="658" t="str">
        <f>IF(G955=0,"",IF(F955="Buy",IF(G955=1,"plant","plants"),IF(F955&gt;0.01,"warranty","Error")))</f>
        <v/>
      </c>
      <c r="I955" s="490">
        <f>IF(H955="free",0,IF(H955="credit",((E955*(F955))*G955*-1),IF(F955="Buy",(E955*G955),((E955*(1-F955))*G955))))</f>
        <v>0</v>
      </c>
      <c r="J955" s="490">
        <f>IF(H955="warranty",0,(I955*(_xlfn.SINGLE(SalesTaxPercentage))))</f>
        <v>0</v>
      </c>
      <c r="K955" s="695">
        <f t="shared" ref="K955" si="707">I955+J955</f>
        <v>0</v>
      </c>
      <c r="L955" s="695"/>
      <c r="M955" s="659" t="str">
        <f>IF(AND(G955&gt;0,E955=0),"WARNING - no PRICE inserted",IF(H955="free"," FREE ~ no charge this plant",IF(H955="credit",CONCATENATE(" -$",ROUND(K955*(1-T2GDiscount)*-1,2)," CREDIT after discount"),IF(T2GDiscount=0,"",IF(G955=0,"",IF(F955="Buy",CONCATENATE(" $",ROUND(K955*(1-T2GDiscount),2)," with ",(T2GDiscount*100),"% discount"),CONCATENATE(" $",ROUND(K955*(1-T2GDiscount),2)," with ",((T2GDiscount*100+F955*100)-(T2GDiscount*100*F955)),IF(F955&gt;0,"% discounts",IF(NoWarrantyDiscount&gt;0,"% discounts","% discount")))))))))</f>
        <v/>
      </c>
      <c r="N955" s="660"/>
      <c r="O955" s="233"/>
      <c r="P955" s="233"/>
      <c r="Q955" s="233"/>
      <c r="R955" s="233"/>
      <c r="S955" s="233"/>
      <c r="T955" s="508">
        <f t="shared" si="674"/>
        <v>0</v>
      </c>
      <c r="U955" s="225">
        <f>IF(NOT(ISNUMBER(G955)), "", VLOOKUP(A955,'Discount Lookup'!D:E,2,FALSE)*G955)</f>
        <v>0</v>
      </c>
      <c r="V955" s="225">
        <f>IF(NOT(ISNUMBER(G955)), "", VLOOKUP(A955,'Discount Lookup'!G:H,2,FALSE)*G955)</f>
        <v>0</v>
      </c>
      <c r="W955" s="508">
        <f t="shared" si="675"/>
        <v>0</v>
      </c>
      <c r="X955" s="508">
        <f t="shared" si="676"/>
        <v>0</v>
      </c>
      <c r="Y955" s="509" t="b">
        <f t="shared" si="677"/>
        <v>0</v>
      </c>
      <c r="Z955" s="510">
        <f t="shared" si="678"/>
        <v>0</v>
      </c>
      <c r="AA955" s="511"/>
      <c r="AB955" s="511" t="str">
        <f t="shared" si="679"/>
        <v/>
      </c>
      <c r="AC955" s="698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698"/>
      <c r="AE955" s="631" t="str">
        <f t="shared" si="680"/>
        <v/>
      </c>
      <c r="AF955" s="699" t="str">
        <f t="shared" si="681"/>
        <v/>
      </c>
      <c r="AG955" s="699"/>
      <c r="AH955" s="699"/>
      <c r="AI955" s="512">
        <f>IF(H955="credit",0,IF(AE955="free",0,IF(AE955="me",0,IF(G955&gt;0,(VLOOKUP(A955,'Discount Lookup'!J:K,2)*G955),0))))</f>
        <v>0</v>
      </c>
      <c r="AJ955" s="513" t="str">
        <f t="shared" ca="1" si="682"/>
        <v/>
      </c>
      <c r="AK955" s="700" t="str">
        <f t="shared" si="683"/>
        <v/>
      </c>
      <c r="AL955" s="700"/>
      <c r="AM955" s="505" t="str">
        <f t="shared" si="684"/>
        <v/>
      </c>
      <c r="AN955" s="506"/>
      <c r="AO955" s="507"/>
      <c r="AP955" s="507"/>
      <c r="AQ955" s="507"/>
      <c r="AR955" s="507"/>
      <c r="AS955" s="507"/>
      <c r="AT955" s="507"/>
      <c r="AU955" s="507"/>
      <c r="AV955" s="225"/>
      <c r="AW955" s="508"/>
      <c r="AX955" s="225"/>
      <c r="AY955" s="225"/>
      <c r="AZ955" s="225"/>
      <c r="BA955" s="225"/>
      <c r="BB955" s="225"/>
      <c r="BC955" s="56"/>
      <c r="BD955" s="56"/>
      <c r="BE955" s="56"/>
      <c r="BF955" s="107" t="str">
        <f t="shared" si="685"/>
        <v>https://www.google.com/search?tbm=isch&amp;q=3%20G2</v>
      </c>
      <c r="BG955" s="107" t="str">
        <f t="shared" si="686"/>
        <v>C</v>
      </c>
      <c r="BH955" s="254"/>
      <c r="BI955" s="254"/>
    </row>
    <row r="956" spans="1:61" customFormat="1" ht="15.75" x14ac:dyDescent="0.25">
      <c r="A956" s="485">
        <v>7</v>
      </c>
      <c r="B956" s="486" t="s">
        <v>291</v>
      </c>
      <c r="C956" s="487" t="s">
        <v>726</v>
      </c>
      <c r="D956" s="488" t="s">
        <v>297</v>
      </c>
      <c r="E956" s="489">
        <v>56.95</v>
      </c>
      <c r="F956" s="516" t="s">
        <v>293</v>
      </c>
      <c r="G956" s="232">
        <v>0</v>
      </c>
      <c r="H956" s="658" t="str">
        <f>IF(G956=0,"",IF(F956="Buy",IF(G956=1,"plant","plants"),IF(F956&gt;0.01,"warranty","Error")))</f>
        <v/>
      </c>
      <c r="I956" s="490">
        <f>IF(H956="free",0,IF(H956="credit",((E956*(F956))*G956*-1),IF(F956="Buy",(E956*G956),((E956*(1-F956))*G956))))</f>
        <v>0</v>
      </c>
      <c r="J956" s="490">
        <f>IF(H956="warranty",0,(I956*(_xlfn.SINGLE(SalesTaxPercentage))))</f>
        <v>0</v>
      </c>
      <c r="K956" s="695">
        <f t="shared" ref="K956" si="708">I956+J956</f>
        <v>0</v>
      </c>
      <c r="L956" s="695"/>
      <c r="M956" s="659" t="str">
        <f>IF(AND(G956&gt;0,E956=0),"WARNING - no PRICE inserted",IF(H956="free"," FREE ~ no charge this plant",IF(H956="credit",CONCATENATE(" -$",ROUND(K956*(1-T2GDiscount)*-1,2)," CREDIT after discount"),IF(T2GDiscount=0,"",IF(G956=0,"",IF(F956="Buy",CONCATENATE(" $",ROUND(K956*(1-T2GDiscount),2)," with ",(T2GDiscount*100),"% discount"),CONCATENATE(" $",ROUND(K956*(1-T2GDiscount),2)," with ",((T2GDiscount*100+F956*100)-(T2GDiscount*100*F956)),IF(F956&gt;0,"% discounts",IF(NoWarrantyDiscount&gt;0,"% discounts","% discount")))))))))</f>
        <v/>
      </c>
      <c r="N956" s="660"/>
      <c r="O956" s="233"/>
      <c r="P956" s="233"/>
      <c r="Q956" s="233"/>
      <c r="R956" s="233"/>
      <c r="S956" s="233"/>
      <c r="T956" s="508">
        <f t="shared" si="674"/>
        <v>0</v>
      </c>
      <c r="U956" s="225">
        <f>IF(NOT(ISNUMBER(G956)), "", VLOOKUP(A956,'Discount Lookup'!D:E,2,FALSE)*G956)</f>
        <v>0</v>
      </c>
      <c r="V956" s="225">
        <f>IF(NOT(ISNUMBER(G956)), "", VLOOKUP(A956,'Discount Lookup'!G:H,2,FALSE)*G956)</f>
        <v>0</v>
      </c>
      <c r="W956" s="508">
        <f t="shared" si="675"/>
        <v>0</v>
      </c>
      <c r="X956" s="508">
        <f t="shared" si="676"/>
        <v>0</v>
      </c>
      <c r="Y956" s="509" t="b">
        <f t="shared" si="677"/>
        <v>0</v>
      </c>
      <c r="Z956" s="510">
        <f t="shared" si="678"/>
        <v>0</v>
      </c>
      <c r="AA956" s="511"/>
      <c r="AB956" s="511" t="str">
        <f t="shared" si="679"/>
        <v/>
      </c>
      <c r="AC956" s="698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698"/>
      <c r="AE956" s="631" t="str">
        <f t="shared" si="680"/>
        <v/>
      </c>
      <c r="AF956" s="699" t="str">
        <f t="shared" si="681"/>
        <v/>
      </c>
      <c r="AG956" s="699"/>
      <c r="AH956" s="699"/>
      <c r="AI956" s="512">
        <f>IF(H956="credit",0,IF(AE956="free",0,IF(AE956="me",0,IF(G956&gt;0,(VLOOKUP(A956,'Discount Lookup'!J:K,2)*G956),0))))</f>
        <v>0</v>
      </c>
      <c r="AJ956" s="513" t="str">
        <f t="shared" ca="1" si="682"/>
        <v/>
      </c>
      <c r="AK956" s="700" t="str">
        <f t="shared" si="683"/>
        <v/>
      </c>
      <c r="AL956" s="700"/>
      <c r="AM956" s="505" t="str">
        <f t="shared" si="684"/>
        <v/>
      </c>
      <c r="AN956" s="506"/>
      <c r="AO956" s="507"/>
      <c r="AP956" s="507"/>
      <c r="AQ956" s="507"/>
      <c r="AR956" s="507"/>
      <c r="AS956" s="507"/>
      <c r="AT956" s="507"/>
      <c r="AU956" s="507"/>
      <c r="AV956" s="225"/>
      <c r="AW956" s="508"/>
      <c r="AX956" s="225"/>
      <c r="AY956" s="225"/>
      <c r="AZ956" s="225"/>
      <c r="BA956" s="225"/>
      <c r="BB956" s="225"/>
      <c r="BC956" s="56"/>
      <c r="BD956" s="56"/>
      <c r="BE956" s="56"/>
      <c r="BF956" s="107" t="str">
        <f t="shared" si="685"/>
        <v>https://www.google.com/search?tbm=isch&amp;q=7%20G3</v>
      </c>
      <c r="BG956" s="107" t="str">
        <f t="shared" si="686"/>
        <v>C</v>
      </c>
      <c r="BH956" s="254"/>
      <c r="BI956" s="254"/>
    </row>
    <row r="957" spans="1:61" customFormat="1" ht="16.5" x14ac:dyDescent="0.25">
      <c r="A957" s="522" t="s">
        <v>2874</v>
      </c>
      <c r="B957" s="491"/>
      <c r="C957" s="675"/>
      <c r="D957" s="491"/>
      <c r="E957" s="491"/>
      <c r="F957" s="492"/>
      <c r="G957" s="493"/>
      <c r="H957" s="491"/>
      <c r="I957" s="234"/>
      <c r="J957" s="234"/>
      <c r="K957" s="494"/>
      <c r="L957" s="543"/>
      <c r="M957" s="561"/>
      <c r="N957" s="495"/>
      <c r="O957" s="496"/>
      <c r="P957" s="497"/>
      <c r="Q957" s="495"/>
      <c r="R957" s="495"/>
      <c r="S957" s="667" t="s">
        <v>4984</v>
      </c>
      <c r="T957" s="508">
        <f t="shared" si="674"/>
        <v>0</v>
      </c>
      <c r="U957" s="225" t="str">
        <f>IF(NOT(ISNUMBER(G957)), "", VLOOKUP(A957,'Discount Lookup'!D:E,2,FALSE)*G957)</f>
        <v/>
      </c>
      <c r="V957" s="225" t="str">
        <f>IF(NOT(ISNUMBER(G957)), "", VLOOKUP(A957,'Discount Lookup'!G:H,2,FALSE)*G957)</f>
        <v/>
      </c>
      <c r="W957" s="508">
        <f t="shared" si="675"/>
        <v>0</v>
      </c>
      <c r="X957" s="508">
        <f t="shared" si="676"/>
        <v>0</v>
      </c>
      <c r="Y957" s="509" t="b">
        <f t="shared" si="677"/>
        <v>0</v>
      </c>
      <c r="Z957" s="510">
        <f t="shared" si="678"/>
        <v>0</v>
      </c>
      <c r="AA957" s="511"/>
      <c r="AB957" s="511" t="str">
        <f t="shared" si="679"/>
        <v/>
      </c>
      <c r="AC957" s="698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698"/>
      <c r="AE957" s="631" t="str">
        <f t="shared" si="680"/>
        <v/>
      </c>
      <c r="AF957" s="699" t="str">
        <f t="shared" si="681"/>
        <v/>
      </c>
      <c r="AG957" s="699"/>
      <c r="AH957" s="699"/>
      <c r="AI957" s="512">
        <f>IF(H957="credit",0,IF(AE957="free",0,IF(AE957="me",0,IF(G957&gt;0,(VLOOKUP(A957,'Discount Lookup'!J:K,2)*G957),0))))</f>
        <v>0</v>
      </c>
      <c r="AJ957" s="513" t="str">
        <f t="shared" ca="1" si="682"/>
        <v/>
      </c>
      <c r="AK957" s="700" t="str">
        <f t="shared" si="683"/>
        <v/>
      </c>
      <c r="AL957" s="700"/>
      <c r="AM957" s="505" t="str">
        <f t="shared" si="684"/>
        <v/>
      </c>
      <c r="AN957" s="506"/>
      <c r="AO957" s="507"/>
      <c r="AP957" s="507"/>
      <c r="AQ957" s="507"/>
      <c r="AR957" s="507"/>
      <c r="AS957" s="507"/>
      <c r="AT957" s="507"/>
      <c r="AU957" s="507"/>
      <c r="AV957" s="225"/>
      <c r="AW957" s="508"/>
      <c r="AX957" s="225"/>
      <c r="AY957" s="225"/>
      <c r="AZ957" s="225"/>
      <c r="BA957" s="225"/>
      <c r="BB957" s="225"/>
      <c r="BC957" s="56"/>
      <c r="BD957" s="56"/>
      <c r="BE957" s="56"/>
      <c r="BF957" s="107" t="str">
        <f t="shared" si="685"/>
        <v>https://www.google.com/search?tbm=isch&amp;q=Curly%20Leaf%20blooms%20late%20spring%20to%20early%20summer.%20Curled%20foliage%20resembles%20a%20Jade%20plant.%20Dark%20Green%20foliage%20</v>
      </c>
      <c r="BG957" s="107" t="str">
        <f t="shared" si="686"/>
        <v>C</v>
      </c>
      <c r="BH957" s="254"/>
      <c r="BI957" s="254"/>
    </row>
    <row r="958" spans="1:61" customFormat="1" ht="45.75" thickBot="1" x14ac:dyDescent="0.35">
      <c r="A958" s="525" t="s">
        <v>727</v>
      </c>
      <c r="B958" s="248"/>
      <c r="C958" s="678" t="s">
        <v>673</v>
      </c>
      <c r="D958" s="249"/>
      <c r="E958" s="249"/>
      <c r="F958" s="249"/>
      <c r="G958" s="249"/>
      <c r="H958" s="250"/>
      <c r="I958" s="249"/>
      <c r="J958" s="249"/>
      <c r="K958" s="526" t="s">
        <v>2840</v>
      </c>
      <c r="L958" s="279"/>
      <c r="M958" s="251"/>
      <c r="S958" s="504" t="s">
        <v>2841</v>
      </c>
      <c r="T958" s="508">
        <f t="shared" si="674"/>
        <v>0</v>
      </c>
      <c r="U958" s="225" t="str">
        <f>IF(NOT(ISNUMBER(G958)), "", VLOOKUP(A958,'Discount Lookup'!D:E,2,FALSE)*G958)</f>
        <v/>
      </c>
      <c r="V958" s="225" t="str">
        <f>IF(NOT(ISNUMBER(G958)), "", VLOOKUP(A958,'Discount Lookup'!G:H,2,FALSE)*G958)</f>
        <v/>
      </c>
      <c r="W958" s="508">
        <f t="shared" si="675"/>
        <v>0</v>
      </c>
      <c r="X958" s="508">
        <f t="shared" si="676"/>
        <v>0</v>
      </c>
      <c r="Y958" s="509" t="b">
        <f t="shared" si="677"/>
        <v>0</v>
      </c>
      <c r="Z958" s="510">
        <f t="shared" si="678"/>
        <v>0</v>
      </c>
      <c r="AA958" s="511"/>
      <c r="AB958" s="511" t="str">
        <f t="shared" si="679"/>
        <v/>
      </c>
      <c r="AC958" s="698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698"/>
      <c r="AE958" s="631" t="str">
        <f t="shared" si="680"/>
        <v/>
      </c>
      <c r="AF958" s="699" t="str">
        <f t="shared" si="681"/>
        <v/>
      </c>
      <c r="AG958" s="699"/>
      <c r="AH958" s="699"/>
      <c r="AI958" s="512">
        <f>IF(H958="credit",0,IF(AE958="free",0,IF(AE958="me",0,IF(G958&gt;0,(VLOOKUP(A958,'Discount Lookup'!J:K,2)*G958),0))))</f>
        <v>0</v>
      </c>
      <c r="AJ958" s="513" t="str">
        <f t="shared" ca="1" si="682"/>
        <v/>
      </c>
      <c r="AK958" s="700" t="str">
        <f t="shared" si="683"/>
        <v/>
      </c>
      <c r="AL958" s="700"/>
      <c r="AM958" s="505" t="str">
        <f t="shared" si="684"/>
        <v/>
      </c>
      <c r="AN958" s="506"/>
      <c r="AO958" s="507"/>
      <c r="AP958" s="507"/>
      <c r="AQ958" s="507"/>
      <c r="AR958" s="507"/>
      <c r="AS958" s="507"/>
      <c r="AT958" s="507"/>
      <c r="AU958" s="507"/>
      <c r="AV958" s="225"/>
      <c r="AW958" s="508"/>
      <c r="AX958" s="225"/>
      <c r="AY958" s="225"/>
      <c r="AZ958" s="225"/>
      <c r="BA958" s="225"/>
      <c r="BB958" s="225"/>
      <c r="BC958" s="56"/>
      <c r="BD958" s="56"/>
      <c r="BE958" s="56"/>
      <c r="BF958" s="107" t="str">
        <f t="shared" si="685"/>
        <v>https://www.google.com/search?tbm=isch&amp;q=D%20</v>
      </c>
      <c r="BG958" s="107" t="str">
        <f t="shared" si="686"/>
        <v>D</v>
      </c>
      <c r="BH958" s="254"/>
      <c r="BI958" s="254"/>
    </row>
    <row r="959" spans="1:61" customFormat="1" ht="18" x14ac:dyDescent="0.25">
      <c r="A959" s="523" t="s">
        <v>5384</v>
      </c>
      <c r="B959" s="235"/>
      <c r="C959" s="676"/>
      <c r="D959" s="255" t="s">
        <v>728</v>
      </c>
      <c r="E959" s="236"/>
      <c r="F959" s="236"/>
      <c r="G959" s="236"/>
      <c r="H959" s="582" t="s">
        <v>441</v>
      </c>
      <c r="I959" s="498" t="s">
        <v>3144</v>
      </c>
      <c r="J959" s="237"/>
      <c r="K959" s="237"/>
      <c r="L959" s="274"/>
      <c r="M959" s="668" t="s">
        <v>4962</v>
      </c>
      <c r="N959" s="681" t="str">
        <f>IF(AND(ISTEXT($A959), ISERROR($A959+0)), HYPERLINK($BF959, "Images"), "")</f>
        <v>Images</v>
      </c>
      <c r="O959" s="663" t="s">
        <v>4967</v>
      </c>
      <c r="P959" s="253"/>
      <c r="Q959" s="238"/>
      <c r="R959" s="239"/>
      <c r="S959" s="275"/>
      <c r="T959" s="508">
        <f t="shared" si="674"/>
        <v>0</v>
      </c>
      <c r="U959" s="225" t="str">
        <f>IF(NOT(ISNUMBER(G959)), "", VLOOKUP(A959,'Discount Lookup'!D:E,2,FALSE)*G959)</f>
        <v/>
      </c>
      <c r="V959" s="225" t="str">
        <f>IF(NOT(ISNUMBER(G959)), "", VLOOKUP(A959,'Discount Lookup'!G:H,2,FALSE)*G959)</f>
        <v/>
      </c>
      <c r="W959" s="508">
        <f t="shared" si="675"/>
        <v>0</v>
      </c>
      <c r="X959" s="508" t="str">
        <f t="shared" si="676"/>
        <v>Light Purple bloom, Orange eye</v>
      </c>
      <c r="Y959" s="509" t="b">
        <f t="shared" si="677"/>
        <v>0</v>
      </c>
      <c r="Z959" s="510">
        <f t="shared" si="678"/>
        <v>0</v>
      </c>
      <c r="AA959" s="511"/>
      <c r="AB959" s="511" t="str">
        <f t="shared" si="679"/>
        <v/>
      </c>
      <c r="AC959" s="698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698"/>
      <c r="AE959" s="631" t="str">
        <f t="shared" si="680"/>
        <v/>
      </c>
      <c r="AF959" s="699" t="str">
        <f t="shared" si="681"/>
        <v/>
      </c>
      <c r="AG959" s="699"/>
      <c r="AH959" s="699"/>
      <c r="AI959" s="512">
        <f>IF(H959="credit",0,IF(AE959="free",0,IF(AE959="me",0,IF(G959&gt;0,(VLOOKUP(A959,'Discount Lookup'!J:K,2)*G959),0))))</f>
        <v>0</v>
      </c>
      <c r="AJ959" s="513" t="str">
        <f t="shared" ca="1" si="682"/>
        <v/>
      </c>
      <c r="AK959" s="700" t="str">
        <f t="shared" si="683"/>
        <v/>
      </c>
      <c r="AL959" s="700"/>
      <c r="AM959" s="505" t="str">
        <f t="shared" si="684"/>
        <v/>
      </c>
      <c r="AN959" s="506"/>
      <c r="AO959" s="507"/>
      <c r="AP959" s="507"/>
      <c r="AQ959" s="507"/>
      <c r="AR959" s="507"/>
      <c r="AS959" s="507"/>
      <c r="AT959" s="507"/>
      <c r="AU959" s="507"/>
      <c r="AV959" s="225"/>
      <c r="AW959" s="508"/>
      <c r="AX959" s="225"/>
      <c r="AY959" s="225"/>
      <c r="AZ959" s="225"/>
      <c r="BA959" s="225"/>
      <c r="BB959" s="225"/>
      <c r="BC959" s="56"/>
      <c r="BD959" s="56"/>
      <c r="BE959" s="56"/>
      <c r="BF959" s="107" t="str">
        <f t="shared" si="685"/>
        <v>https://www.google.com/search?tbm=isch&amp;q=Dapper%C2%AE%20Lavender%20Butterfly%20Bush%20Buddleia%20davidii%20%27Buddaplav%27%20PP%2333625</v>
      </c>
      <c r="BG959" s="107" t="str">
        <f t="shared" si="686"/>
        <v>D</v>
      </c>
      <c r="BH959" s="254"/>
      <c r="BI959" s="254"/>
    </row>
    <row r="960" spans="1:61" customFormat="1" ht="15.75" x14ac:dyDescent="0.25">
      <c r="A960" s="276">
        <v>3</v>
      </c>
      <c r="B960" s="240" t="s">
        <v>291</v>
      </c>
      <c r="C960" s="241" t="s">
        <v>452</v>
      </c>
      <c r="D960" s="242" t="s">
        <v>297</v>
      </c>
      <c r="E960" s="243">
        <v>28.95</v>
      </c>
      <c r="F960" s="517" t="s">
        <v>293</v>
      </c>
      <c r="G960" s="232">
        <v>0</v>
      </c>
      <c r="H960" s="661" t="str">
        <f>IF(G960=0,"",IF(F960="Buy",IF(G960=1,"plant","plants"),IF(F960&gt;0.01,"warranty","Error")))</f>
        <v/>
      </c>
      <c r="I960" s="244">
        <f>IF(H960="free",0,IF(H960="credit",((E960*(F960))*G960*-1),IF(F960="Buy",(E960*G960),((E960*(1-F960))*G960))))</f>
        <v>0</v>
      </c>
      <c r="J960" s="244">
        <f>IF(H960="warranty",0,(I960*(_xlfn.SINGLE(SalesTaxPercentage))))</f>
        <v>0</v>
      </c>
      <c r="K960" s="696">
        <f t="shared" ref="K960" si="709">I960+J960</f>
        <v>0</v>
      </c>
      <c r="L960" s="696"/>
      <c r="M960" s="659" t="str">
        <f>IF(AND(G960&gt;0,E960=0),"WARNING - no PRICE inserted",IF(H960="free"," FREE ~ no charge this plant",IF(H960="credit",CONCATENATE(" -$",ROUND(K960*(1-T2GDiscount)*-1,2)," CREDIT after discount"),IF(T2GDiscount=0,"",IF(G960=0,"",IF(F960="Buy",CONCATENATE(" $",ROUND(K960*(1-T2GDiscount),2)," with ",(T2GDiscount*100),"% discount"),CONCATENATE(" $",ROUND(K960*(1-T2GDiscount),2)," with ",((T2GDiscount*100+F960*100)-(T2GDiscount*100*F960)),IF(F960&gt;0,"% discounts",IF(NoWarrantyDiscount&gt;0,"% discounts","% discount")))))))))</f>
        <v/>
      </c>
      <c r="N960" s="660"/>
      <c r="O960" s="233"/>
      <c r="P960" s="233"/>
      <c r="Q960" s="233"/>
      <c r="R960" s="233"/>
      <c r="S960" s="233"/>
      <c r="T960" s="508">
        <f t="shared" si="674"/>
        <v>0</v>
      </c>
      <c r="U960" s="225">
        <f>IF(NOT(ISNUMBER(G960)), "", VLOOKUP(A960,'Discount Lookup'!D:E,2,FALSE)*G960)</f>
        <v>0</v>
      </c>
      <c r="V960" s="225">
        <f>IF(NOT(ISNUMBER(G960)), "", VLOOKUP(A960,'Discount Lookup'!G:H,2,FALSE)*G960)</f>
        <v>0</v>
      </c>
      <c r="W960" s="508">
        <f t="shared" si="675"/>
        <v>0</v>
      </c>
      <c r="X960" s="508">
        <f t="shared" si="676"/>
        <v>0</v>
      </c>
      <c r="Y960" s="509" t="b">
        <f t="shared" si="677"/>
        <v>0</v>
      </c>
      <c r="Z960" s="510">
        <f t="shared" si="678"/>
        <v>0</v>
      </c>
      <c r="AA960" s="511"/>
      <c r="AB960" s="511" t="str">
        <f t="shared" si="679"/>
        <v/>
      </c>
      <c r="AC960" s="698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698"/>
      <c r="AE960" s="631" t="str">
        <f t="shared" si="680"/>
        <v/>
      </c>
      <c r="AF960" s="699" t="str">
        <f t="shared" si="681"/>
        <v/>
      </c>
      <c r="AG960" s="699"/>
      <c r="AH960" s="699"/>
      <c r="AI960" s="512">
        <f>IF(H960="credit",0,IF(AE960="free",0,IF(AE960="me",0,IF(G960&gt;0,(VLOOKUP(A960,'Discount Lookup'!J:K,2)*G960),0))))</f>
        <v>0</v>
      </c>
      <c r="AJ960" s="513" t="str">
        <f t="shared" ca="1" si="682"/>
        <v/>
      </c>
      <c r="AK960" s="700" t="str">
        <f t="shared" si="683"/>
        <v/>
      </c>
      <c r="AL960" s="700"/>
      <c r="AM960" s="505" t="str">
        <f t="shared" si="684"/>
        <v/>
      </c>
      <c r="AN960" s="506"/>
      <c r="AO960" s="507"/>
      <c r="AP960" s="507"/>
      <c r="AQ960" s="507"/>
      <c r="AR960" s="507"/>
      <c r="AS960" s="507"/>
      <c r="AT960" s="507"/>
      <c r="AU960" s="507"/>
      <c r="AV960" s="225"/>
      <c r="AW960" s="508"/>
      <c r="AX960" s="225"/>
      <c r="AY960" s="225"/>
      <c r="AZ960" s="225"/>
      <c r="BA960" s="225"/>
      <c r="BB960" s="225"/>
      <c r="BC960" s="56"/>
      <c r="BD960" s="56"/>
      <c r="BE960" s="56"/>
      <c r="BF960" s="107" t="str">
        <f t="shared" si="685"/>
        <v>https://www.google.com/search?tbm=isch&amp;q=3%20G3</v>
      </c>
      <c r="BG960" s="107" t="str">
        <f t="shared" si="686"/>
        <v>D</v>
      </c>
      <c r="BH960" s="254"/>
      <c r="BI960" s="254"/>
    </row>
    <row r="961" spans="1:61" customFormat="1" ht="17.25" thickBot="1" x14ac:dyDescent="0.3">
      <c r="A961" s="524" t="s">
        <v>4079</v>
      </c>
      <c r="B961" s="245"/>
      <c r="C961" s="677"/>
      <c r="D961" s="499"/>
      <c r="E961" s="499"/>
      <c r="F961" s="500"/>
      <c r="G961" s="501"/>
      <c r="H961" s="502"/>
      <c r="I961" s="246"/>
      <c r="J961" s="247"/>
      <c r="K961" s="503"/>
      <c r="L961" s="544"/>
      <c r="M961" s="544"/>
      <c r="N961" s="500"/>
      <c r="O961" s="500"/>
      <c r="P961" s="500"/>
      <c r="Q961" s="500"/>
      <c r="R961" s="500"/>
      <c r="S961" s="669" t="s">
        <v>4980</v>
      </c>
      <c r="T961" s="508">
        <f t="shared" si="674"/>
        <v>0</v>
      </c>
      <c r="U961" s="225" t="str">
        <f>IF(NOT(ISNUMBER(G961)), "", VLOOKUP(A961,'Discount Lookup'!D:E,2,FALSE)*G961)</f>
        <v/>
      </c>
      <c r="V961" s="225" t="str">
        <f>IF(NOT(ISNUMBER(G961)), "", VLOOKUP(A961,'Discount Lookup'!G:H,2,FALSE)*G961)</f>
        <v/>
      </c>
      <c r="W961" s="508">
        <f t="shared" si="675"/>
        <v>0</v>
      </c>
      <c r="X961" s="508">
        <f t="shared" si="676"/>
        <v>0</v>
      </c>
      <c r="Y961" s="509" t="b">
        <f t="shared" si="677"/>
        <v>0</v>
      </c>
      <c r="Z961" s="510">
        <f t="shared" si="678"/>
        <v>0</v>
      </c>
      <c r="AA961" s="511"/>
      <c r="AB961" s="511" t="str">
        <f t="shared" si="679"/>
        <v/>
      </c>
      <c r="AC961" s="698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698"/>
      <c r="AE961" s="631" t="str">
        <f t="shared" si="680"/>
        <v/>
      </c>
      <c r="AF961" s="699" t="str">
        <f t="shared" si="681"/>
        <v/>
      </c>
      <c r="AG961" s="699"/>
      <c r="AH961" s="699"/>
      <c r="AI961" s="512">
        <f>IF(H961="credit",0,IF(AE961="free",0,IF(AE961="me",0,IF(G961&gt;0,(VLOOKUP(A961,'Discount Lookup'!J:K,2)*G961),0))))</f>
        <v>0</v>
      </c>
      <c r="AJ961" s="513" t="str">
        <f t="shared" ca="1" si="682"/>
        <v/>
      </c>
      <c r="AK961" s="700" t="str">
        <f t="shared" si="683"/>
        <v/>
      </c>
      <c r="AL961" s="700"/>
      <c r="AM961" s="505" t="str">
        <f t="shared" si="684"/>
        <v/>
      </c>
      <c r="AN961" s="506"/>
      <c r="AO961" s="507"/>
      <c r="AP961" s="507"/>
      <c r="AQ961" s="507"/>
      <c r="AR961" s="507"/>
      <c r="AS961" s="507"/>
      <c r="AT961" s="507"/>
      <c r="AU961" s="507"/>
      <c r="AV961" s="225"/>
      <c r="AW961" s="508"/>
      <c r="AX961" s="225"/>
      <c r="AY961" s="225"/>
      <c r="AZ961" s="225"/>
      <c r="BA961" s="225"/>
      <c r="BB961" s="225"/>
      <c r="BC961" s="56"/>
      <c r="BD961" s="56"/>
      <c r="BE961" s="56"/>
      <c r="BF961" s="107" t="str">
        <f t="shared" si="685"/>
        <v>https://www.google.com/search?tbm=isch&amp;q=Dapper%20Lavender%20has%20Gray-Green%20foliage%20and%20a%20fragrance.%20All%20BB%20bloom%20summer%20to%20frost%2C%20on%20new%20wood%2C%20so%20cut%20back%20hard%20late%20winter%20</v>
      </c>
      <c r="BG961" s="107" t="str">
        <f t="shared" si="686"/>
        <v>D</v>
      </c>
      <c r="BH961" s="254"/>
      <c r="BI961" s="254"/>
    </row>
    <row r="962" spans="1:61" customFormat="1" ht="18" x14ac:dyDescent="0.25">
      <c r="A962" s="523" t="s">
        <v>5385</v>
      </c>
      <c r="B962" s="235"/>
      <c r="C962" s="676"/>
      <c r="D962" s="255" t="s">
        <v>729</v>
      </c>
      <c r="E962" s="236"/>
      <c r="F962" s="236"/>
      <c r="G962" s="236"/>
      <c r="H962" s="582" t="s">
        <v>441</v>
      </c>
      <c r="I962" s="498" t="s">
        <v>3145</v>
      </c>
      <c r="J962" s="237"/>
      <c r="K962" s="237"/>
      <c r="L962" s="274"/>
      <c r="M962" s="668" t="s">
        <v>4962</v>
      </c>
      <c r="N962" s="681" t="str">
        <f>IF(AND(ISTEXT($A962), ISERROR($A962+0)), HYPERLINK($BF962, "Images"), "")</f>
        <v>Images</v>
      </c>
      <c r="O962" s="663" t="s">
        <v>4967</v>
      </c>
      <c r="P962" s="253"/>
      <c r="Q962" s="238"/>
      <c r="R962" s="239"/>
      <c r="S962" s="275"/>
      <c r="T962" s="508">
        <f t="shared" si="674"/>
        <v>0</v>
      </c>
      <c r="U962" s="225" t="str">
        <f>IF(NOT(ISNUMBER(G962)), "", VLOOKUP(A962,'Discount Lookup'!D:E,2,FALSE)*G962)</f>
        <v/>
      </c>
      <c r="V962" s="225" t="str">
        <f>IF(NOT(ISNUMBER(G962)), "", VLOOKUP(A962,'Discount Lookup'!G:H,2,FALSE)*G962)</f>
        <v/>
      </c>
      <c r="W962" s="508">
        <f t="shared" si="675"/>
        <v>0</v>
      </c>
      <c r="X962" s="508" t="str">
        <f t="shared" si="676"/>
        <v>Bubblegum Pink bloom</v>
      </c>
      <c r="Y962" s="509" t="b">
        <f t="shared" si="677"/>
        <v>0</v>
      </c>
      <c r="Z962" s="510">
        <f t="shared" si="678"/>
        <v>0</v>
      </c>
      <c r="AA962" s="511"/>
      <c r="AB962" s="511" t="str">
        <f t="shared" si="679"/>
        <v/>
      </c>
      <c r="AC962" s="698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698"/>
      <c r="AE962" s="631" t="str">
        <f t="shared" si="680"/>
        <v/>
      </c>
      <c r="AF962" s="699" t="str">
        <f t="shared" si="681"/>
        <v/>
      </c>
      <c r="AG962" s="699"/>
      <c r="AH962" s="699"/>
      <c r="AI962" s="512">
        <f>IF(H962="credit",0,IF(AE962="free",0,IF(AE962="me",0,IF(G962&gt;0,(VLOOKUP(A962,'Discount Lookup'!J:K,2)*G962),0))))</f>
        <v>0</v>
      </c>
      <c r="AJ962" s="513" t="str">
        <f t="shared" ca="1" si="682"/>
        <v/>
      </c>
      <c r="AK962" s="700" t="str">
        <f t="shared" si="683"/>
        <v/>
      </c>
      <c r="AL962" s="700"/>
      <c r="AM962" s="505" t="str">
        <f t="shared" si="684"/>
        <v/>
      </c>
      <c r="AN962" s="506"/>
      <c r="AO962" s="507"/>
      <c r="AP962" s="507"/>
      <c r="AQ962" s="507"/>
      <c r="AR962" s="507"/>
      <c r="AS962" s="507"/>
      <c r="AT962" s="507"/>
      <c r="AU962" s="507"/>
      <c r="AV962" s="225"/>
      <c r="AW962" s="508"/>
      <c r="AX962" s="225"/>
      <c r="AY962" s="225"/>
      <c r="AZ962" s="225"/>
      <c r="BA962" s="225"/>
      <c r="BB962" s="225"/>
      <c r="BC962" s="56"/>
      <c r="BD962" s="56"/>
      <c r="BE962" s="56"/>
      <c r="BF962" s="107" t="str">
        <f t="shared" si="685"/>
        <v>https://www.google.com/search?tbm=isch&amp;q=Dapper%C2%AE%20Pink%20Butterfly%20Bush%20Buddleia%20davidii%20%27Condappin%27%20PP%2335922</v>
      </c>
      <c r="BG962" s="107" t="str">
        <f t="shared" si="686"/>
        <v>D</v>
      </c>
      <c r="BH962" s="254"/>
      <c r="BI962" s="254"/>
    </row>
    <row r="963" spans="1:61" customFormat="1" ht="15.75" x14ac:dyDescent="0.25">
      <c r="A963" s="276">
        <v>3</v>
      </c>
      <c r="B963" s="240" t="s">
        <v>291</v>
      </c>
      <c r="C963" s="241"/>
      <c r="D963" s="242" t="s">
        <v>298</v>
      </c>
      <c r="E963" s="243">
        <v>28.95</v>
      </c>
      <c r="F963" s="517" t="s">
        <v>293</v>
      </c>
      <c r="G963" s="232">
        <v>0</v>
      </c>
      <c r="H963" s="661" t="str">
        <f>IF(G963=0,"",IF(F963="Buy",IF(G963=1,"plant","plants"),IF(F963&gt;0.01,"warranty","Error")))</f>
        <v/>
      </c>
      <c r="I963" s="244">
        <f>IF(H963="free",0,IF(H963="credit",((E963*(F963))*G963*-1),IF(F963="Buy",(E963*G963),((E963*(1-F963))*G963))))</f>
        <v>0</v>
      </c>
      <c r="J963" s="244">
        <f>IF(H963="warranty",0,(I963*(_xlfn.SINGLE(SalesTaxPercentage))))</f>
        <v>0</v>
      </c>
      <c r="K963" s="696">
        <f t="shared" ref="K963" si="710">I963+J963</f>
        <v>0</v>
      </c>
      <c r="L963" s="696"/>
      <c r="M963" s="659" t="str">
        <f>IF(AND(G963&gt;0,E963=0),"WARNING - no PRICE inserted",IF(H963="free"," FREE ~ no charge this plant",IF(H963="credit",CONCATENATE(" -$",ROUND(K963*(1-T2GDiscount)*-1,2)," CREDIT after discount"),IF(T2GDiscount=0,"",IF(G963=0,"",IF(F963="Buy",CONCATENATE(" $",ROUND(K963*(1-T2GDiscount),2)," with ",(T2GDiscount*100),"% discount"),CONCATENATE(" $",ROUND(K963*(1-T2GDiscount),2)," with ",((T2GDiscount*100+F963*100)-(T2GDiscount*100*F963)),IF(F963&gt;0,"% discounts",IF(NoWarrantyDiscount&gt;0,"% discounts","% discount")))))))))</f>
        <v/>
      </c>
      <c r="N963" s="660"/>
      <c r="O963" s="233"/>
      <c r="P963" s="233"/>
      <c r="Q963" s="233"/>
      <c r="R963" s="233"/>
      <c r="S963" s="233"/>
      <c r="T963" s="508">
        <f t="shared" si="674"/>
        <v>0</v>
      </c>
      <c r="U963" s="225">
        <f>IF(NOT(ISNUMBER(G963)), "", VLOOKUP(A963,'Discount Lookup'!D:E,2,FALSE)*G963)</f>
        <v>0</v>
      </c>
      <c r="V963" s="225">
        <f>IF(NOT(ISNUMBER(G963)), "", VLOOKUP(A963,'Discount Lookup'!G:H,2,FALSE)*G963)</f>
        <v>0</v>
      </c>
      <c r="W963" s="508">
        <f t="shared" si="675"/>
        <v>0</v>
      </c>
      <c r="X963" s="508">
        <f t="shared" si="676"/>
        <v>0</v>
      </c>
      <c r="Y963" s="509" t="b">
        <f t="shared" si="677"/>
        <v>0</v>
      </c>
      <c r="Z963" s="510">
        <f t="shared" si="678"/>
        <v>0</v>
      </c>
      <c r="AA963" s="511"/>
      <c r="AB963" s="511" t="str">
        <f t="shared" si="679"/>
        <v/>
      </c>
      <c r="AC963" s="698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698"/>
      <c r="AE963" s="631" t="str">
        <f t="shared" si="680"/>
        <v/>
      </c>
      <c r="AF963" s="699" t="str">
        <f t="shared" si="681"/>
        <v/>
      </c>
      <c r="AG963" s="699"/>
      <c r="AH963" s="699"/>
      <c r="AI963" s="512">
        <f>IF(H963="credit",0,IF(AE963="free",0,IF(AE963="me",0,IF(G963&gt;0,(VLOOKUP(A963,'Discount Lookup'!J:K,2)*G963),0))))</f>
        <v>0</v>
      </c>
      <c r="AJ963" s="513" t="str">
        <f t="shared" ca="1" si="682"/>
        <v/>
      </c>
      <c r="AK963" s="700" t="str">
        <f t="shared" si="683"/>
        <v/>
      </c>
      <c r="AL963" s="700"/>
      <c r="AM963" s="505" t="str">
        <f t="shared" si="684"/>
        <v/>
      </c>
      <c r="AN963" s="506"/>
      <c r="AO963" s="507"/>
      <c r="AP963" s="507"/>
      <c r="AQ963" s="507"/>
      <c r="AR963" s="507"/>
      <c r="AS963" s="507"/>
      <c r="AT963" s="507"/>
      <c r="AU963" s="507"/>
      <c r="AV963" s="225"/>
      <c r="AW963" s="508"/>
      <c r="AX963" s="225"/>
      <c r="AY963" s="225"/>
      <c r="AZ963" s="225"/>
      <c r="BA963" s="225"/>
      <c r="BB963" s="225"/>
      <c r="BC963" s="56"/>
      <c r="BD963" s="56"/>
      <c r="BE963" s="56"/>
      <c r="BF963" s="107" t="str">
        <f t="shared" si="685"/>
        <v>https://www.google.com/search?tbm=isch&amp;q=3%20G1</v>
      </c>
      <c r="BG963" s="107" t="str">
        <f t="shared" si="686"/>
        <v>D</v>
      </c>
      <c r="BH963" s="254"/>
      <c r="BI963" s="254"/>
    </row>
    <row r="964" spans="1:61" customFormat="1" ht="15.75" x14ac:dyDescent="0.25">
      <c r="A964" s="276">
        <v>3</v>
      </c>
      <c r="B964" s="240" t="s">
        <v>291</v>
      </c>
      <c r="C964" s="241"/>
      <c r="D964" s="242" t="s">
        <v>312</v>
      </c>
      <c r="E964" s="243">
        <v>30.95</v>
      </c>
      <c r="F964" s="517" t="s">
        <v>293</v>
      </c>
      <c r="G964" s="232">
        <v>0</v>
      </c>
      <c r="H964" s="661" t="str">
        <f>IF(G964=0,"",IF(F964="Buy",IF(G964=1,"plant","plants"),IF(F964&gt;0.01,"warranty","Error")))</f>
        <v/>
      </c>
      <c r="I964" s="244">
        <f>IF(H964="free",0,IF(H964="credit",((E964*(F964))*G964*-1),IF(F964="Buy",(E964*G964),((E964*(1-F964))*G964))))</f>
        <v>0</v>
      </c>
      <c r="J964" s="244">
        <f>IF(H964="warranty",0,(I964*(_xlfn.SINGLE(SalesTaxPercentage))))</f>
        <v>0</v>
      </c>
      <c r="K964" s="696">
        <f t="shared" ref="K964" si="711">I964+J964</f>
        <v>0</v>
      </c>
      <c r="L964" s="696"/>
      <c r="M964" s="659" t="str">
        <f>IF(AND(G964&gt;0,E964=0),"WARNING - no PRICE inserted",IF(H964="free"," FREE ~ no charge this plant",IF(H964="credit",CONCATENATE(" -$",ROUND(K964*(1-T2GDiscount)*-1,2)," CREDIT after discount"),IF(T2GDiscount=0,"",IF(G964=0,"",IF(F964="Buy",CONCATENATE(" $",ROUND(K964*(1-T2GDiscount),2)," with ",(T2GDiscount*100),"% discount"),CONCATENATE(" $",ROUND(K964*(1-T2GDiscount),2)," with ",((T2GDiscount*100+F964*100)-(T2GDiscount*100*F964)),IF(F964&gt;0,"% discounts",IF(NoWarrantyDiscount&gt;0,"% discounts","% discount")))))))))</f>
        <v/>
      </c>
      <c r="N964" s="660"/>
      <c r="O964" s="233"/>
      <c r="P964" s="233"/>
      <c r="Q964" s="233"/>
      <c r="R964" s="233"/>
      <c r="S964" s="233"/>
      <c r="T964" s="508">
        <f t="shared" si="674"/>
        <v>0</v>
      </c>
      <c r="U964" s="225">
        <f>IF(NOT(ISNUMBER(G964)), "", VLOOKUP(A964,'Discount Lookup'!D:E,2,FALSE)*G964)</f>
        <v>0</v>
      </c>
      <c r="V964" s="225">
        <f>IF(NOT(ISNUMBER(G964)), "", VLOOKUP(A964,'Discount Lookup'!G:H,2,FALSE)*G964)</f>
        <v>0</v>
      </c>
      <c r="W964" s="508">
        <f t="shared" si="675"/>
        <v>0</v>
      </c>
      <c r="X964" s="508">
        <f t="shared" si="676"/>
        <v>0</v>
      </c>
      <c r="Y964" s="509" t="b">
        <f t="shared" si="677"/>
        <v>0</v>
      </c>
      <c r="Z964" s="510">
        <f t="shared" si="678"/>
        <v>0</v>
      </c>
      <c r="AA964" s="511"/>
      <c r="AB964" s="511" t="str">
        <f t="shared" si="679"/>
        <v/>
      </c>
      <c r="AC964" s="698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698"/>
      <c r="AE964" s="631" t="str">
        <f t="shared" si="680"/>
        <v/>
      </c>
      <c r="AF964" s="699" t="str">
        <f t="shared" si="681"/>
        <v/>
      </c>
      <c r="AG964" s="699"/>
      <c r="AH964" s="699"/>
      <c r="AI964" s="512">
        <f>IF(H964="credit",0,IF(AE964="free",0,IF(AE964="me",0,IF(G964&gt;0,(VLOOKUP(A964,'Discount Lookup'!J:K,2)*G964),0))))</f>
        <v>0</v>
      </c>
      <c r="AJ964" s="513" t="str">
        <f t="shared" ca="1" si="682"/>
        <v/>
      </c>
      <c r="AK964" s="700" t="str">
        <f t="shared" si="683"/>
        <v/>
      </c>
      <c r="AL964" s="700"/>
      <c r="AM964" s="505" t="str">
        <f t="shared" si="684"/>
        <v/>
      </c>
      <c r="AN964" s="506"/>
      <c r="AO964" s="507"/>
      <c r="AP964" s="507"/>
      <c r="AQ964" s="507"/>
      <c r="AR964" s="507"/>
      <c r="AS964" s="507"/>
      <c r="AT964" s="507"/>
      <c r="AU964" s="507"/>
      <c r="AV964" s="225"/>
      <c r="AW964" s="508"/>
      <c r="AX964" s="225"/>
      <c r="AY964" s="225"/>
      <c r="AZ964" s="225"/>
      <c r="BA964" s="225"/>
      <c r="BB964" s="225"/>
      <c r="BC964" s="56"/>
      <c r="BD964" s="56"/>
      <c r="BE964" s="56"/>
      <c r="BF964" s="107" t="str">
        <f t="shared" si="685"/>
        <v>https://www.google.com/search?tbm=isch&amp;q=3%20G2</v>
      </c>
      <c r="BG964" s="107" t="str">
        <f t="shared" si="686"/>
        <v>D</v>
      </c>
      <c r="BH964" s="254"/>
      <c r="BI964" s="254"/>
    </row>
    <row r="965" spans="1:61" customFormat="1" ht="17.25" thickBot="1" x14ac:dyDescent="0.3">
      <c r="A965" s="524" t="s">
        <v>4080</v>
      </c>
      <c r="B965" s="245"/>
      <c r="C965" s="677"/>
      <c r="D965" s="499"/>
      <c r="E965" s="499"/>
      <c r="F965" s="500"/>
      <c r="G965" s="501"/>
      <c r="H965" s="502"/>
      <c r="I965" s="246"/>
      <c r="J965" s="247"/>
      <c r="K965" s="503"/>
      <c r="L965" s="544"/>
      <c r="M965" s="544"/>
      <c r="N965" s="500"/>
      <c r="O965" s="500"/>
      <c r="P965" s="500"/>
      <c r="Q965" s="500"/>
      <c r="R965" s="500"/>
      <c r="S965" s="669" t="s">
        <v>4980</v>
      </c>
      <c r="T965" s="508">
        <f t="shared" si="674"/>
        <v>0</v>
      </c>
      <c r="U965" s="225" t="str">
        <f>IF(NOT(ISNUMBER(G965)), "", VLOOKUP(A965,'Discount Lookup'!D:E,2,FALSE)*G965)</f>
        <v/>
      </c>
      <c r="V965" s="225" t="str">
        <f>IF(NOT(ISNUMBER(G965)), "", VLOOKUP(A965,'Discount Lookup'!G:H,2,FALSE)*G965)</f>
        <v/>
      </c>
      <c r="W965" s="508">
        <f t="shared" si="675"/>
        <v>0</v>
      </c>
      <c r="X965" s="508">
        <f t="shared" si="676"/>
        <v>0</v>
      </c>
      <c r="Y965" s="509" t="b">
        <f t="shared" si="677"/>
        <v>0</v>
      </c>
      <c r="Z965" s="510">
        <f t="shared" si="678"/>
        <v>0</v>
      </c>
      <c r="AA965" s="511"/>
      <c r="AB965" s="511" t="str">
        <f t="shared" si="679"/>
        <v/>
      </c>
      <c r="AC965" s="698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698"/>
      <c r="AE965" s="631" t="str">
        <f t="shared" si="680"/>
        <v/>
      </c>
      <c r="AF965" s="699" t="str">
        <f t="shared" si="681"/>
        <v/>
      </c>
      <c r="AG965" s="699"/>
      <c r="AH965" s="699"/>
      <c r="AI965" s="512">
        <f>IF(H965="credit",0,IF(AE965="free",0,IF(AE965="me",0,IF(G965&gt;0,(VLOOKUP(A965,'Discount Lookup'!J:K,2)*G965),0))))</f>
        <v>0</v>
      </c>
      <c r="AJ965" s="513" t="str">
        <f t="shared" ca="1" si="682"/>
        <v/>
      </c>
      <c r="AK965" s="700" t="str">
        <f t="shared" si="683"/>
        <v/>
      </c>
      <c r="AL965" s="700"/>
      <c r="AM965" s="505" t="str">
        <f t="shared" si="684"/>
        <v/>
      </c>
      <c r="AN965" s="506"/>
      <c r="AO965" s="507"/>
      <c r="AP965" s="507"/>
      <c r="AQ965" s="507"/>
      <c r="AR965" s="507"/>
      <c r="AS965" s="507"/>
      <c r="AT965" s="507"/>
      <c r="AU965" s="507"/>
      <c r="AV965" s="225"/>
      <c r="AW965" s="508"/>
      <c r="AX965" s="225"/>
      <c r="AY965" s="225"/>
      <c r="AZ965" s="225"/>
      <c r="BA965" s="225"/>
      <c r="BB965" s="225"/>
      <c r="BC965" s="56"/>
      <c r="BD965" s="56"/>
      <c r="BE965" s="56"/>
      <c r="BF965" s="107" t="str">
        <f t="shared" si="685"/>
        <v>https://www.google.com/search?tbm=isch&amp;q=Dapper%20Pink%20has%20Green%20foliage%20and%20a%20fragrance.%20%20All%20BB%20bloom%20summer%20to%20frost%2C%20on%20new%20wood%2C%20so%20cut%20back%20hard%20late%20winter%20</v>
      </c>
      <c r="BG965" s="107" t="str">
        <f t="shared" si="686"/>
        <v>D</v>
      </c>
      <c r="BH965" s="254"/>
      <c r="BI965" s="254"/>
    </row>
    <row r="966" spans="1:61" customFormat="1" ht="18" x14ac:dyDescent="0.25">
      <c r="A966" s="523" t="s">
        <v>5386</v>
      </c>
      <c r="B966" s="235"/>
      <c r="C966" s="676"/>
      <c r="D966" s="255" t="s">
        <v>730</v>
      </c>
      <c r="E966" s="236"/>
      <c r="F966" s="236"/>
      <c r="G966" s="236"/>
      <c r="H966" s="582" t="s">
        <v>441</v>
      </c>
      <c r="I966" s="498" t="s">
        <v>3146</v>
      </c>
      <c r="J966" s="237"/>
      <c r="K966" s="237"/>
      <c r="L966" s="274"/>
      <c r="M966" s="668" t="s">
        <v>4962</v>
      </c>
      <c r="N966" s="681" t="str">
        <f>IF(AND(ISTEXT($A966), ISERROR($A966+0)), HYPERLINK($BF966, "Images"), "")</f>
        <v>Images</v>
      </c>
      <c r="O966" s="663" t="s">
        <v>4967</v>
      </c>
      <c r="P966" s="253"/>
      <c r="Q966" s="238"/>
      <c r="R966" s="239"/>
      <c r="S966" s="275"/>
      <c r="T966" s="508">
        <f t="shared" si="674"/>
        <v>0</v>
      </c>
      <c r="U966" s="225" t="str">
        <f>IF(NOT(ISNUMBER(G966)), "", VLOOKUP(A966,'Discount Lookup'!D:E,2,FALSE)*G966)</f>
        <v/>
      </c>
      <c r="V966" s="225" t="str">
        <f>IF(NOT(ISNUMBER(G966)), "", VLOOKUP(A966,'Discount Lookup'!G:H,2,FALSE)*G966)</f>
        <v/>
      </c>
      <c r="W966" s="508">
        <f t="shared" si="675"/>
        <v>0</v>
      </c>
      <c r="X966" s="508" t="str">
        <f t="shared" si="676"/>
        <v>Pure White bloom, Yellow-Orange eye</v>
      </c>
      <c r="Y966" s="509" t="b">
        <f t="shared" si="677"/>
        <v>0</v>
      </c>
      <c r="Z966" s="510">
        <f t="shared" si="678"/>
        <v>0</v>
      </c>
      <c r="AA966" s="511"/>
      <c r="AB966" s="511" t="str">
        <f t="shared" si="679"/>
        <v/>
      </c>
      <c r="AC966" s="698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698"/>
      <c r="AE966" s="631" t="str">
        <f t="shared" si="680"/>
        <v/>
      </c>
      <c r="AF966" s="699" t="str">
        <f t="shared" si="681"/>
        <v/>
      </c>
      <c r="AG966" s="699"/>
      <c r="AH966" s="699"/>
      <c r="AI966" s="512">
        <f>IF(H966="credit",0,IF(AE966="free",0,IF(AE966="me",0,IF(G966&gt;0,(VLOOKUP(A966,'Discount Lookup'!J:K,2)*G966),0))))</f>
        <v>0</v>
      </c>
      <c r="AJ966" s="513" t="str">
        <f t="shared" ca="1" si="682"/>
        <v/>
      </c>
      <c r="AK966" s="700" t="str">
        <f t="shared" si="683"/>
        <v/>
      </c>
      <c r="AL966" s="700"/>
      <c r="AM966" s="505" t="str">
        <f t="shared" si="684"/>
        <v/>
      </c>
      <c r="AN966" s="506"/>
      <c r="AO966" s="507"/>
      <c r="AP966" s="507"/>
      <c r="AQ966" s="507"/>
      <c r="AR966" s="507"/>
      <c r="AS966" s="507"/>
      <c r="AT966" s="507"/>
      <c r="AU966" s="507"/>
      <c r="AV966" s="225"/>
      <c r="AW966" s="508"/>
      <c r="AX966" s="225"/>
      <c r="AY966" s="225"/>
      <c r="AZ966" s="225"/>
      <c r="BA966" s="225"/>
      <c r="BB966" s="225"/>
      <c r="BC966" s="56"/>
      <c r="BD966" s="56"/>
      <c r="BE966" s="56"/>
      <c r="BF966" s="107" t="str">
        <f t="shared" si="685"/>
        <v>https://www.google.com/search?tbm=isch&amp;q=Dapper%C2%AE%20White%20Butterfly%20Bush%20Buddleia%20davidii%20%27Dapconwhi%27%20PP%2335566</v>
      </c>
      <c r="BG966" s="107" t="str">
        <f t="shared" si="686"/>
        <v>D</v>
      </c>
      <c r="BH966" s="254"/>
      <c r="BI966" s="254"/>
    </row>
    <row r="967" spans="1:61" customFormat="1" ht="15.75" x14ac:dyDescent="0.25">
      <c r="A967" s="276">
        <v>3</v>
      </c>
      <c r="B967" s="240" t="s">
        <v>291</v>
      </c>
      <c r="C967" s="241"/>
      <c r="D967" s="242" t="s">
        <v>298</v>
      </c>
      <c r="E967" s="243">
        <v>28.95</v>
      </c>
      <c r="F967" s="517" t="s">
        <v>293</v>
      </c>
      <c r="G967" s="232">
        <v>0</v>
      </c>
      <c r="H967" s="661" t="str">
        <f>IF(G967=0,"",IF(F967="Buy",IF(G967=1,"plant","plants"),IF(F967&gt;0.01,"warranty","Error")))</f>
        <v/>
      </c>
      <c r="I967" s="244">
        <f>IF(H967="free",0,IF(H967="credit",((E967*(F967))*G967*-1),IF(F967="Buy",(E967*G967),((E967*(1-F967))*G967))))</f>
        <v>0</v>
      </c>
      <c r="J967" s="244">
        <f>IF(H967="warranty",0,(I967*(_xlfn.SINGLE(SalesTaxPercentage))))</f>
        <v>0</v>
      </c>
      <c r="K967" s="696">
        <f t="shared" ref="K967" si="712">I967+J967</f>
        <v>0</v>
      </c>
      <c r="L967" s="696"/>
      <c r="M967" s="659" t="str">
        <f>IF(AND(G967&gt;0,E967=0),"WARNING - no PRICE inserted",IF(H967="free"," FREE ~ no charge this plant",IF(H967="credit",CONCATENATE(" -$",ROUND(K967*(1-T2GDiscount)*-1,2)," CREDIT after discount"),IF(T2GDiscount=0,"",IF(G967=0,"",IF(F967="Buy",CONCATENATE(" $",ROUND(K967*(1-T2GDiscount),2)," with ",(T2GDiscount*100),"% discount"),CONCATENATE(" $",ROUND(K967*(1-T2GDiscount),2)," with ",((T2GDiscount*100+F967*100)-(T2GDiscount*100*F967)),IF(F967&gt;0,"% discounts",IF(NoWarrantyDiscount&gt;0,"% discounts","% discount")))))))))</f>
        <v/>
      </c>
      <c r="N967" s="660"/>
      <c r="O967" s="233"/>
      <c r="P967" s="233"/>
      <c r="Q967" s="233"/>
      <c r="R967" s="233"/>
      <c r="S967" s="233"/>
      <c r="T967" s="508">
        <f t="shared" si="674"/>
        <v>0</v>
      </c>
      <c r="U967" s="225">
        <f>IF(NOT(ISNUMBER(G967)), "", VLOOKUP(A967,'Discount Lookup'!D:E,2,FALSE)*G967)</f>
        <v>0</v>
      </c>
      <c r="V967" s="225">
        <f>IF(NOT(ISNUMBER(G967)), "", VLOOKUP(A967,'Discount Lookup'!G:H,2,FALSE)*G967)</f>
        <v>0</v>
      </c>
      <c r="W967" s="508">
        <f t="shared" si="675"/>
        <v>0</v>
      </c>
      <c r="X967" s="508">
        <f t="shared" si="676"/>
        <v>0</v>
      </c>
      <c r="Y967" s="509" t="b">
        <f t="shared" si="677"/>
        <v>0</v>
      </c>
      <c r="Z967" s="510">
        <f t="shared" si="678"/>
        <v>0</v>
      </c>
      <c r="AA967" s="511"/>
      <c r="AB967" s="511" t="str">
        <f t="shared" si="679"/>
        <v/>
      </c>
      <c r="AC967" s="698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698"/>
      <c r="AE967" s="631" t="str">
        <f t="shared" si="680"/>
        <v/>
      </c>
      <c r="AF967" s="699" t="str">
        <f t="shared" si="681"/>
        <v/>
      </c>
      <c r="AG967" s="699"/>
      <c r="AH967" s="699"/>
      <c r="AI967" s="512">
        <f>IF(H967="credit",0,IF(AE967="free",0,IF(AE967="me",0,IF(G967&gt;0,(VLOOKUP(A967,'Discount Lookup'!J:K,2)*G967),0))))</f>
        <v>0</v>
      </c>
      <c r="AJ967" s="513" t="str">
        <f t="shared" ca="1" si="682"/>
        <v/>
      </c>
      <c r="AK967" s="700" t="str">
        <f t="shared" si="683"/>
        <v/>
      </c>
      <c r="AL967" s="700"/>
      <c r="AM967" s="505" t="str">
        <f t="shared" si="684"/>
        <v/>
      </c>
      <c r="AN967" s="506"/>
      <c r="AO967" s="507"/>
      <c r="AP967" s="507"/>
      <c r="AQ967" s="507"/>
      <c r="AR967" s="507"/>
      <c r="AS967" s="507"/>
      <c r="AT967" s="507"/>
      <c r="AU967" s="507"/>
      <c r="AV967" s="225"/>
      <c r="AW967" s="508"/>
      <c r="AX967" s="225"/>
      <c r="AY967" s="225"/>
      <c r="AZ967" s="225"/>
      <c r="BA967" s="225"/>
      <c r="BB967" s="225"/>
      <c r="BC967" s="56"/>
      <c r="BD967" s="56"/>
      <c r="BE967" s="56"/>
      <c r="BF967" s="107" t="str">
        <f t="shared" si="685"/>
        <v>https://www.google.com/search?tbm=isch&amp;q=3%20G1</v>
      </c>
      <c r="BG967" s="107" t="str">
        <f t="shared" si="686"/>
        <v>D</v>
      </c>
      <c r="BH967" s="254"/>
      <c r="BI967" s="254"/>
    </row>
    <row r="968" spans="1:61" customFormat="1" ht="15.75" x14ac:dyDescent="0.25">
      <c r="A968" s="276">
        <v>3</v>
      </c>
      <c r="B968" s="240" t="s">
        <v>291</v>
      </c>
      <c r="C968" s="241" t="s">
        <v>4752</v>
      </c>
      <c r="D968" s="242" t="s">
        <v>312</v>
      </c>
      <c r="E968" s="243">
        <v>30.95</v>
      </c>
      <c r="F968" s="517" t="s">
        <v>293</v>
      </c>
      <c r="G968" s="232">
        <v>0</v>
      </c>
      <c r="H968" s="661" t="str">
        <f>IF(G968=0,"",IF(F968="Buy",IF(G968=1,"plant","plants"),IF(F968&gt;0.01,"warranty","Error")))</f>
        <v/>
      </c>
      <c r="I968" s="244">
        <f>IF(H968="free",0,IF(H968="credit",((E968*(F968))*G968*-1),IF(F968="Buy",(E968*G968),((E968*(1-F968))*G968))))</f>
        <v>0</v>
      </c>
      <c r="J968" s="244">
        <f>IF(H968="warranty",0,(I968*(_xlfn.SINGLE(SalesTaxPercentage))))</f>
        <v>0</v>
      </c>
      <c r="K968" s="696">
        <f t="shared" ref="K968" si="713">I968+J968</f>
        <v>0</v>
      </c>
      <c r="L968" s="696"/>
      <c r="M968" s="659" t="str">
        <f>IF(AND(G968&gt;0,E968=0),"WARNING - no PRICE inserted",IF(H968="free"," FREE ~ no charge this plant",IF(H968="credit",CONCATENATE(" -$",ROUND(K968*(1-T2GDiscount)*-1,2)," CREDIT after discount"),IF(T2GDiscount=0,"",IF(G968=0,"",IF(F968="Buy",CONCATENATE(" $",ROUND(K968*(1-T2GDiscount),2)," with ",(T2GDiscount*100),"% discount"),CONCATENATE(" $",ROUND(K968*(1-T2GDiscount),2)," with ",((T2GDiscount*100+F968*100)-(T2GDiscount*100*F968)),IF(F968&gt;0,"% discounts",IF(NoWarrantyDiscount&gt;0,"% discounts","% discount")))))))))</f>
        <v/>
      </c>
      <c r="N968" s="660"/>
      <c r="O968" s="233"/>
      <c r="P968" s="233"/>
      <c r="Q968" s="233"/>
      <c r="R968" s="233"/>
      <c r="S968" s="233"/>
      <c r="T968" s="508">
        <f t="shared" si="674"/>
        <v>0</v>
      </c>
      <c r="U968" s="225">
        <f>IF(NOT(ISNUMBER(G968)), "", VLOOKUP(A968,'Discount Lookup'!D:E,2,FALSE)*G968)</f>
        <v>0</v>
      </c>
      <c r="V968" s="225">
        <f>IF(NOT(ISNUMBER(G968)), "", VLOOKUP(A968,'Discount Lookup'!G:H,2,FALSE)*G968)</f>
        <v>0</v>
      </c>
      <c r="W968" s="508">
        <f t="shared" si="675"/>
        <v>0</v>
      </c>
      <c r="X968" s="508">
        <f t="shared" si="676"/>
        <v>0</v>
      </c>
      <c r="Y968" s="509" t="b">
        <f t="shared" si="677"/>
        <v>0</v>
      </c>
      <c r="Z968" s="510">
        <f t="shared" si="678"/>
        <v>0</v>
      </c>
      <c r="AA968" s="511"/>
      <c r="AB968" s="511" t="str">
        <f t="shared" si="679"/>
        <v/>
      </c>
      <c r="AC968" s="698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698"/>
      <c r="AE968" s="631" t="str">
        <f t="shared" si="680"/>
        <v/>
      </c>
      <c r="AF968" s="699" t="str">
        <f t="shared" si="681"/>
        <v/>
      </c>
      <c r="AG968" s="699"/>
      <c r="AH968" s="699"/>
      <c r="AI968" s="512">
        <f>IF(H968="credit",0,IF(AE968="free",0,IF(AE968="me",0,IF(G968&gt;0,(VLOOKUP(A968,'Discount Lookup'!J:K,2)*G968),0))))</f>
        <v>0</v>
      </c>
      <c r="AJ968" s="513" t="str">
        <f t="shared" ca="1" si="682"/>
        <v/>
      </c>
      <c r="AK968" s="700" t="str">
        <f t="shared" si="683"/>
        <v/>
      </c>
      <c r="AL968" s="700"/>
      <c r="AM968" s="505" t="str">
        <f t="shared" si="684"/>
        <v/>
      </c>
      <c r="AN968" s="506"/>
      <c r="AO968" s="507"/>
      <c r="AP968" s="507"/>
      <c r="AQ968" s="507"/>
      <c r="AR968" s="507"/>
      <c r="AS968" s="507"/>
      <c r="AT968" s="507"/>
      <c r="AU968" s="507"/>
      <c r="AV968" s="225"/>
      <c r="AW968" s="508"/>
      <c r="AX968" s="225"/>
      <c r="AY968" s="225"/>
      <c r="AZ968" s="225"/>
      <c r="BA968" s="225"/>
      <c r="BB968" s="225"/>
      <c r="BC968" s="56"/>
      <c r="BD968" s="56"/>
      <c r="BE968" s="56"/>
      <c r="BF968" s="107" t="str">
        <f t="shared" si="685"/>
        <v>https://www.google.com/search?tbm=isch&amp;q=3%20G2</v>
      </c>
      <c r="BG968" s="107" t="str">
        <f t="shared" si="686"/>
        <v>D</v>
      </c>
      <c r="BH968" s="254"/>
      <c r="BI968" s="254"/>
    </row>
    <row r="969" spans="1:61" customFormat="1" ht="17.25" thickBot="1" x14ac:dyDescent="0.3">
      <c r="A969" s="524" t="s">
        <v>4081</v>
      </c>
      <c r="B969" s="245"/>
      <c r="C969" s="677"/>
      <c r="D969" s="499"/>
      <c r="E969" s="499"/>
      <c r="F969" s="500"/>
      <c r="G969" s="501"/>
      <c r="H969" s="502"/>
      <c r="I969" s="246"/>
      <c r="J969" s="247"/>
      <c r="K969" s="503"/>
      <c r="L969" s="544"/>
      <c r="M969" s="544"/>
      <c r="N969" s="500"/>
      <c r="O969" s="500"/>
      <c r="P969" s="500"/>
      <c r="Q969" s="500"/>
      <c r="R969" s="500"/>
      <c r="S969" s="669" t="s">
        <v>4980</v>
      </c>
      <c r="T969" s="508">
        <f t="shared" si="674"/>
        <v>0</v>
      </c>
      <c r="U969" s="225" t="str">
        <f>IF(NOT(ISNUMBER(G969)), "", VLOOKUP(A969,'Discount Lookup'!D:E,2,FALSE)*G969)</f>
        <v/>
      </c>
      <c r="V969" s="225" t="str">
        <f>IF(NOT(ISNUMBER(G969)), "", VLOOKUP(A969,'Discount Lookup'!G:H,2,FALSE)*G969)</f>
        <v/>
      </c>
      <c r="W969" s="508">
        <f t="shared" si="675"/>
        <v>0</v>
      </c>
      <c r="X969" s="508">
        <f t="shared" si="676"/>
        <v>0</v>
      </c>
      <c r="Y969" s="509" t="b">
        <f t="shared" si="677"/>
        <v>0</v>
      </c>
      <c r="Z969" s="510">
        <f t="shared" si="678"/>
        <v>0</v>
      </c>
      <c r="AA969" s="511"/>
      <c r="AB969" s="511" t="str">
        <f t="shared" si="679"/>
        <v/>
      </c>
      <c r="AC969" s="698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698"/>
      <c r="AE969" s="631" t="str">
        <f t="shared" si="680"/>
        <v/>
      </c>
      <c r="AF969" s="699" t="str">
        <f t="shared" si="681"/>
        <v/>
      </c>
      <c r="AG969" s="699"/>
      <c r="AH969" s="699"/>
      <c r="AI969" s="512">
        <f>IF(H969="credit",0,IF(AE969="free",0,IF(AE969="me",0,IF(G969&gt;0,(VLOOKUP(A969,'Discount Lookup'!J:K,2)*G969),0))))</f>
        <v>0</v>
      </c>
      <c r="AJ969" s="513" t="str">
        <f t="shared" ca="1" si="682"/>
        <v/>
      </c>
      <c r="AK969" s="700" t="str">
        <f t="shared" si="683"/>
        <v/>
      </c>
      <c r="AL969" s="700"/>
      <c r="AM969" s="505" t="str">
        <f t="shared" si="684"/>
        <v/>
      </c>
      <c r="AN969" s="506"/>
      <c r="AO969" s="507"/>
      <c r="AP969" s="507"/>
      <c r="AQ969" s="507"/>
      <c r="AR969" s="507"/>
      <c r="AS969" s="507"/>
      <c r="AT969" s="507"/>
      <c r="AU969" s="507"/>
      <c r="AV969" s="225"/>
      <c r="AW969" s="508"/>
      <c r="AX969" s="225"/>
      <c r="AY969" s="225"/>
      <c r="AZ969" s="225"/>
      <c r="BA969" s="225"/>
      <c r="BB969" s="225"/>
      <c r="BC969" s="56"/>
      <c r="BD969" s="56"/>
      <c r="BE969" s="56"/>
      <c r="BF969" s="107" t="str">
        <f t="shared" si="685"/>
        <v>https://www.google.com/search?tbm=isch&amp;q=Dapper%20White%20has%20Grey-Green%20foliage%20and%20a%20sweet%20fragrance.%20%20All%20BB%20bloom%20summer%20to%20frost%2C%20on%20new%20wood%2C%20so%20cut%20back%20hard%20late%20winter%20</v>
      </c>
      <c r="BG969" s="107" t="str">
        <f t="shared" si="686"/>
        <v>D</v>
      </c>
      <c r="BH969" s="254"/>
      <c r="BI969" s="254"/>
    </row>
    <row r="970" spans="1:61" customFormat="1" ht="18" x14ac:dyDescent="0.25">
      <c r="A970" s="521" t="s">
        <v>731</v>
      </c>
      <c r="B970" s="477"/>
      <c r="C970" s="674"/>
      <c r="D970" s="478" t="s">
        <v>732</v>
      </c>
      <c r="E970" s="479"/>
      <c r="F970" s="479"/>
      <c r="G970" s="479"/>
      <c r="H970" s="582" t="s">
        <v>356</v>
      </c>
      <c r="I970" s="480" t="s">
        <v>2671</v>
      </c>
      <c r="J970" s="479"/>
      <c r="K970" s="479"/>
      <c r="L970" s="560"/>
      <c r="M970" s="666" t="s">
        <v>4966</v>
      </c>
      <c r="N970" s="680" t="str">
        <f>IF(AND(ISTEXT($A970), ISERROR($A970+0)), HYPERLINK($BF970, "Images"), "")</f>
        <v>Images</v>
      </c>
      <c r="O970" s="662" t="s">
        <v>4967</v>
      </c>
      <c r="P970" s="482"/>
      <c r="Q970" s="483"/>
      <c r="R970" s="483"/>
      <c r="S970" s="484"/>
      <c r="T970" s="508">
        <f t="shared" si="674"/>
        <v>0</v>
      </c>
      <c r="U970" s="225" t="str">
        <f>IF(NOT(ISNUMBER(G970)), "", VLOOKUP(A970,'Discount Lookup'!D:E,2,FALSE)*G970)</f>
        <v/>
      </c>
      <c r="V970" s="225" t="str">
        <f>IF(NOT(ISNUMBER(G970)), "", VLOOKUP(A970,'Discount Lookup'!G:H,2,FALSE)*G970)</f>
        <v/>
      </c>
      <c r="W970" s="508">
        <f t="shared" si="675"/>
        <v>0</v>
      </c>
      <c r="X970" s="508" t="str">
        <f t="shared" si="676"/>
        <v>Reddish Pink bloom</v>
      </c>
      <c r="Y970" s="509" t="b">
        <f t="shared" si="677"/>
        <v>0</v>
      </c>
      <c r="Z970" s="510">
        <f t="shared" si="678"/>
        <v>0</v>
      </c>
      <c r="AA970" s="511"/>
      <c r="AB970" s="511" t="str">
        <f t="shared" si="679"/>
        <v/>
      </c>
      <c r="AC970" s="698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698"/>
      <c r="AE970" s="631" t="str">
        <f t="shared" si="680"/>
        <v/>
      </c>
      <c r="AF970" s="699" t="str">
        <f t="shared" si="681"/>
        <v/>
      </c>
      <c r="AG970" s="699"/>
      <c r="AH970" s="699"/>
      <c r="AI970" s="512">
        <f>IF(H970="credit",0,IF(AE970="free",0,IF(AE970="me",0,IF(G970&gt;0,(VLOOKUP(A970,'Discount Lookup'!J:K,2)*G970),0))))</f>
        <v>0</v>
      </c>
      <c r="AJ970" s="513" t="str">
        <f t="shared" ca="1" si="682"/>
        <v/>
      </c>
      <c r="AK970" s="700" t="str">
        <f t="shared" si="683"/>
        <v/>
      </c>
      <c r="AL970" s="700"/>
      <c r="AM970" s="505" t="str">
        <f t="shared" si="684"/>
        <v/>
      </c>
      <c r="AN970" s="506"/>
      <c r="AO970" s="507"/>
      <c r="AP970" s="507"/>
      <c r="AQ970" s="507"/>
      <c r="AR970" s="507"/>
      <c r="AS970" s="507"/>
      <c r="AT970" s="507"/>
      <c r="AU970" s="507"/>
      <c r="AV970" s="225"/>
      <c r="AW970" s="508"/>
      <c r="AX970" s="225"/>
      <c r="AY970" s="225"/>
      <c r="AZ970" s="225"/>
      <c r="BA970" s="225"/>
      <c r="BB970" s="225"/>
      <c r="BC970" s="56"/>
      <c r="BD970" s="56"/>
      <c r="BE970" s="56"/>
      <c r="BF970" s="107" t="str">
        <f t="shared" si="685"/>
        <v>https://www.google.com/search?tbm=isch&amp;q=Dark%20Fire%20Loropetalum%20Loropetalum%20chin.%20var.%20r.%20%27Dark%20Fire%27</v>
      </c>
      <c r="BG970" s="107" t="str">
        <f t="shared" si="686"/>
        <v>D</v>
      </c>
      <c r="BH970" s="254"/>
      <c r="BI970" s="254"/>
    </row>
    <row r="971" spans="1:61" customFormat="1" ht="15.75" x14ac:dyDescent="0.25">
      <c r="A971" s="485">
        <v>1</v>
      </c>
      <c r="B971" s="486" t="s">
        <v>291</v>
      </c>
      <c r="C971" s="487" t="s">
        <v>733</v>
      </c>
      <c r="D971" s="488" t="s">
        <v>299</v>
      </c>
      <c r="E971" s="489">
        <v>9.9499999999999993</v>
      </c>
      <c r="F971" s="516" t="s">
        <v>293</v>
      </c>
      <c r="G971" s="232">
        <v>0</v>
      </c>
      <c r="H971" s="658" t="str">
        <f t="shared" ref="H971:H978" si="714">IF(G971=0,"",IF(F971="Buy",IF(G971=1,"plant","plants"),IF(F971&gt;0.01,"warranty","Error")))</f>
        <v/>
      </c>
      <c r="I971" s="490">
        <f t="shared" ref="I971:I978" si="715">IF(H971="free",0,IF(H971="credit",((E971*(F971))*G971*-1),IF(F971="Buy",(E971*G971),((E971*(1-F971))*G971))))</f>
        <v>0</v>
      </c>
      <c r="J971" s="490">
        <f t="shared" ref="J971:J978" si="716">IF(H971="warranty",0,(I971*(_xlfn.SINGLE(SalesTaxPercentage))))</f>
        <v>0</v>
      </c>
      <c r="K971" s="695">
        <f t="shared" ref="K971" si="717">I971+J971</f>
        <v>0</v>
      </c>
      <c r="L971" s="695"/>
      <c r="M971" s="659" t="str">
        <f t="shared" ref="M971:M978" si="718">IF(AND(G971&gt;0,E971=0),"WARNING - no PRICE inserted",IF(H971="free"," FREE ~ no charge this plant",IF(H971="credit",CONCATENATE(" -$",ROUND(K971*(1-T2GDiscount)*-1,2)," CREDIT after discount"),IF(T2GDiscount=0,"",IF(G971=0,"",IF(F971="Buy",CONCATENATE(" $",ROUND(K971*(1-T2GDiscount),2)," with ",(T2GDiscount*100),"% discount"),CONCATENATE(" $",ROUND(K971*(1-T2GDiscount),2)," with ",((T2GDiscount*100+F971*100)-(T2GDiscount*100*F971)),IF(F971&gt;0,"% discounts",IF(NoWarrantyDiscount&gt;0,"% discounts","% discount")))))))))</f>
        <v/>
      </c>
      <c r="N971" s="660"/>
      <c r="O971" s="233"/>
      <c r="P971" s="233"/>
      <c r="Q971" s="233"/>
      <c r="R971" s="233"/>
      <c r="S971" s="233"/>
      <c r="T971" s="508">
        <f t="shared" si="674"/>
        <v>0</v>
      </c>
      <c r="U971" s="225">
        <f>IF(NOT(ISNUMBER(G971)), "", VLOOKUP(A971,'Discount Lookup'!D:E,2,FALSE)*G971)</f>
        <v>0</v>
      </c>
      <c r="V971" s="225">
        <f>IF(NOT(ISNUMBER(G971)), "", VLOOKUP(A971,'Discount Lookup'!G:H,2,FALSE)*G971)</f>
        <v>0</v>
      </c>
      <c r="W971" s="508">
        <f t="shared" si="675"/>
        <v>0</v>
      </c>
      <c r="X971" s="508">
        <f t="shared" si="676"/>
        <v>0</v>
      </c>
      <c r="Y971" s="509" t="b">
        <f t="shared" si="677"/>
        <v>0</v>
      </c>
      <c r="Z971" s="510">
        <f t="shared" si="678"/>
        <v>0</v>
      </c>
      <c r="AA971" s="511"/>
      <c r="AB971" s="511" t="str">
        <f t="shared" si="679"/>
        <v/>
      </c>
      <c r="AC971" s="698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698"/>
      <c r="AE971" s="631" t="str">
        <f t="shared" si="680"/>
        <v/>
      </c>
      <c r="AF971" s="699" t="str">
        <f t="shared" si="681"/>
        <v/>
      </c>
      <c r="AG971" s="699"/>
      <c r="AH971" s="699"/>
      <c r="AI971" s="512">
        <f>IF(H971="credit",0,IF(AE971="free",0,IF(AE971="me",0,IF(G971&gt;0,(VLOOKUP(A971,'Discount Lookup'!J:K,2)*G971),0))))</f>
        <v>0</v>
      </c>
      <c r="AJ971" s="513" t="str">
        <f t="shared" ca="1" si="682"/>
        <v/>
      </c>
      <c r="AK971" s="700" t="str">
        <f t="shared" si="683"/>
        <v/>
      </c>
      <c r="AL971" s="700"/>
      <c r="AM971" s="505" t="str">
        <f t="shared" si="684"/>
        <v/>
      </c>
      <c r="AN971" s="506"/>
      <c r="AO971" s="507"/>
      <c r="AP971" s="507"/>
      <c r="AQ971" s="507"/>
      <c r="AR971" s="507"/>
      <c r="AS971" s="507"/>
      <c r="AT971" s="507"/>
      <c r="AU971" s="507"/>
      <c r="AV971" s="225"/>
      <c r="AW971" s="508"/>
      <c r="AX971" s="225"/>
      <c r="AY971" s="225"/>
      <c r="AZ971" s="225"/>
      <c r="BA971" s="225"/>
      <c r="BB971" s="225"/>
      <c r="BC971" s="56"/>
      <c r="BD971" s="56"/>
      <c r="BE971" s="56"/>
      <c r="BF971" s="107" t="str">
        <f t="shared" si="685"/>
        <v>https://www.google.com/search?tbm=isch&amp;q=1%20G5</v>
      </c>
      <c r="BG971" s="107" t="str">
        <f t="shared" si="686"/>
        <v>D</v>
      </c>
      <c r="BH971" s="254"/>
      <c r="BI971" s="254"/>
    </row>
    <row r="972" spans="1:61" customFormat="1" ht="27" x14ac:dyDescent="0.25">
      <c r="A972" s="485">
        <v>3</v>
      </c>
      <c r="B972" s="486" t="s">
        <v>291</v>
      </c>
      <c r="C972" s="487" t="s">
        <v>3405</v>
      </c>
      <c r="D972" s="488" t="s">
        <v>292</v>
      </c>
      <c r="E972" s="489">
        <v>31.95</v>
      </c>
      <c r="F972" s="516" t="s">
        <v>293</v>
      </c>
      <c r="G972" s="232">
        <v>0</v>
      </c>
      <c r="H972" s="658" t="str">
        <f t="shared" si="714"/>
        <v/>
      </c>
      <c r="I972" s="490">
        <f t="shared" si="715"/>
        <v>0</v>
      </c>
      <c r="J972" s="490">
        <f t="shared" si="716"/>
        <v>0</v>
      </c>
      <c r="K972" s="695">
        <f t="shared" ref="K972" si="719">I972+J972</f>
        <v>0</v>
      </c>
      <c r="L972" s="695"/>
      <c r="M972" s="659" t="str">
        <f t="shared" si="718"/>
        <v/>
      </c>
      <c r="N972" s="660"/>
      <c r="O972" s="233"/>
      <c r="P972" s="233"/>
      <c r="Q972" s="233"/>
      <c r="R972" s="233"/>
      <c r="S972" s="233"/>
      <c r="T972" s="508">
        <f t="shared" si="674"/>
        <v>0</v>
      </c>
      <c r="U972" s="225">
        <f>IF(NOT(ISNUMBER(G972)), "", VLOOKUP(A972,'Discount Lookup'!D:E,2,FALSE)*G972)</f>
        <v>0</v>
      </c>
      <c r="V972" s="225">
        <f>IF(NOT(ISNUMBER(G972)), "", VLOOKUP(A972,'Discount Lookup'!G:H,2,FALSE)*G972)</f>
        <v>0</v>
      </c>
      <c r="W972" s="508">
        <f t="shared" si="675"/>
        <v>0</v>
      </c>
      <c r="X972" s="508">
        <f t="shared" si="676"/>
        <v>0</v>
      </c>
      <c r="Y972" s="509" t="b">
        <f t="shared" si="677"/>
        <v>0</v>
      </c>
      <c r="Z972" s="510">
        <f t="shared" si="678"/>
        <v>0</v>
      </c>
      <c r="AA972" s="511"/>
      <c r="AB972" s="511" t="str">
        <f t="shared" si="679"/>
        <v/>
      </c>
      <c r="AC972" s="698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698"/>
      <c r="AE972" s="631" t="str">
        <f t="shared" si="680"/>
        <v/>
      </c>
      <c r="AF972" s="699" t="str">
        <f t="shared" si="681"/>
        <v/>
      </c>
      <c r="AG972" s="699"/>
      <c r="AH972" s="699"/>
      <c r="AI972" s="512">
        <f>IF(H972="credit",0,IF(AE972="free",0,IF(AE972="me",0,IF(G972&gt;0,(VLOOKUP(A972,'Discount Lookup'!J:K,2)*G972),0))))</f>
        <v>0</v>
      </c>
      <c r="AJ972" s="513" t="str">
        <f t="shared" ca="1" si="682"/>
        <v/>
      </c>
      <c r="AK972" s="700" t="str">
        <f t="shared" si="683"/>
        <v/>
      </c>
      <c r="AL972" s="700"/>
      <c r="AM972" s="505" t="str">
        <f t="shared" si="684"/>
        <v/>
      </c>
      <c r="AN972" s="506"/>
      <c r="AO972" s="507"/>
      <c r="AP972" s="507"/>
      <c r="AQ972" s="507"/>
      <c r="AR972" s="507"/>
      <c r="AS972" s="507"/>
      <c r="AT972" s="507"/>
      <c r="AU972" s="507"/>
      <c r="AV972" s="225"/>
      <c r="AW972" s="508"/>
      <c r="AX972" s="225"/>
      <c r="AY972" s="225"/>
      <c r="AZ972" s="225"/>
      <c r="BA972" s="225"/>
      <c r="BB972" s="225"/>
      <c r="BC972" s="56"/>
      <c r="BD972" s="56"/>
      <c r="BE972" s="56"/>
      <c r="BF972" s="107" t="str">
        <f t="shared" si="685"/>
        <v>https://www.google.com/search?tbm=isch&amp;q=3%20G4</v>
      </c>
      <c r="BG972" s="107" t="str">
        <f t="shared" si="686"/>
        <v>D</v>
      </c>
      <c r="BH972" s="254"/>
      <c r="BI972" s="254"/>
    </row>
    <row r="973" spans="1:61" customFormat="1" ht="15.75" x14ac:dyDescent="0.25">
      <c r="A973" s="485">
        <v>3</v>
      </c>
      <c r="B973" s="486" t="s">
        <v>291</v>
      </c>
      <c r="C973" s="487" t="s">
        <v>2734</v>
      </c>
      <c r="D973" s="488" t="s">
        <v>299</v>
      </c>
      <c r="E973" s="489">
        <v>33.950000000000003</v>
      </c>
      <c r="F973" s="516" t="s">
        <v>293</v>
      </c>
      <c r="G973" s="232">
        <v>0</v>
      </c>
      <c r="H973" s="658" t="str">
        <f t="shared" si="714"/>
        <v/>
      </c>
      <c r="I973" s="490">
        <f t="shared" si="715"/>
        <v>0</v>
      </c>
      <c r="J973" s="490">
        <f t="shared" si="716"/>
        <v>0</v>
      </c>
      <c r="K973" s="695">
        <f t="shared" ref="K973" si="720">I973+J973</f>
        <v>0</v>
      </c>
      <c r="L973" s="695"/>
      <c r="M973" s="659" t="str">
        <f t="shared" si="718"/>
        <v/>
      </c>
      <c r="N973" s="660"/>
      <c r="O973" s="233"/>
      <c r="P973" s="233"/>
      <c r="Q973" s="233"/>
      <c r="R973" s="233"/>
      <c r="S973" s="233"/>
      <c r="T973" s="508">
        <f t="shared" si="674"/>
        <v>0</v>
      </c>
      <c r="U973" s="225">
        <f>IF(NOT(ISNUMBER(G973)), "", VLOOKUP(A973,'Discount Lookup'!D:E,2,FALSE)*G973)</f>
        <v>0</v>
      </c>
      <c r="V973" s="225">
        <f>IF(NOT(ISNUMBER(G973)), "", VLOOKUP(A973,'Discount Lookup'!G:H,2,FALSE)*G973)</f>
        <v>0</v>
      </c>
      <c r="W973" s="508">
        <f t="shared" si="675"/>
        <v>0</v>
      </c>
      <c r="X973" s="508">
        <f t="shared" si="676"/>
        <v>0</v>
      </c>
      <c r="Y973" s="509" t="b">
        <f t="shared" si="677"/>
        <v>0</v>
      </c>
      <c r="Z973" s="510">
        <f t="shared" si="678"/>
        <v>0</v>
      </c>
      <c r="AA973" s="511"/>
      <c r="AB973" s="511" t="str">
        <f t="shared" si="679"/>
        <v/>
      </c>
      <c r="AC973" s="698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698"/>
      <c r="AE973" s="631" t="str">
        <f t="shared" si="680"/>
        <v/>
      </c>
      <c r="AF973" s="699" t="str">
        <f t="shared" si="681"/>
        <v/>
      </c>
      <c r="AG973" s="699"/>
      <c r="AH973" s="699"/>
      <c r="AI973" s="512">
        <f>IF(H973="credit",0,IF(AE973="free",0,IF(AE973="me",0,IF(G973&gt;0,(VLOOKUP(A973,'Discount Lookup'!J:K,2)*G973),0))))</f>
        <v>0</v>
      </c>
      <c r="AJ973" s="513" t="str">
        <f t="shared" ca="1" si="682"/>
        <v/>
      </c>
      <c r="AK973" s="700" t="str">
        <f t="shared" si="683"/>
        <v/>
      </c>
      <c r="AL973" s="700"/>
      <c r="AM973" s="505" t="str">
        <f t="shared" si="684"/>
        <v/>
      </c>
      <c r="AN973" s="506"/>
      <c r="AO973" s="507"/>
      <c r="AP973" s="507"/>
      <c r="AQ973" s="507"/>
      <c r="AR973" s="507"/>
      <c r="AS973" s="507"/>
      <c r="AT973" s="507"/>
      <c r="AU973" s="507"/>
      <c r="AV973" s="225"/>
      <c r="AW973" s="508"/>
      <c r="AX973" s="225"/>
      <c r="AY973" s="225"/>
      <c r="AZ973" s="225"/>
      <c r="BA973" s="225"/>
      <c r="BB973" s="225"/>
      <c r="BC973" s="56"/>
      <c r="BD973" s="56"/>
      <c r="BE973" s="56"/>
      <c r="BF973" s="107" t="str">
        <f t="shared" si="685"/>
        <v>https://www.google.com/search?tbm=isch&amp;q=3%20G5</v>
      </c>
      <c r="BG973" s="107" t="str">
        <f t="shared" si="686"/>
        <v>D</v>
      </c>
      <c r="BH973" s="254"/>
      <c r="BI973" s="254"/>
    </row>
    <row r="974" spans="1:61" customFormat="1" ht="15.75" x14ac:dyDescent="0.25">
      <c r="A974" s="485">
        <v>5</v>
      </c>
      <c r="B974" s="486" t="s">
        <v>291</v>
      </c>
      <c r="C974" s="487" t="s">
        <v>4661</v>
      </c>
      <c r="D974" s="488" t="s">
        <v>297</v>
      </c>
      <c r="E974" s="489">
        <v>41.95</v>
      </c>
      <c r="F974" s="516" t="s">
        <v>293</v>
      </c>
      <c r="G974" s="232">
        <v>0</v>
      </c>
      <c r="H974" s="658" t="str">
        <f t="shared" si="714"/>
        <v/>
      </c>
      <c r="I974" s="490">
        <f t="shared" si="715"/>
        <v>0</v>
      </c>
      <c r="J974" s="490">
        <f t="shared" si="716"/>
        <v>0</v>
      </c>
      <c r="K974" s="695">
        <f t="shared" ref="K974" si="721">I974+J974</f>
        <v>0</v>
      </c>
      <c r="L974" s="695"/>
      <c r="M974" s="659" t="str">
        <f t="shared" si="718"/>
        <v/>
      </c>
      <c r="N974" s="660"/>
      <c r="O974" s="233"/>
      <c r="P974" s="233"/>
      <c r="Q974" s="233"/>
      <c r="R974" s="233"/>
      <c r="S974" s="233"/>
      <c r="T974" s="508">
        <f t="shared" ref="T974:T1037" si="722">E974*G974</f>
        <v>0</v>
      </c>
      <c r="U974" s="225">
        <f>IF(NOT(ISNUMBER(G974)), "", VLOOKUP(A974,'Discount Lookup'!D:E,2,FALSE)*G974)</f>
        <v>0</v>
      </c>
      <c r="V974" s="225">
        <f>IF(NOT(ISNUMBER(G974)), "", VLOOKUP(A974,'Discount Lookup'!G:H,2,FALSE)*G974)</f>
        <v>0</v>
      </c>
      <c r="W974" s="508">
        <f t="shared" ref="W974:W1037" si="723">IF(H974="credit",0,E974*(SalesTaxPercentage)*G974)</f>
        <v>0</v>
      </c>
      <c r="X974" s="508">
        <f t="shared" ref="X974:X1037" si="724">I974</f>
        <v>0</v>
      </c>
      <c r="Y974" s="509" t="b">
        <f t="shared" ref="Y974:Y1037" si="725">IF(AE974="T2G",0,IF(H974="credit",0,IF(G974&gt;0,IF(AE974="me","",G974))))</f>
        <v>0</v>
      </c>
      <c r="Z974" s="510">
        <f t="shared" ref="Z974:Z1037" si="726">IF(H974="credit",G974,0)</f>
        <v>0</v>
      </c>
      <c r="AA974" s="511"/>
      <c r="AB974" s="511" t="str">
        <f t="shared" ref="AB974:AB1037" si="727">IF(AE974="T2G","by Trees2Go",IF(H974="credit","CREDIT only ~",IF(AND(K974="",AE974=OR(PlanterYesMe="No",PlanterYesMe="N",PlanterYesMe="me")),"not THIS line⇨",IF(AND(K974="images",AE974="me"),"not THIS line⇨",IF(H974="credit","",IF(G974=0,"",IF(AE974="me","",IF(OR(PlanterYesMe="No",PlanterYesMe="N",PlanterYesMe="me"),"",IF(AE974="free","warranty",IF(OR(PlanterYesMe="yes",PlanterYesMe="y"),"Edison install:","to install:"))))))))))</f>
        <v/>
      </c>
      <c r="AC974" s="698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698"/>
      <c r="AE974" s="631" t="str">
        <f t="shared" ref="AE974:AE1037" si="728">IF(H974="credit","",IF(G974=0,"",IF(OR(PlanterYesMe="No",PlanterYesMe="N",PlanterYesMe="me"),"me",IF(H974="warranty","free",IF(OR(PlanterYesMe="yes",PlanterYesMe="y"),"ELP","")))))</f>
        <v/>
      </c>
      <c r="AF974" s="699" t="str">
        <f t="shared" ref="AF974:AF1037" si="729">IF(OR(PlanterYesMe="No",PlanterYesMe="N",PlanterYesMe="me"),"",IF(H974="credit","",IF(G974&gt;0,(CONCATENATE((G974)," quantity, ",(A974)," ",B974)),"")))</f>
        <v/>
      </c>
      <c r="AG974" s="699"/>
      <c r="AH974" s="699"/>
      <c r="AI974" s="512">
        <f>IF(H974="credit",0,IF(AE974="free",0,IF(AE974="me",0,IF(G974&gt;0,(VLOOKUP(A974,'Discount Lookup'!J:K,2)*G974),0))))</f>
        <v>0</v>
      </c>
      <c r="AJ974" s="513" t="str">
        <f t="shared" ref="AJ974:AJ1037" ca="1" si="730">IF(AND(ISREF(H974),H974="credit"),"",IF(AND(AND(OFFSET(G974,0,0)=0,OFFSET(G974,1,0)&gt;0,ISNUMBER(OFFSET(AC974,1,0)),OFFSET(AC974,1,0)&gt;0),OR(PlanterYesMe="yes",PlanterYesMe="y")),"T2G+ELP=",IF(AND(OFFSET(G974,0,0)=0,OFFSET(G974,1,0)&gt;0,ISNUMBER(OFFSET(AC974,1,0)),OFFSET(AC974,1,0)&gt;0),"if T2G+ELP=",IF(AND(OFFSET(G974,0,0)=0,OFFSET(G974,1,0)&gt;0),"T2G Subtotal",IF(H974="credit","",IF(G974=0,"",IF(AE974="free",(K974*(1-T2GDiscount)),IF(OR(PlanterYesMe="No",PlanterYesMe="N",PlanterYesMe="me"),(K974*(1-T2GDiscount)),IF(OR(AE974="me",AE974="T2G"),(K974*(1-T2GDiscount)),(K974*(1-T2GDiscount))+AC974)))))))))</f>
        <v/>
      </c>
      <c r="AK974" s="700" t="str">
        <f t="shared" ref="AK974:AK1037" si="731">IF(H974="credit","",IF(G974=0,"",IF(OR(AE974="me",AE974="T2G"),"  delivery-only",IF(OR(PlanterYesMe="No",PlanterYesMe="N",PlanterYesMe="me"),"  delivery-only",CONCATENATE(" $",ROUND(AJ974/G974,2)," each")))))</f>
        <v/>
      </c>
      <c r="AL974" s="700"/>
      <c r="AM974" s="505" t="str">
        <f t="shared" ref="AM974:AM1037" si="732">IF(H974="credit","",IF(AE974="free","      ~ discounts included, no tax or planting fee applies ~",IF(G974=0,"",IF(OR(PlanterYesMe="No",PlanterYesMe="N",PlanterYesMe="me"),CONCATENATE(" $",ROUND(AJ974/G974,2)," per plant, with tax &amp; discount"),IF(OR(AE974="me",AE974="T2G"),CONCATENATE(" $",ROUND(AJ974/G974,2)," per plant, with tax &amp; discount"),CONCATENATE("= $",ROUND((K974*(1-T2GDiscount))/G974,2)," per plant + $",AC974/G974,(" per planting      ~ includes tax &amp; discounts ~")))))))</f>
        <v/>
      </c>
      <c r="AN974" s="506"/>
      <c r="AO974" s="507"/>
      <c r="AP974" s="507"/>
      <c r="AQ974" s="507"/>
      <c r="AR974" s="507"/>
      <c r="AS974" s="507"/>
      <c r="AT974" s="507"/>
      <c r="AU974" s="507"/>
      <c r="AV974" s="225"/>
      <c r="AW974" s="508"/>
      <c r="AX974" s="225"/>
      <c r="AY974" s="225"/>
      <c r="AZ974" s="225"/>
      <c r="BA974" s="225"/>
      <c r="BB974" s="225"/>
      <c r="BC974" s="56"/>
      <c r="BD974" s="56"/>
      <c r="BE974" s="56"/>
      <c r="BF974" s="107" t="str">
        <f t="shared" ref="BF974:BF1037" si="733">"https://www.google.com/search?tbm=isch&amp;q=" &amp; _xlfn.ENCODEURL($A974 &amp; " " &amp; $D974)</f>
        <v>https://www.google.com/search?tbm=isch&amp;q=5%20G3</v>
      </c>
      <c r="BG974" s="107" t="str">
        <f t="shared" ref="BG974:BG1037" si="734">IF(ISTEXT(A974),LEFT(A974,1),BG973)</f>
        <v>D</v>
      </c>
      <c r="BH974" s="254"/>
      <c r="BI974" s="254"/>
    </row>
    <row r="975" spans="1:61" customFormat="1" ht="15.75" x14ac:dyDescent="0.25">
      <c r="A975" s="485">
        <v>3</v>
      </c>
      <c r="B975" s="486" t="s">
        <v>291</v>
      </c>
      <c r="C975" s="487" t="s">
        <v>4874</v>
      </c>
      <c r="D975" s="488" t="s">
        <v>300</v>
      </c>
      <c r="E975" s="489">
        <v>49.95</v>
      </c>
      <c r="F975" s="516" t="s">
        <v>293</v>
      </c>
      <c r="G975" s="232">
        <v>0</v>
      </c>
      <c r="H975" s="658" t="str">
        <f t="shared" si="714"/>
        <v/>
      </c>
      <c r="I975" s="490">
        <f t="shared" si="715"/>
        <v>0</v>
      </c>
      <c r="J975" s="490">
        <f t="shared" si="716"/>
        <v>0</v>
      </c>
      <c r="K975" s="695">
        <f t="shared" ref="K975" si="735">I975+J975</f>
        <v>0</v>
      </c>
      <c r="L975" s="695"/>
      <c r="M975" s="659" t="str">
        <f t="shared" si="718"/>
        <v/>
      </c>
      <c r="N975" s="660"/>
      <c r="O975" s="233"/>
      <c r="P975" s="233"/>
      <c r="Q975" s="233"/>
      <c r="R975" s="233"/>
      <c r="S975" s="233"/>
      <c r="T975" s="508">
        <f t="shared" si="722"/>
        <v>0</v>
      </c>
      <c r="U975" s="225">
        <f>IF(NOT(ISNUMBER(G975)), "", VLOOKUP(A975,'Discount Lookup'!D:E,2,FALSE)*G975)</f>
        <v>0</v>
      </c>
      <c r="V975" s="225">
        <f>IF(NOT(ISNUMBER(G975)), "", VLOOKUP(A975,'Discount Lookup'!G:H,2,FALSE)*G975)</f>
        <v>0</v>
      </c>
      <c r="W975" s="508">
        <f t="shared" si="723"/>
        <v>0</v>
      </c>
      <c r="X975" s="508">
        <f t="shared" si="724"/>
        <v>0</v>
      </c>
      <c r="Y975" s="509" t="b">
        <f t="shared" si="725"/>
        <v>0</v>
      </c>
      <c r="Z975" s="510">
        <f t="shared" si="726"/>
        <v>0</v>
      </c>
      <c r="AA975" s="511"/>
      <c r="AB975" s="511" t="str">
        <f t="shared" si="727"/>
        <v/>
      </c>
      <c r="AC975" s="698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698"/>
      <c r="AE975" s="631" t="str">
        <f t="shared" si="728"/>
        <v/>
      </c>
      <c r="AF975" s="699" t="str">
        <f t="shared" si="729"/>
        <v/>
      </c>
      <c r="AG975" s="699"/>
      <c r="AH975" s="699"/>
      <c r="AI975" s="512">
        <f>IF(H975="credit",0,IF(AE975="free",0,IF(AE975="me",0,IF(G975&gt;0,(VLOOKUP(A975,'Discount Lookup'!J:K,2)*G975),0))))</f>
        <v>0</v>
      </c>
      <c r="AJ975" s="513" t="str">
        <f t="shared" ca="1" si="730"/>
        <v/>
      </c>
      <c r="AK975" s="700" t="str">
        <f t="shared" si="731"/>
        <v/>
      </c>
      <c r="AL975" s="700"/>
      <c r="AM975" s="505" t="str">
        <f t="shared" si="732"/>
        <v/>
      </c>
      <c r="AN975" s="506"/>
      <c r="AO975" s="507"/>
      <c r="AP975" s="507"/>
      <c r="AQ975" s="507"/>
      <c r="AR975" s="507"/>
      <c r="AS975" s="507"/>
      <c r="AT975" s="507"/>
      <c r="AU975" s="507"/>
      <c r="AV975" s="225"/>
      <c r="AW975" s="508"/>
      <c r="AX975" s="225"/>
      <c r="AY975" s="225"/>
      <c r="AZ975" s="225"/>
      <c r="BA975" s="225"/>
      <c r="BB975" s="225"/>
      <c r="BC975" s="56"/>
      <c r="BD975" s="56"/>
      <c r="BE975" s="56"/>
      <c r="BF975" s="107" t="str">
        <f t="shared" si="733"/>
        <v>https://www.google.com/search?tbm=isch&amp;q=3%20G6</v>
      </c>
      <c r="BG975" s="107" t="str">
        <f t="shared" si="734"/>
        <v>D</v>
      </c>
      <c r="BH975" s="254"/>
      <c r="BI975" s="254"/>
    </row>
    <row r="976" spans="1:61" customFormat="1" ht="27" x14ac:dyDescent="0.25">
      <c r="A976" s="485">
        <v>5</v>
      </c>
      <c r="B976" s="486" t="s">
        <v>291</v>
      </c>
      <c r="C976" s="487" t="s">
        <v>4399</v>
      </c>
      <c r="D976" s="488" t="s">
        <v>292</v>
      </c>
      <c r="E976" s="489">
        <v>63.95</v>
      </c>
      <c r="F976" s="516" t="s">
        <v>293</v>
      </c>
      <c r="G976" s="232">
        <v>0</v>
      </c>
      <c r="H976" s="658" t="str">
        <f t="shared" si="714"/>
        <v/>
      </c>
      <c r="I976" s="490">
        <f t="shared" si="715"/>
        <v>0</v>
      </c>
      <c r="J976" s="490">
        <f t="shared" si="716"/>
        <v>0</v>
      </c>
      <c r="K976" s="695">
        <f t="shared" ref="K976" si="736">I976+J976</f>
        <v>0</v>
      </c>
      <c r="L976" s="695"/>
      <c r="M976" s="659" t="str">
        <f t="shared" si="718"/>
        <v/>
      </c>
      <c r="N976" s="660"/>
      <c r="O976" s="233"/>
      <c r="P976" s="233"/>
      <c r="Q976" s="233"/>
      <c r="R976" s="233"/>
      <c r="S976" s="233"/>
      <c r="T976" s="508">
        <f t="shared" si="722"/>
        <v>0</v>
      </c>
      <c r="U976" s="225">
        <f>IF(NOT(ISNUMBER(G976)), "", VLOOKUP(A976,'Discount Lookup'!D:E,2,FALSE)*G976)</f>
        <v>0</v>
      </c>
      <c r="V976" s="225">
        <f>IF(NOT(ISNUMBER(G976)), "", VLOOKUP(A976,'Discount Lookup'!G:H,2,FALSE)*G976)</f>
        <v>0</v>
      </c>
      <c r="W976" s="508">
        <f t="shared" si="723"/>
        <v>0</v>
      </c>
      <c r="X976" s="508">
        <f t="shared" si="724"/>
        <v>0</v>
      </c>
      <c r="Y976" s="509" t="b">
        <f t="shared" si="725"/>
        <v>0</v>
      </c>
      <c r="Z976" s="510">
        <f t="shared" si="726"/>
        <v>0</v>
      </c>
      <c r="AA976" s="511"/>
      <c r="AB976" s="511" t="str">
        <f t="shared" si="727"/>
        <v/>
      </c>
      <c r="AC976" s="698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698"/>
      <c r="AE976" s="631" t="str">
        <f t="shared" si="728"/>
        <v/>
      </c>
      <c r="AF976" s="699" t="str">
        <f t="shared" si="729"/>
        <v/>
      </c>
      <c r="AG976" s="699"/>
      <c r="AH976" s="699"/>
      <c r="AI976" s="512">
        <f>IF(H976="credit",0,IF(AE976="free",0,IF(AE976="me",0,IF(G976&gt;0,(VLOOKUP(A976,'Discount Lookup'!J:K,2)*G976),0))))</f>
        <v>0</v>
      </c>
      <c r="AJ976" s="513" t="str">
        <f t="shared" ca="1" si="730"/>
        <v/>
      </c>
      <c r="AK976" s="700" t="str">
        <f t="shared" si="731"/>
        <v/>
      </c>
      <c r="AL976" s="700"/>
      <c r="AM976" s="505" t="str">
        <f t="shared" si="732"/>
        <v/>
      </c>
      <c r="AN976" s="506"/>
      <c r="AO976" s="507"/>
      <c r="AP976" s="507"/>
      <c r="AQ976" s="507"/>
      <c r="AR976" s="507"/>
      <c r="AS976" s="507"/>
      <c r="AT976" s="507"/>
      <c r="AU976" s="507"/>
      <c r="AV976" s="225"/>
      <c r="AW976" s="508"/>
      <c r="AX976" s="225"/>
      <c r="AY976" s="225"/>
      <c r="AZ976" s="225"/>
      <c r="BA976" s="225"/>
      <c r="BB976" s="225"/>
      <c r="BC976" s="56"/>
      <c r="BD976" s="56"/>
      <c r="BE976" s="56"/>
      <c r="BF976" s="107" t="str">
        <f t="shared" si="733"/>
        <v>https://www.google.com/search?tbm=isch&amp;q=5%20G4</v>
      </c>
      <c r="BG976" s="107" t="str">
        <f t="shared" si="734"/>
        <v>D</v>
      </c>
      <c r="BH976" s="254"/>
      <c r="BI976" s="254"/>
    </row>
    <row r="977" spans="1:61" customFormat="1" ht="15.75" x14ac:dyDescent="0.25">
      <c r="A977" s="485">
        <v>7</v>
      </c>
      <c r="B977" s="486" t="s">
        <v>291</v>
      </c>
      <c r="C977" s="487" t="s">
        <v>2128</v>
      </c>
      <c r="D977" s="488" t="s">
        <v>299</v>
      </c>
      <c r="E977" s="489">
        <v>68.95</v>
      </c>
      <c r="F977" s="516" t="s">
        <v>293</v>
      </c>
      <c r="G977" s="232">
        <v>0</v>
      </c>
      <c r="H977" s="658" t="str">
        <f t="shared" si="714"/>
        <v/>
      </c>
      <c r="I977" s="490">
        <f t="shared" si="715"/>
        <v>0</v>
      </c>
      <c r="J977" s="490">
        <f t="shared" si="716"/>
        <v>0</v>
      </c>
      <c r="K977" s="695">
        <f t="shared" ref="K977" si="737">I977+J977</f>
        <v>0</v>
      </c>
      <c r="L977" s="695"/>
      <c r="M977" s="659" t="str">
        <f t="shared" si="718"/>
        <v/>
      </c>
      <c r="N977" s="660"/>
      <c r="O977" s="233"/>
      <c r="P977" s="233"/>
      <c r="Q977" s="233"/>
      <c r="R977" s="233"/>
      <c r="S977" s="233"/>
      <c r="T977" s="508">
        <f t="shared" si="722"/>
        <v>0</v>
      </c>
      <c r="U977" s="225">
        <f>IF(NOT(ISNUMBER(G977)), "", VLOOKUP(A977,'Discount Lookup'!D:E,2,FALSE)*G977)</f>
        <v>0</v>
      </c>
      <c r="V977" s="225">
        <f>IF(NOT(ISNUMBER(G977)), "", VLOOKUP(A977,'Discount Lookup'!G:H,2,FALSE)*G977)</f>
        <v>0</v>
      </c>
      <c r="W977" s="508">
        <f t="shared" si="723"/>
        <v>0</v>
      </c>
      <c r="X977" s="508">
        <f t="shared" si="724"/>
        <v>0</v>
      </c>
      <c r="Y977" s="509" t="b">
        <f t="shared" si="725"/>
        <v>0</v>
      </c>
      <c r="Z977" s="510">
        <f t="shared" si="726"/>
        <v>0</v>
      </c>
      <c r="AA977" s="511"/>
      <c r="AB977" s="511" t="str">
        <f t="shared" si="727"/>
        <v/>
      </c>
      <c r="AC977" s="698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698"/>
      <c r="AE977" s="631" t="str">
        <f t="shared" si="728"/>
        <v/>
      </c>
      <c r="AF977" s="699" t="str">
        <f t="shared" si="729"/>
        <v/>
      </c>
      <c r="AG977" s="699"/>
      <c r="AH977" s="699"/>
      <c r="AI977" s="512">
        <f>IF(H977="credit",0,IF(AE977="free",0,IF(AE977="me",0,IF(G977&gt;0,(VLOOKUP(A977,'Discount Lookup'!J:K,2)*G977),0))))</f>
        <v>0</v>
      </c>
      <c r="AJ977" s="513" t="str">
        <f t="shared" ca="1" si="730"/>
        <v/>
      </c>
      <c r="AK977" s="700" t="str">
        <f t="shared" si="731"/>
        <v/>
      </c>
      <c r="AL977" s="700"/>
      <c r="AM977" s="505" t="str">
        <f t="shared" si="732"/>
        <v/>
      </c>
      <c r="AN977" s="506"/>
      <c r="AO977" s="507"/>
      <c r="AP977" s="507"/>
      <c r="AQ977" s="507"/>
      <c r="AR977" s="507"/>
      <c r="AS977" s="507"/>
      <c r="AT977" s="507"/>
      <c r="AU977" s="507"/>
      <c r="AV977" s="225"/>
      <c r="AW977" s="508"/>
      <c r="AX977" s="225"/>
      <c r="AY977" s="225"/>
      <c r="AZ977" s="225"/>
      <c r="BA977" s="225"/>
      <c r="BB977" s="225"/>
      <c r="BC977" s="56"/>
      <c r="BD977" s="56"/>
      <c r="BE977" s="56"/>
      <c r="BF977" s="107" t="str">
        <f t="shared" si="733"/>
        <v>https://www.google.com/search?tbm=isch&amp;q=7%20G5</v>
      </c>
      <c r="BG977" s="107" t="str">
        <f t="shared" si="734"/>
        <v>D</v>
      </c>
      <c r="BH977" s="254"/>
      <c r="BI977" s="254"/>
    </row>
    <row r="978" spans="1:61" customFormat="1" ht="15.75" x14ac:dyDescent="0.25">
      <c r="A978" s="485">
        <v>7</v>
      </c>
      <c r="B978" s="486" t="s">
        <v>291</v>
      </c>
      <c r="C978" s="487" t="s">
        <v>3406</v>
      </c>
      <c r="D978" s="488" t="s">
        <v>292</v>
      </c>
      <c r="E978" s="489">
        <v>137.94999999999999</v>
      </c>
      <c r="F978" s="516" t="s">
        <v>293</v>
      </c>
      <c r="G978" s="232">
        <v>0</v>
      </c>
      <c r="H978" s="658" t="str">
        <f t="shared" si="714"/>
        <v/>
      </c>
      <c r="I978" s="490">
        <f t="shared" si="715"/>
        <v>0</v>
      </c>
      <c r="J978" s="490">
        <f t="shared" si="716"/>
        <v>0</v>
      </c>
      <c r="K978" s="695">
        <f t="shared" ref="K978" si="738">I978+J978</f>
        <v>0</v>
      </c>
      <c r="L978" s="695"/>
      <c r="M978" s="659" t="str">
        <f t="shared" si="718"/>
        <v/>
      </c>
      <c r="N978" s="660"/>
      <c r="O978" s="233"/>
      <c r="P978" s="233"/>
      <c r="Q978" s="233"/>
      <c r="R978" s="233"/>
      <c r="S978" s="233"/>
      <c r="T978" s="508">
        <f t="shared" si="722"/>
        <v>0</v>
      </c>
      <c r="U978" s="225">
        <f>IF(NOT(ISNUMBER(G978)), "", VLOOKUP(A978,'Discount Lookup'!D:E,2,FALSE)*G978)</f>
        <v>0</v>
      </c>
      <c r="V978" s="225">
        <f>IF(NOT(ISNUMBER(G978)), "", VLOOKUP(A978,'Discount Lookup'!G:H,2,FALSE)*G978)</f>
        <v>0</v>
      </c>
      <c r="W978" s="508">
        <f t="shared" si="723"/>
        <v>0</v>
      </c>
      <c r="X978" s="508">
        <f t="shared" si="724"/>
        <v>0</v>
      </c>
      <c r="Y978" s="509" t="b">
        <f t="shared" si="725"/>
        <v>0</v>
      </c>
      <c r="Z978" s="510">
        <f t="shared" si="726"/>
        <v>0</v>
      </c>
      <c r="AA978" s="511"/>
      <c r="AB978" s="511" t="str">
        <f t="shared" si="727"/>
        <v/>
      </c>
      <c r="AC978" s="698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698"/>
      <c r="AE978" s="631" t="str">
        <f t="shared" si="728"/>
        <v/>
      </c>
      <c r="AF978" s="699" t="str">
        <f t="shared" si="729"/>
        <v/>
      </c>
      <c r="AG978" s="699"/>
      <c r="AH978" s="699"/>
      <c r="AI978" s="512">
        <f>IF(H978="credit",0,IF(AE978="free",0,IF(AE978="me",0,IF(G978&gt;0,(VLOOKUP(A978,'Discount Lookup'!J:K,2)*G978),0))))</f>
        <v>0</v>
      </c>
      <c r="AJ978" s="513" t="str">
        <f t="shared" ca="1" si="730"/>
        <v/>
      </c>
      <c r="AK978" s="700" t="str">
        <f t="shared" si="731"/>
        <v/>
      </c>
      <c r="AL978" s="700"/>
      <c r="AM978" s="505" t="str">
        <f t="shared" si="732"/>
        <v/>
      </c>
      <c r="AN978" s="506"/>
      <c r="AO978" s="507"/>
      <c r="AP978" s="507"/>
      <c r="AQ978" s="507"/>
      <c r="AR978" s="507"/>
      <c r="AS978" s="507"/>
      <c r="AT978" s="507"/>
      <c r="AU978" s="507"/>
      <c r="AV978" s="225"/>
      <c r="AW978" s="508"/>
      <c r="AX978" s="225"/>
      <c r="AY978" s="225"/>
      <c r="AZ978" s="225"/>
      <c r="BA978" s="225"/>
      <c r="BB978" s="225"/>
      <c r="BC978" s="56"/>
      <c r="BD978" s="56"/>
      <c r="BE978" s="56"/>
      <c r="BF978" s="107" t="str">
        <f t="shared" si="733"/>
        <v>https://www.google.com/search?tbm=isch&amp;q=7%20G4</v>
      </c>
      <c r="BG978" s="107" t="str">
        <f t="shared" si="734"/>
        <v>D</v>
      </c>
      <c r="BH978" s="254"/>
      <c r="BI978" s="254"/>
    </row>
    <row r="979" spans="1:61" customFormat="1" ht="16.5" thickBot="1" x14ac:dyDescent="0.3">
      <c r="A979" s="522" t="s">
        <v>2926</v>
      </c>
      <c r="B979" s="491"/>
      <c r="C979" s="675"/>
      <c r="D979" s="491"/>
      <c r="E979" s="491"/>
      <c r="F979" s="492"/>
      <c r="G979" s="493"/>
      <c r="H979" s="491"/>
      <c r="I979" s="234"/>
      <c r="J979" s="234"/>
      <c r="K979" s="494"/>
      <c r="L979" s="543"/>
      <c r="M979" s="561"/>
      <c r="N979" s="495"/>
      <c r="O979" s="496"/>
      <c r="P979" s="497"/>
      <c r="Q979" s="495"/>
      <c r="R979" s="495"/>
      <c r="S979" s="277"/>
      <c r="T979" s="508">
        <f t="shared" si="722"/>
        <v>0</v>
      </c>
      <c r="U979" s="225" t="str">
        <f>IF(NOT(ISNUMBER(G979)), "", VLOOKUP(A979,'Discount Lookup'!D:E,2,FALSE)*G979)</f>
        <v/>
      </c>
      <c r="V979" s="225" t="str">
        <f>IF(NOT(ISNUMBER(G979)), "", VLOOKUP(A979,'Discount Lookup'!G:H,2,FALSE)*G979)</f>
        <v/>
      </c>
      <c r="W979" s="508">
        <f t="shared" si="723"/>
        <v>0</v>
      </c>
      <c r="X979" s="508">
        <f t="shared" si="724"/>
        <v>0</v>
      </c>
      <c r="Y979" s="509" t="b">
        <f t="shared" si="725"/>
        <v>0</v>
      </c>
      <c r="Z979" s="510">
        <f t="shared" si="726"/>
        <v>0</v>
      </c>
      <c r="AA979" s="511"/>
      <c r="AB979" s="511" t="str">
        <f t="shared" si="727"/>
        <v/>
      </c>
      <c r="AC979" s="698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698"/>
      <c r="AE979" s="631" t="str">
        <f t="shared" si="728"/>
        <v/>
      </c>
      <c r="AF979" s="699" t="str">
        <f t="shared" si="729"/>
        <v/>
      </c>
      <c r="AG979" s="699"/>
      <c r="AH979" s="699"/>
      <c r="AI979" s="512">
        <f>IF(H979="credit",0,IF(AE979="free",0,IF(AE979="me",0,IF(G979&gt;0,(VLOOKUP(A979,'Discount Lookup'!J:K,2)*G979),0))))</f>
        <v>0</v>
      </c>
      <c r="AJ979" s="513" t="str">
        <f t="shared" ca="1" si="730"/>
        <v/>
      </c>
      <c r="AK979" s="700" t="str">
        <f t="shared" si="731"/>
        <v/>
      </c>
      <c r="AL979" s="700"/>
      <c r="AM979" s="505" t="str">
        <f t="shared" si="732"/>
        <v/>
      </c>
      <c r="AN979" s="506"/>
      <c r="AO979" s="507"/>
      <c r="AP979" s="507"/>
      <c r="AQ979" s="507"/>
      <c r="AR979" s="507"/>
      <c r="AS979" s="507"/>
      <c r="AT979" s="507"/>
      <c r="AU979" s="507"/>
      <c r="AV979" s="225"/>
      <c r="AW979" s="508"/>
      <c r="AX979" s="225"/>
      <c r="AY979" s="225"/>
      <c r="AZ979" s="225"/>
      <c r="BA979" s="225"/>
      <c r="BB979" s="225"/>
      <c r="BC979" s="56"/>
      <c r="BD979" s="56"/>
      <c r="BE979" s="56"/>
      <c r="BF979" s="107" t="str">
        <f t="shared" si="733"/>
        <v>https://www.google.com/search?tbm=isch&amp;q=Dark%20Fire%20named%20for%20very%20Deep%20Plum-Dark%20Purple%20foliage.%20Fringe-like%20flowers%20bloom%20periodically%20after%20spring%20</v>
      </c>
      <c r="BG979" s="107" t="str">
        <f t="shared" si="734"/>
        <v>D</v>
      </c>
      <c r="BH979" s="254"/>
      <c r="BI979" s="254"/>
    </row>
    <row r="980" spans="1:61" customFormat="1" ht="18" x14ac:dyDescent="0.25">
      <c r="A980" s="523" t="s">
        <v>5387</v>
      </c>
      <c r="B980" s="235"/>
      <c r="C980" s="676"/>
      <c r="D980" s="255" t="s">
        <v>734</v>
      </c>
      <c r="E980" s="236"/>
      <c r="F980" s="236"/>
      <c r="G980" s="236"/>
      <c r="H980" s="582" t="s">
        <v>1441</v>
      </c>
      <c r="I980" s="498" t="s">
        <v>654</v>
      </c>
      <c r="J980" s="237"/>
      <c r="K980" s="237"/>
      <c r="L980" s="274"/>
      <c r="M980" s="668" t="s">
        <v>4975</v>
      </c>
      <c r="N980" s="681" t="str">
        <f>IF(AND(ISTEXT($A980), ISERROR($A980+0)), HYPERLINK($BF980, "Images"), "")</f>
        <v>Images</v>
      </c>
      <c r="O980" s="663" t="s">
        <v>4967</v>
      </c>
      <c r="P980" s="253"/>
      <c r="Q980" s="238"/>
      <c r="R980" s="239"/>
      <c r="S980" s="275"/>
      <c r="T980" s="508">
        <f t="shared" si="722"/>
        <v>0</v>
      </c>
      <c r="U980" s="225" t="str">
        <f>IF(NOT(ISNUMBER(G980)), "", VLOOKUP(A980,'Discount Lookup'!D:E,2,FALSE)*G980)</f>
        <v/>
      </c>
      <c r="V980" s="225" t="str">
        <f>IF(NOT(ISNUMBER(G980)), "", VLOOKUP(A980,'Discount Lookup'!G:H,2,FALSE)*G980)</f>
        <v/>
      </c>
      <c r="W980" s="508">
        <f t="shared" si="723"/>
        <v>0</v>
      </c>
      <c r="X980" s="508" t="str">
        <f t="shared" si="724"/>
        <v>White bloom</v>
      </c>
      <c r="Y980" s="509" t="b">
        <f t="shared" si="725"/>
        <v>0</v>
      </c>
      <c r="Z980" s="510">
        <f t="shared" si="726"/>
        <v>0</v>
      </c>
      <c r="AA980" s="511"/>
      <c r="AB980" s="511" t="str">
        <f t="shared" si="727"/>
        <v/>
      </c>
      <c r="AC980" s="698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698"/>
      <c r="AE980" s="631" t="str">
        <f t="shared" si="728"/>
        <v/>
      </c>
      <c r="AF980" s="699" t="str">
        <f t="shared" si="729"/>
        <v/>
      </c>
      <c r="AG980" s="699"/>
      <c r="AH980" s="699"/>
      <c r="AI980" s="512">
        <f>IF(H980="credit",0,IF(AE980="free",0,IF(AE980="me",0,IF(G980&gt;0,(VLOOKUP(A980,'Discount Lookup'!J:K,2)*G980),0))))</f>
        <v>0</v>
      </c>
      <c r="AJ980" s="513" t="str">
        <f t="shared" ca="1" si="730"/>
        <v/>
      </c>
      <c r="AK980" s="700" t="str">
        <f t="shared" si="731"/>
        <v/>
      </c>
      <c r="AL980" s="700"/>
      <c r="AM980" s="505" t="str">
        <f t="shared" si="732"/>
        <v/>
      </c>
      <c r="AN980" s="506"/>
      <c r="AO980" s="507"/>
      <c r="AP980" s="507"/>
      <c r="AQ980" s="507"/>
      <c r="AR980" s="507"/>
      <c r="AS980" s="507"/>
      <c r="AT980" s="507"/>
      <c r="AU980" s="507"/>
      <c r="AV980" s="225"/>
      <c r="AW980" s="508"/>
      <c r="AX980" s="225"/>
      <c r="AY980" s="225"/>
      <c r="AZ980" s="225"/>
      <c r="BA980" s="225"/>
      <c r="BB980" s="225"/>
      <c r="BC980" s="56"/>
      <c r="BD980" s="56"/>
      <c r="BE980" s="56"/>
      <c r="BF980" s="107" t="str">
        <f t="shared" si="733"/>
        <v>https://www.google.com/search?tbm=isch&amp;q=Dark%20Tower%E2%84%A2%20Blackhaw%20Viburnum%20Viburnum%20prunifolium%20%27Dark%20Tower%27</v>
      </c>
      <c r="BG980" s="107" t="str">
        <f t="shared" si="734"/>
        <v>D</v>
      </c>
      <c r="BH980" s="254"/>
      <c r="BI980" s="254"/>
    </row>
    <row r="981" spans="1:61" customFormat="1" ht="27" x14ac:dyDescent="0.25">
      <c r="A981" s="276">
        <v>10</v>
      </c>
      <c r="B981" s="240" t="s">
        <v>291</v>
      </c>
      <c r="C981" s="241" t="s">
        <v>3407</v>
      </c>
      <c r="D981" s="242" t="s">
        <v>292</v>
      </c>
      <c r="E981" s="243">
        <v>169.95</v>
      </c>
      <c r="F981" s="517" t="s">
        <v>293</v>
      </c>
      <c r="G981" s="232">
        <v>0</v>
      </c>
      <c r="H981" s="661" t="str">
        <f>IF(G981=0,"",IF(F981="Buy",IF(G981=1,"plant","plants"),IF(F981&gt;0.01,"warranty","Error")))</f>
        <v/>
      </c>
      <c r="I981" s="244">
        <f>IF(H981="free",0,IF(H981="credit",((E981*(F981))*G981*-1),IF(F981="Buy",(E981*G981),((E981*(1-F981))*G981))))</f>
        <v>0</v>
      </c>
      <c r="J981" s="244">
        <f>IF(H981="warranty",0,(I981*(_xlfn.SINGLE(SalesTaxPercentage))))</f>
        <v>0</v>
      </c>
      <c r="K981" s="696">
        <f t="shared" ref="K981" si="739">I981+J981</f>
        <v>0</v>
      </c>
      <c r="L981" s="696"/>
      <c r="M981" s="659" t="str">
        <f>IF(AND(G981&gt;0,E981=0),"WARNING - no PRICE inserted",IF(H981="free"," FREE ~ no charge this plant",IF(H981="credit",CONCATENATE(" -$",ROUND(K981*(1-T2GDiscount)*-1,2)," CREDIT after discount"),IF(T2GDiscount=0,"",IF(G981=0,"",IF(F981="Buy",CONCATENATE(" $",ROUND(K981*(1-T2GDiscount),2)," with ",(T2GDiscount*100),"% discount"),CONCATENATE(" $",ROUND(K981*(1-T2GDiscount),2)," with ",((T2GDiscount*100+F981*100)-(T2GDiscount*100*F981)),IF(F981&gt;0,"% discounts",IF(NoWarrantyDiscount&gt;0,"% discounts","% discount")))))))))</f>
        <v/>
      </c>
      <c r="N981" s="660"/>
      <c r="O981" s="233"/>
      <c r="P981" s="233"/>
      <c r="Q981" s="233"/>
      <c r="R981" s="233"/>
      <c r="S981" s="233"/>
      <c r="T981" s="508">
        <f t="shared" si="722"/>
        <v>0</v>
      </c>
      <c r="U981" s="225">
        <f>IF(NOT(ISNUMBER(G981)), "", VLOOKUP(A981,'Discount Lookup'!D:E,2,FALSE)*G981)</f>
        <v>0</v>
      </c>
      <c r="V981" s="225">
        <f>IF(NOT(ISNUMBER(G981)), "", VLOOKUP(A981,'Discount Lookup'!G:H,2,FALSE)*G981)</f>
        <v>0</v>
      </c>
      <c r="W981" s="508">
        <f t="shared" si="723"/>
        <v>0</v>
      </c>
      <c r="X981" s="508">
        <f t="shared" si="724"/>
        <v>0</v>
      </c>
      <c r="Y981" s="509" t="b">
        <f t="shared" si="725"/>
        <v>0</v>
      </c>
      <c r="Z981" s="510">
        <f t="shared" si="726"/>
        <v>0</v>
      </c>
      <c r="AA981" s="511"/>
      <c r="AB981" s="511" t="str">
        <f t="shared" si="727"/>
        <v/>
      </c>
      <c r="AC981" s="698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698"/>
      <c r="AE981" s="631" t="str">
        <f t="shared" si="728"/>
        <v/>
      </c>
      <c r="AF981" s="699" t="str">
        <f t="shared" si="729"/>
        <v/>
      </c>
      <c r="AG981" s="699"/>
      <c r="AH981" s="699"/>
      <c r="AI981" s="512">
        <f>IF(H981="credit",0,IF(AE981="free",0,IF(AE981="me",0,IF(G981&gt;0,(VLOOKUP(A981,'Discount Lookup'!J:K,2)*G981),0))))</f>
        <v>0</v>
      </c>
      <c r="AJ981" s="513" t="str">
        <f t="shared" ca="1" si="730"/>
        <v/>
      </c>
      <c r="AK981" s="700" t="str">
        <f t="shared" si="731"/>
        <v/>
      </c>
      <c r="AL981" s="700"/>
      <c r="AM981" s="505" t="str">
        <f t="shared" si="732"/>
        <v/>
      </c>
      <c r="AN981" s="506"/>
      <c r="AO981" s="507"/>
      <c r="AP981" s="507"/>
      <c r="AQ981" s="507"/>
      <c r="AR981" s="507"/>
      <c r="AS981" s="507"/>
      <c r="AT981" s="507"/>
      <c r="AU981" s="507"/>
      <c r="AV981" s="225"/>
      <c r="AW981" s="508"/>
      <c r="AX981" s="225"/>
      <c r="AY981" s="225"/>
      <c r="AZ981" s="225"/>
      <c r="BA981" s="225"/>
      <c r="BB981" s="225"/>
      <c r="BC981" s="56"/>
      <c r="BD981" s="56"/>
      <c r="BE981" s="56"/>
      <c r="BF981" s="107" t="str">
        <f t="shared" si="733"/>
        <v>https://www.google.com/search?tbm=isch&amp;q=10%20G4</v>
      </c>
      <c r="BG981" s="107" t="str">
        <f t="shared" si="734"/>
        <v>D</v>
      </c>
      <c r="BH981" s="254"/>
      <c r="BI981" s="254"/>
    </row>
    <row r="982" spans="1:61" customFormat="1" ht="17.25" thickBot="1" x14ac:dyDescent="0.3">
      <c r="A982" s="673" t="s">
        <v>5088</v>
      </c>
      <c r="B982" s="245"/>
      <c r="C982" s="677"/>
      <c r="D982" s="499"/>
      <c r="E982" s="499"/>
      <c r="F982" s="500"/>
      <c r="G982" s="501"/>
      <c r="H982" s="502"/>
      <c r="I982" s="246"/>
      <c r="J982" s="247"/>
      <c r="K982" s="503"/>
      <c r="L982" s="544"/>
      <c r="M982" s="544"/>
      <c r="N982" s="500"/>
      <c r="O982" s="500"/>
      <c r="P982" s="500"/>
      <c r="Q982" s="500"/>
      <c r="R982" s="500"/>
      <c r="S982" s="669" t="s">
        <v>4996</v>
      </c>
      <c r="T982" s="508">
        <f t="shared" si="722"/>
        <v>0</v>
      </c>
      <c r="U982" s="225" t="str">
        <f>IF(NOT(ISNUMBER(G982)), "", VLOOKUP(A982,'Discount Lookup'!D:E,2,FALSE)*G982)</f>
        <v/>
      </c>
      <c r="V982" s="225" t="str">
        <f>IF(NOT(ISNUMBER(G982)), "", VLOOKUP(A982,'Discount Lookup'!G:H,2,FALSE)*G982)</f>
        <v/>
      </c>
      <c r="W982" s="508">
        <f t="shared" si="723"/>
        <v>0</v>
      </c>
      <c r="X982" s="508">
        <f t="shared" si="724"/>
        <v>0</v>
      </c>
      <c r="Y982" s="509" t="b">
        <f t="shared" si="725"/>
        <v>0</v>
      </c>
      <c r="Z982" s="510">
        <f t="shared" si="726"/>
        <v>0</v>
      </c>
      <c r="AA982" s="511"/>
      <c r="AB982" s="511" t="str">
        <f t="shared" si="727"/>
        <v/>
      </c>
      <c r="AC982" s="698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698"/>
      <c r="AE982" s="631" t="str">
        <f t="shared" si="728"/>
        <v/>
      </c>
      <c r="AF982" s="699" t="str">
        <f t="shared" si="729"/>
        <v/>
      </c>
      <c r="AG982" s="699"/>
      <c r="AH982" s="699"/>
      <c r="AI982" s="512">
        <f>IF(H982="credit",0,IF(AE982="free",0,IF(AE982="me",0,IF(G982&gt;0,(VLOOKUP(A982,'Discount Lookup'!J:K,2)*G982),0))))</f>
        <v>0</v>
      </c>
      <c r="AJ982" s="513" t="str">
        <f t="shared" ca="1" si="730"/>
        <v/>
      </c>
      <c r="AK982" s="700" t="str">
        <f t="shared" si="731"/>
        <v/>
      </c>
      <c r="AL982" s="700"/>
      <c r="AM982" s="505" t="str">
        <f t="shared" si="732"/>
        <v/>
      </c>
      <c r="AN982" s="506"/>
      <c r="AO982" s="507"/>
      <c r="AP982" s="507"/>
      <c r="AQ982" s="507"/>
      <c r="AR982" s="507"/>
      <c r="AS982" s="507"/>
      <c r="AT982" s="507"/>
      <c r="AU982" s="507"/>
      <c r="AV982" s="225"/>
      <c r="AW982" s="508"/>
      <c r="AX982" s="225"/>
      <c r="AY982" s="225"/>
      <c r="AZ982" s="225"/>
      <c r="BA982" s="225"/>
      <c r="BB982" s="225"/>
      <c r="BC982" s="56"/>
      <c r="BD982" s="56"/>
      <c r="BE982" s="56"/>
      <c r="BF982" s="107" t="str">
        <f t="shared" si="733"/>
        <v>https://www.google.com/search?tbm=isch&amp;q=moist%20sites%F0%9F%92%A7OK%2C%20Dark%20Tower%20named%20for%20Deep%20Reddish-Purple%20foliage%20in%20upright%2C%20narrow%20form.%20Maroon%20to%20Wine-Red%20in%20fall%20</v>
      </c>
      <c r="BG982" s="107" t="str">
        <f t="shared" si="734"/>
        <v>m</v>
      </c>
      <c r="BH982" s="254"/>
      <c r="BI982" s="254"/>
    </row>
    <row r="983" spans="1:61" customFormat="1" ht="18" x14ac:dyDescent="0.25">
      <c r="A983" s="521" t="s">
        <v>735</v>
      </c>
      <c r="B983" s="477"/>
      <c r="C983" s="674"/>
      <c r="D983" s="478" t="s">
        <v>736</v>
      </c>
      <c r="E983" s="479"/>
      <c r="F983" s="479"/>
      <c r="G983" s="479"/>
      <c r="H983" s="582" t="s">
        <v>720</v>
      </c>
      <c r="I983" s="480" t="s">
        <v>2670</v>
      </c>
      <c r="J983" s="479"/>
      <c r="K983" s="479"/>
      <c r="L983" s="560"/>
      <c r="M983" s="666" t="s">
        <v>4966</v>
      </c>
      <c r="N983" s="680" t="str">
        <f>IF(AND(ISTEXT($A983), ISERROR($A983+0)), HYPERLINK($BF983, "Images"), "")</f>
        <v>Images</v>
      </c>
      <c r="O983" s="662" t="s">
        <v>4967</v>
      </c>
      <c r="P983" s="482"/>
      <c r="Q983" s="483"/>
      <c r="R983" s="483"/>
      <c r="S983" s="484"/>
      <c r="T983" s="508">
        <f t="shared" si="722"/>
        <v>0</v>
      </c>
      <c r="U983" s="225" t="str">
        <f>IF(NOT(ISNUMBER(G983)), "", VLOOKUP(A983,'Discount Lookup'!D:E,2,FALSE)*G983)</f>
        <v/>
      </c>
      <c r="V983" s="225" t="str">
        <f>IF(NOT(ISNUMBER(G983)), "", VLOOKUP(A983,'Discount Lookup'!G:H,2,FALSE)*G983)</f>
        <v/>
      </c>
      <c r="W983" s="508">
        <f t="shared" si="723"/>
        <v>0</v>
      </c>
      <c r="X983" s="508" t="str">
        <f t="shared" si="724"/>
        <v>Neon-Pink bloom</v>
      </c>
      <c r="Y983" s="509" t="b">
        <f t="shared" si="725"/>
        <v>0</v>
      </c>
      <c r="Z983" s="510">
        <f t="shared" si="726"/>
        <v>0</v>
      </c>
      <c r="AA983" s="511"/>
      <c r="AB983" s="511" t="str">
        <f t="shared" si="727"/>
        <v/>
      </c>
      <c r="AC983" s="698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698"/>
      <c r="AE983" s="631" t="str">
        <f t="shared" si="728"/>
        <v/>
      </c>
      <c r="AF983" s="699" t="str">
        <f t="shared" si="729"/>
        <v/>
      </c>
      <c r="AG983" s="699"/>
      <c r="AH983" s="699"/>
      <c r="AI983" s="512">
        <f>IF(H983="credit",0,IF(AE983="free",0,IF(AE983="me",0,IF(G983&gt;0,(VLOOKUP(A983,'Discount Lookup'!J:K,2)*G983),0))))</f>
        <v>0</v>
      </c>
      <c r="AJ983" s="513" t="str">
        <f t="shared" ca="1" si="730"/>
        <v/>
      </c>
      <c r="AK983" s="700" t="str">
        <f t="shared" si="731"/>
        <v/>
      </c>
      <c r="AL983" s="700"/>
      <c r="AM983" s="505" t="str">
        <f t="shared" si="732"/>
        <v/>
      </c>
      <c r="AN983" s="506"/>
      <c r="AO983" s="507"/>
      <c r="AP983" s="507"/>
      <c r="AQ983" s="507"/>
      <c r="AR983" s="507"/>
      <c r="AS983" s="507"/>
      <c r="AT983" s="507"/>
      <c r="AU983" s="507"/>
      <c r="AV983" s="225"/>
      <c r="AW983" s="508"/>
      <c r="AX983" s="225"/>
      <c r="AY983" s="225"/>
      <c r="AZ983" s="225"/>
      <c r="BA983" s="225"/>
      <c r="BB983" s="225"/>
      <c r="BC983" s="56"/>
      <c r="BD983" s="56"/>
      <c r="BE983" s="56"/>
      <c r="BF983" s="107" t="str">
        <f t="shared" si="733"/>
        <v>https://www.google.com/search?tbm=isch&amp;q=Daruma%20Loropetalum%20Loropetalum%20chin.%20var.%20r.%20%27Daruma%27</v>
      </c>
      <c r="BG983" s="107" t="str">
        <f t="shared" si="734"/>
        <v>D</v>
      </c>
      <c r="BH983" s="254"/>
      <c r="BI983" s="254"/>
    </row>
    <row r="984" spans="1:61" customFormat="1" ht="15.75" x14ac:dyDescent="0.25">
      <c r="A984" s="485">
        <v>3</v>
      </c>
      <c r="B984" s="486" t="s">
        <v>291</v>
      </c>
      <c r="C984" s="487" t="s">
        <v>445</v>
      </c>
      <c r="D984" s="488" t="s">
        <v>298</v>
      </c>
      <c r="E984" s="489">
        <v>26.95</v>
      </c>
      <c r="F984" s="516" t="s">
        <v>293</v>
      </c>
      <c r="G984" s="232">
        <v>0</v>
      </c>
      <c r="H984" s="658" t="str">
        <f>IF(G984=0,"",IF(F984="Buy",IF(G984=1,"plant","plants"),IF(F984&gt;0.01,"warranty","Error")))</f>
        <v/>
      </c>
      <c r="I984" s="490">
        <f>IF(H984="free",0,IF(H984="credit",((E984*(F984))*G984*-1),IF(F984="Buy",(E984*G984),((E984*(1-F984))*G984))))</f>
        <v>0</v>
      </c>
      <c r="J984" s="490">
        <f>IF(H984="warranty",0,(I984*(_xlfn.SINGLE(SalesTaxPercentage))))</f>
        <v>0</v>
      </c>
      <c r="K984" s="695">
        <f t="shared" ref="K984" si="740">I984+J984</f>
        <v>0</v>
      </c>
      <c r="L984" s="695"/>
      <c r="M984" s="659" t="str">
        <f>IF(AND(G984&gt;0,E984=0),"WARNING - no PRICE inserted",IF(H984="free"," FREE ~ no charge this plant",IF(H984="credit",CONCATENATE(" -$",ROUND(K984*(1-T2GDiscount)*-1,2)," CREDIT after discount"),IF(T2GDiscount=0,"",IF(G984=0,"",IF(F984="Buy",CONCATENATE(" $",ROUND(K984*(1-T2GDiscount),2)," with ",(T2GDiscount*100),"% discount"),CONCATENATE(" $",ROUND(K984*(1-T2GDiscount),2)," with ",((T2GDiscount*100+F984*100)-(T2GDiscount*100*F984)),IF(F984&gt;0,"% discounts",IF(NoWarrantyDiscount&gt;0,"% discounts","% discount")))))))))</f>
        <v/>
      </c>
      <c r="N984" s="660"/>
      <c r="O984" s="233"/>
      <c r="P984" s="233"/>
      <c r="Q984" s="233"/>
      <c r="R984" s="233"/>
      <c r="S984" s="233"/>
      <c r="T984" s="508">
        <f t="shared" si="722"/>
        <v>0</v>
      </c>
      <c r="U984" s="225">
        <f>IF(NOT(ISNUMBER(G984)), "", VLOOKUP(A984,'Discount Lookup'!D:E,2,FALSE)*G984)</f>
        <v>0</v>
      </c>
      <c r="V984" s="225">
        <f>IF(NOT(ISNUMBER(G984)), "", VLOOKUP(A984,'Discount Lookup'!G:H,2,FALSE)*G984)</f>
        <v>0</v>
      </c>
      <c r="W984" s="508">
        <f t="shared" si="723"/>
        <v>0</v>
      </c>
      <c r="X984" s="508">
        <f t="shared" si="724"/>
        <v>0</v>
      </c>
      <c r="Y984" s="509" t="b">
        <f t="shared" si="725"/>
        <v>0</v>
      </c>
      <c r="Z984" s="510">
        <f t="shared" si="726"/>
        <v>0</v>
      </c>
      <c r="AA984" s="511"/>
      <c r="AB984" s="511" t="str">
        <f t="shared" si="727"/>
        <v/>
      </c>
      <c r="AC984" s="698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698"/>
      <c r="AE984" s="631" t="str">
        <f t="shared" si="728"/>
        <v/>
      </c>
      <c r="AF984" s="699" t="str">
        <f t="shared" si="729"/>
        <v/>
      </c>
      <c r="AG984" s="699"/>
      <c r="AH984" s="699"/>
      <c r="AI984" s="512">
        <f>IF(H984="credit",0,IF(AE984="free",0,IF(AE984="me",0,IF(G984&gt;0,(VLOOKUP(A984,'Discount Lookup'!J:K,2)*G984),0))))</f>
        <v>0</v>
      </c>
      <c r="AJ984" s="513" t="str">
        <f t="shared" ca="1" si="730"/>
        <v/>
      </c>
      <c r="AK984" s="700" t="str">
        <f t="shared" si="731"/>
        <v/>
      </c>
      <c r="AL984" s="700"/>
      <c r="AM984" s="505" t="str">
        <f t="shared" si="732"/>
        <v/>
      </c>
      <c r="AN984" s="506"/>
      <c r="AO984" s="507"/>
      <c r="AP984" s="507"/>
      <c r="AQ984" s="507"/>
      <c r="AR984" s="507"/>
      <c r="AS984" s="507"/>
      <c r="AT984" s="507"/>
      <c r="AU984" s="507"/>
      <c r="AV984" s="225"/>
      <c r="AW984" s="508"/>
      <c r="AX984" s="225"/>
      <c r="AY984" s="225"/>
      <c r="AZ984" s="225"/>
      <c r="BA984" s="225"/>
      <c r="BB984" s="225"/>
      <c r="BC984" s="56"/>
      <c r="BD984" s="56"/>
      <c r="BE984" s="56"/>
      <c r="BF984" s="107" t="str">
        <f t="shared" si="733"/>
        <v>https://www.google.com/search?tbm=isch&amp;q=3%20G1</v>
      </c>
      <c r="BG984" s="107" t="str">
        <f t="shared" si="734"/>
        <v>D</v>
      </c>
      <c r="BH984" s="254"/>
      <c r="BI984" s="254"/>
    </row>
    <row r="985" spans="1:61" customFormat="1" ht="15.75" x14ac:dyDescent="0.25">
      <c r="A985" s="485">
        <v>5</v>
      </c>
      <c r="B985" s="486" t="s">
        <v>291</v>
      </c>
      <c r="C985" s="487"/>
      <c r="D985" s="488" t="s">
        <v>298</v>
      </c>
      <c r="E985" s="489">
        <v>45.95</v>
      </c>
      <c r="F985" s="516" t="s">
        <v>293</v>
      </c>
      <c r="G985" s="232">
        <v>0</v>
      </c>
      <c r="H985" s="658" t="str">
        <f>IF(G985=0,"",IF(F985="Buy",IF(G985=1,"plant","plants"),IF(F985&gt;0.01,"warranty","Error")))</f>
        <v/>
      </c>
      <c r="I985" s="490">
        <f>IF(H985="free",0,IF(H985="credit",((E985*(F985))*G985*-1),IF(F985="Buy",(E985*G985),((E985*(1-F985))*G985))))</f>
        <v>0</v>
      </c>
      <c r="J985" s="490">
        <f>IF(H985="warranty",0,(I985*(_xlfn.SINGLE(SalesTaxPercentage))))</f>
        <v>0</v>
      </c>
      <c r="K985" s="695">
        <f t="shared" ref="K985" si="741">I985+J985</f>
        <v>0</v>
      </c>
      <c r="L985" s="695"/>
      <c r="M985" s="659" t="str">
        <f>IF(AND(G985&gt;0,E985=0),"WARNING - no PRICE inserted",IF(H985="free"," FREE ~ no charge this plant",IF(H985="credit",CONCATENATE(" -$",ROUND(K985*(1-T2GDiscount)*-1,2)," CREDIT after discount"),IF(T2GDiscount=0,"",IF(G985=0,"",IF(F985="Buy",CONCATENATE(" $",ROUND(K985*(1-T2GDiscount),2)," with ",(T2GDiscount*100),"% discount"),CONCATENATE(" $",ROUND(K985*(1-T2GDiscount),2)," with ",((T2GDiscount*100+F985*100)-(T2GDiscount*100*F985)),IF(F985&gt;0,"% discounts",IF(NoWarrantyDiscount&gt;0,"% discounts","% discount")))))))))</f>
        <v/>
      </c>
      <c r="N985" s="660"/>
      <c r="O985" s="233"/>
      <c r="P985" s="233"/>
      <c r="Q985" s="233"/>
      <c r="R985" s="233"/>
      <c r="S985" s="233"/>
      <c r="T985" s="508">
        <f t="shared" si="722"/>
        <v>0</v>
      </c>
      <c r="U985" s="225">
        <f>IF(NOT(ISNUMBER(G985)), "", VLOOKUP(A985,'Discount Lookup'!D:E,2,FALSE)*G985)</f>
        <v>0</v>
      </c>
      <c r="V985" s="225">
        <f>IF(NOT(ISNUMBER(G985)), "", VLOOKUP(A985,'Discount Lookup'!G:H,2,FALSE)*G985)</f>
        <v>0</v>
      </c>
      <c r="W985" s="508">
        <f t="shared" si="723"/>
        <v>0</v>
      </c>
      <c r="X985" s="508">
        <f t="shared" si="724"/>
        <v>0</v>
      </c>
      <c r="Y985" s="509" t="b">
        <f t="shared" si="725"/>
        <v>0</v>
      </c>
      <c r="Z985" s="510">
        <f t="shared" si="726"/>
        <v>0</v>
      </c>
      <c r="AA985" s="511"/>
      <c r="AB985" s="511" t="str">
        <f t="shared" si="727"/>
        <v/>
      </c>
      <c r="AC985" s="698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698"/>
      <c r="AE985" s="631" t="str">
        <f t="shared" si="728"/>
        <v/>
      </c>
      <c r="AF985" s="699" t="str">
        <f t="shared" si="729"/>
        <v/>
      </c>
      <c r="AG985" s="699"/>
      <c r="AH985" s="699"/>
      <c r="AI985" s="512">
        <f>IF(H985="credit",0,IF(AE985="free",0,IF(AE985="me",0,IF(G985&gt;0,(VLOOKUP(A985,'Discount Lookup'!J:K,2)*G985),0))))</f>
        <v>0</v>
      </c>
      <c r="AJ985" s="513" t="str">
        <f t="shared" ca="1" si="730"/>
        <v/>
      </c>
      <c r="AK985" s="700" t="str">
        <f t="shared" si="731"/>
        <v/>
      </c>
      <c r="AL985" s="700"/>
      <c r="AM985" s="505" t="str">
        <f t="shared" si="732"/>
        <v/>
      </c>
      <c r="AN985" s="506"/>
      <c r="AO985" s="507"/>
      <c r="AP985" s="507"/>
      <c r="AQ985" s="507"/>
      <c r="AR985" s="507"/>
      <c r="AS985" s="507"/>
      <c r="AT985" s="507"/>
      <c r="AU985" s="507"/>
      <c r="AV985" s="225"/>
      <c r="AW985" s="508"/>
      <c r="AX985" s="225"/>
      <c r="AY985" s="225"/>
      <c r="AZ985" s="225"/>
      <c r="BA985" s="225"/>
      <c r="BB985" s="225"/>
      <c r="BC985" s="56"/>
      <c r="BD985" s="56"/>
      <c r="BE985" s="56"/>
      <c r="BF985" s="107" t="str">
        <f t="shared" si="733"/>
        <v>https://www.google.com/search?tbm=isch&amp;q=5%20G1</v>
      </c>
      <c r="BG985" s="107" t="str">
        <f t="shared" si="734"/>
        <v>D</v>
      </c>
      <c r="BH985" s="254"/>
      <c r="BI985" s="254"/>
    </row>
    <row r="986" spans="1:61" customFormat="1" ht="27" x14ac:dyDescent="0.25">
      <c r="A986" s="485">
        <v>5</v>
      </c>
      <c r="B986" s="486" t="s">
        <v>291</v>
      </c>
      <c r="C986" s="487" t="s">
        <v>3408</v>
      </c>
      <c r="D986" s="488" t="s">
        <v>292</v>
      </c>
      <c r="E986" s="489">
        <v>104.95</v>
      </c>
      <c r="F986" s="516" t="s">
        <v>293</v>
      </c>
      <c r="G986" s="232">
        <v>0</v>
      </c>
      <c r="H986" s="658" t="str">
        <f>IF(G986=0,"",IF(F986="Buy",IF(G986=1,"plant","plants"),IF(F986&gt;0.01,"warranty","Error")))</f>
        <v/>
      </c>
      <c r="I986" s="490">
        <f>IF(H986="free",0,IF(H986="credit",((E986*(F986))*G986*-1),IF(F986="Buy",(E986*G986),((E986*(1-F986))*G986))))</f>
        <v>0</v>
      </c>
      <c r="J986" s="490">
        <f>IF(H986="warranty",0,(I986*(_xlfn.SINGLE(SalesTaxPercentage))))</f>
        <v>0</v>
      </c>
      <c r="K986" s="695">
        <f t="shared" ref="K986" si="742">I986+J986</f>
        <v>0</v>
      </c>
      <c r="L986" s="695"/>
      <c r="M986" s="659" t="str">
        <f>IF(AND(G986&gt;0,E986=0),"WARNING - no PRICE inserted",IF(H986="free"," FREE ~ no charge this plant",IF(H986="credit",CONCATENATE(" -$",ROUND(K986*(1-T2GDiscount)*-1,2)," CREDIT after discount"),IF(T2GDiscount=0,"",IF(G986=0,"",IF(F986="Buy",CONCATENATE(" $",ROUND(K986*(1-T2GDiscount),2)," with ",(T2GDiscount*100),"% discount"),CONCATENATE(" $",ROUND(K986*(1-T2GDiscount),2)," with ",((T2GDiscount*100+F986*100)-(T2GDiscount*100*F986)),IF(F986&gt;0,"% discounts",IF(NoWarrantyDiscount&gt;0,"% discounts","% discount")))))))))</f>
        <v/>
      </c>
      <c r="N986" s="660"/>
      <c r="O986" s="233"/>
      <c r="P986" s="233"/>
      <c r="Q986" s="233"/>
      <c r="R986" s="233"/>
      <c r="S986" s="233"/>
      <c r="T986" s="508">
        <f t="shared" si="722"/>
        <v>0</v>
      </c>
      <c r="U986" s="225">
        <f>IF(NOT(ISNUMBER(G986)), "", VLOOKUP(A986,'Discount Lookup'!D:E,2,FALSE)*G986)</f>
        <v>0</v>
      </c>
      <c r="V986" s="225">
        <f>IF(NOT(ISNUMBER(G986)), "", VLOOKUP(A986,'Discount Lookup'!G:H,2,FALSE)*G986)</f>
        <v>0</v>
      </c>
      <c r="W986" s="508">
        <f t="shared" si="723"/>
        <v>0</v>
      </c>
      <c r="X986" s="508">
        <f t="shared" si="724"/>
        <v>0</v>
      </c>
      <c r="Y986" s="509" t="b">
        <f t="shared" si="725"/>
        <v>0</v>
      </c>
      <c r="Z986" s="510">
        <f t="shared" si="726"/>
        <v>0</v>
      </c>
      <c r="AA986" s="511"/>
      <c r="AB986" s="511" t="str">
        <f t="shared" si="727"/>
        <v/>
      </c>
      <c r="AC986" s="698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698"/>
      <c r="AE986" s="631" t="str">
        <f t="shared" si="728"/>
        <v/>
      </c>
      <c r="AF986" s="699" t="str">
        <f t="shared" si="729"/>
        <v/>
      </c>
      <c r="AG986" s="699"/>
      <c r="AH986" s="699"/>
      <c r="AI986" s="512">
        <f>IF(H986="credit",0,IF(AE986="free",0,IF(AE986="me",0,IF(G986&gt;0,(VLOOKUP(A986,'Discount Lookup'!J:K,2)*G986),0))))</f>
        <v>0</v>
      </c>
      <c r="AJ986" s="513" t="str">
        <f t="shared" ca="1" si="730"/>
        <v/>
      </c>
      <c r="AK986" s="700" t="str">
        <f t="shared" si="731"/>
        <v/>
      </c>
      <c r="AL986" s="700"/>
      <c r="AM986" s="505" t="str">
        <f t="shared" si="732"/>
        <v/>
      </c>
      <c r="AN986" s="506"/>
      <c r="AO986" s="507"/>
      <c r="AP986" s="507"/>
      <c r="AQ986" s="507"/>
      <c r="AR986" s="507"/>
      <c r="AS986" s="507"/>
      <c r="AT986" s="507"/>
      <c r="AU986" s="507"/>
      <c r="AV986" s="225"/>
      <c r="AW986" s="508"/>
      <c r="AX986" s="225"/>
      <c r="AY986" s="225"/>
      <c r="AZ986" s="225"/>
      <c r="BA986" s="225"/>
      <c r="BB986" s="225"/>
      <c r="BC986" s="56"/>
      <c r="BD986" s="56"/>
      <c r="BE986" s="56"/>
      <c r="BF986" s="107" t="str">
        <f t="shared" si="733"/>
        <v>https://www.google.com/search?tbm=isch&amp;q=5%20G4</v>
      </c>
      <c r="BG986" s="107" t="str">
        <f t="shared" si="734"/>
        <v>D</v>
      </c>
      <c r="BH986" s="254"/>
      <c r="BI986" s="254"/>
    </row>
    <row r="987" spans="1:61" customFormat="1" ht="16.5" thickBot="1" x14ac:dyDescent="0.3">
      <c r="A987" s="522" t="s">
        <v>2927</v>
      </c>
      <c r="B987" s="491"/>
      <c r="C987" s="675"/>
      <c r="D987" s="491"/>
      <c r="E987" s="491"/>
      <c r="F987" s="492"/>
      <c r="G987" s="493"/>
      <c r="H987" s="491"/>
      <c r="I987" s="234"/>
      <c r="J987" s="234"/>
      <c r="K987" s="494"/>
      <c r="L987" s="543"/>
      <c r="M987" s="561"/>
      <c r="N987" s="495"/>
      <c r="O987" s="496"/>
      <c r="P987" s="497"/>
      <c r="Q987" s="495"/>
      <c r="R987" s="495"/>
      <c r="S987" s="277"/>
      <c r="T987" s="508">
        <f t="shared" si="722"/>
        <v>0</v>
      </c>
      <c r="U987" s="225" t="str">
        <f>IF(NOT(ISNUMBER(G987)), "", VLOOKUP(A987,'Discount Lookup'!D:E,2,FALSE)*G987)</f>
        <v/>
      </c>
      <c r="V987" s="225" t="str">
        <f>IF(NOT(ISNUMBER(G987)), "", VLOOKUP(A987,'Discount Lookup'!G:H,2,FALSE)*G987)</f>
        <v/>
      </c>
      <c r="W987" s="508">
        <f t="shared" si="723"/>
        <v>0</v>
      </c>
      <c r="X987" s="508">
        <f t="shared" si="724"/>
        <v>0</v>
      </c>
      <c r="Y987" s="509" t="b">
        <f t="shared" si="725"/>
        <v>0</v>
      </c>
      <c r="Z987" s="510">
        <f t="shared" si="726"/>
        <v>0</v>
      </c>
      <c r="AA987" s="511"/>
      <c r="AB987" s="511" t="str">
        <f t="shared" si="727"/>
        <v/>
      </c>
      <c r="AC987" s="698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698"/>
      <c r="AE987" s="631" t="str">
        <f t="shared" si="728"/>
        <v/>
      </c>
      <c r="AF987" s="699" t="str">
        <f t="shared" si="729"/>
        <v/>
      </c>
      <c r="AG987" s="699"/>
      <c r="AH987" s="699"/>
      <c r="AI987" s="512">
        <f>IF(H987="credit",0,IF(AE987="free",0,IF(AE987="me",0,IF(G987&gt;0,(VLOOKUP(A987,'Discount Lookup'!J:K,2)*G987),0))))</f>
        <v>0</v>
      </c>
      <c r="AJ987" s="513" t="str">
        <f t="shared" ca="1" si="730"/>
        <v/>
      </c>
      <c r="AK987" s="700" t="str">
        <f t="shared" si="731"/>
        <v/>
      </c>
      <c r="AL987" s="700"/>
      <c r="AM987" s="505" t="str">
        <f t="shared" si="732"/>
        <v/>
      </c>
      <c r="AN987" s="506"/>
      <c r="AO987" s="507"/>
      <c r="AP987" s="507"/>
      <c r="AQ987" s="507"/>
      <c r="AR987" s="507"/>
      <c r="AS987" s="507"/>
      <c r="AT987" s="507"/>
      <c r="AU987" s="507"/>
      <c r="AV987" s="225"/>
      <c r="AW987" s="508"/>
      <c r="AX987" s="225"/>
      <c r="AY987" s="225"/>
      <c r="AZ987" s="225"/>
      <c r="BA987" s="225"/>
      <c r="BB987" s="225"/>
      <c r="BC987" s="56"/>
      <c r="BD987" s="56"/>
      <c r="BE987" s="56"/>
      <c r="BF987" s="107" t="str">
        <f t="shared" si="733"/>
        <v>https://www.google.com/search?tbm=isch&amp;q=Daruma%20is%20a%20compact%20sport%20of%20Ruby%20Loropetalum.%20%20Deep%20Ruby-Red%20foliage.%20Fringe-like%20flowers%20bloom%20periodically%20after%20spring%20</v>
      </c>
      <c r="BG987" s="107" t="str">
        <f t="shared" si="734"/>
        <v>D</v>
      </c>
      <c r="BH987" s="254"/>
      <c r="BI987" s="254"/>
    </row>
    <row r="988" spans="1:61" customFormat="1" ht="18" x14ac:dyDescent="0.25">
      <c r="A988" s="521" t="s">
        <v>738</v>
      </c>
      <c r="B988" s="477"/>
      <c r="C988" s="674"/>
      <c r="D988" s="478" t="s">
        <v>739</v>
      </c>
      <c r="E988" s="479"/>
      <c r="F988" s="479"/>
      <c r="G988" s="479"/>
      <c r="H988" s="582" t="s">
        <v>696</v>
      </c>
      <c r="I988" s="480" t="s">
        <v>2640</v>
      </c>
      <c r="J988" s="479"/>
      <c r="K988" s="479"/>
      <c r="L988" s="560"/>
      <c r="M988" s="666" t="s">
        <v>4963</v>
      </c>
      <c r="N988" s="680" t="str">
        <f>IF(AND(ISTEXT($A988), ISERROR($A988+0)), HYPERLINK($BF988, "Images"), "")</f>
        <v>Images</v>
      </c>
      <c r="O988" s="662" t="s">
        <v>4969</v>
      </c>
      <c r="P988" s="482"/>
      <c r="Q988" s="483"/>
      <c r="R988" s="483"/>
      <c r="S988" s="484"/>
      <c r="T988" s="508">
        <f t="shared" si="722"/>
        <v>0</v>
      </c>
      <c r="U988" s="225" t="str">
        <f>IF(NOT(ISNUMBER(G988)), "", VLOOKUP(A988,'Discount Lookup'!D:E,2,FALSE)*G988)</f>
        <v/>
      </c>
      <c r="V988" s="225" t="str">
        <f>IF(NOT(ISNUMBER(G988)), "", VLOOKUP(A988,'Discount Lookup'!G:H,2,FALSE)*G988)</f>
        <v/>
      </c>
      <c r="W988" s="508">
        <f t="shared" si="723"/>
        <v>0</v>
      </c>
      <c r="X988" s="508" t="str">
        <f t="shared" si="724"/>
        <v>Blue-Green, Yellow tips</v>
      </c>
      <c r="Y988" s="509" t="b">
        <f t="shared" si="725"/>
        <v>0</v>
      </c>
      <c r="Z988" s="510">
        <f t="shared" si="726"/>
        <v>0</v>
      </c>
      <c r="AA988" s="511"/>
      <c r="AB988" s="511" t="str">
        <f t="shared" si="727"/>
        <v/>
      </c>
      <c r="AC988" s="698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698"/>
      <c r="AE988" s="631" t="str">
        <f t="shared" si="728"/>
        <v/>
      </c>
      <c r="AF988" s="699" t="str">
        <f t="shared" si="729"/>
        <v/>
      </c>
      <c r="AG988" s="699"/>
      <c r="AH988" s="699"/>
      <c r="AI988" s="512">
        <f>IF(H988="credit",0,IF(AE988="free",0,IF(AE988="me",0,IF(G988&gt;0,(VLOOKUP(A988,'Discount Lookup'!J:K,2)*G988),0))))</f>
        <v>0</v>
      </c>
      <c r="AJ988" s="513" t="str">
        <f t="shared" ca="1" si="730"/>
        <v/>
      </c>
      <c r="AK988" s="700" t="str">
        <f t="shared" si="731"/>
        <v/>
      </c>
      <c r="AL988" s="700"/>
      <c r="AM988" s="505" t="str">
        <f t="shared" si="732"/>
        <v/>
      </c>
      <c r="AN988" s="506"/>
      <c r="AO988" s="507"/>
      <c r="AP988" s="507"/>
      <c r="AQ988" s="507"/>
      <c r="AR988" s="507"/>
      <c r="AS988" s="507"/>
      <c r="AT988" s="507"/>
      <c r="AU988" s="507"/>
      <c r="AV988" s="225"/>
      <c r="AW988" s="508"/>
      <c r="AX988" s="225"/>
      <c r="AY988" s="225"/>
      <c r="AZ988" s="225"/>
      <c r="BA988" s="225"/>
      <c r="BB988" s="225"/>
      <c r="BC988" s="56"/>
      <c r="BD988" s="56"/>
      <c r="BE988" s="56"/>
      <c r="BF988" s="107" t="str">
        <f t="shared" si="733"/>
        <v>https://www.google.com/search?tbm=isch&amp;q=Daub%27s%20Frosted%20Juniper%20Juniperus%20x%20pfitzeriana%20%27Daub%27s%20Frosted%27</v>
      </c>
      <c r="BG988" s="107" t="str">
        <f t="shared" si="734"/>
        <v>D</v>
      </c>
      <c r="BH988" s="254"/>
      <c r="BI988" s="254"/>
    </row>
    <row r="989" spans="1:61" customFormat="1" ht="27" x14ac:dyDescent="0.25">
      <c r="A989" s="485">
        <v>15</v>
      </c>
      <c r="B989" s="486" t="s">
        <v>291</v>
      </c>
      <c r="C989" s="487" t="s">
        <v>3409</v>
      </c>
      <c r="D989" s="488" t="s">
        <v>292</v>
      </c>
      <c r="E989" s="489">
        <v>385.95</v>
      </c>
      <c r="F989" s="516" t="s">
        <v>293</v>
      </c>
      <c r="G989" s="232">
        <v>0</v>
      </c>
      <c r="H989" s="658" t="str">
        <f>IF(G989=0,"",IF(F989="Buy",IF(G989=1,"plant","plants"),IF(F989&gt;0.01,"warranty","Error")))</f>
        <v/>
      </c>
      <c r="I989" s="490">
        <f>IF(H989="free",0,IF(H989="credit",((E989*(F989))*G989*-1),IF(F989="Buy",(E989*G989),((E989*(1-F989))*G989))))</f>
        <v>0</v>
      </c>
      <c r="J989" s="490">
        <f>IF(H989="warranty",0,(I989*(_xlfn.SINGLE(SalesTaxPercentage))))</f>
        <v>0</v>
      </c>
      <c r="K989" s="695">
        <f t="shared" ref="K989" si="743">I989+J989</f>
        <v>0</v>
      </c>
      <c r="L989" s="695"/>
      <c r="M989" s="659" t="str">
        <f>IF(AND(G989&gt;0,E989=0),"WARNING - no PRICE inserted",IF(H989="free"," FREE ~ no charge this plant",IF(H989="credit",CONCATENATE(" -$",ROUND(K989*(1-T2GDiscount)*-1,2)," CREDIT after discount"),IF(T2GDiscount=0,"",IF(G989=0,"",IF(F989="Buy",CONCATENATE(" $",ROUND(K989*(1-T2GDiscount),2)," with ",(T2GDiscount*100),"% discount"),CONCATENATE(" $",ROUND(K989*(1-T2GDiscount),2)," with ",((T2GDiscount*100+F989*100)-(T2GDiscount*100*F989)),IF(F989&gt;0,"% discounts",IF(NoWarrantyDiscount&gt;0,"% discounts","% discount")))))))))</f>
        <v/>
      </c>
      <c r="N989" s="660"/>
      <c r="O989" s="233"/>
      <c r="P989" s="233"/>
      <c r="Q989" s="233"/>
      <c r="R989" s="233"/>
      <c r="S989" s="233"/>
      <c r="T989" s="508">
        <f t="shared" si="722"/>
        <v>0</v>
      </c>
      <c r="U989" s="225">
        <f>IF(NOT(ISNUMBER(G989)), "", VLOOKUP(A989,'Discount Lookup'!D:E,2,FALSE)*G989)</f>
        <v>0</v>
      </c>
      <c r="V989" s="225">
        <f>IF(NOT(ISNUMBER(G989)), "", VLOOKUP(A989,'Discount Lookup'!G:H,2,FALSE)*G989)</f>
        <v>0</v>
      </c>
      <c r="W989" s="508">
        <f t="shared" si="723"/>
        <v>0</v>
      </c>
      <c r="X989" s="508">
        <f t="shared" si="724"/>
        <v>0</v>
      </c>
      <c r="Y989" s="509" t="b">
        <f t="shared" si="725"/>
        <v>0</v>
      </c>
      <c r="Z989" s="510">
        <f t="shared" si="726"/>
        <v>0</v>
      </c>
      <c r="AA989" s="511"/>
      <c r="AB989" s="511" t="str">
        <f t="shared" si="727"/>
        <v/>
      </c>
      <c r="AC989" s="698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698"/>
      <c r="AE989" s="631" t="str">
        <f t="shared" si="728"/>
        <v/>
      </c>
      <c r="AF989" s="699" t="str">
        <f t="shared" si="729"/>
        <v/>
      </c>
      <c r="AG989" s="699"/>
      <c r="AH989" s="699"/>
      <c r="AI989" s="512">
        <f>IF(H989="credit",0,IF(AE989="free",0,IF(AE989="me",0,IF(G989&gt;0,(VLOOKUP(A989,'Discount Lookup'!J:K,2)*G989),0))))</f>
        <v>0</v>
      </c>
      <c r="AJ989" s="513" t="str">
        <f t="shared" ca="1" si="730"/>
        <v/>
      </c>
      <c r="AK989" s="700" t="str">
        <f t="shared" si="731"/>
        <v/>
      </c>
      <c r="AL989" s="700"/>
      <c r="AM989" s="505" t="str">
        <f t="shared" si="732"/>
        <v/>
      </c>
      <c r="AN989" s="506"/>
      <c r="AO989" s="507"/>
      <c r="AP989" s="507"/>
      <c r="AQ989" s="507"/>
      <c r="AR989" s="507"/>
      <c r="AS989" s="507"/>
      <c r="AT989" s="507"/>
      <c r="AU989" s="507"/>
      <c r="AV989" s="225"/>
      <c r="AW989" s="508"/>
      <c r="AX989" s="225"/>
      <c r="AY989" s="225"/>
      <c r="AZ989" s="225"/>
      <c r="BA989" s="225"/>
      <c r="BB989" s="225"/>
      <c r="BC989" s="56"/>
      <c r="BD989" s="56"/>
      <c r="BE989" s="56"/>
      <c r="BF989" s="107" t="str">
        <f t="shared" si="733"/>
        <v>https://www.google.com/search?tbm=isch&amp;q=15%20G4</v>
      </c>
      <c r="BG989" s="107" t="str">
        <f t="shared" si="734"/>
        <v>D</v>
      </c>
      <c r="BH989" s="254"/>
      <c r="BI989" s="254"/>
    </row>
    <row r="990" spans="1:61" customFormat="1" ht="40.5" x14ac:dyDescent="0.25">
      <c r="A990" s="485">
        <v>15</v>
      </c>
      <c r="B990" s="486" t="s">
        <v>291</v>
      </c>
      <c r="C990" s="487" t="s">
        <v>3410</v>
      </c>
      <c r="D990" s="488" t="s">
        <v>292</v>
      </c>
      <c r="E990" s="489">
        <v>445.95</v>
      </c>
      <c r="F990" s="516" t="s">
        <v>293</v>
      </c>
      <c r="G990" s="232">
        <v>0</v>
      </c>
      <c r="H990" s="658" t="str">
        <f>IF(G990=0,"",IF(F990="Buy",IF(G990=1,"plant","plants"),IF(F990&gt;0.01,"warranty","Error")))</f>
        <v/>
      </c>
      <c r="I990" s="490">
        <f>IF(H990="free",0,IF(H990="credit",((E990*(F990))*G990*-1),IF(F990="Buy",(E990*G990),((E990*(1-F990))*G990))))</f>
        <v>0</v>
      </c>
      <c r="J990" s="490">
        <f>IF(H990="warranty",0,(I990*(_xlfn.SINGLE(SalesTaxPercentage))))</f>
        <v>0</v>
      </c>
      <c r="K990" s="695">
        <f t="shared" ref="K990" si="744">I990+J990</f>
        <v>0</v>
      </c>
      <c r="L990" s="695"/>
      <c r="M990" s="659" t="str">
        <f>IF(AND(G990&gt;0,E990=0),"WARNING - no PRICE inserted",IF(H990="free"," FREE ~ no charge this plant",IF(H990="credit",CONCATENATE(" -$",ROUND(K990*(1-T2GDiscount)*-1,2)," CREDIT after discount"),IF(T2GDiscount=0,"",IF(G990=0,"",IF(F990="Buy",CONCATENATE(" $",ROUND(K990*(1-T2GDiscount),2)," with ",(T2GDiscount*100),"% discount"),CONCATENATE(" $",ROUND(K990*(1-T2GDiscount),2)," with ",((T2GDiscount*100+F990*100)-(T2GDiscount*100*F990)),IF(F990&gt;0,"% discounts",IF(NoWarrantyDiscount&gt;0,"% discounts","% discount")))))))))</f>
        <v/>
      </c>
      <c r="N990" s="660"/>
      <c r="O990" s="233"/>
      <c r="P990" s="233"/>
      <c r="Q990" s="233"/>
      <c r="R990" s="233"/>
      <c r="S990" s="233"/>
      <c r="T990" s="508">
        <f t="shared" si="722"/>
        <v>0</v>
      </c>
      <c r="U990" s="225">
        <f>IF(NOT(ISNUMBER(G990)), "", VLOOKUP(A990,'Discount Lookup'!D:E,2,FALSE)*G990)</f>
        <v>0</v>
      </c>
      <c r="V990" s="225">
        <f>IF(NOT(ISNUMBER(G990)), "", VLOOKUP(A990,'Discount Lookup'!G:H,2,FALSE)*G990)</f>
        <v>0</v>
      </c>
      <c r="W990" s="508">
        <f t="shared" si="723"/>
        <v>0</v>
      </c>
      <c r="X990" s="508">
        <f t="shared" si="724"/>
        <v>0</v>
      </c>
      <c r="Y990" s="509" t="b">
        <f t="shared" si="725"/>
        <v>0</v>
      </c>
      <c r="Z990" s="510">
        <f t="shared" si="726"/>
        <v>0</v>
      </c>
      <c r="AA990" s="511"/>
      <c r="AB990" s="511" t="str">
        <f t="shared" si="727"/>
        <v/>
      </c>
      <c r="AC990" s="698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698"/>
      <c r="AE990" s="631" t="str">
        <f t="shared" si="728"/>
        <v/>
      </c>
      <c r="AF990" s="699" t="str">
        <f t="shared" si="729"/>
        <v/>
      </c>
      <c r="AG990" s="699"/>
      <c r="AH990" s="699"/>
      <c r="AI990" s="512">
        <f>IF(H990="credit",0,IF(AE990="free",0,IF(AE990="me",0,IF(G990&gt;0,(VLOOKUP(A990,'Discount Lookup'!J:K,2)*G990),0))))</f>
        <v>0</v>
      </c>
      <c r="AJ990" s="513" t="str">
        <f t="shared" ca="1" si="730"/>
        <v/>
      </c>
      <c r="AK990" s="700" t="str">
        <f t="shared" si="731"/>
        <v/>
      </c>
      <c r="AL990" s="700"/>
      <c r="AM990" s="505" t="str">
        <f t="shared" si="732"/>
        <v/>
      </c>
      <c r="AN990" s="506"/>
      <c r="AO990" s="507"/>
      <c r="AP990" s="507"/>
      <c r="AQ990" s="507"/>
      <c r="AR990" s="507"/>
      <c r="AS990" s="507"/>
      <c r="AT990" s="507"/>
      <c r="AU990" s="507"/>
      <c r="AV990" s="225"/>
      <c r="AW990" s="508"/>
      <c r="AX990" s="225"/>
      <c r="AY990" s="225"/>
      <c r="AZ990" s="225"/>
      <c r="BA990" s="225"/>
      <c r="BB990" s="225"/>
      <c r="BC990" s="56"/>
      <c r="BD990" s="56"/>
      <c r="BE990" s="56"/>
      <c r="BF990" s="107" t="str">
        <f t="shared" si="733"/>
        <v>https://www.google.com/search?tbm=isch&amp;q=15%20G4</v>
      </c>
      <c r="BG990" s="107" t="str">
        <f t="shared" si="734"/>
        <v>D</v>
      </c>
      <c r="BH990" s="254"/>
      <c r="BI990" s="254"/>
    </row>
    <row r="991" spans="1:61" customFormat="1" ht="17.25" thickBot="1" x14ac:dyDescent="0.3">
      <c r="A991" s="522" t="s">
        <v>2672</v>
      </c>
      <c r="B991" s="491"/>
      <c r="C991" s="675"/>
      <c r="D991" s="491"/>
      <c r="E991" s="491"/>
      <c r="F991" s="492"/>
      <c r="G991" s="493"/>
      <c r="H991" s="491"/>
      <c r="I991" s="234"/>
      <c r="J991" s="234"/>
      <c r="K991" s="494"/>
      <c r="L991" s="543"/>
      <c r="M991" s="561"/>
      <c r="N991" s="495"/>
      <c r="O991" s="496"/>
      <c r="P991" s="497"/>
      <c r="Q991" s="495"/>
      <c r="R991" s="495"/>
      <c r="S991" s="667" t="s">
        <v>4982</v>
      </c>
      <c r="T991" s="508">
        <f t="shared" si="722"/>
        <v>0</v>
      </c>
      <c r="U991" s="225" t="str">
        <f>IF(NOT(ISNUMBER(G991)), "", VLOOKUP(A991,'Discount Lookup'!D:E,2,FALSE)*G991)</f>
        <v/>
      </c>
      <c r="V991" s="225" t="str">
        <f>IF(NOT(ISNUMBER(G991)), "", VLOOKUP(A991,'Discount Lookup'!G:H,2,FALSE)*G991)</f>
        <v/>
      </c>
      <c r="W991" s="508">
        <f t="shared" si="723"/>
        <v>0</v>
      </c>
      <c r="X991" s="508">
        <f t="shared" si="724"/>
        <v>0</v>
      </c>
      <c r="Y991" s="509" t="b">
        <f t="shared" si="725"/>
        <v>0</v>
      </c>
      <c r="Z991" s="510">
        <f t="shared" si="726"/>
        <v>0</v>
      </c>
      <c r="AA991" s="511"/>
      <c r="AB991" s="511" t="str">
        <f t="shared" si="727"/>
        <v/>
      </c>
      <c r="AC991" s="698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698"/>
      <c r="AE991" s="631" t="str">
        <f t="shared" si="728"/>
        <v/>
      </c>
      <c r="AF991" s="699" t="str">
        <f t="shared" si="729"/>
        <v/>
      </c>
      <c r="AG991" s="699"/>
      <c r="AH991" s="699"/>
      <c r="AI991" s="512">
        <f>IF(H991="credit",0,IF(AE991="free",0,IF(AE991="me",0,IF(G991&gt;0,(VLOOKUP(A991,'Discount Lookup'!J:K,2)*G991),0))))</f>
        <v>0</v>
      </c>
      <c r="AJ991" s="513" t="str">
        <f t="shared" ca="1" si="730"/>
        <v/>
      </c>
      <c r="AK991" s="700" t="str">
        <f t="shared" si="731"/>
        <v/>
      </c>
      <c r="AL991" s="700"/>
      <c r="AM991" s="505" t="str">
        <f t="shared" si="732"/>
        <v/>
      </c>
      <c r="AN991" s="506"/>
      <c r="AO991" s="507"/>
      <c r="AP991" s="507"/>
      <c r="AQ991" s="507"/>
      <c r="AR991" s="507"/>
      <c r="AS991" s="507"/>
      <c r="AT991" s="507"/>
      <c r="AU991" s="507"/>
      <c r="AV991" s="225"/>
      <c r="AW991" s="508"/>
      <c r="AX991" s="225"/>
      <c r="AY991" s="225"/>
      <c r="AZ991" s="225"/>
      <c r="BA991" s="225"/>
      <c r="BB991" s="225"/>
      <c r="BC991" s="56"/>
      <c r="BD991" s="56"/>
      <c r="BE991" s="56"/>
      <c r="BF991" s="107" t="str">
        <f t="shared" si="733"/>
        <v>https://www.google.com/search?tbm=isch&amp;q=Daub%E2%80%99s%20Frosted%20creates%20a%20bright%20two-toned%20carpet%E2%80%94Gold-tipped%20over%20Blue-Green.%20Exfoliating%20bark.%20Sun%2Fheat%2Fdrought%20tolerant%20</v>
      </c>
      <c r="BG991" s="107" t="str">
        <f t="shared" si="734"/>
        <v>D</v>
      </c>
      <c r="BH991" s="254"/>
      <c r="BI991" s="254"/>
    </row>
    <row r="992" spans="1:61" customFormat="1" ht="18" x14ac:dyDescent="0.25">
      <c r="A992" s="521" t="s">
        <v>740</v>
      </c>
      <c r="B992" s="477"/>
      <c r="C992" s="674"/>
      <c r="D992" s="478" t="s">
        <v>741</v>
      </c>
      <c r="E992" s="479"/>
      <c r="F992" s="479"/>
      <c r="G992" s="479"/>
      <c r="H992" s="582" t="s">
        <v>463</v>
      </c>
      <c r="I992" s="480" t="s">
        <v>654</v>
      </c>
      <c r="J992" s="479"/>
      <c r="K992" s="479"/>
      <c r="L992" s="560"/>
      <c r="M992" s="666" t="s">
        <v>4966</v>
      </c>
      <c r="N992" s="680" t="str">
        <f>IF(AND(ISTEXT($A992), ISERROR($A992+0)), HYPERLINK($BF992, "Images"), "")</f>
        <v>Images</v>
      </c>
      <c r="O992" s="662" t="s">
        <v>4974</v>
      </c>
      <c r="P992" s="482"/>
      <c r="Q992" s="483"/>
      <c r="R992" s="483"/>
      <c r="S992" s="484"/>
      <c r="T992" s="508">
        <f t="shared" si="722"/>
        <v>0</v>
      </c>
      <c r="U992" s="225" t="str">
        <f>IF(NOT(ISNUMBER(G992)), "", VLOOKUP(A992,'Discount Lookup'!D:E,2,FALSE)*G992)</f>
        <v/>
      </c>
      <c r="V992" s="225" t="str">
        <f>IF(NOT(ISNUMBER(G992)), "", VLOOKUP(A992,'Discount Lookup'!G:H,2,FALSE)*G992)</f>
        <v/>
      </c>
      <c r="W992" s="508">
        <f t="shared" si="723"/>
        <v>0</v>
      </c>
      <c r="X992" s="508" t="str">
        <f t="shared" si="724"/>
        <v>White bloom</v>
      </c>
      <c r="Y992" s="509" t="b">
        <f t="shared" si="725"/>
        <v>0</v>
      </c>
      <c r="Z992" s="510">
        <f t="shared" si="726"/>
        <v>0</v>
      </c>
      <c r="AA992" s="511"/>
      <c r="AB992" s="511" t="str">
        <f t="shared" si="727"/>
        <v/>
      </c>
      <c r="AC992" s="698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698"/>
      <c r="AE992" s="631" t="str">
        <f t="shared" si="728"/>
        <v/>
      </c>
      <c r="AF992" s="699" t="str">
        <f t="shared" si="729"/>
        <v/>
      </c>
      <c r="AG992" s="699"/>
      <c r="AH992" s="699"/>
      <c r="AI992" s="512">
        <f>IF(H992="credit",0,IF(AE992="free",0,IF(AE992="me",0,IF(G992&gt;0,(VLOOKUP(A992,'Discount Lookup'!J:K,2)*G992),0))))</f>
        <v>0</v>
      </c>
      <c r="AJ992" s="513" t="str">
        <f t="shared" ca="1" si="730"/>
        <v/>
      </c>
      <c r="AK992" s="700" t="str">
        <f t="shared" si="731"/>
        <v/>
      </c>
      <c r="AL992" s="700"/>
      <c r="AM992" s="505" t="str">
        <f t="shared" si="732"/>
        <v/>
      </c>
      <c r="AN992" s="506"/>
      <c r="AO992" s="507"/>
      <c r="AP992" s="507"/>
      <c r="AQ992" s="507"/>
      <c r="AR992" s="507"/>
      <c r="AS992" s="507"/>
      <c r="AT992" s="507"/>
      <c r="AU992" s="507"/>
      <c r="AV992" s="225"/>
      <c r="AW992" s="508"/>
      <c r="AX992" s="225"/>
      <c r="AY992" s="225"/>
      <c r="AZ992" s="225"/>
      <c r="BA992" s="225"/>
      <c r="BB992" s="225"/>
      <c r="BC992" s="56"/>
      <c r="BD992" s="56"/>
      <c r="BE992" s="56"/>
      <c r="BF992" s="107" t="str">
        <f t="shared" si="733"/>
        <v>https://www.google.com/search?tbm=isch&amp;q=Davidson%20Hardy%20Privet%20Ligustrum%20japonicum%20%27Davidson%20Hardy%27</v>
      </c>
      <c r="BG992" s="107" t="str">
        <f t="shared" si="734"/>
        <v>D</v>
      </c>
      <c r="BH992" s="254"/>
      <c r="BI992" s="254"/>
    </row>
    <row r="993" spans="1:61" customFormat="1" ht="15.75" x14ac:dyDescent="0.25">
      <c r="A993" s="485">
        <v>10</v>
      </c>
      <c r="B993" s="486" t="s">
        <v>291</v>
      </c>
      <c r="C993" s="487" t="s">
        <v>3411</v>
      </c>
      <c r="D993" s="488" t="s">
        <v>292</v>
      </c>
      <c r="E993" s="489">
        <v>95.95</v>
      </c>
      <c r="F993" s="516" t="s">
        <v>293</v>
      </c>
      <c r="G993" s="232">
        <v>0</v>
      </c>
      <c r="H993" s="658" t="str">
        <f>IF(G993=0,"",IF(F993="Buy",IF(G993=1,"plant","plants"),IF(F993&gt;0.01,"warranty","Error")))</f>
        <v/>
      </c>
      <c r="I993" s="490">
        <f>IF(H993="free",0,IF(H993="credit",((E993*(F993))*G993*-1),IF(F993="Buy",(E993*G993),((E993*(1-F993))*G993))))</f>
        <v>0</v>
      </c>
      <c r="J993" s="490">
        <f>IF(H993="warranty",0,(I993*(_xlfn.SINGLE(SalesTaxPercentage))))</f>
        <v>0</v>
      </c>
      <c r="K993" s="695">
        <f t="shared" ref="K993" si="745">I993+J993</f>
        <v>0</v>
      </c>
      <c r="L993" s="695"/>
      <c r="M993" s="659" t="str">
        <f>IF(AND(G993&gt;0,E993=0),"WARNING - no PRICE inserted",IF(H993="free"," FREE ~ no charge this plant",IF(H993="credit",CONCATENATE(" -$",ROUND(K993*(1-T2GDiscount)*-1,2)," CREDIT after discount"),IF(T2GDiscount=0,"",IF(G993=0,"",IF(F993="Buy",CONCATENATE(" $",ROUND(K993*(1-T2GDiscount),2)," with ",(T2GDiscount*100),"% discount"),CONCATENATE(" $",ROUND(K993*(1-T2GDiscount),2)," with ",((T2GDiscount*100+F993*100)-(T2GDiscount*100*F993)),IF(F993&gt;0,"% discounts",IF(NoWarrantyDiscount&gt;0,"% discounts","% discount")))))))))</f>
        <v/>
      </c>
      <c r="N993" s="660"/>
      <c r="O993" s="233"/>
      <c r="P993" s="233"/>
      <c r="Q993" s="233"/>
      <c r="R993" s="233"/>
      <c r="S993" s="233"/>
      <c r="T993" s="508">
        <f t="shared" si="722"/>
        <v>0</v>
      </c>
      <c r="U993" s="225">
        <f>IF(NOT(ISNUMBER(G993)), "", VLOOKUP(A993,'Discount Lookup'!D:E,2,FALSE)*G993)</f>
        <v>0</v>
      </c>
      <c r="V993" s="225">
        <f>IF(NOT(ISNUMBER(G993)), "", VLOOKUP(A993,'Discount Lookup'!G:H,2,FALSE)*G993)</f>
        <v>0</v>
      </c>
      <c r="W993" s="508">
        <f t="shared" si="723"/>
        <v>0</v>
      </c>
      <c r="X993" s="508">
        <f t="shared" si="724"/>
        <v>0</v>
      </c>
      <c r="Y993" s="509" t="b">
        <f t="shared" si="725"/>
        <v>0</v>
      </c>
      <c r="Z993" s="510">
        <f t="shared" si="726"/>
        <v>0</v>
      </c>
      <c r="AA993" s="511"/>
      <c r="AB993" s="511" t="str">
        <f t="shared" si="727"/>
        <v/>
      </c>
      <c r="AC993" s="698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698"/>
      <c r="AE993" s="631" t="str">
        <f t="shared" si="728"/>
        <v/>
      </c>
      <c r="AF993" s="699" t="str">
        <f t="shared" si="729"/>
        <v/>
      </c>
      <c r="AG993" s="699"/>
      <c r="AH993" s="699"/>
      <c r="AI993" s="512">
        <f>IF(H993="credit",0,IF(AE993="free",0,IF(AE993="me",0,IF(G993&gt;0,(VLOOKUP(A993,'Discount Lookup'!J:K,2)*G993),0))))</f>
        <v>0</v>
      </c>
      <c r="AJ993" s="513" t="str">
        <f t="shared" ca="1" si="730"/>
        <v/>
      </c>
      <c r="AK993" s="700" t="str">
        <f t="shared" si="731"/>
        <v/>
      </c>
      <c r="AL993" s="700"/>
      <c r="AM993" s="505" t="str">
        <f t="shared" si="732"/>
        <v/>
      </c>
      <c r="AN993" s="506"/>
      <c r="AO993" s="507"/>
      <c r="AP993" s="507"/>
      <c r="AQ993" s="507"/>
      <c r="AR993" s="507"/>
      <c r="AS993" s="507"/>
      <c r="AT993" s="507"/>
      <c r="AU993" s="507"/>
      <c r="AV993" s="225"/>
      <c r="AW993" s="508"/>
      <c r="AX993" s="225"/>
      <c r="AY993" s="225"/>
      <c r="AZ993" s="225"/>
      <c r="BA993" s="225"/>
      <c r="BB993" s="225"/>
      <c r="BC993" s="56"/>
      <c r="BD993" s="56"/>
      <c r="BE993" s="56"/>
      <c r="BF993" s="107" t="str">
        <f t="shared" si="733"/>
        <v>https://www.google.com/search?tbm=isch&amp;q=10%20G4</v>
      </c>
      <c r="BG993" s="107" t="str">
        <f t="shared" si="734"/>
        <v>D</v>
      </c>
      <c r="BH993" s="254"/>
      <c r="BI993" s="254"/>
    </row>
    <row r="994" spans="1:61" customFormat="1" ht="27" x14ac:dyDescent="0.25">
      <c r="A994" s="485">
        <v>15</v>
      </c>
      <c r="B994" s="486" t="s">
        <v>291</v>
      </c>
      <c r="C994" s="487" t="s">
        <v>3412</v>
      </c>
      <c r="D994" s="488" t="s">
        <v>292</v>
      </c>
      <c r="E994" s="489">
        <v>178.95</v>
      </c>
      <c r="F994" s="516" t="s">
        <v>293</v>
      </c>
      <c r="G994" s="232">
        <v>0</v>
      </c>
      <c r="H994" s="658" t="str">
        <f>IF(G994=0,"",IF(F994="Buy",IF(G994=1,"plant","plants"),IF(F994&gt;0.01,"warranty","Error")))</f>
        <v/>
      </c>
      <c r="I994" s="490">
        <f>IF(H994="free",0,IF(H994="credit",((E994*(F994))*G994*-1),IF(F994="Buy",(E994*G994),((E994*(1-F994))*G994))))</f>
        <v>0</v>
      </c>
      <c r="J994" s="490">
        <f>IF(H994="warranty",0,(I994*(_xlfn.SINGLE(SalesTaxPercentage))))</f>
        <v>0</v>
      </c>
      <c r="K994" s="695">
        <f t="shared" ref="K994" si="746">I994+J994</f>
        <v>0</v>
      </c>
      <c r="L994" s="695"/>
      <c r="M994" s="659" t="str">
        <f>IF(AND(G994&gt;0,E994=0),"WARNING - no PRICE inserted",IF(H994="free"," FREE ~ no charge this plant",IF(H994="credit",CONCATENATE(" -$",ROUND(K994*(1-T2GDiscount)*-1,2)," CREDIT after discount"),IF(T2GDiscount=0,"",IF(G994=0,"",IF(F994="Buy",CONCATENATE(" $",ROUND(K994*(1-T2GDiscount),2)," with ",(T2GDiscount*100),"% discount"),CONCATENATE(" $",ROUND(K994*(1-T2GDiscount),2)," with ",((T2GDiscount*100+F994*100)-(T2GDiscount*100*F994)),IF(F994&gt;0,"% discounts",IF(NoWarrantyDiscount&gt;0,"% discounts","% discount")))))))))</f>
        <v/>
      </c>
      <c r="N994" s="660"/>
      <c r="O994" s="233"/>
      <c r="P994" s="233"/>
      <c r="Q994" s="233"/>
      <c r="R994" s="233"/>
      <c r="S994" s="233"/>
      <c r="T994" s="508">
        <f t="shared" si="722"/>
        <v>0</v>
      </c>
      <c r="U994" s="225">
        <f>IF(NOT(ISNUMBER(G994)), "", VLOOKUP(A994,'Discount Lookup'!D:E,2,FALSE)*G994)</f>
        <v>0</v>
      </c>
      <c r="V994" s="225">
        <f>IF(NOT(ISNUMBER(G994)), "", VLOOKUP(A994,'Discount Lookup'!G:H,2,FALSE)*G994)</f>
        <v>0</v>
      </c>
      <c r="W994" s="508">
        <f t="shared" si="723"/>
        <v>0</v>
      </c>
      <c r="X994" s="508">
        <f t="shared" si="724"/>
        <v>0</v>
      </c>
      <c r="Y994" s="509" t="b">
        <f t="shared" si="725"/>
        <v>0</v>
      </c>
      <c r="Z994" s="510">
        <f t="shared" si="726"/>
        <v>0</v>
      </c>
      <c r="AA994" s="511"/>
      <c r="AB994" s="511" t="str">
        <f t="shared" si="727"/>
        <v/>
      </c>
      <c r="AC994" s="698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698"/>
      <c r="AE994" s="631" t="str">
        <f t="shared" si="728"/>
        <v/>
      </c>
      <c r="AF994" s="699" t="str">
        <f t="shared" si="729"/>
        <v/>
      </c>
      <c r="AG994" s="699"/>
      <c r="AH994" s="699"/>
      <c r="AI994" s="512">
        <f>IF(H994="credit",0,IF(AE994="free",0,IF(AE994="me",0,IF(G994&gt;0,(VLOOKUP(A994,'Discount Lookup'!J:K,2)*G994),0))))</f>
        <v>0</v>
      </c>
      <c r="AJ994" s="513" t="str">
        <f t="shared" ca="1" si="730"/>
        <v/>
      </c>
      <c r="AK994" s="700" t="str">
        <f t="shared" si="731"/>
        <v/>
      </c>
      <c r="AL994" s="700"/>
      <c r="AM994" s="505" t="str">
        <f t="shared" si="732"/>
        <v/>
      </c>
      <c r="AN994" s="506"/>
      <c r="AO994" s="507"/>
      <c r="AP994" s="507"/>
      <c r="AQ994" s="507"/>
      <c r="AR994" s="507"/>
      <c r="AS994" s="507"/>
      <c r="AT994" s="507"/>
      <c r="AU994" s="507"/>
      <c r="AV994" s="225"/>
      <c r="AW994" s="508"/>
      <c r="AX994" s="225"/>
      <c r="AY994" s="225"/>
      <c r="AZ994" s="225"/>
      <c r="BA994" s="225"/>
      <c r="BB994" s="225"/>
      <c r="BC994" s="56"/>
      <c r="BD994" s="56"/>
      <c r="BE994" s="56"/>
      <c r="BF994" s="107" t="str">
        <f t="shared" si="733"/>
        <v>https://www.google.com/search?tbm=isch&amp;q=15%20G4</v>
      </c>
      <c r="BG994" s="107" t="str">
        <f t="shared" si="734"/>
        <v>D</v>
      </c>
      <c r="BH994" s="254"/>
      <c r="BI994" s="254"/>
    </row>
    <row r="995" spans="1:61" customFormat="1" ht="27" x14ac:dyDescent="0.25">
      <c r="A995" s="485">
        <v>15</v>
      </c>
      <c r="B995" s="486" t="s">
        <v>291</v>
      </c>
      <c r="C995" s="487" t="s">
        <v>3413</v>
      </c>
      <c r="D995" s="488" t="s">
        <v>292</v>
      </c>
      <c r="E995" s="489">
        <v>224.95</v>
      </c>
      <c r="F995" s="516" t="s">
        <v>293</v>
      </c>
      <c r="G995" s="232">
        <v>0</v>
      </c>
      <c r="H995" s="658" t="str">
        <f>IF(G995=0,"",IF(F995="Buy",IF(G995=1,"plant","plants"),IF(F995&gt;0.01,"warranty","Error")))</f>
        <v/>
      </c>
      <c r="I995" s="490">
        <f>IF(H995="free",0,IF(H995="credit",((E995*(F995))*G995*-1),IF(F995="Buy",(E995*G995),((E995*(1-F995))*G995))))</f>
        <v>0</v>
      </c>
      <c r="J995" s="490">
        <f>IF(H995="warranty",0,(I995*(_xlfn.SINGLE(SalesTaxPercentage))))</f>
        <v>0</v>
      </c>
      <c r="K995" s="695">
        <f t="shared" ref="K995" si="747">I995+J995</f>
        <v>0</v>
      </c>
      <c r="L995" s="695"/>
      <c r="M995" s="659" t="str">
        <f>IF(AND(G995&gt;0,E995=0),"WARNING - no PRICE inserted",IF(H995="free"," FREE ~ no charge this plant",IF(H995="credit",CONCATENATE(" -$",ROUND(K995*(1-T2GDiscount)*-1,2)," CREDIT after discount"),IF(T2GDiscount=0,"",IF(G995=0,"",IF(F995="Buy",CONCATENATE(" $",ROUND(K995*(1-T2GDiscount),2)," with ",(T2GDiscount*100),"% discount"),CONCATENATE(" $",ROUND(K995*(1-T2GDiscount),2)," with ",((T2GDiscount*100+F995*100)-(T2GDiscount*100*F995)),IF(F995&gt;0,"% discounts",IF(NoWarrantyDiscount&gt;0,"% discounts","% discount")))))))))</f>
        <v/>
      </c>
      <c r="N995" s="660"/>
      <c r="O995" s="233"/>
      <c r="P995" s="233"/>
      <c r="Q995" s="233"/>
      <c r="R995" s="233"/>
      <c r="S995" s="233"/>
      <c r="T995" s="508">
        <f t="shared" si="722"/>
        <v>0</v>
      </c>
      <c r="U995" s="225">
        <f>IF(NOT(ISNUMBER(G995)), "", VLOOKUP(A995,'Discount Lookup'!D:E,2,FALSE)*G995)</f>
        <v>0</v>
      </c>
      <c r="V995" s="225">
        <f>IF(NOT(ISNUMBER(G995)), "", VLOOKUP(A995,'Discount Lookup'!G:H,2,FALSE)*G995)</f>
        <v>0</v>
      </c>
      <c r="W995" s="508">
        <f t="shared" si="723"/>
        <v>0</v>
      </c>
      <c r="X995" s="508">
        <f t="shared" si="724"/>
        <v>0</v>
      </c>
      <c r="Y995" s="509" t="b">
        <f t="shared" si="725"/>
        <v>0</v>
      </c>
      <c r="Z995" s="510">
        <f t="shared" si="726"/>
        <v>0</v>
      </c>
      <c r="AA995" s="511"/>
      <c r="AB995" s="511" t="str">
        <f t="shared" si="727"/>
        <v/>
      </c>
      <c r="AC995" s="698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698"/>
      <c r="AE995" s="631" t="str">
        <f t="shared" si="728"/>
        <v/>
      </c>
      <c r="AF995" s="699" t="str">
        <f t="shared" si="729"/>
        <v/>
      </c>
      <c r="AG995" s="699"/>
      <c r="AH995" s="699"/>
      <c r="AI995" s="512">
        <f>IF(H995="credit",0,IF(AE995="free",0,IF(AE995="me",0,IF(G995&gt;0,(VLOOKUP(A995,'Discount Lookup'!J:K,2)*G995),0))))</f>
        <v>0</v>
      </c>
      <c r="AJ995" s="513" t="str">
        <f t="shared" ca="1" si="730"/>
        <v/>
      </c>
      <c r="AK995" s="700" t="str">
        <f t="shared" si="731"/>
        <v/>
      </c>
      <c r="AL995" s="700"/>
      <c r="AM995" s="505" t="str">
        <f t="shared" si="732"/>
        <v/>
      </c>
      <c r="AN995" s="506"/>
      <c r="AO995" s="507"/>
      <c r="AP995" s="507"/>
      <c r="AQ995" s="507"/>
      <c r="AR995" s="507"/>
      <c r="AS995" s="507"/>
      <c r="AT995" s="507"/>
      <c r="AU995" s="507"/>
      <c r="AV995" s="225"/>
      <c r="AW995" s="508"/>
      <c r="AX995" s="225"/>
      <c r="AY995" s="225"/>
      <c r="AZ995" s="225"/>
      <c r="BA995" s="225"/>
      <c r="BB995" s="225"/>
      <c r="BC995" s="56"/>
      <c r="BD995" s="56"/>
      <c r="BE995" s="56"/>
      <c r="BF995" s="107" t="str">
        <f t="shared" si="733"/>
        <v>https://www.google.com/search?tbm=isch&amp;q=15%20G4</v>
      </c>
      <c r="BG995" s="107" t="str">
        <f t="shared" si="734"/>
        <v>D</v>
      </c>
      <c r="BH995" s="254"/>
      <c r="BI995" s="254"/>
    </row>
    <row r="996" spans="1:61" customFormat="1" ht="17.25" thickBot="1" x14ac:dyDescent="0.3">
      <c r="A996" s="522" t="s">
        <v>2875</v>
      </c>
      <c r="B996" s="491"/>
      <c r="C996" s="675"/>
      <c r="D996" s="491"/>
      <c r="E996" s="491"/>
      <c r="F996" s="492"/>
      <c r="G996" s="493"/>
      <c r="H996" s="491"/>
      <c r="I996" s="234"/>
      <c r="J996" s="234"/>
      <c r="K996" s="494"/>
      <c r="L996" s="543"/>
      <c r="M996" s="561"/>
      <c r="N996" s="495"/>
      <c r="O996" s="496"/>
      <c r="P996" s="497"/>
      <c r="Q996" s="495"/>
      <c r="R996" s="495"/>
      <c r="S996" s="667" t="s">
        <v>4984</v>
      </c>
      <c r="T996" s="508">
        <f t="shared" si="722"/>
        <v>0</v>
      </c>
      <c r="U996" s="225" t="str">
        <f>IF(NOT(ISNUMBER(G996)), "", VLOOKUP(A996,'Discount Lookup'!D:E,2,FALSE)*G996)</f>
        <v/>
      </c>
      <c r="V996" s="225" t="str">
        <f>IF(NOT(ISNUMBER(G996)), "", VLOOKUP(A996,'Discount Lookup'!G:H,2,FALSE)*G996)</f>
        <v/>
      </c>
      <c r="W996" s="508">
        <f t="shared" si="723"/>
        <v>0</v>
      </c>
      <c r="X996" s="508">
        <f t="shared" si="724"/>
        <v>0</v>
      </c>
      <c r="Y996" s="509" t="b">
        <f t="shared" si="725"/>
        <v>0</v>
      </c>
      <c r="Z996" s="510">
        <f t="shared" si="726"/>
        <v>0</v>
      </c>
      <c r="AA996" s="511"/>
      <c r="AB996" s="511" t="str">
        <f t="shared" si="727"/>
        <v/>
      </c>
      <c r="AC996" s="698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698"/>
      <c r="AE996" s="631" t="str">
        <f t="shared" si="728"/>
        <v/>
      </c>
      <c r="AF996" s="699" t="str">
        <f t="shared" si="729"/>
        <v/>
      </c>
      <c r="AG996" s="699"/>
      <c r="AH996" s="699"/>
      <c r="AI996" s="512">
        <f>IF(H996="credit",0,IF(AE996="free",0,IF(AE996="me",0,IF(G996&gt;0,(VLOOKUP(A996,'Discount Lookup'!J:K,2)*G996),0))))</f>
        <v>0</v>
      </c>
      <c r="AJ996" s="513" t="str">
        <f t="shared" ca="1" si="730"/>
        <v/>
      </c>
      <c r="AK996" s="700" t="str">
        <f t="shared" si="731"/>
        <v/>
      </c>
      <c r="AL996" s="700"/>
      <c r="AM996" s="505" t="str">
        <f t="shared" si="732"/>
        <v/>
      </c>
      <c r="AN996" s="506"/>
      <c r="AO996" s="507"/>
      <c r="AP996" s="507"/>
      <c r="AQ996" s="507"/>
      <c r="AR996" s="507"/>
      <c r="AS996" s="507"/>
      <c r="AT996" s="507"/>
      <c r="AU996" s="507"/>
      <c r="AV996" s="225"/>
      <c r="AW996" s="508"/>
      <c r="AX996" s="225"/>
      <c r="AY996" s="225"/>
      <c r="AZ996" s="225"/>
      <c r="BA996" s="225"/>
      <c r="BB996" s="225"/>
      <c r="BC996" s="56"/>
      <c r="BD996" s="56"/>
      <c r="BE996" s="56"/>
      <c r="BF996" s="107" t="str">
        <f t="shared" si="733"/>
        <v>https://www.google.com/search?tbm=isch&amp;q=Davidson%20Hardy%20is%20a%20cold-hardy%20Privet%20selection%20known%20for%20its%20glossy%20Dark%20Green%20foliage%2C%20fragrant%20blooms%2C%20and%20tolerance%20to%20heat%20and%20drought%20</v>
      </c>
      <c r="BG996" s="107" t="str">
        <f t="shared" si="734"/>
        <v>D</v>
      </c>
      <c r="BH996" s="254"/>
      <c r="BI996" s="254"/>
    </row>
    <row r="997" spans="1:61" customFormat="1" ht="18" x14ac:dyDescent="0.25">
      <c r="A997" s="523" t="s">
        <v>742</v>
      </c>
      <c r="B997" s="235"/>
      <c r="C997" s="676"/>
      <c r="D997" s="255" t="s">
        <v>743</v>
      </c>
      <c r="E997" s="236"/>
      <c r="F997" s="236"/>
      <c r="G997" s="236"/>
      <c r="H997" s="582" t="s">
        <v>2288</v>
      </c>
      <c r="I997" s="498" t="s">
        <v>2289</v>
      </c>
      <c r="J997" s="237"/>
      <c r="K997" s="237"/>
      <c r="L997" s="274"/>
      <c r="M997" s="668" t="s">
        <v>4975</v>
      </c>
      <c r="N997" s="681" t="str">
        <f>IF(AND(ISTEXT($A997), ISERROR($A997+0)), HYPERLINK($BF997, "Images"), "")</f>
        <v>Images</v>
      </c>
      <c r="O997" s="663" t="s">
        <v>4967</v>
      </c>
      <c r="P997" s="253"/>
      <c r="Q997" s="238"/>
      <c r="R997" s="239"/>
      <c r="S997" s="275"/>
      <c r="T997" s="508">
        <f t="shared" si="722"/>
        <v>0</v>
      </c>
      <c r="U997" s="225" t="str">
        <f>IF(NOT(ISNUMBER(G997)), "", VLOOKUP(A997,'Discount Lookup'!D:E,2,FALSE)*G997)</f>
        <v/>
      </c>
      <c r="V997" s="225" t="str">
        <f>IF(NOT(ISNUMBER(G997)), "", VLOOKUP(A997,'Discount Lookup'!G:H,2,FALSE)*G997)</f>
        <v/>
      </c>
      <c r="W997" s="508">
        <f t="shared" si="723"/>
        <v>0</v>
      </c>
      <c r="X997" s="508" t="str">
        <f t="shared" si="724"/>
        <v>Emerald-Green needles</v>
      </c>
      <c r="Y997" s="509" t="b">
        <f t="shared" si="725"/>
        <v>0</v>
      </c>
      <c r="Z997" s="510">
        <f t="shared" si="726"/>
        <v>0</v>
      </c>
      <c r="AA997" s="511"/>
      <c r="AB997" s="511" t="str">
        <f t="shared" si="727"/>
        <v/>
      </c>
      <c r="AC997" s="698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698"/>
      <c r="AE997" s="631" t="str">
        <f t="shared" si="728"/>
        <v/>
      </c>
      <c r="AF997" s="699" t="str">
        <f t="shared" si="729"/>
        <v/>
      </c>
      <c r="AG997" s="699"/>
      <c r="AH997" s="699"/>
      <c r="AI997" s="512">
        <f>IF(H997="credit",0,IF(AE997="free",0,IF(AE997="me",0,IF(G997&gt;0,(VLOOKUP(A997,'Discount Lookup'!J:K,2)*G997),0))))</f>
        <v>0</v>
      </c>
      <c r="AJ997" s="513" t="str">
        <f t="shared" ca="1" si="730"/>
        <v/>
      </c>
      <c r="AK997" s="700" t="str">
        <f t="shared" si="731"/>
        <v/>
      </c>
      <c r="AL997" s="700"/>
      <c r="AM997" s="505" t="str">
        <f t="shared" si="732"/>
        <v/>
      </c>
      <c r="AN997" s="506"/>
      <c r="AO997" s="507"/>
      <c r="AP997" s="507"/>
      <c r="AQ997" s="507"/>
      <c r="AR997" s="507"/>
      <c r="AS997" s="507"/>
      <c r="AT997" s="507"/>
      <c r="AU997" s="507"/>
      <c r="AV997" s="225"/>
      <c r="AW997" s="508"/>
      <c r="AX997" s="225"/>
      <c r="AY997" s="225"/>
      <c r="AZ997" s="225"/>
      <c r="BA997" s="225"/>
      <c r="BB997" s="225"/>
      <c r="BC997" s="56"/>
      <c r="BD997" s="56"/>
      <c r="BE997" s="56"/>
      <c r="BF997" s="107" t="str">
        <f t="shared" si="733"/>
        <v>https://www.google.com/search?tbm=isch&amp;q=Dawn%20Redwood%20Metasequoia%20glyptostroboides</v>
      </c>
      <c r="BG997" s="107" t="str">
        <f t="shared" si="734"/>
        <v>D</v>
      </c>
      <c r="BH997" s="254"/>
      <c r="BI997" s="254"/>
    </row>
    <row r="998" spans="1:61" customFormat="1" ht="15.75" x14ac:dyDescent="0.25">
      <c r="A998" s="276">
        <v>7</v>
      </c>
      <c r="B998" s="240" t="s">
        <v>291</v>
      </c>
      <c r="C998" s="241" t="s">
        <v>3414</v>
      </c>
      <c r="D998" s="242" t="s">
        <v>292</v>
      </c>
      <c r="E998" s="243">
        <v>100.95</v>
      </c>
      <c r="F998" s="517" t="s">
        <v>293</v>
      </c>
      <c r="G998" s="232">
        <v>0</v>
      </c>
      <c r="H998" s="661" t="str">
        <f>IF(G998=0,"",IF(F998="Buy",IF(G998=1,"plant","plants"),IF(F998&gt;0.01,"warranty","Error")))</f>
        <v/>
      </c>
      <c r="I998" s="244">
        <f>IF(H998="free",0,IF(H998="credit",((E998*(F998))*G998*-1),IF(F998="Buy",(E998*G998),((E998*(1-F998))*G998))))</f>
        <v>0</v>
      </c>
      <c r="J998" s="244">
        <f>IF(H998="warranty",0,(I998*(_xlfn.SINGLE(SalesTaxPercentage))))</f>
        <v>0</v>
      </c>
      <c r="K998" s="696">
        <f t="shared" ref="K998" si="748">I998+J998</f>
        <v>0</v>
      </c>
      <c r="L998" s="696"/>
      <c r="M998" s="659" t="str">
        <f>IF(AND(G998&gt;0,E998=0),"WARNING - no PRICE inserted",IF(H998="free"," FREE ~ no charge this plant",IF(H998="credit",CONCATENATE(" -$",ROUND(K998*(1-T2GDiscount)*-1,2)," CREDIT after discount"),IF(T2GDiscount=0,"",IF(G998=0,"",IF(F998="Buy",CONCATENATE(" $",ROUND(K998*(1-T2GDiscount),2)," with ",(T2GDiscount*100),"% discount"),CONCATENATE(" $",ROUND(K998*(1-T2GDiscount),2)," with ",((T2GDiscount*100+F998*100)-(T2GDiscount*100*F998)),IF(F998&gt;0,"% discounts",IF(NoWarrantyDiscount&gt;0,"% discounts","% discount")))))))))</f>
        <v/>
      </c>
      <c r="N998" s="660"/>
      <c r="O998" s="233"/>
      <c r="P998" s="233"/>
      <c r="Q998" s="233"/>
      <c r="R998" s="233"/>
      <c r="S998" s="233"/>
      <c r="T998" s="508">
        <f t="shared" si="722"/>
        <v>0</v>
      </c>
      <c r="U998" s="225">
        <f>IF(NOT(ISNUMBER(G998)), "", VLOOKUP(A998,'Discount Lookup'!D:E,2,FALSE)*G998)</f>
        <v>0</v>
      </c>
      <c r="V998" s="225">
        <f>IF(NOT(ISNUMBER(G998)), "", VLOOKUP(A998,'Discount Lookup'!G:H,2,FALSE)*G998)</f>
        <v>0</v>
      </c>
      <c r="W998" s="508">
        <f t="shared" si="723"/>
        <v>0</v>
      </c>
      <c r="X998" s="508">
        <f t="shared" si="724"/>
        <v>0</v>
      </c>
      <c r="Y998" s="509" t="b">
        <f t="shared" si="725"/>
        <v>0</v>
      </c>
      <c r="Z998" s="510">
        <f t="shared" si="726"/>
        <v>0</v>
      </c>
      <c r="AA998" s="511"/>
      <c r="AB998" s="511" t="str">
        <f t="shared" si="727"/>
        <v/>
      </c>
      <c r="AC998" s="698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698"/>
      <c r="AE998" s="631" t="str">
        <f t="shared" si="728"/>
        <v/>
      </c>
      <c r="AF998" s="699" t="str">
        <f t="shared" si="729"/>
        <v/>
      </c>
      <c r="AG998" s="699"/>
      <c r="AH998" s="699"/>
      <c r="AI998" s="512">
        <f>IF(H998="credit",0,IF(AE998="free",0,IF(AE998="me",0,IF(G998&gt;0,(VLOOKUP(A998,'Discount Lookup'!J:K,2)*G998),0))))</f>
        <v>0</v>
      </c>
      <c r="AJ998" s="513" t="str">
        <f t="shared" ca="1" si="730"/>
        <v/>
      </c>
      <c r="AK998" s="700" t="str">
        <f t="shared" si="731"/>
        <v/>
      </c>
      <c r="AL998" s="700"/>
      <c r="AM998" s="505" t="str">
        <f t="shared" si="732"/>
        <v/>
      </c>
      <c r="AN998" s="506"/>
      <c r="AO998" s="507"/>
      <c r="AP998" s="507"/>
      <c r="AQ998" s="507"/>
      <c r="AR998" s="507"/>
      <c r="AS998" s="507"/>
      <c r="AT998" s="507"/>
      <c r="AU998" s="507"/>
      <c r="AV998" s="225"/>
      <c r="AW998" s="508"/>
      <c r="AX998" s="225"/>
      <c r="AY998" s="225"/>
      <c r="AZ998" s="225"/>
      <c r="BA998" s="225"/>
      <c r="BB998" s="225"/>
      <c r="BC998" s="56"/>
      <c r="BD998" s="56"/>
      <c r="BE998" s="56"/>
      <c r="BF998" s="107" t="str">
        <f t="shared" si="733"/>
        <v>https://www.google.com/search?tbm=isch&amp;q=7%20G4</v>
      </c>
      <c r="BG998" s="107" t="str">
        <f t="shared" si="734"/>
        <v>D</v>
      </c>
      <c r="BH998" s="254"/>
      <c r="BI998" s="254"/>
    </row>
    <row r="999" spans="1:61" customFormat="1" ht="15.75" x14ac:dyDescent="0.25">
      <c r="A999" s="276">
        <v>25</v>
      </c>
      <c r="B999" s="240" t="s">
        <v>291</v>
      </c>
      <c r="C999" s="241" t="s">
        <v>744</v>
      </c>
      <c r="D999" s="242" t="s">
        <v>300</v>
      </c>
      <c r="E999" s="243">
        <v>376.95</v>
      </c>
      <c r="F999" s="517" t="s">
        <v>293</v>
      </c>
      <c r="G999" s="232">
        <v>0</v>
      </c>
      <c r="H999" s="661" t="str">
        <f>IF(G999=0,"",IF(F999="Buy",IF(G999=1,"plant","plants"),IF(F999&gt;0.01,"warranty","Error")))</f>
        <v/>
      </c>
      <c r="I999" s="244">
        <f>IF(H999="free",0,IF(H999="credit",((E999*(F999))*G999*-1),IF(F999="Buy",(E999*G999),((E999*(1-F999))*G999))))</f>
        <v>0</v>
      </c>
      <c r="J999" s="244">
        <f>IF(H999="warranty",0,(I999*(_xlfn.SINGLE(SalesTaxPercentage))))</f>
        <v>0</v>
      </c>
      <c r="K999" s="696">
        <f t="shared" ref="K999" si="749">I999+J999</f>
        <v>0</v>
      </c>
      <c r="L999" s="696"/>
      <c r="M999" s="659" t="str">
        <f>IF(AND(G999&gt;0,E999=0),"WARNING - no PRICE inserted",IF(H999="free"," FREE ~ no charge this plant",IF(H999="credit",CONCATENATE(" -$",ROUND(K999*(1-T2GDiscount)*-1,2)," CREDIT after discount"),IF(T2GDiscount=0,"",IF(G999=0,"",IF(F999="Buy",CONCATENATE(" $",ROUND(K999*(1-T2GDiscount),2)," with ",(T2GDiscount*100),"% discount"),CONCATENATE(" $",ROUND(K999*(1-T2GDiscount),2)," with ",((T2GDiscount*100+F999*100)-(T2GDiscount*100*F999)),IF(F999&gt;0,"% discounts",IF(NoWarrantyDiscount&gt;0,"% discounts","% discount")))))))))</f>
        <v/>
      </c>
      <c r="N999" s="660"/>
      <c r="O999" s="233"/>
      <c r="P999" s="233"/>
      <c r="Q999" s="233"/>
      <c r="R999" s="233"/>
      <c r="S999" s="233"/>
      <c r="T999" s="508">
        <f t="shared" si="722"/>
        <v>0</v>
      </c>
      <c r="U999" s="225">
        <f>IF(NOT(ISNUMBER(G999)), "", VLOOKUP(A999,'Discount Lookup'!D:E,2,FALSE)*G999)</f>
        <v>0</v>
      </c>
      <c r="V999" s="225">
        <f>IF(NOT(ISNUMBER(G999)), "", VLOOKUP(A999,'Discount Lookup'!G:H,2,FALSE)*G999)</f>
        <v>0</v>
      </c>
      <c r="W999" s="508">
        <f t="shared" si="723"/>
        <v>0</v>
      </c>
      <c r="X999" s="508">
        <f t="shared" si="724"/>
        <v>0</v>
      </c>
      <c r="Y999" s="509" t="b">
        <f t="shared" si="725"/>
        <v>0</v>
      </c>
      <c r="Z999" s="510">
        <f t="shared" si="726"/>
        <v>0</v>
      </c>
      <c r="AA999" s="511"/>
      <c r="AB999" s="511" t="str">
        <f t="shared" si="727"/>
        <v/>
      </c>
      <c r="AC999" s="698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698"/>
      <c r="AE999" s="631" t="str">
        <f t="shared" si="728"/>
        <v/>
      </c>
      <c r="AF999" s="699" t="str">
        <f t="shared" si="729"/>
        <v/>
      </c>
      <c r="AG999" s="699"/>
      <c r="AH999" s="699"/>
      <c r="AI999" s="512">
        <f>IF(H999="credit",0,IF(AE999="free",0,IF(AE999="me",0,IF(G999&gt;0,(VLOOKUP(A999,'Discount Lookup'!J:K,2)*G999),0))))</f>
        <v>0</v>
      </c>
      <c r="AJ999" s="513" t="str">
        <f t="shared" ca="1" si="730"/>
        <v/>
      </c>
      <c r="AK999" s="700" t="str">
        <f t="shared" si="731"/>
        <v/>
      </c>
      <c r="AL999" s="700"/>
      <c r="AM999" s="505" t="str">
        <f t="shared" si="732"/>
        <v/>
      </c>
      <c r="AN999" s="506"/>
      <c r="AO999" s="507"/>
      <c r="AP999" s="507"/>
      <c r="AQ999" s="507"/>
      <c r="AR999" s="507"/>
      <c r="AS999" s="507"/>
      <c r="AT999" s="507"/>
      <c r="AU999" s="507"/>
      <c r="AV999" s="225"/>
      <c r="AW999" s="508"/>
      <c r="AX999" s="225"/>
      <c r="AY999" s="225"/>
      <c r="AZ999" s="225"/>
      <c r="BA999" s="225"/>
      <c r="BB999" s="225"/>
      <c r="BC999" s="56"/>
      <c r="BD999" s="56"/>
      <c r="BE999" s="56"/>
      <c r="BF999" s="107" t="str">
        <f t="shared" si="733"/>
        <v>https://www.google.com/search?tbm=isch&amp;q=25%20G6</v>
      </c>
      <c r="BG999" s="107" t="str">
        <f t="shared" si="734"/>
        <v>D</v>
      </c>
      <c r="BH999" s="254"/>
      <c r="BI999" s="254"/>
    </row>
    <row r="1000" spans="1:61" customFormat="1" ht="17.25" thickBot="1" x14ac:dyDescent="0.3">
      <c r="A1000" s="673" t="s">
        <v>5089</v>
      </c>
      <c r="B1000" s="245"/>
      <c r="C1000" s="677"/>
      <c r="D1000" s="499"/>
      <c r="E1000" s="499"/>
      <c r="F1000" s="500"/>
      <c r="G1000" s="501"/>
      <c r="H1000" s="502"/>
      <c r="I1000" s="246"/>
      <c r="J1000" s="247"/>
      <c r="K1000" s="503"/>
      <c r="L1000" s="544"/>
      <c r="M1000" s="544"/>
      <c r="N1000" s="500"/>
      <c r="O1000" s="500"/>
      <c r="P1000" s="500"/>
      <c r="Q1000" s="500"/>
      <c r="R1000" s="500"/>
      <c r="S1000" s="278"/>
      <c r="T1000" s="508">
        <f t="shared" si="722"/>
        <v>0</v>
      </c>
      <c r="U1000" s="225" t="str">
        <f>IF(NOT(ISNUMBER(G1000)), "", VLOOKUP(A1000,'Discount Lookup'!D:E,2,FALSE)*G1000)</f>
        <v/>
      </c>
      <c r="V1000" s="225" t="str">
        <f>IF(NOT(ISNUMBER(G1000)), "", VLOOKUP(A1000,'Discount Lookup'!G:H,2,FALSE)*G1000)</f>
        <v/>
      </c>
      <c r="W1000" s="508">
        <f t="shared" si="723"/>
        <v>0</v>
      </c>
      <c r="X1000" s="508">
        <f t="shared" si="724"/>
        <v>0</v>
      </c>
      <c r="Y1000" s="509" t="b">
        <f t="shared" si="725"/>
        <v>0</v>
      </c>
      <c r="Z1000" s="510">
        <f t="shared" si="726"/>
        <v>0</v>
      </c>
      <c r="AA1000" s="511"/>
      <c r="AB1000" s="511" t="str">
        <f t="shared" si="727"/>
        <v/>
      </c>
      <c r="AC1000" s="698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698"/>
      <c r="AE1000" s="631" t="str">
        <f t="shared" si="728"/>
        <v/>
      </c>
      <c r="AF1000" s="699" t="str">
        <f t="shared" si="729"/>
        <v/>
      </c>
      <c r="AG1000" s="699"/>
      <c r="AH1000" s="699"/>
      <c r="AI1000" s="512">
        <f>IF(H1000="credit",0,IF(AE1000="free",0,IF(AE1000="me",0,IF(G1000&gt;0,(VLOOKUP(A1000,'Discount Lookup'!J:K,2)*G1000),0))))</f>
        <v>0</v>
      </c>
      <c r="AJ1000" s="513" t="str">
        <f t="shared" ca="1" si="730"/>
        <v/>
      </c>
      <c r="AK1000" s="700" t="str">
        <f t="shared" si="731"/>
        <v/>
      </c>
      <c r="AL1000" s="700"/>
      <c r="AM1000" s="505" t="str">
        <f t="shared" si="732"/>
        <v/>
      </c>
      <c r="AN1000" s="506"/>
      <c r="AO1000" s="507"/>
      <c r="AP1000" s="507"/>
      <c r="AQ1000" s="507"/>
      <c r="AR1000" s="507"/>
      <c r="AS1000" s="507"/>
      <c r="AT1000" s="507"/>
      <c r="AU1000" s="507"/>
      <c r="AV1000" s="225"/>
      <c r="AW1000" s="508"/>
      <c r="AX1000" s="225"/>
      <c r="AY1000" s="225"/>
      <c r="AZ1000" s="225"/>
      <c r="BA1000" s="225"/>
      <c r="BB1000" s="225"/>
      <c r="BC1000" s="56"/>
      <c r="BD1000" s="56"/>
      <c r="BE1000" s="56"/>
      <c r="BF1000" s="107" t="str">
        <f t="shared" si="733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1000" s="107" t="str">
        <f t="shared" si="734"/>
        <v>m</v>
      </c>
      <c r="BH1000" s="254"/>
      <c r="BI1000" s="254"/>
    </row>
    <row r="1001" spans="1:61" customFormat="1" ht="18" x14ac:dyDescent="0.25">
      <c r="A1001" s="523" t="s">
        <v>745</v>
      </c>
      <c r="B1001" s="235"/>
      <c r="C1001" s="676"/>
      <c r="D1001" s="255" t="s">
        <v>746</v>
      </c>
      <c r="E1001" s="236"/>
      <c r="F1001" s="236"/>
      <c r="G1001" s="236"/>
      <c r="H1001" s="582" t="s">
        <v>857</v>
      </c>
      <c r="I1001" s="498" t="s">
        <v>4224</v>
      </c>
      <c r="J1001" s="237"/>
      <c r="K1001" s="237"/>
      <c r="L1001" s="274"/>
      <c r="M1001" s="668" t="s">
        <v>4962</v>
      </c>
      <c r="N1001" s="681" t="str">
        <f>IF(AND(ISTEXT($A1001), ISERROR($A1001+0)), HYPERLINK($BF1001, "Images"), "")</f>
        <v>Images</v>
      </c>
      <c r="O1001" s="663" t="s">
        <v>4969</v>
      </c>
      <c r="P1001" s="253"/>
      <c r="Q1001" s="238"/>
      <c r="R1001" s="239"/>
      <c r="S1001" s="275"/>
      <c r="T1001" s="508">
        <f t="shared" si="722"/>
        <v>0</v>
      </c>
      <c r="U1001" s="225" t="str">
        <f>IF(NOT(ISNUMBER(G1001)), "", VLOOKUP(A1001,'Discount Lookup'!D:E,2,FALSE)*G1001)</f>
        <v/>
      </c>
      <c r="V1001" s="225" t="str">
        <f>IF(NOT(ISNUMBER(G1001)), "", VLOOKUP(A1001,'Discount Lookup'!G:H,2,FALSE)*G1001)</f>
        <v/>
      </c>
      <c r="W1001" s="508">
        <f t="shared" si="723"/>
        <v>0</v>
      </c>
      <c r="X1001" s="508" t="str">
        <f t="shared" si="724"/>
        <v>Orange-Red center, Yellow rim</v>
      </c>
      <c r="Y1001" s="509" t="b">
        <f t="shared" si="725"/>
        <v>0</v>
      </c>
      <c r="Z1001" s="510">
        <f t="shared" si="726"/>
        <v>0</v>
      </c>
      <c r="AA1001" s="511"/>
      <c r="AB1001" s="511" t="str">
        <f t="shared" si="727"/>
        <v/>
      </c>
      <c r="AC1001" s="698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698"/>
      <c r="AE1001" s="631" t="str">
        <f t="shared" si="728"/>
        <v/>
      </c>
      <c r="AF1001" s="699" t="str">
        <f t="shared" si="729"/>
        <v/>
      </c>
      <c r="AG1001" s="699"/>
      <c r="AH1001" s="699"/>
      <c r="AI1001" s="512">
        <f>IF(H1001="credit",0,IF(AE1001="free",0,IF(AE1001="me",0,IF(G1001&gt;0,(VLOOKUP(A1001,'Discount Lookup'!J:K,2)*G1001),0))))</f>
        <v>0</v>
      </c>
      <c r="AJ1001" s="513" t="str">
        <f t="shared" ca="1" si="730"/>
        <v/>
      </c>
      <c r="AK1001" s="700" t="str">
        <f t="shared" si="731"/>
        <v/>
      </c>
      <c r="AL1001" s="700"/>
      <c r="AM1001" s="505" t="str">
        <f t="shared" si="732"/>
        <v/>
      </c>
      <c r="AN1001" s="506"/>
      <c r="AO1001" s="507"/>
      <c r="AP1001" s="507"/>
      <c r="AQ1001" s="507"/>
      <c r="AR1001" s="507"/>
      <c r="AS1001" s="507"/>
      <c r="AT1001" s="507"/>
      <c r="AU1001" s="507"/>
      <c r="AV1001" s="225"/>
      <c r="AW1001" s="508"/>
      <c r="AX1001" s="225"/>
      <c r="AY1001" s="225"/>
      <c r="AZ1001" s="225"/>
      <c r="BA1001" s="225"/>
      <c r="BB1001" s="225"/>
      <c r="BC1001" s="56"/>
      <c r="BD1001" s="56"/>
      <c r="BE1001" s="56"/>
      <c r="BF1001" s="107" t="str">
        <f t="shared" si="733"/>
        <v>https://www.google.com/search?tbm=isch&amp;q=Daybreak%20Tickseed%20Coreopsis%20%27Daybreak%27%20PP%2327138</v>
      </c>
      <c r="BG1001" s="107" t="str">
        <f t="shared" si="734"/>
        <v>D</v>
      </c>
      <c r="BH1001" s="254"/>
      <c r="BI1001" s="254"/>
    </row>
    <row r="1002" spans="1:61" customFormat="1" ht="15.75" x14ac:dyDescent="0.25">
      <c r="A1002" s="276">
        <v>2</v>
      </c>
      <c r="B1002" s="240" t="s">
        <v>291</v>
      </c>
      <c r="C1002" s="241"/>
      <c r="D1002" s="242" t="s">
        <v>300</v>
      </c>
      <c r="E1002" s="243">
        <v>17.95</v>
      </c>
      <c r="F1002" s="517" t="s">
        <v>293</v>
      </c>
      <c r="G1002" s="232">
        <v>0</v>
      </c>
      <c r="H1002" s="661" t="str">
        <f>IF(G1002=0,"",IF(F1002="Buy",IF(G1002=1,"plant","plants"),IF(F1002&gt;0.01,"warranty","Error")))</f>
        <v/>
      </c>
      <c r="I1002" s="244">
        <f>IF(H1002="free",0,IF(H1002="credit",((E1002*(F1002))*G1002*-1),IF(F1002="Buy",(E1002*G1002),((E1002*(1-F1002))*G1002))))</f>
        <v>0</v>
      </c>
      <c r="J1002" s="244">
        <f>IF(H1002="warranty",0,(I1002*(_xlfn.SINGLE(SalesTaxPercentage))))</f>
        <v>0</v>
      </c>
      <c r="K1002" s="696">
        <f t="shared" ref="K1002" si="750">I1002+J1002</f>
        <v>0</v>
      </c>
      <c r="L1002" s="696"/>
      <c r="M1002" s="659" t="str">
        <f>IF(AND(G1002&gt;0,E1002=0),"WARNING - no PRICE inserted",IF(H1002="free"," FREE ~ no charge this plant",IF(H1002="credit",CONCATENATE(" -$",ROUND(K1002*(1-T2GDiscount)*-1,2)," CREDIT after discount"),IF(T2GDiscount=0,"",IF(G1002=0,"",IF(F1002="Buy",CONCATENATE(" $",ROUND(K1002*(1-T2GDiscount),2)," with ",(T2GDiscount*100),"% discount"),CONCATENATE(" $",ROUND(K1002*(1-T2GDiscount),2)," with ",((T2GDiscount*100+F1002*100)-(T2GDiscount*100*F1002)),IF(F1002&gt;0,"% discounts",IF(NoWarrantyDiscount&gt;0,"% discounts","% discount")))))))))</f>
        <v/>
      </c>
      <c r="N1002" s="660"/>
      <c r="O1002" s="233"/>
      <c r="P1002" s="233"/>
      <c r="Q1002" s="233"/>
      <c r="R1002" s="233"/>
      <c r="S1002" s="233"/>
      <c r="T1002" s="508">
        <f t="shared" si="722"/>
        <v>0</v>
      </c>
      <c r="U1002" s="225">
        <f>IF(NOT(ISNUMBER(G1002)), "", VLOOKUP(A1002,'Discount Lookup'!D:E,2,FALSE)*G1002)</f>
        <v>0</v>
      </c>
      <c r="V1002" s="225">
        <f>IF(NOT(ISNUMBER(G1002)), "", VLOOKUP(A1002,'Discount Lookup'!G:H,2,FALSE)*G1002)</f>
        <v>0</v>
      </c>
      <c r="W1002" s="508">
        <f t="shared" si="723"/>
        <v>0</v>
      </c>
      <c r="X1002" s="508">
        <f t="shared" si="724"/>
        <v>0</v>
      </c>
      <c r="Y1002" s="509" t="b">
        <f t="shared" si="725"/>
        <v>0</v>
      </c>
      <c r="Z1002" s="510">
        <f t="shared" si="726"/>
        <v>0</v>
      </c>
      <c r="AA1002" s="511"/>
      <c r="AB1002" s="511" t="str">
        <f t="shared" si="727"/>
        <v/>
      </c>
      <c r="AC1002" s="698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698"/>
      <c r="AE1002" s="631" t="str">
        <f t="shared" si="728"/>
        <v/>
      </c>
      <c r="AF1002" s="699" t="str">
        <f t="shared" si="729"/>
        <v/>
      </c>
      <c r="AG1002" s="699"/>
      <c r="AH1002" s="699"/>
      <c r="AI1002" s="512">
        <f>IF(H1002="credit",0,IF(AE1002="free",0,IF(AE1002="me",0,IF(G1002&gt;0,(VLOOKUP(A1002,'Discount Lookup'!J:K,2)*G1002),0))))</f>
        <v>0</v>
      </c>
      <c r="AJ1002" s="513" t="str">
        <f t="shared" ca="1" si="730"/>
        <v/>
      </c>
      <c r="AK1002" s="700" t="str">
        <f t="shared" si="731"/>
        <v/>
      </c>
      <c r="AL1002" s="700"/>
      <c r="AM1002" s="505" t="str">
        <f t="shared" si="732"/>
        <v/>
      </c>
      <c r="AN1002" s="506"/>
      <c r="AO1002" s="507"/>
      <c r="AP1002" s="507"/>
      <c r="AQ1002" s="507"/>
      <c r="AR1002" s="507"/>
      <c r="AS1002" s="507"/>
      <c r="AT1002" s="507"/>
      <c r="AU1002" s="507"/>
      <c r="AV1002" s="225"/>
      <c r="AW1002" s="508"/>
      <c r="AX1002" s="225"/>
      <c r="AY1002" s="225"/>
      <c r="AZ1002" s="225"/>
      <c r="BA1002" s="225"/>
      <c r="BB1002" s="225"/>
      <c r="BC1002" s="56"/>
      <c r="BD1002" s="56"/>
      <c r="BE1002" s="56"/>
      <c r="BF1002" s="107" t="str">
        <f t="shared" si="733"/>
        <v>https://www.google.com/search?tbm=isch&amp;q=2%20G6</v>
      </c>
      <c r="BG1002" s="107" t="str">
        <f t="shared" si="734"/>
        <v>D</v>
      </c>
      <c r="BH1002" s="254"/>
      <c r="BI1002" s="254"/>
    </row>
    <row r="1003" spans="1:61" customFormat="1" ht="17.25" thickBot="1" x14ac:dyDescent="0.3">
      <c r="A1003" s="524" t="s">
        <v>4225</v>
      </c>
      <c r="B1003" s="245"/>
      <c r="C1003" s="677"/>
      <c r="D1003" s="499"/>
      <c r="E1003" s="499"/>
      <c r="F1003" s="500"/>
      <c r="G1003" s="501"/>
      <c r="H1003" s="502"/>
      <c r="I1003" s="246"/>
      <c r="J1003" s="247"/>
      <c r="K1003" s="503"/>
      <c r="L1003" s="544"/>
      <c r="M1003" s="544"/>
      <c r="N1003" s="500"/>
      <c r="O1003" s="500"/>
      <c r="P1003" s="500"/>
      <c r="Q1003" s="500"/>
      <c r="R1003" s="500"/>
      <c r="S1003" s="669" t="s">
        <v>4980</v>
      </c>
      <c r="T1003" s="508">
        <f t="shared" si="722"/>
        <v>0</v>
      </c>
      <c r="U1003" s="225" t="str">
        <f>IF(NOT(ISNUMBER(G1003)), "", VLOOKUP(A1003,'Discount Lookup'!D:E,2,FALSE)*G1003)</f>
        <v/>
      </c>
      <c r="V1003" s="225" t="str">
        <f>IF(NOT(ISNUMBER(G1003)), "", VLOOKUP(A1003,'Discount Lookup'!G:H,2,FALSE)*G1003)</f>
        <v/>
      </c>
      <c r="W1003" s="508">
        <f t="shared" si="723"/>
        <v>0</v>
      </c>
      <c r="X1003" s="508">
        <f t="shared" si="724"/>
        <v>0</v>
      </c>
      <c r="Y1003" s="509" t="b">
        <f t="shared" si="725"/>
        <v>0</v>
      </c>
      <c r="Z1003" s="510">
        <f t="shared" si="726"/>
        <v>0</v>
      </c>
      <c r="AA1003" s="511"/>
      <c r="AB1003" s="511" t="str">
        <f t="shared" si="727"/>
        <v/>
      </c>
      <c r="AC1003" s="698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698"/>
      <c r="AE1003" s="631" t="str">
        <f t="shared" si="728"/>
        <v/>
      </c>
      <c r="AF1003" s="699" t="str">
        <f t="shared" si="729"/>
        <v/>
      </c>
      <c r="AG1003" s="699"/>
      <c r="AH1003" s="699"/>
      <c r="AI1003" s="512">
        <f>IF(H1003="credit",0,IF(AE1003="free",0,IF(AE1003="me",0,IF(G1003&gt;0,(VLOOKUP(A1003,'Discount Lookup'!J:K,2)*G1003),0))))</f>
        <v>0</v>
      </c>
      <c r="AJ1003" s="513" t="str">
        <f t="shared" ca="1" si="730"/>
        <v/>
      </c>
      <c r="AK1003" s="700" t="str">
        <f t="shared" si="731"/>
        <v/>
      </c>
      <c r="AL1003" s="700"/>
      <c r="AM1003" s="505" t="str">
        <f t="shared" si="732"/>
        <v/>
      </c>
      <c r="AN1003" s="506"/>
      <c r="AO1003" s="507"/>
      <c r="AP1003" s="507"/>
      <c r="AQ1003" s="507"/>
      <c r="AR1003" s="507"/>
      <c r="AS1003" s="507"/>
      <c r="AT1003" s="507"/>
      <c r="AU1003" s="507"/>
      <c r="AV1003" s="225"/>
      <c r="AW1003" s="508"/>
      <c r="AX1003" s="225"/>
      <c r="AY1003" s="225"/>
      <c r="AZ1003" s="225"/>
      <c r="BA1003" s="225"/>
      <c r="BB1003" s="225"/>
      <c r="BC1003" s="56"/>
      <c r="BD1003" s="56"/>
      <c r="BE1003" s="56"/>
      <c r="BF1003" s="107" t="str">
        <f t="shared" si="733"/>
        <v>https://www.google.com/search?tbm=isch&amp;q=Daybreak%20has%20striking%2C%20bicolored%20flowers%2C%20providing%20a%20long%20season%20of%20brilliant%20color%2C%20with%20no%20deadheading%20required%20</v>
      </c>
      <c r="BG1003" s="107" t="str">
        <f t="shared" si="734"/>
        <v>D</v>
      </c>
      <c r="BH1003" s="254"/>
      <c r="BI1003" s="254"/>
    </row>
    <row r="1004" spans="1:61" customFormat="1" ht="18" x14ac:dyDescent="0.25">
      <c r="A1004" s="523" t="s">
        <v>5388</v>
      </c>
      <c r="B1004" s="235"/>
      <c r="C1004" s="676"/>
      <c r="D1004" s="255" t="s">
        <v>747</v>
      </c>
      <c r="E1004" s="236"/>
      <c r="F1004" s="236"/>
      <c r="G1004" s="236"/>
      <c r="H1004" s="582" t="s">
        <v>2104</v>
      </c>
      <c r="I1004" s="498" t="s">
        <v>2106</v>
      </c>
      <c r="J1004" s="237"/>
      <c r="K1004" s="237"/>
      <c r="L1004" s="274"/>
      <c r="M1004" s="668" t="s">
        <v>4962</v>
      </c>
      <c r="N1004" s="681" t="str">
        <f>IF(AND(ISTEXT($A1004), ISERROR($A1004+0)), HYPERLINK($BF1004, "Images"), "")</f>
        <v>Images</v>
      </c>
      <c r="O1004" s="663" t="s">
        <v>4969</v>
      </c>
      <c r="P1004" s="253"/>
      <c r="Q1004" s="238"/>
      <c r="R1004" s="239"/>
      <c r="S1004" s="275" t="s">
        <v>305</v>
      </c>
      <c r="T1004" s="508">
        <f t="shared" si="722"/>
        <v>0</v>
      </c>
      <c r="U1004" s="225" t="str">
        <f>IF(NOT(ISNUMBER(G1004)), "", VLOOKUP(A1004,'Discount Lookup'!D:E,2,FALSE)*G1004)</f>
        <v/>
      </c>
      <c r="V1004" s="225" t="str">
        <f>IF(NOT(ISNUMBER(G1004)), "", VLOOKUP(A1004,'Discount Lookup'!G:H,2,FALSE)*G1004)</f>
        <v/>
      </c>
      <c r="W1004" s="508">
        <f t="shared" si="723"/>
        <v>0</v>
      </c>
      <c r="X1004" s="508" t="str">
        <f t="shared" si="724"/>
        <v>Bright Green foliage</v>
      </c>
      <c r="Y1004" s="509" t="b">
        <f t="shared" si="725"/>
        <v>0</v>
      </c>
      <c r="Z1004" s="510">
        <f t="shared" si="726"/>
        <v>0</v>
      </c>
      <c r="AA1004" s="511"/>
      <c r="AB1004" s="511" t="str">
        <f t="shared" si="727"/>
        <v/>
      </c>
      <c r="AC1004" s="698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698"/>
      <c r="AE1004" s="631" t="str">
        <f t="shared" si="728"/>
        <v/>
      </c>
      <c r="AF1004" s="699" t="str">
        <f t="shared" si="729"/>
        <v/>
      </c>
      <c r="AG1004" s="699"/>
      <c r="AH1004" s="699"/>
      <c r="AI1004" s="512">
        <f>IF(H1004="credit",0,IF(AE1004="free",0,IF(AE1004="me",0,IF(G1004&gt;0,(VLOOKUP(A1004,'Discount Lookup'!J:K,2)*G1004),0))))</f>
        <v>0</v>
      </c>
      <c r="AJ1004" s="513" t="str">
        <f t="shared" ca="1" si="730"/>
        <v/>
      </c>
      <c r="AK1004" s="700" t="str">
        <f t="shared" si="731"/>
        <v/>
      </c>
      <c r="AL1004" s="700"/>
      <c r="AM1004" s="505" t="str">
        <f t="shared" si="732"/>
        <v/>
      </c>
      <c r="AN1004" s="506"/>
      <c r="AO1004" s="507"/>
      <c r="AP1004" s="507"/>
      <c r="AQ1004" s="507"/>
      <c r="AR1004" s="507"/>
      <c r="AS1004" s="507"/>
      <c r="AT1004" s="507"/>
      <c r="AU1004" s="507"/>
      <c r="AV1004" s="225"/>
      <c r="AW1004" s="508"/>
      <c r="AX1004" s="225"/>
      <c r="AY1004" s="225"/>
      <c r="AZ1004" s="225"/>
      <c r="BA1004" s="225"/>
      <c r="BB1004" s="225"/>
      <c r="BC1004" s="56"/>
      <c r="BD1004" s="56"/>
      <c r="BE1004" s="56"/>
      <c r="BF1004" s="107" t="str">
        <f t="shared" si="733"/>
        <v>https://www.google.com/search?tbm=isch&amp;q=Debonair%C2%AE%20Pond%20Cypress%20Taxodium%20ascendens%20%27Debonair%27</v>
      </c>
      <c r="BG1004" s="107" t="str">
        <f t="shared" si="734"/>
        <v>D</v>
      </c>
      <c r="BH1004" s="254"/>
      <c r="BI1004" s="254"/>
    </row>
    <row r="1005" spans="1:61" customFormat="1" ht="15.75" x14ac:dyDescent="0.25">
      <c r="A1005" s="276">
        <v>15</v>
      </c>
      <c r="B1005" s="240" t="s">
        <v>291</v>
      </c>
      <c r="C1005" s="241" t="s">
        <v>3415</v>
      </c>
      <c r="D1005" s="242" t="s">
        <v>292</v>
      </c>
      <c r="E1005" s="243">
        <v>183.95</v>
      </c>
      <c r="F1005" s="517" t="s">
        <v>293</v>
      </c>
      <c r="G1005" s="232">
        <v>0</v>
      </c>
      <c r="H1005" s="661" t="str">
        <f>IF(G1005=0,"",IF(F1005="Buy",IF(G1005=1,"plant","plants"),IF(F1005&gt;0.01,"warranty","Error")))</f>
        <v/>
      </c>
      <c r="I1005" s="244">
        <f>IF(H1005="free",0,IF(H1005="credit",((E1005*(F1005))*G1005*-1),IF(F1005="Buy",(E1005*G1005),((E1005*(1-F1005))*G1005))))</f>
        <v>0</v>
      </c>
      <c r="J1005" s="244">
        <f>IF(H1005="warranty",0,(I1005*(_xlfn.SINGLE(SalesTaxPercentage))))</f>
        <v>0</v>
      </c>
      <c r="K1005" s="696">
        <f t="shared" ref="K1005" si="751">I1005+J1005</f>
        <v>0</v>
      </c>
      <c r="L1005" s="696"/>
      <c r="M1005" s="659" t="str">
        <f>IF(AND(G1005&gt;0,E1005=0),"WARNING - no PRICE inserted",IF(H1005="free"," FREE ~ no charge this plant",IF(H1005="credit",CONCATENATE(" -$",ROUND(K1005*(1-T2GDiscount)*-1,2)," CREDIT after discount"),IF(T2GDiscount=0,"",IF(G1005=0,"",IF(F1005="Buy",CONCATENATE(" $",ROUND(K1005*(1-T2GDiscount),2)," with ",(T2GDiscount*100),"% discount"),CONCATENATE(" $",ROUND(K1005*(1-T2GDiscount),2)," with ",((T2GDiscount*100+F1005*100)-(T2GDiscount*100*F1005)),IF(F1005&gt;0,"% discounts",IF(NoWarrantyDiscount&gt;0,"% discounts","% discount")))))))))</f>
        <v/>
      </c>
      <c r="N1005" s="660"/>
      <c r="O1005" s="233"/>
      <c r="P1005" s="233"/>
      <c r="Q1005" s="233"/>
      <c r="R1005" s="233"/>
      <c r="S1005" s="233"/>
      <c r="T1005" s="508">
        <f t="shared" si="722"/>
        <v>0</v>
      </c>
      <c r="U1005" s="225">
        <f>IF(NOT(ISNUMBER(G1005)), "", VLOOKUP(A1005,'Discount Lookup'!D:E,2,FALSE)*G1005)</f>
        <v>0</v>
      </c>
      <c r="V1005" s="225">
        <f>IF(NOT(ISNUMBER(G1005)), "", VLOOKUP(A1005,'Discount Lookup'!G:H,2,FALSE)*G1005)</f>
        <v>0</v>
      </c>
      <c r="W1005" s="508">
        <f t="shared" si="723"/>
        <v>0</v>
      </c>
      <c r="X1005" s="508">
        <f t="shared" si="724"/>
        <v>0</v>
      </c>
      <c r="Y1005" s="509" t="b">
        <f t="shared" si="725"/>
        <v>0</v>
      </c>
      <c r="Z1005" s="510">
        <f t="shared" si="726"/>
        <v>0</v>
      </c>
      <c r="AA1005" s="511"/>
      <c r="AB1005" s="511" t="str">
        <f t="shared" si="727"/>
        <v/>
      </c>
      <c r="AC1005" s="698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698"/>
      <c r="AE1005" s="631" t="str">
        <f t="shared" si="728"/>
        <v/>
      </c>
      <c r="AF1005" s="699" t="str">
        <f t="shared" si="729"/>
        <v/>
      </c>
      <c r="AG1005" s="699"/>
      <c r="AH1005" s="699"/>
      <c r="AI1005" s="512">
        <f>IF(H1005="credit",0,IF(AE1005="free",0,IF(AE1005="me",0,IF(G1005&gt;0,(VLOOKUP(A1005,'Discount Lookup'!J:K,2)*G1005),0))))</f>
        <v>0</v>
      </c>
      <c r="AJ1005" s="513" t="str">
        <f t="shared" ca="1" si="730"/>
        <v/>
      </c>
      <c r="AK1005" s="700" t="str">
        <f t="shared" si="731"/>
        <v/>
      </c>
      <c r="AL1005" s="700"/>
      <c r="AM1005" s="505" t="str">
        <f t="shared" si="732"/>
        <v/>
      </c>
      <c r="AN1005" s="506"/>
      <c r="AO1005" s="507"/>
      <c r="AP1005" s="507"/>
      <c r="AQ1005" s="507"/>
      <c r="AR1005" s="507"/>
      <c r="AS1005" s="507"/>
      <c r="AT1005" s="507"/>
      <c r="AU1005" s="507"/>
      <c r="AV1005" s="225"/>
      <c r="AW1005" s="508"/>
      <c r="AX1005" s="225"/>
      <c r="AY1005" s="225"/>
      <c r="AZ1005" s="225"/>
      <c r="BA1005" s="225"/>
      <c r="BB1005" s="225"/>
      <c r="BC1005" s="56"/>
      <c r="BD1005" s="56"/>
      <c r="BE1005" s="56"/>
      <c r="BF1005" s="107" t="str">
        <f t="shared" si="733"/>
        <v>https://www.google.com/search?tbm=isch&amp;q=15%20G4</v>
      </c>
      <c r="BG1005" s="107" t="str">
        <f t="shared" si="734"/>
        <v>D</v>
      </c>
      <c r="BH1005" s="254"/>
      <c r="BI1005" s="254"/>
    </row>
    <row r="1006" spans="1:61" customFormat="1" ht="15.75" x14ac:dyDescent="0.25">
      <c r="A1006" s="276">
        <v>25</v>
      </c>
      <c r="B1006" s="240" t="s">
        <v>291</v>
      </c>
      <c r="C1006" s="241" t="s">
        <v>3416</v>
      </c>
      <c r="D1006" s="242" t="s">
        <v>292</v>
      </c>
      <c r="E1006" s="243">
        <v>321.95</v>
      </c>
      <c r="F1006" s="517" t="s">
        <v>293</v>
      </c>
      <c r="G1006" s="232">
        <v>0</v>
      </c>
      <c r="H1006" s="661" t="str">
        <f>IF(G1006=0,"",IF(F1006="Buy",IF(G1006=1,"plant","plants"),IF(F1006&gt;0.01,"warranty","Error")))</f>
        <v/>
      </c>
      <c r="I1006" s="244">
        <f>IF(H1006="free",0,IF(H1006="credit",((E1006*(F1006))*G1006*-1),IF(F1006="Buy",(E1006*G1006),((E1006*(1-F1006))*G1006))))</f>
        <v>0</v>
      </c>
      <c r="J1006" s="244">
        <f>IF(H1006="warranty",0,(I1006*(_xlfn.SINGLE(SalesTaxPercentage))))</f>
        <v>0</v>
      </c>
      <c r="K1006" s="696">
        <f t="shared" ref="K1006" si="752">I1006+J1006</f>
        <v>0</v>
      </c>
      <c r="L1006" s="696"/>
      <c r="M1006" s="659" t="str">
        <f>IF(AND(G1006&gt;0,E1006=0),"WARNING - no PRICE inserted",IF(H1006="free"," FREE ~ no charge this plant",IF(H1006="credit",CONCATENATE(" -$",ROUND(K1006*(1-T2GDiscount)*-1,2)," CREDIT after discount"),IF(T2GDiscount=0,"",IF(G1006=0,"",IF(F1006="Buy",CONCATENATE(" $",ROUND(K1006*(1-T2GDiscount),2)," with ",(T2GDiscount*100),"% discount"),CONCATENATE(" $",ROUND(K1006*(1-T2GDiscount),2)," with ",((T2GDiscount*100+F1006*100)-(T2GDiscount*100*F1006)),IF(F1006&gt;0,"% discounts",IF(NoWarrantyDiscount&gt;0,"% discounts","% discount")))))))))</f>
        <v/>
      </c>
      <c r="N1006" s="660"/>
      <c r="O1006" s="233"/>
      <c r="P1006" s="233"/>
      <c r="Q1006" s="233"/>
      <c r="R1006" s="233"/>
      <c r="S1006" s="233"/>
      <c r="T1006" s="508">
        <f t="shared" si="722"/>
        <v>0</v>
      </c>
      <c r="U1006" s="225">
        <f>IF(NOT(ISNUMBER(G1006)), "", VLOOKUP(A1006,'Discount Lookup'!D:E,2,FALSE)*G1006)</f>
        <v>0</v>
      </c>
      <c r="V1006" s="225">
        <f>IF(NOT(ISNUMBER(G1006)), "", VLOOKUP(A1006,'Discount Lookup'!G:H,2,FALSE)*G1006)</f>
        <v>0</v>
      </c>
      <c r="W1006" s="508">
        <f t="shared" si="723"/>
        <v>0</v>
      </c>
      <c r="X1006" s="508">
        <f t="shared" si="724"/>
        <v>0</v>
      </c>
      <c r="Y1006" s="509" t="b">
        <f t="shared" si="725"/>
        <v>0</v>
      </c>
      <c r="Z1006" s="510">
        <f t="shared" si="726"/>
        <v>0</v>
      </c>
      <c r="AA1006" s="511"/>
      <c r="AB1006" s="511" t="str">
        <f t="shared" si="727"/>
        <v/>
      </c>
      <c r="AC1006" s="698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698"/>
      <c r="AE1006" s="631" t="str">
        <f t="shared" si="728"/>
        <v/>
      </c>
      <c r="AF1006" s="699" t="str">
        <f t="shared" si="729"/>
        <v/>
      </c>
      <c r="AG1006" s="699"/>
      <c r="AH1006" s="699"/>
      <c r="AI1006" s="512">
        <f>IF(H1006="credit",0,IF(AE1006="free",0,IF(AE1006="me",0,IF(G1006&gt;0,(VLOOKUP(A1006,'Discount Lookup'!J:K,2)*G1006),0))))</f>
        <v>0</v>
      </c>
      <c r="AJ1006" s="513" t="str">
        <f t="shared" ca="1" si="730"/>
        <v/>
      </c>
      <c r="AK1006" s="700" t="str">
        <f t="shared" si="731"/>
        <v/>
      </c>
      <c r="AL1006" s="700"/>
      <c r="AM1006" s="505" t="str">
        <f t="shared" si="732"/>
        <v/>
      </c>
      <c r="AN1006" s="506"/>
      <c r="AO1006" s="507"/>
      <c r="AP1006" s="507"/>
      <c r="AQ1006" s="507"/>
      <c r="AR1006" s="507"/>
      <c r="AS1006" s="507"/>
      <c r="AT1006" s="507"/>
      <c r="AU1006" s="507"/>
      <c r="AV1006" s="225"/>
      <c r="AW1006" s="508"/>
      <c r="AX1006" s="225"/>
      <c r="AY1006" s="225"/>
      <c r="AZ1006" s="225"/>
      <c r="BA1006" s="225"/>
      <c r="BB1006" s="225"/>
      <c r="BC1006" s="56"/>
      <c r="BD1006" s="56"/>
      <c r="BE1006" s="56"/>
      <c r="BF1006" s="107" t="str">
        <f t="shared" si="733"/>
        <v>https://www.google.com/search?tbm=isch&amp;q=25%20G4</v>
      </c>
      <c r="BG1006" s="107" t="str">
        <f t="shared" si="734"/>
        <v>D</v>
      </c>
      <c r="BH1006" s="254"/>
      <c r="BI1006" s="254"/>
    </row>
    <row r="1007" spans="1:61" customFormat="1" ht="17.25" thickBot="1" x14ac:dyDescent="0.3">
      <c r="A1007" s="673" t="s">
        <v>5090</v>
      </c>
      <c r="B1007" s="245"/>
      <c r="C1007" s="677"/>
      <c r="D1007" s="499"/>
      <c r="E1007" s="499"/>
      <c r="F1007" s="500"/>
      <c r="G1007" s="501"/>
      <c r="H1007" s="502"/>
      <c r="I1007" s="246"/>
      <c r="J1007" s="247"/>
      <c r="K1007" s="503"/>
      <c r="L1007" s="544"/>
      <c r="M1007" s="544"/>
      <c r="N1007" s="500"/>
      <c r="O1007" s="500"/>
      <c r="P1007" s="500"/>
      <c r="Q1007" s="500"/>
      <c r="R1007" s="500"/>
      <c r="S1007" s="669" t="s">
        <v>4978</v>
      </c>
      <c r="T1007" s="508">
        <f t="shared" si="722"/>
        <v>0</v>
      </c>
      <c r="U1007" s="225" t="str">
        <f>IF(NOT(ISNUMBER(G1007)), "", VLOOKUP(A1007,'Discount Lookup'!D:E,2,FALSE)*G1007)</f>
        <v/>
      </c>
      <c r="V1007" s="225" t="str">
        <f>IF(NOT(ISNUMBER(G1007)), "", VLOOKUP(A1007,'Discount Lookup'!G:H,2,FALSE)*G1007)</f>
        <v/>
      </c>
      <c r="W1007" s="508">
        <f t="shared" si="723"/>
        <v>0</v>
      </c>
      <c r="X1007" s="508">
        <f t="shared" si="724"/>
        <v>0</v>
      </c>
      <c r="Y1007" s="509" t="b">
        <f t="shared" si="725"/>
        <v>0</v>
      </c>
      <c r="Z1007" s="510">
        <f t="shared" si="726"/>
        <v>0</v>
      </c>
      <c r="AA1007" s="511"/>
      <c r="AB1007" s="511" t="str">
        <f t="shared" si="727"/>
        <v/>
      </c>
      <c r="AC1007" s="698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698"/>
      <c r="AE1007" s="631" t="str">
        <f t="shared" si="728"/>
        <v/>
      </c>
      <c r="AF1007" s="699" t="str">
        <f t="shared" si="729"/>
        <v/>
      </c>
      <c r="AG1007" s="699"/>
      <c r="AH1007" s="699"/>
      <c r="AI1007" s="512">
        <f>IF(H1007="credit",0,IF(AE1007="free",0,IF(AE1007="me",0,IF(G1007&gt;0,(VLOOKUP(A1007,'Discount Lookup'!J:K,2)*G1007),0))))</f>
        <v>0</v>
      </c>
      <c r="AJ1007" s="513" t="str">
        <f t="shared" ca="1" si="730"/>
        <v/>
      </c>
      <c r="AK1007" s="700" t="str">
        <f t="shared" si="731"/>
        <v/>
      </c>
      <c r="AL1007" s="700"/>
      <c r="AM1007" s="505" t="str">
        <f t="shared" si="732"/>
        <v/>
      </c>
      <c r="AN1007" s="506"/>
      <c r="AO1007" s="507"/>
      <c r="AP1007" s="507"/>
      <c r="AQ1007" s="507"/>
      <c r="AR1007" s="507"/>
      <c r="AS1007" s="507"/>
      <c r="AT1007" s="507"/>
      <c r="AU1007" s="507"/>
      <c r="AV1007" s="225"/>
      <c r="AW1007" s="508"/>
      <c r="AX1007" s="225"/>
      <c r="AY1007" s="225"/>
      <c r="AZ1007" s="225"/>
      <c r="BA1007" s="225"/>
      <c r="BB1007" s="225"/>
      <c r="BC1007" s="56"/>
      <c r="BD1007" s="56"/>
      <c r="BE1007" s="56"/>
      <c r="BF1007" s="107" t="str">
        <f t="shared" si="733"/>
        <v>https://www.google.com/search?tbm=isch&amp;q=wet%20sites%F0%9F%92%A7BEST%2C%20Debonair%20known%20for%20rall%2C%20columnar%20shape%20and%20fine%2C%20delicate%20foliage.%20Less%20prone%20to%20grow%20%27knees%27%20in%20drier%20soils%20</v>
      </c>
      <c r="BG1007" s="107" t="str">
        <f t="shared" si="734"/>
        <v>w</v>
      </c>
      <c r="BH1007" s="254"/>
      <c r="BI1007" s="254"/>
    </row>
    <row r="1008" spans="1:61" customFormat="1" ht="18" x14ac:dyDescent="0.25">
      <c r="A1008" s="521" t="s">
        <v>748</v>
      </c>
      <c r="B1008" s="477"/>
      <c r="C1008" s="674"/>
      <c r="D1008" s="478" t="s">
        <v>749</v>
      </c>
      <c r="E1008" s="479"/>
      <c r="F1008" s="479"/>
      <c r="G1008" s="479"/>
      <c r="H1008" s="582" t="s">
        <v>1521</v>
      </c>
      <c r="I1008" s="480" t="s">
        <v>658</v>
      </c>
      <c r="J1008" s="479"/>
      <c r="K1008" s="479"/>
      <c r="L1008" s="560"/>
      <c r="M1008" s="671" t="s">
        <v>4990</v>
      </c>
      <c r="N1008" s="680" t="str">
        <f>IF(AND(ISTEXT($A1008), ISERROR($A1008+0)), HYPERLINK($BF1008, "Images"), "")</f>
        <v>Images</v>
      </c>
      <c r="O1008" s="662" t="s">
        <v>4967</v>
      </c>
      <c r="P1008" s="482"/>
      <c r="Q1008" s="483"/>
      <c r="R1008" s="483"/>
      <c r="S1008" s="484"/>
      <c r="T1008" s="508">
        <f t="shared" si="722"/>
        <v>0</v>
      </c>
      <c r="U1008" s="225" t="str">
        <f>IF(NOT(ISNUMBER(G1008)), "", VLOOKUP(A1008,'Discount Lookup'!D:E,2,FALSE)*G1008)</f>
        <v/>
      </c>
      <c r="V1008" s="225" t="str">
        <f>IF(NOT(ISNUMBER(G1008)), "", VLOOKUP(A1008,'Discount Lookup'!G:H,2,FALSE)*G1008)</f>
        <v/>
      </c>
      <c r="W1008" s="508">
        <f t="shared" si="723"/>
        <v>0</v>
      </c>
      <c r="X1008" s="508" t="str">
        <f t="shared" si="724"/>
        <v>Light Pink bloom</v>
      </c>
      <c r="Y1008" s="509" t="b">
        <f t="shared" si="725"/>
        <v>0</v>
      </c>
      <c r="Z1008" s="510">
        <f t="shared" si="726"/>
        <v>0</v>
      </c>
      <c r="AA1008" s="511"/>
      <c r="AB1008" s="511" t="str">
        <f t="shared" si="727"/>
        <v/>
      </c>
      <c r="AC1008" s="698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698"/>
      <c r="AE1008" s="631" t="str">
        <f t="shared" si="728"/>
        <v/>
      </c>
      <c r="AF1008" s="699" t="str">
        <f t="shared" si="729"/>
        <v/>
      </c>
      <c r="AG1008" s="699"/>
      <c r="AH1008" s="699"/>
      <c r="AI1008" s="512">
        <f>IF(H1008="credit",0,IF(AE1008="free",0,IF(AE1008="me",0,IF(G1008&gt;0,(VLOOKUP(A1008,'Discount Lookup'!J:K,2)*G1008),0))))</f>
        <v>0</v>
      </c>
      <c r="AJ1008" s="513" t="str">
        <f t="shared" ca="1" si="730"/>
        <v/>
      </c>
      <c r="AK1008" s="700" t="str">
        <f t="shared" si="731"/>
        <v/>
      </c>
      <c r="AL1008" s="700"/>
      <c r="AM1008" s="505" t="str">
        <f t="shared" si="732"/>
        <v/>
      </c>
      <c r="AN1008" s="506"/>
      <c r="AO1008" s="507"/>
      <c r="AP1008" s="507"/>
      <c r="AQ1008" s="507"/>
      <c r="AR1008" s="507"/>
      <c r="AS1008" s="507"/>
      <c r="AT1008" s="507"/>
      <c r="AU1008" s="507"/>
      <c r="AV1008" s="225"/>
      <c r="AW1008" s="508"/>
      <c r="AX1008" s="225"/>
      <c r="AY1008" s="225"/>
      <c r="AZ1008" s="225"/>
      <c r="BA1008" s="225"/>
      <c r="BB1008" s="225"/>
      <c r="BC1008" s="56"/>
      <c r="BD1008" s="56"/>
      <c r="BE1008" s="56"/>
      <c r="BF1008" s="107" t="str">
        <f t="shared" si="733"/>
        <v>https://www.google.com/search?tbm=isch&amp;q=Debutante%20Camellia%20Camellia%20japonica%20%27Debutante%27</v>
      </c>
      <c r="BG1008" s="107" t="str">
        <f t="shared" si="734"/>
        <v>D</v>
      </c>
      <c r="BH1008" s="254"/>
      <c r="BI1008" s="254"/>
    </row>
    <row r="1009" spans="1:61" customFormat="1" ht="15.75" x14ac:dyDescent="0.25">
      <c r="A1009" s="485">
        <v>3</v>
      </c>
      <c r="B1009" s="486" t="s">
        <v>291</v>
      </c>
      <c r="C1009" s="487" t="s">
        <v>9</v>
      </c>
      <c r="D1009" s="488" t="s">
        <v>312</v>
      </c>
      <c r="E1009" s="489">
        <v>39.950000000000003</v>
      </c>
      <c r="F1009" s="516" t="s">
        <v>293</v>
      </c>
      <c r="G1009" s="232">
        <v>0</v>
      </c>
      <c r="H1009" s="658" t="str">
        <f>IF(G1009=0,"",IF(F1009="Buy",IF(G1009=1,"plant","plants"),IF(F1009&gt;0.01,"warranty","Error")))</f>
        <v/>
      </c>
      <c r="I1009" s="490">
        <f>IF(H1009="free",0,IF(H1009="credit",((E1009*(F1009))*G1009*-1),IF(F1009="Buy",(E1009*G1009),((E1009*(1-F1009))*G1009))))</f>
        <v>0</v>
      </c>
      <c r="J1009" s="490">
        <f>IF(H1009="warranty",0,(I1009*(_xlfn.SINGLE(SalesTaxPercentage))))</f>
        <v>0</v>
      </c>
      <c r="K1009" s="695">
        <f t="shared" ref="K1009" si="753">I1009+J1009</f>
        <v>0</v>
      </c>
      <c r="L1009" s="695"/>
      <c r="M1009" s="659" t="str">
        <f>IF(AND(G1009&gt;0,E1009=0),"WARNING - no PRICE inserted",IF(H1009="free"," FREE ~ no charge this plant",IF(H1009="credit",CONCATENATE(" -$",ROUND(K1009*(1-T2GDiscount)*-1,2)," CREDIT after discount"),IF(T2GDiscount=0,"",IF(G1009=0,"",IF(F1009="Buy",CONCATENATE(" $",ROUND(K1009*(1-T2GDiscount),2)," with ",(T2GDiscount*100),"% discount"),CONCATENATE(" $",ROUND(K1009*(1-T2GDiscount),2)," with ",((T2GDiscount*100+F1009*100)-(T2GDiscount*100*F1009)),IF(F1009&gt;0,"% discounts",IF(NoWarrantyDiscount&gt;0,"% discounts","% discount")))))))))</f>
        <v/>
      </c>
      <c r="N1009" s="660"/>
      <c r="O1009" s="233"/>
      <c r="P1009" s="233"/>
      <c r="Q1009" s="233"/>
      <c r="R1009" s="233"/>
      <c r="S1009" s="233"/>
      <c r="T1009" s="508">
        <f t="shared" si="722"/>
        <v>0</v>
      </c>
      <c r="U1009" s="225">
        <f>IF(NOT(ISNUMBER(G1009)), "", VLOOKUP(A1009,'Discount Lookup'!D:E,2,FALSE)*G1009)</f>
        <v>0</v>
      </c>
      <c r="V1009" s="225">
        <f>IF(NOT(ISNUMBER(G1009)), "", VLOOKUP(A1009,'Discount Lookup'!G:H,2,FALSE)*G1009)</f>
        <v>0</v>
      </c>
      <c r="W1009" s="508">
        <f t="shared" si="723"/>
        <v>0</v>
      </c>
      <c r="X1009" s="508">
        <f t="shared" si="724"/>
        <v>0</v>
      </c>
      <c r="Y1009" s="509" t="b">
        <f t="shared" si="725"/>
        <v>0</v>
      </c>
      <c r="Z1009" s="510">
        <f t="shared" si="726"/>
        <v>0</v>
      </c>
      <c r="AA1009" s="511"/>
      <c r="AB1009" s="511" t="str">
        <f t="shared" si="727"/>
        <v/>
      </c>
      <c r="AC1009" s="698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698"/>
      <c r="AE1009" s="631" t="str">
        <f t="shared" si="728"/>
        <v/>
      </c>
      <c r="AF1009" s="699" t="str">
        <f t="shared" si="729"/>
        <v/>
      </c>
      <c r="AG1009" s="699"/>
      <c r="AH1009" s="699"/>
      <c r="AI1009" s="512">
        <f>IF(H1009="credit",0,IF(AE1009="free",0,IF(AE1009="me",0,IF(G1009&gt;0,(VLOOKUP(A1009,'Discount Lookup'!J:K,2)*G1009),0))))</f>
        <v>0</v>
      </c>
      <c r="AJ1009" s="513" t="str">
        <f t="shared" ca="1" si="730"/>
        <v/>
      </c>
      <c r="AK1009" s="700" t="str">
        <f t="shared" si="731"/>
        <v/>
      </c>
      <c r="AL1009" s="700"/>
      <c r="AM1009" s="505" t="str">
        <f t="shared" si="732"/>
        <v/>
      </c>
      <c r="AN1009" s="506"/>
      <c r="AO1009" s="507"/>
      <c r="AP1009" s="507"/>
      <c r="AQ1009" s="507"/>
      <c r="AR1009" s="507"/>
      <c r="AS1009" s="507"/>
      <c r="AT1009" s="507"/>
      <c r="AU1009" s="507"/>
      <c r="AV1009" s="225"/>
      <c r="AW1009" s="508"/>
      <c r="AX1009" s="225"/>
      <c r="AY1009" s="225"/>
      <c r="AZ1009" s="225"/>
      <c r="BA1009" s="225"/>
      <c r="BB1009" s="225"/>
      <c r="BC1009" s="56"/>
      <c r="BD1009" s="56"/>
      <c r="BE1009" s="56"/>
      <c r="BF1009" s="107" t="str">
        <f t="shared" si="733"/>
        <v>https://www.google.com/search?tbm=isch&amp;q=3%20G2</v>
      </c>
      <c r="BG1009" s="107" t="str">
        <f t="shared" si="734"/>
        <v>D</v>
      </c>
      <c r="BH1009" s="254"/>
      <c r="BI1009" s="254"/>
    </row>
    <row r="1010" spans="1:61" customFormat="1" ht="17.25" thickBot="1" x14ac:dyDescent="0.3">
      <c r="A1010" s="672" t="s">
        <v>5091</v>
      </c>
      <c r="B1010" s="491"/>
      <c r="C1010" s="675"/>
      <c r="D1010" s="491"/>
      <c r="E1010" s="491"/>
      <c r="F1010" s="492"/>
      <c r="G1010" s="493"/>
      <c r="H1010" s="491"/>
      <c r="I1010" s="234"/>
      <c r="J1010" s="234"/>
      <c r="K1010" s="494"/>
      <c r="L1010" s="543"/>
      <c r="M1010" s="561"/>
      <c r="N1010" s="495"/>
      <c r="O1010" s="496"/>
      <c r="P1010" s="497"/>
      <c r="Q1010" s="495"/>
      <c r="R1010" s="495"/>
      <c r="S1010" s="667" t="s">
        <v>4986</v>
      </c>
      <c r="T1010" s="508">
        <f t="shared" si="722"/>
        <v>0</v>
      </c>
      <c r="U1010" s="225" t="str">
        <f>IF(NOT(ISNUMBER(G1010)), "", VLOOKUP(A1010,'Discount Lookup'!D:E,2,FALSE)*G1010)</f>
        <v/>
      </c>
      <c r="V1010" s="225" t="str">
        <f>IF(NOT(ISNUMBER(G1010)), "", VLOOKUP(A1010,'Discount Lookup'!G:H,2,FALSE)*G1010)</f>
        <v/>
      </c>
      <c r="W1010" s="508">
        <f t="shared" si="723"/>
        <v>0</v>
      </c>
      <c r="X1010" s="508">
        <f t="shared" si="724"/>
        <v>0</v>
      </c>
      <c r="Y1010" s="509" t="b">
        <f t="shared" si="725"/>
        <v>0</v>
      </c>
      <c r="Z1010" s="510">
        <f t="shared" si="726"/>
        <v>0</v>
      </c>
      <c r="AA1010" s="511"/>
      <c r="AB1010" s="511" t="str">
        <f t="shared" si="727"/>
        <v/>
      </c>
      <c r="AC1010" s="698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698"/>
      <c r="AE1010" s="631" t="str">
        <f t="shared" si="728"/>
        <v/>
      </c>
      <c r="AF1010" s="699" t="str">
        <f t="shared" si="729"/>
        <v/>
      </c>
      <c r="AG1010" s="699"/>
      <c r="AH1010" s="699"/>
      <c r="AI1010" s="512">
        <f>IF(H1010="credit",0,IF(AE1010="free",0,IF(AE1010="me",0,IF(G1010&gt;0,(VLOOKUP(A1010,'Discount Lookup'!J:K,2)*G1010),0))))</f>
        <v>0</v>
      </c>
      <c r="AJ1010" s="513" t="str">
        <f t="shared" ca="1" si="730"/>
        <v/>
      </c>
      <c r="AK1010" s="700" t="str">
        <f t="shared" si="731"/>
        <v/>
      </c>
      <c r="AL1010" s="700"/>
      <c r="AM1010" s="505" t="str">
        <f t="shared" si="732"/>
        <v/>
      </c>
      <c r="AN1010" s="506"/>
      <c r="AO1010" s="507"/>
      <c r="AP1010" s="507"/>
      <c r="AQ1010" s="507"/>
      <c r="AR1010" s="507"/>
      <c r="AS1010" s="507"/>
      <c r="AT1010" s="507"/>
      <c r="AU1010" s="507"/>
      <c r="AV1010" s="225"/>
      <c r="AW1010" s="508"/>
      <c r="AX1010" s="225"/>
      <c r="AY1010" s="225"/>
      <c r="AZ1010" s="225"/>
      <c r="BA1010" s="225"/>
      <c r="BB1010" s="225"/>
      <c r="BC1010" s="56"/>
      <c r="BD1010" s="56"/>
      <c r="BE1010" s="56"/>
      <c r="BF1010" s="107" t="str">
        <f t="shared" si="733"/>
        <v>https://www.google.com/search?tbm=isch&amp;q=moist%20sites%F0%9F%92%A7OK%2C%20Debutante%20Camellia%20has%20frilly%20peony-style%20blooms%20from%20late%20winter%20to%20early%20spring%2C%20against%20glossy%20evergreen%20foliage%20</v>
      </c>
      <c r="BG1010" s="107" t="str">
        <f t="shared" si="734"/>
        <v>m</v>
      </c>
      <c r="BH1010" s="254"/>
      <c r="BI1010" s="254"/>
    </row>
    <row r="1011" spans="1:61" customFormat="1" ht="18" x14ac:dyDescent="0.25">
      <c r="A1011" s="521" t="s">
        <v>750</v>
      </c>
      <c r="B1011" s="477"/>
      <c r="C1011" s="674"/>
      <c r="D1011" s="478" t="s">
        <v>751</v>
      </c>
      <c r="E1011" s="479"/>
      <c r="F1011" s="479"/>
      <c r="G1011" s="479"/>
      <c r="H1011" s="582" t="s">
        <v>752</v>
      </c>
      <c r="I1011" s="480" t="s">
        <v>2097</v>
      </c>
      <c r="J1011" s="479"/>
      <c r="K1011" s="479"/>
      <c r="L1011" s="560"/>
      <c r="M1011" s="666" t="s">
        <v>4966</v>
      </c>
      <c r="N1011" s="680" t="str">
        <f>IF(AND(ISTEXT($A1011), ISERROR($A1011+0)), HYPERLINK($BF1011, "Images"), "")</f>
        <v>Images</v>
      </c>
      <c r="O1011" s="662" t="s">
        <v>4969</v>
      </c>
      <c r="P1011" s="482"/>
      <c r="Q1011" s="483"/>
      <c r="R1011" s="483"/>
      <c r="S1011" s="484"/>
      <c r="T1011" s="508">
        <f t="shared" si="722"/>
        <v>0</v>
      </c>
      <c r="U1011" s="225" t="str">
        <f>IF(NOT(ISNUMBER(G1011)), "", VLOOKUP(A1011,'Discount Lookup'!D:E,2,FALSE)*G1011)</f>
        <v/>
      </c>
      <c r="V1011" s="225" t="str">
        <f>IF(NOT(ISNUMBER(G1011)), "", VLOOKUP(A1011,'Discount Lookup'!G:H,2,FALSE)*G1011)</f>
        <v/>
      </c>
      <c r="W1011" s="508">
        <f t="shared" si="723"/>
        <v>0</v>
      </c>
      <c r="X1011" s="508" t="str">
        <f t="shared" si="724"/>
        <v>Deep Green foliage</v>
      </c>
      <c r="Y1011" s="509" t="b">
        <f t="shared" si="725"/>
        <v>0</v>
      </c>
      <c r="Z1011" s="510">
        <f t="shared" si="726"/>
        <v>0</v>
      </c>
      <c r="AA1011" s="511"/>
      <c r="AB1011" s="511" t="str">
        <f t="shared" si="727"/>
        <v/>
      </c>
      <c r="AC1011" s="698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698"/>
      <c r="AE1011" s="631" t="str">
        <f t="shared" si="728"/>
        <v/>
      </c>
      <c r="AF1011" s="699" t="str">
        <f t="shared" si="729"/>
        <v/>
      </c>
      <c r="AG1011" s="699"/>
      <c r="AH1011" s="699"/>
      <c r="AI1011" s="512">
        <f>IF(H1011="credit",0,IF(AE1011="free",0,IF(AE1011="me",0,IF(G1011&gt;0,(VLOOKUP(A1011,'Discount Lookup'!J:K,2)*G1011),0))))</f>
        <v>0</v>
      </c>
      <c r="AJ1011" s="513" t="str">
        <f t="shared" ca="1" si="730"/>
        <v/>
      </c>
      <c r="AK1011" s="700" t="str">
        <f t="shared" si="731"/>
        <v/>
      </c>
      <c r="AL1011" s="700"/>
      <c r="AM1011" s="505" t="str">
        <f t="shared" si="732"/>
        <v/>
      </c>
      <c r="AN1011" s="506"/>
      <c r="AO1011" s="507"/>
      <c r="AP1011" s="507"/>
      <c r="AQ1011" s="507"/>
      <c r="AR1011" s="507"/>
      <c r="AS1011" s="507"/>
      <c r="AT1011" s="507"/>
      <c r="AU1011" s="507"/>
      <c r="AV1011" s="225"/>
      <c r="AW1011" s="508"/>
      <c r="AX1011" s="225"/>
      <c r="AY1011" s="225"/>
      <c r="AZ1011" s="225"/>
      <c r="BA1011" s="225"/>
      <c r="BB1011" s="225"/>
      <c r="BC1011" s="56"/>
      <c r="BD1011" s="56"/>
      <c r="BE1011" s="56"/>
      <c r="BF1011" s="107" t="str">
        <f t="shared" si="733"/>
        <v>https://www.google.com/search?tbm=isch&amp;q=Dee%20Runk%20Boxwood%20Buxus%20sempervirens%20%27Dee%20Runk%27</v>
      </c>
      <c r="BG1011" s="107" t="str">
        <f t="shared" si="734"/>
        <v>D</v>
      </c>
      <c r="BH1011" s="254"/>
      <c r="BI1011" s="254"/>
    </row>
    <row r="1012" spans="1:61" customFormat="1" ht="15.75" x14ac:dyDescent="0.25">
      <c r="A1012" s="485">
        <v>3</v>
      </c>
      <c r="B1012" s="486" t="s">
        <v>291</v>
      </c>
      <c r="C1012" s="487" t="s">
        <v>753</v>
      </c>
      <c r="D1012" s="488" t="s">
        <v>297</v>
      </c>
      <c r="E1012" s="489">
        <v>40.950000000000003</v>
      </c>
      <c r="F1012" s="516" t="s">
        <v>293</v>
      </c>
      <c r="G1012" s="232">
        <v>0</v>
      </c>
      <c r="H1012" s="658" t="str">
        <f>IF(G1012=0,"",IF(F1012="Buy",IF(G1012=1,"plant","plants"),IF(F1012&gt;0.01,"warranty","Error")))</f>
        <v/>
      </c>
      <c r="I1012" s="490">
        <f>IF(H1012="free",0,IF(H1012="credit",((E1012*(F1012))*G1012*-1),IF(F1012="Buy",(E1012*G1012),((E1012*(1-F1012))*G1012))))</f>
        <v>0</v>
      </c>
      <c r="J1012" s="490">
        <f>IF(H1012="warranty",0,(I1012*(_xlfn.SINGLE(SalesTaxPercentage))))</f>
        <v>0</v>
      </c>
      <c r="K1012" s="695">
        <f t="shared" ref="K1012" si="754">I1012+J1012</f>
        <v>0</v>
      </c>
      <c r="L1012" s="695"/>
      <c r="M1012" s="659" t="str">
        <f>IF(AND(G1012&gt;0,E1012=0),"WARNING - no PRICE inserted",IF(H1012="free"," FREE ~ no charge this plant",IF(H1012="credit",CONCATENATE(" -$",ROUND(K1012*(1-T2GDiscount)*-1,2)," CREDIT after discount"),IF(T2GDiscount=0,"",IF(G1012=0,"",IF(F1012="Buy",CONCATENATE(" $",ROUND(K1012*(1-T2GDiscount),2)," with ",(T2GDiscount*100),"% discount"),CONCATENATE(" $",ROUND(K1012*(1-T2GDiscount),2)," with ",((T2GDiscount*100+F1012*100)-(T2GDiscount*100*F1012)),IF(F1012&gt;0,"% discounts",IF(NoWarrantyDiscount&gt;0,"% discounts","% discount")))))))))</f>
        <v/>
      </c>
      <c r="N1012" s="660"/>
      <c r="O1012" s="233"/>
      <c r="P1012" s="233"/>
      <c r="Q1012" s="233"/>
      <c r="R1012" s="233"/>
      <c r="S1012" s="233"/>
      <c r="T1012" s="508">
        <f t="shared" si="722"/>
        <v>0</v>
      </c>
      <c r="U1012" s="225">
        <f>IF(NOT(ISNUMBER(G1012)), "", VLOOKUP(A1012,'Discount Lookup'!D:E,2,FALSE)*G1012)</f>
        <v>0</v>
      </c>
      <c r="V1012" s="225">
        <f>IF(NOT(ISNUMBER(G1012)), "", VLOOKUP(A1012,'Discount Lookup'!G:H,2,FALSE)*G1012)</f>
        <v>0</v>
      </c>
      <c r="W1012" s="508">
        <f t="shared" si="723"/>
        <v>0</v>
      </c>
      <c r="X1012" s="508">
        <f t="shared" si="724"/>
        <v>0</v>
      </c>
      <c r="Y1012" s="509" t="b">
        <f t="shared" si="725"/>
        <v>0</v>
      </c>
      <c r="Z1012" s="510">
        <f t="shared" si="726"/>
        <v>0</v>
      </c>
      <c r="AA1012" s="511"/>
      <c r="AB1012" s="511" t="str">
        <f t="shared" si="727"/>
        <v/>
      </c>
      <c r="AC1012" s="698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698"/>
      <c r="AE1012" s="631" t="str">
        <f t="shared" si="728"/>
        <v/>
      </c>
      <c r="AF1012" s="699" t="str">
        <f t="shared" si="729"/>
        <v/>
      </c>
      <c r="AG1012" s="699"/>
      <c r="AH1012" s="699"/>
      <c r="AI1012" s="512">
        <f>IF(H1012="credit",0,IF(AE1012="free",0,IF(AE1012="me",0,IF(G1012&gt;0,(VLOOKUP(A1012,'Discount Lookup'!J:K,2)*G1012),0))))</f>
        <v>0</v>
      </c>
      <c r="AJ1012" s="513" t="str">
        <f t="shared" ca="1" si="730"/>
        <v/>
      </c>
      <c r="AK1012" s="700" t="str">
        <f t="shared" si="731"/>
        <v/>
      </c>
      <c r="AL1012" s="700"/>
      <c r="AM1012" s="505" t="str">
        <f t="shared" si="732"/>
        <v/>
      </c>
      <c r="AN1012" s="506"/>
      <c r="AO1012" s="507"/>
      <c r="AP1012" s="507"/>
      <c r="AQ1012" s="507"/>
      <c r="AR1012" s="507"/>
      <c r="AS1012" s="507"/>
      <c r="AT1012" s="507"/>
      <c r="AU1012" s="507"/>
      <c r="AV1012" s="225"/>
      <c r="AW1012" s="508"/>
      <c r="AX1012" s="225"/>
      <c r="AY1012" s="225"/>
      <c r="AZ1012" s="225"/>
      <c r="BA1012" s="225"/>
      <c r="BB1012" s="225"/>
      <c r="BC1012" s="56"/>
      <c r="BD1012" s="56"/>
      <c r="BE1012" s="56"/>
      <c r="BF1012" s="107" t="str">
        <f t="shared" si="733"/>
        <v>https://www.google.com/search?tbm=isch&amp;q=3%20G3</v>
      </c>
      <c r="BG1012" s="107" t="str">
        <f t="shared" si="734"/>
        <v>D</v>
      </c>
      <c r="BH1012" s="254"/>
      <c r="BI1012" s="254"/>
    </row>
    <row r="1013" spans="1:61" customFormat="1" ht="15.75" x14ac:dyDescent="0.25">
      <c r="A1013" s="485">
        <v>3</v>
      </c>
      <c r="B1013" s="486" t="s">
        <v>291</v>
      </c>
      <c r="C1013" s="487" t="s">
        <v>1428</v>
      </c>
      <c r="D1013" s="488" t="s">
        <v>299</v>
      </c>
      <c r="E1013" s="489">
        <v>40.950000000000003</v>
      </c>
      <c r="F1013" s="516" t="s">
        <v>293</v>
      </c>
      <c r="G1013" s="232">
        <v>0</v>
      </c>
      <c r="H1013" s="658" t="str">
        <f>IF(G1013=0,"",IF(F1013="Buy",IF(G1013=1,"plant","plants"),IF(F1013&gt;0.01,"warranty","Error")))</f>
        <v/>
      </c>
      <c r="I1013" s="490">
        <f>IF(H1013="free",0,IF(H1013="credit",((E1013*(F1013))*G1013*-1),IF(F1013="Buy",(E1013*G1013),((E1013*(1-F1013))*G1013))))</f>
        <v>0</v>
      </c>
      <c r="J1013" s="490">
        <f>IF(H1013="warranty",0,(I1013*(_xlfn.SINGLE(SalesTaxPercentage))))</f>
        <v>0</v>
      </c>
      <c r="K1013" s="695">
        <f t="shared" ref="K1013" si="755">I1013+J1013</f>
        <v>0</v>
      </c>
      <c r="L1013" s="695"/>
      <c r="M1013" s="659" t="str">
        <f>IF(AND(G1013&gt;0,E1013=0),"WARNING - no PRICE inserted",IF(H1013="free"," FREE ~ no charge this plant",IF(H1013="credit",CONCATENATE(" -$",ROUND(K1013*(1-T2GDiscount)*-1,2)," CREDIT after discount"),IF(T2GDiscount=0,"",IF(G1013=0,"",IF(F1013="Buy",CONCATENATE(" $",ROUND(K1013*(1-T2GDiscount),2)," with ",(T2GDiscount*100),"% discount"),CONCATENATE(" $",ROUND(K1013*(1-T2GDiscount),2)," with ",((T2GDiscount*100+F1013*100)-(T2GDiscount*100*F1013)),IF(F1013&gt;0,"% discounts",IF(NoWarrantyDiscount&gt;0,"% discounts","% discount")))))))))</f>
        <v/>
      </c>
      <c r="N1013" s="660"/>
      <c r="O1013" s="233"/>
      <c r="P1013" s="233"/>
      <c r="Q1013" s="233"/>
      <c r="R1013" s="233"/>
      <c r="S1013" s="233"/>
      <c r="T1013" s="508">
        <f t="shared" si="722"/>
        <v>0</v>
      </c>
      <c r="U1013" s="225">
        <f>IF(NOT(ISNUMBER(G1013)), "", VLOOKUP(A1013,'Discount Lookup'!D:E,2,FALSE)*G1013)</f>
        <v>0</v>
      </c>
      <c r="V1013" s="225">
        <f>IF(NOT(ISNUMBER(G1013)), "", VLOOKUP(A1013,'Discount Lookup'!G:H,2,FALSE)*G1013)</f>
        <v>0</v>
      </c>
      <c r="W1013" s="508">
        <f t="shared" si="723"/>
        <v>0</v>
      </c>
      <c r="X1013" s="508">
        <f t="shared" si="724"/>
        <v>0</v>
      </c>
      <c r="Y1013" s="509" t="b">
        <f t="shared" si="725"/>
        <v>0</v>
      </c>
      <c r="Z1013" s="510">
        <f t="shared" si="726"/>
        <v>0</v>
      </c>
      <c r="AA1013" s="511"/>
      <c r="AB1013" s="511" t="str">
        <f t="shared" si="727"/>
        <v/>
      </c>
      <c r="AC1013" s="698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698"/>
      <c r="AE1013" s="631" t="str">
        <f t="shared" si="728"/>
        <v/>
      </c>
      <c r="AF1013" s="699" t="str">
        <f t="shared" si="729"/>
        <v/>
      </c>
      <c r="AG1013" s="699"/>
      <c r="AH1013" s="699"/>
      <c r="AI1013" s="512">
        <f>IF(H1013="credit",0,IF(AE1013="free",0,IF(AE1013="me",0,IF(G1013&gt;0,(VLOOKUP(A1013,'Discount Lookup'!J:K,2)*G1013),0))))</f>
        <v>0</v>
      </c>
      <c r="AJ1013" s="513" t="str">
        <f t="shared" ca="1" si="730"/>
        <v/>
      </c>
      <c r="AK1013" s="700" t="str">
        <f t="shared" si="731"/>
        <v/>
      </c>
      <c r="AL1013" s="700"/>
      <c r="AM1013" s="505" t="str">
        <f t="shared" si="732"/>
        <v/>
      </c>
      <c r="AN1013" s="506"/>
      <c r="AO1013" s="507"/>
      <c r="AP1013" s="507"/>
      <c r="AQ1013" s="507"/>
      <c r="AR1013" s="507"/>
      <c r="AS1013" s="507"/>
      <c r="AT1013" s="507"/>
      <c r="AU1013" s="507"/>
      <c r="AV1013" s="225"/>
      <c r="AW1013" s="508"/>
      <c r="AX1013" s="225"/>
      <c r="AY1013" s="225"/>
      <c r="AZ1013" s="225"/>
      <c r="BA1013" s="225"/>
      <c r="BB1013" s="225"/>
      <c r="BC1013" s="56"/>
      <c r="BD1013" s="56"/>
      <c r="BE1013" s="56"/>
      <c r="BF1013" s="107" t="str">
        <f t="shared" si="733"/>
        <v>https://www.google.com/search?tbm=isch&amp;q=3%20G5</v>
      </c>
      <c r="BG1013" s="107" t="str">
        <f t="shared" si="734"/>
        <v>D</v>
      </c>
      <c r="BH1013" s="254"/>
      <c r="BI1013" s="254"/>
    </row>
    <row r="1014" spans="1:61" customFormat="1" ht="15.75" x14ac:dyDescent="0.25">
      <c r="A1014" s="485">
        <v>10</v>
      </c>
      <c r="B1014" s="486" t="s">
        <v>291</v>
      </c>
      <c r="C1014" s="487" t="s">
        <v>3303</v>
      </c>
      <c r="D1014" s="488" t="s">
        <v>292</v>
      </c>
      <c r="E1014" s="489">
        <v>339.95</v>
      </c>
      <c r="F1014" s="516" t="s">
        <v>293</v>
      </c>
      <c r="G1014" s="232">
        <v>0</v>
      </c>
      <c r="H1014" s="658" t="str">
        <f>IF(G1014=0,"",IF(F1014="Buy",IF(G1014=1,"plant","plants"),IF(F1014&gt;0.01,"warranty","Error")))</f>
        <v/>
      </c>
      <c r="I1014" s="490">
        <f>IF(H1014="free",0,IF(H1014="credit",((E1014*(F1014))*G1014*-1),IF(F1014="Buy",(E1014*G1014),((E1014*(1-F1014))*G1014))))</f>
        <v>0</v>
      </c>
      <c r="J1014" s="490">
        <f>IF(H1014="warranty",0,(I1014*(_xlfn.SINGLE(SalesTaxPercentage))))</f>
        <v>0</v>
      </c>
      <c r="K1014" s="695">
        <f t="shared" ref="K1014" si="756">I1014+J1014</f>
        <v>0</v>
      </c>
      <c r="L1014" s="695"/>
      <c r="M1014" s="659" t="str">
        <f>IF(AND(G1014&gt;0,E1014=0),"WARNING - no PRICE inserted",IF(H1014="free"," FREE ~ no charge this plant",IF(H1014="credit",CONCATENATE(" -$",ROUND(K1014*(1-T2GDiscount)*-1,2)," CREDIT after discount"),IF(T2GDiscount=0,"",IF(G1014=0,"",IF(F1014="Buy",CONCATENATE(" $",ROUND(K1014*(1-T2GDiscount),2)," with ",(T2GDiscount*100),"% discount"),CONCATENATE(" $",ROUND(K1014*(1-T2GDiscount),2)," with ",((T2GDiscount*100+F1014*100)-(T2GDiscount*100*F1014)),IF(F1014&gt;0,"% discounts",IF(NoWarrantyDiscount&gt;0,"% discounts","% discount")))))))))</f>
        <v/>
      </c>
      <c r="N1014" s="660"/>
      <c r="O1014" s="233"/>
      <c r="P1014" s="233"/>
      <c r="Q1014" s="233"/>
      <c r="R1014" s="233"/>
      <c r="S1014" s="233"/>
      <c r="T1014" s="508">
        <f t="shared" si="722"/>
        <v>0</v>
      </c>
      <c r="U1014" s="225">
        <f>IF(NOT(ISNUMBER(G1014)), "", VLOOKUP(A1014,'Discount Lookup'!D:E,2,FALSE)*G1014)</f>
        <v>0</v>
      </c>
      <c r="V1014" s="225">
        <f>IF(NOT(ISNUMBER(G1014)), "", VLOOKUP(A1014,'Discount Lookup'!G:H,2,FALSE)*G1014)</f>
        <v>0</v>
      </c>
      <c r="W1014" s="508">
        <f t="shared" si="723"/>
        <v>0</v>
      </c>
      <c r="X1014" s="508">
        <f t="shared" si="724"/>
        <v>0</v>
      </c>
      <c r="Y1014" s="509" t="b">
        <f t="shared" si="725"/>
        <v>0</v>
      </c>
      <c r="Z1014" s="510">
        <f t="shared" si="726"/>
        <v>0</v>
      </c>
      <c r="AA1014" s="511"/>
      <c r="AB1014" s="511" t="str">
        <f t="shared" si="727"/>
        <v/>
      </c>
      <c r="AC1014" s="698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698"/>
      <c r="AE1014" s="631" t="str">
        <f t="shared" si="728"/>
        <v/>
      </c>
      <c r="AF1014" s="699" t="str">
        <f t="shared" si="729"/>
        <v/>
      </c>
      <c r="AG1014" s="699"/>
      <c r="AH1014" s="699"/>
      <c r="AI1014" s="512">
        <f>IF(H1014="credit",0,IF(AE1014="free",0,IF(AE1014="me",0,IF(G1014&gt;0,(VLOOKUP(A1014,'Discount Lookup'!J:K,2)*G1014),0))))</f>
        <v>0</v>
      </c>
      <c r="AJ1014" s="513" t="str">
        <f t="shared" ca="1" si="730"/>
        <v/>
      </c>
      <c r="AK1014" s="700" t="str">
        <f t="shared" si="731"/>
        <v/>
      </c>
      <c r="AL1014" s="700"/>
      <c r="AM1014" s="505" t="str">
        <f t="shared" si="732"/>
        <v/>
      </c>
      <c r="AN1014" s="506"/>
      <c r="AO1014" s="507"/>
      <c r="AP1014" s="507"/>
      <c r="AQ1014" s="507"/>
      <c r="AR1014" s="507"/>
      <c r="AS1014" s="507"/>
      <c r="AT1014" s="507"/>
      <c r="AU1014" s="507"/>
      <c r="AV1014" s="225"/>
      <c r="AW1014" s="508"/>
      <c r="AX1014" s="225"/>
      <c r="AY1014" s="225"/>
      <c r="AZ1014" s="225"/>
      <c r="BA1014" s="225"/>
      <c r="BB1014" s="225"/>
      <c r="BC1014" s="56"/>
      <c r="BD1014" s="56"/>
      <c r="BE1014" s="56"/>
      <c r="BF1014" s="107" t="str">
        <f t="shared" si="733"/>
        <v>https://www.google.com/search?tbm=isch&amp;q=10%20G4</v>
      </c>
      <c r="BG1014" s="107" t="str">
        <f t="shared" si="734"/>
        <v>D</v>
      </c>
      <c r="BH1014" s="254"/>
      <c r="BI1014" s="254"/>
    </row>
    <row r="1015" spans="1:61" customFormat="1" ht="15.75" x14ac:dyDescent="0.25">
      <c r="A1015" s="485">
        <v>20</v>
      </c>
      <c r="B1015" s="486" t="s">
        <v>291</v>
      </c>
      <c r="C1015" s="487" t="s">
        <v>3417</v>
      </c>
      <c r="D1015" s="488" t="s">
        <v>292</v>
      </c>
      <c r="E1015" s="489">
        <v>454.95</v>
      </c>
      <c r="F1015" s="516" t="s">
        <v>293</v>
      </c>
      <c r="G1015" s="232">
        <v>0</v>
      </c>
      <c r="H1015" s="658" t="str">
        <f>IF(G1015=0,"",IF(F1015="Buy",IF(G1015=1,"plant","plants"),IF(F1015&gt;0.01,"warranty","Error")))</f>
        <v/>
      </c>
      <c r="I1015" s="490">
        <f>IF(H1015="free",0,IF(H1015="credit",((E1015*(F1015))*G1015*-1),IF(F1015="Buy",(E1015*G1015),((E1015*(1-F1015))*G1015))))</f>
        <v>0</v>
      </c>
      <c r="J1015" s="490">
        <f>IF(H1015="warranty",0,(I1015*(_xlfn.SINGLE(SalesTaxPercentage))))</f>
        <v>0</v>
      </c>
      <c r="K1015" s="695">
        <f t="shared" ref="K1015" si="757">I1015+J1015</f>
        <v>0</v>
      </c>
      <c r="L1015" s="695"/>
      <c r="M1015" s="659" t="str">
        <f>IF(AND(G1015&gt;0,E1015=0),"WARNING - no PRICE inserted",IF(H1015="free"," FREE ~ no charge this plant",IF(H1015="credit",CONCATENATE(" -$",ROUND(K1015*(1-T2GDiscount)*-1,2)," CREDIT after discount"),IF(T2GDiscount=0,"",IF(G1015=0,"",IF(F1015="Buy",CONCATENATE(" $",ROUND(K1015*(1-T2GDiscount),2)," with ",(T2GDiscount*100),"% discount"),CONCATENATE(" $",ROUND(K1015*(1-T2GDiscount),2)," with ",((T2GDiscount*100+F1015*100)-(T2GDiscount*100*F1015)),IF(F1015&gt;0,"% discounts",IF(NoWarrantyDiscount&gt;0,"% discounts","% discount")))))))))</f>
        <v/>
      </c>
      <c r="N1015" s="660"/>
      <c r="O1015" s="233"/>
      <c r="P1015" s="233"/>
      <c r="Q1015" s="233"/>
      <c r="R1015" s="233"/>
      <c r="S1015" s="233"/>
      <c r="T1015" s="508">
        <f t="shared" si="722"/>
        <v>0</v>
      </c>
      <c r="U1015" s="225">
        <f>IF(NOT(ISNUMBER(G1015)), "", VLOOKUP(A1015,'Discount Lookup'!D:E,2,FALSE)*G1015)</f>
        <v>0</v>
      </c>
      <c r="V1015" s="225">
        <f>IF(NOT(ISNUMBER(G1015)), "", VLOOKUP(A1015,'Discount Lookup'!G:H,2,FALSE)*G1015)</f>
        <v>0</v>
      </c>
      <c r="W1015" s="508">
        <f t="shared" si="723"/>
        <v>0</v>
      </c>
      <c r="X1015" s="508">
        <f t="shared" si="724"/>
        <v>0</v>
      </c>
      <c r="Y1015" s="509" t="b">
        <f t="shared" si="725"/>
        <v>0</v>
      </c>
      <c r="Z1015" s="510">
        <f t="shared" si="726"/>
        <v>0</v>
      </c>
      <c r="AA1015" s="511"/>
      <c r="AB1015" s="511" t="str">
        <f t="shared" si="727"/>
        <v/>
      </c>
      <c r="AC1015" s="698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698"/>
      <c r="AE1015" s="631" t="str">
        <f t="shared" si="728"/>
        <v/>
      </c>
      <c r="AF1015" s="699" t="str">
        <f t="shared" si="729"/>
        <v/>
      </c>
      <c r="AG1015" s="699"/>
      <c r="AH1015" s="699"/>
      <c r="AI1015" s="512">
        <f>IF(H1015="credit",0,IF(AE1015="free",0,IF(AE1015="me",0,IF(G1015&gt;0,(VLOOKUP(A1015,'Discount Lookup'!J:K,2)*G1015),0))))</f>
        <v>0</v>
      </c>
      <c r="AJ1015" s="513" t="str">
        <f t="shared" ca="1" si="730"/>
        <v/>
      </c>
      <c r="AK1015" s="700" t="str">
        <f t="shared" si="731"/>
        <v/>
      </c>
      <c r="AL1015" s="700"/>
      <c r="AM1015" s="505" t="str">
        <f t="shared" si="732"/>
        <v/>
      </c>
      <c r="AN1015" s="506"/>
      <c r="AO1015" s="507"/>
      <c r="AP1015" s="507"/>
      <c r="AQ1015" s="507"/>
      <c r="AR1015" s="507"/>
      <c r="AS1015" s="507"/>
      <c r="AT1015" s="507"/>
      <c r="AU1015" s="507"/>
      <c r="AV1015" s="225"/>
      <c r="AW1015" s="508"/>
      <c r="AX1015" s="225"/>
      <c r="AY1015" s="225"/>
      <c r="AZ1015" s="225"/>
      <c r="BA1015" s="225"/>
      <c r="BB1015" s="225"/>
      <c r="BC1015" s="56"/>
      <c r="BD1015" s="56"/>
      <c r="BE1015" s="56"/>
      <c r="BF1015" s="107" t="str">
        <f t="shared" si="733"/>
        <v>https://www.google.com/search?tbm=isch&amp;q=20%20G4</v>
      </c>
      <c r="BG1015" s="107" t="str">
        <f t="shared" si="734"/>
        <v>D</v>
      </c>
      <c r="BH1015" s="254"/>
      <c r="BI1015" s="254"/>
    </row>
    <row r="1016" spans="1:61" customFormat="1" ht="16.5" thickBot="1" x14ac:dyDescent="0.3">
      <c r="A1016" s="522" t="s">
        <v>2981</v>
      </c>
      <c r="B1016" s="491"/>
      <c r="C1016" s="675"/>
      <c r="D1016" s="491"/>
      <c r="E1016" s="491"/>
      <c r="F1016" s="492"/>
      <c r="G1016" s="493"/>
      <c r="H1016" s="491"/>
      <c r="I1016" s="234"/>
      <c r="J1016" s="234"/>
      <c r="K1016" s="494"/>
      <c r="L1016" s="543"/>
      <c r="M1016" s="561"/>
      <c r="N1016" s="495"/>
      <c r="O1016" s="496"/>
      <c r="P1016" s="497"/>
      <c r="Q1016" s="495"/>
      <c r="R1016" s="495"/>
      <c r="S1016" s="667" t="s">
        <v>4968</v>
      </c>
      <c r="T1016" s="508">
        <f t="shared" si="722"/>
        <v>0</v>
      </c>
      <c r="U1016" s="225" t="str">
        <f>IF(NOT(ISNUMBER(G1016)), "", VLOOKUP(A1016,'Discount Lookup'!D:E,2,FALSE)*G1016)</f>
        <v/>
      </c>
      <c r="V1016" s="225" t="str">
        <f>IF(NOT(ISNUMBER(G1016)), "", VLOOKUP(A1016,'Discount Lookup'!G:H,2,FALSE)*G1016)</f>
        <v/>
      </c>
      <c r="W1016" s="508">
        <f t="shared" si="723"/>
        <v>0</v>
      </c>
      <c r="X1016" s="508">
        <f t="shared" si="724"/>
        <v>0</v>
      </c>
      <c r="Y1016" s="509" t="b">
        <f t="shared" si="725"/>
        <v>0</v>
      </c>
      <c r="Z1016" s="510">
        <f t="shared" si="726"/>
        <v>0</v>
      </c>
      <c r="AA1016" s="511"/>
      <c r="AB1016" s="511" t="str">
        <f t="shared" si="727"/>
        <v/>
      </c>
      <c r="AC1016" s="698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698"/>
      <c r="AE1016" s="631" t="str">
        <f t="shared" si="728"/>
        <v/>
      </c>
      <c r="AF1016" s="699" t="str">
        <f t="shared" si="729"/>
        <v/>
      </c>
      <c r="AG1016" s="699"/>
      <c r="AH1016" s="699"/>
      <c r="AI1016" s="512">
        <f>IF(H1016="credit",0,IF(AE1016="free",0,IF(AE1016="me",0,IF(G1016&gt;0,(VLOOKUP(A1016,'Discount Lookup'!J:K,2)*G1016),0))))</f>
        <v>0</v>
      </c>
      <c r="AJ1016" s="513" t="str">
        <f t="shared" ca="1" si="730"/>
        <v/>
      </c>
      <c r="AK1016" s="700" t="str">
        <f t="shared" si="731"/>
        <v/>
      </c>
      <c r="AL1016" s="700"/>
      <c r="AM1016" s="505" t="str">
        <f t="shared" si="732"/>
        <v/>
      </c>
      <c r="AN1016" s="506"/>
      <c r="AO1016" s="507"/>
      <c r="AP1016" s="507"/>
      <c r="AQ1016" s="507"/>
      <c r="AR1016" s="507"/>
      <c r="AS1016" s="507"/>
      <c r="AT1016" s="507"/>
      <c r="AU1016" s="507"/>
      <c r="AV1016" s="225"/>
      <c r="AW1016" s="508"/>
      <c r="AX1016" s="225"/>
      <c r="AY1016" s="225"/>
      <c r="AZ1016" s="225"/>
      <c r="BA1016" s="225"/>
      <c r="BB1016" s="225"/>
      <c r="BC1016" s="56"/>
      <c r="BD1016" s="56"/>
      <c r="BE1016" s="56"/>
      <c r="BF1016" s="107" t="str">
        <f t="shared" si="733"/>
        <v>https://www.google.com/search?tbm=isch&amp;q=Dee%20Runk%20maintains%20vertical%20structure%20with%20minimal%20pruning.%20Good%20disease%20resistance.%20Slow-growing%2C%20dense%2C%20and%20ideal%20for%20hedges%20and%20borders%20</v>
      </c>
      <c r="BG1016" s="107" t="str">
        <f t="shared" si="734"/>
        <v>D</v>
      </c>
      <c r="BH1016" s="254"/>
      <c r="BI1016" s="254"/>
    </row>
    <row r="1017" spans="1:61" customFormat="1" ht="18" x14ac:dyDescent="0.25">
      <c r="A1017" s="521" t="s">
        <v>755</v>
      </c>
      <c r="B1017" s="477"/>
      <c r="C1017" s="674"/>
      <c r="D1017" s="478" t="s">
        <v>756</v>
      </c>
      <c r="E1017" s="479"/>
      <c r="F1017" s="479"/>
      <c r="G1017" s="479"/>
      <c r="H1017" s="582" t="s">
        <v>337</v>
      </c>
      <c r="I1017" s="480" t="s">
        <v>2093</v>
      </c>
      <c r="J1017" s="479"/>
      <c r="K1017" s="479"/>
      <c r="L1017" s="560"/>
      <c r="M1017" s="666" t="s">
        <v>4966</v>
      </c>
      <c r="N1017" s="680" t="str">
        <f>IF(AND(ISTEXT($A1017), ISERROR($A1017+0)), HYPERLINK($BF1017, "Images"), "")</f>
        <v>Images</v>
      </c>
      <c r="O1017" s="662" t="s">
        <v>4971</v>
      </c>
      <c r="P1017" s="482"/>
      <c r="Q1017" s="483"/>
      <c r="R1017" s="483"/>
      <c r="S1017" s="484" t="s">
        <v>305</v>
      </c>
      <c r="T1017" s="508">
        <f t="shared" si="722"/>
        <v>0</v>
      </c>
      <c r="U1017" s="225" t="str">
        <f>IF(NOT(ISNUMBER(G1017)), "", VLOOKUP(A1017,'Discount Lookup'!D:E,2,FALSE)*G1017)</f>
        <v/>
      </c>
      <c r="V1017" s="225" t="str">
        <f>IF(NOT(ISNUMBER(G1017)), "", VLOOKUP(A1017,'Discount Lookup'!G:H,2,FALSE)*G1017)</f>
        <v/>
      </c>
      <c r="W1017" s="508">
        <f t="shared" si="723"/>
        <v>0</v>
      </c>
      <c r="X1017" s="508" t="str">
        <f t="shared" si="724"/>
        <v>Dark Green foliage</v>
      </c>
      <c r="Y1017" s="509" t="b">
        <f t="shared" si="725"/>
        <v>0</v>
      </c>
      <c r="Z1017" s="510">
        <f t="shared" si="726"/>
        <v>0</v>
      </c>
      <c r="AA1017" s="511"/>
      <c r="AB1017" s="511" t="str">
        <f t="shared" si="727"/>
        <v/>
      </c>
      <c r="AC1017" s="698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698"/>
      <c r="AE1017" s="631" t="str">
        <f t="shared" si="728"/>
        <v/>
      </c>
      <c r="AF1017" s="699" t="str">
        <f t="shared" si="729"/>
        <v/>
      </c>
      <c r="AG1017" s="699"/>
      <c r="AH1017" s="699"/>
      <c r="AI1017" s="512">
        <f>IF(H1017="credit",0,IF(AE1017="free",0,IF(AE1017="me",0,IF(G1017&gt;0,(VLOOKUP(A1017,'Discount Lookup'!J:K,2)*G1017),0))))</f>
        <v>0</v>
      </c>
      <c r="AJ1017" s="513" t="str">
        <f t="shared" ca="1" si="730"/>
        <v/>
      </c>
      <c r="AK1017" s="700" t="str">
        <f t="shared" si="731"/>
        <v/>
      </c>
      <c r="AL1017" s="700"/>
      <c r="AM1017" s="505" t="str">
        <f t="shared" si="732"/>
        <v/>
      </c>
      <c r="AN1017" s="506"/>
      <c r="AO1017" s="507"/>
      <c r="AP1017" s="507"/>
      <c r="AQ1017" s="507"/>
      <c r="AR1017" s="507"/>
      <c r="AS1017" s="507"/>
      <c r="AT1017" s="507"/>
      <c r="AU1017" s="507"/>
      <c r="AV1017" s="225"/>
      <c r="AW1017" s="508"/>
      <c r="AX1017" s="225"/>
      <c r="AY1017" s="225"/>
      <c r="AZ1017" s="225"/>
      <c r="BA1017" s="225"/>
      <c r="BB1017" s="225"/>
      <c r="BC1017" s="56"/>
      <c r="BD1017" s="56"/>
      <c r="BE1017" s="56"/>
      <c r="BF1017" s="107" t="str">
        <f t="shared" si="733"/>
        <v>https://www.google.com/search?tbm=isch&amp;q=DeGroot%27s%20Spire%20Arborvitae%20Thuja%20occidentalis%20%27DeGroot%27s%20Spire%27</v>
      </c>
      <c r="BG1017" s="107" t="str">
        <f t="shared" si="734"/>
        <v>D</v>
      </c>
      <c r="BH1017" s="254"/>
      <c r="BI1017" s="254"/>
    </row>
    <row r="1018" spans="1:61" customFormat="1" ht="15.75" x14ac:dyDescent="0.25">
      <c r="A1018" s="485">
        <v>3</v>
      </c>
      <c r="B1018" s="486" t="s">
        <v>291</v>
      </c>
      <c r="C1018" s="487" t="s">
        <v>2483</v>
      </c>
      <c r="D1018" s="488" t="s">
        <v>312</v>
      </c>
      <c r="E1018" s="489">
        <v>34.950000000000003</v>
      </c>
      <c r="F1018" s="516" t="s">
        <v>293</v>
      </c>
      <c r="G1018" s="232">
        <v>0</v>
      </c>
      <c r="H1018" s="658" t="str">
        <f t="shared" ref="H1018:H1025" si="758">IF(G1018=0,"",IF(F1018="Buy",IF(G1018=1,"plant","plants"),IF(F1018&gt;0.01,"warranty","Error")))</f>
        <v/>
      </c>
      <c r="I1018" s="490">
        <f t="shared" ref="I1018:I1025" si="759">IF(H1018="free",0,IF(H1018="credit",((E1018*(F1018))*G1018*-1),IF(F1018="Buy",(E1018*G1018),((E1018*(1-F1018))*G1018))))</f>
        <v>0</v>
      </c>
      <c r="J1018" s="490">
        <f t="shared" ref="J1018:J1025" si="760">IF(H1018="warranty",0,(I1018*(_xlfn.SINGLE(SalesTaxPercentage))))</f>
        <v>0</v>
      </c>
      <c r="K1018" s="695">
        <f t="shared" ref="K1018" si="761">I1018+J1018</f>
        <v>0</v>
      </c>
      <c r="L1018" s="695"/>
      <c r="M1018" s="659" t="str">
        <f t="shared" ref="M1018:M1025" si="762">IF(AND(G1018&gt;0,E1018=0),"WARNING - no PRICE inserted",IF(H1018="free"," FREE ~ no charge this plant",IF(H1018="credit",CONCATENATE(" -$",ROUND(K1018*(1-T2GDiscount)*-1,2)," CREDIT after discount"),IF(T2GDiscount=0,"",IF(G1018=0,"",IF(F1018="Buy",CONCATENATE(" $",ROUND(K1018*(1-T2GDiscount),2)," with ",(T2GDiscount*100),"% discount"),CONCATENATE(" $",ROUND(K1018*(1-T2GDiscount),2)," with ",((T2GDiscount*100+F1018*100)-(T2GDiscount*100*F1018)),IF(F1018&gt;0,"% discounts",IF(NoWarrantyDiscount&gt;0,"% discounts","% discount")))))))))</f>
        <v/>
      </c>
      <c r="N1018" s="660"/>
      <c r="O1018" s="233"/>
      <c r="P1018" s="233"/>
      <c r="Q1018" s="233"/>
      <c r="R1018" s="233"/>
      <c r="S1018" s="233"/>
      <c r="T1018" s="508">
        <f t="shared" si="722"/>
        <v>0</v>
      </c>
      <c r="U1018" s="225">
        <f>IF(NOT(ISNUMBER(G1018)), "", VLOOKUP(A1018,'Discount Lookup'!D:E,2,FALSE)*G1018)</f>
        <v>0</v>
      </c>
      <c r="V1018" s="225">
        <f>IF(NOT(ISNUMBER(G1018)), "", VLOOKUP(A1018,'Discount Lookup'!G:H,2,FALSE)*G1018)</f>
        <v>0</v>
      </c>
      <c r="W1018" s="508">
        <f t="shared" si="723"/>
        <v>0</v>
      </c>
      <c r="X1018" s="508">
        <f t="shared" si="724"/>
        <v>0</v>
      </c>
      <c r="Y1018" s="509" t="b">
        <f t="shared" si="725"/>
        <v>0</v>
      </c>
      <c r="Z1018" s="510">
        <f t="shared" si="726"/>
        <v>0</v>
      </c>
      <c r="AA1018" s="511"/>
      <c r="AB1018" s="511" t="str">
        <f t="shared" si="727"/>
        <v/>
      </c>
      <c r="AC1018" s="698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698"/>
      <c r="AE1018" s="631" t="str">
        <f t="shared" si="728"/>
        <v/>
      </c>
      <c r="AF1018" s="699" t="str">
        <f t="shared" si="729"/>
        <v/>
      </c>
      <c r="AG1018" s="699"/>
      <c r="AH1018" s="699"/>
      <c r="AI1018" s="512">
        <f>IF(H1018="credit",0,IF(AE1018="free",0,IF(AE1018="me",0,IF(G1018&gt;0,(VLOOKUP(A1018,'Discount Lookup'!J:K,2)*G1018),0))))</f>
        <v>0</v>
      </c>
      <c r="AJ1018" s="513" t="str">
        <f t="shared" ca="1" si="730"/>
        <v/>
      </c>
      <c r="AK1018" s="700" t="str">
        <f t="shared" si="731"/>
        <v/>
      </c>
      <c r="AL1018" s="700"/>
      <c r="AM1018" s="505" t="str">
        <f t="shared" si="732"/>
        <v/>
      </c>
      <c r="AN1018" s="506"/>
      <c r="AO1018" s="507"/>
      <c r="AP1018" s="507"/>
      <c r="AQ1018" s="507"/>
      <c r="AR1018" s="507"/>
      <c r="AS1018" s="507"/>
      <c r="AT1018" s="507"/>
      <c r="AU1018" s="507"/>
      <c r="AV1018" s="225"/>
      <c r="AW1018" s="508"/>
      <c r="AX1018" s="225"/>
      <c r="AY1018" s="225"/>
      <c r="AZ1018" s="225"/>
      <c r="BA1018" s="225"/>
      <c r="BB1018" s="225"/>
      <c r="BC1018" s="56"/>
      <c r="BD1018" s="56"/>
      <c r="BE1018" s="56"/>
      <c r="BF1018" s="107" t="str">
        <f t="shared" si="733"/>
        <v>https://www.google.com/search?tbm=isch&amp;q=3%20G2</v>
      </c>
      <c r="BG1018" s="107" t="str">
        <f t="shared" si="734"/>
        <v>D</v>
      </c>
      <c r="BH1018" s="254"/>
      <c r="BI1018" s="254"/>
    </row>
    <row r="1019" spans="1:61" customFormat="1" ht="15.75" x14ac:dyDescent="0.25">
      <c r="A1019" s="485">
        <v>3</v>
      </c>
      <c r="B1019" s="486" t="s">
        <v>291</v>
      </c>
      <c r="C1019" s="487" t="s">
        <v>757</v>
      </c>
      <c r="D1019" s="488" t="s">
        <v>299</v>
      </c>
      <c r="E1019" s="489">
        <v>40.950000000000003</v>
      </c>
      <c r="F1019" s="516" t="s">
        <v>293</v>
      </c>
      <c r="G1019" s="232">
        <v>0</v>
      </c>
      <c r="H1019" s="658" t="str">
        <f t="shared" si="758"/>
        <v/>
      </c>
      <c r="I1019" s="490">
        <f t="shared" si="759"/>
        <v>0</v>
      </c>
      <c r="J1019" s="490">
        <f t="shared" si="760"/>
        <v>0</v>
      </c>
      <c r="K1019" s="695">
        <f t="shared" ref="K1019" si="763">I1019+J1019</f>
        <v>0</v>
      </c>
      <c r="L1019" s="695"/>
      <c r="M1019" s="659" t="str">
        <f t="shared" si="762"/>
        <v/>
      </c>
      <c r="N1019" s="660"/>
      <c r="O1019" s="233"/>
      <c r="P1019" s="233"/>
      <c r="Q1019" s="233"/>
      <c r="R1019" s="233"/>
      <c r="S1019" s="233"/>
      <c r="T1019" s="508">
        <f t="shared" si="722"/>
        <v>0</v>
      </c>
      <c r="U1019" s="225">
        <f>IF(NOT(ISNUMBER(G1019)), "", VLOOKUP(A1019,'Discount Lookup'!D:E,2,FALSE)*G1019)</f>
        <v>0</v>
      </c>
      <c r="V1019" s="225">
        <f>IF(NOT(ISNUMBER(G1019)), "", VLOOKUP(A1019,'Discount Lookup'!G:H,2,FALSE)*G1019)</f>
        <v>0</v>
      </c>
      <c r="W1019" s="508">
        <f t="shared" si="723"/>
        <v>0</v>
      </c>
      <c r="X1019" s="508">
        <f t="shared" si="724"/>
        <v>0</v>
      </c>
      <c r="Y1019" s="509" t="b">
        <f t="shared" si="725"/>
        <v>0</v>
      </c>
      <c r="Z1019" s="510">
        <f t="shared" si="726"/>
        <v>0</v>
      </c>
      <c r="AA1019" s="511"/>
      <c r="AB1019" s="511" t="str">
        <f t="shared" si="727"/>
        <v/>
      </c>
      <c r="AC1019" s="698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698"/>
      <c r="AE1019" s="631" t="str">
        <f t="shared" si="728"/>
        <v/>
      </c>
      <c r="AF1019" s="699" t="str">
        <f t="shared" si="729"/>
        <v/>
      </c>
      <c r="AG1019" s="699"/>
      <c r="AH1019" s="699"/>
      <c r="AI1019" s="512">
        <f>IF(H1019="credit",0,IF(AE1019="free",0,IF(AE1019="me",0,IF(G1019&gt;0,(VLOOKUP(A1019,'Discount Lookup'!J:K,2)*G1019),0))))</f>
        <v>0</v>
      </c>
      <c r="AJ1019" s="513" t="str">
        <f t="shared" ca="1" si="730"/>
        <v/>
      </c>
      <c r="AK1019" s="700" t="str">
        <f t="shared" si="731"/>
        <v/>
      </c>
      <c r="AL1019" s="700"/>
      <c r="AM1019" s="505" t="str">
        <f t="shared" si="732"/>
        <v/>
      </c>
      <c r="AN1019" s="506"/>
      <c r="AO1019" s="507"/>
      <c r="AP1019" s="507"/>
      <c r="AQ1019" s="507"/>
      <c r="AR1019" s="507"/>
      <c r="AS1019" s="507"/>
      <c r="AT1019" s="507"/>
      <c r="AU1019" s="507"/>
      <c r="AV1019" s="225"/>
      <c r="AW1019" s="508"/>
      <c r="AX1019" s="225"/>
      <c r="AY1019" s="225"/>
      <c r="AZ1019" s="225"/>
      <c r="BA1019" s="225"/>
      <c r="BB1019" s="225"/>
      <c r="BC1019" s="56"/>
      <c r="BD1019" s="56"/>
      <c r="BE1019" s="56"/>
      <c r="BF1019" s="107" t="str">
        <f t="shared" si="733"/>
        <v>https://www.google.com/search?tbm=isch&amp;q=3%20G5</v>
      </c>
      <c r="BG1019" s="107" t="str">
        <f t="shared" si="734"/>
        <v>D</v>
      </c>
      <c r="BH1019" s="254"/>
      <c r="BI1019" s="254"/>
    </row>
    <row r="1020" spans="1:61" customFormat="1" ht="15.75" x14ac:dyDescent="0.25">
      <c r="A1020" s="485">
        <v>7</v>
      </c>
      <c r="B1020" s="486" t="s">
        <v>291</v>
      </c>
      <c r="C1020" s="487" t="s">
        <v>2735</v>
      </c>
      <c r="D1020" s="488" t="s">
        <v>297</v>
      </c>
      <c r="E1020" s="489">
        <v>56.95</v>
      </c>
      <c r="F1020" s="516" t="s">
        <v>293</v>
      </c>
      <c r="G1020" s="232">
        <v>0</v>
      </c>
      <c r="H1020" s="658" t="str">
        <f t="shared" si="758"/>
        <v/>
      </c>
      <c r="I1020" s="490">
        <f t="shared" si="759"/>
        <v>0</v>
      </c>
      <c r="J1020" s="490">
        <f t="shared" si="760"/>
        <v>0</v>
      </c>
      <c r="K1020" s="695">
        <f t="shared" ref="K1020" si="764">I1020+J1020</f>
        <v>0</v>
      </c>
      <c r="L1020" s="695"/>
      <c r="M1020" s="659" t="str">
        <f t="shared" si="762"/>
        <v/>
      </c>
      <c r="N1020" s="660"/>
      <c r="O1020" s="233"/>
      <c r="P1020" s="233"/>
      <c r="Q1020" s="233"/>
      <c r="R1020" s="233"/>
      <c r="S1020" s="233"/>
      <c r="T1020" s="508">
        <f t="shared" si="722"/>
        <v>0</v>
      </c>
      <c r="U1020" s="225">
        <f>IF(NOT(ISNUMBER(G1020)), "", VLOOKUP(A1020,'Discount Lookup'!D:E,2,FALSE)*G1020)</f>
        <v>0</v>
      </c>
      <c r="V1020" s="225">
        <f>IF(NOT(ISNUMBER(G1020)), "", VLOOKUP(A1020,'Discount Lookup'!G:H,2,FALSE)*G1020)</f>
        <v>0</v>
      </c>
      <c r="W1020" s="508">
        <f t="shared" si="723"/>
        <v>0</v>
      </c>
      <c r="X1020" s="508">
        <f t="shared" si="724"/>
        <v>0</v>
      </c>
      <c r="Y1020" s="509" t="b">
        <f t="shared" si="725"/>
        <v>0</v>
      </c>
      <c r="Z1020" s="510">
        <f t="shared" si="726"/>
        <v>0</v>
      </c>
      <c r="AA1020" s="511"/>
      <c r="AB1020" s="511" t="str">
        <f t="shared" si="727"/>
        <v/>
      </c>
      <c r="AC1020" s="698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698"/>
      <c r="AE1020" s="631" t="str">
        <f t="shared" si="728"/>
        <v/>
      </c>
      <c r="AF1020" s="699" t="str">
        <f t="shared" si="729"/>
        <v/>
      </c>
      <c r="AG1020" s="699"/>
      <c r="AH1020" s="699"/>
      <c r="AI1020" s="512">
        <f>IF(H1020="credit",0,IF(AE1020="free",0,IF(AE1020="me",0,IF(G1020&gt;0,(VLOOKUP(A1020,'Discount Lookup'!J:K,2)*G1020),0))))</f>
        <v>0</v>
      </c>
      <c r="AJ1020" s="513" t="str">
        <f t="shared" ca="1" si="730"/>
        <v/>
      </c>
      <c r="AK1020" s="700" t="str">
        <f t="shared" si="731"/>
        <v/>
      </c>
      <c r="AL1020" s="700"/>
      <c r="AM1020" s="505" t="str">
        <f t="shared" si="732"/>
        <v/>
      </c>
      <c r="AN1020" s="506"/>
      <c r="AO1020" s="507"/>
      <c r="AP1020" s="507"/>
      <c r="AQ1020" s="507"/>
      <c r="AR1020" s="507"/>
      <c r="AS1020" s="507"/>
      <c r="AT1020" s="507"/>
      <c r="AU1020" s="507"/>
      <c r="AV1020" s="225"/>
      <c r="AW1020" s="508"/>
      <c r="AX1020" s="225"/>
      <c r="AY1020" s="225"/>
      <c r="AZ1020" s="225"/>
      <c r="BA1020" s="225"/>
      <c r="BB1020" s="225"/>
      <c r="BC1020" s="56"/>
      <c r="BD1020" s="56"/>
      <c r="BE1020" s="56"/>
      <c r="BF1020" s="107" t="str">
        <f t="shared" si="733"/>
        <v>https://www.google.com/search?tbm=isch&amp;q=7%20G3</v>
      </c>
      <c r="BG1020" s="107" t="str">
        <f t="shared" si="734"/>
        <v>D</v>
      </c>
      <c r="BH1020" s="254"/>
      <c r="BI1020" s="254"/>
    </row>
    <row r="1021" spans="1:61" customFormat="1" ht="15.75" x14ac:dyDescent="0.25">
      <c r="A1021" s="485">
        <v>7</v>
      </c>
      <c r="B1021" s="486" t="s">
        <v>291</v>
      </c>
      <c r="C1021" s="487" t="s">
        <v>2736</v>
      </c>
      <c r="D1021" s="488" t="s">
        <v>299</v>
      </c>
      <c r="E1021" s="489">
        <v>91.95</v>
      </c>
      <c r="F1021" s="516" t="s">
        <v>293</v>
      </c>
      <c r="G1021" s="232">
        <v>0</v>
      </c>
      <c r="H1021" s="658" t="str">
        <f t="shared" si="758"/>
        <v/>
      </c>
      <c r="I1021" s="490">
        <f t="shared" si="759"/>
        <v>0</v>
      </c>
      <c r="J1021" s="490">
        <f t="shared" si="760"/>
        <v>0</v>
      </c>
      <c r="K1021" s="695">
        <f t="shared" ref="K1021" si="765">I1021+J1021</f>
        <v>0</v>
      </c>
      <c r="L1021" s="695"/>
      <c r="M1021" s="659" t="str">
        <f t="shared" si="762"/>
        <v/>
      </c>
      <c r="N1021" s="660"/>
      <c r="O1021" s="233"/>
      <c r="P1021" s="233"/>
      <c r="Q1021" s="233"/>
      <c r="R1021" s="233"/>
      <c r="S1021" s="233"/>
      <c r="T1021" s="508">
        <f t="shared" si="722"/>
        <v>0</v>
      </c>
      <c r="U1021" s="225">
        <f>IF(NOT(ISNUMBER(G1021)), "", VLOOKUP(A1021,'Discount Lookup'!D:E,2,FALSE)*G1021)</f>
        <v>0</v>
      </c>
      <c r="V1021" s="225">
        <f>IF(NOT(ISNUMBER(G1021)), "", VLOOKUP(A1021,'Discount Lookup'!G:H,2,FALSE)*G1021)</f>
        <v>0</v>
      </c>
      <c r="W1021" s="508">
        <f t="shared" si="723"/>
        <v>0</v>
      </c>
      <c r="X1021" s="508">
        <f t="shared" si="724"/>
        <v>0</v>
      </c>
      <c r="Y1021" s="509" t="b">
        <f t="shared" si="725"/>
        <v>0</v>
      </c>
      <c r="Z1021" s="510">
        <f t="shared" si="726"/>
        <v>0</v>
      </c>
      <c r="AA1021" s="511"/>
      <c r="AB1021" s="511" t="str">
        <f t="shared" si="727"/>
        <v/>
      </c>
      <c r="AC1021" s="698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698"/>
      <c r="AE1021" s="631" t="str">
        <f t="shared" si="728"/>
        <v/>
      </c>
      <c r="AF1021" s="699" t="str">
        <f t="shared" si="729"/>
        <v/>
      </c>
      <c r="AG1021" s="699"/>
      <c r="AH1021" s="699"/>
      <c r="AI1021" s="512">
        <f>IF(H1021="credit",0,IF(AE1021="free",0,IF(AE1021="me",0,IF(G1021&gt;0,(VLOOKUP(A1021,'Discount Lookup'!J:K,2)*G1021),0))))</f>
        <v>0</v>
      </c>
      <c r="AJ1021" s="513" t="str">
        <f t="shared" ca="1" si="730"/>
        <v/>
      </c>
      <c r="AK1021" s="700" t="str">
        <f t="shared" si="731"/>
        <v/>
      </c>
      <c r="AL1021" s="700"/>
      <c r="AM1021" s="505" t="str">
        <f t="shared" si="732"/>
        <v/>
      </c>
      <c r="AN1021" s="506"/>
      <c r="AO1021" s="507"/>
      <c r="AP1021" s="507"/>
      <c r="AQ1021" s="507"/>
      <c r="AR1021" s="507"/>
      <c r="AS1021" s="507"/>
      <c r="AT1021" s="507"/>
      <c r="AU1021" s="507"/>
      <c r="AV1021" s="225"/>
      <c r="AW1021" s="508"/>
      <c r="AX1021" s="225"/>
      <c r="AY1021" s="225"/>
      <c r="AZ1021" s="225"/>
      <c r="BA1021" s="225"/>
      <c r="BB1021" s="225"/>
      <c r="BC1021" s="56"/>
      <c r="BD1021" s="56"/>
      <c r="BE1021" s="56"/>
      <c r="BF1021" s="107" t="str">
        <f t="shared" si="733"/>
        <v>https://www.google.com/search?tbm=isch&amp;q=7%20G5</v>
      </c>
      <c r="BG1021" s="107" t="str">
        <f t="shared" si="734"/>
        <v>D</v>
      </c>
      <c r="BH1021" s="254"/>
      <c r="BI1021" s="254"/>
    </row>
    <row r="1022" spans="1:61" customFormat="1" ht="15.75" x14ac:dyDescent="0.25">
      <c r="A1022" s="485">
        <v>15</v>
      </c>
      <c r="B1022" s="486" t="s">
        <v>291</v>
      </c>
      <c r="C1022" s="487" t="s">
        <v>2737</v>
      </c>
      <c r="D1022" s="488" t="s">
        <v>297</v>
      </c>
      <c r="E1022" s="489">
        <v>155.94999999999999</v>
      </c>
      <c r="F1022" s="516" t="s">
        <v>293</v>
      </c>
      <c r="G1022" s="232">
        <v>0</v>
      </c>
      <c r="H1022" s="658" t="str">
        <f t="shared" si="758"/>
        <v/>
      </c>
      <c r="I1022" s="490">
        <f t="shared" si="759"/>
        <v>0</v>
      </c>
      <c r="J1022" s="490">
        <f t="shared" si="760"/>
        <v>0</v>
      </c>
      <c r="K1022" s="695">
        <f t="shared" ref="K1022" si="766">I1022+J1022</f>
        <v>0</v>
      </c>
      <c r="L1022" s="695"/>
      <c r="M1022" s="659" t="str">
        <f t="shared" si="762"/>
        <v/>
      </c>
      <c r="N1022" s="660"/>
      <c r="O1022" s="233"/>
      <c r="P1022" s="233"/>
      <c r="Q1022" s="233"/>
      <c r="R1022" s="233"/>
      <c r="S1022" s="233"/>
      <c r="T1022" s="508">
        <f t="shared" si="722"/>
        <v>0</v>
      </c>
      <c r="U1022" s="225">
        <f>IF(NOT(ISNUMBER(G1022)), "", VLOOKUP(A1022,'Discount Lookup'!D:E,2,FALSE)*G1022)</f>
        <v>0</v>
      </c>
      <c r="V1022" s="225">
        <f>IF(NOT(ISNUMBER(G1022)), "", VLOOKUP(A1022,'Discount Lookup'!G:H,2,FALSE)*G1022)</f>
        <v>0</v>
      </c>
      <c r="W1022" s="508">
        <f t="shared" si="723"/>
        <v>0</v>
      </c>
      <c r="X1022" s="508">
        <f t="shared" si="724"/>
        <v>0</v>
      </c>
      <c r="Y1022" s="509" t="b">
        <f t="shared" si="725"/>
        <v>0</v>
      </c>
      <c r="Z1022" s="510">
        <f t="shared" si="726"/>
        <v>0</v>
      </c>
      <c r="AA1022" s="511"/>
      <c r="AB1022" s="511" t="str">
        <f t="shared" si="727"/>
        <v/>
      </c>
      <c r="AC1022" s="698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698"/>
      <c r="AE1022" s="631" t="str">
        <f t="shared" si="728"/>
        <v/>
      </c>
      <c r="AF1022" s="699" t="str">
        <f t="shared" si="729"/>
        <v/>
      </c>
      <c r="AG1022" s="699"/>
      <c r="AH1022" s="699"/>
      <c r="AI1022" s="512">
        <f>IF(H1022="credit",0,IF(AE1022="free",0,IF(AE1022="me",0,IF(G1022&gt;0,(VLOOKUP(A1022,'Discount Lookup'!J:K,2)*G1022),0))))</f>
        <v>0</v>
      </c>
      <c r="AJ1022" s="513" t="str">
        <f t="shared" ca="1" si="730"/>
        <v/>
      </c>
      <c r="AK1022" s="700" t="str">
        <f t="shared" si="731"/>
        <v/>
      </c>
      <c r="AL1022" s="700"/>
      <c r="AM1022" s="505" t="str">
        <f t="shared" si="732"/>
        <v/>
      </c>
      <c r="AN1022" s="506"/>
      <c r="AO1022" s="507"/>
      <c r="AP1022" s="507"/>
      <c r="AQ1022" s="507"/>
      <c r="AR1022" s="507"/>
      <c r="AS1022" s="507"/>
      <c r="AT1022" s="507"/>
      <c r="AU1022" s="507"/>
      <c r="AV1022" s="225"/>
      <c r="AW1022" s="508"/>
      <c r="AX1022" s="225"/>
      <c r="AY1022" s="225"/>
      <c r="AZ1022" s="225"/>
      <c r="BA1022" s="225"/>
      <c r="BB1022" s="225"/>
      <c r="BC1022" s="56"/>
      <c r="BD1022" s="56"/>
      <c r="BE1022" s="56"/>
      <c r="BF1022" s="107" t="str">
        <f t="shared" si="733"/>
        <v>https://www.google.com/search?tbm=isch&amp;q=15%20G3</v>
      </c>
      <c r="BG1022" s="107" t="str">
        <f t="shared" si="734"/>
        <v>D</v>
      </c>
      <c r="BH1022" s="254"/>
      <c r="BI1022" s="254"/>
    </row>
    <row r="1023" spans="1:61" customFormat="1" ht="15.75" x14ac:dyDescent="0.25">
      <c r="A1023" s="485">
        <v>15</v>
      </c>
      <c r="B1023" s="486" t="s">
        <v>291</v>
      </c>
      <c r="C1023" s="487" t="s">
        <v>4875</v>
      </c>
      <c r="D1023" s="488" t="s">
        <v>300</v>
      </c>
      <c r="E1023" s="489">
        <v>173.95</v>
      </c>
      <c r="F1023" s="516" t="s">
        <v>293</v>
      </c>
      <c r="G1023" s="232">
        <v>0</v>
      </c>
      <c r="H1023" s="658" t="str">
        <f t="shared" si="758"/>
        <v/>
      </c>
      <c r="I1023" s="490">
        <f t="shared" si="759"/>
        <v>0</v>
      </c>
      <c r="J1023" s="490">
        <f t="shared" si="760"/>
        <v>0</v>
      </c>
      <c r="K1023" s="695">
        <f t="shared" ref="K1023" si="767">I1023+J1023</f>
        <v>0</v>
      </c>
      <c r="L1023" s="695"/>
      <c r="M1023" s="659" t="str">
        <f t="shared" si="762"/>
        <v/>
      </c>
      <c r="N1023" s="660"/>
      <c r="O1023" s="233"/>
      <c r="P1023" s="233"/>
      <c r="Q1023" s="233"/>
      <c r="R1023" s="233"/>
      <c r="S1023" s="233"/>
      <c r="T1023" s="508">
        <f t="shared" si="722"/>
        <v>0</v>
      </c>
      <c r="U1023" s="225">
        <f>IF(NOT(ISNUMBER(G1023)), "", VLOOKUP(A1023,'Discount Lookup'!D:E,2,FALSE)*G1023)</f>
        <v>0</v>
      </c>
      <c r="V1023" s="225">
        <f>IF(NOT(ISNUMBER(G1023)), "", VLOOKUP(A1023,'Discount Lookup'!G:H,2,FALSE)*G1023)</f>
        <v>0</v>
      </c>
      <c r="W1023" s="508">
        <f t="shared" si="723"/>
        <v>0</v>
      </c>
      <c r="X1023" s="508">
        <f t="shared" si="724"/>
        <v>0</v>
      </c>
      <c r="Y1023" s="509" t="b">
        <f t="shared" si="725"/>
        <v>0</v>
      </c>
      <c r="Z1023" s="510">
        <f t="shared" si="726"/>
        <v>0</v>
      </c>
      <c r="AA1023" s="511"/>
      <c r="AB1023" s="511" t="str">
        <f t="shared" si="727"/>
        <v/>
      </c>
      <c r="AC1023" s="698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698"/>
      <c r="AE1023" s="631" t="str">
        <f t="shared" si="728"/>
        <v/>
      </c>
      <c r="AF1023" s="699" t="str">
        <f t="shared" si="729"/>
        <v/>
      </c>
      <c r="AG1023" s="699"/>
      <c r="AH1023" s="699"/>
      <c r="AI1023" s="512">
        <f>IF(H1023="credit",0,IF(AE1023="free",0,IF(AE1023="me",0,IF(G1023&gt;0,(VLOOKUP(A1023,'Discount Lookup'!J:K,2)*G1023),0))))</f>
        <v>0</v>
      </c>
      <c r="AJ1023" s="513" t="str">
        <f t="shared" ca="1" si="730"/>
        <v/>
      </c>
      <c r="AK1023" s="700" t="str">
        <f t="shared" si="731"/>
        <v/>
      </c>
      <c r="AL1023" s="700"/>
      <c r="AM1023" s="505" t="str">
        <f t="shared" si="732"/>
        <v/>
      </c>
      <c r="AN1023" s="506"/>
      <c r="AO1023" s="507"/>
      <c r="AP1023" s="507"/>
      <c r="AQ1023" s="507"/>
      <c r="AR1023" s="507"/>
      <c r="AS1023" s="507"/>
      <c r="AT1023" s="507"/>
      <c r="AU1023" s="507"/>
      <c r="AV1023" s="225"/>
      <c r="AW1023" s="508"/>
      <c r="AX1023" s="225"/>
      <c r="AY1023" s="225"/>
      <c r="AZ1023" s="225"/>
      <c r="BA1023" s="225"/>
      <c r="BB1023" s="225"/>
      <c r="BC1023" s="56"/>
      <c r="BD1023" s="56"/>
      <c r="BE1023" s="56"/>
      <c r="BF1023" s="107" t="str">
        <f t="shared" si="733"/>
        <v>https://www.google.com/search?tbm=isch&amp;q=15%20G6</v>
      </c>
      <c r="BG1023" s="107" t="str">
        <f t="shared" si="734"/>
        <v>D</v>
      </c>
      <c r="BH1023" s="254"/>
      <c r="BI1023" s="254"/>
    </row>
    <row r="1024" spans="1:61" customFormat="1" ht="15.75" x14ac:dyDescent="0.25">
      <c r="A1024" s="485">
        <v>15</v>
      </c>
      <c r="B1024" s="486" t="s">
        <v>291</v>
      </c>
      <c r="C1024" s="487" t="s">
        <v>758</v>
      </c>
      <c r="D1024" s="488" t="s">
        <v>299</v>
      </c>
      <c r="E1024" s="489">
        <v>183.95</v>
      </c>
      <c r="F1024" s="516" t="s">
        <v>293</v>
      </c>
      <c r="G1024" s="232">
        <v>0</v>
      </c>
      <c r="H1024" s="658" t="str">
        <f t="shared" si="758"/>
        <v/>
      </c>
      <c r="I1024" s="490">
        <f t="shared" si="759"/>
        <v>0</v>
      </c>
      <c r="J1024" s="490">
        <f t="shared" si="760"/>
        <v>0</v>
      </c>
      <c r="K1024" s="695">
        <f t="shared" ref="K1024" si="768">I1024+J1024</f>
        <v>0</v>
      </c>
      <c r="L1024" s="695"/>
      <c r="M1024" s="659" t="str">
        <f t="shared" si="762"/>
        <v/>
      </c>
      <c r="N1024" s="660"/>
      <c r="O1024" s="233"/>
      <c r="P1024" s="233"/>
      <c r="Q1024" s="233"/>
      <c r="R1024" s="233"/>
      <c r="S1024" s="233"/>
      <c r="T1024" s="508">
        <f t="shared" si="722"/>
        <v>0</v>
      </c>
      <c r="U1024" s="225">
        <f>IF(NOT(ISNUMBER(G1024)), "", VLOOKUP(A1024,'Discount Lookup'!D:E,2,FALSE)*G1024)</f>
        <v>0</v>
      </c>
      <c r="V1024" s="225">
        <f>IF(NOT(ISNUMBER(G1024)), "", VLOOKUP(A1024,'Discount Lookup'!G:H,2,FALSE)*G1024)</f>
        <v>0</v>
      </c>
      <c r="W1024" s="508">
        <f t="shared" si="723"/>
        <v>0</v>
      </c>
      <c r="X1024" s="508">
        <f t="shared" si="724"/>
        <v>0</v>
      </c>
      <c r="Y1024" s="509" t="b">
        <f t="shared" si="725"/>
        <v>0</v>
      </c>
      <c r="Z1024" s="510">
        <f t="shared" si="726"/>
        <v>0</v>
      </c>
      <c r="AA1024" s="511"/>
      <c r="AB1024" s="511" t="str">
        <f t="shared" si="727"/>
        <v/>
      </c>
      <c r="AC1024" s="698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698"/>
      <c r="AE1024" s="631" t="str">
        <f t="shared" si="728"/>
        <v/>
      </c>
      <c r="AF1024" s="699" t="str">
        <f t="shared" si="729"/>
        <v/>
      </c>
      <c r="AG1024" s="699"/>
      <c r="AH1024" s="699"/>
      <c r="AI1024" s="512">
        <f>IF(H1024="credit",0,IF(AE1024="free",0,IF(AE1024="me",0,IF(G1024&gt;0,(VLOOKUP(A1024,'Discount Lookup'!J:K,2)*G1024),0))))</f>
        <v>0</v>
      </c>
      <c r="AJ1024" s="513" t="str">
        <f t="shared" ca="1" si="730"/>
        <v/>
      </c>
      <c r="AK1024" s="700" t="str">
        <f t="shared" si="731"/>
        <v/>
      </c>
      <c r="AL1024" s="700"/>
      <c r="AM1024" s="505" t="str">
        <f t="shared" si="732"/>
        <v/>
      </c>
      <c r="AN1024" s="506"/>
      <c r="AO1024" s="507"/>
      <c r="AP1024" s="507"/>
      <c r="AQ1024" s="507"/>
      <c r="AR1024" s="507"/>
      <c r="AS1024" s="507"/>
      <c r="AT1024" s="507"/>
      <c r="AU1024" s="507"/>
      <c r="AV1024" s="225"/>
      <c r="AW1024" s="508"/>
      <c r="AX1024" s="225"/>
      <c r="AY1024" s="225"/>
      <c r="AZ1024" s="225"/>
      <c r="BA1024" s="225"/>
      <c r="BB1024" s="225"/>
      <c r="BC1024" s="56"/>
      <c r="BD1024" s="56"/>
      <c r="BE1024" s="56"/>
      <c r="BF1024" s="107" t="str">
        <f t="shared" si="733"/>
        <v>https://www.google.com/search?tbm=isch&amp;q=15%20G5</v>
      </c>
      <c r="BG1024" s="107" t="str">
        <f t="shared" si="734"/>
        <v>D</v>
      </c>
      <c r="BH1024" s="254"/>
      <c r="BI1024" s="254"/>
    </row>
    <row r="1025" spans="1:61" customFormat="1" ht="27" x14ac:dyDescent="0.25">
      <c r="A1025" s="485">
        <v>15</v>
      </c>
      <c r="B1025" s="486" t="s">
        <v>291</v>
      </c>
      <c r="C1025" s="487" t="s">
        <v>4605</v>
      </c>
      <c r="D1025" s="488" t="s">
        <v>292</v>
      </c>
      <c r="E1025" s="489">
        <v>187.95</v>
      </c>
      <c r="F1025" s="516" t="s">
        <v>293</v>
      </c>
      <c r="G1025" s="232">
        <v>0</v>
      </c>
      <c r="H1025" s="658" t="str">
        <f t="shared" si="758"/>
        <v/>
      </c>
      <c r="I1025" s="490">
        <f t="shared" si="759"/>
        <v>0</v>
      </c>
      <c r="J1025" s="490">
        <f t="shared" si="760"/>
        <v>0</v>
      </c>
      <c r="K1025" s="695">
        <f t="shared" ref="K1025" si="769">I1025+J1025</f>
        <v>0</v>
      </c>
      <c r="L1025" s="695"/>
      <c r="M1025" s="659" t="str">
        <f t="shared" si="762"/>
        <v/>
      </c>
      <c r="N1025" s="660"/>
      <c r="O1025" s="233"/>
      <c r="P1025" s="233"/>
      <c r="Q1025" s="233"/>
      <c r="R1025" s="233"/>
      <c r="S1025" s="233"/>
      <c r="T1025" s="508">
        <f t="shared" si="722"/>
        <v>0</v>
      </c>
      <c r="U1025" s="225">
        <f>IF(NOT(ISNUMBER(G1025)), "", VLOOKUP(A1025,'Discount Lookup'!D:E,2,FALSE)*G1025)</f>
        <v>0</v>
      </c>
      <c r="V1025" s="225">
        <f>IF(NOT(ISNUMBER(G1025)), "", VLOOKUP(A1025,'Discount Lookup'!G:H,2,FALSE)*G1025)</f>
        <v>0</v>
      </c>
      <c r="W1025" s="508">
        <f t="shared" si="723"/>
        <v>0</v>
      </c>
      <c r="X1025" s="508">
        <f t="shared" si="724"/>
        <v>0</v>
      </c>
      <c r="Y1025" s="509" t="b">
        <f t="shared" si="725"/>
        <v>0</v>
      </c>
      <c r="Z1025" s="510">
        <f t="shared" si="726"/>
        <v>0</v>
      </c>
      <c r="AA1025" s="511"/>
      <c r="AB1025" s="511" t="str">
        <f t="shared" si="727"/>
        <v/>
      </c>
      <c r="AC1025" s="698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698"/>
      <c r="AE1025" s="631" t="str">
        <f t="shared" si="728"/>
        <v/>
      </c>
      <c r="AF1025" s="699" t="str">
        <f t="shared" si="729"/>
        <v/>
      </c>
      <c r="AG1025" s="699"/>
      <c r="AH1025" s="699"/>
      <c r="AI1025" s="512">
        <f>IF(H1025="credit",0,IF(AE1025="free",0,IF(AE1025="me",0,IF(G1025&gt;0,(VLOOKUP(A1025,'Discount Lookup'!J:K,2)*G1025),0))))</f>
        <v>0</v>
      </c>
      <c r="AJ1025" s="513" t="str">
        <f t="shared" ca="1" si="730"/>
        <v/>
      </c>
      <c r="AK1025" s="700" t="str">
        <f t="shared" si="731"/>
        <v/>
      </c>
      <c r="AL1025" s="700"/>
      <c r="AM1025" s="505" t="str">
        <f t="shared" si="732"/>
        <v/>
      </c>
      <c r="AN1025" s="506"/>
      <c r="AO1025" s="507"/>
      <c r="AP1025" s="507"/>
      <c r="AQ1025" s="507"/>
      <c r="AR1025" s="507"/>
      <c r="AS1025" s="507"/>
      <c r="AT1025" s="507"/>
      <c r="AU1025" s="507"/>
      <c r="AV1025" s="225"/>
      <c r="AW1025" s="508"/>
      <c r="AX1025" s="225"/>
      <c r="AY1025" s="225"/>
      <c r="AZ1025" s="225"/>
      <c r="BA1025" s="225"/>
      <c r="BB1025" s="225"/>
      <c r="BC1025" s="56"/>
      <c r="BD1025" s="56"/>
      <c r="BE1025" s="56"/>
      <c r="BF1025" s="107" t="str">
        <f t="shared" si="733"/>
        <v>https://www.google.com/search?tbm=isch&amp;q=15%20G4</v>
      </c>
      <c r="BG1025" s="107" t="str">
        <f t="shared" si="734"/>
        <v>D</v>
      </c>
      <c r="BH1025" s="254"/>
      <c r="BI1025" s="254"/>
    </row>
    <row r="1026" spans="1:61" customFormat="1" ht="16.5" thickBot="1" x14ac:dyDescent="0.3">
      <c r="A1026" s="522" t="s">
        <v>2370</v>
      </c>
      <c r="B1026" s="491"/>
      <c r="C1026" s="675"/>
      <c r="D1026" s="491"/>
      <c r="E1026" s="491"/>
      <c r="F1026" s="492"/>
      <c r="G1026" s="493"/>
      <c r="H1026" s="491"/>
      <c r="I1026" s="234"/>
      <c r="J1026" s="234"/>
      <c r="K1026" s="494"/>
      <c r="L1026" s="543"/>
      <c r="M1026" s="561"/>
      <c r="N1026" s="495"/>
      <c r="O1026" s="496"/>
      <c r="P1026" s="497"/>
      <c r="Q1026" s="495"/>
      <c r="R1026" s="495"/>
      <c r="S1026" s="277"/>
      <c r="T1026" s="508">
        <f t="shared" si="722"/>
        <v>0</v>
      </c>
      <c r="U1026" s="225" t="str">
        <f>IF(NOT(ISNUMBER(G1026)), "", VLOOKUP(A1026,'Discount Lookup'!D:E,2,FALSE)*G1026)</f>
        <v/>
      </c>
      <c r="V1026" s="225" t="str">
        <f>IF(NOT(ISNUMBER(G1026)), "", VLOOKUP(A1026,'Discount Lookup'!G:H,2,FALSE)*G1026)</f>
        <v/>
      </c>
      <c r="W1026" s="508">
        <f t="shared" si="723"/>
        <v>0</v>
      </c>
      <c r="X1026" s="508">
        <f t="shared" si="724"/>
        <v>0</v>
      </c>
      <c r="Y1026" s="509" t="b">
        <f t="shared" si="725"/>
        <v>0</v>
      </c>
      <c r="Z1026" s="510">
        <f t="shared" si="726"/>
        <v>0</v>
      </c>
      <c r="AA1026" s="511"/>
      <c r="AB1026" s="511" t="str">
        <f t="shared" si="727"/>
        <v/>
      </c>
      <c r="AC1026" s="698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698"/>
      <c r="AE1026" s="631" t="str">
        <f t="shared" si="728"/>
        <v/>
      </c>
      <c r="AF1026" s="699" t="str">
        <f t="shared" si="729"/>
        <v/>
      </c>
      <c r="AG1026" s="699"/>
      <c r="AH1026" s="699"/>
      <c r="AI1026" s="512">
        <f>IF(H1026="credit",0,IF(AE1026="free",0,IF(AE1026="me",0,IF(G1026&gt;0,(VLOOKUP(A1026,'Discount Lookup'!J:K,2)*G1026),0))))</f>
        <v>0</v>
      </c>
      <c r="AJ1026" s="513" t="str">
        <f t="shared" ca="1" si="730"/>
        <v/>
      </c>
      <c r="AK1026" s="700" t="str">
        <f t="shared" si="731"/>
        <v/>
      </c>
      <c r="AL1026" s="700"/>
      <c r="AM1026" s="505" t="str">
        <f t="shared" si="732"/>
        <v/>
      </c>
      <c r="AN1026" s="506"/>
      <c r="AO1026" s="507"/>
      <c r="AP1026" s="507"/>
      <c r="AQ1026" s="507"/>
      <c r="AR1026" s="507"/>
      <c r="AS1026" s="507"/>
      <c r="AT1026" s="507"/>
      <c r="AU1026" s="507"/>
      <c r="AV1026" s="225"/>
      <c r="AW1026" s="508"/>
      <c r="AX1026" s="225"/>
      <c r="AY1026" s="225"/>
      <c r="AZ1026" s="225"/>
      <c r="BA1026" s="225"/>
      <c r="BB1026" s="225"/>
      <c r="BC1026" s="56"/>
      <c r="BD1026" s="56"/>
      <c r="BE1026" s="56"/>
      <c r="BF1026" s="107" t="str">
        <f t="shared" si="733"/>
        <v>https://www.google.com/search?tbm=isch&amp;q=DeGroot%27s%20is%20indeed%20like%20a%20Spire%2C%20with%20just%20a%203%27%20width%20if%20maintained%20as%20a%20Single%20Stem.%20And%20lovely%20whorled%20foliage%21%20</v>
      </c>
      <c r="BG1026" s="107" t="str">
        <f t="shared" si="734"/>
        <v>D</v>
      </c>
      <c r="BH1026" s="254"/>
      <c r="BI1026" s="254"/>
    </row>
    <row r="1027" spans="1:61" customFormat="1" ht="18" x14ac:dyDescent="0.25">
      <c r="A1027" s="521" t="s">
        <v>759</v>
      </c>
      <c r="B1027" s="477"/>
      <c r="C1027" s="674"/>
      <c r="D1027" s="478" t="s">
        <v>760</v>
      </c>
      <c r="E1027" s="479"/>
      <c r="F1027" s="479"/>
      <c r="G1027" s="479"/>
      <c r="H1027" s="582" t="s">
        <v>441</v>
      </c>
      <c r="I1027" s="480" t="s">
        <v>2579</v>
      </c>
      <c r="J1027" s="479"/>
      <c r="K1027" s="479"/>
      <c r="L1027" s="560"/>
      <c r="M1027" s="671" t="s">
        <v>4990</v>
      </c>
      <c r="N1027" s="680" t="str">
        <f>IF(AND(ISTEXT($A1027), ISERROR($A1027+0)), HYPERLINK($BF1027, "Images"), "")</f>
        <v>Images</v>
      </c>
      <c r="O1027" s="662" t="s">
        <v>4974</v>
      </c>
      <c r="P1027" s="482"/>
      <c r="Q1027" s="483"/>
      <c r="R1027" s="483"/>
      <c r="S1027" s="484"/>
      <c r="T1027" s="508">
        <f t="shared" si="722"/>
        <v>0</v>
      </c>
      <c r="U1027" s="225" t="str">
        <f>IF(NOT(ISNUMBER(G1027)), "", VLOOKUP(A1027,'Discount Lookup'!D:E,2,FALSE)*G1027)</f>
        <v/>
      </c>
      <c r="V1027" s="225" t="str">
        <f>IF(NOT(ISNUMBER(G1027)), "", VLOOKUP(A1027,'Discount Lookup'!G:H,2,FALSE)*G1027)</f>
        <v/>
      </c>
      <c r="W1027" s="508">
        <f t="shared" si="723"/>
        <v>0</v>
      </c>
      <c r="X1027" s="508" t="str">
        <f t="shared" si="724"/>
        <v>pure White bloom</v>
      </c>
      <c r="Y1027" s="509" t="b">
        <f t="shared" si="725"/>
        <v>0</v>
      </c>
      <c r="Z1027" s="510">
        <f t="shared" si="726"/>
        <v>0</v>
      </c>
      <c r="AA1027" s="511"/>
      <c r="AB1027" s="511" t="str">
        <f t="shared" si="727"/>
        <v/>
      </c>
      <c r="AC1027" s="698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698"/>
      <c r="AE1027" s="631" t="str">
        <f t="shared" si="728"/>
        <v/>
      </c>
      <c r="AF1027" s="699" t="str">
        <f t="shared" si="729"/>
        <v/>
      </c>
      <c r="AG1027" s="699"/>
      <c r="AH1027" s="699"/>
      <c r="AI1027" s="512">
        <f>IF(H1027="credit",0,IF(AE1027="free",0,IF(AE1027="me",0,IF(G1027&gt;0,(VLOOKUP(A1027,'Discount Lookup'!J:K,2)*G1027),0))))</f>
        <v>0</v>
      </c>
      <c r="AJ1027" s="513" t="str">
        <f t="shared" ca="1" si="730"/>
        <v/>
      </c>
      <c r="AK1027" s="700" t="str">
        <f t="shared" si="731"/>
        <v/>
      </c>
      <c r="AL1027" s="700"/>
      <c r="AM1027" s="505" t="str">
        <f t="shared" si="732"/>
        <v/>
      </c>
      <c r="AN1027" s="506"/>
      <c r="AO1027" s="507"/>
      <c r="AP1027" s="507"/>
      <c r="AQ1027" s="507"/>
      <c r="AR1027" s="507"/>
      <c r="AS1027" s="507"/>
      <c r="AT1027" s="507"/>
      <c r="AU1027" s="507"/>
      <c r="AV1027" s="225"/>
      <c r="AW1027" s="508"/>
      <c r="AX1027" s="225"/>
      <c r="AY1027" s="225"/>
      <c r="AZ1027" s="225"/>
      <c r="BA1027" s="225"/>
      <c r="BB1027" s="225"/>
      <c r="BC1027" s="56"/>
      <c r="BD1027" s="56"/>
      <c r="BE1027" s="56"/>
      <c r="BF1027" s="107" t="str">
        <f t="shared" si="733"/>
        <v>https://www.google.com/search?tbm=isch&amp;q=Delaware%20Valley%20White%20Azalea%20Rhod.%20%27Delaware%20Valley%20White%27</v>
      </c>
      <c r="BG1027" s="107" t="str">
        <f t="shared" si="734"/>
        <v>D</v>
      </c>
      <c r="BH1027" s="254"/>
      <c r="BI1027" s="254"/>
    </row>
    <row r="1028" spans="1:61" customFormat="1" ht="15.75" x14ac:dyDescent="0.25">
      <c r="A1028" s="485">
        <v>3</v>
      </c>
      <c r="B1028" s="486" t="s">
        <v>291</v>
      </c>
      <c r="C1028" s="487"/>
      <c r="D1028" s="488" t="s">
        <v>298</v>
      </c>
      <c r="E1028" s="489">
        <v>25.95</v>
      </c>
      <c r="F1028" s="516" t="s">
        <v>293</v>
      </c>
      <c r="G1028" s="232">
        <v>0</v>
      </c>
      <c r="H1028" s="658" t="str">
        <f>IF(G1028=0,"",IF(F1028="Buy",IF(G1028=1,"plant","plants"),IF(F1028&gt;0.01,"warranty","Error")))</f>
        <v/>
      </c>
      <c r="I1028" s="490">
        <f>IF(H1028="free",0,IF(H1028="credit",((E1028*(F1028))*G1028*-1),IF(F1028="Buy",(E1028*G1028),((E1028*(1-F1028))*G1028))))</f>
        <v>0</v>
      </c>
      <c r="J1028" s="490">
        <f>IF(H1028="warranty",0,(I1028*(_xlfn.SINGLE(SalesTaxPercentage))))</f>
        <v>0</v>
      </c>
      <c r="K1028" s="695">
        <f t="shared" ref="K1028" si="770">I1028+J1028</f>
        <v>0</v>
      </c>
      <c r="L1028" s="695"/>
      <c r="M1028" s="659" t="str">
        <f>IF(AND(G1028&gt;0,E1028=0),"WARNING - no PRICE inserted",IF(H1028="free"," FREE ~ no charge this plant",IF(H1028="credit",CONCATENATE(" -$",ROUND(K1028*(1-T2GDiscount)*-1,2)," CREDIT after discount"),IF(T2GDiscount=0,"",IF(G1028=0,"",IF(F1028="Buy",CONCATENATE(" $",ROUND(K1028*(1-T2GDiscount),2)," with ",(T2GDiscount*100),"% discount"),CONCATENATE(" $",ROUND(K1028*(1-T2GDiscount),2)," with ",((T2GDiscount*100+F1028*100)-(T2GDiscount*100*F1028)),IF(F1028&gt;0,"% discounts",IF(NoWarrantyDiscount&gt;0,"% discounts","% discount")))))))))</f>
        <v/>
      </c>
      <c r="N1028" s="660"/>
      <c r="O1028" s="233"/>
      <c r="P1028" s="233"/>
      <c r="Q1028" s="233"/>
      <c r="R1028" s="233"/>
      <c r="S1028" s="233"/>
      <c r="T1028" s="508">
        <f t="shared" si="722"/>
        <v>0</v>
      </c>
      <c r="U1028" s="225">
        <f>IF(NOT(ISNUMBER(G1028)), "", VLOOKUP(A1028,'Discount Lookup'!D:E,2,FALSE)*G1028)</f>
        <v>0</v>
      </c>
      <c r="V1028" s="225">
        <f>IF(NOT(ISNUMBER(G1028)), "", VLOOKUP(A1028,'Discount Lookup'!G:H,2,FALSE)*G1028)</f>
        <v>0</v>
      </c>
      <c r="W1028" s="508">
        <f t="shared" si="723"/>
        <v>0</v>
      </c>
      <c r="X1028" s="508">
        <f t="shared" si="724"/>
        <v>0</v>
      </c>
      <c r="Y1028" s="509" t="b">
        <f t="shared" si="725"/>
        <v>0</v>
      </c>
      <c r="Z1028" s="510">
        <f t="shared" si="726"/>
        <v>0</v>
      </c>
      <c r="AA1028" s="511"/>
      <c r="AB1028" s="511" t="str">
        <f t="shared" si="727"/>
        <v/>
      </c>
      <c r="AC1028" s="698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698"/>
      <c r="AE1028" s="631" t="str">
        <f t="shared" si="728"/>
        <v/>
      </c>
      <c r="AF1028" s="699" t="str">
        <f t="shared" si="729"/>
        <v/>
      </c>
      <c r="AG1028" s="699"/>
      <c r="AH1028" s="699"/>
      <c r="AI1028" s="512">
        <f>IF(H1028="credit",0,IF(AE1028="free",0,IF(AE1028="me",0,IF(G1028&gt;0,(VLOOKUP(A1028,'Discount Lookup'!J:K,2)*G1028),0))))</f>
        <v>0</v>
      </c>
      <c r="AJ1028" s="513" t="str">
        <f t="shared" ca="1" si="730"/>
        <v/>
      </c>
      <c r="AK1028" s="700" t="str">
        <f t="shared" si="731"/>
        <v/>
      </c>
      <c r="AL1028" s="700"/>
      <c r="AM1028" s="505" t="str">
        <f t="shared" si="732"/>
        <v/>
      </c>
      <c r="AN1028" s="506"/>
      <c r="AO1028" s="507"/>
      <c r="AP1028" s="507"/>
      <c r="AQ1028" s="507"/>
      <c r="AR1028" s="507"/>
      <c r="AS1028" s="507"/>
      <c r="AT1028" s="507"/>
      <c r="AU1028" s="507"/>
      <c r="AV1028" s="225"/>
      <c r="AW1028" s="508"/>
      <c r="AX1028" s="225"/>
      <c r="AY1028" s="225"/>
      <c r="AZ1028" s="225"/>
      <c r="BA1028" s="225"/>
      <c r="BB1028" s="225"/>
      <c r="BC1028" s="56"/>
      <c r="BD1028" s="56"/>
      <c r="BE1028" s="56"/>
      <c r="BF1028" s="107" t="str">
        <f t="shared" si="733"/>
        <v>https://www.google.com/search?tbm=isch&amp;q=3%20G1</v>
      </c>
      <c r="BG1028" s="107" t="str">
        <f t="shared" si="734"/>
        <v>D</v>
      </c>
      <c r="BH1028" s="254"/>
      <c r="BI1028" s="254"/>
    </row>
    <row r="1029" spans="1:61" customFormat="1" ht="15.75" x14ac:dyDescent="0.25">
      <c r="A1029" s="485">
        <v>3</v>
      </c>
      <c r="B1029" s="486" t="s">
        <v>291</v>
      </c>
      <c r="C1029" s="487" t="s">
        <v>4500</v>
      </c>
      <c r="D1029" s="488" t="s">
        <v>300</v>
      </c>
      <c r="E1029" s="489">
        <v>45.95</v>
      </c>
      <c r="F1029" s="516" t="s">
        <v>293</v>
      </c>
      <c r="G1029" s="232">
        <v>0</v>
      </c>
      <c r="H1029" s="658" t="str">
        <f>IF(G1029=0,"",IF(F1029="Buy",IF(G1029=1,"plant","plants"),IF(F1029&gt;0.01,"warranty","Error")))</f>
        <v/>
      </c>
      <c r="I1029" s="490">
        <f>IF(H1029="free",0,IF(H1029="credit",((E1029*(F1029))*G1029*-1),IF(F1029="Buy",(E1029*G1029),((E1029*(1-F1029))*G1029))))</f>
        <v>0</v>
      </c>
      <c r="J1029" s="490">
        <f>IF(H1029="warranty",0,(I1029*(_xlfn.SINGLE(SalesTaxPercentage))))</f>
        <v>0</v>
      </c>
      <c r="K1029" s="695">
        <f t="shared" ref="K1029" si="771">I1029+J1029</f>
        <v>0</v>
      </c>
      <c r="L1029" s="695"/>
      <c r="M1029" s="659" t="str">
        <f>IF(AND(G1029&gt;0,E1029=0),"WARNING - no PRICE inserted",IF(H1029="free"," FREE ~ no charge this plant",IF(H1029="credit",CONCATENATE(" -$",ROUND(K1029*(1-T2GDiscount)*-1,2)," CREDIT after discount"),IF(T2GDiscount=0,"",IF(G1029=0,"",IF(F1029="Buy",CONCATENATE(" $",ROUND(K1029*(1-T2GDiscount),2)," with ",(T2GDiscount*100),"% discount"),CONCATENATE(" $",ROUND(K1029*(1-T2GDiscount),2)," with ",((T2GDiscount*100+F1029*100)-(T2GDiscount*100*F1029)),IF(F1029&gt;0,"% discounts",IF(NoWarrantyDiscount&gt;0,"% discounts","% discount")))))))))</f>
        <v/>
      </c>
      <c r="N1029" s="660"/>
      <c r="O1029" s="233"/>
      <c r="P1029" s="233"/>
      <c r="Q1029" s="233"/>
      <c r="R1029" s="233"/>
      <c r="S1029" s="233"/>
      <c r="T1029" s="508">
        <f t="shared" si="722"/>
        <v>0</v>
      </c>
      <c r="U1029" s="225">
        <f>IF(NOT(ISNUMBER(G1029)), "", VLOOKUP(A1029,'Discount Lookup'!D:E,2,FALSE)*G1029)</f>
        <v>0</v>
      </c>
      <c r="V1029" s="225">
        <f>IF(NOT(ISNUMBER(G1029)), "", VLOOKUP(A1029,'Discount Lookup'!G:H,2,FALSE)*G1029)</f>
        <v>0</v>
      </c>
      <c r="W1029" s="508">
        <f t="shared" si="723"/>
        <v>0</v>
      </c>
      <c r="X1029" s="508">
        <f t="shared" si="724"/>
        <v>0</v>
      </c>
      <c r="Y1029" s="509" t="b">
        <f t="shared" si="725"/>
        <v>0</v>
      </c>
      <c r="Z1029" s="510">
        <f t="shared" si="726"/>
        <v>0</v>
      </c>
      <c r="AA1029" s="511"/>
      <c r="AB1029" s="511" t="str">
        <f t="shared" si="727"/>
        <v/>
      </c>
      <c r="AC1029" s="698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698"/>
      <c r="AE1029" s="631" t="str">
        <f t="shared" si="728"/>
        <v/>
      </c>
      <c r="AF1029" s="699" t="str">
        <f t="shared" si="729"/>
        <v/>
      </c>
      <c r="AG1029" s="699"/>
      <c r="AH1029" s="699"/>
      <c r="AI1029" s="512">
        <f>IF(H1029="credit",0,IF(AE1029="free",0,IF(AE1029="me",0,IF(G1029&gt;0,(VLOOKUP(A1029,'Discount Lookup'!J:K,2)*G1029),0))))</f>
        <v>0</v>
      </c>
      <c r="AJ1029" s="513" t="str">
        <f t="shared" ca="1" si="730"/>
        <v/>
      </c>
      <c r="AK1029" s="700" t="str">
        <f t="shared" si="731"/>
        <v/>
      </c>
      <c r="AL1029" s="700"/>
      <c r="AM1029" s="505" t="str">
        <f t="shared" si="732"/>
        <v/>
      </c>
      <c r="AN1029" s="506"/>
      <c r="AO1029" s="507"/>
      <c r="AP1029" s="507"/>
      <c r="AQ1029" s="507"/>
      <c r="AR1029" s="507"/>
      <c r="AS1029" s="507"/>
      <c r="AT1029" s="507"/>
      <c r="AU1029" s="507"/>
      <c r="AV1029" s="225"/>
      <c r="AW1029" s="508"/>
      <c r="AX1029" s="225"/>
      <c r="AY1029" s="225"/>
      <c r="AZ1029" s="225"/>
      <c r="BA1029" s="225"/>
      <c r="BB1029" s="225"/>
      <c r="BC1029" s="56"/>
      <c r="BD1029" s="56"/>
      <c r="BE1029" s="56"/>
      <c r="BF1029" s="107" t="str">
        <f t="shared" si="733"/>
        <v>https://www.google.com/search?tbm=isch&amp;q=3%20G6</v>
      </c>
      <c r="BG1029" s="107" t="str">
        <f t="shared" si="734"/>
        <v>D</v>
      </c>
      <c r="BH1029" s="254"/>
      <c r="BI1029" s="254"/>
    </row>
    <row r="1030" spans="1:61" customFormat="1" ht="17.25" thickBot="1" x14ac:dyDescent="0.3">
      <c r="A1030" s="522" t="s">
        <v>2562</v>
      </c>
      <c r="B1030" s="491"/>
      <c r="C1030" s="675"/>
      <c r="D1030" s="491"/>
      <c r="E1030" s="491"/>
      <c r="F1030" s="492"/>
      <c r="G1030" s="493"/>
      <c r="H1030" s="491"/>
      <c r="I1030" s="234"/>
      <c r="J1030" s="234"/>
      <c r="K1030" s="494"/>
      <c r="L1030" s="543"/>
      <c r="M1030" s="561"/>
      <c r="N1030" s="495"/>
      <c r="O1030" s="496"/>
      <c r="P1030" s="497"/>
      <c r="Q1030" s="495"/>
      <c r="R1030" s="495"/>
      <c r="S1030" s="667" t="s">
        <v>5006</v>
      </c>
      <c r="T1030" s="508">
        <f t="shared" si="722"/>
        <v>0</v>
      </c>
      <c r="U1030" s="225" t="str">
        <f>IF(NOT(ISNUMBER(G1030)), "", VLOOKUP(A1030,'Discount Lookup'!D:E,2,FALSE)*G1030)</f>
        <v/>
      </c>
      <c r="V1030" s="225" t="str">
        <f>IF(NOT(ISNUMBER(G1030)), "", VLOOKUP(A1030,'Discount Lookup'!G:H,2,FALSE)*G1030)</f>
        <v/>
      </c>
      <c r="W1030" s="508">
        <f t="shared" si="723"/>
        <v>0</v>
      </c>
      <c r="X1030" s="508">
        <f t="shared" si="724"/>
        <v>0</v>
      </c>
      <c r="Y1030" s="509" t="b">
        <f t="shared" si="725"/>
        <v>0</v>
      </c>
      <c r="Z1030" s="510">
        <f t="shared" si="726"/>
        <v>0</v>
      </c>
      <c r="AA1030" s="511"/>
      <c r="AB1030" s="511" t="str">
        <f t="shared" si="727"/>
        <v/>
      </c>
      <c r="AC1030" s="698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698"/>
      <c r="AE1030" s="631" t="str">
        <f t="shared" si="728"/>
        <v/>
      </c>
      <c r="AF1030" s="699" t="str">
        <f t="shared" si="729"/>
        <v/>
      </c>
      <c r="AG1030" s="699"/>
      <c r="AH1030" s="699"/>
      <c r="AI1030" s="512">
        <f>IF(H1030="credit",0,IF(AE1030="free",0,IF(AE1030="me",0,IF(G1030&gt;0,(VLOOKUP(A1030,'Discount Lookup'!J:K,2)*G1030),0))))</f>
        <v>0</v>
      </c>
      <c r="AJ1030" s="513" t="str">
        <f t="shared" ca="1" si="730"/>
        <v/>
      </c>
      <c r="AK1030" s="700" t="str">
        <f t="shared" si="731"/>
        <v/>
      </c>
      <c r="AL1030" s="700"/>
      <c r="AM1030" s="505" t="str">
        <f t="shared" si="732"/>
        <v/>
      </c>
      <c r="AN1030" s="506"/>
      <c r="AO1030" s="507"/>
      <c r="AP1030" s="507"/>
      <c r="AQ1030" s="507"/>
      <c r="AR1030" s="507"/>
      <c r="AS1030" s="507"/>
      <c r="AT1030" s="507"/>
      <c r="AU1030" s="507"/>
      <c r="AV1030" s="225"/>
      <c r="AW1030" s="508"/>
      <c r="AX1030" s="225"/>
      <c r="AY1030" s="225"/>
      <c r="AZ1030" s="225"/>
      <c r="BA1030" s="225"/>
      <c r="BB1030" s="225"/>
      <c r="BC1030" s="56"/>
      <c r="BD1030" s="56"/>
      <c r="BE1030" s="56"/>
      <c r="BF1030" s="107" t="str">
        <f t="shared" si="733"/>
        <v>https://www.google.com/search?tbm=isch&amp;q=Delaware%20Valley%20White%20Azalea%20offers%20pristine%20spring%20blooms%20and%20attractive%20green%20foliage%20</v>
      </c>
      <c r="BG1030" s="107" t="str">
        <f t="shared" si="734"/>
        <v>D</v>
      </c>
      <c r="BH1030" s="254"/>
      <c r="BI1030" s="254"/>
    </row>
    <row r="1031" spans="1:61" customFormat="1" ht="18" x14ac:dyDescent="0.25">
      <c r="A1031" s="521" t="s">
        <v>761</v>
      </c>
      <c r="B1031" s="477"/>
      <c r="C1031" s="674"/>
      <c r="D1031" s="478" t="s">
        <v>762</v>
      </c>
      <c r="E1031" s="479"/>
      <c r="F1031" s="479"/>
      <c r="G1031" s="479"/>
      <c r="H1031" s="582" t="s">
        <v>1044</v>
      </c>
      <c r="I1031" s="480" t="s">
        <v>2290</v>
      </c>
      <c r="J1031" s="479"/>
      <c r="K1031" s="479"/>
      <c r="L1031" s="560"/>
      <c r="M1031" s="666" t="s">
        <v>4963</v>
      </c>
      <c r="N1031" s="680" t="str">
        <f>IF(AND(ISTEXT($A1031), ISERROR($A1031+0)), HYPERLINK($BF1031, "Images"), "")</f>
        <v>Images</v>
      </c>
      <c r="O1031" s="662" t="s">
        <v>4967</v>
      </c>
      <c r="P1031" s="482"/>
      <c r="Q1031" s="483"/>
      <c r="R1031" s="483"/>
      <c r="S1031" s="484"/>
      <c r="T1031" s="508">
        <f t="shared" si="722"/>
        <v>0</v>
      </c>
      <c r="U1031" s="225" t="str">
        <f>IF(NOT(ISNUMBER(G1031)), "", VLOOKUP(A1031,'Discount Lookup'!D:E,2,FALSE)*G1031)</f>
        <v/>
      </c>
      <c r="V1031" s="225" t="str">
        <f>IF(NOT(ISNUMBER(G1031)), "", VLOOKUP(A1031,'Discount Lookup'!G:H,2,FALSE)*G1031)</f>
        <v/>
      </c>
      <c r="W1031" s="508">
        <f t="shared" si="723"/>
        <v>0</v>
      </c>
      <c r="X1031" s="508" t="str">
        <f t="shared" si="724"/>
        <v>Blue-Gray-Green needles</v>
      </c>
      <c r="Y1031" s="509" t="b">
        <f t="shared" si="725"/>
        <v>0</v>
      </c>
      <c r="Z1031" s="510">
        <f t="shared" si="726"/>
        <v>0</v>
      </c>
      <c r="AA1031" s="511"/>
      <c r="AB1031" s="511" t="str">
        <f t="shared" si="727"/>
        <v/>
      </c>
      <c r="AC1031" s="698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698"/>
      <c r="AE1031" s="631" t="str">
        <f t="shared" si="728"/>
        <v/>
      </c>
      <c r="AF1031" s="699" t="str">
        <f t="shared" si="729"/>
        <v/>
      </c>
      <c r="AG1031" s="699"/>
      <c r="AH1031" s="699"/>
      <c r="AI1031" s="512">
        <f>IF(H1031="credit",0,IF(AE1031="free",0,IF(AE1031="me",0,IF(G1031&gt;0,(VLOOKUP(A1031,'Discount Lookup'!J:K,2)*G1031),0))))</f>
        <v>0</v>
      </c>
      <c r="AJ1031" s="513" t="str">
        <f t="shared" ca="1" si="730"/>
        <v/>
      </c>
      <c r="AK1031" s="700" t="str">
        <f t="shared" si="731"/>
        <v/>
      </c>
      <c r="AL1031" s="700"/>
      <c r="AM1031" s="505" t="str">
        <f t="shared" si="732"/>
        <v/>
      </c>
      <c r="AN1031" s="506"/>
      <c r="AO1031" s="507"/>
      <c r="AP1031" s="507"/>
      <c r="AQ1031" s="507"/>
      <c r="AR1031" s="507"/>
      <c r="AS1031" s="507"/>
      <c r="AT1031" s="507"/>
      <c r="AU1031" s="507"/>
      <c r="AV1031" s="225"/>
      <c r="AW1031" s="508"/>
      <c r="AX1031" s="225"/>
      <c r="AY1031" s="225"/>
      <c r="AZ1031" s="225"/>
      <c r="BA1031" s="225"/>
      <c r="BB1031" s="225"/>
      <c r="BC1031" s="56"/>
      <c r="BD1031" s="56"/>
      <c r="BE1031" s="56"/>
      <c r="BF1031" s="107" t="str">
        <f t="shared" si="733"/>
        <v>https://www.google.com/search?tbm=isch&amp;q=Deodar%20Cedar%20Cedrus%20deodara</v>
      </c>
      <c r="BG1031" s="107" t="str">
        <f t="shared" si="734"/>
        <v>D</v>
      </c>
      <c r="BH1031" s="254"/>
      <c r="BI1031" s="254"/>
    </row>
    <row r="1032" spans="1:61" customFormat="1" ht="27" x14ac:dyDescent="0.25">
      <c r="A1032" s="485">
        <v>7</v>
      </c>
      <c r="B1032" s="486" t="s">
        <v>291</v>
      </c>
      <c r="C1032" s="487" t="s">
        <v>4662</v>
      </c>
      <c r="D1032" s="488" t="s">
        <v>292</v>
      </c>
      <c r="E1032" s="489">
        <v>104.95</v>
      </c>
      <c r="F1032" s="516" t="s">
        <v>293</v>
      </c>
      <c r="G1032" s="232">
        <v>0</v>
      </c>
      <c r="H1032" s="658" t="str">
        <f>IF(G1032=0,"",IF(F1032="Buy",IF(G1032=1,"plant","plants"),IF(F1032&gt;0.01,"warranty","Error")))</f>
        <v/>
      </c>
      <c r="I1032" s="490">
        <f>IF(H1032="free",0,IF(H1032="credit",((E1032*(F1032))*G1032*-1),IF(F1032="Buy",(E1032*G1032),((E1032*(1-F1032))*G1032))))</f>
        <v>0</v>
      </c>
      <c r="J1032" s="490">
        <f>IF(H1032="warranty",0,(I1032*(_xlfn.SINGLE(SalesTaxPercentage))))</f>
        <v>0</v>
      </c>
      <c r="K1032" s="695">
        <f t="shared" ref="K1032" si="772">I1032+J1032</f>
        <v>0</v>
      </c>
      <c r="L1032" s="695"/>
      <c r="M1032" s="659" t="str">
        <f>IF(AND(G1032&gt;0,E1032=0),"WARNING - no PRICE inserted",IF(H1032="free"," FREE ~ no charge this plant",IF(H1032="credit",CONCATENATE(" -$",ROUND(K1032*(1-T2GDiscount)*-1,2)," CREDIT after discount"),IF(T2GDiscount=0,"",IF(G1032=0,"",IF(F1032="Buy",CONCATENATE(" $",ROUND(K1032*(1-T2GDiscount),2)," with ",(T2GDiscount*100),"% discount"),CONCATENATE(" $",ROUND(K1032*(1-T2GDiscount),2)," with ",((T2GDiscount*100+F1032*100)-(T2GDiscount*100*F1032)),IF(F1032&gt;0,"% discounts",IF(NoWarrantyDiscount&gt;0,"% discounts","% discount")))))))))</f>
        <v/>
      </c>
      <c r="N1032" s="660"/>
      <c r="O1032" s="233"/>
      <c r="P1032" s="233"/>
      <c r="Q1032" s="233"/>
      <c r="R1032" s="233"/>
      <c r="S1032" s="233"/>
      <c r="T1032" s="508">
        <f t="shared" si="722"/>
        <v>0</v>
      </c>
      <c r="U1032" s="225">
        <f>IF(NOT(ISNUMBER(G1032)), "", VLOOKUP(A1032,'Discount Lookup'!D:E,2,FALSE)*G1032)</f>
        <v>0</v>
      </c>
      <c r="V1032" s="225">
        <f>IF(NOT(ISNUMBER(G1032)), "", VLOOKUP(A1032,'Discount Lookup'!G:H,2,FALSE)*G1032)</f>
        <v>0</v>
      </c>
      <c r="W1032" s="508">
        <f t="shared" si="723"/>
        <v>0</v>
      </c>
      <c r="X1032" s="508">
        <f t="shared" si="724"/>
        <v>0</v>
      </c>
      <c r="Y1032" s="509" t="b">
        <f t="shared" si="725"/>
        <v>0</v>
      </c>
      <c r="Z1032" s="510">
        <f t="shared" si="726"/>
        <v>0</v>
      </c>
      <c r="AA1032" s="511"/>
      <c r="AB1032" s="511" t="str">
        <f t="shared" si="727"/>
        <v/>
      </c>
      <c r="AC1032" s="698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698"/>
      <c r="AE1032" s="631" t="str">
        <f t="shared" si="728"/>
        <v/>
      </c>
      <c r="AF1032" s="699" t="str">
        <f t="shared" si="729"/>
        <v/>
      </c>
      <c r="AG1032" s="699"/>
      <c r="AH1032" s="699"/>
      <c r="AI1032" s="512">
        <f>IF(H1032="credit",0,IF(AE1032="free",0,IF(AE1032="me",0,IF(G1032&gt;0,(VLOOKUP(A1032,'Discount Lookup'!J:K,2)*G1032),0))))</f>
        <v>0</v>
      </c>
      <c r="AJ1032" s="513" t="str">
        <f t="shared" ca="1" si="730"/>
        <v/>
      </c>
      <c r="AK1032" s="700" t="str">
        <f t="shared" si="731"/>
        <v/>
      </c>
      <c r="AL1032" s="700"/>
      <c r="AM1032" s="505" t="str">
        <f t="shared" si="732"/>
        <v/>
      </c>
      <c r="AN1032" s="506"/>
      <c r="AO1032" s="507"/>
      <c r="AP1032" s="507"/>
      <c r="AQ1032" s="507"/>
      <c r="AR1032" s="507"/>
      <c r="AS1032" s="507"/>
      <c r="AT1032" s="507"/>
      <c r="AU1032" s="507"/>
      <c r="AV1032" s="225"/>
      <c r="AW1032" s="508"/>
      <c r="AX1032" s="225"/>
      <c r="AY1032" s="225"/>
      <c r="AZ1032" s="225"/>
      <c r="BA1032" s="225"/>
      <c r="BB1032" s="225"/>
      <c r="BC1032" s="56"/>
      <c r="BD1032" s="56"/>
      <c r="BE1032" s="56"/>
      <c r="BF1032" s="107" t="str">
        <f t="shared" si="733"/>
        <v>https://www.google.com/search?tbm=isch&amp;q=7%20G4</v>
      </c>
      <c r="BG1032" s="107" t="str">
        <f t="shared" si="734"/>
        <v>D</v>
      </c>
      <c r="BH1032" s="254"/>
      <c r="BI1032" s="254"/>
    </row>
    <row r="1033" spans="1:61" customFormat="1" ht="15.75" x14ac:dyDescent="0.25">
      <c r="A1033" s="485">
        <v>15</v>
      </c>
      <c r="B1033" s="486" t="s">
        <v>291</v>
      </c>
      <c r="C1033" s="487" t="s">
        <v>4753</v>
      </c>
      <c r="D1033" s="488" t="s">
        <v>292</v>
      </c>
      <c r="E1033" s="489">
        <v>187.95</v>
      </c>
      <c r="F1033" s="516" t="s">
        <v>293</v>
      </c>
      <c r="G1033" s="232">
        <v>0</v>
      </c>
      <c r="H1033" s="658" t="str">
        <f>IF(G1033=0,"",IF(F1033="Buy",IF(G1033=1,"plant","plants"),IF(F1033&gt;0.01,"warranty","Error")))</f>
        <v/>
      </c>
      <c r="I1033" s="490">
        <f>IF(H1033="free",0,IF(H1033="credit",((E1033*(F1033))*G1033*-1),IF(F1033="Buy",(E1033*G1033),((E1033*(1-F1033))*G1033))))</f>
        <v>0</v>
      </c>
      <c r="J1033" s="490">
        <f>IF(H1033="warranty",0,(I1033*(_xlfn.SINGLE(SalesTaxPercentage))))</f>
        <v>0</v>
      </c>
      <c r="K1033" s="695">
        <f t="shared" ref="K1033" si="773">I1033+J1033</f>
        <v>0</v>
      </c>
      <c r="L1033" s="695"/>
      <c r="M1033" s="659" t="str">
        <f>IF(AND(G1033&gt;0,E1033=0),"WARNING - no PRICE inserted",IF(H1033="free"," FREE ~ no charge this plant",IF(H1033="credit",CONCATENATE(" -$",ROUND(K1033*(1-T2GDiscount)*-1,2)," CREDIT after discount"),IF(T2GDiscount=0,"",IF(G1033=0,"",IF(F1033="Buy",CONCATENATE(" $",ROUND(K1033*(1-T2GDiscount),2)," with ",(T2GDiscount*100),"% discount"),CONCATENATE(" $",ROUND(K1033*(1-T2GDiscount),2)," with ",((T2GDiscount*100+F1033*100)-(T2GDiscount*100*F1033)),IF(F1033&gt;0,"% discounts",IF(NoWarrantyDiscount&gt;0,"% discounts","% discount")))))))))</f>
        <v/>
      </c>
      <c r="N1033" s="660"/>
      <c r="O1033" s="233"/>
      <c r="P1033" s="233"/>
      <c r="Q1033" s="233"/>
      <c r="R1033" s="233"/>
      <c r="S1033" s="233"/>
      <c r="T1033" s="508">
        <f t="shared" si="722"/>
        <v>0</v>
      </c>
      <c r="U1033" s="225">
        <f>IF(NOT(ISNUMBER(G1033)), "", VLOOKUP(A1033,'Discount Lookup'!D:E,2,FALSE)*G1033)</f>
        <v>0</v>
      </c>
      <c r="V1033" s="225">
        <f>IF(NOT(ISNUMBER(G1033)), "", VLOOKUP(A1033,'Discount Lookup'!G:H,2,FALSE)*G1033)</f>
        <v>0</v>
      </c>
      <c r="W1033" s="508">
        <f t="shared" si="723"/>
        <v>0</v>
      </c>
      <c r="X1033" s="508">
        <f t="shared" si="724"/>
        <v>0</v>
      </c>
      <c r="Y1033" s="509" t="b">
        <f t="shared" si="725"/>
        <v>0</v>
      </c>
      <c r="Z1033" s="510">
        <f t="shared" si="726"/>
        <v>0</v>
      </c>
      <c r="AA1033" s="511"/>
      <c r="AB1033" s="511" t="str">
        <f t="shared" si="727"/>
        <v/>
      </c>
      <c r="AC1033" s="698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698"/>
      <c r="AE1033" s="631" t="str">
        <f t="shared" si="728"/>
        <v/>
      </c>
      <c r="AF1033" s="699" t="str">
        <f t="shared" si="729"/>
        <v/>
      </c>
      <c r="AG1033" s="699"/>
      <c r="AH1033" s="699"/>
      <c r="AI1033" s="512">
        <f>IF(H1033="credit",0,IF(AE1033="free",0,IF(AE1033="me",0,IF(G1033&gt;0,(VLOOKUP(A1033,'Discount Lookup'!J:K,2)*G1033),0))))</f>
        <v>0</v>
      </c>
      <c r="AJ1033" s="513" t="str">
        <f t="shared" ca="1" si="730"/>
        <v/>
      </c>
      <c r="AK1033" s="700" t="str">
        <f t="shared" si="731"/>
        <v/>
      </c>
      <c r="AL1033" s="700"/>
      <c r="AM1033" s="505" t="str">
        <f t="shared" si="732"/>
        <v/>
      </c>
      <c r="AN1033" s="506"/>
      <c r="AO1033" s="507"/>
      <c r="AP1033" s="507"/>
      <c r="AQ1033" s="507"/>
      <c r="AR1033" s="507"/>
      <c r="AS1033" s="507"/>
      <c r="AT1033" s="507"/>
      <c r="AU1033" s="507"/>
      <c r="AV1033" s="225"/>
      <c r="AW1033" s="508"/>
      <c r="AX1033" s="225"/>
      <c r="AY1033" s="225"/>
      <c r="AZ1033" s="225"/>
      <c r="BA1033" s="225"/>
      <c r="BB1033" s="225"/>
      <c r="BC1033" s="56"/>
      <c r="BD1033" s="56"/>
      <c r="BE1033" s="56"/>
      <c r="BF1033" s="107" t="str">
        <f t="shared" si="733"/>
        <v>https://www.google.com/search?tbm=isch&amp;q=15%20G4</v>
      </c>
      <c r="BG1033" s="107" t="str">
        <f t="shared" si="734"/>
        <v>D</v>
      </c>
      <c r="BH1033" s="254"/>
      <c r="BI1033" s="254"/>
    </row>
    <row r="1034" spans="1:61" customFormat="1" ht="15.75" x14ac:dyDescent="0.25">
      <c r="A1034" s="485">
        <v>25</v>
      </c>
      <c r="B1034" s="486" t="s">
        <v>291</v>
      </c>
      <c r="C1034" s="487" t="s">
        <v>3418</v>
      </c>
      <c r="D1034" s="488" t="s">
        <v>292</v>
      </c>
      <c r="E1034" s="489">
        <v>332.95</v>
      </c>
      <c r="F1034" s="516" t="s">
        <v>293</v>
      </c>
      <c r="G1034" s="232">
        <v>0</v>
      </c>
      <c r="H1034" s="658" t="str">
        <f>IF(G1034=0,"",IF(F1034="Buy",IF(G1034=1,"plant","plants"),IF(F1034&gt;0.01,"warranty","Error")))</f>
        <v/>
      </c>
      <c r="I1034" s="490">
        <f>IF(H1034="free",0,IF(H1034="credit",((E1034*(F1034))*G1034*-1),IF(F1034="Buy",(E1034*G1034),((E1034*(1-F1034))*G1034))))</f>
        <v>0</v>
      </c>
      <c r="J1034" s="490">
        <f>IF(H1034="warranty",0,(I1034*(_xlfn.SINGLE(SalesTaxPercentage))))</f>
        <v>0</v>
      </c>
      <c r="K1034" s="695">
        <f t="shared" ref="K1034" si="774">I1034+J1034</f>
        <v>0</v>
      </c>
      <c r="L1034" s="695"/>
      <c r="M1034" s="659" t="str">
        <f>IF(AND(G1034&gt;0,E1034=0),"WARNING - no PRICE inserted",IF(H1034="free"," FREE ~ no charge this plant",IF(H1034="credit",CONCATENATE(" -$",ROUND(K1034*(1-T2GDiscount)*-1,2)," CREDIT after discount"),IF(T2GDiscount=0,"",IF(G1034=0,"",IF(F1034="Buy",CONCATENATE(" $",ROUND(K1034*(1-T2GDiscount),2)," with ",(T2GDiscount*100),"% discount"),CONCATENATE(" $",ROUND(K1034*(1-T2GDiscount),2)," with ",((T2GDiscount*100+F1034*100)-(T2GDiscount*100*F1034)),IF(F1034&gt;0,"% discounts",IF(NoWarrantyDiscount&gt;0,"% discounts","% discount")))))))))</f>
        <v/>
      </c>
      <c r="N1034" s="660"/>
      <c r="O1034" s="233"/>
      <c r="P1034" s="233"/>
      <c r="Q1034" s="233"/>
      <c r="R1034" s="233"/>
      <c r="S1034" s="233"/>
      <c r="T1034" s="508">
        <f t="shared" si="722"/>
        <v>0</v>
      </c>
      <c r="U1034" s="225">
        <f>IF(NOT(ISNUMBER(G1034)), "", VLOOKUP(A1034,'Discount Lookup'!D:E,2,FALSE)*G1034)</f>
        <v>0</v>
      </c>
      <c r="V1034" s="225">
        <f>IF(NOT(ISNUMBER(G1034)), "", VLOOKUP(A1034,'Discount Lookup'!G:H,2,FALSE)*G1034)</f>
        <v>0</v>
      </c>
      <c r="W1034" s="508">
        <f t="shared" si="723"/>
        <v>0</v>
      </c>
      <c r="X1034" s="508">
        <f t="shared" si="724"/>
        <v>0</v>
      </c>
      <c r="Y1034" s="509" t="b">
        <f t="shared" si="725"/>
        <v>0</v>
      </c>
      <c r="Z1034" s="510">
        <f t="shared" si="726"/>
        <v>0</v>
      </c>
      <c r="AA1034" s="511"/>
      <c r="AB1034" s="511" t="str">
        <f t="shared" si="727"/>
        <v/>
      </c>
      <c r="AC1034" s="698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698"/>
      <c r="AE1034" s="631" t="str">
        <f t="shared" si="728"/>
        <v/>
      </c>
      <c r="AF1034" s="699" t="str">
        <f t="shared" si="729"/>
        <v/>
      </c>
      <c r="AG1034" s="699"/>
      <c r="AH1034" s="699"/>
      <c r="AI1034" s="512">
        <f>IF(H1034="credit",0,IF(AE1034="free",0,IF(AE1034="me",0,IF(G1034&gt;0,(VLOOKUP(A1034,'Discount Lookup'!J:K,2)*G1034),0))))</f>
        <v>0</v>
      </c>
      <c r="AJ1034" s="513" t="str">
        <f t="shared" ca="1" si="730"/>
        <v/>
      </c>
      <c r="AK1034" s="700" t="str">
        <f t="shared" si="731"/>
        <v/>
      </c>
      <c r="AL1034" s="700"/>
      <c r="AM1034" s="505" t="str">
        <f t="shared" si="732"/>
        <v/>
      </c>
      <c r="AN1034" s="506"/>
      <c r="AO1034" s="507"/>
      <c r="AP1034" s="507"/>
      <c r="AQ1034" s="507"/>
      <c r="AR1034" s="507"/>
      <c r="AS1034" s="507"/>
      <c r="AT1034" s="507"/>
      <c r="AU1034" s="507"/>
      <c r="AV1034" s="225"/>
      <c r="AW1034" s="508"/>
      <c r="AX1034" s="225"/>
      <c r="AY1034" s="225"/>
      <c r="AZ1034" s="225"/>
      <c r="BA1034" s="225"/>
      <c r="BB1034" s="225"/>
      <c r="BC1034" s="56"/>
      <c r="BD1034" s="56"/>
      <c r="BE1034" s="56"/>
      <c r="BF1034" s="107" t="str">
        <f t="shared" si="733"/>
        <v>https://www.google.com/search?tbm=isch&amp;q=25%20G4</v>
      </c>
      <c r="BG1034" s="107" t="str">
        <f t="shared" si="734"/>
        <v>D</v>
      </c>
      <c r="BH1034" s="254"/>
      <c r="BI1034" s="254"/>
    </row>
    <row r="1035" spans="1:61" customFormat="1" ht="17.25" thickBot="1" x14ac:dyDescent="0.3">
      <c r="A1035" s="522" t="s">
        <v>2371</v>
      </c>
      <c r="B1035" s="491"/>
      <c r="C1035" s="675"/>
      <c r="D1035" s="491"/>
      <c r="E1035" s="491"/>
      <c r="F1035" s="492"/>
      <c r="G1035" s="493"/>
      <c r="H1035" s="491"/>
      <c r="I1035" s="234"/>
      <c r="J1035" s="234"/>
      <c r="K1035" s="494"/>
      <c r="L1035" s="543"/>
      <c r="M1035" s="561"/>
      <c r="N1035" s="495"/>
      <c r="O1035" s="496"/>
      <c r="P1035" s="497"/>
      <c r="Q1035" s="495"/>
      <c r="R1035" s="495"/>
      <c r="S1035" s="667" t="s">
        <v>5007</v>
      </c>
      <c r="T1035" s="508">
        <f t="shared" si="722"/>
        <v>0</v>
      </c>
      <c r="U1035" s="225" t="str">
        <f>IF(NOT(ISNUMBER(G1035)), "", VLOOKUP(A1035,'Discount Lookup'!D:E,2,FALSE)*G1035)</f>
        <v/>
      </c>
      <c r="V1035" s="225" t="str">
        <f>IF(NOT(ISNUMBER(G1035)), "", VLOOKUP(A1035,'Discount Lookup'!G:H,2,FALSE)*G1035)</f>
        <v/>
      </c>
      <c r="W1035" s="508">
        <f t="shared" si="723"/>
        <v>0</v>
      </c>
      <c r="X1035" s="508">
        <f t="shared" si="724"/>
        <v>0</v>
      </c>
      <c r="Y1035" s="509" t="b">
        <f t="shared" si="725"/>
        <v>0</v>
      </c>
      <c r="Z1035" s="510">
        <f t="shared" si="726"/>
        <v>0</v>
      </c>
      <c r="AA1035" s="511"/>
      <c r="AB1035" s="511" t="str">
        <f t="shared" si="727"/>
        <v/>
      </c>
      <c r="AC1035" s="698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698"/>
      <c r="AE1035" s="631" t="str">
        <f t="shared" si="728"/>
        <v/>
      </c>
      <c r="AF1035" s="699" t="str">
        <f t="shared" si="729"/>
        <v/>
      </c>
      <c r="AG1035" s="699"/>
      <c r="AH1035" s="699"/>
      <c r="AI1035" s="512">
        <f>IF(H1035="credit",0,IF(AE1035="free",0,IF(AE1035="me",0,IF(G1035&gt;0,(VLOOKUP(A1035,'Discount Lookup'!J:K,2)*G1035),0))))</f>
        <v>0</v>
      </c>
      <c r="AJ1035" s="513" t="str">
        <f t="shared" ca="1" si="730"/>
        <v/>
      </c>
      <c r="AK1035" s="700" t="str">
        <f t="shared" si="731"/>
        <v/>
      </c>
      <c r="AL1035" s="700"/>
      <c r="AM1035" s="505" t="str">
        <f t="shared" si="732"/>
        <v/>
      </c>
      <c r="AN1035" s="506"/>
      <c r="AO1035" s="507"/>
      <c r="AP1035" s="507"/>
      <c r="AQ1035" s="507"/>
      <c r="AR1035" s="507"/>
      <c r="AS1035" s="507"/>
      <c r="AT1035" s="507"/>
      <c r="AU1035" s="507"/>
      <c r="AV1035" s="225"/>
      <c r="AW1035" s="508"/>
      <c r="AX1035" s="225"/>
      <c r="AY1035" s="225"/>
      <c r="AZ1035" s="225"/>
      <c r="BA1035" s="225"/>
      <c r="BB1035" s="225"/>
      <c r="BC1035" s="56"/>
      <c r="BD1035" s="56"/>
      <c r="BE1035" s="56"/>
      <c r="BF1035" s="107" t="str">
        <f t="shared" si="733"/>
        <v>https://www.google.com/search?tbm=isch&amp;q=Deodar%20is%20%22the%20most%20graceful%20cedar%22.%20Distinctive%20pyramidal%20form%2C%20with%20pendulous%20branches%20often%20reaching%20the%20ground%20</v>
      </c>
      <c r="BG1035" s="107" t="str">
        <f t="shared" si="734"/>
        <v>D</v>
      </c>
      <c r="BH1035" s="254"/>
      <c r="BI1035" s="254"/>
    </row>
    <row r="1036" spans="1:61" customFormat="1" ht="18" x14ac:dyDescent="0.25">
      <c r="A1036" s="521" t="s">
        <v>763</v>
      </c>
      <c r="B1036" s="477"/>
      <c r="C1036" s="674"/>
      <c r="D1036" s="478" t="s">
        <v>764</v>
      </c>
      <c r="E1036" s="479"/>
      <c r="F1036" s="479"/>
      <c r="G1036" s="479"/>
      <c r="H1036" s="582" t="s">
        <v>765</v>
      </c>
      <c r="I1036" s="480" t="s">
        <v>654</v>
      </c>
      <c r="J1036" s="479"/>
      <c r="K1036" s="479"/>
      <c r="L1036" s="560"/>
      <c r="M1036" s="666" t="s">
        <v>4966</v>
      </c>
      <c r="N1036" s="680" t="str">
        <f>IF(AND(ISTEXT($A1036), ISERROR($A1036+0)), HYPERLINK($BF1036, "Images"), "")</f>
        <v>Images</v>
      </c>
      <c r="O1036" s="662" t="s">
        <v>4967</v>
      </c>
      <c r="P1036" s="482"/>
      <c r="Q1036" s="483"/>
      <c r="R1036" s="483"/>
      <c r="S1036" s="484"/>
      <c r="T1036" s="508">
        <f t="shared" si="722"/>
        <v>0</v>
      </c>
      <c r="U1036" s="225" t="str">
        <f>IF(NOT(ISNUMBER(G1036)), "", VLOOKUP(A1036,'Discount Lookup'!D:E,2,FALSE)*G1036)</f>
        <v/>
      </c>
      <c r="V1036" s="225" t="str">
        <f>IF(NOT(ISNUMBER(G1036)), "", VLOOKUP(A1036,'Discount Lookup'!G:H,2,FALSE)*G1036)</f>
        <v/>
      </c>
      <c r="W1036" s="508">
        <f t="shared" si="723"/>
        <v>0</v>
      </c>
      <c r="X1036" s="508" t="str">
        <f t="shared" si="724"/>
        <v>White bloom</v>
      </c>
      <c r="Y1036" s="509" t="b">
        <f t="shared" si="725"/>
        <v>0</v>
      </c>
      <c r="Z1036" s="510">
        <f t="shared" si="726"/>
        <v>0</v>
      </c>
      <c r="AA1036" s="511"/>
      <c r="AB1036" s="511" t="str">
        <f t="shared" si="727"/>
        <v/>
      </c>
      <c r="AC1036" s="698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698"/>
      <c r="AE1036" s="631" t="str">
        <f t="shared" si="728"/>
        <v/>
      </c>
      <c r="AF1036" s="699" t="str">
        <f t="shared" si="729"/>
        <v/>
      </c>
      <c r="AG1036" s="699"/>
      <c r="AH1036" s="699"/>
      <c r="AI1036" s="512">
        <f>IF(H1036="credit",0,IF(AE1036="free",0,IF(AE1036="me",0,IF(G1036&gt;0,(VLOOKUP(A1036,'Discount Lookup'!J:K,2)*G1036),0))))</f>
        <v>0</v>
      </c>
      <c r="AJ1036" s="513" t="str">
        <f t="shared" ca="1" si="730"/>
        <v/>
      </c>
      <c r="AK1036" s="700" t="str">
        <f t="shared" si="731"/>
        <v/>
      </c>
      <c r="AL1036" s="700"/>
      <c r="AM1036" s="505" t="str">
        <f t="shared" si="732"/>
        <v/>
      </c>
      <c r="AN1036" s="506"/>
      <c r="AO1036" s="507"/>
      <c r="AP1036" s="507"/>
      <c r="AQ1036" s="507"/>
      <c r="AR1036" s="507"/>
      <c r="AS1036" s="507"/>
      <c r="AT1036" s="507"/>
      <c r="AU1036" s="507"/>
      <c r="AV1036" s="225"/>
      <c r="AW1036" s="508"/>
      <c r="AX1036" s="225"/>
      <c r="AY1036" s="225"/>
      <c r="AZ1036" s="225"/>
      <c r="BA1036" s="225"/>
      <c r="BB1036" s="225"/>
      <c r="BC1036" s="56"/>
      <c r="BD1036" s="56"/>
      <c r="BE1036" s="56"/>
      <c r="BF1036" s="107" t="str">
        <f t="shared" si="733"/>
        <v>https://www.google.com/search?tbm=isch&amp;q=Diamond%20Spire%20Gardenia%20Gardenia%20%27Leefive%27%20PP%2332516</v>
      </c>
      <c r="BG1036" s="107" t="str">
        <f t="shared" si="734"/>
        <v>D</v>
      </c>
      <c r="BH1036" s="254"/>
      <c r="BI1036" s="254"/>
    </row>
    <row r="1037" spans="1:61" customFormat="1" ht="15.75" x14ac:dyDescent="0.25">
      <c r="A1037" s="485">
        <v>3</v>
      </c>
      <c r="B1037" s="486" t="s">
        <v>291</v>
      </c>
      <c r="C1037" s="487" t="s">
        <v>2483</v>
      </c>
      <c r="D1037" s="488" t="s">
        <v>312</v>
      </c>
      <c r="E1037" s="489">
        <v>34.950000000000003</v>
      </c>
      <c r="F1037" s="516" t="s">
        <v>293</v>
      </c>
      <c r="G1037" s="232">
        <v>0</v>
      </c>
      <c r="H1037" s="658" t="str">
        <f>IF(G1037=0,"",IF(F1037="Buy",IF(G1037=1,"plant","plants"),IF(F1037&gt;0.01,"warranty","Error")))</f>
        <v/>
      </c>
      <c r="I1037" s="490">
        <f>IF(H1037="free",0,IF(H1037="credit",((E1037*(F1037))*G1037*-1),IF(F1037="Buy",(E1037*G1037),((E1037*(1-F1037))*G1037))))</f>
        <v>0</v>
      </c>
      <c r="J1037" s="490">
        <f>IF(H1037="warranty",0,(I1037*(_xlfn.SINGLE(SalesTaxPercentage))))</f>
        <v>0</v>
      </c>
      <c r="K1037" s="695">
        <f t="shared" ref="K1037" si="775">I1037+J1037</f>
        <v>0</v>
      </c>
      <c r="L1037" s="695"/>
      <c r="M1037" s="659" t="str">
        <f>IF(AND(G1037&gt;0,E1037=0),"WARNING - no PRICE inserted",IF(H1037="free"," FREE ~ no charge this plant",IF(H1037="credit",CONCATENATE(" -$",ROUND(K1037*(1-T2GDiscount)*-1,2)," CREDIT after discount"),IF(T2GDiscount=0,"",IF(G1037=0,"",IF(F1037="Buy",CONCATENATE(" $",ROUND(K1037*(1-T2GDiscount),2)," with ",(T2GDiscount*100),"% discount"),CONCATENATE(" $",ROUND(K1037*(1-T2GDiscount),2)," with ",((T2GDiscount*100+F1037*100)-(T2GDiscount*100*F1037)),IF(F1037&gt;0,"% discounts",IF(NoWarrantyDiscount&gt;0,"% discounts","% discount")))))))))</f>
        <v/>
      </c>
      <c r="N1037" s="660"/>
      <c r="O1037" s="233"/>
      <c r="P1037" s="233"/>
      <c r="Q1037" s="233"/>
      <c r="R1037" s="233"/>
      <c r="S1037" s="233"/>
      <c r="T1037" s="508">
        <f t="shared" si="722"/>
        <v>0</v>
      </c>
      <c r="U1037" s="225">
        <f>IF(NOT(ISNUMBER(G1037)), "", VLOOKUP(A1037,'Discount Lookup'!D:E,2,FALSE)*G1037)</f>
        <v>0</v>
      </c>
      <c r="V1037" s="225">
        <f>IF(NOT(ISNUMBER(G1037)), "", VLOOKUP(A1037,'Discount Lookup'!G:H,2,FALSE)*G1037)</f>
        <v>0</v>
      </c>
      <c r="W1037" s="508">
        <f t="shared" si="723"/>
        <v>0</v>
      </c>
      <c r="X1037" s="508">
        <f t="shared" si="724"/>
        <v>0</v>
      </c>
      <c r="Y1037" s="509" t="b">
        <f t="shared" si="725"/>
        <v>0</v>
      </c>
      <c r="Z1037" s="510">
        <f t="shared" si="726"/>
        <v>0</v>
      </c>
      <c r="AA1037" s="511"/>
      <c r="AB1037" s="511" t="str">
        <f t="shared" si="727"/>
        <v/>
      </c>
      <c r="AC1037" s="698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698"/>
      <c r="AE1037" s="631" t="str">
        <f t="shared" si="728"/>
        <v/>
      </c>
      <c r="AF1037" s="699" t="str">
        <f t="shared" si="729"/>
        <v/>
      </c>
      <c r="AG1037" s="699"/>
      <c r="AH1037" s="699"/>
      <c r="AI1037" s="512">
        <f>IF(H1037="credit",0,IF(AE1037="free",0,IF(AE1037="me",0,IF(G1037&gt;0,(VLOOKUP(A1037,'Discount Lookup'!J:K,2)*G1037),0))))</f>
        <v>0</v>
      </c>
      <c r="AJ1037" s="513" t="str">
        <f t="shared" ca="1" si="730"/>
        <v/>
      </c>
      <c r="AK1037" s="700" t="str">
        <f t="shared" si="731"/>
        <v/>
      </c>
      <c r="AL1037" s="700"/>
      <c r="AM1037" s="505" t="str">
        <f t="shared" si="732"/>
        <v/>
      </c>
      <c r="AN1037" s="506"/>
      <c r="AO1037" s="507"/>
      <c r="AP1037" s="507"/>
      <c r="AQ1037" s="507"/>
      <c r="AR1037" s="507"/>
      <c r="AS1037" s="507"/>
      <c r="AT1037" s="507"/>
      <c r="AU1037" s="507"/>
      <c r="AV1037" s="225"/>
      <c r="AW1037" s="508"/>
      <c r="AX1037" s="225"/>
      <c r="AY1037" s="225"/>
      <c r="AZ1037" s="225"/>
      <c r="BA1037" s="225"/>
      <c r="BB1037" s="225"/>
      <c r="BC1037" s="56"/>
      <c r="BD1037" s="56"/>
      <c r="BE1037" s="56"/>
      <c r="BF1037" s="107" t="str">
        <f t="shared" si="733"/>
        <v>https://www.google.com/search?tbm=isch&amp;q=3%20G2</v>
      </c>
      <c r="BG1037" s="107" t="str">
        <f t="shared" si="734"/>
        <v>D</v>
      </c>
      <c r="BH1037" s="254"/>
      <c r="BI1037" s="254"/>
    </row>
    <row r="1038" spans="1:61" customFormat="1" ht="17.25" thickBot="1" x14ac:dyDescent="0.3">
      <c r="A1038" s="522" t="s">
        <v>2130</v>
      </c>
      <c r="B1038" s="491"/>
      <c r="C1038" s="675"/>
      <c r="D1038" s="491"/>
      <c r="E1038" s="491"/>
      <c r="F1038" s="492"/>
      <c r="G1038" s="493"/>
      <c r="H1038" s="491"/>
      <c r="I1038" s="234"/>
      <c r="J1038" s="234"/>
      <c r="K1038" s="494"/>
      <c r="L1038" s="543"/>
      <c r="M1038" s="561"/>
      <c r="N1038" s="495"/>
      <c r="O1038" s="496"/>
      <c r="P1038" s="497"/>
      <c r="Q1038" s="495"/>
      <c r="R1038" s="495"/>
      <c r="S1038" s="667" t="s">
        <v>4986</v>
      </c>
      <c r="T1038" s="508">
        <f t="shared" ref="T1038:T1101" si="776">E1038*G1038</f>
        <v>0</v>
      </c>
      <c r="U1038" s="225" t="str">
        <f>IF(NOT(ISNUMBER(G1038)), "", VLOOKUP(A1038,'Discount Lookup'!D:E,2,FALSE)*G1038)</f>
        <v/>
      </c>
      <c r="V1038" s="225" t="str">
        <f>IF(NOT(ISNUMBER(G1038)), "", VLOOKUP(A1038,'Discount Lookup'!G:H,2,FALSE)*G1038)</f>
        <v/>
      </c>
      <c r="W1038" s="508">
        <f t="shared" ref="W1038:W1101" si="777">IF(H1038="credit",0,E1038*(SalesTaxPercentage)*G1038)</f>
        <v>0</v>
      </c>
      <c r="X1038" s="508">
        <f t="shared" ref="X1038:X1101" si="778">I1038</f>
        <v>0</v>
      </c>
      <c r="Y1038" s="509" t="b">
        <f t="shared" ref="Y1038:Y1101" si="779">IF(AE1038="T2G",0,IF(H1038="credit",0,IF(G1038&gt;0,IF(AE1038="me","",G1038))))</f>
        <v>0</v>
      </c>
      <c r="Z1038" s="510">
        <f t="shared" ref="Z1038:Z1101" si="780">IF(H1038="credit",G1038,0)</f>
        <v>0</v>
      </c>
      <c r="AA1038" s="511"/>
      <c r="AB1038" s="511" t="str">
        <f t="shared" ref="AB1038:AB1101" si="781">IF(AE1038="T2G","by Trees2Go",IF(H1038="credit","CREDIT only ~",IF(AND(K1038="",AE1038=OR(PlanterYesMe="No",PlanterYesMe="N",PlanterYesMe="me")),"not THIS line⇨",IF(AND(K1038="images",AE1038="me"),"not THIS line⇨",IF(H1038="credit","",IF(G1038=0,"",IF(AE1038="me","",IF(OR(PlanterYesMe="No",PlanterYesMe="N",PlanterYesMe="me"),"",IF(AE1038="free","warranty",IF(OR(PlanterYesMe="yes",PlanterYesMe="y"),"Edison install:","to install:"))))))))))</f>
        <v/>
      </c>
      <c r="AC1038" s="698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698"/>
      <c r="AE1038" s="631" t="str">
        <f t="shared" ref="AE1038:AE1101" si="782">IF(H1038="credit","",IF(G1038=0,"",IF(OR(PlanterYesMe="No",PlanterYesMe="N",PlanterYesMe="me"),"me",IF(H1038="warranty","free",IF(OR(PlanterYesMe="yes",PlanterYesMe="y"),"ELP","")))))</f>
        <v/>
      </c>
      <c r="AF1038" s="699" t="str">
        <f t="shared" ref="AF1038:AF1101" si="783">IF(OR(PlanterYesMe="No",PlanterYesMe="N",PlanterYesMe="me"),"",IF(H1038="credit","",IF(G1038&gt;0,(CONCATENATE((G1038)," quantity, ",(A1038)," ",B1038)),"")))</f>
        <v/>
      </c>
      <c r="AG1038" s="699"/>
      <c r="AH1038" s="699"/>
      <c r="AI1038" s="512">
        <f>IF(H1038="credit",0,IF(AE1038="free",0,IF(AE1038="me",0,IF(G1038&gt;0,(VLOOKUP(A1038,'Discount Lookup'!J:K,2)*G1038),0))))</f>
        <v>0</v>
      </c>
      <c r="AJ1038" s="513" t="str">
        <f t="shared" ref="AJ1038:AJ1101" ca="1" si="784">IF(AND(ISREF(H1038),H1038="credit"),"",IF(AND(AND(OFFSET(G1038,0,0)=0,OFFSET(G1038,1,0)&gt;0,ISNUMBER(OFFSET(AC1038,1,0)),OFFSET(AC1038,1,0)&gt;0),OR(PlanterYesMe="yes",PlanterYesMe="y")),"T2G+ELP=",IF(AND(OFFSET(G1038,0,0)=0,OFFSET(G1038,1,0)&gt;0,ISNUMBER(OFFSET(AC1038,1,0)),OFFSET(AC1038,1,0)&gt;0),"if T2G+ELP=",IF(AND(OFFSET(G1038,0,0)=0,OFFSET(G1038,1,0)&gt;0),"T2G Subtotal",IF(H1038="credit","",IF(G1038=0,"",IF(AE1038="free",(K1038*(1-T2GDiscount)),IF(OR(PlanterYesMe="No",PlanterYesMe="N",PlanterYesMe="me"),(K1038*(1-T2GDiscount)),IF(OR(AE1038="me",AE1038="T2G"),(K1038*(1-T2GDiscount)),(K1038*(1-T2GDiscount))+AC1038)))))))))</f>
        <v/>
      </c>
      <c r="AK1038" s="700" t="str">
        <f t="shared" ref="AK1038:AK1101" si="785">IF(H1038="credit","",IF(G1038=0,"",IF(OR(AE1038="me",AE1038="T2G"),"  delivery-only",IF(OR(PlanterYesMe="No",PlanterYesMe="N",PlanterYesMe="me"),"  delivery-only",CONCATENATE(" $",ROUND(AJ1038/G1038,2)," each")))))</f>
        <v/>
      </c>
      <c r="AL1038" s="700"/>
      <c r="AM1038" s="505" t="str">
        <f t="shared" ref="AM1038:AM1101" si="786">IF(H1038="credit","",IF(AE1038="free","      ~ discounts included, no tax or planting fee applies ~",IF(G1038=0,"",IF(OR(PlanterYesMe="No",PlanterYesMe="N",PlanterYesMe="me"),CONCATENATE(" $",ROUND(AJ1038/G1038,2)," per plant, with tax &amp; discount"),IF(OR(AE1038="me",AE1038="T2G"),CONCATENATE(" $",ROUND(AJ1038/G1038,2)," per plant, with tax &amp; discount"),CONCATENATE("= $",ROUND((K1038*(1-T2GDiscount))/G1038,2)," per plant + $",AC1038/G1038,(" per planting      ~ includes tax &amp; discounts ~")))))))</f>
        <v/>
      </c>
      <c r="AN1038" s="506"/>
      <c r="AO1038" s="507"/>
      <c r="AP1038" s="507"/>
      <c r="AQ1038" s="507"/>
      <c r="AR1038" s="507"/>
      <c r="AS1038" s="507"/>
      <c r="AT1038" s="507"/>
      <c r="AU1038" s="507"/>
      <c r="AV1038" s="225"/>
      <c r="AW1038" s="508"/>
      <c r="AX1038" s="225"/>
      <c r="AY1038" s="225"/>
      <c r="AZ1038" s="225"/>
      <c r="BA1038" s="225"/>
      <c r="BB1038" s="225"/>
      <c r="BC1038" s="56"/>
      <c r="BD1038" s="56"/>
      <c r="BE1038" s="56"/>
      <c r="BF1038" s="107" t="str">
        <f t="shared" ref="BF1038:BF1101" si="787">"https://www.google.com/search?tbm=isch&amp;q=" &amp; _xlfn.ENCODEURL($A1038 &amp; " " &amp; $D1038)</f>
        <v>https://www.google.com/search?tbm=isch&amp;q=Diamond%20Spire%20is%20noted%20for%20it%27s%20more%20columnar%20shape%20and%20unique%20rounded%20foliage%20</v>
      </c>
      <c r="BG1038" s="107" t="str">
        <f t="shared" ref="BG1038:BG1101" si="788">IF(ISTEXT(A1038),LEFT(A1038,1),BG1037)</f>
        <v>D</v>
      </c>
      <c r="BH1038" s="254"/>
      <c r="BI1038" s="254"/>
    </row>
    <row r="1039" spans="1:61" customFormat="1" ht="18" x14ac:dyDescent="0.25">
      <c r="A1039" s="523" t="s">
        <v>3283</v>
      </c>
      <c r="B1039" s="235"/>
      <c r="C1039" s="676"/>
      <c r="D1039" s="255" t="s">
        <v>766</v>
      </c>
      <c r="E1039" s="236"/>
      <c r="F1039" s="236"/>
      <c r="G1039" s="236"/>
      <c r="H1039" s="582" t="s">
        <v>769</v>
      </c>
      <c r="I1039" s="498" t="s">
        <v>3284</v>
      </c>
      <c r="J1039" s="237"/>
      <c r="K1039" s="237"/>
      <c r="L1039" s="274"/>
      <c r="M1039" s="668" t="s">
        <v>4975</v>
      </c>
      <c r="N1039" s="681" t="str">
        <f>IF(AND(ISTEXT($A1039), ISERROR($A1039+0)), HYPERLINK($BF1039, "Images"), "")</f>
        <v>Images</v>
      </c>
      <c r="O1039" s="663" t="s">
        <v>4967</v>
      </c>
      <c r="P1039" s="253"/>
      <c r="Q1039" s="238"/>
      <c r="R1039" s="239"/>
      <c r="S1039" s="275"/>
      <c r="T1039" s="508">
        <f t="shared" si="776"/>
        <v>0</v>
      </c>
      <c r="U1039" s="225" t="str">
        <f>IF(NOT(ISNUMBER(G1039)), "", VLOOKUP(A1039,'Discount Lookup'!D:E,2,FALSE)*G1039)</f>
        <v/>
      </c>
      <c r="V1039" s="225" t="str">
        <f>IF(NOT(ISNUMBER(G1039)), "", VLOOKUP(A1039,'Discount Lookup'!G:H,2,FALSE)*G1039)</f>
        <v/>
      </c>
      <c r="W1039" s="508">
        <f t="shared" si="777"/>
        <v>0</v>
      </c>
      <c r="X1039" s="508" t="str">
        <f t="shared" si="778"/>
        <v>Coppery-Red bloom</v>
      </c>
      <c r="Y1039" s="509" t="b">
        <f t="shared" si="779"/>
        <v>0</v>
      </c>
      <c r="Z1039" s="510">
        <f t="shared" si="780"/>
        <v>0</v>
      </c>
      <c r="AA1039" s="511"/>
      <c r="AB1039" s="511" t="str">
        <f t="shared" si="781"/>
        <v/>
      </c>
      <c r="AC1039" s="698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698"/>
      <c r="AE1039" s="631" t="str">
        <f t="shared" si="782"/>
        <v/>
      </c>
      <c r="AF1039" s="699" t="str">
        <f t="shared" si="783"/>
        <v/>
      </c>
      <c r="AG1039" s="699"/>
      <c r="AH1039" s="699"/>
      <c r="AI1039" s="512">
        <f>IF(H1039="credit",0,IF(AE1039="free",0,IF(AE1039="me",0,IF(G1039&gt;0,(VLOOKUP(A1039,'Discount Lookup'!J:K,2)*G1039),0))))</f>
        <v>0</v>
      </c>
      <c r="AJ1039" s="513" t="str">
        <f t="shared" ca="1" si="784"/>
        <v/>
      </c>
      <c r="AK1039" s="700" t="str">
        <f t="shared" si="785"/>
        <v/>
      </c>
      <c r="AL1039" s="700"/>
      <c r="AM1039" s="505" t="str">
        <f t="shared" si="786"/>
        <v/>
      </c>
      <c r="AN1039" s="506"/>
      <c r="AO1039" s="507"/>
      <c r="AP1039" s="507"/>
      <c r="AQ1039" s="507"/>
      <c r="AR1039" s="507"/>
      <c r="AS1039" s="507"/>
      <c r="AT1039" s="507"/>
      <c r="AU1039" s="507"/>
      <c r="AV1039" s="225"/>
      <c r="AW1039" s="508"/>
      <c r="AX1039" s="225"/>
      <c r="AY1039" s="225"/>
      <c r="AZ1039" s="225"/>
      <c r="BA1039" s="225"/>
      <c r="BB1039" s="225"/>
      <c r="BC1039" s="56"/>
      <c r="BD1039" s="56"/>
      <c r="BE1039" s="56"/>
      <c r="BF1039" s="107" t="str">
        <f t="shared" si="787"/>
        <v>https://www.google.com/search?tbm=isch&amp;q=Diane%20Witch%20Hazel%20Hamamelis%20x%20intermedia%20%27Diane%27</v>
      </c>
      <c r="BG1039" s="107" t="str">
        <f t="shared" si="788"/>
        <v>D</v>
      </c>
      <c r="BH1039" s="254"/>
      <c r="BI1039" s="254"/>
    </row>
    <row r="1040" spans="1:61" customFormat="1" ht="15.75" x14ac:dyDescent="0.25">
      <c r="A1040" s="276">
        <v>15</v>
      </c>
      <c r="B1040" s="240" t="s">
        <v>291</v>
      </c>
      <c r="C1040" s="241" t="s">
        <v>2199</v>
      </c>
      <c r="D1040" s="242" t="s">
        <v>300</v>
      </c>
      <c r="E1040" s="243">
        <v>160.94999999999999</v>
      </c>
      <c r="F1040" s="517" t="s">
        <v>293</v>
      </c>
      <c r="G1040" s="232">
        <v>0</v>
      </c>
      <c r="H1040" s="661" t="str">
        <f>IF(G1040=0,"",IF(F1040="Buy",IF(G1040=1,"plant","plants"),IF(F1040&gt;0.01,"warranty","Error")))</f>
        <v/>
      </c>
      <c r="I1040" s="244">
        <f>IF(H1040="free",0,IF(H1040="credit",((E1040*(F1040))*G1040*-1),IF(F1040="Buy",(E1040*G1040),((E1040*(1-F1040))*G1040))))</f>
        <v>0</v>
      </c>
      <c r="J1040" s="244">
        <f>IF(H1040="warranty",0,(I1040*(_xlfn.SINGLE(SalesTaxPercentage))))</f>
        <v>0</v>
      </c>
      <c r="K1040" s="696">
        <f t="shared" ref="K1040" si="789">I1040+J1040</f>
        <v>0</v>
      </c>
      <c r="L1040" s="696"/>
      <c r="M1040" s="659" t="str">
        <f>IF(AND(G1040&gt;0,E1040=0),"WARNING - no PRICE inserted",IF(H1040="free"," FREE ~ no charge this plant",IF(H1040="credit",CONCATENATE(" -$",ROUND(K1040*(1-T2GDiscount)*-1,2)," CREDIT after discount"),IF(T2GDiscount=0,"",IF(G1040=0,"",IF(F1040="Buy",CONCATENATE(" $",ROUND(K1040*(1-T2GDiscount),2)," with ",(T2GDiscount*100),"% discount"),CONCATENATE(" $",ROUND(K1040*(1-T2GDiscount),2)," with ",((T2GDiscount*100+F1040*100)-(T2GDiscount*100*F1040)),IF(F1040&gt;0,"% discounts",IF(NoWarrantyDiscount&gt;0,"% discounts","% discount")))))))))</f>
        <v/>
      </c>
      <c r="N1040" s="660"/>
      <c r="O1040" s="233"/>
      <c r="P1040" s="233"/>
      <c r="Q1040" s="233"/>
      <c r="R1040" s="233"/>
      <c r="S1040" s="233"/>
      <c r="T1040" s="508">
        <f t="shared" si="776"/>
        <v>0</v>
      </c>
      <c r="U1040" s="225">
        <f>IF(NOT(ISNUMBER(G1040)), "", VLOOKUP(A1040,'Discount Lookup'!D:E,2,FALSE)*G1040)</f>
        <v>0</v>
      </c>
      <c r="V1040" s="225">
        <f>IF(NOT(ISNUMBER(G1040)), "", VLOOKUP(A1040,'Discount Lookup'!G:H,2,FALSE)*G1040)</f>
        <v>0</v>
      </c>
      <c r="W1040" s="508">
        <f t="shared" si="777"/>
        <v>0</v>
      </c>
      <c r="X1040" s="508">
        <f t="shared" si="778"/>
        <v>0</v>
      </c>
      <c r="Y1040" s="509" t="b">
        <f t="shared" si="779"/>
        <v>0</v>
      </c>
      <c r="Z1040" s="510">
        <f t="shared" si="780"/>
        <v>0</v>
      </c>
      <c r="AA1040" s="511"/>
      <c r="AB1040" s="511" t="str">
        <f t="shared" si="781"/>
        <v/>
      </c>
      <c r="AC1040" s="698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698"/>
      <c r="AE1040" s="631" t="str">
        <f t="shared" si="782"/>
        <v/>
      </c>
      <c r="AF1040" s="699" t="str">
        <f t="shared" si="783"/>
        <v/>
      </c>
      <c r="AG1040" s="699"/>
      <c r="AH1040" s="699"/>
      <c r="AI1040" s="512">
        <f>IF(H1040="credit",0,IF(AE1040="free",0,IF(AE1040="me",0,IF(G1040&gt;0,(VLOOKUP(A1040,'Discount Lookup'!J:K,2)*G1040),0))))</f>
        <v>0</v>
      </c>
      <c r="AJ1040" s="513" t="str">
        <f t="shared" ca="1" si="784"/>
        <v/>
      </c>
      <c r="AK1040" s="700" t="str">
        <f t="shared" si="785"/>
        <v/>
      </c>
      <c r="AL1040" s="700"/>
      <c r="AM1040" s="505" t="str">
        <f t="shared" si="786"/>
        <v/>
      </c>
      <c r="AN1040" s="506"/>
      <c r="AO1040" s="507"/>
      <c r="AP1040" s="507"/>
      <c r="AQ1040" s="507"/>
      <c r="AR1040" s="507"/>
      <c r="AS1040" s="507"/>
      <c r="AT1040" s="507"/>
      <c r="AU1040" s="507"/>
      <c r="AV1040" s="225"/>
      <c r="AW1040" s="508"/>
      <c r="AX1040" s="225"/>
      <c r="AY1040" s="225"/>
      <c r="AZ1040" s="225"/>
      <c r="BA1040" s="225"/>
      <c r="BB1040" s="225"/>
      <c r="BC1040" s="56"/>
      <c r="BD1040" s="56"/>
      <c r="BE1040" s="56"/>
      <c r="BF1040" s="107" t="str">
        <f t="shared" si="787"/>
        <v>https://www.google.com/search?tbm=isch&amp;q=15%20G6</v>
      </c>
      <c r="BG1040" s="107" t="str">
        <f t="shared" si="788"/>
        <v>D</v>
      </c>
      <c r="BH1040" s="254"/>
      <c r="BI1040" s="254"/>
    </row>
    <row r="1041" spans="1:61" customFormat="1" ht="17.25" thickBot="1" x14ac:dyDescent="0.3">
      <c r="A1041" s="673" t="s">
        <v>5092</v>
      </c>
      <c r="B1041" s="245"/>
      <c r="C1041" s="677"/>
      <c r="D1041" s="499"/>
      <c r="E1041" s="499"/>
      <c r="F1041" s="500"/>
      <c r="G1041" s="501"/>
      <c r="H1041" s="502"/>
      <c r="I1041" s="246"/>
      <c r="J1041" s="247"/>
      <c r="K1041" s="503"/>
      <c r="L1041" s="544"/>
      <c r="M1041" s="544"/>
      <c r="N1041" s="500"/>
      <c r="O1041" s="500"/>
      <c r="P1041" s="500"/>
      <c r="Q1041" s="500"/>
      <c r="R1041" s="500"/>
      <c r="S1041" s="278"/>
      <c r="T1041" s="508">
        <f t="shared" si="776"/>
        <v>0</v>
      </c>
      <c r="U1041" s="225" t="str">
        <f>IF(NOT(ISNUMBER(G1041)), "", VLOOKUP(A1041,'Discount Lookup'!D:E,2,FALSE)*G1041)</f>
        <v/>
      </c>
      <c r="V1041" s="225" t="str">
        <f>IF(NOT(ISNUMBER(G1041)), "", VLOOKUP(A1041,'Discount Lookup'!G:H,2,FALSE)*G1041)</f>
        <v/>
      </c>
      <c r="W1041" s="508">
        <f t="shared" si="777"/>
        <v>0</v>
      </c>
      <c r="X1041" s="508">
        <f t="shared" si="778"/>
        <v>0</v>
      </c>
      <c r="Y1041" s="509" t="b">
        <f t="shared" si="779"/>
        <v>0</v>
      </c>
      <c r="Z1041" s="510">
        <f t="shared" si="780"/>
        <v>0</v>
      </c>
      <c r="AA1041" s="511"/>
      <c r="AB1041" s="511" t="str">
        <f t="shared" si="781"/>
        <v/>
      </c>
      <c r="AC1041" s="698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698"/>
      <c r="AE1041" s="631" t="str">
        <f t="shared" si="782"/>
        <v/>
      </c>
      <c r="AF1041" s="699" t="str">
        <f t="shared" si="783"/>
        <v/>
      </c>
      <c r="AG1041" s="699"/>
      <c r="AH1041" s="699"/>
      <c r="AI1041" s="512">
        <f>IF(H1041="credit",0,IF(AE1041="free",0,IF(AE1041="me",0,IF(G1041&gt;0,(VLOOKUP(A1041,'Discount Lookup'!J:K,2)*G1041),0))))</f>
        <v>0</v>
      </c>
      <c r="AJ1041" s="513" t="str">
        <f t="shared" ca="1" si="784"/>
        <v/>
      </c>
      <c r="AK1041" s="700" t="str">
        <f t="shared" si="785"/>
        <v/>
      </c>
      <c r="AL1041" s="700"/>
      <c r="AM1041" s="505" t="str">
        <f t="shared" si="786"/>
        <v/>
      </c>
      <c r="AN1041" s="506"/>
      <c r="AO1041" s="507"/>
      <c r="AP1041" s="507"/>
      <c r="AQ1041" s="507"/>
      <c r="AR1041" s="507"/>
      <c r="AS1041" s="507"/>
      <c r="AT1041" s="507"/>
      <c r="AU1041" s="507"/>
      <c r="AV1041" s="225"/>
      <c r="AW1041" s="508"/>
      <c r="AX1041" s="225"/>
      <c r="AY1041" s="225"/>
      <c r="AZ1041" s="225"/>
      <c r="BA1041" s="225"/>
      <c r="BB1041" s="225"/>
      <c r="BC1041" s="56"/>
      <c r="BD1041" s="56"/>
      <c r="BE1041" s="56"/>
      <c r="BF1041" s="107" t="str">
        <f t="shared" si="787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041" s="107" t="str">
        <f t="shared" si="788"/>
        <v>m</v>
      </c>
      <c r="BH1041" s="254"/>
      <c r="BI1041" s="254"/>
    </row>
    <row r="1042" spans="1:61" customFormat="1" ht="18" x14ac:dyDescent="0.25">
      <c r="A1042" s="523" t="s">
        <v>767</v>
      </c>
      <c r="B1042" s="235"/>
      <c r="C1042" s="676"/>
      <c r="D1042" s="255" t="s">
        <v>768</v>
      </c>
      <c r="E1042" s="236"/>
      <c r="F1042" s="236"/>
      <c r="G1042" s="236"/>
      <c r="H1042" s="582" t="s">
        <v>769</v>
      </c>
      <c r="I1042" s="498" t="s">
        <v>770</v>
      </c>
      <c r="J1042" s="237"/>
      <c r="K1042" s="237"/>
      <c r="L1042" s="274"/>
      <c r="M1042" s="668" t="s">
        <v>4975</v>
      </c>
      <c r="N1042" s="681" t="str">
        <f>IF(AND(ISTEXT($A1042), ISERROR($A1042+0)), HYPERLINK($BF1042, "Images"), "")</f>
        <v>Images</v>
      </c>
      <c r="O1042" s="663" t="s">
        <v>4967</v>
      </c>
      <c r="P1042" s="253"/>
      <c r="Q1042" s="238"/>
      <c r="R1042" s="239"/>
      <c r="S1042" s="275"/>
      <c r="T1042" s="508">
        <f t="shared" si="776"/>
        <v>0</v>
      </c>
      <c r="U1042" s="225" t="str">
        <f>IF(NOT(ISNUMBER(G1042)), "", VLOOKUP(A1042,'Discount Lookup'!D:E,2,FALSE)*G1042)</f>
        <v/>
      </c>
      <c r="V1042" s="225" t="str">
        <f>IF(NOT(ISNUMBER(G1042)), "", VLOOKUP(A1042,'Discount Lookup'!G:H,2,FALSE)*G1042)</f>
        <v/>
      </c>
      <c r="W1042" s="508">
        <f t="shared" si="777"/>
        <v>0</v>
      </c>
      <c r="X1042" s="508" t="str">
        <f t="shared" si="778"/>
        <v>Pink-Mauve bloom</v>
      </c>
      <c r="Y1042" s="509" t="b">
        <f t="shared" si="779"/>
        <v>0</v>
      </c>
      <c r="Z1042" s="510">
        <f t="shared" si="780"/>
        <v>0</v>
      </c>
      <c r="AA1042" s="511"/>
      <c r="AB1042" s="511" t="str">
        <f t="shared" si="781"/>
        <v/>
      </c>
      <c r="AC1042" s="698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698"/>
      <c r="AE1042" s="631" t="str">
        <f t="shared" si="782"/>
        <v/>
      </c>
      <c r="AF1042" s="699" t="str">
        <f t="shared" si="783"/>
        <v/>
      </c>
      <c r="AG1042" s="699"/>
      <c r="AH1042" s="699"/>
      <c r="AI1042" s="512">
        <f>IF(H1042="credit",0,IF(AE1042="free",0,IF(AE1042="me",0,IF(G1042&gt;0,(VLOOKUP(A1042,'Discount Lookup'!J:K,2)*G1042),0))))</f>
        <v>0</v>
      </c>
      <c r="AJ1042" s="513" t="str">
        <f t="shared" ca="1" si="784"/>
        <v/>
      </c>
      <c r="AK1042" s="700" t="str">
        <f t="shared" si="785"/>
        <v/>
      </c>
      <c r="AL1042" s="700"/>
      <c r="AM1042" s="505" t="str">
        <f t="shared" si="786"/>
        <v/>
      </c>
      <c r="AN1042" s="506"/>
      <c r="AO1042" s="507"/>
      <c r="AP1042" s="507"/>
      <c r="AQ1042" s="507"/>
      <c r="AR1042" s="507"/>
      <c r="AS1042" s="507"/>
      <c r="AT1042" s="507"/>
      <c r="AU1042" s="507"/>
      <c r="AV1042" s="225"/>
      <c r="AW1042" s="508"/>
      <c r="AX1042" s="225"/>
      <c r="AY1042" s="225"/>
      <c r="AZ1042" s="225"/>
      <c r="BA1042" s="225"/>
      <c r="BB1042" s="225"/>
      <c r="BC1042" s="56"/>
      <c r="BD1042" s="56"/>
      <c r="BE1042" s="56"/>
      <c r="BF1042" s="107" t="str">
        <f t="shared" si="787"/>
        <v>https://www.google.com/search?tbm=isch&amp;q=Don%20Egolf%20Redbud%20Cercis%20chinensis%20%27Don%20Egolf%27</v>
      </c>
      <c r="BG1042" s="107" t="str">
        <f t="shared" si="788"/>
        <v>D</v>
      </c>
      <c r="BH1042" s="254"/>
      <c r="BI1042" s="254"/>
    </row>
    <row r="1043" spans="1:61" customFormat="1" ht="15.75" x14ac:dyDescent="0.25">
      <c r="A1043" s="276">
        <v>7</v>
      </c>
      <c r="B1043" s="240" t="s">
        <v>291</v>
      </c>
      <c r="C1043" s="241" t="s">
        <v>3419</v>
      </c>
      <c r="D1043" s="242" t="s">
        <v>292</v>
      </c>
      <c r="E1043" s="243">
        <v>104.95</v>
      </c>
      <c r="F1043" s="517" t="s">
        <v>293</v>
      </c>
      <c r="G1043" s="232">
        <v>0</v>
      </c>
      <c r="H1043" s="661" t="str">
        <f>IF(G1043=0,"",IF(F1043="Buy",IF(G1043=1,"plant","plants"),IF(F1043&gt;0.01,"warranty","Error")))</f>
        <v/>
      </c>
      <c r="I1043" s="244">
        <f>IF(H1043="free",0,IF(H1043="credit",((E1043*(F1043))*G1043*-1),IF(F1043="Buy",(E1043*G1043),((E1043*(1-F1043))*G1043))))</f>
        <v>0</v>
      </c>
      <c r="J1043" s="244">
        <f>IF(H1043="warranty",0,(I1043*(_xlfn.SINGLE(SalesTaxPercentage))))</f>
        <v>0</v>
      </c>
      <c r="K1043" s="696">
        <f t="shared" ref="K1043" si="790">I1043+J1043</f>
        <v>0</v>
      </c>
      <c r="L1043" s="696"/>
      <c r="M1043" s="659" t="str">
        <f>IF(AND(G1043&gt;0,E1043=0),"WARNING - no PRICE inserted",IF(H1043="free"," FREE ~ no charge this plant",IF(H1043="credit",CONCATENATE(" -$",ROUND(K1043*(1-T2GDiscount)*-1,2)," CREDIT after discount"),IF(T2GDiscount=0,"",IF(G1043=0,"",IF(F1043="Buy",CONCATENATE(" $",ROUND(K1043*(1-T2GDiscount),2)," with ",(T2GDiscount*100),"% discount"),CONCATENATE(" $",ROUND(K1043*(1-T2GDiscount),2)," with ",((T2GDiscount*100+F1043*100)-(T2GDiscount*100*F1043)),IF(F1043&gt;0,"% discounts",IF(NoWarrantyDiscount&gt;0,"% discounts","% discount")))))))))</f>
        <v/>
      </c>
      <c r="N1043" s="660"/>
      <c r="O1043" s="233"/>
      <c r="P1043" s="233"/>
      <c r="Q1043" s="233"/>
      <c r="R1043" s="233"/>
      <c r="S1043" s="233"/>
      <c r="T1043" s="508">
        <f t="shared" si="776"/>
        <v>0</v>
      </c>
      <c r="U1043" s="225">
        <f>IF(NOT(ISNUMBER(G1043)), "", VLOOKUP(A1043,'Discount Lookup'!D:E,2,FALSE)*G1043)</f>
        <v>0</v>
      </c>
      <c r="V1043" s="225">
        <f>IF(NOT(ISNUMBER(G1043)), "", VLOOKUP(A1043,'Discount Lookup'!G:H,2,FALSE)*G1043)</f>
        <v>0</v>
      </c>
      <c r="W1043" s="508">
        <f t="shared" si="777"/>
        <v>0</v>
      </c>
      <c r="X1043" s="508">
        <f t="shared" si="778"/>
        <v>0</v>
      </c>
      <c r="Y1043" s="509" t="b">
        <f t="shared" si="779"/>
        <v>0</v>
      </c>
      <c r="Z1043" s="510">
        <f t="shared" si="780"/>
        <v>0</v>
      </c>
      <c r="AA1043" s="511"/>
      <c r="AB1043" s="511" t="str">
        <f t="shared" si="781"/>
        <v/>
      </c>
      <c r="AC1043" s="698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698"/>
      <c r="AE1043" s="631" t="str">
        <f t="shared" si="782"/>
        <v/>
      </c>
      <c r="AF1043" s="699" t="str">
        <f t="shared" si="783"/>
        <v/>
      </c>
      <c r="AG1043" s="699"/>
      <c r="AH1043" s="699"/>
      <c r="AI1043" s="512">
        <f>IF(H1043="credit",0,IF(AE1043="free",0,IF(AE1043="me",0,IF(G1043&gt;0,(VLOOKUP(A1043,'Discount Lookup'!J:K,2)*G1043),0))))</f>
        <v>0</v>
      </c>
      <c r="AJ1043" s="513" t="str">
        <f t="shared" ca="1" si="784"/>
        <v/>
      </c>
      <c r="AK1043" s="700" t="str">
        <f t="shared" si="785"/>
        <v/>
      </c>
      <c r="AL1043" s="700"/>
      <c r="AM1043" s="505" t="str">
        <f t="shared" si="786"/>
        <v/>
      </c>
      <c r="AN1043" s="506"/>
      <c r="AO1043" s="507"/>
      <c r="AP1043" s="507"/>
      <c r="AQ1043" s="507"/>
      <c r="AR1043" s="507"/>
      <c r="AS1043" s="507"/>
      <c r="AT1043" s="507"/>
      <c r="AU1043" s="507"/>
      <c r="AV1043" s="225"/>
      <c r="AW1043" s="508"/>
      <c r="AX1043" s="225"/>
      <c r="AY1043" s="225"/>
      <c r="AZ1043" s="225"/>
      <c r="BA1043" s="225"/>
      <c r="BB1043" s="225"/>
      <c r="BC1043" s="56"/>
      <c r="BD1043" s="56"/>
      <c r="BE1043" s="56"/>
      <c r="BF1043" s="107" t="str">
        <f t="shared" si="787"/>
        <v>https://www.google.com/search?tbm=isch&amp;q=7%20G4</v>
      </c>
      <c r="BG1043" s="107" t="str">
        <f t="shared" si="788"/>
        <v>D</v>
      </c>
      <c r="BH1043" s="254"/>
      <c r="BI1043" s="254"/>
    </row>
    <row r="1044" spans="1:61" customFormat="1" ht="15.75" x14ac:dyDescent="0.25">
      <c r="A1044" s="276">
        <v>7</v>
      </c>
      <c r="B1044" s="240" t="s">
        <v>291</v>
      </c>
      <c r="C1044" s="241" t="s">
        <v>3420</v>
      </c>
      <c r="D1044" s="242" t="s">
        <v>292</v>
      </c>
      <c r="E1044" s="243">
        <v>104.95</v>
      </c>
      <c r="F1044" s="517" t="s">
        <v>293</v>
      </c>
      <c r="G1044" s="232">
        <v>0</v>
      </c>
      <c r="H1044" s="661" t="str">
        <f>IF(G1044=0,"",IF(F1044="Buy",IF(G1044=1,"plant","plants"),IF(F1044&gt;0.01,"warranty","Error")))</f>
        <v/>
      </c>
      <c r="I1044" s="244">
        <f>IF(H1044="free",0,IF(H1044="credit",((E1044*(F1044))*G1044*-1),IF(F1044="Buy",(E1044*G1044),((E1044*(1-F1044))*G1044))))</f>
        <v>0</v>
      </c>
      <c r="J1044" s="244">
        <f>IF(H1044="warranty",0,(I1044*(_xlfn.SINGLE(SalesTaxPercentage))))</f>
        <v>0</v>
      </c>
      <c r="K1044" s="696">
        <f t="shared" ref="K1044" si="791">I1044+J1044</f>
        <v>0</v>
      </c>
      <c r="L1044" s="696"/>
      <c r="M1044" s="659" t="str">
        <f>IF(AND(G1044&gt;0,E1044=0),"WARNING - no PRICE inserted",IF(H1044="free"," FREE ~ no charge this plant",IF(H1044="credit",CONCATENATE(" -$",ROUND(K1044*(1-T2GDiscount)*-1,2)," CREDIT after discount"),IF(T2GDiscount=0,"",IF(G1044=0,"",IF(F1044="Buy",CONCATENATE(" $",ROUND(K1044*(1-T2GDiscount),2)," with ",(T2GDiscount*100),"% discount"),CONCATENATE(" $",ROUND(K1044*(1-T2GDiscount),2)," with ",((T2GDiscount*100+F1044*100)-(T2GDiscount*100*F1044)),IF(F1044&gt;0,"% discounts",IF(NoWarrantyDiscount&gt;0,"% discounts","% discount")))))))))</f>
        <v/>
      </c>
      <c r="N1044" s="660"/>
      <c r="O1044" s="233"/>
      <c r="P1044" s="233"/>
      <c r="Q1044" s="233"/>
      <c r="R1044" s="233"/>
      <c r="S1044" s="233"/>
      <c r="T1044" s="508">
        <f t="shared" si="776"/>
        <v>0</v>
      </c>
      <c r="U1044" s="225">
        <f>IF(NOT(ISNUMBER(G1044)), "", VLOOKUP(A1044,'Discount Lookup'!D:E,2,FALSE)*G1044)</f>
        <v>0</v>
      </c>
      <c r="V1044" s="225">
        <f>IF(NOT(ISNUMBER(G1044)), "", VLOOKUP(A1044,'Discount Lookup'!G:H,2,FALSE)*G1044)</f>
        <v>0</v>
      </c>
      <c r="W1044" s="508">
        <f t="shared" si="777"/>
        <v>0</v>
      </c>
      <c r="X1044" s="508">
        <f t="shared" si="778"/>
        <v>0</v>
      </c>
      <c r="Y1044" s="509" t="b">
        <f t="shared" si="779"/>
        <v>0</v>
      </c>
      <c r="Z1044" s="510">
        <f t="shared" si="780"/>
        <v>0</v>
      </c>
      <c r="AA1044" s="511"/>
      <c r="AB1044" s="511" t="str">
        <f t="shared" si="781"/>
        <v/>
      </c>
      <c r="AC1044" s="698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698"/>
      <c r="AE1044" s="631" t="str">
        <f t="shared" si="782"/>
        <v/>
      </c>
      <c r="AF1044" s="699" t="str">
        <f t="shared" si="783"/>
        <v/>
      </c>
      <c r="AG1044" s="699"/>
      <c r="AH1044" s="699"/>
      <c r="AI1044" s="512">
        <f>IF(H1044="credit",0,IF(AE1044="free",0,IF(AE1044="me",0,IF(G1044&gt;0,(VLOOKUP(A1044,'Discount Lookup'!J:K,2)*G1044),0))))</f>
        <v>0</v>
      </c>
      <c r="AJ1044" s="513" t="str">
        <f t="shared" ca="1" si="784"/>
        <v/>
      </c>
      <c r="AK1044" s="700" t="str">
        <f t="shared" si="785"/>
        <v/>
      </c>
      <c r="AL1044" s="700"/>
      <c r="AM1044" s="505" t="str">
        <f t="shared" si="786"/>
        <v/>
      </c>
      <c r="AN1044" s="506"/>
      <c r="AO1044" s="507"/>
      <c r="AP1044" s="507"/>
      <c r="AQ1044" s="507"/>
      <c r="AR1044" s="507"/>
      <c r="AS1044" s="507"/>
      <c r="AT1044" s="507"/>
      <c r="AU1044" s="507"/>
      <c r="AV1044" s="225"/>
      <c r="AW1044" s="508"/>
      <c r="AX1044" s="225"/>
      <c r="AY1044" s="225"/>
      <c r="AZ1044" s="225"/>
      <c r="BA1044" s="225"/>
      <c r="BB1044" s="225"/>
      <c r="BC1044" s="56"/>
      <c r="BD1044" s="56"/>
      <c r="BE1044" s="56"/>
      <c r="BF1044" s="107" t="str">
        <f t="shared" si="787"/>
        <v>https://www.google.com/search?tbm=isch&amp;q=7%20G4</v>
      </c>
      <c r="BG1044" s="107" t="str">
        <f t="shared" si="788"/>
        <v>D</v>
      </c>
      <c r="BH1044" s="254"/>
      <c r="BI1044" s="254"/>
    </row>
    <row r="1045" spans="1:61" customFormat="1" ht="15.75" x14ac:dyDescent="0.25">
      <c r="A1045" s="276">
        <v>10</v>
      </c>
      <c r="B1045" s="240" t="s">
        <v>291</v>
      </c>
      <c r="C1045" s="241" t="s">
        <v>3421</v>
      </c>
      <c r="D1045" s="242" t="s">
        <v>292</v>
      </c>
      <c r="E1045" s="243">
        <v>125.95</v>
      </c>
      <c r="F1045" s="517" t="s">
        <v>293</v>
      </c>
      <c r="G1045" s="232">
        <v>0</v>
      </c>
      <c r="H1045" s="661" t="str">
        <f>IF(G1045=0,"",IF(F1045="Buy",IF(G1045=1,"plant","plants"),IF(F1045&gt;0.01,"warranty","Error")))</f>
        <v/>
      </c>
      <c r="I1045" s="244">
        <f>IF(H1045="free",0,IF(H1045="credit",((E1045*(F1045))*G1045*-1),IF(F1045="Buy",(E1045*G1045),((E1045*(1-F1045))*G1045))))</f>
        <v>0</v>
      </c>
      <c r="J1045" s="244">
        <f>IF(H1045="warranty",0,(I1045*(_xlfn.SINGLE(SalesTaxPercentage))))</f>
        <v>0</v>
      </c>
      <c r="K1045" s="696">
        <f t="shared" ref="K1045" si="792">I1045+J1045</f>
        <v>0</v>
      </c>
      <c r="L1045" s="696"/>
      <c r="M1045" s="659" t="str">
        <f>IF(AND(G1045&gt;0,E1045=0),"WARNING - no PRICE inserted",IF(H1045="free"," FREE ~ no charge this plant",IF(H1045="credit",CONCATENATE(" -$",ROUND(K1045*(1-T2GDiscount)*-1,2)," CREDIT after discount"),IF(T2GDiscount=0,"",IF(G1045=0,"",IF(F1045="Buy",CONCATENATE(" $",ROUND(K1045*(1-T2GDiscount),2)," with ",(T2GDiscount*100),"% discount"),CONCATENATE(" $",ROUND(K1045*(1-T2GDiscount),2)," with ",((T2GDiscount*100+F1045*100)-(T2GDiscount*100*F1045)),IF(F1045&gt;0,"% discounts",IF(NoWarrantyDiscount&gt;0,"% discounts","% discount")))))))))</f>
        <v/>
      </c>
      <c r="N1045" s="660"/>
      <c r="O1045" s="233"/>
      <c r="P1045" s="233"/>
      <c r="Q1045" s="233"/>
      <c r="R1045" s="233"/>
      <c r="S1045" s="233"/>
      <c r="T1045" s="508">
        <f t="shared" si="776"/>
        <v>0</v>
      </c>
      <c r="U1045" s="225">
        <f>IF(NOT(ISNUMBER(G1045)), "", VLOOKUP(A1045,'Discount Lookup'!D:E,2,FALSE)*G1045)</f>
        <v>0</v>
      </c>
      <c r="V1045" s="225">
        <f>IF(NOT(ISNUMBER(G1045)), "", VLOOKUP(A1045,'Discount Lookup'!G:H,2,FALSE)*G1045)</f>
        <v>0</v>
      </c>
      <c r="W1045" s="508">
        <f t="shared" si="777"/>
        <v>0</v>
      </c>
      <c r="X1045" s="508">
        <f t="shared" si="778"/>
        <v>0</v>
      </c>
      <c r="Y1045" s="509" t="b">
        <f t="shared" si="779"/>
        <v>0</v>
      </c>
      <c r="Z1045" s="510">
        <f t="shared" si="780"/>
        <v>0</v>
      </c>
      <c r="AA1045" s="511"/>
      <c r="AB1045" s="511" t="str">
        <f t="shared" si="781"/>
        <v/>
      </c>
      <c r="AC1045" s="698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698"/>
      <c r="AE1045" s="631" t="str">
        <f t="shared" si="782"/>
        <v/>
      </c>
      <c r="AF1045" s="699" t="str">
        <f t="shared" si="783"/>
        <v/>
      </c>
      <c r="AG1045" s="699"/>
      <c r="AH1045" s="699"/>
      <c r="AI1045" s="512">
        <f>IF(H1045="credit",0,IF(AE1045="free",0,IF(AE1045="me",0,IF(G1045&gt;0,(VLOOKUP(A1045,'Discount Lookup'!J:K,2)*G1045),0))))</f>
        <v>0</v>
      </c>
      <c r="AJ1045" s="513" t="str">
        <f t="shared" ca="1" si="784"/>
        <v/>
      </c>
      <c r="AK1045" s="700" t="str">
        <f t="shared" si="785"/>
        <v/>
      </c>
      <c r="AL1045" s="700"/>
      <c r="AM1045" s="505" t="str">
        <f t="shared" si="786"/>
        <v/>
      </c>
      <c r="AN1045" s="506"/>
      <c r="AO1045" s="507"/>
      <c r="AP1045" s="507"/>
      <c r="AQ1045" s="507"/>
      <c r="AR1045" s="507"/>
      <c r="AS1045" s="507"/>
      <c r="AT1045" s="507"/>
      <c r="AU1045" s="507"/>
      <c r="AV1045" s="225"/>
      <c r="AW1045" s="508"/>
      <c r="AX1045" s="225"/>
      <c r="AY1045" s="225"/>
      <c r="AZ1045" s="225"/>
      <c r="BA1045" s="225"/>
      <c r="BB1045" s="225"/>
      <c r="BC1045" s="56"/>
      <c r="BD1045" s="56"/>
      <c r="BE1045" s="56"/>
      <c r="BF1045" s="107" t="str">
        <f t="shared" si="787"/>
        <v>https://www.google.com/search?tbm=isch&amp;q=10%20G4</v>
      </c>
      <c r="BG1045" s="107" t="str">
        <f t="shared" si="788"/>
        <v>D</v>
      </c>
      <c r="BH1045" s="254"/>
      <c r="BI1045" s="254"/>
    </row>
    <row r="1046" spans="1:61" customFormat="1" ht="15.75" x14ac:dyDescent="0.25">
      <c r="A1046" s="276">
        <v>15</v>
      </c>
      <c r="B1046" s="240" t="s">
        <v>291</v>
      </c>
      <c r="C1046" s="241" t="s">
        <v>3422</v>
      </c>
      <c r="D1046" s="242" t="s">
        <v>292</v>
      </c>
      <c r="E1046" s="243">
        <v>178.95</v>
      </c>
      <c r="F1046" s="517" t="s">
        <v>293</v>
      </c>
      <c r="G1046" s="232">
        <v>0</v>
      </c>
      <c r="H1046" s="661" t="str">
        <f>IF(G1046=0,"",IF(F1046="Buy",IF(G1046=1,"plant","plants"),IF(F1046&gt;0.01,"warranty","Error")))</f>
        <v/>
      </c>
      <c r="I1046" s="244">
        <f>IF(H1046="free",0,IF(H1046="credit",((E1046*(F1046))*G1046*-1),IF(F1046="Buy",(E1046*G1046),((E1046*(1-F1046))*G1046))))</f>
        <v>0</v>
      </c>
      <c r="J1046" s="244">
        <f>IF(H1046="warranty",0,(I1046*(_xlfn.SINGLE(SalesTaxPercentage))))</f>
        <v>0</v>
      </c>
      <c r="K1046" s="696">
        <f t="shared" ref="K1046" si="793">I1046+J1046</f>
        <v>0</v>
      </c>
      <c r="L1046" s="696"/>
      <c r="M1046" s="659" t="str">
        <f>IF(AND(G1046&gt;0,E1046=0),"WARNING - no PRICE inserted",IF(H1046="free"," FREE ~ no charge this plant",IF(H1046="credit",CONCATENATE(" -$",ROUND(K1046*(1-T2GDiscount)*-1,2)," CREDIT after discount"),IF(T2GDiscount=0,"",IF(G1046=0,"",IF(F1046="Buy",CONCATENATE(" $",ROUND(K1046*(1-T2GDiscount),2)," with ",(T2GDiscount*100),"% discount"),CONCATENATE(" $",ROUND(K1046*(1-T2GDiscount),2)," with ",((T2GDiscount*100+F1046*100)-(T2GDiscount*100*F1046)),IF(F1046&gt;0,"% discounts",IF(NoWarrantyDiscount&gt;0,"% discounts","% discount")))))))))</f>
        <v/>
      </c>
      <c r="N1046" s="660"/>
      <c r="O1046" s="233"/>
      <c r="P1046" s="233"/>
      <c r="Q1046" s="233"/>
      <c r="R1046" s="233"/>
      <c r="S1046" s="233"/>
      <c r="T1046" s="508">
        <f t="shared" si="776"/>
        <v>0</v>
      </c>
      <c r="U1046" s="225">
        <f>IF(NOT(ISNUMBER(G1046)), "", VLOOKUP(A1046,'Discount Lookup'!D:E,2,FALSE)*G1046)</f>
        <v>0</v>
      </c>
      <c r="V1046" s="225">
        <f>IF(NOT(ISNUMBER(G1046)), "", VLOOKUP(A1046,'Discount Lookup'!G:H,2,FALSE)*G1046)</f>
        <v>0</v>
      </c>
      <c r="W1046" s="508">
        <f t="shared" si="777"/>
        <v>0</v>
      </c>
      <c r="X1046" s="508">
        <f t="shared" si="778"/>
        <v>0</v>
      </c>
      <c r="Y1046" s="509" t="b">
        <f t="shared" si="779"/>
        <v>0</v>
      </c>
      <c r="Z1046" s="510">
        <f t="shared" si="780"/>
        <v>0</v>
      </c>
      <c r="AA1046" s="511"/>
      <c r="AB1046" s="511" t="str">
        <f t="shared" si="781"/>
        <v/>
      </c>
      <c r="AC1046" s="698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698"/>
      <c r="AE1046" s="631" t="str">
        <f t="shared" si="782"/>
        <v/>
      </c>
      <c r="AF1046" s="699" t="str">
        <f t="shared" si="783"/>
        <v/>
      </c>
      <c r="AG1046" s="699"/>
      <c r="AH1046" s="699"/>
      <c r="AI1046" s="512">
        <f>IF(H1046="credit",0,IF(AE1046="free",0,IF(AE1046="me",0,IF(G1046&gt;0,(VLOOKUP(A1046,'Discount Lookup'!J:K,2)*G1046),0))))</f>
        <v>0</v>
      </c>
      <c r="AJ1046" s="513" t="str">
        <f t="shared" ca="1" si="784"/>
        <v/>
      </c>
      <c r="AK1046" s="700" t="str">
        <f t="shared" si="785"/>
        <v/>
      </c>
      <c r="AL1046" s="700"/>
      <c r="AM1046" s="505" t="str">
        <f t="shared" si="786"/>
        <v/>
      </c>
      <c r="AN1046" s="506"/>
      <c r="AO1046" s="507"/>
      <c r="AP1046" s="507"/>
      <c r="AQ1046" s="507"/>
      <c r="AR1046" s="507"/>
      <c r="AS1046" s="507"/>
      <c r="AT1046" s="507"/>
      <c r="AU1046" s="507"/>
      <c r="AV1046" s="225"/>
      <c r="AW1046" s="508"/>
      <c r="AX1046" s="225"/>
      <c r="AY1046" s="225"/>
      <c r="AZ1046" s="225"/>
      <c r="BA1046" s="225"/>
      <c r="BB1046" s="225"/>
      <c r="BC1046" s="56"/>
      <c r="BD1046" s="56"/>
      <c r="BE1046" s="56"/>
      <c r="BF1046" s="107" t="str">
        <f t="shared" si="787"/>
        <v>https://www.google.com/search?tbm=isch&amp;q=15%20G4</v>
      </c>
      <c r="BG1046" s="107" t="str">
        <f t="shared" si="788"/>
        <v>D</v>
      </c>
      <c r="BH1046" s="254"/>
      <c r="BI1046" s="254"/>
    </row>
    <row r="1047" spans="1:61" customFormat="1" ht="17.25" thickBot="1" x14ac:dyDescent="0.3">
      <c r="A1047" s="524" t="s">
        <v>2131</v>
      </c>
      <c r="B1047" s="245"/>
      <c r="C1047" s="677"/>
      <c r="D1047" s="499"/>
      <c r="E1047" s="499"/>
      <c r="F1047" s="500"/>
      <c r="G1047" s="501"/>
      <c r="H1047" s="502"/>
      <c r="I1047" s="246"/>
      <c r="J1047" s="247"/>
      <c r="K1047" s="503"/>
      <c r="L1047" s="544"/>
      <c r="M1047" s="544"/>
      <c r="N1047" s="500"/>
      <c r="O1047" s="500"/>
      <c r="P1047" s="500"/>
      <c r="Q1047" s="500"/>
      <c r="R1047" s="500"/>
      <c r="S1047" s="669" t="s">
        <v>4976</v>
      </c>
      <c r="T1047" s="508">
        <f t="shared" si="776"/>
        <v>0</v>
      </c>
      <c r="U1047" s="225" t="str">
        <f>IF(NOT(ISNUMBER(G1047)), "", VLOOKUP(A1047,'Discount Lookup'!D:E,2,FALSE)*G1047)</f>
        <v/>
      </c>
      <c r="V1047" s="225" t="str">
        <f>IF(NOT(ISNUMBER(G1047)), "", VLOOKUP(A1047,'Discount Lookup'!G:H,2,FALSE)*G1047)</f>
        <v/>
      </c>
      <c r="W1047" s="508">
        <f t="shared" si="777"/>
        <v>0</v>
      </c>
      <c r="X1047" s="508">
        <f t="shared" si="778"/>
        <v>0</v>
      </c>
      <c r="Y1047" s="509" t="b">
        <f t="shared" si="779"/>
        <v>0</v>
      </c>
      <c r="Z1047" s="510">
        <f t="shared" si="780"/>
        <v>0</v>
      </c>
      <c r="AA1047" s="511"/>
      <c r="AB1047" s="511" t="str">
        <f t="shared" si="781"/>
        <v/>
      </c>
      <c r="AC1047" s="698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698"/>
      <c r="AE1047" s="631" t="str">
        <f t="shared" si="782"/>
        <v/>
      </c>
      <c r="AF1047" s="699" t="str">
        <f t="shared" si="783"/>
        <v/>
      </c>
      <c r="AG1047" s="699"/>
      <c r="AH1047" s="699"/>
      <c r="AI1047" s="512">
        <f>IF(H1047="credit",0,IF(AE1047="free",0,IF(AE1047="me",0,IF(G1047&gt;0,(VLOOKUP(A1047,'Discount Lookup'!J:K,2)*G1047),0))))</f>
        <v>0</v>
      </c>
      <c r="AJ1047" s="513" t="str">
        <f t="shared" ca="1" si="784"/>
        <v/>
      </c>
      <c r="AK1047" s="700" t="str">
        <f t="shared" si="785"/>
        <v/>
      </c>
      <c r="AL1047" s="700"/>
      <c r="AM1047" s="505" t="str">
        <f t="shared" si="786"/>
        <v/>
      </c>
      <c r="AN1047" s="506"/>
      <c r="AO1047" s="507"/>
      <c r="AP1047" s="507"/>
      <c r="AQ1047" s="507"/>
      <c r="AR1047" s="507"/>
      <c r="AS1047" s="507"/>
      <c r="AT1047" s="507"/>
      <c r="AU1047" s="507"/>
      <c r="AV1047" s="225"/>
      <c r="AW1047" s="508"/>
      <c r="AX1047" s="225"/>
      <c r="AY1047" s="225"/>
      <c r="AZ1047" s="225"/>
      <c r="BA1047" s="225"/>
      <c r="BB1047" s="225"/>
      <c r="BC1047" s="56"/>
      <c r="BD1047" s="56"/>
      <c r="BE1047" s="56"/>
      <c r="BF1047" s="107" t="str">
        <f t="shared" si="787"/>
        <v>https://www.google.com/search?tbm=isch&amp;q=Don%20Egolf%20is%20slow%20growing%20and%20very%20disease%20resistant%20</v>
      </c>
      <c r="BG1047" s="107" t="str">
        <f t="shared" si="788"/>
        <v>D</v>
      </c>
      <c r="BH1047" s="254"/>
      <c r="BI1047" s="254"/>
    </row>
    <row r="1048" spans="1:61" customFormat="1" ht="18" x14ac:dyDescent="0.25">
      <c r="A1048" s="523" t="s">
        <v>5389</v>
      </c>
      <c r="B1048" s="235"/>
      <c r="C1048" s="676"/>
      <c r="D1048" s="255" t="s">
        <v>771</v>
      </c>
      <c r="E1048" s="236"/>
      <c r="F1048" s="236"/>
      <c r="G1048" s="236"/>
      <c r="H1048" s="582" t="s">
        <v>441</v>
      </c>
      <c r="I1048" s="498" t="s">
        <v>1496</v>
      </c>
      <c r="J1048" s="237"/>
      <c r="K1048" s="237"/>
      <c r="L1048" s="274"/>
      <c r="M1048" s="670" t="s">
        <v>4973</v>
      </c>
      <c r="N1048" s="681" t="str">
        <f>IF(AND(ISTEXT($A1048), ISERROR($A1048+0)), HYPERLINK($BF1048, "Images"), "")</f>
        <v>Images</v>
      </c>
      <c r="O1048" s="663" t="s">
        <v>4974</v>
      </c>
      <c r="P1048" s="253"/>
      <c r="Q1048" s="238"/>
      <c r="R1048" s="239"/>
      <c r="S1048" s="275"/>
      <c r="T1048" s="508">
        <f t="shared" si="776"/>
        <v>0</v>
      </c>
      <c r="U1048" s="225" t="str">
        <f>IF(NOT(ISNUMBER(G1048)), "", VLOOKUP(A1048,'Discount Lookup'!D:E,2,FALSE)*G1048)</f>
        <v/>
      </c>
      <c r="V1048" s="225" t="str">
        <f>IF(NOT(ISNUMBER(G1048)), "", VLOOKUP(A1048,'Discount Lookup'!G:H,2,FALSE)*G1048)</f>
        <v/>
      </c>
      <c r="W1048" s="508">
        <f t="shared" si="777"/>
        <v>0</v>
      </c>
      <c r="X1048" s="508" t="str">
        <f t="shared" si="778"/>
        <v>Pink to Blue bloom</v>
      </c>
      <c r="Y1048" s="509" t="b">
        <f t="shared" si="779"/>
        <v>0</v>
      </c>
      <c r="Z1048" s="510">
        <f t="shared" si="780"/>
        <v>0</v>
      </c>
      <c r="AA1048" s="511"/>
      <c r="AB1048" s="511" t="str">
        <f t="shared" si="781"/>
        <v/>
      </c>
      <c r="AC1048" s="698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698"/>
      <c r="AE1048" s="631" t="str">
        <f t="shared" si="782"/>
        <v/>
      </c>
      <c r="AF1048" s="699" t="str">
        <f t="shared" si="783"/>
        <v/>
      </c>
      <c r="AG1048" s="699"/>
      <c r="AH1048" s="699"/>
      <c r="AI1048" s="512">
        <f>IF(H1048="credit",0,IF(AE1048="free",0,IF(AE1048="me",0,IF(G1048&gt;0,(VLOOKUP(A1048,'Discount Lookup'!J:K,2)*G1048),0))))</f>
        <v>0</v>
      </c>
      <c r="AJ1048" s="513" t="str">
        <f t="shared" ca="1" si="784"/>
        <v/>
      </c>
      <c r="AK1048" s="700" t="str">
        <f t="shared" si="785"/>
        <v/>
      </c>
      <c r="AL1048" s="700"/>
      <c r="AM1048" s="505" t="str">
        <f t="shared" si="786"/>
        <v/>
      </c>
      <c r="AN1048" s="506"/>
      <c r="AO1048" s="507"/>
      <c r="AP1048" s="507"/>
      <c r="AQ1048" s="507"/>
      <c r="AR1048" s="507"/>
      <c r="AS1048" s="507"/>
      <c r="AT1048" s="507"/>
      <c r="AU1048" s="507"/>
      <c r="AV1048" s="225"/>
      <c r="AW1048" s="508"/>
      <c r="AX1048" s="225"/>
      <c r="AY1048" s="225"/>
      <c r="AZ1048" s="225"/>
      <c r="BA1048" s="225"/>
      <c r="BB1048" s="225"/>
      <c r="BC1048" s="56"/>
      <c r="BD1048" s="56"/>
      <c r="BE1048" s="56"/>
      <c r="BF1048" s="107" t="str">
        <f t="shared" si="787"/>
        <v>https://www.google.com/search?tbm=isch&amp;q=Double%20Down%C2%AE%20Bigleaf%20Hydrangea%20Hyd.%20macrophylla%20%27Hydrsrpdow%27%20PP%2329836P2</v>
      </c>
      <c r="BG1048" s="107" t="str">
        <f t="shared" si="788"/>
        <v>D</v>
      </c>
      <c r="BH1048" s="254"/>
      <c r="BI1048" s="254"/>
    </row>
    <row r="1049" spans="1:61" customFormat="1" ht="15.75" x14ac:dyDescent="0.25">
      <c r="A1049" s="276">
        <v>3</v>
      </c>
      <c r="B1049" s="240" t="s">
        <v>291</v>
      </c>
      <c r="C1049" s="241" t="s">
        <v>4744</v>
      </c>
      <c r="D1049" s="242" t="s">
        <v>312</v>
      </c>
      <c r="E1049" s="243">
        <v>30.95</v>
      </c>
      <c r="F1049" s="517" t="s">
        <v>293</v>
      </c>
      <c r="G1049" s="232">
        <v>0</v>
      </c>
      <c r="H1049" s="661" t="str">
        <f>IF(G1049=0,"",IF(F1049="Buy",IF(G1049=1,"plant","plants"),IF(F1049&gt;0.01,"warranty","Error")))</f>
        <v/>
      </c>
      <c r="I1049" s="244">
        <f>IF(H1049="free",0,IF(H1049="credit",((E1049*(F1049))*G1049*-1),IF(F1049="Buy",(E1049*G1049),((E1049*(1-F1049))*G1049))))</f>
        <v>0</v>
      </c>
      <c r="J1049" s="244">
        <f>IF(H1049="warranty",0,(I1049*(_xlfn.SINGLE(SalesTaxPercentage))))</f>
        <v>0</v>
      </c>
      <c r="K1049" s="696">
        <f t="shared" ref="K1049" si="794">I1049+J1049</f>
        <v>0</v>
      </c>
      <c r="L1049" s="696"/>
      <c r="M1049" s="659" t="str">
        <f>IF(AND(G1049&gt;0,E1049=0),"WARNING - no PRICE inserted",IF(H1049="free"," FREE ~ no charge this plant",IF(H1049="credit",CONCATENATE(" -$",ROUND(K1049*(1-T2GDiscount)*-1,2)," CREDIT after discount"),IF(T2GDiscount=0,"",IF(G1049=0,"",IF(F1049="Buy",CONCATENATE(" $",ROUND(K1049*(1-T2GDiscount),2)," with ",(T2GDiscount*100),"% discount"),CONCATENATE(" $",ROUND(K1049*(1-T2GDiscount),2)," with ",((T2GDiscount*100+F1049*100)-(T2GDiscount*100*F1049)),IF(F1049&gt;0,"% discounts",IF(NoWarrantyDiscount&gt;0,"% discounts","% discount")))))))))</f>
        <v/>
      </c>
      <c r="N1049" s="660"/>
      <c r="O1049" s="233"/>
      <c r="P1049" s="233"/>
      <c r="Q1049" s="233"/>
      <c r="R1049" s="233"/>
      <c r="S1049" s="233"/>
      <c r="T1049" s="508">
        <f t="shared" si="776"/>
        <v>0</v>
      </c>
      <c r="U1049" s="225">
        <f>IF(NOT(ISNUMBER(G1049)), "", VLOOKUP(A1049,'Discount Lookup'!D:E,2,FALSE)*G1049)</f>
        <v>0</v>
      </c>
      <c r="V1049" s="225">
        <f>IF(NOT(ISNUMBER(G1049)), "", VLOOKUP(A1049,'Discount Lookup'!G:H,2,FALSE)*G1049)</f>
        <v>0</v>
      </c>
      <c r="W1049" s="508">
        <f t="shared" si="777"/>
        <v>0</v>
      </c>
      <c r="X1049" s="508">
        <f t="shared" si="778"/>
        <v>0</v>
      </c>
      <c r="Y1049" s="509" t="b">
        <f t="shared" si="779"/>
        <v>0</v>
      </c>
      <c r="Z1049" s="510">
        <f t="shared" si="780"/>
        <v>0</v>
      </c>
      <c r="AA1049" s="511"/>
      <c r="AB1049" s="511" t="str">
        <f t="shared" si="781"/>
        <v/>
      </c>
      <c r="AC1049" s="698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698"/>
      <c r="AE1049" s="631" t="str">
        <f t="shared" si="782"/>
        <v/>
      </c>
      <c r="AF1049" s="699" t="str">
        <f t="shared" si="783"/>
        <v/>
      </c>
      <c r="AG1049" s="699"/>
      <c r="AH1049" s="699"/>
      <c r="AI1049" s="512">
        <f>IF(H1049="credit",0,IF(AE1049="free",0,IF(AE1049="me",0,IF(G1049&gt;0,(VLOOKUP(A1049,'Discount Lookup'!J:K,2)*G1049),0))))</f>
        <v>0</v>
      </c>
      <c r="AJ1049" s="513" t="str">
        <f t="shared" ca="1" si="784"/>
        <v/>
      </c>
      <c r="AK1049" s="700" t="str">
        <f t="shared" si="785"/>
        <v/>
      </c>
      <c r="AL1049" s="700"/>
      <c r="AM1049" s="505" t="str">
        <f t="shared" si="786"/>
        <v/>
      </c>
      <c r="AN1049" s="506"/>
      <c r="AO1049" s="507"/>
      <c r="AP1049" s="507"/>
      <c r="AQ1049" s="507"/>
      <c r="AR1049" s="507"/>
      <c r="AS1049" s="507"/>
      <c r="AT1049" s="507"/>
      <c r="AU1049" s="507"/>
      <c r="AV1049" s="225"/>
      <c r="AW1049" s="508"/>
      <c r="AX1049" s="225"/>
      <c r="AY1049" s="225"/>
      <c r="AZ1049" s="225"/>
      <c r="BA1049" s="225"/>
      <c r="BB1049" s="225"/>
      <c r="BC1049" s="56"/>
      <c r="BD1049" s="56"/>
      <c r="BE1049" s="56"/>
      <c r="BF1049" s="107" t="str">
        <f t="shared" si="787"/>
        <v>https://www.google.com/search?tbm=isch&amp;q=3%20G2</v>
      </c>
      <c r="BG1049" s="107" t="str">
        <f t="shared" si="788"/>
        <v>D</v>
      </c>
      <c r="BH1049" s="254"/>
      <c r="BI1049" s="254"/>
    </row>
    <row r="1050" spans="1:61" customFormat="1" ht="15.75" x14ac:dyDescent="0.25">
      <c r="A1050" s="276">
        <v>3</v>
      </c>
      <c r="B1050" s="240" t="s">
        <v>291</v>
      </c>
      <c r="C1050" s="241" t="s">
        <v>341</v>
      </c>
      <c r="D1050" s="242" t="s">
        <v>298</v>
      </c>
      <c r="E1050" s="243">
        <v>32.950000000000003</v>
      </c>
      <c r="F1050" s="517" t="s">
        <v>293</v>
      </c>
      <c r="G1050" s="232">
        <v>0</v>
      </c>
      <c r="H1050" s="661" t="str">
        <f>IF(G1050=0,"",IF(F1050="Buy",IF(G1050=1,"plant","plants"),IF(F1050&gt;0.01,"warranty","Error")))</f>
        <v/>
      </c>
      <c r="I1050" s="244">
        <f>IF(H1050="free",0,IF(H1050="credit",((E1050*(F1050))*G1050*-1),IF(F1050="Buy",(E1050*G1050),((E1050*(1-F1050))*G1050))))</f>
        <v>0</v>
      </c>
      <c r="J1050" s="244">
        <f>IF(H1050="warranty",0,(I1050*(_xlfn.SINGLE(SalesTaxPercentage))))</f>
        <v>0</v>
      </c>
      <c r="K1050" s="696">
        <f t="shared" ref="K1050" si="795">I1050+J1050</f>
        <v>0</v>
      </c>
      <c r="L1050" s="696"/>
      <c r="M1050" s="659" t="str">
        <f>IF(AND(G1050&gt;0,E1050=0),"WARNING - no PRICE inserted",IF(H1050="free"," FREE ~ no charge this plant",IF(H1050="credit",CONCATENATE(" -$",ROUND(K1050*(1-T2GDiscount)*-1,2)," CREDIT after discount"),IF(T2GDiscount=0,"",IF(G1050=0,"",IF(F1050="Buy",CONCATENATE(" $",ROUND(K1050*(1-T2GDiscount),2)," with ",(T2GDiscount*100),"% discount"),CONCATENATE(" $",ROUND(K1050*(1-T2GDiscount),2)," with ",((T2GDiscount*100+F1050*100)-(T2GDiscount*100*F1050)),IF(F1050&gt;0,"% discounts",IF(NoWarrantyDiscount&gt;0,"% discounts","% discount")))))))))</f>
        <v/>
      </c>
      <c r="N1050" s="660"/>
      <c r="O1050" s="233"/>
      <c r="P1050" s="233"/>
      <c r="Q1050" s="233"/>
      <c r="R1050" s="233"/>
      <c r="S1050" s="233"/>
      <c r="T1050" s="508">
        <f t="shared" si="776"/>
        <v>0</v>
      </c>
      <c r="U1050" s="225">
        <f>IF(NOT(ISNUMBER(G1050)), "", VLOOKUP(A1050,'Discount Lookup'!D:E,2,FALSE)*G1050)</f>
        <v>0</v>
      </c>
      <c r="V1050" s="225">
        <f>IF(NOT(ISNUMBER(G1050)), "", VLOOKUP(A1050,'Discount Lookup'!G:H,2,FALSE)*G1050)</f>
        <v>0</v>
      </c>
      <c r="W1050" s="508">
        <f t="shared" si="777"/>
        <v>0</v>
      </c>
      <c r="X1050" s="508">
        <f t="shared" si="778"/>
        <v>0</v>
      </c>
      <c r="Y1050" s="509" t="b">
        <f t="shared" si="779"/>
        <v>0</v>
      </c>
      <c r="Z1050" s="510">
        <f t="shared" si="780"/>
        <v>0</v>
      </c>
      <c r="AA1050" s="511"/>
      <c r="AB1050" s="511" t="str">
        <f t="shared" si="781"/>
        <v/>
      </c>
      <c r="AC1050" s="698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698"/>
      <c r="AE1050" s="631" t="str">
        <f t="shared" si="782"/>
        <v/>
      </c>
      <c r="AF1050" s="699" t="str">
        <f t="shared" si="783"/>
        <v/>
      </c>
      <c r="AG1050" s="699"/>
      <c r="AH1050" s="699"/>
      <c r="AI1050" s="512">
        <f>IF(H1050="credit",0,IF(AE1050="free",0,IF(AE1050="me",0,IF(G1050&gt;0,(VLOOKUP(A1050,'Discount Lookup'!J:K,2)*G1050),0))))</f>
        <v>0</v>
      </c>
      <c r="AJ1050" s="513" t="str">
        <f t="shared" ca="1" si="784"/>
        <v/>
      </c>
      <c r="AK1050" s="700" t="str">
        <f t="shared" si="785"/>
        <v/>
      </c>
      <c r="AL1050" s="700"/>
      <c r="AM1050" s="505" t="str">
        <f t="shared" si="786"/>
        <v/>
      </c>
      <c r="AN1050" s="506"/>
      <c r="AO1050" s="507"/>
      <c r="AP1050" s="507"/>
      <c r="AQ1050" s="507"/>
      <c r="AR1050" s="507"/>
      <c r="AS1050" s="507"/>
      <c r="AT1050" s="507"/>
      <c r="AU1050" s="507"/>
      <c r="AV1050" s="225"/>
      <c r="AW1050" s="508"/>
      <c r="AX1050" s="225"/>
      <c r="AY1050" s="225"/>
      <c r="AZ1050" s="225"/>
      <c r="BA1050" s="225"/>
      <c r="BB1050" s="225"/>
      <c r="BC1050" s="56"/>
      <c r="BD1050" s="56"/>
      <c r="BE1050" s="56"/>
      <c r="BF1050" s="107" t="str">
        <f t="shared" si="787"/>
        <v>https://www.google.com/search?tbm=isch&amp;q=3%20G1</v>
      </c>
      <c r="BG1050" s="107" t="str">
        <f t="shared" si="788"/>
        <v>D</v>
      </c>
      <c r="BH1050" s="254"/>
      <c r="BI1050" s="254"/>
    </row>
    <row r="1051" spans="1:61" customFormat="1" ht="15.75" x14ac:dyDescent="0.25">
      <c r="A1051" s="276">
        <v>3</v>
      </c>
      <c r="B1051" s="240" t="s">
        <v>291</v>
      </c>
      <c r="C1051" s="241" t="s">
        <v>2738</v>
      </c>
      <c r="D1051" s="242" t="s">
        <v>297</v>
      </c>
      <c r="E1051" s="243">
        <v>32.950000000000003</v>
      </c>
      <c r="F1051" s="517" t="s">
        <v>293</v>
      </c>
      <c r="G1051" s="232">
        <v>0</v>
      </c>
      <c r="H1051" s="661" t="str">
        <f>IF(G1051=0,"",IF(F1051="Buy",IF(G1051=1,"plant","plants"),IF(F1051&gt;0.01,"warranty","Error")))</f>
        <v/>
      </c>
      <c r="I1051" s="244">
        <f>IF(H1051="free",0,IF(H1051="credit",((E1051*(F1051))*G1051*-1),IF(F1051="Buy",(E1051*G1051),((E1051*(1-F1051))*G1051))))</f>
        <v>0</v>
      </c>
      <c r="J1051" s="244">
        <f>IF(H1051="warranty",0,(I1051*(_xlfn.SINGLE(SalesTaxPercentage))))</f>
        <v>0</v>
      </c>
      <c r="K1051" s="696">
        <f t="shared" ref="K1051" si="796">I1051+J1051</f>
        <v>0</v>
      </c>
      <c r="L1051" s="696"/>
      <c r="M1051" s="659" t="str">
        <f>IF(AND(G1051&gt;0,E1051=0),"WARNING - no PRICE inserted",IF(H1051="free"," FREE ~ no charge this plant",IF(H1051="credit",CONCATENATE(" -$",ROUND(K1051*(1-T2GDiscount)*-1,2)," CREDIT after discount"),IF(T2GDiscount=0,"",IF(G1051=0,"",IF(F1051="Buy",CONCATENATE(" $",ROUND(K1051*(1-T2GDiscount),2)," with ",(T2GDiscount*100),"% discount"),CONCATENATE(" $",ROUND(K1051*(1-T2GDiscount),2)," with ",((T2GDiscount*100+F1051*100)-(T2GDiscount*100*F1051)),IF(F1051&gt;0,"% discounts",IF(NoWarrantyDiscount&gt;0,"% discounts","% discount")))))))))</f>
        <v/>
      </c>
      <c r="N1051" s="660"/>
      <c r="O1051" s="233"/>
      <c r="P1051" s="233"/>
      <c r="Q1051" s="233"/>
      <c r="R1051" s="233"/>
      <c r="S1051" s="233"/>
      <c r="T1051" s="508">
        <f t="shared" si="776"/>
        <v>0</v>
      </c>
      <c r="U1051" s="225">
        <f>IF(NOT(ISNUMBER(G1051)), "", VLOOKUP(A1051,'Discount Lookup'!D:E,2,FALSE)*G1051)</f>
        <v>0</v>
      </c>
      <c r="V1051" s="225">
        <f>IF(NOT(ISNUMBER(G1051)), "", VLOOKUP(A1051,'Discount Lookup'!G:H,2,FALSE)*G1051)</f>
        <v>0</v>
      </c>
      <c r="W1051" s="508">
        <f t="shared" si="777"/>
        <v>0</v>
      </c>
      <c r="X1051" s="508">
        <f t="shared" si="778"/>
        <v>0</v>
      </c>
      <c r="Y1051" s="509" t="b">
        <f t="shared" si="779"/>
        <v>0</v>
      </c>
      <c r="Z1051" s="510">
        <f t="shared" si="780"/>
        <v>0</v>
      </c>
      <c r="AA1051" s="511"/>
      <c r="AB1051" s="511" t="str">
        <f t="shared" si="781"/>
        <v/>
      </c>
      <c r="AC1051" s="698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698"/>
      <c r="AE1051" s="631" t="str">
        <f t="shared" si="782"/>
        <v/>
      </c>
      <c r="AF1051" s="699" t="str">
        <f t="shared" si="783"/>
        <v/>
      </c>
      <c r="AG1051" s="699"/>
      <c r="AH1051" s="699"/>
      <c r="AI1051" s="512">
        <f>IF(H1051="credit",0,IF(AE1051="free",0,IF(AE1051="me",0,IF(G1051&gt;0,(VLOOKUP(A1051,'Discount Lookup'!J:K,2)*G1051),0))))</f>
        <v>0</v>
      </c>
      <c r="AJ1051" s="513" t="str">
        <f t="shared" ca="1" si="784"/>
        <v/>
      </c>
      <c r="AK1051" s="700" t="str">
        <f t="shared" si="785"/>
        <v/>
      </c>
      <c r="AL1051" s="700"/>
      <c r="AM1051" s="505" t="str">
        <f t="shared" si="786"/>
        <v/>
      </c>
      <c r="AN1051" s="506"/>
      <c r="AO1051" s="507"/>
      <c r="AP1051" s="507"/>
      <c r="AQ1051" s="507"/>
      <c r="AR1051" s="507"/>
      <c r="AS1051" s="507"/>
      <c r="AT1051" s="507"/>
      <c r="AU1051" s="507"/>
      <c r="AV1051" s="225"/>
      <c r="AW1051" s="508"/>
      <c r="AX1051" s="225"/>
      <c r="AY1051" s="225"/>
      <c r="AZ1051" s="225"/>
      <c r="BA1051" s="225"/>
      <c r="BB1051" s="225"/>
      <c r="BC1051" s="56"/>
      <c r="BD1051" s="56"/>
      <c r="BE1051" s="56"/>
      <c r="BF1051" s="107" t="str">
        <f t="shared" si="787"/>
        <v>https://www.google.com/search?tbm=isch&amp;q=3%20G3</v>
      </c>
      <c r="BG1051" s="107" t="str">
        <f t="shared" si="788"/>
        <v>D</v>
      </c>
      <c r="BH1051" s="254"/>
      <c r="BI1051" s="254"/>
    </row>
    <row r="1052" spans="1:61" customFormat="1" ht="17.25" thickBot="1" x14ac:dyDescent="0.3">
      <c r="A1052" s="673" t="s">
        <v>5093</v>
      </c>
      <c r="B1052" s="245"/>
      <c r="C1052" s="677"/>
      <c r="D1052" s="499"/>
      <c r="E1052" s="499"/>
      <c r="F1052" s="500"/>
      <c r="G1052" s="501"/>
      <c r="H1052" s="502"/>
      <c r="I1052" s="246"/>
      <c r="J1052" s="247"/>
      <c r="K1052" s="503"/>
      <c r="L1052" s="544"/>
      <c r="M1052" s="544"/>
      <c r="N1052" s="500"/>
      <c r="O1052" s="500"/>
      <c r="P1052" s="500"/>
      <c r="Q1052" s="500"/>
      <c r="R1052" s="500"/>
      <c r="S1052" s="278"/>
      <c r="T1052" s="508">
        <f t="shared" si="776"/>
        <v>0</v>
      </c>
      <c r="U1052" s="225" t="str">
        <f>IF(NOT(ISNUMBER(G1052)), "", VLOOKUP(A1052,'Discount Lookup'!D:E,2,FALSE)*G1052)</f>
        <v/>
      </c>
      <c r="V1052" s="225" t="str">
        <f>IF(NOT(ISNUMBER(G1052)), "", VLOOKUP(A1052,'Discount Lookup'!G:H,2,FALSE)*G1052)</f>
        <v/>
      </c>
      <c r="W1052" s="508">
        <f t="shared" si="777"/>
        <v>0</v>
      </c>
      <c r="X1052" s="508">
        <f t="shared" si="778"/>
        <v>0</v>
      </c>
      <c r="Y1052" s="509" t="b">
        <f t="shared" si="779"/>
        <v>0</v>
      </c>
      <c r="Z1052" s="510">
        <f t="shared" si="780"/>
        <v>0</v>
      </c>
      <c r="AA1052" s="511"/>
      <c r="AB1052" s="511" t="str">
        <f t="shared" si="781"/>
        <v/>
      </c>
      <c r="AC1052" s="698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698"/>
      <c r="AE1052" s="631" t="str">
        <f t="shared" si="782"/>
        <v/>
      </c>
      <c r="AF1052" s="699" t="str">
        <f t="shared" si="783"/>
        <v/>
      </c>
      <c r="AG1052" s="699"/>
      <c r="AH1052" s="699"/>
      <c r="AI1052" s="512">
        <f>IF(H1052="credit",0,IF(AE1052="free",0,IF(AE1052="me",0,IF(G1052&gt;0,(VLOOKUP(A1052,'Discount Lookup'!J:K,2)*G1052),0))))</f>
        <v>0</v>
      </c>
      <c r="AJ1052" s="513" t="str">
        <f t="shared" ca="1" si="784"/>
        <v/>
      </c>
      <c r="AK1052" s="700" t="str">
        <f t="shared" si="785"/>
        <v/>
      </c>
      <c r="AL1052" s="700"/>
      <c r="AM1052" s="505" t="str">
        <f t="shared" si="786"/>
        <v/>
      </c>
      <c r="AN1052" s="506"/>
      <c r="AO1052" s="507"/>
      <c r="AP1052" s="507"/>
      <c r="AQ1052" s="507"/>
      <c r="AR1052" s="507"/>
      <c r="AS1052" s="507"/>
      <c r="AT1052" s="507"/>
      <c r="AU1052" s="507"/>
      <c r="AV1052" s="225"/>
      <c r="AW1052" s="508"/>
      <c r="AX1052" s="225"/>
      <c r="AY1052" s="225"/>
      <c r="AZ1052" s="225"/>
      <c r="BA1052" s="225"/>
      <c r="BB1052" s="225"/>
      <c r="BC1052" s="56"/>
      <c r="BD1052" s="56"/>
      <c r="BE1052" s="56"/>
      <c r="BF1052" s="107" t="str">
        <f t="shared" si="787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052" s="107" t="str">
        <f t="shared" si="788"/>
        <v>m</v>
      </c>
      <c r="BH1052" s="254"/>
      <c r="BI1052" s="254"/>
    </row>
    <row r="1053" spans="1:61" customFormat="1" ht="18" x14ac:dyDescent="0.25">
      <c r="A1053" s="523" t="s">
        <v>5390</v>
      </c>
      <c r="B1053" s="235"/>
      <c r="C1053" s="676"/>
      <c r="D1053" s="255" t="s">
        <v>772</v>
      </c>
      <c r="E1053" s="236"/>
      <c r="F1053" s="236"/>
      <c r="G1053" s="236"/>
      <c r="H1053" s="582" t="s">
        <v>1521</v>
      </c>
      <c r="I1053" s="498" t="s">
        <v>2132</v>
      </c>
      <c r="J1053" s="237"/>
      <c r="K1053" s="237"/>
      <c r="L1053" s="274"/>
      <c r="M1053" s="668" t="s">
        <v>4962</v>
      </c>
      <c r="N1053" s="681" t="str">
        <f>IF(AND(ISTEXT($A1053), ISERROR($A1053+0)), HYPERLINK($BF1053, "Images"), "")</f>
        <v>Images</v>
      </c>
      <c r="O1053" s="663" t="s">
        <v>4969</v>
      </c>
      <c r="P1053" s="253"/>
      <c r="Q1053" s="238"/>
      <c r="R1053" s="239"/>
      <c r="S1053" s="275"/>
      <c r="T1053" s="508">
        <f t="shared" si="776"/>
        <v>0</v>
      </c>
      <c r="U1053" s="225" t="str">
        <f>IF(NOT(ISNUMBER(G1053)), "", VLOOKUP(A1053,'Discount Lookup'!D:E,2,FALSE)*G1053)</f>
        <v/>
      </c>
      <c r="V1053" s="225" t="str">
        <f>IF(NOT(ISNUMBER(G1053)), "", VLOOKUP(A1053,'Discount Lookup'!G:H,2,FALSE)*G1053)</f>
        <v/>
      </c>
      <c r="W1053" s="508">
        <f t="shared" si="777"/>
        <v>0</v>
      </c>
      <c r="X1053" s="508" t="str">
        <f t="shared" si="778"/>
        <v>Cherry-Red bloom</v>
      </c>
      <c r="Y1053" s="509" t="b">
        <f t="shared" si="779"/>
        <v>0</v>
      </c>
      <c r="Z1053" s="510">
        <f t="shared" si="780"/>
        <v>0</v>
      </c>
      <c r="AA1053" s="511"/>
      <c r="AB1053" s="511" t="str">
        <f t="shared" si="781"/>
        <v/>
      </c>
      <c r="AC1053" s="698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698"/>
      <c r="AE1053" s="631" t="str">
        <f t="shared" si="782"/>
        <v/>
      </c>
      <c r="AF1053" s="699" t="str">
        <f t="shared" si="783"/>
        <v/>
      </c>
      <c r="AG1053" s="699"/>
      <c r="AH1053" s="699"/>
      <c r="AI1053" s="512">
        <f>IF(H1053="credit",0,IF(AE1053="free",0,IF(AE1053="me",0,IF(G1053&gt;0,(VLOOKUP(A1053,'Discount Lookup'!J:K,2)*G1053),0))))</f>
        <v>0</v>
      </c>
      <c r="AJ1053" s="513" t="str">
        <f t="shared" ca="1" si="784"/>
        <v/>
      </c>
      <c r="AK1053" s="700" t="str">
        <f t="shared" si="785"/>
        <v/>
      </c>
      <c r="AL1053" s="700"/>
      <c r="AM1053" s="505" t="str">
        <f t="shared" si="786"/>
        <v/>
      </c>
      <c r="AN1053" s="506"/>
      <c r="AO1053" s="507"/>
      <c r="AP1053" s="507"/>
      <c r="AQ1053" s="507"/>
      <c r="AR1053" s="507"/>
      <c r="AS1053" s="507"/>
      <c r="AT1053" s="507"/>
      <c r="AU1053" s="507"/>
      <c r="AV1053" s="225"/>
      <c r="AW1053" s="508"/>
      <c r="AX1053" s="225"/>
      <c r="AY1053" s="225"/>
      <c r="AZ1053" s="225"/>
      <c r="BA1053" s="225"/>
      <c r="BB1053" s="225"/>
      <c r="BC1053" s="56"/>
      <c r="BD1053" s="56"/>
      <c r="BE1053" s="56"/>
      <c r="BF1053" s="107" t="str">
        <f t="shared" si="787"/>
        <v>https://www.google.com/search?tbm=isch&amp;q=Double%20Dynamite%C2%AE%20Crape%20Myrtle%20Lagerstroemia%20indica%20%27Whit%20X%27%20PP%2322085</v>
      </c>
      <c r="BG1053" s="107" t="str">
        <f t="shared" si="788"/>
        <v>D</v>
      </c>
      <c r="BH1053" s="254"/>
      <c r="BI1053" s="254"/>
    </row>
    <row r="1054" spans="1:61" customFormat="1" ht="27" x14ac:dyDescent="0.25">
      <c r="A1054" s="276">
        <v>7</v>
      </c>
      <c r="B1054" s="240" t="s">
        <v>291</v>
      </c>
      <c r="C1054" s="241" t="s">
        <v>3423</v>
      </c>
      <c r="D1054" s="242" t="s">
        <v>292</v>
      </c>
      <c r="E1054" s="243">
        <v>123.95</v>
      </c>
      <c r="F1054" s="517" t="s">
        <v>293</v>
      </c>
      <c r="G1054" s="232">
        <v>0</v>
      </c>
      <c r="H1054" s="661" t="str">
        <f>IF(G1054=0,"",IF(F1054="Buy",IF(G1054=1,"plant","plants"),IF(F1054&gt;0.01,"warranty","Error")))</f>
        <v/>
      </c>
      <c r="I1054" s="244">
        <f>IF(H1054="free",0,IF(H1054="credit",((E1054*(F1054))*G1054*-1),IF(F1054="Buy",(E1054*G1054),((E1054*(1-F1054))*G1054))))</f>
        <v>0</v>
      </c>
      <c r="J1054" s="244">
        <f>IF(H1054="warranty",0,(I1054*(_xlfn.SINGLE(SalesTaxPercentage))))</f>
        <v>0</v>
      </c>
      <c r="K1054" s="696">
        <f t="shared" ref="K1054" si="797">I1054+J1054</f>
        <v>0</v>
      </c>
      <c r="L1054" s="696"/>
      <c r="M1054" s="659" t="str">
        <f>IF(AND(G1054&gt;0,E1054=0),"WARNING - no PRICE inserted",IF(H1054="free"," FREE ~ no charge this plant",IF(H1054="credit",CONCATENATE(" -$",ROUND(K1054*(1-T2GDiscount)*-1,2)," CREDIT after discount"),IF(T2GDiscount=0,"",IF(G1054=0,"",IF(F1054="Buy",CONCATENATE(" $",ROUND(K1054*(1-T2GDiscount),2)," with ",(T2GDiscount*100),"% discount"),CONCATENATE(" $",ROUND(K1054*(1-T2GDiscount),2)," with ",((T2GDiscount*100+F1054*100)-(T2GDiscount*100*F1054)),IF(F1054&gt;0,"% discounts",IF(NoWarrantyDiscount&gt;0,"% discounts","% discount")))))))))</f>
        <v/>
      </c>
      <c r="N1054" s="660"/>
      <c r="O1054" s="233"/>
      <c r="P1054" s="233"/>
      <c r="Q1054" s="233"/>
      <c r="R1054" s="233"/>
      <c r="S1054" s="233"/>
      <c r="T1054" s="508">
        <f t="shared" si="776"/>
        <v>0</v>
      </c>
      <c r="U1054" s="225">
        <f>IF(NOT(ISNUMBER(G1054)), "", VLOOKUP(A1054,'Discount Lookup'!D:E,2,FALSE)*G1054)</f>
        <v>0</v>
      </c>
      <c r="V1054" s="225">
        <f>IF(NOT(ISNUMBER(G1054)), "", VLOOKUP(A1054,'Discount Lookup'!G:H,2,FALSE)*G1054)</f>
        <v>0</v>
      </c>
      <c r="W1054" s="508">
        <f t="shared" si="777"/>
        <v>0</v>
      </c>
      <c r="X1054" s="508">
        <f t="shared" si="778"/>
        <v>0</v>
      </c>
      <c r="Y1054" s="509" t="b">
        <f t="shared" si="779"/>
        <v>0</v>
      </c>
      <c r="Z1054" s="510">
        <f t="shared" si="780"/>
        <v>0</v>
      </c>
      <c r="AA1054" s="511"/>
      <c r="AB1054" s="511" t="str">
        <f t="shared" si="781"/>
        <v/>
      </c>
      <c r="AC1054" s="698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698"/>
      <c r="AE1054" s="631" t="str">
        <f t="shared" si="782"/>
        <v/>
      </c>
      <c r="AF1054" s="699" t="str">
        <f t="shared" si="783"/>
        <v/>
      </c>
      <c r="AG1054" s="699"/>
      <c r="AH1054" s="699"/>
      <c r="AI1054" s="512">
        <f>IF(H1054="credit",0,IF(AE1054="free",0,IF(AE1054="me",0,IF(G1054&gt;0,(VLOOKUP(A1054,'Discount Lookup'!J:K,2)*G1054),0))))</f>
        <v>0</v>
      </c>
      <c r="AJ1054" s="513" t="str">
        <f t="shared" ca="1" si="784"/>
        <v/>
      </c>
      <c r="AK1054" s="700" t="str">
        <f t="shared" si="785"/>
        <v/>
      </c>
      <c r="AL1054" s="700"/>
      <c r="AM1054" s="505" t="str">
        <f t="shared" si="786"/>
        <v/>
      </c>
      <c r="AN1054" s="506"/>
      <c r="AO1054" s="507"/>
      <c r="AP1054" s="507"/>
      <c r="AQ1054" s="507"/>
      <c r="AR1054" s="507"/>
      <c r="AS1054" s="507"/>
      <c r="AT1054" s="507"/>
      <c r="AU1054" s="507"/>
      <c r="AV1054" s="225"/>
      <c r="AW1054" s="508"/>
      <c r="AX1054" s="225"/>
      <c r="AY1054" s="225"/>
      <c r="AZ1054" s="225"/>
      <c r="BA1054" s="225"/>
      <c r="BB1054" s="225"/>
      <c r="BC1054" s="56"/>
      <c r="BD1054" s="56"/>
      <c r="BE1054" s="56"/>
      <c r="BF1054" s="107" t="str">
        <f t="shared" si="787"/>
        <v>https://www.google.com/search?tbm=isch&amp;q=7%20G4</v>
      </c>
      <c r="BG1054" s="107" t="str">
        <f t="shared" si="788"/>
        <v>D</v>
      </c>
      <c r="BH1054" s="254"/>
      <c r="BI1054" s="254"/>
    </row>
    <row r="1055" spans="1:61" customFormat="1" ht="17.25" thickBot="1" x14ac:dyDescent="0.3">
      <c r="A1055" s="524" t="s">
        <v>4082</v>
      </c>
      <c r="B1055" s="245"/>
      <c r="C1055" s="677"/>
      <c r="D1055" s="499"/>
      <c r="E1055" s="499"/>
      <c r="F1055" s="500"/>
      <c r="G1055" s="501"/>
      <c r="H1055" s="502"/>
      <c r="I1055" s="246"/>
      <c r="J1055" s="247"/>
      <c r="K1055" s="503"/>
      <c r="L1055" s="544"/>
      <c r="M1055" s="544"/>
      <c r="N1055" s="500"/>
      <c r="O1055" s="500"/>
      <c r="P1055" s="500"/>
      <c r="Q1055" s="500"/>
      <c r="R1055" s="500"/>
      <c r="S1055" s="278"/>
      <c r="T1055" s="508">
        <f t="shared" si="776"/>
        <v>0</v>
      </c>
      <c r="U1055" s="225" t="str">
        <f>IF(NOT(ISNUMBER(G1055)), "", VLOOKUP(A1055,'Discount Lookup'!D:E,2,FALSE)*G1055)</f>
        <v/>
      </c>
      <c r="V1055" s="225" t="str">
        <f>IF(NOT(ISNUMBER(G1055)), "", VLOOKUP(A1055,'Discount Lookup'!G:H,2,FALSE)*G1055)</f>
        <v/>
      </c>
      <c r="W1055" s="508">
        <f t="shared" si="777"/>
        <v>0</v>
      </c>
      <c r="X1055" s="508">
        <f t="shared" si="778"/>
        <v>0</v>
      </c>
      <c r="Y1055" s="509" t="b">
        <f t="shared" si="779"/>
        <v>0</v>
      </c>
      <c r="Z1055" s="510">
        <f t="shared" si="780"/>
        <v>0</v>
      </c>
      <c r="AA1055" s="511"/>
      <c r="AB1055" s="511" t="str">
        <f t="shared" si="781"/>
        <v/>
      </c>
      <c r="AC1055" s="698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698"/>
      <c r="AE1055" s="631" t="str">
        <f t="shared" si="782"/>
        <v/>
      </c>
      <c r="AF1055" s="699" t="str">
        <f t="shared" si="783"/>
        <v/>
      </c>
      <c r="AG1055" s="699"/>
      <c r="AH1055" s="699"/>
      <c r="AI1055" s="512">
        <f>IF(H1055="credit",0,IF(AE1055="free",0,IF(AE1055="me",0,IF(G1055&gt;0,(VLOOKUP(A1055,'Discount Lookup'!J:K,2)*G1055),0))))</f>
        <v>0</v>
      </c>
      <c r="AJ1055" s="513" t="str">
        <f t="shared" ca="1" si="784"/>
        <v/>
      </c>
      <c r="AK1055" s="700" t="str">
        <f t="shared" si="785"/>
        <v/>
      </c>
      <c r="AL1055" s="700"/>
      <c r="AM1055" s="505" t="str">
        <f t="shared" si="786"/>
        <v/>
      </c>
      <c r="AN1055" s="506"/>
      <c r="AO1055" s="507"/>
      <c r="AP1055" s="507"/>
      <c r="AQ1055" s="507"/>
      <c r="AR1055" s="507"/>
      <c r="AS1055" s="507"/>
      <c r="AT1055" s="507"/>
      <c r="AU1055" s="507"/>
      <c r="AV1055" s="225"/>
      <c r="AW1055" s="508"/>
      <c r="AX1055" s="225"/>
      <c r="AY1055" s="225"/>
      <c r="AZ1055" s="225"/>
      <c r="BA1055" s="225"/>
      <c r="BB1055" s="225"/>
      <c r="BC1055" s="56"/>
      <c r="BD1055" s="56"/>
      <c r="BE1055" s="56"/>
      <c r="BF1055" s="107" t="str">
        <f t="shared" si="787"/>
        <v>https://www.google.com/search?tbm=isch&amp;q=Double%20Dynamite%20bred%20for%20sterility%2C%20instead%20producing%20intense%20double%20blooms%20for%20a%20very%20long%20time%20</v>
      </c>
      <c r="BG1055" s="107" t="str">
        <f t="shared" si="788"/>
        <v>D</v>
      </c>
      <c r="BH1055" s="254"/>
      <c r="BI1055" s="254"/>
    </row>
    <row r="1056" spans="1:61" customFormat="1" ht="18" x14ac:dyDescent="0.25">
      <c r="A1056" s="521" t="s">
        <v>5587</v>
      </c>
      <c r="B1056" s="477"/>
      <c r="C1056" s="674"/>
      <c r="D1056" s="478" t="s">
        <v>773</v>
      </c>
      <c r="E1056" s="479"/>
      <c r="F1056" s="479"/>
      <c r="G1056" s="479"/>
      <c r="H1056" s="582" t="s">
        <v>443</v>
      </c>
      <c r="I1056" s="480" t="s">
        <v>654</v>
      </c>
      <c r="J1056" s="479"/>
      <c r="K1056" s="479"/>
      <c r="L1056" s="560"/>
      <c r="M1056" s="671" t="s">
        <v>4985</v>
      </c>
      <c r="N1056" s="680" t="str">
        <f>IF(AND(ISTEXT($A1056), ISERROR($A1056+0)), HYPERLINK($BF1056, "Images"), "")</f>
        <v>Images</v>
      </c>
      <c r="O1056" s="662" t="s">
        <v>4974</v>
      </c>
      <c r="P1056" s="482"/>
      <c r="Q1056" s="483"/>
      <c r="R1056" s="483"/>
      <c r="S1056" s="484"/>
      <c r="T1056" s="508">
        <f t="shared" si="776"/>
        <v>0</v>
      </c>
      <c r="U1056" s="225" t="str">
        <f>IF(NOT(ISNUMBER(G1056)), "", VLOOKUP(A1056,'Discount Lookup'!D:E,2,FALSE)*G1056)</f>
        <v/>
      </c>
      <c r="V1056" s="225" t="str">
        <f>IF(NOT(ISNUMBER(G1056)), "", VLOOKUP(A1056,'Discount Lookup'!G:H,2,FALSE)*G1056)</f>
        <v/>
      </c>
      <c r="W1056" s="508">
        <f t="shared" si="777"/>
        <v>0</v>
      </c>
      <c r="X1056" s="508" t="str">
        <f t="shared" si="778"/>
        <v>White bloom</v>
      </c>
      <c r="Y1056" s="509" t="b">
        <f t="shared" si="779"/>
        <v>0</v>
      </c>
      <c r="Z1056" s="510">
        <f t="shared" si="780"/>
        <v>0</v>
      </c>
      <c r="AA1056" s="511"/>
      <c r="AB1056" s="511" t="str">
        <f t="shared" si="781"/>
        <v/>
      </c>
      <c r="AC1056" s="698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698"/>
      <c r="AE1056" s="631" t="str">
        <f t="shared" si="782"/>
        <v/>
      </c>
      <c r="AF1056" s="699" t="str">
        <f t="shared" si="783"/>
        <v/>
      </c>
      <c r="AG1056" s="699"/>
      <c r="AH1056" s="699"/>
      <c r="AI1056" s="512">
        <f>IF(H1056="credit",0,IF(AE1056="free",0,IF(AE1056="me",0,IF(G1056&gt;0,(VLOOKUP(A1056,'Discount Lookup'!J:K,2)*G1056),0))))</f>
        <v>0</v>
      </c>
      <c r="AJ1056" s="513" t="str">
        <f t="shared" ca="1" si="784"/>
        <v/>
      </c>
      <c r="AK1056" s="700" t="str">
        <f t="shared" si="785"/>
        <v/>
      </c>
      <c r="AL1056" s="700"/>
      <c r="AM1056" s="505" t="str">
        <f t="shared" si="786"/>
        <v/>
      </c>
      <c r="AN1056" s="506"/>
      <c r="AO1056" s="507"/>
      <c r="AP1056" s="507"/>
      <c r="AQ1056" s="507"/>
      <c r="AR1056" s="507"/>
      <c r="AS1056" s="507"/>
      <c r="AT1056" s="507"/>
      <c r="AU1056" s="507"/>
      <c r="AV1056" s="225"/>
      <c r="AW1056" s="508"/>
      <c r="AX1056" s="225"/>
      <c r="AY1056" s="225"/>
      <c r="AZ1056" s="225"/>
      <c r="BA1056" s="225"/>
      <c r="BB1056" s="225"/>
      <c r="BC1056" s="56"/>
      <c r="BD1056" s="56"/>
      <c r="BE1056" s="56"/>
      <c r="BF1056" s="107" t="str">
        <f t="shared" si="787"/>
        <v>https://www.google.com/search?tbm=isch&amp;q=Double%20Mint%E2%84%A2%20Gardenia%20%28FE%C2%AE%29%20Gardenia%20jasminoides%20%27Double%20Mint%27%20PP%2323507</v>
      </c>
      <c r="BG1056" s="107" t="str">
        <f t="shared" si="788"/>
        <v>D</v>
      </c>
      <c r="BH1056" s="254"/>
      <c r="BI1056" s="254"/>
    </row>
    <row r="1057" spans="1:61" customFormat="1" ht="15.75" x14ac:dyDescent="0.25">
      <c r="A1057" s="485">
        <v>3</v>
      </c>
      <c r="B1057" s="486" t="s">
        <v>291</v>
      </c>
      <c r="C1057" s="487"/>
      <c r="D1057" s="488" t="s">
        <v>298</v>
      </c>
      <c r="E1057" s="489">
        <v>30.95</v>
      </c>
      <c r="F1057" s="516" t="s">
        <v>293</v>
      </c>
      <c r="G1057" s="232">
        <v>0</v>
      </c>
      <c r="H1057" s="658" t="str">
        <f>IF(G1057=0,"",IF(F1057="Buy",IF(G1057=1,"plant","plants"),IF(F1057&gt;0.01,"warranty","Error")))</f>
        <v/>
      </c>
      <c r="I1057" s="490">
        <f>IF(H1057="free",0,IF(H1057="credit",((E1057*(F1057))*G1057*-1),IF(F1057="Buy",(E1057*G1057),((E1057*(1-F1057))*G1057))))</f>
        <v>0</v>
      </c>
      <c r="J1057" s="490">
        <f>IF(H1057="warranty",0,(I1057*(_xlfn.SINGLE(SalesTaxPercentage))))</f>
        <v>0</v>
      </c>
      <c r="K1057" s="695">
        <f t="shared" ref="K1057" si="798">I1057+J1057</f>
        <v>0</v>
      </c>
      <c r="L1057" s="695"/>
      <c r="M1057" s="659" t="str">
        <f>IF(AND(G1057&gt;0,E1057=0),"WARNING - no PRICE inserted",IF(H1057="free"," FREE ~ no charge this plant",IF(H1057="credit",CONCATENATE(" -$",ROUND(K1057*(1-T2GDiscount)*-1,2)," CREDIT after discount"),IF(T2GDiscount=0,"",IF(G1057=0,"",IF(F1057="Buy",CONCATENATE(" $",ROUND(K1057*(1-T2GDiscount),2)," with ",(T2GDiscount*100),"% discount"),CONCATENATE(" $",ROUND(K1057*(1-T2GDiscount),2)," with ",((T2GDiscount*100+F1057*100)-(T2GDiscount*100*F1057)),IF(F1057&gt;0,"% discounts",IF(NoWarrantyDiscount&gt;0,"% discounts","% discount")))))))))</f>
        <v/>
      </c>
      <c r="N1057" s="660"/>
      <c r="O1057" s="233"/>
      <c r="P1057" s="233"/>
      <c r="Q1057" s="233"/>
      <c r="R1057" s="233"/>
      <c r="S1057" s="233"/>
      <c r="T1057" s="508">
        <f t="shared" si="776"/>
        <v>0</v>
      </c>
      <c r="U1057" s="225">
        <f>IF(NOT(ISNUMBER(G1057)), "", VLOOKUP(A1057,'Discount Lookup'!D:E,2,FALSE)*G1057)</f>
        <v>0</v>
      </c>
      <c r="V1057" s="225">
        <f>IF(NOT(ISNUMBER(G1057)), "", VLOOKUP(A1057,'Discount Lookup'!G:H,2,FALSE)*G1057)</f>
        <v>0</v>
      </c>
      <c r="W1057" s="508">
        <f t="shared" si="777"/>
        <v>0</v>
      </c>
      <c r="X1057" s="508">
        <f t="shared" si="778"/>
        <v>0</v>
      </c>
      <c r="Y1057" s="509" t="b">
        <f t="shared" si="779"/>
        <v>0</v>
      </c>
      <c r="Z1057" s="510">
        <f t="shared" si="780"/>
        <v>0</v>
      </c>
      <c r="AA1057" s="511"/>
      <c r="AB1057" s="511" t="str">
        <f t="shared" si="781"/>
        <v/>
      </c>
      <c r="AC1057" s="698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698"/>
      <c r="AE1057" s="631" t="str">
        <f t="shared" si="782"/>
        <v/>
      </c>
      <c r="AF1057" s="699" t="str">
        <f t="shared" si="783"/>
        <v/>
      </c>
      <c r="AG1057" s="699"/>
      <c r="AH1057" s="699"/>
      <c r="AI1057" s="512">
        <f>IF(H1057="credit",0,IF(AE1057="free",0,IF(AE1057="me",0,IF(G1057&gt;0,(VLOOKUP(A1057,'Discount Lookup'!J:K,2)*G1057),0))))</f>
        <v>0</v>
      </c>
      <c r="AJ1057" s="513" t="str">
        <f t="shared" ca="1" si="784"/>
        <v/>
      </c>
      <c r="AK1057" s="700" t="str">
        <f t="shared" si="785"/>
        <v/>
      </c>
      <c r="AL1057" s="700"/>
      <c r="AM1057" s="505" t="str">
        <f t="shared" si="786"/>
        <v/>
      </c>
      <c r="AN1057" s="506"/>
      <c r="AO1057" s="507"/>
      <c r="AP1057" s="507"/>
      <c r="AQ1057" s="507"/>
      <c r="AR1057" s="507"/>
      <c r="AS1057" s="507"/>
      <c r="AT1057" s="507"/>
      <c r="AU1057" s="507"/>
      <c r="AV1057" s="225"/>
      <c r="AW1057" s="508"/>
      <c r="AX1057" s="225"/>
      <c r="AY1057" s="225"/>
      <c r="AZ1057" s="225"/>
      <c r="BA1057" s="225"/>
      <c r="BB1057" s="225"/>
      <c r="BC1057" s="56"/>
      <c r="BD1057" s="56"/>
      <c r="BE1057" s="56"/>
      <c r="BF1057" s="107" t="str">
        <f t="shared" si="787"/>
        <v>https://www.google.com/search?tbm=isch&amp;q=3%20G1</v>
      </c>
      <c r="BG1057" s="107" t="str">
        <f t="shared" si="788"/>
        <v>D</v>
      </c>
      <c r="BH1057" s="254"/>
      <c r="BI1057" s="254"/>
    </row>
    <row r="1058" spans="1:61" customFormat="1" ht="17.25" thickBot="1" x14ac:dyDescent="0.3">
      <c r="A1058" s="522" t="s">
        <v>4083</v>
      </c>
      <c r="B1058" s="491"/>
      <c r="C1058" s="675"/>
      <c r="D1058" s="491"/>
      <c r="E1058" s="491"/>
      <c r="F1058" s="492"/>
      <c r="G1058" s="493"/>
      <c r="H1058" s="491"/>
      <c r="I1058" s="234"/>
      <c r="J1058" s="234"/>
      <c r="K1058" s="494"/>
      <c r="L1058" s="543"/>
      <c r="M1058" s="561"/>
      <c r="N1058" s="495"/>
      <c r="O1058" s="496"/>
      <c r="P1058" s="497"/>
      <c r="Q1058" s="495"/>
      <c r="R1058" s="495"/>
      <c r="S1058" s="667" t="s">
        <v>5006</v>
      </c>
      <c r="T1058" s="508">
        <f t="shared" si="776"/>
        <v>0</v>
      </c>
      <c r="U1058" s="225" t="str">
        <f>IF(NOT(ISNUMBER(G1058)), "", VLOOKUP(A1058,'Discount Lookup'!D:E,2,FALSE)*G1058)</f>
        <v/>
      </c>
      <c r="V1058" s="225" t="str">
        <f>IF(NOT(ISNUMBER(G1058)), "", VLOOKUP(A1058,'Discount Lookup'!G:H,2,FALSE)*G1058)</f>
        <v/>
      </c>
      <c r="W1058" s="508">
        <f t="shared" si="777"/>
        <v>0</v>
      </c>
      <c r="X1058" s="508">
        <f t="shared" si="778"/>
        <v>0</v>
      </c>
      <c r="Y1058" s="509" t="b">
        <f t="shared" si="779"/>
        <v>0</v>
      </c>
      <c r="Z1058" s="510">
        <f t="shared" si="780"/>
        <v>0</v>
      </c>
      <c r="AA1058" s="511"/>
      <c r="AB1058" s="511" t="str">
        <f t="shared" si="781"/>
        <v/>
      </c>
      <c r="AC1058" s="698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698"/>
      <c r="AE1058" s="631" t="str">
        <f t="shared" si="782"/>
        <v/>
      </c>
      <c r="AF1058" s="699" t="str">
        <f t="shared" si="783"/>
        <v/>
      </c>
      <c r="AG1058" s="699"/>
      <c r="AH1058" s="699"/>
      <c r="AI1058" s="512">
        <f>IF(H1058="credit",0,IF(AE1058="free",0,IF(AE1058="me",0,IF(G1058&gt;0,(VLOOKUP(A1058,'Discount Lookup'!J:K,2)*G1058),0))))</f>
        <v>0</v>
      </c>
      <c r="AJ1058" s="513" t="str">
        <f t="shared" ca="1" si="784"/>
        <v/>
      </c>
      <c r="AK1058" s="700" t="str">
        <f t="shared" si="785"/>
        <v/>
      </c>
      <c r="AL1058" s="700"/>
      <c r="AM1058" s="505" t="str">
        <f t="shared" si="786"/>
        <v/>
      </c>
      <c r="AN1058" s="506"/>
      <c r="AO1058" s="507"/>
      <c r="AP1058" s="507"/>
      <c r="AQ1058" s="507"/>
      <c r="AR1058" s="507"/>
      <c r="AS1058" s="507"/>
      <c r="AT1058" s="507"/>
      <c r="AU1058" s="507"/>
      <c r="AV1058" s="225"/>
      <c r="AW1058" s="508"/>
      <c r="AX1058" s="225"/>
      <c r="AY1058" s="225"/>
      <c r="AZ1058" s="225"/>
      <c r="BA1058" s="225"/>
      <c r="BB1058" s="225"/>
      <c r="BC1058" s="56"/>
      <c r="BD1058" s="56"/>
      <c r="BE1058" s="56"/>
      <c r="BF1058" s="107" t="str">
        <f t="shared" si="787"/>
        <v>https://www.google.com/search?tbm=isch&amp;q=Double%20Mint%20is%20a%20rebloomer%2C%20delivering%20waves%20of%20highly%20fragrant%2C%20double%20flowers%20from%20spring%20through%20fall.%20Glossy%20Dark%20Green%20foliage%20</v>
      </c>
      <c r="BG1058" s="107" t="str">
        <f t="shared" si="788"/>
        <v>D</v>
      </c>
      <c r="BH1058" s="254"/>
      <c r="BI1058" s="254"/>
    </row>
    <row r="1059" spans="1:61" customFormat="1" ht="18" x14ac:dyDescent="0.25">
      <c r="A1059" s="523" t="s">
        <v>2846</v>
      </c>
      <c r="B1059" s="235"/>
      <c r="C1059" s="676"/>
      <c r="D1059" s="255" t="s">
        <v>774</v>
      </c>
      <c r="E1059" s="236"/>
      <c r="F1059" s="236"/>
      <c r="G1059" s="236"/>
      <c r="H1059" s="582" t="s">
        <v>366</v>
      </c>
      <c r="I1059" s="498" t="s">
        <v>2118</v>
      </c>
      <c r="J1059" s="237"/>
      <c r="K1059" s="237"/>
      <c r="L1059" s="274"/>
      <c r="M1059" s="668" t="s">
        <v>4962</v>
      </c>
      <c r="N1059" s="681" t="str">
        <f>IF(AND(ISTEXT($A1059), ISERROR($A1059+0)), HYPERLINK($BF1059, "Images"), "")</f>
        <v>Images</v>
      </c>
      <c r="O1059" s="663" t="s">
        <v>4971</v>
      </c>
      <c r="P1059" s="253"/>
      <c r="Q1059" s="238"/>
      <c r="R1059" s="239"/>
      <c r="S1059" s="275"/>
      <c r="T1059" s="508">
        <f t="shared" si="776"/>
        <v>0</v>
      </c>
      <c r="U1059" s="225" t="str">
        <f>IF(NOT(ISNUMBER(G1059)), "", VLOOKUP(A1059,'Discount Lookup'!D:E,2,FALSE)*G1059)</f>
        <v/>
      </c>
      <c r="V1059" s="225" t="str">
        <f>IF(NOT(ISNUMBER(G1059)), "", VLOOKUP(A1059,'Discount Lookup'!G:H,2,FALSE)*G1059)</f>
        <v/>
      </c>
      <c r="W1059" s="508">
        <f t="shared" si="777"/>
        <v>0</v>
      </c>
      <c r="X1059" s="508" t="str">
        <f t="shared" si="778"/>
        <v>Rose-Pink bloom</v>
      </c>
      <c r="Y1059" s="509" t="b">
        <f t="shared" si="779"/>
        <v>0</v>
      </c>
      <c r="Z1059" s="510">
        <f t="shared" si="780"/>
        <v>0</v>
      </c>
      <c r="AA1059" s="511"/>
      <c r="AB1059" s="511" t="str">
        <f t="shared" si="781"/>
        <v/>
      </c>
      <c r="AC1059" s="698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698"/>
      <c r="AE1059" s="631" t="str">
        <f t="shared" si="782"/>
        <v/>
      </c>
      <c r="AF1059" s="699" t="str">
        <f t="shared" si="783"/>
        <v/>
      </c>
      <c r="AG1059" s="699"/>
      <c r="AH1059" s="699"/>
      <c r="AI1059" s="512">
        <f>IF(H1059="credit",0,IF(AE1059="free",0,IF(AE1059="me",0,IF(G1059&gt;0,(VLOOKUP(A1059,'Discount Lookup'!J:K,2)*G1059),0))))</f>
        <v>0</v>
      </c>
      <c r="AJ1059" s="513" t="str">
        <f t="shared" ca="1" si="784"/>
        <v/>
      </c>
      <c r="AK1059" s="700" t="str">
        <f t="shared" si="785"/>
        <v/>
      </c>
      <c r="AL1059" s="700"/>
      <c r="AM1059" s="505" t="str">
        <f t="shared" si="786"/>
        <v/>
      </c>
      <c r="AN1059" s="506"/>
      <c r="AO1059" s="507"/>
      <c r="AP1059" s="507"/>
      <c r="AQ1059" s="507"/>
      <c r="AR1059" s="507"/>
      <c r="AS1059" s="507"/>
      <c r="AT1059" s="507"/>
      <c r="AU1059" s="507"/>
      <c r="AV1059" s="225"/>
      <c r="AW1059" s="508"/>
      <c r="AX1059" s="225"/>
      <c r="AY1059" s="225"/>
      <c r="AZ1059" s="225"/>
      <c r="BA1059" s="225"/>
      <c r="BB1059" s="225"/>
      <c r="BC1059" s="56"/>
      <c r="BD1059" s="56"/>
      <c r="BE1059" s="56"/>
      <c r="BF1059" s="107" t="str">
        <f t="shared" si="787"/>
        <v>https://www.google.com/search?tbm=isch&amp;q=Double%20Pink%20Weeping%20Cherry%20Prunus%20subhirtella%20%27Pendula%20Plena%20Rosea%27</v>
      </c>
      <c r="BG1059" s="107" t="str">
        <f t="shared" si="788"/>
        <v>D</v>
      </c>
      <c r="BH1059" s="254"/>
      <c r="BI1059" s="254"/>
    </row>
    <row r="1060" spans="1:61" customFormat="1" ht="15.75" x14ac:dyDescent="0.25">
      <c r="A1060" s="276">
        <v>15</v>
      </c>
      <c r="B1060" s="240" t="s">
        <v>291</v>
      </c>
      <c r="C1060" s="241" t="s">
        <v>358</v>
      </c>
      <c r="D1060" s="242" t="s">
        <v>312</v>
      </c>
      <c r="E1060" s="243">
        <v>175.95</v>
      </c>
      <c r="F1060" s="517" t="s">
        <v>293</v>
      </c>
      <c r="G1060" s="232">
        <v>0</v>
      </c>
      <c r="H1060" s="661" t="str">
        <f>IF(G1060=0,"",IF(F1060="Buy",IF(G1060=1,"plant","plants"),IF(F1060&gt;0.01,"warranty","Error")))</f>
        <v/>
      </c>
      <c r="I1060" s="244">
        <f>IF(H1060="free",0,IF(H1060="credit",((E1060*(F1060))*G1060*-1),IF(F1060="Buy",(E1060*G1060),((E1060*(1-F1060))*G1060))))</f>
        <v>0</v>
      </c>
      <c r="J1060" s="244">
        <f>IF(H1060="warranty",0,(I1060*(_xlfn.SINGLE(SalesTaxPercentage))))</f>
        <v>0</v>
      </c>
      <c r="K1060" s="696">
        <f t="shared" ref="K1060" si="799">I1060+J1060</f>
        <v>0</v>
      </c>
      <c r="L1060" s="696"/>
      <c r="M1060" s="659" t="str">
        <f>IF(AND(G1060&gt;0,E1060=0),"WARNING - no PRICE inserted",IF(H1060="free"," FREE ~ no charge this plant",IF(H1060="credit",CONCATENATE(" -$",ROUND(K1060*(1-T2GDiscount)*-1,2)," CREDIT after discount"),IF(T2GDiscount=0,"",IF(G1060=0,"",IF(F1060="Buy",CONCATENATE(" $",ROUND(K1060*(1-T2GDiscount),2)," with ",(T2GDiscount*100),"% discount"),CONCATENATE(" $",ROUND(K1060*(1-T2GDiscount),2)," with ",((T2GDiscount*100+F1060*100)-(T2GDiscount*100*F1060)),IF(F1060&gt;0,"% discounts",IF(NoWarrantyDiscount&gt;0,"% discounts","% discount")))))))))</f>
        <v/>
      </c>
      <c r="N1060" s="660"/>
      <c r="O1060" s="233"/>
      <c r="P1060" s="233"/>
      <c r="Q1060" s="233"/>
      <c r="R1060" s="233"/>
      <c r="S1060" s="233"/>
      <c r="T1060" s="508">
        <f t="shared" si="776"/>
        <v>0</v>
      </c>
      <c r="U1060" s="225">
        <f>IF(NOT(ISNUMBER(G1060)), "", VLOOKUP(A1060,'Discount Lookup'!D:E,2,FALSE)*G1060)</f>
        <v>0</v>
      </c>
      <c r="V1060" s="225">
        <f>IF(NOT(ISNUMBER(G1060)), "", VLOOKUP(A1060,'Discount Lookup'!G:H,2,FALSE)*G1060)</f>
        <v>0</v>
      </c>
      <c r="W1060" s="508">
        <f t="shared" si="777"/>
        <v>0</v>
      </c>
      <c r="X1060" s="508">
        <f t="shared" si="778"/>
        <v>0</v>
      </c>
      <c r="Y1060" s="509" t="b">
        <f t="shared" si="779"/>
        <v>0</v>
      </c>
      <c r="Z1060" s="510">
        <f t="shared" si="780"/>
        <v>0</v>
      </c>
      <c r="AA1060" s="511"/>
      <c r="AB1060" s="511" t="str">
        <f t="shared" si="781"/>
        <v/>
      </c>
      <c r="AC1060" s="698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698"/>
      <c r="AE1060" s="631" t="str">
        <f t="shared" si="782"/>
        <v/>
      </c>
      <c r="AF1060" s="699" t="str">
        <f t="shared" si="783"/>
        <v/>
      </c>
      <c r="AG1060" s="699"/>
      <c r="AH1060" s="699"/>
      <c r="AI1060" s="512">
        <f>IF(H1060="credit",0,IF(AE1060="free",0,IF(AE1060="me",0,IF(G1060&gt;0,(VLOOKUP(A1060,'Discount Lookup'!J:K,2)*G1060),0))))</f>
        <v>0</v>
      </c>
      <c r="AJ1060" s="513" t="str">
        <f t="shared" ca="1" si="784"/>
        <v/>
      </c>
      <c r="AK1060" s="700" t="str">
        <f t="shared" si="785"/>
        <v/>
      </c>
      <c r="AL1060" s="700"/>
      <c r="AM1060" s="505" t="str">
        <f t="shared" si="786"/>
        <v/>
      </c>
      <c r="AN1060" s="506"/>
      <c r="AO1060" s="507"/>
      <c r="AP1060" s="507"/>
      <c r="AQ1060" s="507"/>
      <c r="AR1060" s="507"/>
      <c r="AS1060" s="507"/>
      <c r="AT1060" s="507"/>
      <c r="AU1060" s="507"/>
      <c r="AV1060" s="225"/>
      <c r="AW1060" s="508"/>
      <c r="AX1060" s="225"/>
      <c r="AY1060" s="225"/>
      <c r="AZ1060" s="225"/>
      <c r="BA1060" s="225"/>
      <c r="BB1060" s="225"/>
      <c r="BC1060" s="56"/>
      <c r="BD1060" s="56"/>
      <c r="BE1060" s="56"/>
      <c r="BF1060" s="107" t="str">
        <f t="shared" si="787"/>
        <v>https://www.google.com/search?tbm=isch&amp;q=15%20G2</v>
      </c>
      <c r="BG1060" s="107" t="str">
        <f t="shared" si="788"/>
        <v>D</v>
      </c>
      <c r="BH1060" s="254"/>
      <c r="BI1060" s="254"/>
    </row>
    <row r="1061" spans="1:61" customFormat="1" ht="17.25" thickBot="1" x14ac:dyDescent="0.3">
      <c r="A1061" s="524" t="s">
        <v>2133</v>
      </c>
      <c r="B1061" s="245"/>
      <c r="C1061" s="677"/>
      <c r="D1061" s="499"/>
      <c r="E1061" s="499"/>
      <c r="F1061" s="500"/>
      <c r="G1061" s="501"/>
      <c r="H1061" s="502"/>
      <c r="I1061" s="246"/>
      <c r="J1061" s="247"/>
      <c r="K1061" s="503"/>
      <c r="L1061" s="544"/>
      <c r="M1061" s="544"/>
      <c r="N1061" s="500"/>
      <c r="O1061" s="500"/>
      <c r="P1061" s="500"/>
      <c r="Q1061" s="500"/>
      <c r="R1061" s="500"/>
      <c r="S1061" s="669" t="s">
        <v>4972</v>
      </c>
      <c r="T1061" s="508">
        <f t="shared" si="776"/>
        <v>0</v>
      </c>
      <c r="U1061" s="225" t="str">
        <f>IF(NOT(ISNUMBER(G1061)), "", VLOOKUP(A1061,'Discount Lookup'!D:E,2,FALSE)*G1061)</f>
        <v/>
      </c>
      <c r="V1061" s="225" t="str">
        <f>IF(NOT(ISNUMBER(G1061)), "", VLOOKUP(A1061,'Discount Lookup'!G:H,2,FALSE)*G1061)</f>
        <v/>
      </c>
      <c r="W1061" s="508">
        <f t="shared" si="777"/>
        <v>0</v>
      </c>
      <c r="X1061" s="508">
        <f t="shared" si="778"/>
        <v>0</v>
      </c>
      <c r="Y1061" s="509" t="b">
        <f t="shared" si="779"/>
        <v>0</v>
      </c>
      <c r="Z1061" s="510">
        <f t="shared" si="780"/>
        <v>0</v>
      </c>
      <c r="AA1061" s="511"/>
      <c r="AB1061" s="511" t="str">
        <f t="shared" si="781"/>
        <v/>
      </c>
      <c r="AC1061" s="698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698"/>
      <c r="AE1061" s="631" t="str">
        <f t="shared" si="782"/>
        <v/>
      </c>
      <c r="AF1061" s="699" t="str">
        <f t="shared" si="783"/>
        <v/>
      </c>
      <c r="AG1061" s="699"/>
      <c r="AH1061" s="699"/>
      <c r="AI1061" s="512">
        <f>IF(H1061="credit",0,IF(AE1061="free",0,IF(AE1061="me",0,IF(G1061&gt;0,(VLOOKUP(A1061,'Discount Lookup'!J:K,2)*G1061),0))))</f>
        <v>0</v>
      </c>
      <c r="AJ1061" s="513" t="str">
        <f t="shared" ca="1" si="784"/>
        <v/>
      </c>
      <c r="AK1061" s="700" t="str">
        <f t="shared" si="785"/>
        <v/>
      </c>
      <c r="AL1061" s="700"/>
      <c r="AM1061" s="505" t="str">
        <f t="shared" si="786"/>
        <v/>
      </c>
      <c r="AN1061" s="506"/>
      <c r="AO1061" s="507"/>
      <c r="AP1061" s="507"/>
      <c r="AQ1061" s="507"/>
      <c r="AR1061" s="507"/>
      <c r="AS1061" s="507"/>
      <c r="AT1061" s="507"/>
      <c r="AU1061" s="507"/>
      <c r="AV1061" s="225"/>
      <c r="AW1061" s="508"/>
      <c r="AX1061" s="225"/>
      <c r="AY1061" s="225"/>
      <c r="AZ1061" s="225"/>
      <c r="BA1061" s="225"/>
      <c r="BB1061" s="225"/>
      <c r="BC1061" s="56"/>
      <c r="BD1061" s="56"/>
      <c r="BE1061" s="56"/>
      <c r="BF1061" s="107" t="str">
        <f t="shared" si="787"/>
        <v>https://www.google.com/search?tbm=isch&amp;q=Pink%20Double%20blooms%20later%20%28escaping%20frost%29%20and%20longer%20than%20other%20weeping%20Cherry%20</v>
      </c>
      <c r="BG1061" s="107" t="str">
        <f t="shared" si="788"/>
        <v>P</v>
      </c>
      <c r="BH1061" s="254"/>
      <c r="BI1061" s="254"/>
    </row>
    <row r="1062" spans="1:61" customFormat="1" ht="18" x14ac:dyDescent="0.25">
      <c r="A1062" s="523" t="s">
        <v>776</v>
      </c>
      <c r="B1062" s="235"/>
      <c r="C1062" s="676"/>
      <c r="D1062" s="255" t="s">
        <v>777</v>
      </c>
      <c r="E1062" s="236"/>
      <c r="F1062" s="236"/>
      <c r="G1062" s="236"/>
      <c r="H1062" s="582" t="s">
        <v>367</v>
      </c>
      <c r="I1062" s="498" t="s">
        <v>654</v>
      </c>
      <c r="J1062" s="237"/>
      <c r="K1062" s="237"/>
      <c r="L1062" s="274"/>
      <c r="M1062" s="668" t="s">
        <v>4975</v>
      </c>
      <c r="N1062" s="681" t="str">
        <f>IF(AND(ISTEXT($A1062), ISERROR($A1062+0)), HYPERLINK($BF1062, "Images"), "")</f>
        <v>Images</v>
      </c>
      <c r="O1062" s="663" t="s">
        <v>4967</v>
      </c>
      <c r="P1062" s="253"/>
      <c r="Q1062" s="238"/>
      <c r="R1062" s="239"/>
      <c r="S1062" s="275"/>
      <c r="T1062" s="508">
        <f t="shared" si="776"/>
        <v>0</v>
      </c>
      <c r="U1062" s="225" t="str">
        <f>IF(NOT(ISNUMBER(G1062)), "", VLOOKUP(A1062,'Discount Lookup'!D:E,2,FALSE)*G1062)</f>
        <v/>
      </c>
      <c r="V1062" s="225" t="str">
        <f>IF(NOT(ISNUMBER(G1062)), "", VLOOKUP(A1062,'Discount Lookup'!G:H,2,FALSE)*G1062)</f>
        <v/>
      </c>
      <c r="W1062" s="508">
        <f t="shared" si="777"/>
        <v>0</v>
      </c>
      <c r="X1062" s="508" t="str">
        <f t="shared" si="778"/>
        <v>White bloom</v>
      </c>
      <c r="Y1062" s="509" t="b">
        <f t="shared" si="779"/>
        <v>0</v>
      </c>
      <c r="Z1062" s="510">
        <f t="shared" si="780"/>
        <v>0</v>
      </c>
      <c r="AA1062" s="511"/>
      <c r="AB1062" s="511" t="str">
        <f t="shared" si="781"/>
        <v/>
      </c>
      <c r="AC1062" s="698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698"/>
      <c r="AE1062" s="631" t="str">
        <f t="shared" si="782"/>
        <v/>
      </c>
      <c r="AF1062" s="699" t="str">
        <f t="shared" si="783"/>
        <v/>
      </c>
      <c r="AG1062" s="699"/>
      <c r="AH1062" s="699"/>
      <c r="AI1062" s="512">
        <f>IF(H1062="credit",0,IF(AE1062="free",0,IF(AE1062="me",0,IF(G1062&gt;0,(VLOOKUP(A1062,'Discount Lookup'!J:K,2)*G1062),0))))</f>
        <v>0</v>
      </c>
      <c r="AJ1062" s="513" t="str">
        <f t="shared" ca="1" si="784"/>
        <v/>
      </c>
      <c r="AK1062" s="700" t="str">
        <f t="shared" si="785"/>
        <v/>
      </c>
      <c r="AL1062" s="700"/>
      <c r="AM1062" s="505" t="str">
        <f t="shared" si="786"/>
        <v/>
      </c>
      <c r="AN1062" s="506"/>
      <c r="AO1062" s="507"/>
      <c r="AP1062" s="507"/>
      <c r="AQ1062" s="507"/>
      <c r="AR1062" s="507"/>
      <c r="AS1062" s="507"/>
      <c r="AT1062" s="507"/>
      <c r="AU1062" s="507"/>
      <c r="AV1062" s="225"/>
      <c r="AW1062" s="508"/>
      <c r="AX1062" s="225"/>
      <c r="AY1062" s="225"/>
      <c r="AZ1062" s="225"/>
      <c r="BA1062" s="225"/>
      <c r="BB1062" s="225"/>
      <c r="BC1062" s="56"/>
      <c r="BD1062" s="56"/>
      <c r="BE1062" s="56"/>
      <c r="BF1062" s="107" t="str">
        <f t="shared" si="787"/>
        <v>https://www.google.com/search?tbm=isch&amp;q=Doublefile%20Viburnum%20Viburnum%20plicatum%20%27Mariesii%27</v>
      </c>
      <c r="BG1062" s="107" t="str">
        <f t="shared" si="788"/>
        <v>D</v>
      </c>
      <c r="BH1062" s="254"/>
      <c r="BI1062" s="254"/>
    </row>
    <row r="1063" spans="1:61" customFormat="1" ht="15.75" x14ac:dyDescent="0.25">
      <c r="A1063" s="276">
        <v>3</v>
      </c>
      <c r="B1063" s="240" t="s">
        <v>291</v>
      </c>
      <c r="C1063" s="241" t="s">
        <v>4501</v>
      </c>
      <c r="D1063" s="242" t="s">
        <v>312</v>
      </c>
      <c r="E1063" s="243">
        <v>31.95</v>
      </c>
      <c r="F1063" s="517" t="s">
        <v>293</v>
      </c>
      <c r="G1063" s="232">
        <v>0</v>
      </c>
      <c r="H1063" s="661" t="str">
        <f>IF(G1063=0,"",IF(F1063="Buy",IF(G1063=1,"plant","plants"),IF(F1063&gt;0.01,"warranty","Error")))</f>
        <v/>
      </c>
      <c r="I1063" s="244">
        <f>IF(H1063="free",0,IF(H1063="credit",((E1063*(F1063))*G1063*-1),IF(F1063="Buy",(E1063*G1063),((E1063*(1-F1063))*G1063))))</f>
        <v>0</v>
      </c>
      <c r="J1063" s="244">
        <f>IF(H1063="warranty",0,(I1063*(_xlfn.SINGLE(SalesTaxPercentage))))</f>
        <v>0</v>
      </c>
      <c r="K1063" s="696">
        <f t="shared" ref="K1063" si="800">I1063+J1063</f>
        <v>0</v>
      </c>
      <c r="L1063" s="696"/>
      <c r="M1063" s="659" t="str">
        <f>IF(AND(G1063&gt;0,E1063=0),"WARNING - no PRICE inserted",IF(H1063="free"," FREE ~ no charge this plant",IF(H1063="credit",CONCATENATE(" -$",ROUND(K1063*(1-T2GDiscount)*-1,2)," CREDIT after discount"),IF(T2GDiscount=0,"",IF(G1063=0,"",IF(F1063="Buy",CONCATENATE(" $",ROUND(K1063*(1-T2GDiscount),2)," with ",(T2GDiscount*100),"% discount"),CONCATENATE(" $",ROUND(K1063*(1-T2GDiscount),2)," with ",((T2GDiscount*100+F1063*100)-(T2GDiscount*100*F1063)),IF(F1063&gt;0,"% discounts",IF(NoWarrantyDiscount&gt;0,"% discounts","% discount")))))))))</f>
        <v/>
      </c>
      <c r="N1063" s="660"/>
      <c r="O1063" s="233"/>
      <c r="P1063" s="233"/>
      <c r="Q1063" s="233"/>
      <c r="R1063" s="233"/>
      <c r="S1063" s="233"/>
      <c r="T1063" s="508">
        <f t="shared" si="776"/>
        <v>0</v>
      </c>
      <c r="U1063" s="225">
        <f>IF(NOT(ISNUMBER(G1063)), "", VLOOKUP(A1063,'Discount Lookup'!D:E,2,FALSE)*G1063)</f>
        <v>0</v>
      </c>
      <c r="V1063" s="225">
        <f>IF(NOT(ISNUMBER(G1063)), "", VLOOKUP(A1063,'Discount Lookup'!G:H,2,FALSE)*G1063)</f>
        <v>0</v>
      </c>
      <c r="W1063" s="508">
        <f t="shared" si="777"/>
        <v>0</v>
      </c>
      <c r="X1063" s="508">
        <f t="shared" si="778"/>
        <v>0</v>
      </c>
      <c r="Y1063" s="509" t="b">
        <f t="shared" si="779"/>
        <v>0</v>
      </c>
      <c r="Z1063" s="510">
        <f t="shared" si="780"/>
        <v>0</v>
      </c>
      <c r="AA1063" s="511"/>
      <c r="AB1063" s="511" t="str">
        <f t="shared" si="781"/>
        <v/>
      </c>
      <c r="AC1063" s="698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698"/>
      <c r="AE1063" s="631" t="str">
        <f t="shared" si="782"/>
        <v/>
      </c>
      <c r="AF1063" s="699" t="str">
        <f t="shared" si="783"/>
        <v/>
      </c>
      <c r="AG1063" s="699"/>
      <c r="AH1063" s="699"/>
      <c r="AI1063" s="512">
        <f>IF(H1063="credit",0,IF(AE1063="free",0,IF(AE1063="me",0,IF(G1063&gt;0,(VLOOKUP(A1063,'Discount Lookup'!J:K,2)*G1063),0))))</f>
        <v>0</v>
      </c>
      <c r="AJ1063" s="513" t="str">
        <f t="shared" ca="1" si="784"/>
        <v/>
      </c>
      <c r="AK1063" s="700" t="str">
        <f t="shared" si="785"/>
        <v/>
      </c>
      <c r="AL1063" s="700"/>
      <c r="AM1063" s="505" t="str">
        <f t="shared" si="786"/>
        <v/>
      </c>
      <c r="AN1063" s="506"/>
      <c r="AO1063" s="507"/>
      <c r="AP1063" s="507"/>
      <c r="AQ1063" s="507"/>
      <c r="AR1063" s="507"/>
      <c r="AS1063" s="507"/>
      <c r="AT1063" s="507"/>
      <c r="AU1063" s="507"/>
      <c r="AV1063" s="225"/>
      <c r="AW1063" s="508"/>
      <c r="AX1063" s="225"/>
      <c r="AY1063" s="225"/>
      <c r="AZ1063" s="225"/>
      <c r="BA1063" s="225"/>
      <c r="BB1063" s="225"/>
      <c r="BC1063" s="56"/>
      <c r="BD1063" s="56"/>
      <c r="BE1063" s="56"/>
      <c r="BF1063" s="107" t="str">
        <f t="shared" si="787"/>
        <v>https://www.google.com/search?tbm=isch&amp;q=3%20G2</v>
      </c>
      <c r="BG1063" s="107" t="str">
        <f t="shared" si="788"/>
        <v>D</v>
      </c>
      <c r="BH1063" s="254"/>
      <c r="BI1063" s="254"/>
    </row>
    <row r="1064" spans="1:61" customFormat="1" ht="17.25" thickBot="1" x14ac:dyDescent="0.3">
      <c r="A1064" s="524" t="s">
        <v>2673</v>
      </c>
      <c r="B1064" s="245"/>
      <c r="C1064" s="677"/>
      <c r="D1064" s="499"/>
      <c r="E1064" s="499"/>
      <c r="F1064" s="500"/>
      <c r="G1064" s="501"/>
      <c r="H1064" s="502"/>
      <c r="I1064" s="246"/>
      <c r="J1064" s="247"/>
      <c r="K1064" s="503"/>
      <c r="L1064" s="544"/>
      <c r="M1064" s="544"/>
      <c r="N1064" s="500"/>
      <c r="O1064" s="500"/>
      <c r="P1064" s="500"/>
      <c r="Q1064" s="500"/>
      <c r="R1064" s="500"/>
      <c r="S1064" s="669" t="s">
        <v>5008</v>
      </c>
      <c r="T1064" s="508">
        <f t="shared" si="776"/>
        <v>0</v>
      </c>
      <c r="U1064" s="225" t="str">
        <f>IF(NOT(ISNUMBER(G1064)), "", VLOOKUP(A1064,'Discount Lookup'!D:E,2,FALSE)*G1064)</f>
        <v/>
      </c>
      <c r="V1064" s="225" t="str">
        <f>IF(NOT(ISNUMBER(G1064)), "", VLOOKUP(A1064,'Discount Lookup'!G:H,2,FALSE)*G1064)</f>
        <v/>
      </c>
      <c r="W1064" s="508">
        <f t="shared" si="777"/>
        <v>0</v>
      </c>
      <c r="X1064" s="508">
        <f t="shared" si="778"/>
        <v>0</v>
      </c>
      <c r="Y1064" s="509" t="b">
        <f t="shared" si="779"/>
        <v>0</v>
      </c>
      <c r="Z1064" s="510">
        <f t="shared" si="780"/>
        <v>0</v>
      </c>
      <c r="AA1064" s="511"/>
      <c r="AB1064" s="511" t="str">
        <f t="shared" si="781"/>
        <v/>
      </c>
      <c r="AC1064" s="698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698"/>
      <c r="AE1064" s="631" t="str">
        <f t="shared" si="782"/>
        <v/>
      </c>
      <c r="AF1064" s="699" t="str">
        <f t="shared" si="783"/>
        <v/>
      </c>
      <c r="AG1064" s="699"/>
      <c r="AH1064" s="699"/>
      <c r="AI1064" s="512">
        <f>IF(H1064="credit",0,IF(AE1064="free",0,IF(AE1064="me",0,IF(G1064&gt;0,(VLOOKUP(A1064,'Discount Lookup'!J:K,2)*G1064),0))))</f>
        <v>0</v>
      </c>
      <c r="AJ1064" s="513" t="str">
        <f t="shared" ca="1" si="784"/>
        <v/>
      </c>
      <c r="AK1064" s="700" t="str">
        <f t="shared" si="785"/>
        <v/>
      </c>
      <c r="AL1064" s="700"/>
      <c r="AM1064" s="505" t="str">
        <f t="shared" si="786"/>
        <v/>
      </c>
      <c r="AN1064" s="506"/>
      <c r="AO1064" s="507"/>
      <c r="AP1064" s="507"/>
      <c r="AQ1064" s="507"/>
      <c r="AR1064" s="507"/>
      <c r="AS1064" s="507"/>
      <c r="AT1064" s="507"/>
      <c r="AU1064" s="507"/>
      <c r="AV1064" s="225"/>
      <c r="AW1064" s="508"/>
      <c r="AX1064" s="225"/>
      <c r="AY1064" s="225"/>
      <c r="AZ1064" s="225"/>
      <c r="BA1064" s="225"/>
      <c r="BB1064" s="225"/>
      <c r="BC1064" s="56"/>
      <c r="BD1064" s="56"/>
      <c r="BE1064" s="56"/>
      <c r="BF1064" s="107" t="str">
        <f t="shared" si="787"/>
        <v>https://www.google.com/search?tbm=isch&amp;q=Doublefile%20has%20tiered%20horizontal%20branching%2C%20great%20spring%20lacecap%20blooms%2C%20and%20Red-to-Burgundy%20fall%20foliage.%20</v>
      </c>
      <c r="BG1064" s="107" t="str">
        <f t="shared" si="788"/>
        <v>D</v>
      </c>
      <c r="BH1064" s="254"/>
      <c r="BI1064" s="254"/>
    </row>
    <row r="1065" spans="1:61" customFormat="1" ht="18" x14ac:dyDescent="0.25">
      <c r="A1065" s="523" t="s">
        <v>5391</v>
      </c>
      <c r="B1065" s="235"/>
      <c r="C1065" s="676"/>
      <c r="D1065" s="255" t="s">
        <v>778</v>
      </c>
      <c r="E1065" s="236"/>
      <c r="F1065" s="236"/>
      <c r="G1065" s="236"/>
      <c r="H1065" s="582" t="s">
        <v>443</v>
      </c>
      <c r="I1065" s="498" t="s">
        <v>3115</v>
      </c>
      <c r="J1065" s="237"/>
      <c r="K1065" s="237"/>
      <c r="L1065" s="274"/>
      <c r="M1065" s="668" t="s">
        <v>4975</v>
      </c>
      <c r="N1065" s="681" t="str">
        <f>IF(AND(ISTEXT($A1065), ISERROR($A1065+0)), HYPERLINK($BF1065, "Images"), "")</f>
        <v>Images</v>
      </c>
      <c r="O1065" s="663" t="s">
        <v>4967</v>
      </c>
      <c r="P1065" s="253"/>
      <c r="Q1065" s="238"/>
      <c r="R1065" s="239"/>
      <c r="S1065" s="275"/>
      <c r="T1065" s="508">
        <f t="shared" si="776"/>
        <v>0</v>
      </c>
      <c r="U1065" s="225" t="str">
        <f>IF(NOT(ISNUMBER(G1065)), "", VLOOKUP(A1065,'Discount Lookup'!D:E,2,FALSE)*G1065)</f>
        <v/>
      </c>
      <c r="V1065" s="225" t="str">
        <f>IF(NOT(ISNUMBER(G1065)), "", VLOOKUP(A1065,'Discount Lookup'!G:H,2,FALSE)*G1065)</f>
        <v/>
      </c>
      <c r="W1065" s="508">
        <f t="shared" si="777"/>
        <v>0</v>
      </c>
      <c r="X1065" s="508" t="str">
        <f t="shared" si="778"/>
        <v>White-Lime ages to Pink</v>
      </c>
      <c r="Y1065" s="509" t="b">
        <f t="shared" si="779"/>
        <v>0</v>
      </c>
      <c r="Z1065" s="510">
        <f t="shared" si="780"/>
        <v>0</v>
      </c>
      <c r="AA1065" s="511"/>
      <c r="AB1065" s="511" t="str">
        <f t="shared" si="781"/>
        <v/>
      </c>
      <c r="AC1065" s="698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698"/>
      <c r="AE1065" s="631" t="str">
        <f t="shared" si="782"/>
        <v/>
      </c>
      <c r="AF1065" s="699" t="str">
        <f t="shared" si="783"/>
        <v/>
      </c>
      <c r="AG1065" s="699"/>
      <c r="AH1065" s="699"/>
      <c r="AI1065" s="512">
        <f>IF(H1065="credit",0,IF(AE1065="free",0,IF(AE1065="me",0,IF(G1065&gt;0,(VLOOKUP(A1065,'Discount Lookup'!J:K,2)*G1065),0))))</f>
        <v>0</v>
      </c>
      <c r="AJ1065" s="513" t="str">
        <f t="shared" ca="1" si="784"/>
        <v/>
      </c>
      <c r="AK1065" s="700" t="str">
        <f t="shared" si="785"/>
        <v/>
      </c>
      <c r="AL1065" s="700"/>
      <c r="AM1065" s="505" t="str">
        <f t="shared" si="786"/>
        <v/>
      </c>
      <c r="AN1065" s="506"/>
      <c r="AO1065" s="507"/>
      <c r="AP1065" s="507"/>
      <c r="AQ1065" s="507"/>
      <c r="AR1065" s="507"/>
      <c r="AS1065" s="507"/>
      <c r="AT1065" s="507"/>
      <c r="AU1065" s="507"/>
      <c r="AV1065" s="225"/>
      <c r="AW1065" s="508"/>
      <c r="AX1065" s="225"/>
      <c r="AY1065" s="225"/>
      <c r="AZ1065" s="225"/>
      <c r="BA1065" s="225"/>
      <c r="BB1065" s="225"/>
      <c r="BC1065" s="56"/>
      <c r="BD1065" s="56"/>
      <c r="BE1065" s="56"/>
      <c r="BF1065" s="107" t="str">
        <f t="shared" si="787"/>
        <v>https://www.google.com/search?tbm=isch&amp;q=Dragon%20Baby%E2%84%A2%20Hydrangea%20Hyd.%20paniculata%20%27HYLV17522%27%20PPAF</v>
      </c>
      <c r="BG1065" s="107" t="str">
        <f t="shared" si="788"/>
        <v>D</v>
      </c>
      <c r="BH1065" s="254"/>
      <c r="BI1065" s="254"/>
    </row>
    <row r="1066" spans="1:61" customFormat="1" ht="15.75" x14ac:dyDescent="0.25">
      <c r="A1066" s="276">
        <v>3</v>
      </c>
      <c r="B1066" s="240" t="s">
        <v>291</v>
      </c>
      <c r="C1066" s="241" t="s">
        <v>341</v>
      </c>
      <c r="D1066" s="242" t="s">
        <v>312</v>
      </c>
      <c r="E1066" s="243">
        <v>32.950000000000003</v>
      </c>
      <c r="F1066" s="517" t="s">
        <v>293</v>
      </c>
      <c r="G1066" s="232">
        <v>0</v>
      </c>
      <c r="H1066" s="661" t="str">
        <f>IF(G1066=0,"",IF(F1066="Buy",IF(G1066=1,"plant","plants"),IF(F1066&gt;0.01,"warranty","Error")))</f>
        <v/>
      </c>
      <c r="I1066" s="244">
        <f>IF(H1066="free",0,IF(H1066="credit",((E1066*(F1066))*G1066*-1),IF(F1066="Buy",(E1066*G1066),((E1066*(1-F1066))*G1066))))</f>
        <v>0</v>
      </c>
      <c r="J1066" s="244">
        <f>IF(H1066="warranty",0,(I1066*(_xlfn.SINGLE(SalesTaxPercentage))))</f>
        <v>0</v>
      </c>
      <c r="K1066" s="696">
        <f t="shared" ref="K1066" si="801">I1066+J1066</f>
        <v>0</v>
      </c>
      <c r="L1066" s="696"/>
      <c r="M1066" s="659" t="str">
        <f>IF(AND(G1066&gt;0,E1066=0),"WARNING - no PRICE inserted",IF(H1066="free"," FREE ~ no charge this plant",IF(H1066="credit",CONCATENATE(" -$",ROUND(K1066*(1-T2GDiscount)*-1,2)," CREDIT after discount"),IF(T2GDiscount=0,"",IF(G1066=0,"",IF(F1066="Buy",CONCATENATE(" $",ROUND(K1066*(1-T2GDiscount),2)," with ",(T2GDiscount*100),"% discount"),CONCATENATE(" $",ROUND(K1066*(1-T2GDiscount),2)," with ",((T2GDiscount*100+F1066*100)-(T2GDiscount*100*F1066)),IF(F1066&gt;0,"% discounts",IF(NoWarrantyDiscount&gt;0,"% discounts","% discount")))))))))</f>
        <v/>
      </c>
      <c r="N1066" s="660"/>
      <c r="O1066" s="233"/>
      <c r="P1066" s="233"/>
      <c r="Q1066" s="233"/>
      <c r="R1066" s="233"/>
      <c r="S1066" s="233"/>
      <c r="T1066" s="508">
        <f t="shared" si="776"/>
        <v>0</v>
      </c>
      <c r="U1066" s="225">
        <f>IF(NOT(ISNUMBER(G1066)), "", VLOOKUP(A1066,'Discount Lookup'!D:E,2,FALSE)*G1066)</f>
        <v>0</v>
      </c>
      <c r="V1066" s="225">
        <f>IF(NOT(ISNUMBER(G1066)), "", VLOOKUP(A1066,'Discount Lookup'!G:H,2,FALSE)*G1066)</f>
        <v>0</v>
      </c>
      <c r="W1066" s="508">
        <f t="shared" si="777"/>
        <v>0</v>
      </c>
      <c r="X1066" s="508">
        <f t="shared" si="778"/>
        <v>0</v>
      </c>
      <c r="Y1066" s="509" t="b">
        <f t="shared" si="779"/>
        <v>0</v>
      </c>
      <c r="Z1066" s="510">
        <f t="shared" si="780"/>
        <v>0</v>
      </c>
      <c r="AA1066" s="511"/>
      <c r="AB1066" s="511" t="str">
        <f t="shared" si="781"/>
        <v/>
      </c>
      <c r="AC1066" s="698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698"/>
      <c r="AE1066" s="631" t="str">
        <f t="shared" si="782"/>
        <v/>
      </c>
      <c r="AF1066" s="699" t="str">
        <f t="shared" si="783"/>
        <v/>
      </c>
      <c r="AG1066" s="699"/>
      <c r="AH1066" s="699"/>
      <c r="AI1066" s="512">
        <f>IF(H1066="credit",0,IF(AE1066="free",0,IF(AE1066="me",0,IF(G1066&gt;0,(VLOOKUP(A1066,'Discount Lookup'!J:K,2)*G1066),0))))</f>
        <v>0</v>
      </c>
      <c r="AJ1066" s="513" t="str">
        <f t="shared" ca="1" si="784"/>
        <v/>
      </c>
      <c r="AK1066" s="700" t="str">
        <f t="shared" si="785"/>
        <v/>
      </c>
      <c r="AL1066" s="700"/>
      <c r="AM1066" s="505" t="str">
        <f t="shared" si="786"/>
        <v/>
      </c>
      <c r="AN1066" s="506"/>
      <c r="AO1066" s="507"/>
      <c r="AP1066" s="507"/>
      <c r="AQ1066" s="507"/>
      <c r="AR1066" s="507"/>
      <c r="AS1066" s="507"/>
      <c r="AT1066" s="507"/>
      <c r="AU1066" s="507"/>
      <c r="AV1066" s="225"/>
      <c r="AW1066" s="508"/>
      <c r="AX1066" s="225"/>
      <c r="AY1066" s="225"/>
      <c r="AZ1066" s="225"/>
      <c r="BA1066" s="225"/>
      <c r="BB1066" s="225"/>
      <c r="BC1066" s="56"/>
      <c r="BD1066" s="56"/>
      <c r="BE1066" s="56"/>
      <c r="BF1066" s="107" t="str">
        <f t="shared" si="787"/>
        <v>https://www.google.com/search?tbm=isch&amp;q=3%20G2</v>
      </c>
      <c r="BG1066" s="107" t="str">
        <f t="shared" si="788"/>
        <v>D</v>
      </c>
      <c r="BH1066" s="254"/>
      <c r="BI1066" s="254"/>
    </row>
    <row r="1067" spans="1:61" customFormat="1" ht="17.25" thickBot="1" x14ac:dyDescent="0.3">
      <c r="A1067" s="524" t="s">
        <v>4084</v>
      </c>
      <c r="B1067" s="245"/>
      <c r="C1067" s="677"/>
      <c r="D1067" s="499"/>
      <c r="E1067" s="499"/>
      <c r="F1067" s="500"/>
      <c r="G1067" s="501"/>
      <c r="H1067" s="502"/>
      <c r="I1067" s="246"/>
      <c r="J1067" s="247"/>
      <c r="K1067" s="503"/>
      <c r="L1067" s="544"/>
      <c r="M1067" s="544"/>
      <c r="N1067" s="500"/>
      <c r="O1067" s="500"/>
      <c r="P1067" s="500"/>
      <c r="Q1067" s="500"/>
      <c r="R1067" s="500"/>
      <c r="S1067" s="278"/>
      <c r="T1067" s="508">
        <f t="shared" si="776"/>
        <v>0</v>
      </c>
      <c r="U1067" s="225" t="str">
        <f>IF(NOT(ISNUMBER(G1067)), "", VLOOKUP(A1067,'Discount Lookup'!D:E,2,FALSE)*G1067)</f>
        <v/>
      </c>
      <c r="V1067" s="225" t="str">
        <f>IF(NOT(ISNUMBER(G1067)), "", VLOOKUP(A1067,'Discount Lookup'!G:H,2,FALSE)*G1067)</f>
        <v/>
      </c>
      <c r="W1067" s="508">
        <f t="shared" si="777"/>
        <v>0</v>
      </c>
      <c r="X1067" s="508">
        <f t="shared" si="778"/>
        <v>0</v>
      </c>
      <c r="Y1067" s="509" t="b">
        <f t="shared" si="779"/>
        <v>0</v>
      </c>
      <c r="Z1067" s="510">
        <f t="shared" si="780"/>
        <v>0</v>
      </c>
      <c r="AA1067" s="511"/>
      <c r="AB1067" s="511" t="str">
        <f t="shared" si="781"/>
        <v/>
      </c>
      <c r="AC1067" s="698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698"/>
      <c r="AE1067" s="631" t="str">
        <f t="shared" si="782"/>
        <v/>
      </c>
      <c r="AF1067" s="699" t="str">
        <f t="shared" si="783"/>
        <v/>
      </c>
      <c r="AG1067" s="699"/>
      <c r="AH1067" s="699"/>
      <c r="AI1067" s="512">
        <f>IF(H1067="credit",0,IF(AE1067="free",0,IF(AE1067="me",0,IF(G1067&gt;0,(VLOOKUP(A1067,'Discount Lookup'!J:K,2)*G1067),0))))</f>
        <v>0</v>
      </c>
      <c r="AJ1067" s="513" t="str">
        <f t="shared" ca="1" si="784"/>
        <v/>
      </c>
      <c r="AK1067" s="700" t="str">
        <f t="shared" si="785"/>
        <v/>
      </c>
      <c r="AL1067" s="700"/>
      <c r="AM1067" s="505" t="str">
        <f t="shared" si="786"/>
        <v/>
      </c>
      <c r="AN1067" s="506"/>
      <c r="AO1067" s="507"/>
      <c r="AP1067" s="507"/>
      <c r="AQ1067" s="507"/>
      <c r="AR1067" s="507"/>
      <c r="AS1067" s="507"/>
      <c r="AT1067" s="507"/>
      <c r="AU1067" s="507"/>
      <c r="AV1067" s="225"/>
      <c r="AW1067" s="508"/>
      <c r="AX1067" s="225"/>
      <c r="AY1067" s="225"/>
      <c r="AZ1067" s="225"/>
      <c r="BA1067" s="225"/>
      <c r="BB1067" s="225"/>
      <c r="BC1067" s="56"/>
      <c r="BD1067" s="56"/>
      <c r="BE1067" s="56"/>
      <c r="BF1067" s="107" t="str">
        <f t="shared" si="787"/>
        <v>https://www.google.com/search?tbm=isch&amp;q=Dragon%20Baby%20has%20Green%20foliage.%20All%20%22Hardy%22%20Hydrangea%20have%20cone-shaped%20flowers%20on%20new%20wood.%20Flowers%20change%20color%20with%20age.%20Extremely%20cold-hardy%20</v>
      </c>
      <c r="BG1067" s="107" t="str">
        <f t="shared" si="788"/>
        <v>D</v>
      </c>
      <c r="BH1067" s="254"/>
      <c r="BI1067" s="254"/>
    </row>
    <row r="1068" spans="1:61" customFormat="1" ht="18" x14ac:dyDescent="0.25">
      <c r="A1068" s="521" t="s">
        <v>779</v>
      </c>
      <c r="B1068" s="477"/>
      <c r="C1068" s="674"/>
      <c r="D1068" s="478" t="s">
        <v>780</v>
      </c>
      <c r="E1068" s="479"/>
      <c r="F1068" s="479"/>
      <c r="G1068" s="479"/>
      <c r="H1068" s="582" t="s">
        <v>304</v>
      </c>
      <c r="I1068" s="480" t="s">
        <v>2089</v>
      </c>
      <c r="J1068" s="479"/>
      <c r="K1068" s="479"/>
      <c r="L1068" s="560"/>
      <c r="M1068" s="666" t="s">
        <v>4966</v>
      </c>
      <c r="N1068" s="680" t="str">
        <f>IF(AND(ISTEXT($A1068), ISERROR($A1068+0)), HYPERLINK($BF1068, "Images"), "")</f>
        <v>Images</v>
      </c>
      <c r="O1068" s="662" t="s">
        <v>4967</v>
      </c>
      <c r="P1068" s="482"/>
      <c r="Q1068" s="483"/>
      <c r="R1068" s="483"/>
      <c r="S1068" s="484"/>
      <c r="T1068" s="508">
        <f t="shared" si="776"/>
        <v>0</v>
      </c>
      <c r="U1068" s="225" t="str">
        <f>IF(NOT(ISNUMBER(G1068)), "", VLOOKUP(A1068,'Discount Lookup'!D:E,2,FALSE)*G1068)</f>
        <v/>
      </c>
      <c r="V1068" s="225" t="str">
        <f>IF(NOT(ISNUMBER(G1068)), "", VLOOKUP(A1068,'Discount Lookup'!G:H,2,FALSE)*G1068)</f>
        <v/>
      </c>
      <c r="W1068" s="508">
        <f t="shared" si="777"/>
        <v>0</v>
      </c>
      <c r="X1068" s="508" t="str">
        <f t="shared" si="778"/>
        <v>Variegated needles</v>
      </c>
      <c r="Y1068" s="509" t="b">
        <f t="shared" si="779"/>
        <v>0</v>
      </c>
      <c r="Z1068" s="510">
        <f t="shared" si="780"/>
        <v>0</v>
      </c>
      <c r="AA1068" s="511"/>
      <c r="AB1068" s="511" t="str">
        <f t="shared" si="781"/>
        <v/>
      </c>
      <c r="AC1068" s="698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698"/>
      <c r="AE1068" s="631" t="str">
        <f t="shared" si="782"/>
        <v/>
      </c>
      <c r="AF1068" s="699" t="str">
        <f t="shared" si="783"/>
        <v/>
      </c>
      <c r="AG1068" s="699"/>
      <c r="AH1068" s="699"/>
      <c r="AI1068" s="512">
        <f>IF(H1068="credit",0,IF(AE1068="free",0,IF(AE1068="me",0,IF(G1068&gt;0,(VLOOKUP(A1068,'Discount Lookup'!J:K,2)*G1068),0))))</f>
        <v>0</v>
      </c>
      <c r="AJ1068" s="513" t="str">
        <f t="shared" ca="1" si="784"/>
        <v/>
      </c>
      <c r="AK1068" s="700" t="str">
        <f t="shared" si="785"/>
        <v/>
      </c>
      <c r="AL1068" s="700"/>
      <c r="AM1068" s="505" t="str">
        <f t="shared" si="786"/>
        <v/>
      </c>
      <c r="AN1068" s="506"/>
      <c r="AO1068" s="507"/>
      <c r="AP1068" s="507"/>
      <c r="AQ1068" s="507"/>
      <c r="AR1068" s="507"/>
      <c r="AS1068" s="507"/>
      <c r="AT1068" s="507"/>
      <c r="AU1068" s="507"/>
      <c r="AV1068" s="225"/>
      <c r="AW1068" s="508"/>
      <c r="AX1068" s="225"/>
      <c r="AY1068" s="225"/>
      <c r="AZ1068" s="225"/>
      <c r="BA1068" s="225"/>
      <c r="BB1068" s="225"/>
      <c r="BC1068" s="56"/>
      <c r="BD1068" s="56"/>
      <c r="BE1068" s="56"/>
      <c r="BF1068" s="107" t="str">
        <f t="shared" si="787"/>
        <v>https://www.google.com/search?tbm=isch&amp;q=Dragon%20Eye%20Korean%20Pine%20Pinus%20koraiensis%20%27Oculis%20Draconis%27</v>
      </c>
      <c r="BG1068" s="107" t="str">
        <f t="shared" si="788"/>
        <v>D</v>
      </c>
      <c r="BH1068" s="254"/>
      <c r="BI1068" s="254"/>
    </row>
    <row r="1069" spans="1:61" customFormat="1" ht="15.75" x14ac:dyDescent="0.25">
      <c r="A1069" s="485">
        <v>20</v>
      </c>
      <c r="B1069" s="486" t="s">
        <v>291</v>
      </c>
      <c r="C1069" s="487" t="s">
        <v>4705</v>
      </c>
      <c r="D1069" s="488" t="s">
        <v>292</v>
      </c>
      <c r="E1069" s="489">
        <v>422.95</v>
      </c>
      <c r="F1069" s="516" t="s">
        <v>293</v>
      </c>
      <c r="G1069" s="232">
        <v>0</v>
      </c>
      <c r="H1069" s="658" t="str">
        <f>IF(G1069=0,"",IF(F1069="Buy",IF(G1069=1,"plant","plants"),IF(F1069&gt;0.01,"warranty","Error")))</f>
        <v/>
      </c>
      <c r="I1069" s="490">
        <f>IF(H1069="free",0,IF(H1069="credit",((E1069*(F1069))*G1069*-1),IF(F1069="Buy",(E1069*G1069),((E1069*(1-F1069))*G1069))))</f>
        <v>0</v>
      </c>
      <c r="J1069" s="490">
        <f>IF(H1069="warranty",0,(I1069*(_xlfn.SINGLE(SalesTaxPercentage))))</f>
        <v>0</v>
      </c>
      <c r="K1069" s="695">
        <f t="shared" ref="K1069" si="802">I1069+J1069</f>
        <v>0</v>
      </c>
      <c r="L1069" s="695"/>
      <c r="M1069" s="659" t="str">
        <f>IF(AND(G1069&gt;0,E1069=0),"WARNING - no PRICE inserted",IF(H1069="free"," FREE ~ no charge this plant",IF(H1069="credit",CONCATENATE(" -$",ROUND(K1069*(1-T2GDiscount)*-1,2)," CREDIT after discount"),IF(T2GDiscount=0,"",IF(G1069=0,"",IF(F1069="Buy",CONCATENATE(" $",ROUND(K1069*(1-T2GDiscount),2)," with ",(T2GDiscount*100),"% discount"),CONCATENATE(" $",ROUND(K1069*(1-T2GDiscount),2)," with ",((T2GDiscount*100+F1069*100)-(T2GDiscount*100*F1069)),IF(F1069&gt;0,"% discounts",IF(NoWarrantyDiscount&gt;0,"% discounts","% discount")))))))))</f>
        <v/>
      </c>
      <c r="N1069" s="660"/>
      <c r="O1069" s="233"/>
      <c r="P1069" s="233"/>
      <c r="Q1069" s="233"/>
      <c r="R1069" s="233"/>
      <c r="S1069" s="233"/>
      <c r="T1069" s="508">
        <f t="shared" si="776"/>
        <v>0</v>
      </c>
      <c r="U1069" s="225">
        <f>IF(NOT(ISNUMBER(G1069)), "", VLOOKUP(A1069,'Discount Lookup'!D:E,2,FALSE)*G1069)</f>
        <v>0</v>
      </c>
      <c r="V1069" s="225">
        <f>IF(NOT(ISNUMBER(G1069)), "", VLOOKUP(A1069,'Discount Lookup'!G:H,2,FALSE)*G1069)</f>
        <v>0</v>
      </c>
      <c r="W1069" s="508">
        <f t="shared" si="777"/>
        <v>0</v>
      </c>
      <c r="X1069" s="508">
        <f t="shared" si="778"/>
        <v>0</v>
      </c>
      <c r="Y1069" s="509" t="b">
        <f t="shared" si="779"/>
        <v>0</v>
      </c>
      <c r="Z1069" s="510">
        <f t="shared" si="780"/>
        <v>0</v>
      </c>
      <c r="AA1069" s="511"/>
      <c r="AB1069" s="511" t="str">
        <f t="shared" si="781"/>
        <v/>
      </c>
      <c r="AC1069" s="698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698"/>
      <c r="AE1069" s="631" t="str">
        <f t="shared" si="782"/>
        <v/>
      </c>
      <c r="AF1069" s="699" t="str">
        <f t="shared" si="783"/>
        <v/>
      </c>
      <c r="AG1069" s="699"/>
      <c r="AH1069" s="699"/>
      <c r="AI1069" s="512">
        <f>IF(H1069="credit",0,IF(AE1069="free",0,IF(AE1069="me",0,IF(G1069&gt;0,(VLOOKUP(A1069,'Discount Lookup'!J:K,2)*G1069),0))))</f>
        <v>0</v>
      </c>
      <c r="AJ1069" s="513" t="str">
        <f t="shared" ca="1" si="784"/>
        <v/>
      </c>
      <c r="AK1069" s="700" t="str">
        <f t="shared" si="785"/>
        <v/>
      </c>
      <c r="AL1069" s="700"/>
      <c r="AM1069" s="505" t="str">
        <f t="shared" si="786"/>
        <v/>
      </c>
      <c r="AN1069" s="506"/>
      <c r="AO1069" s="507"/>
      <c r="AP1069" s="507"/>
      <c r="AQ1069" s="507"/>
      <c r="AR1069" s="507"/>
      <c r="AS1069" s="507"/>
      <c r="AT1069" s="507"/>
      <c r="AU1069" s="507"/>
      <c r="AV1069" s="225"/>
      <c r="AW1069" s="508"/>
      <c r="AX1069" s="225"/>
      <c r="AY1069" s="225"/>
      <c r="AZ1069" s="225"/>
      <c r="BA1069" s="225"/>
      <c r="BB1069" s="225"/>
      <c r="BC1069" s="56"/>
      <c r="BD1069" s="56"/>
      <c r="BE1069" s="56"/>
      <c r="BF1069" s="107" t="str">
        <f t="shared" si="787"/>
        <v>https://www.google.com/search?tbm=isch&amp;q=20%20G4</v>
      </c>
      <c r="BG1069" s="107" t="str">
        <f t="shared" si="788"/>
        <v>D</v>
      </c>
      <c r="BH1069" s="254"/>
      <c r="BI1069" s="254"/>
    </row>
    <row r="1070" spans="1:61" customFormat="1" ht="17.25" thickBot="1" x14ac:dyDescent="0.3">
      <c r="A1070" s="522" t="s">
        <v>2372</v>
      </c>
      <c r="B1070" s="491"/>
      <c r="C1070" s="675"/>
      <c r="D1070" s="491"/>
      <c r="E1070" s="491"/>
      <c r="F1070" s="492"/>
      <c r="G1070" s="493"/>
      <c r="H1070" s="491"/>
      <c r="I1070" s="234"/>
      <c r="J1070" s="234"/>
      <c r="K1070" s="494"/>
      <c r="L1070" s="543"/>
      <c r="M1070" s="561"/>
      <c r="N1070" s="495"/>
      <c r="O1070" s="496"/>
      <c r="P1070" s="497"/>
      <c r="Q1070" s="495"/>
      <c r="R1070" s="495"/>
      <c r="S1070" s="667" t="s">
        <v>4984</v>
      </c>
      <c r="T1070" s="508">
        <f t="shared" si="776"/>
        <v>0</v>
      </c>
      <c r="U1070" s="225" t="str">
        <f>IF(NOT(ISNUMBER(G1070)), "", VLOOKUP(A1070,'Discount Lookup'!D:E,2,FALSE)*G1070)</f>
        <v/>
      </c>
      <c r="V1070" s="225" t="str">
        <f>IF(NOT(ISNUMBER(G1070)), "", VLOOKUP(A1070,'Discount Lookup'!G:H,2,FALSE)*G1070)</f>
        <v/>
      </c>
      <c r="W1070" s="508">
        <f t="shared" si="777"/>
        <v>0</v>
      </c>
      <c r="X1070" s="508">
        <f t="shared" si="778"/>
        <v>0</v>
      </c>
      <c r="Y1070" s="509" t="b">
        <f t="shared" si="779"/>
        <v>0</v>
      </c>
      <c r="Z1070" s="510">
        <f t="shared" si="780"/>
        <v>0</v>
      </c>
      <c r="AA1070" s="511"/>
      <c r="AB1070" s="511" t="str">
        <f t="shared" si="781"/>
        <v/>
      </c>
      <c r="AC1070" s="698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698"/>
      <c r="AE1070" s="631" t="str">
        <f t="shared" si="782"/>
        <v/>
      </c>
      <c r="AF1070" s="699" t="str">
        <f t="shared" si="783"/>
        <v/>
      </c>
      <c r="AG1070" s="699"/>
      <c r="AH1070" s="699"/>
      <c r="AI1070" s="512">
        <f>IF(H1070="credit",0,IF(AE1070="free",0,IF(AE1070="me",0,IF(G1070&gt;0,(VLOOKUP(A1070,'Discount Lookup'!J:K,2)*G1070),0))))</f>
        <v>0</v>
      </c>
      <c r="AJ1070" s="513" t="str">
        <f t="shared" ca="1" si="784"/>
        <v/>
      </c>
      <c r="AK1070" s="700" t="str">
        <f t="shared" si="785"/>
        <v/>
      </c>
      <c r="AL1070" s="700"/>
      <c r="AM1070" s="505" t="str">
        <f t="shared" si="786"/>
        <v/>
      </c>
      <c r="AN1070" s="506"/>
      <c r="AO1070" s="507"/>
      <c r="AP1070" s="507"/>
      <c r="AQ1070" s="507"/>
      <c r="AR1070" s="507"/>
      <c r="AS1070" s="507"/>
      <c r="AT1070" s="507"/>
      <c r="AU1070" s="507"/>
      <c r="AV1070" s="225"/>
      <c r="AW1070" s="508"/>
      <c r="AX1070" s="225"/>
      <c r="AY1070" s="225"/>
      <c r="AZ1070" s="225"/>
      <c r="BA1070" s="225"/>
      <c r="BB1070" s="225"/>
      <c r="BC1070" s="56"/>
      <c r="BD1070" s="56"/>
      <c r="BE1070" s="56"/>
      <c r="BF1070" s="107" t="str">
        <f t="shared" si="787"/>
        <v>https://www.google.com/search?tbm=isch&amp;q=Dragon%20Eye%20named%20for%20the%20Blue-Green%20needles%20banded%20with%20Creamy%20Yellow%2C%20creating%20a%20%22dragon%27s%3Deye%22%20effect%20</v>
      </c>
      <c r="BG1070" s="107" t="str">
        <f t="shared" si="788"/>
        <v>D</v>
      </c>
      <c r="BH1070" s="254"/>
      <c r="BI1070" s="254"/>
    </row>
    <row r="1071" spans="1:61" customFormat="1" ht="18" x14ac:dyDescent="0.25">
      <c r="A1071" s="521" t="s">
        <v>781</v>
      </c>
      <c r="B1071" s="477"/>
      <c r="C1071" s="674"/>
      <c r="D1071" s="478" t="s">
        <v>782</v>
      </c>
      <c r="E1071" s="479"/>
      <c r="F1071" s="479"/>
      <c r="G1071" s="479"/>
      <c r="H1071" s="582" t="s">
        <v>1441</v>
      </c>
      <c r="I1071" s="480" t="s">
        <v>2093</v>
      </c>
      <c r="J1071" s="479"/>
      <c r="K1071" s="479"/>
      <c r="L1071" s="560"/>
      <c r="M1071" s="666" t="s">
        <v>4966</v>
      </c>
      <c r="N1071" s="680" t="str">
        <f>IF(AND(ISTEXT($A1071), ISERROR($A1071+0)), HYPERLINK($BF1071, "Images"), "")</f>
        <v>Images</v>
      </c>
      <c r="O1071" s="662" t="s">
        <v>4969</v>
      </c>
      <c r="P1071" s="482"/>
      <c r="Q1071" s="483"/>
      <c r="R1071" s="483"/>
      <c r="S1071" s="484"/>
      <c r="T1071" s="508">
        <f t="shared" si="776"/>
        <v>0</v>
      </c>
      <c r="U1071" s="225" t="str">
        <f>IF(NOT(ISNUMBER(G1071)), "", VLOOKUP(A1071,'Discount Lookup'!D:E,2,FALSE)*G1071)</f>
        <v/>
      </c>
      <c r="V1071" s="225" t="str">
        <f>IF(NOT(ISNUMBER(G1071)), "", VLOOKUP(A1071,'Discount Lookup'!G:H,2,FALSE)*G1071)</f>
        <v/>
      </c>
      <c r="W1071" s="508">
        <f t="shared" si="777"/>
        <v>0</v>
      </c>
      <c r="X1071" s="508" t="str">
        <f t="shared" si="778"/>
        <v>Dark Green foliage</v>
      </c>
      <c r="Y1071" s="509" t="b">
        <f t="shared" si="779"/>
        <v>0</v>
      </c>
      <c r="Z1071" s="510">
        <f t="shared" si="780"/>
        <v>0</v>
      </c>
      <c r="AA1071" s="511"/>
      <c r="AB1071" s="511" t="str">
        <f t="shared" si="781"/>
        <v/>
      </c>
      <c r="AC1071" s="698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698"/>
      <c r="AE1071" s="631" t="str">
        <f t="shared" si="782"/>
        <v/>
      </c>
      <c r="AF1071" s="699" t="str">
        <f t="shared" si="783"/>
        <v/>
      </c>
      <c r="AG1071" s="699"/>
      <c r="AH1071" s="699"/>
      <c r="AI1071" s="512">
        <f>IF(H1071="credit",0,IF(AE1071="free",0,IF(AE1071="me",0,IF(G1071&gt;0,(VLOOKUP(A1071,'Discount Lookup'!J:K,2)*G1071),0))))</f>
        <v>0</v>
      </c>
      <c r="AJ1071" s="513" t="str">
        <f t="shared" ca="1" si="784"/>
        <v/>
      </c>
      <c r="AK1071" s="700" t="str">
        <f t="shared" si="785"/>
        <v/>
      </c>
      <c r="AL1071" s="700"/>
      <c r="AM1071" s="505" t="str">
        <f t="shared" si="786"/>
        <v/>
      </c>
      <c r="AN1071" s="506"/>
      <c r="AO1071" s="507"/>
      <c r="AP1071" s="507"/>
      <c r="AQ1071" s="507"/>
      <c r="AR1071" s="507"/>
      <c r="AS1071" s="507"/>
      <c r="AT1071" s="507"/>
      <c r="AU1071" s="507"/>
      <c r="AV1071" s="225"/>
      <c r="AW1071" s="508"/>
      <c r="AX1071" s="225"/>
      <c r="AY1071" s="225"/>
      <c r="AZ1071" s="225"/>
      <c r="BA1071" s="225"/>
      <c r="BB1071" s="225"/>
      <c r="BC1071" s="56"/>
      <c r="BD1071" s="56"/>
      <c r="BE1071" s="56"/>
      <c r="BF1071" s="107" t="str">
        <f t="shared" si="787"/>
        <v>https://www.google.com/search?tbm=isch&amp;q=Dragon%20Slayer%20Holly%20Ilex%20x%20aquipernyi%20%27Dragon%20Slayer%27</v>
      </c>
      <c r="BG1071" s="107" t="str">
        <f t="shared" si="788"/>
        <v>D</v>
      </c>
      <c r="BH1071" s="254"/>
      <c r="BI1071" s="254"/>
    </row>
    <row r="1072" spans="1:61" customFormat="1" ht="27" x14ac:dyDescent="0.25">
      <c r="A1072" s="485">
        <v>7</v>
      </c>
      <c r="B1072" s="486" t="s">
        <v>291</v>
      </c>
      <c r="C1072" s="487" t="s">
        <v>3424</v>
      </c>
      <c r="D1072" s="488" t="s">
        <v>292</v>
      </c>
      <c r="E1072" s="489">
        <v>91.95</v>
      </c>
      <c r="F1072" s="516" t="s">
        <v>293</v>
      </c>
      <c r="G1072" s="232">
        <v>0</v>
      </c>
      <c r="H1072" s="658" t="str">
        <f>IF(G1072=0,"",IF(F1072="Buy",IF(G1072=1,"plant","plants"),IF(F1072&gt;0.01,"warranty","Error")))</f>
        <v/>
      </c>
      <c r="I1072" s="490">
        <f>IF(H1072="free",0,IF(H1072="credit",((E1072*(F1072))*G1072*-1),IF(F1072="Buy",(E1072*G1072),((E1072*(1-F1072))*G1072))))</f>
        <v>0</v>
      </c>
      <c r="J1072" s="490">
        <f>IF(H1072="warranty",0,(I1072*(_xlfn.SINGLE(SalesTaxPercentage))))</f>
        <v>0</v>
      </c>
      <c r="K1072" s="695">
        <f t="shared" ref="K1072" si="803">I1072+J1072</f>
        <v>0</v>
      </c>
      <c r="L1072" s="695"/>
      <c r="M1072" s="659" t="str">
        <f>IF(AND(G1072&gt;0,E1072=0),"WARNING - no PRICE inserted",IF(H1072="free"," FREE ~ no charge this plant",IF(H1072="credit",CONCATENATE(" -$",ROUND(K1072*(1-T2GDiscount)*-1,2)," CREDIT after discount"),IF(T2GDiscount=0,"",IF(G1072=0,"",IF(F1072="Buy",CONCATENATE(" $",ROUND(K1072*(1-T2GDiscount),2)," with ",(T2GDiscount*100),"% discount"),CONCATENATE(" $",ROUND(K1072*(1-T2GDiscount),2)," with ",((T2GDiscount*100+F1072*100)-(T2GDiscount*100*F1072)),IF(F1072&gt;0,"% discounts",IF(NoWarrantyDiscount&gt;0,"% discounts","% discount")))))))))</f>
        <v/>
      </c>
      <c r="N1072" s="660"/>
      <c r="O1072" s="233"/>
      <c r="P1072" s="233"/>
      <c r="Q1072" s="233"/>
      <c r="R1072" s="233"/>
      <c r="S1072" s="233"/>
      <c r="T1072" s="508">
        <f t="shared" si="776"/>
        <v>0</v>
      </c>
      <c r="U1072" s="225">
        <f>IF(NOT(ISNUMBER(G1072)), "", VLOOKUP(A1072,'Discount Lookup'!D:E,2,FALSE)*G1072)</f>
        <v>0</v>
      </c>
      <c r="V1072" s="225">
        <f>IF(NOT(ISNUMBER(G1072)), "", VLOOKUP(A1072,'Discount Lookup'!G:H,2,FALSE)*G1072)</f>
        <v>0</v>
      </c>
      <c r="W1072" s="508">
        <f t="shared" si="777"/>
        <v>0</v>
      </c>
      <c r="X1072" s="508">
        <f t="shared" si="778"/>
        <v>0</v>
      </c>
      <c r="Y1072" s="509" t="b">
        <f t="shared" si="779"/>
        <v>0</v>
      </c>
      <c r="Z1072" s="510">
        <f t="shared" si="780"/>
        <v>0</v>
      </c>
      <c r="AA1072" s="511"/>
      <c r="AB1072" s="511" t="str">
        <f t="shared" si="781"/>
        <v/>
      </c>
      <c r="AC1072" s="698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698"/>
      <c r="AE1072" s="631" t="str">
        <f t="shared" si="782"/>
        <v/>
      </c>
      <c r="AF1072" s="699" t="str">
        <f t="shared" si="783"/>
        <v/>
      </c>
      <c r="AG1072" s="699"/>
      <c r="AH1072" s="699"/>
      <c r="AI1072" s="512">
        <f>IF(H1072="credit",0,IF(AE1072="free",0,IF(AE1072="me",0,IF(G1072&gt;0,(VLOOKUP(A1072,'Discount Lookup'!J:K,2)*G1072),0))))</f>
        <v>0</v>
      </c>
      <c r="AJ1072" s="513" t="str">
        <f t="shared" ca="1" si="784"/>
        <v/>
      </c>
      <c r="AK1072" s="700" t="str">
        <f t="shared" si="785"/>
        <v/>
      </c>
      <c r="AL1072" s="700"/>
      <c r="AM1072" s="505" t="str">
        <f t="shared" si="786"/>
        <v/>
      </c>
      <c r="AN1072" s="506"/>
      <c r="AO1072" s="507"/>
      <c r="AP1072" s="507"/>
      <c r="AQ1072" s="507"/>
      <c r="AR1072" s="507"/>
      <c r="AS1072" s="507"/>
      <c r="AT1072" s="507"/>
      <c r="AU1072" s="507"/>
      <c r="AV1072" s="225"/>
      <c r="AW1072" s="508"/>
      <c r="AX1072" s="225"/>
      <c r="AY1072" s="225"/>
      <c r="AZ1072" s="225"/>
      <c r="BA1072" s="225"/>
      <c r="BB1072" s="225"/>
      <c r="BC1072" s="56"/>
      <c r="BD1072" s="56"/>
      <c r="BE1072" s="56"/>
      <c r="BF1072" s="107" t="str">
        <f t="shared" si="787"/>
        <v>https://www.google.com/search?tbm=isch&amp;q=7%20G4</v>
      </c>
      <c r="BG1072" s="107" t="str">
        <f t="shared" si="788"/>
        <v>D</v>
      </c>
      <c r="BH1072" s="254"/>
      <c r="BI1072" s="254"/>
    </row>
    <row r="1073" spans="1:61" customFormat="1" ht="17.25" thickBot="1" x14ac:dyDescent="0.3">
      <c r="A1073" s="522" t="s">
        <v>2373</v>
      </c>
      <c r="B1073" s="491"/>
      <c r="C1073" s="675"/>
      <c r="D1073" s="491"/>
      <c r="E1073" s="491"/>
      <c r="F1073" s="492"/>
      <c r="G1073" s="493"/>
      <c r="H1073" s="491"/>
      <c r="I1073" s="234"/>
      <c r="J1073" s="234"/>
      <c r="K1073" s="494"/>
      <c r="L1073" s="543"/>
      <c r="M1073" s="561"/>
      <c r="N1073" s="495"/>
      <c r="O1073" s="496"/>
      <c r="P1073" s="497"/>
      <c r="Q1073" s="495"/>
      <c r="R1073" s="495"/>
      <c r="S1073" s="667" t="s">
        <v>4984</v>
      </c>
      <c r="T1073" s="508">
        <f t="shared" si="776"/>
        <v>0</v>
      </c>
      <c r="U1073" s="225" t="str">
        <f>IF(NOT(ISNUMBER(G1073)), "", VLOOKUP(A1073,'Discount Lookup'!D:E,2,FALSE)*G1073)</f>
        <v/>
      </c>
      <c r="V1073" s="225" t="str">
        <f>IF(NOT(ISNUMBER(G1073)), "", VLOOKUP(A1073,'Discount Lookup'!G:H,2,FALSE)*G1073)</f>
        <v/>
      </c>
      <c r="W1073" s="508">
        <f t="shared" si="777"/>
        <v>0</v>
      </c>
      <c r="X1073" s="508">
        <f t="shared" si="778"/>
        <v>0</v>
      </c>
      <c r="Y1073" s="509" t="b">
        <f t="shared" si="779"/>
        <v>0</v>
      </c>
      <c r="Z1073" s="510">
        <f t="shared" si="780"/>
        <v>0</v>
      </c>
      <c r="AA1073" s="511"/>
      <c r="AB1073" s="511" t="str">
        <f t="shared" si="781"/>
        <v/>
      </c>
      <c r="AC1073" s="698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698"/>
      <c r="AE1073" s="631" t="str">
        <f t="shared" si="782"/>
        <v/>
      </c>
      <c r="AF1073" s="699" t="str">
        <f t="shared" si="783"/>
        <v/>
      </c>
      <c r="AG1073" s="699"/>
      <c r="AH1073" s="699"/>
      <c r="AI1073" s="512">
        <f>IF(H1073="credit",0,IF(AE1073="free",0,IF(AE1073="me",0,IF(G1073&gt;0,(VLOOKUP(A1073,'Discount Lookup'!J:K,2)*G1073),0))))</f>
        <v>0</v>
      </c>
      <c r="AJ1073" s="513" t="str">
        <f t="shared" ca="1" si="784"/>
        <v/>
      </c>
      <c r="AK1073" s="700" t="str">
        <f t="shared" si="785"/>
        <v/>
      </c>
      <c r="AL1073" s="700"/>
      <c r="AM1073" s="505" t="str">
        <f t="shared" si="786"/>
        <v/>
      </c>
      <c r="AN1073" s="506"/>
      <c r="AO1073" s="507"/>
      <c r="AP1073" s="507"/>
      <c r="AQ1073" s="507"/>
      <c r="AR1073" s="507"/>
      <c r="AS1073" s="507"/>
      <c r="AT1073" s="507"/>
      <c r="AU1073" s="507"/>
      <c r="AV1073" s="225"/>
      <c r="AW1073" s="508"/>
      <c r="AX1073" s="225"/>
      <c r="AY1073" s="225"/>
      <c r="AZ1073" s="225"/>
      <c r="BA1073" s="225"/>
      <c r="BB1073" s="225"/>
      <c r="BC1073" s="56"/>
      <c r="BD1073" s="56"/>
      <c r="BE1073" s="56"/>
      <c r="BF1073" s="107" t="str">
        <f t="shared" si="787"/>
        <v>https://www.google.com/search?tbm=isch&amp;q=Dragon%20Slayer%27s%20Scarlet%20heavy%20set%20of%20berries%20persist%20into%20winter%2C%20providing%20there%20is%20a%20male%20pollicator%20</v>
      </c>
      <c r="BG1073" s="107" t="str">
        <f t="shared" si="788"/>
        <v>D</v>
      </c>
      <c r="BH1073" s="254"/>
      <c r="BI1073" s="254"/>
    </row>
    <row r="1074" spans="1:61" customFormat="1" ht="18" x14ac:dyDescent="0.25">
      <c r="A1074" s="521" t="s">
        <v>783</v>
      </c>
      <c r="B1074" s="477"/>
      <c r="C1074" s="674"/>
      <c r="D1074" s="478" t="s">
        <v>784</v>
      </c>
      <c r="E1074" s="479"/>
      <c r="F1074" s="479"/>
      <c r="G1074" s="479"/>
      <c r="H1074" s="582" t="s">
        <v>977</v>
      </c>
      <c r="I1074" s="480" t="s">
        <v>2847</v>
      </c>
      <c r="J1074" s="479"/>
      <c r="K1074" s="479"/>
      <c r="L1074" s="560"/>
      <c r="M1074" s="666" t="s">
        <v>4966</v>
      </c>
      <c r="N1074" s="680" t="str">
        <f>IF(AND(ISTEXT($A1074), ISERROR($A1074+0)), HYPERLINK($BF1074, "Images"), "")</f>
        <v>Images</v>
      </c>
      <c r="O1074" s="662" t="s">
        <v>4969</v>
      </c>
      <c r="P1074" s="482"/>
      <c r="Q1074" s="483"/>
      <c r="R1074" s="483"/>
      <c r="S1074" s="484"/>
      <c r="T1074" s="508">
        <f t="shared" si="776"/>
        <v>0</v>
      </c>
      <c r="U1074" s="225" t="str">
        <f>IF(NOT(ISNUMBER(G1074)), "", VLOOKUP(A1074,'Discount Lookup'!D:E,2,FALSE)*G1074)</f>
        <v/>
      </c>
      <c r="V1074" s="225" t="str">
        <f>IF(NOT(ISNUMBER(G1074)), "", VLOOKUP(A1074,'Discount Lookup'!G:H,2,FALSE)*G1074)</f>
        <v/>
      </c>
      <c r="W1074" s="508">
        <f t="shared" si="777"/>
        <v>0</v>
      </c>
      <c r="X1074" s="508" t="str">
        <f t="shared" si="778"/>
        <v>Yellow+Green foliage</v>
      </c>
      <c r="Y1074" s="509" t="b">
        <f t="shared" si="779"/>
        <v>0</v>
      </c>
      <c r="Z1074" s="510">
        <f t="shared" si="780"/>
        <v>0</v>
      </c>
      <c r="AA1074" s="511"/>
      <c r="AB1074" s="511" t="str">
        <f t="shared" si="781"/>
        <v/>
      </c>
      <c r="AC1074" s="698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698"/>
      <c r="AE1074" s="631" t="str">
        <f t="shared" si="782"/>
        <v/>
      </c>
      <c r="AF1074" s="699" t="str">
        <f t="shared" si="783"/>
        <v/>
      </c>
      <c r="AG1074" s="699"/>
      <c r="AH1074" s="699"/>
      <c r="AI1074" s="512">
        <f>IF(H1074="credit",0,IF(AE1074="free",0,IF(AE1074="me",0,IF(G1074&gt;0,(VLOOKUP(A1074,'Discount Lookup'!J:K,2)*G1074),0))))</f>
        <v>0</v>
      </c>
      <c r="AJ1074" s="513" t="str">
        <f t="shared" ca="1" si="784"/>
        <v/>
      </c>
      <c r="AK1074" s="700" t="str">
        <f t="shared" si="785"/>
        <v/>
      </c>
      <c r="AL1074" s="700"/>
      <c r="AM1074" s="505" t="str">
        <f t="shared" si="786"/>
        <v/>
      </c>
      <c r="AN1074" s="506"/>
      <c r="AO1074" s="507"/>
      <c r="AP1074" s="507"/>
      <c r="AQ1074" s="507"/>
      <c r="AR1074" s="507"/>
      <c r="AS1074" s="507"/>
      <c r="AT1074" s="507"/>
      <c r="AU1074" s="507"/>
      <c r="AV1074" s="225"/>
      <c r="AW1074" s="508"/>
      <c r="AX1074" s="225"/>
      <c r="AY1074" s="225"/>
      <c r="AZ1074" s="225"/>
      <c r="BA1074" s="225"/>
      <c r="BB1074" s="225"/>
      <c r="BC1074" s="56"/>
      <c r="BD1074" s="56"/>
      <c r="BE1074" s="56"/>
      <c r="BF1074" s="107" t="str">
        <f t="shared" si="787"/>
        <v>https://www.google.com/search?tbm=isch&amp;q=Drops%20of%20Gold%20Holly%20Ilex%20crenata%20%27Drops%20of%20Gold%27%20PP%2314420</v>
      </c>
      <c r="BG1074" s="107" t="str">
        <f t="shared" si="788"/>
        <v>D</v>
      </c>
      <c r="BH1074" s="254"/>
      <c r="BI1074" s="254"/>
    </row>
    <row r="1075" spans="1:61" customFormat="1" ht="27" x14ac:dyDescent="0.25">
      <c r="A1075" s="485">
        <v>7</v>
      </c>
      <c r="B1075" s="486" t="s">
        <v>291</v>
      </c>
      <c r="C1075" s="487" t="s">
        <v>3425</v>
      </c>
      <c r="D1075" s="488" t="s">
        <v>292</v>
      </c>
      <c r="E1075" s="489">
        <v>100.95</v>
      </c>
      <c r="F1075" s="516" t="s">
        <v>293</v>
      </c>
      <c r="G1075" s="232">
        <v>0</v>
      </c>
      <c r="H1075" s="658" t="str">
        <f>IF(G1075=0,"",IF(F1075="Buy",IF(G1075=1,"plant","plants"),IF(F1075&gt;0.01,"warranty","Error")))</f>
        <v/>
      </c>
      <c r="I1075" s="490">
        <f>IF(H1075="free",0,IF(H1075="credit",((E1075*(F1075))*G1075*-1),IF(F1075="Buy",(E1075*G1075),((E1075*(1-F1075))*G1075))))</f>
        <v>0</v>
      </c>
      <c r="J1075" s="490">
        <f>IF(H1075="warranty",0,(I1075*(_xlfn.SINGLE(SalesTaxPercentage))))</f>
        <v>0</v>
      </c>
      <c r="K1075" s="695">
        <f t="shared" ref="K1075" si="804">I1075+J1075</f>
        <v>0</v>
      </c>
      <c r="L1075" s="695"/>
      <c r="M1075" s="659" t="str">
        <f>IF(AND(G1075&gt;0,E1075=0),"WARNING - no PRICE inserted",IF(H1075="free"," FREE ~ no charge this plant",IF(H1075="credit",CONCATENATE(" -$",ROUND(K1075*(1-T2GDiscount)*-1,2)," CREDIT after discount"),IF(T2GDiscount=0,"",IF(G1075=0,"",IF(F1075="Buy",CONCATENATE(" $",ROUND(K1075*(1-T2GDiscount),2)," with ",(T2GDiscount*100),"% discount"),CONCATENATE(" $",ROUND(K1075*(1-T2GDiscount),2)," with ",((T2GDiscount*100+F1075*100)-(T2GDiscount*100*F1075)),IF(F1075&gt;0,"% discounts",IF(NoWarrantyDiscount&gt;0,"% discounts","% discount")))))))))</f>
        <v/>
      </c>
      <c r="N1075" s="660"/>
      <c r="O1075" s="233"/>
      <c r="P1075" s="233"/>
      <c r="Q1075" s="233"/>
      <c r="R1075" s="233"/>
      <c r="S1075" s="233"/>
      <c r="T1075" s="508">
        <f t="shared" si="776"/>
        <v>0</v>
      </c>
      <c r="U1075" s="225">
        <f>IF(NOT(ISNUMBER(G1075)), "", VLOOKUP(A1075,'Discount Lookup'!D:E,2,FALSE)*G1075)</f>
        <v>0</v>
      </c>
      <c r="V1075" s="225">
        <f>IF(NOT(ISNUMBER(G1075)), "", VLOOKUP(A1075,'Discount Lookup'!G:H,2,FALSE)*G1075)</f>
        <v>0</v>
      </c>
      <c r="W1075" s="508">
        <f t="shared" si="777"/>
        <v>0</v>
      </c>
      <c r="X1075" s="508">
        <f t="shared" si="778"/>
        <v>0</v>
      </c>
      <c r="Y1075" s="509" t="b">
        <f t="shared" si="779"/>
        <v>0</v>
      </c>
      <c r="Z1075" s="510">
        <f t="shared" si="780"/>
        <v>0</v>
      </c>
      <c r="AA1075" s="511"/>
      <c r="AB1075" s="511" t="str">
        <f t="shared" si="781"/>
        <v/>
      </c>
      <c r="AC1075" s="698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698"/>
      <c r="AE1075" s="631" t="str">
        <f t="shared" si="782"/>
        <v/>
      </c>
      <c r="AF1075" s="699" t="str">
        <f t="shared" si="783"/>
        <v/>
      </c>
      <c r="AG1075" s="699"/>
      <c r="AH1075" s="699"/>
      <c r="AI1075" s="512">
        <f>IF(H1075="credit",0,IF(AE1075="free",0,IF(AE1075="me",0,IF(G1075&gt;0,(VLOOKUP(A1075,'Discount Lookup'!J:K,2)*G1075),0))))</f>
        <v>0</v>
      </c>
      <c r="AJ1075" s="513" t="str">
        <f t="shared" ca="1" si="784"/>
        <v/>
      </c>
      <c r="AK1075" s="700" t="str">
        <f t="shared" si="785"/>
        <v/>
      </c>
      <c r="AL1075" s="700"/>
      <c r="AM1075" s="505" t="str">
        <f t="shared" si="786"/>
        <v/>
      </c>
      <c r="AN1075" s="506"/>
      <c r="AO1075" s="507"/>
      <c r="AP1075" s="507"/>
      <c r="AQ1075" s="507"/>
      <c r="AR1075" s="507"/>
      <c r="AS1075" s="507"/>
      <c r="AT1075" s="507"/>
      <c r="AU1075" s="507"/>
      <c r="AV1075" s="225"/>
      <c r="AW1075" s="508"/>
      <c r="AX1075" s="225"/>
      <c r="AY1075" s="225"/>
      <c r="AZ1075" s="225"/>
      <c r="BA1075" s="225"/>
      <c r="BB1075" s="225"/>
      <c r="BC1075" s="56"/>
      <c r="BD1075" s="56"/>
      <c r="BE1075" s="56"/>
      <c r="BF1075" s="107" t="str">
        <f t="shared" si="787"/>
        <v>https://www.google.com/search?tbm=isch&amp;q=7%20G4</v>
      </c>
      <c r="BG1075" s="107" t="str">
        <f t="shared" si="788"/>
        <v>D</v>
      </c>
      <c r="BH1075" s="254"/>
      <c r="BI1075" s="254"/>
    </row>
    <row r="1076" spans="1:61" customFormat="1" ht="17.25" thickBot="1" x14ac:dyDescent="0.3">
      <c r="A1076" s="522" t="s">
        <v>2848</v>
      </c>
      <c r="B1076" s="491"/>
      <c r="C1076" s="675"/>
      <c r="D1076" s="491"/>
      <c r="E1076" s="491"/>
      <c r="F1076" s="492"/>
      <c r="G1076" s="493"/>
      <c r="H1076" s="491"/>
      <c r="I1076" s="234"/>
      <c r="J1076" s="234"/>
      <c r="K1076" s="494"/>
      <c r="L1076" s="543"/>
      <c r="M1076" s="561"/>
      <c r="N1076" s="495"/>
      <c r="O1076" s="496"/>
      <c r="P1076" s="497"/>
      <c r="Q1076" s="495"/>
      <c r="R1076" s="495"/>
      <c r="S1076" s="667" t="s">
        <v>4984</v>
      </c>
      <c r="T1076" s="508">
        <f t="shared" si="776"/>
        <v>0</v>
      </c>
      <c r="U1076" s="225" t="str">
        <f>IF(NOT(ISNUMBER(G1076)), "", VLOOKUP(A1076,'Discount Lookup'!D:E,2,FALSE)*G1076)</f>
        <v/>
      </c>
      <c r="V1076" s="225" t="str">
        <f>IF(NOT(ISNUMBER(G1076)), "", VLOOKUP(A1076,'Discount Lookup'!G:H,2,FALSE)*G1076)</f>
        <v/>
      </c>
      <c r="W1076" s="508">
        <f t="shared" si="777"/>
        <v>0</v>
      </c>
      <c r="X1076" s="508">
        <f t="shared" si="778"/>
        <v>0</v>
      </c>
      <c r="Y1076" s="509" t="b">
        <f t="shared" si="779"/>
        <v>0</v>
      </c>
      <c r="Z1076" s="510">
        <f t="shared" si="780"/>
        <v>0</v>
      </c>
      <c r="AA1076" s="511"/>
      <c r="AB1076" s="511" t="str">
        <f t="shared" si="781"/>
        <v/>
      </c>
      <c r="AC1076" s="698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698"/>
      <c r="AE1076" s="631" t="str">
        <f t="shared" si="782"/>
        <v/>
      </c>
      <c r="AF1076" s="699" t="str">
        <f t="shared" si="783"/>
        <v/>
      </c>
      <c r="AG1076" s="699"/>
      <c r="AH1076" s="699"/>
      <c r="AI1076" s="512">
        <f>IF(H1076="credit",0,IF(AE1076="free",0,IF(AE1076="me",0,IF(G1076&gt;0,(VLOOKUP(A1076,'Discount Lookup'!J:K,2)*G1076),0))))</f>
        <v>0</v>
      </c>
      <c r="AJ1076" s="513" t="str">
        <f t="shared" ca="1" si="784"/>
        <v/>
      </c>
      <c r="AK1076" s="700" t="str">
        <f t="shared" si="785"/>
        <v/>
      </c>
      <c r="AL1076" s="700"/>
      <c r="AM1076" s="505" t="str">
        <f t="shared" si="786"/>
        <v/>
      </c>
      <c r="AN1076" s="506"/>
      <c r="AO1076" s="507"/>
      <c r="AP1076" s="507"/>
      <c r="AQ1076" s="507"/>
      <c r="AR1076" s="507"/>
      <c r="AS1076" s="507"/>
      <c r="AT1076" s="507"/>
      <c r="AU1076" s="507"/>
      <c r="AV1076" s="225"/>
      <c r="AW1076" s="508"/>
      <c r="AX1076" s="225"/>
      <c r="AY1076" s="225"/>
      <c r="AZ1076" s="225"/>
      <c r="BA1076" s="225"/>
      <c r="BB1076" s="225"/>
      <c r="BC1076" s="56"/>
      <c r="BD1076" s="56"/>
      <c r="BE1076" s="56"/>
      <c r="BF1076" s="107" t="str">
        <f t="shared" si="787"/>
        <v>https://www.google.com/search?tbm=isch&amp;q=Drops%20of%20Gold%20has%20striking%20Golden-Yellow%20new%20foliage%20that%20provides%20a%20beautiful%20contrast%20to%20its%20Dark%20Green%20mature%20leaves%20</v>
      </c>
      <c r="BG1076" s="107" t="str">
        <f t="shared" si="788"/>
        <v>D</v>
      </c>
      <c r="BH1076" s="254"/>
      <c r="BI1076" s="254"/>
    </row>
    <row r="1077" spans="1:61" customFormat="1" ht="18" x14ac:dyDescent="0.25">
      <c r="A1077" s="521" t="s">
        <v>785</v>
      </c>
      <c r="B1077" s="477"/>
      <c r="C1077" s="674"/>
      <c r="D1077" s="478" t="s">
        <v>786</v>
      </c>
      <c r="E1077" s="479"/>
      <c r="F1077" s="479"/>
      <c r="G1077" s="479"/>
      <c r="H1077" s="582" t="s">
        <v>387</v>
      </c>
      <c r="I1077" s="480" t="s">
        <v>2093</v>
      </c>
      <c r="J1077" s="479"/>
      <c r="K1077" s="479"/>
      <c r="L1077" s="560"/>
      <c r="M1077" s="671" t="s">
        <v>4985</v>
      </c>
      <c r="N1077" s="680" t="str">
        <f>IF(AND(ISTEXT($A1077), ISERROR($A1077+0)), HYPERLINK($BF1077, "Images"), "")</f>
        <v>Images</v>
      </c>
      <c r="O1077" s="662" t="s">
        <v>4969</v>
      </c>
      <c r="P1077" s="482"/>
      <c r="Q1077" s="483"/>
      <c r="R1077" s="483"/>
      <c r="S1077" s="484"/>
      <c r="T1077" s="508">
        <f t="shared" si="776"/>
        <v>0</v>
      </c>
      <c r="U1077" s="225" t="str">
        <f>IF(NOT(ISNUMBER(G1077)), "", VLOOKUP(A1077,'Discount Lookup'!D:E,2,FALSE)*G1077)</f>
        <v/>
      </c>
      <c r="V1077" s="225" t="str">
        <f>IF(NOT(ISNUMBER(G1077)), "", VLOOKUP(A1077,'Discount Lookup'!G:H,2,FALSE)*G1077)</f>
        <v/>
      </c>
      <c r="W1077" s="508">
        <f t="shared" si="777"/>
        <v>0</v>
      </c>
      <c r="X1077" s="508" t="str">
        <f t="shared" si="778"/>
        <v>Dark Green foliage</v>
      </c>
      <c r="Y1077" s="509" t="b">
        <f t="shared" si="779"/>
        <v>0</v>
      </c>
      <c r="Z1077" s="510">
        <f t="shared" si="780"/>
        <v>0</v>
      </c>
      <c r="AA1077" s="511"/>
      <c r="AB1077" s="511" t="str">
        <f t="shared" si="781"/>
        <v/>
      </c>
      <c r="AC1077" s="698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698"/>
      <c r="AE1077" s="631" t="str">
        <f t="shared" si="782"/>
        <v/>
      </c>
      <c r="AF1077" s="699" t="str">
        <f t="shared" si="783"/>
        <v/>
      </c>
      <c r="AG1077" s="699"/>
      <c r="AH1077" s="699"/>
      <c r="AI1077" s="512">
        <f>IF(H1077="credit",0,IF(AE1077="free",0,IF(AE1077="me",0,IF(G1077&gt;0,(VLOOKUP(A1077,'Discount Lookup'!J:K,2)*G1077),0))))</f>
        <v>0</v>
      </c>
      <c r="AJ1077" s="513" t="str">
        <f t="shared" ca="1" si="784"/>
        <v/>
      </c>
      <c r="AK1077" s="700" t="str">
        <f t="shared" si="785"/>
        <v/>
      </c>
      <c r="AL1077" s="700"/>
      <c r="AM1077" s="505" t="str">
        <f t="shared" si="786"/>
        <v/>
      </c>
      <c r="AN1077" s="506"/>
      <c r="AO1077" s="507"/>
      <c r="AP1077" s="507"/>
      <c r="AQ1077" s="507"/>
      <c r="AR1077" s="507"/>
      <c r="AS1077" s="507"/>
      <c r="AT1077" s="507"/>
      <c r="AU1077" s="507"/>
      <c r="AV1077" s="225"/>
      <c r="AW1077" s="508"/>
      <c r="AX1077" s="225"/>
      <c r="AY1077" s="225"/>
      <c r="AZ1077" s="225"/>
      <c r="BA1077" s="225"/>
      <c r="BB1077" s="225"/>
      <c r="BC1077" s="56"/>
      <c r="BD1077" s="56"/>
      <c r="BE1077" s="56"/>
      <c r="BF1077" s="107" t="str">
        <f t="shared" si="787"/>
        <v>https://www.google.com/search?tbm=isch&amp;q=Drupacea%20Japanese%20Plum%20Yew%20Cephalotaxus%20harringtonia%20var.%20drupacea</v>
      </c>
      <c r="BG1077" s="107" t="str">
        <f t="shared" si="788"/>
        <v>D</v>
      </c>
      <c r="BH1077" s="254"/>
      <c r="BI1077" s="254"/>
    </row>
    <row r="1078" spans="1:61" customFormat="1" ht="15.75" x14ac:dyDescent="0.25">
      <c r="A1078" s="485">
        <v>5</v>
      </c>
      <c r="B1078" s="486" t="s">
        <v>291</v>
      </c>
      <c r="C1078" s="487" t="s">
        <v>3982</v>
      </c>
      <c r="D1078" s="488" t="s">
        <v>300</v>
      </c>
      <c r="E1078" s="489">
        <v>74.95</v>
      </c>
      <c r="F1078" s="516" t="s">
        <v>293</v>
      </c>
      <c r="G1078" s="232">
        <v>0</v>
      </c>
      <c r="H1078" s="658" t="str">
        <f>IF(G1078=0,"",IF(F1078="Buy",IF(G1078=1,"plant","plants"),IF(F1078&gt;0.01,"warranty","Error")))</f>
        <v/>
      </c>
      <c r="I1078" s="490">
        <f>IF(H1078="free",0,IF(H1078="credit",((E1078*(F1078))*G1078*-1),IF(F1078="Buy",(E1078*G1078),((E1078*(1-F1078))*G1078))))</f>
        <v>0</v>
      </c>
      <c r="J1078" s="490">
        <f>IF(H1078="warranty",0,(I1078*(_xlfn.SINGLE(SalesTaxPercentage))))</f>
        <v>0</v>
      </c>
      <c r="K1078" s="695">
        <f t="shared" ref="K1078" si="805">I1078+J1078</f>
        <v>0</v>
      </c>
      <c r="L1078" s="695"/>
      <c r="M1078" s="659" t="str">
        <f>IF(AND(G1078&gt;0,E1078=0),"WARNING - no PRICE inserted",IF(H1078="free"," FREE ~ no charge this plant",IF(H1078="credit",CONCATENATE(" -$",ROUND(K1078*(1-T2GDiscount)*-1,2)," CREDIT after discount"),IF(T2GDiscount=0,"",IF(G1078=0,"",IF(F1078="Buy",CONCATENATE(" $",ROUND(K1078*(1-T2GDiscount),2)," with ",(T2GDiscount*100),"% discount"),CONCATENATE(" $",ROUND(K1078*(1-T2GDiscount),2)," with ",((T2GDiscount*100+F1078*100)-(T2GDiscount*100*F1078)),IF(F1078&gt;0,"% discounts",IF(NoWarrantyDiscount&gt;0,"% discounts","% discount")))))))))</f>
        <v/>
      </c>
      <c r="N1078" s="660"/>
      <c r="O1078" s="233"/>
      <c r="P1078" s="233"/>
      <c r="Q1078" s="233"/>
      <c r="R1078" s="233"/>
      <c r="S1078" s="233"/>
      <c r="T1078" s="508">
        <f t="shared" si="776"/>
        <v>0</v>
      </c>
      <c r="U1078" s="225">
        <f>IF(NOT(ISNUMBER(G1078)), "", VLOOKUP(A1078,'Discount Lookup'!D:E,2,FALSE)*G1078)</f>
        <v>0</v>
      </c>
      <c r="V1078" s="225">
        <f>IF(NOT(ISNUMBER(G1078)), "", VLOOKUP(A1078,'Discount Lookup'!G:H,2,FALSE)*G1078)</f>
        <v>0</v>
      </c>
      <c r="W1078" s="508">
        <f t="shared" si="777"/>
        <v>0</v>
      </c>
      <c r="X1078" s="508">
        <f t="shared" si="778"/>
        <v>0</v>
      </c>
      <c r="Y1078" s="509" t="b">
        <f t="shared" si="779"/>
        <v>0</v>
      </c>
      <c r="Z1078" s="510">
        <f t="shared" si="780"/>
        <v>0</v>
      </c>
      <c r="AA1078" s="511"/>
      <c r="AB1078" s="511" t="str">
        <f t="shared" si="781"/>
        <v/>
      </c>
      <c r="AC1078" s="698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698"/>
      <c r="AE1078" s="631" t="str">
        <f t="shared" si="782"/>
        <v/>
      </c>
      <c r="AF1078" s="699" t="str">
        <f t="shared" si="783"/>
        <v/>
      </c>
      <c r="AG1078" s="699"/>
      <c r="AH1078" s="699"/>
      <c r="AI1078" s="512">
        <f>IF(H1078="credit",0,IF(AE1078="free",0,IF(AE1078="me",0,IF(G1078&gt;0,(VLOOKUP(A1078,'Discount Lookup'!J:K,2)*G1078),0))))</f>
        <v>0</v>
      </c>
      <c r="AJ1078" s="513" t="str">
        <f t="shared" ca="1" si="784"/>
        <v/>
      </c>
      <c r="AK1078" s="700" t="str">
        <f t="shared" si="785"/>
        <v/>
      </c>
      <c r="AL1078" s="700"/>
      <c r="AM1078" s="505" t="str">
        <f t="shared" si="786"/>
        <v/>
      </c>
      <c r="AN1078" s="506"/>
      <c r="AO1078" s="507"/>
      <c r="AP1078" s="507"/>
      <c r="AQ1078" s="507"/>
      <c r="AR1078" s="507"/>
      <c r="AS1078" s="507"/>
      <c r="AT1078" s="507"/>
      <c r="AU1078" s="507"/>
      <c r="AV1078" s="225"/>
      <c r="AW1078" s="508"/>
      <c r="AX1078" s="225"/>
      <c r="AY1078" s="225"/>
      <c r="AZ1078" s="225"/>
      <c r="BA1078" s="225"/>
      <c r="BB1078" s="225"/>
      <c r="BC1078" s="56"/>
      <c r="BD1078" s="56"/>
      <c r="BE1078" s="56"/>
      <c r="BF1078" s="107" t="str">
        <f t="shared" si="787"/>
        <v>https://www.google.com/search?tbm=isch&amp;q=5%20G6</v>
      </c>
      <c r="BG1078" s="107" t="str">
        <f t="shared" si="788"/>
        <v>D</v>
      </c>
      <c r="BH1078" s="254"/>
      <c r="BI1078" s="254"/>
    </row>
    <row r="1079" spans="1:61" customFormat="1" ht="15.75" x14ac:dyDescent="0.25">
      <c r="A1079" s="485">
        <v>10</v>
      </c>
      <c r="B1079" s="486" t="s">
        <v>291</v>
      </c>
      <c r="C1079" s="487" t="s">
        <v>3337</v>
      </c>
      <c r="D1079" s="488" t="s">
        <v>292</v>
      </c>
      <c r="E1079" s="489">
        <v>194.95</v>
      </c>
      <c r="F1079" s="516" t="s">
        <v>293</v>
      </c>
      <c r="G1079" s="232">
        <v>0</v>
      </c>
      <c r="H1079" s="658" t="str">
        <f>IF(G1079=0,"",IF(F1079="Buy",IF(G1079=1,"plant","plants"),IF(F1079&gt;0.01,"warranty","Error")))</f>
        <v/>
      </c>
      <c r="I1079" s="490">
        <f>IF(H1079="free",0,IF(H1079="credit",((E1079*(F1079))*G1079*-1),IF(F1079="Buy",(E1079*G1079),((E1079*(1-F1079))*G1079))))</f>
        <v>0</v>
      </c>
      <c r="J1079" s="490">
        <f>IF(H1079="warranty",0,(I1079*(_xlfn.SINGLE(SalesTaxPercentage))))</f>
        <v>0</v>
      </c>
      <c r="K1079" s="695">
        <f t="shared" ref="K1079" si="806">I1079+J1079</f>
        <v>0</v>
      </c>
      <c r="L1079" s="695"/>
      <c r="M1079" s="659" t="str">
        <f>IF(AND(G1079&gt;0,E1079=0),"WARNING - no PRICE inserted",IF(H1079="free"," FREE ~ no charge this plant",IF(H1079="credit",CONCATENATE(" -$",ROUND(K1079*(1-T2GDiscount)*-1,2)," CREDIT after discount"),IF(T2GDiscount=0,"",IF(G1079=0,"",IF(F1079="Buy",CONCATENATE(" $",ROUND(K1079*(1-T2GDiscount),2)," with ",(T2GDiscount*100),"% discount"),CONCATENATE(" $",ROUND(K1079*(1-T2GDiscount),2)," with ",((T2GDiscount*100+F1079*100)-(T2GDiscount*100*F1079)),IF(F1079&gt;0,"% discounts",IF(NoWarrantyDiscount&gt;0,"% discounts","% discount")))))))))</f>
        <v/>
      </c>
      <c r="N1079" s="660"/>
      <c r="O1079" s="233"/>
      <c r="P1079" s="233"/>
      <c r="Q1079" s="233"/>
      <c r="R1079" s="233"/>
      <c r="S1079" s="233"/>
      <c r="T1079" s="508">
        <f t="shared" si="776"/>
        <v>0</v>
      </c>
      <c r="U1079" s="225">
        <f>IF(NOT(ISNUMBER(G1079)), "", VLOOKUP(A1079,'Discount Lookup'!D:E,2,FALSE)*G1079)</f>
        <v>0</v>
      </c>
      <c r="V1079" s="225">
        <f>IF(NOT(ISNUMBER(G1079)), "", VLOOKUP(A1079,'Discount Lookup'!G:H,2,FALSE)*G1079)</f>
        <v>0</v>
      </c>
      <c r="W1079" s="508">
        <f t="shared" si="777"/>
        <v>0</v>
      </c>
      <c r="X1079" s="508">
        <f t="shared" si="778"/>
        <v>0</v>
      </c>
      <c r="Y1079" s="509" t="b">
        <f t="shared" si="779"/>
        <v>0</v>
      </c>
      <c r="Z1079" s="510">
        <f t="shared" si="780"/>
        <v>0</v>
      </c>
      <c r="AA1079" s="511"/>
      <c r="AB1079" s="511" t="str">
        <f t="shared" si="781"/>
        <v/>
      </c>
      <c r="AC1079" s="698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698"/>
      <c r="AE1079" s="631" t="str">
        <f t="shared" si="782"/>
        <v/>
      </c>
      <c r="AF1079" s="699" t="str">
        <f t="shared" si="783"/>
        <v/>
      </c>
      <c r="AG1079" s="699"/>
      <c r="AH1079" s="699"/>
      <c r="AI1079" s="512">
        <f>IF(H1079="credit",0,IF(AE1079="free",0,IF(AE1079="me",0,IF(G1079&gt;0,(VLOOKUP(A1079,'Discount Lookup'!J:K,2)*G1079),0))))</f>
        <v>0</v>
      </c>
      <c r="AJ1079" s="513" t="str">
        <f t="shared" ca="1" si="784"/>
        <v/>
      </c>
      <c r="AK1079" s="700" t="str">
        <f t="shared" si="785"/>
        <v/>
      </c>
      <c r="AL1079" s="700"/>
      <c r="AM1079" s="505" t="str">
        <f t="shared" si="786"/>
        <v/>
      </c>
      <c r="AN1079" s="506"/>
      <c r="AO1079" s="507"/>
      <c r="AP1079" s="507"/>
      <c r="AQ1079" s="507"/>
      <c r="AR1079" s="507"/>
      <c r="AS1079" s="507"/>
      <c r="AT1079" s="507"/>
      <c r="AU1079" s="507"/>
      <c r="AV1079" s="225"/>
      <c r="AW1079" s="508"/>
      <c r="AX1079" s="225"/>
      <c r="AY1079" s="225"/>
      <c r="AZ1079" s="225"/>
      <c r="BA1079" s="225"/>
      <c r="BB1079" s="225"/>
      <c r="BC1079" s="56"/>
      <c r="BD1079" s="56"/>
      <c r="BE1079" s="56"/>
      <c r="BF1079" s="107" t="str">
        <f t="shared" si="787"/>
        <v>https://www.google.com/search?tbm=isch&amp;q=10%20G4</v>
      </c>
      <c r="BG1079" s="107" t="str">
        <f t="shared" si="788"/>
        <v>D</v>
      </c>
      <c r="BH1079" s="254"/>
      <c r="BI1079" s="254"/>
    </row>
    <row r="1080" spans="1:61" customFormat="1" ht="17.25" thickBot="1" x14ac:dyDescent="0.3">
      <c r="A1080" s="522" t="s">
        <v>2876</v>
      </c>
      <c r="B1080" s="491"/>
      <c r="C1080" s="675"/>
      <c r="D1080" s="491"/>
      <c r="E1080" s="491"/>
      <c r="F1080" s="492"/>
      <c r="G1080" s="493"/>
      <c r="H1080" s="491"/>
      <c r="I1080" s="234"/>
      <c r="J1080" s="234"/>
      <c r="K1080" s="494"/>
      <c r="L1080" s="543"/>
      <c r="M1080" s="561"/>
      <c r="N1080" s="495"/>
      <c r="O1080" s="496"/>
      <c r="P1080" s="497"/>
      <c r="Q1080" s="495"/>
      <c r="R1080" s="495"/>
      <c r="S1080" s="667" t="s">
        <v>5009</v>
      </c>
      <c r="T1080" s="508">
        <f t="shared" si="776"/>
        <v>0</v>
      </c>
      <c r="U1080" s="225" t="str">
        <f>IF(NOT(ISNUMBER(G1080)), "", VLOOKUP(A1080,'Discount Lookup'!D:E,2,FALSE)*G1080)</f>
        <v/>
      </c>
      <c r="V1080" s="225" t="str">
        <f>IF(NOT(ISNUMBER(G1080)), "", VLOOKUP(A1080,'Discount Lookup'!G:H,2,FALSE)*G1080)</f>
        <v/>
      </c>
      <c r="W1080" s="508">
        <f t="shared" si="777"/>
        <v>0</v>
      </c>
      <c r="X1080" s="508">
        <f t="shared" si="778"/>
        <v>0</v>
      </c>
      <c r="Y1080" s="509" t="b">
        <f t="shared" si="779"/>
        <v>0</v>
      </c>
      <c r="Z1080" s="510">
        <f t="shared" si="780"/>
        <v>0</v>
      </c>
      <c r="AA1080" s="511"/>
      <c r="AB1080" s="511" t="str">
        <f t="shared" si="781"/>
        <v/>
      </c>
      <c r="AC1080" s="698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698"/>
      <c r="AE1080" s="631" t="str">
        <f t="shared" si="782"/>
        <v/>
      </c>
      <c r="AF1080" s="699" t="str">
        <f t="shared" si="783"/>
        <v/>
      </c>
      <c r="AG1080" s="699"/>
      <c r="AH1080" s="699"/>
      <c r="AI1080" s="512">
        <f>IF(H1080="credit",0,IF(AE1080="free",0,IF(AE1080="me",0,IF(G1080&gt;0,(VLOOKUP(A1080,'Discount Lookup'!J:K,2)*G1080),0))))</f>
        <v>0</v>
      </c>
      <c r="AJ1080" s="513" t="str">
        <f t="shared" ca="1" si="784"/>
        <v/>
      </c>
      <c r="AK1080" s="700" t="str">
        <f t="shared" si="785"/>
        <v/>
      </c>
      <c r="AL1080" s="700"/>
      <c r="AM1080" s="505" t="str">
        <f t="shared" si="786"/>
        <v/>
      </c>
      <c r="AN1080" s="506"/>
      <c r="AO1080" s="507"/>
      <c r="AP1080" s="507"/>
      <c r="AQ1080" s="507"/>
      <c r="AR1080" s="507"/>
      <c r="AS1080" s="507"/>
      <c r="AT1080" s="507"/>
      <c r="AU1080" s="507"/>
      <c r="AV1080" s="225"/>
      <c r="AW1080" s="508"/>
      <c r="AX1080" s="225"/>
      <c r="AY1080" s="225"/>
      <c r="AZ1080" s="225"/>
      <c r="BA1080" s="225"/>
      <c r="BB1080" s="225"/>
      <c r="BC1080" s="56"/>
      <c r="BD1080" s="56"/>
      <c r="BE1080" s="56"/>
      <c r="BF1080" s="107" t="str">
        <f t="shared" si="787"/>
        <v>https://www.google.com/search?tbm=isch&amp;q=All%20Plum%20Yews%20have%20fine-textured%20foliage%20with%20brown%2C%20scaly%20bark.%20Slow%20growing%2C%20heat%20and%20shade%20tolerant%20</v>
      </c>
      <c r="BG1080" s="107" t="str">
        <f t="shared" si="788"/>
        <v>A</v>
      </c>
      <c r="BH1080" s="254"/>
      <c r="BI1080" s="254"/>
    </row>
    <row r="1081" spans="1:61" customFormat="1" ht="18" x14ac:dyDescent="0.25">
      <c r="A1081" s="521" t="s">
        <v>787</v>
      </c>
      <c r="B1081" s="477"/>
      <c r="C1081" s="674"/>
      <c r="D1081" s="478" t="s">
        <v>788</v>
      </c>
      <c r="E1081" s="479"/>
      <c r="F1081" s="479"/>
      <c r="G1081" s="479"/>
      <c r="H1081" s="582" t="s">
        <v>438</v>
      </c>
      <c r="I1081" s="480" t="s">
        <v>2093</v>
      </c>
      <c r="J1081" s="479"/>
      <c r="K1081" s="479"/>
      <c r="L1081" s="560"/>
      <c r="M1081" s="671" t="s">
        <v>4985</v>
      </c>
      <c r="N1081" s="680" t="str">
        <f>IF(AND(ISTEXT($A1081), ISERROR($A1081+0)), HYPERLINK($BF1081, "Images"), "")</f>
        <v>Images</v>
      </c>
      <c r="O1081" s="662" t="s">
        <v>4969</v>
      </c>
      <c r="P1081" s="482"/>
      <c r="Q1081" s="483"/>
      <c r="R1081" s="483"/>
      <c r="S1081" s="484"/>
      <c r="T1081" s="508">
        <f t="shared" si="776"/>
        <v>0</v>
      </c>
      <c r="U1081" s="225" t="str">
        <f>IF(NOT(ISNUMBER(G1081)), "", VLOOKUP(A1081,'Discount Lookup'!D:E,2,FALSE)*G1081)</f>
        <v/>
      </c>
      <c r="V1081" s="225" t="str">
        <f>IF(NOT(ISNUMBER(G1081)), "", VLOOKUP(A1081,'Discount Lookup'!G:H,2,FALSE)*G1081)</f>
        <v/>
      </c>
      <c r="W1081" s="508">
        <f t="shared" si="777"/>
        <v>0</v>
      </c>
      <c r="X1081" s="508" t="str">
        <f t="shared" si="778"/>
        <v>Dark Green foliage</v>
      </c>
      <c r="Y1081" s="509" t="b">
        <f t="shared" si="779"/>
        <v>0</v>
      </c>
      <c r="Z1081" s="510">
        <f t="shared" si="780"/>
        <v>0</v>
      </c>
      <c r="AA1081" s="511"/>
      <c r="AB1081" s="511" t="str">
        <f t="shared" si="781"/>
        <v/>
      </c>
      <c r="AC1081" s="698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698"/>
      <c r="AE1081" s="631" t="str">
        <f t="shared" si="782"/>
        <v/>
      </c>
      <c r="AF1081" s="699" t="str">
        <f t="shared" si="783"/>
        <v/>
      </c>
      <c r="AG1081" s="699"/>
      <c r="AH1081" s="699"/>
      <c r="AI1081" s="512">
        <f>IF(H1081="credit",0,IF(AE1081="free",0,IF(AE1081="me",0,IF(G1081&gt;0,(VLOOKUP(A1081,'Discount Lookup'!J:K,2)*G1081),0))))</f>
        <v>0</v>
      </c>
      <c r="AJ1081" s="513" t="str">
        <f t="shared" ca="1" si="784"/>
        <v/>
      </c>
      <c r="AK1081" s="700" t="str">
        <f t="shared" si="785"/>
        <v/>
      </c>
      <c r="AL1081" s="700"/>
      <c r="AM1081" s="505" t="str">
        <f t="shared" si="786"/>
        <v/>
      </c>
      <c r="AN1081" s="506"/>
      <c r="AO1081" s="507"/>
      <c r="AP1081" s="507"/>
      <c r="AQ1081" s="507"/>
      <c r="AR1081" s="507"/>
      <c r="AS1081" s="507"/>
      <c r="AT1081" s="507"/>
      <c r="AU1081" s="507"/>
      <c r="AV1081" s="225"/>
      <c r="AW1081" s="508"/>
      <c r="AX1081" s="225"/>
      <c r="AY1081" s="225"/>
      <c r="AZ1081" s="225"/>
      <c r="BA1081" s="225"/>
      <c r="BB1081" s="225"/>
      <c r="BC1081" s="56"/>
      <c r="BD1081" s="56"/>
      <c r="BE1081" s="56"/>
      <c r="BF1081" s="107" t="str">
        <f t="shared" si="787"/>
        <v>https://www.google.com/search?tbm=isch&amp;q=Duke%20Gardens%20Japanese%20Plum%20Yew%20Cephalotaxus%20harringtonia%20%27Duke%20Gardens%27</v>
      </c>
      <c r="BG1081" s="107" t="str">
        <f t="shared" si="788"/>
        <v>D</v>
      </c>
      <c r="BH1081" s="254"/>
      <c r="BI1081" s="254"/>
    </row>
    <row r="1082" spans="1:61" customFormat="1" ht="15.75" x14ac:dyDescent="0.25">
      <c r="A1082" s="485">
        <v>3</v>
      </c>
      <c r="B1082" s="486" t="s">
        <v>291</v>
      </c>
      <c r="C1082" s="487"/>
      <c r="D1082" s="488" t="s">
        <v>312</v>
      </c>
      <c r="E1082" s="489">
        <v>33.950000000000003</v>
      </c>
      <c r="F1082" s="516" t="s">
        <v>293</v>
      </c>
      <c r="G1082" s="232">
        <v>0</v>
      </c>
      <c r="H1082" s="658" t="str">
        <f>IF(G1082=0,"",IF(F1082="Buy",IF(G1082=1,"plant","plants"),IF(F1082&gt;0.01,"warranty","Error")))</f>
        <v/>
      </c>
      <c r="I1082" s="490">
        <f>IF(H1082="free",0,IF(H1082="credit",((E1082*(F1082))*G1082*-1),IF(F1082="Buy",(E1082*G1082),((E1082*(1-F1082))*G1082))))</f>
        <v>0</v>
      </c>
      <c r="J1082" s="490">
        <f>IF(H1082="warranty",0,(I1082*(_xlfn.SINGLE(SalesTaxPercentage))))</f>
        <v>0</v>
      </c>
      <c r="K1082" s="695">
        <f t="shared" ref="K1082" si="807">I1082+J1082</f>
        <v>0</v>
      </c>
      <c r="L1082" s="695"/>
      <c r="M1082" s="659" t="str">
        <f>IF(AND(G1082&gt;0,E1082=0),"WARNING - no PRICE inserted",IF(H1082="free"," FREE ~ no charge this plant",IF(H1082="credit",CONCATENATE(" -$",ROUND(K1082*(1-T2GDiscount)*-1,2)," CREDIT after discount"),IF(T2GDiscount=0,"",IF(G1082=0,"",IF(F1082="Buy",CONCATENATE(" $",ROUND(K1082*(1-T2GDiscount),2)," with ",(T2GDiscount*100),"% discount"),CONCATENATE(" $",ROUND(K1082*(1-T2GDiscount),2)," with ",((T2GDiscount*100+F1082*100)-(T2GDiscount*100*F1082)),IF(F1082&gt;0,"% discounts",IF(NoWarrantyDiscount&gt;0,"% discounts","% discount")))))))))</f>
        <v/>
      </c>
      <c r="N1082" s="660"/>
      <c r="O1082" s="233"/>
      <c r="P1082" s="233"/>
      <c r="Q1082" s="233"/>
      <c r="R1082" s="233"/>
      <c r="S1082" s="233"/>
      <c r="T1082" s="508">
        <f t="shared" si="776"/>
        <v>0</v>
      </c>
      <c r="U1082" s="225">
        <f>IF(NOT(ISNUMBER(G1082)), "", VLOOKUP(A1082,'Discount Lookup'!D:E,2,FALSE)*G1082)</f>
        <v>0</v>
      </c>
      <c r="V1082" s="225">
        <f>IF(NOT(ISNUMBER(G1082)), "", VLOOKUP(A1082,'Discount Lookup'!G:H,2,FALSE)*G1082)</f>
        <v>0</v>
      </c>
      <c r="W1082" s="508">
        <f t="shared" si="777"/>
        <v>0</v>
      </c>
      <c r="X1082" s="508">
        <f t="shared" si="778"/>
        <v>0</v>
      </c>
      <c r="Y1082" s="509" t="b">
        <f t="shared" si="779"/>
        <v>0</v>
      </c>
      <c r="Z1082" s="510">
        <f t="shared" si="780"/>
        <v>0</v>
      </c>
      <c r="AA1082" s="511"/>
      <c r="AB1082" s="511" t="str">
        <f t="shared" si="781"/>
        <v/>
      </c>
      <c r="AC1082" s="698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698"/>
      <c r="AE1082" s="631" t="str">
        <f t="shared" si="782"/>
        <v/>
      </c>
      <c r="AF1082" s="699" t="str">
        <f t="shared" si="783"/>
        <v/>
      </c>
      <c r="AG1082" s="699"/>
      <c r="AH1082" s="699"/>
      <c r="AI1082" s="512">
        <f>IF(H1082="credit",0,IF(AE1082="free",0,IF(AE1082="me",0,IF(G1082&gt;0,(VLOOKUP(A1082,'Discount Lookup'!J:K,2)*G1082),0))))</f>
        <v>0</v>
      </c>
      <c r="AJ1082" s="513" t="str">
        <f t="shared" ca="1" si="784"/>
        <v/>
      </c>
      <c r="AK1082" s="700" t="str">
        <f t="shared" si="785"/>
        <v/>
      </c>
      <c r="AL1082" s="700"/>
      <c r="AM1082" s="505" t="str">
        <f t="shared" si="786"/>
        <v/>
      </c>
      <c r="AN1082" s="506"/>
      <c r="AO1082" s="507"/>
      <c r="AP1082" s="507"/>
      <c r="AQ1082" s="507"/>
      <c r="AR1082" s="507"/>
      <c r="AS1082" s="507"/>
      <c r="AT1082" s="507"/>
      <c r="AU1082" s="507"/>
      <c r="AV1082" s="225"/>
      <c r="AW1082" s="508"/>
      <c r="AX1082" s="225"/>
      <c r="AY1082" s="225"/>
      <c r="AZ1082" s="225"/>
      <c r="BA1082" s="225"/>
      <c r="BB1082" s="225"/>
      <c r="BC1082" s="56"/>
      <c r="BD1082" s="56"/>
      <c r="BE1082" s="56"/>
      <c r="BF1082" s="107" t="str">
        <f t="shared" si="787"/>
        <v>https://www.google.com/search?tbm=isch&amp;q=3%20G2</v>
      </c>
      <c r="BG1082" s="107" t="str">
        <f t="shared" si="788"/>
        <v>D</v>
      </c>
      <c r="BH1082" s="254"/>
      <c r="BI1082" s="254"/>
    </row>
    <row r="1083" spans="1:61" customFormat="1" ht="15.75" x14ac:dyDescent="0.25">
      <c r="A1083" s="485">
        <v>5</v>
      </c>
      <c r="B1083" s="486" t="s">
        <v>291</v>
      </c>
      <c r="C1083" s="487" t="s">
        <v>3983</v>
      </c>
      <c r="D1083" s="488" t="s">
        <v>292</v>
      </c>
      <c r="E1083" s="489">
        <v>95.95</v>
      </c>
      <c r="F1083" s="516" t="s">
        <v>293</v>
      </c>
      <c r="G1083" s="232">
        <v>0</v>
      </c>
      <c r="H1083" s="658" t="str">
        <f>IF(G1083=0,"",IF(F1083="Buy",IF(G1083=1,"plant","plants"),IF(F1083&gt;0.01,"warranty","Error")))</f>
        <v/>
      </c>
      <c r="I1083" s="490">
        <f>IF(H1083="free",0,IF(H1083="credit",((E1083*(F1083))*G1083*-1),IF(F1083="Buy",(E1083*G1083),((E1083*(1-F1083))*G1083))))</f>
        <v>0</v>
      </c>
      <c r="J1083" s="490">
        <f>IF(H1083="warranty",0,(I1083*(_xlfn.SINGLE(SalesTaxPercentage))))</f>
        <v>0</v>
      </c>
      <c r="K1083" s="695">
        <f t="shared" ref="K1083" si="808">I1083+J1083</f>
        <v>0</v>
      </c>
      <c r="L1083" s="695"/>
      <c r="M1083" s="659" t="str">
        <f>IF(AND(G1083&gt;0,E1083=0),"WARNING - no PRICE inserted",IF(H1083="free"," FREE ~ no charge this plant",IF(H1083="credit",CONCATENATE(" -$",ROUND(K1083*(1-T2GDiscount)*-1,2)," CREDIT after discount"),IF(T2GDiscount=0,"",IF(G1083=0,"",IF(F1083="Buy",CONCATENATE(" $",ROUND(K1083*(1-T2GDiscount),2)," with ",(T2GDiscount*100),"% discount"),CONCATENATE(" $",ROUND(K1083*(1-T2GDiscount),2)," with ",((T2GDiscount*100+F1083*100)-(T2GDiscount*100*F1083)),IF(F1083&gt;0,"% discounts",IF(NoWarrantyDiscount&gt;0,"% discounts","% discount")))))))))</f>
        <v/>
      </c>
      <c r="N1083" s="660"/>
      <c r="O1083" s="233"/>
      <c r="P1083" s="233"/>
      <c r="Q1083" s="233"/>
      <c r="R1083" s="233"/>
      <c r="S1083" s="233"/>
      <c r="T1083" s="508">
        <f t="shared" si="776"/>
        <v>0</v>
      </c>
      <c r="U1083" s="225">
        <f>IF(NOT(ISNUMBER(G1083)), "", VLOOKUP(A1083,'Discount Lookup'!D:E,2,FALSE)*G1083)</f>
        <v>0</v>
      </c>
      <c r="V1083" s="225">
        <f>IF(NOT(ISNUMBER(G1083)), "", VLOOKUP(A1083,'Discount Lookup'!G:H,2,FALSE)*G1083)</f>
        <v>0</v>
      </c>
      <c r="W1083" s="508">
        <f t="shared" si="777"/>
        <v>0</v>
      </c>
      <c r="X1083" s="508">
        <f t="shared" si="778"/>
        <v>0</v>
      </c>
      <c r="Y1083" s="509" t="b">
        <f t="shared" si="779"/>
        <v>0</v>
      </c>
      <c r="Z1083" s="510">
        <f t="shared" si="780"/>
        <v>0</v>
      </c>
      <c r="AA1083" s="511"/>
      <c r="AB1083" s="511" t="str">
        <f t="shared" si="781"/>
        <v/>
      </c>
      <c r="AC1083" s="698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698"/>
      <c r="AE1083" s="631" t="str">
        <f t="shared" si="782"/>
        <v/>
      </c>
      <c r="AF1083" s="699" t="str">
        <f t="shared" si="783"/>
        <v/>
      </c>
      <c r="AG1083" s="699"/>
      <c r="AH1083" s="699"/>
      <c r="AI1083" s="512">
        <f>IF(H1083="credit",0,IF(AE1083="free",0,IF(AE1083="me",0,IF(G1083&gt;0,(VLOOKUP(A1083,'Discount Lookup'!J:K,2)*G1083),0))))</f>
        <v>0</v>
      </c>
      <c r="AJ1083" s="513" t="str">
        <f t="shared" ca="1" si="784"/>
        <v/>
      </c>
      <c r="AK1083" s="700" t="str">
        <f t="shared" si="785"/>
        <v/>
      </c>
      <c r="AL1083" s="700"/>
      <c r="AM1083" s="505" t="str">
        <f t="shared" si="786"/>
        <v/>
      </c>
      <c r="AN1083" s="506"/>
      <c r="AO1083" s="507"/>
      <c r="AP1083" s="507"/>
      <c r="AQ1083" s="507"/>
      <c r="AR1083" s="507"/>
      <c r="AS1083" s="507"/>
      <c r="AT1083" s="507"/>
      <c r="AU1083" s="507"/>
      <c r="AV1083" s="225"/>
      <c r="AW1083" s="508"/>
      <c r="AX1083" s="225"/>
      <c r="AY1083" s="225"/>
      <c r="AZ1083" s="225"/>
      <c r="BA1083" s="225"/>
      <c r="BB1083" s="225"/>
      <c r="BC1083" s="56"/>
      <c r="BD1083" s="56"/>
      <c r="BE1083" s="56"/>
      <c r="BF1083" s="107" t="str">
        <f t="shared" si="787"/>
        <v>https://www.google.com/search?tbm=isch&amp;q=5%20G4</v>
      </c>
      <c r="BG1083" s="107" t="str">
        <f t="shared" si="788"/>
        <v>D</v>
      </c>
      <c r="BH1083" s="254"/>
      <c r="BI1083" s="254"/>
    </row>
    <row r="1084" spans="1:61" customFormat="1" ht="15.75" x14ac:dyDescent="0.25">
      <c r="A1084" s="485">
        <v>5</v>
      </c>
      <c r="B1084" s="486" t="s">
        <v>291</v>
      </c>
      <c r="C1084" s="487" t="s">
        <v>4663</v>
      </c>
      <c r="D1084" s="488" t="s">
        <v>300</v>
      </c>
      <c r="E1084" s="489">
        <v>97.95</v>
      </c>
      <c r="F1084" s="516" t="s">
        <v>293</v>
      </c>
      <c r="G1084" s="232">
        <v>0</v>
      </c>
      <c r="H1084" s="658" t="str">
        <f>IF(G1084=0,"",IF(F1084="Buy",IF(G1084=1,"plant","plants"),IF(F1084&gt;0.01,"warranty","Error")))</f>
        <v/>
      </c>
      <c r="I1084" s="490">
        <f>IF(H1084="free",0,IF(H1084="credit",((E1084*(F1084))*G1084*-1),IF(F1084="Buy",(E1084*G1084),((E1084*(1-F1084))*G1084))))</f>
        <v>0</v>
      </c>
      <c r="J1084" s="490">
        <f>IF(H1084="warranty",0,(I1084*(_xlfn.SINGLE(SalesTaxPercentage))))</f>
        <v>0</v>
      </c>
      <c r="K1084" s="695">
        <f t="shared" ref="K1084" si="809">I1084+J1084</f>
        <v>0</v>
      </c>
      <c r="L1084" s="695"/>
      <c r="M1084" s="659" t="str">
        <f>IF(AND(G1084&gt;0,E1084=0),"WARNING - no PRICE inserted",IF(H1084="free"," FREE ~ no charge this plant",IF(H1084="credit",CONCATENATE(" -$",ROUND(K1084*(1-T2GDiscount)*-1,2)," CREDIT after discount"),IF(T2GDiscount=0,"",IF(G1084=0,"",IF(F1084="Buy",CONCATENATE(" $",ROUND(K1084*(1-T2GDiscount),2)," with ",(T2GDiscount*100),"% discount"),CONCATENATE(" $",ROUND(K1084*(1-T2GDiscount),2)," with ",((T2GDiscount*100+F1084*100)-(T2GDiscount*100*F1084)),IF(F1084&gt;0,"% discounts",IF(NoWarrantyDiscount&gt;0,"% discounts","% discount")))))))))</f>
        <v/>
      </c>
      <c r="N1084" s="660"/>
      <c r="O1084" s="233"/>
      <c r="P1084" s="233"/>
      <c r="Q1084" s="233"/>
      <c r="R1084" s="233"/>
      <c r="S1084" s="233"/>
      <c r="T1084" s="508">
        <f t="shared" si="776"/>
        <v>0</v>
      </c>
      <c r="U1084" s="225">
        <f>IF(NOT(ISNUMBER(G1084)), "", VLOOKUP(A1084,'Discount Lookup'!D:E,2,FALSE)*G1084)</f>
        <v>0</v>
      </c>
      <c r="V1084" s="225">
        <f>IF(NOT(ISNUMBER(G1084)), "", VLOOKUP(A1084,'Discount Lookup'!G:H,2,FALSE)*G1084)</f>
        <v>0</v>
      </c>
      <c r="W1084" s="508">
        <f t="shared" si="777"/>
        <v>0</v>
      </c>
      <c r="X1084" s="508">
        <f t="shared" si="778"/>
        <v>0</v>
      </c>
      <c r="Y1084" s="509" t="b">
        <f t="shared" si="779"/>
        <v>0</v>
      </c>
      <c r="Z1084" s="510">
        <f t="shared" si="780"/>
        <v>0</v>
      </c>
      <c r="AA1084" s="511"/>
      <c r="AB1084" s="511" t="str">
        <f t="shared" si="781"/>
        <v/>
      </c>
      <c r="AC1084" s="698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698"/>
      <c r="AE1084" s="631" t="str">
        <f t="shared" si="782"/>
        <v/>
      </c>
      <c r="AF1084" s="699" t="str">
        <f t="shared" si="783"/>
        <v/>
      </c>
      <c r="AG1084" s="699"/>
      <c r="AH1084" s="699"/>
      <c r="AI1084" s="512">
        <f>IF(H1084="credit",0,IF(AE1084="free",0,IF(AE1084="me",0,IF(G1084&gt;0,(VLOOKUP(A1084,'Discount Lookup'!J:K,2)*G1084),0))))</f>
        <v>0</v>
      </c>
      <c r="AJ1084" s="513" t="str">
        <f t="shared" ca="1" si="784"/>
        <v/>
      </c>
      <c r="AK1084" s="700" t="str">
        <f t="shared" si="785"/>
        <v/>
      </c>
      <c r="AL1084" s="700"/>
      <c r="AM1084" s="505" t="str">
        <f t="shared" si="786"/>
        <v/>
      </c>
      <c r="AN1084" s="506"/>
      <c r="AO1084" s="507"/>
      <c r="AP1084" s="507"/>
      <c r="AQ1084" s="507"/>
      <c r="AR1084" s="507"/>
      <c r="AS1084" s="507"/>
      <c r="AT1084" s="507"/>
      <c r="AU1084" s="507"/>
      <c r="AV1084" s="225"/>
      <c r="AW1084" s="508"/>
      <c r="AX1084" s="225"/>
      <c r="AY1084" s="225"/>
      <c r="AZ1084" s="225"/>
      <c r="BA1084" s="225"/>
      <c r="BB1084" s="225"/>
      <c r="BC1084" s="56"/>
      <c r="BD1084" s="56"/>
      <c r="BE1084" s="56"/>
      <c r="BF1084" s="107" t="str">
        <f t="shared" si="787"/>
        <v>https://www.google.com/search?tbm=isch&amp;q=5%20G6</v>
      </c>
      <c r="BG1084" s="107" t="str">
        <f t="shared" si="788"/>
        <v>D</v>
      </c>
      <c r="BH1084" s="254"/>
      <c r="BI1084" s="254"/>
    </row>
    <row r="1085" spans="1:61" customFormat="1" ht="27" x14ac:dyDescent="0.25">
      <c r="A1085" s="485">
        <v>7</v>
      </c>
      <c r="B1085" s="486" t="s">
        <v>291</v>
      </c>
      <c r="C1085" s="487" t="s">
        <v>4664</v>
      </c>
      <c r="D1085" s="488" t="s">
        <v>292</v>
      </c>
      <c r="E1085" s="489">
        <v>118.95</v>
      </c>
      <c r="F1085" s="516" t="s">
        <v>293</v>
      </c>
      <c r="G1085" s="232">
        <v>0</v>
      </c>
      <c r="H1085" s="658" t="str">
        <f>IF(G1085=0,"",IF(F1085="Buy",IF(G1085=1,"plant","plants"),IF(F1085&gt;0.01,"warranty","Error")))</f>
        <v/>
      </c>
      <c r="I1085" s="490">
        <f>IF(H1085="free",0,IF(H1085="credit",((E1085*(F1085))*G1085*-1),IF(F1085="Buy",(E1085*G1085),((E1085*(1-F1085))*G1085))))</f>
        <v>0</v>
      </c>
      <c r="J1085" s="490">
        <f>IF(H1085="warranty",0,(I1085*(_xlfn.SINGLE(SalesTaxPercentage))))</f>
        <v>0</v>
      </c>
      <c r="K1085" s="695">
        <f t="shared" ref="K1085" si="810">I1085+J1085</f>
        <v>0</v>
      </c>
      <c r="L1085" s="695"/>
      <c r="M1085" s="659" t="str">
        <f>IF(AND(G1085&gt;0,E1085=0),"WARNING - no PRICE inserted",IF(H1085="free"," FREE ~ no charge this plant",IF(H1085="credit",CONCATENATE(" -$",ROUND(K1085*(1-T2GDiscount)*-1,2)," CREDIT after discount"),IF(T2GDiscount=0,"",IF(G1085=0,"",IF(F1085="Buy",CONCATENATE(" $",ROUND(K1085*(1-T2GDiscount),2)," with ",(T2GDiscount*100),"% discount"),CONCATENATE(" $",ROUND(K1085*(1-T2GDiscount),2)," with ",((T2GDiscount*100+F1085*100)-(T2GDiscount*100*F1085)),IF(F1085&gt;0,"% discounts",IF(NoWarrantyDiscount&gt;0,"% discounts","% discount")))))))))</f>
        <v/>
      </c>
      <c r="N1085" s="660"/>
      <c r="O1085" s="233"/>
      <c r="P1085" s="233"/>
      <c r="Q1085" s="233"/>
      <c r="R1085" s="233"/>
      <c r="S1085" s="233"/>
      <c r="T1085" s="508">
        <f t="shared" si="776"/>
        <v>0</v>
      </c>
      <c r="U1085" s="225">
        <f>IF(NOT(ISNUMBER(G1085)), "", VLOOKUP(A1085,'Discount Lookup'!D:E,2,FALSE)*G1085)</f>
        <v>0</v>
      </c>
      <c r="V1085" s="225">
        <f>IF(NOT(ISNUMBER(G1085)), "", VLOOKUP(A1085,'Discount Lookup'!G:H,2,FALSE)*G1085)</f>
        <v>0</v>
      </c>
      <c r="W1085" s="508">
        <f t="shared" si="777"/>
        <v>0</v>
      </c>
      <c r="X1085" s="508">
        <f t="shared" si="778"/>
        <v>0</v>
      </c>
      <c r="Y1085" s="509" t="b">
        <f t="shared" si="779"/>
        <v>0</v>
      </c>
      <c r="Z1085" s="510">
        <f t="shared" si="780"/>
        <v>0</v>
      </c>
      <c r="AA1085" s="511"/>
      <c r="AB1085" s="511" t="str">
        <f t="shared" si="781"/>
        <v/>
      </c>
      <c r="AC1085" s="698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698"/>
      <c r="AE1085" s="631" t="str">
        <f t="shared" si="782"/>
        <v/>
      </c>
      <c r="AF1085" s="699" t="str">
        <f t="shared" si="783"/>
        <v/>
      </c>
      <c r="AG1085" s="699"/>
      <c r="AH1085" s="699"/>
      <c r="AI1085" s="512">
        <f>IF(H1085="credit",0,IF(AE1085="free",0,IF(AE1085="me",0,IF(G1085&gt;0,(VLOOKUP(A1085,'Discount Lookup'!J:K,2)*G1085),0))))</f>
        <v>0</v>
      </c>
      <c r="AJ1085" s="513" t="str">
        <f t="shared" ca="1" si="784"/>
        <v/>
      </c>
      <c r="AK1085" s="700" t="str">
        <f t="shared" si="785"/>
        <v/>
      </c>
      <c r="AL1085" s="700"/>
      <c r="AM1085" s="505" t="str">
        <f t="shared" si="786"/>
        <v/>
      </c>
      <c r="AN1085" s="506"/>
      <c r="AO1085" s="507"/>
      <c r="AP1085" s="507"/>
      <c r="AQ1085" s="507"/>
      <c r="AR1085" s="507"/>
      <c r="AS1085" s="507"/>
      <c r="AT1085" s="507"/>
      <c r="AU1085" s="507"/>
      <c r="AV1085" s="225"/>
      <c r="AW1085" s="508"/>
      <c r="AX1085" s="225"/>
      <c r="AY1085" s="225"/>
      <c r="AZ1085" s="225"/>
      <c r="BA1085" s="225"/>
      <c r="BB1085" s="225"/>
      <c r="BC1085" s="56"/>
      <c r="BD1085" s="56"/>
      <c r="BE1085" s="56"/>
      <c r="BF1085" s="107" t="str">
        <f t="shared" si="787"/>
        <v>https://www.google.com/search?tbm=isch&amp;q=7%20G4</v>
      </c>
      <c r="BG1085" s="107" t="str">
        <f t="shared" si="788"/>
        <v>D</v>
      </c>
      <c r="BH1085" s="254"/>
      <c r="BI1085" s="254"/>
    </row>
    <row r="1086" spans="1:61" customFormat="1" ht="15.75" x14ac:dyDescent="0.25">
      <c r="A1086" s="485">
        <v>10</v>
      </c>
      <c r="B1086" s="486" t="s">
        <v>291</v>
      </c>
      <c r="C1086" s="487" t="s">
        <v>3303</v>
      </c>
      <c r="D1086" s="488" t="s">
        <v>292</v>
      </c>
      <c r="E1086" s="489">
        <v>194.95</v>
      </c>
      <c r="F1086" s="516" t="s">
        <v>293</v>
      </c>
      <c r="G1086" s="232">
        <v>0</v>
      </c>
      <c r="H1086" s="658" t="str">
        <f>IF(G1086=0,"",IF(F1086="Buy",IF(G1086=1,"plant","plants"),IF(F1086&gt;0.01,"warranty","Error")))</f>
        <v/>
      </c>
      <c r="I1086" s="490">
        <f>IF(H1086="free",0,IF(H1086="credit",((E1086*(F1086))*G1086*-1),IF(F1086="Buy",(E1086*G1086),((E1086*(1-F1086))*G1086))))</f>
        <v>0</v>
      </c>
      <c r="J1086" s="490">
        <f>IF(H1086="warranty",0,(I1086*(_xlfn.SINGLE(SalesTaxPercentage))))</f>
        <v>0</v>
      </c>
      <c r="K1086" s="695">
        <f t="shared" ref="K1086" si="811">I1086+J1086</f>
        <v>0</v>
      </c>
      <c r="L1086" s="695"/>
      <c r="M1086" s="659" t="str">
        <f>IF(AND(G1086&gt;0,E1086=0),"WARNING - no PRICE inserted",IF(H1086="free"," FREE ~ no charge this plant",IF(H1086="credit",CONCATENATE(" -$",ROUND(K1086*(1-T2GDiscount)*-1,2)," CREDIT after discount"),IF(T2GDiscount=0,"",IF(G1086=0,"",IF(F1086="Buy",CONCATENATE(" $",ROUND(K1086*(1-T2GDiscount),2)," with ",(T2GDiscount*100),"% discount"),CONCATENATE(" $",ROUND(K1086*(1-T2GDiscount),2)," with ",((T2GDiscount*100+F1086*100)-(T2GDiscount*100*F1086)),IF(F1086&gt;0,"% discounts",IF(NoWarrantyDiscount&gt;0,"% discounts","% discount")))))))))</f>
        <v/>
      </c>
      <c r="N1086" s="660"/>
      <c r="O1086" s="233"/>
      <c r="P1086" s="233"/>
      <c r="Q1086" s="233"/>
      <c r="R1086" s="233"/>
      <c r="S1086" s="233"/>
      <c r="T1086" s="508">
        <f t="shared" si="776"/>
        <v>0</v>
      </c>
      <c r="U1086" s="225">
        <f>IF(NOT(ISNUMBER(G1086)), "", VLOOKUP(A1086,'Discount Lookup'!D:E,2,FALSE)*G1086)</f>
        <v>0</v>
      </c>
      <c r="V1086" s="225">
        <f>IF(NOT(ISNUMBER(G1086)), "", VLOOKUP(A1086,'Discount Lookup'!G:H,2,FALSE)*G1086)</f>
        <v>0</v>
      </c>
      <c r="W1086" s="508">
        <f t="shared" si="777"/>
        <v>0</v>
      </c>
      <c r="X1086" s="508">
        <f t="shared" si="778"/>
        <v>0</v>
      </c>
      <c r="Y1086" s="509" t="b">
        <f t="shared" si="779"/>
        <v>0</v>
      </c>
      <c r="Z1086" s="510">
        <f t="shared" si="780"/>
        <v>0</v>
      </c>
      <c r="AA1086" s="511"/>
      <c r="AB1086" s="511" t="str">
        <f t="shared" si="781"/>
        <v/>
      </c>
      <c r="AC1086" s="698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698"/>
      <c r="AE1086" s="631" t="str">
        <f t="shared" si="782"/>
        <v/>
      </c>
      <c r="AF1086" s="699" t="str">
        <f t="shared" si="783"/>
        <v/>
      </c>
      <c r="AG1086" s="699"/>
      <c r="AH1086" s="699"/>
      <c r="AI1086" s="512">
        <f>IF(H1086="credit",0,IF(AE1086="free",0,IF(AE1086="me",0,IF(G1086&gt;0,(VLOOKUP(A1086,'Discount Lookup'!J:K,2)*G1086),0))))</f>
        <v>0</v>
      </c>
      <c r="AJ1086" s="513" t="str">
        <f t="shared" ca="1" si="784"/>
        <v/>
      </c>
      <c r="AK1086" s="700" t="str">
        <f t="shared" si="785"/>
        <v/>
      </c>
      <c r="AL1086" s="700"/>
      <c r="AM1086" s="505" t="str">
        <f t="shared" si="786"/>
        <v/>
      </c>
      <c r="AN1086" s="506"/>
      <c r="AO1086" s="507"/>
      <c r="AP1086" s="507"/>
      <c r="AQ1086" s="507"/>
      <c r="AR1086" s="507"/>
      <c r="AS1086" s="507"/>
      <c r="AT1086" s="507"/>
      <c r="AU1086" s="507"/>
      <c r="AV1086" s="225"/>
      <c r="AW1086" s="508"/>
      <c r="AX1086" s="225"/>
      <c r="AY1086" s="225"/>
      <c r="AZ1086" s="225"/>
      <c r="BA1086" s="225"/>
      <c r="BB1086" s="225"/>
      <c r="BC1086" s="56"/>
      <c r="BD1086" s="56"/>
      <c r="BE1086" s="56"/>
      <c r="BF1086" s="107" t="str">
        <f t="shared" si="787"/>
        <v>https://www.google.com/search?tbm=isch&amp;q=10%20G4</v>
      </c>
      <c r="BG1086" s="107" t="str">
        <f t="shared" si="788"/>
        <v>D</v>
      </c>
      <c r="BH1086" s="254"/>
      <c r="BI1086" s="254"/>
    </row>
    <row r="1087" spans="1:61" customFormat="1" ht="17.25" thickBot="1" x14ac:dyDescent="0.3">
      <c r="A1087" s="522" t="s">
        <v>2876</v>
      </c>
      <c r="B1087" s="491"/>
      <c r="C1087" s="675"/>
      <c r="D1087" s="491"/>
      <c r="E1087" s="491"/>
      <c r="F1087" s="492"/>
      <c r="G1087" s="493"/>
      <c r="H1087" s="491"/>
      <c r="I1087" s="234"/>
      <c r="J1087" s="234"/>
      <c r="K1087" s="494"/>
      <c r="L1087" s="543"/>
      <c r="M1087" s="561"/>
      <c r="N1087" s="495"/>
      <c r="O1087" s="496"/>
      <c r="P1087" s="497"/>
      <c r="Q1087" s="495"/>
      <c r="R1087" s="495"/>
      <c r="S1087" s="667" t="s">
        <v>5009</v>
      </c>
      <c r="T1087" s="508">
        <f t="shared" si="776"/>
        <v>0</v>
      </c>
      <c r="U1087" s="225" t="str">
        <f>IF(NOT(ISNUMBER(G1087)), "", VLOOKUP(A1087,'Discount Lookup'!D:E,2,FALSE)*G1087)</f>
        <v/>
      </c>
      <c r="V1087" s="225" t="str">
        <f>IF(NOT(ISNUMBER(G1087)), "", VLOOKUP(A1087,'Discount Lookup'!G:H,2,FALSE)*G1087)</f>
        <v/>
      </c>
      <c r="W1087" s="508">
        <f t="shared" si="777"/>
        <v>0</v>
      </c>
      <c r="X1087" s="508">
        <f t="shared" si="778"/>
        <v>0</v>
      </c>
      <c r="Y1087" s="509" t="b">
        <f t="shared" si="779"/>
        <v>0</v>
      </c>
      <c r="Z1087" s="510">
        <f t="shared" si="780"/>
        <v>0</v>
      </c>
      <c r="AA1087" s="511"/>
      <c r="AB1087" s="511" t="str">
        <f t="shared" si="781"/>
        <v/>
      </c>
      <c r="AC1087" s="698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698"/>
      <c r="AE1087" s="631" t="str">
        <f t="shared" si="782"/>
        <v/>
      </c>
      <c r="AF1087" s="699" t="str">
        <f t="shared" si="783"/>
        <v/>
      </c>
      <c r="AG1087" s="699"/>
      <c r="AH1087" s="699"/>
      <c r="AI1087" s="512">
        <f>IF(H1087="credit",0,IF(AE1087="free",0,IF(AE1087="me",0,IF(G1087&gt;0,(VLOOKUP(A1087,'Discount Lookup'!J:K,2)*G1087),0))))</f>
        <v>0</v>
      </c>
      <c r="AJ1087" s="513" t="str">
        <f t="shared" ca="1" si="784"/>
        <v/>
      </c>
      <c r="AK1087" s="700" t="str">
        <f t="shared" si="785"/>
        <v/>
      </c>
      <c r="AL1087" s="700"/>
      <c r="AM1087" s="505" t="str">
        <f t="shared" si="786"/>
        <v/>
      </c>
      <c r="AN1087" s="506"/>
      <c r="AO1087" s="507"/>
      <c r="AP1087" s="507"/>
      <c r="AQ1087" s="507"/>
      <c r="AR1087" s="507"/>
      <c r="AS1087" s="507"/>
      <c r="AT1087" s="507"/>
      <c r="AU1087" s="507"/>
      <c r="AV1087" s="225"/>
      <c r="AW1087" s="508"/>
      <c r="AX1087" s="225"/>
      <c r="AY1087" s="225"/>
      <c r="AZ1087" s="225"/>
      <c r="BA1087" s="225"/>
      <c r="BB1087" s="225"/>
      <c r="BC1087" s="56"/>
      <c r="BD1087" s="56"/>
      <c r="BE1087" s="56"/>
      <c r="BF1087" s="107" t="str">
        <f t="shared" si="787"/>
        <v>https://www.google.com/search?tbm=isch&amp;q=All%20Plum%20Yews%20have%20fine-textured%20foliage%20with%20brown%2C%20scaly%20bark.%20Slow%20growing%2C%20heat%20and%20shade%20tolerant%20</v>
      </c>
      <c r="BG1087" s="107" t="str">
        <f t="shared" si="788"/>
        <v>A</v>
      </c>
      <c r="BH1087" s="254"/>
      <c r="BI1087" s="254"/>
    </row>
    <row r="1088" spans="1:61" customFormat="1" ht="18" x14ac:dyDescent="0.25">
      <c r="A1088" s="523" t="s">
        <v>5392</v>
      </c>
      <c r="B1088" s="235"/>
      <c r="C1088" s="676"/>
      <c r="D1088" s="255" t="s">
        <v>790</v>
      </c>
      <c r="E1088" s="236"/>
      <c r="F1088" s="236"/>
      <c r="G1088" s="236"/>
      <c r="H1088" s="582" t="s">
        <v>364</v>
      </c>
      <c r="I1088" s="498" t="s">
        <v>2093</v>
      </c>
      <c r="J1088" s="237"/>
      <c r="K1088" s="237"/>
      <c r="L1088" s="274"/>
      <c r="M1088" s="668" t="s">
        <v>4962</v>
      </c>
      <c r="N1088" s="681" t="str">
        <f>IF(AND(ISTEXT($A1088), ISERROR($A1088+0)), HYPERLINK($BF1088, "Images"), "")</f>
        <v>Images</v>
      </c>
      <c r="O1088" s="663" t="s">
        <v>4969</v>
      </c>
      <c r="P1088" s="253"/>
      <c r="Q1088" s="238"/>
      <c r="R1088" s="239"/>
      <c r="S1088" s="275" t="s">
        <v>305</v>
      </c>
      <c r="T1088" s="508">
        <f t="shared" si="776"/>
        <v>0</v>
      </c>
      <c r="U1088" s="225" t="str">
        <f>IF(NOT(ISNUMBER(G1088)), "", VLOOKUP(A1088,'Discount Lookup'!D:E,2,FALSE)*G1088)</f>
        <v/>
      </c>
      <c r="V1088" s="225" t="str">
        <f>IF(NOT(ISNUMBER(G1088)), "", VLOOKUP(A1088,'Discount Lookup'!G:H,2,FALSE)*G1088)</f>
        <v/>
      </c>
      <c r="W1088" s="508">
        <f t="shared" si="777"/>
        <v>0</v>
      </c>
      <c r="X1088" s="508" t="str">
        <f t="shared" si="778"/>
        <v>Dark Green foliage</v>
      </c>
      <c r="Y1088" s="509" t="b">
        <f t="shared" si="779"/>
        <v>0</v>
      </c>
      <c r="Z1088" s="510">
        <f t="shared" si="780"/>
        <v>0</v>
      </c>
      <c r="AA1088" s="511"/>
      <c r="AB1088" s="511" t="str">
        <f t="shared" si="781"/>
        <v/>
      </c>
      <c r="AC1088" s="698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698"/>
      <c r="AE1088" s="631" t="str">
        <f t="shared" si="782"/>
        <v/>
      </c>
      <c r="AF1088" s="699" t="str">
        <f t="shared" si="783"/>
        <v/>
      </c>
      <c r="AG1088" s="699"/>
      <c r="AH1088" s="699"/>
      <c r="AI1088" s="512">
        <f>IF(H1088="credit",0,IF(AE1088="free",0,IF(AE1088="me",0,IF(G1088&gt;0,(VLOOKUP(A1088,'Discount Lookup'!J:K,2)*G1088),0))))</f>
        <v>0</v>
      </c>
      <c r="AJ1088" s="513" t="str">
        <f t="shared" ca="1" si="784"/>
        <v/>
      </c>
      <c r="AK1088" s="700" t="str">
        <f t="shared" si="785"/>
        <v/>
      </c>
      <c r="AL1088" s="700"/>
      <c r="AM1088" s="505" t="str">
        <f t="shared" si="786"/>
        <v/>
      </c>
      <c r="AN1088" s="506"/>
      <c r="AO1088" s="507"/>
      <c r="AP1088" s="507"/>
      <c r="AQ1088" s="507"/>
      <c r="AR1088" s="507"/>
      <c r="AS1088" s="507"/>
      <c r="AT1088" s="507"/>
      <c r="AU1088" s="507"/>
      <c r="AV1088" s="225"/>
      <c r="AW1088" s="508"/>
      <c r="AX1088" s="225"/>
      <c r="AY1088" s="225"/>
      <c r="AZ1088" s="225"/>
      <c r="BA1088" s="225"/>
      <c r="BB1088" s="225"/>
      <c r="BC1088" s="56"/>
      <c r="BD1088" s="56"/>
      <c r="BE1088" s="56"/>
      <c r="BF1088" s="107" t="str">
        <f t="shared" si="787"/>
        <v>https://www.google.com/search?tbm=isch&amp;q=Dura-Heat%C2%AE%20River%20Birch%20Betula%20nigra%20%27BNMTF%27</v>
      </c>
      <c r="BG1088" s="107" t="str">
        <f t="shared" si="788"/>
        <v>D</v>
      </c>
      <c r="BH1088" s="254"/>
      <c r="BI1088" s="254"/>
    </row>
    <row r="1089" spans="1:61" customFormat="1" ht="15.75" x14ac:dyDescent="0.25">
      <c r="A1089" s="276">
        <v>15</v>
      </c>
      <c r="B1089" s="240" t="s">
        <v>291</v>
      </c>
      <c r="C1089" s="241" t="s">
        <v>3426</v>
      </c>
      <c r="D1089" s="242" t="s">
        <v>292</v>
      </c>
      <c r="E1089" s="243">
        <v>164.95</v>
      </c>
      <c r="F1089" s="517" t="s">
        <v>293</v>
      </c>
      <c r="G1089" s="232">
        <v>0</v>
      </c>
      <c r="H1089" s="661" t="str">
        <f>IF(G1089=0,"",IF(F1089="Buy",IF(G1089=1,"plant","plants"),IF(F1089&gt;0.01,"warranty","Error")))</f>
        <v/>
      </c>
      <c r="I1089" s="244">
        <f>IF(H1089="free",0,IF(H1089="credit",((E1089*(F1089))*G1089*-1),IF(F1089="Buy",(E1089*G1089),((E1089*(1-F1089))*G1089))))</f>
        <v>0</v>
      </c>
      <c r="J1089" s="244">
        <f>IF(H1089="warranty",0,(I1089*(_xlfn.SINGLE(SalesTaxPercentage))))</f>
        <v>0</v>
      </c>
      <c r="K1089" s="696">
        <f t="shared" ref="K1089" si="812">I1089+J1089</f>
        <v>0</v>
      </c>
      <c r="L1089" s="696"/>
      <c r="M1089" s="659" t="str">
        <f>IF(AND(G1089&gt;0,E1089=0),"WARNING - no PRICE inserted",IF(H1089="free"," FREE ~ no charge this plant",IF(H1089="credit",CONCATENATE(" -$",ROUND(K1089*(1-T2GDiscount)*-1,2)," CREDIT after discount"),IF(T2GDiscount=0,"",IF(G1089=0,"",IF(F1089="Buy",CONCATENATE(" $",ROUND(K1089*(1-T2GDiscount),2)," with ",(T2GDiscount*100),"% discount"),CONCATENATE(" $",ROUND(K1089*(1-T2GDiscount),2)," with ",((T2GDiscount*100+F1089*100)-(T2GDiscount*100*F1089)),IF(F1089&gt;0,"% discounts",IF(NoWarrantyDiscount&gt;0,"% discounts","% discount")))))))))</f>
        <v/>
      </c>
      <c r="N1089" s="660"/>
      <c r="O1089" s="233"/>
      <c r="P1089" s="233"/>
      <c r="Q1089" s="233"/>
      <c r="R1089" s="233"/>
      <c r="S1089" s="233"/>
      <c r="T1089" s="508">
        <f t="shared" si="776"/>
        <v>0</v>
      </c>
      <c r="U1089" s="225">
        <f>IF(NOT(ISNUMBER(G1089)), "", VLOOKUP(A1089,'Discount Lookup'!D:E,2,FALSE)*G1089)</f>
        <v>0</v>
      </c>
      <c r="V1089" s="225">
        <f>IF(NOT(ISNUMBER(G1089)), "", VLOOKUP(A1089,'Discount Lookup'!G:H,2,FALSE)*G1089)</f>
        <v>0</v>
      </c>
      <c r="W1089" s="508">
        <f t="shared" si="777"/>
        <v>0</v>
      </c>
      <c r="X1089" s="508">
        <f t="shared" si="778"/>
        <v>0</v>
      </c>
      <c r="Y1089" s="509" t="b">
        <f t="shared" si="779"/>
        <v>0</v>
      </c>
      <c r="Z1089" s="510">
        <f t="shared" si="780"/>
        <v>0</v>
      </c>
      <c r="AA1089" s="511"/>
      <c r="AB1089" s="511" t="str">
        <f t="shared" si="781"/>
        <v/>
      </c>
      <c r="AC1089" s="698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698"/>
      <c r="AE1089" s="631" t="str">
        <f t="shared" si="782"/>
        <v/>
      </c>
      <c r="AF1089" s="699" t="str">
        <f t="shared" si="783"/>
        <v/>
      </c>
      <c r="AG1089" s="699"/>
      <c r="AH1089" s="699"/>
      <c r="AI1089" s="512">
        <f>IF(H1089="credit",0,IF(AE1089="free",0,IF(AE1089="me",0,IF(G1089&gt;0,(VLOOKUP(A1089,'Discount Lookup'!J:K,2)*G1089),0))))</f>
        <v>0</v>
      </c>
      <c r="AJ1089" s="513" t="str">
        <f t="shared" ca="1" si="784"/>
        <v/>
      </c>
      <c r="AK1089" s="700" t="str">
        <f t="shared" si="785"/>
        <v/>
      </c>
      <c r="AL1089" s="700"/>
      <c r="AM1089" s="505" t="str">
        <f t="shared" si="786"/>
        <v/>
      </c>
      <c r="AN1089" s="506"/>
      <c r="AO1089" s="507"/>
      <c r="AP1089" s="507"/>
      <c r="AQ1089" s="507"/>
      <c r="AR1089" s="507"/>
      <c r="AS1089" s="507"/>
      <c r="AT1089" s="507"/>
      <c r="AU1089" s="507"/>
      <c r="AV1089" s="225"/>
      <c r="AW1089" s="508"/>
      <c r="AX1089" s="225"/>
      <c r="AY1089" s="225"/>
      <c r="AZ1089" s="225"/>
      <c r="BA1089" s="225"/>
      <c r="BB1089" s="225"/>
      <c r="BC1089" s="56"/>
      <c r="BD1089" s="56"/>
      <c r="BE1089" s="56"/>
      <c r="BF1089" s="107" t="str">
        <f t="shared" si="787"/>
        <v>https://www.google.com/search?tbm=isch&amp;q=15%20G4</v>
      </c>
      <c r="BG1089" s="107" t="str">
        <f t="shared" si="788"/>
        <v>D</v>
      </c>
      <c r="BH1089" s="254"/>
      <c r="BI1089" s="254"/>
    </row>
    <row r="1090" spans="1:61" customFormat="1" ht="15.75" x14ac:dyDescent="0.25">
      <c r="A1090" s="276">
        <v>15</v>
      </c>
      <c r="B1090" s="240" t="s">
        <v>291</v>
      </c>
      <c r="C1090" s="241" t="s">
        <v>4876</v>
      </c>
      <c r="D1090" s="242" t="s">
        <v>300</v>
      </c>
      <c r="E1090" s="243">
        <v>171.95</v>
      </c>
      <c r="F1090" s="517" t="s">
        <v>293</v>
      </c>
      <c r="G1090" s="232">
        <v>0</v>
      </c>
      <c r="H1090" s="661" t="str">
        <f>IF(G1090=0,"",IF(F1090="Buy",IF(G1090=1,"plant","plants"),IF(F1090&gt;0.01,"warranty","Error")))</f>
        <v/>
      </c>
      <c r="I1090" s="244">
        <f>IF(H1090="free",0,IF(H1090="credit",((E1090*(F1090))*G1090*-1),IF(F1090="Buy",(E1090*G1090),((E1090*(1-F1090))*G1090))))</f>
        <v>0</v>
      </c>
      <c r="J1090" s="244">
        <f>IF(H1090="warranty",0,(I1090*(_xlfn.SINGLE(SalesTaxPercentage))))</f>
        <v>0</v>
      </c>
      <c r="K1090" s="696">
        <f t="shared" ref="K1090" si="813">I1090+J1090</f>
        <v>0</v>
      </c>
      <c r="L1090" s="696"/>
      <c r="M1090" s="659" t="str">
        <f>IF(AND(G1090&gt;0,E1090=0),"WARNING - no PRICE inserted",IF(H1090="free"," FREE ~ no charge this plant",IF(H1090="credit",CONCATENATE(" -$",ROUND(K1090*(1-T2GDiscount)*-1,2)," CREDIT after discount"),IF(T2GDiscount=0,"",IF(G1090=0,"",IF(F1090="Buy",CONCATENATE(" $",ROUND(K1090*(1-T2GDiscount),2)," with ",(T2GDiscount*100),"% discount"),CONCATENATE(" $",ROUND(K1090*(1-T2GDiscount),2)," with ",((T2GDiscount*100+F1090*100)-(T2GDiscount*100*F1090)),IF(F1090&gt;0,"% discounts",IF(NoWarrantyDiscount&gt;0,"% discounts","% discount")))))))))</f>
        <v/>
      </c>
      <c r="N1090" s="660"/>
      <c r="O1090" s="233"/>
      <c r="P1090" s="233"/>
      <c r="Q1090" s="233"/>
      <c r="R1090" s="233"/>
      <c r="S1090" s="233"/>
      <c r="T1090" s="508">
        <f t="shared" si="776"/>
        <v>0</v>
      </c>
      <c r="U1090" s="225">
        <f>IF(NOT(ISNUMBER(G1090)), "", VLOOKUP(A1090,'Discount Lookup'!D:E,2,FALSE)*G1090)</f>
        <v>0</v>
      </c>
      <c r="V1090" s="225">
        <f>IF(NOT(ISNUMBER(G1090)), "", VLOOKUP(A1090,'Discount Lookup'!G:H,2,FALSE)*G1090)</f>
        <v>0</v>
      </c>
      <c r="W1090" s="508">
        <f t="shared" si="777"/>
        <v>0</v>
      </c>
      <c r="X1090" s="508">
        <f t="shared" si="778"/>
        <v>0</v>
      </c>
      <c r="Y1090" s="509" t="b">
        <f t="shared" si="779"/>
        <v>0</v>
      </c>
      <c r="Z1090" s="510">
        <f t="shared" si="780"/>
        <v>0</v>
      </c>
      <c r="AA1090" s="511"/>
      <c r="AB1090" s="511" t="str">
        <f t="shared" si="781"/>
        <v/>
      </c>
      <c r="AC1090" s="698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698"/>
      <c r="AE1090" s="631" t="str">
        <f t="shared" si="782"/>
        <v/>
      </c>
      <c r="AF1090" s="699" t="str">
        <f t="shared" si="783"/>
        <v/>
      </c>
      <c r="AG1090" s="699"/>
      <c r="AH1090" s="699"/>
      <c r="AI1090" s="512">
        <f>IF(H1090="credit",0,IF(AE1090="free",0,IF(AE1090="me",0,IF(G1090&gt;0,(VLOOKUP(A1090,'Discount Lookup'!J:K,2)*G1090),0))))</f>
        <v>0</v>
      </c>
      <c r="AJ1090" s="513" t="str">
        <f t="shared" ca="1" si="784"/>
        <v/>
      </c>
      <c r="AK1090" s="700" t="str">
        <f t="shared" si="785"/>
        <v/>
      </c>
      <c r="AL1090" s="700"/>
      <c r="AM1090" s="505" t="str">
        <f t="shared" si="786"/>
        <v/>
      </c>
      <c r="AN1090" s="506"/>
      <c r="AO1090" s="507"/>
      <c r="AP1090" s="507"/>
      <c r="AQ1090" s="507"/>
      <c r="AR1090" s="507"/>
      <c r="AS1090" s="507"/>
      <c r="AT1090" s="507"/>
      <c r="AU1090" s="507"/>
      <c r="AV1090" s="225"/>
      <c r="AW1090" s="508"/>
      <c r="AX1090" s="225"/>
      <c r="AY1090" s="225"/>
      <c r="AZ1090" s="225"/>
      <c r="BA1090" s="225"/>
      <c r="BB1090" s="225"/>
      <c r="BC1090" s="56"/>
      <c r="BD1090" s="56"/>
      <c r="BE1090" s="56"/>
      <c r="BF1090" s="107" t="str">
        <f t="shared" si="787"/>
        <v>https://www.google.com/search?tbm=isch&amp;q=15%20G6</v>
      </c>
      <c r="BG1090" s="107" t="str">
        <f t="shared" si="788"/>
        <v>D</v>
      </c>
      <c r="BH1090" s="254"/>
      <c r="BI1090" s="254"/>
    </row>
    <row r="1091" spans="1:61" customFormat="1" ht="17.25" thickBot="1" x14ac:dyDescent="0.3">
      <c r="A1091" s="673" t="s">
        <v>5094</v>
      </c>
      <c r="B1091" s="245"/>
      <c r="C1091" s="677"/>
      <c r="D1091" s="499"/>
      <c r="E1091" s="499"/>
      <c r="F1091" s="500"/>
      <c r="G1091" s="501"/>
      <c r="H1091" s="502"/>
      <c r="I1091" s="246"/>
      <c r="J1091" s="247"/>
      <c r="K1091" s="503"/>
      <c r="L1091" s="544"/>
      <c r="M1091" s="544"/>
      <c r="N1091" s="500"/>
      <c r="O1091" s="500"/>
      <c r="P1091" s="500"/>
      <c r="Q1091" s="500"/>
      <c r="R1091" s="500"/>
      <c r="S1091" s="669" t="s">
        <v>4972</v>
      </c>
      <c r="T1091" s="508">
        <f t="shared" si="776"/>
        <v>0</v>
      </c>
      <c r="U1091" s="225" t="str">
        <f>IF(NOT(ISNUMBER(G1091)), "", VLOOKUP(A1091,'Discount Lookup'!D:E,2,FALSE)*G1091)</f>
        <v/>
      </c>
      <c r="V1091" s="225" t="str">
        <f>IF(NOT(ISNUMBER(G1091)), "", VLOOKUP(A1091,'Discount Lookup'!G:H,2,FALSE)*G1091)</f>
        <v/>
      </c>
      <c r="W1091" s="508">
        <f t="shared" si="777"/>
        <v>0</v>
      </c>
      <c r="X1091" s="508">
        <f t="shared" si="778"/>
        <v>0</v>
      </c>
      <c r="Y1091" s="509" t="b">
        <f t="shared" si="779"/>
        <v>0</v>
      </c>
      <c r="Z1091" s="510">
        <f t="shared" si="780"/>
        <v>0</v>
      </c>
      <c r="AA1091" s="511"/>
      <c r="AB1091" s="511" t="str">
        <f t="shared" si="781"/>
        <v/>
      </c>
      <c r="AC1091" s="698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698"/>
      <c r="AE1091" s="631" t="str">
        <f t="shared" si="782"/>
        <v/>
      </c>
      <c r="AF1091" s="699" t="str">
        <f t="shared" si="783"/>
        <v/>
      </c>
      <c r="AG1091" s="699"/>
      <c r="AH1091" s="699"/>
      <c r="AI1091" s="512">
        <f>IF(H1091="credit",0,IF(AE1091="free",0,IF(AE1091="me",0,IF(G1091&gt;0,(VLOOKUP(A1091,'Discount Lookup'!J:K,2)*G1091),0))))</f>
        <v>0</v>
      </c>
      <c r="AJ1091" s="513" t="str">
        <f t="shared" ca="1" si="784"/>
        <v/>
      </c>
      <c r="AK1091" s="700" t="str">
        <f t="shared" si="785"/>
        <v/>
      </c>
      <c r="AL1091" s="700"/>
      <c r="AM1091" s="505" t="str">
        <f t="shared" si="786"/>
        <v/>
      </c>
      <c r="AN1091" s="506"/>
      <c r="AO1091" s="507"/>
      <c r="AP1091" s="507"/>
      <c r="AQ1091" s="507"/>
      <c r="AR1091" s="507"/>
      <c r="AS1091" s="507"/>
      <c r="AT1091" s="507"/>
      <c r="AU1091" s="507"/>
      <c r="AV1091" s="225"/>
      <c r="AW1091" s="508"/>
      <c r="AX1091" s="225"/>
      <c r="AY1091" s="225"/>
      <c r="AZ1091" s="225"/>
      <c r="BA1091" s="225"/>
      <c r="BB1091" s="225"/>
      <c r="BC1091" s="56"/>
      <c r="BD1091" s="56"/>
      <c r="BE1091" s="56"/>
      <c r="BF1091" s="107" t="str">
        <f t="shared" si="787"/>
        <v>https://www.google.com/search?tbm=isch&amp;q=moist%20sites%F0%9F%92%A7BEST%2C%20Dura-Heat%20named%20for%20ability%20to%20withstand%20our%20intense%20heat.%20Yellow%20fall%20foliage.%20%20Multi%20Stem%2C%20unless%20noted%20otherwise%20</v>
      </c>
      <c r="BG1091" s="107" t="str">
        <f t="shared" si="788"/>
        <v>m</v>
      </c>
      <c r="BH1091" s="254"/>
      <c r="BI1091" s="254"/>
    </row>
    <row r="1092" spans="1:61" customFormat="1" ht="18" x14ac:dyDescent="0.25">
      <c r="A1092" s="521" t="s">
        <v>4502</v>
      </c>
      <c r="B1092" s="477"/>
      <c r="C1092" s="674"/>
      <c r="D1092" s="478" t="s">
        <v>4503</v>
      </c>
      <c r="E1092" s="479"/>
      <c r="F1092" s="479"/>
      <c r="G1092" s="479"/>
      <c r="H1092" s="582" t="s">
        <v>2245</v>
      </c>
      <c r="I1092" s="480" t="s">
        <v>2146</v>
      </c>
      <c r="J1092" s="479"/>
      <c r="K1092" s="479"/>
      <c r="L1092" s="560"/>
      <c r="M1092" s="666" t="s">
        <v>4966</v>
      </c>
      <c r="N1092" s="680" t="str">
        <f>IF(AND(ISTEXT($A1092), ISERROR($A1092+0)), HYPERLINK($BF1092, "Images"), "")</f>
        <v>Images</v>
      </c>
      <c r="O1092" s="662" t="s">
        <v>4969</v>
      </c>
      <c r="P1092" s="482"/>
      <c r="Q1092" s="483"/>
      <c r="R1092" s="483"/>
      <c r="S1092" s="484"/>
      <c r="T1092" s="508">
        <f t="shared" si="776"/>
        <v>0</v>
      </c>
      <c r="U1092" s="225" t="str">
        <f>IF(NOT(ISNUMBER(G1092)), "", VLOOKUP(A1092,'Discount Lookup'!D:E,2,FALSE)*G1092)</f>
        <v/>
      </c>
      <c r="V1092" s="225" t="str">
        <f>IF(NOT(ISNUMBER(G1092)), "", VLOOKUP(A1092,'Discount Lookup'!G:H,2,FALSE)*G1092)</f>
        <v/>
      </c>
      <c r="W1092" s="508">
        <f t="shared" si="777"/>
        <v>0</v>
      </c>
      <c r="X1092" s="508" t="str">
        <f t="shared" si="778"/>
        <v>Bright Green needles</v>
      </c>
      <c r="Y1092" s="509" t="b">
        <f t="shared" si="779"/>
        <v>0</v>
      </c>
      <c r="Z1092" s="510">
        <f t="shared" si="780"/>
        <v>0</v>
      </c>
      <c r="AA1092" s="511"/>
      <c r="AB1092" s="511" t="str">
        <f t="shared" si="781"/>
        <v/>
      </c>
      <c r="AC1092" s="698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698"/>
      <c r="AE1092" s="631" t="str">
        <f t="shared" si="782"/>
        <v/>
      </c>
      <c r="AF1092" s="699" t="str">
        <f t="shared" si="783"/>
        <v/>
      </c>
      <c r="AG1092" s="699"/>
      <c r="AH1092" s="699"/>
      <c r="AI1092" s="512">
        <f>IF(H1092="credit",0,IF(AE1092="free",0,IF(AE1092="me",0,IF(G1092&gt;0,(VLOOKUP(A1092,'Discount Lookup'!J:K,2)*G1092),0))))</f>
        <v>0</v>
      </c>
      <c r="AJ1092" s="513" t="str">
        <f t="shared" ca="1" si="784"/>
        <v/>
      </c>
      <c r="AK1092" s="700" t="str">
        <f t="shared" si="785"/>
        <v/>
      </c>
      <c r="AL1092" s="700"/>
      <c r="AM1092" s="505" t="str">
        <f t="shared" si="786"/>
        <v/>
      </c>
      <c r="AN1092" s="506"/>
      <c r="AO1092" s="507"/>
      <c r="AP1092" s="507"/>
      <c r="AQ1092" s="507"/>
      <c r="AR1092" s="507"/>
      <c r="AS1092" s="507"/>
      <c r="AT1092" s="507"/>
      <c r="AU1092" s="507"/>
      <c r="AV1092" s="225"/>
      <c r="AW1092" s="508"/>
      <c r="AX1092" s="225"/>
      <c r="AY1092" s="225"/>
      <c r="AZ1092" s="225"/>
      <c r="BA1092" s="225"/>
      <c r="BB1092" s="225"/>
      <c r="BC1092" s="56"/>
      <c r="BD1092" s="56"/>
      <c r="BE1092" s="56"/>
      <c r="BF1092" s="107" t="str">
        <f t="shared" si="787"/>
        <v>https://www.google.com/search?tbm=isch&amp;q=Dwarf%20Alberta%20Spruce%20Picea%20glauca%20%27Conica%27</v>
      </c>
      <c r="BG1092" s="107" t="str">
        <f t="shared" si="788"/>
        <v>D</v>
      </c>
      <c r="BH1092" s="254"/>
      <c r="BI1092" s="254"/>
    </row>
    <row r="1093" spans="1:61" customFormat="1" ht="15.75" x14ac:dyDescent="0.25">
      <c r="A1093" s="485">
        <v>1</v>
      </c>
      <c r="B1093" s="486" t="s">
        <v>291</v>
      </c>
      <c r="C1093" s="487" t="s">
        <v>4606</v>
      </c>
      <c r="D1093" s="488" t="s">
        <v>312</v>
      </c>
      <c r="E1093" s="489">
        <v>32.950000000000003</v>
      </c>
      <c r="F1093" s="516" t="s">
        <v>293</v>
      </c>
      <c r="G1093" s="232">
        <v>0</v>
      </c>
      <c r="H1093" s="658" t="str">
        <f>IF(G1093=0,"",IF(F1093="Buy",IF(G1093=1,"plant","plants"),IF(F1093&gt;0.01,"warranty","Error")))</f>
        <v/>
      </c>
      <c r="I1093" s="490">
        <f>IF(H1093="free",0,IF(H1093="credit",((E1093*(F1093))*G1093*-1),IF(F1093="Buy",(E1093*G1093),((E1093*(1-F1093))*G1093))))</f>
        <v>0</v>
      </c>
      <c r="J1093" s="490">
        <f>IF(H1093="warranty",0,(I1093*(_xlfn.SINGLE(SalesTaxPercentage))))</f>
        <v>0</v>
      </c>
      <c r="K1093" s="695">
        <f t="shared" ref="K1093" si="814">I1093+J1093</f>
        <v>0</v>
      </c>
      <c r="L1093" s="695"/>
      <c r="M1093" s="659" t="str">
        <f>IF(AND(G1093&gt;0,E1093=0),"WARNING - no PRICE inserted",IF(H1093="free"," FREE ~ no charge this plant",IF(H1093="credit",CONCATENATE(" -$",ROUND(K1093*(1-T2GDiscount)*-1,2)," CREDIT after discount"),IF(T2GDiscount=0,"",IF(G1093=0,"",IF(F1093="Buy",CONCATENATE(" $",ROUND(K1093*(1-T2GDiscount),2)," with ",(T2GDiscount*100),"% discount"),CONCATENATE(" $",ROUND(K1093*(1-T2GDiscount),2)," with ",((T2GDiscount*100+F1093*100)-(T2GDiscount*100*F1093)),IF(F1093&gt;0,"% discounts",IF(NoWarrantyDiscount&gt;0,"% discounts","% discount")))))))))</f>
        <v/>
      </c>
      <c r="N1093" s="660"/>
      <c r="O1093" s="233"/>
      <c r="P1093" s="233"/>
      <c r="Q1093" s="233"/>
      <c r="R1093" s="233"/>
      <c r="S1093" s="233"/>
      <c r="T1093" s="508">
        <f t="shared" si="776"/>
        <v>0</v>
      </c>
      <c r="U1093" s="225">
        <f>IF(NOT(ISNUMBER(G1093)), "", VLOOKUP(A1093,'Discount Lookup'!D:E,2,FALSE)*G1093)</f>
        <v>0</v>
      </c>
      <c r="V1093" s="225">
        <f>IF(NOT(ISNUMBER(G1093)), "", VLOOKUP(A1093,'Discount Lookup'!G:H,2,FALSE)*G1093)</f>
        <v>0</v>
      </c>
      <c r="W1093" s="508">
        <f t="shared" si="777"/>
        <v>0</v>
      </c>
      <c r="X1093" s="508">
        <f t="shared" si="778"/>
        <v>0</v>
      </c>
      <c r="Y1093" s="509" t="b">
        <f t="shared" si="779"/>
        <v>0</v>
      </c>
      <c r="Z1093" s="510">
        <f t="shared" si="780"/>
        <v>0</v>
      </c>
      <c r="AA1093" s="511"/>
      <c r="AB1093" s="511" t="str">
        <f t="shared" si="781"/>
        <v/>
      </c>
      <c r="AC1093" s="698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698"/>
      <c r="AE1093" s="631" t="str">
        <f t="shared" si="782"/>
        <v/>
      </c>
      <c r="AF1093" s="699" t="str">
        <f t="shared" si="783"/>
        <v/>
      </c>
      <c r="AG1093" s="699"/>
      <c r="AH1093" s="699"/>
      <c r="AI1093" s="512">
        <f>IF(H1093="credit",0,IF(AE1093="free",0,IF(AE1093="me",0,IF(G1093&gt;0,(VLOOKUP(A1093,'Discount Lookup'!J:K,2)*G1093),0))))</f>
        <v>0</v>
      </c>
      <c r="AJ1093" s="513" t="str">
        <f t="shared" ca="1" si="784"/>
        <v/>
      </c>
      <c r="AK1093" s="700" t="str">
        <f t="shared" si="785"/>
        <v/>
      </c>
      <c r="AL1093" s="700"/>
      <c r="AM1093" s="505" t="str">
        <f t="shared" si="786"/>
        <v/>
      </c>
      <c r="AN1093" s="506"/>
      <c r="AO1093" s="507"/>
      <c r="AP1093" s="507"/>
      <c r="AQ1093" s="507"/>
      <c r="AR1093" s="507"/>
      <c r="AS1093" s="507"/>
      <c r="AT1093" s="507"/>
      <c r="AU1093" s="507"/>
      <c r="AV1093" s="225"/>
      <c r="AW1093" s="508"/>
      <c r="AX1093" s="225"/>
      <c r="AY1093" s="225"/>
      <c r="AZ1093" s="225"/>
      <c r="BA1093" s="225"/>
      <c r="BB1093" s="225"/>
      <c r="BC1093" s="56"/>
      <c r="BD1093" s="56"/>
      <c r="BE1093" s="56"/>
      <c r="BF1093" s="107" t="str">
        <f t="shared" si="787"/>
        <v>https://www.google.com/search?tbm=isch&amp;q=1%20G2</v>
      </c>
      <c r="BG1093" s="107" t="str">
        <f t="shared" si="788"/>
        <v>D</v>
      </c>
      <c r="BH1093" s="254"/>
      <c r="BI1093" s="254"/>
    </row>
    <row r="1094" spans="1:61" customFormat="1" ht="15.75" x14ac:dyDescent="0.25">
      <c r="A1094" s="485">
        <v>1</v>
      </c>
      <c r="B1094" s="486" t="s">
        <v>291</v>
      </c>
      <c r="C1094" s="487" t="s">
        <v>334</v>
      </c>
      <c r="D1094" s="488" t="s">
        <v>312</v>
      </c>
      <c r="E1094" s="489">
        <v>32.950000000000003</v>
      </c>
      <c r="F1094" s="516" t="s">
        <v>293</v>
      </c>
      <c r="G1094" s="232">
        <v>0</v>
      </c>
      <c r="H1094" s="658" t="str">
        <f>IF(G1094=0,"",IF(F1094="Buy",IF(G1094=1,"plant","plants"),IF(F1094&gt;0.01,"warranty","Error")))</f>
        <v/>
      </c>
      <c r="I1094" s="490">
        <f>IF(H1094="free",0,IF(H1094="credit",((E1094*(F1094))*G1094*-1),IF(F1094="Buy",(E1094*G1094),((E1094*(1-F1094))*G1094))))</f>
        <v>0</v>
      </c>
      <c r="J1094" s="490">
        <f>IF(H1094="warranty",0,(I1094*(_xlfn.SINGLE(SalesTaxPercentage))))</f>
        <v>0</v>
      </c>
      <c r="K1094" s="695">
        <f t="shared" ref="K1094" si="815">I1094+J1094</f>
        <v>0</v>
      </c>
      <c r="L1094" s="695"/>
      <c r="M1094" s="659" t="str">
        <f>IF(AND(G1094&gt;0,E1094=0),"WARNING - no PRICE inserted",IF(H1094="free"," FREE ~ no charge this plant",IF(H1094="credit",CONCATENATE(" -$",ROUND(K1094*(1-T2GDiscount)*-1,2)," CREDIT after discount"),IF(T2GDiscount=0,"",IF(G1094=0,"",IF(F1094="Buy",CONCATENATE(" $",ROUND(K1094*(1-T2GDiscount),2)," with ",(T2GDiscount*100),"% discount"),CONCATENATE(" $",ROUND(K1094*(1-T2GDiscount),2)," with ",((T2GDiscount*100+F1094*100)-(T2GDiscount*100*F1094)),IF(F1094&gt;0,"% discounts",IF(NoWarrantyDiscount&gt;0,"% discounts","% discount")))))))))</f>
        <v/>
      </c>
      <c r="N1094" s="660"/>
      <c r="O1094" s="233"/>
      <c r="P1094" s="233"/>
      <c r="Q1094" s="233"/>
      <c r="R1094" s="233"/>
      <c r="S1094" s="233"/>
      <c r="T1094" s="508">
        <f t="shared" si="776"/>
        <v>0</v>
      </c>
      <c r="U1094" s="225">
        <f>IF(NOT(ISNUMBER(G1094)), "", VLOOKUP(A1094,'Discount Lookup'!D:E,2,FALSE)*G1094)</f>
        <v>0</v>
      </c>
      <c r="V1094" s="225">
        <f>IF(NOT(ISNUMBER(G1094)), "", VLOOKUP(A1094,'Discount Lookup'!G:H,2,FALSE)*G1094)</f>
        <v>0</v>
      </c>
      <c r="W1094" s="508">
        <f t="shared" si="777"/>
        <v>0</v>
      </c>
      <c r="X1094" s="508">
        <f t="shared" si="778"/>
        <v>0</v>
      </c>
      <c r="Y1094" s="509" t="b">
        <f t="shared" si="779"/>
        <v>0</v>
      </c>
      <c r="Z1094" s="510">
        <f t="shared" si="780"/>
        <v>0</v>
      </c>
      <c r="AA1094" s="511"/>
      <c r="AB1094" s="511" t="str">
        <f t="shared" si="781"/>
        <v/>
      </c>
      <c r="AC1094" s="698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698"/>
      <c r="AE1094" s="631" t="str">
        <f t="shared" si="782"/>
        <v/>
      </c>
      <c r="AF1094" s="699" t="str">
        <f t="shared" si="783"/>
        <v/>
      </c>
      <c r="AG1094" s="699"/>
      <c r="AH1094" s="699"/>
      <c r="AI1094" s="512">
        <f>IF(H1094="credit",0,IF(AE1094="free",0,IF(AE1094="me",0,IF(G1094&gt;0,(VLOOKUP(A1094,'Discount Lookup'!J:K,2)*G1094),0))))</f>
        <v>0</v>
      </c>
      <c r="AJ1094" s="513" t="str">
        <f t="shared" ca="1" si="784"/>
        <v/>
      </c>
      <c r="AK1094" s="700" t="str">
        <f t="shared" si="785"/>
        <v/>
      </c>
      <c r="AL1094" s="700"/>
      <c r="AM1094" s="505" t="str">
        <f t="shared" si="786"/>
        <v/>
      </c>
      <c r="AN1094" s="506"/>
      <c r="AO1094" s="507"/>
      <c r="AP1094" s="507"/>
      <c r="AQ1094" s="507"/>
      <c r="AR1094" s="507"/>
      <c r="AS1094" s="507"/>
      <c r="AT1094" s="507"/>
      <c r="AU1094" s="507"/>
      <c r="AV1094" s="225"/>
      <c r="AW1094" s="508"/>
      <c r="AX1094" s="225"/>
      <c r="AY1094" s="225"/>
      <c r="AZ1094" s="225"/>
      <c r="BA1094" s="225"/>
      <c r="BB1094" s="225"/>
      <c r="BC1094" s="56"/>
      <c r="BD1094" s="56"/>
      <c r="BE1094" s="56"/>
      <c r="BF1094" s="107" t="str">
        <f t="shared" si="787"/>
        <v>https://www.google.com/search?tbm=isch&amp;q=1%20G2</v>
      </c>
      <c r="BG1094" s="107" t="str">
        <f t="shared" si="788"/>
        <v>D</v>
      </c>
      <c r="BH1094" s="254"/>
      <c r="BI1094" s="254"/>
    </row>
    <row r="1095" spans="1:61" customFormat="1" ht="17.25" thickBot="1" x14ac:dyDescent="0.3">
      <c r="A1095" s="522" t="s">
        <v>4504</v>
      </c>
      <c r="B1095" s="491"/>
      <c r="C1095" s="675"/>
      <c r="D1095" s="491"/>
      <c r="E1095" s="491"/>
      <c r="F1095" s="492"/>
      <c r="G1095" s="493"/>
      <c r="H1095" s="491"/>
      <c r="I1095" s="234"/>
      <c r="J1095" s="234"/>
      <c r="K1095" s="494"/>
      <c r="L1095" s="543"/>
      <c r="M1095" s="561"/>
      <c r="N1095" s="495"/>
      <c r="O1095" s="496"/>
      <c r="P1095" s="497"/>
      <c r="Q1095" s="495"/>
      <c r="R1095" s="495"/>
      <c r="S1095" s="667" t="s">
        <v>4982</v>
      </c>
      <c r="T1095" s="508">
        <f t="shared" si="776"/>
        <v>0</v>
      </c>
      <c r="U1095" s="225" t="str">
        <f>IF(NOT(ISNUMBER(G1095)), "", VLOOKUP(A1095,'Discount Lookup'!D:E,2,FALSE)*G1095)</f>
        <v/>
      </c>
      <c r="V1095" s="225" t="str">
        <f>IF(NOT(ISNUMBER(G1095)), "", VLOOKUP(A1095,'Discount Lookup'!G:H,2,FALSE)*G1095)</f>
        <v/>
      </c>
      <c r="W1095" s="508">
        <f t="shared" si="777"/>
        <v>0</v>
      </c>
      <c r="X1095" s="508">
        <f t="shared" si="778"/>
        <v>0</v>
      </c>
      <c r="Y1095" s="509" t="b">
        <f t="shared" si="779"/>
        <v>0</v>
      </c>
      <c r="Z1095" s="510">
        <f t="shared" si="780"/>
        <v>0</v>
      </c>
      <c r="AA1095" s="511"/>
      <c r="AB1095" s="511" t="str">
        <f t="shared" si="781"/>
        <v/>
      </c>
      <c r="AC1095" s="698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698"/>
      <c r="AE1095" s="631" t="str">
        <f t="shared" si="782"/>
        <v/>
      </c>
      <c r="AF1095" s="699" t="str">
        <f t="shared" si="783"/>
        <v/>
      </c>
      <c r="AG1095" s="699"/>
      <c r="AH1095" s="699"/>
      <c r="AI1095" s="512">
        <f>IF(H1095="credit",0,IF(AE1095="free",0,IF(AE1095="me",0,IF(G1095&gt;0,(VLOOKUP(A1095,'Discount Lookup'!J:K,2)*G1095),0))))</f>
        <v>0</v>
      </c>
      <c r="AJ1095" s="513" t="str">
        <f t="shared" ca="1" si="784"/>
        <v/>
      </c>
      <c r="AK1095" s="700" t="str">
        <f t="shared" si="785"/>
        <v/>
      </c>
      <c r="AL1095" s="700"/>
      <c r="AM1095" s="505" t="str">
        <f t="shared" si="786"/>
        <v/>
      </c>
      <c r="AN1095" s="506"/>
      <c r="AO1095" s="507"/>
      <c r="AP1095" s="507"/>
      <c r="AQ1095" s="507"/>
      <c r="AR1095" s="507"/>
      <c r="AS1095" s="507"/>
      <c r="AT1095" s="507"/>
      <c r="AU1095" s="507"/>
      <c r="AV1095" s="225"/>
      <c r="AW1095" s="508"/>
      <c r="AX1095" s="225"/>
      <c r="AY1095" s="225"/>
      <c r="AZ1095" s="225"/>
      <c r="BA1095" s="225"/>
      <c r="BB1095" s="225"/>
      <c r="BC1095" s="56"/>
      <c r="BD1095" s="56"/>
      <c r="BE1095" s="56"/>
      <c r="BF1095" s="107" t="str">
        <f t="shared" si="787"/>
        <v>https://www.google.com/search?tbm=isch&amp;q=Dwarf%20Alberta%20performs%20optimally%20in%20full%20sun%2C%20to%20form%20a%20natural%20perfect%20cone%20shape%2C%20albeit%20very%20s-l-o-w-l-y%20</v>
      </c>
      <c r="BG1095" s="107" t="str">
        <f t="shared" si="788"/>
        <v>D</v>
      </c>
      <c r="BH1095" s="254"/>
      <c r="BI1095" s="254"/>
    </row>
    <row r="1096" spans="1:61" customFormat="1" ht="18" x14ac:dyDescent="0.25">
      <c r="A1096" s="521" t="s">
        <v>791</v>
      </c>
      <c r="B1096" s="477"/>
      <c r="C1096" s="674"/>
      <c r="D1096" s="478" t="s">
        <v>792</v>
      </c>
      <c r="E1096" s="479"/>
      <c r="F1096" s="479"/>
      <c r="G1096" s="479"/>
      <c r="H1096" s="582" t="s">
        <v>578</v>
      </c>
      <c r="I1096" s="480" t="s">
        <v>2505</v>
      </c>
      <c r="J1096" s="479"/>
      <c r="K1096" s="479"/>
      <c r="L1096" s="560"/>
      <c r="M1096" s="671" t="s">
        <v>4985</v>
      </c>
      <c r="N1096" s="680" t="str">
        <f>IF(AND(ISTEXT($A1096), ISERROR($A1096+0)), HYPERLINK($BF1096, "Images"), "")</f>
        <v>Images</v>
      </c>
      <c r="O1096" s="662" t="s">
        <v>4967</v>
      </c>
      <c r="P1096" s="482"/>
      <c r="Q1096" s="483"/>
      <c r="R1096" s="483"/>
      <c r="S1096" s="484"/>
      <c r="T1096" s="508">
        <f t="shared" si="776"/>
        <v>0</v>
      </c>
      <c r="U1096" s="225" t="str">
        <f>IF(NOT(ISNUMBER(G1096)), "", VLOOKUP(A1096,'Discount Lookup'!D:E,2,FALSE)*G1096)</f>
        <v/>
      </c>
      <c r="V1096" s="225" t="str">
        <f>IF(NOT(ISNUMBER(G1096)), "", VLOOKUP(A1096,'Discount Lookup'!G:H,2,FALSE)*G1096)</f>
        <v/>
      </c>
      <c r="W1096" s="508">
        <f t="shared" si="777"/>
        <v>0</v>
      </c>
      <c r="X1096" s="508" t="str">
        <f t="shared" si="778"/>
        <v>Lavender-White</v>
      </c>
      <c r="Y1096" s="509" t="b">
        <f t="shared" si="779"/>
        <v>0</v>
      </c>
      <c r="Z1096" s="510">
        <f t="shared" si="780"/>
        <v>0</v>
      </c>
      <c r="AA1096" s="511"/>
      <c r="AB1096" s="511" t="str">
        <f t="shared" si="781"/>
        <v/>
      </c>
      <c r="AC1096" s="698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698"/>
      <c r="AE1096" s="631" t="str">
        <f t="shared" si="782"/>
        <v/>
      </c>
      <c r="AF1096" s="699" t="str">
        <f t="shared" si="783"/>
        <v/>
      </c>
      <c r="AG1096" s="699"/>
      <c r="AH1096" s="699"/>
      <c r="AI1096" s="512">
        <f>IF(H1096="credit",0,IF(AE1096="free",0,IF(AE1096="me",0,IF(G1096&gt;0,(VLOOKUP(A1096,'Discount Lookup'!J:K,2)*G1096),0))))</f>
        <v>0</v>
      </c>
      <c r="AJ1096" s="513" t="str">
        <f t="shared" ca="1" si="784"/>
        <v/>
      </c>
      <c r="AK1096" s="700" t="str">
        <f t="shared" si="785"/>
        <v/>
      </c>
      <c r="AL1096" s="700"/>
      <c r="AM1096" s="505" t="str">
        <f t="shared" si="786"/>
        <v/>
      </c>
      <c r="AN1096" s="506"/>
      <c r="AO1096" s="507"/>
      <c r="AP1096" s="507"/>
      <c r="AQ1096" s="507"/>
      <c r="AR1096" s="507"/>
      <c r="AS1096" s="507"/>
      <c r="AT1096" s="507"/>
      <c r="AU1096" s="507"/>
      <c r="AV1096" s="225"/>
      <c r="AW1096" s="508"/>
      <c r="AX1096" s="225"/>
      <c r="AY1096" s="225"/>
      <c r="AZ1096" s="225"/>
      <c r="BA1096" s="225"/>
      <c r="BB1096" s="225"/>
      <c r="BC1096" s="56"/>
      <c r="BD1096" s="56"/>
      <c r="BE1096" s="56"/>
      <c r="BF1096" s="107" t="str">
        <f t="shared" si="787"/>
        <v>https://www.google.com/search?tbm=isch&amp;q=Dwarf%20Black%20Mondo%20Grass%20Ophiopogon%20japonicus%20%27Nana%27%20PP%2315627</v>
      </c>
      <c r="BG1096" s="107" t="str">
        <f t="shared" si="788"/>
        <v>D</v>
      </c>
      <c r="BH1096" s="254"/>
      <c r="BI1096" s="254"/>
    </row>
    <row r="1097" spans="1:61" customFormat="1" ht="15.75" x14ac:dyDescent="0.25">
      <c r="A1097" s="485">
        <v>1</v>
      </c>
      <c r="B1097" s="486" t="s">
        <v>291</v>
      </c>
      <c r="C1097" s="487" t="s">
        <v>793</v>
      </c>
      <c r="D1097" s="488" t="s">
        <v>297</v>
      </c>
      <c r="E1097" s="489">
        <v>8.9499999999999993</v>
      </c>
      <c r="F1097" s="516" t="s">
        <v>293</v>
      </c>
      <c r="G1097" s="232">
        <v>0</v>
      </c>
      <c r="H1097" s="658" t="str">
        <f>IF(G1097=0,"",IF(F1097="Buy",IF(G1097=1,"plant","plants"),IF(F1097&gt;0.01,"warranty","Error")))</f>
        <v/>
      </c>
      <c r="I1097" s="490">
        <f>IF(H1097="free",0,IF(H1097="credit",((E1097*(F1097))*G1097*-1),IF(F1097="Buy",(E1097*G1097),((E1097*(1-F1097))*G1097))))</f>
        <v>0</v>
      </c>
      <c r="J1097" s="490">
        <f>IF(H1097="warranty",0,(I1097*(_xlfn.SINGLE(SalesTaxPercentage))))</f>
        <v>0</v>
      </c>
      <c r="K1097" s="695">
        <f t="shared" ref="K1097" si="816">I1097+J1097</f>
        <v>0</v>
      </c>
      <c r="L1097" s="695"/>
      <c r="M1097" s="659" t="str">
        <f>IF(AND(G1097&gt;0,E1097=0),"WARNING - no PRICE inserted",IF(H1097="free"," FREE ~ no charge this plant",IF(H1097="credit",CONCATENATE(" -$",ROUND(K1097*(1-T2GDiscount)*-1,2)," CREDIT after discount"),IF(T2GDiscount=0,"",IF(G1097=0,"",IF(F1097="Buy",CONCATENATE(" $",ROUND(K1097*(1-T2GDiscount),2)," with ",(T2GDiscount*100),"% discount"),CONCATENATE(" $",ROUND(K1097*(1-T2GDiscount),2)," with ",((T2GDiscount*100+F1097*100)-(T2GDiscount*100*F1097)),IF(F1097&gt;0,"% discounts",IF(NoWarrantyDiscount&gt;0,"% discounts","% discount")))))))))</f>
        <v/>
      </c>
      <c r="N1097" s="660"/>
      <c r="O1097" s="233"/>
      <c r="P1097" s="233"/>
      <c r="Q1097" s="233"/>
      <c r="R1097" s="233"/>
      <c r="S1097" s="233"/>
      <c r="T1097" s="508">
        <f t="shared" si="776"/>
        <v>0</v>
      </c>
      <c r="U1097" s="225">
        <f>IF(NOT(ISNUMBER(G1097)), "", VLOOKUP(A1097,'Discount Lookup'!D:E,2,FALSE)*G1097)</f>
        <v>0</v>
      </c>
      <c r="V1097" s="225">
        <f>IF(NOT(ISNUMBER(G1097)), "", VLOOKUP(A1097,'Discount Lookup'!G:H,2,FALSE)*G1097)</f>
        <v>0</v>
      </c>
      <c r="W1097" s="508">
        <f t="shared" si="777"/>
        <v>0</v>
      </c>
      <c r="X1097" s="508">
        <f t="shared" si="778"/>
        <v>0</v>
      </c>
      <c r="Y1097" s="509" t="b">
        <f t="shared" si="779"/>
        <v>0</v>
      </c>
      <c r="Z1097" s="510">
        <f t="shared" si="780"/>
        <v>0</v>
      </c>
      <c r="AA1097" s="511"/>
      <c r="AB1097" s="511" t="str">
        <f t="shared" si="781"/>
        <v/>
      </c>
      <c r="AC1097" s="698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698"/>
      <c r="AE1097" s="631" t="str">
        <f t="shared" si="782"/>
        <v/>
      </c>
      <c r="AF1097" s="699" t="str">
        <f t="shared" si="783"/>
        <v/>
      </c>
      <c r="AG1097" s="699"/>
      <c r="AH1097" s="699"/>
      <c r="AI1097" s="512">
        <f>IF(H1097="credit",0,IF(AE1097="free",0,IF(AE1097="me",0,IF(G1097&gt;0,(VLOOKUP(A1097,'Discount Lookup'!J:K,2)*G1097),0))))</f>
        <v>0</v>
      </c>
      <c r="AJ1097" s="513" t="str">
        <f t="shared" ca="1" si="784"/>
        <v/>
      </c>
      <c r="AK1097" s="700" t="str">
        <f t="shared" si="785"/>
        <v/>
      </c>
      <c r="AL1097" s="700"/>
      <c r="AM1097" s="505" t="str">
        <f t="shared" si="786"/>
        <v/>
      </c>
      <c r="AN1097" s="506"/>
      <c r="AO1097" s="507"/>
      <c r="AP1097" s="507"/>
      <c r="AQ1097" s="507"/>
      <c r="AR1097" s="507"/>
      <c r="AS1097" s="507"/>
      <c r="AT1097" s="507"/>
      <c r="AU1097" s="507"/>
      <c r="AV1097" s="225"/>
      <c r="AW1097" s="508"/>
      <c r="AX1097" s="225"/>
      <c r="AY1097" s="225"/>
      <c r="AZ1097" s="225"/>
      <c r="BA1097" s="225"/>
      <c r="BB1097" s="225"/>
      <c r="BC1097" s="56"/>
      <c r="BD1097" s="56"/>
      <c r="BE1097" s="56"/>
      <c r="BF1097" s="107" t="str">
        <f t="shared" si="787"/>
        <v>https://www.google.com/search?tbm=isch&amp;q=1%20G3</v>
      </c>
      <c r="BG1097" s="107" t="str">
        <f t="shared" si="788"/>
        <v>D</v>
      </c>
      <c r="BH1097" s="254"/>
      <c r="BI1097" s="254"/>
    </row>
    <row r="1098" spans="1:61" customFormat="1" ht="15.75" x14ac:dyDescent="0.25">
      <c r="A1098" s="485" t="s">
        <v>28</v>
      </c>
      <c r="B1098" s="486" t="s">
        <v>388</v>
      </c>
      <c r="C1098" s="487"/>
      <c r="D1098" s="488" t="s">
        <v>312</v>
      </c>
      <c r="E1098" s="489">
        <v>62.95</v>
      </c>
      <c r="F1098" s="516" t="s">
        <v>293</v>
      </c>
      <c r="G1098" s="232">
        <v>0</v>
      </c>
      <c r="H1098" s="658" t="str">
        <f>IF(G1098=0,"",IF(F1098="Buy",IF(G1098=1,"plant","plants"),IF(F1098&gt;0.01,"warranty","Error")))</f>
        <v/>
      </c>
      <c r="I1098" s="490">
        <f>IF(H1098="free",0,IF(H1098="credit",((E1098*(F1098))*G1098*-1),IF(F1098="Buy",(E1098*G1098),((E1098*(1-F1098))*G1098))))</f>
        <v>0</v>
      </c>
      <c r="J1098" s="490">
        <f>IF(H1098="warranty",0,(I1098*(_xlfn.SINGLE(SalesTaxPercentage))))</f>
        <v>0</v>
      </c>
      <c r="K1098" s="695">
        <f t="shared" ref="K1098" si="817">I1098+J1098</f>
        <v>0</v>
      </c>
      <c r="L1098" s="695"/>
      <c r="M1098" s="659" t="str">
        <f>IF(AND(G1098&gt;0,E1098=0),"WARNING - no PRICE inserted",IF(H1098="free"," FREE ~ no charge this plant",IF(H1098="credit",CONCATENATE(" -$",ROUND(K1098*(1-T2GDiscount)*-1,2)," CREDIT after discount"),IF(T2GDiscount=0,"",IF(G1098=0,"",IF(F1098="Buy",CONCATENATE(" $",ROUND(K1098*(1-T2GDiscount),2)," with ",(T2GDiscount*100),"% discount"),CONCATENATE(" $",ROUND(K1098*(1-T2GDiscount),2)," with ",((T2GDiscount*100+F1098*100)-(T2GDiscount*100*F1098)),IF(F1098&gt;0,"% discounts",IF(NoWarrantyDiscount&gt;0,"% discounts","% discount")))))))))</f>
        <v/>
      </c>
      <c r="N1098" s="660"/>
      <c r="O1098" s="233"/>
      <c r="P1098" s="233"/>
      <c r="Q1098" s="233"/>
      <c r="R1098" s="233"/>
      <c r="S1098" s="233"/>
      <c r="T1098" s="508">
        <f t="shared" si="776"/>
        <v>0</v>
      </c>
      <c r="U1098" s="225">
        <f>IF(NOT(ISNUMBER(G1098)), "", VLOOKUP(A1098,'Discount Lookup'!D:E,2,FALSE)*G1098)</f>
        <v>0</v>
      </c>
      <c r="V1098" s="225">
        <f>IF(NOT(ISNUMBER(G1098)), "", VLOOKUP(A1098,'Discount Lookup'!G:H,2,FALSE)*G1098)</f>
        <v>0</v>
      </c>
      <c r="W1098" s="508">
        <f t="shared" si="777"/>
        <v>0</v>
      </c>
      <c r="X1098" s="508">
        <f t="shared" si="778"/>
        <v>0</v>
      </c>
      <c r="Y1098" s="509" t="b">
        <f t="shared" si="779"/>
        <v>0</v>
      </c>
      <c r="Z1098" s="510">
        <f t="shared" si="780"/>
        <v>0</v>
      </c>
      <c r="AA1098" s="511"/>
      <c r="AB1098" s="511" t="str">
        <f t="shared" si="781"/>
        <v/>
      </c>
      <c r="AC1098" s="698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698"/>
      <c r="AE1098" s="631" t="str">
        <f t="shared" si="782"/>
        <v/>
      </c>
      <c r="AF1098" s="699" t="str">
        <f t="shared" si="783"/>
        <v/>
      </c>
      <c r="AG1098" s="699"/>
      <c r="AH1098" s="699"/>
      <c r="AI1098" s="512">
        <f>IF(H1098="credit",0,IF(AE1098="free",0,IF(AE1098="me",0,IF(G1098&gt;0,(VLOOKUP(A1098,'Discount Lookup'!J:K,2)*G1098),0))))</f>
        <v>0</v>
      </c>
      <c r="AJ1098" s="513" t="str">
        <f t="shared" ca="1" si="784"/>
        <v/>
      </c>
      <c r="AK1098" s="700" t="str">
        <f t="shared" si="785"/>
        <v/>
      </c>
      <c r="AL1098" s="700"/>
      <c r="AM1098" s="505" t="str">
        <f t="shared" si="786"/>
        <v/>
      </c>
      <c r="AN1098" s="506"/>
      <c r="AO1098" s="507"/>
      <c r="AP1098" s="507"/>
      <c r="AQ1098" s="507"/>
      <c r="AR1098" s="507"/>
      <c r="AS1098" s="507"/>
      <c r="AT1098" s="507"/>
      <c r="AU1098" s="507"/>
      <c r="AV1098" s="225"/>
      <c r="AW1098" s="508"/>
      <c r="AX1098" s="225"/>
      <c r="AY1098" s="225"/>
      <c r="AZ1098" s="225"/>
      <c r="BA1098" s="225"/>
      <c r="BB1098" s="225"/>
      <c r="BC1098" s="56"/>
      <c r="BD1098" s="56"/>
      <c r="BE1098" s="56"/>
      <c r="BF1098" s="107" t="str">
        <f t="shared" si="787"/>
        <v>https://www.google.com/search?tbm=isch&amp;q=18%20in%20G2</v>
      </c>
      <c r="BG1098" s="107" t="str">
        <f t="shared" si="788"/>
        <v>1</v>
      </c>
      <c r="BH1098" s="254"/>
      <c r="BI1098" s="254"/>
    </row>
    <row r="1099" spans="1:61" customFormat="1" ht="15.75" x14ac:dyDescent="0.25">
      <c r="A1099" s="485">
        <v>4</v>
      </c>
      <c r="B1099" s="486" t="s">
        <v>291</v>
      </c>
      <c r="C1099" s="487" t="s">
        <v>4665</v>
      </c>
      <c r="D1099" s="488" t="s">
        <v>299</v>
      </c>
      <c r="E1099" s="489">
        <v>72.95</v>
      </c>
      <c r="F1099" s="516" t="s">
        <v>293</v>
      </c>
      <c r="G1099" s="232">
        <v>0</v>
      </c>
      <c r="H1099" s="658" t="str">
        <f>IF(G1099=0,"",IF(F1099="Buy",IF(G1099=1,"plant","plants"),IF(F1099&gt;0.01,"warranty","Error")))</f>
        <v/>
      </c>
      <c r="I1099" s="490">
        <f>IF(H1099="free",0,IF(H1099="credit",((E1099*(F1099))*G1099*-1),IF(F1099="Buy",(E1099*G1099),((E1099*(1-F1099))*G1099))))</f>
        <v>0</v>
      </c>
      <c r="J1099" s="490">
        <f>IF(H1099="warranty",0,(I1099*(_xlfn.SINGLE(SalesTaxPercentage))))</f>
        <v>0</v>
      </c>
      <c r="K1099" s="695">
        <f t="shared" ref="K1099" si="818">I1099+J1099</f>
        <v>0</v>
      </c>
      <c r="L1099" s="695"/>
      <c r="M1099" s="659" t="str">
        <f>IF(AND(G1099&gt;0,E1099=0),"WARNING - no PRICE inserted",IF(H1099="free"," FREE ~ no charge this plant",IF(H1099="credit",CONCATENATE(" -$",ROUND(K1099*(1-T2GDiscount)*-1,2)," CREDIT after discount"),IF(T2GDiscount=0,"",IF(G1099=0,"",IF(F1099="Buy",CONCATENATE(" $",ROUND(K1099*(1-T2GDiscount),2)," with ",(T2GDiscount*100),"% discount"),CONCATENATE(" $",ROUND(K1099*(1-T2GDiscount),2)," with ",((T2GDiscount*100+F1099*100)-(T2GDiscount*100*F1099)),IF(F1099&gt;0,"% discounts",IF(NoWarrantyDiscount&gt;0,"% discounts","% discount")))))))))</f>
        <v/>
      </c>
      <c r="N1099" s="660"/>
      <c r="O1099" s="233"/>
      <c r="P1099" s="233"/>
      <c r="Q1099" s="233"/>
      <c r="R1099" s="233"/>
      <c r="S1099" s="233"/>
      <c r="T1099" s="508">
        <f t="shared" si="776"/>
        <v>0</v>
      </c>
      <c r="U1099" s="225">
        <f>IF(NOT(ISNUMBER(G1099)), "", VLOOKUP(A1099,'Discount Lookup'!D:E,2,FALSE)*G1099)</f>
        <v>0</v>
      </c>
      <c r="V1099" s="225">
        <f>IF(NOT(ISNUMBER(G1099)), "", VLOOKUP(A1099,'Discount Lookup'!G:H,2,FALSE)*G1099)</f>
        <v>0</v>
      </c>
      <c r="W1099" s="508">
        <f t="shared" si="777"/>
        <v>0</v>
      </c>
      <c r="X1099" s="508">
        <f t="shared" si="778"/>
        <v>0</v>
      </c>
      <c r="Y1099" s="509" t="b">
        <f t="shared" si="779"/>
        <v>0</v>
      </c>
      <c r="Z1099" s="510">
        <f t="shared" si="780"/>
        <v>0</v>
      </c>
      <c r="AA1099" s="511"/>
      <c r="AB1099" s="511" t="str">
        <f t="shared" si="781"/>
        <v/>
      </c>
      <c r="AC1099" s="698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698"/>
      <c r="AE1099" s="631" t="str">
        <f t="shared" si="782"/>
        <v/>
      </c>
      <c r="AF1099" s="699" t="str">
        <f t="shared" si="783"/>
        <v/>
      </c>
      <c r="AG1099" s="699"/>
      <c r="AH1099" s="699"/>
      <c r="AI1099" s="512">
        <f>IF(H1099="credit",0,IF(AE1099="free",0,IF(AE1099="me",0,IF(G1099&gt;0,(VLOOKUP(A1099,'Discount Lookup'!J:K,2)*G1099),0))))</f>
        <v>0</v>
      </c>
      <c r="AJ1099" s="513" t="str">
        <f t="shared" ca="1" si="784"/>
        <v/>
      </c>
      <c r="AK1099" s="700" t="str">
        <f t="shared" si="785"/>
        <v/>
      </c>
      <c r="AL1099" s="700"/>
      <c r="AM1099" s="505" t="str">
        <f t="shared" si="786"/>
        <v/>
      </c>
      <c r="AN1099" s="506"/>
      <c r="AO1099" s="507"/>
      <c r="AP1099" s="507"/>
      <c r="AQ1099" s="507"/>
      <c r="AR1099" s="507"/>
      <c r="AS1099" s="507"/>
      <c r="AT1099" s="507"/>
      <c r="AU1099" s="507"/>
      <c r="AV1099" s="225"/>
      <c r="AW1099" s="508"/>
      <c r="AX1099" s="225"/>
      <c r="AY1099" s="225"/>
      <c r="AZ1099" s="225"/>
      <c r="BA1099" s="225"/>
      <c r="BB1099" s="225"/>
      <c r="BC1099" s="56"/>
      <c r="BD1099" s="56"/>
      <c r="BE1099" s="56"/>
      <c r="BF1099" s="107" t="str">
        <f t="shared" si="787"/>
        <v>https://www.google.com/search?tbm=isch&amp;q=4%20G5</v>
      </c>
      <c r="BG1099" s="107" t="str">
        <f t="shared" si="788"/>
        <v>1</v>
      </c>
      <c r="BH1099" s="254"/>
      <c r="BI1099" s="254"/>
    </row>
    <row r="1100" spans="1:61" customFormat="1" ht="15.75" x14ac:dyDescent="0.25">
      <c r="A1100" s="485">
        <v>4</v>
      </c>
      <c r="B1100" s="486" t="s">
        <v>291</v>
      </c>
      <c r="C1100" s="487" t="s">
        <v>794</v>
      </c>
      <c r="D1100" s="488" t="s">
        <v>300</v>
      </c>
      <c r="E1100" s="489">
        <v>81.95</v>
      </c>
      <c r="F1100" s="516" t="s">
        <v>293</v>
      </c>
      <c r="G1100" s="232">
        <v>0</v>
      </c>
      <c r="H1100" s="658" t="str">
        <f>IF(G1100=0,"",IF(F1100="Buy",IF(G1100=1,"plant","plants"),IF(F1100&gt;0.01,"warranty","Error")))</f>
        <v/>
      </c>
      <c r="I1100" s="490">
        <f>IF(H1100="free",0,IF(H1100="credit",((E1100*(F1100))*G1100*-1),IF(F1100="Buy",(E1100*G1100),((E1100*(1-F1100))*G1100))))</f>
        <v>0</v>
      </c>
      <c r="J1100" s="490">
        <f>IF(H1100="warranty",0,(I1100*(_xlfn.SINGLE(SalesTaxPercentage))))</f>
        <v>0</v>
      </c>
      <c r="K1100" s="695">
        <f t="shared" ref="K1100" si="819">I1100+J1100</f>
        <v>0</v>
      </c>
      <c r="L1100" s="695"/>
      <c r="M1100" s="659" t="str">
        <f>IF(AND(G1100&gt;0,E1100=0),"WARNING - no PRICE inserted",IF(H1100="free"," FREE ~ no charge this plant",IF(H1100="credit",CONCATENATE(" -$",ROUND(K1100*(1-T2GDiscount)*-1,2)," CREDIT after discount"),IF(T2GDiscount=0,"",IF(G1100=0,"",IF(F1100="Buy",CONCATENATE(" $",ROUND(K1100*(1-T2GDiscount),2)," with ",(T2GDiscount*100),"% discount"),CONCATENATE(" $",ROUND(K1100*(1-T2GDiscount),2)," with ",((T2GDiscount*100+F1100*100)-(T2GDiscount*100*F1100)),IF(F1100&gt;0,"% discounts",IF(NoWarrantyDiscount&gt;0,"% discounts","% discount")))))))))</f>
        <v/>
      </c>
      <c r="N1100" s="660"/>
      <c r="O1100" s="233"/>
      <c r="P1100" s="233"/>
      <c r="Q1100" s="233"/>
      <c r="R1100" s="233"/>
      <c r="S1100" s="233"/>
      <c r="T1100" s="508">
        <f t="shared" si="776"/>
        <v>0</v>
      </c>
      <c r="U1100" s="225">
        <f>IF(NOT(ISNUMBER(G1100)), "", VLOOKUP(A1100,'Discount Lookup'!D:E,2,FALSE)*G1100)</f>
        <v>0</v>
      </c>
      <c r="V1100" s="225">
        <f>IF(NOT(ISNUMBER(G1100)), "", VLOOKUP(A1100,'Discount Lookup'!G:H,2,FALSE)*G1100)</f>
        <v>0</v>
      </c>
      <c r="W1100" s="508">
        <f t="shared" si="777"/>
        <v>0</v>
      </c>
      <c r="X1100" s="508">
        <f t="shared" si="778"/>
        <v>0</v>
      </c>
      <c r="Y1100" s="509" t="b">
        <f t="shared" si="779"/>
        <v>0</v>
      </c>
      <c r="Z1100" s="510">
        <f t="shared" si="780"/>
        <v>0</v>
      </c>
      <c r="AA1100" s="511"/>
      <c r="AB1100" s="511" t="str">
        <f t="shared" si="781"/>
        <v/>
      </c>
      <c r="AC1100" s="698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698"/>
      <c r="AE1100" s="631" t="str">
        <f t="shared" si="782"/>
        <v/>
      </c>
      <c r="AF1100" s="699" t="str">
        <f t="shared" si="783"/>
        <v/>
      </c>
      <c r="AG1100" s="699"/>
      <c r="AH1100" s="699"/>
      <c r="AI1100" s="512">
        <f>IF(H1100="credit",0,IF(AE1100="free",0,IF(AE1100="me",0,IF(G1100&gt;0,(VLOOKUP(A1100,'Discount Lookup'!J:K,2)*G1100),0))))</f>
        <v>0</v>
      </c>
      <c r="AJ1100" s="513" t="str">
        <f t="shared" ca="1" si="784"/>
        <v/>
      </c>
      <c r="AK1100" s="700" t="str">
        <f t="shared" si="785"/>
        <v/>
      </c>
      <c r="AL1100" s="700"/>
      <c r="AM1100" s="505" t="str">
        <f t="shared" si="786"/>
        <v/>
      </c>
      <c r="AN1100" s="506"/>
      <c r="AO1100" s="507"/>
      <c r="AP1100" s="507"/>
      <c r="AQ1100" s="507"/>
      <c r="AR1100" s="507"/>
      <c r="AS1100" s="507"/>
      <c r="AT1100" s="507"/>
      <c r="AU1100" s="507"/>
      <c r="AV1100" s="225"/>
      <c r="AW1100" s="508"/>
      <c r="AX1100" s="225"/>
      <c r="AY1100" s="225"/>
      <c r="AZ1100" s="225"/>
      <c r="BA1100" s="225"/>
      <c r="BB1100" s="225"/>
      <c r="BC1100" s="56"/>
      <c r="BD1100" s="56"/>
      <c r="BE1100" s="56"/>
      <c r="BF1100" s="107" t="str">
        <f t="shared" si="787"/>
        <v>https://www.google.com/search?tbm=isch&amp;q=4%20G6</v>
      </c>
      <c r="BG1100" s="107" t="str">
        <f t="shared" si="788"/>
        <v>1</v>
      </c>
      <c r="BH1100" s="254"/>
      <c r="BI1100" s="254"/>
    </row>
    <row r="1101" spans="1:61" customFormat="1" ht="16.5" thickBot="1" x14ac:dyDescent="0.3">
      <c r="A1101" s="672" t="s">
        <v>5095</v>
      </c>
      <c r="B1101" s="491"/>
      <c r="C1101" s="675"/>
      <c r="D1101" s="491"/>
      <c r="E1101" s="491"/>
      <c r="F1101" s="492"/>
      <c r="G1101" s="493"/>
      <c r="H1101" s="491"/>
      <c r="I1101" s="234"/>
      <c r="J1101" s="234"/>
      <c r="K1101" s="494"/>
      <c r="L1101" s="543"/>
      <c r="M1101" s="561"/>
      <c r="N1101" s="495"/>
      <c r="O1101" s="496"/>
      <c r="P1101" s="497"/>
      <c r="Q1101" s="495"/>
      <c r="R1101" s="495"/>
      <c r="S1101" s="277"/>
      <c r="T1101" s="508">
        <f t="shared" si="776"/>
        <v>0</v>
      </c>
      <c r="U1101" s="225" t="str">
        <f>IF(NOT(ISNUMBER(G1101)), "", VLOOKUP(A1101,'Discount Lookup'!D:E,2,FALSE)*G1101)</f>
        <v/>
      </c>
      <c r="V1101" s="225" t="str">
        <f>IF(NOT(ISNUMBER(G1101)), "", VLOOKUP(A1101,'Discount Lookup'!G:H,2,FALSE)*G1101)</f>
        <v/>
      </c>
      <c r="W1101" s="508">
        <f t="shared" si="777"/>
        <v>0</v>
      </c>
      <c r="X1101" s="508">
        <f t="shared" si="778"/>
        <v>0</v>
      </c>
      <c r="Y1101" s="509" t="b">
        <f t="shared" si="779"/>
        <v>0</v>
      </c>
      <c r="Z1101" s="510">
        <f t="shared" si="780"/>
        <v>0</v>
      </c>
      <c r="AA1101" s="511"/>
      <c r="AB1101" s="511" t="str">
        <f t="shared" si="781"/>
        <v/>
      </c>
      <c r="AC1101" s="698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698"/>
      <c r="AE1101" s="631" t="str">
        <f t="shared" si="782"/>
        <v/>
      </c>
      <c r="AF1101" s="699" t="str">
        <f t="shared" si="783"/>
        <v/>
      </c>
      <c r="AG1101" s="699"/>
      <c r="AH1101" s="699"/>
      <c r="AI1101" s="512">
        <f>IF(H1101="credit",0,IF(AE1101="free",0,IF(AE1101="me",0,IF(G1101&gt;0,(VLOOKUP(A1101,'Discount Lookup'!J:K,2)*G1101),0))))</f>
        <v>0</v>
      </c>
      <c r="AJ1101" s="513" t="str">
        <f t="shared" ca="1" si="784"/>
        <v/>
      </c>
      <c r="AK1101" s="700" t="str">
        <f t="shared" si="785"/>
        <v/>
      </c>
      <c r="AL1101" s="700"/>
      <c r="AM1101" s="505" t="str">
        <f t="shared" si="786"/>
        <v/>
      </c>
      <c r="AN1101" s="506"/>
      <c r="AO1101" s="507"/>
      <c r="AP1101" s="507"/>
      <c r="AQ1101" s="507"/>
      <c r="AR1101" s="507"/>
      <c r="AS1101" s="507"/>
      <c r="AT1101" s="507"/>
      <c r="AU1101" s="507"/>
      <c r="AV1101" s="225"/>
      <c r="AW1101" s="508"/>
      <c r="AX1101" s="225"/>
      <c r="AY1101" s="225"/>
      <c r="AZ1101" s="225"/>
      <c r="BA1101" s="225"/>
      <c r="BB1101" s="225"/>
      <c r="BC1101" s="56"/>
      <c r="BD1101" s="56"/>
      <c r="BE1101" s="56"/>
      <c r="BF1101" s="107" t="str">
        <f t="shared" si="787"/>
        <v>https://www.google.com/search?tbm=isch&amp;q=moist%20sites%F0%9F%92%A7OK%2C%20Dwarf%20Black%20Mondo%20has%20very%20black%20foliage.%20Good%20grass%20substitute%2C%20as%20it%20tolerates%20foot%20traffic.%20Purple%20winter%20berries%20</v>
      </c>
      <c r="BG1101" s="107" t="str">
        <f t="shared" si="788"/>
        <v>m</v>
      </c>
      <c r="BH1101" s="254"/>
      <c r="BI1101" s="254"/>
    </row>
    <row r="1102" spans="1:61" customFormat="1" ht="18" x14ac:dyDescent="0.25">
      <c r="A1102" s="521" t="s">
        <v>795</v>
      </c>
      <c r="B1102" s="477"/>
      <c r="C1102" s="674"/>
      <c r="D1102" s="478" t="s">
        <v>796</v>
      </c>
      <c r="E1102" s="479"/>
      <c r="F1102" s="479"/>
      <c r="G1102" s="479"/>
      <c r="H1102" s="582" t="s">
        <v>356</v>
      </c>
      <c r="I1102" s="480" t="s">
        <v>2109</v>
      </c>
      <c r="J1102" s="479"/>
      <c r="K1102" s="479"/>
      <c r="L1102" s="560"/>
      <c r="M1102" s="666" t="s">
        <v>4966</v>
      </c>
      <c r="N1102" s="680" t="str">
        <f>IF(AND(ISTEXT($A1102), ISERROR($A1102+0)), HYPERLINK($BF1102, "Images"), "")</f>
        <v>Images</v>
      </c>
      <c r="O1102" s="662" t="s">
        <v>4967</v>
      </c>
      <c r="P1102" s="482"/>
      <c r="Q1102" s="483"/>
      <c r="R1102" s="483"/>
      <c r="S1102" s="484"/>
      <c r="T1102" s="508">
        <f t="shared" ref="T1102:T1165" si="820">E1102*G1102</f>
        <v>0</v>
      </c>
      <c r="U1102" s="225" t="str">
        <f>IF(NOT(ISNUMBER(G1102)), "", VLOOKUP(A1102,'Discount Lookup'!D:E,2,FALSE)*G1102)</f>
        <v/>
      </c>
      <c r="V1102" s="225" t="str">
        <f>IF(NOT(ISNUMBER(G1102)), "", VLOOKUP(A1102,'Discount Lookup'!G:H,2,FALSE)*G1102)</f>
        <v/>
      </c>
      <c r="W1102" s="508">
        <f t="shared" ref="W1102:W1165" si="821">IF(H1102="credit",0,E1102*(SalesTaxPercentage)*G1102)</f>
        <v>0</v>
      </c>
      <c r="X1102" s="508" t="str">
        <f t="shared" ref="X1102:X1165" si="822">I1102</f>
        <v>Green foliage</v>
      </c>
      <c r="Y1102" s="509" t="b">
        <f t="shared" ref="Y1102:Y1165" si="823">IF(AE1102="T2G",0,IF(H1102="credit",0,IF(G1102&gt;0,IF(AE1102="me","",G1102))))</f>
        <v>0</v>
      </c>
      <c r="Z1102" s="510">
        <f t="shared" ref="Z1102:Z1165" si="824">IF(H1102="credit",G1102,0)</f>
        <v>0</v>
      </c>
      <c r="AA1102" s="511"/>
      <c r="AB1102" s="511" t="str">
        <f t="shared" ref="AB1102:AB1165" si="825">IF(AE1102="T2G","by Trees2Go",IF(H1102="credit","CREDIT only ~",IF(AND(K1102="",AE1102=OR(PlanterYesMe="No",PlanterYesMe="N",PlanterYesMe="me")),"not THIS line⇨",IF(AND(K1102="images",AE1102="me"),"not THIS line⇨",IF(H1102="credit","",IF(G1102=0,"",IF(AE1102="me","",IF(OR(PlanterYesMe="No",PlanterYesMe="N",PlanterYesMe="me"),"",IF(AE1102="free","warranty",IF(OR(PlanterYesMe="yes",PlanterYesMe="y"),"Edison install:","to install:"))))))))))</f>
        <v/>
      </c>
      <c r="AC1102" s="698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698"/>
      <c r="AE1102" s="631" t="str">
        <f t="shared" ref="AE1102:AE1165" si="826">IF(H1102="credit","",IF(G1102=0,"",IF(OR(PlanterYesMe="No",PlanterYesMe="N",PlanterYesMe="me"),"me",IF(H1102="warranty","free",IF(OR(PlanterYesMe="yes",PlanterYesMe="y"),"ELP","")))))</f>
        <v/>
      </c>
      <c r="AF1102" s="699" t="str">
        <f t="shared" ref="AF1102:AF1165" si="827">IF(OR(PlanterYesMe="No",PlanterYesMe="N",PlanterYesMe="me"),"",IF(H1102="credit","",IF(G1102&gt;0,(CONCATENATE((G1102)," quantity, ",(A1102)," ",B1102)),"")))</f>
        <v/>
      </c>
      <c r="AG1102" s="699"/>
      <c r="AH1102" s="699"/>
      <c r="AI1102" s="512">
        <f>IF(H1102="credit",0,IF(AE1102="free",0,IF(AE1102="me",0,IF(G1102&gt;0,(VLOOKUP(A1102,'Discount Lookup'!J:K,2)*G1102),0))))</f>
        <v>0</v>
      </c>
      <c r="AJ1102" s="513" t="str">
        <f t="shared" ref="AJ1102:AJ1165" ca="1" si="828">IF(AND(ISREF(H1102),H1102="credit"),"",IF(AND(AND(OFFSET(G1102,0,0)=0,OFFSET(G1102,1,0)&gt;0,ISNUMBER(OFFSET(AC1102,1,0)),OFFSET(AC1102,1,0)&gt;0),OR(PlanterYesMe="yes",PlanterYesMe="y")),"T2G+ELP=",IF(AND(OFFSET(G1102,0,0)=0,OFFSET(G1102,1,0)&gt;0,ISNUMBER(OFFSET(AC1102,1,0)),OFFSET(AC1102,1,0)&gt;0),"if T2G+ELP=",IF(AND(OFFSET(G1102,0,0)=0,OFFSET(G1102,1,0)&gt;0),"T2G Subtotal",IF(H1102="credit","",IF(G1102=0,"",IF(AE1102="free",(K1102*(1-T2GDiscount)),IF(OR(PlanterYesMe="No",PlanterYesMe="N",PlanterYesMe="me"),(K1102*(1-T2GDiscount)),IF(OR(AE1102="me",AE1102="T2G"),(K1102*(1-T2GDiscount)),(K1102*(1-T2GDiscount))+AC1102)))))))))</f>
        <v/>
      </c>
      <c r="AK1102" s="700" t="str">
        <f t="shared" ref="AK1102:AK1165" si="829">IF(H1102="credit","",IF(G1102=0,"",IF(OR(AE1102="me",AE1102="T2G"),"  delivery-only",IF(OR(PlanterYesMe="No",PlanterYesMe="N",PlanterYesMe="me"),"  delivery-only",CONCATENATE(" $",ROUND(AJ1102/G1102,2)," each")))))</f>
        <v/>
      </c>
      <c r="AL1102" s="700"/>
      <c r="AM1102" s="505" t="str">
        <f t="shared" ref="AM1102:AM1165" si="830">IF(H1102="credit","",IF(AE1102="free","      ~ discounts included, no tax or planting fee applies ~",IF(G1102=0,"",IF(OR(PlanterYesMe="No",PlanterYesMe="N",PlanterYesMe="me"),CONCATENATE(" $",ROUND(AJ1102/G1102,2)," per plant, with tax &amp; discount"),IF(OR(AE1102="me",AE1102="T2G"),CONCATENATE(" $",ROUND(AJ1102/G1102,2)," per plant, with tax &amp; discount"),CONCATENATE("= $",ROUND((K1102*(1-T2GDiscount))/G1102,2)," per plant + $",AC1102/G1102,(" per planting      ~ includes tax &amp; discounts ~")))))))</f>
        <v/>
      </c>
      <c r="AN1102" s="506"/>
      <c r="AO1102" s="507"/>
      <c r="AP1102" s="507"/>
      <c r="AQ1102" s="507"/>
      <c r="AR1102" s="507"/>
      <c r="AS1102" s="507"/>
      <c r="AT1102" s="507"/>
      <c r="AU1102" s="507"/>
      <c r="AV1102" s="225"/>
      <c r="AW1102" s="508"/>
      <c r="AX1102" s="225"/>
      <c r="AY1102" s="225"/>
      <c r="AZ1102" s="225"/>
      <c r="BA1102" s="225"/>
      <c r="BB1102" s="225"/>
      <c r="BC1102" s="56"/>
      <c r="BD1102" s="56"/>
      <c r="BE1102" s="56"/>
      <c r="BF1102" s="107" t="str">
        <f t="shared" ref="BF1102:BF1165" si="831">"https://www.google.com/search?tbm=isch&amp;q=" &amp; _xlfn.ENCODEURL($A1102 &amp; " " &amp; $D1102)</f>
        <v>https://www.google.com/search?tbm=isch&amp;q=Dwarf%20Burford%20Holly%20Ilex%20cornuta%20%27Burfordii%20Nana%27</v>
      </c>
      <c r="BG1102" s="107" t="str">
        <f t="shared" ref="BG1102:BG1165" si="832">IF(ISTEXT(A1102),LEFT(A1102,1),BG1101)</f>
        <v>D</v>
      </c>
      <c r="BH1102" s="254"/>
      <c r="BI1102" s="254"/>
    </row>
    <row r="1103" spans="1:61" customFormat="1" ht="15.75" x14ac:dyDescent="0.25">
      <c r="A1103" s="485">
        <v>3</v>
      </c>
      <c r="B1103" s="486" t="s">
        <v>291</v>
      </c>
      <c r="C1103" s="487" t="s">
        <v>2374</v>
      </c>
      <c r="D1103" s="488" t="s">
        <v>297</v>
      </c>
      <c r="E1103" s="489">
        <v>22.95</v>
      </c>
      <c r="F1103" s="516" t="s">
        <v>293</v>
      </c>
      <c r="G1103" s="232">
        <v>0</v>
      </c>
      <c r="H1103" s="658" t="str">
        <f t="shared" ref="H1103:H1110" si="833">IF(G1103=0,"",IF(F1103="Buy",IF(G1103=1,"plant","plants"),IF(F1103&gt;0.01,"warranty","Error")))</f>
        <v/>
      </c>
      <c r="I1103" s="490">
        <f t="shared" ref="I1103:I1110" si="834">IF(H1103="free",0,IF(H1103="credit",((E1103*(F1103))*G1103*-1),IF(F1103="Buy",(E1103*G1103),((E1103*(1-F1103))*G1103))))</f>
        <v>0</v>
      </c>
      <c r="J1103" s="490">
        <f t="shared" ref="J1103:J1110" si="835">IF(H1103="warranty",0,(I1103*(_xlfn.SINGLE(SalesTaxPercentage))))</f>
        <v>0</v>
      </c>
      <c r="K1103" s="695">
        <f t="shared" ref="K1103" si="836">I1103+J1103</f>
        <v>0</v>
      </c>
      <c r="L1103" s="695"/>
      <c r="M1103" s="659" t="str">
        <f t="shared" ref="M1103:M1110" si="837">IF(AND(G1103&gt;0,E1103=0),"WARNING - no PRICE inserted",IF(H1103="free"," FREE ~ no charge this plant",IF(H1103="credit",CONCATENATE(" -$",ROUND(K1103*(1-T2GDiscount)*-1,2)," CREDIT after discount"),IF(T2GDiscount=0,"",IF(G1103=0,"",IF(F1103="Buy",CONCATENATE(" $",ROUND(K1103*(1-T2GDiscount),2)," with ",(T2GDiscount*100),"% discount"),CONCATENATE(" $",ROUND(K1103*(1-T2GDiscount),2)," with ",((T2GDiscount*100+F1103*100)-(T2GDiscount*100*F1103)),IF(F1103&gt;0,"% discounts",IF(NoWarrantyDiscount&gt;0,"% discounts","% discount")))))))))</f>
        <v/>
      </c>
      <c r="N1103" s="660"/>
      <c r="O1103" s="233"/>
      <c r="P1103" s="233"/>
      <c r="Q1103" s="233"/>
      <c r="R1103" s="233"/>
      <c r="S1103" s="233"/>
      <c r="T1103" s="508">
        <f t="shared" si="820"/>
        <v>0</v>
      </c>
      <c r="U1103" s="225">
        <f>IF(NOT(ISNUMBER(G1103)), "", VLOOKUP(A1103,'Discount Lookup'!D:E,2,FALSE)*G1103)</f>
        <v>0</v>
      </c>
      <c r="V1103" s="225">
        <f>IF(NOT(ISNUMBER(G1103)), "", VLOOKUP(A1103,'Discount Lookup'!G:H,2,FALSE)*G1103)</f>
        <v>0</v>
      </c>
      <c r="W1103" s="508">
        <f t="shared" si="821"/>
        <v>0</v>
      </c>
      <c r="X1103" s="508">
        <f t="shared" si="822"/>
        <v>0</v>
      </c>
      <c r="Y1103" s="509" t="b">
        <f t="shared" si="823"/>
        <v>0</v>
      </c>
      <c r="Z1103" s="510">
        <f t="shared" si="824"/>
        <v>0</v>
      </c>
      <c r="AA1103" s="511"/>
      <c r="AB1103" s="511" t="str">
        <f t="shared" si="825"/>
        <v/>
      </c>
      <c r="AC1103" s="698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698"/>
      <c r="AE1103" s="631" t="str">
        <f t="shared" si="826"/>
        <v/>
      </c>
      <c r="AF1103" s="699" t="str">
        <f t="shared" si="827"/>
        <v/>
      </c>
      <c r="AG1103" s="699"/>
      <c r="AH1103" s="699"/>
      <c r="AI1103" s="512">
        <f>IF(H1103="credit",0,IF(AE1103="free",0,IF(AE1103="me",0,IF(G1103&gt;0,(VLOOKUP(A1103,'Discount Lookup'!J:K,2)*G1103),0))))</f>
        <v>0</v>
      </c>
      <c r="AJ1103" s="513" t="str">
        <f t="shared" ca="1" si="828"/>
        <v/>
      </c>
      <c r="AK1103" s="700" t="str">
        <f t="shared" si="829"/>
        <v/>
      </c>
      <c r="AL1103" s="700"/>
      <c r="AM1103" s="505" t="str">
        <f t="shared" si="830"/>
        <v/>
      </c>
      <c r="AN1103" s="506"/>
      <c r="AO1103" s="507"/>
      <c r="AP1103" s="507"/>
      <c r="AQ1103" s="507"/>
      <c r="AR1103" s="507"/>
      <c r="AS1103" s="507"/>
      <c r="AT1103" s="507"/>
      <c r="AU1103" s="507"/>
      <c r="AV1103" s="225"/>
      <c r="AW1103" s="508"/>
      <c r="AX1103" s="225"/>
      <c r="AY1103" s="225"/>
      <c r="AZ1103" s="225"/>
      <c r="BA1103" s="225"/>
      <c r="BB1103" s="225"/>
      <c r="BC1103" s="56"/>
      <c r="BD1103" s="56"/>
      <c r="BE1103" s="56"/>
      <c r="BF1103" s="107" t="str">
        <f t="shared" si="831"/>
        <v>https://www.google.com/search?tbm=isch&amp;q=3%20G3</v>
      </c>
      <c r="BG1103" s="107" t="str">
        <f t="shared" si="832"/>
        <v>D</v>
      </c>
      <c r="BH1103" s="254"/>
      <c r="BI1103" s="254"/>
    </row>
    <row r="1104" spans="1:61" customFormat="1" ht="15.75" x14ac:dyDescent="0.25">
      <c r="A1104" s="485">
        <v>3</v>
      </c>
      <c r="B1104" s="486" t="s">
        <v>291</v>
      </c>
      <c r="C1104" s="487" t="s">
        <v>445</v>
      </c>
      <c r="D1104" s="488" t="s">
        <v>312</v>
      </c>
      <c r="E1104" s="489">
        <v>24.95</v>
      </c>
      <c r="F1104" s="516" t="s">
        <v>293</v>
      </c>
      <c r="G1104" s="232">
        <v>0</v>
      </c>
      <c r="H1104" s="658" t="str">
        <f t="shared" si="833"/>
        <v/>
      </c>
      <c r="I1104" s="490">
        <f t="shared" si="834"/>
        <v>0</v>
      </c>
      <c r="J1104" s="490">
        <f t="shared" si="835"/>
        <v>0</v>
      </c>
      <c r="K1104" s="695">
        <f t="shared" ref="K1104" si="838">I1104+J1104</f>
        <v>0</v>
      </c>
      <c r="L1104" s="695"/>
      <c r="M1104" s="659" t="str">
        <f t="shared" si="837"/>
        <v/>
      </c>
      <c r="N1104" s="660"/>
      <c r="O1104" s="233"/>
      <c r="P1104" s="233"/>
      <c r="Q1104" s="233"/>
      <c r="R1104" s="233"/>
      <c r="S1104" s="233"/>
      <c r="T1104" s="508">
        <f t="shared" si="820"/>
        <v>0</v>
      </c>
      <c r="U1104" s="225">
        <f>IF(NOT(ISNUMBER(G1104)), "", VLOOKUP(A1104,'Discount Lookup'!D:E,2,FALSE)*G1104)</f>
        <v>0</v>
      </c>
      <c r="V1104" s="225">
        <f>IF(NOT(ISNUMBER(G1104)), "", VLOOKUP(A1104,'Discount Lookup'!G:H,2,FALSE)*G1104)</f>
        <v>0</v>
      </c>
      <c r="W1104" s="508">
        <f t="shared" si="821"/>
        <v>0</v>
      </c>
      <c r="X1104" s="508">
        <f t="shared" si="822"/>
        <v>0</v>
      </c>
      <c r="Y1104" s="509" t="b">
        <f t="shared" si="823"/>
        <v>0</v>
      </c>
      <c r="Z1104" s="510">
        <f t="shared" si="824"/>
        <v>0</v>
      </c>
      <c r="AA1104" s="511"/>
      <c r="AB1104" s="511" t="str">
        <f t="shared" si="825"/>
        <v/>
      </c>
      <c r="AC1104" s="698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698"/>
      <c r="AE1104" s="631" t="str">
        <f t="shared" si="826"/>
        <v/>
      </c>
      <c r="AF1104" s="699" t="str">
        <f t="shared" si="827"/>
        <v/>
      </c>
      <c r="AG1104" s="699"/>
      <c r="AH1104" s="699"/>
      <c r="AI1104" s="512">
        <f>IF(H1104="credit",0,IF(AE1104="free",0,IF(AE1104="me",0,IF(G1104&gt;0,(VLOOKUP(A1104,'Discount Lookup'!J:K,2)*G1104),0))))</f>
        <v>0</v>
      </c>
      <c r="AJ1104" s="513" t="str">
        <f t="shared" ca="1" si="828"/>
        <v/>
      </c>
      <c r="AK1104" s="700" t="str">
        <f t="shared" si="829"/>
        <v/>
      </c>
      <c r="AL1104" s="700"/>
      <c r="AM1104" s="505" t="str">
        <f t="shared" si="830"/>
        <v/>
      </c>
      <c r="AN1104" s="506"/>
      <c r="AO1104" s="507"/>
      <c r="AP1104" s="507"/>
      <c r="AQ1104" s="507"/>
      <c r="AR1104" s="507"/>
      <c r="AS1104" s="507"/>
      <c r="AT1104" s="507"/>
      <c r="AU1104" s="507"/>
      <c r="AV1104" s="225"/>
      <c r="AW1104" s="508"/>
      <c r="AX1104" s="225"/>
      <c r="AY1104" s="225"/>
      <c r="AZ1104" s="225"/>
      <c r="BA1104" s="225"/>
      <c r="BB1104" s="225"/>
      <c r="BC1104" s="56"/>
      <c r="BD1104" s="56"/>
      <c r="BE1104" s="56"/>
      <c r="BF1104" s="107" t="str">
        <f t="shared" si="831"/>
        <v>https://www.google.com/search?tbm=isch&amp;q=3%20G2</v>
      </c>
      <c r="BG1104" s="107" t="str">
        <f t="shared" si="832"/>
        <v>D</v>
      </c>
      <c r="BH1104" s="254"/>
      <c r="BI1104" s="254"/>
    </row>
    <row r="1105" spans="1:61" customFormat="1" ht="15.75" x14ac:dyDescent="0.25">
      <c r="A1105" s="485">
        <v>3</v>
      </c>
      <c r="B1105" s="486" t="s">
        <v>291</v>
      </c>
      <c r="C1105" s="487" t="s">
        <v>4505</v>
      </c>
      <c r="D1105" s="488" t="s">
        <v>300</v>
      </c>
      <c r="E1105" s="489">
        <v>24.95</v>
      </c>
      <c r="F1105" s="516" t="s">
        <v>293</v>
      </c>
      <c r="G1105" s="232">
        <v>0</v>
      </c>
      <c r="H1105" s="658" t="str">
        <f t="shared" si="833"/>
        <v/>
      </c>
      <c r="I1105" s="490">
        <f t="shared" si="834"/>
        <v>0</v>
      </c>
      <c r="J1105" s="490">
        <f t="shared" si="835"/>
        <v>0</v>
      </c>
      <c r="K1105" s="695">
        <f t="shared" ref="K1105" si="839">I1105+J1105</f>
        <v>0</v>
      </c>
      <c r="L1105" s="695"/>
      <c r="M1105" s="659" t="str">
        <f t="shared" si="837"/>
        <v/>
      </c>
      <c r="N1105" s="660"/>
      <c r="O1105" s="233"/>
      <c r="P1105" s="233"/>
      <c r="Q1105" s="233"/>
      <c r="R1105" s="233"/>
      <c r="S1105" s="233"/>
      <c r="T1105" s="508">
        <f t="shared" si="820"/>
        <v>0</v>
      </c>
      <c r="U1105" s="225">
        <f>IF(NOT(ISNUMBER(G1105)), "", VLOOKUP(A1105,'Discount Lookup'!D:E,2,FALSE)*G1105)</f>
        <v>0</v>
      </c>
      <c r="V1105" s="225">
        <f>IF(NOT(ISNUMBER(G1105)), "", VLOOKUP(A1105,'Discount Lookup'!G:H,2,FALSE)*G1105)</f>
        <v>0</v>
      </c>
      <c r="W1105" s="508">
        <f t="shared" si="821"/>
        <v>0</v>
      </c>
      <c r="X1105" s="508">
        <f t="shared" si="822"/>
        <v>0</v>
      </c>
      <c r="Y1105" s="509" t="b">
        <f t="shared" si="823"/>
        <v>0</v>
      </c>
      <c r="Z1105" s="510">
        <f t="shared" si="824"/>
        <v>0</v>
      </c>
      <c r="AA1105" s="511"/>
      <c r="AB1105" s="511" t="str">
        <f t="shared" si="825"/>
        <v/>
      </c>
      <c r="AC1105" s="698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698"/>
      <c r="AE1105" s="631" t="str">
        <f t="shared" si="826"/>
        <v/>
      </c>
      <c r="AF1105" s="699" t="str">
        <f t="shared" si="827"/>
        <v/>
      </c>
      <c r="AG1105" s="699"/>
      <c r="AH1105" s="699"/>
      <c r="AI1105" s="512">
        <f>IF(H1105="credit",0,IF(AE1105="free",0,IF(AE1105="me",0,IF(G1105&gt;0,(VLOOKUP(A1105,'Discount Lookup'!J:K,2)*G1105),0))))</f>
        <v>0</v>
      </c>
      <c r="AJ1105" s="513" t="str">
        <f t="shared" ca="1" si="828"/>
        <v/>
      </c>
      <c r="AK1105" s="700" t="str">
        <f t="shared" si="829"/>
        <v/>
      </c>
      <c r="AL1105" s="700"/>
      <c r="AM1105" s="505" t="str">
        <f t="shared" si="830"/>
        <v/>
      </c>
      <c r="AN1105" s="506"/>
      <c r="AO1105" s="507"/>
      <c r="AP1105" s="507"/>
      <c r="AQ1105" s="507"/>
      <c r="AR1105" s="507"/>
      <c r="AS1105" s="507"/>
      <c r="AT1105" s="507"/>
      <c r="AU1105" s="507"/>
      <c r="AV1105" s="225"/>
      <c r="AW1105" s="508"/>
      <c r="AX1105" s="225"/>
      <c r="AY1105" s="225"/>
      <c r="AZ1105" s="225"/>
      <c r="BA1105" s="225"/>
      <c r="BB1105" s="225"/>
      <c r="BC1105" s="56"/>
      <c r="BD1105" s="56"/>
      <c r="BE1105" s="56"/>
      <c r="BF1105" s="107" t="str">
        <f t="shared" si="831"/>
        <v>https://www.google.com/search?tbm=isch&amp;q=3%20G6</v>
      </c>
      <c r="BG1105" s="107" t="str">
        <f t="shared" si="832"/>
        <v>D</v>
      </c>
      <c r="BH1105" s="254"/>
      <c r="BI1105" s="254"/>
    </row>
    <row r="1106" spans="1:61" customFormat="1" ht="15.75" x14ac:dyDescent="0.25">
      <c r="A1106" s="485">
        <v>3</v>
      </c>
      <c r="B1106" s="486" t="s">
        <v>291</v>
      </c>
      <c r="C1106" s="487" t="s">
        <v>9</v>
      </c>
      <c r="D1106" s="488" t="s">
        <v>298</v>
      </c>
      <c r="E1106" s="489">
        <v>25.95</v>
      </c>
      <c r="F1106" s="516" t="s">
        <v>293</v>
      </c>
      <c r="G1106" s="232">
        <v>0</v>
      </c>
      <c r="H1106" s="658" t="str">
        <f t="shared" si="833"/>
        <v/>
      </c>
      <c r="I1106" s="490">
        <f t="shared" si="834"/>
        <v>0</v>
      </c>
      <c r="J1106" s="490">
        <f t="shared" si="835"/>
        <v>0</v>
      </c>
      <c r="K1106" s="695">
        <f t="shared" ref="K1106" si="840">I1106+J1106</f>
        <v>0</v>
      </c>
      <c r="L1106" s="695"/>
      <c r="M1106" s="659" t="str">
        <f t="shared" si="837"/>
        <v/>
      </c>
      <c r="N1106" s="660"/>
      <c r="O1106" s="233"/>
      <c r="P1106" s="233"/>
      <c r="Q1106" s="233"/>
      <c r="R1106" s="233"/>
      <c r="S1106" s="233"/>
      <c r="T1106" s="508">
        <f t="shared" si="820"/>
        <v>0</v>
      </c>
      <c r="U1106" s="225">
        <f>IF(NOT(ISNUMBER(G1106)), "", VLOOKUP(A1106,'Discount Lookup'!D:E,2,FALSE)*G1106)</f>
        <v>0</v>
      </c>
      <c r="V1106" s="225">
        <f>IF(NOT(ISNUMBER(G1106)), "", VLOOKUP(A1106,'Discount Lookup'!G:H,2,FALSE)*G1106)</f>
        <v>0</v>
      </c>
      <c r="W1106" s="508">
        <f t="shared" si="821"/>
        <v>0</v>
      </c>
      <c r="X1106" s="508">
        <f t="shared" si="822"/>
        <v>0</v>
      </c>
      <c r="Y1106" s="509" t="b">
        <f t="shared" si="823"/>
        <v>0</v>
      </c>
      <c r="Z1106" s="510">
        <f t="shared" si="824"/>
        <v>0</v>
      </c>
      <c r="AA1106" s="511"/>
      <c r="AB1106" s="511" t="str">
        <f t="shared" si="825"/>
        <v/>
      </c>
      <c r="AC1106" s="698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698"/>
      <c r="AE1106" s="631" t="str">
        <f t="shared" si="826"/>
        <v/>
      </c>
      <c r="AF1106" s="699" t="str">
        <f t="shared" si="827"/>
        <v/>
      </c>
      <c r="AG1106" s="699"/>
      <c r="AH1106" s="699"/>
      <c r="AI1106" s="512">
        <f>IF(H1106="credit",0,IF(AE1106="free",0,IF(AE1106="me",0,IF(G1106&gt;0,(VLOOKUP(A1106,'Discount Lookup'!J:K,2)*G1106),0))))</f>
        <v>0</v>
      </c>
      <c r="AJ1106" s="513" t="str">
        <f t="shared" ca="1" si="828"/>
        <v/>
      </c>
      <c r="AK1106" s="700" t="str">
        <f t="shared" si="829"/>
        <v/>
      </c>
      <c r="AL1106" s="700"/>
      <c r="AM1106" s="505" t="str">
        <f t="shared" si="830"/>
        <v/>
      </c>
      <c r="AN1106" s="506"/>
      <c r="AO1106" s="507"/>
      <c r="AP1106" s="507"/>
      <c r="AQ1106" s="507"/>
      <c r="AR1106" s="507"/>
      <c r="AS1106" s="507"/>
      <c r="AT1106" s="507"/>
      <c r="AU1106" s="507"/>
      <c r="AV1106" s="225"/>
      <c r="AW1106" s="508"/>
      <c r="AX1106" s="225"/>
      <c r="AY1106" s="225"/>
      <c r="AZ1106" s="225"/>
      <c r="BA1106" s="225"/>
      <c r="BB1106" s="225"/>
      <c r="BC1106" s="56"/>
      <c r="BD1106" s="56"/>
      <c r="BE1106" s="56"/>
      <c r="BF1106" s="107" t="str">
        <f t="shared" si="831"/>
        <v>https://www.google.com/search?tbm=isch&amp;q=3%20G1</v>
      </c>
      <c r="BG1106" s="107" t="str">
        <f t="shared" si="832"/>
        <v>D</v>
      </c>
      <c r="BH1106" s="254"/>
      <c r="BI1106" s="254"/>
    </row>
    <row r="1107" spans="1:61" customFormat="1" ht="15.75" x14ac:dyDescent="0.25">
      <c r="A1107" s="485">
        <v>3</v>
      </c>
      <c r="B1107" s="486" t="s">
        <v>291</v>
      </c>
      <c r="C1107" s="487" t="s">
        <v>4666</v>
      </c>
      <c r="D1107" s="488" t="s">
        <v>299</v>
      </c>
      <c r="E1107" s="489">
        <v>27.95</v>
      </c>
      <c r="F1107" s="516" t="s">
        <v>293</v>
      </c>
      <c r="G1107" s="232">
        <v>0</v>
      </c>
      <c r="H1107" s="658" t="str">
        <f t="shared" si="833"/>
        <v/>
      </c>
      <c r="I1107" s="490">
        <f t="shared" si="834"/>
        <v>0</v>
      </c>
      <c r="J1107" s="490">
        <f t="shared" si="835"/>
        <v>0</v>
      </c>
      <c r="K1107" s="695">
        <f t="shared" ref="K1107" si="841">I1107+J1107</f>
        <v>0</v>
      </c>
      <c r="L1107" s="695"/>
      <c r="M1107" s="659" t="str">
        <f t="shared" si="837"/>
        <v/>
      </c>
      <c r="N1107" s="660"/>
      <c r="O1107" s="233"/>
      <c r="P1107" s="233"/>
      <c r="Q1107" s="233"/>
      <c r="R1107" s="233"/>
      <c r="S1107" s="233"/>
      <c r="T1107" s="508">
        <f t="shared" si="820"/>
        <v>0</v>
      </c>
      <c r="U1107" s="225">
        <f>IF(NOT(ISNUMBER(G1107)), "", VLOOKUP(A1107,'Discount Lookup'!D:E,2,FALSE)*G1107)</f>
        <v>0</v>
      </c>
      <c r="V1107" s="225">
        <f>IF(NOT(ISNUMBER(G1107)), "", VLOOKUP(A1107,'Discount Lookup'!G:H,2,FALSE)*G1107)</f>
        <v>0</v>
      </c>
      <c r="W1107" s="508">
        <f t="shared" si="821"/>
        <v>0</v>
      </c>
      <c r="X1107" s="508">
        <f t="shared" si="822"/>
        <v>0</v>
      </c>
      <c r="Y1107" s="509" t="b">
        <f t="shared" si="823"/>
        <v>0</v>
      </c>
      <c r="Z1107" s="510">
        <f t="shared" si="824"/>
        <v>0</v>
      </c>
      <c r="AA1107" s="511"/>
      <c r="AB1107" s="511" t="str">
        <f t="shared" si="825"/>
        <v/>
      </c>
      <c r="AC1107" s="698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698"/>
      <c r="AE1107" s="631" t="str">
        <f t="shared" si="826"/>
        <v/>
      </c>
      <c r="AF1107" s="699" t="str">
        <f t="shared" si="827"/>
        <v/>
      </c>
      <c r="AG1107" s="699"/>
      <c r="AH1107" s="699"/>
      <c r="AI1107" s="512">
        <f>IF(H1107="credit",0,IF(AE1107="free",0,IF(AE1107="me",0,IF(G1107&gt;0,(VLOOKUP(A1107,'Discount Lookup'!J:K,2)*G1107),0))))</f>
        <v>0</v>
      </c>
      <c r="AJ1107" s="513" t="str">
        <f t="shared" ca="1" si="828"/>
        <v/>
      </c>
      <c r="AK1107" s="700" t="str">
        <f t="shared" si="829"/>
        <v/>
      </c>
      <c r="AL1107" s="700"/>
      <c r="AM1107" s="505" t="str">
        <f t="shared" si="830"/>
        <v/>
      </c>
      <c r="AN1107" s="506"/>
      <c r="AO1107" s="507"/>
      <c r="AP1107" s="507"/>
      <c r="AQ1107" s="507"/>
      <c r="AR1107" s="507"/>
      <c r="AS1107" s="507"/>
      <c r="AT1107" s="507"/>
      <c r="AU1107" s="507"/>
      <c r="AV1107" s="225"/>
      <c r="AW1107" s="508"/>
      <c r="AX1107" s="225"/>
      <c r="AY1107" s="225"/>
      <c r="AZ1107" s="225"/>
      <c r="BA1107" s="225"/>
      <c r="BB1107" s="225"/>
      <c r="BC1107" s="56"/>
      <c r="BD1107" s="56"/>
      <c r="BE1107" s="56"/>
      <c r="BF1107" s="107" t="str">
        <f t="shared" si="831"/>
        <v>https://www.google.com/search?tbm=isch&amp;q=3%20G5</v>
      </c>
      <c r="BG1107" s="107" t="str">
        <f t="shared" si="832"/>
        <v>D</v>
      </c>
      <c r="BH1107" s="254"/>
      <c r="BI1107" s="254"/>
    </row>
    <row r="1108" spans="1:61" customFormat="1" ht="15.75" x14ac:dyDescent="0.25">
      <c r="A1108" s="485">
        <v>7</v>
      </c>
      <c r="B1108" s="486" t="s">
        <v>291</v>
      </c>
      <c r="C1108" s="487" t="s">
        <v>797</v>
      </c>
      <c r="D1108" s="488" t="s">
        <v>297</v>
      </c>
      <c r="E1108" s="489">
        <v>56.95</v>
      </c>
      <c r="F1108" s="516" t="s">
        <v>293</v>
      </c>
      <c r="G1108" s="232">
        <v>0</v>
      </c>
      <c r="H1108" s="658" t="str">
        <f t="shared" si="833"/>
        <v/>
      </c>
      <c r="I1108" s="490">
        <f t="shared" si="834"/>
        <v>0</v>
      </c>
      <c r="J1108" s="490">
        <f t="shared" si="835"/>
        <v>0</v>
      </c>
      <c r="K1108" s="695">
        <f t="shared" ref="K1108" si="842">I1108+J1108</f>
        <v>0</v>
      </c>
      <c r="L1108" s="695"/>
      <c r="M1108" s="659" t="str">
        <f t="shared" si="837"/>
        <v/>
      </c>
      <c r="N1108" s="660"/>
      <c r="O1108" s="233"/>
      <c r="P1108" s="233"/>
      <c r="Q1108" s="233"/>
      <c r="R1108" s="233"/>
      <c r="S1108" s="233"/>
      <c r="T1108" s="508">
        <f t="shared" si="820"/>
        <v>0</v>
      </c>
      <c r="U1108" s="225">
        <f>IF(NOT(ISNUMBER(G1108)), "", VLOOKUP(A1108,'Discount Lookup'!D:E,2,FALSE)*G1108)</f>
        <v>0</v>
      </c>
      <c r="V1108" s="225">
        <f>IF(NOT(ISNUMBER(G1108)), "", VLOOKUP(A1108,'Discount Lookup'!G:H,2,FALSE)*G1108)</f>
        <v>0</v>
      </c>
      <c r="W1108" s="508">
        <f t="shared" si="821"/>
        <v>0</v>
      </c>
      <c r="X1108" s="508">
        <f t="shared" si="822"/>
        <v>0</v>
      </c>
      <c r="Y1108" s="509" t="b">
        <f t="shared" si="823"/>
        <v>0</v>
      </c>
      <c r="Z1108" s="510">
        <f t="shared" si="824"/>
        <v>0</v>
      </c>
      <c r="AA1108" s="511"/>
      <c r="AB1108" s="511" t="str">
        <f t="shared" si="825"/>
        <v/>
      </c>
      <c r="AC1108" s="698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698"/>
      <c r="AE1108" s="631" t="str">
        <f t="shared" si="826"/>
        <v/>
      </c>
      <c r="AF1108" s="699" t="str">
        <f t="shared" si="827"/>
        <v/>
      </c>
      <c r="AG1108" s="699"/>
      <c r="AH1108" s="699"/>
      <c r="AI1108" s="512">
        <f>IF(H1108="credit",0,IF(AE1108="free",0,IF(AE1108="me",0,IF(G1108&gt;0,(VLOOKUP(A1108,'Discount Lookup'!J:K,2)*G1108),0))))</f>
        <v>0</v>
      </c>
      <c r="AJ1108" s="513" t="str">
        <f t="shared" ca="1" si="828"/>
        <v/>
      </c>
      <c r="AK1108" s="700" t="str">
        <f t="shared" si="829"/>
        <v/>
      </c>
      <c r="AL1108" s="700"/>
      <c r="AM1108" s="505" t="str">
        <f t="shared" si="830"/>
        <v/>
      </c>
      <c r="AN1108" s="506"/>
      <c r="AO1108" s="507"/>
      <c r="AP1108" s="507"/>
      <c r="AQ1108" s="507"/>
      <c r="AR1108" s="507"/>
      <c r="AS1108" s="507"/>
      <c r="AT1108" s="507"/>
      <c r="AU1108" s="507"/>
      <c r="AV1108" s="225"/>
      <c r="AW1108" s="508"/>
      <c r="AX1108" s="225"/>
      <c r="AY1108" s="225"/>
      <c r="AZ1108" s="225"/>
      <c r="BA1108" s="225"/>
      <c r="BB1108" s="225"/>
      <c r="BC1108" s="56"/>
      <c r="BD1108" s="56"/>
      <c r="BE1108" s="56"/>
      <c r="BF1108" s="107" t="str">
        <f t="shared" si="831"/>
        <v>https://www.google.com/search?tbm=isch&amp;q=7%20G3</v>
      </c>
      <c r="BG1108" s="107" t="str">
        <f t="shared" si="832"/>
        <v>D</v>
      </c>
      <c r="BH1108" s="254"/>
      <c r="BI1108" s="254"/>
    </row>
    <row r="1109" spans="1:61" customFormat="1" ht="15.75" x14ac:dyDescent="0.25">
      <c r="A1109" s="485">
        <v>7</v>
      </c>
      <c r="B1109" s="486" t="s">
        <v>291</v>
      </c>
      <c r="C1109" s="487" t="s">
        <v>3254</v>
      </c>
      <c r="D1109" s="488" t="s">
        <v>299</v>
      </c>
      <c r="E1109" s="489">
        <v>56.95</v>
      </c>
      <c r="F1109" s="516" t="s">
        <v>293</v>
      </c>
      <c r="G1109" s="232">
        <v>0</v>
      </c>
      <c r="H1109" s="658" t="str">
        <f t="shared" si="833"/>
        <v/>
      </c>
      <c r="I1109" s="490">
        <f t="shared" si="834"/>
        <v>0</v>
      </c>
      <c r="J1109" s="490">
        <f t="shared" si="835"/>
        <v>0</v>
      </c>
      <c r="K1109" s="695">
        <f t="shared" ref="K1109" si="843">I1109+J1109</f>
        <v>0</v>
      </c>
      <c r="L1109" s="695"/>
      <c r="M1109" s="659" t="str">
        <f t="shared" si="837"/>
        <v/>
      </c>
      <c r="N1109" s="660"/>
      <c r="O1109" s="233"/>
      <c r="P1109" s="233"/>
      <c r="Q1109" s="233"/>
      <c r="R1109" s="233"/>
      <c r="S1109" s="233"/>
      <c r="T1109" s="508">
        <f t="shared" si="820"/>
        <v>0</v>
      </c>
      <c r="U1109" s="225">
        <f>IF(NOT(ISNUMBER(G1109)), "", VLOOKUP(A1109,'Discount Lookup'!D:E,2,FALSE)*G1109)</f>
        <v>0</v>
      </c>
      <c r="V1109" s="225">
        <f>IF(NOT(ISNUMBER(G1109)), "", VLOOKUP(A1109,'Discount Lookup'!G:H,2,FALSE)*G1109)</f>
        <v>0</v>
      </c>
      <c r="W1109" s="508">
        <f t="shared" si="821"/>
        <v>0</v>
      </c>
      <c r="X1109" s="508">
        <f t="shared" si="822"/>
        <v>0</v>
      </c>
      <c r="Y1109" s="509" t="b">
        <f t="shared" si="823"/>
        <v>0</v>
      </c>
      <c r="Z1109" s="510">
        <f t="shared" si="824"/>
        <v>0</v>
      </c>
      <c r="AA1109" s="511"/>
      <c r="AB1109" s="511" t="str">
        <f t="shared" si="825"/>
        <v/>
      </c>
      <c r="AC1109" s="698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698"/>
      <c r="AE1109" s="631" t="str">
        <f t="shared" si="826"/>
        <v/>
      </c>
      <c r="AF1109" s="699" t="str">
        <f t="shared" si="827"/>
        <v/>
      </c>
      <c r="AG1109" s="699"/>
      <c r="AH1109" s="699"/>
      <c r="AI1109" s="512">
        <f>IF(H1109="credit",0,IF(AE1109="free",0,IF(AE1109="me",0,IF(G1109&gt;0,(VLOOKUP(A1109,'Discount Lookup'!J:K,2)*G1109),0))))</f>
        <v>0</v>
      </c>
      <c r="AJ1109" s="513" t="str">
        <f t="shared" ca="1" si="828"/>
        <v/>
      </c>
      <c r="AK1109" s="700" t="str">
        <f t="shared" si="829"/>
        <v/>
      </c>
      <c r="AL1109" s="700"/>
      <c r="AM1109" s="505" t="str">
        <f t="shared" si="830"/>
        <v/>
      </c>
      <c r="AN1109" s="506"/>
      <c r="AO1109" s="507"/>
      <c r="AP1109" s="507"/>
      <c r="AQ1109" s="507"/>
      <c r="AR1109" s="507"/>
      <c r="AS1109" s="507"/>
      <c r="AT1109" s="507"/>
      <c r="AU1109" s="507"/>
      <c r="AV1109" s="225"/>
      <c r="AW1109" s="508"/>
      <c r="AX1109" s="225"/>
      <c r="AY1109" s="225"/>
      <c r="AZ1109" s="225"/>
      <c r="BA1109" s="225"/>
      <c r="BB1109" s="225"/>
      <c r="BC1109" s="56"/>
      <c r="BD1109" s="56"/>
      <c r="BE1109" s="56"/>
      <c r="BF1109" s="107" t="str">
        <f t="shared" si="831"/>
        <v>https://www.google.com/search?tbm=isch&amp;q=7%20G5</v>
      </c>
      <c r="BG1109" s="107" t="str">
        <f t="shared" si="832"/>
        <v>D</v>
      </c>
      <c r="BH1109" s="254"/>
      <c r="BI1109" s="254"/>
    </row>
    <row r="1110" spans="1:61" customFormat="1" ht="15.75" x14ac:dyDescent="0.25">
      <c r="A1110" s="485">
        <v>10</v>
      </c>
      <c r="B1110" s="486" t="s">
        <v>291</v>
      </c>
      <c r="C1110" s="487" t="s">
        <v>798</v>
      </c>
      <c r="D1110" s="488" t="s">
        <v>297</v>
      </c>
      <c r="E1110" s="489">
        <v>83.95</v>
      </c>
      <c r="F1110" s="516" t="s">
        <v>293</v>
      </c>
      <c r="G1110" s="232">
        <v>0</v>
      </c>
      <c r="H1110" s="658" t="str">
        <f t="shared" si="833"/>
        <v/>
      </c>
      <c r="I1110" s="490">
        <f t="shared" si="834"/>
        <v>0</v>
      </c>
      <c r="J1110" s="490">
        <f t="shared" si="835"/>
        <v>0</v>
      </c>
      <c r="K1110" s="695">
        <f t="shared" ref="K1110" si="844">I1110+J1110</f>
        <v>0</v>
      </c>
      <c r="L1110" s="695"/>
      <c r="M1110" s="659" t="str">
        <f t="shared" si="837"/>
        <v/>
      </c>
      <c r="N1110" s="660"/>
      <c r="O1110" s="233"/>
      <c r="P1110" s="233"/>
      <c r="Q1110" s="233"/>
      <c r="R1110" s="233"/>
      <c r="S1110" s="233"/>
      <c r="T1110" s="508">
        <f t="shared" si="820"/>
        <v>0</v>
      </c>
      <c r="U1110" s="225">
        <f>IF(NOT(ISNUMBER(G1110)), "", VLOOKUP(A1110,'Discount Lookup'!D:E,2,FALSE)*G1110)</f>
        <v>0</v>
      </c>
      <c r="V1110" s="225">
        <f>IF(NOT(ISNUMBER(G1110)), "", VLOOKUP(A1110,'Discount Lookup'!G:H,2,FALSE)*G1110)</f>
        <v>0</v>
      </c>
      <c r="W1110" s="508">
        <f t="shared" si="821"/>
        <v>0</v>
      </c>
      <c r="X1110" s="508">
        <f t="shared" si="822"/>
        <v>0</v>
      </c>
      <c r="Y1110" s="509" t="b">
        <f t="shared" si="823"/>
        <v>0</v>
      </c>
      <c r="Z1110" s="510">
        <f t="shared" si="824"/>
        <v>0</v>
      </c>
      <c r="AA1110" s="511"/>
      <c r="AB1110" s="511" t="str">
        <f t="shared" si="825"/>
        <v/>
      </c>
      <c r="AC1110" s="698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698"/>
      <c r="AE1110" s="631" t="str">
        <f t="shared" si="826"/>
        <v/>
      </c>
      <c r="AF1110" s="699" t="str">
        <f t="shared" si="827"/>
        <v/>
      </c>
      <c r="AG1110" s="699"/>
      <c r="AH1110" s="699"/>
      <c r="AI1110" s="512">
        <f>IF(H1110="credit",0,IF(AE1110="free",0,IF(AE1110="me",0,IF(G1110&gt;0,(VLOOKUP(A1110,'Discount Lookup'!J:K,2)*G1110),0))))</f>
        <v>0</v>
      </c>
      <c r="AJ1110" s="513" t="str">
        <f t="shared" ca="1" si="828"/>
        <v/>
      </c>
      <c r="AK1110" s="700" t="str">
        <f t="shared" si="829"/>
        <v/>
      </c>
      <c r="AL1110" s="700"/>
      <c r="AM1110" s="505" t="str">
        <f t="shared" si="830"/>
        <v/>
      </c>
      <c r="AN1110" s="506"/>
      <c r="AO1110" s="507"/>
      <c r="AP1110" s="507"/>
      <c r="AQ1110" s="507"/>
      <c r="AR1110" s="507"/>
      <c r="AS1110" s="507"/>
      <c r="AT1110" s="507"/>
      <c r="AU1110" s="507"/>
      <c r="AV1110" s="225"/>
      <c r="AW1110" s="508"/>
      <c r="AX1110" s="225"/>
      <c r="AY1110" s="225"/>
      <c r="AZ1110" s="225"/>
      <c r="BA1110" s="225"/>
      <c r="BB1110" s="225"/>
      <c r="BC1110" s="56"/>
      <c r="BD1110" s="56"/>
      <c r="BE1110" s="56"/>
      <c r="BF1110" s="107" t="str">
        <f t="shared" si="831"/>
        <v>https://www.google.com/search?tbm=isch&amp;q=10%20G3</v>
      </c>
      <c r="BG1110" s="107" t="str">
        <f t="shared" si="832"/>
        <v>D</v>
      </c>
      <c r="BH1110" s="254"/>
      <c r="BI1110" s="254"/>
    </row>
    <row r="1111" spans="1:61" customFormat="1" ht="16.5" thickBot="1" x14ac:dyDescent="0.3">
      <c r="A1111" s="522" t="s">
        <v>2849</v>
      </c>
      <c r="B1111" s="491"/>
      <c r="C1111" s="675"/>
      <c r="D1111" s="491"/>
      <c r="E1111" s="491"/>
      <c r="F1111" s="492"/>
      <c r="G1111" s="493"/>
      <c r="H1111" s="491"/>
      <c r="I1111" s="234"/>
      <c r="J1111" s="234"/>
      <c r="K1111" s="494"/>
      <c r="L1111" s="543"/>
      <c r="M1111" s="561"/>
      <c r="N1111" s="495"/>
      <c r="O1111" s="496"/>
      <c r="P1111" s="497"/>
      <c r="Q1111" s="495"/>
      <c r="R1111" s="495"/>
      <c r="S1111" s="667" t="s">
        <v>4968</v>
      </c>
      <c r="T1111" s="508">
        <f t="shared" si="820"/>
        <v>0</v>
      </c>
      <c r="U1111" s="225" t="str">
        <f>IF(NOT(ISNUMBER(G1111)), "", VLOOKUP(A1111,'Discount Lookup'!D:E,2,FALSE)*G1111)</f>
        <v/>
      </c>
      <c r="V1111" s="225" t="str">
        <f>IF(NOT(ISNUMBER(G1111)), "", VLOOKUP(A1111,'Discount Lookup'!G:H,2,FALSE)*G1111)</f>
        <v/>
      </c>
      <c r="W1111" s="508">
        <f t="shared" si="821"/>
        <v>0</v>
      </c>
      <c r="X1111" s="508">
        <f t="shared" si="822"/>
        <v>0</v>
      </c>
      <c r="Y1111" s="509" t="b">
        <f t="shared" si="823"/>
        <v>0</v>
      </c>
      <c r="Z1111" s="510">
        <f t="shared" si="824"/>
        <v>0</v>
      </c>
      <c r="AA1111" s="511"/>
      <c r="AB1111" s="511" t="str">
        <f t="shared" si="825"/>
        <v/>
      </c>
      <c r="AC1111" s="698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698"/>
      <c r="AE1111" s="631" t="str">
        <f t="shared" si="826"/>
        <v/>
      </c>
      <c r="AF1111" s="699" t="str">
        <f t="shared" si="827"/>
        <v/>
      </c>
      <c r="AG1111" s="699"/>
      <c r="AH1111" s="699"/>
      <c r="AI1111" s="512">
        <f>IF(H1111="credit",0,IF(AE1111="free",0,IF(AE1111="me",0,IF(G1111&gt;0,(VLOOKUP(A1111,'Discount Lookup'!J:K,2)*G1111),0))))</f>
        <v>0</v>
      </c>
      <c r="AJ1111" s="513" t="str">
        <f t="shared" ca="1" si="828"/>
        <v/>
      </c>
      <c r="AK1111" s="700" t="str">
        <f t="shared" si="829"/>
        <v/>
      </c>
      <c r="AL1111" s="700"/>
      <c r="AM1111" s="505" t="str">
        <f t="shared" si="830"/>
        <v/>
      </c>
      <c r="AN1111" s="506"/>
      <c r="AO1111" s="507"/>
      <c r="AP1111" s="507"/>
      <c r="AQ1111" s="507"/>
      <c r="AR1111" s="507"/>
      <c r="AS1111" s="507"/>
      <c r="AT1111" s="507"/>
      <c r="AU1111" s="507"/>
      <c r="AV1111" s="225"/>
      <c r="AW1111" s="508"/>
      <c r="AX1111" s="225"/>
      <c r="AY1111" s="225"/>
      <c r="AZ1111" s="225"/>
      <c r="BA1111" s="225"/>
      <c r="BB1111" s="225"/>
      <c r="BC1111" s="56"/>
      <c r="BD1111" s="56"/>
      <c r="BE1111" s="56"/>
      <c r="BF1111" s="107" t="str">
        <f t="shared" si="831"/>
        <v>https://www.google.com/search?tbm=isch&amp;q=Dwarf%20Burford%20springtime%20flower%20clusters%20are%20fragrant%2C%20somewhat%20showy.%20Self-pollinates%20for%20Bright%20Red%20berries%20in%20winter%20</v>
      </c>
      <c r="BG1111" s="107" t="str">
        <f t="shared" si="832"/>
        <v>D</v>
      </c>
      <c r="BH1111" s="254"/>
      <c r="BI1111" s="254"/>
    </row>
    <row r="1112" spans="1:61" customFormat="1" ht="18" x14ac:dyDescent="0.25">
      <c r="A1112" s="523" t="s">
        <v>3217</v>
      </c>
      <c r="B1112" s="235"/>
      <c r="C1112" s="676"/>
      <c r="D1112" s="255" t="s">
        <v>3218</v>
      </c>
      <c r="E1112" s="236"/>
      <c r="F1112" s="236"/>
      <c r="G1112" s="236"/>
      <c r="H1112" s="582" t="s">
        <v>810</v>
      </c>
      <c r="I1112" s="498" t="s">
        <v>2569</v>
      </c>
      <c r="J1112" s="237"/>
      <c r="K1112" s="237"/>
      <c r="L1112" s="274"/>
      <c r="M1112" s="668" t="s">
        <v>4975</v>
      </c>
      <c r="N1112" s="681" t="str">
        <f>IF(AND(ISTEXT($A1112), ISERROR($A1112+0)), HYPERLINK($BF1112, "Images"), "")</f>
        <v>Images</v>
      </c>
      <c r="O1112" s="663" t="s">
        <v>4974</v>
      </c>
      <c r="P1112" s="253"/>
      <c r="Q1112" s="238"/>
      <c r="R1112" s="239"/>
      <c r="S1112" s="275"/>
      <c r="T1112" s="508">
        <f t="shared" si="820"/>
        <v>0</v>
      </c>
      <c r="U1112" s="225" t="str">
        <f>IF(NOT(ISNUMBER(G1112)), "", VLOOKUP(A1112,'Discount Lookup'!D:E,2,FALSE)*G1112)</f>
        <v/>
      </c>
      <c r="V1112" s="225" t="str">
        <f>IF(NOT(ISNUMBER(G1112)), "", VLOOKUP(A1112,'Discount Lookup'!G:H,2,FALSE)*G1112)</f>
        <v/>
      </c>
      <c r="W1112" s="508">
        <f t="shared" si="821"/>
        <v>0</v>
      </c>
      <c r="X1112" s="508" t="str">
        <f t="shared" si="822"/>
        <v>Soft Pink bloom</v>
      </c>
      <c r="Y1112" s="509" t="b">
        <f t="shared" si="823"/>
        <v>0</v>
      </c>
      <c r="Z1112" s="510">
        <f t="shared" si="824"/>
        <v>0</v>
      </c>
      <c r="AA1112" s="511"/>
      <c r="AB1112" s="511" t="str">
        <f t="shared" si="825"/>
        <v/>
      </c>
      <c r="AC1112" s="698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698"/>
      <c r="AE1112" s="631" t="str">
        <f t="shared" si="826"/>
        <v/>
      </c>
      <c r="AF1112" s="699" t="str">
        <f t="shared" si="827"/>
        <v/>
      </c>
      <c r="AG1112" s="699"/>
      <c r="AH1112" s="699"/>
      <c r="AI1112" s="512">
        <f>IF(H1112="credit",0,IF(AE1112="free",0,IF(AE1112="me",0,IF(G1112&gt;0,(VLOOKUP(A1112,'Discount Lookup'!J:K,2)*G1112),0))))</f>
        <v>0</v>
      </c>
      <c r="AJ1112" s="513" t="str">
        <f t="shared" ca="1" si="828"/>
        <v/>
      </c>
      <c r="AK1112" s="700" t="str">
        <f t="shared" si="829"/>
        <v/>
      </c>
      <c r="AL1112" s="700"/>
      <c r="AM1112" s="505" t="str">
        <f t="shared" si="830"/>
        <v/>
      </c>
      <c r="AN1112" s="506"/>
      <c r="AO1112" s="507"/>
      <c r="AP1112" s="507"/>
      <c r="AQ1112" s="507"/>
      <c r="AR1112" s="507"/>
      <c r="AS1112" s="507"/>
      <c r="AT1112" s="507"/>
      <c r="AU1112" s="507"/>
      <c r="AV1112" s="225"/>
      <c r="AW1112" s="508"/>
      <c r="AX1112" s="225"/>
      <c r="AY1112" s="225"/>
      <c r="AZ1112" s="225"/>
      <c r="BA1112" s="225"/>
      <c r="BB1112" s="225"/>
      <c r="BC1112" s="56"/>
      <c r="BD1112" s="56"/>
      <c r="BE1112" s="56"/>
      <c r="BF1112" s="107" t="str">
        <f t="shared" si="831"/>
        <v>https://www.google.com/search?tbm=isch&amp;q=Dwarf%20Flowering%20Almond%20Prunus%20glandulosa%20%27Rosea%27</v>
      </c>
      <c r="BG1112" s="107" t="str">
        <f t="shared" si="832"/>
        <v>D</v>
      </c>
      <c r="BH1112" s="254"/>
      <c r="BI1112" s="254"/>
    </row>
    <row r="1113" spans="1:61" customFormat="1" ht="15.75" x14ac:dyDescent="0.25">
      <c r="A1113" s="276">
        <v>3</v>
      </c>
      <c r="B1113" s="240" t="s">
        <v>291</v>
      </c>
      <c r="C1113" s="241"/>
      <c r="D1113" s="242" t="s">
        <v>298</v>
      </c>
      <c r="E1113" s="243">
        <v>25.95</v>
      </c>
      <c r="F1113" s="517" t="s">
        <v>293</v>
      </c>
      <c r="G1113" s="232">
        <v>0</v>
      </c>
      <c r="H1113" s="661" t="str">
        <f>IF(G1113=0,"",IF(F1113="Buy",IF(G1113=1,"plant","plants"),IF(F1113&gt;0.01,"warranty","Error")))</f>
        <v/>
      </c>
      <c r="I1113" s="244">
        <f>IF(H1113="free",0,IF(H1113="credit",((E1113*(F1113))*G1113*-1),IF(F1113="Buy",(E1113*G1113),((E1113*(1-F1113))*G1113))))</f>
        <v>0</v>
      </c>
      <c r="J1113" s="244">
        <f>IF(H1113="warranty",0,(I1113*(_xlfn.SINGLE(SalesTaxPercentage))))</f>
        <v>0</v>
      </c>
      <c r="K1113" s="696">
        <f t="shared" ref="K1113" si="845">I1113+J1113</f>
        <v>0</v>
      </c>
      <c r="L1113" s="696"/>
      <c r="M1113" s="659" t="str">
        <f>IF(AND(G1113&gt;0,E1113=0),"WARNING - no PRICE inserted",IF(H1113="free"," FREE ~ no charge this plant",IF(H1113="credit",CONCATENATE(" -$",ROUND(K1113*(1-T2GDiscount)*-1,2)," CREDIT after discount"),IF(T2GDiscount=0,"",IF(G1113=0,"",IF(F1113="Buy",CONCATENATE(" $",ROUND(K1113*(1-T2GDiscount),2)," with ",(T2GDiscount*100),"% discount"),CONCATENATE(" $",ROUND(K1113*(1-T2GDiscount),2)," with ",((T2GDiscount*100+F1113*100)-(T2GDiscount*100*F1113)),IF(F1113&gt;0,"% discounts",IF(NoWarrantyDiscount&gt;0,"% discounts","% discount")))))))))</f>
        <v/>
      </c>
      <c r="N1113" s="660"/>
      <c r="O1113" s="233"/>
      <c r="P1113" s="233"/>
      <c r="Q1113" s="233"/>
      <c r="R1113" s="233"/>
      <c r="S1113" s="233"/>
      <c r="T1113" s="508">
        <f t="shared" si="820"/>
        <v>0</v>
      </c>
      <c r="U1113" s="225">
        <f>IF(NOT(ISNUMBER(G1113)), "", VLOOKUP(A1113,'Discount Lookup'!D:E,2,FALSE)*G1113)</f>
        <v>0</v>
      </c>
      <c r="V1113" s="225">
        <f>IF(NOT(ISNUMBER(G1113)), "", VLOOKUP(A1113,'Discount Lookup'!G:H,2,FALSE)*G1113)</f>
        <v>0</v>
      </c>
      <c r="W1113" s="508">
        <f t="shared" si="821"/>
        <v>0</v>
      </c>
      <c r="X1113" s="508">
        <f t="shared" si="822"/>
        <v>0</v>
      </c>
      <c r="Y1113" s="509" t="b">
        <f t="shared" si="823"/>
        <v>0</v>
      </c>
      <c r="Z1113" s="510">
        <f t="shared" si="824"/>
        <v>0</v>
      </c>
      <c r="AA1113" s="511"/>
      <c r="AB1113" s="511" t="str">
        <f t="shared" si="825"/>
        <v/>
      </c>
      <c r="AC1113" s="698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698"/>
      <c r="AE1113" s="631" t="str">
        <f t="shared" si="826"/>
        <v/>
      </c>
      <c r="AF1113" s="699" t="str">
        <f t="shared" si="827"/>
        <v/>
      </c>
      <c r="AG1113" s="699"/>
      <c r="AH1113" s="699"/>
      <c r="AI1113" s="512">
        <f>IF(H1113="credit",0,IF(AE1113="free",0,IF(AE1113="me",0,IF(G1113&gt;0,(VLOOKUP(A1113,'Discount Lookup'!J:K,2)*G1113),0))))</f>
        <v>0</v>
      </c>
      <c r="AJ1113" s="513" t="str">
        <f t="shared" ca="1" si="828"/>
        <v/>
      </c>
      <c r="AK1113" s="700" t="str">
        <f t="shared" si="829"/>
        <v/>
      </c>
      <c r="AL1113" s="700"/>
      <c r="AM1113" s="505" t="str">
        <f t="shared" si="830"/>
        <v/>
      </c>
      <c r="AN1113" s="506"/>
      <c r="AO1113" s="507"/>
      <c r="AP1113" s="507"/>
      <c r="AQ1113" s="507"/>
      <c r="AR1113" s="507"/>
      <c r="AS1113" s="507"/>
      <c r="AT1113" s="507"/>
      <c r="AU1113" s="507"/>
      <c r="AV1113" s="225"/>
      <c r="AW1113" s="508"/>
      <c r="AX1113" s="225"/>
      <c r="AY1113" s="225"/>
      <c r="AZ1113" s="225"/>
      <c r="BA1113" s="225"/>
      <c r="BB1113" s="225"/>
      <c r="BC1113" s="56"/>
      <c r="BD1113" s="56"/>
      <c r="BE1113" s="56"/>
      <c r="BF1113" s="107" t="str">
        <f t="shared" si="831"/>
        <v>https://www.google.com/search?tbm=isch&amp;q=3%20G1</v>
      </c>
      <c r="BG1113" s="107" t="str">
        <f t="shared" si="832"/>
        <v>D</v>
      </c>
      <c r="BH1113" s="254"/>
      <c r="BI1113" s="254"/>
    </row>
    <row r="1114" spans="1:61" customFormat="1" ht="17.25" thickBot="1" x14ac:dyDescent="0.3">
      <c r="A1114" s="673" t="s">
        <v>5096</v>
      </c>
      <c r="B1114" s="245"/>
      <c r="C1114" s="677"/>
      <c r="D1114" s="499"/>
      <c r="E1114" s="499"/>
      <c r="F1114" s="500"/>
      <c r="G1114" s="501"/>
      <c r="H1114" s="502"/>
      <c r="I1114" s="246"/>
      <c r="J1114" s="247"/>
      <c r="K1114" s="503"/>
      <c r="L1114" s="544"/>
      <c r="M1114" s="544"/>
      <c r="N1114" s="500"/>
      <c r="O1114" s="500"/>
      <c r="P1114" s="500"/>
      <c r="Q1114" s="500"/>
      <c r="R1114" s="500"/>
      <c r="S1114" s="278"/>
      <c r="T1114" s="508">
        <f t="shared" si="820"/>
        <v>0</v>
      </c>
      <c r="U1114" s="225" t="str">
        <f>IF(NOT(ISNUMBER(G1114)), "", VLOOKUP(A1114,'Discount Lookup'!D:E,2,FALSE)*G1114)</f>
        <v/>
      </c>
      <c r="V1114" s="225" t="str">
        <f>IF(NOT(ISNUMBER(G1114)), "", VLOOKUP(A1114,'Discount Lookup'!G:H,2,FALSE)*G1114)</f>
        <v/>
      </c>
      <c r="W1114" s="508">
        <f t="shared" si="821"/>
        <v>0</v>
      </c>
      <c r="X1114" s="508">
        <f t="shared" si="822"/>
        <v>0</v>
      </c>
      <c r="Y1114" s="509" t="b">
        <f t="shared" si="823"/>
        <v>0</v>
      </c>
      <c r="Z1114" s="510">
        <f t="shared" si="824"/>
        <v>0</v>
      </c>
      <c r="AA1114" s="511"/>
      <c r="AB1114" s="511" t="str">
        <f t="shared" si="825"/>
        <v/>
      </c>
      <c r="AC1114" s="698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698"/>
      <c r="AE1114" s="631" t="str">
        <f t="shared" si="826"/>
        <v/>
      </c>
      <c r="AF1114" s="699" t="str">
        <f t="shared" si="827"/>
        <v/>
      </c>
      <c r="AG1114" s="699"/>
      <c r="AH1114" s="699"/>
      <c r="AI1114" s="512">
        <f>IF(H1114="credit",0,IF(AE1114="free",0,IF(AE1114="me",0,IF(G1114&gt;0,(VLOOKUP(A1114,'Discount Lookup'!J:K,2)*G1114),0))))</f>
        <v>0</v>
      </c>
      <c r="AJ1114" s="513" t="str">
        <f t="shared" ca="1" si="828"/>
        <v/>
      </c>
      <c r="AK1114" s="700" t="str">
        <f t="shared" si="829"/>
        <v/>
      </c>
      <c r="AL1114" s="700"/>
      <c r="AM1114" s="505" t="str">
        <f t="shared" si="830"/>
        <v/>
      </c>
      <c r="AN1114" s="506"/>
      <c r="AO1114" s="507"/>
      <c r="AP1114" s="507"/>
      <c r="AQ1114" s="507"/>
      <c r="AR1114" s="507"/>
      <c r="AS1114" s="507"/>
      <c r="AT1114" s="507"/>
      <c r="AU1114" s="507"/>
      <c r="AV1114" s="225"/>
      <c r="AW1114" s="508"/>
      <c r="AX1114" s="225"/>
      <c r="AY1114" s="225"/>
      <c r="AZ1114" s="225"/>
      <c r="BA1114" s="225"/>
      <c r="BB1114" s="225"/>
      <c r="BC1114" s="56"/>
      <c r="BD1114" s="56"/>
      <c r="BE1114" s="56"/>
      <c r="BF1114" s="107" t="str">
        <f t="shared" si="831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114" s="107" t="str">
        <f t="shared" si="832"/>
        <v>m</v>
      </c>
      <c r="BH1114" s="254"/>
      <c r="BI1114" s="254"/>
    </row>
    <row r="1115" spans="1:61" customFormat="1" ht="18" x14ac:dyDescent="0.25">
      <c r="A1115" s="523" t="s">
        <v>799</v>
      </c>
      <c r="B1115" s="235"/>
      <c r="C1115" s="676"/>
      <c r="D1115" s="255" t="s">
        <v>800</v>
      </c>
      <c r="E1115" s="236"/>
      <c r="F1115" s="236"/>
      <c r="G1115" s="236"/>
      <c r="H1115" s="582" t="s">
        <v>720</v>
      </c>
      <c r="I1115" s="498" t="s">
        <v>654</v>
      </c>
      <c r="J1115" s="237"/>
      <c r="K1115" s="237"/>
      <c r="L1115" s="274"/>
      <c r="M1115" s="668" t="s">
        <v>4975</v>
      </c>
      <c r="N1115" s="681" t="str">
        <f>IF(AND(ISTEXT($A1115), ISERROR($A1115+0)), HYPERLINK($BF1115, "Images"), "")</f>
        <v>Images</v>
      </c>
      <c r="O1115" s="663" t="s">
        <v>4967</v>
      </c>
      <c r="P1115" s="253"/>
      <c r="Q1115" s="238"/>
      <c r="R1115" s="239"/>
      <c r="S1115" s="275" t="s">
        <v>305</v>
      </c>
      <c r="T1115" s="508">
        <f t="shared" si="820"/>
        <v>0</v>
      </c>
      <c r="U1115" s="225" t="str">
        <f>IF(NOT(ISNUMBER(G1115)), "", VLOOKUP(A1115,'Discount Lookup'!D:E,2,FALSE)*G1115)</f>
        <v/>
      </c>
      <c r="V1115" s="225" t="str">
        <f>IF(NOT(ISNUMBER(G1115)), "", VLOOKUP(A1115,'Discount Lookup'!G:H,2,FALSE)*G1115)</f>
        <v/>
      </c>
      <c r="W1115" s="508">
        <f t="shared" si="821"/>
        <v>0</v>
      </c>
      <c r="X1115" s="508" t="str">
        <f t="shared" si="822"/>
        <v>White bloom</v>
      </c>
      <c r="Y1115" s="509" t="b">
        <f t="shared" si="823"/>
        <v>0</v>
      </c>
      <c r="Z1115" s="510">
        <f t="shared" si="824"/>
        <v>0</v>
      </c>
      <c r="AA1115" s="511"/>
      <c r="AB1115" s="511" t="str">
        <f t="shared" si="825"/>
        <v/>
      </c>
      <c r="AC1115" s="698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698"/>
      <c r="AE1115" s="631" t="str">
        <f t="shared" si="826"/>
        <v/>
      </c>
      <c r="AF1115" s="699" t="str">
        <f t="shared" si="827"/>
        <v/>
      </c>
      <c r="AG1115" s="699"/>
      <c r="AH1115" s="699"/>
      <c r="AI1115" s="512">
        <f>IF(H1115="credit",0,IF(AE1115="free",0,IF(AE1115="me",0,IF(G1115&gt;0,(VLOOKUP(A1115,'Discount Lookup'!J:K,2)*G1115),0))))</f>
        <v>0</v>
      </c>
      <c r="AJ1115" s="513" t="str">
        <f t="shared" ca="1" si="828"/>
        <v/>
      </c>
      <c r="AK1115" s="700" t="str">
        <f t="shared" si="829"/>
        <v/>
      </c>
      <c r="AL1115" s="700"/>
      <c r="AM1115" s="505" t="str">
        <f t="shared" si="830"/>
        <v/>
      </c>
      <c r="AN1115" s="506"/>
      <c r="AO1115" s="507"/>
      <c r="AP1115" s="507"/>
      <c r="AQ1115" s="507"/>
      <c r="AR1115" s="507"/>
      <c r="AS1115" s="507"/>
      <c r="AT1115" s="507"/>
      <c r="AU1115" s="507"/>
      <c r="AV1115" s="225"/>
      <c r="AW1115" s="508"/>
      <c r="AX1115" s="225"/>
      <c r="AY1115" s="225"/>
      <c r="AZ1115" s="225"/>
      <c r="BA1115" s="225"/>
      <c r="BB1115" s="225"/>
      <c r="BC1115" s="56"/>
      <c r="BD1115" s="56"/>
      <c r="BE1115" s="56"/>
      <c r="BF1115" s="107" t="str">
        <f t="shared" si="831"/>
        <v>https://www.google.com/search?tbm=isch&amp;q=Dwarf%20Fothergilla%20Fothergilla%20gardenii</v>
      </c>
      <c r="BG1115" s="107" t="str">
        <f t="shared" si="832"/>
        <v>D</v>
      </c>
      <c r="BH1115" s="254"/>
      <c r="BI1115" s="254"/>
    </row>
    <row r="1116" spans="1:61" customFormat="1" ht="15.75" x14ac:dyDescent="0.25">
      <c r="A1116" s="276">
        <v>3</v>
      </c>
      <c r="B1116" s="240" t="s">
        <v>291</v>
      </c>
      <c r="C1116" s="241" t="s">
        <v>3255</v>
      </c>
      <c r="D1116" s="242" t="s">
        <v>299</v>
      </c>
      <c r="E1116" s="243">
        <v>33.950000000000003</v>
      </c>
      <c r="F1116" s="517" t="s">
        <v>293</v>
      </c>
      <c r="G1116" s="232">
        <v>0</v>
      </c>
      <c r="H1116" s="661" t="str">
        <f>IF(G1116=0,"",IF(F1116="Buy",IF(G1116=1,"plant","plants"),IF(F1116&gt;0.01,"warranty","Error")))</f>
        <v/>
      </c>
      <c r="I1116" s="244">
        <f>IF(H1116="free",0,IF(H1116="credit",((E1116*(F1116))*G1116*-1),IF(F1116="Buy",(E1116*G1116),((E1116*(1-F1116))*G1116))))</f>
        <v>0</v>
      </c>
      <c r="J1116" s="244">
        <f>IF(H1116="warranty",0,(I1116*(_xlfn.SINGLE(SalesTaxPercentage))))</f>
        <v>0</v>
      </c>
      <c r="K1116" s="696">
        <f t="shared" ref="K1116" si="846">I1116+J1116</f>
        <v>0</v>
      </c>
      <c r="L1116" s="696"/>
      <c r="M1116" s="659" t="str">
        <f>IF(AND(G1116&gt;0,E1116=0),"WARNING - no PRICE inserted",IF(H1116="free"," FREE ~ no charge this plant",IF(H1116="credit",CONCATENATE(" -$",ROUND(K1116*(1-T2GDiscount)*-1,2)," CREDIT after discount"),IF(T2GDiscount=0,"",IF(G1116=0,"",IF(F1116="Buy",CONCATENATE(" $",ROUND(K1116*(1-T2GDiscount),2)," with ",(T2GDiscount*100),"% discount"),CONCATENATE(" $",ROUND(K1116*(1-T2GDiscount),2)," with ",((T2GDiscount*100+F1116*100)-(T2GDiscount*100*F1116)),IF(F1116&gt;0,"% discounts",IF(NoWarrantyDiscount&gt;0,"% discounts","% discount")))))))))</f>
        <v/>
      </c>
      <c r="N1116" s="660"/>
      <c r="O1116" s="233"/>
      <c r="P1116" s="233"/>
      <c r="Q1116" s="233"/>
      <c r="R1116" s="233"/>
      <c r="S1116" s="233"/>
      <c r="T1116" s="508">
        <f t="shared" si="820"/>
        <v>0</v>
      </c>
      <c r="U1116" s="225">
        <f>IF(NOT(ISNUMBER(G1116)), "", VLOOKUP(A1116,'Discount Lookup'!D:E,2,FALSE)*G1116)</f>
        <v>0</v>
      </c>
      <c r="V1116" s="225">
        <f>IF(NOT(ISNUMBER(G1116)), "", VLOOKUP(A1116,'Discount Lookup'!G:H,2,FALSE)*G1116)</f>
        <v>0</v>
      </c>
      <c r="W1116" s="508">
        <f t="shared" si="821"/>
        <v>0</v>
      </c>
      <c r="X1116" s="508">
        <f t="shared" si="822"/>
        <v>0</v>
      </c>
      <c r="Y1116" s="509" t="b">
        <f t="shared" si="823"/>
        <v>0</v>
      </c>
      <c r="Z1116" s="510">
        <f t="shared" si="824"/>
        <v>0</v>
      </c>
      <c r="AA1116" s="511"/>
      <c r="AB1116" s="511" t="str">
        <f t="shared" si="825"/>
        <v/>
      </c>
      <c r="AC1116" s="698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698"/>
      <c r="AE1116" s="631" t="str">
        <f t="shared" si="826"/>
        <v/>
      </c>
      <c r="AF1116" s="699" t="str">
        <f t="shared" si="827"/>
        <v/>
      </c>
      <c r="AG1116" s="699"/>
      <c r="AH1116" s="699"/>
      <c r="AI1116" s="512">
        <f>IF(H1116="credit",0,IF(AE1116="free",0,IF(AE1116="me",0,IF(G1116&gt;0,(VLOOKUP(A1116,'Discount Lookup'!J:K,2)*G1116),0))))</f>
        <v>0</v>
      </c>
      <c r="AJ1116" s="513" t="str">
        <f t="shared" ca="1" si="828"/>
        <v/>
      </c>
      <c r="AK1116" s="700" t="str">
        <f t="shared" si="829"/>
        <v/>
      </c>
      <c r="AL1116" s="700"/>
      <c r="AM1116" s="505" t="str">
        <f t="shared" si="830"/>
        <v/>
      </c>
      <c r="AN1116" s="506"/>
      <c r="AO1116" s="507"/>
      <c r="AP1116" s="507"/>
      <c r="AQ1116" s="507"/>
      <c r="AR1116" s="507"/>
      <c r="AS1116" s="507"/>
      <c r="AT1116" s="507"/>
      <c r="AU1116" s="507"/>
      <c r="AV1116" s="225"/>
      <c r="AW1116" s="508"/>
      <c r="AX1116" s="225"/>
      <c r="AY1116" s="225"/>
      <c r="AZ1116" s="225"/>
      <c r="BA1116" s="225"/>
      <c r="BB1116" s="225"/>
      <c r="BC1116" s="56"/>
      <c r="BD1116" s="56"/>
      <c r="BE1116" s="56"/>
      <c r="BF1116" s="107" t="str">
        <f t="shared" si="831"/>
        <v>https://www.google.com/search?tbm=isch&amp;q=3%20G5</v>
      </c>
      <c r="BG1116" s="107" t="str">
        <f t="shared" si="832"/>
        <v>D</v>
      </c>
      <c r="BH1116" s="254"/>
      <c r="BI1116" s="254"/>
    </row>
    <row r="1117" spans="1:61" customFormat="1" ht="17.25" thickBot="1" x14ac:dyDescent="0.3">
      <c r="A1117" s="673" t="s">
        <v>5097</v>
      </c>
      <c r="B1117" s="245"/>
      <c r="C1117" s="677"/>
      <c r="D1117" s="499"/>
      <c r="E1117" s="499"/>
      <c r="F1117" s="500"/>
      <c r="G1117" s="501"/>
      <c r="H1117" s="502"/>
      <c r="I1117" s="246"/>
      <c r="J1117" s="247"/>
      <c r="K1117" s="503"/>
      <c r="L1117" s="544"/>
      <c r="M1117" s="544"/>
      <c r="N1117" s="500"/>
      <c r="O1117" s="500"/>
      <c r="P1117" s="500"/>
      <c r="Q1117" s="500"/>
      <c r="R1117" s="500"/>
      <c r="S1117" s="669" t="s">
        <v>4972</v>
      </c>
      <c r="T1117" s="508">
        <f t="shared" si="820"/>
        <v>0</v>
      </c>
      <c r="U1117" s="225" t="str">
        <f>IF(NOT(ISNUMBER(G1117)), "", VLOOKUP(A1117,'Discount Lookup'!D:E,2,FALSE)*G1117)</f>
        <v/>
      </c>
      <c r="V1117" s="225" t="str">
        <f>IF(NOT(ISNUMBER(G1117)), "", VLOOKUP(A1117,'Discount Lookup'!G:H,2,FALSE)*G1117)</f>
        <v/>
      </c>
      <c r="W1117" s="508">
        <f t="shared" si="821"/>
        <v>0</v>
      </c>
      <c r="X1117" s="508">
        <f t="shared" si="822"/>
        <v>0</v>
      </c>
      <c r="Y1117" s="509" t="b">
        <f t="shared" si="823"/>
        <v>0</v>
      </c>
      <c r="Z1117" s="510">
        <f t="shared" si="824"/>
        <v>0</v>
      </c>
      <c r="AA1117" s="511"/>
      <c r="AB1117" s="511" t="str">
        <f t="shared" si="825"/>
        <v/>
      </c>
      <c r="AC1117" s="698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698"/>
      <c r="AE1117" s="631" t="str">
        <f t="shared" si="826"/>
        <v/>
      </c>
      <c r="AF1117" s="699" t="str">
        <f t="shared" si="827"/>
        <v/>
      </c>
      <c r="AG1117" s="699"/>
      <c r="AH1117" s="699"/>
      <c r="AI1117" s="512">
        <f>IF(H1117="credit",0,IF(AE1117="free",0,IF(AE1117="me",0,IF(G1117&gt;0,(VLOOKUP(A1117,'Discount Lookup'!J:K,2)*G1117),0))))</f>
        <v>0</v>
      </c>
      <c r="AJ1117" s="513" t="str">
        <f t="shared" ca="1" si="828"/>
        <v/>
      </c>
      <c r="AK1117" s="700" t="str">
        <f t="shared" si="829"/>
        <v/>
      </c>
      <c r="AL1117" s="700"/>
      <c r="AM1117" s="505" t="str">
        <f t="shared" si="830"/>
        <v/>
      </c>
      <c r="AN1117" s="506"/>
      <c r="AO1117" s="507"/>
      <c r="AP1117" s="507"/>
      <c r="AQ1117" s="507"/>
      <c r="AR1117" s="507"/>
      <c r="AS1117" s="507"/>
      <c r="AT1117" s="507"/>
      <c r="AU1117" s="507"/>
      <c r="AV1117" s="225"/>
      <c r="AW1117" s="508"/>
      <c r="AX1117" s="225"/>
      <c r="AY1117" s="225"/>
      <c r="AZ1117" s="225"/>
      <c r="BA1117" s="225"/>
      <c r="BB1117" s="225"/>
      <c r="BC1117" s="56"/>
      <c r="BD1117" s="56"/>
      <c r="BE1117" s="56"/>
      <c r="BF1117" s="107" t="str">
        <f t="shared" si="831"/>
        <v>https://www.google.com/search?tbm=isch&amp;q=moist%20sites%F0%9F%92%A7GOOD%2C%20Dwarf%20Fothergilla%20has%20honey-scented%20bottlebrush-like%20blooms%20against%20Blue-Green%20foliage.%20Fiery%20Yellow-Orange-Red%20fall%20foliage%20</v>
      </c>
      <c r="BG1117" s="107" t="str">
        <f t="shared" si="832"/>
        <v>m</v>
      </c>
      <c r="BH1117" s="254"/>
      <c r="BI1117" s="254"/>
    </row>
    <row r="1118" spans="1:61" customFormat="1" ht="18" x14ac:dyDescent="0.25">
      <c r="A1118" s="523" t="s">
        <v>801</v>
      </c>
      <c r="B1118" s="235"/>
      <c r="C1118" s="676"/>
      <c r="D1118" s="255" t="s">
        <v>802</v>
      </c>
      <c r="E1118" s="236"/>
      <c r="F1118" s="236"/>
      <c r="G1118" s="236"/>
      <c r="H1118" s="582" t="s">
        <v>443</v>
      </c>
      <c r="I1118" s="498" t="s">
        <v>3021</v>
      </c>
      <c r="J1118" s="237"/>
      <c r="K1118" s="237"/>
      <c r="L1118" s="274"/>
      <c r="M1118" s="668" t="s">
        <v>4962</v>
      </c>
      <c r="N1118" s="681" t="str">
        <f>IF(AND(ISTEXT($A1118), ISERROR($A1118+0)), HYPERLINK($BF1118, "Images"), "")</f>
        <v>Images</v>
      </c>
      <c r="O1118" s="663" t="s">
        <v>4969</v>
      </c>
      <c r="P1118" s="253"/>
      <c r="Q1118" s="238"/>
      <c r="R1118" s="239"/>
      <c r="S1118" s="275"/>
      <c r="T1118" s="508">
        <f t="shared" si="820"/>
        <v>0</v>
      </c>
      <c r="U1118" s="225" t="str">
        <f>IF(NOT(ISNUMBER(G1118)), "", VLOOKUP(A1118,'Discount Lookup'!D:E,2,FALSE)*G1118)</f>
        <v/>
      </c>
      <c r="V1118" s="225" t="str">
        <f>IF(NOT(ISNUMBER(G1118)), "", VLOOKUP(A1118,'Discount Lookup'!G:H,2,FALSE)*G1118)</f>
        <v/>
      </c>
      <c r="W1118" s="508">
        <f t="shared" si="821"/>
        <v>0</v>
      </c>
      <c r="X1118" s="508" t="str">
        <f t="shared" si="822"/>
        <v>Green blades</v>
      </c>
      <c r="Y1118" s="509" t="b">
        <f t="shared" si="823"/>
        <v>0</v>
      </c>
      <c r="Z1118" s="510">
        <f t="shared" si="824"/>
        <v>0</v>
      </c>
      <c r="AA1118" s="511"/>
      <c r="AB1118" s="511" t="str">
        <f t="shared" si="825"/>
        <v/>
      </c>
      <c r="AC1118" s="698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698"/>
      <c r="AE1118" s="631" t="str">
        <f t="shared" si="826"/>
        <v/>
      </c>
      <c r="AF1118" s="699" t="str">
        <f t="shared" si="827"/>
        <v/>
      </c>
      <c r="AG1118" s="699"/>
      <c r="AH1118" s="699"/>
      <c r="AI1118" s="512">
        <f>IF(H1118="credit",0,IF(AE1118="free",0,IF(AE1118="me",0,IF(G1118&gt;0,(VLOOKUP(A1118,'Discount Lookup'!J:K,2)*G1118),0))))</f>
        <v>0</v>
      </c>
      <c r="AJ1118" s="513" t="str">
        <f t="shared" ca="1" si="828"/>
        <v/>
      </c>
      <c r="AK1118" s="700" t="str">
        <f t="shared" si="829"/>
        <v/>
      </c>
      <c r="AL1118" s="700"/>
      <c r="AM1118" s="505" t="str">
        <f t="shared" si="830"/>
        <v/>
      </c>
      <c r="AN1118" s="506"/>
      <c r="AO1118" s="507"/>
      <c r="AP1118" s="507"/>
      <c r="AQ1118" s="507"/>
      <c r="AR1118" s="507"/>
      <c r="AS1118" s="507"/>
      <c r="AT1118" s="507"/>
      <c r="AU1118" s="507"/>
      <c r="AV1118" s="225"/>
      <c r="AW1118" s="508"/>
      <c r="AX1118" s="225"/>
      <c r="AY1118" s="225"/>
      <c r="AZ1118" s="225"/>
      <c r="BA1118" s="225"/>
      <c r="BB1118" s="225"/>
      <c r="BC1118" s="56"/>
      <c r="BD1118" s="56"/>
      <c r="BE1118" s="56"/>
      <c r="BF1118" s="107" t="str">
        <f t="shared" si="831"/>
        <v>https://www.google.com/search?tbm=isch&amp;q=Dwarf%20Fountain%20Grass%20Pennisetum%20alopecuroides%20%27Hameln%27</v>
      </c>
      <c r="BG1118" s="107" t="str">
        <f t="shared" si="832"/>
        <v>D</v>
      </c>
      <c r="BH1118" s="254"/>
      <c r="BI1118" s="254"/>
    </row>
    <row r="1119" spans="1:61" customFormat="1" ht="15.75" x14ac:dyDescent="0.25">
      <c r="A1119" s="276">
        <v>1</v>
      </c>
      <c r="B1119" s="240" t="s">
        <v>291</v>
      </c>
      <c r="C1119" s="241"/>
      <c r="D1119" s="242" t="s">
        <v>312</v>
      </c>
      <c r="E1119" s="243">
        <v>13.95</v>
      </c>
      <c r="F1119" s="517" t="s">
        <v>293</v>
      </c>
      <c r="G1119" s="232">
        <v>0</v>
      </c>
      <c r="H1119" s="661" t="str">
        <f>IF(G1119=0,"",IF(F1119="Buy",IF(G1119=1,"plant","plants"),IF(F1119&gt;0.01,"warranty","Error")))</f>
        <v/>
      </c>
      <c r="I1119" s="244">
        <f>IF(H1119="free",0,IF(H1119="credit",((E1119*(F1119))*G1119*-1),IF(F1119="Buy",(E1119*G1119),((E1119*(1-F1119))*G1119))))</f>
        <v>0</v>
      </c>
      <c r="J1119" s="244">
        <f>IF(H1119="warranty",0,(I1119*(_xlfn.SINGLE(SalesTaxPercentage))))</f>
        <v>0</v>
      </c>
      <c r="K1119" s="696">
        <f t="shared" ref="K1119" si="847">I1119+J1119</f>
        <v>0</v>
      </c>
      <c r="L1119" s="696"/>
      <c r="M1119" s="659" t="str">
        <f>IF(AND(G1119&gt;0,E1119=0),"WARNING - no PRICE inserted",IF(H1119="free"," FREE ~ no charge this plant",IF(H1119="credit",CONCATENATE(" -$",ROUND(K1119*(1-T2GDiscount)*-1,2)," CREDIT after discount"),IF(T2GDiscount=0,"",IF(G1119=0,"",IF(F1119="Buy",CONCATENATE(" $",ROUND(K1119*(1-T2GDiscount),2)," with ",(T2GDiscount*100),"% discount"),CONCATENATE(" $",ROUND(K1119*(1-T2GDiscount),2)," with ",((T2GDiscount*100+F1119*100)-(T2GDiscount*100*F1119)),IF(F1119&gt;0,"% discounts",IF(NoWarrantyDiscount&gt;0,"% discounts","% discount")))))))))</f>
        <v/>
      </c>
      <c r="N1119" s="660"/>
      <c r="O1119" s="233"/>
      <c r="P1119" s="233"/>
      <c r="Q1119" s="233"/>
      <c r="R1119" s="233"/>
      <c r="S1119" s="233"/>
      <c r="T1119" s="508">
        <f t="shared" si="820"/>
        <v>0</v>
      </c>
      <c r="U1119" s="225">
        <f>IF(NOT(ISNUMBER(G1119)), "", VLOOKUP(A1119,'Discount Lookup'!D:E,2,FALSE)*G1119)</f>
        <v>0</v>
      </c>
      <c r="V1119" s="225">
        <f>IF(NOT(ISNUMBER(G1119)), "", VLOOKUP(A1119,'Discount Lookup'!G:H,2,FALSE)*G1119)</f>
        <v>0</v>
      </c>
      <c r="W1119" s="508">
        <f t="shared" si="821"/>
        <v>0</v>
      </c>
      <c r="X1119" s="508">
        <f t="shared" si="822"/>
        <v>0</v>
      </c>
      <c r="Y1119" s="509" t="b">
        <f t="shared" si="823"/>
        <v>0</v>
      </c>
      <c r="Z1119" s="510">
        <f t="shared" si="824"/>
        <v>0</v>
      </c>
      <c r="AA1119" s="511"/>
      <c r="AB1119" s="511" t="str">
        <f t="shared" si="825"/>
        <v/>
      </c>
      <c r="AC1119" s="698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698"/>
      <c r="AE1119" s="631" t="str">
        <f t="shared" si="826"/>
        <v/>
      </c>
      <c r="AF1119" s="699" t="str">
        <f t="shared" si="827"/>
        <v/>
      </c>
      <c r="AG1119" s="699"/>
      <c r="AH1119" s="699"/>
      <c r="AI1119" s="512">
        <f>IF(H1119="credit",0,IF(AE1119="free",0,IF(AE1119="me",0,IF(G1119&gt;0,(VLOOKUP(A1119,'Discount Lookup'!J:K,2)*G1119),0))))</f>
        <v>0</v>
      </c>
      <c r="AJ1119" s="513" t="str">
        <f t="shared" ca="1" si="828"/>
        <v/>
      </c>
      <c r="AK1119" s="700" t="str">
        <f t="shared" si="829"/>
        <v/>
      </c>
      <c r="AL1119" s="700"/>
      <c r="AM1119" s="505" t="str">
        <f t="shared" si="830"/>
        <v/>
      </c>
      <c r="AN1119" s="506"/>
      <c r="AO1119" s="507"/>
      <c r="AP1119" s="507"/>
      <c r="AQ1119" s="507"/>
      <c r="AR1119" s="507"/>
      <c r="AS1119" s="507"/>
      <c r="AT1119" s="507"/>
      <c r="AU1119" s="507"/>
      <c r="AV1119" s="225"/>
      <c r="AW1119" s="508"/>
      <c r="AX1119" s="225"/>
      <c r="AY1119" s="225"/>
      <c r="AZ1119" s="225"/>
      <c r="BA1119" s="225"/>
      <c r="BB1119" s="225"/>
      <c r="BC1119" s="56"/>
      <c r="BD1119" s="56"/>
      <c r="BE1119" s="56"/>
      <c r="BF1119" s="107" t="str">
        <f t="shared" si="831"/>
        <v>https://www.google.com/search?tbm=isch&amp;q=1%20G2</v>
      </c>
      <c r="BG1119" s="107" t="str">
        <f t="shared" si="832"/>
        <v>D</v>
      </c>
      <c r="BH1119" s="254"/>
      <c r="BI1119" s="254"/>
    </row>
    <row r="1120" spans="1:61" customFormat="1" ht="15.75" x14ac:dyDescent="0.25">
      <c r="A1120" s="276">
        <v>3</v>
      </c>
      <c r="B1120" s="240" t="s">
        <v>291</v>
      </c>
      <c r="C1120" s="241"/>
      <c r="D1120" s="242" t="s">
        <v>298</v>
      </c>
      <c r="E1120" s="243">
        <v>25.95</v>
      </c>
      <c r="F1120" s="517" t="s">
        <v>293</v>
      </c>
      <c r="G1120" s="232">
        <v>0</v>
      </c>
      <c r="H1120" s="661" t="str">
        <f>IF(G1120=0,"",IF(F1120="Buy",IF(G1120=1,"plant","plants"),IF(F1120&gt;0.01,"warranty","Error")))</f>
        <v/>
      </c>
      <c r="I1120" s="244">
        <f>IF(H1120="free",0,IF(H1120="credit",((E1120*(F1120))*G1120*-1),IF(F1120="Buy",(E1120*G1120),((E1120*(1-F1120))*G1120))))</f>
        <v>0</v>
      </c>
      <c r="J1120" s="244">
        <f>IF(H1120="warranty",0,(I1120*(_xlfn.SINGLE(SalesTaxPercentage))))</f>
        <v>0</v>
      </c>
      <c r="K1120" s="696">
        <f t="shared" ref="K1120" si="848">I1120+J1120</f>
        <v>0</v>
      </c>
      <c r="L1120" s="696"/>
      <c r="M1120" s="659" t="str">
        <f>IF(AND(G1120&gt;0,E1120=0),"WARNING - no PRICE inserted",IF(H1120="free"," FREE ~ no charge this plant",IF(H1120="credit",CONCATENATE(" -$",ROUND(K1120*(1-T2GDiscount)*-1,2)," CREDIT after discount"),IF(T2GDiscount=0,"",IF(G1120=0,"",IF(F1120="Buy",CONCATENATE(" $",ROUND(K1120*(1-T2GDiscount),2)," with ",(T2GDiscount*100),"% discount"),CONCATENATE(" $",ROUND(K1120*(1-T2GDiscount),2)," with ",((T2GDiscount*100+F1120*100)-(T2GDiscount*100*F1120)),IF(F1120&gt;0,"% discounts",IF(NoWarrantyDiscount&gt;0,"% discounts","% discount")))))))))</f>
        <v/>
      </c>
      <c r="N1120" s="660"/>
      <c r="O1120" s="233"/>
      <c r="P1120" s="233"/>
      <c r="Q1120" s="233"/>
      <c r="R1120" s="233"/>
      <c r="S1120" s="233"/>
      <c r="T1120" s="508">
        <f t="shared" si="820"/>
        <v>0</v>
      </c>
      <c r="U1120" s="225">
        <f>IF(NOT(ISNUMBER(G1120)), "", VLOOKUP(A1120,'Discount Lookup'!D:E,2,FALSE)*G1120)</f>
        <v>0</v>
      </c>
      <c r="V1120" s="225">
        <f>IF(NOT(ISNUMBER(G1120)), "", VLOOKUP(A1120,'Discount Lookup'!G:H,2,FALSE)*G1120)</f>
        <v>0</v>
      </c>
      <c r="W1120" s="508">
        <f t="shared" si="821"/>
        <v>0</v>
      </c>
      <c r="X1120" s="508">
        <f t="shared" si="822"/>
        <v>0</v>
      </c>
      <c r="Y1120" s="509" t="b">
        <f t="shared" si="823"/>
        <v>0</v>
      </c>
      <c r="Z1120" s="510">
        <f t="shared" si="824"/>
        <v>0</v>
      </c>
      <c r="AA1120" s="511"/>
      <c r="AB1120" s="511" t="str">
        <f t="shared" si="825"/>
        <v/>
      </c>
      <c r="AC1120" s="698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698"/>
      <c r="AE1120" s="631" t="str">
        <f t="shared" si="826"/>
        <v/>
      </c>
      <c r="AF1120" s="699" t="str">
        <f t="shared" si="827"/>
        <v/>
      </c>
      <c r="AG1120" s="699"/>
      <c r="AH1120" s="699"/>
      <c r="AI1120" s="512">
        <f>IF(H1120="credit",0,IF(AE1120="free",0,IF(AE1120="me",0,IF(G1120&gt;0,(VLOOKUP(A1120,'Discount Lookup'!J:K,2)*G1120),0))))</f>
        <v>0</v>
      </c>
      <c r="AJ1120" s="513" t="str">
        <f t="shared" ca="1" si="828"/>
        <v/>
      </c>
      <c r="AK1120" s="700" t="str">
        <f t="shared" si="829"/>
        <v/>
      </c>
      <c r="AL1120" s="700"/>
      <c r="AM1120" s="505" t="str">
        <f t="shared" si="830"/>
        <v/>
      </c>
      <c r="AN1120" s="506"/>
      <c r="AO1120" s="507"/>
      <c r="AP1120" s="507"/>
      <c r="AQ1120" s="507"/>
      <c r="AR1120" s="507"/>
      <c r="AS1120" s="507"/>
      <c r="AT1120" s="507"/>
      <c r="AU1120" s="507"/>
      <c r="AV1120" s="225"/>
      <c r="AW1120" s="508"/>
      <c r="AX1120" s="225"/>
      <c r="AY1120" s="225"/>
      <c r="AZ1120" s="225"/>
      <c r="BA1120" s="225"/>
      <c r="BB1120" s="225"/>
      <c r="BC1120" s="56"/>
      <c r="BD1120" s="56"/>
      <c r="BE1120" s="56"/>
      <c r="BF1120" s="107" t="str">
        <f t="shared" si="831"/>
        <v>https://www.google.com/search?tbm=isch&amp;q=3%20G1</v>
      </c>
      <c r="BG1120" s="107" t="str">
        <f t="shared" si="832"/>
        <v>D</v>
      </c>
      <c r="BH1120" s="254"/>
      <c r="BI1120" s="254"/>
    </row>
    <row r="1121" spans="1:61" customFormat="1" ht="17.25" thickBot="1" x14ac:dyDescent="0.3">
      <c r="A1121" s="524" t="s">
        <v>3056</v>
      </c>
      <c r="B1121" s="245"/>
      <c r="C1121" s="677"/>
      <c r="D1121" s="499"/>
      <c r="E1121" s="499"/>
      <c r="F1121" s="500"/>
      <c r="G1121" s="501"/>
      <c r="H1121" s="502"/>
      <c r="I1121" s="246"/>
      <c r="J1121" s="247"/>
      <c r="K1121" s="503"/>
      <c r="L1121" s="544"/>
      <c r="M1121" s="544"/>
      <c r="N1121" s="500"/>
      <c r="O1121" s="500"/>
      <c r="P1121" s="500"/>
      <c r="Q1121" s="500"/>
      <c r="R1121" s="500"/>
      <c r="S1121" s="669" t="s">
        <v>5003</v>
      </c>
      <c r="T1121" s="508">
        <f t="shared" si="820"/>
        <v>0</v>
      </c>
      <c r="U1121" s="225" t="str">
        <f>IF(NOT(ISNUMBER(G1121)), "", VLOOKUP(A1121,'Discount Lookup'!D:E,2,FALSE)*G1121)</f>
        <v/>
      </c>
      <c r="V1121" s="225" t="str">
        <f>IF(NOT(ISNUMBER(G1121)), "", VLOOKUP(A1121,'Discount Lookup'!G:H,2,FALSE)*G1121)</f>
        <v/>
      </c>
      <c r="W1121" s="508">
        <f t="shared" si="821"/>
        <v>0</v>
      </c>
      <c r="X1121" s="508">
        <f t="shared" si="822"/>
        <v>0</v>
      </c>
      <c r="Y1121" s="509" t="b">
        <f t="shared" si="823"/>
        <v>0</v>
      </c>
      <c r="Z1121" s="510">
        <f t="shared" si="824"/>
        <v>0</v>
      </c>
      <c r="AA1121" s="511"/>
      <c r="AB1121" s="511" t="str">
        <f t="shared" si="825"/>
        <v/>
      </c>
      <c r="AC1121" s="698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698"/>
      <c r="AE1121" s="631" t="str">
        <f t="shared" si="826"/>
        <v/>
      </c>
      <c r="AF1121" s="699" t="str">
        <f t="shared" si="827"/>
        <v/>
      </c>
      <c r="AG1121" s="699"/>
      <c r="AH1121" s="699"/>
      <c r="AI1121" s="512">
        <f>IF(H1121="credit",0,IF(AE1121="free",0,IF(AE1121="me",0,IF(G1121&gt;0,(VLOOKUP(A1121,'Discount Lookup'!J:K,2)*G1121),0))))</f>
        <v>0</v>
      </c>
      <c r="AJ1121" s="513" t="str">
        <f t="shared" ca="1" si="828"/>
        <v/>
      </c>
      <c r="AK1121" s="700" t="str">
        <f t="shared" si="829"/>
        <v/>
      </c>
      <c r="AL1121" s="700"/>
      <c r="AM1121" s="505" t="str">
        <f t="shared" si="830"/>
        <v/>
      </c>
      <c r="AN1121" s="506"/>
      <c r="AO1121" s="507"/>
      <c r="AP1121" s="507"/>
      <c r="AQ1121" s="507"/>
      <c r="AR1121" s="507"/>
      <c r="AS1121" s="507"/>
      <c r="AT1121" s="507"/>
      <c r="AU1121" s="507"/>
      <c r="AV1121" s="225"/>
      <c r="AW1121" s="508"/>
      <c r="AX1121" s="225"/>
      <c r="AY1121" s="225"/>
      <c r="AZ1121" s="225"/>
      <c r="BA1121" s="225"/>
      <c r="BB1121" s="225"/>
      <c r="BC1121" s="56"/>
      <c r="BD1121" s="56"/>
      <c r="BE1121" s="56"/>
      <c r="BF1121" s="107" t="str">
        <f t="shared" si="831"/>
        <v>https://www.google.com/search?tbm=isch&amp;q=Dwarf%20Fountain%20has%20arching%20Creamy-Tan-Pinkish%20Bottlebrush%20plumes.%20Blades%20turn%20Yellow-Orange%20in%20fall%2C%20then%20Tan-Beige%20</v>
      </c>
      <c r="BG1121" s="107" t="str">
        <f t="shared" si="832"/>
        <v>D</v>
      </c>
      <c r="BH1121" s="254"/>
      <c r="BI1121" s="254"/>
    </row>
    <row r="1122" spans="1:61" customFormat="1" ht="18" x14ac:dyDescent="0.25">
      <c r="A1122" s="521" t="s">
        <v>803</v>
      </c>
      <c r="B1122" s="477"/>
      <c r="C1122" s="674"/>
      <c r="D1122" s="478" t="s">
        <v>804</v>
      </c>
      <c r="E1122" s="479"/>
      <c r="F1122" s="479"/>
      <c r="G1122" s="479"/>
      <c r="H1122" s="582" t="s">
        <v>2506</v>
      </c>
      <c r="I1122" s="480" t="s">
        <v>2293</v>
      </c>
      <c r="J1122" s="479"/>
      <c r="K1122" s="479"/>
      <c r="L1122" s="560"/>
      <c r="M1122" s="666" t="s">
        <v>4966</v>
      </c>
      <c r="N1122" s="680" t="str">
        <f>IF(AND(ISTEXT($A1122), ISERROR($A1122+0)), HYPERLINK($BF1122, "Images"), "")</f>
        <v>Images</v>
      </c>
      <c r="O1122" s="662" t="s">
        <v>4969</v>
      </c>
      <c r="P1122" s="482"/>
      <c r="Q1122" s="483"/>
      <c r="R1122" s="483"/>
      <c r="S1122" s="484"/>
      <c r="T1122" s="508">
        <f t="shared" si="820"/>
        <v>0</v>
      </c>
      <c r="U1122" s="225" t="str">
        <f>IF(NOT(ISNUMBER(G1122)), "", VLOOKUP(A1122,'Discount Lookup'!D:E,2,FALSE)*G1122)</f>
        <v/>
      </c>
      <c r="V1122" s="225" t="str">
        <f>IF(NOT(ISNUMBER(G1122)), "", VLOOKUP(A1122,'Discount Lookup'!G:H,2,FALSE)*G1122)</f>
        <v/>
      </c>
      <c r="W1122" s="508">
        <f t="shared" si="821"/>
        <v>0</v>
      </c>
      <c r="X1122" s="508" t="str">
        <f t="shared" si="822"/>
        <v>Golden-Yellow foliage</v>
      </c>
      <c r="Y1122" s="509" t="b">
        <f t="shared" si="823"/>
        <v>0</v>
      </c>
      <c r="Z1122" s="510">
        <f t="shared" si="824"/>
        <v>0</v>
      </c>
      <c r="AA1122" s="511"/>
      <c r="AB1122" s="511" t="str">
        <f t="shared" si="825"/>
        <v/>
      </c>
      <c r="AC1122" s="698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698"/>
      <c r="AE1122" s="631" t="str">
        <f t="shared" si="826"/>
        <v/>
      </c>
      <c r="AF1122" s="699" t="str">
        <f t="shared" si="827"/>
        <v/>
      </c>
      <c r="AG1122" s="699"/>
      <c r="AH1122" s="699"/>
      <c r="AI1122" s="512">
        <f>IF(H1122="credit",0,IF(AE1122="free",0,IF(AE1122="me",0,IF(G1122&gt;0,(VLOOKUP(A1122,'Discount Lookup'!J:K,2)*G1122),0))))</f>
        <v>0</v>
      </c>
      <c r="AJ1122" s="513" t="str">
        <f t="shared" ca="1" si="828"/>
        <v/>
      </c>
      <c r="AK1122" s="700" t="str">
        <f t="shared" si="829"/>
        <v/>
      </c>
      <c r="AL1122" s="700"/>
      <c r="AM1122" s="505" t="str">
        <f t="shared" si="830"/>
        <v/>
      </c>
      <c r="AN1122" s="506"/>
      <c r="AO1122" s="507"/>
      <c r="AP1122" s="507"/>
      <c r="AQ1122" s="507"/>
      <c r="AR1122" s="507"/>
      <c r="AS1122" s="507"/>
      <c r="AT1122" s="507"/>
      <c r="AU1122" s="507"/>
      <c r="AV1122" s="225"/>
      <c r="AW1122" s="508"/>
      <c r="AX1122" s="225"/>
      <c r="AY1122" s="225"/>
      <c r="AZ1122" s="225"/>
      <c r="BA1122" s="225"/>
      <c r="BB1122" s="225"/>
      <c r="BC1122" s="56"/>
      <c r="BD1122" s="56"/>
      <c r="BE1122" s="56"/>
      <c r="BF1122" s="107" t="str">
        <f t="shared" si="831"/>
        <v>https://www.google.com/search?tbm=isch&amp;q=Dwarf%20Golden%20Sweet%20Flag%20Acorus%20gramineus%20%27Minimus%20Aureus%27</v>
      </c>
      <c r="BG1122" s="107" t="str">
        <f t="shared" si="832"/>
        <v>D</v>
      </c>
      <c r="BH1122" s="254"/>
      <c r="BI1122" s="254"/>
    </row>
    <row r="1123" spans="1:61" customFormat="1" ht="15.75" x14ac:dyDescent="0.25">
      <c r="A1123" s="485">
        <v>4</v>
      </c>
      <c r="B1123" s="486" t="s">
        <v>291</v>
      </c>
      <c r="C1123" s="487" t="s">
        <v>794</v>
      </c>
      <c r="D1123" s="488" t="s">
        <v>300</v>
      </c>
      <c r="E1123" s="489">
        <v>158.94999999999999</v>
      </c>
      <c r="F1123" s="516" t="s">
        <v>293</v>
      </c>
      <c r="G1123" s="232">
        <v>0</v>
      </c>
      <c r="H1123" s="658" t="str">
        <f>IF(G1123=0,"",IF(F1123="Buy",IF(G1123=1,"plant","plants"),IF(F1123&gt;0.01,"warranty","Error")))</f>
        <v/>
      </c>
      <c r="I1123" s="490">
        <f>IF(H1123="free",0,IF(H1123="credit",((E1123*(F1123))*G1123*-1),IF(F1123="Buy",(E1123*G1123),((E1123*(1-F1123))*G1123))))</f>
        <v>0</v>
      </c>
      <c r="J1123" s="490">
        <f>IF(H1123="warranty",0,(I1123*(_xlfn.SINGLE(SalesTaxPercentage))))</f>
        <v>0</v>
      </c>
      <c r="K1123" s="695">
        <f t="shared" ref="K1123" si="849">I1123+J1123</f>
        <v>0</v>
      </c>
      <c r="L1123" s="695"/>
      <c r="M1123" s="659" t="str">
        <f>IF(AND(G1123&gt;0,E1123=0),"WARNING - no PRICE inserted",IF(H1123="free"," FREE ~ no charge this plant",IF(H1123="credit",CONCATENATE(" -$",ROUND(K1123*(1-T2GDiscount)*-1,2)," CREDIT after discount"),IF(T2GDiscount=0,"",IF(G1123=0,"",IF(F1123="Buy",CONCATENATE(" $",ROUND(K1123*(1-T2GDiscount),2)," with ",(T2GDiscount*100),"% discount"),CONCATENATE(" $",ROUND(K1123*(1-T2GDiscount),2)," with ",((T2GDiscount*100+F1123*100)-(T2GDiscount*100*F1123)),IF(F1123&gt;0,"% discounts",IF(NoWarrantyDiscount&gt;0,"% discounts","% discount")))))))))</f>
        <v/>
      </c>
      <c r="N1123" s="660"/>
      <c r="O1123" s="233"/>
      <c r="P1123" s="233"/>
      <c r="Q1123" s="233"/>
      <c r="R1123" s="233"/>
      <c r="S1123" s="233"/>
      <c r="T1123" s="508">
        <f t="shared" si="820"/>
        <v>0</v>
      </c>
      <c r="U1123" s="225">
        <f>IF(NOT(ISNUMBER(G1123)), "", VLOOKUP(A1123,'Discount Lookup'!D:E,2,FALSE)*G1123)</f>
        <v>0</v>
      </c>
      <c r="V1123" s="225">
        <f>IF(NOT(ISNUMBER(G1123)), "", VLOOKUP(A1123,'Discount Lookup'!G:H,2,FALSE)*G1123)</f>
        <v>0</v>
      </c>
      <c r="W1123" s="508">
        <f t="shared" si="821"/>
        <v>0</v>
      </c>
      <c r="X1123" s="508">
        <f t="shared" si="822"/>
        <v>0</v>
      </c>
      <c r="Y1123" s="509" t="b">
        <f t="shared" si="823"/>
        <v>0</v>
      </c>
      <c r="Z1123" s="510">
        <f t="shared" si="824"/>
        <v>0</v>
      </c>
      <c r="AA1123" s="511"/>
      <c r="AB1123" s="511" t="str">
        <f t="shared" si="825"/>
        <v/>
      </c>
      <c r="AC1123" s="698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698"/>
      <c r="AE1123" s="631" t="str">
        <f t="shared" si="826"/>
        <v/>
      </c>
      <c r="AF1123" s="699" t="str">
        <f t="shared" si="827"/>
        <v/>
      </c>
      <c r="AG1123" s="699"/>
      <c r="AH1123" s="699"/>
      <c r="AI1123" s="512">
        <f>IF(H1123="credit",0,IF(AE1123="free",0,IF(AE1123="me",0,IF(G1123&gt;0,(VLOOKUP(A1123,'Discount Lookup'!J:K,2)*G1123),0))))</f>
        <v>0</v>
      </c>
      <c r="AJ1123" s="513" t="str">
        <f t="shared" ca="1" si="828"/>
        <v/>
      </c>
      <c r="AK1123" s="700" t="str">
        <f t="shared" si="829"/>
        <v/>
      </c>
      <c r="AL1123" s="700"/>
      <c r="AM1123" s="505" t="str">
        <f t="shared" si="830"/>
        <v/>
      </c>
      <c r="AN1123" s="506"/>
      <c r="AO1123" s="507"/>
      <c r="AP1123" s="507"/>
      <c r="AQ1123" s="507"/>
      <c r="AR1123" s="507"/>
      <c r="AS1123" s="507"/>
      <c r="AT1123" s="507"/>
      <c r="AU1123" s="507"/>
      <c r="AV1123" s="225"/>
      <c r="AW1123" s="508"/>
      <c r="AX1123" s="225"/>
      <c r="AY1123" s="225"/>
      <c r="AZ1123" s="225"/>
      <c r="BA1123" s="225"/>
      <c r="BB1123" s="225"/>
      <c r="BC1123" s="56"/>
      <c r="BD1123" s="56"/>
      <c r="BE1123" s="56"/>
      <c r="BF1123" s="107" t="str">
        <f t="shared" si="831"/>
        <v>https://www.google.com/search?tbm=isch&amp;q=4%20G6</v>
      </c>
      <c r="BG1123" s="107" t="str">
        <f t="shared" si="832"/>
        <v>D</v>
      </c>
      <c r="BH1123" s="254"/>
      <c r="BI1123" s="254"/>
    </row>
    <row r="1124" spans="1:61" customFormat="1" ht="16.5" thickBot="1" x14ac:dyDescent="0.3">
      <c r="A1124" s="672" t="s">
        <v>5098</v>
      </c>
      <c r="B1124" s="491"/>
      <c r="C1124" s="675"/>
      <c r="D1124" s="491"/>
      <c r="E1124" s="491"/>
      <c r="F1124" s="492"/>
      <c r="G1124" s="493"/>
      <c r="H1124" s="491"/>
      <c r="I1124" s="234"/>
      <c r="J1124" s="234"/>
      <c r="K1124" s="494"/>
      <c r="L1124" s="543"/>
      <c r="M1124" s="561"/>
      <c r="N1124" s="495"/>
      <c r="O1124" s="496"/>
      <c r="P1124" s="497"/>
      <c r="Q1124" s="495"/>
      <c r="R1124" s="495"/>
      <c r="S1124" s="664" t="s">
        <v>5010</v>
      </c>
      <c r="T1124" s="508">
        <f t="shared" si="820"/>
        <v>0</v>
      </c>
      <c r="U1124" s="225" t="str">
        <f>IF(NOT(ISNUMBER(G1124)), "", VLOOKUP(A1124,'Discount Lookup'!D:E,2,FALSE)*G1124)</f>
        <v/>
      </c>
      <c r="V1124" s="225" t="str">
        <f>IF(NOT(ISNUMBER(G1124)), "", VLOOKUP(A1124,'Discount Lookup'!G:H,2,FALSE)*G1124)</f>
        <v/>
      </c>
      <c r="W1124" s="508">
        <f t="shared" si="821"/>
        <v>0</v>
      </c>
      <c r="X1124" s="508">
        <f t="shared" si="822"/>
        <v>0</v>
      </c>
      <c r="Y1124" s="509" t="b">
        <f t="shared" si="823"/>
        <v>0</v>
      </c>
      <c r="Z1124" s="510">
        <f t="shared" si="824"/>
        <v>0</v>
      </c>
      <c r="AA1124" s="511"/>
      <c r="AB1124" s="511" t="str">
        <f t="shared" si="825"/>
        <v/>
      </c>
      <c r="AC1124" s="698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698"/>
      <c r="AE1124" s="631" t="str">
        <f t="shared" si="826"/>
        <v/>
      </c>
      <c r="AF1124" s="699" t="str">
        <f t="shared" si="827"/>
        <v/>
      </c>
      <c r="AG1124" s="699"/>
      <c r="AH1124" s="699"/>
      <c r="AI1124" s="512">
        <f>IF(H1124="credit",0,IF(AE1124="free",0,IF(AE1124="me",0,IF(G1124&gt;0,(VLOOKUP(A1124,'Discount Lookup'!J:K,2)*G1124),0))))</f>
        <v>0</v>
      </c>
      <c r="AJ1124" s="513" t="str">
        <f t="shared" ca="1" si="828"/>
        <v/>
      </c>
      <c r="AK1124" s="700" t="str">
        <f t="shared" si="829"/>
        <v/>
      </c>
      <c r="AL1124" s="700"/>
      <c r="AM1124" s="505" t="str">
        <f t="shared" si="830"/>
        <v/>
      </c>
      <c r="AN1124" s="506"/>
      <c r="AO1124" s="507"/>
      <c r="AP1124" s="507"/>
      <c r="AQ1124" s="507"/>
      <c r="AR1124" s="507"/>
      <c r="AS1124" s="507"/>
      <c r="AT1124" s="507"/>
      <c r="AU1124" s="507"/>
      <c r="AV1124" s="225"/>
      <c r="AW1124" s="508"/>
      <c r="AX1124" s="225"/>
      <c r="AY1124" s="225"/>
      <c r="AZ1124" s="225"/>
      <c r="BA1124" s="225"/>
      <c r="BB1124" s="225"/>
      <c r="BC1124" s="56"/>
      <c r="BD1124" s="56"/>
      <c r="BE1124" s="56"/>
      <c r="BF1124" s="107" t="str">
        <f t="shared" si="831"/>
        <v>https://www.google.com/search?tbm=isch&amp;q=wet%20sites%F0%9F%92%A7BEST%2C%20Dwarf%20Golden%20forms%20a%20dense%2C%20Golden%20carpet%20of%20aromatic%20foliage%20%28sweet%2Fspicy%29%20that%20lights%20up%20damp%2C%20shady%20spots%20</v>
      </c>
      <c r="BG1124" s="107" t="str">
        <f t="shared" si="832"/>
        <v>w</v>
      </c>
      <c r="BH1124" s="254"/>
      <c r="BI1124" s="254"/>
    </row>
    <row r="1125" spans="1:61" customFormat="1" ht="18" x14ac:dyDescent="0.25">
      <c r="A1125" s="521" t="s">
        <v>4667</v>
      </c>
      <c r="B1125" s="477"/>
      <c r="C1125" s="674"/>
      <c r="D1125" s="478" t="s">
        <v>4668</v>
      </c>
      <c r="E1125" s="479"/>
      <c r="F1125" s="479"/>
      <c r="G1125" s="479"/>
      <c r="H1125" s="582" t="s">
        <v>443</v>
      </c>
      <c r="I1125" s="480" t="s">
        <v>2093</v>
      </c>
      <c r="J1125" s="479"/>
      <c r="K1125" s="479"/>
      <c r="L1125" s="560"/>
      <c r="M1125" s="666" t="s">
        <v>4966</v>
      </c>
      <c r="N1125" s="680" t="str">
        <f>IF(AND(ISTEXT($A1125), ISERROR($A1125+0)), HYPERLINK($BF1125, "Images"), "")</f>
        <v>Images</v>
      </c>
      <c r="O1125" s="662" t="s">
        <v>4967</v>
      </c>
      <c r="P1125" s="482"/>
      <c r="Q1125" s="483"/>
      <c r="R1125" s="483"/>
      <c r="S1125" s="484"/>
      <c r="T1125" s="508">
        <f t="shared" si="820"/>
        <v>0</v>
      </c>
      <c r="U1125" s="225" t="str">
        <f>IF(NOT(ISNUMBER(G1125)), "", VLOOKUP(A1125,'Discount Lookup'!D:E,2,FALSE)*G1125)</f>
        <v/>
      </c>
      <c r="V1125" s="225" t="str">
        <f>IF(NOT(ISNUMBER(G1125)), "", VLOOKUP(A1125,'Discount Lookup'!G:H,2,FALSE)*G1125)</f>
        <v/>
      </c>
      <c r="W1125" s="508">
        <f t="shared" si="821"/>
        <v>0</v>
      </c>
      <c r="X1125" s="508" t="str">
        <f t="shared" si="822"/>
        <v>Dark Green foliage</v>
      </c>
      <c r="Y1125" s="509" t="b">
        <f t="shared" si="823"/>
        <v>0</v>
      </c>
      <c r="Z1125" s="510">
        <f t="shared" si="824"/>
        <v>0</v>
      </c>
      <c r="AA1125" s="511"/>
      <c r="AB1125" s="511" t="str">
        <f t="shared" si="825"/>
        <v/>
      </c>
      <c r="AC1125" s="698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698"/>
      <c r="AE1125" s="631" t="str">
        <f t="shared" si="826"/>
        <v/>
      </c>
      <c r="AF1125" s="699" t="str">
        <f t="shared" si="827"/>
        <v/>
      </c>
      <c r="AG1125" s="699"/>
      <c r="AH1125" s="699"/>
      <c r="AI1125" s="512">
        <f>IF(H1125="credit",0,IF(AE1125="free",0,IF(AE1125="me",0,IF(G1125&gt;0,(VLOOKUP(A1125,'Discount Lookup'!J:K,2)*G1125),0))))</f>
        <v>0</v>
      </c>
      <c r="AJ1125" s="513" t="str">
        <f t="shared" ca="1" si="828"/>
        <v/>
      </c>
      <c r="AK1125" s="700" t="str">
        <f t="shared" si="829"/>
        <v/>
      </c>
      <c r="AL1125" s="700"/>
      <c r="AM1125" s="505" t="str">
        <f t="shared" si="830"/>
        <v/>
      </c>
      <c r="AN1125" s="506"/>
      <c r="AO1125" s="507"/>
      <c r="AP1125" s="507"/>
      <c r="AQ1125" s="507"/>
      <c r="AR1125" s="507"/>
      <c r="AS1125" s="507"/>
      <c r="AT1125" s="507"/>
      <c r="AU1125" s="507"/>
      <c r="AV1125" s="225"/>
      <c r="AW1125" s="508"/>
      <c r="AX1125" s="225"/>
      <c r="AY1125" s="225"/>
      <c r="AZ1125" s="225"/>
      <c r="BA1125" s="225"/>
      <c r="BB1125" s="225"/>
      <c r="BC1125" s="56"/>
      <c r="BD1125" s="56"/>
      <c r="BE1125" s="56"/>
      <c r="BF1125" s="107" t="str">
        <f t="shared" si="831"/>
        <v>https://www.google.com/search?tbm=isch&amp;q=Dwarf%20Hinoki%20Cypress%20Chamaecyparis%20obtusa%20%27Nana%27</v>
      </c>
      <c r="BG1125" s="107" t="str">
        <f t="shared" si="832"/>
        <v>D</v>
      </c>
      <c r="BH1125" s="254"/>
      <c r="BI1125" s="254"/>
    </row>
    <row r="1126" spans="1:61" customFormat="1" ht="27" x14ac:dyDescent="0.25">
      <c r="A1126" s="485">
        <v>7</v>
      </c>
      <c r="B1126" s="486" t="s">
        <v>291</v>
      </c>
      <c r="C1126" s="487" t="s">
        <v>4754</v>
      </c>
      <c r="D1126" s="488" t="s">
        <v>292</v>
      </c>
      <c r="E1126" s="489">
        <v>224.95</v>
      </c>
      <c r="F1126" s="516" t="s">
        <v>293</v>
      </c>
      <c r="G1126" s="232">
        <v>0</v>
      </c>
      <c r="H1126" s="658" t="str">
        <f>IF(G1126=0,"",IF(F1126="Buy",IF(G1126=1,"plant","plants"),IF(F1126&gt;0.01,"warranty","Error")))</f>
        <v/>
      </c>
      <c r="I1126" s="490">
        <f>IF(H1126="free",0,IF(H1126="credit",((E1126*(F1126))*G1126*-1),IF(F1126="Buy",(E1126*G1126),((E1126*(1-F1126))*G1126))))</f>
        <v>0</v>
      </c>
      <c r="J1126" s="490">
        <f>IF(H1126="warranty",0,(I1126*(_xlfn.SINGLE(SalesTaxPercentage))))</f>
        <v>0</v>
      </c>
      <c r="K1126" s="695">
        <f t="shared" ref="K1126" si="850">I1126+J1126</f>
        <v>0</v>
      </c>
      <c r="L1126" s="695"/>
      <c r="M1126" s="659" t="str">
        <f>IF(AND(G1126&gt;0,E1126=0),"WARNING - no PRICE inserted",IF(H1126="free"," FREE ~ no charge this plant",IF(H1126="credit",CONCATENATE(" -$",ROUND(K1126*(1-T2GDiscount)*-1,2)," CREDIT after discount"),IF(T2GDiscount=0,"",IF(G1126=0,"",IF(F1126="Buy",CONCATENATE(" $",ROUND(K1126*(1-T2GDiscount),2)," with ",(T2GDiscount*100),"% discount"),CONCATENATE(" $",ROUND(K1126*(1-T2GDiscount),2)," with ",((T2GDiscount*100+F1126*100)-(T2GDiscount*100*F1126)),IF(F1126&gt;0,"% discounts",IF(NoWarrantyDiscount&gt;0,"% discounts","% discount")))))))))</f>
        <v/>
      </c>
      <c r="N1126" s="660"/>
      <c r="O1126" s="233"/>
      <c r="P1126" s="233"/>
      <c r="Q1126" s="233"/>
      <c r="R1126" s="233"/>
      <c r="S1126" s="233"/>
      <c r="T1126" s="508">
        <f t="shared" si="820"/>
        <v>0</v>
      </c>
      <c r="U1126" s="225">
        <f>IF(NOT(ISNUMBER(G1126)), "", VLOOKUP(A1126,'Discount Lookup'!D:E,2,FALSE)*G1126)</f>
        <v>0</v>
      </c>
      <c r="V1126" s="225">
        <f>IF(NOT(ISNUMBER(G1126)), "", VLOOKUP(A1126,'Discount Lookup'!G:H,2,FALSE)*G1126)</f>
        <v>0</v>
      </c>
      <c r="W1126" s="508">
        <f t="shared" si="821"/>
        <v>0</v>
      </c>
      <c r="X1126" s="508">
        <f t="shared" si="822"/>
        <v>0</v>
      </c>
      <c r="Y1126" s="509" t="b">
        <f t="shared" si="823"/>
        <v>0</v>
      </c>
      <c r="Z1126" s="510">
        <f t="shared" si="824"/>
        <v>0</v>
      </c>
      <c r="AA1126" s="511"/>
      <c r="AB1126" s="511" t="str">
        <f t="shared" si="825"/>
        <v/>
      </c>
      <c r="AC1126" s="698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698"/>
      <c r="AE1126" s="631" t="str">
        <f t="shared" si="826"/>
        <v/>
      </c>
      <c r="AF1126" s="699" t="str">
        <f t="shared" si="827"/>
        <v/>
      </c>
      <c r="AG1126" s="699"/>
      <c r="AH1126" s="699"/>
      <c r="AI1126" s="512">
        <f>IF(H1126="credit",0,IF(AE1126="free",0,IF(AE1126="me",0,IF(G1126&gt;0,(VLOOKUP(A1126,'Discount Lookup'!J:K,2)*G1126),0))))</f>
        <v>0</v>
      </c>
      <c r="AJ1126" s="513" t="str">
        <f t="shared" ca="1" si="828"/>
        <v/>
      </c>
      <c r="AK1126" s="700" t="str">
        <f t="shared" si="829"/>
        <v/>
      </c>
      <c r="AL1126" s="700"/>
      <c r="AM1126" s="505" t="str">
        <f t="shared" si="830"/>
        <v/>
      </c>
      <c r="AN1126" s="506"/>
      <c r="AO1126" s="507"/>
      <c r="AP1126" s="507"/>
      <c r="AQ1126" s="507"/>
      <c r="AR1126" s="507"/>
      <c r="AS1126" s="507"/>
      <c r="AT1126" s="507"/>
      <c r="AU1126" s="507"/>
      <c r="AV1126" s="225"/>
      <c r="AW1126" s="508"/>
      <c r="AX1126" s="225"/>
      <c r="AY1126" s="225"/>
      <c r="AZ1126" s="225"/>
      <c r="BA1126" s="225"/>
      <c r="BB1126" s="225"/>
      <c r="BC1126" s="56"/>
      <c r="BD1126" s="56"/>
      <c r="BE1126" s="56"/>
      <c r="BF1126" s="107" t="str">
        <f t="shared" si="831"/>
        <v>https://www.google.com/search?tbm=isch&amp;q=7%20G4</v>
      </c>
      <c r="BG1126" s="107" t="str">
        <f t="shared" si="832"/>
        <v>D</v>
      </c>
      <c r="BH1126" s="254"/>
      <c r="BI1126" s="254"/>
    </row>
    <row r="1127" spans="1:61" customFormat="1" ht="16.5" thickBot="1" x14ac:dyDescent="0.3">
      <c r="A1127" s="522" t="s">
        <v>4669</v>
      </c>
      <c r="B1127" s="491"/>
      <c r="C1127" s="675"/>
      <c r="D1127" s="491"/>
      <c r="E1127" s="491"/>
      <c r="F1127" s="492"/>
      <c r="G1127" s="493"/>
      <c r="H1127" s="491"/>
      <c r="I1127" s="234"/>
      <c r="J1127" s="234"/>
      <c r="K1127" s="494"/>
      <c r="L1127" s="543"/>
      <c r="M1127" s="561"/>
      <c r="N1127" s="495"/>
      <c r="O1127" s="496"/>
      <c r="P1127" s="497"/>
      <c r="Q1127" s="495"/>
      <c r="R1127" s="495"/>
      <c r="S1127" s="277"/>
      <c r="T1127" s="508">
        <f t="shared" si="820"/>
        <v>0</v>
      </c>
      <c r="U1127" s="225" t="str">
        <f>IF(NOT(ISNUMBER(G1127)), "", VLOOKUP(A1127,'Discount Lookup'!D:E,2,FALSE)*G1127)</f>
        <v/>
      </c>
      <c r="V1127" s="225" t="str">
        <f>IF(NOT(ISNUMBER(G1127)), "", VLOOKUP(A1127,'Discount Lookup'!G:H,2,FALSE)*G1127)</f>
        <v/>
      </c>
      <c r="W1127" s="508">
        <f t="shared" si="821"/>
        <v>0</v>
      </c>
      <c r="X1127" s="508">
        <f t="shared" si="822"/>
        <v>0</v>
      </c>
      <c r="Y1127" s="509" t="b">
        <f t="shared" si="823"/>
        <v>0</v>
      </c>
      <c r="Z1127" s="510">
        <f t="shared" si="824"/>
        <v>0</v>
      </c>
      <c r="AA1127" s="511"/>
      <c r="AB1127" s="511" t="str">
        <f t="shared" si="825"/>
        <v/>
      </c>
      <c r="AC1127" s="698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698"/>
      <c r="AE1127" s="631" t="str">
        <f t="shared" si="826"/>
        <v/>
      </c>
      <c r="AF1127" s="699" t="str">
        <f t="shared" si="827"/>
        <v/>
      </c>
      <c r="AG1127" s="699"/>
      <c r="AH1127" s="699"/>
      <c r="AI1127" s="512">
        <f>IF(H1127="credit",0,IF(AE1127="free",0,IF(AE1127="me",0,IF(G1127&gt;0,(VLOOKUP(A1127,'Discount Lookup'!J:K,2)*G1127),0))))</f>
        <v>0</v>
      </c>
      <c r="AJ1127" s="513" t="str">
        <f t="shared" ca="1" si="828"/>
        <v/>
      </c>
      <c r="AK1127" s="700" t="str">
        <f t="shared" si="829"/>
        <v/>
      </c>
      <c r="AL1127" s="700"/>
      <c r="AM1127" s="505" t="str">
        <f t="shared" si="830"/>
        <v/>
      </c>
      <c r="AN1127" s="506"/>
      <c r="AO1127" s="507"/>
      <c r="AP1127" s="507"/>
      <c r="AQ1127" s="507"/>
      <c r="AR1127" s="507"/>
      <c r="AS1127" s="507"/>
      <c r="AT1127" s="507"/>
      <c r="AU1127" s="507"/>
      <c r="AV1127" s="225"/>
      <c r="AW1127" s="508"/>
      <c r="AX1127" s="225"/>
      <c r="AY1127" s="225"/>
      <c r="AZ1127" s="225"/>
      <c r="BA1127" s="225"/>
      <c r="BB1127" s="225"/>
      <c r="BC1127" s="56"/>
      <c r="BD1127" s="56"/>
      <c r="BE1127" s="56"/>
      <c r="BF1127" s="107" t="str">
        <f t="shared" si="831"/>
        <v>https://www.google.com/search?tbm=isch&amp;q=Dwarf%20Hinoki%20is%20a%20slow-grower%2C%20with%20unique%20shell-like%20sprays%20that%20create%20a%20layered%20texture%20</v>
      </c>
      <c r="BG1127" s="107" t="str">
        <f t="shared" si="832"/>
        <v>D</v>
      </c>
      <c r="BH1127" s="254"/>
      <c r="BI1127" s="254"/>
    </row>
    <row r="1128" spans="1:61" customFormat="1" ht="18" x14ac:dyDescent="0.25">
      <c r="A1128" s="521" t="s">
        <v>806</v>
      </c>
      <c r="B1128" s="477"/>
      <c r="C1128" s="674"/>
      <c r="D1128" s="478" t="s">
        <v>807</v>
      </c>
      <c r="E1128" s="479"/>
      <c r="F1128" s="479"/>
      <c r="G1128" s="479"/>
      <c r="H1128" s="582" t="s">
        <v>4242</v>
      </c>
      <c r="I1128" s="480" t="s">
        <v>2092</v>
      </c>
      <c r="J1128" s="479"/>
      <c r="K1128" s="479"/>
      <c r="L1128" s="560"/>
      <c r="M1128" s="666" t="s">
        <v>4963</v>
      </c>
      <c r="N1128" s="680" t="str">
        <f>IF(AND(ISTEXT($A1128), ISERROR($A1128+0)), HYPERLINK($BF1128, "Images"), "")</f>
        <v>Images</v>
      </c>
      <c r="O1128" s="662" t="s">
        <v>4969</v>
      </c>
      <c r="P1128" s="482"/>
      <c r="Q1128" s="483"/>
      <c r="R1128" s="483"/>
      <c r="S1128" s="484"/>
      <c r="T1128" s="508">
        <f t="shared" si="820"/>
        <v>0</v>
      </c>
      <c r="U1128" s="225" t="str">
        <f>IF(NOT(ISNUMBER(G1128)), "", VLOOKUP(A1128,'Discount Lookup'!D:E,2,FALSE)*G1128)</f>
        <v/>
      </c>
      <c r="V1128" s="225" t="str">
        <f>IF(NOT(ISNUMBER(G1128)), "", VLOOKUP(A1128,'Discount Lookup'!G:H,2,FALSE)*G1128)</f>
        <v/>
      </c>
      <c r="W1128" s="508">
        <f t="shared" si="821"/>
        <v>0</v>
      </c>
      <c r="X1128" s="508" t="str">
        <f t="shared" si="822"/>
        <v>Blue-Green foliage</v>
      </c>
      <c r="Y1128" s="509" t="b">
        <f t="shared" si="823"/>
        <v>0</v>
      </c>
      <c r="Z1128" s="510">
        <f t="shared" si="824"/>
        <v>0</v>
      </c>
      <c r="AA1128" s="511"/>
      <c r="AB1128" s="511" t="str">
        <f t="shared" si="825"/>
        <v/>
      </c>
      <c r="AC1128" s="698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698"/>
      <c r="AE1128" s="631" t="str">
        <f t="shared" si="826"/>
        <v/>
      </c>
      <c r="AF1128" s="699" t="str">
        <f t="shared" si="827"/>
        <v/>
      </c>
      <c r="AG1128" s="699"/>
      <c r="AH1128" s="699"/>
      <c r="AI1128" s="512">
        <f>IF(H1128="credit",0,IF(AE1128="free",0,IF(AE1128="me",0,IF(G1128&gt;0,(VLOOKUP(A1128,'Discount Lookup'!J:K,2)*G1128),0))))</f>
        <v>0</v>
      </c>
      <c r="AJ1128" s="513" t="str">
        <f t="shared" ca="1" si="828"/>
        <v/>
      </c>
      <c r="AK1128" s="700" t="str">
        <f t="shared" si="829"/>
        <v/>
      </c>
      <c r="AL1128" s="700"/>
      <c r="AM1128" s="505" t="str">
        <f t="shared" si="830"/>
        <v/>
      </c>
      <c r="AN1128" s="506"/>
      <c r="AO1128" s="507"/>
      <c r="AP1128" s="507"/>
      <c r="AQ1128" s="507"/>
      <c r="AR1128" s="507"/>
      <c r="AS1128" s="507"/>
      <c r="AT1128" s="507"/>
      <c r="AU1128" s="507"/>
      <c r="AV1128" s="225"/>
      <c r="AW1128" s="508"/>
      <c r="AX1128" s="225"/>
      <c r="AY1128" s="225"/>
      <c r="AZ1128" s="225"/>
      <c r="BA1128" s="225"/>
      <c r="BB1128" s="225"/>
      <c r="BC1128" s="56"/>
      <c r="BD1128" s="56"/>
      <c r="BE1128" s="56"/>
      <c r="BF1128" s="107" t="str">
        <f t="shared" si="831"/>
        <v>https://www.google.com/search?tbm=isch&amp;q=Dwarf%20Japanese%20Garden%20Juniper%20Juniperus%20procumbens%20%27Nana%27</v>
      </c>
      <c r="BG1128" s="107" t="str">
        <f t="shared" si="832"/>
        <v>D</v>
      </c>
      <c r="BH1128" s="254"/>
      <c r="BI1128" s="254"/>
    </row>
    <row r="1129" spans="1:61" customFormat="1" ht="15.75" x14ac:dyDescent="0.25">
      <c r="A1129" s="485">
        <v>3</v>
      </c>
      <c r="B1129" s="486" t="s">
        <v>291</v>
      </c>
      <c r="C1129" s="487" t="s">
        <v>2739</v>
      </c>
      <c r="D1129" s="488" t="s">
        <v>299</v>
      </c>
      <c r="E1129" s="489">
        <v>30.95</v>
      </c>
      <c r="F1129" s="516" t="s">
        <v>293</v>
      </c>
      <c r="G1129" s="232">
        <v>0</v>
      </c>
      <c r="H1129" s="658" t="str">
        <f>IF(G1129=0,"",IF(F1129="Buy",IF(G1129=1,"plant","plants"),IF(F1129&gt;0.01,"warranty","Error")))</f>
        <v/>
      </c>
      <c r="I1129" s="490">
        <f>IF(H1129="free",0,IF(H1129="credit",((E1129*(F1129))*G1129*-1),IF(F1129="Buy",(E1129*G1129),((E1129*(1-F1129))*G1129))))</f>
        <v>0</v>
      </c>
      <c r="J1129" s="490">
        <f>IF(H1129="warranty",0,(I1129*(_xlfn.SINGLE(SalesTaxPercentage))))</f>
        <v>0</v>
      </c>
      <c r="K1129" s="695">
        <f t="shared" ref="K1129" si="851">I1129+J1129</f>
        <v>0</v>
      </c>
      <c r="L1129" s="695"/>
      <c r="M1129" s="659" t="str">
        <f>IF(AND(G1129&gt;0,E1129=0),"WARNING - no PRICE inserted",IF(H1129="free"," FREE ~ no charge this plant",IF(H1129="credit",CONCATENATE(" -$",ROUND(K1129*(1-T2GDiscount)*-1,2)," CREDIT after discount"),IF(T2GDiscount=0,"",IF(G1129=0,"",IF(F1129="Buy",CONCATENATE(" $",ROUND(K1129*(1-T2GDiscount),2)," with ",(T2GDiscount*100),"% discount"),CONCATENATE(" $",ROUND(K1129*(1-T2GDiscount),2)," with ",((T2GDiscount*100+F1129*100)-(T2GDiscount*100*F1129)),IF(F1129&gt;0,"% discounts",IF(NoWarrantyDiscount&gt;0,"% discounts","% discount")))))))))</f>
        <v/>
      </c>
      <c r="N1129" s="660"/>
      <c r="O1129" s="233"/>
      <c r="P1129" s="233"/>
      <c r="Q1129" s="233"/>
      <c r="R1129" s="233"/>
      <c r="S1129" s="233"/>
      <c r="T1129" s="508">
        <f t="shared" si="820"/>
        <v>0</v>
      </c>
      <c r="U1129" s="225">
        <f>IF(NOT(ISNUMBER(G1129)), "", VLOOKUP(A1129,'Discount Lookup'!D:E,2,FALSE)*G1129)</f>
        <v>0</v>
      </c>
      <c r="V1129" s="225">
        <f>IF(NOT(ISNUMBER(G1129)), "", VLOOKUP(A1129,'Discount Lookup'!G:H,2,FALSE)*G1129)</f>
        <v>0</v>
      </c>
      <c r="W1129" s="508">
        <f t="shared" si="821"/>
        <v>0</v>
      </c>
      <c r="X1129" s="508">
        <f t="shared" si="822"/>
        <v>0</v>
      </c>
      <c r="Y1129" s="509" t="b">
        <f t="shared" si="823"/>
        <v>0</v>
      </c>
      <c r="Z1129" s="510">
        <f t="shared" si="824"/>
        <v>0</v>
      </c>
      <c r="AA1129" s="511"/>
      <c r="AB1129" s="511" t="str">
        <f t="shared" si="825"/>
        <v/>
      </c>
      <c r="AC1129" s="698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698"/>
      <c r="AE1129" s="631" t="str">
        <f t="shared" si="826"/>
        <v/>
      </c>
      <c r="AF1129" s="699" t="str">
        <f t="shared" si="827"/>
        <v/>
      </c>
      <c r="AG1129" s="699"/>
      <c r="AH1129" s="699"/>
      <c r="AI1129" s="512">
        <f>IF(H1129="credit",0,IF(AE1129="free",0,IF(AE1129="me",0,IF(G1129&gt;0,(VLOOKUP(A1129,'Discount Lookup'!J:K,2)*G1129),0))))</f>
        <v>0</v>
      </c>
      <c r="AJ1129" s="513" t="str">
        <f t="shared" ca="1" si="828"/>
        <v/>
      </c>
      <c r="AK1129" s="700" t="str">
        <f t="shared" si="829"/>
        <v/>
      </c>
      <c r="AL1129" s="700"/>
      <c r="AM1129" s="505" t="str">
        <f t="shared" si="830"/>
        <v/>
      </c>
      <c r="AN1129" s="506"/>
      <c r="AO1129" s="507"/>
      <c r="AP1129" s="507"/>
      <c r="AQ1129" s="507"/>
      <c r="AR1129" s="507"/>
      <c r="AS1129" s="507"/>
      <c r="AT1129" s="507"/>
      <c r="AU1129" s="507"/>
      <c r="AV1129" s="225"/>
      <c r="AW1129" s="508"/>
      <c r="AX1129" s="225"/>
      <c r="AY1129" s="225"/>
      <c r="AZ1129" s="225"/>
      <c r="BA1129" s="225"/>
      <c r="BB1129" s="225"/>
      <c r="BC1129" s="56"/>
      <c r="BD1129" s="56"/>
      <c r="BE1129" s="56"/>
      <c r="BF1129" s="107" t="str">
        <f t="shared" si="831"/>
        <v>https://www.google.com/search?tbm=isch&amp;q=3%20G5</v>
      </c>
      <c r="BG1129" s="107" t="str">
        <f t="shared" si="832"/>
        <v>D</v>
      </c>
      <c r="BH1129" s="254"/>
      <c r="BI1129" s="254"/>
    </row>
    <row r="1130" spans="1:61" customFormat="1" ht="40.5" x14ac:dyDescent="0.25">
      <c r="A1130" s="485">
        <v>15</v>
      </c>
      <c r="B1130" s="486" t="s">
        <v>291</v>
      </c>
      <c r="C1130" s="487" t="s">
        <v>3430</v>
      </c>
      <c r="D1130" s="488" t="s">
        <v>292</v>
      </c>
      <c r="E1130" s="489">
        <v>399.95</v>
      </c>
      <c r="F1130" s="516" t="s">
        <v>293</v>
      </c>
      <c r="G1130" s="232">
        <v>0</v>
      </c>
      <c r="H1130" s="658" t="str">
        <f>IF(G1130=0,"",IF(F1130="Buy",IF(G1130=1,"plant","plants"),IF(F1130&gt;0.01,"warranty","Error")))</f>
        <v/>
      </c>
      <c r="I1130" s="490">
        <f>IF(H1130="free",0,IF(H1130="credit",((E1130*(F1130))*G1130*-1),IF(F1130="Buy",(E1130*G1130),((E1130*(1-F1130))*G1130))))</f>
        <v>0</v>
      </c>
      <c r="J1130" s="490">
        <f>IF(H1130="warranty",0,(I1130*(_xlfn.SINGLE(SalesTaxPercentage))))</f>
        <v>0</v>
      </c>
      <c r="K1130" s="695">
        <f t="shared" ref="K1130" si="852">I1130+J1130</f>
        <v>0</v>
      </c>
      <c r="L1130" s="695"/>
      <c r="M1130" s="659" t="str">
        <f>IF(AND(G1130&gt;0,E1130=0),"WARNING - no PRICE inserted",IF(H1130="free"," FREE ~ no charge this plant",IF(H1130="credit",CONCATENATE(" -$",ROUND(K1130*(1-T2GDiscount)*-1,2)," CREDIT after discount"),IF(T2GDiscount=0,"",IF(G1130=0,"",IF(F1130="Buy",CONCATENATE(" $",ROUND(K1130*(1-T2GDiscount),2)," with ",(T2GDiscount*100),"% discount"),CONCATENATE(" $",ROUND(K1130*(1-T2GDiscount),2)," with ",((T2GDiscount*100+F1130*100)-(T2GDiscount*100*F1130)),IF(F1130&gt;0,"% discounts",IF(NoWarrantyDiscount&gt;0,"% discounts","% discount")))))))))</f>
        <v/>
      </c>
      <c r="N1130" s="660"/>
      <c r="O1130" s="233"/>
      <c r="P1130" s="233"/>
      <c r="Q1130" s="233"/>
      <c r="R1130" s="233"/>
      <c r="S1130" s="233"/>
      <c r="T1130" s="508">
        <f t="shared" si="820"/>
        <v>0</v>
      </c>
      <c r="U1130" s="225">
        <f>IF(NOT(ISNUMBER(G1130)), "", VLOOKUP(A1130,'Discount Lookup'!D:E,2,FALSE)*G1130)</f>
        <v>0</v>
      </c>
      <c r="V1130" s="225">
        <f>IF(NOT(ISNUMBER(G1130)), "", VLOOKUP(A1130,'Discount Lookup'!G:H,2,FALSE)*G1130)</f>
        <v>0</v>
      </c>
      <c r="W1130" s="508">
        <f t="shared" si="821"/>
        <v>0</v>
      </c>
      <c r="X1130" s="508">
        <f t="shared" si="822"/>
        <v>0</v>
      </c>
      <c r="Y1130" s="509" t="b">
        <f t="shared" si="823"/>
        <v>0</v>
      </c>
      <c r="Z1130" s="510">
        <f t="shared" si="824"/>
        <v>0</v>
      </c>
      <c r="AA1130" s="511"/>
      <c r="AB1130" s="511" t="str">
        <f t="shared" si="825"/>
        <v/>
      </c>
      <c r="AC1130" s="698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698"/>
      <c r="AE1130" s="631" t="str">
        <f t="shared" si="826"/>
        <v/>
      </c>
      <c r="AF1130" s="699" t="str">
        <f t="shared" si="827"/>
        <v/>
      </c>
      <c r="AG1130" s="699"/>
      <c r="AH1130" s="699"/>
      <c r="AI1130" s="512">
        <f>IF(H1130="credit",0,IF(AE1130="free",0,IF(AE1130="me",0,IF(G1130&gt;0,(VLOOKUP(A1130,'Discount Lookup'!J:K,2)*G1130),0))))</f>
        <v>0</v>
      </c>
      <c r="AJ1130" s="513" t="str">
        <f t="shared" ca="1" si="828"/>
        <v/>
      </c>
      <c r="AK1130" s="700" t="str">
        <f t="shared" si="829"/>
        <v/>
      </c>
      <c r="AL1130" s="700"/>
      <c r="AM1130" s="505" t="str">
        <f t="shared" si="830"/>
        <v/>
      </c>
      <c r="AN1130" s="506"/>
      <c r="AO1130" s="507"/>
      <c r="AP1130" s="507"/>
      <c r="AQ1130" s="507"/>
      <c r="AR1130" s="507"/>
      <c r="AS1130" s="507"/>
      <c r="AT1130" s="507"/>
      <c r="AU1130" s="507"/>
      <c r="AV1130" s="225"/>
      <c r="AW1130" s="508"/>
      <c r="AX1130" s="225"/>
      <c r="AY1130" s="225"/>
      <c r="AZ1130" s="225"/>
      <c r="BA1130" s="225"/>
      <c r="BB1130" s="225"/>
      <c r="BC1130" s="56"/>
      <c r="BD1130" s="56"/>
      <c r="BE1130" s="56"/>
      <c r="BF1130" s="107" t="str">
        <f t="shared" si="831"/>
        <v>https://www.google.com/search?tbm=isch&amp;q=15%20G4</v>
      </c>
      <c r="BG1130" s="107" t="str">
        <f t="shared" si="832"/>
        <v>D</v>
      </c>
      <c r="BH1130" s="254"/>
      <c r="BI1130" s="254"/>
    </row>
    <row r="1131" spans="1:61" customFormat="1" ht="40.5" x14ac:dyDescent="0.25">
      <c r="A1131" s="485">
        <v>15</v>
      </c>
      <c r="B1131" s="486" t="s">
        <v>291</v>
      </c>
      <c r="C1131" s="487" t="s">
        <v>3431</v>
      </c>
      <c r="D1131" s="488" t="s">
        <v>292</v>
      </c>
      <c r="E1131" s="489">
        <v>454.95</v>
      </c>
      <c r="F1131" s="516" t="s">
        <v>293</v>
      </c>
      <c r="G1131" s="232">
        <v>0</v>
      </c>
      <c r="H1131" s="658" t="str">
        <f>IF(G1131=0,"",IF(F1131="Buy",IF(G1131=1,"plant","plants"),IF(F1131&gt;0.01,"warranty","Error")))</f>
        <v/>
      </c>
      <c r="I1131" s="490">
        <f>IF(H1131="free",0,IF(H1131="credit",((E1131*(F1131))*G1131*-1),IF(F1131="Buy",(E1131*G1131),((E1131*(1-F1131))*G1131))))</f>
        <v>0</v>
      </c>
      <c r="J1131" s="490">
        <f>IF(H1131="warranty",0,(I1131*(_xlfn.SINGLE(SalesTaxPercentage))))</f>
        <v>0</v>
      </c>
      <c r="K1131" s="695">
        <f t="shared" ref="K1131" si="853">I1131+J1131</f>
        <v>0</v>
      </c>
      <c r="L1131" s="695"/>
      <c r="M1131" s="659" t="str">
        <f>IF(AND(G1131&gt;0,E1131=0),"WARNING - no PRICE inserted",IF(H1131="free"," FREE ~ no charge this plant",IF(H1131="credit",CONCATENATE(" -$",ROUND(K1131*(1-T2GDiscount)*-1,2)," CREDIT after discount"),IF(T2GDiscount=0,"",IF(G1131=0,"",IF(F1131="Buy",CONCATENATE(" $",ROUND(K1131*(1-T2GDiscount),2)," with ",(T2GDiscount*100),"% discount"),CONCATENATE(" $",ROUND(K1131*(1-T2GDiscount),2)," with ",((T2GDiscount*100+F1131*100)-(T2GDiscount*100*F1131)),IF(F1131&gt;0,"% discounts",IF(NoWarrantyDiscount&gt;0,"% discounts","% discount")))))))))</f>
        <v/>
      </c>
      <c r="N1131" s="660"/>
      <c r="O1131" s="233"/>
      <c r="P1131" s="233"/>
      <c r="Q1131" s="233"/>
      <c r="R1131" s="233"/>
      <c r="S1131" s="233"/>
      <c r="T1131" s="508">
        <f t="shared" si="820"/>
        <v>0</v>
      </c>
      <c r="U1131" s="225">
        <f>IF(NOT(ISNUMBER(G1131)), "", VLOOKUP(A1131,'Discount Lookup'!D:E,2,FALSE)*G1131)</f>
        <v>0</v>
      </c>
      <c r="V1131" s="225">
        <f>IF(NOT(ISNUMBER(G1131)), "", VLOOKUP(A1131,'Discount Lookup'!G:H,2,FALSE)*G1131)</f>
        <v>0</v>
      </c>
      <c r="W1131" s="508">
        <f t="shared" si="821"/>
        <v>0</v>
      </c>
      <c r="X1131" s="508">
        <f t="shared" si="822"/>
        <v>0</v>
      </c>
      <c r="Y1131" s="509" t="b">
        <f t="shared" si="823"/>
        <v>0</v>
      </c>
      <c r="Z1131" s="510">
        <f t="shared" si="824"/>
        <v>0</v>
      </c>
      <c r="AA1131" s="511"/>
      <c r="AB1131" s="511" t="str">
        <f t="shared" si="825"/>
        <v/>
      </c>
      <c r="AC1131" s="698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698"/>
      <c r="AE1131" s="631" t="str">
        <f t="shared" si="826"/>
        <v/>
      </c>
      <c r="AF1131" s="699" t="str">
        <f t="shared" si="827"/>
        <v/>
      </c>
      <c r="AG1131" s="699"/>
      <c r="AH1131" s="699"/>
      <c r="AI1131" s="512">
        <f>IF(H1131="credit",0,IF(AE1131="free",0,IF(AE1131="me",0,IF(G1131&gt;0,(VLOOKUP(A1131,'Discount Lookup'!J:K,2)*G1131),0))))</f>
        <v>0</v>
      </c>
      <c r="AJ1131" s="513" t="str">
        <f t="shared" ca="1" si="828"/>
        <v/>
      </c>
      <c r="AK1131" s="700" t="str">
        <f t="shared" si="829"/>
        <v/>
      </c>
      <c r="AL1131" s="700"/>
      <c r="AM1131" s="505" t="str">
        <f t="shared" si="830"/>
        <v/>
      </c>
      <c r="AN1131" s="506"/>
      <c r="AO1131" s="507"/>
      <c r="AP1131" s="507"/>
      <c r="AQ1131" s="507"/>
      <c r="AR1131" s="507"/>
      <c r="AS1131" s="507"/>
      <c r="AT1131" s="507"/>
      <c r="AU1131" s="507"/>
      <c r="AV1131" s="225"/>
      <c r="AW1131" s="508"/>
      <c r="AX1131" s="225"/>
      <c r="AY1131" s="225"/>
      <c r="AZ1131" s="225"/>
      <c r="BA1131" s="225"/>
      <c r="BB1131" s="225"/>
      <c r="BC1131" s="56"/>
      <c r="BD1131" s="56"/>
      <c r="BE1131" s="56"/>
      <c r="BF1131" s="107" t="str">
        <f t="shared" si="831"/>
        <v>https://www.google.com/search?tbm=isch&amp;q=15%20G4</v>
      </c>
      <c r="BG1131" s="107" t="str">
        <f t="shared" si="832"/>
        <v>D</v>
      </c>
      <c r="BH1131" s="254"/>
      <c r="BI1131" s="254"/>
    </row>
    <row r="1132" spans="1:61" customFormat="1" ht="17.25" thickBot="1" x14ac:dyDescent="0.3">
      <c r="A1132" s="522" t="s">
        <v>2674</v>
      </c>
      <c r="B1132" s="491"/>
      <c r="C1132" s="675"/>
      <c r="D1132" s="491"/>
      <c r="E1132" s="491"/>
      <c r="F1132" s="492"/>
      <c r="G1132" s="493"/>
      <c r="H1132" s="491"/>
      <c r="I1132" s="234"/>
      <c r="J1132" s="234"/>
      <c r="K1132" s="494"/>
      <c r="L1132" s="543"/>
      <c r="M1132" s="561"/>
      <c r="N1132" s="495"/>
      <c r="O1132" s="496"/>
      <c r="P1132" s="497"/>
      <c r="Q1132" s="495"/>
      <c r="R1132" s="495"/>
      <c r="S1132" s="667" t="s">
        <v>4982</v>
      </c>
      <c r="T1132" s="508">
        <f t="shared" si="820"/>
        <v>0</v>
      </c>
      <c r="U1132" s="225" t="str">
        <f>IF(NOT(ISNUMBER(G1132)), "", VLOOKUP(A1132,'Discount Lookup'!D:E,2,FALSE)*G1132)</f>
        <v/>
      </c>
      <c r="V1132" s="225" t="str">
        <f>IF(NOT(ISNUMBER(G1132)), "", VLOOKUP(A1132,'Discount Lookup'!G:H,2,FALSE)*G1132)</f>
        <v/>
      </c>
      <c r="W1132" s="508">
        <f t="shared" si="821"/>
        <v>0</v>
      </c>
      <c r="X1132" s="508">
        <f t="shared" si="822"/>
        <v>0</v>
      </c>
      <c r="Y1132" s="509" t="b">
        <f t="shared" si="823"/>
        <v>0</v>
      </c>
      <c r="Z1132" s="510">
        <f t="shared" si="824"/>
        <v>0</v>
      </c>
      <c r="AA1132" s="511"/>
      <c r="AB1132" s="511" t="str">
        <f t="shared" si="825"/>
        <v/>
      </c>
      <c r="AC1132" s="698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698"/>
      <c r="AE1132" s="631" t="str">
        <f t="shared" si="826"/>
        <v/>
      </c>
      <c r="AF1132" s="699" t="str">
        <f t="shared" si="827"/>
        <v/>
      </c>
      <c r="AG1132" s="699"/>
      <c r="AH1132" s="699"/>
      <c r="AI1132" s="512">
        <f>IF(H1132="credit",0,IF(AE1132="free",0,IF(AE1132="me",0,IF(G1132&gt;0,(VLOOKUP(A1132,'Discount Lookup'!J:K,2)*G1132),0))))</f>
        <v>0</v>
      </c>
      <c r="AJ1132" s="513" t="str">
        <f t="shared" ca="1" si="828"/>
        <v/>
      </c>
      <c r="AK1132" s="700" t="str">
        <f t="shared" si="829"/>
        <v/>
      </c>
      <c r="AL1132" s="700"/>
      <c r="AM1132" s="505" t="str">
        <f t="shared" si="830"/>
        <v/>
      </c>
      <c r="AN1132" s="506"/>
      <c r="AO1132" s="507"/>
      <c r="AP1132" s="507"/>
      <c r="AQ1132" s="507"/>
      <c r="AR1132" s="507"/>
      <c r="AS1132" s="507"/>
      <c r="AT1132" s="507"/>
      <c r="AU1132" s="507"/>
      <c r="AV1132" s="225"/>
      <c r="AW1132" s="508"/>
      <c r="AX1132" s="225"/>
      <c r="AY1132" s="225"/>
      <c r="AZ1132" s="225"/>
      <c r="BA1132" s="225"/>
      <c r="BB1132" s="225"/>
      <c r="BC1132" s="56"/>
      <c r="BD1132" s="56"/>
      <c r="BE1132" s="56"/>
      <c r="BF1132" s="107" t="str">
        <f t="shared" si="831"/>
        <v>https://www.google.com/search?tbm=isch&amp;q=Dwarf%20Japanese%20Garden%20foliage%20emerges%20Green%2C%20then%20matures%20to%20Blue-Green.%20Purple%20winter%20tinge.%20Sun%2Fheat%2Fdrought%20tolerant%20</v>
      </c>
      <c r="BG1132" s="107" t="str">
        <f t="shared" si="832"/>
        <v>D</v>
      </c>
      <c r="BH1132" s="254"/>
      <c r="BI1132" s="254"/>
    </row>
    <row r="1133" spans="1:61" customFormat="1" ht="18" x14ac:dyDescent="0.25">
      <c r="A1133" s="523" t="s">
        <v>808</v>
      </c>
      <c r="B1133" s="235"/>
      <c r="C1133" s="676"/>
      <c r="D1133" s="255" t="s">
        <v>809</v>
      </c>
      <c r="E1133" s="236"/>
      <c r="F1133" s="236"/>
      <c r="G1133" s="236"/>
      <c r="H1133" s="582" t="s">
        <v>810</v>
      </c>
      <c r="I1133" s="498" t="s">
        <v>3022</v>
      </c>
      <c r="J1133" s="237"/>
      <c r="K1133" s="237"/>
      <c r="L1133" s="274"/>
      <c r="M1133" s="668" t="s">
        <v>4962</v>
      </c>
      <c r="N1133" s="681" t="str">
        <f>IF(AND(ISTEXT($A1133), ISERROR($A1133+0)), HYPERLINK($BF1133, "Images"), "")</f>
        <v>Images</v>
      </c>
      <c r="O1133" s="663" t="s">
        <v>4969</v>
      </c>
      <c r="P1133" s="253"/>
      <c r="Q1133" s="238"/>
      <c r="R1133" s="239"/>
      <c r="S1133" s="275"/>
      <c r="T1133" s="508">
        <f t="shared" si="820"/>
        <v>0</v>
      </c>
      <c r="U1133" s="225" t="str">
        <f>IF(NOT(ISNUMBER(G1133)), "", VLOOKUP(A1133,'Discount Lookup'!D:E,2,FALSE)*G1133)</f>
        <v/>
      </c>
      <c r="V1133" s="225" t="str">
        <f>IF(NOT(ISNUMBER(G1133)), "", VLOOKUP(A1133,'Discount Lookup'!G:H,2,FALSE)*G1133)</f>
        <v/>
      </c>
      <c r="W1133" s="508">
        <f t="shared" si="821"/>
        <v>0</v>
      </c>
      <c r="X1133" s="508" t="str">
        <f t="shared" si="822"/>
        <v>Silvery-Green blades &amp; White midrib</v>
      </c>
      <c r="Y1133" s="509" t="b">
        <f t="shared" si="823"/>
        <v>0</v>
      </c>
      <c r="Z1133" s="510">
        <f t="shared" si="824"/>
        <v>0</v>
      </c>
      <c r="AA1133" s="511"/>
      <c r="AB1133" s="511" t="str">
        <f t="shared" si="825"/>
        <v/>
      </c>
      <c r="AC1133" s="698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698"/>
      <c r="AE1133" s="631" t="str">
        <f t="shared" si="826"/>
        <v/>
      </c>
      <c r="AF1133" s="699" t="str">
        <f t="shared" si="827"/>
        <v/>
      </c>
      <c r="AG1133" s="699"/>
      <c r="AH1133" s="699"/>
      <c r="AI1133" s="512">
        <f>IF(H1133="credit",0,IF(AE1133="free",0,IF(AE1133="me",0,IF(G1133&gt;0,(VLOOKUP(A1133,'Discount Lookup'!J:K,2)*G1133),0))))</f>
        <v>0</v>
      </c>
      <c r="AJ1133" s="513" t="str">
        <f t="shared" ca="1" si="828"/>
        <v/>
      </c>
      <c r="AK1133" s="700" t="str">
        <f t="shared" si="829"/>
        <v/>
      </c>
      <c r="AL1133" s="700"/>
      <c r="AM1133" s="505" t="str">
        <f t="shared" si="830"/>
        <v/>
      </c>
      <c r="AN1133" s="506"/>
      <c r="AO1133" s="507"/>
      <c r="AP1133" s="507"/>
      <c r="AQ1133" s="507"/>
      <c r="AR1133" s="507"/>
      <c r="AS1133" s="507"/>
      <c r="AT1133" s="507"/>
      <c r="AU1133" s="507"/>
      <c r="AV1133" s="225"/>
      <c r="AW1133" s="508"/>
      <c r="AX1133" s="225"/>
      <c r="AY1133" s="225"/>
      <c r="AZ1133" s="225"/>
      <c r="BA1133" s="225"/>
      <c r="BB1133" s="225"/>
      <c r="BC1133" s="56"/>
      <c r="BD1133" s="56"/>
      <c r="BE1133" s="56"/>
      <c r="BF1133" s="107" t="str">
        <f t="shared" si="831"/>
        <v>https://www.google.com/search?tbm=isch&amp;q=Dwarf%20Maiden%20Grass%20Miscanthus%20sinensis%20%27Adagio%27%20PP%2328849</v>
      </c>
      <c r="BG1133" s="107" t="str">
        <f t="shared" si="832"/>
        <v>D</v>
      </c>
      <c r="BH1133" s="254"/>
      <c r="BI1133" s="254"/>
    </row>
    <row r="1134" spans="1:61" customFormat="1" ht="15.75" x14ac:dyDescent="0.25">
      <c r="A1134" s="276">
        <v>3</v>
      </c>
      <c r="B1134" s="240" t="s">
        <v>291</v>
      </c>
      <c r="C1134" s="241" t="s">
        <v>4607</v>
      </c>
      <c r="D1134" s="242" t="s">
        <v>297</v>
      </c>
      <c r="E1134" s="243">
        <v>22.95</v>
      </c>
      <c r="F1134" s="517" t="s">
        <v>293</v>
      </c>
      <c r="G1134" s="232">
        <v>0</v>
      </c>
      <c r="H1134" s="661" t="str">
        <f>IF(G1134=0,"",IF(F1134="Buy",IF(G1134=1,"plant","plants"),IF(F1134&gt;0.01,"warranty","Error")))</f>
        <v/>
      </c>
      <c r="I1134" s="244">
        <f>IF(H1134="free",0,IF(H1134="credit",((E1134*(F1134))*G1134*-1),IF(F1134="Buy",(E1134*G1134),((E1134*(1-F1134))*G1134))))</f>
        <v>0</v>
      </c>
      <c r="J1134" s="244">
        <f>IF(H1134="warranty",0,(I1134*(_xlfn.SINGLE(SalesTaxPercentage))))</f>
        <v>0</v>
      </c>
      <c r="K1134" s="696">
        <f t="shared" ref="K1134" si="854">I1134+J1134</f>
        <v>0</v>
      </c>
      <c r="L1134" s="696"/>
      <c r="M1134" s="659" t="str">
        <f>IF(AND(G1134&gt;0,E1134=0),"WARNING - no PRICE inserted",IF(H1134="free"," FREE ~ no charge this plant",IF(H1134="credit",CONCATENATE(" -$",ROUND(K1134*(1-T2GDiscount)*-1,2)," CREDIT after discount"),IF(T2GDiscount=0,"",IF(G1134=0,"",IF(F1134="Buy",CONCATENATE(" $",ROUND(K1134*(1-T2GDiscount),2)," with ",(T2GDiscount*100),"% discount"),CONCATENATE(" $",ROUND(K1134*(1-T2GDiscount),2)," with ",((T2GDiscount*100+F1134*100)-(T2GDiscount*100*F1134)),IF(F1134&gt;0,"% discounts",IF(NoWarrantyDiscount&gt;0,"% discounts","% discount")))))))))</f>
        <v/>
      </c>
      <c r="N1134" s="660"/>
      <c r="O1134" s="233"/>
      <c r="P1134" s="233"/>
      <c r="Q1134" s="233"/>
      <c r="R1134" s="233"/>
      <c r="S1134" s="233"/>
      <c r="T1134" s="508">
        <f t="shared" si="820"/>
        <v>0</v>
      </c>
      <c r="U1134" s="225">
        <f>IF(NOT(ISNUMBER(G1134)), "", VLOOKUP(A1134,'Discount Lookup'!D:E,2,FALSE)*G1134)</f>
        <v>0</v>
      </c>
      <c r="V1134" s="225">
        <f>IF(NOT(ISNUMBER(G1134)), "", VLOOKUP(A1134,'Discount Lookup'!G:H,2,FALSE)*G1134)</f>
        <v>0</v>
      </c>
      <c r="W1134" s="508">
        <f t="shared" si="821"/>
        <v>0</v>
      </c>
      <c r="X1134" s="508">
        <f t="shared" si="822"/>
        <v>0</v>
      </c>
      <c r="Y1134" s="509" t="b">
        <f t="shared" si="823"/>
        <v>0</v>
      </c>
      <c r="Z1134" s="510">
        <f t="shared" si="824"/>
        <v>0</v>
      </c>
      <c r="AA1134" s="511"/>
      <c r="AB1134" s="511" t="str">
        <f t="shared" si="825"/>
        <v/>
      </c>
      <c r="AC1134" s="698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698"/>
      <c r="AE1134" s="631" t="str">
        <f t="shared" si="826"/>
        <v/>
      </c>
      <c r="AF1134" s="699" t="str">
        <f t="shared" si="827"/>
        <v/>
      </c>
      <c r="AG1134" s="699"/>
      <c r="AH1134" s="699"/>
      <c r="AI1134" s="512">
        <f>IF(H1134="credit",0,IF(AE1134="free",0,IF(AE1134="me",0,IF(G1134&gt;0,(VLOOKUP(A1134,'Discount Lookup'!J:K,2)*G1134),0))))</f>
        <v>0</v>
      </c>
      <c r="AJ1134" s="513" t="str">
        <f t="shared" ca="1" si="828"/>
        <v/>
      </c>
      <c r="AK1134" s="700" t="str">
        <f t="shared" si="829"/>
        <v/>
      </c>
      <c r="AL1134" s="700"/>
      <c r="AM1134" s="505" t="str">
        <f t="shared" si="830"/>
        <v/>
      </c>
      <c r="AN1134" s="506"/>
      <c r="AO1134" s="507"/>
      <c r="AP1134" s="507"/>
      <c r="AQ1134" s="507"/>
      <c r="AR1134" s="507"/>
      <c r="AS1134" s="507"/>
      <c r="AT1134" s="507"/>
      <c r="AU1134" s="507"/>
      <c r="AV1134" s="225"/>
      <c r="AW1134" s="508"/>
      <c r="AX1134" s="225"/>
      <c r="AY1134" s="225"/>
      <c r="AZ1134" s="225"/>
      <c r="BA1134" s="225"/>
      <c r="BB1134" s="225"/>
      <c r="BC1134" s="56"/>
      <c r="BD1134" s="56"/>
      <c r="BE1134" s="56"/>
      <c r="BF1134" s="107" t="str">
        <f t="shared" si="831"/>
        <v>https://www.google.com/search?tbm=isch&amp;q=3%20G3</v>
      </c>
      <c r="BG1134" s="107" t="str">
        <f t="shared" si="832"/>
        <v>D</v>
      </c>
      <c r="BH1134" s="254"/>
      <c r="BI1134" s="254"/>
    </row>
    <row r="1135" spans="1:61" customFormat="1" ht="15.75" x14ac:dyDescent="0.25">
      <c r="A1135" s="276">
        <v>3</v>
      </c>
      <c r="B1135" s="240" t="s">
        <v>291</v>
      </c>
      <c r="C1135" s="241"/>
      <c r="D1135" s="242" t="s">
        <v>298</v>
      </c>
      <c r="E1135" s="243">
        <v>25.95</v>
      </c>
      <c r="F1135" s="517" t="s">
        <v>293</v>
      </c>
      <c r="G1135" s="232">
        <v>0</v>
      </c>
      <c r="H1135" s="661" t="str">
        <f>IF(G1135=0,"",IF(F1135="Buy",IF(G1135=1,"plant","plants"),IF(F1135&gt;0.01,"warranty","Error")))</f>
        <v/>
      </c>
      <c r="I1135" s="244">
        <f>IF(H1135="free",0,IF(H1135="credit",((E1135*(F1135))*G1135*-1),IF(F1135="Buy",(E1135*G1135),((E1135*(1-F1135))*G1135))))</f>
        <v>0</v>
      </c>
      <c r="J1135" s="244">
        <f>IF(H1135="warranty",0,(I1135*(_xlfn.SINGLE(SalesTaxPercentage))))</f>
        <v>0</v>
      </c>
      <c r="K1135" s="696">
        <f t="shared" ref="K1135" si="855">I1135+J1135</f>
        <v>0</v>
      </c>
      <c r="L1135" s="696"/>
      <c r="M1135" s="659" t="str">
        <f>IF(AND(G1135&gt;0,E1135=0),"WARNING - no PRICE inserted",IF(H1135="free"," FREE ~ no charge this plant",IF(H1135="credit",CONCATENATE(" -$",ROUND(K1135*(1-T2GDiscount)*-1,2)," CREDIT after discount"),IF(T2GDiscount=0,"",IF(G1135=0,"",IF(F1135="Buy",CONCATENATE(" $",ROUND(K1135*(1-T2GDiscount),2)," with ",(T2GDiscount*100),"% discount"),CONCATENATE(" $",ROUND(K1135*(1-T2GDiscount),2)," with ",((T2GDiscount*100+F1135*100)-(T2GDiscount*100*F1135)),IF(F1135&gt;0,"% discounts",IF(NoWarrantyDiscount&gt;0,"% discounts","% discount")))))))))</f>
        <v/>
      </c>
      <c r="N1135" s="660"/>
      <c r="O1135" s="233"/>
      <c r="P1135" s="233"/>
      <c r="Q1135" s="233"/>
      <c r="R1135" s="233"/>
      <c r="S1135" s="233"/>
      <c r="T1135" s="508">
        <f t="shared" si="820"/>
        <v>0</v>
      </c>
      <c r="U1135" s="225">
        <f>IF(NOT(ISNUMBER(G1135)), "", VLOOKUP(A1135,'Discount Lookup'!D:E,2,FALSE)*G1135)</f>
        <v>0</v>
      </c>
      <c r="V1135" s="225">
        <f>IF(NOT(ISNUMBER(G1135)), "", VLOOKUP(A1135,'Discount Lookup'!G:H,2,FALSE)*G1135)</f>
        <v>0</v>
      </c>
      <c r="W1135" s="508">
        <f t="shared" si="821"/>
        <v>0</v>
      </c>
      <c r="X1135" s="508">
        <f t="shared" si="822"/>
        <v>0</v>
      </c>
      <c r="Y1135" s="509" t="b">
        <f t="shared" si="823"/>
        <v>0</v>
      </c>
      <c r="Z1135" s="510">
        <f t="shared" si="824"/>
        <v>0</v>
      </c>
      <c r="AA1135" s="511"/>
      <c r="AB1135" s="511" t="str">
        <f t="shared" si="825"/>
        <v/>
      </c>
      <c r="AC1135" s="698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698"/>
      <c r="AE1135" s="631" t="str">
        <f t="shared" si="826"/>
        <v/>
      </c>
      <c r="AF1135" s="699" t="str">
        <f t="shared" si="827"/>
        <v/>
      </c>
      <c r="AG1135" s="699"/>
      <c r="AH1135" s="699"/>
      <c r="AI1135" s="512">
        <f>IF(H1135="credit",0,IF(AE1135="free",0,IF(AE1135="me",0,IF(G1135&gt;0,(VLOOKUP(A1135,'Discount Lookup'!J:K,2)*G1135),0))))</f>
        <v>0</v>
      </c>
      <c r="AJ1135" s="513" t="str">
        <f t="shared" ca="1" si="828"/>
        <v/>
      </c>
      <c r="AK1135" s="700" t="str">
        <f t="shared" si="829"/>
        <v/>
      </c>
      <c r="AL1135" s="700"/>
      <c r="AM1135" s="505" t="str">
        <f t="shared" si="830"/>
        <v/>
      </c>
      <c r="AN1135" s="506"/>
      <c r="AO1135" s="507"/>
      <c r="AP1135" s="507"/>
      <c r="AQ1135" s="507"/>
      <c r="AR1135" s="507"/>
      <c r="AS1135" s="507"/>
      <c r="AT1135" s="507"/>
      <c r="AU1135" s="507"/>
      <c r="AV1135" s="225"/>
      <c r="AW1135" s="508"/>
      <c r="AX1135" s="225"/>
      <c r="AY1135" s="225"/>
      <c r="AZ1135" s="225"/>
      <c r="BA1135" s="225"/>
      <c r="BB1135" s="225"/>
      <c r="BC1135" s="56"/>
      <c r="BD1135" s="56"/>
      <c r="BE1135" s="56"/>
      <c r="BF1135" s="107" t="str">
        <f t="shared" si="831"/>
        <v>https://www.google.com/search?tbm=isch&amp;q=3%20G1</v>
      </c>
      <c r="BG1135" s="107" t="str">
        <f t="shared" si="832"/>
        <v>D</v>
      </c>
      <c r="BH1135" s="254"/>
      <c r="BI1135" s="254"/>
    </row>
    <row r="1136" spans="1:61" customFormat="1" ht="15.75" x14ac:dyDescent="0.25">
      <c r="A1136" s="276">
        <v>3</v>
      </c>
      <c r="B1136" s="240" t="s">
        <v>291</v>
      </c>
      <c r="C1136" s="241"/>
      <c r="D1136" s="242" t="s">
        <v>312</v>
      </c>
      <c r="E1136" s="243">
        <v>25.95</v>
      </c>
      <c r="F1136" s="517" t="s">
        <v>293</v>
      </c>
      <c r="G1136" s="232">
        <v>0</v>
      </c>
      <c r="H1136" s="661" t="str">
        <f>IF(G1136=0,"",IF(F1136="Buy",IF(G1136=1,"plant","plants"),IF(F1136&gt;0.01,"warranty","Error")))</f>
        <v/>
      </c>
      <c r="I1136" s="244">
        <f>IF(H1136="free",0,IF(H1136="credit",((E1136*(F1136))*G1136*-1),IF(F1136="Buy",(E1136*G1136),((E1136*(1-F1136))*G1136))))</f>
        <v>0</v>
      </c>
      <c r="J1136" s="244">
        <f>IF(H1136="warranty",0,(I1136*(_xlfn.SINGLE(SalesTaxPercentage))))</f>
        <v>0</v>
      </c>
      <c r="K1136" s="696">
        <f t="shared" ref="K1136" si="856">I1136+J1136</f>
        <v>0</v>
      </c>
      <c r="L1136" s="696"/>
      <c r="M1136" s="659" t="str">
        <f>IF(AND(G1136&gt;0,E1136=0),"WARNING - no PRICE inserted",IF(H1136="free"," FREE ~ no charge this plant",IF(H1136="credit",CONCATENATE(" -$",ROUND(K1136*(1-T2GDiscount)*-1,2)," CREDIT after discount"),IF(T2GDiscount=0,"",IF(G1136=0,"",IF(F1136="Buy",CONCATENATE(" $",ROUND(K1136*(1-T2GDiscount),2)," with ",(T2GDiscount*100),"% discount"),CONCATENATE(" $",ROUND(K1136*(1-T2GDiscount),2)," with ",((T2GDiscount*100+F1136*100)-(T2GDiscount*100*F1136)),IF(F1136&gt;0,"% discounts",IF(NoWarrantyDiscount&gt;0,"% discounts","% discount")))))))))</f>
        <v/>
      </c>
      <c r="N1136" s="660"/>
      <c r="O1136" s="233"/>
      <c r="P1136" s="233"/>
      <c r="Q1136" s="233"/>
      <c r="R1136" s="233"/>
      <c r="S1136" s="233"/>
      <c r="T1136" s="508">
        <f t="shared" si="820"/>
        <v>0</v>
      </c>
      <c r="U1136" s="225">
        <f>IF(NOT(ISNUMBER(G1136)), "", VLOOKUP(A1136,'Discount Lookup'!D:E,2,FALSE)*G1136)</f>
        <v>0</v>
      </c>
      <c r="V1136" s="225">
        <f>IF(NOT(ISNUMBER(G1136)), "", VLOOKUP(A1136,'Discount Lookup'!G:H,2,FALSE)*G1136)</f>
        <v>0</v>
      </c>
      <c r="W1136" s="508">
        <f t="shared" si="821"/>
        <v>0</v>
      </c>
      <c r="X1136" s="508">
        <f t="shared" si="822"/>
        <v>0</v>
      </c>
      <c r="Y1136" s="509" t="b">
        <f t="shared" si="823"/>
        <v>0</v>
      </c>
      <c r="Z1136" s="510">
        <f t="shared" si="824"/>
        <v>0</v>
      </c>
      <c r="AA1136" s="511"/>
      <c r="AB1136" s="511" t="str">
        <f t="shared" si="825"/>
        <v/>
      </c>
      <c r="AC1136" s="698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698"/>
      <c r="AE1136" s="631" t="str">
        <f t="shared" si="826"/>
        <v/>
      </c>
      <c r="AF1136" s="699" t="str">
        <f t="shared" si="827"/>
        <v/>
      </c>
      <c r="AG1136" s="699"/>
      <c r="AH1136" s="699"/>
      <c r="AI1136" s="512">
        <f>IF(H1136="credit",0,IF(AE1136="free",0,IF(AE1136="me",0,IF(G1136&gt;0,(VLOOKUP(A1136,'Discount Lookup'!J:K,2)*G1136),0))))</f>
        <v>0</v>
      </c>
      <c r="AJ1136" s="513" t="str">
        <f t="shared" ca="1" si="828"/>
        <v/>
      </c>
      <c r="AK1136" s="700" t="str">
        <f t="shared" si="829"/>
        <v/>
      </c>
      <c r="AL1136" s="700"/>
      <c r="AM1136" s="505" t="str">
        <f t="shared" si="830"/>
        <v/>
      </c>
      <c r="AN1136" s="506"/>
      <c r="AO1136" s="507"/>
      <c r="AP1136" s="507"/>
      <c r="AQ1136" s="507"/>
      <c r="AR1136" s="507"/>
      <c r="AS1136" s="507"/>
      <c r="AT1136" s="507"/>
      <c r="AU1136" s="507"/>
      <c r="AV1136" s="225"/>
      <c r="AW1136" s="508"/>
      <c r="AX1136" s="225"/>
      <c r="AY1136" s="225"/>
      <c r="AZ1136" s="225"/>
      <c r="BA1136" s="225"/>
      <c r="BB1136" s="225"/>
      <c r="BC1136" s="56"/>
      <c r="BD1136" s="56"/>
      <c r="BE1136" s="56"/>
      <c r="BF1136" s="107" t="str">
        <f t="shared" si="831"/>
        <v>https://www.google.com/search?tbm=isch&amp;q=3%20G2</v>
      </c>
      <c r="BG1136" s="107" t="str">
        <f t="shared" si="832"/>
        <v>D</v>
      </c>
      <c r="BH1136" s="254"/>
      <c r="BI1136" s="254"/>
    </row>
    <row r="1137" spans="1:61" customFormat="1" ht="15.75" x14ac:dyDescent="0.25">
      <c r="A1137" s="276">
        <v>3</v>
      </c>
      <c r="B1137" s="240" t="s">
        <v>291</v>
      </c>
      <c r="C1137" s="241" t="s">
        <v>3432</v>
      </c>
      <c r="D1137" s="242" t="s">
        <v>292</v>
      </c>
      <c r="E1137" s="243">
        <v>28.95</v>
      </c>
      <c r="F1137" s="517" t="s">
        <v>293</v>
      </c>
      <c r="G1137" s="232">
        <v>0</v>
      </c>
      <c r="H1137" s="661" t="str">
        <f>IF(G1137=0,"",IF(F1137="Buy",IF(G1137=1,"plant","plants"),IF(F1137&gt;0.01,"warranty","Error")))</f>
        <v/>
      </c>
      <c r="I1137" s="244">
        <f>IF(H1137="free",0,IF(H1137="credit",((E1137*(F1137))*G1137*-1),IF(F1137="Buy",(E1137*G1137),((E1137*(1-F1137))*G1137))))</f>
        <v>0</v>
      </c>
      <c r="J1137" s="244">
        <f>IF(H1137="warranty",0,(I1137*(_xlfn.SINGLE(SalesTaxPercentage))))</f>
        <v>0</v>
      </c>
      <c r="K1137" s="696">
        <f t="shared" ref="K1137" si="857">I1137+J1137</f>
        <v>0</v>
      </c>
      <c r="L1137" s="696"/>
      <c r="M1137" s="659" t="str">
        <f>IF(AND(G1137&gt;0,E1137=0),"WARNING - no PRICE inserted",IF(H1137="free"," FREE ~ no charge this plant",IF(H1137="credit",CONCATENATE(" -$",ROUND(K1137*(1-T2GDiscount)*-1,2)," CREDIT after discount"),IF(T2GDiscount=0,"",IF(G1137=0,"",IF(F1137="Buy",CONCATENATE(" $",ROUND(K1137*(1-T2GDiscount),2)," with ",(T2GDiscount*100),"% discount"),CONCATENATE(" $",ROUND(K1137*(1-T2GDiscount),2)," with ",((T2GDiscount*100+F1137*100)-(T2GDiscount*100*F1137)),IF(F1137&gt;0,"% discounts",IF(NoWarrantyDiscount&gt;0,"% discounts","% discount")))))))))</f>
        <v/>
      </c>
      <c r="N1137" s="660"/>
      <c r="O1137" s="233"/>
      <c r="P1137" s="233"/>
      <c r="Q1137" s="233"/>
      <c r="R1137" s="233"/>
      <c r="S1137" s="233"/>
      <c r="T1137" s="508">
        <f t="shared" si="820"/>
        <v>0</v>
      </c>
      <c r="U1137" s="225">
        <f>IF(NOT(ISNUMBER(G1137)), "", VLOOKUP(A1137,'Discount Lookup'!D:E,2,FALSE)*G1137)</f>
        <v>0</v>
      </c>
      <c r="V1137" s="225">
        <f>IF(NOT(ISNUMBER(G1137)), "", VLOOKUP(A1137,'Discount Lookup'!G:H,2,FALSE)*G1137)</f>
        <v>0</v>
      </c>
      <c r="W1137" s="508">
        <f t="shared" si="821"/>
        <v>0</v>
      </c>
      <c r="X1137" s="508">
        <f t="shared" si="822"/>
        <v>0</v>
      </c>
      <c r="Y1137" s="509" t="b">
        <f t="shared" si="823"/>
        <v>0</v>
      </c>
      <c r="Z1137" s="510">
        <f t="shared" si="824"/>
        <v>0</v>
      </c>
      <c r="AA1137" s="511"/>
      <c r="AB1137" s="511" t="str">
        <f t="shared" si="825"/>
        <v/>
      </c>
      <c r="AC1137" s="698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698"/>
      <c r="AE1137" s="631" t="str">
        <f t="shared" si="826"/>
        <v/>
      </c>
      <c r="AF1137" s="699" t="str">
        <f t="shared" si="827"/>
        <v/>
      </c>
      <c r="AG1137" s="699"/>
      <c r="AH1137" s="699"/>
      <c r="AI1137" s="512">
        <f>IF(H1137="credit",0,IF(AE1137="free",0,IF(AE1137="me",0,IF(G1137&gt;0,(VLOOKUP(A1137,'Discount Lookup'!J:K,2)*G1137),0))))</f>
        <v>0</v>
      </c>
      <c r="AJ1137" s="513" t="str">
        <f t="shared" ca="1" si="828"/>
        <v/>
      </c>
      <c r="AK1137" s="700" t="str">
        <f t="shared" si="829"/>
        <v/>
      </c>
      <c r="AL1137" s="700"/>
      <c r="AM1137" s="505" t="str">
        <f t="shared" si="830"/>
        <v/>
      </c>
      <c r="AN1137" s="506"/>
      <c r="AO1137" s="507"/>
      <c r="AP1137" s="507"/>
      <c r="AQ1137" s="507"/>
      <c r="AR1137" s="507"/>
      <c r="AS1137" s="507"/>
      <c r="AT1137" s="507"/>
      <c r="AU1137" s="507"/>
      <c r="AV1137" s="225"/>
      <c r="AW1137" s="508"/>
      <c r="AX1137" s="225"/>
      <c r="AY1137" s="225"/>
      <c r="AZ1137" s="225"/>
      <c r="BA1137" s="225"/>
      <c r="BB1137" s="225"/>
      <c r="BC1137" s="56"/>
      <c r="BD1137" s="56"/>
      <c r="BE1137" s="56"/>
      <c r="BF1137" s="107" t="str">
        <f t="shared" si="831"/>
        <v>https://www.google.com/search?tbm=isch&amp;q=3%20G4</v>
      </c>
      <c r="BG1137" s="107" t="str">
        <f t="shared" si="832"/>
        <v>D</v>
      </c>
      <c r="BH1137" s="254"/>
      <c r="BI1137" s="254"/>
    </row>
    <row r="1138" spans="1:61" customFormat="1" ht="15.75" x14ac:dyDescent="0.25">
      <c r="A1138" s="276">
        <v>3</v>
      </c>
      <c r="B1138" s="240" t="s">
        <v>291</v>
      </c>
      <c r="C1138" s="241"/>
      <c r="D1138" s="242" t="s">
        <v>300</v>
      </c>
      <c r="E1138" s="243">
        <v>28.95</v>
      </c>
      <c r="F1138" s="517" t="s">
        <v>293</v>
      </c>
      <c r="G1138" s="232">
        <v>0</v>
      </c>
      <c r="H1138" s="661" t="str">
        <f>IF(G1138=0,"",IF(F1138="Buy",IF(G1138=1,"plant","plants"),IF(F1138&gt;0.01,"warranty","Error")))</f>
        <v/>
      </c>
      <c r="I1138" s="244">
        <f>IF(H1138="free",0,IF(H1138="credit",((E1138*(F1138))*G1138*-1),IF(F1138="Buy",(E1138*G1138),((E1138*(1-F1138))*G1138))))</f>
        <v>0</v>
      </c>
      <c r="J1138" s="244">
        <f>IF(H1138="warranty",0,(I1138*(_xlfn.SINGLE(SalesTaxPercentage))))</f>
        <v>0</v>
      </c>
      <c r="K1138" s="696">
        <f t="shared" ref="K1138" si="858">I1138+J1138</f>
        <v>0</v>
      </c>
      <c r="L1138" s="696"/>
      <c r="M1138" s="659" t="str">
        <f>IF(AND(G1138&gt;0,E1138=0),"WARNING - no PRICE inserted",IF(H1138="free"," FREE ~ no charge this plant",IF(H1138="credit",CONCATENATE(" -$",ROUND(K1138*(1-T2GDiscount)*-1,2)," CREDIT after discount"),IF(T2GDiscount=0,"",IF(G1138=0,"",IF(F1138="Buy",CONCATENATE(" $",ROUND(K1138*(1-T2GDiscount),2)," with ",(T2GDiscount*100),"% discount"),CONCATENATE(" $",ROUND(K1138*(1-T2GDiscount),2)," with ",((T2GDiscount*100+F1138*100)-(T2GDiscount*100*F1138)),IF(F1138&gt;0,"% discounts",IF(NoWarrantyDiscount&gt;0,"% discounts","% discount")))))))))</f>
        <v/>
      </c>
      <c r="N1138" s="660"/>
      <c r="O1138" s="233"/>
      <c r="P1138" s="233"/>
      <c r="Q1138" s="233"/>
      <c r="R1138" s="233"/>
      <c r="S1138" s="233"/>
      <c r="T1138" s="508">
        <f t="shared" si="820"/>
        <v>0</v>
      </c>
      <c r="U1138" s="225">
        <f>IF(NOT(ISNUMBER(G1138)), "", VLOOKUP(A1138,'Discount Lookup'!D:E,2,FALSE)*G1138)</f>
        <v>0</v>
      </c>
      <c r="V1138" s="225">
        <f>IF(NOT(ISNUMBER(G1138)), "", VLOOKUP(A1138,'Discount Lookup'!G:H,2,FALSE)*G1138)</f>
        <v>0</v>
      </c>
      <c r="W1138" s="508">
        <f t="shared" si="821"/>
        <v>0</v>
      </c>
      <c r="X1138" s="508">
        <f t="shared" si="822"/>
        <v>0</v>
      </c>
      <c r="Y1138" s="509" t="b">
        <f t="shared" si="823"/>
        <v>0</v>
      </c>
      <c r="Z1138" s="510">
        <f t="shared" si="824"/>
        <v>0</v>
      </c>
      <c r="AA1138" s="511"/>
      <c r="AB1138" s="511" t="str">
        <f t="shared" si="825"/>
        <v/>
      </c>
      <c r="AC1138" s="698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698"/>
      <c r="AE1138" s="631" t="str">
        <f t="shared" si="826"/>
        <v/>
      </c>
      <c r="AF1138" s="699" t="str">
        <f t="shared" si="827"/>
        <v/>
      </c>
      <c r="AG1138" s="699"/>
      <c r="AH1138" s="699"/>
      <c r="AI1138" s="512">
        <f>IF(H1138="credit",0,IF(AE1138="free",0,IF(AE1138="me",0,IF(G1138&gt;0,(VLOOKUP(A1138,'Discount Lookup'!J:K,2)*G1138),0))))</f>
        <v>0</v>
      </c>
      <c r="AJ1138" s="513" t="str">
        <f t="shared" ca="1" si="828"/>
        <v/>
      </c>
      <c r="AK1138" s="700" t="str">
        <f t="shared" si="829"/>
        <v/>
      </c>
      <c r="AL1138" s="700"/>
      <c r="AM1138" s="505" t="str">
        <f t="shared" si="830"/>
        <v/>
      </c>
      <c r="AN1138" s="506"/>
      <c r="AO1138" s="507"/>
      <c r="AP1138" s="507"/>
      <c r="AQ1138" s="507"/>
      <c r="AR1138" s="507"/>
      <c r="AS1138" s="507"/>
      <c r="AT1138" s="507"/>
      <c r="AU1138" s="507"/>
      <c r="AV1138" s="225"/>
      <c r="AW1138" s="508"/>
      <c r="AX1138" s="225"/>
      <c r="AY1138" s="225"/>
      <c r="AZ1138" s="225"/>
      <c r="BA1138" s="225"/>
      <c r="BB1138" s="225"/>
      <c r="BC1138" s="56"/>
      <c r="BD1138" s="56"/>
      <c r="BE1138" s="56"/>
      <c r="BF1138" s="107" t="str">
        <f t="shared" si="831"/>
        <v>https://www.google.com/search?tbm=isch&amp;q=3%20G6</v>
      </c>
      <c r="BG1138" s="107" t="str">
        <f t="shared" si="832"/>
        <v>D</v>
      </c>
      <c r="BH1138" s="254"/>
      <c r="BI1138" s="254"/>
    </row>
    <row r="1139" spans="1:61" customFormat="1" ht="17.25" thickBot="1" x14ac:dyDescent="0.3">
      <c r="A1139" s="524" t="s">
        <v>3023</v>
      </c>
      <c r="B1139" s="245"/>
      <c r="C1139" s="677"/>
      <c r="D1139" s="499"/>
      <c r="E1139" s="499"/>
      <c r="F1139" s="500"/>
      <c r="G1139" s="501"/>
      <c r="H1139" s="502"/>
      <c r="I1139" s="246"/>
      <c r="J1139" s="247"/>
      <c r="K1139" s="503"/>
      <c r="L1139" s="544"/>
      <c r="M1139" s="544"/>
      <c r="N1139" s="500"/>
      <c r="O1139" s="500"/>
      <c r="P1139" s="500"/>
      <c r="Q1139" s="500"/>
      <c r="R1139" s="500"/>
      <c r="S1139" s="669" t="s">
        <v>4991</v>
      </c>
      <c r="T1139" s="508">
        <f t="shared" si="820"/>
        <v>0</v>
      </c>
      <c r="U1139" s="225" t="str">
        <f>IF(NOT(ISNUMBER(G1139)), "", VLOOKUP(A1139,'Discount Lookup'!D:E,2,FALSE)*G1139)</f>
        <v/>
      </c>
      <c r="V1139" s="225" t="str">
        <f>IF(NOT(ISNUMBER(G1139)), "", VLOOKUP(A1139,'Discount Lookup'!G:H,2,FALSE)*G1139)</f>
        <v/>
      </c>
      <c r="W1139" s="508">
        <f t="shared" si="821"/>
        <v>0</v>
      </c>
      <c r="X1139" s="508">
        <f t="shared" si="822"/>
        <v>0</v>
      </c>
      <c r="Y1139" s="509" t="b">
        <f t="shared" si="823"/>
        <v>0</v>
      </c>
      <c r="Z1139" s="510">
        <f t="shared" si="824"/>
        <v>0</v>
      </c>
      <c r="AA1139" s="511"/>
      <c r="AB1139" s="511" t="str">
        <f t="shared" si="825"/>
        <v/>
      </c>
      <c r="AC1139" s="698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698"/>
      <c r="AE1139" s="631" t="str">
        <f t="shared" si="826"/>
        <v/>
      </c>
      <c r="AF1139" s="699" t="str">
        <f t="shared" si="827"/>
        <v/>
      </c>
      <c r="AG1139" s="699"/>
      <c r="AH1139" s="699"/>
      <c r="AI1139" s="512">
        <f>IF(H1139="credit",0,IF(AE1139="free",0,IF(AE1139="me",0,IF(G1139&gt;0,(VLOOKUP(A1139,'Discount Lookup'!J:K,2)*G1139),0))))</f>
        <v>0</v>
      </c>
      <c r="AJ1139" s="513" t="str">
        <f t="shared" ca="1" si="828"/>
        <v/>
      </c>
      <c r="AK1139" s="700" t="str">
        <f t="shared" si="829"/>
        <v/>
      </c>
      <c r="AL1139" s="700"/>
      <c r="AM1139" s="505" t="str">
        <f t="shared" si="830"/>
        <v/>
      </c>
      <c r="AN1139" s="506"/>
      <c r="AO1139" s="507"/>
      <c r="AP1139" s="507"/>
      <c r="AQ1139" s="507"/>
      <c r="AR1139" s="507"/>
      <c r="AS1139" s="507"/>
      <c r="AT1139" s="507"/>
      <c r="AU1139" s="507"/>
      <c r="AV1139" s="225"/>
      <c r="AW1139" s="508"/>
      <c r="AX1139" s="225"/>
      <c r="AY1139" s="225"/>
      <c r="AZ1139" s="225"/>
      <c r="BA1139" s="225"/>
      <c r="BB1139" s="225"/>
      <c r="BC1139" s="56"/>
      <c r="BD1139" s="56"/>
      <c r="BE1139" s="56"/>
      <c r="BF1139" s="107" t="str">
        <f t="shared" si="831"/>
        <v>https://www.google.com/search?tbm=isch&amp;q=Dwarf%20Maiden%20plumes%20emerge%20Bronze-Pink%2C%20then%20fade%20to%20White.%20Foliage%20turns%20Orange-Gold-Burgundy%20in%20fall%20</v>
      </c>
      <c r="BG1139" s="107" t="str">
        <f t="shared" si="832"/>
        <v>D</v>
      </c>
      <c r="BH1139" s="254"/>
      <c r="BI1139" s="254"/>
    </row>
    <row r="1140" spans="1:61" customFormat="1" ht="18" x14ac:dyDescent="0.25">
      <c r="A1140" s="521" t="s">
        <v>811</v>
      </c>
      <c r="B1140" s="477"/>
      <c r="C1140" s="674"/>
      <c r="D1140" s="478" t="s">
        <v>812</v>
      </c>
      <c r="E1140" s="479"/>
      <c r="F1140" s="479"/>
      <c r="G1140" s="479"/>
      <c r="H1140" s="582" t="s">
        <v>483</v>
      </c>
      <c r="I1140" s="480" t="s">
        <v>2093</v>
      </c>
      <c r="J1140" s="479"/>
      <c r="K1140" s="479"/>
      <c r="L1140" s="560"/>
      <c r="M1140" s="666" t="s">
        <v>4966</v>
      </c>
      <c r="N1140" s="680" t="str">
        <f>IF(AND(ISTEXT($A1140), ISERROR($A1140+0)), HYPERLINK($BF1140, "Images"), "")</f>
        <v>Images</v>
      </c>
      <c r="O1140" s="662" t="s">
        <v>4967</v>
      </c>
      <c r="P1140" s="482"/>
      <c r="Q1140" s="483"/>
      <c r="R1140" s="483"/>
      <c r="S1140" s="484" t="s">
        <v>305</v>
      </c>
      <c r="T1140" s="508">
        <f t="shared" si="820"/>
        <v>0</v>
      </c>
      <c r="U1140" s="225" t="str">
        <f>IF(NOT(ISNUMBER(G1140)), "", VLOOKUP(A1140,'Discount Lookup'!D:E,2,FALSE)*G1140)</f>
        <v/>
      </c>
      <c r="V1140" s="225" t="str">
        <f>IF(NOT(ISNUMBER(G1140)), "", VLOOKUP(A1140,'Discount Lookup'!G:H,2,FALSE)*G1140)</f>
        <v/>
      </c>
      <c r="W1140" s="508">
        <f t="shared" si="821"/>
        <v>0</v>
      </c>
      <c r="X1140" s="508" t="str">
        <f t="shared" si="822"/>
        <v>Dark Green foliage</v>
      </c>
      <c r="Y1140" s="509" t="b">
        <f t="shared" si="823"/>
        <v>0</v>
      </c>
      <c r="Z1140" s="510">
        <f t="shared" si="824"/>
        <v>0</v>
      </c>
      <c r="AA1140" s="511"/>
      <c r="AB1140" s="511" t="str">
        <f t="shared" si="825"/>
        <v/>
      </c>
      <c r="AC1140" s="698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698"/>
      <c r="AE1140" s="631" t="str">
        <f t="shared" si="826"/>
        <v/>
      </c>
      <c r="AF1140" s="699" t="str">
        <f t="shared" si="827"/>
        <v/>
      </c>
      <c r="AG1140" s="699"/>
      <c r="AH1140" s="699"/>
      <c r="AI1140" s="512">
        <f>IF(H1140="credit",0,IF(AE1140="free",0,IF(AE1140="me",0,IF(G1140&gt;0,(VLOOKUP(A1140,'Discount Lookup'!J:K,2)*G1140),0))))</f>
        <v>0</v>
      </c>
      <c r="AJ1140" s="513" t="str">
        <f t="shared" ca="1" si="828"/>
        <v/>
      </c>
      <c r="AK1140" s="700" t="str">
        <f t="shared" si="829"/>
        <v/>
      </c>
      <c r="AL1140" s="700"/>
      <c r="AM1140" s="505" t="str">
        <f t="shared" si="830"/>
        <v/>
      </c>
      <c r="AN1140" s="506"/>
      <c r="AO1140" s="507"/>
      <c r="AP1140" s="507"/>
      <c r="AQ1140" s="507"/>
      <c r="AR1140" s="507"/>
      <c r="AS1140" s="507"/>
      <c r="AT1140" s="507"/>
      <c r="AU1140" s="507"/>
      <c r="AV1140" s="225"/>
      <c r="AW1140" s="508"/>
      <c r="AX1140" s="225"/>
      <c r="AY1140" s="225"/>
      <c r="AZ1140" s="225"/>
      <c r="BA1140" s="225"/>
      <c r="BB1140" s="225"/>
      <c r="BC1140" s="56"/>
      <c r="BD1140" s="56"/>
      <c r="BE1140" s="56"/>
      <c r="BF1140" s="107" t="str">
        <f t="shared" si="831"/>
        <v>https://www.google.com/search?tbm=isch&amp;q=Dwarf%20Yaupon%20Holly%20Ilex%20vomitoria%20%27Nana%27</v>
      </c>
      <c r="BG1140" s="107" t="str">
        <f t="shared" si="832"/>
        <v>D</v>
      </c>
      <c r="BH1140" s="254"/>
      <c r="BI1140" s="254"/>
    </row>
    <row r="1141" spans="1:61" customFormat="1" ht="15.75" x14ac:dyDescent="0.25">
      <c r="A1141" s="485">
        <v>3</v>
      </c>
      <c r="B1141" s="486" t="s">
        <v>291</v>
      </c>
      <c r="C1141" s="487"/>
      <c r="D1141" s="488" t="s">
        <v>298</v>
      </c>
      <c r="E1141" s="489">
        <v>25.95</v>
      </c>
      <c r="F1141" s="516" t="s">
        <v>293</v>
      </c>
      <c r="G1141" s="232">
        <v>0</v>
      </c>
      <c r="H1141" s="658" t="str">
        <f>IF(G1141=0,"",IF(F1141="Buy",IF(G1141=1,"plant","plants"),IF(F1141&gt;0.01,"warranty","Error")))</f>
        <v/>
      </c>
      <c r="I1141" s="490">
        <f>IF(H1141="free",0,IF(H1141="credit",((E1141*(F1141))*G1141*-1),IF(F1141="Buy",(E1141*G1141),((E1141*(1-F1141))*G1141))))</f>
        <v>0</v>
      </c>
      <c r="J1141" s="490">
        <f>IF(H1141="warranty",0,(I1141*(_xlfn.SINGLE(SalesTaxPercentage))))</f>
        <v>0</v>
      </c>
      <c r="K1141" s="695">
        <f t="shared" ref="K1141" si="859">I1141+J1141</f>
        <v>0</v>
      </c>
      <c r="L1141" s="695"/>
      <c r="M1141" s="659" t="str">
        <f>IF(AND(G1141&gt;0,E1141=0),"WARNING - no PRICE inserted",IF(H1141="free"," FREE ~ no charge this plant",IF(H1141="credit",CONCATENATE(" -$",ROUND(K1141*(1-T2GDiscount)*-1,2)," CREDIT after discount"),IF(T2GDiscount=0,"",IF(G1141=0,"",IF(F1141="Buy",CONCATENATE(" $",ROUND(K1141*(1-T2GDiscount),2)," with ",(T2GDiscount*100),"% discount"),CONCATENATE(" $",ROUND(K1141*(1-T2GDiscount),2)," with ",((T2GDiscount*100+F1141*100)-(T2GDiscount*100*F1141)),IF(F1141&gt;0,"% discounts",IF(NoWarrantyDiscount&gt;0,"% discounts","% discount")))))))))</f>
        <v/>
      </c>
      <c r="N1141" s="660"/>
      <c r="O1141" s="233"/>
      <c r="P1141" s="233"/>
      <c r="Q1141" s="233"/>
      <c r="R1141" s="233"/>
      <c r="S1141" s="233"/>
      <c r="T1141" s="508">
        <f t="shared" si="820"/>
        <v>0</v>
      </c>
      <c r="U1141" s="225">
        <f>IF(NOT(ISNUMBER(G1141)), "", VLOOKUP(A1141,'Discount Lookup'!D:E,2,FALSE)*G1141)</f>
        <v>0</v>
      </c>
      <c r="V1141" s="225">
        <f>IF(NOT(ISNUMBER(G1141)), "", VLOOKUP(A1141,'Discount Lookup'!G:H,2,FALSE)*G1141)</f>
        <v>0</v>
      </c>
      <c r="W1141" s="508">
        <f t="shared" si="821"/>
        <v>0</v>
      </c>
      <c r="X1141" s="508">
        <f t="shared" si="822"/>
        <v>0</v>
      </c>
      <c r="Y1141" s="509" t="b">
        <f t="shared" si="823"/>
        <v>0</v>
      </c>
      <c r="Z1141" s="510">
        <f t="shared" si="824"/>
        <v>0</v>
      </c>
      <c r="AA1141" s="511"/>
      <c r="AB1141" s="511" t="str">
        <f t="shared" si="825"/>
        <v/>
      </c>
      <c r="AC1141" s="698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698"/>
      <c r="AE1141" s="631" t="str">
        <f t="shared" si="826"/>
        <v/>
      </c>
      <c r="AF1141" s="699" t="str">
        <f t="shared" si="827"/>
        <v/>
      </c>
      <c r="AG1141" s="699"/>
      <c r="AH1141" s="699"/>
      <c r="AI1141" s="512">
        <f>IF(H1141="credit",0,IF(AE1141="free",0,IF(AE1141="me",0,IF(G1141&gt;0,(VLOOKUP(A1141,'Discount Lookup'!J:K,2)*G1141),0))))</f>
        <v>0</v>
      </c>
      <c r="AJ1141" s="513" t="str">
        <f t="shared" ca="1" si="828"/>
        <v/>
      </c>
      <c r="AK1141" s="700" t="str">
        <f t="shared" si="829"/>
        <v/>
      </c>
      <c r="AL1141" s="700"/>
      <c r="AM1141" s="505" t="str">
        <f t="shared" si="830"/>
        <v/>
      </c>
      <c r="AN1141" s="506"/>
      <c r="AO1141" s="507"/>
      <c r="AP1141" s="507"/>
      <c r="AQ1141" s="507"/>
      <c r="AR1141" s="507"/>
      <c r="AS1141" s="507"/>
      <c r="AT1141" s="507"/>
      <c r="AU1141" s="507"/>
      <c r="AV1141" s="225"/>
      <c r="AW1141" s="508"/>
      <c r="AX1141" s="225"/>
      <c r="AY1141" s="225"/>
      <c r="AZ1141" s="225"/>
      <c r="BA1141" s="225"/>
      <c r="BB1141" s="225"/>
      <c r="BC1141" s="56"/>
      <c r="BD1141" s="56"/>
      <c r="BE1141" s="56"/>
      <c r="BF1141" s="107" t="str">
        <f t="shared" si="831"/>
        <v>https://www.google.com/search?tbm=isch&amp;q=3%20G1</v>
      </c>
      <c r="BG1141" s="107" t="str">
        <f t="shared" si="832"/>
        <v>D</v>
      </c>
      <c r="BH1141" s="254"/>
      <c r="BI1141" s="254"/>
    </row>
    <row r="1142" spans="1:61" customFormat="1" ht="15.75" x14ac:dyDescent="0.25">
      <c r="A1142" s="485">
        <v>3</v>
      </c>
      <c r="B1142" s="486" t="s">
        <v>291</v>
      </c>
      <c r="C1142" s="487" t="s">
        <v>2206</v>
      </c>
      <c r="D1142" s="488" t="s">
        <v>300</v>
      </c>
      <c r="E1142" s="489">
        <v>35.950000000000003</v>
      </c>
      <c r="F1142" s="516" t="s">
        <v>293</v>
      </c>
      <c r="G1142" s="232">
        <v>0</v>
      </c>
      <c r="H1142" s="658" t="str">
        <f>IF(G1142=0,"",IF(F1142="Buy",IF(G1142=1,"plant","plants"),IF(F1142&gt;0.01,"warranty","Error")))</f>
        <v/>
      </c>
      <c r="I1142" s="490">
        <f>IF(H1142="free",0,IF(H1142="credit",((E1142*(F1142))*G1142*-1),IF(F1142="Buy",(E1142*G1142),((E1142*(1-F1142))*G1142))))</f>
        <v>0</v>
      </c>
      <c r="J1142" s="490">
        <f>IF(H1142="warranty",0,(I1142*(_xlfn.SINGLE(SalesTaxPercentage))))</f>
        <v>0</v>
      </c>
      <c r="K1142" s="695">
        <f t="shared" ref="K1142" si="860">I1142+J1142</f>
        <v>0</v>
      </c>
      <c r="L1142" s="695"/>
      <c r="M1142" s="659" t="str">
        <f>IF(AND(G1142&gt;0,E1142=0),"WARNING - no PRICE inserted",IF(H1142="free"," FREE ~ no charge this plant",IF(H1142="credit",CONCATENATE(" -$",ROUND(K1142*(1-T2GDiscount)*-1,2)," CREDIT after discount"),IF(T2GDiscount=0,"",IF(G1142=0,"",IF(F1142="Buy",CONCATENATE(" $",ROUND(K1142*(1-T2GDiscount),2)," with ",(T2GDiscount*100),"% discount"),CONCATENATE(" $",ROUND(K1142*(1-T2GDiscount),2)," with ",((T2GDiscount*100+F1142*100)-(T2GDiscount*100*F1142)),IF(F1142&gt;0,"% discounts",IF(NoWarrantyDiscount&gt;0,"% discounts","% discount")))))))))</f>
        <v/>
      </c>
      <c r="N1142" s="660"/>
      <c r="O1142" s="233"/>
      <c r="P1142" s="233"/>
      <c r="Q1142" s="233"/>
      <c r="R1142" s="233"/>
      <c r="S1142" s="233"/>
      <c r="T1142" s="508">
        <f t="shared" si="820"/>
        <v>0</v>
      </c>
      <c r="U1142" s="225">
        <f>IF(NOT(ISNUMBER(G1142)), "", VLOOKUP(A1142,'Discount Lookup'!D:E,2,FALSE)*G1142)</f>
        <v>0</v>
      </c>
      <c r="V1142" s="225">
        <f>IF(NOT(ISNUMBER(G1142)), "", VLOOKUP(A1142,'Discount Lookup'!G:H,2,FALSE)*G1142)</f>
        <v>0</v>
      </c>
      <c r="W1142" s="508">
        <f t="shared" si="821"/>
        <v>0</v>
      </c>
      <c r="X1142" s="508">
        <f t="shared" si="822"/>
        <v>0</v>
      </c>
      <c r="Y1142" s="509" t="b">
        <f t="shared" si="823"/>
        <v>0</v>
      </c>
      <c r="Z1142" s="510">
        <f t="shared" si="824"/>
        <v>0</v>
      </c>
      <c r="AA1142" s="511"/>
      <c r="AB1142" s="511" t="str">
        <f t="shared" si="825"/>
        <v/>
      </c>
      <c r="AC1142" s="698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698"/>
      <c r="AE1142" s="631" t="str">
        <f t="shared" si="826"/>
        <v/>
      </c>
      <c r="AF1142" s="699" t="str">
        <f t="shared" si="827"/>
        <v/>
      </c>
      <c r="AG1142" s="699"/>
      <c r="AH1142" s="699"/>
      <c r="AI1142" s="512">
        <f>IF(H1142="credit",0,IF(AE1142="free",0,IF(AE1142="me",0,IF(G1142&gt;0,(VLOOKUP(A1142,'Discount Lookup'!J:K,2)*G1142),0))))</f>
        <v>0</v>
      </c>
      <c r="AJ1142" s="513" t="str">
        <f t="shared" ca="1" si="828"/>
        <v/>
      </c>
      <c r="AK1142" s="700" t="str">
        <f t="shared" si="829"/>
        <v/>
      </c>
      <c r="AL1142" s="700"/>
      <c r="AM1142" s="505" t="str">
        <f t="shared" si="830"/>
        <v/>
      </c>
      <c r="AN1142" s="506"/>
      <c r="AO1142" s="507"/>
      <c r="AP1142" s="507"/>
      <c r="AQ1142" s="507"/>
      <c r="AR1142" s="507"/>
      <c r="AS1142" s="507"/>
      <c r="AT1142" s="507"/>
      <c r="AU1142" s="507"/>
      <c r="AV1142" s="225"/>
      <c r="AW1142" s="508"/>
      <c r="AX1142" s="225"/>
      <c r="AY1142" s="225"/>
      <c r="AZ1142" s="225"/>
      <c r="BA1142" s="225"/>
      <c r="BB1142" s="225"/>
      <c r="BC1142" s="56"/>
      <c r="BD1142" s="56"/>
      <c r="BE1142" s="56"/>
      <c r="BF1142" s="107" t="str">
        <f t="shared" si="831"/>
        <v>https://www.google.com/search?tbm=isch&amp;q=3%20G6</v>
      </c>
      <c r="BG1142" s="107" t="str">
        <f t="shared" si="832"/>
        <v>D</v>
      </c>
      <c r="BH1142" s="254"/>
      <c r="BI1142" s="254"/>
    </row>
    <row r="1143" spans="1:61" customFormat="1" ht="16.5" thickBot="1" x14ac:dyDescent="0.3">
      <c r="A1143" s="672" t="s">
        <v>5099</v>
      </c>
      <c r="B1143" s="491"/>
      <c r="C1143" s="675"/>
      <c r="D1143" s="491"/>
      <c r="E1143" s="491"/>
      <c r="F1143" s="492"/>
      <c r="G1143" s="493"/>
      <c r="H1143" s="491"/>
      <c r="I1143" s="234"/>
      <c r="J1143" s="234"/>
      <c r="K1143" s="494"/>
      <c r="L1143" s="543"/>
      <c r="M1143" s="561"/>
      <c r="N1143" s="495"/>
      <c r="O1143" s="496"/>
      <c r="P1143" s="497"/>
      <c r="Q1143" s="495"/>
      <c r="R1143" s="495"/>
      <c r="S1143" s="667" t="s">
        <v>4968</v>
      </c>
      <c r="T1143" s="508">
        <f t="shared" si="820"/>
        <v>0</v>
      </c>
      <c r="U1143" s="225" t="str">
        <f>IF(NOT(ISNUMBER(G1143)), "", VLOOKUP(A1143,'Discount Lookup'!D:E,2,FALSE)*G1143)</f>
        <v/>
      </c>
      <c r="V1143" s="225" t="str">
        <f>IF(NOT(ISNUMBER(G1143)), "", VLOOKUP(A1143,'Discount Lookup'!G:H,2,FALSE)*G1143)</f>
        <v/>
      </c>
      <c r="W1143" s="508">
        <f t="shared" si="821"/>
        <v>0</v>
      </c>
      <c r="X1143" s="508">
        <f t="shared" si="822"/>
        <v>0</v>
      </c>
      <c r="Y1143" s="509" t="b">
        <f t="shared" si="823"/>
        <v>0</v>
      </c>
      <c r="Z1143" s="510">
        <f t="shared" si="824"/>
        <v>0</v>
      </c>
      <c r="AA1143" s="511"/>
      <c r="AB1143" s="511" t="str">
        <f t="shared" si="825"/>
        <v/>
      </c>
      <c r="AC1143" s="698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698"/>
      <c r="AE1143" s="631" t="str">
        <f t="shared" si="826"/>
        <v/>
      </c>
      <c r="AF1143" s="699" t="str">
        <f t="shared" si="827"/>
        <v/>
      </c>
      <c r="AG1143" s="699"/>
      <c r="AH1143" s="699"/>
      <c r="AI1143" s="512">
        <f>IF(H1143="credit",0,IF(AE1143="free",0,IF(AE1143="me",0,IF(G1143&gt;0,(VLOOKUP(A1143,'Discount Lookup'!J:K,2)*G1143),0))))</f>
        <v>0</v>
      </c>
      <c r="AJ1143" s="513" t="str">
        <f t="shared" ca="1" si="828"/>
        <v/>
      </c>
      <c r="AK1143" s="700" t="str">
        <f t="shared" si="829"/>
        <v/>
      </c>
      <c r="AL1143" s="700"/>
      <c r="AM1143" s="505" t="str">
        <f t="shared" si="830"/>
        <v/>
      </c>
      <c r="AN1143" s="506"/>
      <c r="AO1143" s="507"/>
      <c r="AP1143" s="507"/>
      <c r="AQ1143" s="507"/>
      <c r="AR1143" s="507"/>
      <c r="AS1143" s="507"/>
      <c r="AT1143" s="507"/>
      <c r="AU1143" s="507"/>
      <c r="AV1143" s="225"/>
      <c r="AW1143" s="508"/>
      <c r="AX1143" s="225"/>
      <c r="AY1143" s="225"/>
      <c r="AZ1143" s="225"/>
      <c r="BA1143" s="225"/>
      <c r="BB1143" s="225"/>
      <c r="BC1143" s="56"/>
      <c r="BD1143" s="56"/>
      <c r="BE1143" s="56"/>
      <c r="BF1143" s="107" t="str">
        <f t="shared" si="831"/>
        <v>https://www.google.com/search?tbm=isch&amp;q=moist%20sites%F0%9F%92%A7OK%2C%20Dwarf%20Yaupon%20has%20brittle%2C%20close-knit%20branches.%20Good%20for%20hedges.%20Small%20flowers%20%26%20berries%20often%20hidden%20</v>
      </c>
      <c r="BG1143" s="107" t="str">
        <f t="shared" si="832"/>
        <v>m</v>
      </c>
      <c r="BH1143" s="254"/>
      <c r="BI1143" s="254"/>
    </row>
    <row r="1144" spans="1:61" customFormat="1" ht="18" x14ac:dyDescent="0.25">
      <c r="A1144" s="523" t="s">
        <v>5393</v>
      </c>
      <c r="B1144" s="235"/>
      <c r="C1144" s="676"/>
      <c r="D1144" s="255" t="s">
        <v>2740</v>
      </c>
      <c r="E1144" s="236"/>
      <c r="F1144" s="236"/>
      <c r="G1144" s="236"/>
      <c r="H1144" s="582" t="s">
        <v>311</v>
      </c>
      <c r="I1144" s="498" t="s">
        <v>655</v>
      </c>
      <c r="J1144" s="237"/>
      <c r="K1144" s="237"/>
      <c r="L1144" s="274"/>
      <c r="M1144" s="668" t="s">
        <v>4962</v>
      </c>
      <c r="N1144" s="681" t="str">
        <f>IF(AND(ISTEXT($A1144), ISERROR($A1144+0)), HYPERLINK($BF1144, "Images"), "")</f>
        <v>Images</v>
      </c>
      <c r="O1144" s="663" t="s">
        <v>4967</v>
      </c>
      <c r="P1144" s="253"/>
      <c r="Q1144" s="238"/>
      <c r="R1144" s="239"/>
      <c r="S1144" s="275"/>
      <c r="T1144" s="508">
        <f t="shared" si="820"/>
        <v>0</v>
      </c>
      <c r="U1144" s="225" t="str">
        <f>IF(NOT(ISNUMBER(G1144)), "", VLOOKUP(A1144,'Discount Lookup'!D:E,2,FALSE)*G1144)</f>
        <v/>
      </c>
      <c r="V1144" s="225" t="str">
        <f>IF(NOT(ISNUMBER(G1144)), "", VLOOKUP(A1144,'Discount Lookup'!G:H,2,FALSE)*G1144)</f>
        <v/>
      </c>
      <c r="W1144" s="508">
        <f t="shared" si="821"/>
        <v>0</v>
      </c>
      <c r="X1144" s="508" t="str">
        <f t="shared" si="822"/>
        <v>Red bloom</v>
      </c>
      <c r="Y1144" s="509" t="b">
        <f t="shared" si="823"/>
        <v>0</v>
      </c>
      <c r="Z1144" s="510">
        <f t="shared" si="824"/>
        <v>0</v>
      </c>
      <c r="AA1144" s="511"/>
      <c r="AB1144" s="511" t="str">
        <f t="shared" si="825"/>
        <v/>
      </c>
      <c r="AC1144" s="698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698"/>
      <c r="AE1144" s="631" t="str">
        <f t="shared" si="826"/>
        <v/>
      </c>
      <c r="AF1144" s="699" t="str">
        <f t="shared" si="827"/>
        <v/>
      </c>
      <c r="AG1144" s="699"/>
      <c r="AH1144" s="699"/>
      <c r="AI1144" s="512">
        <f>IF(H1144="credit",0,IF(AE1144="free",0,IF(AE1144="me",0,IF(G1144&gt;0,(VLOOKUP(A1144,'Discount Lookup'!J:K,2)*G1144),0))))</f>
        <v>0</v>
      </c>
      <c r="AJ1144" s="513" t="str">
        <f t="shared" ca="1" si="828"/>
        <v/>
      </c>
      <c r="AK1144" s="700" t="str">
        <f t="shared" si="829"/>
        <v/>
      </c>
      <c r="AL1144" s="700"/>
      <c r="AM1144" s="505" t="str">
        <f t="shared" si="830"/>
        <v/>
      </c>
      <c r="AN1144" s="506"/>
      <c r="AO1144" s="507"/>
      <c r="AP1144" s="507"/>
      <c r="AQ1144" s="507"/>
      <c r="AR1144" s="507"/>
      <c r="AS1144" s="507"/>
      <c r="AT1144" s="507"/>
      <c r="AU1144" s="507"/>
      <c r="AV1144" s="225"/>
      <c r="AW1144" s="508"/>
      <c r="AX1144" s="225"/>
      <c r="AY1144" s="225"/>
      <c r="AZ1144" s="225"/>
      <c r="BA1144" s="225"/>
      <c r="BB1144" s="225"/>
      <c r="BC1144" s="56"/>
      <c r="BD1144" s="56"/>
      <c r="BE1144" s="56"/>
      <c r="BF1144" s="107" t="str">
        <f t="shared" si="831"/>
        <v>https://www.google.com/search?tbm=isch&amp;q=Dynamite%C2%AE%20Crape%20Myrtle%20Lagerstroemia%20indica%20%27Whit%20II%27%20PP%2310296</v>
      </c>
      <c r="BG1144" s="107" t="str">
        <f t="shared" si="832"/>
        <v>D</v>
      </c>
      <c r="BH1144" s="254"/>
      <c r="BI1144" s="254"/>
    </row>
    <row r="1145" spans="1:61" customFormat="1" ht="27" x14ac:dyDescent="0.25">
      <c r="A1145" s="276">
        <v>7</v>
      </c>
      <c r="B1145" s="240" t="s">
        <v>291</v>
      </c>
      <c r="C1145" s="241" t="s">
        <v>3433</v>
      </c>
      <c r="D1145" s="242" t="s">
        <v>292</v>
      </c>
      <c r="E1145" s="243">
        <v>123.95</v>
      </c>
      <c r="F1145" s="517" t="s">
        <v>293</v>
      </c>
      <c r="G1145" s="232">
        <v>0</v>
      </c>
      <c r="H1145" s="661" t="str">
        <f>IF(G1145=0,"",IF(F1145="Buy",IF(G1145=1,"plant","plants"),IF(F1145&gt;0.01,"warranty","Error")))</f>
        <v/>
      </c>
      <c r="I1145" s="244">
        <f>IF(H1145="free",0,IF(H1145="credit",((E1145*(F1145))*G1145*-1),IF(F1145="Buy",(E1145*G1145),((E1145*(1-F1145))*G1145))))</f>
        <v>0</v>
      </c>
      <c r="J1145" s="244">
        <f>IF(H1145="warranty",0,(I1145*(_xlfn.SINGLE(SalesTaxPercentage))))</f>
        <v>0</v>
      </c>
      <c r="K1145" s="696">
        <f t="shared" ref="K1145" si="861">I1145+J1145</f>
        <v>0</v>
      </c>
      <c r="L1145" s="696"/>
      <c r="M1145" s="659" t="str">
        <f>IF(AND(G1145&gt;0,E1145=0),"WARNING - no PRICE inserted",IF(H1145="free"," FREE ~ no charge this plant",IF(H1145="credit",CONCATENATE(" -$",ROUND(K1145*(1-T2GDiscount)*-1,2)," CREDIT after discount"),IF(T2GDiscount=0,"",IF(G1145=0,"",IF(F1145="Buy",CONCATENATE(" $",ROUND(K1145*(1-T2GDiscount),2)," with ",(T2GDiscount*100),"% discount"),CONCATENATE(" $",ROUND(K1145*(1-T2GDiscount),2)," with ",((T2GDiscount*100+F1145*100)-(T2GDiscount*100*F1145)),IF(F1145&gt;0,"% discounts",IF(NoWarrantyDiscount&gt;0,"% discounts","% discount")))))))))</f>
        <v/>
      </c>
      <c r="N1145" s="660"/>
      <c r="O1145" s="233"/>
      <c r="P1145" s="233"/>
      <c r="Q1145" s="233"/>
      <c r="R1145" s="233"/>
      <c r="S1145" s="233"/>
      <c r="T1145" s="508">
        <f t="shared" si="820"/>
        <v>0</v>
      </c>
      <c r="U1145" s="225">
        <f>IF(NOT(ISNUMBER(G1145)), "", VLOOKUP(A1145,'Discount Lookup'!D:E,2,FALSE)*G1145)</f>
        <v>0</v>
      </c>
      <c r="V1145" s="225">
        <f>IF(NOT(ISNUMBER(G1145)), "", VLOOKUP(A1145,'Discount Lookup'!G:H,2,FALSE)*G1145)</f>
        <v>0</v>
      </c>
      <c r="W1145" s="508">
        <f t="shared" si="821"/>
        <v>0</v>
      </c>
      <c r="X1145" s="508">
        <f t="shared" si="822"/>
        <v>0</v>
      </c>
      <c r="Y1145" s="509" t="b">
        <f t="shared" si="823"/>
        <v>0</v>
      </c>
      <c r="Z1145" s="510">
        <f t="shared" si="824"/>
        <v>0</v>
      </c>
      <c r="AA1145" s="511"/>
      <c r="AB1145" s="511" t="str">
        <f t="shared" si="825"/>
        <v/>
      </c>
      <c r="AC1145" s="698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698"/>
      <c r="AE1145" s="631" t="str">
        <f t="shared" si="826"/>
        <v/>
      </c>
      <c r="AF1145" s="699" t="str">
        <f t="shared" si="827"/>
        <v/>
      </c>
      <c r="AG1145" s="699"/>
      <c r="AH1145" s="699"/>
      <c r="AI1145" s="512">
        <f>IF(H1145="credit",0,IF(AE1145="free",0,IF(AE1145="me",0,IF(G1145&gt;0,(VLOOKUP(A1145,'Discount Lookup'!J:K,2)*G1145),0))))</f>
        <v>0</v>
      </c>
      <c r="AJ1145" s="513" t="str">
        <f t="shared" ca="1" si="828"/>
        <v/>
      </c>
      <c r="AK1145" s="700" t="str">
        <f t="shared" si="829"/>
        <v/>
      </c>
      <c r="AL1145" s="700"/>
      <c r="AM1145" s="505" t="str">
        <f t="shared" si="830"/>
        <v/>
      </c>
      <c r="AN1145" s="506"/>
      <c r="AO1145" s="507"/>
      <c r="AP1145" s="507"/>
      <c r="AQ1145" s="507"/>
      <c r="AR1145" s="507"/>
      <c r="AS1145" s="507"/>
      <c r="AT1145" s="507"/>
      <c r="AU1145" s="507"/>
      <c r="AV1145" s="225"/>
      <c r="AW1145" s="508"/>
      <c r="AX1145" s="225"/>
      <c r="AY1145" s="225"/>
      <c r="AZ1145" s="225"/>
      <c r="BA1145" s="225"/>
      <c r="BB1145" s="225"/>
      <c r="BC1145" s="56"/>
      <c r="BD1145" s="56"/>
      <c r="BE1145" s="56"/>
      <c r="BF1145" s="107" t="str">
        <f t="shared" si="831"/>
        <v>https://www.google.com/search?tbm=isch&amp;q=7%20G4</v>
      </c>
      <c r="BG1145" s="107" t="str">
        <f t="shared" si="832"/>
        <v>D</v>
      </c>
      <c r="BH1145" s="254"/>
      <c r="BI1145" s="254"/>
    </row>
    <row r="1146" spans="1:61" customFormat="1" ht="16.5" x14ac:dyDescent="0.25">
      <c r="A1146" s="524" t="s">
        <v>2547</v>
      </c>
      <c r="B1146" s="245"/>
      <c r="C1146" s="677"/>
      <c r="D1146" s="499"/>
      <c r="E1146" s="499"/>
      <c r="F1146" s="500"/>
      <c r="G1146" s="501"/>
      <c r="H1146" s="502"/>
      <c r="I1146" s="246"/>
      <c r="J1146" s="247"/>
      <c r="K1146" s="503"/>
      <c r="L1146" s="544"/>
      <c r="M1146" s="544"/>
      <c r="N1146" s="500"/>
      <c r="O1146" s="500"/>
      <c r="P1146" s="500"/>
      <c r="Q1146" s="500"/>
      <c r="R1146" s="500"/>
      <c r="S1146" s="278"/>
      <c r="T1146" s="508">
        <f t="shared" si="820"/>
        <v>0</v>
      </c>
      <c r="U1146" s="225" t="str">
        <f>IF(NOT(ISNUMBER(G1146)), "", VLOOKUP(A1146,'Discount Lookup'!D:E,2,FALSE)*G1146)</f>
        <v/>
      </c>
      <c r="V1146" s="225" t="str">
        <f>IF(NOT(ISNUMBER(G1146)), "", VLOOKUP(A1146,'Discount Lookup'!G:H,2,FALSE)*G1146)</f>
        <v/>
      </c>
      <c r="W1146" s="508">
        <f t="shared" si="821"/>
        <v>0</v>
      </c>
      <c r="X1146" s="508">
        <f t="shared" si="822"/>
        <v>0</v>
      </c>
      <c r="Y1146" s="509" t="b">
        <f t="shared" si="823"/>
        <v>0</v>
      </c>
      <c r="Z1146" s="510">
        <f t="shared" si="824"/>
        <v>0</v>
      </c>
      <c r="AA1146" s="511"/>
      <c r="AB1146" s="511" t="str">
        <f t="shared" si="825"/>
        <v/>
      </c>
      <c r="AC1146" s="698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698"/>
      <c r="AE1146" s="631" t="str">
        <f t="shared" si="826"/>
        <v/>
      </c>
      <c r="AF1146" s="699" t="str">
        <f t="shared" si="827"/>
        <v/>
      </c>
      <c r="AG1146" s="699"/>
      <c r="AH1146" s="699"/>
      <c r="AI1146" s="512">
        <f>IF(H1146="credit",0,IF(AE1146="free",0,IF(AE1146="me",0,IF(G1146&gt;0,(VLOOKUP(A1146,'Discount Lookup'!J:K,2)*G1146),0))))</f>
        <v>0</v>
      </c>
      <c r="AJ1146" s="513" t="str">
        <f t="shared" ca="1" si="828"/>
        <v/>
      </c>
      <c r="AK1146" s="700" t="str">
        <f t="shared" si="829"/>
        <v/>
      </c>
      <c r="AL1146" s="700"/>
      <c r="AM1146" s="505" t="str">
        <f t="shared" si="830"/>
        <v/>
      </c>
      <c r="AN1146" s="506"/>
      <c r="AO1146" s="507"/>
      <c r="AP1146" s="507"/>
      <c r="AQ1146" s="507"/>
      <c r="AR1146" s="507"/>
      <c r="AS1146" s="507"/>
      <c r="AT1146" s="507"/>
      <c r="AU1146" s="507"/>
      <c r="AV1146" s="225"/>
      <c r="AW1146" s="508"/>
      <c r="AX1146" s="225"/>
      <c r="AY1146" s="225"/>
      <c r="AZ1146" s="225"/>
      <c r="BA1146" s="225"/>
      <c r="BB1146" s="225"/>
      <c r="BC1146" s="56"/>
      <c r="BD1146" s="56"/>
      <c r="BE1146" s="56"/>
      <c r="BF1146" s="107" t="str">
        <f t="shared" si="831"/>
        <v>https://www.google.com/search?tbm=isch&amp;q=Dynamite%20looks%20like%20an%20explosion%2C%20with%20a%20little%20white%20mixed%20into%20the%20mainly%20red%20blooms%20</v>
      </c>
      <c r="BG1146" s="107" t="str">
        <f t="shared" si="832"/>
        <v>D</v>
      </c>
      <c r="BH1146" s="254"/>
      <c r="BI1146" s="254"/>
    </row>
    <row r="1147" spans="1:61" customFormat="1" ht="45.75" thickBot="1" x14ac:dyDescent="0.35">
      <c r="A1147" s="525" t="s">
        <v>813</v>
      </c>
      <c r="B1147" s="248"/>
      <c r="C1147" s="678" t="s">
        <v>673</v>
      </c>
      <c r="D1147" s="249"/>
      <c r="E1147" s="249"/>
      <c r="F1147" s="249"/>
      <c r="G1147" s="249"/>
      <c r="H1147" s="250"/>
      <c r="I1147" s="249"/>
      <c r="J1147" s="249"/>
      <c r="K1147" s="526" t="s">
        <v>2840</v>
      </c>
      <c r="L1147" s="279"/>
      <c r="M1147" s="251"/>
      <c r="S1147" s="504" t="s">
        <v>2841</v>
      </c>
      <c r="T1147" s="508">
        <f t="shared" si="820"/>
        <v>0</v>
      </c>
      <c r="U1147" s="225" t="str">
        <f>IF(NOT(ISNUMBER(G1147)), "", VLOOKUP(A1147,'Discount Lookup'!D:E,2,FALSE)*G1147)</f>
        <v/>
      </c>
      <c r="V1147" s="225" t="str">
        <f>IF(NOT(ISNUMBER(G1147)), "", VLOOKUP(A1147,'Discount Lookup'!G:H,2,FALSE)*G1147)</f>
        <v/>
      </c>
      <c r="W1147" s="508">
        <f t="shared" si="821"/>
        <v>0</v>
      </c>
      <c r="X1147" s="508">
        <f t="shared" si="822"/>
        <v>0</v>
      </c>
      <c r="Y1147" s="509" t="b">
        <f t="shared" si="823"/>
        <v>0</v>
      </c>
      <c r="Z1147" s="510">
        <f t="shared" si="824"/>
        <v>0</v>
      </c>
      <c r="AA1147" s="511"/>
      <c r="AB1147" s="511" t="str">
        <f t="shared" si="825"/>
        <v/>
      </c>
      <c r="AC1147" s="698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698"/>
      <c r="AE1147" s="631" t="str">
        <f t="shared" si="826"/>
        <v/>
      </c>
      <c r="AF1147" s="699" t="str">
        <f t="shared" si="827"/>
        <v/>
      </c>
      <c r="AG1147" s="699"/>
      <c r="AH1147" s="699"/>
      <c r="AI1147" s="512">
        <f>IF(H1147="credit",0,IF(AE1147="free",0,IF(AE1147="me",0,IF(G1147&gt;0,(VLOOKUP(A1147,'Discount Lookup'!J:K,2)*G1147),0))))</f>
        <v>0</v>
      </c>
      <c r="AJ1147" s="513" t="str">
        <f t="shared" ca="1" si="828"/>
        <v/>
      </c>
      <c r="AK1147" s="700" t="str">
        <f t="shared" si="829"/>
        <v/>
      </c>
      <c r="AL1147" s="700"/>
      <c r="AM1147" s="505" t="str">
        <f t="shared" si="830"/>
        <v/>
      </c>
      <c r="AN1147" s="506"/>
      <c r="AO1147" s="507"/>
      <c r="AP1147" s="507"/>
      <c r="AQ1147" s="507"/>
      <c r="AR1147" s="507"/>
      <c r="AS1147" s="507"/>
      <c r="AT1147" s="507"/>
      <c r="AU1147" s="507"/>
      <c r="AV1147" s="225"/>
      <c r="AW1147" s="508"/>
      <c r="AX1147" s="225"/>
      <c r="AY1147" s="225"/>
      <c r="AZ1147" s="225"/>
      <c r="BA1147" s="225"/>
      <c r="BB1147" s="225"/>
      <c r="BC1147" s="56"/>
      <c r="BD1147" s="56"/>
      <c r="BE1147" s="56"/>
      <c r="BF1147" s="107" t="str">
        <f t="shared" si="831"/>
        <v>https://www.google.com/search?tbm=isch&amp;q=E%20</v>
      </c>
      <c r="BG1147" s="107" t="str">
        <f t="shared" si="832"/>
        <v>E</v>
      </c>
      <c r="BH1147" s="254"/>
      <c r="BI1147" s="254"/>
    </row>
    <row r="1148" spans="1:61" customFormat="1" ht="18" x14ac:dyDescent="0.25">
      <c r="A1148" s="523" t="s">
        <v>814</v>
      </c>
      <c r="B1148" s="235"/>
      <c r="C1148" s="676"/>
      <c r="D1148" s="255" t="s">
        <v>815</v>
      </c>
      <c r="E1148" s="236"/>
      <c r="F1148" s="236"/>
      <c r="G1148" s="236"/>
      <c r="H1148" s="582" t="s">
        <v>2947</v>
      </c>
      <c r="I1148" s="498" t="s">
        <v>4040</v>
      </c>
      <c r="J1148" s="237"/>
      <c r="K1148" s="237"/>
      <c r="L1148" s="274"/>
      <c r="M1148" s="668" t="s">
        <v>4962</v>
      </c>
      <c r="N1148" s="681" t="str">
        <f>IF(AND(ISTEXT($A1148), ISERROR($A1148+0)), HYPERLINK($BF1148, "Images"), "")</f>
        <v>Images</v>
      </c>
      <c r="O1148" s="663" t="s">
        <v>4967</v>
      </c>
      <c r="P1148" s="253"/>
      <c r="Q1148" s="238"/>
      <c r="R1148" s="239"/>
      <c r="S1148" s="275" t="s">
        <v>305</v>
      </c>
      <c r="T1148" s="508">
        <f t="shared" si="820"/>
        <v>0</v>
      </c>
      <c r="U1148" s="225" t="str">
        <f>IF(NOT(ISNUMBER(G1148)), "", VLOOKUP(A1148,'Discount Lookup'!D:E,2,FALSE)*G1148)</f>
        <v/>
      </c>
      <c r="V1148" s="225" t="str">
        <f>IF(NOT(ISNUMBER(G1148)), "", VLOOKUP(A1148,'Discount Lookup'!G:H,2,FALSE)*G1148)</f>
        <v/>
      </c>
      <c r="W1148" s="508">
        <f t="shared" si="821"/>
        <v>0</v>
      </c>
      <c r="X1148" s="508" t="str">
        <f t="shared" si="822"/>
        <v>Golden-Yellow ray, Dark eye</v>
      </c>
      <c r="Y1148" s="509" t="b">
        <f t="shared" si="823"/>
        <v>0</v>
      </c>
      <c r="Z1148" s="510">
        <f t="shared" si="824"/>
        <v>0</v>
      </c>
      <c r="AA1148" s="511"/>
      <c r="AB1148" s="511" t="str">
        <f t="shared" si="825"/>
        <v/>
      </c>
      <c r="AC1148" s="698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698"/>
      <c r="AE1148" s="631" t="str">
        <f t="shared" si="826"/>
        <v/>
      </c>
      <c r="AF1148" s="699" t="str">
        <f t="shared" si="827"/>
        <v/>
      </c>
      <c r="AG1148" s="699"/>
      <c r="AH1148" s="699"/>
      <c r="AI1148" s="512">
        <f>IF(H1148="credit",0,IF(AE1148="free",0,IF(AE1148="me",0,IF(G1148&gt;0,(VLOOKUP(A1148,'Discount Lookup'!J:K,2)*G1148),0))))</f>
        <v>0</v>
      </c>
      <c r="AJ1148" s="513" t="str">
        <f t="shared" ca="1" si="828"/>
        <v/>
      </c>
      <c r="AK1148" s="700" t="str">
        <f t="shared" si="829"/>
        <v/>
      </c>
      <c r="AL1148" s="700"/>
      <c r="AM1148" s="505" t="str">
        <f t="shared" si="830"/>
        <v/>
      </c>
      <c r="AN1148" s="506"/>
      <c r="AO1148" s="507"/>
      <c r="AP1148" s="507"/>
      <c r="AQ1148" s="507"/>
      <c r="AR1148" s="507"/>
      <c r="AS1148" s="507"/>
      <c r="AT1148" s="507"/>
      <c r="AU1148" s="507"/>
      <c r="AV1148" s="225"/>
      <c r="AW1148" s="508"/>
      <c r="AX1148" s="225"/>
      <c r="AY1148" s="225"/>
      <c r="AZ1148" s="225"/>
      <c r="BA1148" s="225"/>
      <c r="BB1148" s="225"/>
      <c r="BC1148" s="56"/>
      <c r="BD1148" s="56"/>
      <c r="BE1148" s="56"/>
      <c r="BF1148" s="107" t="str">
        <f t="shared" si="831"/>
        <v>https://www.google.com/search?tbm=isch&amp;q=Early%20Bird%20Gold%20Black%20Eyed%20Susan%20Rudbeckia%20fulgida%20%27Early%20Bird%20Gold%27%20PP%2320286</v>
      </c>
      <c r="BG1148" s="107" t="str">
        <f t="shared" si="832"/>
        <v>E</v>
      </c>
      <c r="BH1148" s="254"/>
      <c r="BI1148" s="254"/>
    </row>
    <row r="1149" spans="1:61" customFormat="1" ht="15.75" x14ac:dyDescent="0.25">
      <c r="A1149" s="276">
        <v>2</v>
      </c>
      <c r="B1149" s="240" t="s">
        <v>291</v>
      </c>
      <c r="C1149" s="241"/>
      <c r="D1149" s="242" t="s">
        <v>300</v>
      </c>
      <c r="E1149" s="243">
        <v>28.95</v>
      </c>
      <c r="F1149" s="517" t="s">
        <v>293</v>
      </c>
      <c r="G1149" s="232">
        <v>0</v>
      </c>
      <c r="H1149" s="661" t="str">
        <f>IF(G1149=0,"",IF(F1149="Buy",IF(G1149=1,"plant","plants"),IF(F1149&gt;0.01,"warranty","Error")))</f>
        <v/>
      </c>
      <c r="I1149" s="244">
        <f>IF(H1149="free",0,IF(H1149="credit",((E1149*(F1149))*G1149*-1),IF(F1149="Buy",(E1149*G1149),((E1149*(1-F1149))*G1149))))</f>
        <v>0</v>
      </c>
      <c r="J1149" s="244">
        <f>IF(H1149="warranty",0,(I1149*(_xlfn.SINGLE(SalesTaxPercentage))))</f>
        <v>0</v>
      </c>
      <c r="K1149" s="696">
        <f t="shared" ref="K1149" si="862">I1149+J1149</f>
        <v>0</v>
      </c>
      <c r="L1149" s="696"/>
      <c r="M1149" s="659" t="str">
        <f>IF(AND(G1149&gt;0,E1149=0),"WARNING - no PRICE inserted",IF(H1149="free"," FREE ~ no charge this plant",IF(H1149="credit",CONCATENATE(" -$",ROUND(K1149*(1-T2GDiscount)*-1,2)," CREDIT after discount"),IF(T2GDiscount=0,"",IF(G1149=0,"",IF(F1149="Buy",CONCATENATE(" $",ROUND(K1149*(1-T2GDiscount),2)," with ",(T2GDiscount*100),"% discount"),CONCATENATE(" $",ROUND(K1149*(1-T2GDiscount),2)," with ",((T2GDiscount*100+F1149*100)-(T2GDiscount*100*F1149)),IF(F1149&gt;0,"% discounts",IF(NoWarrantyDiscount&gt;0,"% discounts","% discount")))))))))</f>
        <v/>
      </c>
      <c r="N1149" s="660"/>
      <c r="O1149" s="233"/>
      <c r="P1149" s="233"/>
      <c r="Q1149" s="233"/>
      <c r="R1149" s="233"/>
      <c r="S1149" s="233"/>
      <c r="T1149" s="508">
        <f t="shared" si="820"/>
        <v>0</v>
      </c>
      <c r="U1149" s="225">
        <f>IF(NOT(ISNUMBER(G1149)), "", VLOOKUP(A1149,'Discount Lookup'!D:E,2,FALSE)*G1149)</f>
        <v>0</v>
      </c>
      <c r="V1149" s="225">
        <f>IF(NOT(ISNUMBER(G1149)), "", VLOOKUP(A1149,'Discount Lookup'!G:H,2,FALSE)*G1149)</f>
        <v>0</v>
      </c>
      <c r="W1149" s="508">
        <f t="shared" si="821"/>
        <v>0</v>
      </c>
      <c r="X1149" s="508">
        <f t="shared" si="822"/>
        <v>0</v>
      </c>
      <c r="Y1149" s="509" t="b">
        <f t="shared" si="823"/>
        <v>0</v>
      </c>
      <c r="Z1149" s="510">
        <f t="shared" si="824"/>
        <v>0</v>
      </c>
      <c r="AA1149" s="511"/>
      <c r="AB1149" s="511" t="str">
        <f t="shared" si="825"/>
        <v/>
      </c>
      <c r="AC1149" s="698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698"/>
      <c r="AE1149" s="631" t="str">
        <f t="shared" si="826"/>
        <v/>
      </c>
      <c r="AF1149" s="699" t="str">
        <f t="shared" si="827"/>
        <v/>
      </c>
      <c r="AG1149" s="699"/>
      <c r="AH1149" s="699"/>
      <c r="AI1149" s="512">
        <f>IF(H1149="credit",0,IF(AE1149="free",0,IF(AE1149="me",0,IF(G1149&gt;0,(VLOOKUP(A1149,'Discount Lookup'!J:K,2)*G1149),0))))</f>
        <v>0</v>
      </c>
      <c r="AJ1149" s="513" t="str">
        <f t="shared" ca="1" si="828"/>
        <v/>
      </c>
      <c r="AK1149" s="700" t="str">
        <f t="shared" si="829"/>
        <v/>
      </c>
      <c r="AL1149" s="700"/>
      <c r="AM1149" s="505" t="str">
        <f t="shared" si="830"/>
        <v/>
      </c>
      <c r="AN1149" s="506"/>
      <c r="AO1149" s="507"/>
      <c r="AP1149" s="507"/>
      <c r="AQ1149" s="507"/>
      <c r="AR1149" s="507"/>
      <c r="AS1149" s="507"/>
      <c r="AT1149" s="507"/>
      <c r="AU1149" s="507"/>
      <c r="AV1149" s="225"/>
      <c r="AW1149" s="508"/>
      <c r="AX1149" s="225"/>
      <c r="AY1149" s="225"/>
      <c r="AZ1149" s="225"/>
      <c r="BA1149" s="225"/>
      <c r="BB1149" s="225"/>
      <c r="BC1149" s="56"/>
      <c r="BD1149" s="56"/>
      <c r="BE1149" s="56"/>
      <c r="BF1149" s="107" t="str">
        <f t="shared" si="831"/>
        <v>https://www.google.com/search?tbm=isch&amp;q=2%20G6</v>
      </c>
      <c r="BG1149" s="107" t="str">
        <f t="shared" si="832"/>
        <v>E</v>
      </c>
      <c r="BH1149" s="254"/>
      <c r="BI1149" s="254"/>
    </row>
    <row r="1150" spans="1:61" customFormat="1" ht="17.25" thickBot="1" x14ac:dyDescent="0.3">
      <c r="A1150" s="524" t="s">
        <v>4200</v>
      </c>
      <c r="B1150" s="245"/>
      <c r="C1150" s="677"/>
      <c r="D1150" s="499"/>
      <c r="E1150" s="499"/>
      <c r="F1150" s="500"/>
      <c r="G1150" s="501"/>
      <c r="H1150" s="502"/>
      <c r="I1150" s="246"/>
      <c r="J1150" s="247"/>
      <c r="K1150" s="503"/>
      <c r="L1150" s="544"/>
      <c r="M1150" s="544"/>
      <c r="N1150" s="500"/>
      <c r="O1150" s="500"/>
      <c r="P1150" s="500"/>
      <c r="Q1150" s="500"/>
      <c r="R1150" s="500"/>
      <c r="S1150" s="669" t="s">
        <v>4979</v>
      </c>
      <c r="T1150" s="508">
        <f t="shared" si="820"/>
        <v>0</v>
      </c>
      <c r="U1150" s="225" t="str">
        <f>IF(NOT(ISNUMBER(G1150)), "", VLOOKUP(A1150,'Discount Lookup'!D:E,2,FALSE)*G1150)</f>
        <v/>
      </c>
      <c r="V1150" s="225" t="str">
        <f>IF(NOT(ISNUMBER(G1150)), "", VLOOKUP(A1150,'Discount Lookup'!G:H,2,FALSE)*G1150)</f>
        <v/>
      </c>
      <c r="W1150" s="508">
        <f t="shared" si="821"/>
        <v>0</v>
      </c>
      <c r="X1150" s="508">
        <f t="shared" si="822"/>
        <v>0</v>
      </c>
      <c r="Y1150" s="509" t="b">
        <f t="shared" si="823"/>
        <v>0</v>
      </c>
      <c r="Z1150" s="510">
        <f t="shared" si="824"/>
        <v>0</v>
      </c>
      <c r="AA1150" s="511"/>
      <c r="AB1150" s="511" t="str">
        <f t="shared" si="825"/>
        <v/>
      </c>
      <c r="AC1150" s="698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698"/>
      <c r="AE1150" s="631" t="str">
        <f t="shared" si="826"/>
        <v/>
      </c>
      <c r="AF1150" s="699" t="str">
        <f t="shared" si="827"/>
        <v/>
      </c>
      <c r="AG1150" s="699"/>
      <c r="AH1150" s="699"/>
      <c r="AI1150" s="512">
        <f>IF(H1150="credit",0,IF(AE1150="free",0,IF(AE1150="me",0,IF(G1150&gt;0,(VLOOKUP(A1150,'Discount Lookup'!J:K,2)*G1150),0))))</f>
        <v>0</v>
      </c>
      <c r="AJ1150" s="513" t="str">
        <f t="shared" ca="1" si="828"/>
        <v/>
      </c>
      <c r="AK1150" s="700" t="str">
        <f t="shared" si="829"/>
        <v/>
      </c>
      <c r="AL1150" s="700"/>
      <c r="AM1150" s="505" t="str">
        <f t="shared" si="830"/>
        <v/>
      </c>
      <c r="AN1150" s="506"/>
      <c r="AO1150" s="507"/>
      <c r="AP1150" s="507"/>
      <c r="AQ1150" s="507"/>
      <c r="AR1150" s="507"/>
      <c r="AS1150" s="507"/>
      <c r="AT1150" s="507"/>
      <c r="AU1150" s="507"/>
      <c r="AV1150" s="225"/>
      <c r="AW1150" s="508"/>
      <c r="AX1150" s="225"/>
      <c r="AY1150" s="225"/>
      <c r="AZ1150" s="225"/>
      <c r="BA1150" s="225"/>
      <c r="BB1150" s="225"/>
      <c r="BC1150" s="56"/>
      <c r="BD1150" s="56"/>
      <c r="BE1150" s="56"/>
      <c r="BF1150" s="107" t="str">
        <f t="shared" si="831"/>
        <v>https://www.google.com/search?tbm=isch&amp;q=Early%20Bird%20Gold%20named%20for%20its%20very%20early%20bloom%20time%2C%20with%20continuous%20show%20of%20flowers%20from%20late%20spring%20through%20fall%20</v>
      </c>
      <c r="BG1150" s="107" t="str">
        <f t="shared" si="832"/>
        <v>E</v>
      </c>
      <c r="BH1150" s="254"/>
      <c r="BI1150" s="254"/>
    </row>
    <row r="1151" spans="1:61" customFormat="1" ht="18" x14ac:dyDescent="0.25">
      <c r="A1151" s="521" t="s">
        <v>816</v>
      </c>
      <c r="B1151" s="477"/>
      <c r="C1151" s="674"/>
      <c r="D1151" s="478" t="s">
        <v>817</v>
      </c>
      <c r="E1151" s="479"/>
      <c r="F1151" s="479"/>
      <c r="G1151" s="479"/>
      <c r="H1151" s="582" t="s">
        <v>715</v>
      </c>
      <c r="I1151" s="480" t="s">
        <v>654</v>
      </c>
      <c r="J1151" s="479"/>
      <c r="K1151" s="479"/>
      <c r="L1151" s="560"/>
      <c r="M1151" s="666" t="s">
        <v>4966</v>
      </c>
      <c r="N1151" s="680" t="str">
        <f>IF(AND(ISTEXT($A1151), ISERROR($A1151+0)), HYPERLINK($BF1151, "Images"), "")</f>
        <v>Images</v>
      </c>
      <c r="O1151" s="662" t="s">
        <v>4974</v>
      </c>
      <c r="P1151" s="482"/>
      <c r="Q1151" s="483"/>
      <c r="R1151" s="483"/>
      <c r="S1151" s="484"/>
      <c r="T1151" s="508">
        <f t="shared" si="820"/>
        <v>0</v>
      </c>
      <c r="U1151" s="225" t="str">
        <f>IF(NOT(ISNUMBER(G1151)), "", VLOOKUP(A1151,'Discount Lookup'!D:E,2,FALSE)*G1151)</f>
        <v/>
      </c>
      <c r="V1151" s="225" t="str">
        <f>IF(NOT(ISNUMBER(G1151)), "", VLOOKUP(A1151,'Discount Lookup'!G:H,2,FALSE)*G1151)</f>
        <v/>
      </c>
      <c r="W1151" s="508">
        <f t="shared" si="821"/>
        <v>0</v>
      </c>
      <c r="X1151" s="508" t="str">
        <f t="shared" si="822"/>
        <v>White bloom</v>
      </c>
      <c r="Y1151" s="509" t="b">
        <f t="shared" si="823"/>
        <v>0</v>
      </c>
      <c r="Z1151" s="510">
        <f t="shared" si="824"/>
        <v>0</v>
      </c>
      <c r="AA1151" s="511"/>
      <c r="AB1151" s="511" t="str">
        <f t="shared" si="825"/>
        <v/>
      </c>
      <c r="AC1151" s="698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698"/>
      <c r="AE1151" s="631" t="str">
        <f t="shared" si="826"/>
        <v/>
      </c>
      <c r="AF1151" s="699" t="str">
        <f t="shared" si="827"/>
        <v/>
      </c>
      <c r="AG1151" s="699"/>
      <c r="AH1151" s="699"/>
      <c r="AI1151" s="512">
        <f>IF(H1151="credit",0,IF(AE1151="free",0,IF(AE1151="me",0,IF(G1151&gt;0,(VLOOKUP(A1151,'Discount Lookup'!J:K,2)*G1151),0))))</f>
        <v>0</v>
      </c>
      <c r="AJ1151" s="513" t="str">
        <f t="shared" ca="1" si="828"/>
        <v/>
      </c>
      <c r="AK1151" s="700" t="str">
        <f t="shared" si="829"/>
        <v/>
      </c>
      <c r="AL1151" s="700"/>
      <c r="AM1151" s="505" t="str">
        <f t="shared" si="830"/>
        <v/>
      </c>
      <c r="AN1151" s="506"/>
      <c r="AO1151" s="507"/>
      <c r="AP1151" s="507"/>
      <c r="AQ1151" s="507"/>
      <c r="AR1151" s="507"/>
      <c r="AS1151" s="507"/>
      <c r="AT1151" s="507"/>
      <c r="AU1151" s="507"/>
      <c r="AV1151" s="225"/>
      <c r="AW1151" s="508"/>
      <c r="AX1151" s="225"/>
      <c r="AY1151" s="225"/>
      <c r="AZ1151" s="225"/>
      <c r="BA1151" s="225"/>
      <c r="BB1151" s="225"/>
      <c r="BC1151" s="56"/>
      <c r="BD1151" s="56"/>
      <c r="BE1151" s="56"/>
      <c r="BF1151" s="107" t="str">
        <f t="shared" si="831"/>
        <v>https://www.google.com/search?tbm=isch&amp;q=Eastbay%20Privet%20Ligustrum%20japonicum%20%27East%20Bay%27</v>
      </c>
      <c r="BG1151" s="107" t="str">
        <f t="shared" si="832"/>
        <v>E</v>
      </c>
      <c r="BH1151" s="254"/>
      <c r="BI1151" s="254"/>
    </row>
    <row r="1152" spans="1:61" customFormat="1" ht="15.75" x14ac:dyDescent="0.25">
      <c r="A1152" s="485">
        <v>3</v>
      </c>
      <c r="B1152" s="486" t="s">
        <v>291</v>
      </c>
      <c r="C1152" s="487"/>
      <c r="D1152" s="488" t="s">
        <v>298</v>
      </c>
      <c r="E1152" s="489">
        <v>25.95</v>
      </c>
      <c r="F1152" s="516" t="s">
        <v>293</v>
      </c>
      <c r="G1152" s="232">
        <v>0</v>
      </c>
      <c r="H1152" s="658" t="str">
        <f>IF(G1152=0,"",IF(F1152="Buy",IF(G1152=1,"plant","plants"),IF(F1152&gt;0.01,"warranty","Error")))</f>
        <v/>
      </c>
      <c r="I1152" s="490">
        <f>IF(H1152="free",0,IF(H1152="credit",((E1152*(F1152))*G1152*-1),IF(F1152="Buy",(E1152*G1152),((E1152*(1-F1152))*G1152))))</f>
        <v>0</v>
      </c>
      <c r="J1152" s="490">
        <f>IF(H1152="warranty",0,(I1152*(_xlfn.SINGLE(SalesTaxPercentage))))</f>
        <v>0</v>
      </c>
      <c r="K1152" s="695">
        <f t="shared" ref="K1152" si="863">I1152+J1152</f>
        <v>0</v>
      </c>
      <c r="L1152" s="695"/>
      <c r="M1152" s="659" t="str">
        <f>IF(AND(G1152&gt;0,E1152=0),"WARNING - no PRICE inserted",IF(H1152="free"," FREE ~ no charge this plant",IF(H1152="credit",CONCATENATE(" -$",ROUND(K1152*(1-T2GDiscount)*-1,2)," CREDIT after discount"),IF(T2GDiscount=0,"",IF(G1152=0,"",IF(F1152="Buy",CONCATENATE(" $",ROUND(K1152*(1-T2GDiscount),2)," with ",(T2GDiscount*100),"% discount"),CONCATENATE(" $",ROUND(K1152*(1-T2GDiscount),2)," with ",((T2GDiscount*100+F1152*100)-(T2GDiscount*100*F1152)),IF(F1152&gt;0,"% discounts",IF(NoWarrantyDiscount&gt;0,"% discounts","% discount")))))))))</f>
        <v/>
      </c>
      <c r="N1152" s="660"/>
      <c r="O1152" s="233"/>
      <c r="P1152" s="233"/>
      <c r="Q1152" s="233"/>
      <c r="R1152" s="233"/>
      <c r="S1152" s="233"/>
      <c r="T1152" s="508">
        <f t="shared" si="820"/>
        <v>0</v>
      </c>
      <c r="U1152" s="225">
        <f>IF(NOT(ISNUMBER(G1152)), "", VLOOKUP(A1152,'Discount Lookup'!D:E,2,FALSE)*G1152)</f>
        <v>0</v>
      </c>
      <c r="V1152" s="225">
        <f>IF(NOT(ISNUMBER(G1152)), "", VLOOKUP(A1152,'Discount Lookup'!G:H,2,FALSE)*G1152)</f>
        <v>0</v>
      </c>
      <c r="W1152" s="508">
        <f t="shared" si="821"/>
        <v>0</v>
      </c>
      <c r="X1152" s="508">
        <f t="shared" si="822"/>
        <v>0</v>
      </c>
      <c r="Y1152" s="509" t="b">
        <f t="shared" si="823"/>
        <v>0</v>
      </c>
      <c r="Z1152" s="510">
        <f t="shared" si="824"/>
        <v>0</v>
      </c>
      <c r="AA1152" s="511"/>
      <c r="AB1152" s="511" t="str">
        <f t="shared" si="825"/>
        <v/>
      </c>
      <c r="AC1152" s="698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698"/>
      <c r="AE1152" s="631" t="str">
        <f t="shared" si="826"/>
        <v/>
      </c>
      <c r="AF1152" s="699" t="str">
        <f t="shared" si="827"/>
        <v/>
      </c>
      <c r="AG1152" s="699"/>
      <c r="AH1152" s="699"/>
      <c r="AI1152" s="512">
        <f>IF(H1152="credit",0,IF(AE1152="free",0,IF(AE1152="me",0,IF(G1152&gt;0,(VLOOKUP(A1152,'Discount Lookup'!J:K,2)*G1152),0))))</f>
        <v>0</v>
      </c>
      <c r="AJ1152" s="513" t="str">
        <f t="shared" ca="1" si="828"/>
        <v/>
      </c>
      <c r="AK1152" s="700" t="str">
        <f t="shared" si="829"/>
        <v/>
      </c>
      <c r="AL1152" s="700"/>
      <c r="AM1152" s="505" t="str">
        <f t="shared" si="830"/>
        <v/>
      </c>
      <c r="AN1152" s="506"/>
      <c r="AO1152" s="507"/>
      <c r="AP1152" s="507"/>
      <c r="AQ1152" s="507"/>
      <c r="AR1152" s="507"/>
      <c r="AS1152" s="507"/>
      <c r="AT1152" s="507"/>
      <c r="AU1152" s="507"/>
      <c r="AV1152" s="225"/>
      <c r="AW1152" s="508"/>
      <c r="AX1152" s="225"/>
      <c r="AY1152" s="225"/>
      <c r="AZ1152" s="225"/>
      <c r="BA1152" s="225"/>
      <c r="BB1152" s="225"/>
      <c r="BC1152" s="56"/>
      <c r="BD1152" s="56"/>
      <c r="BE1152" s="56"/>
      <c r="BF1152" s="107" t="str">
        <f t="shared" si="831"/>
        <v>https://www.google.com/search?tbm=isch&amp;q=3%20G1</v>
      </c>
      <c r="BG1152" s="107" t="str">
        <f t="shared" si="832"/>
        <v>E</v>
      </c>
      <c r="BH1152" s="254"/>
      <c r="BI1152" s="254"/>
    </row>
    <row r="1153" spans="1:61" customFormat="1" ht="16.5" thickBot="1" x14ac:dyDescent="0.3">
      <c r="A1153" s="522" t="s">
        <v>2375</v>
      </c>
      <c r="B1153" s="491"/>
      <c r="C1153" s="675"/>
      <c r="D1153" s="491"/>
      <c r="E1153" s="491"/>
      <c r="F1153" s="492"/>
      <c r="G1153" s="493"/>
      <c r="H1153" s="491"/>
      <c r="I1153" s="234"/>
      <c r="J1153" s="234"/>
      <c r="K1153" s="494"/>
      <c r="L1153" s="543"/>
      <c r="M1153" s="561"/>
      <c r="N1153" s="495"/>
      <c r="O1153" s="496"/>
      <c r="P1153" s="497"/>
      <c r="Q1153" s="495"/>
      <c r="R1153" s="495"/>
      <c r="S1153" s="277"/>
      <c r="T1153" s="508">
        <f t="shared" si="820"/>
        <v>0</v>
      </c>
      <c r="U1153" s="225" t="str">
        <f>IF(NOT(ISNUMBER(G1153)), "", VLOOKUP(A1153,'Discount Lookup'!D:E,2,FALSE)*G1153)</f>
        <v/>
      </c>
      <c r="V1153" s="225" t="str">
        <f>IF(NOT(ISNUMBER(G1153)), "", VLOOKUP(A1153,'Discount Lookup'!G:H,2,FALSE)*G1153)</f>
        <v/>
      </c>
      <c r="W1153" s="508">
        <f t="shared" si="821"/>
        <v>0</v>
      </c>
      <c r="X1153" s="508">
        <f t="shared" si="822"/>
        <v>0</v>
      </c>
      <c r="Y1153" s="509" t="b">
        <f t="shared" si="823"/>
        <v>0</v>
      </c>
      <c r="Z1153" s="510">
        <f t="shared" si="824"/>
        <v>0</v>
      </c>
      <c r="AA1153" s="511"/>
      <c r="AB1153" s="511" t="str">
        <f t="shared" si="825"/>
        <v/>
      </c>
      <c r="AC1153" s="698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698"/>
      <c r="AE1153" s="631" t="str">
        <f t="shared" si="826"/>
        <v/>
      </c>
      <c r="AF1153" s="699" t="str">
        <f t="shared" si="827"/>
        <v/>
      </c>
      <c r="AG1153" s="699"/>
      <c r="AH1153" s="699"/>
      <c r="AI1153" s="512">
        <f>IF(H1153="credit",0,IF(AE1153="free",0,IF(AE1153="me",0,IF(G1153&gt;0,(VLOOKUP(A1153,'Discount Lookup'!J:K,2)*G1153),0))))</f>
        <v>0</v>
      </c>
      <c r="AJ1153" s="513" t="str">
        <f t="shared" ca="1" si="828"/>
        <v/>
      </c>
      <c r="AK1153" s="700" t="str">
        <f t="shared" si="829"/>
        <v/>
      </c>
      <c r="AL1153" s="700"/>
      <c r="AM1153" s="505" t="str">
        <f t="shared" si="830"/>
        <v/>
      </c>
      <c r="AN1153" s="506"/>
      <c r="AO1153" s="507"/>
      <c r="AP1153" s="507"/>
      <c r="AQ1153" s="507"/>
      <c r="AR1153" s="507"/>
      <c r="AS1153" s="507"/>
      <c r="AT1153" s="507"/>
      <c r="AU1153" s="507"/>
      <c r="AV1153" s="225"/>
      <c r="AW1153" s="508"/>
      <c r="AX1153" s="225"/>
      <c r="AY1153" s="225"/>
      <c r="AZ1153" s="225"/>
      <c r="BA1153" s="225"/>
      <c r="BB1153" s="225"/>
      <c r="BC1153" s="56"/>
      <c r="BD1153" s="56"/>
      <c r="BE1153" s="56"/>
      <c r="BF1153" s="107" t="str">
        <f t="shared" si="831"/>
        <v>https://www.google.com/search?tbm=isch&amp;q=Eastbay%20fragrant%20blooms%20appear%20in%20May.%20Salt%2C%20sun%2C%20shade%20and%20hedging%20tolerant%20</v>
      </c>
      <c r="BG1153" s="107" t="str">
        <f t="shared" si="832"/>
        <v>E</v>
      </c>
      <c r="BH1153" s="254"/>
      <c r="BI1153" s="254"/>
    </row>
    <row r="1154" spans="1:61" customFormat="1" ht="18" x14ac:dyDescent="0.25">
      <c r="A1154" s="523" t="s">
        <v>818</v>
      </c>
      <c r="B1154" s="235"/>
      <c r="C1154" s="676"/>
      <c r="D1154" s="255" t="s">
        <v>819</v>
      </c>
      <c r="E1154" s="236"/>
      <c r="F1154" s="236"/>
      <c r="G1154" s="236"/>
      <c r="H1154" s="582" t="s">
        <v>820</v>
      </c>
      <c r="I1154" s="498" t="s">
        <v>656</v>
      </c>
      <c r="J1154" s="237"/>
      <c r="K1154" s="237"/>
      <c r="L1154" s="274"/>
      <c r="M1154" s="668" t="s">
        <v>4975</v>
      </c>
      <c r="N1154" s="681" t="str">
        <f>IF(AND(ISTEXT($A1154), ISERROR($A1154+0)), HYPERLINK($BF1154, "Images"), "")</f>
        <v>Images</v>
      </c>
      <c r="O1154" s="663" t="s">
        <v>4974</v>
      </c>
      <c r="P1154" s="253"/>
      <c r="Q1154" s="238"/>
      <c r="R1154" s="239"/>
      <c r="S1154" s="275" t="s">
        <v>305</v>
      </c>
      <c r="T1154" s="508">
        <f t="shared" si="820"/>
        <v>0</v>
      </c>
      <c r="U1154" s="225" t="str">
        <f>IF(NOT(ISNUMBER(G1154)), "", VLOOKUP(A1154,'Discount Lookup'!D:E,2,FALSE)*G1154)</f>
        <v/>
      </c>
      <c r="V1154" s="225" t="str">
        <f>IF(NOT(ISNUMBER(G1154)), "", VLOOKUP(A1154,'Discount Lookup'!G:H,2,FALSE)*G1154)</f>
        <v/>
      </c>
      <c r="W1154" s="508">
        <f t="shared" si="821"/>
        <v>0</v>
      </c>
      <c r="X1154" s="508" t="str">
        <f t="shared" si="822"/>
        <v>Pink bloom</v>
      </c>
      <c r="Y1154" s="509" t="b">
        <f t="shared" si="823"/>
        <v>0</v>
      </c>
      <c r="Z1154" s="510">
        <f t="shared" si="824"/>
        <v>0</v>
      </c>
      <c r="AA1154" s="511"/>
      <c r="AB1154" s="511" t="str">
        <f t="shared" si="825"/>
        <v/>
      </c>
      <c r="AC1154" s="698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698"/>
      <c r="AE1154" s="631" t="str">
        <f t="shared" si="826"/>
        <v/>
      </c>
      <c r="AF1154" s="699" t="str">
        <f t="shared" si="827"/>
        <v/>
      </c>
      <c r="AG1154" s="699"/>
      <c r="AH1154" s="699"/>
      <c r="AI1154" s="512">
        <f>IF(H1154="credit",0,IF(AE1154="free",0,IF(AE1154="me",0,IF(G1154&gt;0,(VLOOKUP(A1154,'Discount Lookup'!J:K,2)*G1154),0))))</f>
        <v>0</v>
      </c>
      <c r="AJ1154" s="513" t="str">
        <f t="shared" ca="1" si="828"/>
        <v/>
      </c>
      <c r="AK1154" s="700" t="str">
        <f t="shared" si="829"/>
        <v/>
      </c>
      <c r="AL1154" s="700"/>
      <c r="AM1154" s="505" t="str">
        <f t="shared" si="830"/>
        <v/>
      </c>
      <c r="AN1154" s="506"/>
      <c r="AO1154" s="507"/>
      <c r="AP1154" s="507"/>
      <c r="AQ1154" s="507"/>
      <c r="AR1154" s="507"/>
      <c r="AS1154" s="507"/>
      <c r="AT1154" s="507"/>
      <c r="AU1154" s="507"/>
      <c r="AV1154" s="225"/>
      <c r="AW1154" s="508"/>
      <c r="AX1154" s="225"/>
      <c r="AY1154" s="225"/>
      <c r="AZ1154" s="225"/>
      <c r="BA1154" s="225"/>
      <c r="BB1154" s="225"/>
      <c r="BC1154" s="56"/>
      <c r="BD1154" s="56"/>
      <c r="BE1154" s="56"/>
      <c r="BF1154" s="107" t="str">
        <f t="shared" si="831"/>
        <v>https://www.google.com/search?tbm=isch&amp;q=Eastern%20Redbud%20Cercis%20canadensis</v>
      </c>
      <c r="BG1154" s="107" t="str">
        <f t="shared" si="832"/>
        <v>E</v>
      </c>
      <c r="BH1154" s="254"/>
      <c r="BI1154" s="254"/>
    </row>
    <row r="1155" spans="1:61" customFormat="1" ht="15.75" x14ac:dyDescent="0.25">
      <c r="A1155" s="276">
        <v>7</v>
      </c>
      <c r="B1155" s="240" t="s">
        <v>291</v>
      </c>
      <c r="C1155" s="241" t="s">
        <v>4291</v>
      </c>
      <c r="D1155" s="242" t="s">
        <v>292</v>
      </c>
      <c r="E1155" s="243">
        <v>102.95</v>
      </c>
      <c r="F1155" s="517" t="s">
        <v>293</v>
      </c>
      <c r="G1155" s="232">
        <v>0</v>
      </c>
      <c r="H1155" s="661" t="str">
        <f>IF(G1155=0,"",IF(F1155="Buy",IF(G1155=1,"plant","plants"),IF(F1155&gt;0.01,"warranty","Error")))</f>
        <v/>
      </c>
      <c r="I1155" s="244">
        <f>IF(H1155="free",0,IF(H1155="credit",((E1155*(F1155))*G1155*-1),IF(F1155="Buy",(E1155*G1155),((E1155*(1-F1155))*G1155))))</f>
        <v>0</v>
      </c>
      <c r="J1155" s="244">
        <f>IF(H1155="warranty",0,(I1155*(_xlfn.SINGLE(SalesTaxPercentage))))</f>
        <v>0</v>
      </c>
      <c r="K1155" s="696">
        <f t="shared" ref="K1155" si="864">I1155+J1155</f>
        <v>0</v>
      </c>
      <c r="L1155" s="696"/>
      <c r="M1155" s="659" t="str">
        <f>IF(AND(G1155&gt;0,E1155=0),"WARNING - no PRICE inserted",IF(H1155="free"," FREE ~ no charge this plant",IF(H1155="credit",CONCATENATE(" -$",ROUND(K1155*(1-T2GDiscount)*-1,2)," CREDIT after discount"),IF(T2GDiscount=0,"",IF(G1155=0,"",IF(F1155="Buy",CONCATENATE(" $",ROUND(K1155*(1-T2GDiscount),2)," with ",(T2GDiscount*100),"% discount"),CONCATENATE(" $",ROUND(K1155*(1-T2GDiscount),2)," with ",((T2GDiscount*100+F1155*100)-(T2GDiscount*100*F1155)),IF(F1155&gt;0,"% discounts",IF(NoWarrantyDiscount&gt;0,"% discounts","% discount")))))))))</f>
        <v/>
      </c>
      <c r="N1155" s="660"/>
      <c r="O1155" s="233"/>
      <c r="P1155" s="233"/>
      <c r="Q1155" s="233"/>
      <c r="R1155" s="233"/>
      <c r="S1155" s="233"/>
      <c r="T1155" s="508">
        <f t="shared" si="820"/>
        <v>0</v>
      </c>
      <c r="U1155" s="225">
        <f>IF(NOT(ISNUMBER(G1155)), "", VLOOKUP(A1155,'Discount Lookup'!D:E,2,FALSE)*G1155)</f>
        <v>0</v>
      </c>
      <c r="V1155" s="225">
        <f>IF(NOT(ISNUMBER(G1155)), "", VLOOKUP(A1155,'Discount Lookup'!G:H,2,FALSE)*G1155)</f>
        <v>0</v>
      </c>
      <c r="W1155" s="508">
        <f t="shared" si="821"/>
        <v>0</v>
      </c>
      <c r="X1155" s="508">
        <f t="shared" si="822"/>
        <v>0</v>
      </c>
      <c r="Y1155" s="509" t="b">
        <f t="shared" si="823"/>
        <v>0</v>
      </c>
      <c r="Z1155" s="510">
        <f t="shared" si="824"/>
        <v>0</v>
      </c>
      <c r="AA1155" s="511"/>
      <c r="AB1155" s="511" t="str">
        <f t="shared" si="825"/>
        <v/>
      </c>
      <c r="AC1155" s="698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698"/>
      <c r="AE1155" s="631" t="str">
        <f t="shared" si="826"/>
        <v/>
      </c>
      <c r="AF1155" s="699" t="str">
        <f t="shared" si="827"/>
        <v/>
      </c>
      <c r="AG1155" s="699"/>
      <c r="AH1155" s="699"/>
      <c r="AI1155" s="512">
        <f>IF(H1155="credit",0,IF(AE1155="free",0,IF(AE1155="me",0,IF(G1155&gt;0,(VLOOKUP(A1155,'Discount Lookup'!J:K,2)*G1155),0))))</f>
        <v>0</v>
      </c>
      <c r="AJ1155" s="513" t="str">
        <f t="shared" ca="1" si="828"/>
        <v/>
      </c>
      <c r="AK1155" s="700" t="str">
        <f t="shared" si="829"/>
        <v/>
      </c>
      <c r="AL1155" s="700"/>
      <c r="AM1155" s="505" t="str">
        <f t="shared" si="830"/>
        <v/>
      </c>
      <c r="AN1155" s="506"/>
      <c r="AO1155" s="507"/>
      <c r="AP1155" s="507"/>
      <c r="AQ1155" s="507"/>
      <c r="AR1155" s="507"/>
      <c r="AS1155" s="507"/>
      <c r="AT1155" s="507"/>
      <c r="AU1155" s="507"/>
      <c r="AV1155" s="225"/>
      <c r="AW1155" s="508"/>
      <c r="AX1155" s="225"/>
      <c r="AY1155" s="225"/>
      <c r="AZ1155" s="225"/>
      <c r="BA1155" s="225"/>
      <c r="BB1155" s="225"/>
      <c r="BC1155" s="56"/>
      <c r="BD1155" s="56"/>
      <c r="BE1155" s="56"/>
      <c r="BF1155" s="107" t="str">
        <f t="shared" si="831"/>
        <v>https://www.google.com/search?tbm=isch&amp;q=7%20G4</v>
      </c>
      <c r="BG1155" s="107" t="str">
        <f t="shared" si="832"/>
        <v>E</v>
      </c>
      <c r="BH1155" s="254"/>
      <c r="BI1155" s="254"/>
    </row>
    <row r="1156" spans="1:61" customFormat="1" ht="15.75" x14ac:dyDescent="0.25">
      <c r="A1156" s="276">
        <v>10</v>
      </c>
      <c r="B1156" s="240" t="s">
        <v>291</v>
      </c>
      <c r="C1156" s="241" t="s">
        <v>3434</v>
      </c>
      <c r="D1156" s="242" t="s">
        <v>292</v>
      </c>
      <c r="E1156" s="243">
        <v>148.94999999999999</v>
      </c>
      <c r="F1156" s="517" t="s">
        <v>293</v>
      </c>
      <c r="G1156" s="232">
        <v>0</v>
      </c>
      <c r="H1156" s="661" t="str">
        <f>IF(G1156=0,"",IF(F1156="Buy",IF(G1156=1,"plant","plants"),IF(F1156&gt;0.01,"warranty","Error")))</f>
        <v/>
      </c>
      <c r="I1156" s="244">
        <f>IF(H1156="free",0,IF(H1156="credit",((E1156*(F1156))*G1156*-1),IF(F1156="Buy",(E1156*G1156),((E1156*(1-F1156))*G1156))))</f>
        <v>0</v>
      </c>
      <c r="J1156" s="244">
        <f>IF(H1156="warranty",0,(I1156*(_xlfn.SINGLE(SalesTaxPercentage))))</f>
        <v>0</v>
      </c>
      <c r="K1156" s="696">
        <f t="shared" ref="K1156" si="865">I1156+J1156</f>
        <v>0</v>
      </c>
      <c r="L1156" s="696"/>
      <c r="M1156" s="659" t="str">
        <f>IF(AND(G1156&gt;0,E1156=0),"WARNING - no PRICE inserted",IF(H1156="free"," FREE ~ no charge this plant",IF(H1156="credit",CONCATENATE(" -$",ROUND(K1156*(1-T2GDiscount)*-1,2)," CREDIT after discount"),IF(T2GDiscount=0,"",IF(G1156=0,"",IF(F1156="Buy",CONCATENATE(" $",ROUND(K1156*(1-T2GDiscount),2)," with ",(T2GDiscount*100),"% discount"),CONCATENATE(" $",ROUND(K1156*(1-T2GDiscount),2)," with ",((T2GDiscount*100+F1156*100)-(T2GDiscount*100*F1156)),IF(F1156&gt;0,"% discounts",IF(NoWarrantyDiscount&gt;0,"% discounts","% discount")))))))))</f>
        <v/>
      </c>
      <c r="N1156" s="660"/>
      <c r="O1156" s="233"/>
      <c r="P1156" s="233"/>
      <c r="Q1156" s="233"/>
      <c r="R1156" s="233"/>
      <c r="S1156" s="233"/>
      <c r="T1156" s="508">
        <f t="shared" si="820"/>
        <v>0</v>
      </c>
      <c r="U1156" s="225">
        <f>IF(NOT(ISNUMBER(G1156)), "", VLOOKUP(A1156,'Discount Lookup'!D:E,2,FALSE)*G1156)</f>
        <v>0</v>
      </c>
      <c r="V1156" s="225">
        <f>IF(NOT(ISNUMBER(G1156)), "", VLOOKUP(A1156,'Discount Lookup'!G:H,2,FALSE)*G1156)</f>
        <v>0</v>
      </c>
      <c r="W1156" s="508">
        <f t="shared" si="821"/>
        <v>0</v>
      </c>
      <c r="X1156" s="508">
        <f t="shared" si="822"/>
        <v>0</v>
      </c>
      <c r="Y1156" s="509" t="b">
        <f t="shared" si="823"/>
        <v>0</v>
      </c>
      <c r="Z1156" s="510">
        <f t="shared" si="824"/>
        <v>0</v>
      </c>
      <c r="AA1156" s="511"/>
      <c r="AB1156" s="511" t="str">
        <f t="shared" si="825"/>
        <v/>
      </c>
      <c r="AC1156" s="698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698"/>
      <c r="AE1156" s="631" t="str">
        <f t="shared" si="826"/>
        <v/>
      </c>
      <c r="AF1156" s="699" t="str">
        <f t="shared" si="827"/>
        <v/>
      </c>
      <c r="AG1156" s="699"/>
      <c r="AH1156" s="699"/>
      <c r="AI1156" s="512">
        <f>IF(H1156="credit",0,IF(AE1156="free",0,IF(AE1156="me",0,IF(G1156&gt;0,(VLOOKUP(A1156,'Discount Lookup'!J:K,2)*G1156),0))))</f>
        <v>0</v>
      </c>
      <c r="AJ1156" s="513" t="str">
        <f t="shared" ca="1" si="828"/>
        <v/>
      </c>
      <c r="AK1156" s="700" t="str">
        <f t="shared" si="829"/>
        <v/>
      </c>
      <c r="AL1156" s="700"/>
      <c r="AM1156" s="505" t="str">
        <f t="shared" si="830"/>
        <v/>
      </c>
      <c r="AN1156" s="506"/>
      <c r="AO1156" s="507"/>
      <c r="AP1156" s="507"/>
      <c r="AQ1156" s="507"/>
      <c r="AR1156" s="507"/>
      <c r="AS1156" s="507"/>
      <c r="AT1156" s="507"/>
      <c r="AU1156" s="507"/>
      <c r="AV1156" s="225"/>
      <c r="AW1156" s="508"/>
      <c r="AX1156" s="225"/>
      <c r="AY1156" s="225"/>
      <c r="AZ1156" s="225"/>
      <c r="BA1156" s="225"/>
      <c r="BB1156" s="225"/>
      <c r="BC1156" s="56"/>
      <c r="BD1156" s="56"/>
      <c r="BE1156" s="56"/>
      <c r="BF1156" s="107" t="str">
        <f t="shared" si="831"/>
        <v>https://www.google.com/search?tbm=isch&amp;q=10%20G4</v>
      </c>
      <c r="BG1156" s="107" t="str">
        <f t="shared" si="832"/>
        <v>E</v>
      </c>
      <c r="BH1156" s="254"/>
      <c r="BI1156" s="254"/>
    </row>
    <row r="1157" spans="1:61" customFormat="1" ht="15.75" x14ac:dyDescent="0.25">
      <c r="A1157" s="276">
        <v>15</v>
      </c>
      <c r="B1157" s="240" t="s">
        <v>291</v>
      </c>
      <c r="C1157" s="241" t="s">
        <v>4877</v>
      </c>
      <c r="D1157" s="242" t="s">
        <v>292</v>
      </c>
      <c r="E1157" s="243">
        <v>180.95</v>
      </c>
      <c r="F1157" s="517" t="s">
        <v>293</v>
      </c>
      <c r="G1157" s="232">
        <v>0</v>
      </c>
      <c r="H1157" s="661" t="str">
        <f>IF(G1157=0,"",IF(F1157="Buy",IF(G1157=1,"plant","plants"),IF(F1157&gt;0.01,"warranty","Error")))</f>
        <v/>
      </c>
      <c r="I1157" s="244">
        <f>IF(H1157="free",0,IF(H1157="credit",((E1157*(F1157))*G1157*-1),IF(F1157="Buy",(E1157*G1157),((E1157*(1-F1157))*G1157))))</f>
        <v>0</v>
      </c>
      <c r="J1157" s="244">
        <f>IF(H1157="warranty",0,(I1157*(_xlfn.SINGLE(SalesTaxPercentage))))</f>
        <v>0</v>
      </c>
      <c r="K1157" s="696">
        <f t="shared" ref="K1157" si="866">I1157+J1157</f>
        <v>0</v>
      </c>
      <c r="L1157" s="696"/>
      <c r="M1157" s="659" t="str">
        <f>IF(AND(G1157&gt;0,E1157=0),"WARNING - no PRICE inserted",IF(H1157="free"," FREE ~ no charge this plant",IF(H1157="credit",CONCATENATE(" -$",ROUND(K1157*(1-T2GDiscount)*-1,2)," CREDIT after discount"),IF(T2GDiscount=0,"",IF(G1157=0,"",IF(F1157="Buy",CONCATENATE(" $",ROUND(K1157*(1-T2GDiscount),2)," with ",(T2GDiscount*100),"% discount"),CONCATENATE(" $",ROUND(K1157*(1-T2GDiscount),2)," with ",((T2GDiscount*100+F1157*100)-(T2GDiscount*100*F1157)),IF(F1157&gt;0,"% discounts",IF(NoWarrantyDiscount&gt;0,"% discounts","% discount")))))))))</f>
        <v/>
      </c>
      <c r="N1157" s="660"/>
      <c r="O1157" s="233"/>
      <c r="P1157" s="233"/>
      <c r="Q1157" s="233"/>
      <c r="R1157" s="233"/>
      <c r="S1157" s="233"/>
      <c r="T1157" s="508">
        <f t="shared" si="820"/>
        <v>0</v>
      </c>
      <c r="U1157" s="225">
        <f>IF(NOT(ISNUMBER(G1157)), "", VLOOKUP(A1157,'Discount Lookup'!D:E,2,FALSE)*G1157)</f>
        <v>0</v>
      </c>
      <c r="V1157" s="225">
        <f>IF(NOT(ISNUMBER(G1157)), "", VLOOKUP(A1157,'Discount Lookup'!G:H,2,FALSE)*G1157)</f>
        <v>0</v>
      </c>
      <c r="W1157" s="508">
        <f t="shared" si="821"/>
        <v>0</v>
      </c>
      <c r="X1157" s="508">
        <f t="shared" si="822"/>
        <v>0</v>
      </c>
      <c r="Y1157" s="509" t="b">
        <f t="shared" si="823"/>
        <v>0</v>
      </c>
      <c r="Z1157" s="510">
        <f t="shared" si="824"/>
        <v>0</v>
      </c>
      <c r="AA1157" s="511"/>
      <c r="AB1157" s="511" t="str">
        <f t="shared" si="825"/>
        <v/>
      </c>
      <c r="AC1157" s="698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698"/>
      <c r="AE1157" s="631" t="str">
        <f t="shared" si="826"/>
        <v/>
      </c>
      <c r="AF1157" s="699" t="str">
        <f t="shared" si="827"/>
        <v/>
      </c>
      <c r="AG1157" s="699"/>
      <c r="AH1157" s="699"/>
      <c r="AI1157" s="512">
        <f>IF(H1157="credit",0,IF(AE1157="free",0,IF(AE1157="me",0,IF(G1157&gt;0,(VLOOKUP(A1157,'Discount Lookup'!J:K,2)*G1157),0))))</f>
        <v>0</v>
      </c>
      <c r="AJ1157" s="513" t="str">
        <f t="shared" ca="1" si="828"/>
        <v/>
      </c>
      <c r="AK1157" s="700" t="str">
        <f t="shared" si="829"/>
        <v/>
      </c>
      <c r="AL1157" s="700"/>
      <c r="AM1157" s="505" t="str">
        <f t="shared" si="830"/>
        <v/>
      </c>
      <c r="AN1157" s="506"/>
      <c r="AO1157" s="507"/>
      <c r="AP1157" s="507"/>
      <c r="AQ1157" s="507"/>
      <c r="AR1157" s="507"/>
      <c r="AS1157" s="507"/>
      <c r="AT1157" s="507"/>
      <c r="AU1157" s="507"/>
      <c r="AV1157" s="225"/>
      <c r="AW1157" s="508"/>
      <c r="AX1157" s="225"/>
      <c r="AY1157" s="225"/>
      <c r="AZ1157" s="225"/>
      <c r="BA1157" s="225"/>
      <c r="BB1157" s="225"/>
      <c r="BC1157" s="56"/>
      <c r="BD1157" s="56"/>
      <c r="BE1157" s="56"/>
      <c r="BF1157" s="107" t="str">
        <f t="shared" si="831"/>
        <v>https://www.google.com/search?tbm=isch&amp;q=15%20G4</v>
      </c>
      <c r="BG1157" s="107" t="str">
        <f t="shared" si="832"/>
        <v>E</v>
      </c>
      <c r="BH1157" s="254"/>
      <c r="BI1157" s="254"/>
    </row>
    <row r="1158" spans="1:61" customFormat="1" ht="15.75" x14ac:dyDescent="0.25">
      <c r="A1158" s="276">
        <v>25</v>
      </c>
      <c r="B1158" s="240" t="s">
        <v>291</v>
      </c>
      <c r="C1158" s="241" t="s">
        <v>3435</v>
      </c>
      <c r="D1158" s="242" t="s">
        <v>292</v>
      </c>
      <c r="E1158" s="243">
        <v>275.95</v>
      </c>
      <c r="F1158" s="517" t="s">
        <v>293</v>
      </c>
      <c r="G1158" s="232">
        <v>0</v>
      </c>
      <c r="H1158" s="661" t="str">
        <f>IF(G1158=0,"",IF(F1158="Buy",IF(G1158=1,"plant","plants"),IF(F1158&gt;0.01,"warranty","Error")))</f>
        <v/>
      </c>
      <c r="I1158" s="244">
        <f>IF(H1158="free",0,IF(H1158="credit",((E1158*(F1158))*G1158*-1),IF(F1158="Buy",(E1158*G1158),((E1158*(1-F1158))*G1158))))</f>
        <v>0</v>
      </c>
      <c r="J1158" s="244">
        <f>IF(H1158="warranty",0,(I1158*(_xlfn.SINGLE(SalesTaxPercentage))))</f>
        <v>0</v>
      </c>
      <c r="K1158" s="696">
        <f t="shared" ref="K1158" si="867">I1158+J1158</f>
        <v>0</v>
      </c>
      <c r="L1158" s="696"/>
      <c r="M1158" s="659" t="str">
        <f>IF(AND(G1158&gt;0,E1158=0),"WARNING - no PRICE inserted",IF(H1158="free"," FREE ~ no charge this plant",IF(H1158="credit",CONCATENATE(" -$",ROUND(K1158*(1-T2GDiscount)*-1,2)," CREDIT after discount"),IF(T2GDiscount=0,"",IF(G1158=0,"",IF(F1158="Buy",CONCATENATE(" $",ROUND(K1158*(1-T2GDiscount),2)," with ",(T2GDiscount*100),"% discount"),CONCATENATE(" $",ROUND(K1158*(1-T2GDiscount),2)," with ",((T2GDiscount*100+F1158*100)-(T2GDiscount*100*F1158)),IF(F1158&gt;0,"% discounts",IF(NoWarrantyDiscount&gt;0,"% discounts","% discount")))))))))</f>
        <v/>
      </c>
      <c r="N1158" s="660"/>
      <c r="O1158" s="233"/>
      <c r="P1158" s="233"/>
      <c r="Q1158" s="233"/>
      <c r="R1158" s="233"/>
      <c r="S1158" s="233"/>
      <c r="T1158" s="508">
        <f t="shared" si="820"/>
        <v>0</v>
      </c>
      <c r="U1158" s="225">
        <f>IF(NOT(ISNUMBER(G1158)), "", VLOOKUP(A1158,'Discount Lookup'!D:E,2,FALSE)*G1158)</f>
        <v>0</v>
      </c>
      <c r="V1158" s="225">
        <f>IF(NOT(ISNUMBER(G1158)), "", VLOOKUP(A1158,'Discount Lookup'!G:H,2,FALSE)*G1158)</f>
        <v>0</v>
      </c>
      <c r="W1158" s="508">
        <f t="shared" si="821"/>
        <v>0</v>
      </c>
      <c r="X1158" s="508">
        <f t="shared" si="822"/>
        <v>0</v>
      </c>
      <c r="Y1158" s="509" t="b">
        <f t="shared" si="823"/>
        <v>0</v>
      </c>
      <c r="Z1158" s="510">
        <f t="shared" si="824"/>
        <v>0</v>
      </c>
      <c r="AA1158" s="511"/>
      <c r="AB1158" s="511" t="str">
        <f t="shared" si="825"/>
        <v/>
      </c>
      <c r="AC1158" s="698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698"/>
      <c r="AE1158" s="631" t="str">
        <f t="shared" si="826"/>
        <v/>
      </c>
      <c r="AF1158" s="699" t="str">
        <f t="shared" si="827"/>
        <v/>
      </c>
      <c r="AG1158" s="699"/>
      <c r="AH1158" s="699"/>
      <c r="AI1158" s="512">
        <f>IF(H1158="credit",0,IF(AE1158="free",0,IF(AE1158="me",0,IF(G1158&gt;0,(VLOOKUP(A1158,'Discount Lookup'!J:K,2)*G1158),0))))</f>
        <v>0</v>
      </c>
      <c r="AJ1158" s="513" t="str">
        <f t="shared" ca="1" si="828"/>
        <v/>
      </c>
      <c r="AK1158" s="700" t="str">
        <f t="shared" si="829"/>
        <v/>
      </c>
      <c r="AL1158" s="700"/>
      <c r="AM1158" s="505" t="str">
        <f t="shared" si="830"/>
        <v/>
      </c>
      <c r="AN1158" s="506"/>
      <c r="AO1158" s="507"/>
      <c r="AP1158" s="507"/>
      <c r="AQ1158" s="507"/>
      <c r="AR1158" s="507"/>
      <c r="AS1158" s="507"/>
      <c r="AT1158" s="507"/>
      <c r="AU1158" s="507"/>
      <c r="AV1158" s="225"/>
      <c r="AW1158" s="508"/>
      <c r="AX1158" s="225"/>
      <c r="AY1158" s="225"/>
      <c r="AZ1158" s="225"/>
      <c r="BA1158" s="225"/>
      <c r="BB1158" s="225"/>
      <c r="BC1158" s="56"/>
      <c r="BD1158" s="56"/>
      <c r="BE1158" s="56"/>
      <c r="BF1158" s="107" t="str">
        <f t="shared" si="831"/>
        <v>https://www.google.com/search?tbm=isch&amp;q=25%20G4</v>
      </c>
      <c r="BG1158" s="107" t="str">
        <f t="shared" si="832"/>
        <v>E</v>
      </c>
      <c r="BH1158" s="254"/>
      <c r="BI1158" s="254"/>
    </row>
    <row r="1159" spans="1:61" customFormat="1" ht="17.25" thickBot="1" x14ac:dyDescent="0.3">
      <c r="A1159" s="524" t="s">
        <v>2134</v>
      </c>
      <c r="B1159" s="245"/>
      <c r="C1159" s="677"/>
      <c r="D1159" s="499"/>
      <c r="E1159" s="499"/>
      <c r="F1159" s="500"/>
      <c r="G1159" s="501"/>
      <c r="H1159" s="502"/>
      <c r="I1159" s="246"/>
      <c r="J1159" s="247"/>
      <c r="K1159" s="503"/>
      <c r="L1159" s="544"/>
      <c r="M1159" s="544"/>
      <c r="N1159" s="500"/>
      <c r="O1159" s="500"/>
      <c r="P1159" s="500"/>
      <c r="Q1159" s="500"/>
      <c r="R1159" s="500"/>
      <c r="S1159" s="669" t="s">
        <v>4976</v>
      </c>
      <c r="T1159" s="508">
        <f t="shared" si="820"/>
        <v>0</v>
      </c>
      <c r="U1159" s="225" t="str">
        <f>IF(NOT(ISNUMBER(G1159)), "", VLOOKUP(A1159,'Discount Lookup'!D:E,2,FALSE)*G1159)</f>
        <v/>
      </c>
      <c r="V1159" s="225" t="str">
        <f>IF(NOT(ISNUMBER(G1159)), "", VLOOKUP(A1159,'Discount Lookup'!G:H,2,FALSE)*G1159)</f>
        <v/>
      </c>
      <c r="W1159" s="508">
        <f t="shared" si="821"/>
        <v>0</v>
      </c>
      <c r="X1159" s="508">
        <f t="shared" si="822"/>
        <v>0</v>
      </c>
      <c r="Y1159" s="509" t="b">
        <f t="shared" si="823"/>
        <v>0</v>
      </c>
      <c r="Z1159" s="510">
        <f t="shared" si="824"/>
        <v>0</v>
      </c>
      <c r="AA1159" s="511"/>
      <c r="AB1159" s="511" t="str">
        <f t="shared" si="825"/>
        <v/>
      </c>
      <c r="AC1159" s="698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698"/>
      <c r="AE1159" s="631" t="str">
        <f t="shared" si="826"/>
        <v/>
      </c>
      <c r="AF1159" s="699" t="str">
        <f t="shared" si="827"/>
        <v/>
      </c>
      <c r="AG1159" s="699"/>
      <c r="AH1159" s="699"/>
      <c r="AI1159" s="512">
        <f>IF(H1159="credit",0,IF(AE1159="free",0,IF(AE1159="me",0,IF(G1159&gt;0,(VLOOKUP(A1159,'Discount Lookup'!J:K,2)*G1159),0))))</f>
        <v>0</v>
      </c>
      <c r="AJ1159" s="513" t="str">
        <f t="shared" ca="1" si="828"/>
        <v/>
      </c>
      <c r="AK1159" s="700" t="str">
        <f t="shared" si="829"/>
        <v/>
      </c>
      <c r="AL1159" s="700"/>
      <c r="AM1159" s="505" t="str">
        <f t="shared" si="830"/>
        <v/>
      </c>
      <c r="AN1159" s="506"/>
      <c r="AO1159" s="507"/>
      <c r="AP1159" s="507"/>
      <c r="AQ1159" s="507"/>
      <c r="AR1159" s="507"/>
      <c r="AS1159" s="507"/>
      <c r="AT1159" s="507"/>
      <c r="AU1159" s="507"/>
      <c r="AV1159" s="225"/>
      <c r="AW1159" s="508"/>
      <c r="AX1159" s="225"/>
      <c r="AY1159" s="225"/>
      <c r="AZ1159" s="225"/>
      <c r="BA1159" s="225"/>
      <c r="BB1159" s="225"/>
      <c r="BC1159" s="56"/>
      <c r="BD1159" s="56"/>
      <c r="BE1159" s="56"/>
      <c r="BF1159" s="107" t="str">
        <f t="shared" si="831"/>
        <v>https://www.google.com/search?tbm=isch&amp;q=Eastern%20Redbud%20is%20a%20classic%20harbinger%20of%20spring%20in%20the%20NC%20forest%20</v>
      </c>
      <c r="BG1159" s="107" t="str">
        <f t="shared" si="832"/>
        <v>E</v>
      </c>
      <c r="BH1159" s="254"/>
      <c r="BI1159" s="254"/>
    </row>
    <row r="1160" spans="1:61" customFormat="1" ht="18" x14ac:dyDescent="0.25">
      <c r="A1160" s="523" t="s">
        <v>822</v>
      </c>
      <c r="B1160" s="235"/>
      <c r="C1160" s="676"/>
      <c r="D1160" s="255" t="s">
        <v>823</v>
      </c>
      <c r="E1160" s="236"/>
      <c r="F1160" s="236"/>
      <c r="G1160" s="236"/>
      <c r="H1160" s="582" t="s">
        <v>769</v>
      </c>
      <c r="I1160" s="498" t="s">
        <v>2641</v>
      </c>
      <c r="J1160" s="237"/>
      <c r="K1160" s="237"/>
      <c r="L1160" s="274"/>
      <c r="M1160" s="668" t="s">
        <v>4975</v>
      </c>
      <c r="N1160" s="681" t="str">
        <f>IF(AND(ISTEXT($A1160), ISERROR($A1160+0)), HYPERLINK($BF1160, "Images"), "")</f>
        <v>Images</v>
      </c>
      <c r="O1160" s="663" t="s">
        <v>4967</v>
      </c>
      <c r="P1160" s="253"/>
      <c r="Q1160" s="238"/>
      <c r="R1160" s="239"/>
      <c r="S1160" s="275"/>
      <c r="T1160" s="508">
        <f t="shared" si="820"/>
        <v>0</v>
      </c>
      <c r="U1160" s="225" t="str">
        <f>IF(NOT(ISNUMBER(G1160)), "", VLOOKUP(A1160,'Discount Lookup'!D:E,2,FALSE)*G1160)</f>
        <v/>
      </c>
      <c r="V1160" s="225" t="str">
        <f>IF(NOT(ISNUMBER(G1160)), "", VLOOKUP(A1160,'Discount Lookup'!G:H,2,FALSE)*G1160)</f>
        <v/>
      </c>
      <c r="W1160" s="508">
        <f t="shared" si="821"/>
        <v>0</v>
      </c>
      <c r="X1160" s="508" t="str">
        <f t="shared" si="822"/>
        <v>Green to White bloom</v>
      </c>
      <c r="Y1160" s="509" t="b">
        <f t="shared" si="823"/>
        <v>0</v>
      </c>
      <c r="Z1160" s="510">
        <f t="shared" si="824"/>
        <v>0</v>
      </c>
      <c r="AA1160" s="511"/>
      <c r="AB1160" s="511" t="str">
        <f t="shared" si="825"/>
        <v/>
      </c>
      <c r="AC1160" s="698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698"/>
      <c r="AE1160" s="631" t="str">
        <f t="shared" si="826"/>
        <v/>
      </c>
      <c r="AF1160" s="699" t="str">
        <f t="shared" si="827"/>
        <v/>
      </c>
      <c r="AG1160" s="699"/>
      <c r="AH1160" s="699"/>
      <c r="AI1160" s="512">
        <f>IF(H1160="credit",0,IF(AE1160="free",0,IF(AE1160="me",0,IF(G1160&gt;0,(VLOOKUP(A1160,'Discount Lookup'!J:K,2)*G1160),0))))</f>
        <v>0</v>
      </c>
      <c r="AJ1160" s="513" t="str">
        <f t="shared" ca="1" si="828"/>
        <v/>
      </c>
      <c r="AK1160" s="700" t="str">
        <f t="shared" si="829"/>
        <v/>
      </c>
      <c r="AL1160" s="700"/>
      <c r="AM1160" s="505" t="str">
        <f t="shared" si="830"/>
        <v/>
      </c>
      <c r="AN1160" s="506"/>
      <c r="AO1160" s="507"/>
      <c r="AP1160" s="507"/>
      <c r="AQ1160" s="507"/>
      <c r="AR1160" s="507"/>
      <c r="AS1160" s="507"/>
      <c r="AT1160" s="507"/>
      <c r="AU1160" s="507"/>
      <c r="AV1160" s="225"/>
      <c r="AW1160" s="508"/>
      <c r="AX1160" s="225"/>
      <c r="AY1160" s="225"/>
      <c r="AZ1160" s="225"/>
      <c r="BA1160" s="225"/>
      <c r="BB1160" s="225"/>
      <c r="BC1160" s="56"/>
      <c r="BD1160" s="56"/>
      <c r="BE1160" s="56"/>
      <c r="BF1160" s="107" t="str">
        <f t="shared" si="831"/>
        <v>https://www.google.com/search?tbm=isch&amp;q=Eastern%20Snowball%20Viburnum%20Viburnum%20opulus%20%27Sterile%27</v>
      </c>
      <c r="BG1160" s="107" t="str">
        <f t="shared" si="832"/>
        <v>E</v>
      </c>
      <c r="BH1160" s="254"/>
      <c r="BI1160" s="254"/>
    </row>
    <row r="1161" spans="1:61" customFormat="1" ht="15.75" x14ac:dyDescent="0.25">
      <c r="A1161" s="276">
        <v>3</v>
      </c>
      <c r="B1161" s="240" t="s">
        <v>291</v>
      </c>
      <c r="C1161" s="241" t="s">
        <v>3043</v>
      </c>
      <c r="D1161" s="242" t="s">
        <v>312</v>
      </c>
      <c r="E1161" s="243">
        <v>30.95</v>
      </c>
      <c r="F1161" s="517" t="s">
        <v>293</v>
      </c>
      <c r="G1161" s="232">
        <v>0</v>
      </c>
      <c r="H1161" s="661" t="str">
        <f>IF(G1161=0,"",IF(F1161="Buy",IF(G1161=1,"plant","plants"),IF(F1161&gt;0.01,"warranty","Error")))</f>
        <v/>
      </c>
      <c r="I1161" s="244">
        <f>IF(H1161="free",0,IF(H1161="credit",((E1161*(F1161))*G1161*-1),IF(F1161="Buy",(E1161*G1161),((E1161*(1-F1161))*G1161))))</f>
        <v>0</v>
      </c>
      <c r="J1161" s="244">
        <f>IF(H1161="warranty",0,(I1161*(_xlfn.SINGLE(SalesTaxPercentage))))</f>
        <v>0</v>
      </c>
      <c r="K1161" s="696">
        <f t="shared" ref="K1161" si="868">I1161+J1161</f>
        <v>0</v>
      </c>
      <c r="L1161" s="696"/>
      <c r="M1161" s="659" t="str">
        <f>IF(AND(G1161&gt;0,E1161=0),"WARNING - no PRICE inserted",IF(H1161="free"," FREE ~ no charge this plant",IF(H1161="credit",CONCATENATE(" -$",ROUND(K1161*(1-T2GDiscount)*-1,2)," CREDIT after discount"),IF(T2GDiscount=0,"",IF(G1161=0,"",IF(F1161="Buy",CONCATENATE(" $",ROUND(K1161*(1-T2GDiscount),2)," with ",(T2GDiscount*100),"% discount"),CONCATENATE(" $",ROUND(K1161*(1-T2GDiscount),2)," with ",((T2GDiscount*100+F1161*100)-(T2GDiscount*100*F1161)),IF(F1161&gt;0,"% discounts",IF(NoWarrantyDiscount&gt;0,"% discounts","% discount")))))))))</f>
        <v/>
      </c>
      <c r="N1161" s="660"/>
      <c r="O1161" s="233"/>
      <c r="P1161" s="233"/>
      <c r="Q1161" s="233"/>
      <c r="R1161" s="233"/>
      <c r="S1161" s="233"/>
      <c r="T1161" s="508">
        <f t="shared" si="820"/>
        <v>0</v>
      </c>
      <c r="U1161" s="225">
        <f>IF(NOT(ISNUMBER(G1161)), "", VLOOKUP(A1161,'Discount Lookup'!D:E,2,FALSE)*G1161)</f>
        <v>0</v>
      </c>
      <c r="V1161" s="225">
        <f>IF(NOT(ISNUMBER(G1161)), "", VLOOKUP(A1161,'Discount Lookup'!G:H,2,FALSE)*G1161)</f>
        <v>0</v>
      </c>
      <c r="W1161" s="508">
        <f t="shared" si="821"/>
        <v>0</v>
      </c>
      <c r="X1161" s="508">
        <f t="shared" si="822"/>
        <v>0</v>
      </c>
      <c r="Y1161" s="509" t="b">
        <f t="shared" si="823"/>
        <v>0</v>
      </c>
      <c r="Z1161" s="510">
        <f t="shared" si="824"/>
        <v>0</v>
      </c>
      <c r="AA1161" s="511"/>
      <c r="AB1161" s="511" t="str">
        <f t="shared" si="825"/>
        <v/>
      </c>
      <c r="AC1161" s="698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698"/>
      <c r="AE1161" s="631" t="str">
        <f t="shared" si="826"/>
        <v/>
      </c>
      <c r="AF1161" s="699" t="str">
        <f t="shared" si="827"/>
        <v/>
      </c>
      <c r="AG1161" s="699"/>
      <c r="AH1161" s="699"/>
      <c r="AI1161" s="512">
        <f>IF(H1161="credit",0,IF(AE1161="free",0,IF(AE1161="me",0,IF(G1161&gt;0,(VLOOKUP(A1161,'Discount Lookup'!J:K,2)*G1161),0))))</f>
        <v>0</v>
      </c>
      <c r="AJ1161" s="513" t="str">
        <f t="shared" ca="1" si="828"/>
        <v/>
      </c>
      <c r="AK1161" s="700" t="str">
        <f t="shared" si="829"/>
        <v/>
      </c>
      <c r="AL1161" s="700"/>
      <c r="AM1161" s="505" t="str">
        <f t="shared" si="830"/>
        <v/>
      </c>
      <c r="AN1161" s="506"/>
      <c r="AO1161" s="507"/>
      <c r="AP1161" s="507"/>
      <c r="AQ1161" s="507"/>
      <c r="AR1161" s="507"/>
      <c r="AS1161" s="507"/>
      <c r="AT1161" s="507"/>
      <c r="AU1161" s="507"/>
      <c r="AV1161" s="225"/>
      <c r="AW1161" s="508"/>
      <c r="AX1161" s="225"/>
      <c r="AY1161" s="225"/>
      <c r="AZ1161" s="225"/>
      <c r="BA1161" s="225"/>
      <c r="BB1161" s="225"/>
      <c r="BC1161" s="56"/>
      <c r="BD1161" s="56"/>
      <c r="BE1161" s="56"/>
      <c r="BF1161" s="107" t="str">
        <f t="shared" si="831"/>
        <v>https://www.google.com/search?tbm=isch&amp;q=3%20G2</v>
      </c>
      <c r="BG1161" s="107" t="str">
        <f t="shared" si="832"/>
        <v>E</v>
      </c>
      <c r="BH1161" s="254"/>
      <c r="BI1161" s="254"/>
    </row>
    <row r="1162" spans="1:61" customFormat="1" ht="15.75" x14ac:dyDescent="0.25">
      <c r="A1162" s="276">
        <v>3</v>
      </c>
      <c r="B1162" s="240" t="s">
        <v>291</v>
      </c>
      <c r="C1162" s="241" t="s">
        <v>4507</v>
      </c>
      <c r="D1162" s="242" t="s">
        <v>299</v>
      </c>
      <c r="E1162" s="243">
        <v>33.950000000000003</v>
      </c>
      <c r="F1162" s="517" t="s">
        <v>293</v>
      </c>
      <c r="G1162" s="232">
        <v>0</v>
      </c>
      <c r="H1162" s="661" t="str">
        <f>IF(G1162=0,"",IF(F1162="Buy",IF(G1162=1,"plant","plants"),IF(F1162&gt;0.01,"warranty","Error")))</f>
        <v/>
      </c>
      <c r="I1162" s="244">
        <f>IF(H1162="free",0,IF(H1162="credit",((E1162*(F1162))*G1162*-1),IF(F1162="Buy",(E1162*G1162),((E1162*(1-F1162))*G1162))))</f>
        <v>0</v>
      </c>
      <c r="J1162" s="244">
        <f>IF(H1162="warranty",0,(I1162*(_xlfn.SINGLE(SalesTaxPercentage))))</f>
        <v>0</v>
      </c>
      <c r="K1162" s="696">
        <f t="shared" ref="K1162" si="869">I1162+J1162</f>
        <v>0</v>
      </c>
      <c r="L1162" s="696"/>
      <c r="M1162" s="659" t="str">
        <f>IF(AND(G1162&gt;0,E1162=0),"WARNING - no PRICE inserted",IF(H1162="free"," FREE ~ no charge this plant",IF(H1162="credit",CONCATENATE(" -$",ROUND(K1162*(1-T2GDiscount)*-1,2)," CREDIT after discount"),IF(T2GDiscount=0,"",IF(G1162=0,"",IF(F1162="Buy",CONCATENATE(" $",ROUND(K1162*(1-T2GDiscount),2)," with ",(T2GDiscount*100),"% discount"),CONCATENATE(" $",ROUND(K1162*(1-T2GDiscount),2)," with ",((T2GDiscount*100+F1162*100)-(T2GDiscount*100*F1162)),IF(F1162&gt;0,"% discounts",IF(NoWarrantyDiscount&gt;0,"% discounts","% discount")))))))))</f>
        <v/>
      </c>
      <c r="N1162" s="660"/>
      <c r="O1162" s="233"/>
      <c r="P1162" s="233"/>
      <c r="Q1162" s="233"/>
      <c r="R1162" s="233"/>
      <c r="S1162" s="233"/>
      <c r="T1162" s="508">
        <f t="shared" si="820"/>
        <v>0</v>
      </c>
      <c r="U1162" s="225">
        <f>IF(NOT(ISNUMBER(G1162)), "", VLOOKUP(A1162,'Discount Lookup'!D:E,2,FALSE)*G1162)</f>
        <v>0</v>
      </c>
      <c r="V1162" s="225">
        <f>IF(NOT(ISNUMBER(G1162)), "", VLOOKUP(A1162,'Discount Lookup'!G:H,2,FALSE)*G1162)</f>
        <v>0</v>
      </c>
      <c r="W1162" s="508">
        <f t="shared" si="821"/>
        <v>0</v>
      </c>
      <c r="X1162" s="508">
        <f t="shared" si="822"/>
        <v>0</v>
      </c>
      <c r="Y1162" s="509" t="b">
        <f t="shared" si="823"/>
        <v>0</v>
      </c>
      <c r="Z1162" s="510">
        <f t="shared" si="824"/>
        <v>0</v>
      </c>
      <c r="AA1162" s="511"/>
      <c r="AB1162" s="511" t="str">
        <f t="shared" si="825"/>
        <v/>
      </c>
      <c r="AC1162" s="698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698"/>
      <c r="AE1162" s="631" t="str">
        <f t="shared" si="826"/>
        <v/>
      </c>
      <c r="AF1162" s="699" t="str">
        <f t="shared" si="827"/>
        <v/>
      </c>
      <c r="AG1162" s="699"/>
      <c r="AH1162" s="699"/>
      <c r="AI1162" s="512">
        <f>IF(H1162="credit",0,IF(AE1162="free",0,IF(AE1162="me",0,IF(G1162&gt;0,(VLOOKUP(A1162,'Discount Lookup'!J:K,2)*G1162),0))))</f>
        <v>0</v>
      </c>
      <c r="AJ1162" s="513" t="str">
        <f t="shared" ca="1" si="828"/>
        <v/>
      </c>
      <c r="AK1162" s="700" t="str">
        <f t="shared" si="829"/>
        <v/>
      </c>
      <c r="AL1162" s="700"/>
      <c r="AM1162" s="505" t="str">
        <f t="shared" si="830"/>
        <v/>
      </c>
      <c r="AN1162" s="506"/>
      <c r="AO1162" s="507"/>
      <c r="AP1162" s="507"/>
      <c r="AQ1162" s="507"/>
      <c r="AR1162" s="507"/>
      <c r="AS1162" s="507"/>
      <c r="AT1162" s="507"/>
      <c r="AU1162" s="507"/>
      <c r="AV1162" s="225"/>
      <c r="AW1162" s="508"/>
      <c r="AX1162" s="225"/>
      <c r="AY1162" s="225"/>
      <c r="AZ1162" s="225"/>
      <c r="BA1162" s="225"/>
      <c r="BB1162" s="225"/>
      <c r="BC1162" s="56"/>
      <c r="BD1162" s="56"/>
      <c r="BE1162" s="56"/>
      <c r="BF1162" s="107" t="str">
        <f t="shared" si="831"/>
        <v>https://www.google.com/search?tbm=isch&amp;q=3%20G5</v>
      </c>
      <c r="BG1162" s="107" t="str">
        <f t="shared" si="832"/>
        <v>E</v>
      </c>
      <c r="BH1162" s="254"/>
      <c r="BI1162" s="254"/>
    </row>
    <row r="1163" spans="1:61" customFormat="1" ht="17.25" thickBot="1" x14ac:dyDescent="0.3">
      <c r="A1163" s="673" t="s">
        <v>5100</v>
      </c>
      <c r="B1163" s="245"/>
      <c r="C1163" s="677"/>
      <c r="D1163" s="499"/>
      <c r="E1163" s="499"/>
      <c r="F1163" s="500"/>
      <c r="G1163" s="501"/>
      <c r="H1163" s="502"/>
      <c r="I1163" s="246"/>
      <c r="J1163" s="247"/>
      <c r="K1163" s="503"/>
      <c r="L1163" s="544"/>
      <c r="M1163" s="544"/>
      <c r="N1163" s="500"/>
      <c r="O1163" s="500"/>
      <c r="P1163" s="500"/>
      <c r="Q1163" s="500"/>
      <c r="R1163" s="500"/>
      <c r="S1163" s="278"/>
      <c r="T1163" s="508">
        <f t="shared" si="820"/>
        <v>0</v>
      </c>
      <c r="U1163" s="225" t="str">
        <f>IF(NOT(ISNUMBER(G1163)), "", VLOOKUP(A1163,'Discount Lookup'!D:E,2,FALSE)*G1163)</f>
        <v/>
      </c>
      <c r="V1163" s="225" t="str">
        <f>IF(NOT(ISNUMBER(G1163)), "", VLOOKUP(A1163,'Discount Lookup'!G:H,2,FALSE)*G1163)</f>
        <v/>
      </c>
      <c r="W1163" s="508">
        <f t="shared" si="821"/>
        <v>0</v>
      </c>
      <c r="X1163" s="508">
        <f t="shared" si="822"/>
        <v>0</v>
      </c>
      <c r="Y1163" s="509" t="b">
        <f t="shared" si="823"/>
        <v>0</v>
      </c>
      <c r="Z1163" s="510">
        <f t="shared" si="824"/>
        <v>0</v>
      </c>
      <c r="AA1163" s="511"/>
      <c r="AB1163" s="511" t="str">
        <f t="shared" si="825"/>
        <v/>
      </c>
      <c r="AC1163" s="698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698"/>
      <c r="AE1163" s="631" t="str">
        <f t="shared" si="826"/>
        <v/>
      </c>
      <c r="AF1163" s="699" t="str">
        <f t="shared" si="827"/>
        <v/>
      </c>
      <c r="AG1163" s="699"/>
      <c r="AH1163" s="699"/>
      <c r="AI1163" s="512">
        <f>IF(H1163="credit",0,IF(AE1163="free",0,IF(AE1163="me",0,IF(G1163&gt;0,(VLOOKUP(A1163,'Discount Lookup'!J:K,2)*G1163),0))))</f>
        <v>0</v>
      </c>
      <c r="AJ1163" s="513" t="str">
        <f t="shared" ca="1" si="828"/>
        <v/>
      </c>
      <c r="AK1163" s="700" t="str">
        <f t="shared" si="829"/>
        <v/>
      </c>
      <c r="AL1163" s="700"/>
      <c r="AM1163" s="505" t="str">
        <f t="shared" si="830"/>
        <v/>
      </c>
      <c r="AN1163" s="506"/>
      <c r="AO1163" s="507"/>
      <c r="AP1163" s="507"/>
      <c r="AQ1163" s="507"/>
      <c r="AR1163" s="507"/>
      <c r="AS1163" s="507"/>
      <c r="AT1163" s="507"/>
      <c r="AU1163" s="507"/>
      <c r="AV1163" s="225"/>
      <c r="AW1163" s="508"/>
      <c r="AX1163" s="225"/>
      <c r="AY1163" s="225"/>
      <c r="AZ1163" s="225"/>
      <c r="BA1163" s="225"/>
      <c r="BB1163" s="225"/>
      <c r="BC1163" s="56"/>
      <c r="BD1163" s="56"/>
      <c r="BE1163" s="56"/>
      <c r="BF1163" s="107" t="str">
        <f t="shared" si="831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1163" s="107" t="str">
        <f t="shared" si="832"/>
        <v>m</v>
      </c>
      <c r="BH1163" s="254"/>
      <c r="BI1163" s="254"/>
    </row>
    <row r="1164" spans="1:61" customFormat="1" ht="18" x14ac:dyDescent="0.25">
      <c r="A1164" s="521" t="s">
        <v>5588</v>
      </c>
      <c r="B1164" s="477"/>
      <c r="C1164" s="674"/>
      <c r="D1164" s="478" t="s">
        <v>4878</v>
      </c>
      <c r="E1164" s="479"/>
      <c r="F1164" s="479"/>
      <c r="G1164" s="479"/>
      <c r="H1164" s="582" t="s">
        <v>4879</v>
      </c>
      <c r="I1164" s="480" t="s">
        <v>2093</v>
      </c>
      <c r="J1164" s="479"/>
      <c r="K1164" s="479"/>
      <c r="L1164" s="560"/>
      <c r="M1164" s="671" t="s">
        <v>4985</v>
      </c>
      <c r="N1164" s="680" t="str">
        <f>IF(AND(ISTEXT($A1164), ISERROR($A1164+0)), HYPERLINK($BF1164, "Images"), "")</f>
        <v>Images</v>
      </c>
      <c r="O1164" s="662" t="s">
        <v>4967</v>
      </c>
      <c r="P1164" s="482"/>
      <c r="Q1164" s="483"/>
      <c r="R1164" s="483"/>
      <c r="S1164" s="484" t="s">
        <v>305</v>
      </c>
      <c r="T1164" s="508">
        <f t="shared" si="820"/>
        <v>0</v>
      </c>
      <c r="U1164" s="225" t="str">
        <f>IF(NOT(ISNUMBER(G1164)), "", VLOOKUP(A1164,'Discount Lookup'!D:E,2,FALSE)*G1164)</f>
        <v/>
      </c>
      <c r="V1164" s="225" t="str">
        <f>IF(NOT(ISNUMBER(G1164)), "", VLOOKUP(A1164,'Discount Lookup'!G:H,2,FALSE)*G1164)</f>
        <v/>
      </c>
      <c r="W1164" s="508">
        <f t="shared" si="821"/>
        <v>0</v>
      </c>
      <c r="X1164" s="508" t="str">
        <f t="shared" si="822"/>
        <v>Dark Green foliage</v>
      </c>
      <c r="Y1164" s="509" t="b">
        <f t="shared" si="823"/>
        <v>0</v>
      </c>
      <c r="Z1164" s="510">
        <f t="shared" si="824"/>
        <v>0</v>
      </c>
      <c r="AA1164" s="511"/>
      <c r="AB1164" s="511" t="str">
        <f t="shared" si="825"/>
        <v/>
      </c>
      <c r="AC1164" s="698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698"/>
      <c r="AE1164" s="631" t="str">
        <f t="shared" si="826"/>
        <v/>
      </c>
      <c r="AF1164" s="699" t="str">
        <f t="shared" si="827"/>
        <v/>
      </c>
      <c r="AG1164" s="699"/>
      <c r="AH1164" s="699"/>
      <c r="AI1164" s="512">
        <f>IF(H1164="credit",0,IF(AE1164="free",0,IF(AE1164="me",0,IF(G1164&gt;0,(VLOOKUP(A1164,'Discount Lookup'!J:K,2)*G1164),0))))</f>
        <v>0</v>
      </c>
      <c r="AJ1164" s="513" t="str">
        <f t="shared" ca="1" si="828"/>
        <v/>
      </c>
      <c r="AK1164" s="700" t="str">
        <f t="shared" si="829"/>
        <v/>
      </c>
      <c r="AL1164" s="700"/>
      <c r="AM1164" s="505" t="str">
        <f t="shared" si="830"/>
        <v/>
      </c>
      <c r="AN1164" s="506"/>
      <c r="AO1164" s="507"/>
      <c r="AP1164" s="507"/>
      <c r="AQ1164" s="507"/>
      <c r="AR1164" s="507"/>
      <c r="AS1164" s="507"/>
      <c r="AT1164" s="507"/>
      <c r="AU1164" s="507"/>
      <c r="AV1164" s="225"/>
      <c r="AW1164" s="508"/>
      <c r="AX1164" s="225"/>
      <c r="AY1164" s="225"/>
      <c r="AZ1164" s="225"/>
      <c r="BA1164" s="225"/>
      <c r="BB1164" s="225"/>
      <c r="BC1164" s="56"/>
      <c r="BD1164" s="56"/>
      <c r="BE1164" s="56"/>
      <c r="BF1164" s="107" t="str">
        <f t="shared" si="831"/>
        <v>https://www.google.com/search?tbm=isch&amp;q=Eastern%20Teaberry%20%28aka%20American%20Wintergreen%20%26%20Checkerberry%29%20Gaultheria%20procumbens</v>
      </c>
      <c r="BG1164" s="107" t="str">
        <f t="shared" si="832"/>
        <v>E</v>
      </c>
      <c r="BH1164" s="254"/>
      <c r="BI1164" s="254"/>
    </row>
    <row r="1165" spans="1:61" customFormat="1" ht="15.75" x14ac:dyDescent="0.25">
      <c r="A1165" s="485">
        <v>1</v>
      </c>
      <c r="B1165" s="486" t="s">
        <v>291</v>
      </c>
      <c r="C1165" s="487" t="s">
        <v>4880</v>
      </c>
      <c r="D1165" s="488" t="s">
        <v>312</v>
      </c>
      <c r="E1165" s="489">
        <v>25.95</v>
      </c>
      <c r="F1165" s="516" t="s">
        <v>293</v>
      </c>
      <c r="G1165" s="232">
        <v>0</v>
      </c>
      <c r="H1165" s="658" t="str">
        <f>IF(G1165=0,"",IF(F1165="Buy",IF(G1165=1,"plant","plants"),IF(F1165&gt;0.01,"warranty","Error")))</f>
        <v/>
      </c>
      <c r="I1165" s="490">
        <f>IF(H1165="free",0,IF(H1165="credit",((E1165*(F1165))*G1165*-1),IF(F1165="Buy",(E1165*G1165),((E1165*(1-F1165))*G1165))))</f>
        <v>0</v>
      </c>
      <c r="J1165" s="490">
        <f>IF(H1165="warranty",0,(I1165*(_xlfn.SINGLE(SalesTaxPercentage))))</f>
        <v>0</v>
      </c>
      <c r="K1165" s="695">
        <f t="shared" ref="K1165" si="870">I1165+J1165</f>
        <v>0</v>
      </c>
      <c r="L1165" s="695"/>
      <c r="M1165" s="659" t="str">
        <f>IF(AND(G1165&gt;0,E1165=0),"WARNING - no PRICE inserted",IF(H1165="free"," FREE ~ no charge this plant",IF(H1165="credit",CONCATENATE(" -$",ROUND(K1165*(1-T2GDiscount)*-1,2)," CREDIT after discount"),IF(T2GDiscount=0,"",IF(G1165=0,"",IF(F1165="Buy",CONCATENATE(" $",ROUND(K1165*(1-T2GDiscount),2)," with ",(T2GDiscount*100),"% discount"),CONCATENATE(" $",ROUND(K1165*(1-T2GDiscount),2)," with ",((T2GDiscount*100+F1165*100)-(T2GDiscount*100*F1165)),IF(F1165&gt;0,"% discounts",IF(NoWarrantyDiscount&gt;0,"% discounts","% discount")))))))))</f>
        <v/>
      </c>
      <c r="N1165" s="660"/>
      <c r="O1165" s="233"/>
      <c r="P1165" s="233"/>
      <c r="Q1165" s="233"/>
      <c r="R1165" s="233"/>
      <c r="S1165" s="233"/>
      <c r="T1165" s="508">
        <f t="shared" si="820"/>
        <v>0</v>
      </c>
      <c r="U1165" s="225">
        <f>IF(NOT(ISNUMBER(G1165)), "", VLOOKUP(A1165,'Discount Lookup'!D:E,2,FALSE)*G1165)</f>
        <v>0</v>
      </c>
      <c r="V1165" s="225">
        <f>IF(NOT(ISNUMBER(G1165)), "", VLOOKUP(A1165,'Discount Lookup'!G:H,2,FALSE)*G1165)</f>
        <v>0</v>
      </c>
      <c r="W1165" s="508">
        <f t="shared" si="821"/>
        <v>0</v>
      </c>
      <c r="X1165" s="508">
        <f t="shared" si="822"/>
        <v>0</v>
      </c>
      <c r="Y1165" s="509" t="b">
        <f t="shared" si="823"/>
        <v>0</v>
      </c>
      <c r="Z1165" s="510">
        <f t="shared" si="824"/>
        <v>0</v>
      </c>
      <c r="AA1165" s="511"/>
      <c r="AB1165" s="511" t="str">
        <f t="shared" si="825"/>
        <v/>
      </c>
      <c r="AC1165" s="698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698"/>
      <c r="AE1165" s="631" t="str">
        <f t="shared" si="826"/>
        <v/>
      </c>
      <c r="AF1165" s="699" t="str">
        <f t="shared" si="827"/>
        <v/>
      </c>
      <c r="AG1165" s="699"/>
      <c r="AH1165" s="699"/>
      <c r="AI1165" s="512">
        <f>IF(H1165="credit",0,IF(AE1165="free",0,IF(AE1165="me",0,IF(G1165&gt;0,(VLOOKUP(A1165,'Discount Lookup'!J:K,2)*G1165),0))))</f>
        <v>0</v>
      </c>
      <c r="AJ1165" s="513" t="str">
        <f t="shared" ca="1" si="828"/>
        <v/>
      </c>
      <c r="AK1165" s="700" t="str">
        <f t="shared" si="829"/>
        <v/>
      </c>
      <c r="AL1165" s="700"/>
      <c r="AM1165" s="505" t="str">
        <f t="shared" si="830"/>
        <v/>
      </c>
      <c r="AN1165" s="506"/>
      <c r="AO1165" s="507"/>
      <c r="AP1165" s="507"/>
      <c r="AQ1165" s="507"/>
      <c r="AR1165" s="507"/>
      <c r="AS1165" s="507"/>
      <c r="AT1165" s="507"/>
      <c r="AU1165" s="507"/>
      <c r="AV1165" s="225"/>
      <c r="AW1165" s="508"/>
      <c r="AX1165" s="225"/>
      <c r="AY1165" s="225"/>
      <c r="AZ1165" s="225"/>
      <c r="BA1165" s="225"/>
      <c r="BB1165" s="225"/>
      <c r="BC1165" s="56"/>
      <c r="BD1165" s="56"/>
      <c r="BE1165" s="56"/>
      <c r="BF1165" s="107" t="str">
        <f t="shared" si="831"/>
        <v>https://www.google.com/search?tbm=isch&amp;q=1%20G2</v>
      </c>
      <c r="BG1165" s="107" t="str">
        <f t="shared" si="832"/>
        <v>E</v>
      </c>
      <c r="BH1165" s="254"/>
      <c r="BI1165" s="254"/>
    </row>
    <row r="1166" spans="1:61" customFormat="1" ht="17.25" thickBot="1" x14ac:dyDescent="0.3">
      <c r="A1166" s="672" t="s">
        <v>5101</v>
      </c>
      <c r="B1166" s="491"/>
      <c r="C1166" s="675"/>
      <c r="D1166" s="491"/>
      <c r="E1166" s="491"/>
      <c r="F1166" s="492"/>
      <c r="G1166" s="493"/>
      <c r="H1166" s="491"/>
      <c r="I1166" s="234"/>
      <c r="J1166" s="234"/>
      <c r="K1166" s="494"/>
      <c r="L1166" s="543"/>
      <c r="M1166" s="561"/>
      <c r="N1166" s="495"/>
      <c r="O1166" s="496"/>
      <c r="P1166" s="497"/>
      <c r="Q1166" s="495"/>
      <c r="R1166" s="495"/>
      <c r="S1166" s="667" t="s">
        <v>4984</v>
      </c>
      <c r="T1166" s="508">
        <f t="shared" ref="T1166:T1229" si="871">E1166*G1166</f>
        <v>0</v>
      </c>
      <c r="U1166" s="225" t="str">
        <f>IF(NOT(ISNUMBER(G1166)), "", VLOOKUP(A1166,'Discount Lookup'!D:E,2,FALSE)*G1166)</f>
        <v/>
      </c>
      <c r="V1166" s="225" t="str">
        <f>IF(NOT(ISNUMBER(G1166)), "", VLOOKUP(A1166,'Discount Lookup'!G:H,2,FALSE)*G1166)</f>
        <v/>
      </c>
      <c r="W1166" s="508">
        <f t="shared" ref="W1166:W1229" si="872">IF(H1166="credit",0,E1166*(SalesTaxPercentage)*G1166)</f>
        <v>0</v>
      </c>
      <c r="X1166" s="508">
        <f t="shared" ref="X1166:X1229" si="873">I1166</f>
        <v>0</v>
      </c>
      <c r="Y1166" s="509" t="b">
        <f t="shared" ref="Y1166:Y1229" si="874">IF(AE1166="T2G",0,IF(H1166="credit",0,IF(G1166&gt;0,IF(AE1166="me","",G1166))))</f>
        <v>0</v>
      </c>
      <c r="Z1166" s="510">
        <f t="shared" ref="Z1166:Z1229" si="875">IF(H1166="credit",G1166,0)</f>
        <v>0</v>
      </c>
      <c r="AA1166" s="511"/>
      <c r="AB1166" s="511" t="str">
        <f t="shared" ref="AB1166:AB1229" si="876">IF(AE1166="T2G","by Trees2Go",IF(H1166="credit","CREDIT only ~",IF(AND(K1166="",AE1166=OR(PlanterYesMe="No",PlanterYesMe="N",PlanterYesMe="me")),"not THIS line⇨",IF(AND(K1166="images",AE1166="me"),"not THIS line⇨",IF(H1166="credit","",IF(G1166=0,"",IF(AE1166="me","",IF(OR(PlanterYesMe="No",PlanterYesMe="N",PlanterYesMe="me"),"",IF(AE1166="free","warranty",IF(OR(PlanterYesMe="yes",PlanterYesMe="y"),"Edison install:","to install:"))))))))))</f>
        <v/>
      </c>
      <c r="AC1166" s="698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698"/>
      <c r="AE1166" s="631" t="str">
        <f t="shared" ref="AE1166:AE1229" si="877">IF(H1166="credit","",IF(G1166=0,"",IF(OR(PlanterYesMe="No",PlanterYesMe="N",PlanterYesMe="me"),"me",IF(H1166="warranty","free",IF(OR(PlanterYesMe="yes",PlanterYesMe="y"),"ELP","")))))</f>
        <v/>
      </c>
      <c r="AF1166" s="699" t="str">
        <f t="shared" ref="AF1166:AF1229" si="878">IF(OR(PlanterYesMe="No",PlanterYesMe="N",PlanterYesMe="me"),"",IF(H1166="credit","",IF(G1166&gt;0,(CONCATENATE((G1166)," quantity, ",(A1166)," ",B1166)),"")))</f>
        <v/>
      </c>
      <c r="AG1166" s="699"/>
      <c r="AH1166" s="699"/>
      <c r="AI1166" s="512">
        <f>IF(H1166="credit",0,IF(AE1166="free",0,IF(AE1166="me",0,IF(G1166&gt;0,(VLOOKUP(A1166,'Discount Lookup'!J:K,2)*G1166),0))))</f>
        <v>0</v>
      </c>
      <c r="AJ1166" s="513" t="str">
        <f t="shared" ref="AJ1166:AJ1229" ca="1" si="879">IF(AND(ISREF(H1166),H1166="credit"),"",IF(AND(AND(OFFSET(G1166,0,0)=0,OFFSET(G1166,1,0)&gt;0,ISNUMBER(OFFSET(AC1166,1,0)),OFFSET(AC1166,1,0)&gt;0),OR(PlanterYesMe="yes",PlanterYesMe="y")),"T2G+ELP=",IF(AND(OFFSET(G1166,0,0)=0,OFFSET(G1166,1,0)&gt;0,ISNUMBER(OFFSET(AC1166,1,0)),OFFSET(AC1166,1,0)&gt;0),"if T2G+ELP=",IF(AND(OFFSET(G1166,0,0)=0,OFFSET(G1166,1,0)&gt;0),"T2G Subtotal",IF(H1166="credit","",IF(G1166=0,"",IF(AE1166="free",(K1166*(1-T2GDiscount)),IF(OR(PlanterYesMe="No",PlanterYesMe="N",PlanterYesMe="me"),(K1166*(1-T2GDiscount)),IF(OR(AE1166="me",AE1166="T2G"),(K1166*(1-T2GDiscount)),(K1166*(1-T2GDiscount))+AC1166)))))))))</f>
        <v/>
      </c>
      <c r="AK1166" s="700" t="str">
        <f t="shared" ref="AK1166:AK1229" si="880">IF(H1166="credit","",IF(G1166=0,"",IF(OR(AE1166="me",AE1166="T2G"),"  delivery-only",IF(OR(PlanterYesMe="No",PlanterYesMe="N",PlanterYesMe="me"),"  delivery-only",CONCATENATE(" $",ROUND(AJ1166/G1166,2)," each")))))</f>
        <v/>
      </c>
      <c r="AL1166" s="700"/>
      <c r="AM1166" s="505" t="str">
        <f t="shared" ref="AM1166:AM1229" si="881">IF(H1166="credit","",IF(AE1166="free","      ~ discounts included, no tax or planting fee applies ~",IF(G1166=0,"",IF(OR(PlanterYesMe="No",PlanterYesMe="N",PlanterYesMe="me"),CONCATENATE(" $",ROUND(AJ1166/G1166,2)," per plant, with tax &amp; discount"),IF(OR(AE1166="me",AE1166="T2G"),CONCATENATE(" $",ROUND(AJ1166/G1166,2)," per plant, with tax &amp; discount"),CONCATENATE("= $",ROUND((K1166*(1-T2GDiscount))/G1166,2)," per plant + $",AC1166/G1166,(" per planting      ~ includes tax &amp; discounts ~")))))))</f>
        <v/>
      </c>
      <c r="AN1166" s="506"/>
      <c r="AO1166" s="507"/>
      <c r="AP1166" s="507"/>
      <c r="AQ1166" s="507"/>
      <c r="AR1166" s="507"/>
      <c r="AS1166" s="507"/>
      <c r="AT1166" s="507"/>
      <c r="AU1166" s="507"/>
      <c r="AV1166" s="225"/>
      <c r="AW1166" s="508"/>
      <c r="AX1166" s="225"/>
      <c r="AY1166" s="225"/>
      <c r="AZ1166" s="225"/>
      <c r="BA1166" s="225"/>
      <c r="BB1166" s="225"/>
      <c r="BC1166" s="56"/>
      <c r="BD1166" s="56"/>
      <c r="BE1166" s="56"/>
      <c r="BF1166" s="107" t="str">
        <f t="shared" ref="BF1166:BF1229" si="882">"https://www.google.com/search?tbm=isch&amp;q=" &amp; _xlfn.ENCODEURL($A1166 &amp; " " &amp; $D1166)</f>
        <v>https://www.google.com/search?tbm=isch&amp;q=moist%20sites%F0%9F%92%A7OK%2C%20Eastern%20Teaberry%20has%20fragrant%20foliage%2C%20edible%20Red%20berries%2C%20and%20attractive%20Reddish-Bronze%20to%20Burgundy%20fall%20coloration%20</v>
      </c>
      <c r="BG1166" s="107" t="str">
        <f t="shared" ref="BG1166:BG1229" si="883">IF(ISTEXT(A1166),LEFT(A1166,1),BG1165)</f>
        <v>m</v>
      </c>
      <c r="BH1166" s="254"/>
      <c r="BI1166" s="254"/>
    </row>
    <row r="1167" spans="1:61" customFormat="1" ht="18" x14ac:dyDescent="0.25">
      <c r="A1167" s="523" t="s">
        <v>5394</v>
      </c>
      <c r="B1167" s="235"/>
      <c r="C1167" s="676"/>
      <c r="D1167" s="255" t="s">
        <v>824</v>
      </c>
      <c r="E1167" s="236"/>
      <c r="F1167" s="236"/>
      <c r="G1167" s="236"/>
      <c r="H1167" s="582" t="s">
        <v>356</v>
      </c>
      <c r="I1167" s="498" t="s">
        <v>3008</v>
      </c>
      <c r="J1167" s="237"/>
      <c r="K1167" s="237"/>
      <c r="L1167" s="274"/>
      <c r="M1167" s="668" t="s">
        <v>4962</v>
      </c>
      <c r="N1167" s="681" t="str">
        <f>IF(AND(ISTEXT($A1167), ISERROR($A1167+0)), HYPERLINK($BF1167, "Images"), "")</f>
        <v>Images</v>
      </c>
      <c r="O1167" s="663" t="s">
        <v>4974</v>
      </c>
      <c r="P1167" s="253"/>
      <c r="Q1167" s="238"/>
      <c r="R1167" s="239"/>
      <c r="S1167" s="275"/>
      <c r="T1167" s="508">
        <f t="shared" si="871"/>
        <v>0</v>
      </c>
      <c r="U1167" s="225" t="str">
        <f>IF(NOT(ISNUMBER(G1167)), "", VLOOKUP(A1167,'Discount Lookup'!D:E,2,FALSE)*G1167)</f>
        <v/>
      </c>
      <c r="V1167" s="225" t="str">
        <f>IF(NOT(ISNUMBER(G1167)), "", VLOOKUP(A1167,'Discount Lookup'!G:H,2,FALSE)*G1167)</f>
        <v/>
      </c>
      <c r="W1167" s="508">
        <f t="shared" si="872"/>
        <v>0</v>
      </c>
      <c r="X1167" s="508" t="str">
        <f t="shared" si="873"/>
        <v>Bright Yellow bloom</v>
      </c>
      <c r="Y1167" s="509" t="b">
        <f t="shared" si="874"/>
        <v>0</v>
      </c>
      <c r="Z1167" s="510">
        <f t="shared" si="875"/>
        <v>0</v>
      </c>
      <c r="AA1167" s="511"/>
      <c r="AB1167" s="511" t="str">
        <f t="shared" si="876"/>
        <v/>
      </c>
      <c r="AC1167" s="698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698"/>
      <c r="AE1167" s="631" t="str">
        <f t="shared" si="877"/>
        <v/>
      </c>
      <c r="AF1167" s="699" t="str">
        <f t="shared" si="878"/>
        <v/>
      </c>
      <c r="AG1167" s="699"/>
      <c r="AH1167" s="699"/>
      <c r="AI1167" s="512">
        <f>IF(H1167="credit",0,IF(AE1167="free",0,IF(AE1167="me",0,IF(G1167&gt;0,(VLOOKUP(A1167,'Discount Lookup'!J:K,2)*G1167),0))))</f>
        <v>0</v>
      </c>
      <c r="AJ1167" s="513" t="str">
        <f t="shared" ca="1" si="879"/>
        <v/>
      </c>
      <c r="AK1167" s="700" t="str">
        <f t="shared" si="880"/>
        <v/>
      </c>
      <c r="AL1167" s="700"/>
      <c r="AM1167" s="505" t="str">
        <f t="shared" si="881"/>
        <v/>
      </c>
      <c r="AN1167" s="506"/>
      <c r="AO1167" s="507"/>
      <c r="AP1167" s="507"/>
      <c r="AQ1167" s="507"/>
      <c r="AR1167" s="507"/>
      <c r="AS1167" s="507"/>
      <c r="AT1167" s="507"/>
      <c r="AU1167" s="507"/>
      <c r="AV1167" s="225"/>
      <c r="AW1167" s="508"/>
      <c r="AX1167" s="225"/>
      <c r="AY1167" s="225"/>
      <c r="AZ1167" s="225"/>
      <c r="BA1167" s="225"/>
      <c r="BB1167" s="225"/>
      <c r="BC1167" s="56"/>
      <c r="BD1167" s="56"/>
      <c r="BE1167" s="56"/>
      <c r="BF1167" s="107" t="str">
        <f t="shared" si="882"/>
        <v>https://www.google.com/search?tbm=isch&amp;q=Easy%20Bee-zy%E2%84%A2%20Knock%20Out%C2%AE%20Rose%20Rosa%20%27SRPylwko%27%20PP%2335465</v>
      </c>
      <c r="BG1167" s="107" t="str">
        <f t="shared" si="883"/>
        <v>E</v>
      </c>
      <c r="BH1167" s="254"/>
      <c r="BI1167" s="254"/>
    </row>
    <row r="1168" spans="1:61" customFormat="1" ht="15.75" x14ac:dyDescent="0.25">
      <c r="A1168" s="276">
        <v>3</v>
      </c>
      <c r="B1168" s="240" t="s">
        <v>291</v>
      </c>
      <c r="C1168" s="241"/>
      <c r="D1168" s="242" t="s">
        <v>298</v>
      </c>
      <c r="E1168" s="243">
        <v>31.95</v>
      </c>
      <c r="F1168" s="517" t="s">
        <v>293</v>
      </c>
      <c r="G1168" s="232">
        <v>0</v>
      </c>
      <c r="H1168" s="661" t="str">
        <f>IF(G1168=0,"",IF(F1168="Buy",IF(G1168=1,"plant","plants"),IF(F1168&gt;0.01,"warranty","Error")))</f>
        <v/>
      </c>
      <c r="I1168" s="244">
        <f>IF(H1168="free",0,IF(H1168="credit",((E1168*(F1168))*G1168*-1),IF(F1168="Buy",(E1168*G1168),((E1168*(1-F1168))*G1168))))</f>
        <v>0</v>
      </c>
      <c r="J1168" s="244">
        <f>IF(H1168="warranty",0,(I1168*(_xlfn.SINGLE(SalesTaxPercentage))))</f>
        <v>0</v>
      </c>
      <c r="K1168" s="696">
        <f t="shared" ref="K1168" si="884">I1168+J1168</f>
        <v>0</v>
      </c>
      <c r="L1168" s="696"/>
      <c r="M1168" s="659" t="str">
        <f>IF(AND(G1168&gt;0,E1168=0),"WARNING - no PRICE inserted",IF(H1168="free"," FREE ~ no charge this plant",IF(H1168="credit",CONCATENATE(" -$",ROUND(K1168*(1-T2GDiscount)*-1,2)," CREDIT after discount"),IF(T2GDiscount=0,"",IF(G1168=0,"",IF(F1168="Buy",CONCATENATE(" $",ROUND(K1168*(1-T2GDiscount),2)," with ",(T2GDiscount*100),"% discount"),CONCATENATE(" $",ROUND(K1168*(1-T2GDiscount),2)," with ",((T2GDiscount*100+F1168*100)-(T2GDiscount*100*F1168)),IF(F1168&gt;0,"% discounts",IF(NoWarrantyDiscount&gt;0,"% discounts","% discount")))))))))</f>
        <v/>
      </c>
      <c r="N1168" s="660"/>
      <c r="O1168" s="233"/>
      <c r="P1168" s="233"/>
      <c r="Q1168" s="233"/>
      <c r="R1168" s="233"/>
      <c r="S1168" s="233"/>
      <c r="T1168" s="508">
        <f t="shared" si="871"/>
        <v>0</v>
      </c>
      <c r="U1168" s="225">
        <f>IF(NOT(ISNUMBER(G1168)), "", VLOOKUP(A1168,'Discount Lookup'!D:E,2,FALSE)*G1168)</f>
        <v>0</v>
      </c>
      <c r="V1168" s="225">
        <f>IF(NOT(ISNUMBER(G1168)), "", VLOOKUP(A1168,'Discount Lookup'!G:H,2,FALSE)*G1168)</f>
        <v>0</v>
      </c>
      <c r="W1168" s="508">
        <f t="shared" si="872"/>
        <v>0</v>
      </c>
      <c r="X1168" s="508">
        <f t="shared" si="873"/>
        <v>0</v>
      </c>
      <c r="Y1168" s="509" t="b">
        <f t="shared" si="874"/>
        <v>0</v>
      </c>
      <c r="Z1168" s="510">
        <f t="shared" si="875"/>
        <v>0</v>
      </c>
      <c r="AA1168" s="511"/>
      <c r="AB1168" s="511" t="str">
        <f t="shared" si="876"/>
        <v/>
      </c>
      <c r="AC1168" s="698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698"/>
      <c r="AE1168" s="631" t="str">
        <f t="shared" si="877"/>
        <v/>
      </c>
      <c r="AF1168" s="699" t="str">
        <f t="shared" si="878"/>
        <v/>
      </c>
      <c r="AG1168" s="699"/>
      <c r="AH1168" s="699"/>
      <c r="AI1168" s="512">
        <f>IF(H1168="credit",0,IF(AE1168="free",0,IF(AE1168="me",0,IF(G1168&gt;0,(VLOOKUP(A1168,'Discount Lookup'!J:K,2)*G1168),0))))</f>
        <v>0</v>
      </c>
      <c r="AJ1168" s="513" t="str">
        <f t="shared" ca="1" si="879"/>
        <v/>
      </c>
      <c r="AK1168" s="700" t="str">
        <f t="shared" si="880"/>
        <v/>
      </c>
      <c r="AL1168" s="700"/>
      <c r="AM1168" s="505" t="str">
        <f t="shared" si="881"/>
        <v/>
      </c>
      <c r="AN1168" s="506"/>
      <c r="AO1168" s="507"/>
      <c r="AP1168" s="507"/>
      <c r="AQ1168" s="507"/>
      <c r="AR1168" s="507"/>
      <c r="AS1168" s="507"/>
      <c r="AT1168" s="507"/>
      <c r="AU1168" s="507"/>
      <c r="AV1168" s="225"/>
      <c r="AW1168" s="508"/>
      <c r="AX1168" s="225"/>
      <c r="AY1168" s="225"/>
      <c r="AZ1168" s="225"/>
      <c r="BA1168" s="225"/>
      <c r="BB1168" s="225"/>
      <c r="BC1168" s="56"/>
      <c r="BD1168" s="56"/>
      <c r="BE1168" s="56"/>
      <c r="BF1168" s="107" t="str">
        <f t="shared" si="882"/>
        <v>https://www.google.com/search?tbm=isch&amp;q=3%20G1</v>
      </c>
      <c r="BG1168" s="107" t="str">
        <f t="shared" si="883"/>
        <v>E</v>
      </c>
      <c r="BH1168" s="254"/>
      <c r="BI1168" s="254"/>
    </row>
    <row r="1169" spans="1:61" customFormat="1" ht="17.25" thickBot="1" x14ac:dyDescent="0.3">
      <c r="A1169" s="524" t="s">
        <v>4075</v>
      </c>
      <c r="B1169" s="245"/>
      <c r="C1169" s="677"/>
      <c r="D1169" s="499"/>
      <c r="E1169" s="499"/>
      <c r="F1169" s="500"/>
      <c r="G1169" s="501"/>
      <c r="H1169" s="502"/>
      <c r="I1169" s="246"/>
      <c r="J1169" s="247"/>
      <c r="K1169" s="503"/>
      <c r="L1169" s="544"/>
      <c r="M1169" s="544"/>
      <c r="N1169" s="500"/>
      <c r="O1169" s="500"/>
      <c r="P1169" s="500"/>
      <c r="Q1169" s="500"/>
      <c r="R1169" s="500"/>
      <c r="S1169" s="669" t="s">
        <v>4980</v>
      </c>
      <c r="T1169" s="508">
        <f t="shared" si="871"/>
        <v>0</v>
      </c>
      <c r="U1169" s="225" t="str">
        <f>IF(NOT(ISNUMBER(G1169)), "", VLOOKUP(A1169,'Discount Lookup'!D:E,2,FALSE)*G1169)</f>
        <v/>
      </c>
      <c r="V1169" s="225" t="str">
        <f>IF(NOT(ISNUMBER(G1169)), "", VLOOKUP(A1169,'Discount Lookup'!G:H,2,FALSE)*G1169)</f>
        <v/>
      </c>
      <c r="W1169" s="508">
        <f t="shared" si="872"/>
        <v>0</v>
      </c>
      <c r="X1169" s="508">
        <f t="shared" si="873"/>
        <v>0</v>
      </c>
      <c r="Y1169" s="509" t="b">
        <f t="shared" si="874"/>
        <v>0</v>
      </c>
      <c r="Z1169" s="510">
        <f t="shared" si="875"/>
        <v>0</v>
      </c>
      <c r="AA1169" s="511"/>
      <c r="AB1169" s="511" t="str">
        <f t="shared" si="876"/>
        <v/>
      </c>
      <c r="AC1169" s="698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698"/>
      <c r="AE1169" s="631" t="str">
        <f t="shared" si="877"/>
        <v/>
      </c>
      <c r="AF1169" s="699" t="str">
        <f t="shared" si="878"/>
        <v/>
      </c>
      <c r="AG1169" s="699"/>
      <c r="AH1169" s="699"/>
      <c r="AI1169" s="512">
        <f>IF(H1169="credit",0,IF(AE1169="free",0,IF(AE1169="me",0,IF(G1169&gt;0,(VLOOKUP(A1169,'Discount Lookup'!J:K,2)*G1169),0))))</f>
        <v>0</v>
      </c>
      <c r="AJ1169" s="513" t="str">
        <f t="shared" ca="1" si="879"/>
        <v/>
      </c>
      <c r="AK1169" s="700" t="str">
        <f t="shared" si="880"/>
        <v/>
      </c>
      <c r="AL1169" s="700"/>
      <c r="AM1169" s="505" t="str">
        <f t="shared" si="881"/>
        <v/>
      </c>
      <c r="AN1169" s="506"/>
      <c r="AO1169" s="507"/>
      <c r="AP1169" s="507"/>
      <c r="AQ1169" s="507"/>
      <c r="AR1169" s="507"/>
      <c r="AS1169" s="507"/>
      <c r="AT1169" s="507"/>
      <c r="AU1169" s="507"/>
      <c r="AV1169" s="225"/>
      <c r="AW1169" s="508"/>
      <c r="AX1169" s="225"/>
      <c r="AY1169" s="225"/>
      <c r="AZ1169" s="225"/>
      <c r="BA1169" s="225"/>
      <c r="BB1169" s="225"/>
      <c r="BC1169" s="56"/>
      <c r="BD1169" s="56"/>
      <c r="BE1169" s="56"/>
      <c r="BF1169" s="107" t="str">
        <f t="shared" si="882"/>
        <v>https://www.google.com/search?tbm=isch&amp;q=Knock%20Out%20bloom%20all%20summer%20and%20don%27t%20need%20deadheading.%20Glossy%20Green%20foliage%20and%20thorns%20%28rabbits%20may%20still%20nibble%29.%20Cut%20back%20annually%20</v>
      </c>
      <c r="BG1169" s="107" t="str">
        <f t="shared" si="883"/>
        <v>K</v>
      </c>
      <c r="BH1169" s="254"/>
      <c r="BI1169" s="254"/>
    </row>
    <row r="1170" spans="1:61" customFormat="1" ht="18" x14ac:dyDescent="0.25">
      <c r="A1170" s="521" t="s">
        <v>825</v>
      </c>
      <c r="B1170" s="477"/>
      <c r="C1170" s="674"/>
      <c r="D1170" s="478" t="s">
        <v>826</v>
      </c>
      <c r="E1170" s="479"/>
      <c r="F1170" s="479"/>
      <c r="G1170" s="479"/>
      <c r="H1170" s="582" t="s">
        <v>1521</v>
      </c>
      <c r="I1170" s="480" t="s">
        <v>2928</v>
      </c>
      <c r="J1170" s="479"/>
      <c r="K1170" s="479"/>
      <c r="L1170" s="560"/>
      <c r="M1170" s="666" t="s">
        <v>4966</v>
      </c>
      <c r="N1170" s="680" t="str">
        <f>IF(AND(ISTEXT($A1170), ISERROR($A1170+0)), HYPERLINK($BF1170, "Images"), "")</f>
        <v>Images</v>
      </c>
      <c r="O1170" s="662" t="s">
        <v>4969</v>
      </c>
      <c r="P1170" s="482"/>
      <c r="Q1170" s="483"/>
      <c r="R1170" s="483"/>
      <c r="S1170" s="484"/>
      <c r="T1170" s="508">
        <f t="shared" si="871"/>
        <v>0</v>
      </c>
      <c r="U1170" s="225" t="str">
        <f>IF(NOT(ISNUMBER(G1170)), "", VLOOKUP(A1170,'Discount Lookup'!D:E,2,FALSE)*G1170)</f>
        <v/>
      </c>
      <c r="V1170" s="225" t="str">
        <f>IF(NOT(ISNUMBER(G1170)), "", VLOOKUP(A1170,'Discount Lookup'!G:H,2,FALSE)*G1170)</f>
        <v/>
      </c>
      <c r="W1170" s="508">
        <f t="shared" si="872"/>
        <v>0</v>
      </c>
      <c r="X1170" s="508" t="str">
        <f t="shared" si="873"/>
        <v>Green &amp; Silver foliage</v>
      </c>
      <c r="Y1170" s="509" t="b">
        <f t="shared" si="874"/>
        <v>0</v>
      </c>
      <c r="Z1170" s="510">
        <f t="shared" si="875"/>
        <v>0</v>
      </c>
      <c r="AA1170" s="511"/>
      <c r="AB1170" s="511" t="str">
        <f t="shared" si="876"/>
        <v/>
      </c>
      <c r="AC1170" s="698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698"/>
      <c r="AE1170" s="631" t="str">
        <f t="shared" si="877"/>
        <v/>
      </c>
      <c r="AF1170" s="699" t="str">
        <f t="shared" si="878"/>
        <v/>
      </c>
      <c r="AG1170" s="699"/>
      <c r="AH1170" s="699"/>
      <c r="AI1170" s="512">
        <f>IF(H1170="credit",0,IF(AE1170="free",0,IF(AE1170="me",0,IF(G1170&gt;0,(VLOOKUP(A1170,'Discount Lookup'!J:K,2)*G1170),0))))</f>
        <v>0</v>
      </c>
      <c r="AJ1170" s="513" t="str">
        <f t="shared" ca="1" si="879"/>
        <v/>
      </c>
      <c r="AK1170" s="700" t="str">
        <f t="shared" si="880"/>
        <v/>
      </c>
      <c r="AL1170" s="700"/>
      <c r="AM1170" s="505" t="str">
        <f t="shared" si="881"/>
        <v/>
      </c>
      <c r="AN1170" s="506"/>
      <c r="AO1170" s="507"/>
      <c r="AP1170" s="507"/>
      <c r="AQ1170" s="507"/>
      <c r="AR1170" s="507"/>
      <c r="AS1170" s="507"/>
      <c r="AT1170" s="507"/>
      <c r="AU1170" s="507"/>
      <c r="AV1170" s="225"/>
      <c r="AW1170" s="508"/>
      <c r="AX1170" s="225"/>
      <c r="AY1170" s="225"/>
      <c r="AZ1170" s="225"/>
      <c r="BA1170" s="225"/>
      <c r="BB1170" s="225"/>
      <c r="BC1170" s="56"/>
      <c r="BD1170" s="56"/>
      <c r="BE1170" s="56"/>
      <c r="BF1170" s="107" t="str">
        <f t="shared" si="882"/>
        <v>https://www.google.com/search?tbm=isch&amp;q=Ebbing%27s%20Silverberry%20Elaeagnus%20Elaeagnus%20x%20ebbingei</v>
      </c>
      <c r="BG1170" s="107" t="str">
        <f t="shared" si="883"/>
        <v>E</v>
      </c>
      <c r="BH1170" s="254"/>
      <c r="BI1170" s="254"/>
    </row>
    <row r="1171" spans="1:61" customFormat="1" ht="15.75" x14ac:dyDescent="0.25">
      <c r="A1171" s="485">
        <v>3</v>
      </c>
      <c r="B1171" s="486" t="s">
        <v>291</v>
      </c>
      <c r="C1171" s="487" t="s">
        <v>328</v>
      </c>
      <c r="D1171" s="488" t="s">
        <v>298</v>
      </c>
      <c r="E1171" s="489">
        <v>25.95</v>
      </c>
      <c r="F1171" s="516" t="s">
        <v>293</v>
      </c>
      <c r="G1171" s="232">
        <v>0</v>
      </c>
      <c r="H1171" s="658" t="str">
        <f>IF(G1171=0,"",IF(F1171="Buy",IF(G1171=1,"plant","plants"),IF(F1171&gt;0.01,"warranty","Error")))</f>
        <v/>
      </c>
      <c r="I1171" s="490">
        <f>IF(H1171="free",0,IF(H1171="credit",((E1171*(F1171))*G1171*-1),IF(F1171="Buy",(E1171*G1171),((E1171*(1-F1171))*G1171))))</f>
        <v>0</v>
      </c>
      <c r="J1171" s="490">
        <f>IF(H1171="warranty",0,(I1171*(_xlfn.SINGLE(SalesTaxPercentage))))</f>
        <v>0</v>
      </c>
      <c r="K1171" s="695">
        <f t="shared" ref="K1171" si="885">I1171+J1171</f>
        <v>0</v>
      </c>
      <c r="L1171" s="695"/>
      <c r="M1171" s="659" t="str">
        <f>IF(AND(G1171&gt;0,E1171=0),"WARNING - no PRICE inserted",IF(H1171="free"," FREE ~ no charge this plant",IF(H1171="credit",CONCATENATE(" -$",ROUND(K1171*(1-T2GDiscount)*-1,2)," CREDIT after discount"),IF(T2GDiscount=0,"",IF(G1171=0,"",IF(F1171="Buy",CONCATENATE(" $",ROUND(K1171*(1-T2GDiscount),2)," with ",(T2GDiscount*100),"% discount"),CONCATENATE(" $",ROUND(K1171*(1-T2GDiscount),2)," with ",((T2GDiscount*100+F1171*100)-(T2GDiscount*100*F1171)),IF(F1171&gt;0,"% discounts",IF(NoWarrantyDiscount&gt;0,"% discounts","% discount")))))))))</f>
        <v/>
      </c>
      <c r="N1171" s="660"/>
      <c r="O1171" s="233"/>
      <c r="P1171" s="233"/>
      <c r="Q1171" s="233"/>
      <c r="R1171" s="233"/>
      <c r="S1171" s="233"/>
      <c r="T1171" s="508">
        <f t="shared" si="871"/>
        <v>0</v>
      </c>
      <c r="U1171" s="225">
        <f>IF(NOT(ISNUMBER(G1171)), "", VLOOKUP(A1171,'Discount Lookup'!D:E,2,FALSE)*G1171)</f>
        <v>0</v>
      </c>
      <c r="V1171" s="225">
        <f>IF(NOT(ISNUMBER(G1171)), "", VLOOKUP(A1171,'Discount Lookup'!G:H,2,FALSE)*G1171)</f>
        <v>0</v>
      </c>
      <c r="W1171" s="508">
        <f t="shared" si="872"/>
        <v>0</v>
      </c>
      <c r="X1171" s="508">
        <f t="shared" si="873"/>
        <v>0</v>
      </c>
      <c r="Y1171" s="509" t="b">
        <f t="shared" si="874"/>
        <v>0</v>
      </c>
      <c r="Z1171" s="510">
        <f t="shared" si="875"/>
        <v>0</v>
      </c>
      <c r="AA1171" s="511"/>
      <c r="AB1171" s="511" t="str">
        <f t="shared" si="876"/>
        <v/>
      </c>
      <c r="AC1171" s="698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698"/>
      <c r="AE1171" s="631" t="str">
        <f t="shared" si="877"/>
        <v/>
      </c>
      <c r="AF1171" s="699" t="str">
        <f t="shared" si="878"/>
        <v/>
      </c>
      <c r="AG1171" s="699"/>
      <c r="AH1171" s="699"/>
      <c r="AI1171" s="512">
        <f>IF(H1171="credit",0,IF(AE1171="free",0,IF(AE1171="me",0,IF(G1171&gt;0,(VLOOKUP(A1171,'Discount Lookup'!J:K,2)*G1171),0))))</f>
        <v>0</v>
      </c>
      <c r="AJ1171" s="513" t="str">
        <f t="shared" ca="1" si="879"/>
        <v/>
      </c>
      <c r="AK1171" s="700" t="str">
        <f t="shared" si="880"/>
        <v/>
      </c>
      <c r="AL1171" s="700"/>
      <c r="AM1171" s="505" t="str">
        <f t="shared" si="881"/>
        <v/>
      </c>
      <c r="AN1171" s="506"/>
      <c r="AO1171" s="507"/>
      <c r="AP1171" s="507"/>
      <c r="AQ1171" s="507"/>
      <c r="AR1171" s="507"/>
      <c r="AS1171" s="507"/>
      <c r="AT1171" s="507"/>
      <c r="AU1171" s="507"/>
      <c r="AV1171" s="225"/>
      <c r="AW1171" s="508"/>
      <c r="AX1171" s="225"/>
      <c r="AY1171" s="225"/>
      <c r="AZ1171" s="225"/>
      <c r="BA1171" s="225"/>
      <c r="BB1171" s="225"/>
      <c r="BC1171" s="56"/>
      <c r="BD1171" s="56"/>
      <c r="BE1171" s="56"/>
      <c r="BF1171" s="107" t="str">
        <f t="shared" si="882"/>
        <v>https://www.google.com/search?tbm=isch&amp;q=3%20G1</v>
      </c>
      <c r="BG1171" s="107" t="str">
        <f t="shared" si="883"/>
        <v>E</v>
      </c>
      <c r="BH1171" s="254"/>
      <c r="BI1171" s="254"/>
    </row>
    <row r="1172" spans="1:61" customFormat="1" ht="17.25" thickBot="1" x14ac:dyDescent="0.3">
      <c r="A1172" s="522" t="s">
        <v>2929</v>
      </c>
      <c r="B1172" s="491"/>
      <c r="C1172" s="675"/>
      <c r="D1172" s="491"/>
      <c r="E1172" s="491"/>
      <c r="F1172" s="492"/>
      <c r="G1172" s="493"/>
      <c r="H1172" s="491"/>
      <c r="I1172" s="234"/>
      <c r="J1172" s="234"/>
      <c r="K1172" s="494"/>
      <c r="L1172" s="543"/>
      <c r="M1172" s="561"/>
      <c r="N1172" s="495"/>
      <c r="O1172" s="496"/>
      <c r="P1172" s="497"/>
      <c r="Q1172" s="495"/>
      <c r="R1172" s="495"/>
      <c r="S1172" s="667" t="s">
        <v>4984</v>
      </c>
      <c r="T1172" s="508">
        <f t="shared" si="871"/>
        <v>0</v>
      </c>
      <c r="U1172" s="225" t="str">
        <f>IF(NOT(ISNUMBER(G1172)), "", VLOOKUP(A1172,'Discount Lookup'!D:E,2,FALSE)*G1172)</f>
        <v/>
      </c>
      <c r="V1172" s="225" t="str">
        <f>IF(NOT(ISNUMBER(G1172)), "", VLOOKUP(A1172,'Discount Lookup'!G:H,2,FALSE)*G1172)</f>
        <v/>
      </c>
      <c r="W1172" s="508">
        <f t="shared" si="872"/>
        <v>0</v>
      </c>
      <c r="X1172" s="508">
        <f t="shared" si="873"/>
        <v>0</v>
      </c>
      <c r="Y1172" s="509" t="b">
        <f t="shared" si="874"/>
        <v>0</v>
      </c>
      <c r="Z1172" s="510">
        <f t="shared" si="875"/>
        <v>0</v>
      </c>
      <c r="AA1172" s="511"/>
      <c r="AB1172" s="511" t="str">
        <f t="shared" si="876"/>
        <v/>
      </c>
      <c r="AC1172" s="698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698"/>
      <c r="AE1172" s="631" t="str">
        <f t="shared" si="877"/>
        <v/>
      </c>
      <c r="AF1172" s="699" t="str">
        <f t="shared" si="878"/>
        <v/>
      </c>
      <c r="AG1172" s="699"/>
      <c r="AH1172" s="699"/>
      <c r="AI1172" s="512">
        <f>IF(H1172="credit",0,IF(AE1172="free",0,IF(AE1172="me",0,IF(G1172&gt;0,(VLOOKUP(A1172,'Discount Lookup'!J:K,2)*G1172),0))))</f>
        <v>0</v>
      </c>
      <c r="AJ1172" s="513" t="str">
        <f t="shared" ca="1" si="879"/>
        <v/>
      </c>
      <c r="AK1172" s="700" t="str">
        <f t="shared" si="880"/>
        <v/>
      </c>
      <c r="AL1172" s="700"/>
      <c r="AM1172" s="505" t="str">
        <f t="shared" si="881"/>
        <v/>
      </c>
      <c r="AN1172" s="506"/>
      <c r="AO1172" s="507"/>
      <c r="AP1172" s="507"/>
      <c r="AQ1172" s="507"/>
      <c r="AR1172" s="507"/>
      <c r="AS1172" s="507"/>
      <c r="AT1172" s="507"/>
      <c r="AU1172" s="507"/>
      <c r="AV1172" s="225"/>
      <c r="AW1172" s="508"/>
      <c r="AX1172" s="225"/>
      <c r="AY1172" s="225"/>
      <c r="AZ1172" s="225"/>
      <c r="BA1172" s="225"/>
      <c r="BB1172" s="225"/>
      <c r="BC1172" s="56"/>
      <c r="BD1172" s="56"/>
      <c r="BE1172" s="56"/>
      <c r="BF1172" s="107" t="str">
        <f t="shared" si="882"/>
        <v>https://www.google.com/search?tbm=isch&amp;q=Ebbing%27s%20is%20thornless%2C%20with%20Silver-Gray%20undersides%20to%20foliage.%20Very%20fragrant%20small%20Creamy%20White%20fall%20blooms.%20Birds%20adore%20red%20fruit%20</v>
      </c>
      <c r="BG1172" s="107" t="str">
        <f t="shared" si="883"/>
        <v>E</v>
      </c>
      <c r="BH1172" s="254"/>
      <c r="BI1172" s="254"/>
    </row>
    <row r="1173" spans="1:61" customFormat="1" ht="18" x14ac:dyDescent="0.25">
      <c r="A1173" s="523" t="s">
        <v>5395</v>
      </c>
      <c r="B1173" s="235"/>
      <c r="C1173" s="676"/>
      <c r="D1173" s="255" t="s">
        <v>828</v>
      </c>
      <c r="E1173" s="236"/>
      <c r="F1173" s="236"/>
      <c r="G1173" s="236"/>
      <c r="H1173" s="582" t="s">
        <v>474</v>
      </c>
      <c r="I1173" s="498" t="s">
        <v>3102</v>
      </c>
      <c r="J1173" s="237"/>
      <c r="K1173" s="237"/>
      <c r="L1173" s="274"/>
      <c r="M1173" s="670" t="s">
        <v>4973</v>
      </c>
      <c r="N1173" s="681" t="str">
        <f>IF(AND(ISTEXT($A1173), ISERROR($A1173+0)), HYPERLINK($BF1173, "Images"), "")</f>
        <v>Images</v>
      </c>
      <c r="O1173" s="663" t="s">
        <v>4974</v>
      </c>
      <c r="P1173" s="253"/>
      <c r="Q1173" s="238"/>
      <c r="R1173" s="239"/>
      <c r="S1173" s="275"/>
      <c r="T1173" s="508">
        <f t="shared" si="871"/>
        <v>0</v>
      </c>
      <c r="U1173" s="225" t="str">
        <f>IF(NOT(ISNUMBER(G1173)), "", VLOOKUP(A1173,'Discount Lookup'!D:E,2,FALSE)*G1173)</f>
        <v/>
      </c>
      <c r="V1173" s="225" t="str">
        <f>IF(NOT(ISNUMBER(G1173)), "", VLOOKUP(A1173,'Discount Lookup'!G:H,2,FALSE)*G1173)</f>
        <v/>
      </c>
      <c r="W1173" s="508">
        <f t="shared" si="872"/>
        <v>0</v>
      </c>
      <c r="X1173" s="508" t="str">
        <f t="shared" si="873"/>
        <v>Cranberry to Purple bloom</v>
      </c>
      <c r="Y1173" s="509" t="b">
        <f t="shared" si="874"/>
        <v>0</v>
      </c>
      <c r="Z1173" s="510">
        <f t="shared" si="875"/>
        <v>0</v>
      </c>
      <c r="AA1173" s="511"/>
      <c r="AB1173" s="511" t="str">
        <f t="shared" si="876"/>
        <v/>
      </c>
      <c r="AC1173" s="698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698"/>
      <c r="AE1173" s="631" t="str">
        <f t="shared" si="877"/>
        <v/>
      </c>
      <c r="AF1173" s="699" t="str">
        <f t="shared" si="878"/>
        <v/>
      </c>
      <c r="AG1173" s="699"/>
      <c r="AH1173" s="699"/>
      <c r="AI1173" s="512">
        <f>IF(H1173="credit",0,IF(AE1173="free",0,IF(AE1173="me",0,IF(G1173&gt;0,(VLOOKUP(A1173,'Discount Lookup'!J:K,2)*G1173),0))))</f>
        <v>0</v>
      </c>
      <c r="AJ1173" s="513" t="str">
        <f t="shared" ca="1" si="879"/>
        <v/>
      </c>
      <c r="AK1173" s="700" t="str">
        <f t="shared" si="880"/>
        <v/>
      </c>
      <c r="AL1173" s="700"/>
      <c r="AM1173" s="505" t="str">
        <f t="shared" si="881"/>
        <v/>
      </c>
      <c r="AN1173" s="506"/>
      <c r="AO1173" s="507"/>
      <c r="AP1173" s="507"/>
      <c r="AQ1173" s="507"/>
      <c r="AR1173" s="507"/>
      <c r="AS1173" s="507"/>
      <c r="AT1173" s="507"/>
      <c r="AU1173" s="507"/>
      <c r="AV1173" s="225"/>
      <c r="AW1173" s="508"/>
      <c r="AX1173" s="225"/>
      <c r="AY1173" s="225"/>
      <c r="AZ1173" s="225"/>
      <c r="BA1173" s="225"/>
      <c r="BB1173" s="225"/>
      <c r="BC1173" s="56"/>
      <c r="BD1173" s="56"/>
      <c r="BE1173" s="56"/>
      <c r="BF1173" s="107" t="str">
        <f t="shared" si="882"/>
        <v>https://www.google.com/search?tbm=isch&amp;q=Eclipse%C2%AE%20Bigleaf%20Hydrangea%20Hyd.%20macrophylla%20%27Bailmacseven%27%20PP%2334544</v>
      </c>
      <c r="BG1173" s="107" t="str">
        <f t="shared" si="883"/>
        <v>E</v>
      </c>
      <c r="BH1173" s="254"/>
      <c r="BI1173" s="254"/>
    </row>
    <row r="1174" spans="1:61" customFormat="1" ht="15.75" x14ac:dyDescent="0.25">
      <c r="A1174" s="276">
        <v>3</v>
      </c>
      <c r="B1174" s="240" t="s">
        <v>291</v>
      </c>
      <c r="C1174" s="241" t="s">
        <v>4758</v>
      </c>
      <c r="D1174" s="242" t="s">
        <v>312</v>
      </c>
      <c r="E1174" s="243">
        <v>40.950000000000003</v>
      </c>
      <c r="F1174" s="517" t="s">
        <v>293</v>
      </c>
      <c r="G1174" s="232">
        <v>0</v>
      </c>
      <c r="H1174" s="661" t="str">
        <f>IF(G1174=0,"",IF(F1174="Buy",IF(G1174=1,"plant","plants"),IF(F1174&gt;0.01,"warranty","Error")))</f>
        <v/>
      </c>
      <c r="I1174" s="244">
        <f>IF(H1174="free",0,IF(H1174="credit",((E1174*(F1174))*G1174*-1),IF(F1174="Buy",(E1174*G1174),((E1174*(1-F1174))*G1174))))</f>
        <v>0</v>
      </c>
      <c r="J1174" s="244">
        <f>IF(H1174="warranty",0,(I1174*(_xlfn.SINGLE(SalesTaxPercentage))))</f>
        <v>0</v>
      </c>
      <c r="K1174" s="696">
        <f t="shared" ref="K1174" si="886">I1174+J1174</f>
        <v>0</v>
      </c>
      <c r="L1174" s="696"/>
      <c r="M1174" s="659" t="str">
        <f>IF(AND(G1174&gt;0,E1174=0),"WARNING - no PRICE inserted",IF(H1174="free"," FREE ~ no charge this plant",IF(H1174="credit",CONCATENATE(" -$",ROUND(K1174*(1-T2GDiscount)*-1,2)," CREDIT after discount"),IF(T2GDiscount=0,"",IF(G1174=0,"",IF(F1174="Buy",CONCATENATE(" $",ROUND(K1174*(1-T2GDiscount),2)," with ",(T2GDiscount*100),"% discount"),CONCATENATE(" $",ROUND(K1174*(1-T2GDiscount),2)," with ",((T2GDiscount*100+F1174*100)-(T2GDiscount*100*F1174)),IF(F1174&gt;0,"% discounts",IF(NoWarrantyDiscount&gt;0,"% discounts","% discount")))))))))</f>
        <v/>
      </c>
      <c r="N1174" s="660"/>
      <c r="O1174" s="233"/>
      <c r="P1174" s="233"/>
      <c r="Q1174" s="233"/>
      <c r="R1174" s="233"/>
      <c r="S1174" s="233"/>
      <c r="T1174" s="508">
        <f t="shared" si="871"/>
        <v>0</v>
      </c>
      <c r="U1174" s="225">
        <f>IF(NOT(ISNUMBER(G1174)), "", VLOOKUP(A1174,'Discount Lookup'!D:E,2,FALSE)*G1174)</f>
        <v>0</v>
      </c>
      <c r="V1174" s="225">
        <f>IF(NOT(ISNUMBER(G1174)), "", VLOOKUP(A1174,'Discount Lookup'!G:H,2,FALSE)*G1174)</f>
        <v>0</v>
      </c>
      <c r="W1174" s="508">
        <f t="shared" si="872"/>
        <v>0</v>
      </c>
      <c r="X1174" s="508">
        <f t="shared" si="873"/>
        <v>0</v>
      </c>
      <c r="Y1174" s="509" t="b">
        <f t="shared" si="874"/>
        <v>0</v>
      </c>
      <c r="Z1174" s="510">
        <f t="shared" si="875"/>
        <v>0</v>
      </c>
      <c r="AA1174" s="511"/>
      <c r="AB1174" s="511" t="str">
        <f t="shared" si="876"/>
        <v/>
      </c>
      <c r="AC1174" s="698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698"/>
      <c r="AE1174" s="631" t="str">
        <f t="shared" si="877"/>
        <v/>
      </c>
      <c r="AF1174" s="699" t="str">
        <f t="shared" si="878"/>
        <v/>
      </c>
      <c r="AG1174" s="699"/>
      <c r="AH1174" s="699"/>
      <c r="AI1174" s="512">
        <f>IF(H1174="credit",0,IF(AE1174="free",0,IF(AE1174="me",0,IF(G1174&gt;0,(VLOOKUP(A1174,'Discount Lookup'!J:K,2)*G1174),0))))</f>
        <v>0</v>
      </c>
      <c r="AJ1174" s="513" t="str">
        <f t="shared" ca="1" si="879"/>
        <v/>
      </c>
      <c r="AK1174" s="700" t="str">
        <f t="shared" si="880"/>
        <v/>
      </c>
      <c r="AL1174" s="700"/>
      <c r="AM1174" s="505" t="str">
        <f t="shared" si="881"/>
        <v/>
      </c>
      <c r="AN1174" s="506"/>
      <c r="AO1174" s="507"/>
      <c r="AP1174" s="507"/>
      <c r="AQ1174" s="507"/>
      <c r="AR1174" s="507"/>
      <c r="AS1174" s="507"/>
      <c r="AT1174" s="507"/>
      <c r="AU1174" s="507"/>
      <c r="AV1174" s="225"/>
      <c r="AW1174" s="508"/>
      <c r="AX1174" s="225"/>
      <c r="AY1174" s="225"/>
      <c r="AZ1174" s="225"/>
      <c r="BA1174" s="225"/>
      <c r="BB1174" s="225"/>
      <c r="BC1174" s="56"/>
      <c r="BD1174" s="56"/>
      <c r="BE1174" s="56"/>
      <c r="BF1174" s="107" t="str">
        <f t="shared" si="882"/>
        <v>https://www.google.com/search?tbm=isch&amp;q=3%20G2</v>
      </c>
      <c r="BG1174" s="107" t="str">
        <f t="shared" si="883"/>
        <v>E</v>
      </c>
      <c r="BH1174" s="254"/>
      <c r="BI1174" s="254"/>
    </row>
    <row r="1175" spans="1:61" customFormat="1" ht="17.25" thickBot="1" x14ac:dyDescent="0.3">
      <c r="A1175" s="673" t="s">
        <v>5102</v>
      </c>
      <c r="B1175" s="245"/>
      <c r="C1175" s="677"/>
      <c r="D1175" s="499"/>
      <c r="E1175" s="499"/>
      <c r="F1175" s="500"/>
      <c r="G1175" s="501"/>
      <c r="H1175" s="502"/>
      <c r="I1175" s="246"/>
      <c r="J1175" s="247"/>
      <c r="K1175" s="503"/>
      <c r="L1175" s="544"/>
      <c r="M1175" s="544"/>
      <c r="N1175" s="500"/>
      <c r="O1175" s="500"/>
      <c r="P1175" s="500"/>
      <c r="Q1175" s="500"/>
      <c r="R1175" s="500"/>
      <c r="S1175" s="278"/>
      <c r="T1175" s="508">
        <f t="shared" si="871"/>
        <v>0</v>
      </c>
      <c r="U1175" s="225" t="str">
        <f>IF(NOT(ISNUMBER(G1175)), "", VLOOKUP(A1175,'Discount Lookup'!D:E,2,FALSE)*G1175)</f>
        <v/>
      </c>
      <c r="V1175" s="225" t="str">
        <f>IF(NOT(ISNUMBER(G1175)), "", VLOOKUP(A1175,'Discount Lookup'!G:H,2,FALSE)*G1175)</f>
        <v/>
      </c>
      <c r="W1175" s="508">
        <f t="shared" si="872"/>
        <v>0</v>
      </c>
      <c r="X1175" s="508">
        <f t="shared" si="873"/>
        <v>0</v>
      </c>
      <c r="Y1175" s="509" t="b">
        <f t="shared" si="874"/>
        <v>0</v>
      </c>
      <c r="Z1175" s="510">
        <f t="shared" si="875"/>
        <v>0</v>
      </c>
      <c r="AA1175" s="511"/>
      <c r="AB1175" s="511" t="str">
        <f t="shared" si="876"/>
        <v/>
      </c>
      <c r="AC1175" s="698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698"/>
      <c r="AE1175" s="631" t="str">
        <f t="shared" si="877"/>
        <v/>
      </c>
      <c r="AF1175" s="699" t="str">
        <f t="shared" si="878"/>
        <v/>
      </c>
      <c r="AG1175" s="699"/>
      <c r="AH1175" s="699"/>
      <c r="AI1175" s="512">
        <f>IF(H1175="credit",0,IF(AE1175="free",0,IF(AE1175="me",0,IF(G1175&gt;0,(VLOOKUP(A1175,'Discount Lookup'!J:K,2)*G1175),0))))</f>
        <v>0</v>
      </c>
      <c r="AJ1175" s="513" t="str">
        <f t="shared" ca="1" si="879"/>
        <v/>
      </c>
      <c r="AK1175" s="700" t="str">
        <f t="shared" si="880"/>
        <v/>
      </c>
      <c r="AL1175" s="700"/>
      <c r="AM1175" s="505" t="str">
        <f t="shared" si="881"/>
        <v/>
      </c>
      <c r="AN1175" s="506"/>
      <c r="AO1175" s="507"/>
      <c r="AP1175" s="507"/>
      <c r="AQ1175" s="507"/>
      <c r="AR1175" s="507"/>
      <c r="AS1175" s="507"/>
      <c r="AT1175" s="507"/>
      <c r="AU1175" s="507"/>
      <c r="AV1175" s="225"/>
      <c r="AW1175" s="508"/>
      <c r="AX1175" s="225"/>
      <c r="AY1175" s="225"/>
      <c r="AZ1175" s="225"/>
      <c r="BA1175" s="225"/>
      <c r="BB1175" s="225"/>
      <c r="BC1175" s="56"/>
      <c r="BD1175" s="56"/>
      <c r="BE1175" s="56"/>
      <c r="BF1175" s="107" t="str">
        <f t="shared" si="882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175" s="107" t="str">
        <f t="shared" si="883"/>
        <v>m</v>
      </c>
      <c r="BH1175" s="254"/>
      <c r="BI1175" s="254"/>
    </row>
    <row r="1176" spans="1:61" customFormat="1" ht="18" x14ac:dyDescent="0.25">
      <c r="A1176" s="521" t="s">
        <v>2507</v>
      </c>
      <c r="B1176" s="477"/>
      <c r="C1176" s="674"/>
      <c r="D1176" s="478" t="s">
        <v>2508</v>
      </c>
      <c r="E1176" s="479"/>
      <c r="F1176" s="479"/>
      <c r="G1176" s="479"/>
      <c r="H1176" s="582" t="s">
        <v>474</v>
      </c>
      <c r="I1176" s="480" t="s">
        <v>1522</v>
      </c>
      <c r="J1176" s="479"/>
      <c r="K1176" s="479"/>
      <c r="L1176" s="560"/>
      <c r="M1176" s="666" t="s">
        <v>4966</v>
      </c>
      <c r="N1176" s="680" t="str">
        <f>IF(AND(ISTEXT($A1176), ISERROR($A1176+0)), HYPERLINK($BF1176, "Images"), "")</f>
        <v>Images</v>
      </c>
      <c r="O1176" s="662" t="s">
        <v>4967</v>
      </c>
      <c r="P1176" s="482"/>
      <c r="Q1176" s="483"/>
      <c r="R1176" s="483"/>
      <c r="S1176" s="484"/>
      <c r="T1176" s="508">
        <f t="shared" si="871"/>
        <v>0</v>
      </c>
      <c r="U1176" s="225" t="str">
        <f>IF(NOT(ISNUMBER(G1176)), "", VLOOKUP(A1176,'Discount Lookup'!D:E,2,FALSE)*G1176)</f>
        <v/>
      </c>
      <c r="V1176" s="225" t="str">
        <f>IF(NOT(ISNUMBER(G1176)), "", VLOOKUP(A1176,'Discount Lookup'!G:H,2,FALSE)*G1176)</f>
        <v/>
      </c>
      <c r="W1176" s="508">
        <f t="shared" si="872"/>
        <v>0</v>
      </c>
      <c r="X1176" s="508" t="str">
        <f t="shared" si="873"/>
        <v>Lavender-Pink bloom</v>
      </c>
      <c r="Y1176" s="509" t="b">
        <f t="shared" si="874"/>
        <v>0</v>
      </c>
      <c r="Z1176" s="510">
        <f t="shared" si="875"/>
        <v>0</v>
      </c>
      <c r="AA1176" s="511"/>
      <c r="AB1176" s="511" t="str">
        <f t="shared" si="876"/>
        <v/>
      </c>
      <c r="AC1176" s="698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698"/>
      <c r="AE1176" s="631" t="str">
        <f t="shared" si="877"/>
        <v/>
      </c>
      <c r="AF1176" s="699" t="str">
        <f t="shared" si="878"/>
        <v/>
      </c>
      <c r="AG1176" s="699"/>
      <c r="AH1176" s="699"/>
      <c r="AI1176" s="512">
        <f>IF(H1176="credit",0,IF(AE1176="free",0,IF(AE1176="me",0,IF(G1176&gt;0,(VLOOKUP(A1176,'Discount Lookup'!J:K,2)*G1176),0))))</f>
        <v>0</v>
      </c>
      <c r="AJ1176" s="513" t="str">
        <f t="shared" ca="1" si="879"/>
        <v/>
      </c>
      <c r="AK1176" s="700" t="str">
        <f t="shared" si="880"/>
        <v/>
      </c>
      <c r="AL1176" s="700"/>
      <c r="AM1176" s="505" t="str">
        <f t="shared" si="881"/>
        <v/>
      </c>
      <c r="AN1176" s="506"/>
      <c r="AO1176" s="507"/>
      <c r="AP1176" s="507"/>
      <c r="AQ1176" s="507"/>
      <c r="AR1176" s="507"/>
      <c r="AS1176" s="507"/>
      <c r="AT1176" s="507"/>
      <c r="AU1176" s="507"/>
      <c r="AV1176" s="225"/>
      <c r="AW1176" s="508"/>
      <c r="AX1176" s="225"/>
      <c r="AY1176" s="225"/>
      <c r="AZ1176" s="225"/>
      <c r="BA1176" s="225"/>
      <c r="BB1176" s="225"/>
      <c r="BC1176" s="56"/>
      <c r="BD1176" s="56"/>
      <c r="BE1176" s="56"/>
      <c r="BF1176" s="107" t="str">
        <f t="shared" si="882"/>
        <v>https://www.google.com/search?tbm=isch&amp;q=Edward%20Goucher%20Abelia%20Abelia%20x%20grandiflora%20%27Edward%20Goucher%27</v>
      </c>
      <c r="BG1176" s="107" t="str">
        <f t="shared" si="883"/>
        <v>E</v>
      </c>
      <c r="BH1176" s="254"/>
      <c r="BI1176" s="254"/>
    </row>
    <row r="1177" spans="1:61" customFormat="1" ht="15.75" x14ac:dyDescent="0.25">
      <c r="A1177" s="485">
        <v>3</v>
      </c>
      <c r="B1177" s="486" t="s">
        <v>291</v>
      </c>
      <c r="C1177" s="487" t="s">
        <v>4881</v>
      </c>
      <c r="D1177" s="488" t="s">
        <v>297</v>
      </c>
      <c r="E1177" s="489">
        <v>22.95</v>
      </c>
      <c r="F1177" s="516" t="s">
        <v>293</v>
      </c>
      <c r="G1177" s="232">
        <v>0</v>
      </c>
      <c r="H1177" s="658" t="str">
        <f>IF(G1177=0,"",IF(F1177="Buy",IF(G1177=1,"plant","plants"),IF(F1177&gt;0.01,"warranty","Error")))</f>
        <v/>
      </c>
      <c r="I1177" s="490">
        <f>IF(H1177="free",0,IF(H1177="credit",((E1177*(F1177))*G1177*-1),IF(F1177="Buy",(E1177*G1177),((E1177*(1-F1177))*G1177))))</f>
        <v>0</v>
      </c>
      <c r="J1177" s="490">
        <f>IF(H1177="warranty",0,(I1177*(_xlfn.SINGLE(SalesTaxPercentage))))</f>
        <v>0</v>
      </c>
      <c r="K1177" s="695">
        <f t="shared" ref="K1177" si="887">I1177+J1177</f>
        <v>0</v>
      </c>
      <c r="L1177" s="695"/>
      <c r="M1177" s="659" t="str">
        <f>IF(AND(G1177&gt;0,E1177=0),"WARNING - no PRICE inserted",IF(H1177="free"," FREE ~ no charge this plant",IF(H1177="credit",CONCATENATE(" -$",ROUND(K1177*(1-T2GDiscount)*-1,2)," CREDIT after discount"),IF(T2GDiscount=0,"",IF(G1177=0,"",IF(F1177="Buy",CONCATENATE(" $",ROUND(K1177*(1-T2GDiscount),2)," with ",(T2GDiscount*100),"% discount"),CONCATENATE(" $",ROUND(K1177*(1-T2GDiscount),2)," with ",((T2GDiscount*100+F1177*100)-(T2GDiscount*100*F1177)),IF(F1177&gt;0,"% discounts",IF(NoWarrantyDiscount&gt;0,"% discounts","% discount")))))))))</f>
        <v/>
      </c>
      <c r="N1177" s="660"/>
      <c r="O1177" s="233"/>
      <c r="P1177" s="233"/>
      <c r="Q1177" s="233"/>
      <c r="R1177" s="233"/>
      <c r="S1177" s="233"/>
      <c r="T1177" s="508">
        <f t="shared" si="871"/>
        <v>0</v>
      </c>
      <c r="U1177" s="225">
        <f>IF(NOT(ISNUMBER(G1177)), "", VLOOKUP(A1177,'Discount Lookup'!D:E,2,FALSE)*G1177)</f>
        <v>0</v>
      </c>
      <c r="V1177" s="225">
        <f>IF(NOT(ISNUMBER(G1177)), "", VLOOKUP(A1177,'Discount Lookup'!G:H,2,FALSE)*G1177)</f>
        <v>0</v>
      </c>
      <c r="W1177" s="508">
        <f t="shared" si="872"/>
        <v>0</v>
      </c>
      <c r="X1177" s="508">
        <f t="shared" si="873"/>
        <v>0</v>
      </c>
      <c r="Y1177" s="509" t="b">
        <f t="shared" si="874"/>
        <v>0</v>
      </c>
      <c r="Z1177" s="510">
        <f t="shared" si="875"/>
        <v>0</v>
      </c>
      <c r="AA1177" s="511"/>
      <c r="AB1177" s="511" t="str">
        <f t="shared" si="876"/>
        <v/>
      </c>
      <c r="AC1177" s="698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698"/>
      <c r="AE1177" s="631" t="str">
        <f t="shared" si="877"/>
        <v/>
      </c>
      <c r="AF1177" s="699" t="str">
        <f t="shared" si="878"/>
        <v/>
      </c>
      <c r="AG1177" s="699"/>
      <c r="AH1177" s="699"/>
      <c r="AI1177" s="512">
        <f>IF(H1177="credit",0,IF(AE1177="free",0,IF(AE1177="me",0,IF(G1177&gt;0,(VLOOKUP(A1177,'Discount Lookup'!J:K,2)*G1177),0))))</f>
        <v>0</v>
      </c>
      <c r="AJ1177" s="513" t="str">
        <f t="shared" ca="1" si="879"/>
        <v/>
      </c>
      <c r="AK1177" s="700" t="str">
        <f t="shared" si="880"/>
        <v/>
      </c>
      <c r="AL1177" s="700"/>
      <c r="AM1177" s="505" t="str">
        <f t="shared" si="881"/>
        <v/>
      </c>
      <c r="AN1177" s="506"/>
      <c r="AO1177" s="507"/>
      <c r="AP1177" s="507"/>
      <c r="AQ1177" s="507"/>
      <c r="AR1177" s="507"/>
      <c r="AS1177" s="507"/>
      <c r="AT1177" s="507"/>
      <c r="AU1177" s="507"/>
      <c r="AV1177" s="225"/>
      <c r="AW1177" s="508"/>
      <c r="AX1177" s="225"/>
      <c r="AY1177" s="225"/>
      <c r="AZ1177" s="225"/>
      <c r="BA1177" s="225"/>
      <c r="BB1177" s="225"/>
      <c r="BC1177" s="56"/>
      <c r="BD1177" s="56"/>
      <c r="BE1177" s="56"/>
      <c r="BF1177" s="107" t="str">
        <f t="shared" si="882"/>
        <v>https://www.google.com/search?tbm=isch&amp;q=3%20G3</v>
      </c>
      <c r="BG1177" s="107" t="str">
        <f t="shared" si="883"/>
        <v>E</v>
      </c>
      <c r="BH1177" s="254"/>
      <c r="BI1177" s="254"/>
    </row>
    <row r="1178" spans="1:61" customFormat="1" ht="15.75" x14ac:dyDescent="0.25">
      <c r="A1178" s="485">
        <v>3</v>
      </c>
      <c r="B1178" s="486" t="s">
        <v>291</v>
      </c>
      <c r="C1178" s="487"/>
      <c r="D1178" s="488" t="s">
        <v>298</v>
      </c>
      <c r="E1178" s="489">
        <v>25.95</v>
      </c>
      <c r="F1178" s="516" t="s">
        <v>293</v>
      </c>
      <c r="G1178" s="232">
        <v>0</v>
      </c>
      <c r="H1178" s="658" t="str">
        <f>IF(G1178=0,"",IF(F1178="Buy",IF(G1178=1,"plant","plants"),IF(F1178&gt;0.01,"warranty","Error")))</f>
        <v/>
      </c>
      <c r="I1178" s="490">
        <f>IF(H1178="free",0,IF(H1178="credit",((E1178*(F1178))*G1178*-1),IF(F1178="Buy",(E1178*G1178),((E1178*(1-F1178))*G1178))))</f>
        <v>0</v>
      </c>
      <c r="J1178" s="490">
        <f>IF(H1178="warranty",0,(I1178*(_xlfn.SINGLE(SalesTaxPercentage))))</f>
        <v>0</v>
      </c>
      <c r="K1178" s="695">
        <f t="shared" ref="K1178" si="888">I1178+J1178</f>
        <v>0</v>
      </c>
      <c r="L1178" s="695"/>
      <c r="M1178" s="659" t="str">
        <f>IF(AND(G1178&gt;0,E1178=0),"WARNING - no PRICE inserted",IF(H1178="free"," FREE ~ no charge this plant",IF(H1178="credit",CONCATENATE(" -$",ROUND(K1178*(1-T2GDiscount)*-1,2)," CREDIT after discount"),IF(T2GDiscount=0,"",IF(G1178=0,"",IF(F1178="Buy",CONCATENATE(" $",ROUND(K1178*(1-T2GDiscount),2)," with ",(T2GDiscount*100),"% discount"),CONCATENATE(" $",ROUND(K1178*(1-T2GDiscount),2)," with ",((T2GDiscount*100+F1178*100)-(T2GDiscount*100*F1178)),IF(F1178&gt;0,"% discounts",IF(NoWarrantyDiscount&gt;0,"% discounts","% discount")))))))))</f>
        <v/>
      </c>
      <c r="N1178" s="660"/>
      <c r="O1178" s="233"/>
      <c r="P1178" s="233"/>
      <c r="Q1178" s="233"/>
      <c r="R1178" s="233"/>
      <c r="S1178" s="233"/>
      <c r="T1178" s="508">
        <f t="shared" si="871"/>
        <v>0</v>
      </c>
      <c r="U1178" s="225">
        <f>IF(NOT(ISNUMBER(G1178)), "", VLOOKUP(A1178,'Discount Lookup'!D:E,2,FALSE)*G1178)</f>
        <v>0</v>
      </c>
      <c r="V1178" s="225">
        <f>IF(NOT(ISNUMBER(G1178)), "", VLOOKUP(A1178,'Discount Lookup'!G:H,2,FALSE)*G1178)</f>
        <v>0</v>
      </c>
      <c r="W1178" s="508">
        <f t="shared" si="872"/>
        <v>0</v>
      </c>
      <c r="X1178" s="508">
        <f t="shared" si="873"/>
        <v>0</v>
      </c>
      <c r="Y1178" s="509" t="b">
        <f t="shared" si="874"/>
        <v>0</v>
      </c>
      <c r="Z1178" s="510">
        <f t="shared" si="875"/>
        <v>0</v>
      </c>
      <c r="AA1178" s="511"/>
      <c r="AB1178" s="511" t="str">
        <f t="shared" si="876"/>
        <v/>
      </c>
      <c r="AC1178" s="698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698"/>
      <c r="AE1178" s="631" t="str">
        <f t="shared" si="877"/>
        <v/>
      </c>
      <c r="AF1178" s="699" t="str">
        <f t="shared" si="878"/>
        <v/>
      </c>
      <c r="AG1178" s="699"/>
      <c r="AH1178" s="699"/>
      <c r="AI1178" s="512">
        <f>IF(H1178="credit",0,IF(AE1178="free",0,IF(AE1178="me",0,IF(G1178&gt;0,(VLOOKUP(A1178,'Discount Lookup'!J:K,2)*G1178),0))))</f>
        <v>0</v>
      </c>
      <c r="AJ1178" s="513" t="str">
        <f t="shared" ca="1" si="879"/>
        <v/>
      </c>
      <c r="AK1178" s="700" t="str">
        <f t="shared" si="880"/>
        <v/>
      </c>
      <c r="AL1178" s="700"/>
      <c r="AM1178" s="505" t="str">
        <f t="shared" si="881"/>
        <v/>
      </c>
      <c r="AN1178" s="506"/>
      <c r="AO1178" s="507"/>
      <c r="AP1178" s="507"/>
      <c r="AQ1178" s="507"/>
      <c r="AR1178" s="507"/>
      <c r="AS1178" s="507"/>
      <c r="AT1178" s="507"/>
      <c r="AU1178" s="507"/>
      <c r="AV1178" s="225"/>
      <c r="AW1178" s="508"/>
      <c r="AX1178" s="225"/>
      <c r="AY1178" s="225"/>
      <c r="AZ1178" s="225"/>
      <c r="BA1178" s="225"/>
      <c r="BB1178" s="225"/>
      <c r="BC1178" s="56"/>
      <c r="BD1178" s="56"/>
      <c r="BE1178" s="56"/>
      <c r="BF1178" s="107" t="str">
        <f t="shared" si="882"/>
        <v>https://www.google.com/search?tbm=isch&amp;q=3%20G1</v>
      </c>
      <c r="BG1178" s="107" t="str">
        <f t="shared" si="883"/>
        <v>E</v>
      </c>
      <c r="BH1178" s="254"/>
      <c r="BI1178" s="254"/>
    </row>
    <row r="1179" spans="1:61" customFormat="1" ht="17.25" thickBot="1" x14ac:dyDescent="0.3">
      <c r="A1179" s="522" t="s">
        <v>2675</v>
      </c>
      <c r="B1179" s="491"/>
      <c r="C1179" s="675"/>
      <c r="D1179" s="491"/>
      <c r="E1179" s="491"/>
      <c r="F1179" s="492"/>
      <c r="G1179" s="493"/>
      <c r="H1179" s="491"/>
      <c r="I1179" s="234"/>
      <c r="J1179" s="234"/>
      <c r="K1179" s="494"/>
      <c r="L1179" s="543"/>
      <c r="M1179" s="561"/>
      <c r="N1179" s="495"/>
      <c r="O1179" s="496"/>
      <c r="P1179" s="497"/>
      <c r="Q1179" s="495"/>
      <c r="R1179" s="495"/>
      <c r="S1179" s="667" t="s">
        <v>4988</v>
      </c>
      <c r="T1179" s="508">
        <f t="shared" si="871"/>
        <v>0</v>
      </c>
      <c r="U1179" s="225" t="str">
        <f>IF(NOT(ISNUMBER(G1179)), "", VLOOKUP(A1179,'Discount Lookup'!D:E,2,FALSE)*G1179)</f>
        <v/>
      </c>
      <c r="V1179" s="225" t="str">
        <f>IF(NOT(ISNUMBER(G1179)), "", VLOOKUP(A1179,'Discount Lookup'!G:H,2,FALSE)*G1179)</f>
        <v/>
      </c>
      <c r="W1179" s="508">
        <f t="shared" si="872"/>
        <v>0</v>
      </c>
      <c r="X1179" s="508">
        <f t="shared" si="873"/>
        <v>0</v>
      </c>
      <c r="Y1179" s="509" t="b">
        <f t="shared" si="874"/>
        <v>0</v>
      </c>
      <c r="Z1179" s="510">
        <f t="shared" si="875"/>
        <v>0</v>
      </c>
      <c r="AA1179" s="511"/>
      <c r="AB1179" s="511" t="str">
        <f t="shared" si="876"/>
        <v/>
      </c>
      <c r="AC1179" s="698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698"/>
      <c r="AE1179" s="631" t="str">
        <f t="shared" si="877"/>
        <v/>
      </c>
      <c r="AF1179" s="699" t="str">
        <f t="shared" si="878"/>
        <v/>
      </c>
      <c r="AG1179" s="699"/>
      <c r="AH1179" s="699"/>
      <c r="AI1179" s="512">
        <f>IF(H1179="credit",0,IF(AE1179="free",0,IF(AE1179="me",0,IF(G1179&gt;0,(VLOOKUP(A1179,'Discount Lookup'!J:K,2)*G1179),0))))</f>
        <v>0</v>
      </c>
      <c r="AJ1179" s="513" t="str">
        <f t="shared" ca="1" si="879"/>
        <v/>
      </c>
      <c r="AK1179" s="700" t="str">
        <f t="shared" si="880"/>
        <v/>
      </c>
      <c r="AL1179" s="700"/>
      <c r="AM1179" s="505" t="str">
        <f t="shared" si="881"/>
        <v/>
      </c>
      <c r="AN1179" s="506"/>
      <c r="AO1179" s="507"/>
      <c r="AP1179" s="507"/>
      <c r="AQ1179" s="507"/>
      <c r="AR1179" s="507"/>
      <c r="AS1179" s="507"/>
      <c r="AT1179" s="507"/>
      <c r="AU1179" s="507"/>
      <c r="AV1179" s="225"/>
      <c r="AW1179" s="508"/>
      <c r="AX1179" s="225"/>
      <c r="AY1179" s="225"/>
      <c r="AZ1179" s="225"/>
      <c r="BA1179" s="225"/>
      <c r="BB1179" s="225"/>
      <c r="BC1179" s="56"/>
      <c r="BD1179" s="56"/>
      <c r="BE1179" s="56"/>
      <c r="BF1179" s="107" t="str">
        <f t="shared" si="882"/>
        <v>https://www.google.com/search?tbm=isch&amp;q=Edward%20Goucher%20has%20variegated%20foliage%20on%20graceful%20arching%20stems.%20May%20Bronze%20in%20fall.%20Light%20fragrance%20</v>
      </c>
      <c r="BG1179" s="107" t="str">
        <f t="shared" si="883"/>
        <v>E</v>
      </c>
      <c r="BH1179" s="254"/>
      <c r="BI1179" s="254"/>
    </row>
    <row r="1180" spans="1:61" customFormat="1" ht="18" x14ac:dyDescent="0.25">
      <c r="A1180" s="523" t="s">
        <v>5396</v>
      </c>
      <c r="B1180" s="235"/>
      <c r="C1180" s="676"/>
      <c r="D1180" s="255" t="s">
        <v>829</v>
      </c>
      <c r="E1180" s="236"/>
      <c r="F1180" s="236"/>
      <c r="G1180" s="236"/>
      <c r="H1180" s="582" t="s">
        <v>508</v>
      </c>
      <c r="I1180" s="498" t="s">
        <v>3181</v>
      </c>
      <c r="J1180" s="237"/>
      <c r="K1180" s="237"/>
      <c r="L1180" s="274"/>
      <c r="M1180" s="668" t="s">
        <v>4962</v>
      </c>
      <c r="N1180" s="681" t="str">
        <f>IF(AND(ISTEXT($A1180), ISERROR($A1180+0)), HYPERLINK($BF1180, "Images"), "")</f>
        <v>Images</v>
      </c>
      <c r="O1180" s="663" t="s">
        <v>4967</v>
      </c>
      <c r="P1180" s="253"/>
      <c r="Q1180" s="238"/>
      <c r="R1180" s="239"/>
      <c r="S1180" s="275"/>
      <c r="T1180" s="508">
        <f t="shared" si="871"/>
        <v>0</v>
      </c>
      <c r="U1180" s="225" t="str">
        <f>IF(NOT(ISNUMBER(G1180)), "", VLOOKUP(A1180,'Discount Lookup'!D:E,2,FALSE)*G1180)</f>
        <v/>
      </c>
      <c r="V1180" s="225" t="str">
        <f>IF(NOT(ISNUMBER(G1180)), "", VLOOKUP(A1180,'Discount Lookup'!G:H,2,FALSE)*G1180)</f>
        <v/>
      </c>
      <c r="W1180" s="508">
        <f t="shared" si="872"/>
        <v>0</v>
      </c>
      <c r="X1180" s="508" t="str">
        <f t="shared" si="873"/>
        <v>True Red bloom</v>
      </c>
      <c r="Y1180" s="509" t="b">
        <f t="shared" si="874"/>
        <v>0</v>
      </c>
      <c r="Z1180" s="510">
        <f t="shared" si="875"/>
        <v>0</v>
      </c>
      <c r="AA1180" s="511"/>
      <c r="AB1180" s="511" t="str">
        <f t="shared" si="876"/>
        <v/>
      </c>
      <c r="AC1180" s="698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698"/>
      <c r="AE1180" s="631" t="str">
        <f t="shared" si="877"/>
        <v/>
      </c>
      <c r="AF1180" s="699" t="str">
        <f t="shared" si="878"/>
        <v/>
      </c>
      <c r="AG1180" s="699"/>
      <c r="AH1180" s="699"/>
      <c r="AI1180" s="512">
        <f>IF(H1180="credit",0,IF(AE1180="free",0,IF(AE1180="me",0,IF(G1180&gt;0,(VLOOKUP(A1180,'Discount Lookup'!J:K,2)*G1180),0))))</f>
        <v>0</v>
      </c>
      <c r="AJ1180" s="513" t="str">
        <f t="shared" ca="1" si="879"/>
        <v/>
      </c>
      <c r="AK1180" s="700" t="str">
        <f t="shared" si="880"/>
        <v/>
      </c>
      <c r="AL1180" s="700"/>
      <c r="AM1180" s="505" t="str">
        <f t="shared" si="881"/>
        <v/>
      </c>
      <c r="AN1180" s="506"/>
      <c r="AO1180" s="507"/>
      <c r="AP1180" s="507"/>
      <c r="AQ1180" s="507"/>
      <c r="AR1180" s="507"/>
      <c r="AS1180" s="507"/>
      <c r="AT1180" s="507"/>
      <c r="AU1180" s="507"/>
      <c r="AV1180" s="225"/>
      <c r="AW1180" s="508"/>
      <c r="AX1180" s="225"/>
      <c r="AY1180" s="225"/>
      <c r="AZ1180" s="225"/>
      <c r="BA1180" s="225"/>
      <c r="BB1180" s="225"/>
      <c r="BC1180" s="56"/>
      <c r="BD1180" s="56"/>
      <c r="BE1180" s="56"/>
      <c r="BF1180" s="107" t="str">
        <f t="shared" si="882"/>
        <v>https://www.google.com/search?tbm=isch&amp;q=Electric%20Love%C2%AE%20Weigela%20Weigela%20%27ZR1%27%20PP%2330065</v>
      </c>
      <c r="BG1180" s="107" t="str">
        <f t="shared" si="883"/>
        <v>E</v>
      </c>
      <c r="BH1180" s="254"/>
      <c r="BI1180" s="254"/>
    </row>
    <row r="1181" spans="1:61" customFormat="1" ht="15.75" x14ac:dyDescent="0.25">
      <c r="A1181" s="276">
        <v>1</v>
      </c>
      <c r="B1181" s="240" t="s">
        <v>291</v>
      </c>
      <c r="C1181" s="241" t="s">
        <v>3256</v>
      </c>
      <c r="D1181" s="242" t="s">
        <v>312</v>
      </c>
      <c r="E1181" s="243">
        <v>32.950000000000003</v>
      </c>
      <c r="F1181" s="517" t="s">
        <v>293</v>
      </c>
      <c r="G1181" s="232">
        <v>0</v>
      </c>
      <c r="H1181" s="661" t="str">
        <f>IF(G1181=0,"",IF(F1181="Buy",IF(G1181=1,"plant","plants"),IF(F1181&gt;0.01,"warranty","Error")))</f>
        <v/>
      </c>
      <c r="I1181" s="244">
        <f>IF(H1181="free",0,IF(H1181="credit",((E1181*(F1181))*G1181*-1),IF(F1181="Buy",(E1181*G1181),((E1181*(1-F1181))*G1181))))</f>
        <v>0</v>
      </c>
      <c r="J1181" s="244">
        <f>IF(H1181="warranty",0,(I1181*(_xlfn.SINGLE(SalesTaxPercentage))))</f>
        <v>0</v>
      </c>
      <c r="K1181" s="696">
        <f t="shared" ref="K1181" si="889">I1181+J1181</f>
        <v>0</v>
      </c>
      <c r="L1181" s="696"/>
      <c r="M1181" s="659" t="str">
        <f>IF(AND(G1181&gt;0,E1181=0),"WARNING - no PRICE inserted",IF(H1181="free"," FREE ~ no charge this plant",IF(H1181="credit",CONCATENATE(" -$",ROUND(K1181*(1-T2GDiscount)*-1,2)," CREDIT after discount"),IF(T2GDiscount=0,"",IF(G1181=0,"",IF(F1181="Buy",CONCATENATE(" $",ROUND(K1181*(1-T2GDiscount),2)," with ",(T2GDiscount*100),"% discount"),CONCATENATE(" $",ROUND(K1181*(1-T2GDiscount),2)," with ",((T2GDiscount*100+F1181*100)-(T2GDiscount*100*F1181)),IF(F1181&gt;0,"% discounts",IF(NoWarrantyDiscount&gt;0,"% discounts","% discount")))))))))</f>
        <v/>
      </c>
      <c r="N1181" s="660"/>
      <c r="O1181" s="233"/>
      <c r="P1181" s="233"/>
      <c r="Q1181" s="233"/>
      <c r="R1181" s="233"/>
      <c r="S1181" s="233"/>
      <c r="T1181" s="508">
        <f t="shared" si="871"/>
        <v>0</v>
      </c>
      <c r="U1181" s="225">
        <f>IF(NOT(ISNUMBER(G1181)), "", VLOOKUP(A1181,'Discount Lookup'!D:E,2,FALSE)*G1181)</f>
        <v>0</v>
      </c>
      <c r="V1181" s="225">
        <f>IF(NOT(ISNUMBER(G1181)), "", VLOOKUP(A1181,'Discount Lookup'!G:H,2,FALSE)*G1181)</f>
        <v>0</v>
      </c>
      <c r="W1181" s="508">
        <f t="shared" si="872"/>
        <v>0</v>
      </c>
      <c r="X1181" s="508">
        <f t="shared" si="873"/>
        <v>0</v>
      </c>
      <c r="Y1181" s="509" t="b">
        <f t="shared" si="874"/>
        <v>0</v>
      </c>
      <c r="Z1181" s="510">
        <f t="shared" si="875"/>
        <v>0</v>
      </c>
      <c r="AA1181" s="511"/>
      <c r="AB1181" s="511" t="str">
        <f t="shared" si="876"/>
        <v/>
      </c>
      <c r="AC1181" s="698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698"/>
      <c r="AE1181" s="631" t="str">
        <f t="shared" si="877"/>
        <v/>
      </c>
      <c r="AF1181" s="699" t="str">
        <f t="shared" si="878"/>
        <v/>
      </c>
      <c r="AG1181" s="699"/>
      <c r="AH1181" s="699"/>
      <c r="AI1181" s="512">
        <f>IF(H1181="credit",0,IF(AE1181="free",0,IF(AE1181="me",0,IF(G1181&gt;0,(VLOOKUP(A1181,'Discount Lookup'!J:K,2)*G1181),0))))</f>
        <v>0</v>
      </c>
      <c r="AJ1181" s="513" t="str">
        <f t="shared" ca="1" si="879"/>
        <v/>
      </c>
      <c r="AK1181" s="700" t="str">
        <f t="shared" si="880"/>
        <v/>
      </c>
      <c r="AL1181" s="700"/>
      <c r="AM1181" s="505" t="str">
        <f t="shared" si="881"/>
        <v/>
      </c>
      <c r="AN1181" s="506"/>
      <c r="AO1181" s="507"/>
      <c r="AP1181" s="507"/>
      <c r="AQ1181" s="507"/>
      <c r="AR1181" s="507"/>
      <c r="AS1181" s="507"/>
      <c r="AT1181" s="507"/>
      <c r="AU1181" s="507"/>
      <c r="AV1181" s="225"/>
      <c r="AW1181" s="508"/>
      <c r="AX1181" s="225"/>
      <c r="AY1181" s="225"/>
      <c r="AZ1181" s="225"/>
      <c r="BA1181" s="225"/>
      <c r="BB1181" s="225"/>
      <c r="BC1181" s="56"/>
      <c r="BD1181" s="56"/>
      <c r="BE1181" s="56"/>
      <c r="BF1181" s="107" t="str">
        <f t="shared" si="882"/>
        <v>https://www.google.com/search?tbm=isch&amp;q=1%20G2</v>
      </c>
      <c r="BG1181" s="107" t="str">
        <f t="shared" si="883"/>
        <v>E</v>
      </c>
      <c r="BH1181" s="254"/>
      <c r="BI1181" s="254"/>
    </row>
    <row r="1182" spans="1:61" customFormat="1" ht="15.75" x14ac:dyDescent="0.25">
      <c r="A1182" s="276">
        <v>3</v>
      </c>
      <c r="B1182" s="240" t="s">
        <v>291</v>
      </c>
      <c r="C1182" s="241" t="s">
        <v>830</v>
      </c>
      <c r="D1182" s="242" t="s">
        <v>299</v>
      </c>
      <c r="E1182" s="243">
        <v>36.950000000000003</v>
      </c>
      <c r="F1182" s="517" t="s">
        <v>293</v>
      </c>
      <c r="G1182" s="232">
        <v>0</v>
      </c>
      <c r="H1182" s="661" t="str">
        <f>IF(G1182=0,"",IF(F1182="Buy",IF(G1182=1,"plant","plants"),IF(F1182&gt;0.01,"warranty","Error")))</f>
        <v/>
      </c>
      <c r="I1182" s="244">
        <f>IF(H1182="free",0,IF(H1182="credit",((E1182*(F1182))*G1182*-1),IF(F1182="Buy",(E1182*G1182),((E1182*(1-F1182))*G1182))))</f>
        <v>0</v>
      </c>
      <c r="J1182" s="244">
        <f>IF(H1182="warranty",0,(I1182*(_xlfn.SINGLE(SalesTaxPercentage))))</f>
        <v>0</v>
      </c>
      <c r="K1182" s="696">
        <f t="shared" ref="K1182" si="890">I1182+J1182</f>
        <v>0</v>
      </c>
      <c r="L1182" s="696"/>
      <c r="M1182" s="659" t="str">
        <f>IF(AND(G1182&gt;0,E1182=0),"WARNING - no PRICE inserted",IF(H1182="free"," FREE ~ no charge this plant",IF(H1182="credit",CONCATENATE(" -$",ROUND(K1182*(1-T2GDiscount)*-1,2)," CREDIT after discount"),IF(T2GDiscount=0,"",IF(G1182=0,"",IF(F1182="Buy",CONCATENATE(" $",ROUND(K1182*(1-T2GDiscount),2)," with ",(T2GDiscount*100),"% discount"),CONCATENATE(" $",ROUND(K1182*(1-T2GDiscount),2)," with ",((T2GDiscount*100+F1182*100)-(T2GDiscount*100*F1182)),IF(F1182&gt;0,"% discounts",IF(NoWarrantyDiscount&gt;0,"% discounts","% discount")))))))))</f>
        <v/>
      </c>
      <c r="N1182" s="660"/>
      <c r="O1182" s="233"/>
      <c r="P1182" s="233"/>
      <c r="Q1182" s="233"/>
      <c r="R1182" s="233"/>
      <c r="S1182" s="233"/>
      <c r="T1182" s="508">
        <f t="shared" si="871"/>
        <v>0</v>
      </c>
      <c r="U1182" s="225">
        <f>IF(NOT(ISNUMBER(G1182)), "", VLOOKUP(A1182,'Discount Lookup'!D:E,2,FALSE)*G1182)</f>
        <v>0</v>
      </c>
      <c r="V1182" s="225">
        <f>IF(NOT(ISNUMBER(G1182)), "", VLOOKUP(A1182,'Discount Lookup'!G:H,2,FALSE)*G1182)</f>
        <v>0</v>
      </c>
      <c r="W1182" s="508">
        <f t="shared" si="872"/>
        <v>0</v>
      </c>
      <c r="X1182" s="508">
        <f t="shared" si="873"/>
        <v>0</v>
      </c>
      <c r="Y1182" s="509" t="b">
        <f t="shared" si="874"/>
        <v>0</v>
      </c>
      <c r="Z1182" s="510">
        <f t="shared" si="875"/>
        <v>0</v>
      </c>
      <c r="AA1182" s="511"/>
      <c r="AB1182" s="511" t="str">
        <f t="shared" si="876"/>
        <v/>
      </c>
      <c r="AC1182" s="698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698"/>
      <c r="AE1182" s="631" t="str">
        <f t="shared" si="877"/>
        <v/>
      </c>
      <c r="AF1182" s="699" t="str">
        <f t="shared" si="878"/>
        <v/>
      </c>
      <c r="AG1182" s="699"/>
      <c r="AH1182" s="699"/>
      <c r="AI1182" s="512">
        <f>IF(H1182="credit",0,IF(AE1182="free",0,IF(AE1182="me",0,IF(G1182&gt;0,(VLOOKUP(A1182,'Discount Lookup'!J:K,2)*G1182),0))))</f>
        <v>0</v>
      </c>
      <c r="AJ1182" s="513" t="str">
        <f t="shared" ca="1" si="879"/>
        <v/>
      </c>
      <c r="AK1182" s="700" t="str">
        <f t="shared" si="880"/>
        <v/>
      </c>
      <c r="AL1182" s="700"/>
      <c r="AM1182" s="505" t="str">
        <f t="shared" si="881"/>
        <v/>
      </c>
      <c r="AN1182" s="506"/>
      <c r="AO1182" s="507"/>
      <c r="AP1182" s="507"/>
      <c r="AQ1182" s="507"/>
      <c r="AR1182" s="507"/>
      <c r="AS1182" s="507"/>
      <c r="AT1182" s="507"/>
      <c r="AU1182" s="507"/>
      <c r="AV1182" s="225"/>
      <c r="AW1182" s="508"/>
      <c r="AX1182" s="225"/>
      <c r="AY1182" s="225"/>
      <c r="AZ1182" s="225"/>
      <c r="BA1182" s="225"/>
      <c r="BB1182" s="225"/>
      <c r="BC1182" s="56"/>
      <c r="BD1182" s="56"/>
      <c r="BE1182" s="56"/>
      <c r="BF1182" s="107" t="str">
        <f t="shared" si="882"/>
        <v>https://www.google.com/search?tbm=isch&amp;q=3%20G5</v>
      </c>
      <c r="BG1182" s="107" t="str">
        <f t="shared" si="883"/>
        <v>E</v>
      </c>
      <c r="BH1182" s="254"/>
      <c r="BI1182" s="254"/>
    </row>
    <row r="1183" spans="1:61" customFormat="1" ht="17.25" thickBot="1" x14ac:dyDescent="0.3">
      <c r="A1183" s="524" t="s">
        <v>4201</v>
      </c>
      <c r="B1183" s="245"/>
      <c r="C1183" s="677"/>
      <c r="D1183" s="499"/>
      <c r="E1183" s="499"/>
      <c r="F1183" s="500"/>
      <c r="G1183" s="501"/>
      <c r="H1183" s="502"/>
      <c r="I1183" s="246"/>
      <c r="J1183" s="247"/>
      <c r="K1183" s="503"/>
      <c r="L1183" s="544"/>
      <c r="M1183" s="544"/>
      <c r="N1183" s="500"/>
      <c r="O1183" s="500"/>
      <c r="P1183" s="500"/>
      <c r="Q1183" s="500"/>
      <c r="R1183" s="500"/>
      <c r="S1183" s="669" t="s">
        <v>5011</v>
      </c>
      <c r="T1183" s="508">
        <f t="shared" si="871"/>
        <v>0</v>
      </c>
      <c r="U1183" s="225" t="str">
        <f>IF(NOT(ISNUMBER(G1183)), "", VLOOKUP(A1183,'Discount Lookup'!D:E,2,FALSE)*G1183)</f>
        <v/>
      </c>
      <c r="V1183" s="225" t="str">
        <f>IF(NOT(ISNUMBER(G1183)), "", VLOOKUP(A1183,'Discount Lookup'!G:H,2,FALSE)*G1183)</f>
        <v/>
      </c>
      <c r="W1183" s="508">
        <f t="shared" si="872"/>
        <v>0</v>
      </c>
      <c r="X1183" s="508">
        <f t="shared" si="873"/>
        <v>0</v>
      </c>
      <c r="Y1183" s="509" t="b">
        <f t="shared" si="874"/>
        <v>0</v>
      </c>
      <c r="Z1183" s="510">
        <f t="shared" si="875"/>
        <v>0</v>
      </c>
      <c r="AA1183" s="511"/>
      <c r="AB1183" s="511" t="str">
        <f t="shared" si="876"/>
        <v/>
      </c>
      <c r="AC1183" s="698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698"/>
      <c r="AE1183" s="631" t="str">
        <f t="shared" si="877"/>
        <v/>
      </c>
      <c r="AF1183" s="699" t="str">
        <f t="shared" si="878"/>
        <v/>
      </c>
      <c r="AG1183" s="699"/>
      <c r="AH1183" s="699"/>
      <c r="AI1183" s="512">
        <f>IF(H1183="credit",0,IF(AE1183="free",0,IF(AE1183="me",0,IF(G1183&gt;0,(VLOOKUP(A1183,'Discount Lookup'!J:K,2)*G1183),0))))</f>
        <v>0</v>
      </c>
      <c r="AJ1183" s="513" t="str">
        <f t="shared" ca="1" si="879"/>
        <v/>
      </c>
      <c r="AK1183" s="700" t="str">
        <f t="shared" si="880"/>
        <v/>
      </c>
      <c r="AL1183" s="700"/>
      <c r="AM1183" s="505" t="str">
        <f t="shared" si="881"/>
        <v/>
      </c>
      <c r="AN1183" s="506"/>
      <c r="AO1183" s="507"/>
      <c r="AP1183" s="507"/>
      <c r="AQ1183" s="507"/>
      <c r="AR1183" s="507"/>
      <c r="AS1183" s="507"/>
      <c r="AT1183" s="507"/>
      <c r="AU1183" s="507"/>
      <c r="AV1183" s="225"/>
      <c r="AW1183" s="508"/>
      <c r="AX1183" s="225"/>
      <c r="AY1183" s="225"/>
      <c r="AZ1183" s="225"/>
      <c r="BA1183" s="225"/>
      <c r="BB1183" s="225"/>
      <c r="BC1183" s="56"/>
      <c r="BD1183" s="56"/>
      <c r="BE1183" s="56"/>
      <c r="BF1183" s="107" t="str">
        <f t="shared" si="882"/>
        <v>https://www.google.com/search?tbm=isch&amp;q=Electric%20Love%20has%20Deep%20Purple%20foliage%2C%20subtle%20Bronzing%20in%20fall.%20Trumpet-shaped%20flowers%20on%20old%20wood%E2%80%94prune%20right%20after%20spring%20bloom%20</v>
      </c>
      <c r="BG1183" s="107" t="str">
        <f t="shared" si="883"/>
        <v>E</v>
      </c>
      <c r="BH1183" s="254"/>
      <c r="BI1183" s="254"/>
    </row>
    <row r="1184" spans="1:61" customFormat="1" ht="18" x14ac:dyDescent="0.25">
      <c r="A1184" s="521" t="s">
        <v>831</v>
      </c>
      <c r="B1184" s="477"/>
      <c r="C1184" s="674"/>
      <c r="D1184" s="478" t="s">
        <v>832</v>
      </c>
      <c r="E1184" s="479"/>
      <c r="F1184" s="479"/>
      <c r="G1184" s="479"/>
      <c r="H1184" s="582" t="s">
        <v>833</v>
      </c>
      <c r="I1184" s="480" t="s">
        <v>2291</v>
      </c>
      <c r="J1184" s="479"/>
      <c r="K1184" s="479"/>
      <c r="L1184" s="560"/>
      <c r="M1184" s="666" t="s">
        <v>4963</v>
      </c>
      <c r="N1184" s="680" t="str">
        <f>IF(AND(ISTEXT($A1184), ISERROR($A1184+0)), HYPERLINK($BF1184, "Images"), "")</f>
        <v>Images</v>
      </c>
      <c r="O1184" s="662" t="s">
        <v>4971</v>
      </c>
      <c r="P1184" s="482"/>
      <c r="Q1184" s="483"/>
      <c r="R1184" s="483"/>
      <c r="S1184" s="484" t="s">
        <v>305</v>
      </c>
      <c r="T1184" s="508">
        <f t="shared" si="871"/>
        <v>0</v>
      </c>
      <c r="U1184" s="225" t="str">
        <f>IF(NOT(ISNUMBER(G1184)), "", VLOOKUP(A1184,'Discount Lookup'!D:E,2,FALSE)*G1184)</f>
        <v/>
      </c>
      <c r="V1184" s="225" t="str">
        <f>IF(NOT(ISNUMBER(G1184)), "", VLOOKUP(A1184,'Discount Lookup'!G:H,2,FALSE)*G1184)</f>
        <v/>
      </c>
      <c r="W1184" s="508">
        <f t="shared" si="872"/>
        <v>0</v>
      </c>
      <c r="X1184" s="508" t="str">
        <f t="shared" si="873"/>
        <v>Emerald-Green foliage</v>
      </c>
      <c r="Y1184" s="509" t="b">
        <f t="shared" si="874"/>
        <v>0</v>
      </c>
      <c r="Z1184" s="510">
        <f t="shared" si="875"/>
        <v>0</v>
      </c>
      <c r="AA1184" s="511"/>
      <c r="AB1184" s="511" t="str">
        <f t="shared" si="876"/>
        <v/>
      </c>
      <c r="AC1184" s="698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698"/>
      <c r="AE1184" s="631" t="str">
        <f t="shared" si="877"/>
        <v/>
      </c>
      <c r="AF1184" s="699" t="str">
        <f t="shared" si="878"/>
        <v/>
      </c>
      <c r="AG1184" s="699"/>
      <c r="AH1184" s="699"/>
      <c r="AI1184" s="512">
        <f>IF(H1184="credit",0,IF(AE1184="free",0,IF(AE1184="me",0,IF(G1184&gt;0,(VLOOKUP(A1184,'Discount Lookup'!J:K,2)*G1184),0))))</f>
        <v>0</v>
      </c>
      <c r="AJ1184" s="513" t="str">
        <f t="shared" ca="1" si="879"/>
        <v/>
      </c>
      <c r="AK1184" s="700" t="str">
        <f t="shared" si="880"/>
        <v/>
      </c>
      <c r="AL1184" s="700"/>
      <c r="AM1184" s="505" t="str">
        <f t="shared" si="881"/>
        <v/>
      </c>
      <c r="AN1184" s="506"/>
      <c r="AO1184" s="507"/>
      <c r="AP1184" s="507"/>
      <c r="AQ1184" s="507"/>
      <c r="AR1184" s="507"/>
      <c r="AS1184" s="507"/>
      <c r="AT1184" s="507"/>
      <c r="AU1184" s="507"/>
      <c r="AV1184" s="225"/>
      <c r="AW1184" s="508"/>
      <c r="AX1184" s="225"/>
      <c r="AY1184" s="225"/>
      <c r="AZ1184" s="225"/>
      <c r="BA1184" s="225"/>
      <c r="BB1184" s="225"/>
      <c r="BC1184" s="56"/>
      <c r="BD1184" s="56"/>
      <c r="BE1184" s="56"/>
      <c r="BF1184" s="107" t="str">
        <f t="shared" si="882"/>
        <v>https://www.google.com/search?tbm=isch&amp;q=Emerald%20Arborvitae%20Thuja%20occidentalis%20%27Smaragd%27</v>
      </c>
      <c r="BG1184" s="107" t="str">
        <f t="shared" si="883"/>
        <v>E</v>
      </c>
      <c r="BH1184" s="254"/>
      <c r="BI1184" s="254"/>
    </row>
    <row r="1185" spans="1:61" customFormat="1" ht="15.75" x14ac:dyDescent="0.25">
      <c r="A1185" s="485">
        <v>3</v>
      </c>
      <c r="B1185" s="486" t="s">
        <v>291</v>
      </c>
      <c r="C1185" s="487" t="s">
        <v>834</v>
      </c>
      <c r="D1185" s="488" t="s">
        <v>298</v>
      </c>
      <c r="E1185" s="489">
        <v>25.95</v>
      </c>
      <c r="F1185" s="516" t="s">
        <v>293</v>
      </c>
      <c r="G1185" s="232">
        <v>0</v>
      </c>
      <c r="H1185" s="658" t="str">
        <f t="shared" ref="H1185:H1207" si="891">IF(G1185=0,"",IF(F1185="Buy",IF(G1185=1,"plant","plants"),IF(F1185&gt;0.01,"warranty","Error")))</f>
        <v/>
      </c>
      <c r="I1185" s="490">
        <f t="shared" ref="I1185:I1207" si="892">IF(H1185="free",0,IF(H1185="credit",((E1185*(F1185))*G1185*-1),IF(F1185="Buy",(E1185*G1185),((E1185*(1-F1185))*G1185))))</f>
        <v>0</v>
      </c>
      <c r="J1185" s="490">
        <f t="shared" ref="J1185:J1207" si="893">IF(H1185="warranty",0,(I1185*(_xlfn.SINGLE(SalesTaxPercentage))))</f>
        <v>0</v>
      </c>
      <c r="K1185" s="695">
        <f t="shared" ref="K1185" si="894">I1185+J1185</f>
        <v>0</v>
      </c>
      <c r="L1185" s="695"/>
      <c r="M1185" s="659" t="str">
        <f t="shared" ref="M1185:M1207" si="895">IF(AND(G1185&gt;0,E1185=0),"WARNING - no PRICE inserted",IF(H1185="free"," FREE ~ no charge this plant",IF(H1185="credit",CONCATENATE(" -$",ROUND(K1185*(1-T2GDiscount)*-1,2)," CREDIT after discount"),IF(T2GDiscount=0,"",IF(G1185=0,"",IF(F1185="Buy",CONCATENATE(" $",ROUND(K1185*(1-T2GDiscount),2)," with ",(T2GDiscount*100),"% discount"),CONCATENATE(" $",ROUND(K1185*(1-T2GDiscount),2)," with ",((T2GDiscount*100+F1185*100)-(T2GDiscount*100*F1185)),IF(F1185&gt;0,"% discounts",IF(NoWarrantyDiscount&gt;0,"% discounts","% discount")))))))))</f>
        <v/>
      </c>
      <c r="N1185" s="660"/>
      <c r="O1185" s="233"/>
      <c r="P1185" s="233"/>
      <c r="Q1185" s="233"/>
      <c r="R1185" s="233"/>
      <c r="S1185" s="233"/>
      <c r="T1185" s="508">
        <f t="shared" si="871"/>
        <v>0</v>
      </c>
      <c r="U1185" s="225">
        <f>IF(NOT(ISNUMBER(G1185)), "", VLOOKUP(A1185,'Discount Lookup'!D:E,2,FALSE)*G1185)</f>
        <v>0</v>
      </c>
      <c r="V1185" s="225">
        <f>IF(NOT(ISNUMBER(G1185)), "", VLOOKUP(A1185,'Discount Lookup'!G:H,2,FALSE)*G1185)</f>
        <v>0</v>
      </c>
      <c r="W1185" s="508">
        <f t="shared" si="872"/>
        <v>0</v>
      </c>
      <c r="X1185" s="508">
        <f t="shared" si="873"/>
        <v>0</v>
      </c>
      <c r="Y1185" s="509" t="b">
        <f t="shared" si="874"/>
        <v>0</v>
      </c>
      <c r="Z1185" s="510">
        <f t="shared" si="875"/>
        <v>0</v>
      </c>
      <c r="AA1185" s="511"/>
      <c r="AB1185" s="511" t="str">
        <f t="shared" si="876"/>
        <v/>
      </c>
      <c r="AC1185" s="698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698"/>
      <c r="AE1185" s="631" t="str">
        <f t="shared" si="877"/>
        <v/>
      </c>
      <c r="AF1185" s="699" t="str">
        <f t="shared" si="878"/>
        <v/>
      </c>
      <c r="AG1185" s="699"/>
      <c r="AH1185" s="699"/>
      <c r="AI1185" s="512">
        <f>IF(H1185="credit",0,IF(AE1185="free",0,IF(AE1185="me",0,IF(G1185&gt;0,(VLOOKUP(A1185,'Discount Lookup'!J:K,2)*G1185),0))))</f>
        <v>0</v>
      </c>
      <c r="AJ1185" s="513" t="str">
        <f t="shared" ca="1" si="879"/>
        <v/>
      </c>
      <c r="AK1185" s="700" t="str">
        <f t="shared" si="880"/>
        <v/>
      </c>
      <c r="AL1185" s="700"/>
      <c r="AM1185" s="505" t="str">
        <f t="shared" si="881"/>
        <v/>
      </c>
      <c r="AN1185" s="506"/>
      <c r="AO1185" s="507"/>
      <c r="AP1185" s="507"/>
      <c r="AQ1185" s="507"/>
      <c r="AR1185" s="507"/>
      <c r="AS1185" s="507"/>
      <c r="AT1185" s="507"/>
      <c r="AU1185" s="507"/>
      <c r="AV1185" s="225"/>
      <c r="AW1185" s="508"/>
      <c r="AX1185" s="225"/>
      <c r="AY1185" s="225"/>
      <c r="AZ1185" s="225"/>
      <c r="BA1185" s="225"/>
      <c r="BB1185" s="225"/>
      <c r="BC1185" s="56"/>
      <c r="BD1185" s="56"/>
      <c r="BE1185" s="56"/>
      <c r="BF1185" s="107" t="str">
        <f t="shared" si="882"/>
        <v>https://www.google.com/search?tbm=isch&amp;q=3%20G1</v>
      </c>
      <c r="BG1185" s="107" t="str">
        <f t="shared" si="883"/>
        <v>E</v>
      </c>
      <c r="BH1185" s="254"/>
      <c r="BI1185" s="254"/>
    </row>
    <row r="1186" spans="1:61" customFormat="1" ht="15.75" x14ac:dyDescent="0.25">
      <c r="A1186" s="485">
        <v>3</v>
      </c>
      <c r="B1186" s="486" t="s">
        <v>291</v>
      </c>
      <c r="C1186" s="487" t="s">
        <v>2742</v>
      </c>
      <c r="D1186" s="488" t="s">
        <v>297</v>
      </c>
      <c r="E1186" s="489">
        <v>26.95</v>
      </c>
      <c r="F1186" s="516" t="s">
        <v>293</v>
      </c>
      <c r="G1186" s="232">
        <v>0</v>
      </c>
      <c r="H1186" s="658" t="str">
        <f t="shared" si="891"/>
        <v/>
      </c>
      <c r="I1186" s="490">
        <f t="shared" si="892"/>
        <v>0</v>
      </c>
      <c r="J1186" s="490">
        <f t="shared" si="893"/>
        <v>0</v>
      </c>
      <c r="K1186" s="695">
        <f t="shared" ref="K1186" si="896">I1186+J1186</f>
        <v>0</v>
      </c>
      <c r="L1186" s="695"/>
      <c r="M1186" s="659" t="str">
        <f t="shared" si="895"/>
        <v/>
      </c>
      <c r="N1186" s="660"/>
      <c r="O1186" s="233"/>
      <c r="P1186" s="233"/>
      <c r="Q1186" s="233"/>
      <c r="R1186" s="233"/>
      <c r="S1186" s="233"/>
      <c r="T1186" s="508">
        <f t="shared" si="871"/>
        <v>0</v>
      </c>
      <c r="U1186" s="225">
        <f>IF(NOT(ISNUMBER(G1186)), "", VLOOKUP(A1186,'Discount Lookup'!D:E,2,FALSE)*G1186)</f>
        <v>0</v>
      </c>
      <c r="V1186" s="225">
        <f>IF(NOT(ISNUMBER(G1186)), "", VLOOKUP(A1186,'Discount Lookup'!G:H,2,FALSE)*G1186)</f>
        <v>0</v>
      </c>
      <c r="W1186" s="508">
        <f t="shared" si="872"/>
        <v>0</v>
      </c>
      <c r="X1186" s="508">
        <f t="shared" si="873"/>
        <v>0</v>
      </c>
      <c r="Y1186" s="509" t="b">
        <f t="shared" si="874"/>
        <v>0</v>
      </c>
      <c r="Z1186" s="510">
        <f t="shared" si="875"/>
        <v>0</v>
      </c>
      <c r="AA1186" s="511"/>
      <c r="AB1186" s="511" t="str">
        <f t="shared" si="876"/>
        <v/>
      </c>
      <c r="AC1186" s="698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698"/>
      <c r="AE1186" s="631" t="str">
        <f t="shared" si="877"/>
        <v/>
      </c>
      <c r="AF1186" s="699" t="str">
        <f t="shared" si="878"/>
        <v/>
      </c>
      <c r="AG1186" s="699"/>
      <c r="AH1186" s="699"/>
      <c r="AI1186" s="512">
        <f>IF(H1186="credit",0,IF(AE1186="free",0,IF(AE1186="me",0,IF(G1186&gt;0,(VLOOKUP(A1186,'Discount Lookup'!J:K,2)*G1186),0))))</f>
        <v>0</v>
      </c>
      <c r="AJ1186" s="513" t="str">
        <f t="shared" ca="1" si="879"/>
        <v/>
      </c>
      <c r="AK1186" s="700" t="str">
        <f t="shared" si="880"/>
        <v/>
      </c>
      <c r="AL1186" s="700"/>
      <c r="AM1186" s="505" t="str">
        <f t="shared" si="881"/>
        <v/>
      </c>
      <c r="AN1186" s="506"/>
      <c r="AO1186" s="507"/>
      <c r="AP1186" s="507"/>
      <c r="AQ1186" s="507"/>
      <c r="AR1186" s="507"/>
      <c r="AS1186" s="507"/>
      <c r="AT1186" s="507"/>
      <c r="AU1186" s="507"/>
      <c r="AV1186" s="225"/>
      <c r="AW1186" s="508"/>
      <c r="AX1186" s="225"/>
      <c r="AY1186" s="225"/>
      <c r="AZ1186" s="225"/>
      <c r="BA1186" s="225"/>
      <c r="BB1186" s="225"/>
      <c r="BC1186" s="56"/>
      <c r="BD1186" s="56"/>
      <c r="BE1186" s="56"/>
      <c r="BF1186" s="107" t="str">
        <f t="shared" si="882"/>
        <v>https://www.google.com/search?tbm=isch&amp;q=3%20G3</v>
      </c>
      <c r="BG1186" s="107" t="str">
        <f t="shared" si="883"/>
        <v>E</v>
      </c>
      <c r="BH1186" s="254"/>
      <c r="BI1186" s="254"/>
    </row>
    <row r="1187" spans="1:61" customFormat="1" ht="15.75" x14ac:dyDescent="0.25">
      <c r="A1187" s="485">
        <v>3</v>
      </c>
      <c r="B1187" s="486" t="s">
        <v>291</v>
      </c>
      <c r="C1187" s="487" t="s">
        <v>4670</v>
      </c>
      <c r="D1187" s="488" t="s">
        <v>299</v>
      </c>
      <c r="E1187" s="489">
        <v>33.950000000000003</v>
      </c>
      <c r="F1187" s="516" t="s">
        <v>293</v>
      </c>
      <c r="G1187" s="232">
        <v>0</v>
      </c>
      <c r="H1187" s="658" t="str">
        <f t="shared" si="891"/>
        <v/>
      </c>
      <c r="I1187" s="490">
        <f t="shared" si="892"/>
        <v>0</v>
      </c>
      <c r="J1187" s="490">
        <f t="shared" si="893"/>
        <v>0</v>
      </c>
      <c r="K1187" s="695">
        <f t="shared" ref="K1187" si="897">I1187+J1187</f>
        <v>0</v>
      </c>
      <c r="L1187" s="695"/>
      <c r="M1187" s="659" t="str">
        <f t="shared" si="895"/>
        <v/>
      </c>
      <c r="N1187" s="660"/>
      <c r="O1187" s="233"/>
      <c r="P1187" s="233"/>
      <c r="Q1187" s="233"/>
      <c r="R1187" s="233"/>
      <c r="S1187" s="233"/>
      <c r="T1187" s="508">
        <f t="shared" si="871"/>
        <v>0</v>
      </c>
      <c r="U1187" s="225">
        <f>IF(NOT(ISNUMBER(G1187)), "", VLOOKUP(A1187,'Discount Lookup'!D:E,2,FALSE)*G1187)</f>
        <v>0</v>
      </c>
      <c r="V1187" s="225">
        <f>IF(NOT(ISNUMBER(G1187)), "", VLOOKUP(A1187,'Discount Lookup'!G:H,2,FALSE)*G1187)</f>
        <v>0</v>
      </c>
      <c r="W1187" s="508">
        <f t="shared" si="872"/>
        <v>0</v>
      </c>
      <c r="X1187" s="508">
        <f t="shared" si="873"/>
        <v>0</v>
      </c>
      <c r="Y1187" s="509" t="b">
        <f t="shared" si="874"/>
        <v>0</v>
      </c>
      <c r="Z1187" s="510">
        <f t="shared" si="875"/>
        <v>0</v>
      </c>
      <c r="AA1187" s="511"/>
      <c r="AB1187" s="511" t="str">
        <f t="shared" si="876"/>
        <v/>
      </c>
      <c r="AC1187" s="698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698"/>
      <c r="AE1187" s="631" t="str">
        <f t="shared" si="877"/>
        <v/>
      </c>
      <c r="AF1187" s="699" t="str">
        <f t="shared" si="878"/>
        <v/>
      </c>
      <c r="AG1187" s="699"/>
      <c r="AH1187" s="699"/>
      <c r="AI1187" s="512">
        <f>IF(H1187="credit",0,IF(AE1187="free",0,IF(AE1187="me",0,IF(G1187&gt;0,(VLOOKUP(A1187,'Discount Lookup'!J:K,2)*G1187),0))))</f>
        <v>0</v>
      </c>
      <c r="AJ1187" s="513" t="str">
        <f t="shared" ca="1" si="879"/>
        <v/>
      </c>
      <c r="AK1187" s="700" t="str">
        <f t="shared" si="880"/>
        <v/>
      </c>
      <c r="AL1187" s="700"/>
      <c r="AM1187" s="505" t="str">
        <f t="shared" si="881"/>
        <v/>
      </c>
      <c r="AN1187" s="506"/>
      <c r="AO1187" s="507"/>
      <c r="AP1187" s="507"/>
      <c r="AQ1187" s="507"/>
      <c r="AR1187" s="507"/>
      <c r="AS1187" s="507"/>
      <c r="AT1187" s="507"/>
      <c r="AU1187" s="507"/>
      <c r="AV1187" s="225"/>
      <c r="AW1187" s="508"/>
      <c r="AX1187" s="225"/>
      <c r="AY1187" s="225"/>
      <c r="AZ1187" s="225"/>
      <c r="BA1187" s="225"/>
      <c r="BB1187" s="225"/>
      <c r="BC1187" s="56"/>
      <c r="BD1187" s="56"/>
      <c r="BE1187" s="56"/>
      <c r="BF1187" s="107" t="str">
        <f t="shared" si="882"/>
        <v>https://www.google.com/search?tbm=isch&amp;q=3%20G5</v>
      </c>
      <c r="BG1187" s="107" t="str">
        <f t="shared" si="883"/>
        <v>E</v>
      </c>
      <c r="BH1187" s="254"/>
      <c r="BI1187" s="254"/>
    </row>
    <row r="1188" spans="1:61" customFormat="1" ht="15.75" x14ac:dyDescent="0.25">
      <c r="A1188" s="485">
        <v>7</v>
      </c>
      <c r="B1188" s="486" t="s">
        <v>291</v>
      </c>
      <c r="C1188" s="487" t="s">
        <v>4608</v>
      </c>
      <c r="D1188" s="488" t="s">
        <v>297</v>
      </c>
      <c r="E1188" s="489">
        <v>68.95</v>
      </c>
      <c r="F1188" s="516" t="s">
        <v>293</v>
      </c>
      <c r="G1188" s="232">
        <v>0</v>
      </c>
      <c r="H1188" s="658" t="str">
        <f t="shared" si="891"/>
        <v/>
      </c>
      <c r="I1188" s="490">
        <f t="shared" si="892"/>
        <v>0</v>
      </c>
      <c r="J1188" s="490">
        <f t="shared" si="893"/>
        <v>0</v>
      </c>
      <c r="K1188" s="695">
        <f t="shared" ref="K1188" si="898">I1188+J1188</f>
        <v>0</v>
      </c>
      <c r="L1188" s="695"/>
      <c r="M1188" s="659" t="str">
        <f t="shared" si="895"/>
        <v/>
      </c>
      <c r="N1188" s="660"/>
      <c r="O1188" s="233"/>
      <c r="P1188" s="233"/>
      <c r="Q1188" s="233"/>
      <c r="R1188" s="233"/>
      <c r="S1188" s="233"/>
      <c r="T1188" s="508">
        <f t="shared" si="871"/>
        <v>0</v>
      </c>
      <c r="U1188" s="225">
        <f>IF(NOT(ISNUMBER(G1188)), "", VLOOKUP(A1188,'Discount Lookup'!D:E,2,FALSE)*G1188)</f>
        <v>0</v>
      </c>
      <c r="V1188" s="225">
        <f>IF(NOT(ISNUMBER(G1188)), "", VLOOKUP(A1188,'Discount Lookup'!G:H,2,FALSE)*G1188)</f>
        <v>0</v>
      </c>
      <c r="W1188" s="508">
        <f t="shared" si="872"/>
        <v>0</v>
      </c>
      <c r="X1188" s="508">
        <f t="shared" si="873"/>
        <v>0</v>
      </c>
      <c r="Y1188" s="509" t="b">
        <f t="shared" si="874"/>
        <v>0</v>
      </c>
      <c r="Z1188" s="510">
        <f t="shared" si="875"/>
        <v>0</v>
      </c>
      <c r="AA1188" s="511"/>
      <c r="AB1188" s="511" t="str">
        <f t="shared" si="876"/>
        <v/>
      </c>
      <c r="AC1188" s="698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698"/>
      <c r="AE1188" s="631" t="str">
        <f t="shared" si="877"/>
        <v/>
      </c>
      <c r="AF1188" s="699" t="str">
        <f t="shared" si="878"/>
        <v/>
      </c>
      <c r="AG1188" s="699"/>
      <c r="AH1188" s="699"/>
      <c r="AI1188" s="512">
        <f>IF(H1188="credit",0,IF(AE1188="free",0,IF(AE1188="me",0,IF(G1188&gt;0,(VLOOKUP(A1188,'Discount Lookup'!J:K,2)*G1188),0))))</f>
        <v>0</v>
      </c>
      <c r="AJ1188" s="513" t="str">
        <f t="shared" ca="1" si="879"/>
        <v/>
      </c>
      <c r="AK1188" s="700" t="str">
        <f t="shared" si="880"/>
        <v/>
      </c>
      <c r="AL1188" s="700"/>
      <c r="AM1188" s="505" t="str">
        <f t="shared" si="881"/>
        <v/>
      </c>
      <c r="AN1188" s="506"/>
      <c r="AO1188" s="507"/>
      <c r="AP1188" s="507"/>
      <c r="AQ1188" s="507"/>
      <c r="AR1188" s="507"/>
      <c r="AS1188" s="507"/>
      <c r="AT1188" s="507"/>
      <c r="AU1188" s="507"/>
      <c r="AV1188" s="225"/>
      <c r="AW1188" s="508"/>
      <c r="AX1188" s="225"/>
      <c r="AY1188" s="225"/>
      <c r="AZ1188" s="225"/>
      <c r="BA1188" s="225"/>
      <c r="BB1188" s="225"/>
      <c r="BC1188" s="56"/>
      <c r="BD1188" s="56"/>
      <c r="BE1188" s="56"/>
      <c r="BF1188" s="107" t="str">
        <f t="shared" si="882"/>
        <v>https://www.google.com/search?tbm=isch&amp;q=7%20G3</v>
      </c>
      <c r="BG1188" s="107" t="str">
        <f t="shared" si="883"/>
        <v>E</v>
      </c>
      <c r="BH1188" s="254"/>
      <c r="BI1188" s="254"/>
    </row>
    <row r="1189" spans="1:61" customFormat="1" ht="15.75" x14ac:dyDescent="0.25">
      <c r="A1189" s="485">
        <v>5</v>
      </c>
      <c r="B1189" s="486" t="s">
        <v>291</v>
      </c>
      <c r="C1189" s="487" t="s">
        <v>11</v>
      </c>
      <c r="D1189" s="488" t="s">
        <v>312</v>
      </c>
      <c r="E1189" s="489">
        <v>77.95</v>
      </c>
      <c r="F1189" s="516" t="s">
        <v>293</v>
      </c>
      <c r="G1189" s="232">
        <v>0</v>
      </c>
      <c r="H1189" s="658" t="str">
        <f t="shared" si="891"/>
        <v/>
      </c>
      <c r="I1189" s="490">
        <f t="shared" si="892"/>
        <v>0</v>
      </c>
      <c r="J1189" s="490">
        <f t="shared" si="893"/>
        <v>0</v>
      </c>
      <c r="K1189" s="695">
        <f t="shared" ref="K1189" si="899">I1189+J1189</f>
        <v>0</v>
      </c>
      <c r="L1189" s="695"/>
      <c r="M1189" s="659" t="str">
        <f t="shared" si="895"/>
        <v/>
      </c>
      <c r="N1189" s="660"/>
      <c r="O1189" s="233"/>
      <c r="P1189" s="233"/>
      <c r="Q1189" s="233"/>
      <c r="R1189" s="233"/>
      <c r="S1189" s="233"/>
      <c r="T1189" s="508">
        <f t="shared" si="871"/>
        <v>0</v>
      </c>
      <c r="U1189" s="225">
        <f>IF(NOT(ISNUMBER(G1189)), "", VLOOKUP(A1189,'Discount Lookup'!D:E,2,FALSE)*G1189)</f>
        <v>0</v>
      </c>
      <c r="V1189" s="225">
        <f>IF(NOT(ISNUMBER(G1189)), "", VLOOKUP(A1189,'Discount Lookup'!G:H,2,FALSE)*G1189)</f>
        <v>0</v>
      </c>
      <c r="W1189" s="508">
        <f t="shared" si="872"/>
        <v>0</v>
      </c>
      <c r="X1189" s="508">
        <f t="shared" si="873"/>
        <v>0</v>
      </c>
      <c r="Y1189" s="509" t="b">
        <f t="shared" si="874"/>
        <v>0</v>
      </c>
      <c r="Z1189" s="510">
        <f t="shared" si="875"/>
        <v>0</v>
      </c>
      <c r="AA1189" s="511"/>
      <c r="AB1189" s="511" t="str">
        <f t="shared" si="876"/>
        <v/>
      </c>
      <c r="AC1189" s="698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698"/>
      <c r="AE1189" s="631" t="str">
        <f t="shared" si="877"/>
        <v/>
      </c>
      <c r="AF1189" s="699" t="str">
        <f t="shared" si="878"/>
        <v/>
      </c>
      <c r="AG1189" s="699"/>
      <c r="AH1189" s="699"/>
      <c r="AI1189" s="512">
        <f>IF(H1189="credit",0,IF(AE1189="free",0,IF(AE1189="me",0,IF(G1189&gt;0,(VLOOKUP(A1189,'Discount Lookup'!J:K,2)*G1189),0))))</f>
        <v>0</v>
      </c>
      <c r="AJ1189" s="513" t="str">
        <f t="shared" ca="1" si="879"/>
        <v/>
      </c>
      <c r="AK1189" s="700" t="str">
        <f t="shared" si="880"/>
        <v/>
      </c>
      <c r="AL1189" s="700"/>
      <c r="AM1189" s="505" t="str">
        <f t="shared" si="881"/>
        <v/>
      </c>
      <c r="AN1189" s="506"/>
      <c r="AO1189" s="507"/>
      <c r="AP1189" s="507"/>
      <c r="AQ1189" s="507"/>
      <c r="AR1189" s="507"/>
      <c r="AS1189" s="507"/>
      <c r="AT1189" s="507"/>
      <c r="AU1189" s="507"/>
      <c r="AV1189" s="225"/>
      <c r="AW1189" s="508"/>
      <c r="AX1189" s="225"/>
      <c r="AY1189" s="225"/>
      <c r="AZ1189" s="225"/>
      <c r="BA1189" s="225"/>
      <c r="BB1189" s="225"/>
      <c r="BC1189" s="56"/>
      <c r="BD1189" s="56"/>
      <c r="BE1189" s="56"/>
      <c r="BF1189" s="107" t="str">
        <f t="shared" si="882"/>
        <v>https://www.google.com/search?tbm=isch&amp;q=5%20G2</v>
      </c>
      <c r="BG1189" s="107" t="str">
        <f t="shared" si="883"/>
        <v>E</v>
      </c>
      <c r="BH1189" s="254"/>
      <c r="BI1189" s="254"/>
    </row>
    <row r="1190" spans="1:61" customFormat="1" ht="15.75" x14ac:dyDescent="0.25">
      <c r="A1190" s="485">
        <v>7</v>
      </c>
      <c r="B1190" s="486" t="s">
        <v>291</v>
      </c>
      <c r="C1190" s="487" t="s">
        <v>3436</v>
      </c>
      <c r="D1190" s="488" t="s">
        <v>292</v>
      </c>
      <c r="E1190" s="489">
        <v>95.95</v>
      </c>
      <c r="F1190" s="516" t="s">
        <v>293</v>
      </c>
      <c r="G1190" s="232">
        <v>0</v>
      </c>
      <c r="H1190" s="658" t="str">
        <f t="shared" si="891"/>
        <v/>
      </c>
      <c r="I1190" s="490">
        <f t="shared" si="892"/>
        <v>0</v>
      </c>
      <c r="J1190" s="490">
        <f t="shared" si="893"/>
        <v>0</v>
      </c>
      <c r="K1190" s="695">
        <f t="shared" ref="K1190" si="900">I1190+J1190</f>
        <v>0</v>
      </c>
      <c r="L1190" s="695"/>
      <c r="M1190" s="659" t="str">
        <f t="shared" si="895"/>
        <v/>
      </c>
      <c r="N1190" s="660"/>
      <c r="O1190" s="233"/>
      <c r="P1190" s="233"/>
      <c r="Q1190" s="233"/>
      <c r="R1190" s="233"/>
      <c r="S1190" s="233"/>
      <c r="T1190" s="508">
        <f t="shared" si="871"/>
        <v>0</v>
      </c>
      <c r="U1190" s="225">
        <f>IF(NOT(ISNUMBER(G1190)), "", VLOOKUP(A1190,'Discount Lookup'!D:E,2,FALSE)*G1190)</f>
        <v>0</v>
      </c>
      <c r="V1190" s="225">
        <f>IF(NOT(ISNUMBER(G1190)), "", VLOOKUP(A1190,'Discount Lookup'!G:H,2,FALSE)*G1190)</f>
        <v>0</v>
      </c>
      <c r="W1190" s="508">
        <f t="shared" si="872"/>
        <v>0</v>
      </c>
      <c r="X1190" s="508">
        <f t="shared" si="873"/>
        <v>0</v>
      </c>
      <c r="Y1190" s="509" t="b">
        <f t="shared" si="874"/>
        <v>0</v>
      </c>
      <c r="Z1190" s="510">
        <f t="shared" si="875"/>
        <v>0</v>
      </c>
      <c r="AA1190" s="511"/>
      <c r="AB1190" s="511" t="str">
        <f t="shared" si="876"/>
        <v/>
      </c>
      <c r="AC1190" s="698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698"/>
      <c r="AE1190" s="631" t="str">
        <f t="shared" si="877"/>
        <v/>
      </c>
      <c r="AF1190" s="699" t="str">
        <f t="shared" si="878"/>
        <v/>
      </c>
      <c r="AG1190" s="699"/>
      <c r="AH1190" s="699"/>
      <c r="AI1190" s="512">
        <f>IF(H1190="credit",0,IF(AE1190="free",0,IF(AE1190="me",0,IF(G1190&gt;0,(VLOOKUP(A1190,'Discount Lookup'!J:K,2)*G1190),0))))</f>
        <v>0</v>
      </c>
      <c r="AJ1190" s="513" t="str">
        <f t="shared" ca="1" si="879"/>
        <v/>
      </c>
      <c r="AK1190" s="700" t="str">
        <f t="shared" si="880"/>
        <v/>
      </c>
      <c r="AL1190" s="700"/>
      <c r="AM1190" s="505" t="str">
        <f t="shared" si="881"/>
        <v/>
      </c>
      <c r="AN1190" s="506"/>
      <c r="AO1190" s="507"/>
      <c r="AP1190" s="507"/>
      <c r="AQ1190" s="507"/>
      <c r="AR1190" s="507"/>
      <c r="AS1190" s="507"/>
      <c r="AT1190" s="507"/>
      <c r="AU1190" s="507"/>
      <c r="AV1190" s="225"/>
      <c r="AW1190" s="508"/>
      <c r="AX1190" s="225"/>
      <c r="AY1190" s="225"/>
      <c r="AZ1190" s="225"/>
      <c r="BA1190" s="225"/>
      <c r="BB1190" s="225"/>
      <c r="BC1190" s="56"/>
      <c r="BD1190" s="56"/>
      <c r="BE1190" s="56"/>
      <c r="BF1190" s="107" t="str">
        <f t="shared" si="882"/>
        <v>https://www.google.com/search?tbm=isch&amp;q=7%20G4</v>
      </c>
      <c r="BG1190" s="107" t="str">
        <f t="shared" si="883"/>
        <v>E</v>
      </c>
      <c r="BH1190" s="254"/>
      <c r="BI1190" s="254"/>
    </row>
    <row r="1191" spans="1:61" customFormat="1" ht="27" x14ac:dyDescent="0.25">
      <c r="A1191" s="485">
        <v>7</v>
      </c>
      <c r="B1191" s="486" t="s">
        <v>291</v>
      </c>
      <c r="C1191" s="487" t="s">
        <v>3437</v>
      </c>
      <c r="D1191" s="488" t="s">
        <v>292</v>
      </c>
      <c r="E1191" s="489">
        <v>95.95</v>
      </c>
      <c r="F1191" s="516" t="s">
        <v>293</v>
      </c>
      <c r="G1191" s="232">
        <v>0</v>
      </c>
      <c r="H1191" s="658" t="str">
        <f t="shared" si="891"/>
        <v/>
      </c>
      <c r="I1191" s="490">
        <f t="shared" si="892"/>
        <v>0</v>
      </c>
      <c r="J1191" s="490">
        <f t="shared" si="893"/>
        <v>0</v>
      </c>
      <c r="K1191" s="695">
        <f t="shared" ref="K1191" si="901">I1191+J1191</f>
        <v>0</v>
      </c>
      <c r="L1191" s="695"/>
      <c r="M1191" s="659" t="str">
        <f t="shared" si="895"/>
        <v/>
      </c>
      <c r="N1191" s="660"/>
      <c r="O1191" s="233"/>
      <c r="P1191" s="233"/>
      <c r="Q1191" s="233"/>
      <c r="R1191" s="233"/>
      <c r="S1191" s="233"/>
      <c r="T1191" s="508">
        <f t="shared" si="871"/>
        <v>0</v>
      </c>
      <c r="U1191" s="225">
        <f>IF(NOT(ISNUMBER(G1191)), "", VLOOKUP(A1191,'Discount Lookup'!D:E,2,FALSE)*G1191)</f>
        <v>0</v>
      </c>
      <c r="V1191" s="225">
        <f>IF(NOT(ISNUMBER(G1191)), "", VLOOKUP(A1191,'Discount Lookup'!G:H,2,FALSE)*G1191)</f>
        <v>0</v>
      </c>
      <c r="W1191" s="508">
        <f t="shared" si="872"/>
        <v>0</v>
      </c>
      <c r="X1191" s="508">
        <f t="shared" si="873"/>
        <v>0</v>
      </c>
      <c r="Y1191" s="509" t="b">
        <f t="shared" si="874"/>
        <v>0</v>
      </c>
      <c r="Z1191" s="510">
        <f t="shared" si="875"/>
        <v>0</v>
      </c>
      <c r="AA1191" s="511"/>
      <c r="AB1191" s="511" t="str">
        <f t="shared" si="876"/>
        <v/>
      </c>
      <c r="AC1191" s="698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698"/>
      <c r="AE1191" s="631" t="str">
        <f t="shared" si="877"/>
        <v/>
      </c>
      <c r="AF1191" s="699" t="str">
        <f t="shared" si="878"/>
        <v/>
      </c>
      <c r="AG1191" s="699"/>
      <c r="AH1191" s="699"/>
      <c r="AI1191" s="512">
        <f>IF(H1191="credit",0,IF(AE1191="free",0,IF(AE1191="me",0,IF(G1191&gt;0,(VLOOKUP(A1191,'Discount Lookup'!J:K,2)*G1191),0))))</f>
        <v>0</v>
      </c>
      <c r="AJ1191" s="513" t="str">
        <f t="shared" ca="1" si="879"/>
        <v/>
      </c>
      <c r="AK1191" s="700" t="str">
        <f t="shared" si="880"/>
        <v/>
      </c>
      <c r="AL1191" s="700"/>
      <c r="AM1191" s="505" t="str">
        <f t="shared" si="881"/>
        <v/>
      </c>
      <c r="AN1191" s="506"/>
      <c r="AO1191" s="507"/>
      <c r="AP1191" s="507"/>
      <c r="AQ1191" s="507"/>
      <c r="AR1191" s="507"/>
      <c r="AS1191" s="507"/>
      <c r="AT1191" s="507"/>
      <c r="AU1191" s="507"/>
      <c r="AV1191" s="225"/>
      <c r="AW1191" s="508"/>
      <c r="AX1191" s="225"/>
      <c r="AY1191" s="225"/>
      <c r="AZ1191" s="225"/>
      <c r="BA1191" s="225"/>
      <c r="BB1191" s="225"/>
      <c r="BC1191" s="56"/>
      <c r="BD1191" s="56"/>
      <c r="BE1191" s="56"/>
      <c r="BF1191" s="107" t="str">
        <f t="shared" si="882"/>
        <v>https://www.google.com/search?tbm=isch&amp;q=7%20G4</v>
      </c>
      <c r="BG1191" s="107" t="str">
        <f t="shared" si="883"/>
        <v>E</v>
      </c>
      <c r="BH1191" s="254"/>
      <c r="BI1191" s="254"/>
    </row>
    <row r="1192" spans="1:61" customFormat="1" ht="27" x14ac:dyDescent="0.25">
      <c r="A1192" s="485">
        <v>7</v>
      </c>
      <c r="B1192" s="486" t="s">
        <v>291</v>
      </c>
      <c r="C1192" s="487" t="s">
        <v>835</v>
      </c>
      <c r="D1192" s="488" t="s">
        <v>297</v>
      </c>
      <c r="E1192" s="489">
        <v>107.95</v>
      </c>
      <c r="F1192" s="516" t="s">
        <v>293</v>
      </c>
      <c r="G1192" s="232">
        <v>0</v>
      </c>
      <c r="H1192" s="658" t="str">
        <f t="shared" si="891"/>
        <v/>
      </c>
      <c r="I1192" s="490">
        <f t="shared" si="892"/>
        <v>0</v>
      </c>
      <c r="J1192" s="490">
        <f t="shared" si="893"/>
        <v>0</v>
      </c>
      <c r="K1192" s="695">
        <f t="shared" ref="K1192" si="902">I1192+J1192</f>
        <v>0</v>
      </c>
      <c r="L1192" s="695"/>
      <c r="M1192" s="659" t="str">
        <f t="shared" si="895"/>
        <v/>
      </c>
      <c r="N1192" s="660"/>
      <c r="O1192" s="233"/>
      <c r="P1192" s="233"/>
      <c r="Q1192" s="233"/>
      <c r="R1192" s="233"/>
      <c r="S1192" s="233"/>
      <c r="T1192" s="508">
        <f t="shared" si="871"/>
        <v>0</v>
      </c>
      <c r="U1192" s="225">
        <f>IF(NOT(ISNUMBER(G1192)), "", VLOOKUP(A1192,'Discount Lookup'!D:E,2,FALSE)*G1192)</f>
        <v>0</v>
      </c>
      <c r="V1192" s="225">
        <f>IF(NOT(ISNUMBER(G1192)), "", VLOOKUP(A1192,'Discount Lookup'!G:H,2,FALSE)*G1192)</f>
        <v>0</v>
      </c>
      <c r="W1192" s="508">
        <f t="shared" si="872"/>
        <v>0</v>
      </c>
      <c r="X1192" s="508">
        <f t="shared" si="873"/>
        <v>0</v>
      </c>
      <c r="Y1192" s="509" t="b">
        <f t="shared" si="874"/>
        <v>0</v>
      </c>
      <c r="Z1192" s="510">
        <f t="shared" si="875"/>
        <v>0</v>
      </c>
      <c r="AA1192" s="511"/>
      <c r="AB1192" s="511" t="str">
        <f t="shared" si="876"/>
        <v/>
      </c>
      <c r="AC1192" s="698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698"/>
      <c r="AE1192" s="631" t="str">
        <f t="shared" si="877"/>
        <v/>
      </c>
      <c r="AF1192" s="699" t="str">
        <f t="shared" si="878"/>
        <v/>
      </c>
      <c r="AG1192" s="699"/>
      <c r="AH1192" s="699"/>
      <c r="AI1192" s="512">
        <f>IF(H1192="credit",0,IF(AE1192="free",0,IF(AE1192="me",0,IF(G1192&gt;0,(VLOOKUP(A1192,'Discount Lookup'!J:K,2)*G1192),0))))</f>
        <v>0</v>
      </c>
      <c r="AJ1192" s="513" t="str">
        <f t="shared" ca="1" si="879"/>
        <v/>
      </c>
      <c r="AK1192" s="700" t="str">
        <f t="shared" si="880"/>
        <v/>
      </c>
      <c r="AL1192" s="700"/>
      <c r="AM1192" s="505" t="str">
        <f t="shared" si="881"/>
        <v/>
      </c>
      <c r="AN1192" s="506"/>
      <c r="AO1192" s="507"/>
      <c r="AP1192" s="507"/>
      <c r="AQ1192" s="507"/>
      <c r="AR1192" s="507"/>
      <c r="AS1192" s="507"/>
      <c r="AT1192" s="507"/>
      <c r="AU1192" s="507"/>
      <c r="AV1192" s="225"/>
      <c r="AW1192" s="508"/>
      <c r="AX1192" s="225"/>
      <c r="AY1192" s="225"/>
      <c r="AZ1192" s="225"/>
      <c r="BA1192" s="225"/>
      <c r="BB1192" s="225"/>
      <c r="BC1192" s="56"/>
      <c r="BD1192" s="56"/>
      <c r="BE1192" s="56"/>
      <c r="BF1192" s="107" t="str">
        <f t="shared" si="882"/>
        <v>https://www.google.com/search?tbm=isch&amp;q=7%20G3</v>
      </c>
      <c r="BG1192" s="107" t="str">
        <f t="shared" si="883"/>
        <v>E</v>
      </c>
      <c r="BH1192" s="254"/>
      <c r="BI1192" s="254"/>
    </row>
    <row r="1193" spans="1:61" customFormat="1" ht="15.75" x14ac:dyDescent="0.25">
      <c r="A1193" s="485">
        <v>7</v>
      </c>
      <c r="B1193" s="486" t="s">
        <v>291</v>
      </c>
      <c r="C1193" s="487" t="s">
        <v>836</v>
      </c>
      <c r="D1193" s="488" t="s">
        <v>297</v>
      </c>
      <c r="E1193" s="489">
        <v>131.94999999999999</v>
      </c>
      <c r="F1193" s="516" t="s">
        <v>293</v>
      </c>
      <c r="G1193" s="232">
        <v>0</v>
      </c>
      <c r="H1193" s="658" t="str">
        <f t="shared" si="891"/>
        <v/>
      </c>
      <c r="I1193" s="490">
        <f t="shared" si="892"/>
        <v>0</v>
      </c>
      <c r="J1193" s="490">
        <f t="shared" si="893"/>
        <v>0</v>
      </c>
      <c r="K1193" s="695">
        <f t="shared" ref="K1193" si="903">I1193+J1193</f>
        <v>0</v>
      </c>
      <c r="L1193" s="695"/>
      <c r="M1193" s="659" t="str">
        <f t="shared" si="895"/>
        <v/>
      </c>
      <c r="N1193" s="660"/>
      <c r="O1193" s="233"/>
      <c r="P1193" s="233"/>
      <c r="Q1193" s="233"/>
      <c r="R1193" s="233"/>
      <c r="S1193" s="233"/>
      <c r="T1193" s="508">
        <f t="shared" si="871"/>
        <v>0</v>
      </c>
      <c r="U1193" s="225">
        <f>IF(NOT(ISNUMBER(G1193)), "", VLOOKUP(A1193,'Discount Lookup'!D:E,2,FALSE)*G1193)</f>
        <v>0</v>
      </c>
      <c r="V1193" s="225">
        <f>IF(NOT(ISNUMBER(G1193)), "", VLOOKUP(A1193,'Discount Lookup'!G:H,2,FALSE)*G1193)</f>
        <v>0</v>
      </c>
      <c r="W1193" s="508">
        <f t="shared" si="872"/>
        <v>0</v>
      </c>
      <c r="X1193" s="508">
        <f t="shared" si="873"/>
        <v>0</v>
      </c>
      <c r="Y1193" s="509" t="b">
        <f t="shared" si="874"/>
        <v>0</v>
      </c>
      <c r="Z1193" s="510">
        <f t="shared" si="875"/>
        <v>0</v>
      </c>
      <c r="AA1193" s="511"/>
      <c r="AB1193" s="511" t="str">
        <f t="shared" si="876"/>
        <v/>
      </c>
      <c r="AC1193" s="698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698"/>
      <c r="AE1193" s="631" t="str">
        <f t="shared" si="877"/>
        <v/>
      </c>
      <c r="AF1193" s="699" t="str">
        <f t="shared" si="878"/>
        <v/>
      </c>
      <c r="AG1193" s="699"/>
      <c r="AH1193" s="699"/>
      <c r="AI1193" s="512">
        <f>IF(H1193="credit",0,IF(AE1193="free",0,IF(AE1193="me",0,IF(G1193&gt;0,(VLOOKUP(A1193,'Discount Lookup'!J:K,2)*G1193),0))))</f>
        <v>0</v>
      </c>
      <c r="AJ1193" s="513" t="str">
        <f t="shared" ca="1" si="879"/>
        <v/>
      </c>
      <c r="AK1193" s="700" t="str">
        <f t="shared" si="880"/>
        <v/>
      </c>
      <c r="AL1193" s="700"/>
      <c r="AM1193" s="505" t="str">
        <f t="shared" si="881"/>
        <v/>
      </c>
      <c r="AN1193" s="506"/>
      <c r="AO1193" s="507"/>
      <c r="AP1193" s="507"/>
      <c r="AQ1193" s="507"/>
      <c r="AR1193" s="507"/>
      <c r="AS1193" s="507"/>
      <c r="AT1193" s="507"/>
      <c r="AU1193" s="507"/>
      <c r="AV1193" s="225"/>
      <c r="AW1193" s="508"/>
      <c r="AX1193" s="225"/>
      <c r="AY1193" s="225"/>
      <c r="AZ1193" s="225"/>
      <c r="BA1193" s="225"/>
      <c r="BB1193" s="225"/>
      <c r="BC1193" s="56"/>
      <c r="BD1193" s="56"/>
      <c r="BE1193" s="56"/>
      <c r="BF1193" s="107" t="str">
        <f t="shared" si="882"/>
        <v>https://www.google.com/search?tbm=isch&amp;q=7%20G3</v>
      </c>
      <c r="BG1193" s="107" t="str">
        <f t="shared" si="883"/>
        <v>E</v>
      </c>
      <c r="BH1193" s="254"/>
      <c r="BI1193" s="254"/>
    </row>
    <row r="1194" spans="1:61" customFormat="1" ht="15.75" x14ac:dyDescent="0.25">
      <c r="A1194" s="485">
        <v>10</v>
      </c>
      <c r="B1194" s="486" t="s">
        <v>291</v>
      </c>
      <c r="C1194" s="487" t="s">
        <v>3438</v>
      </c>
      <c r="D1194" s="488" t="s">
        <v>292</v>
      </c>
      <c r="E1194" s="489">
        <v>148.94999999999999</v>
      </c>
      <c r="F1194" s="516" t="s">
        <v>293</v>
      </c>
      <c r="G1194" s="232">
        <v>0</v>
      </c>
      <c r="H1194" s="658" t="str">
        <f t="shared" si="891"/>
        <v/>
      </c>
      <c r="I1194" s="490">
        <f t="shared" si="892"/>
        <v>0</v>
      </c>
      <c r="J1194" s="490">
        <f t="shared" si="893"/>
        <v>0</v>
      </c>
      <c r="K1194" s="695">
        <f t="shared" ref="K1194" si="904">I1194+J1194</f>
        <v>0</v>
      </c>
      <c r="L1194" s="695"/>
      <c r="M1194" s="659" t="str">
        <f t="shared" si="895"/>
        <v/>
      </c>
      <c r="N1194" s="660"/>
      <c r="O1194" s="233"/>
      <c r="P1194" s="233"/>
      <c r="Q1194" s="233"/>
      <c r="R1194" s="233"/>
      <c r="S1194" s="233"/>
      <c r="T1194" s="508">
        <f t="shared" si="871"/>
        <v>0</v>
      </c>
      <c r="U1194" s="225">
        <f>IF(NOT(ISNUMBER(G1194)), "", VLOOKUP(A1194,'Discount Lookup'!D:E,2,FALSE)*G1194)</f>
        <v>0</v>
      </c>
      <c r="V1194" s="225">
        <f>IF(NOT(ISNUMBER(G1194)), "", VLOOKUP(A1194,'Discount Lookup'!G:H,2,FALSE)*G1194)</f>
        <v>0</v>
      </c>
      <c r="W1194" s="508">
        <f t="shared" si="872"/>
        <v>0</v>
      </c>
      <c r="X1194" s="508">
        <f t="shared" si="873"/>
        <v>0</v>
      </c>
      <c r="Y1194" s="509" t="b">
        <f t="shared" si="874"/>
        <v>0</v>
      </c>
      <c r="Z1194" s="510">
        <f t="shared" si="875"/>
        <v>0</v>
      </c>
      <c r="AA1194" s="511"/>
      <c r="AB1194" s="511" t="str">
        <f t="shared" si="876"/>
        <v/>
      </c>
      <c r="AC1194" s="698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698"/>
      <c r="AE1194" s="631" t="str">
        <f t="shared" si="877"/>
        <v/>
      </c>
      <c r="AF1194" s="699" t="str">
        <f t="shared" si="878"/>
        <v/>
      </c>
      <c r="AG1194" s="699"/>
      <c r="AH1194" s="699"/>
      <c r="AI1194" s="512">
        <f>IF(H1194="credit",0,IF(AE1194="free",0,IF(AE1194="me",0,IF(G1194&gt;0,(VLOOKUP(A1194,'Discount Lookup'!J:K,2)*G1194),0))))</f>
        <v>0</v>
      </c>
      <c r="AJ1194" s="513" t="str">
        <f t="shared" ca="1" si="879"/>
        <v/>
      </c>
      <c r="AK1194" s="700" t="str">
        <f t="shared" si="880"/>
        <v/>
      </c>
      <c r="AL1194" s="700"/>
      <c r="AM1194" s="505" t="str">
        <f t="shared" si="881"/>
        <v/>
      </c>
      <c r="AN1194" s="506"/>
      <c r="AO1194" s="507"/>
      <c r="AP1194" s="507"/>
      <c r="AQ1194" s="507"/>
      <c r="AR1194" s="507"/>
      <c r="AS1194" s="507"/>
      <c r="AT1194" s="507"/>
      <c r="AU1194" s="507"/>
      <c r="AV1194" s="225"/>
      <c r="AW1194" s="508"/>
      <c r="AX1194" s="225"/>
      <c r="AY1194" s="225"/>
      <c r="AZ1194" s="225"/>
      <c r="BA1194" s="225"/>
      <c r="BB1194" s="225"/>
      <c r="BC1194" s="56"/>
      <c r="BD1194" s="56"/>
      <c r="BE1194" s="56"/>
      <c r="BF1194" s="107" t="str">
        <f t="shared" si="882"/>
        <v>https://www.google.com/search?tbm=isch&amp;q=10%20G4</v>
      </c>
      <c r="BG1194" s="107" t="str">
        <f t="shared" si="883"/>
        <v>E</v>
      </c>
      <c r="BH1194" s="254"/>
      <c r="BI1194" s="254"/>
    </row>
    <row r="1195" spans="1:61" customFormat="1" ht="15.75" x14ac:dyDescent="0.25">
      <c r="A1195" s="485">
        <v>15</v>
      </c>
      <c r="B1195" s="486" t="s">
        <v>291</v>
      </c>
      <c r="C1195" s="487" t="s">
        <v>2743</v>
      </c>
      <c r="D1195" s="488" t="s">
        <v>297</v>
      </c>
      <c r="E1195" s="489">
        <v>155.94999999999999</v>
      </c>
      <c r="F1195" s="516" t="s">
        <v>293</v>
      </c>
      <c r="G1195" s="232">
        <v>0</v>
      </c>
      <c r="H1195" s="658" t="str">
        <f t="shared" si="891"/>
        <v/>
      </c>
      <c r="I1195" s="490">
        <f t="shared" si="892"/>
        <v>0</v>
      </c>
      <c r="J1195" s="490">
        <f t="shared" si="893"/>
        <v>0</v>
      </c>
      <c r="K1195" s="695">
        <f t="shared" ref="K1195" si="905">I1195+J1195</f>
        <v>0</v>
      </c>
      <c r="L1195" s="695"/>
      <c r="M1195" s="659" t="str">
        <f t="shared" si="895"/>
        <v/>
      </c>
      <c r="N1195" s="660"/>
      <c r="O1195" s="233"/>
      <c r="P1195" s="233"/>
      <c r="Q1195" s="233"/>
      <c r="R1195" s="233"/>
      <c r="S1195" s="233"/>
      <c r="T1195" s="508">
        <f t="shared" si="871"/>
        <v>0</v>
      </c>
      <c r="U1195" s="225">
        <f>IF(NOT(ISNUMBER(G1195)), "", VLOOKUP(A1195,'Discount Lookup'!D:E,2,FALSE)*G1195)</f>
        <v>0</v>
      </c>
      <c r="V1195" s="225">
        <f>IF(NOT(ISNUMBER(G1195)), "", VLOOKUP(A1195,'Discount Lookup'!G:H,2,FALSE)*G1195)</f>
        <v>0</v>
      </c>
      <c r="W1195" s="508">
        <f t="shared" si="872"/>
        <v>0</v>
      </c>
      <c r="X1195" s="508">
        <f t="shared" si="873"/>
        <v>0</v>
      </c>
      <c r="Y1195" s="509" t="b">
        <f t="shared" si="874"/>
        <v>0</v>
      </c>
      <c r="Z1195" s="510">
        <f t="shared" si="875"/>
        <v>0</v>
      </c>
      <c r="AA1195" s="511"/>
      <c r="AB1195" s="511" t="str">
        <f t="shared" si="876"/>
        <v/>
      </c>
      <c r="AC1195" s="698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698"/>
      <c r="AE1195" s="631" t="str">
        <f t="shared" si="877"/>
        <v/>
      </c>
      <c r="AF1195" s="699" t="str">
        <f t="shared" si="878"/>
        <v/>
      </c>
      <c r="AG1195" s="699"/>
      <c r="AH1195" s="699"/>
      <c r="AI1195" s="512">
        <f>IF(H1195="credit",0,IF(AE1195="free",0,IF(AE1195="me",0,IF(G1195&gt;0,(VLOOKUP(A1195,'Discount Lookup'!J:K,2)*G1195),0))))</f>
        <v>0</v>
      </c>
      <c r="AJ1195" s="513" t="str">
        <f t="shared" ca="1" si="879"/>
        <v/>
      </c>
      <c r="AK1195" s="700" t="str">
        <f t="shared" si="880"/>
        <v/>
      </c>
      <c r="AL1195" s="700"/>
      <c r="AM1195" s="505" t="str">
        <f t="shared" si="881"/>
        <v/>
      </c>
      <c r="AN1195" s="506"/>
      <c r="AO1195" s="507"/>
      <c r="AP1195" s="507"/>
      <c r="AQ1195" s="507"/>
      <c r="AR1195" s="507"/>
      <c r="AS1195" s="507"/>
      <c r="AT1195" s="507"/>
      <c r="AU1195" s="507"/>
      <c r="AV1195" s="225"/>
      <c r="AW1195" s="508"/>
      <c r="AX1195" s="225"/>
      <c r="AY1195" s="225"/>
      <c r="AZ1195" s="225"/>
      <c r="BA1195" s="225"/>
      <c r="BB1195" s="225"/>
      <c r="BC1195" s="56"/>
      <c r="BD1195" s="56"/>
      <c r="BE1195" s="56"/>
      <c r="BF1195" s="107" t="str">
        <f t="shared" si="882"/>
        <v>https://www.google.com/search?tbm=isch&amp;q=15%20G3</v>
      </c>
      <c r="BG1195" s="107" t="str">
        <f t="shared" si="883"/>
        <v>E</v>
      </c>
      <c r="BH1195" s="254"/>
      <c r="BI1195" s="254"/>
    </row>
    <row r="1196" spans="1:61" customFormat="1" ht="15.75" x14ac:dyDescent="0.25">
      <c r="A1196" s="485">
        <v>15</v>
      </c>
      <c r="B1196" s="486" t="s">
        <v>291</v>
      </c>
      <c r="C1196" s="487" t="s">
        <v>3057</v>
      </c>
      <c r="D1196" s="488" t="s">
        <v>300</v>
      </c>
      <c r="E1196" s="489">
        <v>173.95</v>
      </c>
      <c r="F1196" s="516" t="s">
        <v>293</v>
      </c>
      <c r="G1196" s="232">
        <v>0</v>
      </c>
      <c r="H1196" s="658" t="str">
        <f t="shared" si="891"/>
        <v/>
      </c>
      <c r="I1196" s="490">
        <f t="shared" si="892"/>
        <v>0</v>
      </c>
      <c r="J1196" s="490">
        <f t="shared" si="893"/>
        <v>0</v>
      </c>
      <c r="K1196" s="695">
        <f t="shared" ref="K1196" si="906">I1196+J1196</f>
        <v>0</v>
      </c>
      <c r="L1196" s="695"/>
      <c r="M1196" s="659" t="str">
        <f t="shared" si="895"/>
        <v/>
      </c>
      <c r="N1196" s="660"/>
      <c r="O1196" s="233"/>
      <c r="P1196" s="233"/>
      <c r="Q1196" s="233"/>
      <c r="R1196" s="233"/>
      <c r="S1196" s="233"/>
      <c r="T1196" s="508">
        <f t="shared" si="871"/>
        <v>0</v>
      </c>
      <c r="U1196" s="225">
        <f>IF(NOT(ISNUMBER(G1196)), "", VLOOKUP(A1196,'Discount Lookup'!D:E,2,FALSE)*G1196)</f>
        <v>0</v>
      </c>
      <c r="V1196" s="225">
        <f>IF(NOT(ISNUMBER(G1196)), "", VLOOKUP(A1196,'Discount Lookup'!G:H,2,FALSE)*G1196)</f>
        <v>0</v>
      </c>
      <c r="W1196" s="508">
        <f t="shared" si="872"/>
        <v>0</v>
      </c>
      <c r="X1196" s="508">
        <f t="shared" si="873"/>
        <v>0</v>
      </c>
      <c r="Y1196" s="509" t="b">
        <f t="shared" si="874"/>
        <v>0</v>
      </c>
      <c r="Z1196" s="510">
        <f t="shared" si="875"/>
        <v>0</v>
      </c>
      <c r="AA1196" s="511"/>
      <c r="AB1196" s="511" t="str">
        <f t="shared" si="876"/>
        <v/>
      </c>
      <c r="AC1196" s="698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698"/>
      <c r="AE1196" s="631" t="str">
        <f t="shared" si="877"/>
        <v/>
      </c>
      <c r="AF1196" s="699" t="str">
        <f t="shared" si="878"/>
        <v/>
      </c>
      <c r="AG1196" s="699"/>
      <c r="AH1196" s="699"/>
      <c r="AI1196" s="512">
        <f>IF(H1196="credit",0,IF(AE1196="free",0,IF(AE1196="me",0,IF(G1196&gt;0,(VLOOKUP(A1196,'Discount Lookup'!J:K,2)*G1196),0))))</f>
        <v>0</v>
      </c>
      <c r="AJ1196" s="513" t="str">
        <f t="shared" ca="1" si="879"/>
        <v/>
      </c>
      <c r="AK1196" s="700" t="str">
        <f t="shared" si="880"/>
        <v/>
      </c>
      <c r="AL1196" s="700"/>
      <c r="AM1196" s="505" t="str">
        <f t="shared" si="881"/>
        <v/>
      </c>
      <c r="AN1196" s="506"/>
      <c r="AO1196" s="507"/>
      <c r="AP1196" s="507"/>
      <c r="AQ1196" s="507"/>
      <c r="AR1196" s="507"/>
      <c r="AS1196" s="507"/>
      <c r="AT1196" s="507"/>
      <c r="AU1196" s="507"/>
      <c r="AV1196" s="225"/>
      <c r="AW1196" s="508"/>
      <c r="AX1196" s="225"/>
      <c r="AY1196" s="225"/>
      <c r="AZ1196" s="225"/>
      <c r="BA1196" s="225"/>
      <c r="BB1196" s="225"/>
      <c r="BC1196" s="56"/>
      <c r="BD1196" s="56"/>
      <c r="BE1196" s="56"/>
      <c r="BF1196" s="107" t="str">
        <f t="shared" si="882"/>
        <v>https://www.google.com/search?tbm=isch&amp;q=15%20G6</v>
      </c>
      <c r="BG1196" s="107" t="str">
        <f t="shared" si="883"/>
        <v>E</v>
      </c>
      <c r="BH1196" s="254"/>
      <c r="BI1196" s="254"/>
    </row>
    <row r="1197" spans="1:61" customFormat="1" ht="15.75" x14ac:dyDescent="0.25">
      <c r="A1197" s="485">
        <v>10</v>
      </c>
      <c r="B1197" s="486" t="s">
        <v>291</v>
      </c>
      <c r="C1197" s="487" t="s">
        <v>22</v>
      </c>
      <c r="D1197" s="488" t="s">
        <v>312</v>
      </c>
      <c r="E1197" s="489">
        <v>190.95</v>
      </c>
      <c r="F1197" s="516" t="s">
        <v>293</v>
      </c>
      <c r="G1197" s="232">
        <v>0</v>
      </c>
      <c r="H1197" s="658" t="str">
        <f t="shared" si="891"/>
        <v/>
      </c>
      <c r="I1197" s="490">
        <f t="shared" si="892"/>
        <v>0</v>
      </c>
      <c r="J1197" s="490">
        <f t="shared" si="893"/>
        <v>0</v>
      </c>
      <c r="K1197" s="695">
        <f t="shared" ref="K1197" si="907">I1197+J1197</f>
        <v>0</v>
      </c>
      <c r="L1197" s="695"/>
      <c r="M1197" s="659" t="str">
        <f t="shared" si="895"/>
        <v/>
      </c>
      <c r="N1197" s="660"/>
      <c r="O1197" s="233"/>
      <c r="P1197" s="233"/>
      <c r="Q1197" s="233"/>
      <c r="R1197" s="233"/>
      <c r="S1197" s="233"/>
      <c r="T1197" s="508">
        <f t="shared" si="871"/>
        <v>0</v>
      </c>
      <c r="U1197" s="225">
        <f>IF(NOT(ISNUMBER(G1197)), "", VLOOKUP(A1197,'Discount Lookup'!D:E,2,FALSE)*G1197)</f>
        <v>0</v>
      </c>
      <c r="V1197" s="225">
        <f>IF(NOT(ISNUMBER(G1197)), "", VLOOKUP(A1197,'Discount Lookup'!G:H,2,FALSE)*G1197)</f>
        <v>0</v>
      </c>
      <c r="W1197" s="508">
        <f t="shared" si="872"/>
        <v>0</v>
      </c>
      <c r="X1197" s="508">
        <f t="shared" si="873"/>
        <v>0</v>
      </c>
      <c r="Y1197" s="509" t="b">
        <f t="shared" si="874"/>
        <v>0</v>
      </c>
      <c r="Z1197" s="510">
        <f t="shared" si="875"/>
        <v>0</v>
      </c>
      <c r="AA1197" s="511"/>
      <c r="AB1197" s="511" t="str">
        <f t="shared" si="876"/>
        <v/>
      </c>
      <c r="AC1197" s="698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698"/>
      <c r="AE1197" s="631" t="str">
        <f t="shared" si="877"/>
        <v/>
      </c>
      <c r="AF1197" s="699" t="str">
        <f t="shared" si="878"/>
        <v/>
      </c>
      <c r="AG1197" s="699"/>
      <c r="AH1197" s="699"/>
      <c r="AI1197" s="512">
        <f>IF(H1197="credit",0,IF(AE1197="free",0,IF(AE1197="me",0,IF(G1197&gt;0,(VLOOKUP(A1197,'Discount Lookup'!J:K,2)*G1197),0))))</f>
        <v>0</v>
      </c>
      <c r="AJ1197" s="513" t="str">
        <f t="shared" ca="1" si="879"/>
        <v/>
      </c>
      <c r="AK1197" s="700" t="str">
        <f t="shared" si="880"/>
        <v/>
      </c>
      <c r="AL1197" s="700"/>
      <c r="AM1197" s="505" t="str">
        <f t="shared" si="881"/>
        <v/>
      </c>
      <c r="AN1197" s="506"/>
      <c r="AO1197" s="507"/>
      <c r="AP1197" s="507"/>
      <c r="AQ1197" s="507"/>
      <c r="AR1197" s="507"/>
      <c r="AS1197" s="507"/>
      <c r="AT1197" s="507"/>
      <c r="AU1197" s="507"/>
      <c r="AV1197" s="225"/>
      <c r="AW1197" s="508"/>
      <c r="AX1197" s="225"/>
      <c r="AY1197" s="225"/>
      <c r="AZ1197" s="225"/>
      <c r="BA1197" s="225"/>
      <c r="BB1197" s="225"/>
      <c r="BC1197" s="56"/>
      <c r="BD1197" s="56"/>
      <c r="BE1197" s="56"/>
      <c r="BF1197" s="107" t="str">
        <f t="shared" si="882"/>
        <v>https://www.google.com/search?tbm=isch&amp;q=10%20G2</v>
      </c>
      <c r="BG1197" s="107" t="str">
        <f t="shared" si="883"/>
        <v>E</v>
      </c>
      <c r="BH1197" s="254"/>
      <c r="BI1197" s="254"/>
    </row>
    <row r="1198" spans="1:61" customFormat="1" ht="27" x14ac:dyDescent="0.25">
      <c r="A1198" s="485">
        <v>7</v>
      </c>
      <c r="B1198" s="486" t="s">
        <v>291</v>
      </c>
      <c r="C1198" s="487" t="s">
        <v>3439</v>
      </c>
      <c r="D1198" s="488" t="s">
        <v>292</v>
      </c>
      <c r="E1198" s="489">
        <v>252.95</v>
      </c>
      <c r="F1198" s="516" t="s">
        <v>293</v>
      </c>
      <c r="G1198" s="232">
        <v>0</v>
      </c>
      <c r="H1198" s="658" t="str">
        <f t="shared" si="891"/>
        <v/>
      </c>
      <c r="I1198" s="490">
        <f t="shared" si="892"/>
        <v>0</v>
      </c>
      <c r="J1198" s="490">
        <f t="shared" si="893"/>
        <v>0</v>
      </c>
      <c r="K1198" s="695">
        <f t="shared" ref="K1198" si="908">I1198+J1198</f>
        <v>0</v>
      </c>
      <c r="L1198" s="695"/>
      <c r="M1198" s="659" t="str">
        <f t="shared" si="895"/>
        <v/>
      </c>
      <c r="N1198" s="660"/>
      <c r="O1198" s="233"/>
      <c r="P1198" s="233"/>
      <c r="Q1198" s="233"/>
      <c r="R1198" s="233"/>
      <c r="S1198" s="233"/>
      <c r="T1198" s="508">
        <f t="shared" si="871"/>
        <v>0</v>
      </c>
      <c r="U1198" s="225">
        <f>IF(NOT(ISNUMBER(G1198)), "", VLOOKUP(A1198,'Discount Lookup'!D:E,2,FALSE)*G1198)</f>
        <v>0</v>
      </c>
      <c r="V1198" s="225">
        <f>IF(NOT(ISNUMBER(G1198)), "", VLOOKUP(A1198,'Discount Lookup'!G:H,2,FALSE)*G1198)</f>
        <v>0</v>
      </c>
      <c r="W1198" s="508">
        <f t="shared" si="872"/>
        <v>0</v>
      </c>
      <c r="X1198" s="508">
        <f t="shared" si="873"/>
        <v>0</v>
      </c>
      <c r="Y1198" s="509" t="b">
        <f t="shared" si="874"/>
        <v>0</v>
      </c>
      <c r="Z1198" s="510">
        <f t="shared" si="875"/>
        <v>0</v>
      </c>
      <c r="AA1198" s="511"/>
      <c r="AB1198" s="511" t="str">
        <f t="shared" si="876"/>
        <v/>
      </c>
      <c r="AC1198" s="698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698"/>
      <c r="AE1198" s="631" t="str">
        <f t="shared" si="877"/>
        <v/>
      </c>
      <c r="AF1198" s="699" t="str">
        <f t="shared" si="878"/>
        <v/>
      </c>
      <c r="AG1198" s="699"/>
      <c r="AH1198" s="699"/>
      <c r="AI1198" s="512">
        <f>IF(H1198="credit",0,IF(AE1198="free",0,IF(AE1198="me",0,IF(G1198&gt;0,(VLOOKUP(A1198,'Discount Lookup'!J:K,2)*G1198),0))))</f>
        <v>0</v>
      </c>
      <c r="AJ1198" s="513" t="str">
        <f t="shared" ca="1" si="879"/>
        <v/>
      </c>
      <c r="AK1198" s="700" t="str">
        <f t="shared" si="880"/>
        <v/>
      </c>
      <c r="AL1198" s="700"/>
      <c r="AM1198" s="505" t="str">
        <f t="shared" si="881"/>
        <v/>
      </c>
      <c r="AN1198" s="506"/>
      <c r="AO1198" s="507"/>
      <c r="AP1198" s="507"/>
      <c r="AQ1198" s="507"/>
      <c r="AR1198" s="507"/>
      <c r="AS1198" s="507"/>
      <c r="AT1198" s="507"/>
      <c r="AU1198" s="507"/>
      <c r="AV1198" s="225"/>
      <c r="AW1198" s="508"/>
      <c r="AX1198" s="225"/>
      <c r="AY1198" s="225"/>
      <c r="AZ1198" s="225"/>
      <c r="BA1198" s="225"/>
      <c r="BB1198" s="225"/>
      <c r="BC1198" s="56"/>
      <c r="BD1198" s="56"/>
      <c r="BE1198" s="56"/>
      <c r="BF1198" s="107" t="str">
        <f t="shared" si="882"/>
        <v>https://www.google.com/search?tbm=isch&amp;q=7%20G4</v>
      </c>
      <c r="BG1198" s="107" t="str">
        <f t="shared" si="883"/>
        <v>E</v>
      </c>
      <c r="BH1198" s="254"/>
      <c r="BI1198" s="254"/>
    </row>
    <row r="1199" spans="1:61" customFormat="1" ht="15.75" x14ac:dyDescent="0.25">
      <c r="A1199" s="485">
        <v>20</v>
      </c>
      <c r="B1199" s="486" t="s">
        <v>291</v>
      </c>
      <c r="C1199" s="487" t="s">
        <v>3527</v>
      </c>
      <c r="D1199" s="488" t="s">
        <v>292</v>
      </c>
      <c r="E1199" s="489">
        <v>263.95</v>
      </c>
      <c r="F1199" s="516" t="s">
        <v>293</v>
      </c>
      <c r="G1199" s="232">
        <v>0</v>
      </c>
      <c r="H1199" s="658" t="str">
        <f t="shared" si="891"/>
        <v/>
      </c>
      <c r="I1199" s="490">
        <f t="shared" si="892"/>
        <v>0</v>
      </c>
      <c r="J1199" s="490">
        <f t="shared" si="893"/>
        <v>0</v>
      </c>
      <c r="K1199" s="695">
        <f t="shared" ref="K1199" si="909">I1199+J1199</f>
        <v>0</v>
      </c>
      <c r="L1199" s="695"/>
      <c r="M1199" s="659" t="str">
        <f t="shared" si="895"/>
        <v/>
      </c>
      <c r="N1199" s="660"/>
      <c r="O1199" s="233"/>
      <c r="P1199" s="233"/>
      <c r="Q1199" s="233"/>
      <c r="R1199" s="233"/>
      <c r="S1199" s="233"/>
      <c r="T1199" s="508">
        <f t="shared" si="871"/>
        <v>0</v>
      </c>
      <c r="U1199" s="225">
        <f>IF(NOT(ISNUMBER(G1199)), "", VLOOKUP(A1199,'Discount Lookup'!D:E,2,FALSE)*G1199)</f>
        <v>0</v>
      </c>
      <c r="V1199" s="225">
        <f>IF(NOT(ISNUMBER(G1199)), "", VLOOKUP(A1199,'Discount Lookup'!G:H,2,FALSE)*G1199)</f>
        <v>0</v>
      </c>
      <c r="W1199" s="508">
        <f t="shared" si="872"/>
        <v>0</v>
      </c>
      <c r="X1199" s="508">
        <f t="shared" si="873"/>
        <v>0</v>
      </c>
      <c r="Y1199" s="509" t="b">
        <f t="shared" si="874"/>
        <v>0</v>
      </c>
      <c r="Z1199" s="510">
        <f t="shared" si="875"/>
        <v>0</v>
      </c>
      <c r="AA1199" s="511"/>
      <c r="AB1199" s="511" t="str">
        <f t="shared" si="876"/>
        <v/>
      </c>
      <c r="AC1199" s="698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698"/>
      <c r="AE1199" s="631" t="str">
        <f t="shared" si="877"/>
        <v/>
      </c>
      <c r="AF1199" s="699" t="str">
        <f t="shared" si="878"/>
        <v/>
      </c>
      <c r="AG1199" s="699"/>
      <c r="AH1199" s="699"/>
      <c r="AI1199" s="512">
        <f>IF(H1199="credit",0,IF(AE1199="free",0,IF(AE1199="me",0,IF(G1199&gt;0,(VLOOKUP(A1199,'Discount Lookup'!J:K,2)*G1199),0))))</f>
        <v>0</v>
      </c>
      <c r="AJ1199" s="513" t="str">
        <f t="shared" ca="1" si="879"/>
        <v/>
      </c>
      <c r="AK1199" s="700" t="str">
        <f t="shared" si="880"/>
        <v/>
      </c>
      <c r="AL1199" s="700"/>
      <c r="AM1199" s="505" t="str">
        <f t="shared" si="881"/>
        <v/>
      </c>
      <c r="AN1199" s="506"/>
      <c r="AO1199" s="507"/>
      <c r="AP1199" s="507"/>
      <c r="AQ1199" s="507"/>
      <c r="AR1199" s="507"/>
      <c r="AS1199" s="507"/>
      <c r="AT1199" s="507"/>
      <c r="AU1199" s="507"/>
      <c r="AV1199" s="225"/>
      <c r="AW1199" s="508"/>
      <c r="AX1199" s="225"/>
      <c r="AY1199" s="225"/>
      <c r="AZ1199" s="225"/>
      <c r="BA1199" s="225"/>
      <c r="BB1199" s="225"/>
      <c r="BC1199" s="56"/>
      <c r="BD1199" s="56"/>
      <c r="BE1199" s="56"/>
      <c r="BF1199" s="107" t="str">
        <f t="shared" si="882"/>
        <v>https://www.google.com/search?tbm=isch&amp;q=20%20G4</v>
      </c>
      <c r="BG1199" s="107" t="str">
        <f t="shared" si="883"/>
        <v>E</v>
      </c>
      <c r="BH1199" s="254"/>
      <c r="BI1199" s="254"/>
    </row>
    <row r="1200" spans="1:61" customFormat="1" ht="27" x14ac:dyDescent="0.25">
      <c r="A1200" s="485">
        <v>15</v>
      </c>
      <c r="B1200" s="486" t="s">
        <v>291</v>
      </c>
      <c r="C1200" s="487" t="s">
        <v>3440</v>
      </c>
      <c r="D1200" s="488" t="s">
        <v>292</v>
      </c>
      <c r="E1200" s="489">
        <v>309.95</v>
      </c>
      <c r="F1200" s="516" t="s">
        <v>293</v>
      </c>
      <c r="G1200" s="232">
        <v>0</v>
      </c>
      <c r="H1200" s="658" t="str">
        <f t="shared" si="891"/>
        <v/>
      </c>
      <c r="I1200" s="490">
        <f t="shared" si="892"/>
        <v>0</v>
      </c>
      <c r="J1200" s="490">
        <f t="shared" si="893"/>
        <v>0</v>
      </c>
      <c r="K1200" s="695">
        <f t="shared" ref="K1200" si="910">I1200+J1200</f>
        <v>0</v>
      </c>
      <c r="L1200" s="695"/>
      <c r="M1200" s="659" t="str">
        <f t="shared" si="895"/>
        <v/>
      </c>
      <c r="N1200" s="660"/>
      <c r="O1200" s="233"/>
      <c r="P1200" s="233"/>
      <c r="Q1200" s="233"/>
      <c r="R1200" s="233"/>
      <c r="S1200" s="233"/>
      <c r="T1200" s="508">
        <f t="shared" si="871"/>
        <v>0</v>
      </c>
      <c r="U1200" s="225">
        <f>IF(NOT(ISNUMBER(G1200)), "", VLOOKUP(A1200,'Discount Lookup'!D:E,2,FALSE)*G1200)</f>
        <v>0</v>
      </c>
      <c r="V1200" s="225">
        <f>IF(NOT(ISNUMBER(G1200)), "", VLOOKUP(A1200,'Discount Lookup'!G:H,2,FALSE)*G1200)</f>
        <v>0</v>
      </c>
      <c r="W1200" s="508">
        <f t="shared" si="872"/>
        <v>0</v>
      </c>
      <c r="X1200" s="508">
        <f t="shared" si="873"/>
        <v>0</v>
      </c>
      <c r="Y1200" s="509" t="b">
        <f t="shared" si="874"/>
        <v>0</v>
      </c>
      <c r="Z1200" s="510">
        <f t="shared" si="875"/>
        <v>0</v>
      </c>
      <c r="AA1200" s="511"/>
      <c r="AB1200" s="511" t="str">
        <f t="shared" si="876"/>
        <v/>
      </c>
      <c r="AC1200" s="698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698"/>
      <c r="AE1200" s="631" t="str">
        <f t="shared" si="877"/>
        <v/>
      </c>
      <c r="AF1200" s="699" t="str">
        <f t="shared" si="878"/>
        <v/>
      </c>
      <c r="AG1200" s="699"/>
      <c r="AH1200" s="699"/>
      <c r="AI1200" s="512">
        <f>IF(H1200="credit",0,IF(AE1200="free",0,IF(AE1200="me",0,IF(G1200&gt;0,(VLOOKUP(A1200,'Discount Lookup'!J:K,2)*G1200),0))))</f>
        <v>0</v>
      </c>
      <c r="AJ1200" s="513" t="str">
        <f t="shared" ca="1" si="879"/>
        <v/>
      </c>
      <c r="AK1200" s="700" t="str">
        <f t="shared" si="880"/>
        <v/>
      </c>
      <c r="AL1200" s="700"/>
      <c r="AM1200" s="505" t="str">
        <f t="shared" si="881"/>
        <v/>
      </c>
      <c r="AN1200" s="506"/>
      <c r="AO1200" s="507"/>
      <c r="AP1200" s="507"/>
      <c r="AQ1200" s="507"/>
      <c r="AR1200" s="507"/>
      <c r="AS1200" s="507"/>
      <c r="AT1200" s="507"/>
      <c r="AU1200" s="507"/>
      <c r="AV1200" s="225"/>
      <c r="AW1200" s="508"/>
      <c r="AX1200" s="225"/>
      <c r="AY1200" s="225"/>
      <c r="AZ1200" s="225"/>
      <c r="BA1200" s="225"/>
      <c r="BB1200" s="225"/>
      <c r="BC1200" s="56"/>
      <c r="BD1200" s="56"/>
      <c r="BE1200" s="56"/>
      <c r="BF1200" s="107" t="str">
        <f t="shared" si="882"/>
        <v>https://www.google.com/search?tbm=isch&amp;q=15%20G4</v>
      </c>
      <c r="BG1200" s="107" t="str">
        <f t="shared" si="883"/>
        <v>E</v>
      </c>
      <c r="BH1200" s="254"/>
      <c r="BI1200" s="254"/>
    </row>
    <row r="1201" spans="1:61" customFormat="1" ht="27" x14ac:dyDescent="0.25">
      <c r="A1201" s="485">
        <v>15</v>
      </c>
      <c r="B1201" s="486" t="s">
        <v>291</v>
      </c>
      <c r="C1201" s="487" t="s">
        <v>3441</v>
      </c>
      <c r="D1201" s="488" t="s">
        <v>292</v>
      </c>
      <c r="E1201" s="489">
        <v>339.95</v>
      </c>
      <c r="F1201" s="516" t="s">
        <v>293</v>
      </c>
      <c r="G1201" s="232">
        <v>0</v>
      </c>
      <c r="H1201" s="658" t="str">
        <f t="shared" si="891"/>
        <v/>
      </c>
      <c r="I1201" s="490">
        <f t="shared" si="892"/>
        <v>0</v>
      </c>
      <c r="J1201" s="490">
        <f t="shared" si="893"/>
        <v>0</v>
      </c>
      <c r="K1201" s="695">
        <f t="shared" ref="K1201" si="911">I1201+J1201</f>
        <v>0</v>
      </c>
      <c r="L1201" s="695"/>
      <c r="M1201" s="659" t="str">
        <f t="shared" si="895"/>
        <v/>
      </c>
      <c r="N1201" s="660"/>
      <c r="O1201" s="233"/>
      <c r="P1201" s="233"/>
      <c r="Q1201" s="233"/>
      <c r="R1201" s="233"/>
      <c r="S1201" s="233"/>
      <c r="T1201" s="508">
        <f t="shared" si="871"/>
        <v>0</v>
      </c>
      <c r="U1201" s="225">
        <f>IF(NOT(ISNUMBER(G1201)), "", VLOOKUP(A1201,'Discount Lookup'!D:E,2,FALSE)*G1201)</f>
        <v>0</v>
      </c>
      <c r="V1201" s="225">
        <f>IF(NOT(ISNUMBER(G1201)), "", VLOOKUP(A1201,'Discount Lookup'!G:H,2,FALSE)*G1201)</f>
        <v>0</v>
      </c>
      <c r="W1201" s="508">
        <f t="shared" si="872"/>
        <v>0</v>
      </c>
      <c r="X1201" s="508">
        <f t="shared" si="873"/>
        <v>0</v>
      </c>
      <c r="Y1201" s="509" t="b">
        <f t="shared" si="874"/>
        <v>0</v>
      </c>
      <c r="Z1201" s="510">
        <f t="shared" si="875"/>
        <v>0</v>
      </c>
      <c r="AA1201" s="511"/>
      <c r="AB1201" s="511" t="str">
        <f t="shared" si="876"/>
        <v/>
      </c>
      <c r="AC1201" s="698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698"/>
      <c r="AE1201" s="631" t="str">
        <f t="shared" si="877"/>
        <v/>
      </c>
      <c r="AF1201" s="699" t="str">
        <f t="shared" si="878"/>
        <v/>
      </c>
      <c r="AG1201" s="699"/>
      <c r="AH1201" s="699"/>
      <c r="AI1201" s="512">
        <f>IF(H1201="credit",0,IF(AE1201="free",0,IF(AE1201="me",0,IF(G1201&gt;0,(VLOOKUP(A1201,'Discount Lookup'!J:K,2)*G1201),0))))</f>
        <v>0</v>
      </c>
      <c r="AJ1201" s="513" t="str">
        <f t="shared" ca="1" si="879"/>
        <v/>
      </c>
      <c r="AK1201" s="700" t="str">
        <f t="shared" si="880"/>
        <v/>
      </c>
      <c r="AL1201" s="700"/>
      <c r="AM1201" s="505" t="str">
        <f t="shared" si="881"/>
        <v/>
      </c>
      <c r="AN1201" s="506"/>
      <c r="AO1201" s="507"/>
      <c r="AP1201" s="507"/>
      <c r="AQ1201" s="507"/>
      <c r="AR1201" s="507"/>
      <c r="AS1201" s="507"/>
      <c r="AT1201" s="507"/>
      <c r="AU1201" s="507"/>
      <c r="AV1201" s="225"/>
      <c r="AW1201" s="508"/>
      <c r="AX1201" s="225"/>
      <c r="AY1201" s="225"/>
      <c r="AZ1201" s="225"/>
      <c r="BA1201" s="225"/>
      <c r="BB1201" s="225"/>
      <c r="BC1201" s="56"/>
      <c r="BD1201" s="56"/>
      <c r="BE1201" s="56"/>
      <c r="BF1201" s="107" t="str">
        <f t="shared" si="882"/>
        <v>https://www.google.com/search?tbm=isch&amp;q=15%20G4</v>
      </c>
      <c r="BG1201" s="107" t="str">
        <f t="shared" si="883"/>
        <v>E</v>
      </c>
      <c r="BH1201" s="254"/>
      <c r="BI1201" s="254"/>
    </row>
    <row r="1202" spans="1:61" customFormat="1" ht="15.75" x14ac:dyDescent="0.25">
      <c r="A1202" s="485">
        <v>25</v>
      </c>
      <c r="B1202" s="486" t="s">
        <v>291</v>
      </c>
      <c r="C1202" s="487" t="s">
        <v>3442</v>
      </c>
      <c r="D1202" s="488" t="s">
        <v>292</v>
      </c>
      <c r="E1202" s="489">
        <v>378.95</v>
      </c>
      <c r="F1202" s="516" t="s">
        <v>293</v>
      </c>
      <c r="G1202" s="232">
        <v>0</v>
      </c>
      <c r="H1202" s="658" t="str">
        <f t="shared" si="891"/>
        <v/>
      </c>
      <c r="I1202" s="490">
        <f t="shared" si="892"/>
        <v>0</v>
      </c>
      <c r="J1202" s="490">
        <f t="shared" si="893"/>
        <v>0</v>
      </c>
      <c r="K1202" s="695">
        <f t="shared" ref="K1202" si="912">I1202+J1202</f>
        <v>0</v>
      </c>
      <c r="L1202" s="695"/>
      <c r="M1202" s="659" t="str">
        <f t="shared" si="895"/>
        <v/>
      </c>
      <c r="N1202" s="660"/>
      <c r="O1202" s="233"/>
      <c r="P1202" s="233"/>
      <c r="Q1202" s="233"/>
      <c r="R1202" s="233"/>
      <c r="S1202" s="233"/>
      <c r="T1202" s="508">
        <f t="shared" si="871"/>
        <v>0</v>
      </c>
      <c r="U1202" s="225">
        <f>IF(NOT(ISNUMBER(G1202)), "", VLOOKUP(A1202,'Discount Lookup'!D:E,2,FALSE)*G1202)</f>
        <v>0</v>
      </c>
      <c r="V1202" s="225">
        <f>IF(NOT(ISNUMBER(G1202)), "", VLOOKUP(A1202,'Discount Lookup'!G:H,2,FALSE)*G1202)</f>
        <v>0</v>
      </c>
      <c r="W1202" s="508">
        <f t="shared" si="872"/>
        <v>0</v>
      </c>
      <c r="X1202" s="508">
        <f t="shared" si="873"/>
        <v>0</v>
      </c>
      <c r="Y1202" s="509" t="b">
        <f t="shared" si="874"/>
        <v>0</v>
      </c>
      <c r="Z1202" s="510">
        <f t="shared" si="875"/>
        <v>0</v>
      </c>
      <c r="AA1202" s="511"/>
      <c r="AB1202" s="511" t="str">
        <f t="shared" si="876"/>
        <v/>
      </c>
      <c r="AC1202" s="698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698"/>
      <c r="AE1202" s="631" t="str">
        <f t="shared" si="877"/>
        <v/>
      </c>
      <c r="AF1202" s="699" t="str">
        <f t="shared" si="878"/>
        <v/>
      </c>
      <c r="AG1202" s="699"/>
      <c r="AH1202" s="699"/>
      <c r="AI1202" s="512">
        <f>IF(H1202="credit",0,IF(AE1202="free",0,IF(AE1202="me",0,IF(G1202&gt;0,(VLOOKUP(A1202,'Discount Lookup'!J:K,2)*G1202),0))))</f>
        <v>0</v>
      </c>
      <c r="AJ1202" s="513" t="str">
        <f t="shared" ca="1" si="879"/>
        <v/>
      </c>
      <c r="AK1202" s="700" t="str">
        <f t="shared" si="880"/>
        <v/>
      </c>
      <c r="AL1202" s="700"/>
      <c r="AM1202" s="505" t="str">
        <f t="shared" si="881"/>
        <v/>
      </c>
      <c r="AN1202" s="506"/>
      <c r="AO1202" s="507"/>
      <c r="AP1202" s="507"/>
      <c r="AQ1202" s="507"/>
      <c r="AR1202" s="507"/>
      <c r="AS1202" s="507"/>
      <c r="AT1202" s="507"/>
      <c r="AU1202" s="507"/>
      <c r="AV1202" s="225"/>
      <c r="AW1202" s="508"/>
      <c r="AX1202" s="225"/>
      <c r="AY1202" s="225"/>
      <c r="AZ1202" s="225"/>
      <c r="BA1202" s="225"/>
      <c r="BB1202" s="225"/>
      <c r="BC1202" s="56"/>
      <c r="BD1202" s="56"/>
      <c r="BE1202" s="56"/>
      <c r="BF1202" s="107" t="str">
        <f t="shared" si="882"/>
        <v>https://www.google.com/search?tbm=isch&amp;q=25%20G4</v>
      </c>
      <c r="BG1202" s="107" t="str">
        <f t="shared" si="883"/>
        <v>E</v>
      </c>
      <c r="BH1202" s="254"/>
      <c r="BI1202" s="254"/>
    </row>
    <row r="1203" spans="1:61" customFormat="1" ht="15.75" x14ac:dyDescent="0.25">
      <c r="A1203" s="485">
        <v>20</v>
      </c>
      <c r="B1203" s="486" t="s">
        <v>291</v>
      </c>
      <c r="C1203" s="487" t="s">
        <v>3443</v>
      </c>
      <c r="D1203" s="488" t="s">
        <v>292</v>
      </c>
      <c r="E1203" s="489">
        <v>408.95</v>
      </c>
      <c r="F1203" s="516" t="s">
        <v>293</v>
      </c>
      <c r="G1203" s="232">
        <v>0</v>
      </c>
      <c r="H1203" s="658" t="str">
        <f t="shared" si="891"/>
        <v/>
      </c>
      <c r="I1203" s="490">
        <f t="shared" si="892"/>
        <v>0</v>
      </c>
      <c r="J1203" s="490">
        <f t="shared" si="893"/>
        <v>0</v>
      </c>
      <c r="K1203" s="695">
        <f t="shared" ref="K1203" si="913">I1203+J1203</f>
        <v>0</v>
      </c>
      <c r="L1203" s="695"/>
      <c r="M1203" s="659" t="str">
        <f t="shared" si="895"/>
        <v/>
      </c>
      <c r="N1203" s="660"/>
      <c r="O1203" s="233"/>
      <c r="P1203" s="233"/>
      <c r="Q1203" s="233"/>
      <c r="R1203" s="233"/>
      <c r="S1203" s="233"/>
      <c r="T1203" s="508">
        <f t="shared" si="871"/>
        <v>0</v>
      </c>
      <c r="U1203" s="225">
        <f>IF(NOT(ISNUMBER(G1203)), "", VLOOKUP(A1203,'Discount Lookup'!D:E,2,FALSE)*G1203)</f>
        <v>0</v>
      </c>
      <c r="V1203" s="225">
        <f>IF(NOT(ISNUMBER(G1203)), "", VLOOKUP(A1203,'Discount Lookup'!G:H,2,FALSE)*G1203)</f>
        <v>0</v>
      </c>
      <c r="W1203" s="508">
        <f t="shared" si="872"/>
        <v>0</v>
      </c>
      <c r="X1203" s="508">
        <f t="shared" si="873"/>
        <v>0</v>
      </c>
      <c r="Y1203" s="509" t="b">
        <f t="shared" si="874"/>
        <v>0</v>
      </c>
      <c r="Z1203" s="510">
        <f t="shared" si="875"/>
        <v>0</v>
      </c>
      <c r="AA1203" s="511"/>
      <c r="AB1203" s="511" t="str">
        <f t="shared" si="876"/>
        <v/>
      </c>
      <c r="AC1203" s="698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698"/>
      <c r="AE1203" s="631" t="str">
        <f t="shared" si="877"/>
        <v/>
      </c>
      <c r="AF1203" s="699" t="str">
        <f t="shared" si="878"/>
        <v/>
      </c>
      <c r="AG1203" s="699"/>
      <c r="AH1203" s="699"/>
      <c r="AI1203" s="512">
        <f>IF(H1203="credit",0,IF(AE1203="free",0,IF(AE1203="me",0,IF(G1203&gt;0,(VLOOKUP(A1203,'Discount Lookup'!J:K,2)*G1203),0))))</f>
        <v>0</v>
      </c>
      <c r="AJ1203" s="513" t="str">
        <f t="shared" ca="1" si="879"/>
        <v/>
      </c>
      <c r="AK1203" s="700" t="str">
        <f t="shared" si="880"/>
        <v/>
      </c>
      <c r="AL1203" s="700"/>
      <c r="AM1203" s="505" t="str">
        <f t="shared" si="881"/>
        <v/>
      </c>
      <c r="AN1203" s="506"/>
      <c r="AO1203" s="507"/>
      <c r="AP1203" s="507"/>
      <c r="AQ1203" s="507"/>
      <c r="AR1203" s="507"/>
      <c r="AS1203" s="507"/>
      <c r="AT1203" s="507"/>
      <c r="AU1203" s="507"/>
      <c r="AV1203" s="225"/>
      <c r="AW1203" s="508"/>
      <c r="AX1203" s="225"/>
      <c r="AY1203" s="225"/>
      <c r="AZ1203" s="225"/>
      <c r="BA1203" s="225"/>
      <c r="BB1203" s="225"/>
      <c r="BC1203" s="56"/>
      <c r="BD1203" s="56"/>
      <c r="BE1203" s="56"/>
      <c r="BF1203" s="107" t="str">
        <f t="shared" si="882"/>
        <v>https://www.google.com/search?tbm=isch&amp;q=20%20G4</v>
      </c>
      <c r="BG1203" s="107" t="str">
        <f t="shared" si="883"/>
        <v>E</v>
      </c>
      <c r="BH1203" s="254"/>
      <c r="BI1203" s="254"/>
    </row>
    <row r="1204" spans="1:61" customFormat="1" ht="15.75" x14ac:dyDescent="0.25">
      <c r="A1204" s="485">
        <v>20</v>
      </c>
      <c r="B1204" s="486" t="s">
        <v>291</v>
      </c>
      <c r="C1204" s="487" t="s">
        <v>3444</v>
      </c>
      <c r="D1204" s="488" t="s">
        <v>292</v>
      </c>
      <c r="E1204" s="489">
        <v>431.95</v>
      </c>
      <c r="F1204" s="516" t="s">
        <v>293</v>
      </c>
      <c r="G1204" s="232">
        <v>0</v>
      </c>
      <c r="H1204" s="658" t="str">
        <f t="shared" si="891"/>
        <v/>
      </c>
      <c r="I1204" s="490">
        <f t="shared" si="892"/>
        <v>0</v>
      </c>
      <c r="J1204" s="490">
        <f t="shared" si="893"/>
        <v>0</v>
      </c>
      <c r="K1204" s="695">
        <f t="shared" ref="K1204" si="914">I1204+J1204</f>
        <v>0</v>
      </c>
      <c r="L1204" s="695"/>
      <c r="M1204" s="659" t="str">
        <f t="shared" si="895"/>
        <v/>
      </c>
      <c r="N1204" s="660"/>
      <c r="O1204" s="233"/>
      <c r="P1204" s="233"/>
      <c r="Q1204" s="233"/>
      <c r="R1204" s="233"/>
      <c r="S1204" s="233"/>
      <c r="T1204" s="508">
        <f t="shared" si="871"/>
        <v>0</v>
      </c>
      <c r="U1204" s="225">
        <f>IF(NOT(ISNUMBER(G1204)), "", VLOOKUP(A1204,'Discount Lookup'!D:E,2,FALSE)*G1204)</f>
        <v>0</v>
      </c>
      <c r="V1204" s="225">
        <f>IF(NOT(ISNUMBER(G1204)), "", VLOOKUP(A1204,'Discount Lookup'!G:H,2,FALSE)*G1204)</f>
        <v>0</v>
      </c>
      <c r="W1204" s="508">
        <f t="shared" si="872"/>
        <v>0</v>
      </c>
      <c r="X1204" s="508">
        <f t="shared" si="873"/>
        <v>0</v>
      </c>
      <c r="Y1204" s="509" t="b">
        <f t="shared" si="874"/>
        <v>0</v>
      </c>
      <c r="Z1204" s="510">
        <f t="shared" si="875"/>
        <v>0</v>
      </c>
      <c r="AA1204" s="511"/>
      <c r="AB1204" s="511" t="str">
        <f t="shared" si="876"/>
        <v/>
      </c>
      <c r="AC1204" s="698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698"/>
      <c r="AE1204" s="631" t="str">
        <f t="shared" si="877"/>
        <v/>
      </c>
      <c r="AF1204" s="699" t="str">
        <f t="shared" si="878"/>
        <v/>
      </c>
      <c r="AG1204" s="699"/>
      <c r="AH1204" s="699"/>
      <c r="AI1204" s="512">
        <f>IF(H1204="credit",0,IF(AE1204="free",0,IF(AE1204="me",0,IF(G1204&gt;0,(VLOOKUP(A1204,'Discount Lookup'!J:K,2)*G1204),0))))</f>
        <v>0</v>
      </c>
      <c r="AJ1204" s="513" t="str">
        <f t="shared" ca="1" si="879"/>
        <v/>
      </c>
      <c r="AK1204" s="700" t="str">
        <f t="shared" si="880"/>
        <v/>
      </c>
      <c r="AL1204" s="700"/>
      <c r="AM1204" s="505" t="str">
        <f t="shared" si="881"/>
        <v/>
      </c>
      <c r="AN1204" s="506"/>
      <c r="AO1204" s="507"/>
      <c r="AP1204" s="507"/>
      <c r="AQ1204" s="507"/>
      <c r="AR1204" s="507"/>
      <c r="AS1204" s="507"/>
      <c r="AT1204" s="507"/>
      <c r="AU1204" s="507"/>
      <c r="AV1204" s="225"/>
      <c r="AW1204" s="508"/>
      <c r="AX1204" s="225"/>
      <c r="AY1204" s="225"/>
      <c r="AZ1204" s="225"/>
      <c r="BA1204" s="225"/>
      <c r="BB1204" s="225"/>
      <c r="BC1204" s="56"/>
      <c r="BD1204" s="56"/>
      <c r="BE1204" s="56"/>
      <c r="BF1204" s="107" t="str">
        <f t="shared" si="882"/>
        <v>https://www.google.com/search?tbm=isch&amp;q=20%20G4</v>
      </c>
      <c r="BG1204" s="107" t="str">
        <f t="shared" si="883"/>
        <v>E</v>
      </c>
      <c r="BH1204" s="254"/>
      <c r="BI1204" s="254"/>
    </row>
    <row r="1205" spans="1:61" customFormat="1" ht="15.75" x14ac:dyDescent="0.25">
      <c r="A1205" s="485">
        <v>25</v>
      </c>
      <c r="B1205" s="486" t="s">
        <v>291</v>
      </c>
      <c r="C1205" s="487" t="s">
        <v>4400</v>
      </c>
      <c r="D1205" s="488" t="s">
        <v>292</v>
      </c>
      <c r="E1205" s="489">
        <v>609.95000000000005</v>
      </c>
      <c r="F1205" s="516" t="s">
        <v>293</v>
      </c>
      <c r="G1205" s="232">
        <v>0</v>
      </c>
      <c r="H1205" s="658" t="str">
        <f t="shared" si="891"/>
        <v/>
      </c>
      <c r="I1205" s="490">
        <f t="shared" si="892"/>
        <v>0</v>
      </c>
      <c r="J1205" s="490">
        <f t="shared" si="893"/>
        <v>0</v>
      </c>
      <c r="K1205" s="695">
        <f t="shared" ref="K1205" si="915">I1205+J1205</f>
        <v>0</v>
      </c>
      <c r="L1205" s="695"/>
      <c r="M1205" s="659" t="str">
        <f t="shared" si="895"/>
        <v/>
      </c>
      <c r="N1205" s="660"/>
      <c r="O1205" s="233"/>
      <c r="P1205" s="233"/>
      <c r="Q1205" s="233"/>
      <c r="R1205" s="233"/>
      <c r="S1205" s="233"/>
      <c r="T1205" s="508">
        <f t="shared" si="871"/>
        <v>0</v>
      </c>
      <c r="U1205" s="225">
        <f>IF(NOT(ISNUMBER(G1205)), "", VLOOKUP(A1205,'Discount Lookup'!D:E,2,FALSE)*G1205)</f>
        <v>0</v>
      </c>
      <c r="V1205" s="225">
        <f>IF(NOT(ISNUMBER(G1205)), "", VLOOKUP(A1205,'Discount Lookup'!G:H,2,FALSE)*G1205)</f>
        <v>0</v>
      </c>
      <c r="W1205" s="508">
        <f t="shared" si="872"/>
        <v>0</v>
      </c>
      <c r="X1205" s="508">
        <f t="shared" si="873"/>
        <v>0</v>
      </c>
      <c r="Y1205" s="509" t="b">
        <f t="shared" si="874"/>
        <v>0</v>
      </c>
      <c r="Z1205" s="510">
        <f t="shared" si="875"/>
        <v>0</v>
      </c>
      <c r="AA1205" s="511"/>
      <c r="AB1205" s="511" t="str">
        <f t="shared" si="876"/>
        <v/>
      </c>
      <c r="AC1205" s="698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698"/>
      <c r="AE1205" s="631" t="str">
        <f t="shared" si="877"/>
        <v/>
      </c>
      <c r="AF1205" s="699" t="str">
        <f t="shared" si="878"/>
        <v/>
      </c>
      <c r="AG1205" s="699"/>
      <c r="AH1205" s="699"/>
      <c r="AI1205" s="512">
        <f>IF(H1205="credit",0,IF(AE1205="free",0,IF(AE1205="me",0,IF(G1205&gt;0,(VLOOKUP(A1205,'Discount Lookup'!J:K,2)*G1205),0))))</f>
        <v>0</v>
      </c>
      <c r="AJ1205" s="513" t="str">
        <f t="shared" ca="1" si="879"/>
        <v/>
      </c>
      <c r="AK1205" s="700" t="str">
        <f t="shared" si="880"/>
        <v/>
      </c>
      <c r="AL1205" s="700"/>
      <c r="AM1205" s="505" t="str">
        <f t="shared" si="881"/>
        <v/>
      </c>
      <c r="AN1205" s="506"/>
      <c r="AO1205" s="507"/>
      <c r="AP1205" s="507"/>
      <c r="AQ1205" s="507"/>
      <c r="AR1205" s="507"/>
      <c r="AS1205" s="507"/>
      <c r="AT1205" s="507"/>
      <c r="AU1205" s="507"/>
      <c r="AV1205" s="225"/>
      <c r="AW1205" s="508"/>
      <c r="AX1205" s="225"/>
      <c r="AY1205" s="225"/>
      <c r="AZ1205" s="225"/>
      <c r="BA1205" s="225"/>
      <c r="BB1205" s="225"/>
      <c r="BC1205" s="56"/>
      <c r="BD1205" s="56"/>
      <c r="BE1205" s="56"/>
      <c r="BF1205" s="107" t="str">
        <f t="shared" si="882"/>
        <v>https://www.google.com/search?tbm=isch&amp;q=25%20G4</v>
      </c>
      <c r="BG1205" s="107" t="str">
        <f t="shared" si="883"/>
        <v>E</v>
      </c>
      <c r="BH1205" s="254"/>
      <c r="BI1205" s="254"/>
    </row>
    <row r="1206" spans="1:61" customFormat="1" ht="27" x14ac:dyDescent="0.25">
      <c r="A1206" s="485">
        <v>25</v>
      </c>
      <c r="B1206" s="486" t="s">
        <v>291</v>
      </c>
      <c r="C1206" s="487" t="s">
        <v>3445</v>
      </c>
      <c r="D1206" s="488" t="s">
        <v>292</v>
      </c>
      <c r="E1206" s="489">
        <v>1308.95</v>
      </c>
      <c r="F1206" s="516" t="s">
        <v>293</v>
      </c>
      <c r="G1206" s="232">
        <v>0</v>
      </c>
      <c r="H1206" s="658" t="str">
        <f t="shared" si="891"/>
        <v/>
      </c>
      <c r="I1206" s="490">
        <f t="shared" si="892"/>
        <v>0</v>
      </c>
      <c r="J1206" s="490">
        <f t="shared" si="893"/>
        <v>0</v>
      </c>
      <c r="K1206" s="695">
        <f t="shared" ref="K1206" si="916">I1206+J1206</f>
        <v>0</v>
      </c>
      <c r="L1206" s="695"/>
      <c r="M1206" s="659" t="str">
        <f t="shared" si="895"/>
        <v/>
      </c>
      <c r="N1206" s="660"/>
      <c r="O1206" s="233"/>
      <c r="P1206" s="233"/>
      <c r="Q1206" s="233"/>
      <c r="R1206" s="233"/>
      <c r="S1206" s="233"/>
      <c r="T1206" s="508">
        <f t="shared" si="871"/>
        <v>0</v>
      </c>
      <c r="U1206" s="225">
        <f>IF(NOT(ISNUMBER(G1206)), "", VLOOKUP(A1206,'Discount Lookup'!D:E,2,FALSE)*G1206)</f>
        <v>0</v>
      </c>
      <c r="V1206" s="225">
        <f>IF(NOT(ISNUMBER(G1206)), "", VLOOKUP(A1206,'Discount Lookup'!G:H,2,FALSE)*G1206)</f>
        <v>0</v>
      </c>
      <c r="W1206" s="508">
        <f t="shared" si="872"/>
        <v>0</v>
      </c>
      <c r="X1206" s="508">
        <f t="shared" si="873"/>
        <v>0</v>
      </c>
      <c r="Y1206" s="509" t="b">
        <f t="shared" si="874"/>
        <v>0</v>
      </c>
      <c r="Z1206" s="510">
        <f t="shared" si="875"/>
        <v>0</v>
      </c>
      <c r="AA1206" s="511"/>
      <c r="AB1206" s="511" t="str">
        <f t="shared" si="876"/>
        <v/>
      </c>
      <c r="AC1206" s="698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698"/>
      <c r="AE1206" s="631" t="str">
        <f t="shared" si="877"/>
        <v/>
      </c>
      <c r="AF1206" s="699" t="str">
        <f t="shared" si="878"/>
        <v/>
      </c>
      <c r="AG1206" s="699"/>
      <c r="AH1206" s="699"/>
      <c r="AI1206" s="512">
        <f>IF(H1206="credit",0,IF(AE1206="free",0,IF(AE1206="me",0,IF(G1206&gt;0,(VLOOKUP(A1206,'Discount Lookup'!J:K,2)*G1206),0))))</f>
        <v>0</v>
      </c>
      <c r="AJ1206" s="513" t="str">
        <f t="shared" ca="1" si="879"/>
        <v/>
      </c>
      <c r="AK1206" s="700" t="str">
        <f t="shared" si="880"/>
        <v/>
      </c>
      <c r="AL1206" s="700"/>
      <c r="AM1206" s="505" t="str">
        <f t="shared" si="881"/>
        <v/>
      </c>
      <c r="AN1206" s="506"/>
      <c r="AO1206" s="507"/>
      <c r="AP1206" s="507"/>
      <c r="AQ1206" s="507"/>
      <c r="AR1206" s="507"/>
      <c r="AS1206" s="507"/>
      <c r="AT1206" s="507"/>
      <c r="AU1206" s="507"/>
      <c r="AV1206" s="225"/>
      <c r="AW1206" s="508"/>
      <c r="AX1206" s="225"/>
      <c r="AY1206" s="225"/>
      <c r="AZ1206" s="225"/>
      <c r="BA1206" s="225"/>
      <c r="BB1206" s="225"/>
      <c r="BC1206" s="56"/>
      <c r="BD1206" s="56"/>
      <c r="BE1206" s="56"/>
      <c r="BF1206" s="107" t="str">
        <f t="shared" si="882"/>
        <v>https://www.google.com/search?tbm=isch&amp;q=25%20G4</v>
      </c>
      <c r="BG1206" s="107" t="str">
        <f t="shared" si="883"/>
        <v>E</v>
      </c>
      <c r="BH1206" s="254"/>
      <c r="BI1206" s="254"/>
    </row>
    <row r="1207" spans="1:61" customFormat="1" ht="27" x14ac:dyDescent="0.25">
      <c r="A1207" s="485">
        <v>25</v>
      </c>
      <c r="B1207" s="486" t="s">
        <v>291</v>
      </c>
      <c r="C1207" s="487" t="s">
        <v>3446</v>
      </c>
      <c r="D1207" s="488" t="s">
        <v>292</v>
      </c>
      <c r="E1207" s="489">
        <v>1308.95</v>
      </c>
      <c r="F1207" s="516" t="s">
        <v>293</v>
      </c>
      <c r="G1207" s="232">
        <v>0</v>
      </c>
      <c r="H1207" s="658" t="str">
        <f t="shared" si="891"/>
        <v/>
      </c>
      <c r="I1207" s="490">
        <f t="shared" si="892"/>
        <v>0</v>
      </c>
      <c r="J1207" s="490">
        <f t="shared" si="893"/>
        <v>0</v>
      </c>
      <c r="K1207" s="695">
        <f t="shared" ref="K1207" si="917">I1207+J1207</f>
        <v>0</v>
      </c>
      <c r="L1207" s="695"/>
      <c r="M1207" s="659" t="str">
        <f t="shared" si="895"/>
        <v/>
      </c>
      <c r="N1207" s="660"/>
      <c r="O1207" s="233"/>
      <c r="P1207" s="233"/>
      <c r="Q1207" s="233"/>
      <c r="R1207" s="233"/>
      <c r="S1207" s="233"/>
      <c r="T1207" s="508">
        <f t="shared" si="871"/>
        <v>0</v>
      </c>
      <c r="U1207" s="225">
        <f>IF(NOT(ISNUMBER(G1207)), "", VLOOKUP(A1207,'Discount Lookup'!D:E,2,FALSE)*G1207)</f>
        <v>0</v>
      </c>
      <c r="V1207" s="225">
        <f>IF(NOT(ISNUMBER(G1207)), "", VLOOKUP(A1207,'Discount Lookup'!G:H,2,FALSE)*G1207)</f>
        <v>0</v>
      </c>
      <c r="W1207" s="508">
        <f t="shared" si="872"/>
        <v>0</v>
      </c>
      <c r="X1207" s="508">
        <f t="shared" si="873"/>
        <v>0</v>
      </c>
      <c r="Y1207" s="509" t="b">
        <f t="shared" si="874"/>
        <v>0</v>
      </c>
      <c r="Z1207" s="510">
        <f t="shared" si="875"/>
        <v>0</v>
      </c>
      <c r="AA1207" s="511"/>
      <c r="AB1207" s="511" t="str">
        <f t="shared" si="876"/>
        <v/>
      </c>
      <c r="AC1207" s="698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698"/>
      <c r="AE1207" s="631" t="str">
        <f t="shared" si="877"/>
        <v/>
      </c>
      <c r="AF1207" s="699" t="str">
        <f t="shared" si="878"/>
        <v/>
      </c>
      <c r="AG1207" s="699"/>
      <c r="AH1207" s="699"/>
      <c r="AI1207" s="512">
        <f>IF(H1207="credit",0,IF(AE1207="free",0,IF(AE1207="me",0,IF(G1207&gt;0,(VLOOKUP(A1207,'Discount Lookup'!J:K,2)*G1207),0))))</f>
        <v>0</v>
      </c>
      <c r="AJ1207" s="513" t="str">
        <f t="shared" ca="1" si="879"/>
        <v/>
      </c>
      <c r="AK1207" s="700" t="str">
        <f t="shared" si="880"/>
        <v/>
      </c>
      <c r="AL1207" s="700"/>
      <c r="AM1207" s="505" t="str">
        <f t="shared" si="881"/>
        <v/>
      </c>
      <c r="AN1207" s="506"/>
      <c r="AO1207" s="507"/>
      <c r="AP1207" s="507"/>
      <c r="AQ1207" s="507"/>
      <c r="AR1207" s="507"/>
      <c r="AS1207" s="507"/>
      <c r="AT1207" s="507"/>
      <c r="AU1207" s="507"/>
      <c r="AV1207" s="225"/>
      <c r="AW1207" s="508"/>
      <c r="AX1207" s="225"/>
      <c r="AY1207" s="225"/>
      <c r="AZ1207" s="225"/>
      <c r="BA1207" s="225"/>
      <c r="BB1207" s="225"/>
      <c r="BC1207" s="56"/>
      <c r="BD1207" s="56"/>
      <c r="BE1207" s="56"/>
      <c r="BF1207" s="107" t="str">
        <f t="shared" si="882"/>
        <v>https://www.google.com/search?tbm=isch&amp;q=25%20G4</v>
      </c>
      <c r="BG1207" s="107" t="str">
        <f t="shared" si="883"/>
        <v>E</v>
      </c>
      <c r="BH1207" s="254"/>
      <c r="BI1207" s="254"/>
    </row>
    <row r="1208" spans="1:61" customFormat="1" ht="16.5" thickBot="1" x14ac:dyDescent="0.3">
      <c r="A1208" s="522" t="s">
        <v>2877</v>
      </c>
      <c r="B1208" s="491"/>
      <c r="C1208" s="675"/>
      <c r="D1208" s="491"/>
      <c r="E1208" s="491"/>
      <c r="F1208" s="492"/>
      <c r="G1208" s="493"/>
      <c r="H1208" s="491"/>
      <c r="I1208" s="234"/>
      <c r="J1208" s="234"/>
      <c r="K1208" s="494"/>
      <c r="L1208" s="543"/>
      <c r="M1208" s="561"/>
      <c r="N1208" s="495"/>
      <c r="O1208" s="496"/>
      <c r="P1208" s="497"/>
      <c r="Q1208" s="495"/>
      <c r="R1208" s="495"/>
      <c r="S1208" s="277"/>
      <c r="T1208" s="508">
        <f t="shared" si="871"/>
        <v>0</v>
      </c>
      <c r="U1208" s="225" t="str">
        <f>IF(NOT(ISNUMBER(G1208)), "", VLOOKUP(A1208,'Discount Lookup'!D:E,2,FALSE)*G1208)</f>
        <v/>
      </c>
      <c r="V1208" s="225" t="str">
        <f>IF(NOT(ISNUMBER(G1208)), "", VLOOKUP(A1208,'Discount Lookup'!G:H,2,FALSE)*G1208)</f>
        <v/>
      </c>
      <c r="W1208" s="508">
        <f t="shared" si="872"/>
        <v>0</v>
      </c>
      <c r="X1208" s="508">
        <f t="shared" si="873"/>
        <v>0</v>
      </c>
      <c r="Y1208" s="509" t="b">
        <f t="shared" si="874"/>
        <v>0</v>
      </c>
      <c r="Z1208" s="510">
        <f t="shared" si="875"/>
        <v>0</v>
      </c>
      <c r="AA1208" s="511"/>
      <c r="AB1208" s="511" t="str">
        <f t="shared" si="876"/>
        <v/>
      </c>
      <c r="AC1208" s="698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698"/>
      <c r="AE1208" s="631" t="str">
        <f t="shared" si="877"/>
        <v/>
      </c>
      <c r="AF1208" s="699" t="str">
        <f t="shared" si="878"/>
        <v/>
      </c>
      <c r="AG1208" s="699"/>
      <c r="AH1208" s="699"/>
      <c r="AI1208" s="512">
        <f>IF(H1208="credit",0,IF(AE1208="free",0,IF(AE1208="me",0,IF(G1208&gt;0,(VLOOKUP(A1208,'Discount Lookup'!J:K,2)*G1208),0))))</f>
        <v>0</v>
      </c>
      <c r="AJ1208" s="513" t="str">
        <f t="shared" ca="1" si="879"/>
        <v/>
      </c>
      <c r="AK1208" s="700" t="str">
        <f t="shared" si="880"/>
        <v/>
      </c>
      <c r="AL1208" s="700"/>
      <c r="AM1208" s="505" t="str">
        <f t="shared" si="881"/>
        <v/>
      </c>
      <c r="AN1208" s="506"/>
      <c r="AO1208" s="507"/>
      <c r="AP1208" s="507"/>
      <c r="AQ1208" s="507"/>
      <c r="AR1208" s="507"/>
      <c r="AS1208" s="507"/>
      <c r="AT1208" s="507"/>
      <c r="AU1208" s="507"/>
      <c r="AV1208" s="225"/>
      <c r="AW1208" s="508"/>
      <c r="AX1208" s="225"/>
      <c r="AY1208" s="225"/>
      <c r="AZ1208" s="225"/>
      <c r="BA1208" s="225"/>
      <c r="BB1208" s="225"/>
      <c r="BC1208" s="56"/>
      <c r="BD1208" s="56"/>
      <c r="BE1208" s="56"/>
      <c r="BF1208" s="107" t="str">
        <f t="shared" si="882"/>
        <v>https://www.google.com/search?tbm=isch&amp;q=Emerald%20is%20named%20for%20it%27s%20year-round%20color%2C%20with%20little%20winter%20bronzing%20</v>
      </c>
      <c r="BG1208" s="107" t="str">
        <f t="shared" si="883"/>
        <v>E</v>
      </c>
      <c r="BH1208" s="254"/>
      <c r="BI1208" s="254"/>
    </row>
    <row r="1209" spans="1:61" customFormat="1" ht="18" x14ac:dyDescent="0.25">
      <c r="A1209" s="521" t="s">
        <v>5397</v>
      </c>
      <c r="B1209" s="477"/>
      <c r="C1209" s="674"/>
      <c r="D1209" s="478" t="s">
        <v>837</v>
      </c>
      <c r="E1209" s="479"/>
      <c r="F1209" s="479"/>
      <c r="G1209" s="479"/>
      <c r="H1209" s="582" t="s">
        <v>2878</v>
      </c>
      <c r="I1209" s="480" t="s">
        <v>2257</v>
      </c>
      <c r="J1209" s="479"/>
      <c r="K1209" s="479"/>
      <c r="L1209" s="560"/>
      <c r="M1209" s="666" t="s">
        <v>4966</v>
      </c>
      <c r="N1209" s="680" t="str">
        <f>IF(AND(ISTEXT($A1209), ISERROR($A1209+0)), HYPERLINK($BF1209, "Images"), "")</f>
        <v>Images</v>
      </c>
      <c r="O1209" s="662" t="s">
        <v>4974</v>
      </c>
      <c r="P1209" s="482"/>
      <c r="Q1209" s="483"/>
      <c r="R1209" s="483"/>
      <c r="S1209" s="484"/>
      <c r="T1209" s="508">
        <f t="shared" si="871"/>
        <v>0</v>
      </c>
      <c r="U1209" s="225" t="str">
        <f>IF(NOT(ISNUMBER(G1209)), "", VLOOKUP(A1209,'Discount Lookup'!D:E,2,FALSE)*G1209)</f>
        <v/>
      </c>
      <c r="V1209" s="225" t="str">
        <f>IF(NOT(ISNUMBER(G1209)), "", VLOOKUP(A1209,'Discount Lookup'!G:H,2,FALSE)*G1209)</f>
        <v/>
      </c>
      <c r="W1209" s="508">
        <f t="shared" si="872"/>
        <v>0</v>
      </c>
      <c r="X1209" s="508" t="str">
        <f t="shared" si="873"/>
        <v>Glossy Green foliage</v>
      </c>
      <c r="Y1209" s="509" t="b">
        <f t="shared" si="874"/>
        <v>0</v>
      </c>
      <c r="Z1209" s="510">
        <f t="shared" si="875"/>
        <v>0</v>
      </c>
      <c r="AA1209" s="511"/>
      <c r="AB1209" s="511" t="str">
        <f t="shared" si="876"/>
        <v/>
      </c>
      <c r="AC1209" s="698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698"/>
      <c r="AE1209" s="631" t="str">
        <f t="shared" si="877"/>
        <v/>
      </c>
      <c r="AF1209" s="699" t="str">
        <f t="shared" si="878"/>
        <v/>
      </c>
      <c r="AG1209" s="699"/>
      <c r="AH1209" s="699"/>
      <c r="AI1209" s="512">
        <f>IF(H1209="credit",0,IF(AE1209="free",0,IF(AE1209="me",0,IF(G1209&gt;0,(VLOOKUP(A1209,'Discount Lookup'!J:K,2)*G1209),0))))</f>
        <v>0</v>
      </c>
      <c r="AJ1209" s="513" t="str">
        <f t="shared" ca="1" si="879"/>
        <v/>
      </c>
      <c r="AK1209" s="700" t="str">
        <f t="shared" si="880"/>
        <v/>
      </c>
      <c r="AL1209" s="700"/>
      <c r="AM1209" s="505" t="str">
        <f t="shared" si="881"/>
        <v/>
      </c>
      <c r="AN1209" s="506"/>
      <c r="AO1209" s="507"/>
      <c r="AP1209" s="507"/>
      <c r="AQ1209" s="507"/>
      <c r="AR1209" s="507"/>
      <c r="AS1209" s="507"/>
      <c r="AT1209" s="507"/>
      <c r="AU1209" s="507"/>
      <c r="AV1209" s="225"/>
      <c r="AW1209" s="508"/>
      <c r="AX1209" s="225"/>
      <c r="AY1209" s="225"/>
      <c r="AZ1209" s="225"/>
      <c r="BA1209" s="225"/>
      <c r="BB1209" s="225"/>
      <c r="BC1209" s="56"/>
      <c r="BD1209" s="56"/>
      <c r="BE1209" s="56"/>
      <c r="BF1209" s="107" t="str">
        <f t="shared" si="882"/>
        <v>https://www.google.com/search?tbm=isch&amp;q=Emerald%20Colonnade%C2%AE%20Holly%20Ilex%20%27RutHol1%27%20PP%2323905</v>
      </c>
      <c r="BG1209" s="107" t="str">
        <f t="shared" si="883"/>
        <v>E</v>
      </c>
      <c r="BH1209" s="254"/>
      <c r="BI1209" s="254"/>
    </row>
    <row r="1210" spans="1:61" customFormat="1" ht="15.75" x14ac:dyDescent="0.25">
      <c r="A1210" s="485">
        <v>15</v>
      </c>
      <c r="B1210" s="486" t="s">
        <v>291</v>
      </c>
      <c r="C1210" s="487" t="s">
        <v>3984</v>
      </c>
      <c r="D1210" s="488" t="s">
        <v>300</v>
      </c>
      <c r="E1210" s="489">
        <v>326.95</v>
      </c>
      <c r="F1210" s="516" t="s">
        <v>293</v>
      </c>
      <c r="G1210" s="232">
        <v>0</v>
      </c>
      <c r="H1210" s="658" t="str">
        <f t="shared" ref="H1210:H1216" si="918">IF(G1210=0,"",IF(F1210="Buy",IF(G1210=1,"plant","plants"),IF(F1210&gt;0.01,"warranty","Error")))</f>
        <v/>
      </c>
      <c r="I1210" s="490">
        <f t="shared" ref="I1210:I1216" si="919">IF(H1210="free",0,IF(H1210="credit",((E1210*(F1210))*G1210*-1),IF(F1210="Buy",(E1210*G1210),((E1210*(1-F1210))*G1210))))</f>
        <v>0</v>
      </c>
      <c r="J1210" s="490">
        <f t="shared" ref="J1210:J1216" si="920">IF(H1210="warranty",0,(I1210*(_xlfn.SINGLE(SalesTaxPercentage))))</f>
        <v>0</v>
      </c>
      <c r="K1210" s="695">
        <f t="shared" ref="K1210" si="921">I1210+J1210</f>
        <v>0</v>
      </c>
      <c r="L1210" s="695"/>
      <c r="M1210" s="659" t="str">
        <f t="shared" ref="M1210:M1216" si="922">IF(AND(G1210&gt;0,E1210=0),"WARNING - no PRICE inserted",IF(H1210="free"," FREE ~ no charge this plant",IF(H1210="credit",CONCATENATE(" -$",ROUND(K1210*(1-T2GDiscount)*-1,2)," CREDIT after discount"),IF(T2GDiscount=0,"",IF(G1210=0,"",IF(F1210="Buy",CONCATENATE(" $",ROUND(K1210*(1-T2GDiscount),2)," with ",(T2GDiscount*100),"% discount"),CONCATENATE(" $",ROUND(K1210*(1-T2GDiscount),2)," with ",((T2GDiscount*100+F1210*100)-(T2GDiscount*100*F1210)),IF(F1210&gt;0,"% discounts",IF(NoWarrantyDiscount&gt;0,"% discounts","% discount")))))))))</f>
        <v/>
      </c>
      <c r="N1210" s="660"/>
      <c r="O1210" s="233"/>
      <c r="P1210" s="233"/>
      <c r="Q1210" s="233"/>
      <c r="R1210" s="233"/>
      <c r="S1210" s="233"/>
      <c r="T1210" s="508">
        <f t="shared" si="871"/>
        <v>0</v>
      </c>
      <c r="U1210" s="225">
        <f>IF(NOT(ISNUMBER(G1210)), "", VLOOKUP(A1210,'Discount Lookup'!D:E,2,FALSE)*G1210)</f>
        <v>0</v>
      </c>
      <c r="V1210" s="225">
        <f>IF(NOT(ISNUMBER(G1210)), "", VLOOKUP(A1210,'Discount Lookup'!G:H,2,FALSE)*G1210)</f>
        <v>0</v>
      </c>
      <c r="W1210" s="508">
        <f t="shared" si="872"/>
        <v>0</v>
      </c>
      <c r="X1210" s="508">
        <f t="shared" si="873"/>
        <v>0</v>
      </c>
      <c r="Y1210" s="509" t="b">
        <f t="shared" si="874"/>
        <v>0</v>
      </c>
      <c r="Z1210" s="510">
        <f t="shared" si="875"/>
        <v>0</v>
      </c>
      <c r="AA1210" s="511"/>
      <c r="AB1210" s="511" t="str">
        <f t="shared" si="876"/>
        <v/>
      </c>
      <c r="AC1210" s="698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698"/>
      <c r="AE1210" s="631" t="str">
        <f t="shared" si="877"/>
        <v/>
      </c>
      <c r="AF1210" s="699" t="str">
        <f t="shared" si="878"/>
        <v/>
      </c>
      <c r="AG1210" s="699"/>
      <c r="AH1210" s="699"/>
      <c r="AI1210" s="512">
        <f>IF(H1210="credit",0,IF(AE1210="free",0,IF(AE1210="me",0,IF(G1210&gt;0,(VLOOKUP(A1210,'Discount Lookup'!J:K,2)*G1210),0))))</f>
        <v>0</v>
      </c>
      <c r="AJ1210" s="513" t="str">
        <f t="shared" ca="1" si="879"/>
        <v/>
      </c>
      <c r="AK1210" s="700" t="str">
        <f t="shared" si="880"/>
        <v/>
      </c>
      <c r="AL1210" s="700"/>
      <c r="AM1210" s="505" t="str">
        <f t="shared" si="881"/>
        <v/>
      </c>
      <c r="AN1210" s="506"/>
      <c r="AO1210" s="507"/>
      <c r="AP1210" s="507"/>
      <c r="AQ1210" s="507"/>
      <c r="AR1210" s="507"/>
      <c r="AS1210" s="507"/>
      <c r="AT1210" s="507"/>
      <c r="AU1210" s="507"/>
      <c r="AV1210" s="225"/>
      <c r="AW1210" s="508"/>
      <c r="AX1210" s="225"/>
      <c r="AY1210" s="225"/>
      <c r="AZ1210" s="225"/>
      <c r="BA1210" s="225"/>
      <c r="BB1210" s="225"/>
      <c r="BC1210" s="56"/>
      <c r="BD1210" s="56"/>
      <c r="BE1210" s="56"/>
      <c r="BF1210" s="107" t="str">
        <f t="shared" si="882"/>
        <v>https://www.google.com/search?tbm=isch&amp;q=15%20G6</v>
      </c>
      <c r="BG1210" s="107" t="str">
        <f t="shared" si="883"/>
        <v>E</v>
      </c>
      <c r="BH1210" s="254"/>
      <c r="BI1210" s="254"/>
    </row>
    <row r="1211" spans="1:61" customFormat="1" ht="15.75" x14ac:dyDescent="0.25">
      <c r="A1211" s="485">
        <v>25</v>
      </c>
      <c r="B1211" s="486" t="s">
        <v>291</v>
      </c>
      <c r="C1211" s="487" t="s">
        <v>3836</v>
      </c>
      <c r="D1211" s="488" t="s">
        <v>292</v>
      </c>
      <c r="E1211" s="489">
        <v>362.95</v>
      </c>
      <c r="F1211" s="516" t="s">
        <v>293</v>
      </c>
      <c r="G1211" s="232">
        <v>0</v>
      </c>
      <c r="H1211" s="658" t="str">
        <f t="shared" si="918"/>
        <v/>
      </c>
      <c r="I1211" s="490">
        <f t="shared" si="919"/>
        <v>0</v>
      </c>
      <c r="J1211" s="490">
        <f t="shared" si="920"/>
        <v>0</v>
      </c>
      <c r="K1211" s="695">
        <f t="shared" ref="K1211" si="923">I1211+J1211</f>
        <v>0</v>
      </c>
      <c r="L1211" s="695"/>
      <c r="M1211" s="659" t="str">
        <f t="shared" si="922"/>
        <v/>
      </c>
      <c r="N1211" s="660"/>
      <c r="O1211" s="233"/>
      <c r="P1211" s="233"/>
      <c r="Q1211" s="233"/>
      <c r="R1211" s="233"/>
      <c r="S1211" s="233"/>
      <c r="T1211" s="508">
        <f t="shared" si="871"/>
        <v>0</v>
      </c>
      <c r="U1211" s="225">
        <f>IF(NOT(ISNUMBER(G1211)), "", VLOOKUP(A1211,'Discount Lookup'!D:E,2,FALSE)*G1211)</f>
        <v>0</v>
      </c>
      <c r="V1211" s="225">
        <f>IF(NOT(ISNUMBER(G1211)), "", VLOOKUP(A1211,'Discount Lookup'!G:H,2,FALSE)*G1211)</f>
        <v>0</v>
      </c>
      <c r="W1211" s="508">
        <f t="shared" si="872"/>
        <v>0</v>
      </c>
      <c r="X1211" s="508">
        <f t="shared" si="873"/>
        <v>0</v>
      </c>
      <c r="Y1211" s="509" t="b">
        <f t="shared" si="874"/>
        <v>0</v>
      </c>
      <c r="Z1211" s="510">
        <f t="shared" si="875"/>
        <v>0</v>
      </c>
      <c r="AA1211" s="511"/>
      <c r="AB1211" s="511" t="str">
        <f t="shared" si="876"/>
        <v/>
      </c>
      <c r="AC1211" s="698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698"/>
      <c r="AE1211" s="631" t="str">
        <f t="shared" si="877"/>
        <v/>
      </c>
      <c r="AF1211" s="699" t="str">
        <f t="shared" si="878"/>
        <v/>
      </c>
      <c r="AG1211" s="699"/>
      <c r="AH1211" s="699"/>
      <c r="AI1211" s="512">
        <f>IF(H1211="credit",0,IF(AE1211="free",0,IF(AE1211="me",0,IF(G1211&gt;0,(VLOOKUP(A1211,'Discount Lookup'!J:K,2)*G1211),0))))</f>
        <v>0</v>
      </c>
      <c r="AJ1211" s="513" t="str">
        <f t="shared" ca="1" si="879"/>
        <v/>
      </c>
      <c r="AK1211" s="700" t="str">
        <f t="shared" si="880"/>
        <v/>
      </c>
      <c r="AL1211" s="700"/>
      <c r="AM1211" s="505" t="str">
        <f t="shared" si="881"/>
        <v/>
      </c>
      <c r="AN1211" s="506"/>
      <c r="AO1211" s="507"/>
      <c r="AP1211" s="507"/>
      <c r="AQ1211" s="507"/>
      <c r="AR1211" s="507"/>
      <c r="AS1211" s="507"/>
      <c r="AT1211" s="507"/>
      <c r="AU1211" s="507"/>
      <c r="AV1211" s="225"/>
      <c r="AW1211" s="508"/>
      <c r="AX1211" s="225"/>
      <c r="AY1211" s="225"/>
      <c r="AZ1211" s="225"/>
      <c r="BA1211" s="225"/>
      <c r="BB1211" s="225"/>
      <c r="BC1211" s="56"/>
      <c r="BD1211" s="56"/>
      <c r="BE1211" s="56"/>
      <c r="BF1211" s="107" t="str">
        <f t="shared" si="882"/>
        <v>https://www.google.com/search?tbm=isch&amp;q=25%20G4</v>
      </c>
      <c r="BG1211" s="107" t="str">
        <f t="shared" si="883"/>
        <v>E</v>
      </c>
      <c r="BH1211" s="254"/>
      <c r="BI1211" s="254"/>
    </row>
    <row r="1212" spans="1:61" customFormat="1" ht="15.75" x14ac:dyDescent="0.25">
      <c r="A1212" s="485">
        <v>15</v>
      </c>
      <c r="B1212" s="486" t="s">
        <v>291</v>
      </c>
      <c r="C1212" s="487" t="s">
        <v>3447</v>
      </c>
      <c r="D1212" s="488" t="s">
        <v>292</v>
      </c>
      <c r="E1212" s="489">
        <v>399.95</v>
      </c>
      <c r="F1212" s="516" t="s">
        <v>293</v>
      </c>
      <c r="G1212" s="232">
        <v>0</v>
      </c>
      <c r="H1212" s="658" t="str">
        <f t="shared" si="918"/>
        <v/>
      </c>
      <c r="I1212" s="490">
        <f t="shared" si="919"/>
        <v>0</v>
      </c>
      <c r="J1212" s="490">
        <f t="shared" si="920"/>
        <v>0</v>
      </c>
      <c r="K1212" s="695">
        <f t="shared" ref="K1212" si="924">I1212+J1212</f>
        <v>0</v>
      </c>
      <c r="L1212" s="695"/>
      <c r="M1212" s="659" t="str">
        <f t="shared" si="922"/>
        <v/>
      </c>
      <c r="N1212" s="660"/>
      <c r="O1212" s="233"/>
      <c r="P1212" s="233"/>
      <c r="Q1212" s="233"/>
      <c r="R1212" s="233"/>
      <c r="S1212" s="233"/>
      <c r="T1212" s="508">
        <f t="shared" si="871"/>
        <v>0</v>
      </c>
      <c r="U1212" s="225">
        <f>IF(NOT(ISNUMBER(G1212)), "", VLOOKUP(A1212,'Discount Lookup'!D:E,2,FALSE)*G1212)</f>
        <v>0</v>
      </c>
      <c r="V1212" s="225">
        <f>IF(NOT(ISNUMBER(G1212)), "", VLOOKUP(A1212,'Discount Lookup'!G:H,2,FALSE)*G1212)</f>
        <v>0</v>
      </c>
      <c r="W1212" s="508">
        <f t="shared" si="872"/>
        <v>0</v>
      </c>
      <c r="X1212" s="508">
        <f t="shared" si="873"/>
        <v>0</v>
      </c>
      <c r="Y1212" s="509" t="b">
        <f t="shared" si="874"/>
        <v>0</v>
      </c>
      <c r="Z1212" s="510">
        <f t="shared" si="875"/>
        <v>0</v>
      </c>
      <c r="AA1212" s="511"/>
      <c r="AB1212" s="511" t="str">
        <f t="shared" si="876"/>
        <v/>
      </c>
      <c r="AC1212" s="698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698"/>
      <c r="AE1212" s="631" t="str">
        <f t="shared" si="877"/>
        <v/>
      </c>
      <c r="AF1212" s="699" t="str">
        <f t="shared" si="878"/>
        <v/>
      </c>
      <c r="AG1212" s="699"/>
      <c r="AH1212" s="699"/>
      <c r="AI1212" s="512">
        <f>IF(H1212="credit",0,IF(AE1212="free",0,IF(AE1212="me",0,IF(G1212&gt;0,(VLOOKUP(A1212,'Discount Lookup'!J:K,2)*G1212),0))))</f>
        <v>0</v>
      </c>
      <c r="AJ1212" s="513" t="str">
        <f t="shared" ca="1" si="879"/>
        <v/>
      </c>
      <c r="AK1212" s="700" t="str">
        <f t="shared" si="880"/>
        <v/>
      </c>
      <c r="AL1212" s="700"/>
      <c r="AM1212" s="505" t="str">
        <f t="shared" si="881"/>
        <v/>
      </c>
      <c r="AN1212" s="506"/>
      <c r="AO1212" s="507"/>
      <c r="AP1212" s="507"/>
      <c r="AQ1212" s="507"/>
      <c r="AR1212" s="507"/>
      <c r="AS1212" s="507"/>
      <c r="AT1212" s="507"/>
      <c r="AU1212" s="507"/>
      <c r="AV1212" s="225"/>
      <c r="AW1212" s="508"/>
      <c r="AX1212" s="225"/>
      <c r="AY1212" s="225"/>
      <c r="AZ1212" s="225"/>
      <c r="BA1212" s="225"/>
      <c r="BB1212" s="225"/>
      <c r="BC1212" s="56"/>
      <c r="BD1212" s="56"/>
      <c r="BE1212" s="56"/>
      <c r="BF1212" s="107" t="str">
        <f t="shared" si="882"/>
        <v>https://www.google.com/search?tbm=isch&amp;q=15%20G4</v>
      </c>
      <c r="BG1212" s="107" t="str">
        <f t="shared" si="883"/>
        <v>E</v>
      </c>
      <c r="BH1212" s="254"/>
      <c r="BI1212" s="254"/>
    </row>
    <row r="1213" spans="1:61" customFormat="1" ht="15.75" x14ac:dyDescent="0.25">
      <c r="A1213" s="485">
        <v>25</v>
      </c>
      <c r="B1213" s="486" t="s">
        <v>291</v>
      </c>
      <c r="C1213" s="487" t="s">
        <v>3448</v>
      </c>
      <c r="D1213" s="488" t="s">
        <v>292</v>
      </c>
      <c r="E1213" s="489">
        <v>401.95</v>
      </c>
      <c r="F1213" s="516" t="s">
        <v>293</v>
      </c>
      <c r="G1213" s="232">
        <v>0</v>
      </c>
      <c r="H1213" s="658" t="str">
        <f t="shared" si="918"/>
        <v/>
      </c>
      <c r="I1213" s="490">
        <f t="shared" si="919"/>
        <v>0</v>
      </c>
      <c r="J1213" s="490">
        <f t="shared" si="920"/>
        <v>0</v>
      </c>
      <c r="K1213" s="695">
        <f t="shared" ref="K1213" si="925">I1213+J1213</f>
        <v>0</v>
      </c>
      <c r="L1213" s="695"/>
      <c r="M1213" s="659" t="str">
        <f t="shared" si="922"/>
        <v/>
      </c>
      <c r="N1213" s="660"/>
      <c r="O1213" s="233"/>
      <c r="P1213" s="233"/>
      <c r="Q1213" s="233"/>
      <c r="R1213" s="233"/>
      <c r="S1213" s="233"/>
      <c r="T1213" s="508">
        <f t="shared" si="871"/>
        <v>0</v>
      </c>
      <c r="U1213" s="225">
        <f>IF(NOT(ISNUMBER(G1213)), "", VLOOKUP(A1213,'Discount Lookup'!D:E,2,FALSE)*G1213)</f>
        <v>0</v>
      </c>
      <c r="V1213" s="225">
        <f>IF(NOT(ISNUMBER(G1213)), "", VLOOKUP(A1213,'Discount Lookup'!G:H,2,FALSE)*G1213)</f>
        <v>0</v>
      </c>
      <c r="W1213" s="508">
        <f t="shared" si="872"/>
        <v>0</v>
      </c>
      <c r="X1213" s="508">
        <f t="shared" si="873"/>
        <v>0</v>
      </c>
      <c r="Y1213" s="509" t="b">
        <f t="shared" si="874"/>
        <v>0</v>
      </c>
      <c r="Z1213" s="510">
        <f t="shared" si="875"/>
        <v>0</v>
      </c>
      <c r="AA1213" s="511"/>
      <c r="AB1213" s="511" t="str">
        <f t="shared" si="876"/>
        <v/>
      </c>
      <c r="AC1213" s="698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698"/>
      <c r="AE1213" s="631" t="str">
        <f t="shared" si="877"/>
        <v/>
      </c>
      <c r="AF1213" s="699" t="str">
        <f t="shared" si="878"/>
        <v/>
      </c>
      <c r="AG1213" s="699"/>
      <c r="AH1213" s="699"/>
      <c r="AI1213" s="512">
        <f>IF(H1213="credit",0,IF(AE1213="free",0,IF(AE1213="me",0,IF(G1213&gt;0,(VLOOKUP(A1213,'Discount Lookup'!J:K,2)*G1213),0))))</f>
        <v>0</v>
      </c>
      <c r="AJ1213" s="513" t="str">
        <f t="shared" ca="1" si="879"/>
        <v/>
      </c>
      <c r="AK1213" s="700" t="str">
        <f t="shared" si="880"/>
        <v/>
      </c>
      <c r="AL1213" s="700"/>
      <c r="AM1213" s="505" t="str">
        <f t="shared" si="881"/>
        <v/>
      </c>
      <c r="AN1213" s="506"/>
      <c r="AO1213" s="507"/>
      <c r="AP1213" s="507"/>
      <c r="AQ1213" s="507"/>
      <c r="AR1213" s="507"/>
      <c r="AS1213" s="507"/>
      <c r="AT1213" s="507"/>
      <c r="AU1213" s="507"/>
      <c r="AV1213" s="225"/>
      <c r="AW1213" s="508"/>
      <c r="AX1213" s="225"/>
      <c r="AY1213" s="225"/>
      <c r="AZ1213" s="225"/>
      <c r="BA1213" s="225"/>
      <c r="BB1213" s="225"/>
      <c r="BC1213" s="56"/>
      <c r="BD1213" s="56"/>
      <c r="BE1213" s="56"/>
      <c r="BF1213" s="107" t="str">
        <f t="shared" si="882"/>
        <v>https://www.google.com/search?tbm=isch&amp;q=25%20G4</v>
      </c>
      <c r="BG1213" s="107" t="str">
        <f t="shared" si="883"/>
        <v>E</v>
      </c>
      <c r="BH1213" s="254"/>
      <c r="BI1213" s="254"/>
    </row>
    <row r="1214" spans="1:61" customFormat="1" ht="15.75" x14ac:dyDescent="0.25">
      <c r="A1214" s="485">
        <v>15</v>
      </c>
      <c r="B1214" s="486" t="s">
        <v>291</v>
      </c>
      <c r="C1214" s="487" t="s">
        <v>4882</v>
      </c>
      <c r="D1214" s="488" t="s">
        <v>292</v>
      </c>
      <c r="E1214" s="489">
        <v>454.95</v>
      </c>
      <c r="F1214" s="516" t="s">
        <v>293</v>
      </c>
      <c r="G1214" s="232">
        <v>0</v>
      </c>
      <c r="H1214" s="658" t="str">
        <f t="shared" si="918"/>
        <v/>
      </c>
      <c r="I1214" s="490">
        <f t="shared" si="919"/>
        <v>0</v>
      </c>
      <c r="J1214" s="490">
        <f t="shared" si="920"/>
        <v>0</v>
      </c>
      <c r="K1214" s="695">
        <f t="shared" ref="K1214" si="926">I1214+J1214</f>
        <v>0</v>
      </c>
      <c r="L1214" s="695"/>
      <c r="M1214" s="659" t="str">
        <f t="shared" si="922"/>
        <v/>
      </c>
      <c r="N1214" s="660"/>
      <c r="O1214" s="233"/>
      <c r="P1214" s="233"/>
      <c r="Q1214" s="233"/>
      <c r="R1214" s="233"/>
      <c r="S1214" s="233"/>
      <c r="T1214" s="508">
        <f t="shared" si="871"/>
        <v>0</v>
      </c>
      <c r="U1214" s="225">
        <f>IF(NOT(ISNUMBER(G1214)), "", VLOOKUP(A1214,'Discount Lookup'!D:E,2,FALSE)*G1214)</f>
        <v>0</v>
      </c>
      <c r="V1214" s="225">
        <f>IF(NOT(ISNUMBER(G1214)), "", VLOOKUP(A1214,'Discount Lookup'!G:H,2,FALSE)*G1214)</f>
        <v>0</v>
      </c>
      <c r="W1214" s="508">
        <f t="shared" si="872"/>
        <v>0</v>
      </c>
      <c r="X1214" s="508">
        <f t="shared" si="873"/>
        <v>0</v>
      </c>
      <c r="Y1214" s="509" t="b">
        <f t="shared" si="874"/>
        <v>0</v>
      </c>
      <c r="Z1214" s="510">
        <f t="shared" si="875"/>
        <v>0</v>
      </c>
      <c r="AA1214" s="511"/>
      <c r="AB1214" s="511" t="str">
        <f t="shared" si="876"/>
        <v/>
      </c>
      <c r="AC1214" s="698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698"/>
      <c r="AE1214" s="631" t="str">
        <f t="shared" si="877"/>
        <v/>
      </c>
      <c r="AF1214" s="699" t="str">
        <f t="shared" si="878"/>
        <v/>
      </c>
      <c r="AG1214" s="699"/>
      <c r="AH1214" s="699"/>
      <c r="AI1214" s="512">
        <f>IF(H1214="credit",0,IF(AE1214="free",0,IF(AE1214="me",0,IF(G1214&gt;0,(VLOOKUP(A1214,'Discount Lookup'!J:K,2)*G1214),0))))</f>
        <v>0</v>
      </c>
      <c r="AJ1214" s="513" t="str">
        <f t="shared" ca="1" si="879"/>
        <v/>
      </c>
      <c r="AK1214" s="700" t="str">
        <f t="shared" si="880"/>
        <v/>
      </c>
      <c r="AL1214" s="700"/>
      <c r="AM1214" s="505" t="str">
        <f t="shared" si="881"/>
        <v/>
      </c>
      <c r="AN1214" s="506"/>
      <c r="AO1214" s="507"/>
      <c r="AP1214" s="507"/>
      <c r="AQ1214" s="507"/>
      <c r="AR1214" s="507"/>
      <c r="AS1214" s="507"/>
      <c r="AT1214" s="507"/>
      <c r="AU1214" s="507"/>
      <c r="AV1214" s="225"/>
      <c r="AW1214" s="508"/>
      <c r="AX1214" s="225"/>
      <c r="AY1214" s="225"/>
      <c r="AZ1214" s="225"/>
      <c r="BA1214" s="225"/>
      <c r="BB1214" s="225"/>
      <c r="BC1214" s="56"/>
      <c r="BD1214" s="56"/>
      <c r="BE1214" s="56"/>
      <c r="BF1214" s="107" t="str">
        <f t="shared" si="882"/>
        <v>https://www.google.com/search?tbm=isch&amp;q=15%20G4</v>
      </c>
      <c r="BG1214" s="107" t="str">
        <f t="shared" si="883"/>
        <v>E</v>
      </c>
      <c r="BH1214" s="254"/>
      <c r="BI1214" s="254"/>
    </row>
    <row r="1215" spans="1:61" customFormat="1" ht="15.75" x14ac:dyDescent="0.25">
      <c r="A1215" s="485">
        <v>25</v>
      </c>
      <c r="B1215" s="486" t="s">
        <v>291</v>
      </c>
      <c r="C1215" s="487" t="s">
        <v>3449</v>
      </c>
      <c r="D1215" s="488" t="s">
        <v>292</v>
      </c>
      <c r="E1215" s="489">
        <v>672.95</v>
      </c>
      <c r="F1215" s="516" t="s">
        <v>293</v>
      </c>
      <c r="G1215" s="232">
        <v>0</v>
      </c>
      <c r="H1215" s="658" t="str">
        <f t="shared" si="918"/>
        <v/>
      </c>
      <c r="I1215" s="490">
        <f t="shared" si="919"/>
        <v>0</v>
      </c>
      <c r="J1215" s="490">
        <f t="shared" si="920"/>
        <v>0</v>
      </c>
      <c r="K1215" s="695">
        <f t="shared" ref="K1215" si="927">I1215+J1215</f>
        <v>0</v>
      </c>
      <c r="L1215" s="695"/>
      <c r="M1215" s="659" t="str">
        <f t="shared" si="922"/>
        <v/>
      </c>
      <c r="N1215" s="660"/>
      <c r="O1215" s="233"/>
      <c r="P1215" s="233"/>
      <c r="Q1215" s="233"/>
      <c r="R1215" s="233"/>
      <c r="S1215" s="233"/>
      <c r="T1215" s="508">
        <f t="shared" si="871"/>
        <v>0</v>
      </c>
      <c r="U1215" s="225">
        <f>IF(NOT(ISNUMBER(G1215)), "", VLOOKUP(A1215,'Discount Lookup'!D:E,2,FALSE)*G1215)</f>
        <v>0</v>
      </c>
      <c r="V1215" s="225">
        <f>IF(NOT(ISNUMBER(G1215)), "", VLOOKUP(A1215,'Discount Lookup'!G:H,2,FALSE)*G1215)</f>
        <v>0</v>
      </c>
      <c r="W1215" s="508">
        <f t="shared" si="872"/>
        <v>0</v>
      </c>
      <c r="X1215" s="508">
        <f t="shared" si="873"/>
        <v>0</v>
      </c>
      <c r="Y1215" s="509" t="b">
        <f t="shared" si="874"/>
        <v>0</v>
      </c>
      <c r="Z1215" s="510">
        <f t="shared" si="875"/>
        <v>0</v>
      </c>
      <c r="AA1215" s="511"/>
      <c r="AB1215" s="511" t="str">
        <f t="shared" si="876"/>
        <v/>
      </c>
      <c r="AC1215" s="698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698"/>
      <c r="AE1215" s="631" t="str">
        <f t="shared" si="877"/>
        <v/>
      </c>
      <c r="AF1215" s="699" t="str">
        <f t="shared" si="878"/>
        <v/>
      </c>
      <c r="AG1215" s="699"/>
      <c r="AH1215" s="699"/>
      <c r="AI1215" s="512">
        <f>IF(H1215="credit",0,IF(AE1215="free",0,IF(AE1215="me",0,IF(G1215&gt;0,(VLOOKUP(A1215,'Discount Lookup'!J:K,2)*G1215),0))))</f>
        <v>0</v>
      </c>
      <c r="AJ1215" s="513" t="str">
        <f t="shared" ca="1" si="879"/>
        <v/>
      </c>
      <c r="AK1215" s="700" t="str">
        <f t="shared" si="880"/>
        <v/>
      </c>
      <c r="AL1215" s="700"/>
      <c r="AM1215" s="505" t="str">
        <f t="shared" si="881"/>
        <v/>
      </c>
      <c r="AN1215" s="506"/>
      <c r="AO1215" s="507"/>
      <c r="AP1215" s="507"/>
      <c r="AQ1215" s="507"/>
      <c r="AR1215" s="507"/>
      <c r="AS1215" s="507"/>
      <c r="AT1215" s="507"/>
      <c r="AU1215" s="507"/>
      <c r="AV1215" s="225"/>
      <c r="AW1215" s="508"/>
      <c r="AX1215" s="225"/>
      <c r="AY1215" s="225"/>
      <c r="AZ1215" s="225"/>
      <c r="BA1215" s="225"/>
      <c r="BB1215" s="225"/>
      <c r="BC1215" s="56"/>
      <c r="BD1215" s="56"/>
      <c r="BE1215" s="56"/>
      <c r="BF1215" s="107" t="str">
        <f t="shared" si="882"/>
        <v>https://www.google.com/search?tbm=isch&amp;q=25%20G4</v>
      </c>
      <c r="BG1215" s="107" t="str">
        <f t="shared" si="883"/>
        <v>E</v>
      </c>
      <c r="BH1215" s="254"/>
      <c r="BI1215" s="254"/>
    </row>
    <row r="1216" spans="1:61" customFormat="1" ht="15.75" x14ac:dyDescent="0.25">
      <c r="A1216" s="485">
        <v>65</v>
      </c>
      <c r="B1216" s="486" t="s">
        <v>291</v>
      </c>
      <c r="C1216" s="487" t="s">
        <v>3450</v>
      </c>
      <c r="D1216" s="488" t="s">
        <v>292</v>
      </c>
      <c r="E1216" s="489">
        <v>994.95</v>
      </c>
      <c r="F1216" s="516" t="s">
        <v>293</v>
      </c>
      <c r="G1216" s="232">
        <v>0</v>
      </c>
      <c r="H1216" s="658" t="str">
        <f t="shared" si="918"/>
        <v/>
      </c>
      <c r="I1216" s="490">
        <f t="shared" si="919"/>
        <v>0</v>
      </c>
      <c r="J1216" s="490">
        <f t="shared" si="920"/>
        <v>0</v>
      </c>
      <c r="K1216" s="695">
        <f t="shared" ref="K1216" si="928">I1216+J1216</f>
        <v>0</v>
      </c>
      <c r="L1216" s="695"/>
      <c r="M1216" s="659" t="str">
        <f t="shared" si="922"/>
        <v/>
      </c>
      <c r="N1216" s="660"/>
      <c r="O1216" s="233"/>
      <c r="P1216" s="233"/>
      <c r="Q1216" s="233"/>
      <c r="R1216" s="233"/>
      <c r="S1216" s="233"/>
      <c r="T1216" s="508">
        <f t="shared" si="871"/>
        <v>0</v>
      </c>
      <c r="U1216" s="225">
        <f>IF(NOT(ISNUMBER(G1216)), "", VLOOKUP(A1216,'Discount Lookup'!D:E,2,FALSE)*G1216)</f>
        <v>0</v>
      </c>
      <c r="V1216" s="225">
        <f>IF(NOT(ISNUMBER(G1216)), "", VLOOKUP(A1216,'Discount Lookup'!G:H,2,FALSE)*G1216)</f>
        <v>0</v>
      </c>
      <c r="W1216" s="508">
        <f t="shared" si="872"/>
        <v>0</v>
      </c>
      <c r="X1216" s="508">
        <f t="shared" si="873"/>
        <v>0</v>
      </c>
      <c r="Y1216" s="509" t="b">
        <f t="shared" si="874"/>
        <v>0</v>
      </c>
      <c r="Z1216" s="510">
        <f t="shared" si="875"/>
        <v>0</v>
      </c>
      <c r="AA1216" s="511"/>
      <c r="AB1216" s="511" t="str">
        <f t="shared" si="876"/>
        <v/>
      </c>
      <c r="AC1216" s="698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698"/>
      <c r="AE1216" s="631" t="str">
        <f t="shared" si="877"/>
        <v/>
      </c>
      <c r="AF1216" s="699" t="str">
        <f t="shared" si="878"/>
        <v/>
      </c>
      <c r="AG1216" s="699"/>
      <c r="AH1216" s="699"/>
      <c r="AI1216" s="512">
        <f>IF(H1216="credit",0,IF(AE1216="free",0,IF(AE1216="me",0,IF(G1216&gt;0,(VLOOKUP(A1216,'Discount Lookup'!J:K,2)*G1216),0))))</f>
        <v>0</v>
      </c>
      <c r="AJ1216" s="513" t="str">
        <f t="shared" ca="1" si="879"/>
        <v/>
      </c>
      <c r="AK1216" s="700" t="str">
        <f t="shared" si="880"/>
        <v/>
      </c>
      <c r="AL1216" s="700"/>
      <c r="AM1216" s="505" t="str">
        <f t="shared" si="881"/>
        <v/>
      </c>
      <c r="AN1216" s="506"/>
      <c r="AO1216" s="507"/>
      <c r="AP1216" s="507"/>
      <c r="AQ1216" s="507"/>
      <c r="AR1216" s="507"/>
      <c r="AS1216" s="507"/>
      <c r="AT1216" s="507"/>
      <c r="AU1216" s="507"/>
      <c r="AV1216" s="225"/>
      <c r="AW1216" s="508"/>
      <c r="AX1216" s="225"/>
      <c r="AY1216" s="225"/>
      <c r="AZ1216" s="225"/>
      <c r="BA1216" s="225"/>
      <c r="BB1216" s="225"/>
      <c r="BC1216" s="56"/>
      <c r="BD1216" s="56"/>
      <c r="BE1216" s="56"/>
      <c r="BF1216" s="107" t="str">
        <f t="shared" si="882"/>
        <v>https://www.google.com/search?tbm=isch&amp;q=65%20G4</v>
      </c>
      <c r="BG1216" s="107" t="str">
        <f t="shared" si="883"/>
        <v>E</v>
      </c>
      <c r="BH1216" s="254"/>
      <c r="BI1216" s="254"/>
    </row>
    <row r="1217" spans="1:61" customFormat="1" ht="16.5" thickBot="1" x14ac:dyDescent="0.3">
      <c r="A1217" s="522" t="s">
        <v>4401</v>
      </c>
      <c r="B1217" s="491"/>
      <c r="C1217" s="675"/>
      <c r="D1217" s="491"/>
      <c r="E1217" s="491"/>
      <c r="F1217" s="492"/>
      <c r="G1217" s="493"/>
      <c r="H1217" s="491"/>
      <c r="I1217" s="234"/>
      <c r="J1217" s="234"/>
      <c r="K1217" s="494"/>
      <c r="L1217" s="543"/>
      <c r="M1217" s="561"/>
      <c r="N1217" s="495"/>
      <c r="O1217" s="496"/>
      <c r="P1217" s="497"/>
      <c r="Q1217" s="495"/>
      <c r="R1217" s="495"/>
      <c r="S1217" s="667" t="s">
        <v>4968</v>
      </c>
      <c r="T1217" s="508">
        <f t="shared" si="871"/>
        <v>0</v>
      </c>
      <c r="U1217" s="225" t="str">
        <f>IF(NOT(ISNUMBER(G1217)), "", VLOOKUP(A1217,'Discount Lookup'!D:E,2,FALSE)*G1217)</f>
        <v/>
      </c>
      <c r="V1217" s="225" t="str">
        <f>IF(NOT(ISNUMBER(G1217)), "", VLOOKUP(A1217,'Discount Lookup'!G:H,2,FALSE)*G1217)</f>
        <v/>
      </c>
      <c r="W1217" s="508">
        <f t="shared" si="872"/>
        <v>0</v>
      </c>
      <c r="X1217" s="508">
        <f t="shared" si="873"/>
        <v>0</v>
      </c>
      <c r="Y1217" s="509" t="b">
        <f t="shared" si="874"/>
        <v>0</v>
      </c>
      <c r="Z1217" s="510">
        <f t="shared" si="875"/>
        <v>0</v>
      </c>
      <c r="AA1217" s="511"/>
      <c r="AB1217" s="511" t="str">
        <f t="shared" si="876"/>
        <v/>
      </c>
      <c r="AC1217" s="698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698"/>
      <c r="AE1217" s="631" t="str">
        <f t="shared" si="877"/>
        <v/>
      </c>
      <c r="AF1217" s="699" t="str">
        <f t="shared" si="878"/>
        <v/>
      </c>
      <c r="AG1217" s="699"/>
      <c r="AH1217" s="699"/>
      <c r="AI1217" s="512">
        <f>IF(H1217="credit",0,IF(AE1217="free",0,IF(AE1217="me",0,IF(G1217&gt;0,(VLOOKUP(A1217,'Discount Lookup'!J:K,2)*G1217),0))))</f>
        <v>0</v>
      </c>
      <c r="AJ1217" s="513" t="str">
        <f t="shared" ca="1" si="879"/>
        <v/>
      </c>
      <c r="AK1217" s="700" t="str">
        <f t="shared" si="880"/>
        <v/>
      </c>
      <c r="AL1217" s="700"/>
      <c r="AM1217" s="505" t="str">
        <f t="shared" si="881"/>
        <v/>
      </c>
      <c r="AN1217" s="506"/>
      <c r="AO1217" s="507"/>
      <c r="AP1217" s="507"/>
      <c r="AQ1217" s="507"/>
      <c r="AR1217" s="507"/>
      <c r="AS1217" s="507"/>
      <c r="AT1217" s="507"/>
      <c r="AU1217" s="507"/>
      <c r="AV1217" s="225"/>
      <c r="AW1217" s="508"/>
      <c r="AX1217" s="225"/>
      <c r="AY1217" s="225"/>
      <c r="AZ1217" s="225"/>
      <c r="BA1217" s="225"/>
      <c r="BB1217" s="225"/>
      <c r="BC1217" s="56"/>
      <c r="BD1217" s="56"/>
      <c r="BE1217" s="56"/>
      <c r="BF1217" s="107" t="str">
        <f t="shared" si="882"/>
        <v>https://www.google.com/search?tbm=isch&amp;q=Emerald%20Colonnade%20is%20dense%20and%20bright%2C%20with%20no%20berries.%20All%20male%2C%20they%20can%20pollinate%20female%20Hollies.%20Minimal%20shearing%20needed%20</v>
      </c>
      <c r="BG1217" s="107" t="str">
        <f t="shared" si="883"/>
        <v>E</v>
      </c>
      <c r="BH1217" s="254"/>
      <c r="BI1217" s="254"/>
    </row>
    <row r="1218" spans="1:61" customFormat="1" ht="18" x14ac:dyDescent="0.25">
      <c r="A1218" s="521" t="s">
        <v>5589</v>
      </c>
      <c r="B1218" s="477"/>
      <c r="C1218" s="674"/>
      <c r="D1218" s="478" t="s">
        <v>876</v>
      </c>
      <c r="E1218" s="479"/>
      <c r="F1218" s="479"/>
      <c r="G1218" s="479"/>
      <c r="H1218" s="582" t="s">
        <v>715</v>
      </c>
      <c r="I1218" s="480" t="s">
        <v>2644</v>
      </c>
      <c r="J1218" s="479"/>
      <c r="K1218" s="479"/>
      <c r="L1218" s="560"/>
      <c r="M1218" s="666" t="s">
        <v>4966</v>
      </c>
      <c r="N1218" s="680" t="str">
        <f>IF(AND(ISTEXT($A1218), ISERROR($A1218+0)), HYPERLINK($BF1218, "Images"), "")</f>
        <v>Images</v>
      </c>
      <c r="O1218" s="662" t="s">
        <v>4969</v>
      </c>
      <c r="P1218" s="482"/>
      <c r="Q1218" s="483"/>
      <c r="R1218" s="483"/>
      <c r="S1218" s="484"/>
      <c r="T1218" s="508">
        <f t="shared" si="871"/>
        <v>0</v>
      </c>
      <c r="U1218" s="225" t="str">
        <f>IF(NOT(ISNUMBER(G1218)), "", VLOOKUP(A1218,'Discount Lookup'!D:E,2,FALSE)*G1218)</f>
        <v/>
      </c>
      <c r="V1218" s="225" t="str">
        <f>IF(NOT(ISNUMBER(G1218)), "", VLOOKUP(A1218,'Discount Lookup'!G:H,2,FALSE)*G1218)</f>
        <v/>
      </c>
      <c r="W1218" s="508">
        <f t="shared" si="872"/>
        <v>0</v>
      </c>
      <c r="X1218" s="508" t="str">
        <f t="shared" si="873"/>
        <v>Emerald Green foliage</v>
      </c>
      <c r="Y1218" s="509" t="b">
        <f t="shared" si="874"/>
        <v>0</v>
      </c>
      <c r="Z1218" s="510">
        <f t="shared" si="875"/>
        <v>0</v>
      </c>
      <c r="AA1218" s="511"/>
      <c r="AB1218" s="511" t="str">
        <f t="shared" si="876"/>
        <v/>
      </c>
      <c r="AC1218" s="698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698"/>
      <c r="AE1218" s="631" t="str">
        <f t="shared" si="877"/>
        <v/>
      </c>
      <c r="AF1218" s="699" t="str">
        <f t="shared" si="878"/>
        <v/>
      </c>
      <c r="AG1218" s="699"/>
      <c r="AH1218" s="699"/>
      <c r="AI1218" s="512">
        <f>IF(H1218="credit",0,IF(AE1218="free",0,IF(AE1218="me",0,IF(G1218&gt;0,(VLOOKUP(A1218,'Discount Lookup'!J:K,2)*G1218),0))))</f>
        <v>0</v>
      </c>
      <c r="AJ1218" s="513" t="str">
        <f t="shared" ca="1" si="879"/>
        <v/>
      </c>
      <c r="AK1218" s="700" t="str">
        <f t="shared" si="880"/>
        <v/>
      </c>
      <c r="AL1218" s="700"/>
      <c r="AM1218" s="505" t="str">
        <f t="shared" si="881"/>
        <v/>
      </c>
      <c r="AN1218" s="506"/>
      <c r="AO1218" s="507"/>
      <c r="AP1218" s="507"/>
      <c r="AQ1218" s="507"/>
      <c r="AR1218" s="507"/>
      <c r="AS1218" s="507"/>
      <c r="AT1218" s="507"/>
      <c r="AU1218" s="507"/>
      <c r="AV1218" s="225"/>
      <c r="AW1218" s="508"/>
      <c r="AX1218" s="225"/>
      <c r="AY1218" s="225"/>
      <c r="AZ1218" s="225"/>
      <c r="BA1218" s="225"/>
      <c r="BB1218" s="225"/>
      <c r="BC1218" s="56"/>
      <c r="BD1218" s="56"/>
      <c r="BE1218" s="56"/>
      <c r="BF1218" s="107" t="str">
        <f t="shared" si="882"/>
        <v>https://www.google.com/search?tbm=isch&amp;q=Emerald%20Heights%C2%AE%20Distylium%20%28FE%C2%AE%29%20Distylium%20%27PIIDIST-I%27%20PP%2324410</v>
      </c>
      <c r="BG1218" s="107" t="str">
        <f t="shared" si="883"/>
        <v>E</v>
      </c>
      <c r="BH1218" s="254"/>
      <c r="BI1218" s="254"/>
    </row>
    <row r="1219" spans="1:61" customFormat="1" ht="15.75" x14ac:dyDescent="0.25">
      <c r="A1219" s="485">
        <v>3</v>
      </c>
      <c r="B1219" s="486" t="s">
        <v>291</v>
      </c>
      <c r="C1219" s="487" t="s">
        <v>4755</v>
      </c>
      <c r="D1219" s="488" t="s">
        <v>312</v>
      </c>
      <c r="E1219" s="489">
        <v>33.950000000000003</v>
      </c>
      <c r="F1219" s="516" t="s">
        <v>293</v>
      </c>
      <c r="G1219" s="232">
        <v>0</v>
      </c>
      <c r="H1219" s="658" t="str">
        <f>IF(G1219=0,"",IF(F1219="Buy",IF(G1219=1,"plant","plants"),IF(F1219&gt;0.01,"warranty","Error")))</f>
        <v/>
      </c>
      <c r="I1219" s="490">
        <f>IF(H1219="free",0,IF(H1219="credit",((E1219*(F1219))*G1219*-1),IF(F1219="Buy",(E1219*G1219),((E1219*(1-F1219))*G1219))))</f>
        <v>0</v>
      </c>
      <c r="J1219" s="490">
        <f>IF(H1219="warranty",0,(I1219*(_xlfn.SINGLE(SalesTaxPercentage))))</f>
        <v>0</v>
      </c>
      <c r="K1219" s="695">
        <f t="shared" ref="K1219" si="929">I1219+J1219</f>
        <v>0</v>
      </c>
      <c r="L1219" s="695"/>
      <c r="M1219" s="659" t="str">
        <f>IF(AND(G1219&gt;0,E1219=0),"WARNING - no PRICE inserted",IF(H1219="free"," FREE ~ no charge this plant",IF(H1219="credit",CONCATENATE(" -$",ROUND(K1219*(1-T2GDiscount)*-1,2)," CREDIT after discount"),IF(T2GDiscount=0,"",IF(G1219=0,"",IF(F1219="Buy",CONCATENATE(" $",ROUND(K1219*(1-T2GDiscount),2)," with ",(T2GDiscount*100),"% discount"),CONCATENATE(" $",ROUND(K1219*(1-T2GDiscount),2)," with ",((T2GDiscount*100+F1219*100)-(T2GDiscount*100*F1219)),IF(F1219&gt;0,"% discounts",IF(NoWarrantyDiscount&gt;0,"% discounts","% discount")))))))))</f>
        <v/>
      </c>
      <c r="N1219" s="660"/>
      <c r="O1219" s="233"/>
      <c r="P1219" s="233"/>
      <c r="Q1219" s="233"/>
      <c r="R1219" s="233"/>
      <c r="S1219" s="233"/>
      <c r="T1219" s="508">
        <f t="shared" si="871"/>
        <v>0</v>
      </c>
      <c r="U1219" s="225">
        <f>IF(NOT(ISNUMBER(G1219)), "", VLOOKUP(A1219,'Discount Lookup'!D:E,2,FALSE)*G1219)</f>
        <v>0</v>
      </c>
      <c r="V1219" s="225">
        <f>IF(NOT(ISNUMBER(G1219)), "", VLOOKUP(A1219,'Discount Lookup'!G:H,2,FALSE)*G1219)</f>
        <v>0</v>
      </c>
      <c r="W1219" s="508">
        <f t="shared" si="872"/>
        <v>0</v>
      </c>
      <c r="X1219" s="508">
        <f t="shared" si="873"/>
        <v>0</v>
      </c>
      <c r="Y1219" s="509" t="b">
        <f t="shared" si="874"/>
        <v>0</v>
      </c>
      <c r="Z1219" s="510">
        <f t="shared" si="875"/>
        <v>0</v>
      </c>
      <c r="AA1219" s="511"/>
      <c r="AB1219" s="511" t="str">
        <f t="shared" si="876"/>
        <v/>
      </c>
      <c r="AC1219" s="698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698"/>
      <c r="AE1219" s="631" t="str">
        <f t="shared" si="877"/>
        <v/>
      </c>
      <c r="AF1219" s="699" t="str">
        <f t="shared" si="878"/>
        <v/>
      </c>
      <c r="AG1219" s="699"/>
      <c r="AH1219" s="699"/>
      <c r="AI1219" s="512">
        <f>IF(H1219="credit",0,IF(AE1219="free",0,IF(AE1219="me",0,IF(G1219&gt;0,(VLOOKUP(A1219,'Discount Lookup'!J:K,2)*G1219),0))))</f>
        <v>0</v>
      </c>
      <c r="AJ1219" s="513" t="str">
        <f t="shared" ca="1" si="879"/>
        <v/>
      </c>
      <c r="AK1219" s="700" t="str">
        <f t="shared" si="880"/>
        <v/>
      </c>
      <c r="AL1219" s="700"/>
      <c r="AM1219" s="505" t="str">
        <f t="shared" si="881"/>
        <v/>
      </c>
      <c r="AN1219" s="506"/>
      <c r="AO1219" s="507"/>
      <c r="AP1219" s="507"/>
      <c r="AQ1219" s="507"/>
      <c r="AR1219" s="507"/>
      <c r="AS1219" s="507"/>
      <c r="AT1219" s="507"/>
      <c r="AU1219" s="507"/>
      <c r="AV1219" s="225"/>
      <c r="AW1219" s="508"/>
      <c r="AX1219" s="225"/>
      <c r="AY1219" s="225"/>
      <c r="AZ1219" s="225"/>
      <c r="BA1219" s="225"/>
      <c r="BB1219" s="225"/>
      <c r="BC1219" s="56"/>
      <c r="BD1219" s="56"/>
      <c r="BE1219" s="56"/>
      <c r="BF1219" s="107" t="str">
        <f t="shared" si="882"/>
        <v>https://www.google.com/search?tbm=isch&amp;q=3%20G2</v>
      </c>
      <c r="BG1219" s="107" t="str">
        <f t="shared" si="883"/>
        <v>E</v>
      </c>
      <c r="BH1219" s="254"/>
      <c r="BI1219" s="254"/>
    </row>
    <row r="1220" spans="1:61" customFormat="1" ht="15.75" x14ac:dyDescent="0.25">
      <c r="A1220" s="485">
        <v>3</v>
      </c>
      <c r="B1220" s="486" t="s">
        <v>291</v>
      </c>
      <c r="C1220" s="487" t="s">
        <v>4706</v>
      </c>
      <c r="D1220" s="488" t="s">
        <v>299</v>
      </c>
      <c r="E1220" s="489">
        <v>36.950000000000003</v>
      </c>
      <c r="F1220" s="516" t="s">
        <v>293</v>
      </c>
      <c r="G1220" s="232">
        <v>0</v>
      </c>
      <c r="H1220" s="658" t="str">
        <f>IF(G1220=0,"",IF(F1220="Buy",IF(G1220=1,"plant","plants"),IF(F1220&gt;0.01,"warranty","Error")))</f>
        <v/>
      </c>
      <c r="I1220" s="490">
        <f>IF(H1220="free",0,IF(H1220="credit",((E1220*(F1220))*G1220*-1),IF(F1220="Buy",(E1220*G1220),((E1220*(1-F1220))*G1220))))</f>
        <v>0</v>
      </c>
      <c r="J1220" s="490">
        <f>IF(H1220="warranty",0,(I1220*(_xlfn.SINGLE(SalesTaxPercentage))))</f>
        <v>0</v>
      </c>
      <c r="K1220" s="695">
        <f t="shared" ref="K1220" si="930">I1220+J1220</f>
        <v>0</v>
      </c>
      <c r="L1220" s="695"/>
      <c r="M1220" s="659" t="str">
        <f>IF(AND(G1220&gt;0,E1220=0),"WARNING - no PRICE inserted",IF(H1220="free"," FREE ~ no charge this plant",IF(H1220="credit",CONCATENATE(" -$",ROUND(K1220*(1-T2GDiscount)*-1,2)," CREDIT after discount"),IF(T2GDiscount=0,"",IF(G1220=0,"",IF(F1220="Buy",CONCATENATE(" $",ROUND(K1220*(1-T2GDiscount),2)," with ",(T2GDiscount*100),"% discount"),CONCATENATE(" $",ROUND(K1220*(1-T2GDiscount),2)," with ",((T2GDiscount*100+F1220*100)-(T2GDiscount*100*F1220)),IF(F1220&gt;0,"% discounts",IF(NoWarrantyDiscount&gt;0,"% discounts","% discount")))))))))</f>
        <v/>
      </c>
      <c r="N1220" s="660"/>
      <c r="O1220" s="233"/>
      <c r="P1220" s="233"/>
      <c r="Q1220" s="233"/>
      <c r="R1220" s="233"/>
      <c r="S1220" s="233"/>
      <c r="T1220" s="508">
        <f t="shared" si="871"/>
        <v>0</v>
      </c>
      <c r="U1220" s="225">
        <f>IF(NOT(ISNUMBER(G1220)), "", VLOOKUP(A1220,'Discount Lookup'!D:E,2,FALSE)*G1220)</f>
        <v>0</v>
      </c>
      <c r="V1220" s="225">
        <f>IF(NOT(ISNUMBER(G1220)), "", VLOOKUP(A1220,'Discount Lookup'!G:H,2,FALSE)*G1220)</f>
        <v>0</v>
      </c>
      <c r="W1220" s="508">
        <f t="shared" si="872"/>
        <v>0</v>
      </c>
      <c r="X1220" s="508">
        <f t="shared" si="873"/>
        <v>0</v>
      </c>
      <c r="Y1220" s="509" t="b">
        <f t="shared" si="874"/>
        <v>0</v>
      </c>
      <c r="Z1220" s="510">
        <f t="shared" si="875"/>
        <v>0</v>
      </c>
      <c r="AA1220" s="511"/>
      <c r="AB1220" s="511" t="str">
        <f t="shared" si="876"/>
        <v/>
      </c>
      <c r="AC1220" s="698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698"/>
      <c r="AE1220" s="631" t="str">
        <f t="shared" si="877"/>
        <v/>
      </c>
      <c r="AF1220" s="699" t="str">
        <f t="shared" si="878"/>
        <v/>
      </c>
      <c r="AG1220" s="699"/>
      <c r="AH1220" s="699"/>
      <c r="AI1220" s="512">
        <f>IF(H1220="credit",0,IF(AE1220="free",0,IF(AE1220="me",0,IF(G1220&gt;0,(VLOOKUP(A1220,'Discount Lookup'!J:K,2)*G1220),0))))</f>
        <v>0</v>
      </c>
      <c r="AJ1220" s="513" t="str">
        <f t="shared" ca="1" si="879"/>
        <v/>
      </c>
      <c r="AK1220" s="700" t="str">
        <f t="shared" si="880"/>
        <v/>
      </c>
      <c r="AL1220" s="700"/>
      <c r="AM1220" s="505" t="str">
        <f t="shared" si="881"/>
        <v/>
      </c>
      <c r="AN1220" s="506"/>
      <c r="AO1220" s="507"/>
      <c r="AP1220" s="507"/>
      <c r="AQ1220" s="507"/>
      <c r="AR1220" s="507"/>
      <c r="AS1220" s="507"/>
      <c r="AT1220" s="507"/>
      <c r="AU1220" s="507"/>
      <c r="AV1220" s="225"/>
      <c r="AW1220" s="508"/>
      <c r="AX1220" s="225"/>
      <c r="AY1220" s="225"/>
      <c r="AZ1220" s="225"/>
      <c r="BA1220" s="225"/>
      <c r="BB1220" s="225"/>
      <c r="BC1220" s="56"/>
      <c r="BD1220" s="56"/>
      <c r="BE1220" s="56"/>
      <c r="BF1220" s="107" t="str">
        <f t="shared" si="882"/>
        <v>https://www.google.com/search?tbm=isch&amp;q=3%20G5</v>
      </c>
      <c r="BG1220" s="107" t="str">
        <f t="shared" si="883"/>
        <v>E</v>
      </c>
      <c r="BH1220" s="254"/>
      <c r="BI1220" s="254"/>
    </row>
    <row r="1221" spans="1:61" customFormat="1" ht="15.75" x14ac:dyDescent="0.25">
      <c r="A1221" s="485">
        <v>7</v>
      </c>
      <c r="B1221" s="486" t="s">
        <v>291</v>
      </c>
      <c r="C1221" s="487" t="s">
        <v>4508</v>
      </c>
      <c r="D1221" s="488" t="s">
        <v>299</v>
      </c>
      <c r="E1221" s="489">
        <v>79.95</v>
      </c>
      <c r="F1221" s="516" t="s">
        <v>293</v>
      </c>
      <c r="G1221" s="232">
        <v>0</v>
      </c>
      <c r="H1221" s="658" t="str">
        <f>IF(G1221=0,"",IF(F1221="Buy",IF(G1221=1,"plant","plants"),IF(F1221&gt;0.01,"warranty","Error")))</f>
        <v/>
      </c>
      <c r="I1221" s="490">
        <f>IF(H1221="free",0,IF(H1221="credit",((E1221*(F1221))*G1221*-1),IF(F1221="Buy",(E1221*G1221),((E1221*(1-F1221))*G1221))))</f>
        <v>0</v>
      </c>
      <c r="J1221" s="490">
        <f>IF(H1221="warranty",0,(I1221*(_xlfn.SINGLE(SalesTaxPercentage))))</f>
        <v>0</v>
      </c>
      <c r="K1221" s="695">
        <f t="shared" ref="K1221" si="931">I1221+J1221</f>
        <v>0</v>
      </c>
      <c r="L1221" s="695"/>
      <c r="M1221" s="659" t="str">
        <f>IF(AND(G1221&gt;0,E1221=0),"WARNING - no PRICE inserted",IF(H1221="free"," FREE ~ no charge this plant",IF(H1221="credit",CONCATENATE(" -$",ROUND(K1221*(1-T2GDiscount)*-1,2)," CREDIT after discount"),IF(T2GDiscount=0,"",IF(G1221=0,"",IF(F1221="Buy",CONCATENATE(" $",ROUND(K1221*(1-T2GDiscount),2)," with ",(T2GDiscount*100),"% discount"),CONCATENATE(" $",ROUND(K1221*(1-T2GDiscount),2)," with ",((T2GDiscount*100+F1221*100)-(T2GDiscount*100*F1221)),IF(F1221&gt;0,"% discounts",IF(NoWarrantyDiscount&gt;0,"% discounts","% discount")))))))))</f>
        <v/>
      </c>
      <c r="N1221" s="660"/>
      <c r="O1221" s="233"/>
      <c r="P1221" s="233"/>
      <c r="Q1221" s="233"/>
      <c r="R1221" s="233"/>
      <c r="S1221" s="233"/>
      <c r="T1221" s="508">
        <f t="shared" si="871"/>
        <v>0</v>
      </c>
      <c r="U1221" s="225">
        <f>IF(NOT(ISNUMBER(G1221)), "", VLOOKUP(A1221,'Discount Lookup'!D:E,2,FALSE)*G1221)</f>
        <v>0</v>
      </c>
      <c r="V1221" s="225">
        <f>IF(NOT(ISNUMBER(G1221)), "", VLOOKUP(A1221,'Discount Lookup'!G:H,2,FALSE)*G1221)</f>
        <v>0</v>
      </c>
      <c r="W1221" s="508">
        <f t="shared" si="872"/>
        <v>0</v>
      </c>
      <c r="X1221" s="508">
        <f t="shared" si="873"/>
        <v>0</v>
      </c>
      <c r="Y1221" s="509" t="b">
        <f t="shared" si="874"/>
        <v>0</v>
      </c>
      <c r="Z1221" s="510">
        <f t="shared" si="875"/>
        <v>0</v>
      </c>
      <c r="AA1221" s="511"/>
      <c r="AB1221" s="511" t="str">
        <f t="shared" si="876"/>
        <v/>
      </c>
      <c r="AC1221" s="698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698"/>
      <c r="AE1221" s="631" t="str">
        <f t="shared" si="877"/>
        <v/>
      </c>
      <c r="AF1221" s="699" t="str">
        <f t="shared" si="878"/>
        <v/>
      </c>
      <c r="AG1221" s="699"/>
      <c r="AH1221" s="699"/>
      <c r="AI1221" s="512">
        <f>IF(H1221="credit",0,IF(AE1221="free",0,IF(AE1221="me",0,IF(G1221&gt;0,(VLOOKUP(A1221,'Discount Lookup'!J:K,2)*G1221),0))))</f>
        <v>0</v>
      </c>
      <c r="AJ1221" s="513" t="str">
        <f t="shared" ca="1" si="879"/>
        <v/>
      </c>
      <c r="AK1221" s="700" t="str">
        <f t="shared" si="880"/>
        <v/>
      </c>
      <c r="AL1221" s="700"/>
      <c r="AM1221" s="505" t="str">
        <f t="shared" si="881"/>
        <v/>
      </c>
      <c r="AN1221" s="506"/>
      <c r="AO1221" s="507"/>
      <c r="AP1221" s="507"/>
      <c r="AQ1221" s="507"/>
      <c r="AR1221" s="507"/>
      <c r="AS1221" s="507"/>
      <c r="AT1221" s="507"/>
      <c r="AU1221" s="507"/>
      <c r="AV1221" s="225"/>
      <c r="AW1221" s="508"/>
      <c r="AX1221" s="225"/>
      <c r="AY1221" s="225"/>
      <c r="AZ1221" s="225"/>
      <c r="BA1221" s="225"/>
      <c r="BB1221" s="225"/>
      <c r="BC1221" s="56"/>
      <c r="BD1221" s="56"/>
      <c r="BE1221" s="56"/>
      <c r="BF1221" s="107" t="str">
        <f t="shared" si="882"/>
        <v>https://www.google.com/search?tbm=isch&amp;q=7%20G5</v>
      </c>
      <c r="BG1221" s="107" t="str">
        <f t="shared" si="883"/>
        <v>E</v>
      </c>
      <c r="BH1221" s="254"/>
      <c r="BI1221" s="254"/>
    </row>
    <row r="1222" spans="1:61" customFormat="1" ht="15.75" x14ac:dyDescent="0.25">
      <c r="A1222" s="485">
        <v>7</v>
      </c>
      <c r="B1222" s="486" t="s">
        <v>291</v>
      </c>
      <c r="C1222" s="487" t="s">
        <v>3465</v>
      </c>
      <c r="D1222" s="488" t="s">
        <v>292</v>
      </c>
      <c r="E1222" s="489">
        <v>95.95</v>
      </c>
      <c r="F1222" s="516" t="s">
        <v>293</v>
      </c>
      <c r="G1222" s="232">
        <v>0</v>
      </c>
      <c r="H1222" s="658" t="str">
        <f>IF(G1222=0,"",IF(F1222="Buy",IF(G1222=1,"plant","plants"),IF(F1222&gt;0.01,"warranty","Error")))</f>
        <v/>
      </c>
      <c r="I1222" s="490">
        <f>IF(H1222="free",0,IF(H1222="credit",((E1222*(F1222))*G1222*-1),IF(F1222="Buy",(E1222*G1222),((E1222*(1-F1222))*G1222))))</f>
        <v>0</v>
      </c>
      <c r="J1222" s="490">
        <f>IF(H1222="warranty",0,(I1222*(_xlfn.SINGLE(SalesTaxPercentage))))</f>
        <v>0</v>
      </c>
      <c r="K1222" s="695">
        <f t="shared" ref="K1222" si="932">I1222+J1222</f>
        <v>0</v>
      </c>
      <c r="L1222" s="695"/>
      <c r="M1222" s="659" t="str">
        <f>IF(AND(G1222&gt;0,E1222=0),"WARNING - no PRICE inserted",IF(H1222="free"," FREE ~ no charge this plant",IF(H1222="credit",CONCATENATE(" -$",ROUND(K1222*(1-T2GDiscount)*-1,2)," CREDIT after discount"),IF(T2GDiscount=0,"",IF(G1222=0,"",IF(F1222="Buy",CONCATENATE(" $",ROUND(K1222*(1-T2GDiscount),2)," with ",(T2GDiscount*100),"% discount"),CONCATENATE(" $",ROUND(K1222*(1-T2GDiscount),2)," with ",((T2GDiscount*100+F1222*100)-(T2GDiscount*100*F1222)),IF(F1222&gt;0,"% discounts",IF(NoWarrantyDiscount&gt;0,"% discounts","% discount")))))))))</f>
        <v/>
      </c>
      <c r="N1222" s="660"/>
      <c r="O1222" s="233"/>
      <c r="P1222" s="233"/>
      <c r="Q1222" s="233"/>
      <c r="R1222" s="233"/>
      <c r="S1222" s="233"/>
      <c r="T1222" s="508">
        <f t="shared" si="871"/>
        <v>0</v>
      </c>
      <c r="U1222" s="225">
        <f>IF(NOT(ISNUMBER(G1222)), "", VLOOKUP(A1222,'Discount Lookup'!D:E,2,FALSE)*G1222)</f>
        <v>0</v>
      </c>
      <c r="V1222" s="225">
        <f>IF(NOT(ISNUMBER(G1222)), "", VLOOKUP(A1222,'Discount Lookup'!G:H,2,FALSE)*G1222)</f>
        <v>0</v>
      </c>
      <c r="W1222" s="508">
        <f t="shared" si="872"/>
        <v>0</v>
      </c>
      <c r="X1222" s="508">
        <f t="shared" si="873"/>
        <v>0</v>
      </c>
      <c r="Y1222" s="509" t="b">
        <f t="shared" si="874"/>
        <v>0</v>
      </c>
      <c r="Z1222" s="510">
        <f t="shared" si="875"/>
        <v>0</v>
      </c>
      <c r="AA1222" s="511"/>
      <c r="AB1222" s="511" t="str">
        <f t="shared" si="876"/>
        <v/>
      </c>
      <c r="AC1222" s="698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698"/>
      <c r="AE1222" s="631" t="str">
        <f t="shared" si="877"/>
        <v/>
      </c>
      <c r="AF1222" s="699" t="str">
        <f t="shared" si="878"/>
        <v/>
      </c>
      <c r="AG1222" s="699"/>
      <c r="AH1222" s="699"/>
      <c r="AI1222" s="512">
        <f>IF(H1222="credit",0,IF(AE1222="free",0,IF(AE1222="me",0,IF(G1222&gt;0,(VLOOKUP(A1222,'Discount Lookup'!J:K,2)*G1222),0))))</f>
        <v>0</v>
      </c>
      <c r="AJ1222" s="513" t="str">
        <f t="shared" ca="1" si="879"/>
        <v/>
      </c>
      <c r="AK1222" s="700" t="str">
        <f t="shared" si="880"/>
        <v/>
      </c>
      <c r="AL1222" s="700"/>
      <c r="AM1222" s="505" t="str">
        <f t="shared" si="881"/>
        <v/>
      </c>
      <c r="AN1222" s="506"/>
      <c r="AO1222" s="507"/>
      <c r="AP1222" s="507"/>
      <c r="AQ1222" s="507"/>
      <c r="AR1222" s="507"/>
      <c r="AS1222" s="507"/>
      <c r="AT1222" s="507"/>
      <c r="AU1222" s="507"/>
      <c r="AV1222" s="225"/>
      <c r="AW1222" s="508"/>
      <c r="AX1222" s="225"/>
      <c r="AY1222" s="225"/>
      <c r="AZ1222" s="225"/>
      <c r="BA1222" s="225"/>
      <c r="BB1222" s="225"/>
      <c r="BC1222" s="56"/>
      <c r="BD1222" s="56"/>
      <c r="BE1222" s="56"/>
      <c r="BF1222" s="107" t="str">
        <f t="shared" si="882"/>
        <v>https://www.google.com/search?tbm=isch&amp;q=7%20G4</v>
      </c>
      <c r="BG1222" s="107" t="str">
        <f t="shared" si="883"/>
        <v>E</v>
      </c>
      <c r="BH1222" s="254"/>
      <c r="BI1222" s="254"/>
    </row>
    <row r="1223" spans="1:61" customFormat="1" ht="16.5" thickBot="1" x14ac:dyDescent="0.3">
      <c r="A1223" s="522" t="s">
        <v>4085</v>
      </c>
      <c r="B1223" s="491"/>
      <c r="C1223" s="675"/>
      <c r="D1223" s="491"/>
      <c r="E1223" s="491"/>
      <c r="F1223" s="492"/>
      <c r="G1223" s="493"/>
      <c r="H1223" s="491"/>
      <c r="I1223" s="234"/>
      <c r="J1223" s="234"/>
      <c r="K1223" s="494"/>
      <c r="L1223" s="543"/>
      <c r="M1223" s="561"/>
      <c r="N1223" s="495"/>
      <c r="O1223" s="496"/>
      <c r="P1223" s="497"/>
      <c r="Q1223" s="495"/>
      <c r="R1223" s="495"/>
      <c r="S1223" s="667" t="s">
        <v>4968</v>
      </c>
      <c r="T1223" s="508">
        <f t="shared" si="871"/>
        <v>0</v>
      </c>
      <c r="U1223" s="225" t="str">
        <f>IF(NOT(ISNUMBER(G1223)), "", VLOOKUP(A1223,'Discount Lookup'!D:E,2,FALSE)*G1223)</f>
        <v/>
      </c>
      <c r="V1223" s="225" t="str">
        <f>IF(NOT(ISNUMBER(G1223)), "", VLOOKUP(A1223,'Discount Lookup'!G:H,2,FALSE)*G1223)</f>
        <v/>
      </c>
      <c r="W1223" s="508">
        <f t="shared" si="872"/>
        <v>0</v>
      </c>
      <c r="X1223" s="508">
        <f t="shared" si="873"/>
        <v>0</v>
      </c>
      <c r="Y1223" s="509" t="b">
        <f t="shared" si="874"/>
        <v>0</v>
      </c>
      <c r="Z1223" s="510">
        <f t="shared" si="875"/>
        <v>0</v>
      </c>
      <c r="AA1223" s="511"/>
      <c r="AB1223" s="511" t="str">
        <f t="shared" si="876"/>
        <v/>
      </c>
      <c r="AC1223" s="698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698"/>
      <c r="AE1223" s="631" t="str">
        <f t="shared" si="877"/>
        <v/>
      </c>
      <c r="AF1223" s="699" t="str">
        <f t="shared" si="878"/>
        <v/>
      </c>
      <c r="AG1223" s="699"/>
      <c r="AH1223" s="699"/>
      <c r="AI1223" s="512">
        <f>IF(H1223="credit",0,IF(AE1223="free",0,IF(AE1223="me",0,IF(G1223&gt;0,(VLOOKUP(A1223,'Discount Lookup'!J:K,2)*G1223),0))))</f>
        <v>0</v>
      </c>
      <c r="AJ1223" s="513" t="str">
        <f t="shared" ca="1" si="879"/>
        <v/>
      </c>
      <c r="AK1223" s="700" t="str">
        <f t="shared" si="880"/>
        <v/>
      </c>
      <c r="AL1223" s="700"/>
      <c r="AM1223" s="505" t="str">
        <f t="shared" si="881"/>
        <v/>
      </c>
      <c r="AN1223" s="506"/>
      <c r="AO1223" s="507"/>
      <c r="AP1223" s="507"/>
      <c r="AQ1223" s="507"/>
      <c r="AR1223" s="507"/>
      <c r="AS1223" s="507"/>
      <c r="AT1223" s="507"/>
      <c r="AU1223" s="507"/>
      <c r="AV1223" s="225"/>
      <c r="AW1223" s="508"/>
      <c r="AX1223" s="225"/>
      <c r="AY1223" s="225"/>
      <c r="AZ1223" s="225"/>
      <c r="BA1223" s="225"/>
      <c r="BB1223" s="225"/>
      <c r="BC1223" s="56"/>
      <c r="BD1223" s="56"/>
      <c r="BE1223" s="56"/>
      <c r="BF1223" s="107" t="str">
        <f t="shared" si="882"/>
        <v>https://www.google.com/search?tbm=isch&amp;q=Emerald%20Heights%20offers%20a%20dense%2C%20neat%20habit%20with%20glossy%20foliage%20and%20subtle%20Red%20late-winter%20blooms.%20Heat%20and%20drought%20tolerant%20</v>
      </c>
      <c r="BG1223" s="107" t="str">
        <f t="shared" si="883"/>
        <v>E</v>
      </c>
      <c r="BH1223" s="254"/>
      <c r="BI1223" s="254"/>
    </row>
    <row r="1224" spans="1:61" customFormat="1" ht="18" x14ac:dyDescent="0.25">
      <c r="A1224" s="521" t="s">
        <v>5398</v>
      </c>
      <c r="B1224" s="477"/>
      <c r="C1224" s="674"/>
      <c r="D1224" s="478" t="s">
        <v>838</v>
      </c>
      <c r="E1224" s="479"/>
      <c r="F1224" s="479"/>
      <c r="G1224" s="479"/>
      <c r="H1224" s="582" t="s">
        <v>1748</v>
      </c>
      <c r="I1224" s="480" t="s">
        <v>2291</v>
      </c>
      <c r="J1224" s="479"/>
      <c r="K1224" s="479"/>
      <c r="L1224" s="560"/>
      <c r="M1224" s="666" t="s">
        <v>4966</v>
      </c>
      <c r="N1224" s="680" t="str">
        <f>IF(AND(ISTEXT($A1224), ISERROR($A1224+0)), HYPERLINK($BF1224, "Images"), "")</f>
        <v>Images</v>
      </c>
      <c r="O1224" s="662" t="s">
        <v>4971</v>
      </c>
      <c r="P1224" s="482"/>
      <c r="Q1224" s="483"/>
      <c r="R1224" s="483"/>
      <c r="S1224" s="484" t="s">
        <v>305</v>
      </c>
      <c r="T1224" s="508">
        <f t="shared" si="871"/>
        <v>0</v>
      </c>
      <c r="U1224" s="225" t="str">
        <f>IF(NOT(ISNUMBER(G1224)), "", VLOOKUP(A1224,'Discount Lookup'!D:E,2,FALSE)*G1224)</f>
        <v/>
      </c>
      <c r="V1224" s="225" t="str">
        <f>IF(NOT(ISNUMBER(G1224)), "", VLOOKUP(A1224,'Discount Lookup'!G:H,2,FALSE)*G1224)</f>
        <v/>
      </c>
      <c r="W1224" s="508">
        <f t="shared" si="872"/>
        <v>0</v>
      </c>
      <c r="X1224" s="508" t="str">
        <f t="shared" si="873"/>
        <v>Emerald-Green foliage</v>
      </c>
      <c r="Y1224" s="509" t="b">
        <f t="shared" si="874"/>
        <v>0</v>
      </c>
      <c r="Z1224" s="510">
        <f t="shared" si="875"/>
        <v>0</v>
      </c>
      <c r="AA1224" s="511"/>
      <c r="AB1224" s="511" t="str">
        <f t="shared" si="876"/>
        <v/>
      </c>
      <c r="AC1224" s="698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698"/>
      <c r="AE1224" s="631" t="str">
        <f t="shared" si="877"/>
        <v/>
      </c>
      <c r="AF1224" s="699" t="str">
        <f t="shared" si="878"/>
        <v/>
      </c>
      <c r="AG1224" s="699"/>
      <c r="AH1224" s="699"/>
      <c r="AI1224" s="512">
        <f>IF(H1224="credit",0,IF(AE1224="free",0,IF(AE1224="me",0,IF(G1224&gt;0,(VLOOKUP(A1224,'Discount Lookup'!J:K,2)*G1224),0))))</f>
        <v>0</v>
      </c>
      <c r="AJ1224" s="513" t="str">
        <f t="shared" ca="1" si="879"/>
        <v/>
      </c>
      <c r="AK1224" s="700" t="str">
        <f t="shared" si="880"/>
        <v/>
      </c>
      <c r="AL1224" s="700"/>
      <c r="AM1224" s="505" t="str">
        <f t="shared" si="881"/>
        <v/>
      </c>
      <c r="AN1224" s="506"/>
      <c r="AO1224" s="507"/>
      <c r="AP1224" s="507"/>
      <c r="AQ1224" s="507"/>
      <c r="AR1224" s="507"/>
      <c r="AS1224" s="507"/>
      <c r="AT1224" s="507"/>
      <c r="AU1224" s="507"/>
      <c r="AV1224" s="225"/>
      <c r="AW1224" s="508"/>
      <c r="AX1224" s="225"/>
      <c r="AY1224" s="225"/>
      <c r="AZ1224" s="225"/>
      <c r="BA1224" s="225"/>
      <c r="BB1224" s="225"/>
      <c r="BC1224" s="56"/>
      <c r="BD1224" s="56"/>
      <c r="BE1224" s="56"/>
      <c r="BF1224" s="107" t="str">
        <f t="shared" si="882"/>
        <v>https://www.google.com/search?tbm=isch&amp;q=Emerald%20Squeeze%E2%84%A2%20Arborvitae%20Thuja%20occidentalis%20%27Lilshreckthu%27%20PP%2333785</v>
      </c>
      <c r="BG1224" s="107" t="str">
        <f t="shared" si="883"/>
        <v>E</v>
      </c>
      <c r="BH1224" s="254"/>
      <c r="BI1224" s="254"/>
    </row>
    <row r="1225" spans="1:61" customFormat="1" ht="15.75" x14ac:dyDescent="0.25">
      <c r="A1225" s="485">
        <v>7</v>
      </c>
      <c r="B1225" s="486" t="s">
        <v>291</v>
      </c>
      <c r="C1225" s="487" t="s">
        <v>3451</v>
      </c>
      <c r="D1225" s="488" t="s">
        <v>292</v>
      </c>
      <c r="E1225" s="489">
        <v>109.95</v>
      </c>
      <c r="F1225" s="516" t="s">
        <v>293</v>
      </c>
      <c r="G1225" s="232">
        <v>0</v>
      </c>
      <c r="H1225" s="658" t="str">
        <f>IF(G1225=0,"",IF(F1225="Buy",IF(G1225=1,"plant","plants"),IF(F1225&gt;0.01,"warranty","Error")))</f>
        <v/>
      </c>
      <c r="I1225" s="490">
        <f>IF(H1225="free",0,IF(H1225="credit",((E1225*(F1225))*G1225*-1),IF(F1225="Buy",(E1225*G1225),((E1225*(1-F1225))*G1225))))</f>
        <v>0</v>
      </c>
      <c r="J1225" s="490">
        <f>IF(H1225="warranty",0,(I1225*(_xlfn.SINGLE(SalesTaxPercentage))))</f>
        <v>0</v>
      </c>
      <c r="K1225" s="695">
        <f t="shared" ref="K1225" si="933">I1225+J1225</f>
        <v>0</v>
      </c>
      <c r="L1225" s="695"/>
      <c r="M1225" s="659" t="str">
        <f>IF(AND(G1225&gt;0,E1225=0),"WARNING - no PRICE inserted",IF(H1225="free"," FREE ~ no charge this plant",IF(H1225="credit",CONCATENATE(" -$",ROUND(K1225*(1-T2GDiscount)*-1,2)," CREDIT after discount"),IF(T2GDiscount=0,"",IF(G1225=0,"",IF(F1225="Buy",CONCATENATE(" $",ROUND(K1225*(1-T2GDiscount),2)," with ",(T2GDiscount*100),"% discount"),CONCATENATE(" $",ROUND(K1225*(1-T2GDiscount),2)," with ",((T2GDiscount*100+F1225*100)-(T2GDiscount*100*F1225)),IF(F1225&gt;0,"% discounts",IF(NoWarrantyDiscount&gt;0,"% discounts","% discount")))))))))</f>
        <v/>
      </c>
      <c r="N1225" s="660"/>
      <c r="O1225" s="233"/>
      <c r="P1225" s="233"/>
      <c r="Q1225" s="233"/>
      <c r="R1225" s="233"/>
      <c r="S1225" s="233"/>
      <c r="T1225" s="508">
        <f t="shared" si="871"/>
        <v>0</v>
      </c>
      <c r="U1225" s="225">
        <f>IF(NOT(ISNUMBER(G1225)), "", VLOOKUP(A1225,'Discount Lookup'!D:E,2,FALSE)*G1225)</f>
        <v>0</v>
      </c>
      <c r="V1225" s="225">
        <f>IF(NOT(ISNUMBER(G1225)), "", VLOOKUP(A1225,'Discount Lookup'!G:H,2,FALSE)*G1225)</f>
        <v>0</v>
      </c>
      <c r="W1225" s="508">
        <f t="shared" si="872"/>
        <v>0</v>
      </c>
      <c r="X1225" s="508">
        <f t="shared" si="873"/>
        <v>0</v>
      </c>
      <c r="Y1225" s="509" t="b">
        <f t="shared" si="874"/>
        <v>0</v>
      </c>
      <c r="Z1225" s="510">
        <f t="shared" si="875"/>
        <v>0</v>
      </c>
      <c r="AA1225" s="511"/>
      <c r="AB1225" s="511" t="str">
        <f t="shared" si="876"/>
        <v/>
      </c>
      <c r="AC1225" s="698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698"/>
      <c r="AE1225" s="631" t="str">
        <f t="shared" si="877"/>
        <v/>
      </c>
      <c r="AF1225" s="699" t="str">
        <f t="shared" si="878"/>
        <v/>
      </c>
      <c r="AG1225" s="699"/>
      <c r="AH1225" s="699"/>
      <c r="AI1225" s="512">
        <f>IF(H1225="credit",0,IF(AE1225="free",0,IF(AE1225="me",0,IF(G1225&gt;0,(VLOOKUP(A1225,'Discount Lookup'!J:K,2)*G1225),0))))</f>
        <v>0</v>
      </c>
      <c r="AJ1225" s="513" t="str">
        <f t="shared" ca="1" si="879"/>
        <v/>
      </c>
      <c r="AK1225" s="700" t="str">
        <f t="shared" si="880"/>
        <v/>
      </c>
      <c r="AL1225" s="700"/>
      <c r="AM1225" s="505" t="str">
        <f t="shared" si="881"/>
        <v/>
      </c>
      <c r="AN1225" s="506"/>
      <c r="AO1225" s="507"/>
      <c r="AP1225" s="507"/>
      <c r="AQ1225" s="507"/>
      <c r="AR1225" s="507"/>
      <c r="AS1225" s="507"/>
      <c r="AT1225" s="507"/>
      <c r="AU1225" s="507"/>
      <c r="AV1225" s="225"/>
      <c r="AW1225" s="508"/>
      <c r="AX1225" s="225"/>
      <c r="AY1225" s="225"/>
      <c r="AZ1225" s="225"/>
      <c r="BA1225" s="225"/>
      <c r="BB1225" s="225"/>
      <c r="BC1225" s="56"/>
      <c r="BD1225" s="56"/>
      <c r="BE1225" s="56"/>
      <c r="BF1225" s="107" t="str">
        <f t="shared" si="882"/>
        <v>https://www.google.com/search?tbm=isch&amp;q=7%20G4</v>
      </c>
      <c r="BG1225" s="107" t="str">
        <f t="shared" si="883"/>
        <v>E</v>
      </c>
      <c r="BH1225" s="254"/>
      <c r="BI1225" s="254"/>
    </row>
    <row r="1226" spans="1:61" customFormat="1" ht="15.75" x14ac:dyDescent="0.25">
      <c r="A1226" s="485">
        <v>25</v>
      </c>
      <c r="B1226" s="486" t="s">
        <v>291</v>
      </c>
      <c r="C1226" s="487" t="s">
        <v>840</v>
      </c>
      <c r="D1226" s="488" t="s">
        <v>300</v>
      </c>
      <c r="E1226" s="489">
        <v>338.95</v>
      </c>
      <c r="F1226" s="516" t="s">
        <v>293</v>
      </c>
      <c r="G1226" s="232">
        <v>0</v>
      </c>
      <c r="H1226" s="658" t="str">
        <f>IF(G1226=0,"",IF(F1226="Buy",IF(G1226=1,"plant","plants"),IF(F1226&gt;0.01,"warranty","Error")))</f>
        <v/>
      </c>
      <c r="I1226" s="490">
        <f>IF(H1226="free",0,IF(H1226="credit",((E1226*(F1226))*G1226*-1),IF(F1226="Buy",(E1226*G1226),((E1226*(1-F1226))*G1226))))</f>
        <v>0</v>
      </c>
      <c r="J1226" s="490">
        <f>IF(H1226="warranty",0,(I1226*(_xlfn.SINGLE(SalesTaxPercentage))))</f>
        <v>0</v>
      </c>
      <c r="K1226" s="695">
        <f t="shared" ref="K1226" si="934">I1226+J1226</f>
        <v>0</v>
      </c>
      <c r="L1226" s="695"/>
      <c r="M1226" s="659" t="str">
        <f>IF(AND(G1226&gt;0,E1226=0),"WARNING - no PRICE inserted",IF(H1226="free"," FREE ~ no charge this plant",IF(H1226="credit",CONCATENATE(" -$",ROUND(K1226*(1-T2GDiscount)*-1,2)," CREDIT after discount"),IF(T2GDiscount=0,"",IF(G1226=0,"",IF(F1226="Buy",CONCATENATE(" $",ROUND(K1226*(1-T2GDiscount),2)," with ",(T2GDiscount*100),"% discount"),CONCATENATE(" $",ROUND(K1226*(1-T2GDiscount),2)," with ",((T2GDiscount*100+F1226*100)-(T2GDiscount*100*F1226)),IF(F1226&gt;0,"% discounts",IF(NoWarrantyDiscount&gt;0,"% discounts","% discount")))))))))</f>
        <v/>
      </c>
      <c r="N1226" s="660"/>
      <c r="O1226" s="233"/>
      <c r="P1226" s="233"/>
      <c r="Q1226" s="233"/>
      <c r="R1226" s="233"/>
      <c r="S1226" s="233"/>
      <c r="T1226" s="508">
        <f t="shared" si="871"/>
        <v>0</v>
      </c>
      <c r="U1226" s="225">
        <f>IF(NOT(ISNUMBER(G1226)), "", VLOOKUP(A1226,'Discount Lookup'!D:E,2,FALSE)*G1226)</f>
        <v>0</v>
      </c>
      <c r="V1226" s="225">
        <f>IF(NOT(ISNUMBER(G1226)), "", VLOOKUP(A1226,'Discount Lookup'!G:H,2,FALSE)*G1226)</f>
        <v>0</v>
      </c>
      <c r="W1226" s="508">
        <f t="shared" si="872"/>
        <v>0</v>
      </c>
      <c r="X1226" s="508">
        <f t="shared" si="873"/>
        <v>0</v>
      </c>
      <c r="Y1226" s="509" t="b">
        <f t="shared" si="874"/>
        <v>0</v>
      </c>
      <c r="Z1226" s="510">
        <f t="shared" si="875"/>
        <v>0</v>
      </c>
      <c r="AA1226" s="511"/>
      <c r="AB1226" s="511" t="str">
        <f t="shared" si="876"/>
        <v/>
      </c>
      <c r="AC1226" s="698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698"/>
      <c r="AE1226" s="631" t="str">
        <f t="shared" si="877"/>
        <v/>
      </c>
      <c r="AF1226" s="699" t="str">
        <f t="shared" si="878"/>
        <v/>
      </c>
      <c r="AG1226" s="699"/>
      <c r="AH1226" s="699"/>
      <c r="AI1226" s="512">
        <f>IF(H1226="credit",0,IF(AE1226="free",0,IF(AE1226="me",0,IF(G1226&gt;0,(VLOOKUP(A1226,'Discount Lookup'!J:K,2)*G1226),0))))</f>
        <v>0</v>
      </c>
      <c r="AJ1226" s="513" t="str">
        <f t="shared" ca="1" si="879"/>
        <v/>
      </c>
      <c r="AK1226" s="700" t="str">
        <f t="shared" si="880"/>
        <v/>
      </c>
      <c r="AL1226" s="700"/>
      <c r="AM1226" s="505" t="str">
        <f t="shared" si="881"/>
        <v/>
      </c>
      <c r="AN1226" s="506"/>
      <c r="AO1226" s="507"/>
      <c r="AP1226" s="507"/>
      <c r="AQ1226" s="507"/>
      <c r="AR1226" s="507"/>
      <c r="AS1226" s="507"/>
      <c r="AT1226" s="507"/>
      <c r="AU1226" s="507"/>
      <c r="AV1226" s="225"/>
      <c r="AW1226" s="508"/>
      <c r="AX1226" s="225"/>
      <c r="AY1226" s="225"/>
      <c r="AZ1226" s="225"/>
      <c r="BA1226" s="225"/>
      <c r="BB1226" s="225"/>
      <c r="BC1226" s="56"/>
      <c r="BD1226" s="56"/>
      <c r="BE1226" s="56"/>
      <c r="BF1226" s="107" t="str">
        <f t="shared" si="882"/>
        <v>https://www.google.com/search?tbm=isch&amp;q=25%20G6</v>
      </c>
      <c r="BG1226" s="107" t="str">
        <f t="shared" si="883"/>
        <v>E</v>
      </c>
      <c r="BH1226" s="254"/>
      <c r="BI1226" s="254"/>
    </row>
    <row r="1227" spans="1:61" customFormat="1" ht="16.5" thickBot="1" x14ac:dyDescent="0.3">
      <c r="A1227" s="522" t="s">
        <v>2376</v>
      </c>
      <c r="B1227" s="491"/>
      <c r="C1227" s="675"/>
      <c r="D1227" s="491"/>
      <c r="E1227" s="491"/>
      <c r="F1227" s="492"/>
      <c r="G1227" s="493"/>
      <c r="H1227" s="491"/>
      <c r="I1227" s="234"/>
      <c r="J1227" s="234"/>
      <c r="K1227" s="494"/>
      <c r="L1227" s="543"/>
      <c r="M1227" s="561"/>
      <c r="N1227" s="495"/>
      <c r="O1227" s="496"/>
      <c r="P1227" s="497"/>
      <c r="Q1227" s="495"/>
      <c r="R1227" s="495"/>
      <c r="S1227" s="277"/>
      <c r="T1227" s="508">
        <f t="shared" si="871"/>
        <v>0</v>
      </c>
      <c r="U1227" s="225" t="str">
        <f>IF(NOT(ISNUMBER(G1227)), "", VLOOKUP(A1227,'Discount Lookup'!D:E,2,FALSE)*G1227)</f>
        <v/>
      </c>
      <c r="V1227" s="225" t="str">
        <f>IF(NOT(ISNUMBER(G1227)), "", VLOOKUP(A1227,'Discount Lookup'!G:H,2,FALSE)*G1227)</f>
        <v/>
      </c>
      <c r="W1227" s="508">
        <f t="shared" si="872"/>
        <v>0</v>
      </c>
      <c r="X1227" s="508">
        <f t="shared" si="873"/>
        <v>0</v>
      </c>
      <c r="Y1227" s="509" t="b">
        <f t="shared" si="874"/>
        <v>0</v>
      </c>
      <c r="Z1227" s="510">
        <f t="shared" si="875"/>
        <v>0</v>
      </c>
      <c r="AA1227" s="511"/>
      <c r="AB1227" s="511" t="str">
        <f t="shared" si="876"/>
        <v/>
      </c>
      <c r="AC1227" s="698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698"/>
      <c r="AE1227" s="631" t="str">
        <f t="shared" si="877"/>
        <v/>
      </c>
      <c r="AF1227" s="699" t="str">
        <f t="shared" si="878"/>
        <v/>
      </c>
      <c r="AG1227" s="699"/>
      <c r="AH1227" s="699"/>
      <c r="AI1227" s="512">
        <f>IF(H1227="credit",0,IF(AE1227="free",0,IF(AE1227="me",0,IF(G1227&gt;0,(VLOOKUP(A1227,'Discount Lookup'!J:K,2)*G1227),0))))</f>
        <v>0</v>
      </c>
      <c r="AJ1227" s="513" t="str">
        <f t="shared" ca="1" si="879"/>
        <v/>
      </c>
      <c r="AK1227" s="700" t="str">
        <f t="shared" si="880"/>
        <v/>
      </c>
      <c r="AL1227" s="700"/>
      <c r="AM1227" s="505" t="str">
        <f t="shared" si="881"/>
        <v/>
      </c>
      <c r="AN1227" s="506"/>
      <c r="AO1227" s="507"/>
      <c r="AP1227" s="507"/>
      <c r="AQ1227" s="507"/>
      <c r="AR1227" s="507"/>
      <c r="AS1227" s="507"/>
      <c r="AT1227" s="507"/>
      <c r="AU1227" s="507"/>
      <c r="AV1227" s="225"/>
      <c r="AW1227" s="508"/>
      <c r="AX1227" s="225"/>
      <c r="AY1227" s="225"/>
      <c r="AZ1227" s="225"/>
      <c r="BA1227" s="225"/>
      <c r="BB1227" s="225"/>
      <c r="BC1227" s="56"/>
      <c r="BD1227" s="56"/>
      <c r="BE1227" s="56"/>
      <c r="BF1227" s="107" t="str">
        <f t="shared" si="882"/>
        <v>https://www.google.com/search?tbm=isch&amp;q=Emerald%20Squeeze%20is%20similar%20to%20Emerald%20Arborvitae%2C%20with%20durable%20color%20that%20lasts%20through%20winter%20without%20bronzing%20</v>
      </c>
      <c r="BG1227" s="107" t="str">
        <f t="shared" si="883"/>
        <v>E</v>
      </c>
      <c r="BH1227" s="254"/>
      <c r="BI1227" s="254"/>
    </row>
    <row r="1228" spans="1:61" customFormat="1" ht="18" x14ac:dyDescent="0.25">
      <c r="A1228" s="523" t="s">
        <v>841</v>
      </c>
      <c r="B1228" s="235"/>
      <c r="C1228" s="676"/>
      <c r="D1228" s="255" t="s">
        <v>842</v>
      </c>
      <c r="E1228" s="236"/>
      <c r="F1228" s="236"/>
      <c r="G1228" s="236"/>
      <c r="H1228" s="582" t="s">
        <v>355</v>
      </c>
      <c r="I1228" s="498" t="s">
        <v>843</v>
      </c>
      <c r="J1228" s="237"/>
      <c r="K1228" s="237"/>
      <c r="L1228" s="274"/>
      <c r="M1228" s="668" t="s">
        <v>4975</v>
      </c>
      <c r="N1228" s="681" t="str">
        <f>IF(AND(ISTEXT($A1228), ISERROR($A1228+0)), HYPERLINK($BF1228, "Images"), "")</f>
        <v>Images</v>
      </c>
      <c r="O1228" s="663" t="s">
        <v>4967</v>
      </c>
      <c r="P1228" s="253"/>
      <c r="Q1228" s="238"/>
      <c r="R1228" s="239"/>
      <c r="S1228" s="275"/>
      <c r="T1228" s="508">
        <f t="shared" si="871"/>
        <v>0</v>
      </c>
      <c r="U1228" s="225" t="str">
        <f>IF(NOT(ISNUMBER(G1228)), "", VLOOKUP(A1228,'Discount Lookup'!D:E,2,FALSE)*G1228)</f>
        <v/>
      </c>
      <c r="V1228" s="225" t="str">
        <f>IF(NOT(ISNUMBER(G1228)), "", VLOOKUP(A1228,'Discount Lookup'!G:H,2,FALSE)*G1228)</f>
        <v/>
      </c>
      <c r="W1228" s="508">
        <f t="shared" si="872"/>
        <v>0</v>
      </c>
      <c r="X1228" s="508" t="str">
        <f t="shared" si="873"/>
        <v>Reddish-Purple bloom</v>
      </c>
      <c r="Y1228" s="509" t="b">
        <f t="shared" si="874"/>
        <v>0</v>
      </c>
      <c r="Z1228" s="510">
        <f t="shared" si="875"/>
        <v>0</v>
      </c>
      <c r="AA1228" s="511"/>
      <c r="AB1228" s="511" t="str">
        <f t="shared" si="876"/>
        <v/>
      </c>
      <c r="AC1228" s="698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698"/>
      <c r="AE1228" s="631" t="str">
        <f t="shared" si="877"/>
        <v/>
      </c>
      <c r="AF1228" s="699" t="str">
        <f t="shared" si="878"/>
        <v/>
      </c>
      <c r="AG1228" s="699"/>
      <c r="AH1228" s="699"/>
      <c r="AI1228" s="512">
        <f>IF(H1228="credit",0,IF(AE1228="free",0,IF(AE1228="me",0,IF(G1228&gt;0,(VLOOKUP(A1228,'Discount Lookup'!J:K,2)*G1228),0))))</f>
        <v>0</v>
      </c>
      <c r="AJ1228" s="513" t="str">
        <f t="shared" ca="1" si="879"/>
        <v/>
      </c>
      <c r="AK1228" s="700" t="str">
        <f t="shared" si="880"/>
        <v/>
      </c>
      <c r="AL1228" s="700"/>
      <c r="AM1228" s="505" t="str">
        <f t="shared" si="881"/>
        <v/>
      </c>
      <c r="AN1228" s="506"/>
      <c r="AO1228" s="507"/>
      <c r="AP1228" s="507"/>
      <c r="AQ1228" s="507"/>
      <c r="AR1228" s="507"/>
      <c r="AS1228" s="507"/>
      <c r="AT1228" s="507"/>
      <c r="AU1228" s="507"/>
      <c r="AV1228" s="225"/>
      <c r="AW1228" s="508"/>
      <c r="AX1228" s="225"/>
      <c r="AY1228" s="225"/>
      <c r="AZ1228" s="225"/>
      <c r="BA1228" s="225"/>
      <c r="BB1228" s="225"/>
      <c r="BC1228" s="56"/>
      <c r="BD1228" s="56"/>
      <c r="BE1228" s="56"/>
      <c r="BF1228" s="107" t="str">
        <f t="shared" si="882"/>
        <v>https://www.google.com/search?tbm=isch&amp;q=Emperor%201%20Japanese%20Maple%20Acer%20palmatum%20%27Emperor%20I%27</v>
      </c>
      <c r="BG1228" s="107" t="str">
        <f t="shared" si="883"/>
        <v>E</v>
      </c>
      <c r="BH1228" s="254"/>
      <c r="BI1228" s="254"/>
    </row>
    <row r="1229" spans="1:61" customFormat="1" ht="15.75" x14ac:dyDescent="0.25">
      <c r="A1229" s="276">
        <v>7</v>
      </c>
      <c r="B1229" s="240" t="s">
        <v>291</v>
      </c>
      <c r="C1229" s="241" t="s">
        <v>3452</v>
      </c>
      <c r="D1229" s="242" t="s">
        <v>292</v>
      </c>
      <c r="E1229" s="243">
        <v>201.95</v>
      </c>
      <c r="F1229" s="517" t="s">
        <v>293</v>
      </c>
      <c r="G1229" s="232">
        <v>0</v>
      </c>
      <c r="H1229" s="661" t="str">
        <f t="shared" ref="H1229:H1237" si="935">IF(G1229=0,"",IF(F1229="Buy",IF(G1229=1,"plant","plants"),IF(F1229&gt;0.01,"warranty","Error")))</f>
        <v/>
      </c>
      <c r="I1229" s="244">
        <f t="shared" ref="I1229:I1237" si="936">IF(H1229="free",0,IF(H1229="credit",((E1229*(F1229))*G1229*-1),IF(F1229="Buy",(E1229*G1229),((E1229*(1-F1229))*G1229))))</f>
        <v>0</v>
      </c>
      <c r="J1229" s="244">
        <f t="shared" ref="J1229:J1237" si="937">IF(H1229="warranty",0,(I1229*(_xlfn.SINGLE(SalesTaxPercentage))))</f>
        <v>0</v>
      </c>
      <c r="K1229" s="696">
        <f t="shared" ref="K1229" si="938">I1229+J1229</f>
        <v>0</v>
      </c>
      <c r="L1229" s="696"/>
      <c r="M1229" s="659" t="str">
        <f t="shared" ref="M1229:M1237" si="939">IF(AND(G1229&gt;0,E1229=0),"WARNING - no PRICE inserted",IF(H1229="free"," FREE ~ no charge this plant",IF(H1229="credit",CONCATENATE(" -$",ROUND(K1229*(1-T2GDiscount)*-1,2)," CREDIT after discount"),IF(T2GDiscount=0,"",IF(G1229=0,"",IF(F1229="Buy",CONCATENATE(" $",ROUND(K1229*(1-T2GDiscount),2)," with ",(T2GDiscount*100),"% discount"),CONCATENATE(" $",ROUND(K1229*(1-T2GDiscount),2)," with ",((T2GDiscount*100+F1229*100)-(T2GDiscount*100*F1229)),IF(F1229&gt;0,"% discounts",IF(NoWarrantyDiscount&gt;0,"% discounts","% discount")))))))))</f>
        <v/>
      </c>
      <c r="N1229" s="660"/>
      <c r="O1229" s="233"/>
      <c r="P1229" s="233"/>
      <c r="Q1229" s="233"/>
      <c r="R1229" s="233"/>
      <c r="S1229" s="233"/>
      <c r="T1229" s="508">
        <f t="shared" si="871"/>
        <v>0</v>
      </c>
      <c r="U1229" s="225">
        <f>IF(NOT(ISNUMBER(G1229)), "", VLOOKUP(A1229,'Discount Lookup'!D:E,2,FALSE)*G1229)</f>
        <v>0</v>
      </c>
      <c r="V1229" s="225">
        <f>IF(NOT(ISNUMBER(G1229)), "", VLOOKUP(A1229,'Discount Lookup'!G:H,2,FALSE)*G1229)</f>
        <v>0</v>
      </c>
      <c r="W1229" s="508">
        <f t="shared" si="872"/>
        <v>0</v>
      </c>
      <c r="X1229" s="508">
        <f t="shared" si="873"/>
        <v>0</v>
      </c>
      <c r="Y1229" s="509" t="b">
        <f t="shared" si="874"/>
        <v>0</v>
      </c>
      <c r="Z1229" s="510">
        <f t="shared" si="875"/>
        <v>0</v>
      </c>
      <c r="AA1229" s="511"/>
      <c r="AB1229" s="511" t="str">
        <f t="shared" si="876"/>
        <v/>
      </c>
      <c r="AC1229" s="698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698"/>
      <c r="AE1229" s="631" t="str">
        <f t="shared" si="877"/>
        <v/>
      </c>
      <c r="AF1229" s="699" t="str">
        <f t="shared" si="878"/>
        <v/>
      </c>
      <c r="AG1229" s="699"/>
      <c r="AH1229" s="699"/>
      <c r="AI1229" s="512">
        <f>IF(H1229="credit",0,IF(AE1229="free",0,IF(AE1229="me",0,IF(G1229&gt;0,(VLOOKUP(A1229,'Discount Lookup'!J:K,2)*G1229),0))))</f>
        <v>0</v>
      </c>
      <c r="AJ1229" s="513" t="str">
        <f t="shared" ca="1" si="879"/>
        <v/>
      </c>
      <c r="AK1229" s="700" t="str">
        <f t="shared" si="880"/>
        <v/>
      </c>
      <c r="AL1229" s="700"/>
      <c r="AM1229" s="505" t="str">
        <f t="shared" si="881"/>
        <v/>
      </c>
      <c r="AN1229" s="506"/>
      <c r="AO1229" s="507"/>
      <c r="AP1229" s="507"/>
      <c r="AQ1229" s="507"/>
      <c r="AR1229" s="507"/>
      <c r="AS1229" s="507"/>
      <c r="AT1229" s="507"/>
      <c r="AU1229" s="507"/>
      <c r="AV1229" s="225"/>
      <c r="AW1229" s="508"/>
      <c r="AX1229" s="225"/>
      <c r="AY1229" s="225"/>
      <c r="AZ1229" s="225"/>
      <c r="BA1229" s="225"/>
      <c r="BB1229" s="225"/>
      <c r="BC1229" s="56"/>
      <c r="BD1229" s="56"/>
      <c r="BE1229" s="56"/>
      <c r="BF1229" s="107" t="str">
        <f t="shared" si="882"/>
        <v>https://www.google.com/search?tbm=isch&amp;q=7%20G4</v>
      </c>
      <c r="BG1229" s="107" t="str">
        <f t="shared" si="883"/>
        <v>E</v>
      </c>
      <c r="BH1229" s="254"/>
      <c r="BI1229" s="254"/>
    </row>
    <row r="1230" spans="1:61" customFormat="1" ht="15.75" x14ac:dyDescent="0.25">
      <c r="A1230" s="276">
        <v>7</v>
      </c>
      <c r="B1230" s="240" t="s">
        <v>291</v>
      </c>
      <c r="C1230" s="241"/>
      <c r="D1230" s="242" t="s">
        <v>299</v>
      </c>
      <c r="E1230" s="243">
        <v>217.95</v>
      </c>
      <c r="F1230" s="517" t="s">
        <v>293</v>
      </c>
      <c r="G1230" s="232">
        <v>0</v>
      </c>
      <c r="H1230" s="661" t="str">
        <f t="shared" si="935"/>
        <v/>
      </c>
      <c r="I1230" s="244">
        <f t="shared" si="936"/>
        <v>0</v>
      </c>
      <c r="J1230" s="244">
        <f t="shared" si="937"/>
        <v>0</v>
      </c>
      <c r="K1230" s="696">
        <f t="shared" ref="K1230" si="940">I1230+J1230</f>
        <v>0</v>
      </c>
      <c r="L1230" s="696"/>
      <c r="M1230" s="659" t="str">
        <f t="shared" si="939"/>
        <v/>
      </c>
      <c r="N1230" s="660"/>
      <c r="O1230" s="233"/>
      <c r="P1230" s="233"/>
      <c r="Q1230" s="233"/>
      <c r="R1230" s="233"/>
      <c r="S1230" s="233"/>
      <c r="T1230" s="508">
        <f t="shared" ref="T1230:T1293" si="941">E1230*G1230</f>
        <v>0</v>
      </c>
      <c r="U1230" s="225">
        <f>IF(NOT(ISNUMBER(G1230)), "", VLOOKUP(A1230,'Discount Lookup'!D:E,2,FALSE)*G1230)</f>
        <v>0</v>
      </c>
      <c r="V1230" s="225">
        <f>IF(NOT(ISNUMBER(G1230)), "", VLOOKUP(A1230,'Discount Lookup'!G:H,2,FALSE)*G1230)</f>
        <v>0</v>
      </c>
      <c r="W1230" s="508">
        <f t="shared" ref="W1230:W1293" si="942">IF(H1230="credit",0,E1230*(SalesTaxPercentage)*G1230)</f>
        <v>0</v>
      </c>
      <c r="X1230" s="508">
        <f t="shared" ref="X1230:X1293" si="943">I1230</f>
        <v>0</v>
      </c>
      <c r="Y1230" s="509" t="b">
        <f t="shared" ref="Y1230:Y1293" si="944">IF(AE1230="T2G",0,IF(H1230="credit",0,IF(G1230&gt;0,IF(AE1230="me","",G1230))))</f>
        <v>0</v>
      </c>
      <c r="Z1230" s="510">
        <f t="shared" ref="Z1230:Z1293" si="945">IF(H1230="credit",G1230,0)</f>
        <v>0</v>
      </c>
      <c r="AA1230" s="511"/>
      <c r="AB1230" s="511" t="str">
        <f t="shared" ref="AB1230:AB1293" si="946">IF(AE1230="T2G","by Trees2Go",IF(H1230="credit","CREDIT only ~",IF(AND(K1230="",AE1230=OR(PlanterYesMe="No",PlanterYesMe="N",PlanterYesMe="me")),"not THIS line⇨",IF(AND(K1230="images",AE1230="me"),"not THIS line⇨",IF(H1230="credit","",IF(G1230=0,"",IF(AE1230="me","",IF(OR(PlanterYesMe="No",PlanterYesMe="N",PlanterYesMe="me"),"",IF(AE1230="free","warranty",IF(OR(PlanterYesMe="yes",PlanterYesMe="y"),"Edison install:","to install:"))))))))))</f>
        <v/>
      </c>
      <c r="AC1230" s="698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698"/>
      <c r="AE1230" s="631" t="str">
        <f t="shared" ref="AE1230:AE1293" si="947">IF(H1230="credit","",IF(G1230=0,"",IF(OR(PlanterYesMe="No",PlanterYesMe="N",PlanterYesMe="me"),"me",IF(H1230="warranty","free",IF(OR(PlanterYesMe="yes",PlanterYesMe="y"),"ELP","")))))</f>
        <v/>
      </c>
      <c r="AF1230" s="699" t="str">
        <f t="shared" ref="AF1230:AF1293" si="948">IF(OR(PlanterYesMe="No",PlanterYesMe="N",PlanterYesMe="me"),"",IF(H1230="credit","",IF(G1230&gt;0,(CONCATENATE((G1230)," quantity, ",(A1230)," ",B1230)),"")))</f>
        <v/>
      </c>
      <c r="AG1230" s="699"/>
      <c r="AH1230" s="699"/>
      <c r="AI1230" s="512">
        <f>IF(H1230="credit",0,IF(AE1230="free",0,IF(AE1230="me",0,IF(G1230&gt;0,(VLOOKUP(A1230,'Discount Lookup'!J:K,2)*G1230),0))))</f>
        <v>0</v>
      </c>
      <c r="AJ1230" s="513" t="str">
        <f t="shared" ref="AJ1230:AJ1293" ca="1" si="949">IF(AND(ISREF(H1230),H1230="credit"),"",IF(AND(AND(OFFSET(G1230,0,0)=0,OFFSET(G1230,1,0)&gt;0,ISNUMBER(OFFSET(AC1230,1,0)),OFFSET(AC1230,1,0)&gt;0),OR(PlanterYesMe="yes",PlanterYesMe="y")),"T2G+ELP=",IF(AND(OFFSET(G1230,0,0)=0,OFFSET(G1230,1,0)&gt;0,ISNUMBER(OFFSET(AC1230,1,0)),OFFSET(AC1230,1,0)&gt;0),"if T2G+ELP=",IF(AND(OFFSET(G1230,0,0)=0,OFFSET(G1230,1,0)&gt;0),"T2G Subtotal",IF(H1230="credit","",IF(G1230=0,"",IF(AE1230="free",(K1230*(1-T2GDiscount)),IF(OR(PlanterYesMe="No",PlanterYesMe="N",PlanterYesMe="me"),(K1230*(1-T2GDiscount)),IF(OR(AE1230="me",AE1230="T2G"),(K1230*(1-T2GDiscount)),(K1230*(1-T2GDiscount))+AC1230)))))))))</f>
        <v/>
      </c>
      <c r="AK1230" s="700" t="str">
        <f t="shared" ref="AK1230:AK1293" si="950">IF(H1230="credit","",IF(G1230=0,"",IF(OR(AE1230="me",AE1230="T2G"),"  delivery-only",IF(OR(PlanterYesMe="No",PlanterYesMe="N",PlanterYesMe="me"),"  delivery-only",CONCATENATE(" $",ROUND(AJ1230/G1230,2)," each")))))</f>
        <v/>
      </c>
      <c r="AL1230" s="700"/>
      <c r="AM1230" s="505" t="str">
        <f t="shared" ref="AM1230:AM1293" si="951">IF(H1230="credit","",IF(AE1230="free","      ~ discounts included, no tax or planting fee applies ~",IF(G1230=0,"",IF(OR(PlanterYesMe="No",PlanterYesMe="N",PlanterYesMe="me"),CONCATENATE(" $",ROUND(AJ1230/G1230,2)," per plant, with tax &amp; discount"),IF(OR(AE1230="me",AE1230="T2G"),CONCATENATE(" $",ROUND(AJ1230/G1230,2)," per plant, with tax &amp; discount"),CONCATENATE("= $",ROUND((K1230*(1-T2GDiscount))/G1230,2)," per plant + $",AC1230/G1230,(" per planting      ~ includes tax &amp; discounts ~")))))))</f>
        <v/>
      </c>
      <c r="AN1230" s="506"/>
      <c r="AO1230" s="507"/>
      <c r="AP1230" s="507"/>
      <c r="AQ1230" s="507"/>
      <c r="AR1230" s="507"/>
      <c r="AS1230" s="507"/>
      <c r="AT1230" s="507"/>
      <c r="AU1230" s="507"/>
      <c r="AV1230" s="225"/>
      <c r="AW1230" s="508"/>
      <c r="AX1230" s="225"/>
      <c r="AY1230" s="225"/>
      <c r="AZ1230" s="225"/>
      <c r="BA1230" s="225"/>
      <c r="BB1230" s="225"/>
      <c r="BC1230" s="56"/>
      <c r="BD1230" s="56"/>
      <c r="BE1230" s="56"/>
      <c r="BF1230" s="107" t="str">
        <f t="shared" ref="BF1230:BF1293" si="952">"https://www.google.com/search?tbm=isch&amp;q=" &amp; _xlfn.ENCODEURL($A1230 &amp; " " &amp; $D1230)</f>
        <v>https://www.google.com/search?tbm=isch&amp;q=7%20G5</v>
      </c>
      <c r="BG1230" s="107" t="str">
        <f t="shared" ref="BG1230:BG1293" si="953">IF(ISTEXT(A1230),LEFT(A1230,1),BG1229)</f>
        <v>E</v>
      </c>
      <c r="BH1230" s="254"/>
      <c r="BI1230" s="254"/>
    </row>
    <row r="1231" spans="1:61" customFormat="1" ht="15.75" x14ac:dyDescent="0.25">
      <c r="A1231" s="276">
        <v>10</v>
      </c>
      <c r="B1231" s="240" t="s">
        <v>291</v>
      </c>
      <c r="C1231" s="241" t="s">
        <v>4402</v>
      </c>
      <c r="D1231" s="242" t="s">
        <v>292</v>
      </c>
      <c r="E1231" s="243">
        <v>309.95</v>
      </c>
      <c r="F1231" s="517" t="s">
        <v>293</v>
      </c>
      <c r="G1231" s="232">
        <v>0</v>
      </c>
      <c r="H1231" s="661" t="str">
        <f t="shared" si="935"/>
        <v/>
      </c>
      <c r="I1231" s="244">
        <f t="shared" si="936"/>
        <v>0</v>
      </c>
      <c r="J1231" s="244">
        <f t="shared" si="937"/>
        <v>0</v>
      </c>
      <c r="K1231" s="696">
        <f t="shared" ref="K1231" si="954">I1231+J1231</f>
        <v>0</v>
      </c>
      <c r="L1231" s="696"/>
      <c r="M1231" s="659" t="str">
        <f t="shared" si="939"/>
        <v/>
      </c>
      <c r="N1231" s="660"/>
      <c r="O1231" s="233"/>
      <c r="P1231" s="233"/>
      <c r="Q1231" s="233"/>
      <c r="R1231" s="233"/>
      <c r="S1231" s="233"/>
      <c r="T1231" s="508">
        <f t="shared" si="941"/>
        <v>0</v>
      </c>
      <c r="U1231" s="225">
        <f>IF(NOT(ISNUMBER(G1231)), "", VLOOKUP(A1231,'Discount Lookup'!D:E,2,FALSE)*G1231)</f>
        <v>0</v>
      </c>
      <c r="V1231" s="225">
        <f>IF(NOT(ISNUMBER(G1231)), "", VLOOKUP(A1231,'Discount Lookup'!G:H,2,FALSE)*G1231)</f>
        <v>0</v>
      </c>
      <c r="W1231" s="508">
        <f t="shared" si="942"/>
        <v>0</v>
      </c>
      <c r="X1231" s="508">
        <f t="shared" si="943"/>
        <v>0</v>
      </c>
      <c r="Y1231" s="509" t="b">
        <f t="shared" si="944"/>
        <v>0</v>
      </c>
      <c r="Z1231" s="510">
        <f t="shared" si="945"/>
        <v>0</v>
      </c>
      <c r="AA1231" s="511"/>
      <c r="AB1231" s="511" t="str">
        <f t="shared" si="946"/>
        <v/>
      </c>
      <c r="AC1231" s="698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698"/>
      <c r="AE1231" s="631" t="str">
        <f t="shared" si="947"/>
        <v/>
      </c>
      <c r="AF1231" s="699" t="str">
        <f t="shared" si="948"/>
        <v/>
      </c>
      <c r="AG1231" s="699"/>
      <c r="AH1231" s="699"/>
      <c r="AI1231" s="512">
        <f>IF(H1231="credit",0,IF(AE1231="free",0,IF(AE1231="me",0,IF(G1231&gt;0,(VLOOKUP(A1231,'Discount Lookup'!J:K,2)*G1231),0))))</f>
        <v>0</v>
      </c>
      <c r="AJ1231" s="513" t="str">
        <f t="shared" ca="1" si="949"/>
        <v/>
      </c>
      <c r="AK1231" s="700" t="str">
        <f t="shared" si="950"/>
        <v/>
      </c>
      <c r="AL1231" s="700"/>
      <c r="AM1231" s="505" t="str">
        <f t="shared" si="951"/>
        <v/>
      </c>
      <c r="AN1231" s="506"/>
      <c r="AO1231" s="507"/>
      <c r="AP1231" s="507"/>
      <c r="AQ1231" s="507"/>
      <c r="AR1231" s="507"/>
      <c r="AS1231" s="507"/>
      <c r="AT1231" s="507"/>
      <c r="AU1231" s="507"/>
      <c r="AV1231" s="225"/>
      <c r="AW1231" s="508"/>
      <c r="AX1231" s="225"/>
      <c r="AY1231" s="225"/>
      <c r="AZ1231" s="225"/>
      <c r="BA1231" s="225"/>
      <c r="BB1231" s="225"/>
      <c r="BC1231" s="56"/>
      <c r="BD1231" s="56"/>
      <c r="BE1231" s="56"/>
      <c r="BF1231" s="107" t="str">
        <f t="shared" si="952"/>
        <v>https://www.google.com/search?tbm=isch&amp;q=10%20G4</v>
      </c>
      <c r="BG1231" s="107" t="str">
        <f t="shared" si="953"/>
        <v>E</v>
      </c>
      <c r="BH1231" s="254"/>
      <c r="BI1231" s="254"/>
    </row>
    <row r="1232" spans="1:61" customFormat="1" ht="15.75" x14ac:dyDescent="0.25">
      <c r="A1232" s="276">
        <v>10</v>
      </c>
      <c r="B1232" s="240" t="s">
        <v>291</v>
      </c>
      <c r="C1232" s="241"/>
      <c r="D1232" s="242" t="s">
        <v>312</v>
      </c>
      <c r="E1232" s="243">
        <v>355.95</v>
      </c>
      <c r="F1232" s="517" t="s">
        <v>293</v>
      </c>
      <c r="G1232" s="232">
        <v>0</v>
      </c>
      <c r="H1232" s="661" t="str">
        <f t="shared" si="935"/>
        <v/>
      </c>
      <c r="I1232" s="244">
        <f t="shared" si="936"/>
        <v>0</v>
      </c>
      <c r="J1232" s="244">
        <f t="shared" si="937"/>
        <v>0</v>
      </c>
      <c r="K1232" s="696">
        <f t="shared" ref="K1232" si="955">I1232+J1232</f>
        <v>0</v>
      </c>
      <c r="L1232" s="696"/>
      <c r="M1232" s="659" t="str">
        <f t="shared" si="939"/>
        <v/>
      </c>
      <c r="N1232" s="660"/>
      <c r="O1232" s="233"/>
      <c r="P1232" s="233"/>
      <c r="Q1232" s="233"/>
      <c r="R1232" s="233"/>
      <c r="S1232" s="233"/>
      <c r="T1232" s="508">
        <f t="shared" si="941"/>
        <v>0</v>
      </c>
      <c r="U1232" s="225">
        <f>IF(NOT(ISNUMBER(G1232)), "", VLOOKUP(A1232,'Discount Lookup'!D:E,2,FALSE)*G1232)</f>
        <v>0</v>
      </c>
      <c r="V1232" s="225">
        <f>IF(NOT(ISNUMBER(G1232)), "", VLOOKUP(A1232,'Discount Lookup'!G:H,2,FALSE)*G1232)</f>
        <v>0</v>
      </c>
      <c r="W1232" s="508">
        <f t="shared" si="942"/>
        <v>0</v>
      </c>
      <c r="X1232" s="508">
        <f t="shared" si="943"/>
        <v>0</v>
      </c>
      <c r="Y1232" s="509" t="b">
        <f t="shared" si="944"/>
        <v>0</v>
      </c>
      <c r="Z1232" s="510">
        <f t="shared" si="945"/>
        <v>0</v>
      </c>
      <c r="AA1232" s="511"/>
      <c r="AB1232" s="511" t="str">
        <f t="shared" si="946"/>
        <v/>
      </c>
      <c r="AC1232" s="698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698"/>
      <c r="AE1232" s="631" t="str">
        <f t="shared" si="947"/>
        <v/>
      </c>
      <c r="AF1232" s="699" t="str">
        <f t="shared" si="948"/>
        <v/>
      </c>
      <c r="AG1232" s="699"/>
      <c r="AH1232" s="699"/>
      <c r="AI1232" s="512">
        <f>IF(H1232="credit",0,IF(AE1232="free",0,IF(AE1232="me",0,IF(G1232&gt;0,(VLOOKUP(A1232,'Discount Lookup'!J:K,2)*G1232),0))))</f>
        <v>0</v>
      </c>
      <c r="AJ1232" s="513" t="str">
        <f t="shared" ca="1" si="949"/>
        <v/>
      </c>
      <c r="AK1232" s="700" t="str">
        <f t="shared" si="950"/>
        <v/>
      </c>
      <c r="AL1232" s="700"/>
      <c r="AM1232" s="505" t="str">
        <f t="shared" si="951"/>
        <v/>
      </c>
      <c r="AN1232" s="506"/>
      <c r="AO1232" s="507"/>
      <c r="AP1232" s="507"/>
      <c r="AQ1232" s="507"/>
      <c r="AR1232" s="507"/>
      <c r="AS1232" s="507"/>
      <c r="AT1232" s="507"/>
      <c r="AU1232" s="507"/>
      <c r="AV1232" s="225"/>
      <c r="AW1232" s="508"/>
      <c r="AX1232" s="225"/>
      <c r="AY1232" s="225"/>
      <c r="AZ1232" s="225"/>
      <c r="BA1232" s="225"/>
      <c r="BB1232" s="225"/>
      <c r="BC1232" s="56"/>
      <c r="BD1232" s="56"/>
      <c r="BE1232" s="56"/>
      <c r="BF1232" s="107" t="str">
        <f t="shared" si="952"/>
        <v>https://www.google.com/search?tbm=isch&amp;q=10%20G2</v>
      </c>
      <c r="BG1232" s="107" t="str">
        <f t="shared" si="953"/>
        <v>E</v>
      </c>
      <c r="BH1232" s="254"/>
      <c r="BI1232" s="254"/>
    </row>
    <row r="1233" spans="1:61" customFormat="1" ht="15.75" x14ac:dyDescent="0.25">
      <c r="A1233" s="276">
        <v>15</v>
      </c>
      <c r="B1233" s="240" t="s">
        <v>291</v>
      </c>
      <c r="C1233" s="241" t="s">
        <v>3453</v>
      </c>
      <c r="D1233" s="242" t="s">
        <v>292</v>
      </c>
      <c r="E1233" s="243">
        <v>390.95</v>
      </c>
      <c r="F1233" s="517" t="s">
        <v>293</v>
      </c>
      <c r="G1233" s="232">
        <v>0</v>
      </c>
      <c r="H1233" s="661" t="str">
        <f t="shared" si="935"/>
        <v/>
      </c>
      <c r="I1233" s="244">
        <f t="shared" si="936"/>
        <v>0</v>
      </c>
      <c r="J1233" s="244">
        <f t="shared" si="937"/>
        <v>0</v>
      </c>
      <c r="K1233" s="696">
        <f t="shared" ref="K1233" si="956">I1233+J1233</f>
        <v>0</v>
      </c>
      <c r="L1233" s="696"/>
      <c r="M1233" s="659" t="str">
        <f t="shared" si="939"/>
        <v/>
      </c>
      <c r="N1233" s="660"/>
      <c r="O1233" s="233"/>
      <c r="P1233" s="233"/>
      <c r="Q1233" s="233"/>
      <c r="R1233" s="233"/>
      <c r="S1233" s="233"/>
      <c r="T1233" s="508">
        <f t="shared" si="941"/>
        <v>0</v>
      </c>
      <c r="U1233" s="225">
        <f>IF(NOT(ISNUMBER(G1233)), "", VLOOKUP(A1233,'Discount Lookup'!D:E,2,FALSE)*G1233)</f>
        <v>0</v>
      </c>
      <c r="V1233" s="225">
        <f>IF(NOT(ISNUMBER(G1233)), "", VLOOKUP(A1233,'Discount Lookup'!G:H,2,FALSE)*G1233)</f>
        <v>0</v>
      </c>
      <c r="W1233" s="508">
        <f t="shared" si="942"/>
        <v>0</v>
      </c>
      <c r="X1233" s="508">
        <f t="shared" si="943"/>
        <v>0</v>
      </c>
      <c r="Y1233" s="509" t="b">
        <f t="shared" si="944"/>
        <v>0</v>
      </c>
      <c r="Z1233" s="510">
        <f t="shared" si="945"/>
        <v>0</v>
      </c>
      <c r="AA1233" s="511"/>
      <c r="AB1233" s="511" t="str">
        <f t="shared" si="946"/>
        <v/>
      </c>
      <c r="AC1233" s="698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698"/>
      <c r="AE1233" s="631" t="str">
        <f t="shared" si="947"/>
        <v/>
      </c>
      <c r="AF1233" s="699" t="str">
        <f t="shared" si="948"/>
        <v/>
      </c>
      <c r="AG1233" s="699"/>
      <c r="AH1233" s="699"/>
      <c r="AI1233" s="512">
        <f>IF(H1233="credit",0,IF(AE1233="free",0,IF(AE1233="me",0,IF(G1233&gt;0,(VLOOKUP(A1233,'Discount Lookup'!J:K,2)*G1233),0))))</f>
        <v>0</v>
      </c>
      <c r="AJ1233" s="513" t="str">
        <f t="shared" ca="1" si="949"/>
        <v/>
      </c>
      <c r="AK1233" s="700" t="str">
        <f t="shared" si="950"/>
        <v/>
      </c>
      <c r="AL1233" s="700"/>
      <c r="AM1233" s="505" t="str">
        <f t="shared" si="951"/>
        <v/>
      </c>
      <c r="AN1233" s="506"/>
      <c r="AO1233" s="507"/>
      <c r="AP1233" s="507"/>
      <c r="AQ1233" s="507"/>
      <c r="AR1233" s="507"/>
      <c r="AS1233" s="507"/>
      <c r="AT1233" s="507"/>
      <c r="AU1233" s="507"/>
      <c r="AV1233" s="225"/>
      <c r="AW1233" s="508"/>
      <c r="AX1233" s="225"/>
      <c r="AY1233" s="225"/>
      <c r="AZ1233" s="225"/>
      <c r="BA1233" s="225"/>
      <c r="BB1233" s="225"/>
      <c r="BC1233" s="56"/>
      <c r="BD1233" s="56"/>
      <c r="BE1233" s="56"/>
      <c r="BF1233" s="107" t="str">
        <f t="shared" si="952"/>
        <v>https://www.google.com/search?tbm=isch&amp;q=15%20G4</v>
      </c>
      <c r="BG1233" s="107" t="str">
        <f t="shared" si="953"/>
        <v>E</v>
      </c>
      <c r="BH1233" s="254"/>
      <c r="BI1233" s="254"/>
    </row>
    <row r="1234" spans="1:61" customFormat="1" ht="27" x14ac:dyDescent="0.25">
      <c r="A1234" s="276">
        <v>15</v>
      </c>
      <c r="B1234" s="240" t="s">
        <v>291</v>
      </c>
      <c r="C1234" s="241" t="s">
        <v>4883</v>
      </c>
      <c r="D1234" s="242" t="s">
        <v>299</v>
      </c>
      <c r="E1234" s="243">
        <v>419.95</v>
      </c>
      <c r="F1234" s="517" t="s">
        <v>293</v>
      </c>
      <c r="G1234" s="232">
        <v>0</v>
      </c>
      <c r="H1234" s="661" t="str">
        <f t="shared" si="935"/>
        <v/>
      </c>
      <c r="I1234" s="244">
        <f t="shared" si="936"/>
        <v>0</v>
      </c>
      <c r="J1234" s="244">
        <f t="shared" si="937"/>
        <v>0</v>
      </c>
      <c r="K1234" s="696">
        <f t="shared" ref="K1234" si="957">I1234+J1234</f>
        <v>0</v>
      </c>
      <c r="L1234" s="696"/>
      <c r="M1234" s="659" t="str">
        <f t="shared" si="939"/>
        <v/>
      </c>
      <c r="N1234" s="660"/>
      <c r="O1234" s="233"/>
      <c r="P1234" s="233"/>
      <c r="Q1234" s="233"/>
      <c r="R1234" s="233"/>
      <c r="S1234" s="233"/>
      <c r="T1234" s="508">
        <f t="shared" si="941"/>
        <v>0</v>
      </c>
      <c r="U1234" s="225">
        <f>IF(NOT(ISNUMBER(G1234)), "", VLOOKUP(A1234,'Discount Lookup'!D:E,2,FALSE)*G1234)</f>
        <v>0</v>
      </c>
      <c r="V1234" s="225">
        <f>IF(NOT(ISNUMBER(G1234)), "", VLOOKUP(A1234,'Discount Lookup'!G:H,2,FALSE)*G1234)</f>
        <v>0</v>
      </c>
      <c r="W1234" s="508">
        <f t="shared" si="942"/>
        <v>0</v>
      </c>
      <c r="X1234" s="508">
        <f t="shared" si="943"/>
        <v>0</v>
      </c>
      <c r="Y1234" s="509" t="b">
        <f t="shared" si="944"/>
        <v>0</v>
      </c>
      <c r="Z1234" s="510">
        <f t="shared" si="945"/>
        <v>0</v>
      </c>
      <c r="AA1234" s="511"/>
      <c r="AB1234" s="511" t="str">
        <f t="shared" si="946"/>
        <v/>
      </c>
      <c r="AC1234" s="698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698"/>
      <c r="AE1234" s="631" t="str">
        <f t="shared" si="947"/>
        <v/>
      </c>
      <c r="AF1234" s="699" t="str">
        <f t="shared" si="948"/>
        <v/>
      </c>
      <c r="AG1234" s="699"/>
      <c r="AH1234" s="699"/>
      <c r="AI1234" s="512">
        <f>IF(H1234="credit",0,IF(AE1234="free",0,IF(AE1234="me",0,IF(G1234&gt;0,(VLOOKUP(A1234,'Discount Lookup'!J:K,2)*G1234),0))))</f>
        <v>0</v>
      </c>
      <c r="AJ1234" s="513" t="str">
        <f t="shared" ca="1" si="949"/>
        <v/>
      </c>
      <c r="AK1234" s="700" t="str">
        <f t="shared" si="950"/>
        <v/>
      </c>
      <c r="AL1234" s="700"/>
      <c r="AM1234" s="505" t="str">
        <f t="shared" si="951"/>
        <v/>
      </c>
      <c r="AN1234" s="506"/>
      <c r="AO1234" s="507"/>
      <c r="AP1234" s="507"/>
      <c r="AQ1234" s="507"/>
      <c r="AR1234" s="507"/>
      <c r="AS1234" s="507"/>
      <c r="AT1234" s="507"/>
      <c r="AU1234" s="507"/>
      <c r="AV1234" s="225"/>
      <c r="AW1234" s="508"/>
      <c r="AX1234" s="225"/>
      <c r="AY1234" s="225"/>
      <c r="AZ1234" s="225"/>
      <c r="BA1234" s="225"/>
      <c r="BB1234" s="225"/>
      <c r="BC1234" s="56"/>
      <c r="BD1234" s="56"/>
      <c r="BE1234" s="56"/>
      <c r="BF1234" s="107" t="str">
        <f t="shared" si="952"/>
        <v>https://www.google.com/search?tbm=isch&amp;q=15%20G5</v>
      </c>
      <c r="BG1234" s="107" t="str">
        <f t="shared" si="953"/>
        <v>E</v>
      </c>
      <c r="BH1234" s="254"/>
      <c r="BI1234" s="254"/>
    </row>
    <row r="1235" spans="1:61" customFormat="1" ht="15.75" x14ac:dyDescent="0.25">
      <c r="A1235" s="276">
        <v>25</v>
      </c>
      <c r="B1235" s="240" t="s">
        <v>291</v>
      </c>
      <c r="C1235" s="241" t="s">
        <v>3454</v>
      </c>
      <c r="D1235" s="242" t="s">
        <v>292</v>
      </c>
      <c r="E1235" s="243">
        <v>790.95</v>
      </c>
      <c r="F1235" s="517" t="s">
        <v>293</v>
      </c>
      <c r="G1235" s="232">
        <v>0</v>
      </c>
      <c r="H1235" s="661" t="str">
        <f t="shared" si="935"/>
        <v/>
      </c>
      <c r="I1235" s="244">
        <f t="shared" si="936"/>
        <v>0</v>
      </c>
      <c r="J1235" s="244">
        <f t="shared" si="937"/>
        <v>0</v>
      </c>
      <c r="K1235" s="696">
        <f t="shared" ref="K1235" si="958">I1235+J1235</f>
        <v>0</v>
      </c>
      <c r="L1235" s="696"/>
      <c r="M1235" s="659" t="str">
        <f t="shared" si="939"/>
        <v/>
      </c>
      <c r="N1235" s="660"/>
      <c r="O1235" s="233"/>
      <c r="P1235" s="233"/>
      <c r="Q1235" s="233"/>
      <c r="R1235" s="233"/>
      <c r="S1235" s="233"/>
      <c r="T1235" s="508">
        <f t="shared" si="941"/>
        <v>0</v>
      </c>
      <c r="U1235" s="225">
        <f>IF(NOT(ISNUMBER(G1235)), "", VLOOKUP(A1235,'Discount Lookup'!D:E,2,FALSE)*G1235)</f>
        <v>0</v>
      </c>
      <c r="V1235" s="225">
        <f>IF(NOT(ISNUMBER(G1235)), "", VLOOKUP(A1235,'Discount Lookup'!G:H,2,FALSE)*G1235)</f>
        <v>0</v>
      </c>
      <c r="W1235" s="508">
        <f t="shared" si="942"/>
        <v>0</v>
      </c>
      <c r="X1235" s="508">
        <f t="shared" si="943"/>
        <v>0</v>
      </c>
      <c r="Y1235" s="509" t="b">
        <f t="shared" si="944"/>
        <v>0</v>
      </c>
      <c r="Z1235" s="510">
        <f t="shared" si="945"/>
        <v>0</v>
      </c>
      <c r="AA1235" s="511"/>
      <c r="AB1235" s="511" t="str">
        <f t="shared" si="946"/>
        <v/>
      </c>
      <c r="AC1235" s="698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698"/>
      <c r="AE1235" s="631" t="str">
        <f t="shared" si="947"/>
        <v/>
      </c>
      <c r="AF1235" s="699" t="str">
        <f t="shared" si="948"/>
        <v/>
      </c>
      <c r="AG1235" s="699"/>
      <c r="AH1235" s="699"/>
      <c r="AI1235" s="512">
        <f>IF(H1235="credit",0,IF(AE1235="free",0,IF(AE1235="me",0,IF(G1235&gt;0,(VLOOKUP(A1235,'Discount Lookup'!J:K,2)*G1235),0))))</f>
        <v>0</v>
      </c>
      <c r="AJ1235" s="513" t="str">
        <f t="shared" ca="1" si="949"/>
        <v/>
      </c>
      <c r="AK1235" s="700" t="str">
        <f t="shared" si="950"/>
        <v/>
      </c>
      <c r="AL1235" s="700"/>
      <c r="AM1235" s="505" t="str">
        <f t="shared" si="951"/>
        <v/>
      </c>
      <c r="AN1235" s="506"/>
      <c r="AO1235" s="507"/>
      <c r="AP1235" s="507"/>
      <c r="AQ1235" s="507"/>
      <c r="AR1235" s="507"/>
      <c r="AS1235" s="507"/>
      <c r="AT1235" s="507"/>
      <c r="AU1235" s="507"/>
      <c r="AV1235" s="225"/>
      <c r="AW1235" s="508"/>
      <c r="AX1235" s="225"/>
      <c r="AY1235" s="225"/>
      <c r="AZ1235" s="225"/>
      <c r="BA1235" s="225"/>
      <c r="BB1235" s="225"/>
      <c r="BC1235" s="56"/>
      <c r="BD1235" s="56"/>
      <c r="BE1235" s="56"/>
      <c r="BF1235" s="107" t="str">
        <f t="shared" si="952"/>
        <v>https://www.google.com/search?tbm=isch&amp;q=25%20G4</v>
      </c>
      <c r="BG1235" s="107" t="str">
        <f t="shared" si="953"/>
        <v>E</v>
      </c>
      <c r="BH1235" s="254"/>
      <c r="BI1235" s="254"/>
    </row>
    <row r="1236" spans="1:61" customFormat="1" ht="40.5" x14ac:dyDescent="0.25">
      <c r="A1236" s="276">
        <v>65</v>
      </c>
      <c r="B1236" s="240" t="s">
        <v>291</v>
      </c>
      <c r="C1236" s="241" t="s">
        <v>3455</v>
      </c>
      <c r="D1236" s="242" t="s">
        <v>292</v>
      </c>
      <c r="E1236" s="243">
        <v>1334.95</v>
      </c>
      <c r="F1236" s="517" t="s">
        <v>293</v>
      </c>
      <c r="G1236" s="232">
        <v>0</v>
      </c>
      <c r="H1236" s="661" t="str">
        <f t="shared" si="935"/>
        <v/>
      </c>
      <c r="I1236" s="244">
        <f t="shared" si="936"/>
        <v>0</v>
      </c>
      <c r="J1236" s="244">
        <f t="shared" si="937"/>
        <v>0</v>
      </c>
      <c r="K1236" s="696">
        <f t="shared" ref="K1236" si="959">I1236+J1236</f>
        <v>0</v>
      </c>
      <c r="L1236" s="696"/>
      <c r="M1236" s="659" t="str">
        <f t="shared" si="939"/>
        <v/>
      </c>
      <c r="N1236" s="660"/>
      <c r="O1236" s="233"/>
      <c r="P1236" s="233"/>
      <c r="Q1236" s="233"/>
      <c r="R1236" s="233"/>
      <c r="S1236" s="233"/>
      <c r="T1236" s="508">
        <f t="shared" si="941"/>
        <v>0</v>
      </c>
      <c r="U1236" s="225">
        <f>IF(NOT(ISNUMBER(G1236)), "", VLOOKUP(A1236,'Discount Lookup'!D:E,2,FALSE)*G1236)</f>
        <v>0</v>
      </c>
      <c r="V1236" s="225">
        <f>IF(NOT(ISNUMBER(G1236)), "", VLOOKUP(A1236,'Discount Lookup'!G:H,2,FALSE)*G1236)</f>
        <v>0</v>
      </c>
      <c r="W1236" s="508">
        <f t="shared" si="942"/>
        <v>0</v>
      </c>
      <c r="X1236" s="508">
        <f t="shared" si="943"/>
        <v>0</v>
      </c>
      <c r="Y1236" s="509" t="b">
        <f t="shared" si="944"/>
        <v>0</v>
      </c>
      <c r="Z1236" s="510">
        <f t="shared" si="945"/>
        <v>0</v>
      </c>
      <c r="AA1236" s="511"/>
      <c r="AB1236" s="511" t="str">
        <f t="shared" si="946"/>
        <v/>
      </c>
      <c r="AC1236" s="698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698"/>
      <c r="AE1236" s="631" t="str">
        <f t="shared" si="947"/>
        <v/>
      </c>
      <c r="AF1236" s="699" t="str">
        <f t="shared" si="948"/>
        <v/>
      </c>
      <c r="AG1236" s="699"/>
      <c r="AH1236" s="699"/>
      <c r="AI1236" s="512">
        <f>IF(H1236="credit",0,IF(AE1236="free",0,IF(AE1236="me",0,IF(G1236&gt;0,(VLOOKUP(A1236,'Discount Lookup'!J:K,2)*G1236),0))))</f>
        <v>0</v>
      </c>
      <c r="AJ1236" s="513" t="str">
        <f t="shared" ca="1" si="949"/>
        <v/>
      </c>
      <c r="AK1236" s="700" t="str">
        <f t="shared" si="950"/>
        <v/>
      </c>
      <c r="AL1236" s="700"/>
      <c r="AM1236" s="505" t="str">
        <f t="shared" si="951"/>
        <v/>
      </c>
      <c r="AN1236" s="506"/>
      <c r="AO1236" s="507"/>
      <c r="AP1236" s="507"/>
      <c r="AQ1236" s="507"/>
      <c r="AR1236" s="507"/>
      <c r="AS1236" s="507"/>
      <c r="AT1236" s="507"/>
      <c r="AU1236" s="507"/>
      <c r="AV1236" s="225"/>
      <c r="AW1236" s="508"/>
      <c r="AX1236" s="225"/>
      <c r="AY1236" s="225"/>
      <c r="AZ1236" s="225"/>
      <c r="BA1236" s="225"/>
      <c r="BB1236" s="225"/>
      <c r="BC1236" s="56"/>
      <c r="BD1236" s="56"/>
      <c r="BE1236" s="56"/>
      <c r="BF1236" s="107" t="str">
        <f t="shared" si="952"/>
        <v>https://www.google.com/search?tbm=isch&amp;q=65%20G4</v>
      </c>
      <c r="BG1236" s="107" t="str">
        <f t="shared" si="953"/>
        <v>E</v>
      </c>
      <c r="BH1236" s="254"/>
      <c r="BI1236" s="254"/>
    </row>
    <row r="1237" spans="1:61" customFormat="1" ht="15.75" x14ac:dyDescent="0.25">
      <c r="A1237" s="276">
        <v>100</v>
      </c>
      <c r="B1237" s="240" t="s">
        <v>291</v>
      </c>
      <c r="C1237" s="241" t="s">
        <v>2744</v>
      </c>
      <c r="D1237" s="242" t="s">
        <v>299</v>
      </c>
      <c r="E1237" s="243">
        <v>1579.95</v>
      </c>
      <c r="F1237" s="517" t="s">
        <v>293</v>
      </c>
      <c r="G1237" s="232">
        <v>0</v>
      </c>
      <c r="H1237" s="661" t="str">
        <f t="shared" si="935"/>
        <v/>
      </c>
      <c r="I1237" s="244">
        <f t="shared" si="936"/>
        <v>0</v>
      </c>
      <c r="J1237" s="244">
        <f t="shared" si="937"/>
        <v>0</v>
      </c>
      <c r="K1237" s="696">
        <f t="shared" ref="K1237" si="960">I1237+J1237</f>
        <v>0</v>
      </c>
      <c r="L1237" s="696"/>
      <c r="M1237" s="659" t="str">
        <f t="shared" si="939"/>
        <v/>
      </c>
      <c r="N1237" s="660"/>
      <c r="O1237" s="233"/>
      <c r="P1237" s="233"/>
      <c r="Q1237" s="233"/>
      <c r="R1237" s="233"/>
      <c r="S1237" s="233"/>
      <c r="T1237" s="508">
        <f t="shared" si="941"/>
        <v>0</v>
      </c>
      <c r="U1237" s="225">
        <f>IF(NOT(ISNUMBER(G1237)), "", VLOOKUP(A1237,'Discount Lookup'!D:E,2,FALSE)*G1237)</f>
        <v>0</v>
      </c>
      <c r="V1237" s="225">
        <f>IF(NOT(ISNUMBER(G1237)), "", VLOOKUP(A1237,'Discount Lookup'!G:H,2,FALSE)*G1237)</f>
        <v>0</v>
      </c>
      <c r="W1237" s="508">
        <f t="shared" si="942"/>
        <v>0</v>
      </c>
      <c r="X1237" s="508">
        <f t="shared" si="943"/>
        <v>0</v>
      </c>
      <c r="Y1237" s="509" t="b">
        <f t="shared" si="944"/>
        <v>0</v>
      </c>
      <c r="Z1237" s="510">
        <f t="shared" si="945"/>
        <v>0</v>
      </c>
      <c r="AA1237" s="511"/>
      <c r="AB1237" s="511" t="str">
        <f t="shared" si="946"/>
        <v/>
      </c>
      <c r="AC1237" s="698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698"/>
      <c r="AE1237" s="631" t="str">
        <f t="shared" si="947"/>
        <v/>
      </c>
      <c r="AF1237" s="699" t="str">
        <f t="shared" si="948"/>
        <v/>
      </c>
      <c r="AG1237" s="699"/>
      <c r="AH1237" s="699"/>
      <c r="AI1237" s="512">
        <f>IF(H1237="credit",0,IF(AE1237="free",0,IF(AE1237="me",0,IF(G1237&gt;0,(VLOOKUP(A1237,'Discount Lookup'!J:K,2)*G1237),0))))</f>
        <v>0</v>
      </c>
      <c r="AJ1237" s="513" t="str">
        <f t="shared" ca="1" si="949"/>
        <v/>
      </c>
      <c r="AK1237" s="700" t="str">
        <f t="shared" si="950"/>
        <v/>
      </c>
      <c r="AL1237" s="700"/>
      <c r="AM1237" s="505" t="str">
        <f t="shared" si="951"/>
        <v/>
      </c>
      <c r="AN1237" s="506"/>
      <c r="AO1237" s="507"/>
      <c r="AP1237" s="507"/>
      <c r="AQ1237" s="507"/>
      <c r="AR1237" s="507"/>
      <c r="AS1237" s="507"/>
      <c r="AT1237" s="507"/>
      <c r="AU1237" s="507"/>
      <c r="AV1237" s="225"/>
      <c r="AW1237" s="508"/>
      <c r="AX1237" s="225"/>
      <c r="AY1237" s="225"/>
      <c r="AZ1237" s="225"/>
      <c r="BA1237" s="225"/>
      <c r="BB1237" s="225"/>
      <c r="BC1237" s="56"/>
      <c r="BD1237" s="56"/>
      <c r="BE1237" s="56"/>
      <c r="BF1237" s="107" t="str">
        <f t="shared" si="952"/>
        <v>https://www.google.com/search?tbm=isch&amp;q=100%20G5</v>
      </c>
      <c r="BG1237" s="107" t="str">
        <f t="shared" si="953"/>
        <v>E</v>
      </c>
      <c r="BH1237" s="254"/>
      <c r="BI1237" s="254"/>
    </row>
    <row r="1238" spans="1:61" customFormat="1" ht="17.25" thickBot="1" x14ac:dyDescent="0.3">
      <c r="A1238" s="524" t="s">
        <v>2292</v>
      </c>
      <c r="B1238" s="245"/>
      <c r="C1238" s="677"/>
      <c r="D1238" s="499"/>
      <c r="E1238" s="499"/>
      <c r="F1238" s="500"/>
      <c r="G1238" s="501"/>
      <c r="H1238" s="502"/>
      <c r="I1238" s="246"/>
      <c r="J1238" s="247"/>
      <c r="K1238" s="503"/>
      <c r="L1238" s="544"/>
      <c r="M1238" s="544"/>
      <c r="N1238" s="500"/>
      <c r="O1238" s="500"/>
      <c r="P1238" s="500"/>
      <c r="Q1238" s="500"/>
      <c r="R1238" s="500"/>
      <c r="S1238" s="278"/>
      <c r="T1238" s="508">
        <f t="shared" si="941"/>
        <v>0</v>
      </c>
      <c r="U1238" s="225" t="str">
        <f>IF(NOT(ISNUMBER(G1238)), "", VLOOKUP(A1238,'Discount Lookup'!D:E,2,FALSE)*G1238)</f>
        <v/>
      </c>
      <c r="V1238" s="225" t="str">
        <f>IF(NOT(ISNUMBER(G1238)), "", VLOOKUP(A1238,'Discount Lookup'!G:H,2,FALSE)*G1238)</f>
        <v/>
      </c>
      <c r="W1238" s="508">
        <f t="shared" si="942"/>
        <v>0</v>
      </c>
      <c r="X1238" s="508">
        <f t="shared" si="943"/>
        <v>0</v>
      </c>
      <c r="Y1238" s="509" t="b">
        <f t="shared" si="944"/>
        <v>0</v>
      </c>
      <c r="Z1238" s="510">
        <f t="shared" si="945"/>
        <v>0</v>
      </c>
      <c r="AA1238" s="511"/>
      <c r="AB1238" s="511" t="str">
        <f t="shared" si="946"/>
        <v/>
      </c>
      <c r="AC1238" s="698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698"/>
      <c r="AE1238" s="631" t="str">
        <f t="shared" si="947"/>
        <v/>
      </c>
      <c r="AF1238" s="699" t="str">
        <f t="shared" si="948"/>
        <v/>
      </c>
      <c r="AG1238" s="699"/>
      <c r="AH1238" s="699"/>
      <c r="AI1238" s="512">
        <f>IF(H1238="credit",0,IF(AE1238="free",0,IF(AE1238="me",0,IF(G1238&gt;0,(VLOOKUP(A1238,'Discount Lookup'!J:K,2)*G1238),0))))</f>
        <v>0</v>
      </c>
      <c r="AJ1238" s="513" t="str">
        <f t="shared" ca="1" si="949"/>
        <v/>
      </c>
      <c r="AK1238" s="700" t="str">
        <f t="shared" si="950"/>
        <v/>
      </c>
      <c r="AL1238" s="700"/>
      <c r="AM1238" s="505" t="str">
        <f t="shared" si="951"/>
        <v/>
      </c>
      <c r="AN1238" s="506"/>
      <c r="AO1238" s="507"/>
      <c r="AP1238" s="507"/>
      <c r="AQ1238" s="507"/>
      <c r="AR1238" s="507"/>
      <c r="AS1238" s="507"/>
      <c r="AT1238" s="507"/>
      <c r="AU1238" s="507"/>
      <c r="AV1238" s="225"/>
      <c r="AW1238" s="508"/>
      <c r="AX1238" s="225"/>
      <c r="AY1238" s="225"/>
      <c r="AZ1238" s="225"/>
      <c r="BA1238" s="225"/>
      <c r="BB1238" s="225"/>
      <c r="BC1238" s="56"/>
      <c r="BD1238" s="56"/>
      <c r="BE1238" s="56"/>
      <c r="BF1238" s="107" t="str">
        <f t="shared" si="952"/>
        <v>https://www.google.com/search?tbm=isch&amp;q=Emperor%201%20is%20rich%20Dark%20Red%20in%20summer%20turning%20Brilliant%20Scarlet%20in%20fall%20</v>
      </c>
      <c r="BG1238" s="107" t="str">
        <f t="shared" si="953"/>
        <v>E</v>
      </c>
      <c r="BH1238" s="254"/>
      <c r="BI1238" s="254"/>
    </row>
    <row r="1239" spans="1:61" customFormat="1" ht="18" x14ac:dyDescent="0.25">
      <c r="A1239" s="523" t="s">
        <v>5399</v>
      </c>
      <c r="B1239" s="235"/>
      <c r="C1239" s="676"/>
      <c r="D1239" s="255" t="s">
        <v>2531</v>
      </c>
      <c r="E1239" s="236"/>
      <c r="F1239" s="236"/>
      <c r="G1239" s="236"/>
      <c r="H1239" s="582" t="s">
        <v>441</v>
      </c>
      <c r="I1239" s="498" t="s">
        <v>2594</v>
      </c>
      <c r="J1239" s="237"/>
      <c r="K1239" s="237"/>
      <c r="L1239" s="274"/>
      <c r="M1239" s="668" t="s">
        <v>4962</v>
      </c>
      <c r="N1239" s="681" t="str">
        <f>IF(AND(ISTEXT($A1239), ISERROR($A1239+0)), HYPERLINK($BF1239, "Images"), "")</f>
        <v>Images</v>
      </c>
      <c r="O1239" s="663" t="s">
        <v>4967</v>
      </c>
      <c r="P1239" s="253"/>
      <c r="Q1239" s="238"/>
      <c r="R1239" s="239"/>
      <c r="S1239" s="275"/>
      <c r="T1239" s="508">
        <f t="shared" si="941"/>
        <v>0</v>
      </c>
      <c r="U1239" s="225" t="str">
        <f>IF(NOT(ISNUMBER(G1239)), "", VLOOKUP(A1239,'Discount Lookup'!D:E,2,FALSE)*G1239)</f>
        <v/>
      </c>
      <c r="V1239" s="225" t="str">
        <f>IF(NOT(ISNUMBER(G1239)), "", VLOOKUP(A1239,'Discount Lookup'!G:H,2,FALSE)*G1239)</f>
        <v/>
      </c>
      <c r="W1239" s="508">
        <f t="shared" si="942"/>
        <v>0</v>
      </c>
      <c r="X1239" s="508" t="str">
        <f t="shared" si="943"/>
        <v>Fuchsia-Pink bloom</v>
      </c>
      <c r="Y1239" s="509" t="b">
        <f t="shared" si="944"/>
        <v>0</v>
      </c>
      <c r="Z1239" s="510">
        <f t="shared" si="945"/>
        <v>0</v>
      </c>
      <c r="AA1239" s="511"/>
      <c r="AB1239" s="511" t="str">
        <f t="shared" si="946"/>
        <v/>
      </c>
      <c r="AC1239" s="698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698"/>
      <c r="AE1239" s="631" t="str">
        <f t="shared" si="947"/>
        <v/>
      </c>
      <c r="AF1239" s="699" t="str">
        <f t="shared" si="948"/>
        <v/>
      </c>
      <c r="AG1239" s="699"/>
      <c r="AH1239" s="699"/>
      <c r="AI1239" s="512">
        <f>IF(H1239="credit",0,IF(AE1239="free",0,IF(AE1239="me",0,IF(G1239&gt;0,(VLOOKUP(A1239,'Discount Lookup'!J:K,2)*G1239),0))))</f>
        <v>0</v>
      </c>
      <c r="AJ1239" s="513" t="str">
        <f t="shared" ca="1" si="949"/>
        <v/>
      </c>
      <c r="AK1239" s="700" t="str">
        <f t="shared" si="950"/>
        <v/>
      </c>
      <c r="AL1239" s="700"/>
      <c r="AM1239" s="505" t="str">
        <f t="shared" si="951"/>
        <v/>
      </c>
      <c r="AN1239" s="506"/>
      <c r="AO1239" s="507"/>
      <c r="AP1239" s="507"/>
      <c r="AQ1239" s="507"/>
      <c r="AR1239" s="507"/>
      <c r="AS1239" s="507"/>
      <c r="AT1239" s="507"/>
      <c r="AU1239" s="507"/>
      <c r="AV1239" s="225"/>
      <c r="AW1239" s="508"/>
      <c r="AX1239" s="225"/>
      <c r="AY1239" s="225"/>
      <c r="AZ1239" s="225"/>
      <c r="BA1239" s="225"/>
      <c r="BB1239" s="225"/>
      <c r="BC1239" s="56"/>
      <c r="BD1239" s="56"/>
      <c r="BE1239" s="56"/>
      <c r="BF1239" s="107" t="str">
        <f t="shared" si="952"/>
        <v>https://www.google.com/search?tbm=isch&amp;q=Empire%C2%AE%20Northern%20Lights%E2%84%A2%20Japanese%20Spirea%20Spiraea%20japonica%20%27DAVCOP01%27%20PP%2331996</v>
      </c>
      <c r="BG1239" s="107" t="str">
        <f t="shared" si="953"/>
        <v>E</v>
      </c>
      <c r="BH1239" s="254"/>
      <c r="BI1239" s="254"/>
    </row>
    <row r="1240" spans="1:61" customFormat="1" ht="15.75" x14ac:dyDescent="0.25">
      <c r="A1240" s="276">
        <v>3</v>
      </c>
      <c r="B1240" s="240" t="s">
        <v>291</v>
      </c>
      <c r="C1240" s="241" t="s">
        <v>3058</v>
      </c>
      <c r="D1240" s="242" t="s">
        <v>312</v>
      </c>
      <c r="E1240" s="243">
        <v>30.95</v>
      </c>
      <c r="F1240" s="517" t="s">
        <v>293</v>
      </c>
      <c r="G1240" s="232">
        <v>0</v>
      </c>
      <c r="H1240" s="661" t="str">
        <f>IF(G1240=0,"",IF(F1240="Buy",IF(G1240=1,"plant","plants"),IF(F1240&gt;0.01,"warranty","Error")))</f>
        <v/>
      </c>
      <c r="I1240" s="244">
        <f>IF(H1240="free",0,IF(H1240="credit",((E1240*(F1240))*G1240*-1),IF(F1240="Buy",(E1240*G1240),((E1240*(1-F1240))*G1240))))</f>
        <v>0</v>
      </c>
      <c r="J1240" s="244">
        <f>IF(H1240="warranty",0,(I1240*(_xlfn.SINGLE(SalesTaxPercentage))))</f>
        <v>0</v>
      </c>
      <c r="K1240" s="696">
        <f t="shared" ref="K1240" si="961">I1240+J1240</f>
        <v>0</v>
      </c>
      <c r="L1240" s="696"/>
      <c r="M1240" s="659" t="str">
        <f>IF(AND(G1240&gt;0,E1240=0),"WARNING - no PRICE inserted",IF(H1240="free"," FREE ~ no charge this plant",IF(H1240="credit",CONCATENATE(" -$",ROUND(K1240*(1-T2GDiscount)*-1,2)," CREDIT after discount"),IF(T2GDiscount=0,"",IF(G1240=0,"",IF(F1240="Buy",CONCATENATE(" $",ROUND(K1240*(1-T2GDiscount),2)," with ",(T2GDiscount*100),"% discount"),CONCATENATE(" $",ROUND(K1240*(1-T2GDiscount),2)," with ",((T2GDiscount*100+F1240*100)-(T2GDiscount*100*F1240)),IF(F1240&gt;0,"% discounts",IF(NoWarrantyDiscount&gt;0,"% discounts","% discount")))))))))</f>
        <v/>
      </c>
      <c r="N1240" s="660"/>
      <c r="O1240" s="233"/>
      <c r="P1240" s="233"/>
      <c r="Q1240" s="233"/>
      <c r="R1240" s="233"/>
      <c r="S1240" s="233"/>
      <c r="T1240" s="508">
        <f t="shared" si="941"/>
        <v>0</v>
      </c>
      <c r="U1240" s="225">
        <f>IF(NOT(ISNUMBER(G1240)), "", VLOOKUP(A1240,'Discount Lookup'!D:E,2,FALSE)*G1240)</f>
        <v>0</v>
      </c>
      <c r="V1240" s="225">
        <f>IF(NOT(ISNUMBER(G1240)), "", VLOOKUP(A1240,'Discount Lookup'!G:H,2,FALSE)*G1240)</f>
        <v>0</v>
      </c>
      <c r="W1240" s="508">
        <f t="shared" si="942"/>
        <v>0</v>
      </c>
      <c r="X1240" s="508">
        <f t="shared" si="943"/>
        <v>0</v>
      </c>
      <c r="Y1240" s="509" t="b">
        <f t="shared" si="944"/>
        <v>0</v>
      </c>
      <c r="Z1240" s="510">
        <f t="shared" si="945"/>
        <v>0</v>
      </c>
      <c r="AA1240" s="511"/>
      <c r="AB1240" s="511" t="str">
        <f t="shared" si="946"/>
        <v/>
      </c>
      <c r="AC1240" s="698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698"/>
      <c r="AE1240" s="631" t="str">
        <f t="shared" si="947"/>
        <v/>
      </c>
      <c r="AF1240" s="699" t="str">
        <f t="shared" si="948"/>
        <v/>
      </c>
      <c r="AG1240" s="699"/>
      <c r="AH1240" s="699"/>
      <c r="AI1240" s="512">
        <f>IF(H1240="credit",0,IF(AE1240="free",0,IF(AE1240="me",0,IF(G1240&gt;0,(VLOOKUP(A1240,'Discount Lookup'!J:K,2)*G1240),0))))</f>
        <v>0</v>
      </c>
      <c r="AJ1240" s="513" t="str">
        <f t="shared" ca="1" si="949"/>
        <v/>
      </c>
      <c r="AK1240" s="700" t="str">
        <f t="shared" si="950"/>
        <v/>
      </c>
      <c r="AL1240" s="700"/>
      <c r="AM1240" s="505" t="str">
        <f t="shared" si="951"/>
        <v/>
      </c>
      <c r="AN1240" s="506"/>
      <c r="AO1240" s="507"/>
      <c r="AP1240" s="507"/>
      <c r="AQ1240" s="507"/>
      <c r="AR1240" s="507"/>
      <c r="AS1240" s="507"/>
      <c r="AT1240" s="507"/>
      <c r="AU1240" s="507"/>
      <c r="AV1240" s="225"/>
      <c r="AW1240" s="508"/>
      <c r="AX1240" s="225"/>
      <c r="AY1240" s="225"/>
      <c r="AZ1240" s="225"/>
      <c r="BA1240" s="225"/>
      <c r="BB1240" s="225"/>
      <c r="BC1240" s="56"/>
      <c r="BD1240" s="56"/>
      <c r="BE1240" s="56"/>
      <c r="BF1240" s="107" t="str">
        <f t="shared" si="952"/>
        <v>https://www.google.com/search?tbm=isch&amp;q=3%20G2</v>
      </c>
      <c r="BG1240" s="107" t="str">
        <f t="shared" si="953"/>
        <v>E</v>
      </c>
      <c r="BH1240" s="254"/>
      <c r="BI1240" s="254"/>
    </row>
    <row r="1241" spans="1:61" customFormat="1" ht="17.25" thickBot="1" x14ac:dyDescent="0.3">
      <c r="A1241" s="524" t="s">
        <v>4202</v>
      </c>
      <c r="B1241" s="245"/>
      <c r="C1241" s="677"/>
      <c r="D1241" s="499"/>
      <c r="E1241" s="499"/>
      <c r="F1241" s="500"/>
      <c r="G1241" s="501"/>
      <c r="H1241" s="502"/>
      <c r="I1241" s="246"/>
      <c r="J1241" s="247"/>
      <c r="K1241" s="503"/>
      <c r="L1241" s="544"/>
      <c r="M1241" s="544"/>
      <c r="N1241" s="500"/>
      <c r="O1241" s="500"/>
      <c r="P1241" s="500"/>
      <c r="Q1241" s="500"/>
      <c r="R1241" s="500"/>
      <c r="S1241" s="669" t="s">
        <v>4980</v>
      </c>
      <c r="T1241" s="508">
        <f t="shared" si="941"/>
        <v>0</v>
      </c>
      <c r="U1241" s="225" t="str">
        <f>IF(NOT(ISNUMBER(G1241)), "", VLOOKUP(A1241,'Discount Lookup'!D:E,2,FALSE)*G1241)</f>
        <v/>
      </c>
      <c r="V1241" s="225" t="str">
        <f>IF(NOT(ISNUMBER(G1241)), "", VLOOKUP(A1241,'Discount Lookup'!G:H,2,FALSE)*G1241)</f>
        <v/>
      </c>
      <c r="W1241" s="508">
        <f t="shared" si="942"/>
        <v>0</v>
      </c>
      <c r="X1241" s="508">
        <f t="shared" si="943"/>
        <v>0</v>
      </c>
      <c r="Y1241" s="509" t="b">
        <f t="shared" si="944"/>
        <v>0</v>
      </c>
      <c r="Z1241" s="510">
        <f t="shared" si="945"/>
        <v>0</v>
      </c>
      <c r="AA1241" s="511"/>
      <c r="AB1241" s="511" t="str">
        <f t="shared" si="946"/>
        <v/>
      </c>
      <c r="AC1241" s="698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698"/>
      <c r="AE1241" s="631" t="str">
        <f t="shared" si="947"/>
        <v/>
      </c>
      <c r="AF1241" s="699" t="str">
        <f t="shared" si="948"/>
        <v/>
      </c>
      <c r="AG1241" s="699"/>
      <c r="AH1241" s="699"/>
      <c r="AI1241" s="512">
        <f>IF(H1241="credit",0,IF(AE1241="free",0,IF(AE1241="me",0,IF(G1241&gt;0,(VLOOKUP(A1241,'Discount Lookup'!J:K,2)*G1241),0))))</f>
        <v>0</v>
      </c>
      <c r="AJ1241" s="513" t="str">
        <f t="shared" ca="1" si="949"/>
        <v/>
      </c>
      <c r="AK1241" s="700" t="str">
        <f t="shared" si="950"/>
        <v/>
      </c>
      <c r="AL1241" s="700"/>
      <c r="AM1241" s="505" t="str">
        <f t="shared" si="951"/>
        <v/>
      </c>
      <c r="AN1241" s="506"/>
      <c r="AO1241" s="507"/>
      <c r="AP1241" s="507"/>
      <c r="AQ1241" s="507"/>
      <c r="AR1241" s="507"/>
      <c r="AS1241" s="507"/>
      <c r="AT1241" s="507"/>
      <c r="AU1241" s="507"/>
      <c r="AV1241" s="225"/>
      <c r="AW1241" s="508"/>
      <c r="AX1241" s="225"/>
      <c r="AY1241" s="225"/>
      <c r="AZ1241" s="225"/>
      <c r="BA1241" s="225"/>
      <c r="BB1241" s="225"/>
      <c r="BC1241" s="56"/>
      <c r="BD1241" s="56"/>
      <c r="BE1241" s="56"/>
      <c r="BF1241" s="107" t="str">
        <f t="shared" si="952"/>
        <v>https://www.google.com/search?tbm=isch&amp;q=Northern%20Lights%20foliage%20emerges%20Bright%20Red%2C%20shifts%20to%20Yellow%2C%20and%20matures%20to%20Green.%20Summer%20bloom%2C%20on%20new%20wood%2C%20so%20prune%20late%20winter%20</v>
      </c>
      <c r="BG1241" s="107" t="str">
        <f t="shared" si="953"/>
        <v>N</v>
      </c>
      <c r="BH1241" s="254"/>
      <c r="BI1241" s="254"/>
    </row>
    <row r="1242" spans="1:61" customFormat="1" ht="18" x14ac:dyDescent="0.25">
      <c r="A1242" s="523" t="s">
        <v>5590</v>
      </c>
      <c r="B1242" s="235"/>
      <c r="C1242" s="676"/>
      <c r="D1242" s="255" t="s">
        <v>848</v>
      </c>
      <c r="E1242" s="236"/>
      <c r="F1242" s="236"/>
      <c r="G1242" s="236"/>
      <c r="H1242" s="582" t="s">
        <v>474</v>
      </c>
      <c r="I1242" s="498" t="s">
        <v>3103</v>
      </c>
      <c r="J1242" s="237"/>
      <c r="K1242" s="237"/>
      <c r="L1242" s="274"/>
      <c r="M1242" s="670" t="s">
        <v>4973</v>
      </c>
      <c r="N1242" s="681" t="str">
        <f>IF(AND(ISTEXT($A1242), ISERROR($A1242+0)), HYPERLINK($BF1242, "Images"), "")</f>
        <v>Images</v>
      </c>
      <c r="O1242" s="663" t="s">
        <v>4974</v>
      </c>
      <c r="P1242" s="253"/>
      <c r="Q1242" s="238"/>
      <c r="R1242" s="239"/>
      <c r="S1242" s="275"/>
      <c r="T1242" s="508">
        <f t="shared" si="941"/>
        <v>0</v>
      </c>
      <c r="U1242" s="225" t="str">
        <f>IF(NOT(ISNUMBER(G1242)), "", VLOOKUP(A1242,'Discount Lookup'!D:E,2,FALSE)*G1242)</f>
        <v/>
      </c>
      <c r="V1242" s="225" t="str">
        <f>IF(NOT(ISNUMBER(G1242)), "", VLOOKUP(A1242,'Discount Lookup'!G:H,2,FALSE)*G1242)</f>
        <v/>
      </c>
      <c r="W1242" s="508">
        <f t="shared" si="942"/>
        <v>0</v>
      </c>
      <c r="X1242" s="508" t="str">
        <f t="shared" si="943"/>
        <v>Pale Blue to Soft Pink bloom</v>
      </c>
      <c r="Y1242" s="509" t="b">
        <f t="shared" si="944"/>
        <v>0</v>
      </c>
      <c r="Z1242" s="510">
        <f t="shared" si="945"/>
        <v>0</v>
      </c>
      <c r="AA1242" s="511"/>
      <c r="AB1242" s="511" t="str">
        <f t="shared" si="946"/>
        <v/>
      </c>
      <c r="AC1242" s="698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698"/>
      <c r="AE1242" s="631" t="str">
        <f t="shared" si="947"/>
        <v/>
      </c>
      <c r="AF1242" s="699" t="str">
        <f t="shared" si="948"/>
        <v/>
      </c>
      <c r="AG1242" s="699"/>
      <c r="AH1242" s="699"/>
      <c r="AI1242" s="512">
        <f>IF(H1242="credit",0,IF(AE1242="free",0,IF(AE1242="me",0,IF(G1242&gt;0,(VLOOKUP(A1242,'Discount Lookup'!J:K,2)*G1242),0))))</f>
        <v>0</v>
      </c>
      <c r="AJ1242" s="513" t="str">
        <f t="shared" ca="1" si="949"/>
        <v/>
      </c>
      <c r="AK1242" s="700" t="str">
        <f t="shared" si="950"/>
        <v/>
      </c>
      <c r="AL1242" s="700"/>
      <c r="AM1242" s="505" t="str">
        <f t="shared" si="951"/>
        <v/>
      </c>
      <c r="AN1242" s="506"/>
      <c r="AO1242" s="507"/>
      <c r="AP1242" s="507"/>
      <c r="AQ1242" s="507"/>
      <c r="AR1242" s="507"/>
      <c r="AS1242" s="507"/>
      <c r="AT1242" s="507"/>
      <c r="AU1242" s="507"/>
      <c r="AV1242" s="225"/>
      <c r="AW1242" s="508"/>
      <c r="AX1242" s="225"/>
      <c r="AY1242" s="225"/>
      <c r="AZ1242" s="225"/>
      <c r="BA1242" s="225"/>
      <c r="BB1242" s="225"/>
      <c r="BC1242" s="56"/>
      <c r="BD1242" s="56"/>
      <c r="BE1242" s="56"/>
      <c r="BF1242" s="107" t="str">
        <f t="shared" si="952"/>
        <v>https://www.google.com/search?tbm=isch&amp;q=Endless%20Summer%C2%AE%20Bigleaf%20Hydrangea%20%28ES%C2%AE%29%20Hyd.%20macrophylla%20%27Bailmer%27%20PP%2315298</v>
      </c>
      <c r="BG1242" s="107" t="str">
        <f t="shared" si="953"/>
        <v>E</v>
      </c>
      <c r="BH1242" s="254"/>
      <c r="BI1242" s="254"/>
    </row>
    <row r="1243" spans="1:61" customFormat="1" ht="15.75" x14ac:dyDescent="0.25">
      <c r="A1243" s="276">
        <v>3</v>
      </c>
      <c r="B1243" s="240" t="s">
        <v>291</v>
      </c>
      <c r="C1243" s="241" t="s">
        <v>4758</v>
      </c>
      <c r="D1243" s="242" t="s">
        <v>312</v>
      </c>
      <c r="E1243" s="243">
        <v>38.950000000000003</v>
      </c>
      <c r="F1243" s="517" t="s">
        <v>293</v>
      </c>
      <c r="G1243" s="232">
        <v>0</v>
      </c>
      <c r="H1243" s="661" t="str">
        <f>IF(G1243=0,"",IF(F1243="Buy",IF(G1243=1,"plant","plants"),IF(F1243&gt;0.01,"warranty","Error")))</f>
        <v/>
      </c>
      <c r="I1243" s="244">
        <f>IF(H1243="free",0,IF(H1243="credit",((E1243*(F1243))*G1243*-1),IF(F1243="Buy",(E1243*G1243),((E1243*(1-F1243))*G1243))))</f>
        <v>0</v>
      </c>
      <c r="J1243" s="244">
        <f>IF(H1243="warranty",0,(I1243*(_xlfn.SINGLE(SalesTaxPercentage))))</f>
        <v>0</v>
      </c>
      <c r="K1243" s="696">
        <f t="shared" ref="K1243" si="962">I1243+J1243</f>
        <v>0</v>
      </c>
      <c r="L1243" s="696"/>
      <c r="M1243" s="659" t="str">
        <f>IF(AND(G1243&gt;0,E1243=0),"WARNING - no PRICE inserted",IF(H1243="free"," FREE ~ no charge this plant",IF(H1243="credit",CONCATENATE(" -$",ROUND(K1243*(1-T2GDiscount)*-1,2)," CREDIT after discount"),IF(T2GDiscount=0,"",IF(G1243=0,"",IF(F1243="Buy",CONCATENATE(" $",ROUND(K1243*(1-T2GDiscount),2)," with ",(T2GDiscount*100),"% discount"),CONCATENATE(" $",ROUND(K1243*(1-T2GDiscount),2)," with ",((T2GDiscount*100+F1243*100)-(T2GDiscount*100*F1243)),IF(F1243&gt;0,"% discounts",IF(NoWarrantyDiscount&gt;0,"% discounts","% discount")))))))))</f>
        <v/>
      </c>
      <c r="N1243" s="660"/>
      <c r="O1243" s="233"/>
      <c r="P1243" s="233"/>
      <c r="Q1243" s="233"/>
      <c r="R1243" s="233"/>
      <c r="S1243" s="233"/>
      <c r="T1243" s="508">
        <f t="shared" si="941"/>
        <v>0</v>
      </c>
      <c r="U1243" s="225">
        <f>IF(NOT(ISNUMBER(G1243)), "", VLOOKUP(A1243,'Discount Lookup'!D:E,2,FALSE)*G1243)</f>
        <v>0</v>
      </c>
      <c r="V1243" s="225">
        <f>IF(NOT(ISNUMBER(G1243)), "", VLOOKUP(A1243,'Discount Lookup'!G:H,2,FALSE)*G1243)</f>
        <v>0</v>
      </c>
      <c r="W1243" s="508">
        <f t="shared" si="942"/>
        <v>0</v>
      </c>
      <c r="X1243" s="508">
        <f t="shared" si="943"/>
        <v>0</v>
      </c>
      <c r="Y1243" s="509" t="b">
        <f t="shared" si="944"/>
        <v>0</v>
      </c>
      <c r="Z1243" s="510">
        <f t="shared" si="945"/>
        <v>0</v>
      </c>
      <c r="AA1243" s="511"/>
      <c r="AB1243" s="511" t="str">
        <f t="shared" si="946"/>
        <v/>
      </c>
      <c r="AC1243" s="698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698"/>
      <c r="AE1243" s="631" t="str">
        <f t="shared" si="947"/>
        <v/>
      </c>
      <c r="AF1243" s="699" t="str">
        <f t="shared" si="948"/>
        <v/>
      </c>
      <c r="AG1243" s="699"/>
      <c r="AH1243" s="699"/>
      <c r="AI1243" s="512">
        <f>IF(H1243="credit",0,IF(AE1243="free",0,IF(AE1243="me",0,IF(G1243&gt;0,(VLOOKUP(A1243,'Discount Lookup'!J:K,2)*G1243),0))))</f>
        <v>0</v>
      </c>
      <c r="AJ1243" s="513" t="str">
        <f t="shared" ca="1" si="949"/>
        <v/>
      </c>
      <c r="AK1243" s="700" t="str">
        <f t="shared" si="950"/>
        <v/>
      </c>
      <c r="AL1243" s="700"/>
      <c r="AM1243" s="505" t="str">
        <f t="shared" si="951"/>
        <v/>
      </c>
      <c r="AN1243" s="506"/>
      <c r="AO1243" s="507"/>
      <c r="AP1243" s="507"/>
      <c r="AQ1243" s="507"/>
      <c r="AR1243" s="507"/>
      <c r="AS1243" s="507"/>
      <c r="AT1243" s="507"/>
      <c r="AU1243" s="507"/>
      <c r="AV1243" s="225"/>
      <c r="AW1243" s="508"/>
      <c r="AX1243" s="225"/>
      <c r="AY1243" s="225"/>
      <c r="AZ1243" s="225"/>
      <c r="BA1243" s="225"/>
      <c r="BB1243" s="225"/>
      <c r="BC1243" s="56"/>
      <c r="BD1243" s="56"/>
      <c r="BE1243" s="56"/>
      <c r="BF1243" s="107" t="str">
        <f t="shared" si="952"/>
        <v>https://www.google.com/search?tbm=isch&amp;q=3%20G2</v>
      </c>
      <c r="BG1243" s="107" t="str">
        <f t="shared" si="953"/>
        <v>E</v>
      </c>
      <c r="BH1243" s="254"/>
      <c r="BI1243" s="254"/>
    </row>
    <row r="1244" spans="1:61" customFormat="1" ht="17.25" thickBot="1" x14ac:dyDescent="0.3">
      <c r="A1244" s="673" t="s">
        <v>5103</v>
      </c>
      <c r="B1244" s="245"/>
      <c r="C1244" s="677"/>
      <c r="D1244" s="499"/>
      <c r="E1244" s="499"/>
      <c r="F1244" s="500"/>
      <c r="G1244" s="501"/>
      <c r="H1244" s="502"/>
      <c r="I1244" s="246"/>
      <c r="J1244" s="247"/>
      <c r="K1244" s="503"/>
      <c r="L1244" s="544"/>
      <c r="M1244" s="544"/>
      <c r="N1244" s="500"/>
      <c r="O1244" s="500"/>
      <c r="P1244" s="500"/>
      <c r="Q1244" s="500"/>
      <c r="R1244" s="500"/>
      <c r="S1244" s="278"/>
      <c r="T1244" s="508">
        <f t="shared" si="941"/>
        <v>0</v>
      </c>
      <c r="U1244" s="225" t="str">
        <f>IF(NOT(ISNUMBER(G1244)), "", VLOOKUP(A1244,'Discount Lookup'!D:E,2,FALSE)*G1244)</f>
        <v/>
      </c>
      <c r="V1244" s="225" t="str">
        <f>IF(NOT(ISNUMBER(G1244)), "", VLOOKUP(A1244,'Discount Lookup'!G:H,2,FALSE)*G1244)</f>
        <v/>
      </c>
      <c r="W1244" s="508">
        <f t="shared" si="942"/>
        <v>0</v>
      </c>
      <c r="X1244" s="508">
        <f t="shared" si="943"/>
        <v>0</v>
      </c>
      <c r="Y1244" s="509" t="b">
        <f t="shared" si="944"/>
        <v>0</v>
      </c>
      <c r="Z1244" s="510">
        <f t="shared" si="945"/>
        <v>0</v>
      </c>
      <c r="AA1244" s="511"/>
      <c r="AB1244" s="511" t="str">
        <f t="shared" si="946"/>
        <v/>
      </c>
      <c r="AC1244" s="698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698"/>
      <c r="AE1244" s="631" t="str">
        <f t="shared" si="947"/>
        <v/>
      </c>
      <c r="AF1244" s="699" t="str">
        <f t="shared" si="948"/>
        <v/>
      </c>
      <c r="AG1244" s="699"/>
      <c r="AH1244" s="699"/>
      <c r="AI1244" s="512">
        <f>IF(H1244="credit",0,IF(AE1244="free",0,IF(AE1244="me",0,IF(G1244&gt;0,(VLOOKUP(A1244,'Discount Lookup'!J:K,2)*G1244),0))))</f>
        <v>0</v>
      </c>
      <c r="AJ1244" s="513" t="str">
        <f t="shared" ca="1" si="949"/>
        <v/>
      </c>
      <c r="AK1244" s="700" t="str">
        <f t="shared" si="950"/>
        <v/>
      </c>
      <c r="AL1244" s="700"/>
      <c r="AM1244" s="505" t="str">
        <f t="shared" si="951"/>
        <v/>
      </c>
      <c r="AN1244" s="506"/>
      <c r="AO1244" s="507"/>
      <c r="AP1244" s="507"/>
      <c r="AQ1244" s="507"/>
      <c r="AR1244" s="507"/>
      <c r="AS1244" s="507"/>
      <c r="AT1244" s="507"/>
      <c r="AU1244" s="507"/>
      <c r="AV1244" s="225"/>
      <c r="AW1244" s="508"/>
      <c r="AX1244" s="225"/>
      <c r="AY1244" s="225"/>
      <c r="AZ1244" s="225"/>
      <c r="BA1244" s="225"/>
      <c r="BB1244" s="225"/>
      <c r="BC1244" s="56"/>
      <c r="BD1244" s="56"/>
      <c r="BE1244" s="56"/>
      <c r="BF1244" s="107" t="str">
        <f t="shared" si="952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244" s="107" t="str">
        <f t="shared" si="953"/>
        <v>m</v>
      </c>
      <c r="BH1244" s="254"/>
      <c r="BI1244" s="254"/>
    </row>
    <row r="1245" spans="1:61" customFormat="1" ht="18" x14ac:dyDescent="0.25">
      <c r="A1245" s="523" t="s">
        <v>5400</v>
      </c>
      <c r="B1245" s="235"/>
      <c r="C1245" s="676"/>
      <c r="D1245" s="255" t="s">
        <v>844</v>
      </c>
      <c r="E1245" s="236"/>
      <c r="F1245" s="236"/>
      <c r="G1245" s="236"/>
      <c r="H1245" s="582" t="s">
        <v>4243</v>
      </c>
      <c r="I1245" s="498" t="s">
        <v>4244</v>
      </c>
      <c r="J1245" s="237"/>
      <c r="K1245" s="237"/>
      <c r="L1245" s="274"/>
      <c r="M1245" s="668" t="s">
        <v>4962</v>
      </c>
      <c r="N1245" s="681" t="str">
        <f>IF(AND(ISTEXT($A1245), ISERROR($A1245+0)), HYPERLINK($BF1245, "Images"), "")</f>
        <v>Images</v>
      </c>
      <c r="O1245" s="663" t="s">
        <v>4967</v>
      </c>
      <c r="P1245" s="253"/>
      <c r="Q1245" s="238"/>
      <c r="R1245" s="239"/>
      <c r="S1245" s="275"/>
      <c r="T1245" s="508">
        <f t="shared" si="941"/>
        <v>0</v>
      </c>
      <c r="U1245" s="225" t="str">
        <f>IF(NOT(ISNUMBER(G1245)), "", VLOOKUP(A1245,'Discount Lookup'!D:E,2,FALSE)*G1245)</f>
        <v/>
      </c>
      <c r="V1245" s="225" t="str">
        <f>IF(NOT(ISNUMBER(G1245)), "", VLOOKUP(A1245,'Discount Lookup'!G:H,2,FALSE)*G1245)</f>
        <v/>
      </c>
      <c r="W1245" s="508">
        <f t="shared" si="942"/>
        <v>0</v>
      </c>
      <c r="X1245" s="508" t="str">
        <f t="shared" si="943"/>
        <v>Bright Red, Deep Red eye</v>
      </c>
      <c r="Y1245" s="509" t="b">
        <f t="shared" si="944"/>
        <v>0</v>
      </c>
      <c r="Z1245" s="510">
        <f t="shared" si="945"/>
        <v>0</v>
      </c>
      <c r="AA1245" s="511"/>
      <c r="AB1245" s="511" t="str">
        <f t="shared" si="946"/>
        <v/>
      </c>
      <c r="AC1245" s="698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698"/>
      <c r="AE1245" s="631" t="str">
        <f t="shared" si="947"/>
        <v/>
      </c>
      <c r="AF1245" s="699" t="str">
        <f t="shared" si="948"/>
        <v/>
      </c>
      <c r="AG1245" s="699"/>
      <c r="AH1245" s="699"/>
      <c r="AI1245" s="512">
        <f>IF(H1245="credit",0,IF(AE1245="free",0,IF(AE1245="me",0,IF(G1245&gt;0,(VLOOKUP(A1245,'Discount Lookup'!J:K,2)*G1245),0))))</f>
        <v>0</v>
      </c>
      <c r="AJ1245" s="513" t="str">
        <f t="shared" ca="1" si="949"/>
        <v/>
      </c>
      <c r="AK1245" s="700" t="str">
        <f t="shared" si="950"/>
        <v/>
      </c>
      <c r="AL1245" s="700"/>
      <c r="AM1245" s="505" t="str">
        <f t="shared" si="951"/>
        <v/>
      </c>
      <c r="AN1245" s="506"/>
      <c r="AO1245" s="507"/>
      <c r="AP1245" s="507"/>
      <c r="AQ1245" s="507"/>
      <c r="AR1245" s="507"/>
      <c r="AS1245" s="507"/>
      <c r="AT1245" s="507"/>
      <c r="AU1245" s="507"/>
      <c r="AV1245" s="225"/>
      <c r="AW1245" s="508"/>
      <c r="AX1245" s="225"/>
      <c r="AY1245" s="225"/>
      <c r="AZ1245" s="225"/>
      <c r="BA1245" s="225"/>
      <c r="BB1245" s="225"/>
      <c r="BC1245" s="56"/>
      <c r="BD1245" s="56"/>
      <c r="BE1245" s="56"/>
      <c r="BF1245" s="107" t="str">
        <f t="shared" si="952"/>
        <v>https://www.google.com/search?tbm=isch&amp;q=EnduraScape%E2%84%A2%20Red%20Verbena%20Verbena%20x%20hybrida%20%27Balendred%27%20PP%2326132</v>
      </c>
      <c r="BG1245" s="107" t="str">
        <f t="shared" si="953"/>
        <v>E</v>
      </c>
      <c r="BH1245" s="254"/>
      <c r="BI1245" s="254"/>
    </row>
    <row r="1246" spans="1:61" customFormat="1" ht="15.75" x14ac:dyDescent="0.25">
      <c r="A1246" s="276">
        <v>1</v>
      </c>
      <c r="B1246" s="240" t="s">
        <v>291</v>
      </c>
      <c r="C1246" s="241"/>
      <c r="D1246" s="242" t="s">
        <v>312</v>
      </c>
      <c r="E1246" s="243">
        <v>12.95</v>
      </c>
      <c r="F1246" s="517" t="s">
        <v>293</v>
      </c>
      <c r="G1246" s="232">
        <v>0</v>
      </c>
      <c r="H1246" s="661" t="str">
        <f>IF(G1246=0,"",IF(F1246="Buy",IF(G1246=1,"plant","plants"),IF(F1246&gt;0.01,"warranty","Error")))</f>
        <v/>
      </c>
      <c r="I1246" s="244">
        <f>IF(H1246="free",0,IF(H1246="credit",((E1246*(F1246))*G1246*-1),IF(F1246="Buy",(E1246*G1246),((E1246*(1-F1246))*G1246))))</f>
        <v>0</v>
      </c>
      <c r="J1246" s="244">
        <f>IF(H1246="warranty",0,(I1246*(_xlfn.SINGLE(SalesTaxPercentage))))</f>
        <v>0</v>
      </c>
      <c r="K1246" s="696">
        <f t="shared" ref="K1246" si="963">I1246+J1246</f>
        <v>0</v>
      </c>
      <c r="L1246" s="696"/>
      <c r="M1246" s="659" t="str">
        <f>IF(AND(G1246&gt;0,E1246=0),"WARNING - no PRICE inserted",IF(H1246="free"," FREE ~ no charge this plant",IF(H1246="credit",CONCATENATE(" -$",ROUND(K1246*(1-T2GDiscount)*-1,2)," CREDIT after discount"),IF(T2GDiscount=0,"",IF(G1246=0,"",IF(F1246="Buy",CONCATENATE(" $",ROUND(K1246*(1-T2GDiscount),2)," with ",(T2GDiscount*100),"% discount"),CONCATENATE(" $",ROUND(K1246*(1-T2GDiscount),2)," with ",((T2GDiscount*100+F1246*100)-(T2GDiscount*100*F1246)),IF(F1246&gt;0,"% discounts",IF(NoWarrantyDiscount&gt;0,"% discounts","% discount")))))))))</f>
        <v/>
      </c>
      <c r="N1246" s="660"/>
      <c r="O1246" s="233"/>
      <c r="P1246" s="233"/>
      <c r="Q1246" s="233"/>
      <c r="R1246" s="233"/>
      <c r="S1246" s="233"/>
      <c r="T1246" s="508">
        <f t="shared" si="941"/>
        <v>0</v>
      </c>
      <c r="U1246" s="225">
        <f>IF(NOT(ISNUMBER(G1246)), "", VLOOKUP(A1246,'Discount Lookup'!D:E,2,FALSE)*G1246)</f>
        <v>0</v>
      </c>
      <c r="V1246" s="225">
        <f>IF(NOT(ISNUMBER(G1246)), "", VLOOKUP(A1246,'Discount Lookup'!G:H,2,FALSE)*G1246)</f>
        <v>0</v>
      </c>
      <c r="W1246" s="508">
        <f t="shared" si="942"/>
        <v>0</v>
      </c>
      <c r="X1246" s="508">
        <f t="shared" si="943"/>
        <v>0</v>
      </c>
      <c r="Y1246" s="509" t="b">
        <f t="shared" si="944"/>
        <v>0</v>
      </c>
      <c r="Z1246" s="510">
        <f t="shared" si="945"/>
        <v>0</v>
      </c>
      <c r="AA1246" s="511"/>
      <c r="AB1246" s="511" t="str">
        <f t="shared" si="946"/>
        <v/>
      </c>
      <c r="AC1246" s="698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698"/>
      <c r="AE1246" s="631" t="str">
        <f t="shared" si="947"/>
        <v/>
      </c>
      <c r="AF1246" s="699" t="str">
        <f t="shared" si="948"/>
        <v/>
      </c>
      <c r="AG1246" s="699"/>
      <c r="AH1246" s="699"/>
      <c r="AI1246" s="512">
        <f>IF(H1246="credit",0,IF(AE1246="free",0,IF(AE1246="me",0,IF(G1246&gt;0,(VLOOKUP(A1246,'Discount Lookup'!J:K,2)*G1246),0))))</f>
        <v>0</v>
      </c>
      <c r="AJ1246" s="513" t="str">
        <f t="shared" ca="1" si="949"/>
        <v/>
      </c>
      <c r="AK1246" s="700" t="str">
        <f t="shared" si="950"/>
        <v/>
      </c>
      <c r="AL1246" s="700"/>
      <c r="AM1246" s="505" t="str">
        <f t="shared" si="951"/>
        <v/>
      </c>
      <c r="AN1246" s="506"/>
      <c r="AO1246" s="507"/>
      <c r="AP1246" s="507"/>
      <c r="AQ1246" s="507"/>
      <c r="AR1246" s="507"/>
      <c r="AS1246" s="507"/>
      <c r="AT1246" s="507"/>
      <c r="AU1246" s="507"/>
      <c r="AV1246" s="225"/>
      <c r="AW1246" s="508"/>
      <c r="AX1246" s="225"/>
      <c r="AY1246" s="225"/>
      <c r="AZ1246" s="225"/>
      <c r="BA1246" s="225"/>
      <c r="BB1246" s="225"/>
      <c r="BC1246" s="56"/>
      <c r="BD1246" s="56"/>
      <c r="BE1246" s="56"/>
      <c r="BF1246" s="107" t="str">
        <f t="shared" si="952"/>
        <v>https://www.google.com/search?tbm=isch&amp;q=1%20G2</v>
      </c>
      <c r="BG1246" s="107" t="str">
        <f t="shared" si="953"/>
        <v>E</v>
      </c>
      <c r="BH1246" s="254"/>
      <c r="BI1246" s="254"/>
    </row>
    <row r="1247" spans="1:61" customFormat="1" ht="17.25" thickBot="1" x14ac:dyDescent="0.3">
      <c r="A1247" s="524" t="s">
        <v>4245</v>
      </c>
      <c r="B1247" s="245"/>
      <c r="C1247" s="677"/>
      <c r="D1247" s="499"/>
      <c r="E1247" s="499"/>
      <c r="F1247" s="500"/>
      <c r="G1247" s="501"/>
      <c r="H1247" s="502"/>
      <c r="I1247" s="246"/>
      <c r="J1247" s="247"/>
      <c r="K1247" s="503"/>
      <c r="L1247" s="544"/>
      <c r="M1247" s="544"/>
      <c r="N1247" s="500"/>
      <c r="O1247" s="500"/>
      <c r="P1247" s="500"/>
      <c r="Q1247" s="500"/>
      <c r="R1247" s="500"/>
      <c r="S1247" s="669" t="s">
        <v>4976</v>
      </c>
      <c r="T1247" s="508">
        <f t="shared" si="941"/>
        <v>0</v>
      </c>
      <c r="U1247" s="225" t="str">
        <f>IF(NOT(ISNUMBER(G1247)), "", VLOOKUP(A1247,'Discount Lookup'!D:E,2,FALSE)*G1247)</f>
        <v/>
      </c>
      <c r="V1247" s="225" t="str">
        <f>IF(NOT(ISNUMBER(G1247)), "", VLOOKUP(A1247,'Discount Lookup'!G:H,2,FALSE)*G1247)</f>
        <v/>
      </c>
      <c r="W1247" s="508">
        <f t="shared" si="942"/>
        <v>0</v>
      </c>
      <c r="X1247" s="508">
        <f t="shared" si="943"/>
        <v>0</v>
      </c>
      <c r="Y1247" s="509" t="b">
        <f t="shared" si="944"/>
        <v>0</v>
      </c>
      <c r="Z1247" s="510">
        <f t="shared" si="945"/>
        <v>0</v>
      </c>
      <c r="AA1247" s="511"/>
      <c r="AB1247" s="511" t="str">
        <f t="shared" si="946"/>
        <v/>
      </c>
      <c r="AC1247" s="698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698"/>
      <c r="AE1247" s="631" t="str">
        <f t="shared" si="947"/>
        <v/>
      </c>
      <c r="AF1247" s="699" t="str">
        <f t="shared" si="948"/>
        <v/>
      </c>
      <c r="AG1247" s="699"/>
      <c r="AH1247" s="699"/>
      <c r="AI1247" s="512">
        <f>IF(H1247="credit",0,IF(AE1247="free",0,IF(AE1247="me",0,IF(G1247&gt;0,(VLOOKUP(A1247,'Discount Lookup'!J:K,2)*G1247),0))))</f>
        <v>0</v>
      </c>
      <c r="AJ1247" s="513" t="str">
        <f t="shared" ca="1" si="949"/>
        <v/>
      </c>
      <c r="AK1247" s="700" t="str">
        <f t="shared" si="950"/>
        <v/>
      </c>
      <c r="AL1247" s="700"/>
      <c r="AM1247" s="505" t="str">
        <f t="shared" si="951"/>
        <v/>
      </c>
      <c r="AN1247" s="506"/>
      <c r="AO1247" s="507"/>
      <c r="AP1247" s="507"/>
      <c r="AQ1247" s="507"/>
      <c r="AR1247" s="507"/>
      <c r="AS1247" s="507"/>
      <c r="AT1247" s="507"/>
      <c r="AU1247" s="507"/>
      <c r="AV1247" s="225"/>
      <c r="AW1247" s="508"/>
      <c r="AX1247" s="225"/>
      <c r="AY1247" s="225"/>
      <c r="AZ1247" s="225"/>
      <c r="BA1247" s="225"/>
      <c r="BB1247" s="225"/>
      <c r="BC1247" s="56"/>
      <c r="BD1247" s="56"/>
      <c r="BE1247" s="56"/>
      <c r="BF1247" s="107" t="str">
        <f t="shared" si="952"/>
        <v>https://www.google.com/search?tbm=isch&amp;q=EnduraScape%20Red%20delivers%20nonstop%20blooms%20with%20heat%20and%20cold%20tolerance%2C%20mildew%20resistance%2C%20and%20vigorous%20spreading%20habit%20</v>
      </c>
      <c r="BG1247" s="107" t="str">
        <f t="shared" si="953"/>
        <v>E</v>
      </c>
      <c r="BH1247" s="254"/>
      <c r="BI1247" s="254"/>
    </row>
    <row r="1248" spans="1:61" customFormat="1" ht="18" x14ac:dyDescent="0.25">
      <c r="A1248" s="523" t="s">
        <v>5401</v>
      </c>
      <c r="B1248" s="235"/>
      <c r="C1248" s="676"/>
      <c r="D1248" s="255" t="s">
        <v>845</v>
      </c>
      <c r="E1248" s="236"/>
      <c r="F1248" s="236"/>
      <c r="G1248" s="236"/>
      <c r="H1248" s="582" t="s">
        <v>474</v>
      </c>
      <c r="I1248" s="498" t="s">
        <v>1622</v>
      </c>
      <c r="J1248" s="237"/>
      <c r="K1248" s="237"/>
      <c r="L1248" s="274"/>
      <c r="M1248" s="668" t="s">
        <v>4962</v>
      </c>
      <c r="N1248" s="681" t="str">
        <f>IF(AND(ISTEXT($A1248), ISERROR($A1248+0)), HYPERLINK($BF1248, "Images"), "")</f>
        <v>Images</v>
      </c>
      <c r="O1248" s="663" t="s">
        <v>4969</v>
      </c>
      <c r="P1248" s="253"/>
      <c r="Q1248" s="238"/>
      <c r="R1248" s="239"/>
      <c r="S1248" s="275"/>
      <c r="T1248" s="508">
        <f t="shared" si="941"/>
        <v>0</v>
      </c>
      <c r="U1248" s="225" t="str">
        <f>IF(NOT(ISNUMBER(G1248)), "", VLOOKUP(A1248,'Discount Lookup'!D:E,2,FALSE)*G1248)</f>
        <v/>
      </c>
      <c r="V1248" s="225" t="str">
        <f>IF(NOT(ISNUMBER(G1248)), "", VLOOKUP(A1248,'Discount Lookup'!G:H,2,FALSE)*G1248)</f>
        <v/>
      </c>
      <c r="W1248" s="508">
        <f t="shared" si="942"/>
        <v>0</v>
      </c>
      <c r="X1248" s="508" t="str">
        <f t="shared" si="943"/>
        <v>Scarlet Red bloom</v>
      </c>
      <c r="Y1248" s="509" t="b">
        <f t="shared" si="944"/>
        <v>0</v>
      </c>
      <c r="Z1248" s="510">
        <f t="shared" si="945"/>
        <v>0</v>
      </c>
      <c r="AA1248" s="511"/>
      <c r="AB1248" s="511" t="str">
        <f t="shared" si="946"/>
        <v/>
      </c>
      <c r="AC1248" s="698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698"/>
      <c r="AE1248" s="631" t="str">
        <f t="shared" si="947"/>
        <v/>
      </c>
      <c r="AF1248" s="699" t="str">
        <f t="shared" si="948"/>
        <v/>
      </c>
      <c r="AG1248" s="699"/>
      <c r="AH1248" s="699"/>
      <c r="AI1248" s="512">
        <f>IF(H1248="credit",0,IF(AE1248="free",0,IF(AE1248="me",0,IF(G1248&gt;0,(VLOOKUP(A1248,'Discount Lookup'!J:K,2)*G1248),0))))</f>
        <v>0</v>
      </c>
      <c r="AJ1248" s="513" t="str">
        <f t="shared" ca="1" si="949"/>
        <v/>
      </c>
      <c r="AK1248" s="700" t="str">
        <f t="shared" si="950"/>
        <v/>
      </c>
      <c r="AL1248" s="700"/>
      <c r="AM1248" s="505" t="str">
        <f t="shared" si="951"/>
        <v/>
      </c>
      <c r="AN1248" s="506"/>
      <c r="AO1248" s="507"/>
      <c r="AP1248" s="507"/>
      <c r="AQ1248" s="507"/>
      <c r="AR1248" s="507"/>
      <c r="AS1248" s="507"/>
      <c r="AT1248" s="507"/>
      <c r="AU1248" s="507"/>
      <c r="AV1248" s="225"/>
      <c r="AW1248" s="508"/>
      <c r="AX1248" s="225"/>
      <c r="AY1248" s="225"/>
      <c r="AZ1248" s="225"/>
      <c r="BA1248" s="225"/>
      <c r="BB1248" s="225"/>
      <c r="BC1248" s="56"/>
      <c r="BD1248" s="56"/>
      <c r="BE1248" s="56"/>
      <c r="BF1248" s="107" t="str">
        <f t="shared" si="952"/>
        <v>https://www.google.com/search?tbm=isch&amp;q=Enduring%20Summer%E2%84%A2%20Red%20Crape%20Myrtle%20Lagerstroemia%20%27PIILAG%20B5%27%20PP%2325476</v>
      </c>
      <c r="BG1248" s="107" t="str">
        <f t="shared" si="953"/>
        <v>E</v>
      </c>
      <c r="BH1248" s="254"/>
      <c r="BI1248" s="254"/>
    </row>
    <row r="1249" spans="1:61" customFormat="1" ht="40.5" x14ac:dyDescent="0.25">
      <c r="A1249" s="276">
        <v>7</v>
      </c>
      <c r="B1249" s="240" t="s">
        <v>291</v>
      </c>
      <c r="C1249" s="241" t="s">
        <v>3456</v>
      </c>
      <c r="D1249" s="242" t="s">
        <v>292</v>
      </c>
      <c r="E1249" s="243">
        <v>123.95</v>
      </c>
      <c r="F1249" s="517" t="s">
        <v>293</v>
      </c>
      <c r="G1249" s="232">
        <v>0</v>
      </c>
      <c r="H1249" s="661" t="str">
        <f>IF(G1249=0,"",IF(F1249="Buy",IF(G1249=1,"plant","plants"),IF(F1249&gt;0.01,"warranty","Error")))</f>
        <v/>
      </c>
      <c r="I1249" s="244">
        <f>IF(H1249="free",0,IF(H1249="credit",((E1249*(F1249))*G1249*-1),IF(F1249="Buy",(E1249*G1249),((E1249*(1-F1249))*G1249))))</f>
        <v>0</v>
      </c>
      <c r="J1249" s="244">
        <f>IF(H1249="warranty",0,(I1249*(_xlfn.SINGLE(SalesTaxPercentage))))</f>
        <v>0</v>
      </c>
      <c r="K1249" s="696">
        <f t="shared" ref="K1249" si="964">I1249+J1249</f>
        <v>0</v>
      </c>
      <c r="L1249" s="696"/>
      <c r="M1249" s="659" t="str">
        <f>IF(AND(G1249&gt;0,E1249=0),"WARNING - no PRICE inserted",IF(H1249="free"," FREE ~ no charge this plant",IF(H1249="credit",CONCATENATE(" -$",ROUND(K1249*(1-T2GDiscount)*-1,2)," CREDIT after discount"),IF(T2GDiscount=0,"",IF(G1249=0,"",IF(F1249="Buy",CONCATENATE(" $",ROUND(K1249*(1-T2GDiscount),2)," with ",(T2GDiscount*100),"% discount"),CONCATENATE(" $",ROUND(K1249*(1-T2GDiscount),2)," with ",((T2GDiscount*100+F1249*100)-(T2GDiscount*100*F1249)),IF(F1249&gt;0,"% discounts",IF(NoWarrantyDiscount&gt;0,"% discounts","% discount")))))))))</f>
        <v/>
      </c>
      <c r="N1249" s="660"/>
      <c r="O1249" s="233"/>
      <c r="P1249" s="233"/>
      <c r="Q1249" s="233"/>
      <c r="R1249" s="233"/>
      <c r="S1249" s="233"/>
      <c r="T1249" s="508">
        <f t="shared" si="941"/>
        <v>0</v>
      </c>
      <c r="U1249" s="225">
        <f>IF(NOT(ISNUMBER(G1249)), "", VLOOKUP(A1249,'Discount Lookup'!D:E,2,FALSE)*G1249)</f>
        <v>0</v>
      </c>
      <c r="V1249" s="225">
        <f>IF(NOT(ISNUMBER(G1249)), "", VLOOKUP(A1249,'Discount Lookup'!G:H,2,FALSE)*G1249)</f>
        <v>0</v>
      </c>
      <c r="W1249" s="508">
        <f t="shared" si="942"/>
        <v>0</v>
      </c>
      <c r="X1249" s="508">
        <f t="shared" si="943"/>
        <v>0</v>
      </c>
      <c r="Y1249" s="509" t="b">
        <f t="shared" si="944"/>
        <v>0</v>
      </c>
      <c r="Z1249" s="510">
        <f t="shared" si="945"/>
        <v>0</v>
      </c>
      <c r="AA1249" s="511"/>
      <c r="AB1249" s="511" t="str">
        <f t="shared" si="946"/>
        <v/>
      </c>
      <c r="AC1249" s="698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698"/>
      <c r="AE1249" s="631" t="str">
        <f t="shared" si="947"/>
        <v/>
      </c>
      <c r="AF1249" s="699" t="str">
        <f t="shared" si="948"/>
        <v/>
      </c>
      <c r="AG1249" s="699"/>
      <c r="AH1249" s="699"/>
      <c r="AI1249" s="512">
        <f>IF(H1249="credit",0,IF(AE1249="free",0,IF(AE1249="me",0,IF(G1249&gt;0,(VLOOKUP(A1249,'Discount Lookup'!J:K,2)*G1249),0))))</f>
        <v>0</v>
      </c>
      <c r="AJ1249" s="513" t="str">
        <f t="shared" ca="1" si="949"/>
        <v/>
      </c>
      <c r="AK1249" s="700" t="str">
        <f t="shared" si="950"/>
        <v/>
      </c>
      <c r="AL1249" s="700"/>
      <c r="AM1249" s="505" t="str">
        <f t="shared" si="951"/>
        <v/>
      </c>
      <c r="AN1249" s="506"/>
      <c r="AO1249" s="507"/>
      <c r="AP1249" s="507"/>
      <c r="AQ1249" s="507"/>
      <c r="AR1249" s="507"/>
      <c r="AS1249" s="507"/>
      <c r="AT1249" s="507"/>
      <c r="AU1249" s="507"/>
      <c r="AV1249" s="225"/>
      <c r="AW1249" s="508"/>
      <c r="AX1249" s="225"/>
      <c r="AY1249" s="225"/>
      <c r="AZ1249" s="225"/>
      <c r="BA1249" s="225"/>
      <c r="BB1249" s="225"/>
      <c r="BC1249" s="56"/>
      <c r="BD1249" s="56"/>
      <c r="BE1249" s="56"/>
      <c r="BF1249" s="107" t="str">
        <f t="shared" si="952"/>
        <v>https://www.google.com/search?tbm=isch&amp;q=7%20G4</v>
      </c>
      <c r="BG1249" s="107" t="str">
        <f t="shared" si="953"/>
        <v>E</v>
      </c>
      <c r="BH1249" s="254"/>
      <c r="BI1249" s="254"/>
    </row>
    <row r="1250" spans="1:61" customFormat="1" ht="40.5" x14ac:dyDescent="0.25">
      <c r="A1250" s="276">
        <v>15</v>
      </c>
      <c r="B1250" s="240" t="s">
        <v>291</v>
      </c>
      <c r="C1250" s="241" t="s">
        <v>3457</v>
      </c>
      <c r="D1250" s="242" t="s">
        <v>292</v>
      </c>
      <c r="E1250" s="243">
        <v>224.95</v>
      </c>
      <c r="F1250" s="517" t="s">
        <v>293</v>
      </c>
      <c r="G1250" s="232">
        <v>0</v>
      </c>
      <c r="H1250" s="661" t="str">
        <f>IF(G1250=0,"",IF(F1250="Buy",IF(G1250=1,"plant","plants"),IF(F1250&gt;0.01,"warranty","Error")))</f>
        <v/>
      </c>
      <c r="I1250" s="244">
        <f>IF(H1250="free",0,IF(H1250="credit",((E1250*(F1250))*G1250*-1),IF(F1250="Buy",(E1250*G1250),((E1250*(1-F1250))*G1250))))</f>
        <v>0</v>
      </c>
      <c r="J1250" s="244">
        <f>IF(H1250="warranty",0,(I1250*(_xlfn.SINGLE(SalesTaxPercentage))))</f>
        <v>0</v>
      </c>
      <c r="K1250" s="696">
        <f t="shared" ref="K1250" si="965">I1250+J1250</f>
        <v>0</v>
      </c>
      <c r="L1250" s="696"/>
      <c r="M1250" s="659" t="str">
        <f>IF(AND(G1250&gt;0,E1250=0),"WARNING - no PRICE inserted",IF(H1250="free"," FREE ~ no charge this plant",IF(H1250="credit",CONCATENATE(" -$",ROUND(K1250*(1-T2GDiscount)*-1,2)," CREDIT after discount"),IF(T2GDiscount=0,"",IF(G1250=0,"",IF(F1250="Buy",CONCATENATE(" $",ROUND(K1250*(1-T2GDiscount),2)," with ",(T2GDiscount*100),"% discount"),CONCATENATE(" $",ROUND(K1250*(1-T2GDiscount),2)," with ",((T2GDiscount*100+F1250*100)-(T2GDiscount*100*F1250)),IF(F1250&gt;0,"% discounts",IF(NoWarrantyDiscount&gt;0,"% discounts","% discount")))))))))</f>
        <v/>
      </c>
      <c r="N1250" s="660"/>
      <c r="O1250" s="233"/>
      <c r="P1250" s="233"/>
      <c r="Q1250" s="233"/>
      <c r="R1250" s="233"/>
      <c r="S1250" s="233"/>
      <c r="T1250" s="508">
        <f t="shared" si="941"/>
        <v>0</v>
      </c>
      <c r="U1250" s="225">
        <f>IF(NOT(ISNUMBER(G1250)), "", VLOOKUP(A1250,'Discount Lookup'!D:E,2,FALSE)*G1250)</f>
        <v>0</v>
      </c>
      <c r="V1250" s="225">
        <f>IF(NOT(ISNUMBER(G1250)), "", VLOOKUP(A1250,'Discount Lookup'!G:H,2,FALSE)*G1250)</f>
        <v>0</v>
      </c>
      <c r="W1250" s="508">
        <f t="shared" si="942"/>
        <v>0</v>
      </c>
      <c r="X1250" s="508">
        <f t="shared" si="943"/>
        <v>0</v>
      </c>
      <c r="Y1250" s="509" t="b">
        <f t="shared" si="944"/>
        <v>0</v>
      </c>
      <c r="Z1250" s="510">
        <f t="shared" si="945"/>
        <v>0</v>
      </c>
      <c r="AA1250" s="511"/>
      <c r="AB1250" s="511" t="str">
        <f t="shared" si="946"/>
        <v/>
      </c>
      <c r="AC1250" s="698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698"/>
      <c r="AE1250" s="631" t="str">
        <f t="shared" si="947"/>
        <v/>
      </c>
      <c r="AF1250" s="699" t="str">
        <f t="shared" si="948"/>
        <v/>
      </c>
      <c r="AG1250" s="699"/>
      <c r="AH1250" s="699"/>
      <c r="AI1250" s="512">
        <f>IF(H1250="credit",0,IF(AE1250="free",0,IF(AE1250="me",0,IF(G1250&gt;0,(VLOOKUP(A1250,'Discount Lookup'!J:K,2)*G1250),0))))</f>
        <v>0</v>
      </c>
      <c r="AJ1250" s="513" t="str">
        <f t="shared" ca="1" si="949"/>
        <v/>
      </c>
      <c r="AK1250" s="700" t="str">
        <f t="shared" si="950"/>
        <v/>
      </c>
      <c r="AL1250" s="700"/>
      <c r="AM1250" s="505" t="str">
        <f t="shared" si="951"/>
        <v/>
      </c>
      <c r="AN1250" s="506"/>
      <c r="AO1250" s="507"/>
      <c r="AP1250" s="507"/>
      <c r="AQ1250" s="507"/>
      <c r="AR1250" s="507"/>
      <c r="AS1250" s="507"/>
      <c r="AT1250" s="507"/>
      <c r="AU1250" s="507"/>
      <c r="AV1250" s="225"/>
      <c r="AW1250" s="508"/>
      <c r="AX1250" s="225"/>
      <c r="AY1250" s="225"/>
      <c r="AZ1250" s="225"/>
      <c r="BA1250" s="225"/>
      <c r="BB1250" s="225"/>
      <c r="BC1250" s="56"/>
      <c r="BD1250" s="56"/>
      <c r="BE1250" s="56"/>
      <c r="BF1250" s="107" t="str">
        <f t="shared" si="952"/>
        <v>https://www.google.com/search?tbm=isch&amp;q=15%20G4</v>
      </c>
      <c r="BG1250" s="107" t="str">
        <f t="shared" si="953"/>
        <v>E</v>
      </c>
      <c r="BH1250" s="254"/>
      <c r="BI1250" s="254"/>
    </row>
    <row r="1251" spans="1:61" customFormat="1" ht="17.25" thickBot="1" x14ac:dyDescent="0.3">
      <c r="A1251" s="524" t="s">
        <v>4086</v>
      </c>
      <c r="B1251" s="245"/>
      <c r="C1251" s="677"/>
      <c r="D1251" s="499"/>
      <c r="E1251" s="499"/>
      <c r="F1251" s="500"/>
      <c r="G1251" s="501"/>
      <c r="H1251" s="502"/>
      <c r="I1251" s="246"/>
      <c r="J1251" s="247"/>
      <c r="K1251" s="503"/>
      <c r="L1251" s="544"/>
      <c r="M1251" s="544"/>
      <c r="N1251" s="500"/>
      <c r="O1251" s="500"/>
      <c r="P1251" s="500"/>
      <c r="Q1251" s="500"/>
      <c r="R1251" s="500"/>
      <c r="S1251" s="278"/>
      <c r="T1251" s="508">
        <f t="shared" si="941"/>
        <v>0</v>
      </c>
      <c r="U1251" s="225" t="str">
        <f>IF(NOT(ISNUMBER(G1251)), "", VLOOKUP(A1251,'Discount Lookup'!D:E,2,FALSE)*G1251)</f>
        <v/>
      </c>
      <c r="V1251" s="225" t="str">
        <f>IF(NOT(ISNUMBER(G1251)), "", VLOOKUP(A1251,'Discount Lookup'!G:H,2,FALSE)*G1251)</f>
        <v/>
      </c>
      <c r="W1251" s="508">
        <f t="shared" si="942"/>
        <v>0</v>
      </c>
      <c r="X1251" s="508">
        <f t="shared" si="943"/>
        <v>0</v>
      </c>
      <c r="Y1251" s="509" t="b">
        <f t="shared" si="944"/>
        <v>0</v>
      </c>
      <c r="Z1251" s="510">
        <f t="shared" si="945"/>
        <v>0</v>
      </c>
      <c r="AA1251" s="511"/>
      <c r="AB1251" s="511" t="str">
        <f t="shared" si="946"/>
        <v/>
      </c>
      <c r="AC1251" s="698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698"/>
      <c r="AE1251" s="631" t="str">
        <f t="shared" si="947"/>
        <v/>
      </c>
      <c r="AF1251" s="699" t="str">
        <f t="shared" si="948"/>
        <v/>
      </c>
      <c r="AG1251" s="699"/>
      <c r="AH1251" s="699"/>
      <c r="AI1251" s="512">
        <f>IF(H1251="credit",0,IF(AE1251="free",0,IF(AE1251="me",0,IF(G1251&gt;0,(VLOOKUP(A1251,'Discount Lookup'!J:K,2)*G1251),0))))</f>
        <v>0</v>
      </c>
      <c r="AJ1251" s="513" t="str">
        <f t="shared" ca="1" si="949"/>
        <v/>
      </c>
      <c r="AK1251" s="700" t="str">
        <f t="shared" si="950"/>
        <v/>
      </c>
      <c r="AL1251" s="700"/>
      <c r="AM1251" s="505" t="str">
        <f t="shared" si="951"/>
        <v/>
      </c>
      <c r="AN1251" s="506"/>
      <c r="AO1251" s="507"/>
      <c r="AP1251" s="507"/>
      <c r="AQ1251" s="507"/>
      <c r="AR1251" s="507"/>
      <c r="AS1251" s="507"/>
      <c r="AT1251" s="507"/>
      <c r="AU1251" s="507"/>
      <c r="AV1251" s="225"/>
      <c r="AW1251" s="508"/>
      <c r="AX1251" s="225"/>
      <c r="AY1251" s="225"/>
      <c r="AZ1251" s="225"/>
      <c r="BA1251" s="225"/>
      <c r="BB1251" s="225"/>
      <c r="BC1251" s="56"/>
      <c r="BD1251" s="56"/>
      <c r="BE1251" s="56"/>
      <c r="BF1251" s="107" t="str">
        <f t="shared" si="952"/>
        <v>https://www.google.com/search?tbm=isch&amp;q=Enduring%20Summer%20Red%20named%20for%20exceptionally%20long%20blooming%20period%2C%20with%20excellent%20mildew%20resistance%20</v>
      </c>
      <c r="BG1251" s="107" t="str">
        <f t="shared" si="953"/>
        <v>E</v>
      </c>
      <c r="BH1251" s="254"/>
      <c r="BI1251" s="254"/>
    </row>
    <row r="1252" spans="1:61" customFormat="1" ht="18" x14ac:dyDescent="0.25">
      <c r="A1252" s="521" t="s">
        <v>2745</v>
      </c>
      <c r="B1252" s="477"/>
      <c r="C1252" s="674"/>
      <c r="D1252" s="478" t="s">
        <v>2746</v>
      </c>
      <c r="E1252" s="479"/>
      <c r="F1252" s="479"/>
      <c r="G1252" s="479"/>
      <c r="H1252" s="582" t="s">
        <v>1007</v>
      </c>
      <c r="I1252" s="480" t="s">
        <v>2850</v>
      </c>
      <c r="J1252" s="479"/>
      <c r="K1252" s="479"/>
      <c r="L1252" s="560"/>
      <c r="M1252" s="666" t="s">
        <v>4966</v>
      </c>
      <c r="N1252" s="680" t="str">
        <f>IF(AND(ISTEXT($A1252), ISERROR($A1252+0)), HYPERLINK($BF1252, "Images"), "")</f>
        <v>Images</v>
      </c>
      <c r="O1252" s="662" t="s">
        <v>4967</v>
      </c>
      <c r="P1252" s="482"/>
      <c r="Q1252" s="483"/>
      <c r="R1252" s="483"/>
      <c r="S1252" s="484"/>
      <c r="T1252" s="508">
        <f t="shared" si="941"/>
        <v>0</v>
      </c>
      <c r="U1252" s="225" t="str">
        <f>IF(NOT(ISNUMBER(G1252)), "", VLOOKUP(A1252,'Discount Lookup'!D:E,2,FALSE)*G1252)</f>
        <v/>
      </c>
      <c r="V1252" s="225" t="str">
        <f>IF(NOT(ISNUMBER(G1252)), "", VLOOKUP(A1252,'Discount Lookup'!G:H,2,FALSE)*G1252)</f>
        <v/>
      </c>
      <c r="W1252" s="508">
        <f t="shared" si="942"/>
        <v>0</v>
      </c>
      <c r="X1252" s="508" t="str">
        <f t="shared" si="943"/>
        <v>White bloom, Pink base</v>
      </c>
      <c r="Y1252" s="509" t="b">
        <f t="shared" si="944"/>
        <v>0</v>
      </c>
      <c r="Z1252" s="510">
        <f t="shared" si="945"/>
        <v>0</v>
      </c>
      <c r="AA1252" s="511"/>
      <c r="AB1252" s="511" t="str">
        <f t="shared" si="946"/>
        <v/>
      </c>
      <c r="AC1252" s="698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698"/>
      <c r="AE1252" s="631" t="str">
        <f t="shared" si="947"/>
        <v/>
      </c>
      <c r="AF1252" s="699" t="str">
        <f t="shared" si="948"/>
        <v/>
      </c>
      <c r="AG1252" s="699"/>
      <c r="AH1252" s="699"/>
      <c r="AI1252" s="512">
        <f>IF(H1252="credit",0,IF(AE1252="free",0,IF(AE1252="me",0,IF(G1252&gt;0,(VLOOKUP(A1252,'Discount Lookup'!J:K,2)*G1252),0))))</f>
        <v>0</v>
      </c>
      <c r="AJ1252" s="513" t="str">
        <f t="shared" ca="1" si="949"/>
        <v/>
      </c>
      <c r="AK1252" s="700" t="str">
        <f t="shared" si="950"/>
        <v/>
      </c>
      <c r="AL1252" s="700"/>
      <c r="AM1252" s="505" t="str">
        <f t="shared" si="951"/>
        <v/>
      </c>
      <c r="AN1252" s="506"/>
      <c r="AO1252" s="507"/>
      <c r="AP1252" s="507"/>
      <c r="AQ1252" s="507"/>
      <c r="AR1252" s="507"/>
      <c r="AS1252" s="507"/>
      <c r="AT1252" s="507"/>
      <c r="AU1252" s="507"/>
      <c r="AV1252" s="225"/>
      <c r="AW1252" s="508"/>
      <c r="AX1252" s="225"/>
      <c r="AY1252" s="225"/>
      <c r="AZ1252" s="225"/>
      <c r="BA1252" s="225"/>
      <c r="BB1252" s="225"/>
      <c r="BC1252" s="56"/>
      <c r="BD1252" s="56"/>
      <c r="BE1252" s="56"/>
      <c r="BF1252" s="107" t="str">
        <f t="shared" si="952"/>
        <v>https://www.google.com/search?tbm=isch&amp;q=Eternal%20Spring%20Magnolia%20Magnolia%20%27Eternal%20Spring%27</v>
      </c>
      <c r="BG1252" s="107" t="str">
        <f t="shared" si="953"/>
        <v>E</v>
      </c>
      <c r="BH1252" s="254"/>
      <c r="BI1252" s="254"/>
    </row>
    <row r="1253" spans="1:61" customFormat="1" ht="27" x14ac:dyDescent="0.25">
      <c r="A1253" s="485">
        <v>15</v>
      </c>
      <c r="B1253" s="486" t="s">
        <v>291</v>
      </c>
      <c r="C1253" s="487" t="s">
        <v>3458</v>
      </c>
      <c r="D1253" s="488" t="s">
        <v>292</v>
      </c>
      <c r="E1253" s="489">
        <v>252.95</v>
      </c>
      <c r="F1253" s="516" t="s">
        <v>293</v>
      </c>
      <c r="G1253" s="232">
        <v>0</v>
      </c>
      <c r="H1253" s="658" t="str">
        <f>IF(G1253=0,"",IF(F1253="Buy",IF(G1253=1,"plant","plants"),IF(F1253&gt;0.01,"warranty","Error")))</f>
        <v/>
      </c>
      <c r="I1253" s="490">
        <f>IF(H1253="free",0,IF(H1253="credit",((E1253*(F1253))*G1253*-1),IF(F1253="Buy",(E1253*G1253),((E1253*(1-F1253))*G1253))))</f>
        <v>0</v>
      </c>
      <c r="J1253" s="490">
        <f>IF(H1253="warranty",0,(I1253*(_xlfn.SINGLE(SalesTaxPercentage))))</f>
        <v>0</v>
      </c>
      <c r="K1253" s="695">
        <f t="shared" ref="K1253" si="966">I1253+J1253</f>
        <v>0</v>
      </c>
      <c r="L1253" s="695"/>
      <c r="M1253" s="659" t="str">
        <f>IF(AND(G1253&gt;0,E1253=0),"WARNING - no PRICE inserted",IF(H1253="free"," FREE ~ no charge this plant",IF(H1253="credit",CONCATENATE(" -$",ROUND(K1253*(1-T2GDiscount)*-1,2)," CREDIT after discount"),IF(T2GDiscount=0,"",IF(G1253=0,"",IF(F1253="Buy",CONCATENATE(" $",ROUND(K1253*(1-T2GDiscount),2)," with ",(T2GDiscount*100),"% discount"),CONCATENATE(" $",ROUND(K1253*(1-T2GDiscount),2)," with ",((T2GDiscount*100+F1253*100)-(T2GDiscount*100*F1253)),IF(F1253&gt;0,"% discounts",IF(NoWarrantyDiscount&gt;0,"% discounts","% discount")))))))))</f>
        <v/>
      </c>
      <c r="N1253" s="660"/>
      <c r="O1253" s="233"/>
      <c r="P1253" s="233"/>
      <c r="Q1253" s="233"/>
      <c r="R1253" s="233"/>
      <c r="S1253" s="233"/>
      <c r="T1253" s="508">
        <f t="shared" si="941"/>
        <v>0</v>
      </c>
      <c r="U1253" s="225">
        <f>IF(NOT(ISNUMBER(G1253)), "", VLOOKUP(A1253,'Discount Lookup'!D:E,2,FALSE)*G1253)</f>
        <v>0</v>
      </c>
      <c r="V1253" s="225">
        <f>IF(NOT(ISNUMBER(G1253)), "", VLOOKUP(A1253,'Discount Lookup'!G:H,2,FALSE)*G1253)</f>
        <v>0</v>
      </c>
      <c r="W1253" s="508">
        <f t="shared" si="942"/>
        <v>0</v>
      </c>
      <c r="X1253" s="508">
        <f t="shared" si="943"/>
        <v>0</v>
      </c>
      <c r="Y1253" s="509" t="b">
        <f t="shared" si="944"/>
        <v>0</v>
      </c>
      <c r="Z1253" s="510">
        <f t="shared" si="945"/>
        <v>0</v>
      </c>
      <c r="AA1253" s="511"/>
      <c r="AB1253" s="511" t="str">
        <f t="shared" si="946"/>
        <v/>
      </c>
      <c r="AC1253" s="698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698"/>
      <c r="AE1253" s="631" t="str">
        <f t="shared" si="947"/>
        <v/>
      </c>
      <c r="AF1253" s="699" t="str">
        <f t="shared" si="948"/>
        <v/>
      </c>
      <c r="AG1253" s="699"/>
      <c r="AH1253" s="699"/>
      <c r="AI1253" s="512">
        <f>IF(H1253="credit",0,IF(AE1253="free",0,IF(AE1253="me",0,IF(G1253&gt;0,(VLOOKUP(A1253,'Discount Lookup'!J:K,2)*G1253),0))))</f>
        <v>0</v>
      </c>
      <c r="AJ1253" s="513" t="str">
        <f t="shared" ca="1" si="949"/>
        <v/>
      </c>
      <c r="AK1253" s="700" t="str">
        <f t="shared" si="950"/>
        <v/>
      </c>
      <c r="AL1253" s="700"/>
      <c r="AM1253" s="505" t="str">
        <f t="shared" si="951"/>
        <v/>
      </c>
      <c r="AN1253" s="506"/>
      <c r="AO1253" s="507"/>
      <c r="AP1253" s="507"/>
      <c r="AQ1253" s="507"/>
      <c r="AR1253" s="507"/>
      <c r="AS1253" s="507"/>
      <c r="AT1253" s="507"/>
      <c r="AU1253" s="507"/>
      <c r="AV1253" s="225"/>
      <c r="AW1253" s="508"/>
      <c r="AX1253" s="225"/>
      <c r="AY1253" s="225"/>
      <c r="AZ1253" s="225"/>
      <c r="BA1253" s="225"/>
      <c r="BB1253" s="225"/>
      <c r="BC1253" s="56"/>
      <c r="BD1253" s="56"/>
      <c r="BE1253" s="56"/>
      <c r="BF1253" s="107" t="str">
        <f t="shared" si="952"/>
        <v>https://www.google.com/search?tbm=isch&amp;q=15%20G4</v>
      </c>
      <c r="BG1253" s="107" t="str">
        <f t="shared" si="953"/>
        <v>E</v>
      </c>
      <c r="BH1253" s="254"/>
      <c r="BI1253" s="254"/>
    </row>
    <row r="1254" spans="1:61" customFormat="1" ht="16.5" thickBot="1" x14ac:dyDescent="0.3">
      <c r="A1254" s="522" t="s">
        <v>2851</v>
      </c>
      <c r="B1254" s="491"/>
      <c r="C1254" s="675"/>
      <c r="D1254" s="491"/>
      <c r="E1254" s="491"/>
      <c r="F1254" s="492"/>
      <c r="G1254" s="493"/>
      <c r="H1254" s="491"/>
      <c r="I1254" s="234"/>
      <c r="J1254" s="234"/>
      <c r="K1254" s="494"/>
      <c r="L1254" s="543"/>
      <c r="M1254" s="561"/>
      <c r="N1254" s="495"/>
      <c r="O1254" s="496"/>
      <c r="P1254" s="497"/>
      <c r="Q1254" s="495"/>
      <c r="R1254" s="495"/>
      <c r="S1254" s="277"/>
      <c r="T1254" s="508">
        <f t="shared" si="941"/>
        <v>0</v>
      </c>
      <c r="U1254" s="225" t="str">
        <f>IF(NOT(ISNUMBER(G1254)), "", VLOOKUP(A1254,'Discount Lookup'!D:E,2,FALSE)*G1254)</f>
        <v/>
      </c>
      <c r="V1254" s="225" t="str">
        <f>IF(NOT(ISNUMBER(G1254)), "", VLOOKUP(A1254,'Discount Lookup'!G:H,2,FALSE)*G1254)</f>
        <v/>
      </c>
      <c r="W1254" s="508">
        <f t="shared" si="942"/>
        <v>0</v>
      </c>
      <c r="X1254" s="508">
        <f t="shared" si="943"/>
        <v>0</v>
      </c>
      <c r="Y1254" s="509" t="b">
        <f t="shared" si="944"/>
        <v>0</v>
      </c>
      <c r="Z1254" s="510">
        <f t="shared" si="945"/>
        <v>0</v>
      </c>
      <c r="AA1254" s="511"/>
      <c r="AB1254" s="511" t="str">
        <f t="shared" si="946"/>
        <v/>
      </c>
      <c r="AC1254" s="698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698"/>
      <c r="AE1254" s="631" t="str">
        <f t="shared" si="947"/>
        <v/>
      </c>
      <c r="AF1254" s="699" t="str">
        <f t="shared" si="948"/>
        <v/>
      </c>
      <c r="AG1254" s="699"/>
      <c r="AH1254" s="699"/>
      <c r="AI1254" s="512">
        <f>IF(H1254="credit",0,IF(AE1254="free",0,IF(AE1254="me",0,IF(G1254&gt;0,(VLOOKUP(A1254,'Discount Lookup'!J:K,2)*G1254),0))))</f>
        <v>0</v>
      </c>
      <c r="AJ1254" s="513" t="str">
        <f t="shared" ca="1" si="949"/>
        <v/>
      </c>
      <c r="AK1254" s="700" t="str">
        <f t="shared" si="950"/>
        <v/>
      </c>
      <c r="AL1254" s="700"/>
      <c r="AM1254" s="505" t="str">
        <f t="shared" si="951"/>
        <v/>
      </c>
      <c r="AN1254" s="506"/>
      <c r="AO1254" s="507"/>
      <c r="AP1254" s="507"/>
      <c r="AQ1254" s="507"/>
      <c r="AR1254" s="507"/>
      <c r="AS1254" s="507"/>
      <c r="AT1254" s="507"/>
      <c r="AU1254" s="507"/>
      <c r="AV1254" s="225"/>
      <c r="AW1254" s="508"/>
      <c r="AX1254" s="225"/>
      <c r="AY1254" s="225"/>
      <c r="AZ1254" s="225"/>
      <c r="BA1254" s="225"/>
      <c r="BB1254" s="225"/>
      <c r="BC1254" s="56"/>
      <c r="BD1254" s="56"/>
      <c r="BE1254" s="56"/>
      <c r="BF1254" s="107" t="str">
        <f t="shared" si="952"/>
        <v>https://www.google.com/search?tbm=isch&amp;q=Eternal%20Spring%20is%20a%20very%20floriferous%2C%20with%20fragrant%20semi-double%20blooms%20along%20the%20stems.%20Lush%20wavy%20foliage%20</v>
      </c>
      <c r="BG1254" s="107" t="str">
        <f t="shared" si="953"/>
        <v>E</v>
      </c>
      <c r="BH1254" s="254"/>
      <c r="BI1254" s="254"/>
    </row>
    <row r="1255" spans="1:61" customFormat="1" ht="18" x14ac:dyDescent="0.25">
      <c r="A1255" s="523" t="s">
        <v>852</v>
      </c>
      <c r="B1255" s="235"/>
      <c r="C1255" s="676"/>
      <c r="D1255" s="255" t="s">
        <v>853</v>
      </c>
      <c r="E1255" s="236"/>
      <c r="F1255" s="236"/>
      <c r="G1255" s="236"/>
      <c r="H1255" s="582" t="s">
        <v>2502</v>
      </c>
      <c r="I1255" s="498" t="s">
        <v>2641</v>
      </c>
      <c r="J1255" s="237"/>
      <c r="K1255" s="237"/>
      <c r="L1255" s="274"/>
      <c r="M1255" s="668" t="s">
        <v>4975</v>
      </c>
      <c r="N1255" s="681" t="str">
        <f>IF(AND(ISTEXT($A1255), ISERROR($A1255+0)), HYPERLINK($BF1255, "Images"), "")</f>
        <v>Images</v>
      </c>
      <c r="O1255" s="663" t="s">
        <v>4967</v>
      </c>
      <c r="P1255" s="253"/>
      <c r="Q1255" s="238"/>
      <c r="R1255" s="239"/>
      <c r="S1255" s="275"/>
      <c r="T1255" s="508">
        <f t="shared" si="941"/>
        <v>0</v>
      </c>
      <c r="U1255" s="225" t="str">
        <f>IF(NOT(ISNUMBER(G1255)), "", VLOOKUP(A1255,'Discount Lookup'!D:E,2,FALSE)*G1255)</f>
        <v/>
      </c>
      <c r="V1255" s="225" t="str">
        <f>IF(NOT(ISNUMBER(G1255)), "", VLOOKUP(A1255,'Discount Lookup'!G:H,2,FALSE)*G1255)</f>
        <v/>
      </c>
      <c r="W1255" s="508">
        <f t="shared" si="942"/>
        <v>0</v>
      </c>
      <c r="X1255" s="508" t="str">
        <f t="shared" si="943"/>
        <v>Green to White bloom</v>
      </c>
      <c r="Y1255" s="509" t="b">
        <f t="shared" si="944"/>
        <v>0</v>
      </c>
      <c r="Z1255" s="510">
        <f t="shared" si="945"/>
        <v>0</v>
      </c>
      <c r="AA1255" s="511"/>
      <c r="AB1255" s="511" t="str">
        <f t="shared" si="946"/>
        <v/>
      </c>
      <c r="AC1255" s="698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698"/>
      <c r="AE1255" s="631" t="str">
        <f t="shared" si="947"/>
        <v/>
      </c>
      <c r="AF1255" s="699" t="str">
        <f t="shared" si="948"/>
        <v/>
      </c>
      <c r="AG1255" s="699"/>
      <c r="AH1255" s="699"/>
      <c r="AI1255" s="512">
        <f>IF(H1255="credit",0,IF(AE1255="free",0,IF(AE1255="me",0,IF(G1255&gt;0,(VLOOKUP(A1255,'Discount Lookup'!J:K,2)*G1255),0))))</f>
        <v>0</v>
      </c>
      <c r="AJ1255" s="513" t="str">
        <f t="shared" ca="1" si="949"/>
        <v/>
      </c>
      <c r="AK1255" s="700" t="str">
        <f t="shared" si="950"/>
        <v/>
      </c>
      <c r="AL1255" s="700"/>
      <c r="AM1255" s="505" t="str">
        <f t="shared" si="951"/>
        <v/>
      </c>
      <c r="AN1255" s="506"/>
      <c r="AO1255" s="507"/>
      <c r="AP1255" s="507"/>
      <c r="AQ1255" s="507"/>
      <c r="AR1255" s="507"/>
      <c r="AS1255" s="507"/>
      <c r="AT1255" s="507"/>
      <c r="AU1255" s="507"/>
      <c r="AV1255" s="225"/>
      <c r="AW1255" s="508"/>
      <c r="AX1255" s="225"/>
      <c r="AY1255" s="225"/>
      <c r="AZ1255" s="225"/>
      <c r="BA1255" s="225"/>
      <c r="BB1255" s="225"/>
      <c r="BC1255" s="56"/>
      <c r="BD1255" s="56"/>
      <c r="BE1255" s="56"/>
      <c r="BF1255" s="107" t="str">
        <f t="shared" si="952"/>
        <v>https://www.google.com/search?tbm=isch&amp;q=European%20Snowball%20Viburnum%20Viburnum%20opulus%20%27Roseum%27</v>
      </c>
      <c r="BG1255" s="107" t="str">
        <f t="shared" si="953"/>
        <v>E</v>
      </c>
      <c r="BH1255" s="254"/>
      <c r="BI1255" s="254"/>
    </row>
    <row r="1256" spans="1:61" customFormat="1" ht="27" x14ac:dyDescent="0.25">
      <c r="A1256" s="276">
        <v>15</v>
      </c>
      <c r="B1256" s="240" t="s">
        <v>291</v>
      </c>
      <c r="C1256" s="241" t="s">
        <v>3459</v>
      </c>
      <c r="D1256" s="242" t="s">
        <v>292</v>
      </c>
      <c r="E1256" s="243">
        <v>196.95</v>
      </c>
      <c r="F1256" s="517" t="s">
        <v>293</v>
      </c>
      <c r="G1256" s="232">
        <v>0</v>
      </c>
      <c r="H1256" s="661" t="str">
        <f>IF(G1256=0,"",IF(F1256="Buy",IF(G1256=1,"plant","plants"),IF(F1256&gt;0.01,"warranty","Error")))</f>
        <v/>
      </c>
      <c r="I1256" s="244">
        <f>IF(H1256="free",0,IF(H1256="credit",((E1256*(F1256))*G1256*-1),IF(F1256="Buy",(E1256*G1256),((E1256*(1-F1256))*G1256))))</f>
        <v>0</v>
      </c>
      <c r="J1256" s="244">
        <f>IF(H1256="warranty",0,(I1256*(_xlfn.SINGLE(SalesTaxPercentage))))</f>
        <v>0</v>
      </c>
      <c r="K1256" s="696">
        <f t="shared" ref="K1256" si="967">I1256+J1256</f>
        <v>0</v>
      </c>
      <c r="L1256" s="696"/>
      <c r="M1256" s="659" t="str">
        <f>IF(AND(G1256&gt;0,E1256=0),"WARNING - no PRICE inserted",IF(H1256="free"," FREE ~ no charge this plant",IF(H1256="credit",CONCATENATE(" -$",ROUND(K1256*(1-T2GDiscount)*-1,2)," CREDIT after discount"),IF(T2GDiscount=0,"",IF(G1256=0,"",IF(F1256="Buy",CONCATENATE(" $",ROUND(K1256*(1-T2GDiscount),2)," with ",(T2GDiscount*100),"% discount"),CONCATENATE(" $",ROUND(K1256*(1-T2GDiscount),2)," with ",((T2GDiscount*100+F1256*100)-(T2GDiscount*100*F1256)),IF(F1256&gt;0,"% discounts",IF(NoWarrantyDiscount&gt;0,"% discounts","% discount")))))))))</f>
        <v/>
      </c>
      <c r="N1256" s="660"/>
      <c r="O1256" s="233"/>
      <c r="P1256" s="233"/>
      <c r="Q1256" s="233"/>
      <c r="R1256" s="233"/>
      <c r="S1256" s="233"/>
      <c r="T1256" s="508">
        <f t="shared" si="941"/>
        <v>0</v>
      </c>
      <c r="U1256" s="225">
        <f>IF(NOT(ISNUMBER(G1256)), "", VLOOKUP(A1256,'Discount Lookup'!D:E,2,FALSE)*G1256)</f>
        <v>0</v>
      </c>
      <c r="V1256" s="225">
        <f>IF(NOT(ISNUMBER(G1256)), "", VLOOKUP(A1256,'Discount Lookup'!G:H,2,FALSE)*G1256)</f>
        <v>0</v>
      </c>
      <c r="W1256" s="508">
        <f t="shared" si="942"/>
        <v>0</v>
      </c>
      <c r="X1256" s="508">
        <f t="shared" si="943"/>
        <v>0</v>
      </c>
      <c r="Y1256" s="509" t="b">
        <f t="shared" si="944"/>
        <v>0</v>
      </c>
      <c r="Z1256" s="510">
        <f t="shared" si="945"/>
        <v>0</v>
      </c>
      <c r="AA1256" s="511"/>
      <c r="AB1256" s="511" t="str">
        <f t="shared" si="946"/>
        <v/>
      </c>
      <c r="AC1256" s="698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698"/>
      <c r="AE1256" s="631" t="str">
        <f t="shared" si="947"/>
        <v/>
      </c>
      <c r="AF1256" s="699" t="str">
        <f t="shared" si="948"/>
        <v/>
      </c>
      <c r="AG1256" s="699"/>
      <c r="AH1256" s="699"/>
      <c r="AI1256" s="512">
        <f>IF(H1256="credit",0,IF(AE1256="free",0,IF(AE1256="me",0,IF(G1256&gt;0,(VLOOKUP(A1256,'Discount Lookup'!J:K,2)*G1256),0))))</f>
        <v>0</v>
      </c>
      <c r="AJ1256" s="513" t="str">
        <f t="shared" ca="1" si="949"/>
        <v/>
      </c>
      <c r="AK1256" s="700" t="str">
        <f t="shared" si="950"/>
        <v/>
      </c>
      <c r="AL1256" s="700"/>
      <c r="AM1256" s="505" t="str">
        <f t="shared" si="951"/>
        <v/>
      </c>
      <c r="AN1256" s="506"/>
      <c r="AO1256" s="507"/>
      <c r="AP1256" s="507"/>
      <c r="AQ1256" s="507"/>
      <c r="AR1256" s="507"/>
      <c r="AS1256" s="507"/>
      <c r="AT1256" s="507"/>
      <c r="AU1256" s="507"/>
      <c r="AV1256" s="225"/>
      <c r="AW1256" s="508"/>
      <c r="AX1256" s="225"/>
      <c r="AY1256" s="225"/>
      <c r="AZ1256" s="225"/>
      <c r="BA1256" s="225"/>
      <c r="BB1256" s="225"/>
      <c r="BC1256" s="56"/>
      <c r="BD1256" s="56"/>
      <c r="BE1256" s="56"/>
      <c r="BF1256" s="107" t="str">
        <f t="shared" si="952"/>
        <v>https://www.google.com/search?tbm=isch&amp;q=15%20G4</v>
      </c>
      <c r="BG1256" s="107" t="str">
        <f t="shared" si="953"/>
        <v>E</v>
      </c>
      <c r="BH1256" s="254"/>
      <c r="BI1256" s="254"/>
    </row>
    <row r="1257" spans="1:61" customFormat="1" ht="17.25" thickBot="1" x14ac:dyDescent="0.3">
      <c r="A1257" s="673" t="s">
        <v>5104</v>
      </c>
      <c r="B1257" s="245"/>
      <c r="C1257" s="677"/>
      <c r="D1257" s="499"/>
      <c r="E1257" s="499"/>
      <c r="F1257" s="500"/>
      <c r="G1257" s="501"/>
      <c r="H1257" s="502"/>
      <c r="I1257" s="246"/>
      <c r="J1257" s="247"/>
      <c r="K1257" s="503"/>
      <c r="L1257" s="544"/>
      <c r="M1257" s="544"/>
      <c r="N1257" s="500"/>
      <c r="O1257" s="500"/>
      <c r="P1257" s="500"/>
      <c r="Q1257" s="500"/>
      <c r="R1257" s="500"/>
      <c r="S1257" s="278"/>
      <c r="T1257" s="508">
        <f t="shared" si="941"/>
        <v>0</v>
      </c>
      <c r="U1257" s="225" t="str">
        <f>IF(NOT(ISNUMBER(G1257)), "", VLOOKUP(A1257,'Discount Lookup'!D:E,2,FALSE)*G1257)</f>
        <v/>
      </c>
      <c r="V1257" s="225" t="str">
        <f>IF(NOT(ISNUMBER(G1257)), "", VLOOKUP(A1257,'Discount Lookup'!G:H,2,FALSE)*G1257)</f>
        <v/>
      </c>
      <c r="W1257" s="508">
        <f t="shared" si="942"/>
        <v>0</v>
      </c>
      <c r="X1257" s="508">
        <f t="shared" si="943"/>
        <v>0</v>
      </c>
      <c r="Y1257" s="509" t="b">
        <f t="shared" si="944"/>
        <v>0</v>
      </c>
      <c r="Z1257" s="510">
        <f t="shared" si="945"/>
        <v>0</v>
      </c>
      <c r="AA1257" s="511"/>
      <c r="AB1257" s="511" t="str">
        <f t="shared" si="946"/>
        <v/>
      </c>
      <c r="AC1257" s="698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698"/>
      <c r="AE1257" s="631" t="str">
        <f t="shared" si="947"/>
        <v/>
      </c>
      <c r="AF1257" s="699" t="str">
        <f t="shared" si="948"/>
        <v/>
      </c>
      <c r="AG1257" s="699"/>
      <c r="AH1257" s="699"/>
      <c r="AI1257" s="512">
        <f>IF(H1257="credit",0,IF(AE1257="free",0,IF(AE1257="me",0,IF(G1257&gt;0,(VLOOKUP(A1257,'Discount Lookup'!J:K,2)*G1257),0))))</f>
        <v>0</v>
      </c>
      <c r="AJ1257" s="513" t="str">
        <f t="shared" ca="1" si="949"/>
        <v/>
      </c>
      <c r="AK1257" s="700" t="str">
        <f t="shared" si="950"/>
        <v/>
      </c>
      <c r="AL1257" s="700"/>
      <c r="AM1257" s="505" t="str">
        <f t="shared" si="951"/>
        <v/>
      </c>
      <c r="AN1257" s="506"/>
      <c r="AO1257" s="507"/>
      <c r="AP1257" s="507"/>
      <c r="AQ1257" s="507"/>
      <c r="AR1257" s="507"/>
      <c r="AS1257" s="507"/>
      <c r="AT1257" s="507"/>
      <c r="AU1257" s="507"/>
      <c r="AV1257" s="225"/>
      <c r="AW1257" s="508"/>
      <c r="AX1257" s="225"/>
      <c r="AY1257" s="225"/>
      <c r="AZ1257" s="225"/>
      <c r="BA1257" s="225"/>
      <c r="BB1257" s="225"/>
      <c r="BC1257" s="56"/>
      <c r="BD1257" s="56"/>
      <c r="BE1257" s="56"/>
      <c r="BF1257" s="107" t="str">
        <f t="shared" si="952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1257" s="107" t="str">
        <f t="shared" si="953"/>
        <v>m</v>
      </c>
      <c r="BH1257" s="254"/>
      <c r="BI1257" s="254"/>
    </row>
    <row r="1258" spans="1:61" customFormat="1" ht="18" x14ac:dyDescent="0.25">
      <c r="A1258" s="523" t="s">
        <v>854</v>
      </c>
      <c r="B1258" s="235"/>
      <c r="C1258" s="676"/>
      <c r="D1258" s="255" t="s">
        <v>855</v>
      </c>
      <c r="E1258" s="236"/>
      <c r="F1258" s="236"/>
      <c r="G1258" s="236"/>
      <c r="H1258" s="582" t="s">
        <v>317</v>
      </c>
      <c r="I1258" s="498" t="s">
        <v>654</v>
      </c>
      <c r="J1258" s="237"/>
      <c r="K1258" s="237"/>
      <c r="L1258" s="274"/>
      <c r="M1258" s="668" t="s">
        <v>4975</v>
      </c>
      <c r="N1258" s="681" t="str">
        <f>IF(AND(ISTEXT($A1258), ISERROR($A1258+0)), HYPERLINK($BF1258, "Images"), "")</f>
        <v>Images</v>
      </c>
      <c r="O1258" s="663" t="s">
        <v>4969</v>
      </c>
      <c r="P1258" s="253"/>
      <c r="Q1258" s="238"/>
      <c r="R1258" s="239"/>
      <c r="S1258" s="275"/>
      <c r="T1258" s="508">
        <f t="shared" si="941"/>
        <v>0</v>
      </c>
      <c r="U1258" s="225" t="str">
        <f>IF(NOT(ISNUMBER(G1258)), "", VLOOKUP(A1258,'Discount Lookup'!D:E,2,FALSE)*G1258)</f>
        <v/>
      </c>
      <c r="V1258" s="225" t="str">
        <f>IF(NOT(ISNUMBER(G1258)), "", VLOOKUP(A1258,'Discount Lookup'!G:H,2,FALSE)*G1258)</f>
        <v/>
      </c>
      <c r="W1258" s="508">
        <f t="shared" si="942"/>
        <v>0</v>
      </c>
      <c r="X1258" s="508" t="str">
        <f t="shared" si="943"/>
        <v>White bloom</v>
      </c>
      <c r="Y1258" s="509" t="b">
        <f t="shared" si="944"/>
        <v>0</v>
      </c>
      <c r="Z1258" s="510">
        <f t="shared" si="945"/>
        <v>0</v>
      </c>
      <c r="AA1258" s="511"/>
      <c r="AB1258" s="511" t="str">
        <f t="shared" si="946"/>
        <v/>
      </c>
      <c r="AC1258" s="698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698"/>
      <c r="AE1258" s="631" t="str">
        <f t="shared" si="947"/>
        <v/>
      </c>
      <c r="AF1258" s="699" t="str">
        <f t="shared" si="948"/>
        <v/>
      </c>
      <c r="AG1258" s="699"/>
      <c r="AH1258" s="699"/>
      <c r="AI1258" s="512">
        <f>IF(H1258="credit",0,IF(AE1258="free",0,IF(AE1258="me",0,IF(G1258&gt;0,(VLOOKUP(A1258,'Discount Lookup'!J:K,2)*G1258),0))))</f>
        <v>0</v>
      </c>
      <c r="AJ1258" s="513" t="str">
        <f t="shared" ca="1" si="949"/>
        <v/>
      </c>
      <c r="AK1258" s="700" t="str">
        <f t="shared" si="950"/>
        <v/>
      </c>
      <c r="AL1258" s="700"/>
      <c r="AM1258" s="505" t="str">
        <f t="shared" si="951"/>
        <v/>
      </c>
      <c r="AN1258" s="506"/>
      <c r="AO1258" s="507"/>
      <c r="AP1258" s="507"/>
      <c r="AQ1258" s="507"/>
      <c r="AR1258" s="507"/>
      <c r="AS1258" s="507"/>
      <c r="AT1258" s="507"/>
      <c r="AU1258" s="507"/>
      <c r="AV1258" s="225"/>
      <c r="AW1258" s="508"/>
      <c r="AX1258" s="225"/>
      <c r="AY1258" s="225"/>
      <c r="AZ1258" s="225"/>
      <c r="BA1258" s="225"/>
      <c r="BB1258" s="225"/>
      <c r="BC1258" s="56"/>
      <c r="BD1258" s="56"/>
      <c r="BE1258" s="56"/>
      <c r="BF1258" s="107" t="str">
        <f t="shared" si="952"/>
        <v>https://www.google.com/search?tbm=isch&amp;q=Evening%20Light%20Japanese%20Snowbell%20Styrax%20japonicus%20%27Evening%20Light%27%20PP%2324168</v>
      </c>
      <c r="BG1258" s="107" t="str">
        <f t="shared" si="953"/>
        <v>E</v>
      </c>
      <c r="BH1258" s="254"/>
      <c r="BI1258" s="254"/>
    </row>
    <row r="1259" spans="1:61" customFormat="1" ht="15.75" x14ac:dyDescent="0.25">
      <c r="A1259" s="276">
        <v>7</v>
      </c>
      <c r="B1259" s="240" t="s">
        <v>291</v>
      </c>
      <c r="C1259" s="241" t="s">
        <v>3460</v>
      </c>
      <c r="D1259" s="242" t="s">
        <v>292</v>
      </c>
      <c r="E1259" s="243">
        <v>155.94999999999999</v>
      </c>
      <c r="F1259" s="517" t="s">
        <v>293</v>
      </c>
      <c r="G1259" s="232">
        <v>0</v>
      </c>
      <c r="H1259" s="661" t="str">
        <f>IF(G1259=0,"",IF(F1259="Buy",IF(G1259=1,"plant","plants"),IF(F1259&gt;0.01,"warranty","Error")))</f>
        <v/>
      </c>
      <c r="I1259" s="244">
        <f>IF(H1259="free",0,IF(H1259="credit",((E1259*(F1259))*G1259*-1),IF(F1259="Buy",(E1259*G1259),((E1259*(1-F1259))*G1259))))</f>
        <v>0</v>
      </c>
      <c r="J1259" s="244">
        <f>IF(H1259="warranty",0,(I1259*(_xlfn.SINGLE(SalesTaxPercentage))))</f>
        <v>0</v>
      </c>
      <c r="K1259" s="696">
        <f t="shared" ref="K1259" si="968">I1259+J1259</f>
        <v>0</v>
      </c>
      <c r="L1259" s="696"/>
      <c r="M1259" s="659" t="str">
        <f>IF(AND(G1259&gt;0,E1259=0),"WARNING - no PRICE inserted",IF(H1259="free"," FREE ~ no charge this plant",IF(H1259="credit",CONCATENATE(" -$",ROUND(K1259*(1-T2GDiscount)*-1,2)," CREDIT after discount"),IF(T2GDiscount=0,"",IF(G1259=0,"",IF(F1259="Buy",CONCATENATE(" $",ROUND(K1259*(1-T2GDiscount),2)," with ",(T2GDiscount*100),"% discount"),CONCATENATE(" $",ROUND(K1259*(1-T2GDiscount),2)," with ",((T2GDiscount*100+F1259*100)-(T2GDiscount*100*F1259)),IF(F1259&gt;0,"% discounts",IF(NoWarrantyDiscount&gt;0,"% discounts","% discount")))))))))</f>
        <v/>
      </c>
      <c r="N1259" s="660"/>
      <c r="O1259" s="233"/>
      <c r="P1259" s="233"/>
      <c r="Q1259" s="233"/>
      <c r="R1259" s="233"/>
      <c r="S1259" s="233"/>
      <c r="T1259" s="508">
        <f t="shared" si="941"/>
        <v>0</v>
      </c>
      <c r="U1259" s="225">
        <f>IF(NOT(ISNUMBER(G1259)), "", VLOOKUP(A1259,'Discount Lookup'!D:E,2,FALSE)*G1259)</f>
        <v>0</v>
      </c>
      <c r="V1259" s="225">
        <f>IF(NOT(ISNUMBER(G1259)), "", VLOOKUP(A1259,'Discount Lookup'!G:H,2,FALSE)*G1259)</f>
        <v>0</v>
      </c>
      <c r="W1259" s="508">
        <f t="shared" si="942"/>
        <v>0</v>
      </c>
      <c r="X1259" s="508">
        <f t="shared" si="943"/>
        <v>0</v>
      </c>
      <c r="Y1259" s="509" t="b">
        <f t="shared" si="944"/>
        <v>0</v>
      </c>
      <c r="Z1259" s="510">
        <f t="shared" si="945"/>
        <v>0</v>
      </c>
      <c r="AA1259" s="511"/>
      <c r="AB1259" s="511" t="str">
        <f t="shared" si="946"/>
        <v/>
      </c>
      <c r="AC1259" s="698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698"/>
      <c r="AE1259" s="631" t="str">
        <f t="shared" si="947"/>
        <v/>
      </c>
      <c r="AF1259" s="699" t="str">
        <f t="shared" si="948"/>
        <v/>
      </c>
      <c r="AG1259" s="699"/>
      <c r="AH1259" s="699"/>
      <c r="AI1259" s="512">
        <f>IF(H1259="credit",0,IF(AE1259="free",0,IF(AE1259="me",0,IF(G1259&gt;0,(VLOOKUP(A1259,'Discount Lookup'!J:K,2)*G1259),0))))</f>
        <v>0</v>
      </c>
      <c r="AJ1259" s="513" t="str">
        <f t="shared" ca="1" si="949"/>
        <v/>
      </c>
      <c r="AK1259" s="700" t="str">
        <f t="shared" si="950"/>
        <v/>
      </c>
      <c r="AL1259" s="700"/>
      <c r="AM1259" s="505" t="str">
        <f t="shared" si="951"/>
        <v/>
      </c>
      <c r="AN1259" s="506"/>
      <c r="AO1259" s="507"/>
      <c r="AP1259" s="507"/>
      <c r="AQ1259" s="507"/>
      <c r="AR1259" s="507"/>
      <c r="AS1259" s="507"/>
      <c r="AT1259" s="507"/>
      <c r="AU1259" s="507"/>
      <c r="AV1259" s="225"/>
      <c r="AW1259" s="508"/>
      <c r="AX1259" s="225"/>
      <c r="AY1259" s="225"/>
      <c r="AZ1259" s="225"/>
      <c r="BA1259" s="225"/>
      <c r="BB1259" s="225"/>
      <c r="BC1259" s="56"/>
      <c r="BD1259" s="56"/>
      <c r="BE1259" s="56"/>
      <c r="BF1259" s="107" t="str">
        <f t="shared" si="952"/>
        <v>https://www.google.com/search?tbm=isch&amp;q=7%20G4</v>
      </c>
      <c r="BG1259" s="107" t="str">
        <f t="shared" si="953"/>
        <v>E</v>
      </c>
      <c r="BH1259" s="254"/>
      <c r="BI1259" s="254"/>
    </row>
    <row r="1260" spans="1:61" customFormat="1" ht="15.75" x14ac:dyDescent="0.25">
      <c r="A1260" s="276">
        <v>10</v>
      </c>
      <c r="B1260" s="240" t="s">
        <v>291</v>
      </c>
      <c r="C1260" s="241" t="s">
        <v>3461</v>
      </c>
      <c r="D1260" s="242" t="s">
        <v>292</v>
      </c>
      <c r="E1260" s="243">
        <v>178.95</v>
      </c>
      <c r="F1260" s="517" t="s">
        <v>293</v>
      </c>
      <c r="G1260" s="232">
        <v>0</v>
      </c>
      <c r="H1260" s="661" t="str">
        <f>IF(G1260=0,"",IF(F1260="Buy",IF(G1260=1,"plant","plants"),IF(F1260&gt;0.01,"warranty","Error")))</f>
        <v/>
      </c>
      <c r="I1260" s="244">
        <f>IF(H1260="free",0,IF(H1260="credit",((E1260*(F1260))*G1260*-1),IF(F1260="Buy",(E1260*G1260),((E1260*(1-F1260))*G1260))))</f>
        <v>0</v>
      </c>
      <c r="J1260" s="244">
        <f>IF(H1260="warranty",0,(I1260*(_xlfn.SINGLE(SalesTaxPercentage))))</f>
        <v>0</v>
      </c>
      <c r="K1260" s="696">
        <f t="shared" ref="K1260" si="969">I1260+J1260</f>
        <v>0</v>
      </c>
      <c r="L1260" s="696"/>
      <c r="M1260" s="659" t="str">
        <f>IF(AND(G1260&gt;0,E1260=0),"WARNING - no PRICE inserted",IF(H1260="free"," FREE ~ no charge this plant",IF(H1260="credit",CONCATENATE(" -$",ROUND(K1260*(1-T2GDiscount)*-1,2)," CREDIT after discount"),IF(T2GDiscount=0,"",IF(G1260=0,"",IF(F1260="Buy",CONCATENATE(" $",ROUND(K1260*(1-T2GDiscount),2)," with ",(T2GDiscount*100),"% discount"),CONCATENATE(" $",ROUND(K1260*(1-T2GDiscount),2)," with ",((T2GDiscount*100+F1260*100)-(T2GDiscount*100*F1260)),IF(F1260&gt;0,"% discounts",IF(NoWarrantyDiscount&gt;0,"% discounts","% discount")))))))))</f>
        <v/>
      </c>
      <c r="N1260" s="660"/>
      <c r="O1260" s="233"/>
      <c r="P1260" s="233"/>
      <c r="Q1260" s="233"/>
      <c r="R1260" s="233"/>
      <c r="S1260" s="233"/>
      <c r="T1260" s="508">
        <f t="shared" si="941"/>
        <v>0</v>
      </c>
      <c r="U1260" s="225">
        <f>IF(NOT(ISNUMBER(G1260)), "", VLOOKUP(A1260,'Discount Lookup'!D:E,2,FALSE)*G1260)</f>
        <v>0</v>
      </c>
      <c r="V1260" s="225">
        <f>IF(NOT(ISNUMBER(G1260)), "", VLOOKUP(A1260,'Discount Lookup'!G:H,2,FALSE)*G1260)</f>
        <v>0</v>
      </c>
      <c r="W1260" s="508">
        <f t="shared" si="942"/>
        <v>0</v>
      </c>
      <c r="X1260" s="508">
        <f t="shared" si="943"/>
        <v>0</v>
      </c>
      <c r="Y1260" s="509" t="b">
        <f t="shared" si="944"/>
        <v>0</v>
      </c>
      <c r="Z1260" s="510">
        <f t="shared" si="945"/>
        <v>0</v>
      </c>
      <c r="AA1260" s="511"/>
      <c r="AB1260" s="511" t="str">
        <f t="shared" si="946"/>
        <v/>
      </c>
      <c r="AC1260" s="698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698"/>
      <c r="AE1260" s="631" t="str">
        <f t="shared" si="947"/>
        <v/>
      </c>
      <c r="AF1260" s="699" t="str">
        <f t="shared" si="948"/>
        <v/>
      </c>
      <c r="AG1260" s="699"/>
      <c r="AH1260" s="699"/>
      <c r="AI1260" s="512">
        <f>IF(H1260="credit",0,IF(AE1260="free",0,IF(AE1260="me",0,IF(G1260&gt;0,(VLOOKUP(A1260,'Discount Lookup'!J:K,2)*G1260),0))))</f>
        <v>0</v>
      </c>
      <c r="AJ1260" s="513" t="str">
        <f t="shared" ca="1" si="949"/>
        <v/>
      </c>
      <c r="AK1260" s="700" t="str">
        <f t="shared" si="950"/>
        <v/>
      </c>
      <c r="AL1260" s="700"/>
      <c r="AM1260" s="505" t="str">
        <f t="shared" si="951"/>
        <v/>
      </c>
      <c r="AN1260" s="506"/>
      <c r="AO1260" s="507"/>
      <c r="AP1260" s="507"/>
      <c r="AQ1260" s="507"/>
      <c r="AR1260" s="507"/>
      <c r="AS1260" s="507"/>
      <c r="AT1260" s="507"/>
      <c r="AU1260" s="507"/>
      <c r="AV1260" s="225"/>
      <c r="AW1260" s="508"/>
      <c r="AX1260" s="225"/>
      <c r="AY1260" s="225"/>
      <c r="AZ1260" s="225"/>
      <c r="BA1260" s="225"/>
      <c r="BB1260" s="225"/>
      <c r="BC1260" s="56"/>
      <c r="BD1260" s="56"/>
      <c r="BE1260" s="56"/>
      <c r="BF1260" s="107" t="str">
        <f t="shared" si="952"/>
        <v>https://www.google.com/search?tbm=isch&amp;q=10%20G4</v>
      </c>
      <c r="BG1260" s="107" t="str">
        <f t="shared" si="953"/>
        <v>E</v>
      </c>
      <c r="BH1260" s="254"/>
      <c r="BI1260" s="254"/>
    </row>
    <row r="1261" spans="1:61" customFormat="1" ht="15.75" x14ac:dyDescent="0.25">
      <c r="A1261" s="276">
        <v>15</v>
      </c>
      <c r="B1261" s="240" t="s">
        <v>291</v>
      </c>
      <c r="C1261" s="241" t="s">
        <v>3462</v>
      </c>
      <c r="D1261" s="242" t="s">
        <v>292</v>
      </c>
      <c r="E1261" s="243">
        <v>240.95</v>
      </c>
      <c r="F1261" s="517" t="s">
        <v>293</v>
      </c>
      <c r="G1261" s="232">
        <v>0</v>
      </c>
      <c r="H1261" s="661" t="str">
        <f>IF(G1261=0,"",IF(F1261="Buy",IF(G1261=1,"plant","plants"),IF(F1261&gt;0.01,"warranty","Error")))</f>
        <v/>
      </c>
      <c r="I1261" s="244">
        <f>IF(H1261="free",0,IF(H1261="credit",((E1261*(F1261))*G1261*-1),IF(F1261="Buy",(E1261*G1261),((E1261*(1-F1261))*G1261))))</f>
        <v>0</v>
      </c>
      <c r="J1261" s="244">
        <f>IF(H1261="warranty",0,(I1261*(_xlfn.SINGLE(SalesTaxPercentage))))</f>
        <v>0</v>
      </c>
      <c r="K1261" s="696">
        <f t="shared" ref="K1261" si="970">I1261+J1261</f>
        <v>0</v>
      </c>
      <c r="L1261" s="696"/>
      <c r="M1261" s="659" t="str">
        <f>IF(AND(G1261&gt;0,E1261=0),"WARNING - no PRICE inserted",IF(H1261="free"," FREE ~ no charge this plant",IF(H1261="credit",CONCATENATE(" -$",ROUND(K1261*(1-T2GDiscount)*-1,2)," CREDIT after discount"),IF(T2GDiscount=0,"",IF(G1261=0,"",IF(F1261="Buy",CONCATENATE(" $",ROUND(K1261*(1-T2GDiscount),2)," with ",(T2GDiscount*100),"% discount"),CONCATENATE(" $",ROUND(K1261*(1-T2GDiscount),2)," with ",((T2GDiscount*100+F1261*100)-(T2GDiscount*100*F1261)),IF(F1261&gt;0,"% discounts",IF(NoWarrantyDiscount&gt;0,"% discounts","% discount")))))))))</f>
        <v/>
      </c>
      <c r="N1261" s="660"/>
      <c r="O1261" s="233"/>
      <c r="P1261" s="233"/>
      <c r="Q1261" s="233"/>
      <c r="R1261" s="233"/>
      <c r="S1261" s="233"/>
      <c r="T1261" s="508">
        <f t="shared" si="941"/>
        <v>0</v>
      </c>
      <c r="U1261" s="225">
        <f>IF(NOT(ISNUMBER(G1261)), "", VLOOKUP(A1261,'Discount Lookup'!D:E,2,FALSE)*G1261)</f>
        <v>0</v>
      </c>
      <c r="V1261" s="225">
        <f>IF(NOT(ISNUMBER(G1261)), "", VLOOKUP(A1261,'Discount Lookup'!G:H,2,FALSE)*G1261)</f>
        <v>0</v>
      </c>
      <c r="W1261" s="508">
        <f t="shared" si="942"/>
        <v>0</v>
      </c>
      <c r="X1261" s="508">
        <f t="shared" si="943"/>
        <v>0</v>
      </c>
      <c r="Y1261" s="509" t="b">
        <f t="shared" si="944"/>
        <v>0</v>
      </c>
      <c r="Z1261" s="510">
        <f t="shared" si="945"/>
        <v>0</v>
      </c>
      <c r="AA1261" s="511"/>
      <c r="AB1261" s="511" t="str">
        <f t="shared" si="946"/>
        <v/>
      </c>
      <c r="AC1261" s="698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698"/>
      <c r="AE1261" s="631" t="str">
        <f t="shared" si="947"/>
        <v/>
      </c>
      <c r="AF1261" s="699" t="str">
        <f t="shared" si="948"/>
        <v/>
      </c>
      <c r="AG1261" s="699"/>
      <c r="AH1261" s="699"/>
      <c r="AI1261" s="512">
        <f>IF(H1261="credit",0,IF(AE1261="free",0,IF(AE1261="me",0,IF(G1261&gt;0,(VLOOKUP(A1261,'Discount Lookup'!J:K,2)*G1261),0))))</f>
        <v>0</v>
      </c>
      <c r="AJ1261" s="513" t="str">
        <f t="shared" ca="1" si="949"/>
        <v/>
      </c>
      <c r="AK1261" s="700" t="str">
        <f t="shared" si="950"/>
        <v/>
      </c>
      <c r="AL1261" s="700"/>
      <c r="AM1261" s="505" t="str">
        <f t="shared" si="951"/>
        <v/>
      </c>
      <c r="AN1261" s="506"/>
      <c r="AO1261" s="507"/>
      <c r="AP1261" s="507"/>
      <c r="AQ1261" s="507"/>
      <c r="AR1261" s="507"/>
      <c r="AS1261" s="507"/>
      <c r="AT1261" s="507"/>
      <c r="AU1261" s="507"/>
      <c r="AV1261" s="225"/>
      <c r="AW1261" s="508"/>
      <c r="AX1261" s="225"/>
      <c r="AY1261" s="225"/>
      <c r="AZ1261" s="225"/>
      <c r="BA1261" s="225"/>
      <c r="BB1261" s="225"/>
      <c r="BC1261" s="56"/>
      <c r="BD1261" s="56"/>
      <c r="BE1261" s="56"/>
      <c r="BF1261" s="107" t="str">
        <f t="shared" si="952"/>
        <v>https://www.google.com/search?tbm=isch&amp;q=15%20G4</v>
      </c>
      <c r="BG1261" s="107" t="str">
        <f t="shared" si="953"/>
        <v>E</v>
      </c>
      <c r="BH1261" s="254"/>
      <c r="BI1261" s="254"/>
    </row>
    <row r="1262" spans="1:61" customFormat="1" ht="15.75" x14ac:dyDescent="0.25">
      <c r="A1262" s="276">
        <v>15</v>
      </c>
      <c r="B1262" s="240" t="s">
        <v>291</v>
      </c>
      <c r="C1262" s="241" t="s">
        <v>3985</v>
      </c>
      <c r="D1262" s="242" t="s">
        <v>299</v>
      </c>
      <c r="E1262" s="243">
        <v>263.95</v>
      </c>
      <c r="F1262" s="517" t="s">
        <v>293</v>
      </c>
      <c r="G1262" s="232">
        <v>0</v>
      </c>
      <c r="H1262" s="661" t="str">
        <f>IF(G1262=0,"",IF(F1262="Buy",IF(G1262=1,"plant","plants"),IF(F1262&gt;0.01,"warranty","Error")))</f>
        <v/>
      </c>
      <c r="I1262" s="244">
        <f>IF(H1262="free",0,IF(H1262="credit",((E1262*(F1262))*G1262*-1),IF(F1262="Buy",(E1262*G1262),((E1262*(1-F1262))*G1262))))</f>
        <v>0</v>
      </c>
      <c r="J1262" s="244">
        <f>IF(H1262="warranty",0,(I1262*(_xlfn.SINGLE(SalesTaxPercentage))))</f>
        <v>0</v>
      </c>
      <c r="K1262" s="696">
        <f t="shared" ref="K1262" si="971">I1262+J1262</f>
        <v>0</v>
      </c>
      <c r="L1262" s="696"/>
      <c r="M1262" s="659" t="str">
        <f>IF(AND(G1262&gt;0,E1262=0),"WARNING - no PRICE inserted",IF(H1262="free"," FREE ~ no charge this plant",IF(H1262="credit",CONCATENATE(" -$",ROUND(K1262*(1-T2GDiscount)*-1,2)," CREDIT after discount"),IF(T2GDiscount=0,"",IF(G1262=0,"",IF(F1262="Buy",CONCATENATE(" $",ROUND(K1262*(1-T2GDiscount),2)," with ",(T2GDiscount*100),"% discount"),CONCATENATE(" $",ROUND(K1262*(1-T2GDiscount),2)," with ",((T2GDiscount*100+F1262*100)-(T2GDiscount*100*F1262)),IF(F1262&gt;0,"% discounts",IF(NoWarrantyDiscount&gt;0,"% discounts","% discount")))))))))</f>
        <v/>
      </c>
      <c r="N1262" s="660"/>
      <c r="O1262" s="233"/>
      <c r="P1262" s="233"/>
      <c r="Q1262" s="233"/>
      <c r="R1262" s="233"/>
      <c r="S1262" s="233"/>
      <c r="T1262" s="508">
        <f t="shared" si="941"/>
        <v>0</v>
      </c>
      <c r="U1262" s="225">
        <f>IF(NOT(ISNUMBER(G1262)), "", VLOOKUP(A1262,'Discount Lookup'!D:E,2,FALSE)*G1262)</f>
        <v>0</v>
      </c>
      <c r="V1262" s="225">
        <f>IF(NOT(ISNUMBER(G1262)), "", VLOOKUP(A1262,'Discount Lookup'!G:H,2,FALSE)*G1262)</f>
        <v>0</v>
      </c>
      <c r="W1262" s="508">
        <f t="shared" si="942"/>
        <v>0</v>
      </c>
      <c r="X1262" s="508">
        <f t="shared" si="943"/>
        <v>0</v>
      </c>
      <c r="Y1262" s="509" t="b">
        <f t="shared" si="944"/>
        <v>0</v>
      </c>
      <c r="Z1262" s="510">
        <f t="shared" si="945"/>
        <v>0</v>
      </c>
      <c r="AA1262" s="511"/>
      <c r="AB1262" s="511" t="str">
        <f t="shared" si="946"/>
        <v/>
      </c>
      <c r="AC1262" s="698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698"/>
      <c r="AE1262" s="631" t="str">
        <f t="shared" si="947"/>
        <v/>
      </c>
      <c r="AF1262" s="699" t="str">
        <f t="shared" si="948"/>
        <v/>
      </c>
      <c r="AG1262" s="699"/>
      <c r="AH1262" s="699"/>
      <c r="AI1262" s="512">
        <f>IF(H1262="credit",0,IF(AE1262="free",0,IF(AE1262="me",0,IF(G1262&gt;0,(VLOOKUP(A1262,'Discount Lookup'!J:K,2)*G1262),0))))</f>
        <v>0</v>
      </c>
      <c r="AJ1262" s="513" t="str">
        <f t="shared" ca="1" si="949"/>
        <v/>
      </c>
      <c r="AK1262" s="700" t="str">
        <f t="shared" si="950"/>
        <v/>
      </c>
      <c r="AL1262" s="700"/>
      <c r="AM1262" s="505" t="str">
        <f t="shared" si="951"/>
        <v/>
      </c>
      <c r="AN1262" s="506"/>
      <c r="AO1262" s="507"/>
      <c r="AP1262" s="507"/>
      <c r="AQ1262" s="507"/>
      <c r="AR1262" s="507"/>
      <c r="AS1262" s="507"/>
      <c r="AT1262" s="507"/>
      <c r="AU1262" s="507"/>
      <c r="AV1262" s="225"/>
      <c r="AW1262" s="508"/>
      <c r="AX1262" s="225"/>
      <c r="AY1262" s="225"/>
      <c r="AZ1262" s="225"/>
      <c r="BA1262" s="225"/>
      <c r="BB1262" s="225"/>
      <c r="BC1262" s="56"/>
      <c r="BD1262" s="56"/>
      <c r="BE1262" s="56"/>
      <c r="BF1262" s="107" t="str">
        <f t="shared" si="952"/>
        <v>https://www.google.com/search?tbm=isch&amp;q=15%20G5</v>
      </c>
      <c r="BG1262" s="107" t="str">
        <f t="shared" si="953"/>
        <v>E</v>
      </c>
      <c r="BH1262" s="254"/>
      <c r="BI1262" s="254"/>
    </row>
    <row r="1263" spans="1:61" customFormat="1" ht="17.25" thickBot="1" x14ac:dyDescent="0.3">
      <c r="A1263" s="673" t="s">
        <v>5105</v>
      </c>
      <c r="B1263" s="245"/>
      <c r="C1263" s="677"/>
      <c r="D1263" s="499"/>
      <c r="E1263" s="499"/>
      <c r="F1263" s="500"/>
      <c r="G1263" s="501"/>
      <c r="H1263" s="502"/>
      <c r="I1263" s="246"/>
      <c r="J1263" s="247"/>
      <c r="K1263" s="503"/>
      <c r="L1263" s="544"/>
      <c r="M1263" s="544"/>
      <c r="N1263" s="500"/>
      <c r="O1263" s="500"/>
      <c r="P1263" s="500"/>
      <c r="Q1263" s="500"/>
      <c r="R1263" s="500"/>
      <c r="S1263" s="669" t="s">
        <v>4972</v>
      </c>
      <c r="T1263" s="508">
        <f t="shared" si="941"/>
        <v>0</v>
      </c>
      <c r="U1263" s="225" t="str">
        <f>IF(NOT(ISNUMBER(G1263)), "", VLOOKUP(A1263,'Discount Lookup'!D:E,2,FALSE)*G1263)</f>
        <v/>
      </c>
      <c r="V1263" s="225" t="str">
        <f>IF(NOT(ISNUMBER(G1263)), "", VLOOKUP(A1263,'Discount Lookup'!G:H,2,FALSE)*G1263)</f>
        <v/>
      </c>
      <c r="W1263" s="508">
        <f t="shared" si="942"/>
        <v>0</v>
      </c>
      <c r="X1263" s="508">
        <f t="shared" si="943"/>
        <v>0</v>
      </c>
      <c r="Y1263" s="509" t="b">
        <f t="shared" si="944"/>
        <v>0</v>
      </c>
      <c r="Z1263" s="510">
        <f t="shared" si="945"/>
        <v>0</v>
      </c>
      <c r="AA1263" s="511"/>
      <c r="AB1263" s="511" t="str">
        <f t="shared" si="946"/>
        <v/>
      </c>
      <c r="AC1263" s="698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698"/>
      <c r="AE1263" s="631" t="str">
        <f t="shared" si="947"/>
        <v/>
      </c>
      <c r="AF1263" s="699" t="str">
        <f t="shared" si="948"/>
        <v/>
      </c>
      <c r="AG1263" s="699"/>
      <c r="AH1263" s="699"/>
      <c r="AI1263" s="512">
        <f>IF(H1263="credit",0,IF(AE1263="free",0,IF(AE1263="me",0,IF(G1263&gt;0,(VLOOKUP(A1263,'Discount Lookup'!J:K,2)*G1263),0))))</f>
        <v>0</v>
      </c>
      <c r="AJ1263" s="513" t="str">
        <f t="shared" ca="1" si="949"/>
        <v/>
      </c>
      <c r="AK1263" s="700" t="str">
        <f t="shared" si="950"/>
        <v/>
      </c>
      <c r="AL1263" s="700"/>
      <c r="AM1263" s="505" t="str">
        <f t="shared" si="951"/>
        <v/>
      </c>
      <c r="AN1263" s="506"/>
      <c r="AO1263" s="507"/>
      <c r="AP1263" s="507"/>
      <c r="AQ1263" s="507"/>
      <c r="AR1263" s="507"/>
      <c r="AS1263" s="507"/>
      <c r="AT1263" s="507"/>
      <c r="AU1263" s="507"/>
      <c r="AV1263" s="225"/>
      <c r="AW1263" s="508"/>
      <c r="AX1263" s="225"/>
      <c r="AY1263" s="225"/>
      <c r="AZ1263" s="225"/>
      <c r="BA1263" s="225"/>
      <c r="BB1263" s="225"/>
      <c r="BC1263" s="56"/>
      <c r="BD1263" s="56"/>
      <c r="BE1263" s="56"/>
      <c r="BF1263" s="107" t="str">
        <f t="shared" si="952"/>
        <v>https://www.google.com/search?tbm=isch&amp;q=moist%20sites%F0%9F%92%A7GOOD%2C%20Evening%20Light%20known%20for%20purple%20foliage%20and%20an%20upright%2C%20vase-shaped%20habit%20</v>
      </c>
      <c r="BG1263" s="107" t="str">
        <f t="shared" si="953"/>
        <v>m</v>
      </c>
      <c r="BH1263" s="254"/>
      <c r="BI1263" s="254"/>
    </row>
    <row r="1264" spans="1:61" customFormat="1" ht="18" x14ac:dyDescent="0.25">
      <c r="A1264" s="521" t="s">
        <v>5591</v>
      </c>
      <c r="B1264" s="477"/>
      <c r="C1264" s="674"/>
      <c r="D1264" s="478" t="s">
        <v>509</v>
      </c>
      <c r="E1264" s="479"/>
      <c r="F1264" s="479"/>
      <c r="G1264" s="479"/>
      <c r="H1264" s="582" t="s">
        <v>443</v>
      </c>
      <c r="I1264" s="480" t="s">
        <v>2596</v>
      </c>
      <c r="J1264" s="479"/>
      <c r="K1264" s="479"/>
      <c r="L1264" s="560"/>
      <c r="M1264" s="666" t="s">
        <v>4966</v>
      </c>
      <c r="N1264" s="680" t="str">
        <f>IF(AND(ISTEXT($A1264), ISERROR($A1264+0)), HYPERLINK($BF1264, "Images"), "")</f>
        <v>Images</v>
      </c>
      <c r="O1264" s="662" t="s">
        <v>4974</v>
      </c>
      <c r="P1264" s="482"/>
      <c r="Q1264" s="483"/>
      <c r="R1264" s="483"/>
      <c r="S1264" s="484"/>
      <c r="T1264" s="508">
        <f t="shared" si="941"/>
        <v>0</v>
      </c>
      <c r="U1264" s="225" t="str">
        <f>IF(NOT(ISNUMBER(G1264)), "", VLOOKUP(A1264,'Discount Lookup'!D:E,2,FALSE)*G1264)</f>
        <v/>
      </c>
      <c r="V1264" s="225" t="str">
        <f>IF(NOT(ISNUMBER(G1264)), "", VLOOKUP(A1264,'Discount Lookup'!G:H,2,FALSE)*G1264)</f>
        <v/>
      </c>
      <c r="W1264" s="508">
        <f t="shared" si="942"/>
        <v>0</v>
      </c>
      <c r="X1264" s="508" t="str">
        <f t="shared" si="943"/>
        <v>Blush Pink bloom</v>
      </c>
      <c r="Y1264" s="509" t="b">
        <f t="shared" si="944"/>
        <v>0</v>
      </c>
      <c r="Z1264" s="510">
        <f t="shared" si="945"/>
        <v>0</v>
      </c>
      <c r="AA1264" s="511"/>
      <c r="AB1264" s="511" t="str">
        <f t="shared" si="946"/>
        <v/>
      </c>
      <c r="AC1264" s="698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698"/>
      <c r="AE1264" s="631" t="str">
        <f t="shared" si="947"/>
        <v/>
      </c>
      <c r="AF1264" s="699" t="str">
        <f t="shared" si="948"/>
        <v/>
      </c>
      <c r="AG1264" s="699"/>
      <c r="AH1264" s="699"/>
      <c r="AI1264" s="512">
        <f>IF(H1264="credit",0,IF(AE1264="free",0,IF(AE1264="me",0,IF(G1264&gt;0,(VLOOKUP(A1264,'Discount Lookup'!J:K,2)*G1264),0))))</f>
        <v>0</v>
      </c>
      <c r="AJ1264" s="513" t="str">
        <f t="shared" ca="1" si="949"/>
        <v/>
      </c>
      <c r="AK1264" s="700" t="str">
        <f t="shared" si="950"/>
        <v/>
      </c>
      <c r="AL1264" s="700"/>
      <c r="AM1264" s="505" t="str">
        <f t="shared" si="951"/>
        <v/>
      </c>
      <c r="AN1264" s="506"/>
      <c r="AO1264" s="507"/>
      <c r="AP1264" s="507"/>
      <c r="AQ1264" s="507"/>
      <c r="AR1264" s="507"/>
      <c r="AS1264" s="507"/>
      <c r="AT1264" s="507"/>
      <c r="AU1264" s="507"/>
      <c r="AV1264" s="225"/>
      <c r="AW1264" s="508"/>
      <c r="AX1264" s="225"/>
      <c r="AY1264" s="225"/>
      <c r="AZ1264" s="225"/>
      <c r="BA1264" s="225"/>
      <c r="BB1264" s="225"/>
      <c r="BC1264" s="56"/>
      <c r="BD1264" s="56"/>
      <c r="BE1264" s="56"/>
      <c r="BF1264" s="107" t="str">
        <f t="shared" si="952"/>
        <v>https://www.google.com/search?tbm=isch&amp;q=Ever%20After%E2%84%A2%20Pink%20Reblooming%20Azalea%20%28BE%C2%AE%29%20Rhod.%20%27RLH2-3P8-2%27%20PP%2331116</v>
      </c>
      <c r="BG1264" s="107" t="str">
        <f t="shared" si="953"/>
        <v>E</v>
      </c>
      <c r="BH1264" s="254"/>
      <c r="BI1264" s="254"/>
    </row>
    <row r="1265" spans="1:61" customFormat="1" ht="15.75" x14ac:dyDescent="0.25">
      <c r="A1265" s="485">
        <v>3</v>
      </c>
      <c r="B1265" s="486" t="s">
        <v>291</v>
      </c>
      <c r="C1265" s="487" t="s">
        <v>4292</v>
      </c>
      <c r="D1265" s="488" t="s">
        <v>299</v>
      </c>
      <c r="E1265" s="489">
        <v>40.950000000000003</v>
      </c>
      <c r="F1265" s="516" t="s">
        <v>293</v>
      </c>
      <c r="G1265" s="232">
        <v>0</v>
      </c>
      <c r="H1265" s="658" t="str">
        <f>IF(G1265=0,"",IF(F1265="Buy",IF(G1265=1,"plant","plants"),IF(F1265&gt;0.01,"warranty","Error")))</f>
        <v/>
      </c>
      <c r="I1265" s="490">
        <f>IF(H1265="free",0,IF(H1265="credit",((E1265*(F1265))*G1265*-1),IF(F1265="Buy",(E1265*G1265),((E1265*(1-F1265))*G1265))))</f>
        <v>0</v>
      </c>
      <c r="J1265" s="490">
        <f>IF(H1265="warranty",0,(I1265*(_xlfn.SINGLE(SalesTaxPercentage))))</f>
        <v>0</v>
      </c>
      <c r="K1265" s="695">
        <f t="shared" ref="K1265" si="972">I1265+J1265</f>
        <v>0</v>
      </c>
      <c r="L1265" s="695"/>
      <c r="M1265" s="659" t="str">
        <f>IF(AND(G1265&gt;0,E1265=0),"WARNING - no PRICE inserted",IF(H1265="free"," FREE ~ no charge this plant",IF(H1265="credit",CONCATENATE(" -$",ROUND(K1265*(1-T2GDiscount)*-1,2)," CREDIT after discount"),IF(T2GDiscount=0,"",IF(G1265=0,"",IF(F1265="Buy",CONCATENATE(" $",ROUND(K1265*(1-T2GDiscount),2)," with ",(T2GDiscount*100),"% discount"),CONCATENATE(" $",ROUND(K1265*(1-T2GDiscount),2)," with ",((T2GDiscount*100+F1265*100)-(T2GDiscount*100*F1265)),IF(F1265&gt;0,"% discounts",IF(NoWarrantyDiscount&gt;0,"% discounts","% discount")))))))))</f>
        <v/>
      </c>
      <c r="N1265" s="660"/>
      <c r="O1265" s="233"/>
      <c r="P1265" s="233"/>
      <c r="Q1265" s="233"/>
      <c r="R1265" s="233"/>
      <c r="S1265" s="233"/>
      <c r="T1265" s="508">
        <f t="shared" si="941"/>
        <v>0</v>
      </c>
      <c r="U1265" s="225">
        <f>IF(NOT(ISNUMBER(G1265)), "", VLOOKUP(A1265,'Discount Lookup'!D:E,2,FALSE)*G1265)</f>
        <v>0</v>
      </c>
      <c r="V1265" s="225">
        <f>IF(NOT(ISNUMBER(G1265)), "", VLOOKUP(A1265,'Discount Lookup'!G:H,2,FALSE)*G1265)</f>
        <v>0</v>
      </c>
      <c r="W1265" s="508">
        <f t="shared" si="942"/>
        <v>0</v>
      </c>
      <c r="X1265" s="508">
        <f t="shared" si="943"/>
        <v>0</v>
      </c>
      <c r="Y1265" s="509" t="b">
        <f t="shared" si="944"/>
        <v>0</v>
      </c>
      <c r="Z1265" s="510">
        <f t="shared" si="945"/>
        <v>0</v>
      </c>
      <c r="AA1265" s="511"/>
      <c r="AB1265" s="511" t="str">
        <f t="shared" si="946"/>
        <v/>
      </c>
      <c r="AC1265" s="698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698"/>
      <c r="AE1265" s="631" t="str">
        <f t="shared" si="947"/>
        <v/>
      </c>
      <c r="AF1265" s="699" t="str">
        <f t="shared" si="948"/>
        <v/>
      </c>
      <c r="AG1265" s="699"/>
      <c r="AH1265" s="699"/>
      <c r="AI1265" s="512">
        <f>IF(H1265="credit",0,IF(AE1265="free",0,IF(AE1265="me",0,IF(G1265&gt;0,(VLOOKUP(A1265,'Discount Lookup'!J:K,2)*G1265),0))))</f>
        <v>0</v>
      </c>
      <c r="AJ1265" s="513" t="str">
        <f t="shared" ca="1" si="949"/>
        <v/>
      </c>
      <c r="AK1265" s="700" t="str">
        <f t="shared" si="950"/>
        <v/>
      </c>
      <c r="AL1265" s="700"/>
      <c r="AM1265" s="505" t="str">
        <f t="shared" si="951"/>
        <v/>
      </c>
      <c r="AN1265" s="506"/>
      <c r="AO1265" s="507"/>
      <c r="AP1265" s="507"/>
      <c r="AQ1265" s="507"/>
      <c r="AR1265" s="507"/>
      <c r="AS1265" s="507"/>
      <c r="AT1265" s="507"/>
      <c r="AU1265" s="507"/>
      <c r="AV1265" s="225"/>
      <c r="AW1265" s="508"/>
      <c r="AX1265" s="225"/>
      <c r="AY1265" s="225"/>
      <c r="AZ1265" s="225"/>
      <c r="BA1265" s="225"/>
      <c r="BB1265" s="225"/>
      <c r="BC1265" s="56"/>
      <c r="BD1265" s="56"/>
      <c r="BE1265" s="56"/>
      <c r="BF1265" s="107" t="str">
        <f t="shared" si="952"/>
        <v>https://www.google.com/search?tbm=isch&amp;q=3%20G5</v>
      </c>
      <c r="BG1265" s="107" t="str">
        <f t="shared" si="953"/>
        <v>E</v>
      </c>
      <c r="BH1265" s="254"/>
      <c r="BI1265" s="254"/>
    </row>
    <row r="1266" spans="1:61" customFormat="1" ht="15.75" x14ac:dyDescent="0.25">
      <c r="A1266" s="485">
        <v>3</v>
      </c>
      <c r="B1266" s="486" t="s">
        <v>291</v>
      </c>
      <c r="C1266" s="487" t="s">
        <v>2202</v>
      </c>
      <c r="D1266" s="488" t="s">
        <v>300</v>
      </c>
      <c r="E1266" s="489">
        <v>45.95</v>
      </c>
      <c r="F1266" s="516" t="s">
        <v>293</v>
      </c>
      <c r="G1266" s="232">
        <v>0</v>
      </c>
      <c r="H1266" s="658" t="str">
        <f>IF(G1266=0,"",IF(F1266="Buy",IF(G1266=1,"plant","plants"),IF(F1266&gt;0.01,"warranty","Error")))</f>
        <v/>
      </c>
      <c r="I1266" s="490">
        <f>IF(H1266="free",0,IF(H1266="credit",((E1266*(F1266))*G1266*-1),IF(F1266="Buy",(E1266*G1266),((E1266*(1-F1266))*G1266))))</f>
        <v>0</v>
      </c>
      <c r="J1266" s="490">
        <f>IF(H1266="warranty",0,(I1266*(_xlfn.SINGLE(SalesTaxPercentage))))</f>
        <v>0</v>
      </c>
      <c r="K1266" s="695">
        <f t="shared" ref="K1266" si="973">I1266+J1266</f>
        <v>0</v>
      </c>
      <c r="L1266" s="695"/>
      <c r="M1266" s="659" t="str">
        <f>IF(AND(G1266&gt;0,E1266=0),"WARNING - no PRICE inserted",IF(H1266="free"," FREE ~ no charge this plant",IF(H1266="credit",CONCATENATE(" -$",ROUND(K1266*(1-T2GDiscount)*-1,2)," CREDIT after discount"),IF(T2GDiscount=0,"",IF(G1266=0,"",IF(F1266="Buy",CONCATENATE(" $",ROUND(K1266*(1-T2GDiscount),2)," with ",(T2GDiscount*100),"% discount"),CONCATENATE(" $",ROUND(K1266*(1-T2GDiscount),2)," with ",((T2GDiscount*100+F1266*100)-(T2GDiscount*100*F1266)),IF(F1266&gt;0,"% discounts",IF(NoWarrantyDiscount&gt;0,"% discounts","% discount")))))))))</f>
        <v/>
      </c>
      <c r="N1266" s="660"/>
      <c r="O1266" s="233"/>
      <c r="P1266" s="233"/>
      <c r="Q1266" s="233"/>
      <c r="R1266" s="233"/>
      <c r="S1266" s="233"/>
      <c r="T1266" s="508">
        <f t="shared" si="941"/>
        <v>0</v>
      </c>
      <c r="U1266" s="225">
        <f>IF(NOT(ISNUMBER(G1266)), "", VLOOKUP(A1266,'Discount Lookup'!D:E,2,FALSE)*G1266)</f>
        <v>0</v>
      </c>
      <c r="V1266" s="225">
        <f>IF(NOT(ISNUMBER(G1266)), "", VLOOKUP(A1266,'Discount Lookup'!G:H,2,FALSE)*G1266)</f>
        <v>0</v>
      </c>
      <c r="W1266" s="508">
        <f t="shared" si="942"/>
        <v>0</v>
      </c>
      <c r="X1266" s="508">
        <f t="shared" si="943"/>
        <v>0</v>
      </c>
      <c r="Y1266" s="509" t="b">
        <f t="shared" si="944"/>
        <v>0</v>
      </c>
      <c r="Z1266" s="510">
        <f t="shared" si="945"/>
        <v>0</v>
      </c>
      <c r="AA1266" s="511"/>
      <c r="AB1266" s="511" t="str">
        <f t="shared" si="946"/>
        <v/>
      </c>
      <c r="AC1266" s="698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698"/>
      <c r="AE1266" s="631" t="str">
        <f t="shared" si="947"/>
        <v/>
      </c>
      <c r="AF1266" s="699" t="str">
        <f t="shared" si="948"/>
        <v/>
      </c>
      <c r="AG1266" s="699"/>
      <c r="AH1266" s="699"/>
      <c r="AI1266" s="512">
        <f>IF(H1266="credit",0,IF(AE1266="free",0,IF(AE1266="me",0,IF(G1266&gt;0,(VLOOKUP(A1266,'Discount Lookup'!J:K,2)*G1266),0))))</f>
        <v>0</v>
      </c>
      <c r="AJ1266" s="513" t="str">
        <f t="shared" ca="1" si="949"/>
        <v/>
      </c>
      <c r="AK1266" s="700" t="str">
        <f t="shared" si="950"/>
        <v/>
      </c>
      <c r="AL1266" s="700"/>
      <c r="AM1266" s="505" t="str">
        <f t="shared" si="951"/>
        <v/>
      </c>
      <c r="AN1266" s="506"/>
      <c r="AO1266" s="507"/>
      <c r="AP1266" s="507"/>
      <c r="AQ1266" s="507"/>
      <c r="AR1266" s="507"/>
      <c r="AS1266" s="507"/>
      <c r="AT1266" s="507"/>
      <c r="AU1266" s="507"/>
      <c r="AV1266" s="225"/>
      <c r="AW1266" s="508"/>
      <c r="AX1266" s="225"/>
      <c r="AY1266" s="225"/>
      <c r="AZ1266" s="225"/>
      <c r="BA1266" s="225"/>
      <c r="BB1266" s="225"/>
      <c r="BC1266" s="56"/>
      <c r="BD1266" s="56"/>
      <c r="BE1266" s="56"/>
      <c r="BF1266" s="107" t="str">
        <f t="shared" si="952"/>
        <v>https://www.google.com/search?tbm=isch&amp;q=3%20G6</v>
      </c>
      <c r="BG1266" s="107" t="str">
        <f t="shared" si="953"/>
        <v>E</v>
      </c>
      <c r="BH1266" s="254"/>
      <c r="BI1266" s="254"/>
    </row>
    <row r="1267" spans="1:61" customFormat="1" ht="17.25" thickBot="1" x14ac:dyDescent="0.3">
      <c r="A1267" s="522" t="s">
        <v>4087</v>
      </c>
      <c r="B1267" s="491"/>
      <c r="C1267" s="675"/>
      <c r="D1267" s="491"/>
      <c r="E1267" s="491"/>
      <c r="F1267" s="492"/>
      <c r="G1267" s="493"/>
      <c r="H1267" s="491"/>
      <c r="I1267" s="234"/>
      <c r="J1267" s="234"/>
      <c r="K1267" s="494"/>
      <c r="L1267" s="543"/>
      <c r="M1267" s="561"/>
      <c r="N1267" s="495"/>
      <c r="O1267" s="496"/>
      <c r="P1267" s="497"/>
      <c r="Q1267" s="495"/>
      <c r="R1267" s="495"/>
      <c r="S1267" s="667" t="s">
        <v>4988</v>
      </c>
      <c r="T1267" s="508">
        <f t="shared" si="941"/>
        <v>0</v>
      </c>
      <c r="U1267" s="225" t="str">
        <f>IF(NOT(ISNUMBER(G1267)), "", VLOOKUP(A1267,'Discount Lookup'!D:E,2,FALSE)*G1267)</f>
        <v/>
      </c>
      <c r="V1267" s="225" t="str">
        <f>IF(NOT(ISNUMBER(G1267)), "", VLOOKUP(A1267,'Discount Lookup'!G:H,2,FALSE)*G1267)</f>
        <v/>
      </c>
      <c r="W1267" s="508">
        <f t="shared" si="942"/>
        <v>0</v>
      </c>
      <c r="X1267" s="508">
        <f t="shared" si="943"/>
        <v>0</v>
      </c>
      <c r="Y1267" s="509" t="b">
        <f t="shared" si="944"/>
        <v>0</v>
      </c>
      <c r="Z1267" s="510">
        <f t="shared" si="945"/>
        <v>0</v>
      </c>
      <c r="AA1267" s="511"/>
      <c r="AB1267" s="511" t="str">
        <f t="shared" si="946"/>
        <v/>
      </c>
      <c r="AC1267" s="698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698"/>
      <c r="AE1267" s="631" t="str">
        <f t="shared" si="947"/>
        <v/>
      </c>
      <c r="AF1267" s="699" t="str">
        <f t="shared" si="948"/>
        <v/>
      </c>
      <c r="AG1267" s="699"/>
      <c r="AH1267" s="699"/>
      <c r="AI1267" s="512">
        <f>IF(H1267="credit",0,IF(AE1267="free",0,IF(AE1267="me",0,IF(G1267&gt;0,(VLOOKUP(A1267,'Discount Lookup'!J:K,2)*G1267),0))))</f>
        <v>0</v>
      </c>
      <c r="AJ1267" s="513" t="str">
        <f t="shared" ca="1" si="949"/>
        <v/>
      </c>
      <c r="AK1267" s="700" t="str">
        <f t="shared" si="950"/>
        <v/>
      </c>
      <c r="AL1267" s="700"/>
      <c r="AM1267" s="505" t="str">
        <f t="shared" si="951"/>
        <v/>
      </c>
      <c r="AN1267" s="506"/>
      <c r="AO1267" s="507"/>
      <c r="AP1267" s="507"/>
      <c r="AQ1267" s="507"/>
      <c r="AR1267" s="507"/>
      <c r="AS1267" s="507"/>
      <c r="AT1267" s="507"/>
      <c r="AU1267" s="507"/>
      <c r="AV1267" s="225"/>
      <c r="AW1267" s="508"/>
      <c r="AX1267" s="225"/>
      <c r="AY1267" s="225"/>
      <c r="AZ1267" s="225"/>
      <c r="BA1267" s="225"/>
      <c r="BB1267" s="225"/>
      <c r="BC1267" s="56"/>
      <c r="BD1267" s="56"/>
      <c r="BE1267" s="56"/>
      <c r="BF1267" s="107" t="str">
        <f t="shared" si="952"/>
        <v>https://www.google.com/search?tbm=isch&amp;q=Ever%20After%20Pink%20flowers%20from%20spring%20through%20fall%2C%20with%20high%20cold%20and%20heat%20tolerance.%20Tidy%20habit%20and%20good%20pollinator%20appeal%20</v>
      </c>
      <c r="BG1267" s="107" t="str">
        <f t="shared" si="953"/>
        <v>E</v>
      </c>
      <c r="BH1267" s="254"/>
      <c r="BI1267" s="254"/>
    </row>
    <row r="1268" spans="1:61" customFormat="1" ht="18" x14ac:dyDescent="0.25">
      <c r="A1268" s="521" t="s">
        <v>5402</v>
      </c>
      <c r="B1268" s="477"/>
      <c r="C1268" s="674"/>
      <c r="D1268" s="478" t="s">
        <v>2747</v>
      </c>
      <c r="E1268" s="479"/>
      <c r="F1268" s="479"/>
      <c r="G1268" s="479"/>
      <c r="H1268" s="582" t="s">
        <v>356</v>
      </c>
      <c r="I1268" s="480" t="s">
        <v>2748</v>
      </c>
      <c r="J1268" s="479"/>
      <c r="K1268" s="479"/>
      <c r="L1268" s="560"/>
      <c r="M1268" s="666" t="s">
        <v>4966</v>
      </c>
      <c r="N1268" s="680" t="str">
        <f>IF(AND(ISTEXT($A1268), ISERROR($A1268+0)), HYPERLINK($BF1268, "Images"), "")</f>
        <v>Images</v>
      </c>
      <c r="O1268" s="662" t="s">
        <v>4967</v>
      </c>
      <c r="P1268" s="482"/>
      <c r="Q1268" s="483"/>
      <c r="R1268" s="483"/>
      <c r="S1268" s="484"/>
      <c r="T1268" s="508">
        <f t="shared" si="941"/>
        <v>0</v>
      </c>
      <c r="U1268" s="225" t="str">
        <f>IF(NOT(ISNUMBER(G1268)), "", VLOOKUP(A1268,'Discount Lookup'!D:E,2,FALSE)*G1268)</f>
        <v/>
      </c>
      <c r="V1268" s="225" t="str">
        <f>IF(NOT(ISNUMBER(G1268)), "", VLOOKUP(A1268,'Discount Lookup'!G:H,2,FALSE)*G1268)</f>
        <v/>
      </c>
      <c r="W1268" s="508">
        <f t="shared" si="942"/>
        <v>0</v>
      </c>
      <c r="X1268" s="508" t="str">
        <f t="shared" si="943"/>
        <v>Cherry Red bloom</v>
      </c>
      <c r="Y1268" s="509" t="b">
        <f t="shared" si="944"/>
        <v>0</v>
      </c>
      <c r="Z1268" s="510">
        <f t="shared" si="945"/>
        <v>0</v>
      </c>
      <c r="AA1268" s="511"/>
      <c r="AB1268" s="511" t="str">
        <f t="shared" si="946"/>
        <v/>
      </c>
      <c r="AC1268" s="698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698"/>
      <c r="AE1268" s="631" t="str">
        <f t="shared" si="947"/>
        <v/>
      </c>
      <c r="AF1268" s="699" t="str">
        <f t="shared" si="948"/>
        <v/>
      </c>
      <c r="AG1268" s="699"/>
      <c r="AH1268" s="699"/>
      <c r="AI1268" s="512">
        <f>IF(H1268="credit",0,IF(AE1268="free",0,IF(AE1268="me",0,IF(G1268&gt;0,(VLOOKUP(A1268,'Discount Lookup'!J:K,2)*G1268),0))))</f>
        <v>0</v>
      </c>
      <c r="AJ1268" s="513" t="str">
        <f t="shared" ca="1" si="949"/>
        <v/>
      </c>
      <c r="AK1268" s="700" t="str">
        <f t="shared" si="950"/>
        <v/>
      </c>
      <c r="AL1268" s="700"/>
      <c r="AM1268" s="505" t="str">
        <f t="shared" si="951"/>
        <v/>
      </c>
      <c r="AN1268" s="506"/>
      <c r="AO1268" s="507"/>
      <c r="AP1268" s="507"/>
      <c r="AQ1268" s="507"/>
      <c r="AR1268" s="507"/>
      <c r="AS1268" s="507"/>
      <c r="AT1268" s="507"/>
      <c r="AU1268" s="507"/>
      <c r="AV1268" s="225"/>
      <c r="AW1268" s="508"/>
      <c r="AX1268" s="225"/>
      <c r="AY1268" s="225"/>
      <c r="AZ1268" s="225"/>
      <c r="BA1268" s="225"/>
      <c r="BB1268" s="225"/>
      <c r="BC1268" s="56"/>
      <c r="BD1268" s="56"/>
      <c r="BE1268" s="56"/>
      <c r="BF1268" s="107" t="str">
        <f t="shared" si="952"/>
        <v>https://www.google.com/search?tbm=isch&amp;q=Ever%20Red%C2%AE%20Loropetalum%20Loropetalum%20chin.%20var.%20r.%20%27Chang%20Nian%20Hong%27</v>
      </c>
      <c r="BG1268" s="107" t="str">
        <f t="shared" si="953"/>
        <v>E</v>
      </c>
      <c r="BH1268" s="254"/>
      <c r="BI1268" s="254"/>
    </row>
    <row r="1269" spans="1:61" customFormat="1" ht="15.75" x14ac:dyDescent="0.25">
      <c r="A1269" s="485">
        <v>3</v>
      </c>
      <c r="B1269" s="486" t="s">
        <v>291</v>
      </c>
      <c r="C1269" s="487" t="s">
        <v>3463</v>
      </c>
      <c r="D1269" s="488" t="s">
        <v>292</v>
      </c>
      <c r="E1269" s="489">
        <v>31.95</v>
      </c>
      <c r="F1269" s="516" t="s">
        <v>293</v>
      </c>
      <c r="G1269" s="232">
        <v>0</v>
      </c>
      <c r="H1269" s="658" t="str">
        <f>IF(G1269=0,"",IF(F1269="Buy",IF(G1269=1,"plant","plants"),IF(F1269&gt;0.01,"warranty","Error")))</f>
        <v/>
      </c>
      <c r="I1269" s="490">
        <f>IF(H1269="free",0,IF(H1269="credit",((E1269*(F1269))*G1269*-1),IF(F1269="Buy",(E1269*G1269),((E1269*(1-F1269))*G1269))))</f>
        <v>0</v>
      </c>
      <c r="J1269" s="490">
        <f>IF(H1269="warranty",0,(I1269*(_xlfn.SINGLE(SalesTaxPercentage))))</f>
        <v>0</v>
      </c>
      <c r="K1269" s="695">
        <f t="shared" ref="K1269" si="974">I1269+J1269</f>
        <v>0</v>
      </c>
      <c r="L1269" s="695"/>
      <c r="M1269" s="659" t="str">
        <f>IF(AND(G1269&gt;0,E1269=0),"WARNING - no PRICE inserted",IF(H1269="free"," FREE ~ no charge this plant",IF(H1269="credit",CONCATENATE(" -$",ROUND(K1269*(1-T2GDiscount)*-1,2)," CREDIT after discount"),IF(T2GDiscount=0,"",IF(G1269=0,"",IF(F1269="Buy",CONCATENATE(" $",ROUND(K1269*(1-T2GDiscount),2)," with ",(T2GDiscount*100),"% discount"),CONCATENATE(" $",ROUND(K1269*(1-T2GDiscount),2)," with ",((T2GDiscount*100+F1269*100)-(T2GDiscount*100*F1269)),IF(F1269&gt;0,"% discounts",IF(NoWarrantyDiscount&gt;0,"% discounts","% discount")))))))))</f>
        <v/>
      </c>
      <c r="N1269" s="660"/>
      <c r="O1269" s="233"/>
      <c r="P1269" s="233"/>
      <c r="Q1269" s="233"/>
      <c r="R1269" s="233"/>
      <c r="S1269" s="233"/>
      <c r="T1269" s="508">
        <f t="shared" si="941"/>
        <v>0</v>
      </c>
      <c r="U1269" s="225">
        <f>IF(NOT(ISNUMBER(G1269)), "", VLOOKUP(A1269,'Discount Lookup'!D:E,2,FALSE)*G1269)</f>
        <v>0</v>
      </c>
      <c r="V1269" s="225">
        <f>IF(NOT(ISNUMBER(G1269)), "", VLOOKUP(A1269,'Discount Lookup'!G:H,2,FALSE)*G1269)</f>
        <v>0</v>
      </c>
      <c r="W1269" s="508">
        <f t="shared" si="942"/>
        <v>0</v>
      </c>
      <c r="X1269" s="508">
        <f t="shared" si="943"/>
        <v>0</v>
      </c>
      <c r="Y1269" s="509" t="b">
        <f t="shared" si="944"/>
        <v>0</v>
      </c>
      <c r="Z1269" s="510">
        <f t="shared" si="945"/>
        <v>0</v>
      </c>
      <c r="AA1269" s="511"/>
      <c r="AB1269" s="511" t="str">
        <f t="shared" si="946"/>
        <v/>
      </c>
      <c r="AC1269" s="698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698"/>
      <c r="AE1269" s="631" t="str">
        <f t="shared" si="947"/>
        <v/>
      </c>
      <c r="AF1269" s="699" t="str">
        <f t="shared" si="948"/>
        <v/>
      </c>
      <c r="AG1269" s="699"/>
      <c r="AH1269" s="699"/>
      <c r="AI1269" s="512">
        <f>IF(H1269="credit",0,IF(AE1269="free",0,IF(AE1269="me",0,IF(G1269&gt;0,(VLOOKUP(A1269,'Discount Lookup'!J:K,2)*G1269),0))))</f>
        <v>0</v>
      </c>
      <c r="AJ1269" s="513" t="str">
        <f t="shared" ca="1" si="949"/>
        <v/>
      </c>
      <c r="AK1269" s="700" t="str">
        <f t="shared" si="950"/>
        <v/>
      </c>
      <c r="AL1269" s="700"/>
      <c r="AM1269" s="505" t="str">
        <f t="shared" si="951"/>
        <v/>
      </c>
      <c r="AN1269" s="506"/>
      <c r="AO1269" s="507"/>
      <c r="AP1269" s="507"/>
      <c r="AQ1269" s="507"/>
      <c r="AR1269" s="507"/>
      <c r="AS1269" s="507"/>
      <c r="AT1269" s="507"/>
      <c r="AU1269" s="507"/>
      <c r="AV1269" s="225"/>
      <c r="AW1269" s="508"/>
      <c r="AX1269" s="225"/>
      <c r="AY1269" s="225"/>
      <c r="AZ1269" s="225"/>
      <c r="BA1269" s="225"/>
      <c r="BB1269" s="225"/>
      <c r="BC1269" s="56"/>
      <c r="BD1269" s="56"/>
      <c r="BE1269" s="56"/>
      <c r="BF1269" s="107" t="str">
        <f t="shared" si="952"/>
        <v>https://www.google.com/search?tbm=isch&amp;q=3%20G4</v>
      </c>
      <c r="BG1269" s="107" t="str">
        <f t="shared" si="953"/>
        <v>E</v>
      </c>
      <c r="BH1269" s="254"/>
      <c r="BI1269" s="254"/>
    </row>
    <row r="1270" spans="1:61" customFormat="1" ht="15.75" x14ac:dyDescent="0.25">
      <c r="A1270" s="485">
        <v>3</v>
      </c>
      <c r="B1270" s="486" t="s">
        <v>291</v>
      </c>
      <c r="C1270" s="487" t="s">
        <v>4756</v>
      </c>
      <c r="D1270" s="488" t="s">
        <v>312</v>
      </c>
      <c r="E1270" s="489">
        <v>37.950000000000003</v>
      </c>
      <c r="F1270" s="516" t="s">
        <v>293</v>
      </c>
      <c r="G1270" s="232">
        <v>0</v>
      </c>
      <c r="H1270" s="658" t="str">
        <f>IF(G1270=0,"",IF(F1270="Buy",IF(G1270=1,"plant","plants"),IF(F1270&gt;0.01,"warranty","Error")))</f>
        <v/>
      </c>
      <c r="I1270" s="490">
        <f>IF(H1270="free",0,IF(H1270="credit",((E1270*(F1270))*G1270*-1),IF(F1270="Buy",(E1270*G1270),((E1270*(1-F1270))*G1270))))</f>
        <v>0</v>
      </c>
      <c r="J1270" s="490">
        <f>IF(H1270="warranty",0,(I1270*(_xlfn.SINGLE(SalesTaxPercentage))))</f>
        <v>0</v>
      </c>
      <c r="K1270" s="695">
        <f t="shared" ref="K1270" si="975">I1270+J1270</f>
        <v>0</v>
      </c>
      <c r="L1270" s="695"/>
      <c r="M1270" s="659" t="str">
        <f>IF(AND(G1270&gt;0,E1270=0),"WARNING - no PRICE inserted",IF(H1270="free"," FREE ~ no charge this plant",IF(H1270="credit",CONCATENATE(" -$",ROUND(K1270*(1-T2GDiscount)*-1,2)," CREDIT after discount"),IF(T2GDiscount=0,"",IF(G1270=0,"",IF(F1270="Buy",CONCATENATE(" $",ROUND(K1270*(1-T2GDiscount),2)," with ",(T2GDiscount*100),"% discount"),CONCATENATE(" $",ROUND(K1270*(1-T2GDiscount),2)," with ",((T2GDiscount*100+F1270*100)-(T2GDiscount*100*F1270)),IF(F1270&gt;0,"% discounts",IF(NoWarrantyDiscount&gt;0,"% discounts","% discount")))))))))</f>
        <v/>
      </c>
      <c r="N1270" s="660"/>
      <c r="O1270" s="233"/>
      <c r="P1270" s="233"/>
      <c r="Q1270" s="233"/>
      <c r="R1270" s="233"/>
      <c r="S1270" s="233"/>
      <c r="T1270" s="508">
        <f t="shared" si="941"/>
        <v>0</v>
      </c>
      <c r="U1270" s="225">
        <f>IF(NOT(ISNUMBER(G1270)), "", VLOOKUP(A1270,'Discount Lookup'!D:E,2,FALSE)*G1270)</f>
        <v>0</v>
      </c>
      <c r="V1270" s="225">
        <f>IF(NOT(ISNUMBER(G1270)), "", VLOOKUP(A1270,'Discount Lookup'!G:H,2,FALSE)*G1270)</f>
        <v>0</v>
      </c>
      <c r="W1270" s="508">
        <f t="shared" si="942"/>
        <v>0</v>
      </c>
      <c r="X1270" s="508">
        <f t="shared" si="943"/>
        <v>0</v>
      </c>
      <c r="Y1270" s="509" t="b">
        <f t="shared" si="944"/>
        <v>0</v>
      </c>
      <c r="Z1270" s="510">
        <f t="shared" si="945"/>
        <v>0</v>
      </c>
      <c r="AA1270" s="511"/>
      <c r="AB1270" s="511" t="str">
        <f t="shared" si="946"/>
        <v/>
      </c>
      <c r="AC1270" s="698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698"/>
      <c r="AE1270" s="631" t="str">
        <f t="shared" si="947"/>
        <v/>
      </c>
      <c r="AF1270" s="699" t="str">
        <f t="shared" si="948"/>
        <v/>
      </c>
      <c r="AG1270" s="699"/>
      <c r="AH1270" s="699"/>
      <c r="AI1270" s="512">
        <f>IF(H1270="credit",0,IF(AE1270="free",0,IF(AE1270="me",0,IF(G1270&gt;0,(VLOOKUP(A1270,'Discount Lookup'!J:K,2)*G1270),0))))</f>
        <v>0</v>
      </c>
      <c r="AJ1270" s="513" t="str">
        <f t="shared" ca="1" si="949"/>
        <v/>
      </c>
      <c r="AK1270" s="700" t="str">
        <f t="shared" si="950"/>
        <v/>
      </c>
      <c r="AL1270" s="700"/>
      <c r="AM1270" s="505" t="str">
        <f t="shared" si="951"/>
        <v/>
      </c>
      <c r="AN1270" s="506"/>
      <c r="AO1270" s="507"/>
      <c r="AP1270" s="507"/>
      <c r="AQ1270" s="507"/>
      <c r="AR1270" s="507"/>
      <c r="AS1270" s="507"/>
      <c r="AT1270" s="507"/>
      <c r="AU1270" s="507"/>
      <c r="AV1270" s="225"/>
      <c r="AW1270" s="508"/>
      <c r="AX1270" s="225"/>
      <c r="AY1270" s="225"/>
      <c r="AZ1270" s="225"/>
      <c r="BA1270" s="225"/>
      <c r="BB1270" s="225"/>
      <c r="BC1270" s="56"/>
      <c r="BD1270" s="56"/>
      <c r="BE1270" s="56"/>
      <c r="BF1270" s="107" t="str">
        <f t="shared" si="952"/>
        <v>https://www.google.com/search?tbm=isch&amp;q=3%20G2</v>
      </c>
      <c r="BG1270" s="107" t="str">
        <f t="shared" si="953"/>
        <v>E</v>
      </c>
      <c r="BH1270" s="254"/>
      <c r="BI1270" s="254"/>
    </row>
    <row r="1271" spans="1:61" customFormat="1" ht="16.5" thickBot="1" x14ac:dyDescent="0.3">
      <c r="A1271" s="522" t="s">
        <v>2930</v>
      </c>
      <c r="B1271" s="491"/>
      <c r="C1271" s="675"/>
      <c r="D1271" s="491"/>
      <c r="E1271" s="491"/>
      <c r="F1271" s="492"/>
      <c r="G1271" s="493"/>
      <c r="H1271" s="491"/>
      <c r="I1271" s="234"/>
      <c r="J1271" s="234"/>
      <c r="K1271" s="494"/>
      <c r="L1271" s="543"/>
      <c r="M1271" s="561"/>
      <c r="N1271" s="495"/>
      <c r="O1271" s="496"/>
      <c r="P1271" s="497"/>
      <c r="Q1271" s="495"/>
      <c r="R1271" s="495"/>
      <c r="S1271" s="277"/>
      <c r="T1271" s="508">
        <f t="shared" si="941"/>
        <v>0</v>
      </c>
      <c r="U1271" s="225" t="str">
        <f>IF(NOT(ISNUMBER(G1271)), "", VLOOKUP(A1271,'Discount Lookup'!D:E,2,FALSE)*G1271)</f>
        <v/>
      </c>
      <c r="V1271" s="225" t="str">
        <f>IF(NOT(ISNUMBER(G1271)), "", VLOOKUP(A1271,'Discount Lookup'!G:H,2,FALSE)*G1271)</f>
        <v/>
      </c>
      <c r="W1271" s="508">
        <f t="shared" si="942"/>
        <v>0</v>
      </c>
      <c r="X1271" s="508">
        <f t="shared" si="943"/>
        <v>0</v>
      </c>
      <c r="Y1271" s="509" t="b">
        <f t="shared" si="944"/>
        <v>0</v>
      </c>
      <c r="Z1271" s="510">
        <f t="shared" si="945"/>
        <v>0</v>
      </c>
      <c r="AA1271" s="511"/>
      <c r="AB1271" s="511" t="str">
        <f t="shared" si="946"/>
        <v/>
      </c>
      <c r="AC1271" s="698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698"/>
      <c r="AE1271" s="631" t="str">
        <f t="shared" si="947"/>
        <v/>
      </c>
      <c r="AF1271" s="699" t="str">
        <f t="shared" si="948"/>
        <v/>
      </c>
      <c r="AG1271" s="699"/>
      <c r="AH1271" s="699"/>
      <c r="AI1271" s="512">
        <f>IF(H1271="credit",0,IF(AE1271="free",0,IF(AE1271="me",0,IF(G1271&gt;0,(VLOOKUP(A1271,'Discount Lookup'!J:K,2)*G1271),0))))</f>
        <v>0</v>
      </c>
      <c r="AJ1271" s="513" t="str">
        <f t="shared" ca="1" si="949"/>
        <v/>
      </c>
      <c r="AK1271" s="700" t="str">
        <f t="shared" si="950"/>
        <v/>
      </c>
      <c r="AL1271" s="700"/>
      <c r="AM1271" s="505" t="str">
        <f t="shared" si="951"/>
        <v/>
      </c>
      <c r="AN1271" s="506"/>
      <c r="AO1271" s="507"/>
      <c r="AP1271" s="507"/>
      <c r="AQ1271" s="507"/>
      <c r="AR1271" s="507"/>
      <c r="AS1271" s="507"/>
      <c r="AT1271" s="507"/>
      <c r="AU1271" s="507"/>
      <c r="AV1271" s="225"/>
      <c r="AW1271" s="508"/>
      <c r="AX1271" s="225"/>
      <c r="AY1271" s="225"/>
      <c r="AZ1271" s="225"/>
      <c r="BA1271" s="225"/>
      <c r="BB1271" s="225"/>
      <c r="BC1271" s="56"/>
      <c r="BD1271" s="56"/>
      <c r="BE1271" s="56"/>
      <c r="BF1271" s="107" t="str">
        <f t="shared" si="952"/>
        <v>https://www.google.com/search?tbm=isch&amp;q=Ever%20Red%20named%20for%20it%27s%20deepest%20Red%20bloom%20of%20all%20Loropetalum.%20Fringe-like%20flowers%20bloom%20periodically%20against%20Deep%20Purple%20foliage%20</v>
      </c>
      <c r="BG1271" s="107" t="str">
        <f t="shared" si="953"/>
        <v>E</v>
      </c>
      <c r="BH1271" s="254"/>
      <c r="BI1271" s="254"/>
    </row>
    <row r="1272" spans="1:61" customFormat="1" ht="18" x14ac:dyDescent="0.25">
      <c r="A1272" s="523" t="s">
        <v>5403</v>
      </c>
      <c r="B1272" s="235"/>
      <c r="C1272" s="676"/>
      <c r="D1272" s="255" t="s">
        <v>4088</v>
      </c>
      <c r="E1272" s="236"/>
      <c r="F1272" s="236"/>
      <c r="G1272" s="236"/>
      <c r="H1272" s="582" t="s">
        <v>1173</v>
      </c>
      <c r="I1272" s="498" t="s">
        <v>2093</v>
      </c>
      <c r="J1272" s="237"/>
      <c r="K1272" s="237"/>
      <c r="L1272" s="274"/>
      <c r="M1272" s="668" t="s">
        <v>4962</v>
      </c>
      <c r="N1272" s="681" t="str">
        <f>IF(AND(ISTEXT($A1272), ISERROR($A1272+0)), HYPERLINK($BF1272, "Images"), "")</f>
        <v>Images</v>
      </c>
      <c r="O1272" s="663" t="s">
        <v>4967</v>
      </c>
      <c r="P1272" s="253"/>
      <c r="Q1272" s="238"/>
      <c r="R1272" s="239"/>
      <c r="S1272" s="275"/>
      <c r="T1272" s="508">
        <f t="shared" si="941"/>
        <v>0</v>
      </c>
      <c r="U1272" s="225" t="str">
        <f>IF(NOT(ISNUMBER(G1272)), "", VLOOKUP(A1272,'Discount Lookup'!D:E,2,FALSE)*G1272)</f>
        <v/>
      </c>
      <c r="V1272" s="225" t="str">
        <f>IF(NOT(ISNUMBER(G1272)), "", VLOOKUP(A1272,'Discount Lookup'!G:H,2,FALSE)*G1272)</f>
        <v/>
      </c>
      <c r="W1272" s="508">
        <f t="shared" si="942"/>
        <v>0</v>
      </c>
      <c r="X1272" s="508" t="str">
        <f t="shared" si="943"/>
        <v>Dark Green foliage</v>
      </c>
      <c r="Y1272" s="509" t="b">
        <f t="shared" si="944"/>
        <v>0</v>
      </c>
      <c r="Z1272" s="510">
        <f t="shared" si="945"/>
        <v>0</v>
      </c>
      <c r="AA1272" s="511"/>
      <c r="AB1272" s="511" t="str">
        <f t="shared" si="946"/>
        <v/>
      </c>
      <c r="AC1272" s="698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698"/>
      <c r="AE1272" s="631" t="str">
        <f t="shared" si="947"/>
        <v/>
      </c>
      <c r="AF1272" s="699" t="str">
        <f t="shared" si="948"/>
        <v/>
      </c>
      <c r="AG1272" s="699"/>
      <c r="AH1272" s="699"/>
      <c r="AI1272" s="512">
        <f>IF(H1272="credit",0,IF(AE1272="free",0,IF(AE1272="me",0,IF(G1272&gt;0,(VLOOKUP(A1272,'Discount Lookup'!J:K,2)*G1272),0))))</f>
        <v>0</v>
      </c>
      <c r="AJ1272" s="513" t="str">
        <f t="shared" ca="1" si="949"/>
        <v/>
      </c>
      <c r="AK1272" s="700" t="str">
        <f t="shared" si="950"/>
        <v/>
      </c>
      <c r="AL1272" s="700"/>
      <c r="AM1272" s="505" t="str">
        <f t="shared" si="951"/>
        <v/>
      </c>
      <c r="AN1272" s="506"/>
      <c r="AO1272" s="507"/>
      <c r="AP1272" s="507"/>
      <c r="AQ1272" s="507"/>
      <c r="AR1272" s="507"/>
      <c r="AS1272" s="507"/>
      <c r="AT1272" s="507"/>
      <c r="AU1272" s="507"/>
      <c r="AV1272" s="225"/>
      <c r="AW1272" s="508"/>
      <c r="AX1272" s="225"/>
      <c r="AY1272" s="225"/>
      <c r="AZ1272" s="225"/>
      <c r="BA1272" s="225"/>
      <c r="BB1272" s="225"/>
      <c r="BC1272" s="56"/>
      <c r="BD1272" s="56"/>
      <c r="BE1272" s="56"/>
      <c r="BF1272" s="107" t="str">
        <f t="shared" si="952"/>
        <v>https://www.google.com/search?tbm=isch&amp;q=Everclear%C2%AE%20Lacebark%20Elm%20Ulmus%20parvifolia%20%27BSNUPF%27%20PP%2317655</v>
      </c>
      <c r="BG1272" s="107" t="str">
        <f t="shared" si="953"/>
        <v>E</v>
      </c>
      <c r="BH1272" s="254"/>
      <c r="BI1272" s="254"/>
    </row>
    <row r="1273" spans="1:61" customFormat="1" ht="15.75" x14ac:dyDescent="0.25">
      <c r="A1273" s="276">
        <v>7</v>
      </c>
      <c r="B1273" s="240" t="s">
        <v>291</v>
      </c>
      <c r="C1273" s="241" t="s">
        <v>4757</v>
      </c>
      <c r="D1273" s="242" t="s">
        <v>292</v>
      </c>
      <c r="E1273" s="243">
        <v>109.95</v>
      </c>
      <c r="F1273" s="517" t="s">
        <v>293</v>
      </c>
      <c r="G1273" s="232">
        <v>0</v>
      </c>
      <c r="H1273" s="661" t="str">
        <f>IF(G1273=0,"",IF(F1273="Buy",IF(G1273=1,"plant","plants"),IF(F1273&gt;0.01,"warranty","Error")))</f>
        <v/>
      </c>
      <c r="I1273" s="244">
        <f>IF(H1273="free",0,IF(H1273="credit",((E1273*(F1273))*G1273*-1),IF(F1273="Buy",(E1273*G1273),((E1273*(1-F1273))*G1273))))</f>
        <v>0</v>
      </c>
      <c r="J1273" s="244">
        <f>IF(H1273="warranty",0,(I1273*(_xlfn.SINGLE(SalesTaxPercentage))))</f>
        <v>0</v>
      </c>
      <c r="K1273" s="696">
        <f t="shared" ref="K1273" si="976">I1273+J1273</f>
        <v>0</v>
      </c>
      <c r="L1273" s="696"/>
      <c r="M1273" s="659" t="str">
        <f>IF(AND(G1273&gt;0,E1273=0),"WARNING - no PRICE inserted",IF(H1273="free"," FREE ~ no charge this plant",IF(H1273="credit",CONCATENATE(" -$",ROUND(K1273*(1-T2GDiscount)*-1,2)," CREDIT after discount"),IF(T2GDiscount=0,"",IF(G1273=0,"",IF(F1273="Buy",CONCATENATE(" $",ROUND(K1273*(1-T2GDiscount),2)," with ",(T2GDiscount*100),"% discount"),CONCATENATE(" $",ROUND(K1273*(1-T2GDiscount),2)," with ",((T2GDiscount*100+F1273*100)-(T2GDiscount*100*F1273)),IF(F1273&gt;0,"% discounts",IF(NoWarrantyDiscount&gt;0,"% discounts","% discount")))))))))</f>
        <v/>
      </c>
      <c r="N1273" s="660"/>
      <c r="O1273" s="233"/>
      <c r="P1273" s="233"/>
      <c r="Q1273" s="233"/>
      <c r="R1273" s="233"/>
      <c r="S1273" s="233"/>
      <c r="T1273" s="508">
        <f t="shared" si="941"/>
        <v>0</v>
      </c>
      <c r="U1273" s="225">
        <f>IF(NOT(ISNUMBER(G1273)), "", VLOOKUP(A1273,'Discount Lookup'!D:E,2,FALSE)*G1273)</f>
        <v>0</v>
      </c>
      <c r="V1273" s="225">
        <f>IF(NOT(ISNUMBER(G1273)), "", VLOOKUP(A1273,'Discount Lookup'!G:H,2,FALSE)*G1273)</f>
        <v>0</v>
      </c>
      <c r="W1273" s="508">
        <f t="shared" si="942"/>
        <v>0</v>
      </c>
      <c r="X1273" s="508">
        <f t="shared" si="943"/>
        <v>0</v>
      </c>
      <c r="Y1273" s="509" t="b">
        <f t="shared" si="944"/>
        <v>0</v>
      </c>
      <c r="Z1273" s="510">
        <f t="shared" si="945"/>
        <v>0</v>
      </c>
      <c r="AA1273" s="511"/>
      <c r="AB1273" s="511" t="str">
        <f t="shared" si="946"/>
        <v/>
      </c>
      <c r="AC1273" s="698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698"/>
      <c r="AE1273" s="631" t="str">
        <f t="shared" si="947"/>
        <v/>
      </c>
      <c r="AF1273" s="699" t="str">
        <f t="shared" si="948"/>
        <v/>
      </c>
      <c r="AG1273" s="699"/>
      <c r="AH1273" s="699"/>
      <c r="AI1273" s="512">
        <f>IF(H1273="credit",0,IF(AE1273="free",0,IF(AE1273="me",0,IF(G1273&gt;0,(VLOOKUP(A1273,'Discount Lookup'!J:K,2)*G1273),0))))</f>
        <v>0</v>
      </c>
      <c r="AJ1273" s="513" t="str">
        <f t="shared" ca="1" si="949"/>
        <v/>
      </c>
      <c r="AK1273" s="700" t="str">
        <f t="shared" si="950"/>
        <v/>
      </c>
      <c r="AL1273" s="700"/>
      <c r="AM1273" s="505" t="str">
        <f t="shared" si="951"/>
        <v/>
      </c>
      <c r="AN1273" s="506"/>
      <c r="AO1273" s="507"/>
      <c r="AP1273" s="507"/>
      <c r="AQ1273" s="507"/>
      <c r="AR1273" s="507"/>
      <c r="AS1273" s="507"/>
      <c r="AT1273" s="507"/>
      <c r="AU1273" s="507"/>
      <c r="AV1273" s="225"/>
      <c r="AW1273" s="508"/>
      <c r="AX1273" s="225"/>
      <c r="AY1273" s="225"/>
      <c r="AZ1273" s="225"/>
      <c r="BA1273" s="225"/>
      <c r="BB1273" s="225"/>
      <c r="BC1273" s="56"/>
      <c r="BD1273" s="56"/>
      <c r="BE1273" s="56"/>
      <c r="BF1273" s="107" t="str">
        <f t="shared" si="952"/>
        <v>https://www.google.com/search?tbm=isch&amp;q=7%20G4</v>
      </c>
      <c r="BG1273" s="107" t="str">
        <f t="shared" si="953"/>
        <v>E</v>
      </c>
      <c r="BH1273" s="254"/>
      <c r="BI1273" s="254"/>
    </row>
    <row r="1274" spans="1:61" customFormat="1" ht="17.25" thickBot="1" x14ac:dyDescent="0.3">
      <c r="A1274" s="524" t="s">
        <v>4089</v>
      </c>
      <c r="B1274" s="245"/>
      <c r="C1274" s="677"/>
      <c r="D1274" s="499"/>
      <c r="E1274" s="499"/>
      <c r="F1274" s="500"/>
      <c r="G1274" s="501"/>
      <c r="H1274" s="502"/>
      <c r="I1274" s="246"/>
      <c r="J1274" s="247"/>
      <c r="K1274" s="503"/>
      <c r="L1274" s="544"/>
      <c r="M1274" s="544"/>
      <c r="N1274" s="500"/>
      <c r="O1274" s="500"/>
      <c r="P1274" s="500"/>
      <c r="Q1274" s="500"/>
      <c r="R1274" s="500"/>
      <c r="S1274" s="669" t="s">
        <v>4996</v>
      </c>
      <c r="T1274" s="508">
        <f t="shared" si="941"/>
        <v>0</v>
      </c>
      <c r="U1274" s="225" t="str">
        <f>IF(NOT(ISNUMBER(G1274)), "", VLOOKUP(A1274,'Discount Lookup'!D:E,2,FALSE)*G1274)</f>
        <v/>
      </c>
      <c r="V1274" s="225" t="str">
        <f>IF(NOT(ISNUMBER(G1274)), "", VLOOKUP(A1274,'Discount Lookup'!G:H,2,FALSE)*G1274)</f>
        <v/>
      </c>
      <c r="W1274" s="508">
        <f t="shared" si="942"/>
        <v>0</v>
      </c>
      <c r="X1274" s="508">
        <f t="shared" si="943"/>
        <v>0</v>
      </c>
      <c r="Y1274" s="509" t="b">
        <f t="shared" si="944"/>
        <v>0</v>
      </c>
      <c r="Z1274" s="510">
        <f t="shared" si="945"/>
        <v>0</v>
      </c>
      <c r="AA1274" s="511"/>
      <c r="AB1274" s="511" t="str">
        <f t="shared" si="946"/>
        <v/>
      </c>
      <c r="AC1274" s="698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698"/>
      <c r="AE1274" s="631" t="str">
        <f t="shared" si="947"/>
        <v/>
      </c>
      <c r="AF1274" s="699" t="str">
        <f t="shared" si="948"/>
        <v/>
      </c>
      <c r="AG1274" s="699"/>
      <c r="AH1274" s="699"/>
      <c r="AI1274" s="512">
        <f>IF(H1274="credit",0,IF(AE1274="free",0,IF(AE1274="me",0,IF(G1274&gt;0,(VLOOKUP(A1274,'Discount Lookup'!J:K,2)*G1274),0))))</f>
        <v>0</v>
      </c>
      <c r="AJ1274" s="513" t="str">
        <f t="shared" ca="1" si="949"/>
        <v/>
      </c>
      <c r="AK1274" s="700" t="str">
        <f t="shared" si="950"/>
        <v/>
      </c>
      <c r="AL1274" s="700"/>
      <c r="AM1274" s="505" t="str">
        <f t="shared" si="951"/>
        <v/>
      </c>
      <c r="AN1274" s="506"/>
      <c r="AO1274" s="507"/>
      <c r="AP1274" s="507"/>
      <c r="AQ1274" s="507"/>
      <c r="AR1274" s="507"/>
      <c r="AS1274" s="507"/>
      <c r="AT1274" s="507"/>
      <c r="AU1274" s="507"/>
      <c r="AV1274" s="225"/>
      <c r="AW1274" s="508"/>
      <c r="AX1274" s="225"/>
      <c r="AY1274" s="225"/>
      <c r="AZ1274" s="225"/>
      <c r="BA1274" s="225"/>
      <c r="BB1274" s="225"/>
      <c r="BC1274" s="56"/>
      <c r="BD1274" s="56"/>
      <c r="BE1274" s="56"/>
      <c r="BF1274" s="107" t="str">
        <f t="shared" si="952"/>
        <v>https://www.google.com/search?tbm=isch&amp;q=Everclear%20has%20a%20narrow%20form%20that%20fits%20in%20more%20places.%20Very%20resistant%20to%20Dutch%20Elm%20disease.%20Yellow-Brown%20fall%20foliage%20</v>
      </c>
      <c r="BG1274" s="107" t="str">
        <f t="shared" si="953"/>
        <v>E</v>
      </c>
      <c r="BH1274" s="254"/>
      <c r="BI1274" s="254"/>
    </row>
    <row r="1275" spans="1:61" customFormat="1" ht="18" x14ac:dyDescent="0.25">
      <c r="A1275" s="521" t="s">
        <v>5592</v>
      </c>
      <c r="B1275" s="477"/>
      <c r="C1275" s="674"/>
      <c r="D1275" s="478" t="s">
        <v>856</v>
      </c>
      <c r="E1275" s="479"/>
      <c r="F1275" s="479"/>
      <c r="G1275" s="479"/>
      <c r="H1275" s="582" t="s">
        <v>857</v>
      </c>
      <c r="I1275" s="480" t="s">
        <v>2676</v>
      </c>
      <c r="J1275" s="479"/>
      <c r="K1275" s="479"/>
      <c r="L1275" s="560"/>
      <c r="M1275" s="671" t="s">
        <v>4985</v>
      </c>
      <c r="N1275" s="680" t="str">
        <f>IF(AND(ISTEXT($A1275), ISERROR($A1275+0)), HYPERLINK($BF1275, "Images"), "")</f>
        <v>Images</v>
      </c>
      <c r="O1275" s="662" t="s">
        <v>4969</v>
      </c>
      <c r="P1275" s="482"/>
      <c r="Q1275" s="483"/>
      <c r="R1275" s="483"/>
      <c r="S1275" s="484"/>
      <c r="T1275" s="508">
        <f t="shared" si="941"/>
        <v>0</v>
      </c>
      <c r="U1275" s="225" t="str">
        <f>IF(NOT(ISNUMBER(G1275)), "", VLOOKUP(A1275,'Discount Lookup'!D:E,2,FALSE)*G1275)</f>
        <v/>
      </c>
      <c r="V1275" s="225" t="str">
        <f>IF(NOT(ISNUMBER(G1275)), "", VLOOKUP(A1275,'Discount Lookup'!G:H,2,FALSE)*G1275)</f>
        <v/>
      </c>
      <c r="W1275" s="508">
        <f t="shared" si="942"/>
        <v>0</v>
      </c>
      <c r="X1275" s="508" t="str">
        <f t="shared" si="943"/>
        <v>Yellow, Green margins</v>
      </c>
      <c r="Y1275" s="509" t="b">
        <f t="shared" si="944"/>
        <v>0</v>
      </c>
      <c r="Z1275" s="510">
        <f t="shared" si="945"/>
        <v>0</v>
      </c>
      <c r="AA1275" s="511"/>
      <c r="AB1275" s="511" t="str">
        <f t="shared" si="946"/>
        <v/>
      </c>
      <c r="AC1275" s="698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698"/>
      <c r="AE1275" s="631" t="str">
        <f t="shared" si="947"/>
        <v/>
      </c>
      <c r="AF1275" s="699" t="str">
        <f t="shared" si="948"/>
        <v/>
      </c>
      <c r="AG1275" s="699"/>
      <c r="AH1275" s="699"/>
      <c r="AI1275" s="512">
        <f>IF(H1275="credit",0,IF(AE1275="free",0,IF(AE1275="me",0,IF(G1275&gt;0,(VLOOKUP(A1275,'Discount Lookup'!J:K,2)*G1275),0))))</f>
        <v>0</v>
      </c>
      <c r="AJ1275" s="513" t="str">
        <f t="shared" ca="1" si="949"/>
        <v/>
      </c>
      <c r="AK1275" s="700" t="str">
        <f t="shared" si="950"/>
        <v/>
      </c>
      <c r="AL1275" s="700"/>
      <c r="AM1275" s="505" t="str">
        <f t="shared" si="951"/>
        <v/>
      </c>
      <c r="AN1275" s="506"/>
      <c r="AO1275" s="507"/>
      <c r="AP1275" s="507"/>
      <c r="AQ1275" s="507"/>
      <c r="AR1275" s="507"/>
      <c r="AS1275" s="507"/>
      <c r="AT1275" s="507"/>
      <c r="AU1275" s="507"/>
      <c r="AV1275" s="225"/>
      <c r="AW1275" s="508"/>
      <c r="AX1275" s="225"/>
      <c r="AY1275" s="225"/>
      <c r="AZ1275" s="225"/>
      <c r="BA1275" s="225"/>
      <c r="BB1275" s="225"/>
      <c r="BC1275" s="56"/>
      <c r="BD1275" s="56"/>
      <c r="BE1275" s="56"/>
      <c r="BF1275" s="107" t="str">
        <f t="shared" si="952"/>
        <v>https://www.google.com/search?tbm=isch&amp;q=Evergold%20Sedge%20%28EverColor%C2%AE%29%20Carex%20oshimensis%20%27Evergold%27</v>
      </c>
      <c r="BG1275" s="107" t="str">
        <f t="shared" si="953"/>
        <v>E</v>
      </c>
      <c r="BH1275" s="254"/>
      <c r="BI1275" s="254"/>
    </row>
    <row r="1276" spans="1:61" customFormat="1" ht="15.75" x14ac:dyDescent="0.25">
      <c r="A1276" s="485">
        <v>1</v>
      </c>
      <c r="B1276" s="486" t="s">
        <v>291</v>
      </c>
      <c r="C1276" s="487"/>
      <c r="D1276" s="488" t="s">
        <v>298</v>
      </c>
      <c r="E1276" s="489">
        <v>12.95</v>
      </c>
      <c r="F1276" s="516" t="s">
        <v>293</v>
      </c>
      <c r="G1276" s="232">
        <v>0</v>
      </c>
      <c r="H1276" s="658" t="str">
        <f>IF(G1276=0,"",IF(F1276="Buy",IF(G1276=1,"plant","plants"),IF(F1276&gt;0.01,"warranty","Error")))</f>
        <v/>
      </c>
      <c r="I1276" s="490">
        <f>IF(H1276="free",0,IF(H1276="credit",((E1276*(F1276))*G1276*-1),IF(F1276="Buy",(E1276*G1276),((E1276*(1-F1276))*G1276))))</f>
        <v>0</v>
      </c>
      <c r="J1276" s="490">
        <f>IF(H1276="warranty",0,(I1276*(_xlfn.SINGLE(SalesTaxPercentage))))</f>
        <v>0</v>
      </c>
      <c r="K1276" s="695">
        <f t="shared" ref="K1276" si="977">I1276+J1276</f>
        <v>0</v>
      </c>
      <c r="L1276" s="695"/>
      <c r="M1276" s="659" t="str">
        <f>IF(AND(G1276&gt;0,E1276=0),"WARNING - no PRICE inserted",IF(H1276="free"," FREE ~ no charge this plant",IF(H1276="credit",CONCATENATE(" -$",ROUND(K1276*(1-T2GDiscount)*-1,2)," CREDIT after discount"),IF(T2GDiscount=0,"",IF(G1276=0,"",IF(F1276="Buy",CONCATENATE(" $",ROUND(K1276*(1-T2GDiscount),2)," with ",(T2GDiscount*100),"% discount"),CONCATENATE(" $",ROUND(K1276*(1-T2GDiscount),2)," with ",((T2GDiscount*100+F1276*100)-(T2GDiscount*100*F1276)),IF(F1276&gt;0,"% discounts",IF(NoWarrantyDiscount&gt;0,"% discounts","% discount")))))))))</f>
        <v/>
      </c>
      <c r="N1276" s="660"/>
      <c r="O1276" s="233"/>
      <c r="P1276" s="233"/>
      <c r="Q1276" s="233"/>
      <c r="R1276" s="233"/>
      <c r="S1276" s="233"/>
      <c r="T1276" s="508">
        <f t="shared" si="941"/>
        <v>0</v>
      </c>
      <c r="U1276" s="225">
        <f>IF(NOT(ISNUMBER(G1276)), "", VLOOKUP(A1276,'Discount Lookup'!D:E,2,FALSE)*G1276)</f>
        <v>0</v>
      </c>
      <c r="V1276" s="225">
        <f>IF(NOT(ISNUMBER(G1276)), "", VLOOKUP(A1276,'Discount Lookup'!G:H,2,FALSE)*G1276)</f>
        <v>0</v>
      </c>
      <c r="W1276" s="508">
        <f t="shared" si="942"/>
        <v>0</v>
      </c>
      <c r="X1276" s="508">
        <f t="shared" si="943"/>
        <v>0</v>
      </c>
      <c r="Y1276" s="509" t="b">
        <f t="shared" si="944"/>
        <v>0</v>
      </c>
      <c r="Z1276" s="510">
        <f t="shared" si="945"/>
        <v>0</v>
      </c>
      <c r="AA1276" s="511"/>
      <c r="AB1276" s="511" t="str">
        <f t="shared" si="946"/>
        <v/>
      </c>
      <c r="AC1276" s="698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698"/>
      <c r="AE1276" s="631" t="str">
        <f t="shared" si="947"/>
        <v/>
      </c>
      <c r="AF1276" s="699" t="str">
        <f t="shared" si="948"/>
        <v/>
      </c>
      <c r="AG1276" s="699"/>
      <c r="AH1276" s="699"/>
      <c r="AI1276" s="512">
        <f>IF(H1276="credit",0,IF(AE1276="free",0,IF(AE1276="me",0,IF(G1276&gt;0,(VLOOKUP(A1276,'Discount Lookup'!J:K,2)*G1276),0))))</f>
        <v>0</v>
      </c>
      <c r="AJ1276" s="513" t="str">
        <f t="shared" ca="1" si="949"/>
        <v/>
      </c>
      <c r="AK1276" s="700" t="str">
        <f t="shared" si="950"/>
        <v/>
      </c>
      <c r="AL1276" s="700"/>
      <c r="AM1276" s="505" t="str">
        <f t="shared" si="951"/>
        <v/>
      </c>
      <c r="AN1276" s="506"/>
      <c r="AO1276" s="507"/>
      <c r="AP1276" s="507"/>
      <c r="AQ1276" s="507"/>
      <c r="AR1276" s="507"/>
      <c r="AS1276" s="507"/>
      <c r="AT1276" s="507"/>
      <c r="AU1276" s="507"/>
      <c r="AV1276" s="225"/>
      <c r="AW1276" s="508"/>
      <c r="AX1276" s="225"/>
      <c r="AY1276" s="225"/>
      <c r="AZ1276" s="225"/>
      <c r="BA1276" s="225"/>
      <c r="BB1276" s="225"/>
      <c r="BC1276" s="56"/>
      <c r="BD1276" s="56"/>
      <c r="BE1276" s="56"/>
      <c r="BF1276" s="107" t="str">
        <f t="shared" si="952"/>
        <v>https://www.google.com/search?tbm=isch&amp;q=1%20G1</v>
      </c>
      <c r="BG1276" s="107" t="str">
        <f t="shared" si="953"/>
        <v>E</v>
      </c>
      <c r="BH1276" s="254"/>
      <c r="BI1276" s="254"/>
    </row>
    <row r="1277" spans="1:61" customFormat="1" ht="15.75" x14ac:dyDescent="0.25">
      <c r="A1277" s="485">
        <v>1</v>
      </c>
      <c r="B1277" s="486" t="s">
        <v>291</v>
      </c>
      <c r="C1277" s="487"/>
      <c r="D1277" s="488" t="s">
        <v>312</v>
      </c>
      <c r="E1277" s="489">
        <v>17.95</v>
      </c>
      <c r="F1277" s="516" t="s">
        <v>293</v>
      </c>
      <c r="G1277" s="232">
        <v>0</v>
      </c>
      <c r="H1277" s="658" t="str">
        <f>IF(G1277=0,"",IF(F1277="Buy",IF(G1277=1,"plant","plants"),IF(F1277&gt;0.01,"warranty","Error")))</f>
        <v/>
      </c>
      <c r="I1277" s="490">
        <f>IF(H1277="free",0,IF(H1277="credit",((E1277*(F1277))*G1277*-1),IF(F1277="Buy",(E1277*G1277),((E1277*(1-F1277))*G1277))))</f>
        <v>0</v>
      </c>
      <c r="J1277" s="490">
        <f>IF(H1277="warranty",0,(I1277*(_xlfn.SINGLE(SalesTaxPercentage))))</f>
        <v>0</v>
      </c>
      <c r="K1277" s="695">
        <f t="shared" ref="K1277" si="978">I1277+J1277</f>
        <v>0</v>
      </c>
      <c r="L1277" s="695"/>
      <c r="M1277" s="659" t="str">
        <f>IF(AND(G1277&gt;0,E1277=0),"WARNING - no PRICE inserted",IF(H1277="free"," FREE ~ no charge this plant",IF(H1277="credit",CONCATENATE(" -$",ROUND(K1277*(1-T2GDiscount)*-1,2)," CREDIT after discount"),IF(T2GDiscount=0,"",IF(G1277=0,"",IF(F1277="Buy",CONCATENATE(" $",ROUND(K1277*(1-T2GDiscount),2)," with ",(T2GDiscount*100),"% discount"),CONCATENATE(" $",ROUND(K1277*(1-T2GDiscount),2)," with ",((T2GDiscount*100+F1277*100)-(T2GDiscount*100*F1277)),IF(F1277&gt;0,"% discounts",IF(NoWarrantyDiscount&gt;0,"% discounts","% discount")))))))))</f>
        <v/>
      </c>
      <c r="N1277" s="660"/>
      <c r="O1277" s="233"/>
      <c r="P1277" s="233"/>
      <c r="Q1277" s="233"/>
      <c r="R1277" s="233"/>
      <c r="S1277" s="233"/>
      <c r="T1277" s="508">
        <f t="shared" si="941"/>
        <v>0</v>
      </c>
      <c r="U1277" s="225">
        <f>IF(NOT(ISNUMBER(G1277)), "", VLOOKUP(A1277,'Discount Lookup'!D:E,2,FALSE)*G1277)</f>
        <v>0</v>
      </c>
      <c r="V1277" s="225">
        <f>IF(NOT(ISNUMBER(G1277)), "", VLOOKUP(A1277,'Discount Lookup'!G:H,2,FALSE)*G1277)</f>
        <v>0</v>
      </c>
      <c r="W1277" s="508">
        <f t="shared" si="942"/>
        <v>0</v>
      </c>
      <c r="X1277" s="508">
        <f t="shared" si="943"/>
        <v>0</v>
      </c>
      <c r="Y1277" s="509" t="b">
        <f t="shared" si="944"/>
        <v>0</v>
      </c>
      <c r="Z1277" s="510">
        <f t="shared" si="945"/>
        <v>0</v>
      </c>
      <c r="AA1277" s="511"/>
      <c r="AB1277" s="511" t="str">
        <f t="shared" si="946"/>
        <v/>
      </c>
      <c r="AC1277" s="698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698"/>
      <c r="AE1277" s="631" t="str">
        <f t="shared" si="947"/>
        <v/>
      </c>
      <c r="AF1277" s="699" t="str">
        <f t="shared" si="948"/>
        <v/>
      </c>
      <c r="AG1277" s="699"/>
      <c r="AH1277" s="699"/>
      <c r="AI1277" s="512">
        <f>IF(H1277="credit",0,IF(AE1277="free",0,IF(AE1277="me",0,IF(G1277&gt;0,(VLOOKUP(A1277,'Discount Lookup'!J:K,2)*G1277),0))))</f>
        <v>0</v>
      </c>
      <c r="AJ1277" s="513" t="str">
        <f t="shared" ca="1" si="949"/>
        <v/>
      </c>
      <c r="AK1277" s="700" t="str">
        <f t="shared" si="950"/>
        <v/>
      </c>
      <c r="AL1277" s="700"/>
      <c r="AM1277" s="505" t="str">
        <f t="shared" si="951"/>
        <v/>
      </c>
      <c r="AN1277" s="506"/>
      <c r="AO1277" s="507"/>
      <c r="AP1277" s="507"/>
      <c r="AQ1277" s="507"/>
      <c r="AR1277" s="507"/>
      <c r="AS1277" s="507"/>
      <c r="AT1277" s="507"/>
      <c r="AU1277" s="507"/>
      <c r="AV1277" s="225"/>
      <c r="AW1277" s="508"/>
      <c r="AX1277" s="225"/>
      <c r="AY1277" s="225"/>
      <c r="AZ1277" s="225"/>
      <c r="BA1277" s="225"/>
      <c r="BB1277" s="225"/>
      <c r="BC1277" s="56"/>
      <c r="BD1277" s="56"/>
      <c r="BE1277" s="56"/>
      <c r="BF1277" s="107" t="str">
        <f t="shared" si="952"/>
        <v>https://www.google.com/search?tbm=isch&amp;q=1%20G2</v>
      </c>
      <c r="BG1277" s="107" t="str">
        <f t="shared" si="953"/>
        <v>E</v>
      </c>
      <c r="BH1277" s="254"/>
      <c r="BI1277" s="254"/>
    </row>
    <row r="1278" spans="1:61" customFormat="1" ht="16.5" thickBot="1" x14ac:dyDescent="0.3">
      <c r="A1278" s="672" t="s">
        <v>5106</v>
      </c>
      <c r="B1278" s="491"/>
      <c r="C1278" s="675"/>
      <c r="D1278" s="491"/>
      <c r="E1278" s="491"/>
      <c r="F1278" s="492"/>
      <c r="G1278" s="493"/>
      <c r="H1278" s="491"/>
      <c r="I1278" s="234"/>
      <c r="J1278" s="234"/>
      <c r="K1278" s="494"/>
      <c r="L1278" s="543"/>
      <c r="M1278" s="561"/>
      <c r="N1278" s="495"/>
      <c r="O1278" s="496"/>
      <c r="P1278" s="497"/>
      <c r="Q1278" s="495"/>
      <c r="R1278" s="495"/>
      <c r="S1278" s="277"/>
      <c r="T1278" s="508">
        <f t="shared" si="941"/>
        <v>0</v>
      </c>
      <c r="U1278" s="225" t="str">
        <f>IF(NOT(ISNUMBER(G1278)), "", VLOOKUP(A1278,'Discount Lookup'!D:E,2,FALSE)*G1278)</f>
        <v/>
      </c>
      <c r="V1278" s="225" t="str">
        <f>IF(NOT(ISNUMBER(G1278)), "", VLOOKUP(A1278,'Discount Lookup'!G:H,2,FALSE)*G1278)</f>
        <v/>
      </c>
      <c r="W1278" s="508">
        <f t="shared" si="942"/>
        <v>0</v>
      </c>
      <c r="X1278" s="508">
        <f t="shared" si="943"/>
        <v>0</v>
      </c>
      <c r="Y1278" s="509" t="b">
        <f t="shared" si="944"/>
        <v>0</v>
      </c>
      <c r="Z1278" s="510">
        <f t="shared" si="945"/>
        <v>0</v>
      </c>
      <c r="AA1278" s="511"/>
      <c r="AB1278" s="511" t="str">
        <f t="shared" si="946"/>
        <v/>
      </c>
      <c r="AC1278" s="698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698"/>
      <c r="AE1278" s="631" t="str">
        <f t="shared" si="947"/>
        <v/>
      </c>
      <c r="AF1278" s="699" t="str">
        <f t="shared" si="948"/>
        <v/>
      </c>
      <c r="AG1278" s="699"/>
      <c r="AH1278" s="699"/>
      <c r="AI1278" s="512">
        <f>IF(H1278="credit",0,IF(AE1278="free",0,IF(AE1278="me",0,IF(G1278&gt;0,(VLOOKUP(A1278,'Discount Lookup'!J:K,2)*G1278),0))))</f>
        <v>0</v>
      </c>
      <c r="AJ1278" s="513" t="str">
        <f t="shared" ca="1" si="949"/>
        <v/>
      </c>
      <c r="AK1278" s="700" t="str">
        <f t="shared" si="950"/>
        <v/>
      </c>
      <c r="AL1278" s="700"/>
      <c r="AM1278" s="505" t="str">
        <f t="shared" si="951"/>
        <v/>
      </c>
      <c r="AN1278" s="506"/>
      <c r="AO1278" s="507"/>
      <c r="AP1278" s="507"/>
      <c r="AQ1278" s="507"/>
      <c r="AR1278" s="507"/>
      <c r="AS1278" s="507"/>
      <c r="AT1278" s="507"/>
      <c r="AU1278" s="507"/>
      <c r="AV1278" s="225"/>
      <c r="AW1278" s="508"/>
      <c r="AX1278" s="225"/>
      <c r="AY1278" s="225"/>
      <c r="AZ1278" s="225"/>
      <c r="BA1278" s="225"/>
      <c r="BB1278" s="225"/>
      <c r="BC1278" s="56"/>
      <c r="BD1278" s="56"/>
      <c r="BE1278" s="56"/>
      <c r="BF1278" s="107" t="str">
        <f t="shared" si="952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1278" s="107" t="str">
        <f t="shared" si="953"/>
        <v>m</v>
      </c>
      <c r="BH1278" s="254"/>
      <c r="BI1278" s="254"/>
    </row>
    <row r="1279" spans="1:61" customFormat="1" ht="18" x14ac:dyDescent="0.25">
      <c r="A1279" s="521" t="s">
        <v>858</v>
      </c>
      <c r="B1279" s="477"/>
      <c r="C1279" s="674"/>
      <c r="D1279" s="478" t="s">
        <v>859</v>
      </c>
      <c r="E1279" s="479"/>
      <c r="F1279" s="479"/>
      <c r="G1279" s="479"/>
      <c r="H1279" s="582" t="s">
        <v>1819</v>
      </c>
      <c r="I1279" s="480" t="s">
        <v>2093</v>
      </c>
      <c r="J1279" s="479"/>
      <c r="K1279" s="479"/>
      <c r="L1279" s="560"/>
      <c r="M1279" s="671" t="s">
        <v>4985</v>
      </c>
      <c r="N1279" s="680" t="str">
        <f>IF(AND(ISTEXT($A1279), ISERROR($A1279+0)), HYPERLINK($BF1279, "Images"), "")</f>
        <v>Images</v>
      </c>
      <c r="O1279" s="662" t="s">
        <v>4967</v>
      </c>
      <c r="P1279" s="482"/>
      <c r="Q1279" s="483"/>
      <c r="R1279" s="483"/>
      <c r="S1279" s="484"/>
      <c r="T1279" s="508">
        <f t="shared" si="941"/>
        <v>0</v>
      </c>
      <c r="U1279" s="225" t="str">
        <f>IF(NOT(ISNUMBER(G1279)), "", VLOOKUP(A1279,'Discount Lookup'!D:E,2,FALSE)*G1279)</f>
        <v/>
      </c>
      <c r="V1279" s="225" t="str">
        <f>IF(NOT(ISNUMBER(G1279)), "", VLOOKUP(A1279,'Discount Lookup'!G:H,2,FALSE)*G1279)</f>
        <v/>
      </c>
      <c r="W1279" s="508">
        <f t="shared" si="942"/>
        <v>0</v>
      </c>
      <c r="X1279" s="508" t="str">
        <f t="shared" si="943"/>
        <v>Dark Green foliage</v>
      </c>
      <c r="Y1279" s="509" t="b">
        <f t="shared" si="944"/>
        <v>0</v>
      </c>
      <c r="Z1279" s="510">
        <f t="shared" si="945"/>
        <v>0</v>
      </c>
      <c r="AA1279" s="511"/>
      <c r="AB1279" s="511" t="str">
        <f t="shared" si="946"/>
        <v/>
      </c>
      <c r="AC1279" s="698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698"/>
      <c r="AE1279" s="631" t="str">
        <f t="shared" si="947"/>
        <v/>
      </c>
      <c r="AF1279" s="699" t="str">
        <f t="shared" si="948"/>
        <v/>
      </c>
      <c r="AG1279" s="699"/>
      <c r="AH1279" s="699"/>
      <c r="AI1279" s="512">
        <f>IF(H1279="credit",0,IF(AE1279="free",0,IF(AE1279="me",0,IF(G1279&gt;0,(VLOOKUP(A1279,'Discount Lookup'!J:K,2)*G1279),0))))</f>
        <v>0</v>
      </c>
      <c r="AJ1279" s="513" t="str">
        <f t="shared" ca="1" si="949"/>
        <v/>
      </c>
      <c r="AK1279" s="700" t="str">
        <f t="shared" si="950"/>
        <v/>
      </c>
      <c r="AL1279" s="700"/>
      <c r="AM1279" s="505" t="str">
        <f t="shared" si="951"/>
        <v/>
      </c>
      <c r="AN1279" s="506"/>
      <c r="AO1279" s="507"/>
      <c r="AP1279" s="507"/>
      <c r="AQ1279" s="507"/>
      <c r="AR1279" s="507"/>
      <c r="AS1279" s="507"/>
      <c r="AT1279" s="507"/>
      <c r="AU1279" s="507"/>
      <c r="AV1279" s="225"/>
      <c r="AW1279" s="508"/>
      <c r="AX1279" s="225"/>
      <c r="AY1279" s="225"/>
      <c r="AZ1279" s="225"/>
      <c r="BA1279" s="225"/>
      <c r="BB1279" s="225"/>
      <c r="BC1279" s="56"/>
      <c r="BD1279" s="56"/>
      <c r="BE1279" s="56"/>
      <c r="BF1279" s="107" t="str">
        <f t="shared" si="952"/>
        <v>https://www.google.com/search?tbm=isch&amp;q=Evergreen%20Solomon%27s%20Seal%20Disporopsis%20pernyi</v>
      </c>
      <c r="BG1279" s="107" t="str">
        <f t="shared" si="953"/>
        <v>E</v>
      </c>
      <c r="BH1279" s="254"/>
      <c r="BI1279" s="254"/>
    </row>
    <row r="1280" spans="1:61" customFormat="1" ht="27" x14ac:dyDescent="0.25">
      <c r="A1280" s="485">
        <v>3</v>
      </c>
      <c r="B1280" s="486" t="s">
        <v>291</v>
      </c>
      <c r="C1280" s="487" t="s">
        <v>3464</v>
      </c>
      <c r="D1280" s="488" t="s">
        <v>292</v>
      </c>
      <c r="E1280" s="489">
        <v>40.950000000000003</v>
      </c>
      <c r="F1280" s="516" t="s">
        <v>293</v>
      </c>
      <c r="G1280" s="232">
        <v>0</v>
      </c>
      <c r="H1280" s="658" t="str">
        <f>IF(G1280=0,"",IF(F1280="Buy",IF(G1280=1,"plant","plants"),IF(F1280&gt;0.01,"warranty","Error")))</f>
        <v/>
      </c>
      <c r="I1280" s="490">
        <f>IF(H1280="free",0,IF(H1280="credit",((E1280*(F1280))*G1280*-1),IF(F1280="Buy",(E1280*G1280),((E1280*(1-F1280))*G1280))))</f>
        <v>0</v>
      </c>
      <c r="J1280" s="490">
        <f>IF(H1280="warranty",0,(I1280*(_xlfn.SINGLE(SalesTaxPercentage))))</f>
        <v>0</v>
      </c>
      <c r="K1280" s="695">
        <f t="shared" ref="K1280" si="979">I1280+J1280</f>
        <v>0</v>
      </c>
      <c r="L1280" s="695"/>
      <c r="M1280" s="659" t="str">
        <f>IF(AND(G1280&gt;0,E1280=0),"WARNING - no PRICE inserted",IF(H1280="free"," FREE ~ no charge this plant",IF(H1280="credit",CONCATENATE(" -$",ROUND(K1280*(1-T2GDiscount)*-1,2)," CREDIT after discount"),IF(T2GDiscount=0,"",IF(G1280=0,"",IF(F1280="Buy",CONCATENATE(" $",ROUND(K1280*(1-T2GDiscount),2)," with ",(T2GDiscount*100),"% discount"),CONCATENATE(" $",ROUND(K1280*(1-T2GDiscount),2)," with ",((T2GDiscount*100+F1280*100)-(T2GDiscount*100*F1280)),IF(F1280&gt;0,"% discounts",IF(NoWarrantyDiscount&gt;0,"% discounts","% discount")))))))))</f>
        <v/>
      </c>
      <c r="N1280" s="660"/>
      <c r="O1280" s="233"/>
      <c r="P1280" s="233"/>
      <c r="Q1280" s="233"/>
      <c r="R1280" s="233"/>
      <c r="S1280" s="233"/>
      <c r="T1280" s="508">
        <f t="shared" si="941"/>
        <v>0</v>
      </c>
      <c r="U1280" s="225">
        <f>IF(NOT(ISNUMBER(G1280)), "", VLOOKUP(A1280,'Discount Lookup'!D:E,2,FALSE)*G1280)</f>
        <v>0</v>
      </c>
      <c r="V1280" s="225">
        <f>IF(NOT(ISNUMBER(G1280)), "", VLOOKUP(A1280,'Discount Lookup'!G:H,2,FALSE)*G1280)</f>
        <v>0</v>
      </c>
      <c r="W1280" s="508">
        <f t="shared" si="942"/>
        <v>0</v>
      </c>
      <c r="X1280" s="508">
        <f t="shared" si="943"/>
        <v>0</v>
      </c>
      <c r="Y1280" s="509" t="b">
        <f t="shared" si="944"/>
        <v>0</v>
      </c>
      <c r="Z1280" s="510">
        <f t="shared" si="945"/>
        <v>0</v>
      </c>
      <c r="AA1280" s="511"/>
      <c r="AB1280" s="511" t="str">
        <f t="shared" si="946"/>
        <v/>
      </c>
      <c r="AC1280" s="698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698"/>
      <c r="AE1280" s="631" t="str">
        <f t="shared" si="947"/>
        <v/>
      </c>
      <c r="AF1280" s="699" t="str">
        <f t="shared" si="948"/>
        <v/>
      </c>
      <c r="AG1280" s="699"/>
      <c r="AH1280" s="699"/>
      <c r="AI1280" s="512">
        <f>IF(H1280="credit",0,IF(AE1280="free",0,IF(AE1280="me",0,IF(G1280&gt;0,(VLOOKUP(A1280,'Discount Lookup'!J:K,2)*G1280),0))))</f>
        <v>0</v>
      </c>
      <c r="AJ1280" s="513" t="str">
        <f t="shared" ca="1" si="949"/>
        <v/>
      </c>
      <c r="AK1280" s="700" t="str">
        <f t="shared" si="950"/>
        <v/>
      </c>
      <c r="AL1280" s="700"/>
      <c r="AM1280" s="505" t="str">
        <f t="shared" si="951"/>
        <v/>
      </c>
      <c r="AN1280" s="506"/>
      <c r="AO1280" s="507"/>
      <c r="AP1280" s="507"/>
      <c r="AQ1280" s="507"/>
      <c r="AR1280" s="507"/>
      <c r="AS1280" s="507"/>
      <c r="AT1280" s="507"/>
      <c r="AU1280" s="507"/>
      <c r="AV1280" s="225"/>
      <c r="AW1280" s="508"/>
      <c r="AX1280" s="225"/>
      <c r="AY1280" s="225"/>
      <c r="AZ1280" s="225"/>
      <c r="BA1280" s="225"/>
      <c r="BB1280" s="225"/>
      <c r="BC1280" s="56"/>
      <c r="BD1280" s="56"/>
      <c r="BE1280" s="56"/>
      <c r="BF1280" s="107" t="str">
        <f t="shared" si="952"/>
        <v>https://www.google.com/search?tbm=isch&amp;q=3%20G4</v>
      </c>
      <c r="BG1280" s="107" t="str">
        <f t="shared" si="953"/>
        <v>E</v>
      </c>
      <c r="BH1280" s="254"/>
      <c r="BI1280" s="254"/>
    </row>
    <row r="1281" spans="1:61" customFormat="1" ht="15.75" x14ac:dyDescent="0.25">
      <c r="A1281" s="485">
        <v>3</v>
      </c>
      <c r="B1281" s="486" t="s">
        <v>291</v>
      </c>
      <c r="C1281" s="487"/>
      <c r="D1281" s="488" t="s">
        <v>300</v>
      </c>
      <c r="E1281" s="489">
        <v>40.950000000000003</v>
      </c>
      <c r="F1281" s="516" t="s">
        <v>293</v>
      </c>
      <c r="G1281" s="232">
        <v>0</v>
      </c>
      <c r="H1281" s="658" t="str">
        <f>IF(G1281=0,"",IF(F1281="Buy",IF(G1281=1,"plant","plants"),IF(F1281&gt;0.01,"warranty","Error")))</f>
        <v/>
      </c>
      <c r="I1281" s="490">
        <f>IF(H1281="free",0,IF(H1281="credit",((E1281*(F1281))*G1281*-1),IF(F1281="Buy",(E1281*G1281),((E1281*(1-F1281))*G1281))))</f>
        <v>0</v>
      </c>
      <c r="J1281" s="490">
        <f>IF(H1281="warranty",0,(I1281*(_xlfn.SINGLE(SalesTaxPercentage))))</f>
        <v>0</v>
      </c>
      <c r="K1281" s="695">
        <f t="shared" ref="K1281" si="980">I1281+J1281</f>
        <v>0</v>
      </c>
      <c r="L1281" s="695"/>
      <c r="M1281" s="659" t="str">
        <f>IF(AND(G1281&gt;0,E1281=0),"WARNING - no PRICE inserted",IF(H1281="free"," FREE ~ no charge this plant",IF(H1281="credit",CONCATENATE(" -$",ROUND(K1281*(1-T2GDiscount)*-1,2)," CREDIT after discount"),IF(T2GDiscount=0,"",IF(G1281=0,"",IF(F1281="Buy",CONCATENATE(" $",ROUND(K1281*(1-T2GDiscount),2)," with ",(T2GDiscount*100),"% discount"),CONCATENATE(" $",ROUND(K1281*(1-T2GDiscount),2)," with ",((T2GDiscount*100+F1281*100)-(T2GDiscount*100*F1281)),IF(F1281&gt;0,"% discounts",IF(NoWarrantyDiscount&gt;0,"% discounts","% discount")))))))))</f>
        <v/>
      </c>
      <c r="N1281" s="660"/>
      <c r="O1281" s="233"/>
      <c r="P1281" s="233"/>
      <c r="Q1281" s="233"/>
      <c r="R1281" s="233"/>
      <c r="S1281" s="233"/>
      <c r="T1281" s="508">
        <f t="shared" si="941"/>
        <v>0</v>
      </c>
      <c r="U1281" s="225">
        <f>IF(NOT(ISNUMBER(G1281)), "", VLOOKUP(A1281,'Discount Lookup'!D:E,2,FALSE)*G1281)</f>
        <v>0</v>
      </c>
      <c r="V1281" s="225">
        <f>IF(NOT(ISNUMBER(G1281)), "", VLOOKUP(A1281,'Discount Lookup'!G:H,2,FALSE)*G1281)</f>
        <v>0</v>
      </c>
      <c r="W1281" s="508">
        <f t="shared" si="942"/>
        <v>0</v>
      </c>
      <c r="X1281" s="508">
        <f t="shared" si="943"/>
        <v>0</v>
      </c>
      <c r="Y1281" s="509" t="b">
        <f t="shared" si="944"/>
        <v>0</v>
      </c>
      <c r="Z1281" s="510">
        <f t="shared" si="945"/>
        <v>0</v>
      </c>
      <c r="AA1281" s="511"/>
      <c r="AB1281" s="511" t="str">
        <f t="shared" si="946"/>
        <v/>
      </c>
      <c r="AC1281" s="698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698"/>
      <c r="AE1281" s="631" t="str">
        <f t="shared" si="947"/>
        <v/>
      </c>
      <c r="AF1281" s="699" t="str">
        <f t="shared" si="948"/>
        <v/>
      </c>
      <c r="AG1281" s="699"/>
      <c r="AH1281" s="699"/>
      <c r="AI1281" s="512">
        <f>IF(H1281="credit",0,IF(AE1281="free",0,IF(AE1281="me",0,IF(G1281&gt;0,(VLOOKUP(A1281,'Discount Lookup'!J:K,2)*G1281),0))))</f>
        <v>0</v>
      </c>
      <c r="AJ1281" s="513" t="str">
        <f t="shared" ca="1" si="949"/>
        <v/>
      </c>
      <c r="AK1281" s="700" t="str">
        <f t="shared" si="950"/>
        <v/>
      </c>
      <c r="AL1281" s="700"/>
      <c r="AM1281" s="505" t="str">
        <f t="shared" si="951"/>
        <v/>
      </c>
      <c r="AN1281" s="506"/>
      <c r="AO1281" s="507"/>
      <c r="AP1281" s="507"/>
      <c r="AQ1281" s="507"/>
      <c r="AR1281" s="507"/>
      <c r="AS1281" s="507"/>
      <c r="AT1281" s="507"/>
      <c r="AU1281" s="507"/>
      <c r="AV1281" s="225"/>
      <c r="AW1281" s="508"/>
      <c r="AX1281" s="225"/>
      <c r="AY1281" s="225"/>
      <c r="AZ1281" s="225"/>
      <c r="BA1281" s="225"/>
      <c r="BB1281" s="225"/>
      <c r="BC1281" s="56"/>
      <c r="BD1281" s="56"/>
      <c r="BE1281" s="56"/>
      <c r="BF1281" s="107" t="str">
        <f t="shared" si="952"/>
        <v>https://www.google.com/search?tbm=isch&amp;q=3%20G6</v>
      </c>
      <c r="BG1281" s="107" t="str">
        <f t="shared" si="953"/>
        <v>E</v>
      </c>
      <c r="BH1281" s="254"/>
      <c r="BI1281" s="254"/>
    </row>
    <row r="1282" spans="1:61" customFormat="1" ht="16.5" thickBot="1" x14ac:dyDescent="0.3">
      <c r="A1282" s="672" t="s">
        <v>5107</v>
      </c>
      <c r="B1282" s="491"/>
      <c r="C1282" s="675"/>
      <c r="D1282" s="491"/>
      <c r="E1282" s="491"/>
      <c r="F1282" s="492"/>
      <c r="G1282" s="493"/>
      <c r="H1282" s="491"/>
      <c r="I1282" s="234"/>
      <c r="J1282" s="234"/>
      <c r="K1282" s="494"/>
      <c r="L1282" s="543"/>
      <c r="M1282" s="561"/>
      <c r="N1282" s="495"/>
      <c r="O1282" s="496"/>
      <c r="P1282" s="497"/>
      <c r="Q1282" s="495"/>
      <c r="R1282" s="495"/>
      <c r="S1282" s="277"/>
      <c r="T1282" s="508">
        <f t="shared" si="941"/>
        <v>0</v>
      </c>
      <c r="U1282" s="225" t="str">
        <f>IF(NOT(ISNUMBER(G1282)), "", VLOOKUP(A1282,'Discount Lookup'!D:E,2,FALSE)*G1282)</f>
        <v/>
      </c>
      <c r="V1282" s="225" t="str">
        <f>IF(NOT(ISNUMBER(G1282)), "", VLOOKUP(A1282,'Discount Lookup'!G:H,2,FALSE)*G1282)</f>
        <v/>
      </c>
      <c r="W1282" s="508">
        <f t="shared" si="942"/>
        <v>0</v>
      </c>
      <c r="X1282" s="508">
        <f t="shared" si="943"/>
        <v>0</v>
      </c>
      <c r="Y1282" s="509" t="b">
        <f t="shared" si="944"/>
        <v>0</v>
      </c>
      <c r="Z1282" s="510">
        <f t="shared" si="945"/>
        <v>0</v>
      </c>
      <c r="AA1282" s="511"/>
      <c r="AB1282" s="511" t="str">
        <f t="shared" si="946"/>
        <v/>
      </c>
      <c r="AC1282" s="698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698"/>
      <c r="AE1282" s="631" t="str">
        <f t="shared" si="947"/>
        <v/>
      </c>
      <c r="AF1282" s="699" t="str">
        <f t="shared" si="948"/>
        <v/>
      </c>
      <c r="AG1282" s="699"/>
      <c r="AH1282" s="699"/>
      <c r="AI1282" s="512">
        <f>IF(H1282="credit",0,IF(AE1282="free",0,IF(AE1282="me",0,IF(G1282&gt;0,(VLOOKUP(A1282,'Discount Lookup'!J:K,2)*G1282),0))))</f>
        <v>0</v>
      </c>
      <c r="AJ1282" s="513" t="str">
        <f t="shared" ca="1" si="949"/>
        <v/>
      </c>
      <c r="AK1282" s="700" t="str">
        <f t="shared" si="950"/>
        <v/>
      </c>
      <c r="AL1282" s="700"/>
      <c r="AM1282" s="505" t="str">
        <f t="shared" si="951"/>
        <v/>
      </c>
      <c r="AN1282" s="506"/>
      <c r="AO1282" s="507"/>
      <c r="AP1282" s="507"/>
      <c r="AQ1282" s="507"/>
      <c r="AR1282" s="507"/>
      <c r="AS1282" s="507"/>
      <c r="AT1282" s="507"/>
      <c r="AU1282" s="507"/>
      <c r="AV1282" s="225"/>
      <c r="AW1282" s="508"/>
      <c r="AX1282" s="225"/>
      <c r="AY1282" s="225"/>
      <c r="AZ1282" s="225"/>
      <c r="BA1282" s="225"/>
      <c r="BB1282" s="225"/>
      <c r="BC1282" s="56"/>
      <c r="BD1282" s="56"/>
      <c r="BE1282" s="56"/>
      <c r="BF1282" s="107" t="str">
        <f t="shared" si="952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282" s="107" t="str">
        <f t="shared" si="953"/>
        <v>m</v>
      </c>
      <c r="BH1282" s="254"/>
      <c r="BI1282" s="254"/>
    </row>
    <row r="1283" spans="1:61" customFormat="1" ht="18" x14ac:dyDescent="0.25">
      <c r="A1283" s="521" t="s">
        <v>5593</v>
      </c>
      <c r="B1283" s="477"/>
      <c r="C1283" s="674"/>
      <c r="D1283" s="478" t="s">
        <v>4470</v>
      </c>
      <c r="E1283" s="479"/>
      <c r="F1283" s="479"/>
      <c r="G1283" s="479"/>
      <c r="H1283" s="582" t="s">
        <v>1164</v>
      </c>
      <c r="I1283" s="480" t="s">
        <v>4471</v>
      </c>
      <c r="J1283" s="479"/>
      <c r="K1283" s="479"/>
      <c r="L1283" s="560"/>
      <c r="M1283" s="666" t="s">
        <v>4966</v>
      </c>
      <c r="N1283" s="680" t="str">
        <f>IF(AND(ISTEXT($A1283), ISERROR($A1283+0)), HYPERLINK($BF1283, "Images"), "")</f>
        <v>Images</v>
      </c>
      <c r="O1283" s="662" t="s">
        <v>4969</v>
      </c>
      <c r="P1283" s="482"/>
      <c r="Q1283" s="483"/>
      <c r="R1283" s="483"/>
      <c r="S1283" s="484"/>
      <c r="T1283" s="508">
        <f t="shared" si="941"/>
        <v>0</v>
      </c>
      <c r="U1283" s="225" t="str">
        <f>IF(NOT(ISNUMBER(G1283)), "", VLOOKUP(A1283,'Discount Lookup'!D:E,2,FALSE)*G1283)</f>
        <v/>
      </c>
      <c r="V1283" s="225" t="str">
        <f>IF(NOT(ISNUMBER(G1283)), "", VLOOKUP(A1283,'Discount Lookup'!G:H,2,FALSE)*G1283)</f>
        <v/>
      </c>
      <c r="W1283" s="508">
        <f t="shared" si="942"/>
        <v>0</v>
      </c>
      <c r="X1283" s="508" t="str">
        <f t="shared" si="943"/>
        <v>Chartreuse bloom</v>
      </c>
      <c r="Y1283" s="509" t="b">
        <f t="shared" si="944"/>
        <v>0</v>
      </c>
      <c r="Z1283" s="510">
        <f t="shared" si="945"/>
        <v>0</v>
      </c>
      <c r="AA1283" s="511"/>
      <c r="AB1283" s="511" t="str">
        <f t="shared" si="946"/>
        <v/>
      </c>
      <c r="AC1283" s="698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698"/>
      <c r="AE1283" s="631" t="str">
        <f t="shared" si="947"/>
        <v/>
      </c>
      <c r="AF1283" s="699" t="str">
        <f t="shared" si="948"/>
        <v/>
      </c>
      <c r="AG1283" s="699"/>
      <c r="AH1283" s="699"/>
      <c r="AI1283" s="512">
        <f>IF(H1283="credit",0,IF(AE1283="free",0,IF(AE1283="me",0,IF(G1283&gt;0,(VLOOKUP(A1283,'Discount Lookup'!J:K,2)*G1283),0))))</f>
        <v>0</v>
      </c>
      <c r="AJ1283" s="513" t="str">
        <f t="shared" ca="1" si="949"/>
        <v/>
      </c>
      <c r="AK1283" s="700" t="str">
        <f t="shared" si="950"/>
        <v/>
      </c>
      <c r="AL1283" s="700"/>
      <c r="AM1283" s="505" t="str">
        <f t="shared" si="951"/>
        <v/>
      </c>
      <c r="AN1283" s="506"/>
      <c r="AO1283" s="507"/>
      <c r="AP1283" s="507"/>
      <c r="AQ1283" s="507"/>
      <c r="AR1283" s="507"/>
      <c r="AS1283" s="507"/>
      <c r="AT1283" s="507"/>
      <c r="AU1283" s="507"/>
      <c r="AV1283" s="225"/>
      <c r="AW1283" s="508"/>
      <c r="AX1283" s="225"/>
      <c r="AY1283" s="225"/>
      <c r="AZ1283" s="225"/>
      <c r="BA1283" s="225"/>
      <c r="BB1283" s="225"/>
      <c r="BC1283" s="56"/>
      <c r="BD1283" s="56"/>
      <c r="BE1283" s="56"/>
      <c r="BF1283" s="107" t="str">
        <f t="shared" si="952"/>
        <v>https://www.google.com/search?tbm=isch&amp;q=Everillo%20Sedge%20%28EverColor%C2%AE%29%20Carex%20oshimensis%20%27Everillo%27%20PP%2321002</v>
      </c>
      <c r="BG1283" s="107" t="str">
        <f t="shared" si="953"/>
        <v>E</v>
      </c>
      <c r="BH1283" s="254"/>
      <c r="BI1283" s="254"/>
    </row>
    <row r="1284" spans="1:61" customFormat="1" ht="15.75" x14ac:dyDescent="0.25">
      <c r="A1284" s="485">
        <v>1</v>
      </c>
      <c r="B1284" s="486" t="s">
        <v>291</v>
      </c>
      <c r="C1284" s="487"/>
      <c r="D1284" s="488" t="s">
        <v>298</v>
      </c>
      <c r="E1284" s="489">
        <v>13.95</v>
      </c>
      <c r="F1284" s="516" t="s">
        <v>293</v>
      </c>
      <c r="G1284" s="232">
        <v>0</v>
      </c>
      <c r="H1284" s="658" t="str">
        <f>IF(G1284=0,"",IF(F1284="Buy",IF(G1284=1,"plant","plants"),IF(F1284&gt;0.01,"warranty","Error")))</f>
        <v/>
      </c>
      <c r="I1284" s="490">
        <f>IF(H1284="free",0,IF(H1284="credit",((E1284*(F1284))*G1284*-1),IF(F1284="Buy",(E1284*G1284),((E1284*(1-F1284))*G1284))))</f>
        <v>0</v>
      </c>
      <c r="J1284" s="490">
        <f>IF(H1284="warranty",0,(I1284*(_xlfn.SINGLE(SalesTaxPercentage))))</f>
        <v>0</v>
      </c>
      <c r="K1284" s="695">
        <f t="shared" ref="K1284" si="981">I1284+J1284</f>
        <v>0</v>
      </c>
      <c r="L1284" s="695"/>
      <c r="M1284" s="659" t="str">
        <f>IF(AND(G1284&gt;0,E1284=0),"WARNING - no PRICE inserted",IF(H1284="free"," FREE ~ no charge this plant",IF(H1284="credit",CONCATENATE(" -$",ROUND(K1284*(1-T2GDiscount)*-1,2)," CREDIT after discount"),IF(T2GDiscount=0,"",IF(G1284=0,"",IF(F1284="Buy",CONCATENATE(" $",ROUND(K1284*(1-T2GDiscount),2)," with ",(T2GDiscount*100),"% discount"),CONCATENATE(" $",ROUND(K1284*(1-T2GDiscount),2)," with ",((T2GDiscount*100+F1284*100)-(T2GDiscount*100*F1284)),IF(F1284&gt;0,"% discounts",IF(NoWarrantyDiscount&gt;0,"% discounts","% discount")))))))))</f>
        <v/>
      </c>
      <c r="N1284" s="660"/>
      <c r="O1284" s="233"/>
      <c r="P1284" s="233"/>
      <c r="Q1284" s="233"/>
      <c r="R1284" s="233"/>
      <c r="S1284" s="233"/>
      <c r="T1284" s="508">
        <f t="shared" si="941"/>
        <v>0</v>
      </c>
      <c r="U1284" s="225">
        <f>IF(NOT(ISNUMBER(G1284)), "", VLOOKUP(A1284,'Discount Lookup'!D:E,2,FALSE)*G1284)</f>
        <v>0</v>
      </c>
      <c r="V1284" s="225">
        <f>IF(NOT(ISNUMBER(G1284)), "", VLOOKUP(A1284,'Discount Lookup'!G:H,2,FALSE)*G1284)</f>
        <v>0</v>
      </c>
      <c r="W1284" s="508">
        <f t="shared" si="942"/>
        <v>0</v>
      </c>
      <c r="X1284" s="508">
        <f t="shared" si="943"/>
        <v>0</v>
      </c>
      <c r="Y1284" s="509" t="b">
        <f t="shared" si="944"/>
        <v>0</v>
      </c>
      <c r="Z1284" s="510">
        <f t="shared" si="945"/>
        <v>0</v>
      </c>
      <c r="AA1284" s="511"/>
      <c r="AB1284" s="511" t="str">
        <f t="shared" si="946"/>
        <v/>
      </c>
      <c r="AC1284" s="698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698"/>
      <c r="AE1284" s="631" t="str">
        <f t="shared" si="947"/>
        <v/>
      </c>
      <c r="AF1284" s="699" t="str">
        <f t="shared" si="948"/>
        <v/>
      </c>
      <c r="AG1284" s="699"/>
      <c r="AH1284" s="699"/>
      <c r="AI1284" s="512">
        <f>IF(H1284="credit",0,IF(AE1284="free",0,IF(AE1284="me",0,IF(G1284&gt;0,(VLOOKUP(A1284,'Discount Lookup'!J:K,2)*G1284),0))))</f>
        <v>0</v>
      </c>
      <c r="AJ1284" s="513" t="str">
        <f t="shared" ca="1" si="949"/>
        <v/>
      </c>
      <c r="AK1284" s="700" t="str">
        <f t="shared" si="950"/>
        <v/>
      </c>
      <c r="AL1284" s="700"/>
      <c r="AM1284" s="505" t="str">
        <f t="shared" si="951"/>
        <v/>
      </c>
      <c r="AN1284" s="506"/>
      <c r="AO1284" s="507"/>
      <c r="AP1284" s="507"/>
      <c r="AQ1284" s="507"/>
      <c r="AR1284" s="507"/>
      <c r="AS1284" s="507"/>
      <c r="AT1284" s="507"/>
      <c r="AU1284" s="507"/>
      <c r="AV1284" s="225"/>
      <c r="AW1284" s="508"/>
      <c r="AX1284" s="225"/>
      <c r="AY1284" s="225"/>
      <c r="AZ1284" s="225"/>
      <c r="BA1284" s="225"/>
      <c r="BB1284" s="225"/>
      <c r="BC1284" s="56"/>
      <c r="BD1284" s="56"/>
      <c r="BE1284" s="56"/>
      <c r="BF1284" s="107" t="str">
        <f t="shared" si="952"/>
        <v>https://www.google.com/search?tbm=isch&amp;q=1%20G1</v>
      </c>
      <c r="BG1284" s="107" t="str">
        <f t="shared" si="953"/>
        <v>E</v>
      </c>
      <c r="BH1284" s="254"/>
      <c r="BI1284" s="254"/>
    </row>
    <row r="1285" spans="1:61" customFormat="1" ht="15.75" x14ac:dyDescent="0.25">
      <c r="A1285" s="485">
        <v>1</v>
      </c>
      <c r="B1285" s="486" t="s">
        <v>291</v>
      </c>
      <c r="C1285" s="487"/>
      <c r="D1285" s="488" t="s">
        <v>312</v>
      </c>
      <c r="E1285" s="489">
        <v>17.95</v>
      </c>
      <c r="F1285" s="516" t="s">
        <v>293</v>
      </c>
      <c r="G1285" s="232">
        <v>0</v>
      </c>
      <c r="H1285" s="658" t="str">
        <f>IF(G1285=0,"",IF(F1285="Buy",IF(G1285=1,"plant","plants"),IF(F1285&gt;0.01,"warranty","Error")))</f>
        <v/>
      </c>
      <c r="I1285" s="490">
        <f>IF(H1285="free",0,IF(H1285="credit",((E1285*(F1285))*G1285*-1),IF(F1285="Buy",(E1285*G1285),((E1285*(1-F1285))*G1285))))</f>
        <v>0</v>
      </c>
      <c r="J1285" s="490">
        <f>IF(H1285="warranty",0,(I1285*(_xlfn.SINGLE(SalesTaxPercentage))))</f>
        <v>0</v>
      </c>
      <c r="K1285" s="695">
        <f t="shared" ref="K1285" si="982">I1285+J1285</f>
        <v>0</v>
      </c>
      <c r="L1285" s="695"/>
      <c r="M1285" s="659" t="str">
        <f>IF(AND(G1285&gt;0,E1285=0),"WARNING - no PRICE inserted",IF(H1285="free"," FREE ~ no charge this plant",IF(H1285="credit",CONCATENATE(" -$",ROUND(K1285*(1-T2GDiscount)*-1,2)," CREDIT after discount"),IF(T2GDiscount=0,"",IF(G1285=0,"",IF(F1285="Buy",CONCATENATE(" $",ROUND(K1285*(1-T2GDiscount),2)," with ",(T2GDiscount*100),"% discount"),CONCATENATE(" $",ROUND(K1285*(1-T2GDiscount),2)," with ",((T2GDiscount*100+F1285*100)-(T2GDiscount*100*F1285)),IF(F1285&gt;0,"% discounts",IF(NoWarrantyDiscount&gt;0,"% discounts","% discount")))))))))</f>
        <v/>
      </c>
      <c r="N1285" s="660"/>
      <c r="O1285" s="233"/>
      <c r="P1285" s="233"/>
      <c r="Q1285" s="233"/>
      <c r="R1285" s="233"/>
      <c r="S1285" s="233"/>
      <c r="T1285" s="508">
        <f t="shared" si="941"/>
        <v>0</v>
      </c>
      <c r="U1285" s="225">
        <f>IF(NOT(ISNUMBER(G1285)), "", VLOOKUP(A1285,'Discount Lookup'!D:E,2,FALSE)*G1285)</f>
        <v>0</v>
      </c>
      <c r="V1285" s="225">
        <f>IF(NOT(ISNUMBER(G1285)), "", VLOOKUP(A1285,'Discount Lookup'!G:H,2,FALSE)*G1285)</f>
        <v>0</v>
      </c>
      <c r="W1285" s="508">
        <f t="shared" si="942"/>
        <v>0</v>
      </c>
      <c r="X1285" s="508">
        <f t="shared" si="943"/>
        <v>0</v>
      </c>
      <c r="Y1285" s="509" t="b">
        <f t="shared" si="944"/>
        <v>0</v>
      </c>
      <c r="Z1285" s="510">
        <f t="shared" si="945"/>
        <v>0</v>
      </c>
      <c r="AA1285" s="511"/>
      <c r="AB1285" s="511" t="str">
        <f t="shared" si="946"/>
        <v/>
      </c>
      <c r="AC1285" s="698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698"/>
      <c r="AE1285" s="631" t="str">
        <f t="shared" si="947"/>
        <v/>
      </c>
      <c r="AF1285" s="699" t="str">
        <f t="shared" si="948"/>
        <v/>
      </c>
      <c r="AG1285" s="699"/>
      <c r="AH1285" s="699"/>
      <c r="AI1285" s="512">
        <f>IF(H1285="credit",0,IF(AE1285="free",0,IF(AE1285="me",0,IF(G1285&gt;0,(VLOOKUP(A1285,'Discount Lookup'!J:K,2)*G1285),0))))</f>
        <v>0</v>
      </c>
      <c r="AJ1285" s="513" t="str">
        <f t="shared" ca="1" si="949"/>
        <v/>
      </c>
      <c r="AK1285" s="700" t="str">
        <f t="shared" si="950"/>
        <v/>
      </c>
      <c r="AL1285" s="700"/>
      <c r="AM1285" s="505" t="str">
        <f t="shared" si="951"/>
        <v/>
      </c>
      <c r="AN1285" s="506"/>
      <c r="AO1285" s="507"/>
      <c r="AP1285" s="507"/>
      <c r="AQ1285" s="507"/>
      <c r="AR1285" s="507"/>
      <c r="AS1285" s="507"/>
      <c r="AT1285" s="507"/>
      <c r="AU1285" s="507"/>
      <c r="AV1285" s="225"/>
      <c r="AW1285" s="508"/>
      <c r="AX1285" s="225"/>
      <c r="AY1285" s="225"/>
      <c r="AZ1285" s="225"/>
      <c r="BA1285" s="225"/>
      <c r="BB1285" s="225"/>
      <c r="BC1285" s="56"/>
      <c r="BD1285" s="56"/>
      <c r="BE1285" s="56"/>
      <c r="BF1285" s="107" t="str">
        <f t="shared" si="952"/>
        <v>https://www.google.com/search?tbm=isch&amp;q=1%20G2</v>
      </c>
      <c r="BG1285" s="107" t="str">
        <f t="shared" si="953"/>
        <v>E</v>
      </c>
      <c r="BH1285" s="254"/>
      <c r="BI1285" s="254"/>
    </row>
    <row r="1286" spans="1:61" customFormat="1" ht="16.5" thickBot="1" x14ac:dyDescent="0.3">
      <c r="A1286" s="672" t="s">
        <v>5108</v>
      </c>
      <c r="B1286" s="491"/>
      <c r="C1286" s="675"/>
      <c r="D1286" s="491"/>
      <c r="E1286" s="491"/>
      <c r="F1286" s="492"/>
      <c r="G1286" s="493"/>
      <c r="H1286" s="491"/>
      <c r="I1286" s="234"/>
      <c r="J1286" s="234"/>
      <c r="K1286" s="494"/>
      <c r="L1286" s="543"/>
      <c r="M1286" s="561"/>
      <c r="N1286" s="495"/>
      <c r="O1286" s="496"/>
      <c r="P1286" s="497"/>
      <c r="Q1286" s="495"/>
      <c r="R1286" s="495"/>
      <c r="S1286" s="667" t="s">
        <v>4968</v>
      </c>
      <c r="T1286" s="508">
        <f t="shared" si="941"/>
        <v>0</v>
      </c>
      <c r="U1286" s="225" t="str">
        <f>IF(NOT(ISNUMBER(G1286)), "", VLOOKUP(A1286,'Discount Lookup'!D:E,2,FALSE)*G1286)</f>
        <v/>
      </c>
      <c r="V1286" s="225" t="str">
        <f>IF(NOT(ISNUMBER(G1286)), "", VLOOKUP(A1286,'Discount Lookup'!G:H,2,FALSE)*G1286)</f>
        <v/>
      </c>
      <c r="W1286" s="508">
        <f t="shared" si="942"/>
        <v>0</v>
      </c>
      <c r="X1286" s="508">
        <f t="shared" si="943"/>
        <v>0</v>
      </c>
      <c r="Y1286" s="509" t="b">
        <f t="shared" si="944"/>
        <v>0</v>
      </c>
      <c r="Z1286" s="510">
        <f t="shared" si="945"/>
        <v>0</v>
      </c>
      <c r="AA1286" s="511"/>
      <c r="AB1286" s="511" t="str">
        <f t="shared" si="946"/>
        <v/>
      </c>
      <c r="AC1286" s="698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698"/>
      <c r="AE1286" s="631" t="str">
        <f t="shared" si="947"/>
        <v/>
      </c>
      <c r="AF1286" s="699" t="str">
        <f t="shared" si="948"/>
        <v/>
      </c>
      <c r="AG1286" s="699"/>
      <c r="AH1286" s="699"/>
      <c r="AI1286" s="512">
        <f>IF(H1286="credit",0,IF(AE1286="free",0,IF(AE1286="me",0,IF(G1286&gt;0,(VLOOKUP(A1286,'Discount Lookup'!J:K,2)*G1286),0))))</f>
        <v>0</v>
      </c>
      <c r="AJ1286" s="513" t="str">
        <f t="shared" ca="1" si="949"/>
        <v/>
      </c>
      <c r="AK1286" s="700" t="str">
        <f t="shared" si="950"/>
        <v/>
      </c>
      <c r="AL1286" s="700"/>
      <c r="AM1286" s="505" t="str">
        <f t="shared" si="951"/>
        <v/>
      </c>
      <c r="AN1286" s="506"/>
      <c r="AO1286" s="507"/>
      <c r="AP1286" s="507"/>
      <c r="AQ1286" s="507"/>
      <c r="AR1286" s="507"/>
      <c r="AS1286" s="507"/>
      <c r="AT1286" s="507"/>
      <c r="AU1286" s="507"/>
      <c r="AV1286" s="225"/>
      <c r="AW1286" s="508"/>
      <c r="AX1286" s="225"/>
      <c r="AY1286" s="225"/>
      <c r="AZ1286" s="225"/>
      <c r="BA1286" s="225"/>
      <c r="BB1286" s="225"/>
      <c r="BC1286" s="56"/>
      <c r="BD1286" s="56"/>
      <c r="BE1286" s="56"/>
      <c r="BF1286" s="107" t="str">
        <f t="shared" si="952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1286" s="107" t="str">
        <f t="shared" si="953"/>
        <v>m</v>
      </c>
      <c r="BH1286" s="254"/>
      <c r="BI1286" s="254"/>
    </row>
    <row r="1287" spans="1:61" customFormat="1" ht="18" x14ac:dyDescent="0.25">
      <c r="A1287" s="523" t="s">
        <v>860</v>
      </c>
      <c r="B1287" s="235"/>
      <c r="C1287" s="676"/>
      <c r="D1287" s="255" t="s">
        <v>861</v>
      </c>
      <c r="E1287" s="236"/>
      <c r="F1287" s="236"/>
      <c r="G1287" s="236"/>
      <c r="H1287" s="582" t="s">
        <v>378</v>
      </c>
      <c r="I1287" s="498" t="s">
        <v>2135</v>
      </c>
      <c r="J1287" s="237"/>
      <c r="K1287" s="237"/>
      <c r="L1287" s="274"/>
      <c r="M1287" s="668" t="s">
        <v>4962</v>
      </c>
      <c r="N1287" s="681" t="str">
        <f>IF(AND(ISTEXT($A1287), ISERROR($A1287+0)), HYPERLINK($BF1287, "Images"), "")</f>
        <v>Images</v>
      </c>
      <c r="O1287" s="663" t="s">
        <v>4969</v>
      </c>
      <c r="P1287" s="253"/>
      <c r="Q1287" s="238"/>
      <c r="R1287" s="239"/>
      <c r="S1287" s="275"/>
      <c r="T1287" s="508">
        <f t="shared" si="941"/>
        <v>0</v>
      </c>
      <c r="U1287" s="225" t="str">
        <f>IF(NOT(ISNUMBER(G1287)), "", VLOOKUP(A1287,'Discount Lookup'!D:E,2,FALSE)*G1287)</f>
        <v/>
      </c>
      <c r="V1287" s="225" t="str">
        <f>IF(NOT(ISNUMBER(G1287)), "", VLOOKUP(A1287,'Discount Lookup'!G:H,2,FALSE)*G1287)</f>
        <v/>
      </c>
      <c r="W1287" s="508">
        <f t="shared" si="942"/>
        <v>0</v>
      </c>
      <c r="X1287" s="508" t="str">
        <f t="shared" si="943"/>
        <v>Rich Pink bloom</v>
      </c>
      <c r="Y1287" s="509" t="b">
        <f t="shared" si="944"/>
        <v>0</v>
      </c>
      <c r="Z1287" s="510">
        <f t="shared" si="945"/>
        <v>0</v>
      </c>
      <c r="AA1287" s="511"/>
      <c r="AB1287" s="511" t="str">
        <f t="shared" si="946"/>
        <v/>
      </c>
      <c r="AC1287" s="698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698"/>
      <c r="AE1287" s="631" t="str">
        <f t="shared" si="947"/>
        <v/>
      </c>
      <c r="AF1287" s="699" t="str">
        <f t="shared" si="948"/>
        <v/>
      </c>
      <c r="AG1287" s="699"/>
      <c r="AH1287" s="699"/>
      <c r="AI1287" s="512">
        <f>IF(H1287="credit",0,IF(AE1287="free",0,IF(AE1287="me",0,IF(G1287&gt;0,(VLOOKUP(A1287,'Discount Lookup'!J:K,2)*G1287),0))))</f>
        <v>0</v>
      </c>
      <c r="AJ1287" s="513" t="str">
        <f t="shared" ca="1" si="949"/>
        <v/>
      </c>
      <c r="AK1287" s="700" t="str">
        <f t="shared" si="950"/>
        <v/>
      </c>
      <c r="AL1287" s="700"/>
      <c r="AM1287" s="505" t="str">
        <f t="shared" si="951"/>
        <v/>
      </c>
      <c r="AN1287" s="506"/>
      <c r="AO1287" s="507"/>
      <c r="AP1287" s="507"/>
      <c r="AQ1287" s="507"/>
      <c r="AR1287" s="507"/>
      <c r="AS1287" s="507"/>
      <c r="AT1287" s="507"/>
      <c r="AU1287" s="507"/>
      <c r="AV1287" s="225"/>
      <c r="AW1287" s="508"/>
      <c r="AX1287" s="225"/>
      <c r="AY1287" s="225"/>
      <c r="AZ1287" s="225"/>
      <c r="BA1287" s="225"/>
      <c r="BB1287" s="225"/>
      <c r="BC1287" s="56"/>
      <c r="BD1287" s="56"/>
      <c r="BE1287" s="56"/>
      <c r="BF1287" s="107" t="str">
        <f t="shared" si="952"/>
        <v>https://www.google.com/search?tbm=isch&amp;q=Evey%27s%20Pride%20Mimosa%20Tree%20Albizia%20julibrissin%20%27Evey%27s%20Pride%27</v>
      </c>
      <c r="BG1287" s="107" t="str">
        <f t="shared" si="953"/>
        <v>E</v>
      </c>
      <c r="BH1287" s="254"/>
      <c r="BI1287" s="254"/>
    </row>
    <row r="1288" spans="1:61" customFormat="1" ht="15.75" x14ac:dyDescent="0.25">
      <c r="A1288" s="276">
        <v>7</v>
      </c>
      <c r="B1288" s="240" t="s">
        <v>291</v>
      </c>
      <c r="C1288" s="241" t="s">
        <v>3986</v>
      </c>
      <c r="D1288" s="242" t="s">
        <v>292</v>
      </c>
      <c r="E1288" s="243">
        <v>54.95</v>
      </c>
      <c r="F1288" s="517" t="s">
        <v>293</v>
      </c>
      <c r="G1288" s="232">
        <v>0</v>
      </c>
      <c r="H1288" s="661" t="str">
        <f>IF(G1288=0,"",IF(F1288="Buy",IF(G1288=1,"plant","plants"),IF(F1288&gt;0.01,"warranty","Error")))</f>
        <v/>
      </c>
      <c r="I1288" s="244">
        <f>IF(H1288="free",0,IF(H1288="credit",((E1288*(F1288))*G1288*-1),IF(F1288="Buy",(E1288*G1288),((E1288*(1-F1288))*G1288))))</f>
        <v>0</v>
      </c>
      <c r="J1288" s="244">
        <f>IF(H1288="warranty",0,(I1288*(_xlfn.SINGLE(SalesTaxPercentage))))</f>
        <v>0</v>
      </c>
      <c r="K1288" s="696">
        <f t="shared" ref="K1288" si="983">I1288+J1288</f>
        <v>0</v>
      </c>
      <c r="L1288" s="696"/>
      <c r="M1288" s="659" t="str">
        <f>IF(AND(G1288&gt;0,E1288=0),"WARNING - no PRICE inserted",IF(H1288="free"," FREE ~ no charge this plant",IF(H1288="credit",CONCATENATE(" -$",ROUND(K1288*(1-T2GDiscount)*-1,2)," CREDIT after discount"),IF(T2GDiscount=0,"",IF(G1288=0,"",IF(F1288="Buy",CONCATENATE(" $",ROUND(K1288*(1-T2GDiscount),2)," with ",(T2GDiscount*100),"% discount"),CONCATENATE(" $",ROUND(K1288*(1-T2GDiscount),2)," with ",((T2GDiscount*100+F1288*100)-(T2GDiscount*100*F1288)),IF(F1288&gt;0,"% discounts",IF(NoWarrantyDiscount&gt;0,"% discounts","% discount")))))))))</f>
        <v/>
      </c>
      <c r="N1288" s="660"/>
      <c r="O1288" s="233"/>
      <c r="P1288" s="233"/>
      <c r="Q1288" s="233"/>
      <c r="R1288" s="233"/>
      <c r="S1288" s="233"/>
      <c r="T1288" s="508">
        <f t="shared" si="941"/>
        <v>0</v>
      </c>
      <c r="U1288" s="225">
        <f>IF(NOT(ISNUMBER(G1288)), "", VLOOKUP(A1288,'Discount Lookup'!D:E,2,FALSE)*G1288)</f>
        <v>0</v>
      </c>
      <c r="V1288" s="225">
        <f>IF(NOT(ISNUMBER(G1288)), "", VLOOKUP(A1288,'Discount Lookup'!G:H,2,FALSE)*G1288)</f>
        <v>0</v>
      </c>
      <c r="W1288" s="508">
        <f t="shared" si="942"/>
        <v>0</v>
      </c>
      <c r="X1288" s="508">
        <f t="shared" si="943"/>
        <v>0</v>
      </c>
      <c r="Y1288" s="509" t="b">
        <f t="shared" si="944"/>
        <v>0</v>
      </c>
      <c r="Z1288" s="510">
        <f t="shared" si="945"/>
        <v>0</v>
      </c>
      <c r="AA1288" s="511"/>
      <c r="AB1288" s="511" t="str">
        <f t="shared" si="946"/>
        <v/>
      </c>
      <c r="AC1288" s="698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698"/>
      <c r="AE1288" s="631" t="str">
        <f t="shared" si="947"/>
        <v/>
      </c>
      <c r="AF1288" s="699" t="str">
        <f t="shared" si="948"/>
        <v/>
      </c>
      <c r="AG1288" s="699"/>
      <c r="AH1288" s="699"/>
      <c r="AI1288" s="512">
        <f>IF(H1288="credit",0,IF(AE1288="free",0,IF(AE1288="me",0,IF(G1288&gt;0,(VLOOKUP(A1288,'Discount Lookup'!J:K,2)*G1288),0))))</f>
        <v>0</v>
      </c>
      <c r="AJ1288" s="513" t="str">
        <f t="shared" ca="1" si="949"/>
        <v/>
      </c>
      <c r="AK1288" s="700" t="str">
        <f t="shared" si="950"/>
        <v/>
      </c>
      <c r="AL1288" s="700"/>
      <c r="AM1288" s="505" t="str">
        <f t="shared" si="951"/>
        <v/>
      </c>
      <c r="AN1288" s="506"/>
      <c r="AO1288" s="507"/>
      <c r="AP1288" s="507"/>
      <c r="AQ1288" s="507"/>
      <c r="AR1288" s="507"/>
      <c r="AS1288" s="507"/>
      <c r="AT1288" s="507"/>
      <c r="AU1288" s="507"/>
      <c r="AV1288" s="225"/>
      <c r="AW1288" s="508"/>
      <c r="AX1288" s="225"/>
      <c r="AY1288" s="225"/>
      <c r="AZ1288" s="225"/>
      <c r="BA1288" s="225"/>
      <c r="BB1288" s="225"/>
      <c r="BC1288" s="56"/>
      <c r="BD1288" s="56"/>
      <c r="BE1288" s="56"/>
      <c r="BF1288" s="107" t="str">
        <f t="shared" si="952"/>
        <v>https://www.google.com/search?tbm=isch&amp;q=7%20G4</v>
      </c>
      <c r="BG1288" s="107" t="str">
        <f t="shared" si="953"/>
        <v>E</v>
      </c>
      <c r="BH1288" s="254"/>
      <c r="BI1288" s="254"/>
    </row>
    <row r="1289" spans="1:61" customFormat="1" ht="15.75" x14ac:dyDescent="0.25">
      <c r="A1289" s="276">
        <v>15</v>
      </c>
      <c r="B1289" s="240" t="s">
        <v>291</v>
      </c>
      <c r="C1289" s="241" t="s">
        <v>4403</v>
      </c>
      <c r="D1289" s="242" t="s">
        <v>292</v>
      </c>
      <c r="E1289" s="243">
        <v>206.95</v>
      </c>
      <c r="F1289" s="517" t="s">
        <v>293</v>
      </c>
      <c r="G1289" s="232">
        <v>0</v>
      </c>
      <c r="H1289" s="661" t="str">
        <f>IF(G1289=0,"",IF(F1289="Buy",IF(G1289=1,"plant","plants"),IF(F1289&gt;0.01,"warranty","Error")))</f>
        <v/>
      </c>
      <c r="I1289" s="244">
        <f>IF(H1289="free",0,IF(H1289="credit",((E1289*(F1289))*G1289*-1),IF(F1289="Buy",(E1289*G1289),((E1289*(1-F1289))*G1289))))</f>
        <v>0</v>
      </c>
      <c r="J1289" s="244">
        <f>IF(H1289="warranty",0,(I1289*(_xlfn.SINGLE(SalesTaxPercentage))))</f>
        <v>0</v>
      </c>
      <c r="K1289" s="696">
        <f t="shared" ref="K1289" si="984">I1289+J1289</f>
        <v>0</v>
      </c>
      <c r="L1289" s="696"/>
      <c r="M1289" s="659" t="str">
        <f>IF(AND(G1289&gt;0,E1289=0),"WARNING - no PRICE inserted",IF(H1289="free"," FREE ~ no charge this plant",IF(H1289="credit",CONCATENATE(" -$",ROUND(K1289*(1-T2GDiscount)*-1,2)," CREDIT after discount"),IF(T2GDiscount=0,"",IF(G1289=0,"",IF(F1289="Buy",CONCATENATE(" $",ROUND(K1289*(1-T2GDiscount),2)," with ",(T2GDiscount*100),"% discount"),CONCATENATE(" $",ROUND(K1289*(1-T2GDiscount),2)," with ",((T2GDiscount*100+F1289*100)-(T2GDiscount*100*F1289)),IF(F1289&gt;0,"% discounts",IF(NoWarrantyDiscount&gt;0,"% discounts","% discount")))))))))</f>
        <v/>
      </c>
      <c r="N1289" s="660"/>
      <c r="O1289" s="233"/>
      <c r="P1289" s="233"/>
      <c r="Q1289" s="233"/>
      <c r="R1289" s="233"/>
      <c r="S1289" s="233"/>
      <c r="T1289" s="508">
        <f t="shared" si="941"/>
        <v>0</v>
      </c>
      <c r="U1289" s="225">
        <f>IF(NOT(ISNUMBER(G1289)), "", VLOOKUP(A1289,'Discount Lookup'!D:E,2,FALSE)*G1289)</f>
        <v>0</v>
      </c>
      <c r="V1289" s="225">
        <f>IF(NOT(ISNUMBER(G1289)), "", VLOOKUP(A1289,'Discount Lookup'!G:H,2,FALSE)*G1289)</f>
        <v>0</v>
      </c>
      <c r="W1289" s="508">
        <f t="shared" si="942"/>
        <v>0</v>
      </c>
      <c r="X1289" s="508">
        <f t="shared" si="943"/>
        <v>0</v>
      </c>
      <c r="Y1289" s="509" t="b">
        <f t="shared" si="944"/>
        <v>0</v>
      </c>
      <c r="Z1289" s="510">
        <f t="shared" si="945"/>
        <v>0</v>
      </c>
      <c r="AA1289" s="511"/>
      <c r="AB1289" s="511" t="str">
        <f t="shared" si="946"/>
        <v/>
      </c>
      <c r="AC1289" s="698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698"/>
      <c r="AE1289" s="631" t="str">
        <f t="shared" si="947"/>
        <v/>
      </c>
      <c r="AF1289" s="699" t="str">
        <f t="shared" si="948"/>
        <v/>
      </c>
      <c r="AG1289" s="699"/>
      <c r="AH1289" s="699"/>
      <c r="AI1289" s="512">
        <f>IF(H1289="credit",0,IF(AE1289="free",0,IF(AE1289="me",0,IF(G1289&gt;0,(VLOOKUP(A1289,'Discount Lookup'!J:K,2)*G1289),0))))</f>
        <v>0</v>
      </c>
      <c r="AJ1289" s="513" t="str">
        <f t="shared" ca="1" si="949"/>
        <v/>
      </c>
      <c r="AK1289" s="700" t="str">
        <f t="shared" si="950"/>
        <v/>
      </c>
      <c r="AL1289" s="700"/>
      <c r="AM1289" s="505" t="str">
        <f t="shared" si="951"/>
        <v/>
      </c>
      <c r="AN1289" s="506"/>
      <c r="AO1289" s="507"/>
      <c r="AP1289" s="507"/>
      <c r="AQ1289" s="507"/>
      <c r="AR1289" s="507"/>
      <c r="AS1289" s="507"/>
      <c r="AT1289" s="507"/>
      <c r="AU1289" s="507"/>
      <c r="AV1289" s="225"/>
      <c r="AW1289" s="508"/>
      <c r="AX1289" s="225"/>
      <c r="AY1289" s="225"/>
      <c r="AZ1289" s="225"/>
      <c r="BA1289" s="225"/>
      <c r="BB1289" s="225"/>
      <c r="BC1289" s="56"/>
      <c r="BD1289" s="56"/>
      <c r="BE1289" s="56"/>
      <c r="BF1289" s="107" t="str">
        <f t="shared" si="952"/>
        <v>https://www.google.com/search?tbm=isch&amp;q=15%20G4</v>
      </c>
      <c r="BG1289" s="107" t="str">
        <f t="shared" si="953"/>
        <v>E</v>
      </c>
      <c r="BH1289" s="254"/>
      <c r="BI1289" s="254"/>
    </row>
    <row r="1290" spans="1:61" customFormat="1" ht="17.25" thickBot="1" x14ac:dyDescent="0.3">
      <c r="A1290" s="524" t="s">
        <v>2136</v>
      </c>
      <c r="B1290" s="245"/>
      <c r="C1290" s="677"/>
      <c r="D1290" s="499"/>
      <c r="E1290" s="499"/>
      <c r="F1290" s="500"/>
      <c r="G1290" s="501"/>
      <c r="H1290" s="502"/>
      <c r="I1290" s="246"/>
      <c r="J1290" s="247"/>
      <c r="K1290" s="503"/>
      <c r="L1290" s="544"/>
      <c r="M1290" s="544"/>
      <c r="N1290" s="500"/>
      <c r="O1290" s="500"/>
      <c r="P1290" s="500"/>
      <c r="Q1290" s="500"/>
      <c r="R1290" s="500"/>
      <c r="S1290" s="669" t="s">
        <v>5008</v>
      </c>
      <c r="T1290" s="508">
        <f t="shared" si="941"/>
        <v>0</v>
      </c>
      <c r="U1290" s="225" t="str">
        <f>IF(NOT(ISNUMBER(G1290)), "", VLOOKUP(A1290,'Discount Lookup'!D:E,2,FALSE)*G1290)</f>
        <v/>
      </c>
      <c r="V1290" s="225" t="str">
        <f>IF(NOT(ISNUMBER(G1290)), "", VLOOKUP(A1290,'Discount Lookup'!G:H,2,FALSE)*G1290)</f>
        <v/>
      </c>
      <c r="W1290" s="508">
        <f t="shared" si="942"/>
        <v>0</v>
      </c>
      <c r="X1290" s="508">
        <f t="shared" si="943"/>
        <v>0</v>
      </c>
      <c r="Y1290" s="509" t="b">
        <f t="shared" si="944"/>
        <v>0</v>
      </c>
      <c r="Z1290" s="510">
        <f t="shared" si="945"/>
        <v>0</v>
      </c>
      <c r="AA1290" s="511"/>
      <c r="AB1290" s="511" t="str">
        <f t="shared" si="946"/>
        <v/>
      </c>
      <c r="AC1290" s="698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698"/>
      <c r="AE1290" s="631" t="str">
        <f t="shared" si="947"/>
        <v/>
      </c>
      <c r="AF1290" s="699" t="str">
        <f t="shared" si="948"/>
        <v/>
      </c>
      <c r="AG1290" s="699"/>
      <c r="AH1290" s="699"/>
      <c r="AI1290" s="512">
        <f>IF(H1290="credit",0,IF(AE1290="free",0,IF(AE1290="me",0,IF(G1290&gt;0,(VLOOKUP(A1290,'Discount Lookup'!J:K,2)*G1290),0))))</f>
        <v>0</v>
      </c>
      <c r="AJ1290" s="513" t="str">
        <f t="shared" ca="1" si="949"/>
        <v/>
      </c>
      <c r="AK1290" s="700" t="str">
        <f t="shared" si="950"/>
        <v/>
      </c>
      <c r="AL1290" s="700"/>
      <c r="AM1290" s="505" t="str">
        <f t="shared" si="951"/>
        <v/>
      </c>
      <c r="AN1290" s="506"/>
      <c r="AO1290" s="507"/>
      <c r="AP1290" s="507"/>
      <c r="AQ1290" s="507"/>
      <c r="AR1290" s="507"/>
      <c r="AS1290" s="507"/>
      <c r="AT1290" s="507"/>
      <c r="AU1290" s="507"/>
      <c r="AV1290" s="225"/>
      <c r="AW1290" s="508"/>
      <c r="AX1290" s="225"/>
      <c r="AY1290" s="225"/>
      <c r="AZ1290" s="225"/>
      <c r="BA1290" s="225"/>
      <c r="BB1290" s="225"/>
      <c r="BC1290" s="56"/>
      <c r="BD1290" s="56"/>
      <c r="BE1290" s="56"/>
      <c r="BF1290" s="107" t="str">
        <f t="shared" si="952"/>
        <v>https://www.google.com/search?tbm=isch&amp;q=Evey%27s%20Pride%20Reddish%3DPurple%20foliage%20and%20umbrella%20shape%20lend%20a%20tropical%20airy%20feel.%20Can%20be%20invasive%20</v>
      </c>
      <c r="BG1290" s="107" t="str">
        <f t="shared" si="953"/>
        <v>E</v>
      </c>
      <c r="BH1290" s="254"/>
      <c r="BI1290" s="254"/>
    </row>
    <row r="1291" spans="1:61" customFormat="1" ht="18" x14ac:dyDescent="0.25">
      <c r="A1291" s="521" t="s">
        <v>862</v>
      </c>
      <c r="B1291" s="477"/>
      <c r="C1291" s="674"/>
      <c r="D1291" s="478" t="s">
        <v>863</v>
      </c>
      <c r="E1291" s="479"/>
      <c r="F1291" s="479"/>
      <c r="G1291" s="479"/>
      <c r="H1291" s="582" t="s">
        <v>720</v>
      </c>
      <c r="I1291" s="480" t="s">
        <v>827</v>
      </c>
      <c r="J1291" s="479"/>
      <c r="K1291" s="479"/>
      <c r="L1291" s="560"/>
      <c r="M1291" s="666" t="s">
        <v>4963</v>
      </c>
      <c r="N1291" s="680" t="str">
        <f>IF(AND(ISTEXT($A1291), ISERROR($A1291+0)), HYPERLINK($BF1291, "Images"), "")</f>
        <v>Images</v>
      </c>
      <c r="O1291" s="662" t="s">
        <v>4969</v>
      </c>
      <c r="P1291" s="482"/>
      <c r="Q1291" s="483"/>
      <c r="R1291" s="483"/>
      <c r="S1291" s="484"/>
      <c r="T1291" s="508">
        <f t="shared" si="941"/>
        <v>0</v>
      </c>
      <c r="U1291" s="225" t="str">
        <f>IF(NOT(ISNUMBER(G1291)), "", VLOOKUP(A1291,'Discount Lookup'!D:E,2,FALSE)*G1291)</f>
        <v/>
      </c>
      <c r="V1291" s="225" t="str">
        <f>IF(NOT(ISNUMBER(G1291)), "", VLOOKUP(A1291,'Discount Lookup'!G:H,2,FALSE)*G1291)</f>
        <v/>
      </c>
      <c r="W1291" s="508">
        <f t="shared" si="942"/>
        <v>0</v>
      </c>
      <c r="X1291" s="508" t="str">
        <f t="shared" si="943"/>
        <v>Creamy White bloom</v>
      </c>
      <c r="Y1291" s="509" t="b">
        <f t="shared" si="944"/>
        <v>0</v>
      </c>
      <c r="Z1291" s="510">
        <f t="shared" si="945"/>
        <v>0</v>
      </c>
      <c r="AA1291" s="511"/>
      <c r="AB1291" s="511" t="str">
        <f t="shared" si="946"/>
        <v/>
      </c>
      <c r="AC1291" s="698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698"/>
      <c r="AE1291" s="631" t="str">
        <f t="shared" si="947"/>
        <v/>
      </c>
      <c r="AF1291" s="699" t="str">
        <f t="shared" si="948"/>
        <v/>
      </c>
      <c r="AG1291" s="699"/>
      <c r="AH1291" s="699"/>
      <c r="AI1291" s="512">
        <f>IF(H1291="credit",0,IF(AE1291="free",0,IF(AE1291="me",0,IF(G1291&gt;0,(VLOOKUP(A1291,'Discount Lookup'!J:K,2)*G1291),0))))</f>
        <v>0</v>
      </c>
      <c r="AJ1291" s="513" t="str">
        <f t="shared" ca="1" si="949"/>
        <v/>
      </c>
      <c r="AK1291" s="700" t="str">
        <f t="shared" si="950"/>
        <v/>
      </c>
      <c r="AL1291" s="700"/>
      <c r="AM1291" s="505" t="str">
        <f t="shared" si="951"/>
        <v/>
      </c>
      <c r="AN1291" s="506"/>
      <c r="AO1291" s="507"/>
      <c r="AP1291" s="507"/>
      <c r="AQ1291" s="507"/>
      <c r="AR1291" s="507"/>
      <c r="AS1291" s="507"/>
      <c r="AT1291" s="507"/>
      <c r="AU1291" s="507"/>
      <c r="AV1291" s="225"/>
      <c r="AW1291" s="508"/>
      <c r="AX1291" s="225"/>
      <c r="AY1291" s="225"/>
      <c r="AZ1291" s="225"/>
      <c r="BA1291" s="225"/>
      <c r="BB1291" s="225"/>
      <c r="BC1291" s="56"/>
      <c r="BD1291" s="56"/>
      <c r="BE1291" s="56"/>
      <c r="BF1291" s="107" t="str">
        <f t="shared" si="952"/>
        <v>https://www.google.com/search?tbm=isch&amp;q=Excalibur%20Yucca%20Yucca%20filamentosa%20%27Excalibur%27</v>
      </c>
      <c r="BG1291" s="107" t="str">
        <f t="shared" si="953"/>
        <v>E</v>
      </c>
      <c r="BH1291" s="254"/>
      <c r="BI1291" s="254"/>
    </row>
    <row r="1292" spans="1:61" customFormat="1" ht="15.75" x14ac:dyDescent="0.25">
      <c r="A1292" s="485">
        <v>3</v>
      </c>
      <c r="B1292" s="486" t="s">
        <v>291</v>
      </c>
      <c r="C1292" s="487"/>
      <c r="D1292" s="488" t="s">
        <v>312</v>
      </c>
      <c r="E1292" s="489">
        <v>34.950000000000003</v>
      </c>
      <c r="F1292" s="516" t="s">
        <v>293</v>
      </c>
      <c r="G1292" s="232">
        <v>0</v>
      </c>
      <c r="H1292" s="658" t="str">
        <f>IF(G1292=0,"",IF(F1292="Buy",IF(G1292=1,"plant","plants"),IF(F1292&gt;0.01,"warranty","Error")))</f>
        <v/>
      </c>
      <c r="I1292" s="490">
        <f>IF(H1292="free",0,IF(H1292="credit",((E1292*(F1292))*G1292*-1),IF(F1292="Buy",(E1292*G1292),((E1292*(1-F1292))*G1292))))</f>
        <v>0</v>
      </c>
      <c r="J1292" s="490">
        <f>IF(H1292="warranty",0,(I1292*(_xlfn.SINGLE(SalesTaxPercentage))))</f>
        <v>0</v>
      </c>
      <c r="K1292" s="695">
        <f t="shared" ref="K1292" si="985">I1292+J1292</f>
        <v>0</v>
      </c>
      <c r="L1292" s="695"/>
      <c r="M1292" s="659" t="str">
        <f>IF(AND(G1292&gt;0,E1292=0),"WARNING - no PRICE inserted",IF(H1292="free"," FREE ~ no charge this plant",IF(H1292="credit",CONCATENATE(" -$",ROUND(K1292*(1-T2GDiscount)*-1,2)," CREDIT after discount"),IF(T2GDiscount=0,"",IF(G1292=0,"",IF(F1292="Buy",CONCATENATE(" $",ROUND(K1292*(1-T2GDiscount),2)," with ",(T2GDiscount*100),"% discount"),CONCATENATE(" $",ROUND(K1292*(1-T2GDiscount),2)," with ",((T2GDiscount*100+F1292*100)-(T2GDiscount*100*F1292)),IF(F1292&gt;0,"% discounts",IF(NoWarrantyDiscount&gt;0,"% discounts","% discount")))))))))</f>
        <v/>
      </c>
      <c r="N1292" s="660"/>
      <c r="O1292" s="233"/>
      <c r="P1292" s="233"/>
      <c r="Q1292" s="233"/>
      <c r="R1292" s="233"/>
      <c r="S1292" s="233"/>
      <c r="T1292" s="508">
        <f t="shared" si="941"/>
        <v>0</v>
      </c>
      <c r="U1292" s="225">
        <f>IF(NOT(ISNUMBER(G1292)), "", VLOOKUP(A1292,'Discount Lookup'!D:E,2,FALSE)*G1292)</f>
        <v>0</v>
      </c>
      <c r="V1292" s="225">
        <f>IF(NOT(ISNUMBER(G1292)), "", VLOOKUP(A1292,'Discount Lookup'!G:H,2,FALSE)*G1292)</f>
        <v>0</v>
      </c>
      <c r="W1292" s="508">
        <f t="shared" si="942"/>
        <v>0</v>
      </c>
      <c r="X1292" s="508">
        <f t="shared" si="943"/>
        <v>0</v>
      </c>
      <c r="Y1292" s="509" t="b">
        <f t="shared" si="944"/>
        <v>0</v>
      </c>
      <c r="Z1292" s="510">
        <f t="shared" si="945"/>
        <v>0</v>
      </c>
      <c r="AA1292" s="511"/>
      <c r="AB1292" s="511" t="str">
        <f t="shared" si="946"/>
        <v/>
      </c>
      <c r="AC1292" s="698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698"/>
      <c r="AE1292" s="631" t="str">
        <f t="shared" si="947"/>
        <v/>
      </c>
      <c r="AF1292" s="699" t="str">
        <f t="shared" si="948"/>
        <v/>
      </c>
      <c r="AG1292" s="699"/>
      <c r="AH1292" s="699"/>
      <c r="AI1292" s="512">
        <f>IF(H1292="credit",0,IF(AE1292="free",0,IF(AE1292="me",0,IF(G1292&gt;0,(VLOOKUP(A1292,'Discount Lookup'!J:K,2)*G1292),0))))</f>
        <v>0</v>
      </c>
      <c r="AJ1292" s="513" t="str">
        <f t="shared" ca="1" si="949"/>
        <v/>
      </c>
      <c r="AK1292" s="700" t="str">
        <f t="shared" si="950"/>
        <v/>
      </c>
      <c r="AL1292" s="700"/>
      <c r="AM1292" s="505" t="str">
        <f t="shared" si="951"/>
        <v/>
      </c>
      <c r="AN1292" s="506"/>
      <c r="AO1292" s="507"/>
      <c r="AP1292" s="507"/>
      <c r="AQ1292" s="507"/>
      <c r="AR1292" s="507"/>
      <c r="AS1292" s="507"/>
      <c r="AT1292" s="507"/>
      <c r="AU1292" s="507"/>
      <c r="AV1292" s="225"/>
      <c r="AW1292" s="508"/>
      <c r="AX1292" s="225"/>
      <c r="AY1292" s="225"/>
      <c r="AZ1292" s="225"/>
      <c r="BA1292" s="225"/>
      <c r="BB1292" s="225"/>
      <c r="BC1292" s="56"/>
      <c r="BD1292" s="56"/>
      <c r="BE1292" s="56"/>
      <c r="BF1292" s="107" t="str">
        <f t="shared" si="952"/>
        <v>https://www.google.com/search?tbm=isch&amp;q=3%20G2</v>
      </c>
      <c r="BG1292" s="107" t="str">
        <f t="shared" si="953"/>
        <v>E</v>
      </c>
      <c r="BH1292" s="254"/>
      <c r="BI1292" s="254"/>
    </row>
    <row r="1293" spans="1:61" customFormat="1" ht="16.5" thickBot="1" x14ac:dyDescent="0.3">
      <c r="A1293" s="522" t="s">
        <v>2879</v>
      </c>
      <c r="B1293" s="491"/>
      <c r="C1293" s="675"/>
      <c r="D1293" s="491"/>
      <c r="E1293" s="491"/>
      <c r="F1293" s="492"/>
      <c r="G1293" s="493"/>
      <c r="H1293" s="491"/>
      <c r="I1293" s="234"/>
      <c r="J1293" s="234"/>
      <c r="K1293" s="494"/>
      <c r="L1293" s="543"/>
      <c r="M1293" s="561"/>
      <c r="N1293" s="495"/>
      <c r="O1293" s="496"/>
      <c r="P1293" s="497"/>
      <c r="Q1293" s="495"/>
      <c r="R1293" s="495"/>
      <c r="S1293" s="667" t="s">
        <v>4968</v>
      </c>
      <c r="T1293" s="508">
        <f t="shared" si="941"/>
        <v>0</v>
      </c>
      <c r="U1293" s="225" t="str">
        <f>IF(NOT(ISNUMBER(G1293)), "", VLOOKUP(A1293,'Discount Lookup'!D:E,2,FALSE)*G1293)</f>
        <v/>
      </c>
      <c r="V1293" s="225" t="str">
        <f>IF(NOT(ISNUMBER(G1293)), "", VLOOKUP(A1293,'Discount Lookup'!G:H,2,FALSE)*G1293)</f>
        <v/>
      </c>
      <c r="W1293" s="508">
        <f t="shared" si="942"/>
        <v>0</v>
      </c>
      <c r="X1293" s="508">
        <f t="shared" si="943"/>
        <v>0</v>
      </c>
      <c r="Y1293" s="509" t="b">
        <f t="shared" si="944"/>
        <v>0</v>
      </c>
      <c r="Z1293" s="510">
        <f t="shared" si="945"/>
        <v>0</v>
      </c>
      <c r="AA1293" s="511"/>
      <c r="AB1293" s="511" t="str">
        <f t="shared" si="946"/>
        <v/>
      </c>
      <c r="AC1293" s="698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698"/>
      <c r="AE1293" s="631" t="str">
        <f t="shared" si="947"/>
        <v/>
      </c>
      <c r="AF1293" s="699" t="str">
        <f t="shared" si="948"/>
        <v/>
      </c>
      <c r="AG1293" s="699"/>
      <c r="AH1293" s="699"/>
      <c r="AI1293" s="512">
        <f>IF(H1293="credit",0,IF(AE1293="free",0,IF(AE1293="me",0,IF(G1293&gt;0,(VLOOKUP(A1293,'Discount Lookup'!J:K,2)*G1293),0))))</f>
        <v>0</v>
      </c>
      <c r="AJ1293" s="513" t="str">
        <f t="shared" ca="1" si="949"/>
        <v/>
      </c>
      <c r="AK1293" s="700" t="str">
        <f t="shared" si="950"/>
        <v/>
      </c>
      <c r="AL1293" s="700"/>
      <c r="AM1293" s="505" t="str">
        <f t="shared" si="951"/>
        <v/>
      </c>
      <c r="AN1293" s="506"/>
      <c r="AO1293" s="507"/>
      <c r="AP1293" s="507"/>
      <c r="AQ1293" s="507"/>
      <c r="AR1293" s="507"/>
      <c r="AS1293" s="507"/>
      <c r="AT1293" s="507"/>
      <c r="AU1293" s="507"/>
      <c r="AV1293" s="225"/>
      <c r="AW1293" s="508"/>
      <c r="AX1293" s="225"/>
      <c r="AY1293" s="225"/>
      <c r="AZ1293" s="225"/>
      <c r="BA1293" s="225"/>
      <c r="BB1293" s="225"/>
      <c r="BC1293" s="56"/>
      <c r="BD1293" s="56"/>
      <c r="BE1293" s="56"/>
      <c r="BF1293" s="107" t="str">
        <f t="shared" si="952"/>
        <v>https://www.google.com/search?tbm=isch&amp;q=Excalibur%20Yucca%20has%20sword-like%2C%20Blue-Green%20foliage%20and%20tall%20spikes%20of%20bell-shaped%20flowers%20</v>
      </c>
      <c r="BG1293" s="107" t="str">
        <f t="shared" si="953"/>
        <v>E</v>
      </c>
      <c r="BH1293" s="254"/>
      <c r="BI1293" s="254"/>
    </row>
    <row r="1294" spans="1:61" customFormat="1" ht="18" x14ac:dyDescent="0.25">
      <c r="A1294" s="521" t="s">
        <v>864</v>
      </c>
      <c r="B1294" s="477"/>
      <c r="C1294" s="674"/>
      <c r="D1294" s="478" t="s">
        <v>865</v>
      </c>
      <c r="E1294" s="479"/>
      <c r="F1294" s="479"/>
      <c r="G1294" s="479"/>
      <c r="H1294" s="582" t="s">
        <v>303</v>
      </c>
      <c r="I1294" s="480" t="s">
        <v>2093</v>
      </c>
      <c r="J1294" s="479"/>
      <c r="K1294" s="479"/>
      <c r="L1294" s="560"/>
      <c r="M1294" s="666" t="s">
        <v>4966</v>
      </c>
      <c r="N1294" s="680" t="str">
        <f>IF(AND(ISTEXT($A1294), ISERROR($A1294+0)), HYPERLINK($BF1294, "Images"), "")</f>
        <v>Images</v>
      </c>
      <c r="O1294" s="662" t="s">
        <v>4969</v>
      </c>
      <c r="P1294" s="482"/>
      <c r="Q1294" s="483"/>
      <c r="R1294" s="483"/>
      <c r="S1294" s="484"/>
      <c r="T1294" s="508">
        <f t="shared" ref="T1294:T1357" si="986">E1294*G1294</f>
        <v>0</v>
      </c>
      <c r="U1294" s="225" t="str">
        <f>IF(NOT(ISNUMBER(G1294)), "", VLOOKUP(A1294,'Discount Lookup'!D:E,2,FALSE)*G1294)</f>
        <v/>
      </c>
      <c r="V1294" s="225" t="str">
        <f>IF(NOT(ISNUMBER(G1294)), "", VLOOKUP(A1294,'Discount Lookup'!G:H,2,FALSE)*G1294)</f>
        <v/>
      </c>
      <c r="W1294" s="508">
        <f t="shared" ref="W1294:W1357" si="987">IF(H1294="credit",0,E1294*(SalesTaxPercentage)*G1294)</f>
        <v>0</v>
      </c>
      <c r="X1294" s="508" t="str">
        <f t="shared" ref="X1294:X1357" si="988">I1294</f>
        <v>Dark Green foliage</v>
      </c>
      <c r="Y1294" s="509" t="b">
        <f t="shared" ref="Y1294:Y1357" si="989">IF(AE1294="T2G",0,IF(H1294="credit",0,IF(G1294&gt;0,IF(AE1294="me","",G1294))))</f>
        <v>0</v>
      </c>
      <c r="Z1294" s="510">
        <f t="shared" ref="Z1294:Z1357" si="990">IF(H1294="credit",G1294,0)</f>
        <v>0</v>
      </c>
      <c r="AA1294" s="511"/>
      <c r="AB1294" s="511" t="str">
        <f t="shared" ref="AB1294:AB1357" si="991">IF(AE1294="T2G","by Trees2Go",IF(H1294="credit","CREDIT only ~",IF(AND(K1294="",AE1294=OR(PlanterYesMe="No",PlanterYesMe="N",PlanterYesMe="me")),"not THIS line⇨",IF(AND(K1294="images",AE1294="me"),"not THIS line⇨",IF(H1294="credit","",IF(G1294=0,"",IF(AE1294="me","",IF(OR(PlanterYesMe="No",PlanterYesMe="N",PlanterYesMe="me"),"",IF(AE1294="free","warranty",IF(OR(PlanterYesMe="yes",PlanterYesMe="y"),"Edison install:","to install:"))))))))))</f>
        <v/>
      </c>
      <c r="AC1294" s="698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698"/>
      <c r="AE1294" s="631" t="str">
        <f t="shared" ref="AE1294:AE1357" si="992">IF(H1294="credit","",IF(G1294=0,"",IF(OR(PlanterYesMe="No",PlanterYesMe="N",PlanterYesMe="me"),"me",IF(H1294="warranty","free",IF(OR(PlanterYesMe="yes",PlanterYesMe="y"),"ELP","")))))</f>
        <v/>
      </c>
      <c r="AF1294" s="699" t="str">
        <f t="shared" ref="AF1294:AF1357" si="993">IF(OR(PlanterYesMe="No",PlanterYesMe="N",PlanterYesMe="me"),"",IF(H1294="credit","",IF(G1294&gt;0,(CONCATENATE((G1294)," quantity, ",(A1294)," ",B1294)),"")))</f>
        <v/>
      </c>
      <c r="AG1294" s="699"/>
      <c r="AH1294" s="699"/>
      <c r="AI1294" s="512">
        <f>IF(H1294="credit",0,IF(AE1294="free",0,IF(AE1294="me",0,IF(G1294&gt;0,(VLOOKUP(A1294,'Discount Lookup'!J:K,2)*G1294),0))))</f>
        <v>0</v>
      </c>
      <c r="AJ1294" s="513" t="str">
        <f t="shared" ref="AJ1294:AJ1357" ca="1" si="994">IF(AND(ISREF(H1294),H1294="credit"),"",IF(AND(AND(OFFSET(G1294,0,0)=0,OFFSET(G1294,1,0)&gt;0,ISNUMBER(OFFSET(AC1294,1,0)),OFFSET(AC1294,1,0)&gt;0),OR(PlanterYesMe="yes",PlanterYesMe="y")),"T2G+ELP=",IF(AND(OFFSET(G1294,0,0)=0,OFFSET(G1294,1,0)&gt;0,ISNUMBER(OFFSET(AC1294,1,0)),OFFSET(AC1294,1,0)&gt;0),"if T2G+ELP=",IF(AND(OFFSET(G1294,0,0)=0,OFFSET(G1294,1,0)&gt;0),"T2G Subtotal",IF(H1294="credit","",IF(G1294=0,"",IF(AE1294="free",(K1294*(1-T2GDiscount)),IF(OR(PlanterYesMe="No",PlanterYesMe="N",PlanterYesMe="me"),(K1294*(1-T2GDiscount)),IF(OR(AE1294="me",AE1294="T2G"),(K1294*(1-T2GDiscount)),(K1294*(1-T2GDiscount))+AC1294)))))))))</f>
        <v/>
      </c>
      <c r="AK1294" s="700" t="str">
        <f t="shared" ref="AK1294:AK1357" si="995">IF(H1294="credit","",IF(G1294=0,"",IF(OR(AE1294="me",AE1294="T2G"),"  delivery-only",IF(OR(PlanterYesMe="No",PlanterYesMe="N",PlanterYesMe="me"),"  delivery-only",CONCATENATE(" $",ROUND(AJ1294/G1294,2)," each")))))</f>
        <v/>
      </c>
      <c r="AL1294" s="700"/>
      <c r="AM1294" s="505" t="str">
        <f t="shared" ref="AM1294:AM1357" si="996">IF(H1294="credit","",IF(AE1294="free","      ~ discounts included, no tax or planting fee applies ~",IF(G1294=0,"",IF(OR(PlanterYesMe="No",PlanterYesMe="N",PlanterYesMe="me"),CONCATENATE(" $",ROUND(AJ1294/G1294,2)," per plant, with tax &amp; discount"),IF(OR(AE1294="me",AE1294="T2G"),CONCATENATE(" $",ROUND(AJ1294/G1294,2)," per plant, with tax &amp; discount"),CONCATENATE("= $",ROUND((K1294*(1-T2GDiscount))/G1294,2)," per plant + $",AC1294/G1294,(" per planting      ~ includes tax &amp; discounts ~")))))))</f>
        <v/>
      </c>
      <c r="AN1294" s="506"/>
      <c r="AO1294" s="507"/>
      <c r="AP1294" s="507"/>
      <c r="AQ1294" s="507"/>
      <c r="AR1294" s="507"/>
      <c r="AS1294" s="507"/>
      <c r="AT1294" s="507"/>
      <c r="AU1294" s="507"/>
      <c r="AV1294" s="225"/>
      <c r="AW1294" s="508"/>
      <c r="AX1294" s="225"/>
      <c r="AY1294" s="225"/>
      <c r="AZ1294" s="225"/>
      <c r="BA1294" s="225"/>
      <c r="BB1294" s="225"/>
      <c r="BC1294" s="56"/>
      <c r="BD1294" s="56"/>
      <c r="BE1294" s="56"/>
      <c r="BF1294" s="107" t="str">
        <f t="shared" ref="BF1294:BF1357" si="997">"https://www.google.com/search?tbm=isch&amp;q=" &amp; _xlfn.ENCODEURL($A1294 &amp; " " &amp; $D1294)</f>
        <v>https://www.google.com/search?tbm=isch&amp;q=Excelsa%20Schwoebel%20Holly%20Ilex%20crenata%20%27Excelsa%20Schwoebel%27</v>
      </c>
      <c r="BG1294" s="107" t="str">
        <f t="shared" ref="BG1294:BG1357" si="998">IF(ISTEXT(A1294),LEFT(A1294,1),BG1293)</f>
        <v>E</v>
      </c>
      <c r="BH1294" s="254"/>
      <c r="BI1294" s="254"/>
    </row>
    <row r="1295" spans="1:61" customFormat="1" ht="15.75" x14ac:dyDescent="0.25">
      <c r="A1295" s="485">
        <v>3</v>
      </c>
      <c r="B1295" s="486" t="s">
        <v>291</v>
      </c>
      <c r="C1295" s="487" t="s">
        <v>1428</v>
      </c>
      <c r="D1295" s="488" t="s">
        <v>299</v>
      </c>
      <c r="E1295" s="489">
        <v>30.95</v>
      </c>
      <c r="F1295" s="516" t="s">
        <v>293</v>
      </c>
      <c r="G1295" s="232">
        <v>0</v>
      </c>
      <c r="H1295" s="658" t="str">
        <f>IF(G1295=0,"",IF(F1295="Buy",IF(G1295=1,"plant","plants"),IF(F1295&gt;0.01,"warranty","Error")))</f>
        <v/>
      </c>
      <c r="I1295" s="490">
        <f>IF(H1295="free",0,IF(H1295="credit",((E1295*(F1295))*G1295*-1),IF(F1295="Buy",(E1295*G1295),((E1295*(1-F1295))*G1295))))</f>
        <v>0</v>
      </c>
      <c r="J1295" s="490">
        <f>IF(H1295="warranty",0,(I1295*(_xlfn.SINGLE(SalesTaxPercentage))))</f>
        <v>0</v>
      </c>
      <c r="K1295" s="695">
        <f t="shared" ref="K1295" si="999">I1295+J1295</f>
        <v>0</v>
      </c>
      <c r="L1295" s="695"/>
      <c r="M1295" s="659" t="str">
        <f>IF(AND(G1295&gt;0,E1295=0),"WARNING - no PRICE inserted",IF(H1295="free"," FREE ~ no charge this plant",IF(H1295="credit",CONCATENATE(" -$",ROUND(K1295*(1-T2GDiscount)*-1,2)," CREDIT after discount"),IF(T2GDiscount=0,"",IF(G1295=0,"",IF(F1295="Buy",CONCATENATE(" $",ROUND(K1295*(1-T2GDiscount),2)," with ",(T2GDiscount*100),"% discount"),CONCATENATE(" $",ROUND(K1295*(1-T2GDiscount),2)," with ",((T2GDiscount*100+F1295*100)-(T2GDiscount*100*F1295)),IF(F1295&gt;0,"% discounts",IF(NoWarrantyDiscount&gt;0,"% discounts","% discount")))))))))</f>
        <v/>
      </c>
      <c r="N1295" s="660"/>
      <c r="O1295" s="233"/>
      <c r="P1295" s="233"/>
      <c r="Q1295" s="233"/>
      <c r="R1295" s="233"/>
      <c r="S1295" s="233"/>
      <c r="T1295" s="508">
        <f t="shared" si="986"/>
        <v>0</v>
      </c>
      <c r="U1295" s="225">
        <f>IF(NOT(ISNUMBER(G1295)), "", VLOOKUP(A1295,'Discount Lookup'!D:E,2,FALSE)*G1295)</f>
        <v>0</v>
      </c>
      <c r="V1295" s="225">
        <f>IF(NOT(ISNUMBER(G1295)), "", VLOOKUP(A1295,'Discount Lookup'!G:H,2,FALSE)*G1295)</f>
        <v>0</v>
      </c>
      <c r="W1295" s="508">
        <f t="shared" si="987"/>
        <v>0</v>
      </c>
      <c r="X1295" s="508">
        <f t="shared" si="988"/>
        <v>0</v>
      </c>
      <c r="Y1295" s="509" t="b">
        <f t="shared" si="989"/>
        <v>0</v>
      </c>
      <c r="Z1295" s="510">
        <f t="shared" si="990"/>
        <v>0</v>
      </c>
      <c r="AA1295" s="511"/>
      <c r="AB1295" s="511" t="str">
        <f t="shared" si="991"/>
        <v/>
      </c>
      <c r="AC1295" s="698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698"/>
      <c r="AE1295" s="631" t="str">
        <f t="shared" si="992"/>
        <v/>
      </c>
      <c r="AF1295" s="699" t="str">
        <f t="shared" si="993"/>
        <v/>
      </c>
      <c r="AG1295" s="699"/>
      <c r="AH1295" s="699"/>
      <c r="AI1295" s="512">
        <f>IF(H1295="credit",0,IF(AE1295="free",0,IF(AE1295="me",0,IF(G1295&gt;0,(VLOOKUP(A1295,'Discount Lookup'!J:K,2)*G1295),0))))</f>
        <v>0</v>
      </c>
      <c r="AJ1295" s="513" t="str">
        <f t="shared" ca="1" si="994"/>
        <v/>
      </c>
      <c r="AK1295" s="700" t="str">
        <f t="shared" si="995"/>
        <v/>
      </c>
      <c r="AL1295" s="700"/>
      <c r="AM1295" s="505" t="str">
        <f t="shared" si="996"/>
        <v/>
      </c>
      <c r="AN1295" s="506"/>
      <c r="AO1295" s="507"/>
      <c r="AP1295" s="507"/>
      <c r="AQ1295" s="507"/>
      <c r="AR1295" s="507"/>
      <c r="AS1295" s="507"/>
      <c r="AT1295" s="507"/>
      <c r="AU1295" s="507"/>
      <c r="AV1295" s="225"/>
      <c r="AW1295" s="508"/>
      <c r="AX1295" s="225"/>
      <c r="AY1295" s="225"/>
      <c r="AZ1295" s="225"/>
      <c r="BA1295" s="225"/>
      <c r="BB1295" s="225"/>
      <c r="BC1295" s="56"/>
      <c r="BD1295" s="56"/>
      <c r="BE1295" s="56"/>
      <c r="BF1295" s="107" t="str">
        <f t="shared" si="997"/>
        <v>https://www.google.com/search?tbm=isch&amp;q=3%20G5</v>
      </c>
      <c r="BG1295" s="107" t="str">
        <f t="shared" si="998"/>
        <v>E</v>
      </c>
      <c r="BH1295" s="254"/>
      <c r="BI1295" s="254"/>
    </row>
    <row r="1296" spans="1:61" customFormat="1" ht="16.5" x14ac:dyDescent="0.25">
      <c r="A1296" s="522" t="s">
        <v>2852</v>
      </c>
      <c r="B1296" s="491"/>
      <c r="C1296" s="675"/>
      <c r="D1296" s="491"/>
      <c r="E1296" s="491"/>
      <c r="F1296" s="492"/>
      <c r="G1296" s="493"/>
      <c r="H1296" s="491"/>
      <c r="I1296" s="234"/>
      <c r="J1296" s="234"/>
      <c r="K1296" s="494"/>
      <c r="L1296" s="543"/>
      <c r="M1296" s="561"/>
      <c r="N1296" s="495"/>
      <c r="O1296" s="496"/>
      <c r="P1296" s="497"/>
      <c r="Q1296" s="495"/>
      <c r="R1296" s="495"/>
      <c r="S1296" s="667" t="s">
        <v>4984</v>
      </c>
      <c r="T1296" s="508">
        <f t="shared" si="986"/>
        <v>0</v>
      </c>
      <c r="U1296" s="225" t="str">
        <f>IF(NOT(ISNUMBER(G1296)), "", VLOOKUP(A1296,'Discount Lookup'!D:E,2,FALSE)*G1296)</f>
        <v/>
      </c>
      <c r="V1296" s="225" t="str">
        <f>IF(NOT(ISNUMBER(G1296)), "", VLOOKUP(A1296,'Discount Lookup'!G:H,2,FALSE)*G1296)</f>
        <v/>
      </c>
      <c r="W1296" s="508">
        <f t="shared" si="987"/>
        <v>0</v>
      </c>
      <c r="X1296" s="508">
        <f t="shared" si="988"/>
        <v>0</v>
      </c>
      <c r="Y1296" s="509" t="b">
        <f t="shared" si="989"/>
        <v>0</v>
      </c>
      <c r="Z1296" s="510">
        <f t="shared" si="990"/>
        <v>0</v>
      </c>
      <c r="AA1296" s="511"/>
      <c r="AB1296" s="511" t="str">
        <f t="shared" si="991"/>
        <v/>
      </c>
      <c r="AC1296" s="698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698"/>
      <c r="AE1296" s="631" t="str">
        <f t="shared" si="992"/>
        <v/>
      </c>
      <c r="AF1296" s="699" t="str">
        <f t="shared" si="993"/>
        <v/>
      </c>
      <c r="AG1296" s="699"/>
      <c r="AH1296" s="699"/>
      <c r="AI1296" s="512">
        <f>IF(H1296="credit",0,IF(AE1296="free",0,IF(AE1296="me",0,IF(G1296&gt;0,(VLOOKUP(A1296,'Discount Lookup'!J:K,2)*G1296),0))))</f>
        <v>0</v>
      </c>
      <c r="AJ1296" s="513" t="str">
        <f t="shared" ca="1" si="994"/>
        <v/>
      </c>
      <c r="AK1296" s="700" t="str">
        <f t="shared" si="995"/>
        <v/>
      </c>
      <c r="AL1296" s="700"/>
      <c r="AM1296" s="505" t="str">
        <f t="shared" si="996"/>
        <v/>
      </c>
      <c r="AN1296" s="506"/>
      <c r="AO1296" s="507"/>
      <c r="AP1296" s="507"/>
      <c r="AQ1296" s="507"/>
      <c r="AR1296" s="507"/>
      <c r="AS1296" s="507"/>
      <c r="AT1296" s="507"/>
      <c r="AU1296" s="507"/>
      <c r="AV1296" s="225"/>
      <c r="AW1296" s="508"/>
      <c r="AX1296" s="225"/>
      <c r="AY1296" s="225"/>
      <c r="AZ1296" s="225"/>
      <c r="BA1296" s="225"/>
      <c r="BB1296" s="225"/>
      <c r="BC1296" s="56"/>
      <c r="BD1296" s="56"/>
      <c r="BE1296" s="56"/>
      <c r="BF1296" s="107" t="str">
        <f t="shared" si="997"/>
        <v>https://www.google.com/search?tbm=isch&amp;q=Excelsa%20Schwoebel%20is%20a%20vigorous%2C%20upright%20grower%20with%20a%20narrow%2C%20pyramidal%20form%20and%20small%2C%20glossy%20leaves%20</v>
      </c>
      <c r="BG1296" s="107" t="str">
        <f t="shared" si="998"/>
        <v>E</v>
      </c>
      <c r="BH1296" s="254"/>
      <c r="BI1296" s="254"/>
    </row>
    <row r="1297" spans="1:61" customFormat="1" ht="45.75" thickBot="1" x14ac:dyDescent="0.35">
      <c r="A1297" s="525" t="s">
        <v>866</v>
      </c>
      <c r="B1297" s="248"/>
      <c r="C1297" s="678" t="s">
        <v>673</v>
      </c>
      <c r="D1297" s="249"/>
      <c r="E1297" s="249"/>
      <c r="F1297" s="249"/>
      <c r="G1297" s="249"/>
      <c r="H1297" s="250"/>
      <c r="I1297" s="249"/>
      <c r="J1297" s="249"/>
      <c r="K1297" s="526" t="s">
        <v>2840</v>
      </c>
      <c r="L1297" s="279"/>
      <c r="M1297" s="251"/>
      <c r="S1297" s="504" t="s">
        <v>2841</v>
      </c>
      <c r="T1297" s="508">
        <f t="shared" si="986"/>
        <v>0</v>
      </c>
      <c r="U1297" s="225" t="str">
        <f>IF(NOT(ISNUMBER(G1297)), "", VLOOKUP(A1297,'Discount Lookup'!D:E,2,FALSE)*G1297)</f>
        <v/>
      </c>
      <c r="V1297" s="225" t="str">
        <f>IF(NOT(ISNUMBER(G1297)), "", VLOOKUP(A1297,'Discount Lookup'!G:H,2,FALSE)*G1297)</f>
        <v/>
      </c>
      <c r="W1297" s="508">
        <f t="shared" si="987"/>
        <v>0</v>
      </c>
      <c r="X1297" s="508">
        <f t="shared" si="988"/>
        <v>0</v>
      </c>
      <c r="Y1297" s="509" t="b">
        <f t="shared" si="989"/>
        <v>0</v>
      </c>
      <c r="Z1297" s="510">
        <f t="shared" si="990"/>
        <v>0</v>
      </c>
      <c r="AA1297" s="511"/>
      <c r="AB1297" s="511" t="str">
        <f t="shared" si="991"/>
        <v/>
      </c>
      <c r="AC1297" s="698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698"/>
      <c r="AE1297" s="631" t="str">
        <f t="shared" si="992"/>
        <v/>
      </c>
      <c r="AF1297" s="699" t="str">
        <f t="shared" si="993"/>
        <v/>
      </c>
      <c r="AG1297" s="699"/>
      <c r="AH1297" s="699"/>
      <c r="AI1297" s="512">
        <f>IF(H1297="credit",0,IF(AE1297="free",0,IF(AE1297="me",0,IF(G1297&gt;0,(VLOOKUP(A1297,'Discount Lookup'!J:K,2)*G1297),0))))</f>
        <v>0</v>
      </c>
      <c r="AJ1297" s="513" t="str">
        <f t="shared" ca="1" si="994"/>
        <v/>
      </c>
      <c r="AK1297" s="700" t="str">
        <f t="shared" si="995"/>
        <v/>
      </c>
      <c r="AL1297" s="700"/>
      <c r="AM1297" s="505" t="str">
        <f t="shared" si="996"/>
        <v/>
      </c>
      <c r="AN1297" s="506"/>
      <c r="AO1297" s="507"/>
      <c r="AP1297" s="507"/>
      <c r="AQ1297" s="507"/>
      <c r="AR1297" s="507"/>
      <c r="AS1297" s="507"/>
      <c r="AT1297" s="507"/>
      <c r="AU1297" s="507"/>
      <c r="AV1297" s="225"/>
      <c r="AW1297" s="508"/>
      <c r="AX1297" s="225"/>
      <c r="AY1297" s="225"/>
      <c r="AZ1297" s="225"/>
      <c r="BA1297" s="225"/>
      <c r="BB1297" s="225"/>
      <c r="BC1297" s="56"/>
      <c r="BD1297" s="56"/>
      <c r="BE1297" s="56"/>
      <c r="BF1297" s="107" t="str">
        <f t="shared" si="997"/>
        <v>https://www.google.com/search?tbm=isch&amp;q=F%20</v>
      </c>
      <c r="BG1297" s="107" t="str">
        <f t="shared" si="998"/>
        <v>F</v>
      </c>
      <c r="BH1297" s="254"/>
      <c r="BI1297" s="254"/>
    </row>
    <row r="1298" spans="1:61" customFormat="1" ht="18" x14ac:dyDescent="0.25">
      <c r="A1298" s="523" t="s">
        <v>867</v>
      </c>
      <c r="B1298" s="235"/>
      <c r="C1298" s="676"/>
      <c r="D1298" s="255" t="s">
        <v>868</v>
      </c>
      <c r="E1298" s="236"/>
      <c r="F1298" s="236"/>
      <c r="G1298" s="236"/>
      <c r="H1298" s="582" t="s">
        <v>577</v>
      </c>
      <c r="I1298" s="498" t="s">
        <v>2231</v>
      </c>
      <c r="J1298" s="237"/>
      <c r="K1298" s="237"/>
      <c r="L1298" s="274"/>
      <c r="M1298" s="670" t="s">
        <v>4987</v>
      </c>
      <c r="N1298" s="681" t="str">
        <f>IF(AND(ISTEXT($A1298), ISERROR($A1298+0)), HYPERLINK($BF1298, "Images"), "")</f>
        <v>Images</v>
      </c>
      <c r="O1298" s="663" t="s">
        <v>4967</v>
      </c>
      <c r="P1298" s="253"/>
      <c r="Q1298" s="238"/>
      <c r="R1298" s="239"/>
      <c r="S1298" s="275"/>
      <c r="T1298" s="508">
        <f t="shared" si="986"/>
        <v>0</v>
      </c>
      <c r="U1298" s="225" t="str">
        <f>IF(NOT(ISNUMBER(G1298)), "", VLOOKUP(A1298,'Discount Lookup'!D:E,2,FALSE)*G1298)</f>
        <v/>
      </c>
      <c r="V1298" s="225" t="str">
        <f>IF(NOT(ISNUMBER(G1298)), "", VLOOKUP(A1298,'Discount Lookup'!G:H,2,FALSE)*G1298)</f>
        <v/>
      </c>
      <c r="W1298" s="508">
        <f t="shared" si="987"/>
        <v>0</v>
      </c>
      <c r="X1298" s="508" t="str">
        <f t="shared" si="988"/>
        <v>Crimson-Red bloom</v>
      </c>
      <c r="Y1298" s="509" t="b">
        <f t="shared" si="989"/>
        <v>0</v>
      </c>
      <c r="Z1298" s="510">
        <f t="shared" si="990"/>
        <v>0</v>
      </c>
      <c r="AA1298" s="511"/>
      <c r="AB1298" s="511" t="str">
        <f t="shared" si="991"/>
        <v/>
      </c>
      <c r="AC1298" s="698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698"/>
      <c r="AE1298" s="631" t="str">
        <f t="shared" si="992"/>
        <v/>
      </c>
      <c r="AF1298" s="699" t="str">
        <f t="shared" si="993"/>
        <v/>
      </c>
      <c r="AG1298" s="699"/>
      <c r="AH1298" s="699"/>
      <c r="AI1298" s="512">
        <f>IF(H1298="credit",0,IF(AE1298="free",0,IF(AE1298="me",0,IF(G1298&gt;0,(VLOOKUP(A1298,'Discount Lookup'!J:K,2)*G1298),0))))</f>
        <v>0</v>
      </c>
      <c r="AJ1298" s="513" t="str">
        <f t="shared" ca="1" si="994"/>
        <v/>
      </c>
      <c r="AK1298" s="700" t="str">
        <f t="shared" si="995"/>
        <v/>
      </c>
      <c r="AL1298" s="700"/>
      <c r="AM1298" s="505" t="str">
        <f t="shared" si="996"/>
        <v/>
      </c>
      <c r="AN1298" s="506"/>
      <c r="AO1298" s="507"/>
      <c r="AP1298" s="507"/>
      <c r="AQ1298" s="507"/>
      <c r="AR1298" s="507"/>
      <c r="AS1298" s="507"/>
      <c r="AT1298" s="507"/>
      <c r="AU1298" s="507"/>
      <c r="AV1298" s="225"/>
      <c r="AW1298" s="508"/>
      <c r="AX1298" s="225"/>
      <c r="AY1298" s="225"/>
      <c r="AZ1298" s="225"/>
      <c r="BA1298" s="225"/>
      <c r="BB1298" s="225"/>
      <c r="BC1298" s="56"/>
      <c r="BD1298" s="56"/>
      <c r="BE1298" s="56"/>
      <c r="BF1298" s="107" t="str">
        <f t="shared" si="997"/>
        <v>https://www.google.com/search?tbm=isch&amp;q=Fanal%20Astilbe%20Astilbe%20x%20arendsii%20%27Fanal%27</v>
      </c>
      <c r="BG1298" s="107" t="str">
        <f t="shared" si="998"/>
        <v>F</v>
      </c>
      <c r="BH1298" s="254"/>
      <c r="BI1298" s="254"/>
    </row>
    <row r="1299" spans="1:61" customFormat="1" ht="15.75" x14ac:dyDescent="0.25">
      <c r="A1299" s="276">
        <v>2</v>
      </c>
      <c r="B1299" s="240" t="s">
        <v>291</v>
      </c>
      <c r="C1299" s="241"/>
      <c r="D1299" s="242" t="s">
        <v>300</v>
      </c>
      <c r="E1299" s="243">
        <v>45.95</v>
      </c>
      <c r="F1299" s="517" t="s">
        <v>293</v>
      </c>
      <c r="G1299" s="232">
        <v>0</v>
      </c>
      <c r="H1299" s="661" t="str">
        <f>IF(G1299=0,"",IF(F1299="Buy",IF(G1299=1,"plant","plants"),IF(F1299&gt;0.01,"warranty","Error")))</f>
        <v/>
      </c>
      <c r="I1299" s="244">
        <f>IF(H1299="free",0,IF(H1299="credit",((E1299*(F1299))*G1299*-1),IF(F1299="Buy",(E1299*G1299),((E1299*(1-F1299))*G1299))))</f>
        <v>0</v>
      </c>
      <c r="J1299" s="244">
        <f>IF(H1299="warranty",0,(I1299*(_xlfn.SINGLE(SalesTaxPercentage))))</f>
        <v>0</v>
      </c>
      <c r="K1299" s="696">
        <f t="shared" ref="K1299" si="1000">I1299+J1299</f>
        <v>0</v>
      </c>
      <c r="L1299" s="696"/>
      <c r="M1299" s="659" t="str">
        <f>IF(AND(G1299&gt;0,E1299=0),"WARNING - no PRICE inserted",IF(H1299="free"," FREE ~ no charge this plant",IF(H1299="credit",CONCATENATE(" -$",ROUND(K1299*(1-T2GDiscount)*-1,2)," CREDIT after discount"),IF(T2GDiscount=0,"",IF(G1299=0,"",IF(F1299="Buy",CONCATENATE(" $",ROUND(K1299*(1-T2GDiscount),2)," with ",(T2GDiscount*100),"% discount"),CONCATENATE(" $",ROUND(K1299*(1-T2GDiscount),2)," with ",((T2GDiscount*100+F1299*100)-(T2GDiscount*100*F1299)),IF(F1299&gt;0,"% discounts",IF(NoWarrantyDiscount&gt;0,"% discounts","% discount")))))))))</f>
        <v/>
      </c>
      <c r="N1299" s="660"/>
      <c r="O1299" s="233"/>
      <c r="P1299" s="233"/>
      <c r="Q1299" s="233"/>
      <c r="R1299" s="233"/>
      <c r="S1299" s="233"/>
      <c r="T1299" s="508">
        <f t="shared" si="986"/>
        <v>0</v>
      </c>
      <c r="U1299" s="225">
        <f>IF(NOT(ISNUMBER(G1299)), "", VLOOKUP(A1299,'Discount Lookup'!D:E,2,FALSE)*G1299)</f>
        <v>0</v>
      </c>
      <c r="V1299" s="225">
        <f>IF(NOT(ISNUMBER(G1299)), "", VLOOKUP(A1299,'Discount Lookup'!G:H,2,FALSE)*G1299)</f>
        <v>0</v>
      </c>
      <c r="W1299" s="508">
        <f t="shared" si="987"/>
        <v>0</v>
      </c>
      <c r="X1299" s="508">
        <f t="shared" si="988"/>
        <v>0</v>
      </c>
      <c r="Y1299" s="509" t="b">
        <f t="shared" si="989"/>
        <v>0</v>
      </c>
      <c r="Z1299" s="510">
        <f t="shared" si="990"/>
        <v>0</v>
      </c>
      <c r="AA1299" s="511"/>
      <c r="AB1299" s="511" t="str">
        <f t="shared" si="991"/>
        <v/>
      </c>
      <c r="AC1299" s="698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698"/>
      <c r="AE1299" s="631" t="str">
        <f t="shared" si="992"/>
        <v/>
      </c>
      <c r="AF1299" s="699" t="str">
        <f t="shared" si="993"/>
        <v/>
      </c>
      <c r="AG1299" s="699"/>
      <c r="AH1299" s="699"/>
      <c r="AI1299" s="512">
        <f>IF(H1299="credit",0,IF(AE1299="free",0,IF(AE1299="me",0,IF(G1299&gt;0,(VLOOKUP(A1299,'Discount Lookup'!J:K,2)*G1299),0))))</f>
        <v>0</v>
      </c>
      <c r="AJ1299" s="513" t="str">
        <f t="shared" ca="1" si="994"/>
        <v/>
      </c>
      <c r="AK1299" s="700" t="str">
        <f t="shared" si="995"/>
        <v/>
      </c>
      <c r="AL1299" s="700"/>
      <c r="AM1299" s="505" t="str">
        <f t="shared" si="996"/>
        <v/>
      </c>
      <c r="AN1299" s="506"/>
      <c r="AO1299" s="507"/>
      <c r="AP1299" s="507"/>
      <c r="AQ1299" s="507"/>
      <c r="AR1299" s="507"/>
      <c r="AS1299" s="507"/>
      <c r="AT1299" s="507"/>
      <c r="AU1299" s="507"/>
      <c r="AV1299" s="225"/>
      <c r="AW1299" s="508"/>
      <c r="AX1299" s="225"/>
      <c r="AY1299" s="225"/>
      <c r="AZ1299" s="225"/>
      <c r="BA1299" s="225"/>
      <c r="BB1299" s="225"/>
      <c r="BC1299" s="56"/>
      <c r="BD1299" s="56"/>
      <c r="BE1299" s="56"/>
      <c r="BF1299" s="107" t="str">
        <f t="shared" si="997"/>
        <v>https://www.google.com/search?tbm=isch&amp;q=2%20G6</v>
      </c>
      <c r="BG1299" s="107" t="str">
        <f t="shared" si="998"/>
        <v>F</v>
      </c>
      <c r="BH1299" s="254"/>
      <c r="BI1299" s="254"/>
    </row>
    <row r="1300" spans="1:61" customFormat="1" ht="17.25" thickBot="1" x14ac:dyDescent="0.3">
      <c r="A1300" s="673" t="s">
        <v>5109</v>
      </c>
      <c r="B1300" s="245"/>
      <c r="C1300" s="677"/>
      <c r="D1300" s="499"/>
      <c r="E1300" s="499"/>
      <c r="F1300" s="500"/>
      <c r="G1300" s="501"/>
      <c r="H1300" s="502"/>
      <c r="I1300" s="246"/>
      <c r="J1300" s="247"/>
      <c r="K1300" s="503"/>
      <c r="L1300" s="544"/>
      <c r="M1300" s="544"/>
      <c r="N1300" s="500"/>
      <c r="O1300" s="500"/>
      <c r="P1300" s="500"/>
      <c r="Q1300" s="500"/>
      <c r="R1300" s="500"/>
      <c r="S1300" s="669" t="s">
        <v>4999</v>
      </c>
      <c r="T1300" s="508">
        <f t="shared" si="986"/>
        <v>0</v>
      </c>
      <c r="U1300" s="225" t="str">
        <f>IF(NOT(ISNUMBER(G1300)), "", VLOOKUP(A1300,'Discount Lookup'!D:E,2,FALSE)*G1300)</f>
        <v/>
      </c>
      <c r="V1300" s="225" t="str">
        <f>IF(NOT(ISNUMBER(G1300)), "", VLOOKUP(A1300,'Discount Lookup'!G:H,2,FALSE)*G1300)</f>
        <v/>
      </c>
      <c r="W1300" s="508">
        <f t="shared" si="987"/>
        <v>0</v>
      </c>
      <c r="X1300" s="508">
        <f t="shared" si="988"/>
        <v>0</v>
      </c>
      <c r="Y1300" s="509" t="b">
        <f t="shared" si="989"/>
        <v>0</v>
      </c>
      <c r="Z1300" s="510">
        <f t="shared" si="990"/>
        <v>0</v>
      </c>
      <c r="AA1300" s="511"/>
      <c r="AB1300" s="511" t="str">
        <f t="shared" si="991"/>
        <v/>
      </c>
      <c r="AC1300" s="698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698"/>
      <c r="AE1300" s="631" t="str">
        <f t="shared" si="992"/>
        <v/>
      </c>
      <c r="AF1300" s="699" t="str">
        <f t="shared" si="993"/>
        <v/>
      </c>
      <c r="AG1300" s="699"/>
      <c r="AH1300" s="699"/>
      <c r="AI1300" s="512">
        <f>IF(H1300="credit",0,IF(AE1300="free",0,IF(AE1300="me",0,IF(G1300&gt;0,(VLOOKUP(A1300,'Discount Lookup'!J:K,2)*G1300),0))))</f>
        <v>0</v>
      </c>
      <c r="AJ1300" s="513" t="str">
        <f t="shared" ca="1" si="994"/>
        <v/>
      </c>
      <c r="AK1300" s="700" t="str">
        <f t="shared" si="995"/>
        <v/>
      </c>
      <c r="AL1300" s="700"/>
      <c r="AM1300" s="505" t="str">
        <f t="shared" si="996"/>
        <v/>
      </c>
      <c r="AN1300" s="506"/>
      <c r="AO1300" s="507"/>
      <c r="AP1300" s="507"/>
      <c r="AQ1300" s="507"/>
      <c r="AR1300" s="507"/>
      <c r="AS1300" s="507"/>
      <c r="AT1300" s="507"/>
      <c r="AU1300" s="507"/>
      <c r="AV1300" s="225"/>
      <c r="AW1300" s="508"/>
      <c r="AX1300" s="225"/>
      <c r="AY1300" s="225"/>
      <c r="AZ1300" s="225"/>
      <c r="BA1300" s="225"/>
      <c r="BB1300" s="225"/>
      <c r="BC1300" s="56"/>
      <c r="BD1300" s="56"/>
      <c r="BE1300" s="56"/>
      <c r="BF1300" s="107" t="str">
        <f t="shared" si="997"/>
        <v>https://www.google.com/search?tbm=isch&amp;q=moist%20sites%F0%9F%92%A7GOOD%2C%20Fanal%2C%20like%20other%20Astilbe%2C%20are%20low%20maintenance%2C%20shade%20tolerant%2C%20and%20resistant%20to%20deer%2Frabbits%20</v>
      </c>
      <c r="BG1300" s="107" t="str">
        <f t="shared" si="998"/>
        <v>m</v>
      </c>
      <c r="BH1300" s="254"/>
      <c r="BI1300" s="254"/>
    </row>
    <row r="1301" spans="1:61" customFormat="1" ht="18" x14ac:dyDescent="0.25">
      <c r="A1301" s="521" t="s">
        <v>3059</v>
      </c>
      <c r="B1301" s="477"/>
      <c r="C1301" s="674"/>
      <c r="D1301" s="478" t="s">
        <v>3060</v>
      </c>
      <c r="E1301" s="479"/>
      <c r="F1301" s="479"/>
      <c r="G1301" s="479"/>
      <c r="H1301" s="582" t="s">
        <v>1139</v>
      </c>
      <c r="I1301" s="480" t="s">
        <v>3061</v>
      </c>
      <c r="J1301" s="479"/>
      <c r="K1301" s="479"/>
      <c r="L1301" s="560"/>
      <c r="M1301" s="671" t="s">
        <v>4985</v>
      </c>
      <c r="N1301" s="680" t="str">
        <f>IF(AND(ISTEXT($A1301), ISERROR($A1301+0)), HYPERLINK($BF1301, "Images"), "")</f>
        <v>Images</v>
      </c>
      <c r="O1301" s="662" t="s">
        <v>4969</v>
      </c>
      <c r="P1301" s="482"/>
      <c r="Q1301" s="483"/>
      <c r="R1301" s="483"/>
      <c r="S1301" s="484"/>
      <c r="T1301" s="508">
        <f t="shared" si="986"/>
        <v>0</v>
      </c>
      <c r="U1301" s="225" t="str">
        <f>IF(NOT(ISNUMBER(G1301)), "", VLOOKUP(A1301,'Discount Lookup'!D:E,2,FALSE)*G1301)</f>
        <v/>
      </c>
      <c r="V1301" s="225" t="str">
        <f>IF(NOT(ISNUMBER(G1301)), "", VLOOKUP(A1301,'Discount Lookup'!G:H,2,FALSE)*G1301)</f>
        <v/>
      </c>
      <c r="W1301" s="508">
        <f t="shared" si="987"/>
        <v>0</v>
      </c>
      <c r="X1301" s="508" t="str">
        <f t="shared" si="988"/>
        <v>Green foliage, White edges</v>
      </c>
      <c r="Y1301" s="509" t="b">
        <f t="shared" si="989"/>
        <v>0</v>
      </c>
      <c r="Z1301" s="510">
        <f t="shared" si="990"/>
        <v>0</v>
      </c>
      <c r="AA1301" s="511"/>
      <c r="AB1301" s="511" t="str">
        <f t="shared" si="991"/>
        <v/>
      </c>
      <c r="AC1301" s="698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698"/>
      <c r="AE1301" s="631" t="str">
        <f t="shared" si="992"/>
        <v/>
      </c>
      <c r="AF1301" s="699" t="str">
        <f t="shared" si="993"/>
        <v/>
      </c>
      <c r="AG1301" s="699"/>
      <c r="AH1301" s="699"/>
      <c r="AI1301" s="512">
        <f>IF(H1301="credit",0,IF(AE1301="free",0,IF(AE1301="me",0,IF(G1301&gt;0,(VLOOKUP(A1301,'Discount Lookup'!J:K,2)*G1301),0))))</f>
        <v>0</v>
      </c>
      <c r="AJ1301" s="513" t="str">
        <f t="shared" ca="1" si="994"/>
        <v/>
      </c>
      <c r="AK1301" s="700" t="str">
        <f t="shared" si="995"/>
        <v/>
      </c>
      <c r="AL1301" s="700"/>
      <c r="AM1301" s="505" t="str">
        <f t="shared" si="996"/>
        <v/>
      </c>
      <c r="AN1301" s="506"/>
      <c r="AO1301" s="507"/>
      <c r="AP1301" s="507"/>
      <c r="AQ1301" s="507"/>
      <c r="AR1301" s="507"/>
      <c r="AS1301" s="507"/>
      <c r="AT1301" s="507"/>
      <c r="AU1301" s="507"/>
      <c r="AV1301" s="225"/>
      <c r="AW1301" s="508"/>
      <c r="AX1301" s="225"/>
      <c r="AY1301" s="225"/>
      <c r="AZ1301" s="225"/>
      <c r="BA1301" s="225"/>
      <c r="BB1301" s="225"/>
      <c r="BC1301" s="56"/>
      <c r="BD1301" s="56"/>
      <c r="BE1301" s="56"/>
      <c r="BF1301" s="107" t="str">
        <f t="shared" si="997"/>
        <v>https://www.google.com/search?tbm=isch&amp;q=Feather%20Falls%20Sedge%20Carex%20oshimensis%20%27ET%20CRX01%27%20PP%2326199</v>
      </c>
      <c r="BG1301" s="107" t="str">
        <f t="shared" si="998"/>
        <v>F</v>
      </c>
      <c r="BH1301" s="254"/>
      <c r="BI1301" s="254"/>
    </row>
    <row r="1302" spans="1:61" customFormat="1" ht="15.75" x14ac:dyDescent="0.25">
      <c r="A1302" s="485">
        <v>2</v>
      </c>
      <c r="B1302" s="486" t="s">
        <v>291</v>
      </c>
      <c r="C1302" s="487"/>
      <c r="D1302" s="488" t="s">
        <v>300</v>
      </c>
      <c r="E1302" s="489">
        <v>31.95</v>
      </c>
      <c r="F1302" s="516" t="s">
        <v>293</v>
      </c>
      <c r="G1302" s="232">
        <v>0</v>
      </c>
      <c r="H1302" s="658" t="str">
        <f>IF(G1302=0,"",IF(F1302="Buy",IF(G1302=1,"plant","plants"),IF(F1302&gt;0.01,"warranty","Error")))</f>
        <v/>
      </c>
      <c r="I1302" s="490">
        <f>IF(H1302="free",0,IF(H1302="credit",((E1302*(F1302))*G1302*-1),IF(F1302="Buy",(E1302*G1302),((E1302*(1-F1302))*G1302))))</f>
        <v>0</v>
      </c>
      <c r="J1302" s="490">
        <f>IF(H1302="warranty",0,(I1302*(_xlfn.SINGLE(SalesTaxPercentage))))</f>
        <v>0</v>
      </c>
      <c r="K1302" s="695">
        <f t="shared" ref="K1302" si="1001">I1302+J1302</f>
        <v>0</v>
      </c>
      <c r="L1302" s="695"/>
      <c r="M1302" s="659" t="str">
        <f>IF(AND(G1302&gt;0,E1302=0),"WARNING - no PRICE inserted",IF(H1302="free"," FREE ~ no charge this plant",IF(H1302="credit",CONCATENATE(" -$",ROUND(K1302*(1-T2GDiscount)*-1,2)," CREDIT after discount"),IF(T2GDiscount=0,"",IF(G1302=0,"",IF(F1302="Buy",CONCATENATE(" $",ROUND(K1302*(1-T2GDiscount),2)," with ",(T2GDiscount*100),"% discount"),CONCATENATE(" $",ROUND(K1302*(1-T2GDiscount),2)," with ",((T2GDiscount*100+F1302*100)-(T2GDiscount*100*F1302)),IF(F1302&gt;0,"% discounts",IF(NoWarrantyDiscount&gt;0,"% discounts","% discount")))))))))</f>
        <v/>
      </c>
      <c r="N1302" s="660"/>
      <c r="O1302" s="233"/>
      <c r="P1302" s="233"/>
      <c r="Q1302" s="233"/>
      <c r="R1302" s="233"/>
      <c r="S1302" s="233"/>
      <c r="T1302" s="508">
        <f t="shared" si="986"/>
        <v>0</v>
      </c>
      <c r="U1302" s="225">
        <f>IF(NOT(ISNUMBER(G1302)), "", VLOOKUP(A1302,'Discount Lookup'!D:E,2,FALSE)*G1302)</f>
        <v>0</v>
      </c>
      <c r="V1302" s="225">
        <f>IF(NOT(ISNUMBER(G1302)), "", VLOOKUP(A1302,'Discount Lookup'!G:H,2,FALSE)*G1302)</f>
        <v>0</v>
      </c>
      <c r="W1302" s="508">
        <f t="shared" si="987"/>
        <v>0</v>
      </c>
      <c r="X1302" s="508">
        <f t="shared" si="988"/>
        <v>0</v>
      </c>
      <c r="Y1302" s="509" t="b">
        <f t="shared" si="989"/>
        <v>0</v>
      </c>
      <c r="Z1302" s="510">
        <f t="shared" si="990"/>
        <v>0</v>
      </c>
      <c r="AA1302" s="511"/>
      <c r="AB1302" s="511" t="str">
        <f t="shared" si="991"/>
        <v/>
      </c>
      <c r="AC1302" s="698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698"/>
      <c r="AE1302" s="631" t="str">
        <f t="shared" si="992"/>
        <v/>
      </c>
      <c r="AF1302" s="699" t="str">
        <f t="shared" si="993"/>
        <v/>
      </c>
      <c r="AG1302" s="699"/>
      <c r="AH1302" s="699"/>
      <c r="AI1302" s="512">
        <f>IF(H1302="credit",0,IF(AE1302="free",0,IF(AE1302="me",0,IF(G1302&gt;0,(VLOOKUP(A1302,'Discount Lookup'!J:K,2)*G1302),0))))</f>
        <v>0</v>
      </c>
      <c r="AJ1302" s="513" t="str">
        <f t="shared" ca="1" si="994"/>
        <v/>
      </c>
      <c r="AK1302" s="700" t="str">
        <f t="shared" si="995"/>
        <v/>
      </c>
      <c r="AL1302" s="700"/>
      <c r="AM1302" s="505" t="str">
        <f t="shared" si="996"/>
        <v/>
      </c>
      <c r="AN1302" s="506"/>
      <c r="AO1302" s="507"/>
      <c r="AP1302" s="507"/>
      <c r="AQ1302" s="507"/>
      <c r="AR1302" s="507"/>
      <c r="AS1302" s="507"/>
      <c r="AT1302" s="507"/>
      <c r="AU1302" s="507"/>
      <c r="AV1302" s="225"/>
      <c r="AW1302" s="508"/>
      <c r="AX1302" s="225"/>
      <c r="AY1302" s="225"/>
      <c r="AZ1302" s="225"/>
      <c r="BA1302" s="225"/>
      <c r="BB1302" s="225"/>
      <c r="BC1302" s="56"/>
      <c r="BD1302" s="56"/>
      <c r="BE1302" s="56"/>
      <c r="BF1302" s="107" t="str">
        <f t="shared" si="997"/>
        <v>https://www.google.com/search?tbm=isch&amp;q=2%20G6</v>
      </c>
      <c r="BG1302" s="107" t="str">
        <f t="shared" si="998"/>
        <v>F</v>
      </c>
      <c r="BH1302" s="254"/>
      <c r="BI1302" s="254"/>
    </row>
    <row r="1303" spans="1:61" customFormat="1" ht="16.5" thickBot="1" x14ac:dyDescent="0.3">
      <c r="A1303" s="672" t="s">
        <v>5110</v>
      </c>
      <c r="B1303" s="491"/>
      <c r="C1303" s="675"/>
      <c r="D1303" s="491"/>
      <c r="E1303" s="491"/>
      <c r="F1303" s="492"/>
      <c r="G1303" s="493"/>
      <c r="H1303" s="491"/>
      <c r="I1303" s="234"/>
      <c r="J1303" s="234"/>
      <c r="K1303" s="494"/>
      <c r="L1303" s="543"/>
      <c r="M1303" s="561"/>
      <c r="N1303" s="495"/>
      <c r="O1303" s="496"/>
      <c r="P1303" s="497"/>
      <c r="Q1303" s="495"/>
      <c r="R1303" s="495"/>
      <c r="S1303" s="667" t="s">
        <v>4968</v>
      </c>
      <c r="T1303" s="508">
        <f t="shared" si="986"/>
        <v>0</v>
      </c>
      <c r="U1303" s="225" t="str">
        <f>IF(NOT(ISNUMBER(G1303)), "", VLOOKUP(A1303,'Discount Lookup'!D:E,2,FALSE)*G1303)</f>
        <v/>
      </c>
      <c r="V1303" s="225" t="str">
        <f>IF(NOT(ISNUMBER(G1303)), "", VLOOKUP(A1303,'Discount Lookup'!G:H,2,FALSE)*G1303)</f>
        <v/>
      </c>
      <c r="W1303" s="508">
        <f t="shared" si="987"/>
        <v>0</v>
      </c>
      <c r="X1303" s="508">
        <f t="shared" si="988"/>
        <v>0</v>
      </c>
      <c r="Y1303" s="509" t="b">
        <f t="shared" si="989"/>
        <v>0</v>
      </c>
      <c r="Z1303" s="510">
        <f t="shared" si="990"/>
        <v>0</v>
      </c>
      <c r="AA1303" s="511"/>
      <c r="AB1303" s="511" t="str">
        <f t="shared" si="991"/>
        <v/>
      </c>
      <c r="AC1303" s="698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698"/>
      <c r="AE1303" s="631" t="str">
        <f t="shared" si="992"/>
        <v/>
      </c>
      <c r="AF1303" s="699" t="str">
        <f t="shared" si="993"/>
        <v/>
      </c>
      <c r="AG1303" s="699"/>
      <c r="AH1303" s="699"/>
      <c r="AI1303" s="512">
        <f>IF(H1303="credit",0,IF(AE1303="free",0,IF(AE1303="me",0,IF(G1303&gt;0,(VLOOKUP(A1303,'Discount Lookup'!J:K,2)*G1303),0))))</f>
        <v>0</v>
      </c>
      <c r="AJ1303" s="513" t="str">
        <f t="shared" ca="1" si="994"/>
        <v/>
      </c>
      <c r="AK1303" s="700" t="str">
        <f t="shared" si="995"/>
        <v/>
      </c>
      <c r="AL1303" s="700"/>
      <c r="AM1303" s="505" t="str">
        <f t="shared" si="996"/>
        <v/>
      </c>
      <c r="AN1303" s="506"/>
      <c r="AO1303" s="507"/>
      <c r="AP1303" s="507"/>
      <c r="AQ1303" s="507"/>
      <c r="AR1303" s="507"/>
      <c r="AS1303" s="507"/>
      <c r="AT1303" s="507"/>
      <c r="AU1303" s="507"/>
      <c r="AV1303" s="225"/>
      <c r="AW1303" s="508"/>
      <c r="AX1303" s="225"/>
      <c r="AY1303" s="225"/>
      <c r="AZ1303" s="225"/>
      <c r="BA1303" s="225"/>
      <c r="BB1303" s="225"/>
      <c r="BC1303" s="56"/>
      <c r="BD1303" s="56"/>
      <c r="BE1303" s="56"/>
      <c r="BF1303" s="107" t="str">
        <f t="shared" si="997"/>
        <v>https://www.google.com/search?tbm=isch&amp;q=moist%20sites%F0%9F%92%A7GOOD%2C%20Feather%20Falls%20delivers%20bold%20variegation%20and%20cascading%20form%20with%20hybrid%20vigor%2C%20thriving%20in%20shade%20or%20sun%20</v>
      </c>
      <c r="BG1303" s="107" t="str">
        <f t="shared" si="998"/>
        <v>m</v>
      </c>
      <c r="BH1303" s="254"/>
      <c r="BI1303" s="254"/>
    </row>
    <row r="1304" spans="1:61" customFormat="1" ht="18" x14ac:dyDescent="0.25">
      <c r="A1304" s="521" t="s">
        <v>879</v>
      </c>
      <c r="B1304" s="477"/>
      <c r="C1304" s="674"/>
      <c r="D1304" s="478" t="s">
        <v>880</v>
      </c>
      <c r="E1304" s="479"/>
      <c r="F1304" s="479"/>
      <c r="G1304" s="479"/>
      <c r="H1304" s="582" t="s">
        <v>2208</v>
      </c>
      <c r="I1304" s="480" t="s">
        <v>2209</v>
      </c>
      <c r="J1304" s="479"/>
      <c r="K1304" s="479"/>
      <c r="L1304" s="560"/>
      <c r="M1304" s="666" t="s">
        <v>4963</v>
      </c>
      <c r="N1304" s="680" t="str">
        <f>IF(AND(ISTEXT($A1304), ISERROR($A1304+0)), HYPERLINK($BF1304, "Images"), "")</f>
        <v>Images</v>
      </c>
      <c r="O1304" s="662" t="s">
        <v>4967</v>
      </c>
      <c r="P1304" s="482"/>
      <c r="Q1304" s="483"/>
      <c r="R1304" s="483"/>
      <c r="S1304" s="484"/>
      <c r="T1304" s="508">
        <f t="shared" si="986"/>
        <v>0</v>
      </c>
      <c r="U1304" s="225" t="str">
        <f>IF(NOT(ISNUMBER(G1304)), "", VLOOKUP(A1304,'Discount Lookup'!D:E,2,FALSE)*G1304)</f>
        <v/>
      </c>
      <c r="V1304" s="225" t="str">
        <f>IF(NOT(ISNUMBER(G1304)), "", VLOOKUP(A1304,'Discount Lookup'!G:H,2,FALSE)*G1304)</f>
        <v/>
      </c>
      <c r="W1304" s="508">
        <f t="shared" si="987"/>
        <v>0</v>
      </c>
      <c r="X1304" s="508" t="str">
        <f t="shared" si="988"/>
        <v>Blue-Green needles</v>
      </c>
      <c r="Y1304" s="509" t="b">
        <f t="shared" si="989"/>
        <v>0</v>
      </c>
      <c r="Z1304" s="510">
        <f t="shared" si="990"/>
        <v>0</v>
      </c>
      <c r="AA1304" s="511"/>
      <c r="AB1304" s="511" t="str">
        <f t="shared" si="991"/>
        <v/>
      </c>
      <c r="AC1304" s="698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698"/>
      <c r="AE1304" s="631" t="str">
        <f t="shared" si="992"/>
        <v/>
      </c>
      <c r="AF1304" s="699" t="str">
        <f t="shared" si="993"/>
        <v/>
      </c>
      <c r="AG1304" s="699"/>
      <c r="AH1304" s="699"/>
      <c r="AI1304" s="512">
        <f>IF(H1304="credit",0,IF(AE1304="free",0,IF(AE1304="me",0,IF(G1304&gt;0,(VLOOKUP(A1304,'Discount Lookup'!J:K,2)*G1304),0))))</f>
        <v>0</v>
      </c>
      <c r="AJ1304" s="513" t="str">
        <f t="shared" ca="1" si="994"/>
        <v/>
      </c>
      <c r="AK1304" s="700" t="str">
        <f t="shared" si="995"/>
        <v/>
      </c>
      <c r="AL1304" s="700"/>
      <c r="AM1304" s="505" t="str">
        <f t="shared" si="996"/>
        <v/>
      </c>
      <c r="AN1304" s="506"/>
      <c r="AO1304" s="507"/>
      <c r="AP1304" s="507"/>
      <c r="AQ1304" s="507"/>
      <c r="AR1304" s="507"/>
      <c r="AS1304" s="507"/>
      <c r="AT1304" s="507"/>
      <c r="AU1304" s="507"/>
      <c r="AV1304" s="225"/>
      <c r="AW1304" s="508"/>
      <c r="AX1304" s="225"/>
      <c r="AY1304" s="225"/>
      <c r="AZ1304" s="225"/>
      <c r="BA1304" s="225"/>
      <c r="BB1304" s="225"/>
      <c r="BC1304" s="56"/>
      <c r="BD1304" s="56"/>
      <c r="BE1304" s="56"/>
      <c r="BF1304" s="107" t="str">
        <f t="shared" si="997"/>
        <v>https://www.google.com/search?tbm=isch&amp;q=Feelin%27%20Blue%20Deodar%20Cedar%20Cedrus%20deodara%20%27Feelin%27%20Blue%27</v>
      </c>
      <c r="BG1304" s="107" t="str">
        <f t="shared" si="998"/>
        <v>F</v>
      </c>
      <c r="BH1304" s="254"/>
      <c r="BI1304" s="254"/>
    </row>
    <row r="1305" spans="1:61" customFormat="1" ht="15.75" x14ac:dyDescent="0.25">
      <c r="A1305" s="485">
        <v>10</v>
      </c>
      <c r="B1305" s="486" t="s">
        <v>291</v>
      </c>
      <c r="C1305" s="487" t="s">
        <v>3468</v>
      </c>
      <c r="D1305" s="488" t="s">
        <v>292</v>
      </c>
      <c r="E1305" s="489">
        <v>224.95</v>
      </c>
      <c r="F1305" s="516" t="s">
        <v>293</v>
      </c>
      <c r="G1305" s="232">
        <v>0</v>
      </c>
      <c r="H1305" s="658" t="str">
        <f>IF(G1305=0,"",IF(F1305="Buy",IF(G1305=1,"plant","plants"),IF(F1305&gt;0.01,"warranty","Error")))</f>
        <v/>
      </c>
      <c r="I1305" s="490">
        <f>IF(H1305="free",0,IF(H1305="credit",((E1305*(F1305))*G1305*-1),IF(F1305="Buy",(E1305*G1305),((E1305*(1-F1305))*G1305))))</f>
        <v>0</v>
      </c>
      <c r="J1305" s="490">
        <f>IF(H1305="warranty",0,(I1305*(_xlfn.SINGLE(SalesTaxPercentage))))</f>
        <v>0</v>
      </c>
      <c r="K1305" s="695">
        <f t="shared" ref="K1305" si="1002">I1305+J1305</f>
        <v>0</v>
      </c>
      <c r="L1305" s="695"/>
      <c r="M1305" s="659" t="str">
        <f>IF(AND(G1305&gt;0,E1305=0),"WARNING - no PRICE inserted",IF(H1305="free"," FREE ~ no charge this plant",IF(H1305="credit",CONCATENATE(" -$",ROUND(K1305*(1-T2GDiscount)*-1,2)," CREDIT after discount"),IF(T2GDiscount=0,"",IF(G1305=0,"",IF(F1305="Buy",CONCATENATE(" $",ROUND(K1305*(1-T2GDiscount),2)," with ",(T2GDiscount*100),"% discount"),CONCATENATE(" $",ROUND(K1305*(1-T2GDiscount),2)," with ",((T2GDiscount*100+F1305*100)-(T2GDiscount*100*F1305)),IF(F1305&gt;0,"% discounts",IF(NoWarrantyDiscount&gt;0,"% discounts","% discount")))))))))</f>
        <v/>
      </c>
      <c r="N1305" s="660"/>
      <c r="O1305" s="233"/>
      <c r="P1305" s="233"/>
      <c r="Q1305" s="233"/>
      <c r="R1305" s="233"/>
      <c r="S1305" s="233"/>
      <c r="T1305" s="508">
        <f t="shared" si="986"/>
        <v>0</v>
      </c>
      <c r="U1305" s="225">
        <f>IF(NOT(ISNUMBER(G1305)), "", VLOOKUP(A1305,'Discount Lookup'!D:E,2,FALSE)*G1305)</f>
        <v>0</v>
      </c>
      <c r="V1305" s="225">
        <f>IF(NOT(ISNUMBER(G1305)), "", VLOOKUP(A1305,'Discount Lookup'!G:H,2,FALSE)*G1305)</f>
        <v>0</v>
      </c>
      <c r="W1305" s="508">
        <f t="shared" si="987"/>
        <v>0</v>
      </c>
      <c r="X1305" s="508">
        <f t="shared" si="988"/>
        <v>0</v>
      </c>
      <c r="Y1305" s="509" t="b">
        <f t="shared" si="989"/>
        <v>0</v>
      </c>
      <c r="Z1305" s="510">
        <f t="shared" si="990"/>
        <v>0</v>
      </c>
      <c r="AA1305" s="511"/>
      <c r="AB1305" s="511" t="str">
        <f t="shared" si="991"/>
        <v/>
      </c>
      <c r="AC1305" s="698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698"/>
      <c r="AE1305" s="631" t="str">
        <f t="shared" si="992"/>
        <v/>
      </c>
      <c r="AF1305" s="699" t="str">
        <f t="shared" si="993"/>
        <v/>
      </c>
      <c r="AG1305" s="699"/>
      <c r="AH1305" s="699"/>
      <c r="AI1305" s="512">
        <f>IF(H1305="credit",0,IF(AE1305="free",0,IF(AE1305="me",0,IF(G1305&gt;0,(VLOOKUP(A1305,'Discount Lookup'!J:K,2)*G1305),0))))</f>
        <v>0</v>
      </c>
      <c r="AJ1305" s="513" t="str">
        <f t="shared" ca="1" si="994"/>
        <v/>
      </c>
      <c r="AK1305" s="700" t="str">
        <f t="shared" si="995"/>
        <v/>
      </c>
      <c r="AL1305" s="700"/>
      <c r="AM1305" s="505" t="str">
        <f t="shared" si="996"/>
        <v/>
      </c>
      <c r="AN1305" s="506"/>
      <c r="AO1305" s="507"/>
      <c r="AP1305" s="507"/>
      <c r="AQ1305" s="507"/>
      <c r="AR1305" s="507"/>
      <c r="AS1305" s="507"/>
      <c r="AT1305" s="507"/>
      <c r="AU1305" s="507"/>
      <c r="AV1305" s="225"/>
      <c r="AW1305" s="508"/>
      <c r="AX1305" s="225"/>
      <c r="AY1305" s="225"/>
      <c r="AZ1305" s="225"/>
      <c r="BA1305" s="225"/>
      <c r="BB1305" s="225"/>
      <c r="BC1305" s="56"/>
      <c r="BD1305" s="56"/>
      <c r="BE1305" s="56"/>
      <c r="BF1305" s="107" t="str">
        <f t="shared" si="997"/>
        <v>https://www.google.com/search?tbm=isch&amp;q=10%20G4</v>
      </c>
      <c r="BG1305" s="107" t="str">
        <f t="shared" si="998"/>
        <v>F</v>
      </c>
      <c r="BH1305" s="254"/>
      <c r="BI1305" s="254"/>
    </row>
    <row r="1306" spans="1:61" customFormat="1" ht="15.75" x14ac:dyDescent="0.25">
      <c r="A1306" s="485">
        <v>10</v>
      </c>
      <c r="B1306" s="486" t="s">
        <v>291</v>
      </c>
      <c r="C1306" s="487" t="s">
        <v>3469</v>
      </c>
      <c r="D1306" s="488" t="s">
        <v>292</v>
      </c>
      <c r="E1306" s="489">
        <v>270.95</v>
      </c>
      <c r="F1306" s="516" t="s">
        <v>293</v>
      </c>
      <c r="G1306" s="232">
        <v>0</v>
      </c>
      <c r="H1306" s="658" t="str">
        <f>IF(G1306=0,"",IF(F1306="Buy",IF(G1306=1,"plant","plants"),IF(F1306&gt;0.01,"warranty","Error")))</f>
        <v/>
      </c>
      <c r="I1306" s="490">
        <f>IF(H1306="free",0,IF(H1306="credit",((E1306*(F1306))*G1306*-1),IF(F1306="Buy",(E1306*G1306),((E1306*(1-F1306))*G1306))))</f>
        <v>0</v>
      </c>
      <c r="J1306" s="490">
        <f>IF(H1306="warranty",0,(I1306*(_xlfn.SINGLE(SalesTaxPercentage))))</f>
        <v>0</v>
      </c>
      <c r="K1306" s="695">
        <f t="shared" ref="K1306" si="1003">I1306+J1306</f>
        <v>0</v>
      </c>
      <c r="L1306" s="695"/>
      <c r="M1306" s="659" t="str">
        <f>IF(AND(G1306&gt;0,E1306=0),"WARNING - no PRICE inserted",IF(H1306="free"," FREE ~ no charge this plant",IF(H1306="credit",CONCATENATE(" -$",ROUND(K1306*(1-T2GDiscount)*-1,2)," CREDIT after discount"),IF(T2GDiscount=0,"",IF(G1306=0,"",IF(F1306="Buy",CONCATENATE(" $",ROUND(K1306*(1-T2GDiscount),2)," with ",(T2GDiscount*100),"% discount"),CONCATENATE(" $",ROUND(K1306*(1-T2GDiscount),2)," with ",((T2GDiscount*100+F1306*100)-(T2GDiscount*100*F1306)),IF(F1306&gt;0,"% discounts",IF(NoWarrantyDiscount&gt;0,"% discounts","% discount")))))))))</f>
        <v/>
      </c>
      <c r="N1306" s="660"/>
      <c r="O1306" s="233"/>
      <c r="P1306" s="233"/>
      <c r="Q1306" s="233"/>
      <c r="R1306" s="233"/>
      <c r="S1306" s="233"/>
      <c r="T1306" s="508">
        <f t="shared" si="986"/>
        <v>0</v>
      </c>
      <c r="U1306" s="225">
        <f>IF(NOT(ISNUMBER(G1306)), "", VLOOKUP(A1306,'Discount Lookup'!D:E,2,FALSE)*G1306)</f>
        <v>0</v>
      </c>
      <c r="V1306" s="225">
        <f>IF(NOT(ISNUMBER(G1306)), "", VLOOKUP(A1306,'Discount Lookup'!G:H,2,FALSE)*G1306)</f>
        <v>0</v>
      </c>
      <c r="W1306" s="508">
        <f t="shared" si="987"/>
        <v>0</v>
      </c>
      <c r="X1306" s="508">
        <f t="shared" si="988"/>
        <v>0</v>
      </c>
      <c r="Y1306" s="509" t="b">
        <f t="shared" si="989"/>
        <v>0</v>
      </c>
      <c r="Z1306" s="510">
        <f t="shared" si="990"/>
        <v>0</v>
      </c>
      <c r="AA1306" s="511"/>
      <c r="AB1306" s="511" t="str">
        <f t="shared" si="991"/>
        <v/>
      </c>
      <c r="AC1306" s="698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698"/>
      <c r="AE1306" s="631" t="str">
        <f t="shared" si="992"/>
        <v/>
      </c>
      <c r="AF1306" s="699" t="str">
        <f t="shared" si="993"/>
        <v/>
      </c>
      <c r="AG1306" s="699"/>
      <c r="AH1306" s="699"/>
      <c r="AI1306" s="512">
        <f>IF(H1306="credit",0,IF(AE1306="free",0,IF(AE1306="me",0,IF(G1306&gt;0,(VLOOKUP(A1306,'Discount Lookup'!J:K,2)*G1306),0))))</f>
        <v>0</v>
      </c>
      <c r="AJ1306" s="513" t="str">
        <f t="shared" ca="1" si="994"/>
        <v/>
      </c>
      <c r="AK1306" s="700" t="str">
        <f t="shared" si="995"/>
        <v/>
      </c>
      <c r="AL1306" s="700"/>
      <c r="AM1306" s="505" t="str">
        <f t="shared" si="996"/>
        <v/>
      </c>
      <c r="AN1306" s="506"/>
      <c r="AO1306" s="507"/>
      <c r="AP1306" s="507"/>
      <c r="AQ1306" s="507"/>
      <c r="AR1306" s="507"/>
      <c r="AS1306" s="507"/>
      <c r="AT1306" s="507"/>
      <c r="AU1306" s="507"/>
      <c r="AV1306" s="225"/>
      <c r="AW1306" s="508"/>
      <c r="AX1306" s="225"/>
      <c r="AY1306" s="225"/>
      <c r="AZ1306" s="225"/>
      <c r="BA1306" s="225"/>
      <c r="BB1306" s="225"/>
      <c r="BC1306" s="56"/>
      <c r="BD1306" s="56"/>
      <c r="BE1306" s="56"/>
      <c r="BF1306" s="107" t="str">
        <f t="shared" si="997"/>
        <v>https://www.google.com/search?tbm=isch&amp;q=10%20G4</v>
      </c>
      <c r="BG1306" s="107" t="str">
        <f t="shared" si="998"/>
        <v>F</v>
      </c>
      <c r="BH1306" s="254"/>
      <c r="BI1306" s="254"/>
    </row>
    <row r="1307" spans="1:61" customFormat="1" ht="27" x14ac:dyDescent="0.25">
      <c r="A1307" s="485">
        <v>10</v>
      </c>
      <c r="B1307" s="486" t="s">
        <v>291</v>
      </c>
      <c r="C1307" s="487" t="s">
        <v>3470</v>
      </c>
      <c r="D1307" s="488" t="s">
        <v>292</v>
      </c>
      <c r="E1307" s="489">
        <v>284.95</v>
      </c>
      <c r="F1307" s="516" t="s">
        <v>293</v>
      </c>
      <c r="G1307" s="232">
        <v>0</v>
      </c>
      <c r="H1307" s="658" t="str">
        <f>IF(G1307=0,"",IF(F1307="Buy",IF(G1307=1,"plant","plants"),IF(F1307&gt;0.01,"warranty","Error")))</f>
        <v/>
      </c>
      <c r="I1307" s="490">
        <f>IF(H1307="free",0,IF(H1307="credit",((E1307*(F1307))*G1307*-1),IF(F1307="Buy",(E1307*G1307),((E1307*(1-F1307))*G1307))))</f>
        <v>0</v>
      </c>
      <c r="J1307" s="490">
        <f>IF(H1307="warranty",0,(I1307*(_xlfn.SINGLE(SalesTaxPercentage))))</f>
        <v>0</v>
      </c>
      <c r="K1307" s="695">
        <f t="shared" ref="K1307" si="1004">I1307+J1307</f>
        <v>0</v>
      </c>
      <c r="L1307" s="695"/>
      <c r="M1307" s="659" t="str">
        <f>IF(AND(G1307&gt;0,E1307=0),"WARNING - no PRICE inserted",IF(H1307="free"," FREE ~ no charge this plant",IF(H1307="credit",CONCATENATE(" -$",ROUND(K1307*(1-T2GDiscount)*-1,2)," CREDIT after discount"),IF(T2GDiscount=0,"",IF(G1307=0,"",IF(F1307="Buy",CONCATENATE(" $",ROUND(K1307*(1-T2GDiscount),2)," with ",(T2GDiscount*100),"% discount"),CONCATENATE(" $",ROUND(K1307*(1-T2GDiscount),2)," with ",((T2GDiscount*100+F1307*100)-(T2GDiscount*100*F1307)),IF(F1307&gt;0,"% discounts",IF(NoWarrantyDiscount&gt;0,"% discounts","% discount")))))))))</f>
        <v/>
      </c>
      <c r="N1307" s="660"/>
      <c r="O1307" s="233"/>
      <c r="P1307" s="233"/>
      <c r="Q1307" s="233"/>
      <c r="R1307" s="233"/>
      <c r="S1307" s="233"/>
      <c r="T1307" s="508">
        <f t="shared" si="986"/>
        <v>0</v>
      </c>
      <c r="U1307" s="225">
        <f>IF(NOT(ISNUMBER(G1307)), "", VLOOKUP(A1307,'Discount Lookup'!D:E,2,FALSE)*G1307)</f>
        <v>0</v>
      </c>
      <c r="V1307" s="225">
        <f>IF(NOT(ISNUMBER(G1307)), "", VLOOKUP(A1307,'Discount Lookup'!G:H,2,FALSE)*G1307)</f>
        <v>0</v>
      </c>
      <c r="W1307" s="508">
        <f t="shared" si="987"/>
        <v>0</v>
      </c>
      <c r="X1307" s="508">
        <f t="shared" si="988"/>
        <v>0</v>
      </c>
      <c r="Y1307" s="509" t="b">
        <f t="shared" si="989"/>
        <v>0</v>
      </c>
      <c r="Z1307" s="510">
        <f t="shared" si="990"/>
        <v>0</v>
      </c>
      <c r="AA1307" s="511"/>
      <c r="AB1307" s="511" t="str">
        <f t="shared" si="991"/>
        <v/>
      </c>
      <c r="AC1307" s="698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698"/>
      <c r="AE1307" s="631" t="str">
        <f t="shared" si="992"/>
        <v/>
      </c>
      <c r="AF1307" s="699" t="str">
        <f t="shared" si="993"/>
        <v/>
      </c>
      <c r="AG1307" s="699"/>
      <c r="AH1307" s="699"/>
      <c r="AI1307" s="512">
        <f>IF(H1307="credit",0,IF(AE1307="free",0,IF(AE1307="me",0,IF(G1307&gt;0,(VLOOKUP(A1307,'Discount Lookup'!J:K,2)*G1307),0))))</f>
        <v>0</v>
      </c>
      <c r="AJ1307" s="513" t="str">
        <f t="shared" ca="1" si="994"/>
        <v/>
      </c>
      <c r="AK1307" s="700" t="str">
        <f t="shared" si="995"/>
        <v/>
      </c>
      <c r="AL1307" s="700"/>
      <c r="AM1307" s="505" t="str">
        <f t="shared" si="996"/>
        <v/>
      </c>
      <c r="AN1307" s="506"/>
      <c r="AO1307" s="507"/>
      <c r="AP1307" s="507"/>
      <c r="AQ1307" s="507"/>
      <c r="AR1307" s="507"/>
      <c r="AS1307" s="507"/>
      <c r="AT1307" s="507"/>
      <c r="AU1307" s="507"/>
      <c r="AV1307" s="225"/>
      <c r="AW1307" s="508"/>
      <c r="AX1307" s="225"/>
      <c r="AY1307" s="225"/>
      <c r="AZ1307" s="225"/>
      <c r="BA1307" s="225"/>
      <c r="BB1307" s="225"/>
      <c r="BC1307" s="56"/>
      <c r="BD1307" s="56"/>
      <c r="BE1307" s="56"/>
      <c r="BF1307" s="107" t="str">
        <f t="shared" si="997"/>
        <v>https://www.google.com/search?tbm=isch&amp;q=10%20G4</v>
      </c>
      <c r="BG1307" s="107" t="str">
        <f t="shared" si="998"/>
        <v>F</v>
      </c>
      <c r="BH1307" s="254"/>
      <c r="BI1307" s="254"/>
    </row>
    <row r="1308" spans="1:61" customFormat="1" ht="15.75" x14ac:dyDescent="0.25">
      <c r="A1308" s="485">
        <v>15</v>
      </c>
      <c r="B1308" s="486" t="s">
        <v>291</v>
      </c>
      <c r="C1308" s="487" t="s">
        <v>4404</v>
      </c>
      <c r="D1308" s="488" t="s">
        <v>292</v>
      </c>
      <c r="E1308" s="489">
        <v>316.95</v>
      </c>
      <c r="F1308" s="516" t="s">
        <v>293</v>
      </c>
      <c r="G1308" s="232">
        <v>0</v>
      </c>
      <c r="H1308" s="658" t="str">
        <f>IF(G1308=0,"",IF(F1308="Buy",IF(G1308=1,"plant","plants"),IF(F1308&gt;0.01,"warranty","Error")))</f>
        <v/>
      </c>
      <c r="I1308" s="490">
        <f>IF(H1308="free",0,IF(H1308="credit",((E1308*(F1308))*G1308*-1),IF(F1308="Buy",(E1308*G1308),((E1308*(1-F1308))*G1308))))</f>
        <v>0</v>
      </c>
      <c r="J1308" s="490">
        <f>IF(H1308="warranty",0,(I1308*(_xlfn.SINGLE(SalesTaxPercentage))))</f>
        <v>0</v>
      </c>
      <c r="K1308" s="695">
        <f t="shared" ref="K1308" si="1005">I1308+J1308</f>
        <v>0</v>
      </c>
      <c r="L1308" s="695"/>
      <c r="M1308" s="659" t="str">
        <f>IF(AND(G1308&gt;0,E1308=0),"WARNING - no PRICE inserted",IF(H1308="free"," FREE ~ no charge this plant",IF(H1308="credit",CONCATENATE(" -$",ROUND(K1308*(1-T2GDiscount)*-1,2)," CREDIT after discount"),IF(T2GDiscount=0,"",IF(G1308=0,"",IF(F1308="Buy",CONCATENATE(" $",ROUND(K1308*(1-T2GDiscount),2)," with ",(T2GDiscount*100),"% discount"),CONCATENATE(" $",ROUND(K1308*(1-T2GDiscount),2)," with ",((T2GDiscount*100+F1308*100)-(T2GDiscount*100*F1308)),IF(F1308&gt;0,"% discounts",IF(NoWarrantyDiscount&gt;0,"% discounts","% discount")))))))))</f>
        <v/>
      </c>
      <c r="N1308" s="660"/>
      <c r="O1308" s="233"/>
      <c r="P1308" s="233"/>
      <c r="Q1308" s="233"/>
      <c r="R1308" s="233"/>
      <c r="S1308" s="233"/>
      <c r="T1308" s="508">
        <f t="shared" si="986"/>
        <v>0</v>
      </c>
      <c r="U1308" s="225">
        <f>IF(NOT(ISNUMBER(G1308)), "", VLOOKUP(A1308,'Discount Lookup'!D:E,2,FALSE)*G1308)</f>
        <v>0</v>
      </c>
      <c r="V1308" s="225">
        <f>IF(NOT(ISNUMBER(G1308)), "", VLOOKUP(A1308,'Discount Lookup'!G:H,2,FALSE)*G1308)</f>
        <v>0</v>
      </c>
      <c r="W1308" s="508">
        <f t="shared" si="987"/>
        <v>0</v>
      </c>
      <c r="X1308" s="508">
        <f t="shared" si="988"/>
        <v>0</v>
      </c>
      <c r="Y1308" s="509" t="b">
        <f t="shared" si="989"/>
        <v>0</v>
      </c>
      <c r="Z1308" s="510">
        <f t="shared" si="990"/>
        <v>0</v>
      </c>
      <c r="AA1308" s="511"/>
      <c r="AB1308" s="511" t="str">
        <f t="shared" si="991"/>
        <v/>
      </c>
      <c r="AC1308" s="698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698"/>
      <c r="AE1308" s="631" t="str">
        <f t="shared" si="992"/>
        <v/>
      </c>
      <c r="AF1308" s="699" t="str">
        <f t="shared" si="993"/>
        <v/>
      </c>
      <c r="AG1308" s="699"/>
      <c r="AH1308" s="699"/>
      <c r="AI1308" s="512">
        <f>IF(H1308="credit",0,IF(AE1308="free",0,IF(AE1308="me",0,IF(G1308&gt;0,(VLOOKUP(A1308,'Discount Lookup'!J:K,2)*G1308),0))))</f>
        <v>0</v>
      </c>
      <c r="AJ1308" s="513" t="str">
        <f t="shared" ca="1" si="994"/>
        <v/>
      </c>
      <c r="AK1308" s="700" t="str">
        <f t="shared" si="995"/>
        <v/>
      </c>
      <c r="AL1308" s="700"/>
      <c r="AM1308" s="505" t="str">
        <f t="shared" si="996"/>
        <v/>
      </c>
      <c r="AN1308" s="506"/>
      <c r="AO1308" s="507"/>
      <c r="AP1308" s="507"/>
      <c r="AQ1308" s="507"/>
      <c r="AR1308" s="507"/>
      <c r="AS1308" s="507"/>
      <c r="AT1308" s="507"/>
      <c r="AU1308" s="507"/>
      <c r="AV1308" s="225"/>
      <c r="AW1308" s="508"/>
      <c r="AX1308" s="225"/>
      <c r="AY1308" s="225"/>
      <c r="AZ1308" s="225"/>
      <c r="BA1308" s="225"/>
      <c r="BB1308" s="225"/>
      <c r="BC1308" s="56"/>
      <c r="BD1308" s="56"/>
      <c r="BE1308" s="56"/>
      <c r="BF1308" s="107" t="str">
        <f t="shared" si="997"/>
        <v>https://www.google.com/search?tbm=isch&amp;q=15%20G4</v>
      </c>
      <c r="BG1308" s="107" t="str">
        <f t="shared" si="998"/>
        <v>F</v>
      </c>
      <c r="BH1308" s="254"/>
      <c r="BI1308" s="254"/>
    </row>
    <row r="1309" spans="1:61" customFormat="1" ht="17.25" thickBot="1" x14ac:dyDescent="0.3">
      <c r="A1309" s="522" t="s">
        <v>2377</v>
      </c>
      <c r="B1309" s="491"/>
      <c r="C1309" s="675"/>
      <c r="D1309" s="491"/>
      <c r="E1309" s="491"/>
      <c r="F1309" s="492"/>
      <c r="G1309" s="493"/>
      <c r="H1309" s="491"/>
      <c r="I1309" s="234"/>
      <c r="J1309" s="234"/>
      <c r="K1309" s="494"/>
      <c r="L1309" s="543"/>
      <c r="M1309" s="561"/>
      <c r="N1309" s="495"/>
      <c r="O1309" s="496"/>
      <c r="P1309" s="497"/>
      <c r="Q1309" s="495"/>
      <c r="R1309" s="495"/>
      <c r="S1309" s="667" t="s">
        <v>4984</v>
      </c>
      <c r="T1309" s="508">
        <f t="shared" si="986"/>
        <v>0</v>
      </c>
      <c r="U1309" s="225" t="str">
        <f>IF(NOT(ISNUMBER(G1309)), "", VLOOKUP(A1309,'Discount Lookup'!D:E,2,FALSE)*G1309)</f>
        <v/>
      </c>
      <c r="V1309" s="225" t="str">
        <f>IF(NOT(ISNUMBER(G1309)), "", VLOOKUP(A1309,'Discount Lookup'!G:H,2,FALSE)*G1309)</f>
        <v/>
      </c>
      <c r="W1309" s="508">
        <f t="shared" si="987"/>
        <v>0</v>
      </c>
      <c r="X1309" s="508">
        <f t="shared" si="988"/>
        <v>0</v>
      </c>
      <c r="Y1309" s="509" t="b">
        <f t="shared" si="989"/>
        <v>0</v>
      </c>
      <c r="Z1309" s="510">
        <f t="shared" si="990"/>
        <v>0</v>
      </c>
      <c r="AA1309" s="511"/>
      <c r="AB1309" s="511" t="str">
        <f t="shared" si="991"/>
        <v/>
      </c>
      <c r="AC1309" s="698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698"/>
      <c r="AE1309" s="631" t="str">
        <f t="shared" si="992"/>
        <v/>
      </c>
      <c r="AF1309" s="699" t="str">
        <f t="shared" si="993"/>
        <v/>
      </c>
      <c r="AG1309" s="699"/>
      <c r="AH1309" s="699"/>
      <c r="AI1309" s="512">
        <f>IF(H1309="credit",0,IF(AE1309="free",0,IF(AE1309="me",0,IF(G1309&gt;0,(VLOOKUP(A1309,'Discount Lookup'!J:K,2)*G1309),0))))</f>
        <v>0</v>
      </c>
      <c r="AJ1309" s="513" t="str">
        <f t="shared" ca="1" si="994"/>
        <v/>
      </c>
      <c r="AK1309" s="700" t="str">
        <f t="shared" si="995"/>
        <v/>
      </c>
      <c r="AL1309" s="700"/>
      <c r="AM1309" s="505" t="str">
        <f t="shared" si="996"/>
        <v/>
      </c>
      <c r="AN1309" s="506"/>
      <c r="AO1309" s="507"/>
      <c r="AP1309" s="507"/>
      <c r="AQ1309" s="507"/>
      <c r="AR1309" s="507"/>
      <c r="AS1309" s="507"/>
      <c r="AT1309" s="507"/>
      <c r="AU1309" s="507"/>
      <c r="AV1309" s="225"/>
      <c r="AW1309" s="508"/>
      <c r="AX1309" s="225"/>
      <c r="AY1309" s="225"/>
      <c r="AZ1309" s="225"/>
      <c r="BA1309" s="225"/>
      <c r="BB1309" s="225"/>
      <c r="BC1309" s="56"/>
      <c r="BD1309" s="56"/>
      <c r="BE1309" s="56"/>
      <c r="BF1309" s="107" t="str">
        <f t="shared" si="997"/>
        <v>https://www.google.com/search?tbm=isch&amp;q=Feelin%27%20Blue%20is%20the%20lowest%20grower%20of%20all%20Deodar.%20Great%20for%20rock%20gardens%2C%20containers%2C%20or%20cascading%20over%20walls%20</v>
      </c>
      <c r="BG1309" s="107" t="str">
        <f t="shared" si="998"/>
        <v>F</v>
      </c>
      <c r="BH1309" s="254"/>
      <c r="BI1309" s="254"/>
    </row>
    <row r="1310" spans="1:61" customFormat="1" ht="18" x14ac:dyDescent="0.25">
      <c r="A1310" s="521" t="s">
        <v>881</v>
      </c>
      <c r="B1310" s="477"/>
      <c r="C1310" s="674"/>
      <c r="D1310" s="478" t="s">
        <v>882</v>
      </c>
      <c r="E1310" s="479"/>
      <c r="F1310" s="479"/>
      <c r="G1310" s="479"/>
      <c r="H1310" s="582" t="s">
        <v>471</v>
      </c>
      <c r="I1310" s="480" t="s">
        <v>2093</v>
      </c>
      <c r="J1310" s="479"/>
      <c r="K1310" s="479"/>
      <c r="L1310" s="560"/>
      <c r="M1310" s="666" t="s">
        <v>4966</v>
      </c>
      <c r="N1310" s="680" t="str">
        <f>IF(AND(ISTEXT($A1310), ISERROR($A1310+0)), HYPERLINK($BF1310, "Images"), "")</f>
        <v>Images</v>
      </c>
      <c r="O1310" s="662" t="s">
        <v>4967</v>
      </c>
      <c r="P1310" s="482"/>
      <c r="Q1310" s="483"/>
      <c r="R1310" s="483"/>
      <c r="S1310" s="484"/>
      <c r="T1310" s="508">
        <f t="shared" si="986"/>
        <v>0</v>
      </c>
      <c r="U1310" s="225" t="str">
        <f>IF(NOT(ISNUMBER(G1310)), "", VLOOKUP(A1310,'Discount Lookup'!D:E,2,FALSE)*G1310)</f>
        <v/>
      </c>
      <c r="V1310" s="225" t="str">
        <f>IF(NOT(ISNUMBER(G1310)), "", VLOOKUP(A1310,'Discount Lookup'!G:H,2,FALSE)*G1310)</f>
        <v/>
      </c>
      <c r="W1310" s="508">
        <f t="shared" si="987"/>
        <v>0</v>
      </c>
      <c r="X1310" s="508" t="str">
        <f t="shared" si="988"/>
        <v>Dark Green foliage</v>
      </c>
      <c r="Y1310" s="509" t="b">
        <f t="shared" si="989"/>
        <v>0</v>
      </c>
      <c r="Z1310" s="510">
        <f t="shared" si="990"/>
        <v>0</v>
      </c>
      <c r="AA1310" s="511"/>
      <c r="AB1310" s="511" t="str">
        <f t="shared" si="991"/>
        <v/>
      </c>
      <c r="AC1310" s="698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698"/>
      <c r="AE1310" s="631" t="str">
        <f t="shared" si="992"/>
        <v/>
      </c>
      <c r="AF1310" s="699" t="str">
        <f t="shared" si="993"/>
        <v/>
      </c>
      <c r="AG1310" s="699"/>
      <c r="AH1310" s="699"/>
      <c r="AI1310" s="512">
        <f>IF(H1310="credit",0,IF(AE1310="free",0,IF(AE1310="me",0,IF(G1310&gt;0,(VLOOKUP(A1310,'Discount Lookup'!J:K,2)*G1310),0))))</f>
        <v>0</v>
      </c>
      <c r="AJ1310" s="513" t="str">
        <f t="shared" ca="1" si="994"/>
        <v/>
      </c>
      <c r="AK1310" s="700" t="str">
        <f t="shared" si="995"/>
        <v/>
      </c>
      <c r="AL1310" s="700"/>
      <c r="AM1310" s="505" t="str">
        <f t="shared" si="996"/>
        <v/>
      </c>
      <c r="AN1310" s="506"/>
      <c r="AO1310" s="507"/>
      <c r="AP1310" s="507"/>
      <c r="AQ1310" s="507"/>
      <c r="AR1310" s="507"/>
      <c r="AS1310" s="507"/>
      <c r="AT1310" s="507"/>
      <c r="AU1310" s="507"/>
      <c r="AV1310" s="225"/>
      <c r="AW1310" s="508"/>
      <c r="AX1310" s="225"/>
      <c r="AY1310" s="225"/>
      <c r="AZ1310" s="225"/>
      <c r="BA1310" s="225"/>
      <c r="BB1310" s="225"/>
      <c r="BC1310" s="56"/>
      <c r="BD1310" s="56"/>
      <c r="BE1310" s="56"/>
      <c r="BF1310" s="107" t="str">
        <f t="shared" si="997"/>
        <v>https://www.google.com/search?tbm=isch&amp;q=Fernspray%20Cypress%20Chamaecyparis%20obtusa%20%27Filicoides%27</v>
      </c>
      <c r="BG1310" s="107" t="str">
        <f t="shared" si="998"/>
        <v>F</v>
      </c>
      <c r="BH1310" s="254"/>
      <c r="BI1310" s="254"/>
    </row>
    <row r="1311" spans="1:61" customFormat="1" ht="15.75" x14ac:dyDescent="0.25">
      <c r="A1311" s="485">
        <v>7</v>
      </c>
      <c r="B1311" s="486" t="s">
        <v>291</v>
      </c>
      <c r="C1311" s="487" t="s">
        <v>3471</v>
      </c>
      <c r="D1311" s="488" t="s">
        <v>292</v>
      </c>
      <c r="E1311" s="489">
        <v>95.95</v>
      </c>
      <c r="F1311" s="516" t="s">
        <v>293</v>
      </c>
      <c r="G1311" s="232">
        <v>0</v>
      </c>
      <c r="H1311" s="658" t="str">
        <f>IF(G1311=0,"",IF(F1311="Buy",IF(G1311=1,"plant","plants"),IF(F1311&gt;0.01,"warranty","Error")))</f>
        <v/>
      </c>
      <c r="I1311" s="490">
        <f>IF(H1311="free",0,IF(H1311="credit",((E1311*(F1311))*G1311*-1),IF(F1311="Buy",(E1311*G1311),((E1311*(1-F1311))*G1311))))</f>
        <v>0</v>
      </c>
      <c r="J1311" s="490">
        <f>IF(H1311="warranty",0,(I1311*(_xlfn.SINGLE(SalesTaxPercentage))))</f>
        <v>0</v>
      </c>
      <c r="K1311" s="695">
        <f t="shared" ref="K1311" si="1006">I1311+J1311</f>
        <v>0</v>
      </c>
      <c r="L1311" s="695"/>
      <c r="M1311" s="659" t="str">
        <f>IF(AND(G1311&gt;0,E1311=0),"WARNING - no PRICE inserted",IF(H1311="free"," FREE ~ no charge this plant",IF(H1311="credit",CONCATENATE(" -$",ROUND(K1311*(1-T2GDiscount)*-1,2)," CREDIT after discount"),IF(T2GDiscount=0,"",IF(G1311=0,"",IF(F1311="Buy",CONCATENATE(" $",ROUND(K1311*(1-T2GDiscount),2)," with ",(T2GDiscount*100),"% discount"),CONCATENATE(" $",ROUND(K1311*(1-T2GDiscount),2)," with ",((T2GDiscount*100+F1311*100)-(T2GDiscount*100*F1311)),IF(F1311&gt;0,"% discounts",IF(NoWarrantyDiscount&gt;0,"% discounts","% discount")))))))))</f>
        <v/>
      </c>
      <c r="N1311" s="660"/>
      <c r="O1311" s="233"/>
      <c r="P1311" s="233"/>
      <c r="Q1311" s="233"/>
      <c r="R1311" s="233"/>
      <c r="S1311" s="233"/>
      <c r="T1311" s="508">
        <f t="shared" si="986"/>
        <v>0</v>
      </c>
      <c r="U1311" s="225">
        <f>IF(NOT(ISNUMBER(G1311)), "", VLOOKUP(A1311,'Discount Lookup'!D:E,2,FALSE)*G1311)</f>
        <v>0</v>
      </c>
      <c r="V1311" s="225">
        <f>IF(NOT(ISNUMBER(G1311)), "", VLOOKUP(A1311,'Discount Lookup'!G:H,2,FALSE)*G1311)</f>
        <v>0</v>
      </c>
      <c r="W1311" s="508">
        <f t="shared" si="987"/>
        <v>0</v>
      </c>
      <c r="X1311" s="508">
        <f t="shared" si="988"/>
        <v>0</v>
      </c>
      <c r="Y1311" s="509" t="b">
        <f t="shared" si="989"/>
        <v>0</v>
      </c>
      <c r="Z1311" s="510">
        <f t="shared" si="990"/>
        <v>0</v>
      </c>
      <c r="AA1311" s="511"/>
      <c r="AB1311" s="511" t="str">
        <f t="shared" si="991"/>
        <v/>
      </c>
      <c r="AC1311" s="698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698"/>
      <c r="AE1311" s="631" t="str">
        <f t="shared" si="992"/>
        <v/>
      </c>
      <c r="AF1311" s="699" t="str">
        <f t="shared" si="993"/>
        <v/>
      </c>
      <c r="AG1311" s="699"/>
      <c r="AH1311" s="699"/>
      <c r="AI1311" s="512">
        <f>IF(H1311="credit",0,IF(AE1311="free",0,IF(AE1311="me",0,IF(G1311&gt;0,(VLOOKUP(A1311,'Discount Lookup'!J:K,2)*G1311),0))))</f>
        <v>0</v>
      </c>
      <c r="AJ1311" s="513" t="str">
        <f t="shared" ca="1" si="994"/>
        <v/>
      </c>
      <c r="AK1311" s="700" t="str">
        <f t="shared" si="995"/>
        <v/>
      </c>
      <c r="AL1311" s="700"/>
      <c r="AM1311" s="505" t="str">
        <f t="shared" si="996"/>
        <v/>
      </c>
      <c r="AN1311" s="506"/>
      <c r="AO1311" s="507"/>
      <c r="AP1311" s="507"/>
      <c r="AQ1311" s="507"/>
      <c r="AR1311" s="507"/>
      <c r="AS1311" s="507"/>
      <c r="AT1311" s="507"/>
      <c r="AU1311" s="507"/>
      <c r="AV1311" s="225"/>
      <c r="AW1311" s="508"/>
      <c r="AX1311" s="225"/>
      <c r="AY1311" s="225"/>
      <c r="AZ1311" s="225"/>
      <c r="BA1311" s="225"/>
      <c r="BB1311" s="225"/>
      <c r="BC1311" s="56"/>
      <c r="BD1311" s="56"/>
      <c r="BE1311" s="56"/>
      <c r="BF1311" s="107" t="str">
        <f t="shared" si="997"/>
        <v>https://www.google.com/search?tbm=isch&amp;q=7%20G4</v>
      </c>
      <c r="BG1311" s="107" t="str">
        <f t="shared" si="998"/>
        <v>F</v>
      </c>
      <c r="BH1311" s="254"/>
      <c r="BI1311" s="254"/>
    </row>
    <row r="1312" spans="1:61" customFormat="1" ht="15.75" x14ac:dyDescent="0.25">
      <c r="A1312" s="485">
        <v>15</v>
      </c>
      <c r="B1312" s="486" t="s">
        <v>291</v>
      </c>
      <c r="C1312" s="487" t="s">
        <v>3472</v>
      </c>
      <c r="D1312" s="488" t="s">
        <v>292</v>
      </c>
      <c r="E1312" s="489">
        <v>206.95</v>
      </c>
      <c r="F1312" s="516" t="s">
        <v>293</v>
      </c>
      <c r="G1312" s="232">
        <v>0</v>
      </c>
      <c r="H1312" s="658" t="str">
        <f>IF(G1312=0,"",IF(F1312="Buy",IF(G1312=1,"plant","plants"),IF(F1312&gt;0.01,"warranty","Error")))</f>
        <v/>
      </c>
      <c r="I1312" s="490">
        <f>IF(H1312="free",0,IF(H1312="credit",((E1312*(F1312))*G1312*-1),IF(F1312="Buy",(E1312*G1312),((E1312*(1-F1312))*G1312))))</f>
        <v>0</v>
      </c>
      <c r="J1312" s="490">
        <f>IF(H1312="warranty",0,(I1312*(_xlfn.SINGLE(SalesTaxPercentage))))</f>
        <v>0</v>
      </c>
      <c r="K1312" s="695">
        <f t="shared" ref="K1312" si="1007">I1312+J1312</f>
        <v>0</v>
      </c>
      <c r="L1312" s="695"/>
      <c r="M1312" s="659" t="str">
        <f>IF(AND(G1312&gt;0,E1312=0),"WARNING - no PRICE inserted",IF(H1312="free"," FREE ~ no charge this plant",IF(H1312="credit",CONCATENATE(" -$",ROUND(K1312*(1-T2GDiscount)*-1,2)," CREDIT after discount"),IF(T2GDiscount=0,"",IF(G1312=0,"",IF(F1312="Buy",CONCATENATE(" $",ROUND(K1312*(1-T2GDiscount),2)," with ",(T2GDiscount*100),"% discount"),CONCATENATE(" $",ROUND(K1312*(1-T2GDiscount),2)," with ",((T2GDiscount*100+F1312*100)-(T2GDiscount*100*F1312)),IF(F1312&gt;0,"% discounts",IF(NoWarrantyDiscount&gt;0,"% discounts","% discount")))))))))</f>
        <v/>
      </c>
      <c r="N1312" s="660"/>
      <c r="O1312" s="233"/>
      <c r="P1312" s="233"/>
      <c r="Q1312" s="233"/>
      <c r="R1312" s="233"/>
      <c r="S1312" s="233"/>
      <c r="T1312" s="508">
        <f t="shared" si="986"/>
        <v>0</v>
      </c>
      <c r="U1312" s="225">
        <f>IF(NOT(ISNUMBER(G1312)), "", VLOOKUP(A1312,'Discount Lookup'!D:E,2,FALSE)*G1312)</f>
        <v>0</v>
      </c>
      <c r="V1312" s="225">
        <f>IF(NOT(ISNUMBER(G1312)), "", VLOOKUP(A1312,'Discount Lookup'!G:H,2,FALSE)*G1312)</f>
        <v>0</v>
      </c>
      <c r="W1312" s="508">
        <f t="shared" si="987"/>
        <v>0</v>
      </c>
      <c r="X1312" s="508">
        <f t="shared" si="988"/>
        <v>0</v>
      </c>
      <c r="Y1312" s="509" t="b">
        <f t="shared" si="989"/>
        <v>0</v>
      </c>
      <c r="Z1312" s="510">
        <f t="shared" si="990"/>
        <v>0</v>
      </c>
      <c r="AA1312" s="511"/>
      <c r="AB1312" s="511" t="str">
        <f t="shared" si="991"/>
        <v/>
      </c>
      <c r="AC1312" s="698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698"/>
      <c r="AE1312" s="631" t="str">
        <f t="shared" si="992"/>
        <v/>
      </c>
      <c r="AF1312" s="699" t="str">
        <f t="shared" si="993"/>
        <v/>
      </c>
      <c r="AG1312" s="699"/>
      <c r="AH1312" s="699"/>
      <c r="AI1312" s="512">
        <f>IF(H1312="credit",0,IF(AE1312="free",0,IF(AE1312="me",0,IF(G1312&gt;0,(VLOOKUP(A1312,'Discount Lookup'!J:K,2)*G1312),0))))</f>
        <v>0</v>
      </c>
      <c r="AJ1312" s="513" t="str">
        <f t="shared" ca="1" si="994"/>
        <v/>
      </c>
      <c r="AK1312" s="700" t="str">
        <f t="shared" si="995"/>
        <v/>
      </c>
      <c r="AL1312" s="700"/>
      <c r="AM1312" s="505" t="str">
        <f t="shared" si="996"/>
        <v/>
      </c>
      <c r="AN1312" s="506"/>
      <c r="AO1312" s="507"/>
      <c r="AP1312" s="507"/>
      <c r="AQ1312" s="507"/>
      <c r="AR1312" s="507"/>
      <c r="AS1312" s="507"/>
      <c r="AT1312" s="507"/>
      <c r="AU1312" s="507"/>
      <c r="AV1312" s="225"/>
      <c r="AW1312" s="508"/>
      <c r="AX1312" s="225"/>
      <c r="AY1312" s="225"/>
      <c r="AZ1312" s="225"/>
      <c r="BA1312" s="225"/>
      <c r="BB1312" s="225"/>
      <c r="BC1312" s="56"/>
      <c r="BD1312" s="56"/>
      <c r="BE1312" s="56"/>
      <c r="BF1312" s="107" t="str">
        <f t="shared" si="997"/>
        <v>https://www.google.com/search?tbm=isch&amp;q=15%20G4</v>
      </c>
      <c r="BG1312" s="107" t="str">
        <f t="shared" si="998"/>
        <v>F</v>
      </c>
      <c r="BH1312" s="254"/>
      <c r="BI1312" s="254"/>
    </row>
    <row r="1313" spans="1:61" customFormat="1" ht="17.25" thickBot="1" x14ac:dyDescent="0.3">
      <c r="A1313" s="522" t="s">
        <v>2880</v>
      </c>
      <c r="B1313" s="491"/>
      <c r="C1313" s="675"/>
      <c r="D1313" s="491"/>
      <c r="E1313" s="491"/>
      <c r="F1313" s="492"/>
      <c r="G1313" s="493"/>
      <c r="H1313" s="491"/>
      <c r="I1313" s="234"/>
      <c r="J1313" s="234"/>
      <c r="K1313" s="494"/>
      <c r="L1313" s="543"/>
      <c r="M1313" s="561"/>
      <c r="N1313" s="495"/>
      <c r="O1313" s="496"/>
      <c r="P1313" s="497"/>
      <c r="Q1313" s="495"/>
      <c r="R1313" s="495"/>
      <c r="S1313" s="667" t="s">
        <v>4984</v>
      </c>
      <c r="T1313" s="508">
        <f t="shared" si="986"/>
        <v>0</v>
      </c>
      <c r="U1313" s="225" t="str">
        <f>IF(NOT(ISNUMBER(G1313)), "", VLOOKUP(A1313,'Discount Lookup'!D:E,2,FALSE)*G1313)</f>
        <v/>
      </c>
      <c r="V1313" s="225" t="str">
        <f>IF(NOT(ISNUMBER(G1313)), "", VLOOKUP(A1313,'Discount Lookup'!G:H,2,FALSE)*G1313)</f>
        <v/>
      </c>
      <c r="W1313" s="508">
        <f t="shared" si="987"/>
        <v>0</v>
      </c>
      <c r="X1313" s="508">
        <f t="shared" si="988"/>
        <v>0</v>
      </c>
      <c r="Y1313" s="509" t="b">
        <f t="shared" si="989"/>
        <v>0</v>
      </c>
      <c r="Z1313" s="510">
        <f t="shared" si="990"/>
        <v>0</v>
      </c>
      <c r="AA1313" s="511"/>
      <c r="AB1313" s="511" t="str">
        <f t="shared" si="991"/>
        <v/>
      </c>
      <c r="AC1313" s="698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698"/>
      <c r="AE1313" s="631" t="str">
        <f t="shared" si="992"/>
        <v/>
      </c>
      <c r="AF1313" s="699" t="str">
        <f t="shared" si="993"/>
        <v/>
      </c>
      <c r="AG1313" s="699"/>
      <c r="AH1313" s="699"/>
      <c r="AI1313" s="512">
        <f>IF(H1313="credit",0,IF(AE1313="free",0,IF(AE1313="me",0,IF(G1313&gt;0,(VLOOKUP(A1313,'Discount Lookup'!J:K,2)*G1313),0))))</f>
        <v>0</v>
      </c>
      <c r="AJ1313" s="513" t="str">
        <f t="shared" ca="1" si="994"/>
        <v/>
      </c>
      <c r="AK1313" s="700" t="str">
        <f t="shared" si="995"/>
        <v/>
      </c>
      <c r="AL1313" s="700"/>
      <c r="AM1313" s="505" t="str">
        <f t="shared" si="996"/>
        <v/>
      </c>
      <c r="AN1313" s="506"/>
      <c r="AO1313" s="507"/>
      <c r="AP1313" s="507"/>
      <c r="AQ1313" s="507"/>
      <c r="AR1313" s="507"/>
      <c r="AS1313" s="507"/>
      <c r="AT1313" s="507"/>
      <c r="AU1313" s="507"/>
      <c r="AV1313" s="225"/>
      <c r="AW1313" s="508"/>
      <c r="AX1313" s="225"/>
      <c r="AY1313" s="225"/>
      <c r="AZ1313" s="225"/>
      <c r="BA1313" s="225"/>
      <c r="BB1313" s="225"/>
      <c r="BC1313" s="56"/>
      <c r="BD1313" s="56"/>
      <c r="BE1313" s="56"/>
      <c r="BF1313" s="107" t="str">
        <f t="shared" si="997"/>
        <v>https://www.google.com/search?tbm=isch&amp;q=Fernspray%20has%20arching%20branches%20with%20lush%2C%20fern-like%20texture%2C%20and%20rich%20color%20that%20endures%20through%20winter%20with%20minimal%20bronzing%20</v>
      </c>
      <c r="BG1313" s="107" t="str">
        <f t="shared" si="998"/>
        <v>F</v>
      </c>
      <c r="BH1313" s="254"/>
      <c r="BI1313" s="254"/>
    </row>
    <row r="1314" spans="1:61" customFormat="1" ht="18" x14ac:dyDescent="0.25">
      <c r="A1314" s="523" t="s">
        <v>5594</v>
      </c>
      <c r="B1314" s="235"/>
      <c r="C1314" s="676"/>
      <c r="D1314" s="255" t="s">
        <v>2378</v>
      </c>
      <c r="E1314" s="236"/>
      <c r="F1314" s="236"/>
      <c r="G1314" s="236"/>
      <c r="H1314" s="582" t="s">
        <v>356</v>
      </c>
      <c r="I1314" s="498" t="s">
        <v>654</v>
      </c>
      <c r="J1314" s="237"/>
      <c r="K1314" s="237"/>
      <c r="L1314" s="274"/>
      <c r="M1314" s="668" t="s">
        <v>4975</v>
      </c>
      <c r="N1314" s="681" t="str">
        <f>IF(AND(ISTEXT($A1314), ISERROR($A1314+0)), HYPERLINK($BF1314, "Images"), "")</f>
        <v>Images</v>
      </c>
      <c r="O1314" s="663" t="s">
        <v>4974</v>
      </c>
      <c r="P1314" s="253"/>
      <c r="Q1314" s="238"/>
      <c r="R1314" s="239"/>
      <c r="S1314" s="275" t="s">
        <v>305</v>
      </c>
      <c r="T1314" s="508">
        <f t="shared" si="986"/>
        <v>0</v>
      </c>
      <c r="U1314" s="225" t="str">
        <f>IF(NOT(ISNUMBER(G1314)), "", VLOOKUP(A1314,'Discount Lookup'!D:E,2,FALSE)*G1314)</f>
        <v/>
      </c>
      <c r="V1314" s="225" t="str">
        <f>IF(NOT(ISNUMBER(G1314)), "", VLOOKUP(A1314,'Discount Lookup'!G:H,2,FALSE)*G1314)</f>
        <v/>
      </c>
      <c r="W1314" s="508">
        <f t="shared" si="987"/>
        <v>0</v>
      </c>
      <c r="X1314" s="508" t="str">
        <f t="shared" si="988"/>
        <v>White bloom</v>
      </c>
      <c r="Y1314" s="509" t="b">
        <f t="shared" si="989"/>
        <v>0</v>
      </c>
      <c r="Z1314" s="510">
        <f t="shared" si="990"/>
        <v>0</v>
      </c>
      <c r="AA1314" s="511"/>
      <c r="AB1314" s="511" t="str">
        <f t="shared" si="991"/>
        <v/>
      </c>
      <c r="AC1314" s="698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698"/>
      <c r="AE1314" s="631" t="str">
        <f t="shared" si="992"/>
        <v/>
      </c>
      <c r="AF1314" s="699" t="str">
        <f t="shared" si="993"/>
        <v/>
      </c>
      <c r="AG1314" s="699"/>
      <c r="AH1314" s="699"/>
      <c r="AI1314" s="512">
        <f>IF(H1314="credit",0,IF(AE1314="free",0,IF(AE1314="me",0,IF(G1314&gt;0,(VLOOKUP(A1314,'Discount Lookup'!J:K,2)*G1314),0))))</f>
        <v>0</v>
      </c>
      <c r="AJ1314" s="513" t="str">
        <f t="shared" ca="1" si="994"/>
        <v/>
      </c>
      <c r="AK1314" s="700" t="str">
        <f t="shared" si="995"/>
        <v/>
      </c>
      <c r="AL1314" s="700"/>
      <c r="AM1314" s="505" t="str">
        <f t="shared" si="996"/>
        <v/>
      </c>
      <c r="AN1314" s="506"/>
      <c r="AO1314" s="507"/>
      <c r="AP1314" s="507"/>
      <c r="AQ1314" s="507"/>
      <c r="AR1314" s="507"/>
      <c r="AS1314" s="507"/>
      <c r="AT1314" s="507"/>
      <c r="AU1314" s="507"/>
      <c r="AV1314" s="225"/>
      <c r="AW1314" s="508"/>
      <c r="AX1314" s="225"/>
      <c r="AY1314" s="225"/>
      <c r="AZ1314" s="225"/>
      <c r="BA1314" s="225"/>
      <c r="BB1314" s="225"/>
      <c r="BC1314" s="56"/>
      <c r="BD1314" s="56"/>
      <c r="BE1314" s="56"/>
      <c r="BF1314" s="107" t="str">
        <f t="shared" si="997"/>
        <v>https://www.google.com/search?tbm=isch&amp;q=Fiber%20Optics%C2%AE%20Buttonbush%20%28FE%C2%AE%29%20Cephalanthus%20occidentalis%20%27Bailoptics%27%20PP%2329475</v>
      </c>
      <c r="BG1314" s="107" t="str">
        <f t="shared" si="998"/>
        <v>F</v>
      </c>
      <c r="BH1314" s="254"/>
      <c r="BI1314" s="254"/>
    </row>
    <row r="1315" spans="1:61" customFormat="1" ht="15.75" x14ac:dyDescent="0.25">
      <c r="A1315" s="276">
        <v>3</v>
      </c>
      <c r="B1315" s="240" t="s">
        <v>291</v>
      </c>
      <c r="C1315" s="241" t="s">
        <v>4758</v>
      </c>
      <c r="D1315" s="242" t="s">
        <v>312</v>
      </c>
      <c r="E1315" s="243">
        <v>32.950000000000003</v>
      </c>
      <c r="F1315" s="517" t="s">
        <v>293</v>
      </c>
      <c r="G1315" s="232">
        <v>0</v>
      </c>
      <c r="H1315" s="661" t="str">
        <f>IF(G1315=0,"",IF(F1315="Buy",IF(G1315=1,"plant","plants"),IF(F1315&gt;0.01,"warranty","Error")))</f>
        <v/>
      </c>
      <c r="I1315" s="244">
        <f>IF(H1315="free",0,IF(H1315="credit",((E1315*(F1315))*G1315*-1),IF(F1315="Buy",(E1315*G1315),((E1315*(1-F1315))*G1315))))</f>
        <v>0</v>
      </c>
      <c r="J1315" s="244">
        <f>IF(H1315="warranty",0,(I1315*(_xlfn.SINGLE(SalesTaxPercentage))))</f>
        <v>0</v>
      </c>
      <c r="K1315" s="696">
        <f t="shared" ref="K1315" si="1008">I1315+J1315</f>
        <v>0</v>
      </c>
      <c r="L1315" s="696"/>
      <c r="M1315" s="659" t="str">
        <f>IF(AND(G1315&gt;0,E1315=0),"WARNING - no PRICE inserted",IF(H1315="free"," FREE ~ no charge this plant",IF(H1315="credit",CONCATENATE(" -$",ROUND(K1315*(1-T2GDiscount)*-1,2)," CREDIT after discount"),IF(T2GDiscount=0,"",IF(G1315=0,"",IF(F1315="Buy",CONCATENATE(" $",ROUND(K1315*(1-T2GDiscount),2)," with ",(T2GDiscount*100),"% discount"),CONCATENATE(" $",ROUND(K1315*(1-T2GDiscount),2)," with ",((T2GDiscount*100+F1315*100)-(T2GDiscount*100*F1315)),IF(F1315&gt;0,"% discounts",IF(NoWarrantyDiscount&gt;0,"% discounts","% discount")))))))))</f>
        <v/>
      </c>
      <c r="N1315" s="660"/>
      <c r="O1315" s="233"/>
      <c r="P1315" s="233"/>
      <c r="Q1315" s="233"/>
      <c r="R1315" s="233"/>
      <c r="S1315" s="233"/>
      <c r="T1315" s="508">
        <f t="shared" si="986"/>
        <v>0</v>
      </c>
      <c r="U1315" s="225">
        <f>IF(NOT(ISNUMBER(G1315)), "", VLOOKUP(A1315,'Discount Lookup'!D:E,2,FALSE)*G1315)</f>
        <v>0</v>
      </c>
      <c r="V1315" s="225">
        <f>IF(NOT(ISNUMBER(G1315)), "", VLOOKUP(A1315,'Discount Lookup'!G:H,2,FALSE)*G1315)</f>
        <v>0</v>
      </c>
      <c r="W1315" s="508">
        <f t="shared" si="987"/>
        <v>0</v>
      </c>
      <c r="X1315" s="508">
        <f t="shared" si="988"/>
        <v>0</v>
      </c>
      <c r="Y1315" s="509" t="b">
        <f t="shared" si="989"/>
        <v>0</v>
      </c>
      <c r="Z1315" s="510">
        <f t="shared" si="990"/>
        <v>0</v>
      </c>
      <c r="AA1315" s="511"/>
      <c r="AB1315" s="511" t="str">
        <f t="shared" si="991"/>
        <v/>
      </c>
      <c r="AC1315" s="698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698"/>
      <c r="AE1315" s="631" t="str">
        <f t="shared" si="992"/>
        <v/>
      </c>
      <c r="AF1315" s="699" t="str">
        <f t="shared" si="993"/>
        <v/>
      </c>
      <c r="AG1315" s="699"/>
      <c r="AH1315" s="699"/>
      <c r="AI1315" s="512">
        <f>IF(H1315="credit",0,IF(AE1315="free",0,IF(AE1315="me",0,IF(G1315&gt;0,(VLOOKUP(A1315,'Discount Lookup'!J:K,2)*G1315),0))))</f>
        <v>0</v>
      </c>
      <c r="AJ1315" s="513" t="str">
        <f t="shared" ca="1" si="994"/>
        <v/>
      </c>
      <c r="AK1315" s="700" t="str">
        <f t="shared" si="995"/>
        <v/>
      </c>
      <c r="AL1315" s="700"/>
      <c r="AM1315" s="505" t="str">
        <f t="shared" si="996"/>
        <v/>
      </c>
      <c r="AN1315" s="506"/>
      <c r="AO1315" s="507"/>
      <c r="AP1315" s="507"/>
      <c r="AQ1315" s="507"/>
      <c r="AR1315" s="507"/>
      <c r="AS1315" s="507"/>
      <c r="AT1315" s="507"/>
      <c r="AU1315" s="507"/>
      <c r="AV1315" s="225"/>
      <c r="AW1315" s="508"/>
      <c r="AX1315" s="225"/>
      <c r="AY1315" s="225"/>
      <c r="AZ1315" s="225"/>
      <c r="BA1315" s="225"/>
      <c r="BB1315" s="225"/>
      <c r="BC1315" s="56"/>
      <c r="BD1315" s="56"/>
      <c r="BE1315" s="56"/>
      <c r="BF1315" s="107" t="str">
        <f t="shared" si="997"/>
        <v>https://www.google.com/search?tbm=isch&amp;q=3%20G2</v>
      </c>
      <c r="BG1315" s="107" t="str">
        <f t="shared" si="998"/>
        <v>F</v>
      </c>
      <c r="BH1315" s="254"/>
      <c r="BI1315" s="254"/>
    </row>
    <row r="1316" spans="1:61" customFormat="1" ht="17.25" thickBot="1" x14ac:dyDescent="0.3">
      <c r="A1316" s="673" t="s">
        <v>5111</v>
      </c>
      <c r="B1316" s="245"/>
      <c r="C1316" s="677"/>
      <c r="D1316" s="499"/>
      <c r="E1316" s="499"/>
      <c r="F1316" s="500"/>
      <c r="G1316" s="501"/>
      <c r="H1316" s="502"/>
      <c r="I1316" s="246"/>
      <c r="J1316" s="247"/>
      <c r="K1316" s="503"/>
      <c r="L1316" s="544"/>
      <c r="M1316" s="544"/>
      <c r="N1316" s="500"/>
      <c r="O1316" s="500"/>
      <c r="P1316" s="500"/>
      <c r="Q1316" s="500"/>
      <c r="R1316" s="500"/>
      <c r="S1316" s="669" t="s">
        <v>4976</v>
      </c>
      <c r="T1316" s="508">
        <f t="shared" si="986"/>
        <v>0</v>
      </c>
      <c r="U1316" s="225" t="str">
        <f>IF(NOT(ISNUMBER(G1316)), "", VLOOKUP(A1316,'Discount Lookup'!D:E,2,FALSE)*G1316)</f>
        <v/>
      </c>
      <c r="V1316" s="225" t="str">
        <f>IF(NOT(ISNUMBER(G1316)), "", VLOOKUP(A1316,'Discount Lookup'!G:H,2,FALSE)*G1316)</f>
        <v/>
      </c>
      <c r="W1316" s="508">
        <f t="shared" si="987"/>
        <v>0</v>
      </c>
      <c r="X1316" s="508">
        <f t="shared" si="988"/>
        <v>0</v>
      </c>
      <c r="Y1316" s="509" t="b">
        <f t="shared" si="989"/>
        <v>0</v>
      </c>
      <c r="Z1316" s="510">
        <f t="shared" si="990"/>
        <v>0</v>
      </c>
      <c r="AA1316" s="511"/>
      <c r="AB1316" s="511" t="str">
        <f t="shared" si="991"/>
        <v/>
      </c>
      <c r="AC1316" s="698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698"/>
      <c r="AE1316" s="631" t="str">
        <f t="shared" si="992"/>
        <v/>
      </c>
      <c r="AF1316" s="699" t="str">
        <f t="shared" si="993"/>
        <v/>
      </c>
      <c r="AG1316" s="699"/>
      <c r="AH1316" s="699"/>
      <c r="AI1316" s="512">
        <f>IF(H1316="credit",0,IF(AE1316="free",0,IF(AE1316="me",0,IF(G1316&gt;0,(VLOOKUP(A1316,'Discount Lookup'!J:K,2)*G1316),0))))</f>
        <v>0</v>
      </c>
      <c r="AJ1316" s="513" t="str">
        <f t="shared" ca="1" si="994"/>
        <v/>
      </c>
      <c r="AK1316" s="700" t="str">
        <f t="shared" si="995"/>
        <v/>
      </c>
      <c r="AL1316" s="700"/>
      <c r="AM1316" s="505" t="str">
        <f t="shared" si="996"/>
        <v/>
      </c>
      <c r="AN1316" s="506"/>
      <c r="AO1316" s="507"/>
      <c r="AP1316" s="507"/>
      <c r="AQ1316" s="507"/>
      <c r="AR1316" s="507"/>
      <c r="AS1316" s="507"/>
      <c r="AT1316" s="507"/>
      <c r="AU1316" s="507"/>
      <c r="AV1316" s="225"/>
      <c r="AW1316" s="508"/>
      <c r="AX1316" s="225"/>
      <c r="AY1316" s="225"/>
      <c r="AZ1316" s="225"/>
      <c r="BA1316" s="225"/>
      <c r="BB1316" s="225"/>
      <c r="BC1316" s="56"/>
      <c r="BD1316" s="56"/>
      <c r="BE1316" s="56"/>
      <c r="BF1316" s="107" t="str">
        <f t="shared" si="997"/>
        <v>https://www.google.com/search?tbm=isch&amp;q=wet%20sites%F0%9F%92%A7BEST%2C%20Fiber%20Optics%20features%20dazzling%20spherical%20blooms%20resembling%20fiber%20optic%20bursts%2C%20followed%20by%20seed%20heads%20</v>
      </c>
      <c r="BG1316" s="107" t="str">
        <f t="shared" si="998"/>
        <v>w</v>
      </c>
      <c r="BH1316" s="254"/>
      <c r="BI1316" s="254"/>
    </row>
    <row r="1317" spans="1:61" customFormat="1" ht="18" x14ac:dyDescent="0.25">
      <c r="A1317" s="521" t="s">
        <v>5404</v>
      </c>
      <c r="B1317" s="477"/>
      <c r="C1317" s="674"/>
      <c r="D1317" s="478" t="s">
        <v>883</v>
      </c>
      <c r="E1317" s="479"/>
      <c r="F1317" s="479"/>
      <c r="G1317" s="479"/>
      <c r="H1317" s="582" t="s">
        <v>441</v>
      </c>
      <c r="I1317" s="480" t="s">
        <v>2881</v>
      </c>
      <c r="J1317" s="479"/>
      <c r="K1317" s="479"/>
      <c r="L1317" s="560"/>
      <c r="M1317" s="666" t="s">
        <v>4966</v>
      </c>
      <c r="N1317" s="680" t="str">
        <f>IF(AND(ISTEXT($A1317), ISERROR($A1317+0)), HYPERLINK($BF1317, "Images"), "")</f>
        <v>Images</v>
      </c>
      <c r="O1317" s="662" t="s">
        <v>4971</v>
      </c>
      <c r="P1317" s="482"/>
      <c r="Q1317" s="483"/>
      <c r="R1317" s="483"/>
      <c r="S1317" s="484" t="s">
        <v>305</v>
      </c>
      <c r="T1317" s="508">
        <f t="shared" si="986"/>
        <v>0</v>
      </c>
      <c r="U1317" s="225" t="str">
        <f>IF(NOT(ISNUMBER(G1317)), "", VLOOKUP(A1317,'Discount Lookup'!D:E,2,FALSE)*G1317)</f>
        <v/>
      </c>
      <c r="V1317" s="225" t="str">
        <f>IF(NOT(ISNUMBER(G1317)), "", VLOOKUP(A1317,'Discount Lookup'!G:H,2,FALSE)*G1317)</f>
        <v/>
      </c>
      <c r="W1317" s="508">
        <f t="shared" si="987"/>
        <v>0</v>
      </c>
      <c r="X1317" s="508" t="str">
        <f t="shared" si="988"/>
        <v>Golden-Orange-Red foliage</v>
      </c>
      <c r="Y1317" s="509" t="b">
        <f t="shared" si="989"/>
        <v>0</v>
      </c>
      <c r="Z1317" s="510">
        <f t="shared" si="990"/>
        <v>0</v>
      </c>
      <c r="AA1317" s="511"/>
      <c r="AB1317" s="511" t="str">
        <f t="shared" si="991"/>
        <v/>
      </c>
      <c r="AC1317" s="698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698"/>
      <c r="AE1317" s="631" t="str">
        <f t="shared" si="992"/>
        <v/>
      </c>
      <c r="AF1317" s="699" t="str">
        <f t="shared" si="993"/>
        <v/>
      </c>
      <c r="AG1317" s="699"/>
      <c r="AH1317" s="699"/>
      <c r="AI1317" s="512">
        <f>IF(H1317="credit",0,IF(AE1317="free",0,IF(AE1317="me",0,IF(G1317&gt;0,(VLOOKUP(A1317,'Discount Lookup'!J:K,2)*G1317),0))))</f>
        <v>0</v>
      </c>
      <c r="AJ1317" s="513" t="str">
        <f t="shared" ca="1" si="994"/>
        <v/>
      </c>
      <c r="AK1317" s="700" t="str">
        <f t="shared" si="995"/>
        <v/>
      </c>
      <c r="AL1317" s="700"/>
      <c r="AM1317" s="505" t="str">
        <f t="shared" si="996"/>
        <v/>
      </c>
      <c r="AN1317" s="506"/>
      <c r="AO1317" s="507"/>
      <c r="AP1317" s="507"/>
      <c r="AQ1317" s="507"/>
      <c r="AR1317" s="507"/>
      <c r="AS1317" s="507"/>
      <c r="AT1317" s="507"/>
      <c r="AU1317" s="507"/>
      <c r="AV1317" s="225"/>
      <c r="AW1317" s="508"/>
      <c r="AX1317" s="225"/>
      <c r="AY1317" s="225"/>
      <c r="AZ1317" s="225"/>
      <c r="BA1317" s="225"/>
      <c r="BB1317" s="225"/>
      <c r="BC1317" s="56"/>
      <c r="BD1317" s="56"/>
      <c r="BE1317" s="56"/>
      <c r="BF1317" s="107" t="str">
        <f t="shared" si="997"/>
        <v>https://www.google.com/search?tbm=isch&amp;q=Fire%20Chief%E2%84%A2%20Arborvitae%20Thuja%20occidentalis%20%27Congabe%27%20PP%2319009</v>
      </c>
      <c r="BG1317" s="107" t="str">
        <f t="shared" si="998"/>
        <v>F</v>
      </c>
      <c r="BH1317" s="254"/>
      <c r="BI1317" s="254"/>
    </row>
    <row r="1318" spans="1:61" customFormat="1" ht="15.75" x14ac:dyDescent="0.25">
      <c r="A1318" s="485">
        <v>3</v>
      </c>
      <c r="B1318" s="486" t="s">
        <v>291</v>
      </c>
      <c r="C1318" s="487"/>
      <c r="D1318" s="488" t="s">
        <v>298</v>
      </c>
      <c r="E1318" s="489">
        <v>33.950000000000003</v>
      </c>
      <c r="F1318" s="516" t="s">
        <v>293</v>
      </c>
      <c r="G1318" s="232">
        <v>0</v>
      </c>
      <c r="H1318" s="658" t="str">
        <f t="shared" ref="H1318:H1323" si="1009">IF(G1318=0,"",IF(F1318="Buy",IF(G1318=1,"plant","plants"),IF(F1318&gt;0.01,"warranty","Error")))</f>
        <v/>
      </c>
      <c r="I1318" s="490">
        <f t="shared" ref="I1318:I1323" si="1010">IF(H1318="free",0,IF(H1318="credit",((E1318*(F1318))*G1318*-1),IF(F1318="Buy",(E1318*G1318),((E1318*(1-F1318))*G1318))))</f>
        <v>0</v>
      </c>
      <c r="J1318" s="490">
        <f t="shared" ref="J1318:J1323" si="1011">IF(H1318="warranty",0,(I1318*(_xlfn.SINGLE(SalesTaxPercentage))))</f>
        <v>0</v>
      </c>
      <c r="K1318" s="695">
        <f t="shared" ref="K1318" si="1012">I1318+J1318</f>
        <v>0</v>
      </c>
      <c r="L1318" s="695"/>
      <c r="M1318" s="659" t="str">
        <f t="shared" ref="M1318:M1323" si="1013">IF(AND(G1318&gt;0,E1318=0),"WARNING - no PRICE inserted",IF(H1318="free"," FREE ~ no charge this plant",IF(H1318="credit",CONCATENATE(" -$",ROUND(K1318*(1-T2GDiscount)*-1,2)," CREDIT after discount"),IF(T2GDiscount=0,"",IF(G1318=0,"",IF(F1318="Buy",CONCATENATE(" $",ROUND(K1318*(1-T2GDiscount),2)," with ",(T2GDiscount*100),"% discount"),CONCATENATE(" $",ROUND(K1318*(1-T2GDiscount),2)," with ",((T2GDiscount*100+F1318*100)-(T2GDiscount*100*F1318)),IF(F1318&gt;0,"% discounts",IF(NoWarrantyDiscount&gt;0,"% discounts","% discount")))))))))</f>
        <v/>
      </c>
      <c r="N1318" s="660"/>
      <c r="O1318" s="233"/>
      <c r="P1318" s="233"/>
      <c r="Q1318" s="233"/>
      <c r="R1318" s="233"/>
      <c r="S1318" s="233"/>
      <c r="T1318" s="508">
        <f t="shared" si="986"/>
        <v>0</v>
      </c>
      <c r="U1318" s="225">
        <f>IF(NOT(ISNUMBER(G1318)), "", VLOOKUP(A1318,'Discount Lookup'!D:E,2,FALSE)*G1318)</f>
        <v>0</v>
      </c>
      <c r="V1318" s="225">
        <f>IF(NOT(ISNUMBER(G1318)), "", VLOOKUP(A1318,'Discount Lookup'!G:H,2,FALSE)*G1318)</f>
        <v>0</v>
      </c>
      <c r="W1318" s="508">
        <f t="shared" si="987"/>
        <v>0</v>
      </c>
      <c r="X1318" s="508">
        <f t="shared" si="988"/>
        <v>0</v>
      </c>
      <c r="Y1318" s="509" t="b">
        <f t="shared" si="989"/>
        <v>0</v>
      </c>
      <c r="Z1318" s="510">
        <f t="shared" si="990"/>
        <v>0</v>
      </c>
      <c r="AA1318" s="511"/>
      <c r="AB1318" s="511" t="str">
        <f t="shared" si="991"/>
        <v/>
      </c>
      <c r="AC1318" s="698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698"/>
      <c r="AE1318" s="631" t="str">
        <f t="shared" si="992"/>
        <v/>
      </c>
      <c r="AF1318" s="699" t="str">
        <f t="shared" si="993"/>
        <v/>
      </c>
      <c r="AG1318" s="699"/>
      <c r="AH1318" s="699"/>
      <c r="AI1318" s="512">
        <f>IF(H1318="credit",0,IF(AE1318="free",0,IF(AE1318="me",0,IF(G1318&gt;0,(VLOOKUP(A1318,'Discount Lookup'!J:K,2)*G1318),0))))</f>
        <v>0</v>
      </c>
      <c r="AJ1318" s="513" t="str">
        <f t="shared" ca="1" si="994"/>
        <v/>
      </c>
      <c r="AK1318" s="700" t="str">
        <f t="shared" si="995"/>
        <v/>
      </c>
      <c r="AL1318" s="700"/>
      <c r="AM1318" s="505" t="str">
        <f t="shared" si="996"/>
        <v/>
      </c>
      <c r="AN1318" s="506"/>
      <c r="AO1318" s="507"/>
      <c r="AP1318" s="507"/>
      <c r="AQ1318" s="507"/>
      <c r="AR1318" s="507"/>
      <c r="AS1318" s="507"/>
      <c r="AT1318" s="507"/>
      <c r="AU1318" s="507"/>
      <c r="AV1318" s="225"/>
      <c r="AW1318" s="508"/>
      <c r="AX1318" s="225"/>
      <c r="AY1318" s="225"/>
      <c r="AZ1318" s="225"/>
      <c r="BA1318" s="225"/>
      <c r="BB1318" s="225"/>
      <c r="BC1318" s="56"/>
      <c r="BD1318" s="56"/>
      <c r="BE1318" s="56"/>
      <c r="BF1318" s="107" t="str">
        <f t="shared" si="997"/>
        <v>https://www.google.com/search?tbm=isch&amp;q=3%20G1</v>
      </c>
      <c r="BG1318" s="107" t="str">
        <f t="shared" si="998"/>
        <v>F</v>
      </c>
      <c r="BH1318" s="254"/>
      <c r="BI1318" s="254"/>
    </row>
    <row r="1319" spans="1:61" customFormat="1" ht="27" x14ac:dyDescent="0.25">
      <c r="A1319" s="485">
        <v>3</v>
      </c>
      <c r="B1319" s="486" t="s">
        <v>291</v>
      </c>
      <c r="C1319" s="487" t="s">
        <v>4293</v>
      </c>
      <c r="D1319" s="488" t="s">
        <v>299</v>
      </c>
      <c r="E1319" s="489">
        <v>36.950000000000003</v>
      </c>
      <c r="F1319" s="516" t="s">
        <v>293</v>
      </c>
      <c r="G1319" s="232">
        <v>0</v>
      </c>
      <c r="H1319" s="658" t="str">
        <f t="shared" si="1009"/>
        <v/>
      </c>
      <c r="I1319" s="490">
        <f t="shared" si="1010"/>
        <v>0</v>
      </c>
      <c r="J1319" s="490">
        <f t="shared" si="1011"/>
        <v>0</v>
      </c>
      <c r="K1319" s="695">
        <f t="shared" ref="K1319" si="1014">I1319+J1319</f>
        <v>0</v>
      </c>
      <c r="L1319" s="695"/>
      <c r="M1319" s="659" t="str">
        <f t="shared" si="1013"/>
        <v/>
      </c>
      <c r="N1319" s="660"/>
      <c r="O1319" s="233"/>
      <c r="P1319" s="233"/>
      <c r="Q1319" s="233"/>
      <c r="R1319" s="233"/>
      <c r="S1319" s="233"/>
      <c r="T1319" s="508">
        <f t="shared" si="986"/>
        <v>0</v>
      </c>
      <c r="U1319" s="225">
        <f>IF(NOT(ISNUMBER(G1319)), "", VLOOKUP(A1319,'Discount Lookup'!D:E,2,FALSE)*G1319)</f>
        <v>0</v>
      </c>
      <c r="V1319" s="225">
        <f>IF(NOT(ISNUMBER(G1319)), "", VLOOKUP(A1319,'Discount Lookup'!G:H,2,FALSE)*G1319)</f>
        <v>0</v>
      </c>
      <c r="W1319" s="508">
        <f t="shared" si="987"/>
        <v>0</v>
      </c>
      <c r="X1319" s="508">
        <f t="shared" si="988"/>
        <v>0</v>
      </c>
      <c r="Y1319" s="509" t="b">
        <f t="shared" si="989"/>
        <v>0</v>
      </c>
      <c r="Z1319" s="510">
        <f t="shared" si="990"/>
        <v>0</v>
      </c>
      <c r="AA1319" s="511"/>
      <c r="AB1319" s="511" t="str">
        <f t="shared" si="991"/>
        <v/>
      </c>
      <c r="AC1319" s="698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698"/>
      <c r="AE1319" s="631" t="str">
        <f t="shared" si="992"/>
        <v/>
      </c>
      <c r="AF1319" s="699" t="str">
        <f t="shared" si="993"/>
        <v/>
      </c>
      <c r="AG1319" s="699"/>
      <c r="AH1319" s="699"/>
      <c r="AI1319" s="512">
        <f>IF(H1319="credit",0,IF(AE1319="free",0,IF(AE1319="me",0,IF(G1319&gt;0,(VLOOKUP(A1319,'Discount Lookup'!J:K,2)*G1319),0))))</f>
        <v>0</v>
      </c>
      <c r="AJ1319" s="513" t="str">
        <f t="shared" ca="1" si="994"/>
        <v/>
      </c>
      <c r="AK1319" s="700" t="str">
        <f t="shared" si="995"/>
        <v/>
      </c>
      <c r="AL1319" s="700"/>
      <c r="AM1319" s="505" t="str">
        <f t="shared" si="996"/>
        <v/>
      </c>
      <c r="AN1319" s="506"/>
      <c r="AO1319" s="507"/>
      <c r="AP1319" s="507"/>
      <c r="AQ1319" s="507"/>
      <c r="AR1319" s="507"/>
      <c r="AS1319" s="507"/>
      <c r="AT1319" s="507"/>
      <c r="AU1319" s="507"/>
      <c r="AV1319" s="225"/>
      <c r="AW1319" s="508"/>
      <c r="AX1319" s="225"/>
      <c r="AY1319" s="225"/>
      <c r="AZ1319" s="225"/>
      <c r="BA1319" s="225"/>
      <c r="BB1319" s="225"/>
      <c r="BC1319" s="56"/>
      <c r="BD1319" s="56"/>
      <c r="BE1319" s="56"/>
      <c r="BF1319" s="107" t="str">
        <f t="shared" si="997"/>
        <v>https://www.google.com/search?tbm=isch&amp;q=3%20G5</v>
      </c>
      <c r="BG1319" s="107" t="str">
        <f t="shared" si="998"/>
        <v>F</v>
      </c>
      <c r="BH1319" s="254"/>
      <c r="BI1319" s="254"/>
    </row>
    <row r="1320" spans="1:61" customFormat="1" ht="15.75" x14ac:dyDescent="0.25">
      <c r="A1320" s="485">
        <v>3</v>
      </c>
      <c r="B1320" s="486" t="s">
        <v>291</v>
      </c>
      <c r="C1320" s="487" t="s">
        <v>3473</v>
      </c>
      <c r="D1320" s="488" t="s">
        <v>292</v>
      </c>
      <c r="E1320" s="489">
        <v>40.950000000000003</v>
      </c>
      <c r="F1320" s="516" t="s">
        <v>293</v>
      </c>
      <c r="G1320" s="232">
        <v>0</v>
      </c>
      <c r="H1320" s="658" t="str">
        <f t="shared" si="1009"/>
        <v/>
      </c>
      <c r="I1320" s="490">
        <f t="shared" si="1010"/>
        <v>0</v>
      </c>
      <c r="J1320" s="490">
        <f t="shared" si="1011"/>
        <v>0</v>
      </c>
      <c r="K1320" s="695">
        <f t="shared" ref="K1320" si="1015">I1320+J1320</f>
        <v>0</v>
      </c>
      <c r="L1320" s="695"/>
      <c r="M1320" s="659" t="str">
        <f t="shared" si="1013"/>
        <v/>
      </c>
      <c r="N1320" s="660"/>
      <c r="O1320" s="233"/>
      <c r="P1320" s="233"/>
      <c r="Q1320" s="233"/>
      <c r="R1320" s="233"/>
      <c r="S1320" s="233"/>
      <c r="T1320" s="508">
        <f t="shared" si="986"/>
        <v>0</v>
      </c>
      <c r="U1320" s="225">
        <f>IF(NOT(ISNUMBER(G1320)), "", VLOOKUP(A1320,'Discount Lookup'!D:E,2,FALSE)*G1320)</f>
        <v>0</v>
      </c>
      <c r="V1320" s="225">
        <f>IF(NOT(ISNUMBER(G1320)), "", VLOOKUP(A1320,'Discount Lookup'!G:H,2,FALSE)*G1320)</f>
        <v>0</v>
      </c>
      <c r="W1320" s="508">
        <f t="shared" si="987"/>
        <v>0</v>
      </c>
      <c r="X1320" s="508">
        <f t="shared" si="988"/>
        <v>0</v>
      </c>
      <c r="Y1320" s="509" t="b">
        <f t="shared" si="989"/>
        <v>0</v>
      </c>
      <c r="Z1320" s="510">
        <f t="shared" si="990"/>
        <v>0</v>
      </c>
      <c r="AA1320" s="511"/>
      <c r="AB1320" s="511" t="str">
        <f t="shared" si="991"/>
        <v/>
      </c>
      <c r="AC1320" s="698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698"/>
      <c r="AE1320" s="631" t="str">
        <f t="shared" si="992"/>
        <v/>
      </c>
      <c r="AF1320" s="699" t="str">
        <f t="shared" si="993"/>
        <v/>
      </c>
      <c r="AG1320" s="699"/>
      <c r="AH1320" s="699"/>
      <c r="AI1320" s="512">
        <f>IF(H1320="credit",0,IF(AE1320="free",0,IF(AE1320="me",0,IF(G1320&gt;0,(VLOOKUP(A1320,'Discount Lookup'!J:K,2)*G1320),0))))</f>
        <v>0</v>
      </c>
      <c r="AJ1320" s="513" t="str">
        <f t="shared" ca="1" si="994"/>
        <v/>
      </c>
      <c r="AK1320" s="700" t="str">
        <f t="shared" si="995"/>
        <v/>
      </c>
      <c r="AL1320" s="700"/>
      <c r="AM1320" s="505" t="str">
        <f t="shared" si="996"/>
        <v/>
      </c>
      <c r="AN1320" s="506"/>
      <c r="AO1320" s="507"/>
      <c r="AP1320" s="507"/>
      <c r="AQ1320" s="507"/>
      <c r="AR1320" s="507"/>
      <c r="AS1320" s="507"/>
      <c r="AT1320" s="507"/>
      <c r="AU1320" s="507"/>
      <c r="AV1320" s="225"/>
      <c r="AW1320" s="508"/>
      <c r="AX1320" s="225"/>
      <c r="AY1320" s="225"/>
      <c r="AZ1320" s="225"/>
      <c r="BA1320" s="225"/>
      <c r="BB1320" s="225"/>
      <c r="BC1320" s="56"/>
      <c r="BD1320" s="56"/>
      <c r="BE1320" s="56"/>
      <c r="BF1320" s="107" t="str">
        <f t="shared" si="997"/>
        <v>https://www.google.com/search?tbm=isch&amp;q=3%20G4</v>
      </c>
      <c r="BG1320" s="107" t="str">
        <f t="shared" si="998"/>
        <v>F</v>
      </c>
      <c r="BH1320" s="254"/>
      <c r="BI1320" s="254"/>
    </row>
    <row r="1321" spans="1:61" customFormat="1" ht="15.75" x14ac:dyDescent="0.25">
      <c r="A1321" s="485">
        <v>3</v>
      </c>
      <c r="B1321" s="486" t="s">
        <v>291</v>
      </c>
      <c r="C1321" s="487" t="s">
        <v>1371</v>
      </c>
      <c r="D1321" s="488" t="s">
        <v>312</v>
      </c>
      <c r="E1321" s="489">
        <v>47.95</v>
      </c>
      <c r="F1321" s="516" t="s">
        <v>293</v>
      </c>
      <c r="G1321" s="232">
        <v>0</v>
      </c>
      <c r="H1321" s="658" t="str">
        <f t="shared" si="1009"/>
        <v/>
      </c>
      <c r="I1321" s="490">
        <f t="shared" si="1010"/>
        <v>0</v>
      </c>
      <c r="J1321" s="490">
        <f t="shared" si="1011"/>
        <v>0</v>
      </c>
      <c r="K1321" s="695">
        <f t="shared" ref="K1321" si="1016">I1321+J1321</f>
        <v>0</v>
      </c>
      <c r="L1321" s="695"/>
      <c r="M1321" s="659" t="str">
        <f t="shared" si="1013"/>
        <v/>
      </c>
      <c r="N1321" s="660"/>
      <c r="O1321" s="233"/>
      <c r="P1321" s="233"/>
      <c r="Q1321" s="233"/>
      <c r="R1321" s="233"/>
      <c r="S1321" s="233"/>
      <c r="T1321" s="508">
        <f t="shared" si="986"/>
        <v>0</v>
      </c>
      <c r="U1321" s="225">
        <f>IF(NOT(ISNUMBER(G1321)), "", VLOOKUP(A1321,'Discount Lookup'!D:E,2,FALSE)*G1321)</f>
        <v>0</v>
      </c>
      <c r="V1321" s="225">
        <f>IF(NOT(ISNUMBER(G1321)), "", VLOOKUP(A1321,'Discount Lookup'!G:H,2,FALSE)*G1321)</f>
        <v>0</v>
      </c>
      <c r="W1321" s="508">
        <f t="shared" si="987"/>
        <v>0</v>
      </c>
      <c r="X1321" s="508">
        <f t="shared" si="988"/>
        <v>0</v>
      </c>
      <c r="Y1321" s="509" t="b">
        <f t="shared" si="989"/>
        <v>0</v>
      </c>
      <c r="Z1321" s="510">
        <f t="shared" si="990"/>
        <v>0</v>
      </c>
      <c r="AA1321" s="511"/>
      <c r="AB1321" s="511" t="str">
        <f t="shared" si="991"/>
        <v/>
      </c>
      <c r="AC1321" s="698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698"/>
      <c r="AE1321" s="631" t="str">
        <f t="shared" si="992"/>
        <v/>
      </c>
      <c r="AF1321" s="699" t="str">
        <f t="shared" si="993"/>
        <v/>
      </c>
      <c r="AG1321" s="699"/>
      <c r="AH1321" s="699"/>
      <c r="AI1321" s="512">
        <f>IF(H1321="credit",0,IF(AE1321="free",0,IF(AE1321="me",0,IF(G1321&gt;0,(VLOOKUP(A1321,'Discount Lookup'!J:K,2)*G1321),0))))</f>
        <v>0</v>
      </c>
      <c r="AJ1321" s="513" t="str">
        <f t="shared" ca="1" si="994"/>
        <v/>
      </c>
      <c r="AK1321" s="700" t="str">
        <f t="shared" si="995"/>
        <v/>
      </c>
      <c r="AL1321" s="700"/>
      <c r="AM1321" s="505" t="str">
        <f t="shared" si="996"/>
        <v/>
      </c>
      <c r="AN1321" s="506"/>
      <c r="AO1321" s="507"/>
      <c r="AP1321" s="507"/>
      <c r="AQ1321" s="507"/>
      <c r="AR1321" s="507"/>
      <c r="AS1321" s="507"/>
      <c r="AT1321" s="507"/>
      <c r="AU1321" s="507"/>
      <c r="AV1321" s="225"/>
      <c r="AW1321" s="508"/>
      <c r="AX1321" s="225"/>
      <c r="AY1321" s="225"/>
      <c r="AZ1321" s="225"/>
      <c r="BA1321" s="225"/>
      <c r="BB1321" s="225"/>
      <c r="BC1321" s="56"/>
      <c r="BD1321" s="56"/>
      <c r="BE1321" s="56"/>
      <c r="BF1321" s="107" t="str">
        <f t="shared" si="997"/>
        <v>https://www.google.com/search?tbm=isch&amp;q=3%20G2</v>
      </c>
      <c r="BG1321" s="107" t="str">
        <f t="shared" si="998"/>
        <v>F</v>
      </c>
      <c r="BH1321" s="254"/>
      <c r="BI1321" s="254"/>
    </row>
    <row r="1322" spans="1:61" customFormat="1" ht="15.75" x14ac:dyDescent="0.25">
      <c r="A1322" s="485">
        <v>5</v>
      </c>
      <c r="B1322" s="486" t="s">
        <v>291</v>
      </c>
      <c r="C1322" s="487" t="s">
        <v>3474</v>
      </c>
      <c r="D1322" s="488" t="s">
        <v>292</v>
      </c>
      <c r="E1322" s="489">
        <v>58.95</v>
      </c>
      <c r="F1322" s="516" t="s">
        <v>293</v>
      </c>
      <c r="G1322" s="232">
        <v>0</v>
      </c>
      <c r="H1322" s="658" t="str">
        <f t="shared" si="1009"/>
        <v/>
      </c>
      <c r="I1322" s="490">
        <f t="shared" si="1010"/>
        <v>0</v>
      </c>
      <c r="J1322" s="490">
        <f t="shared" si="1011"/>
        <v>0</v>
      </c>
      <c r="K1322" s="695">
        <f t="shared" ref="K1322" si="1017">I1322+J1322</f>
        <v>0</v>
      </c>
      <c r="L1322" s="695"/>
      <c r="M1322" s="659" t="str">
        <f t="shared" si="1013"/>
        <v/>
      </c>
      <c r="N1322" s="660"/>
      <c r="O1322" s="233"/>
      <c r="P1322" s="233"/>
      <c r="Q1322" s="233"/>
      <c r="R1322" s="233"/>
      <c r="S1322" s="233"/>
      <c r="T1322" s="508">
        <f t="shared" si="986"/>
        <v>0</v>
      </c>
      <c r="U1322" s="225">
        <f>IF(NOT(ISNUMBER(G1322)), "", VLOOKUP(A1322,'Discount Lookup'!D:E,2,FALSE)*G1322)</f>
        <v>0</v>
      </c>
      <c r="V1322" s="225">
        <f>IF(NOT(ISNUMBER(G1322)), "", VLOOKUP(A1322,'Discount Lookup'!G:H,2,FALSE)*G1322)</f>
        <v>0</v>
      </c>
      <c r="W1322" s="508">
        <f t="shared" si="987"/>
        <v>0</v>
      </c>
      <c r="X1322" s="508">
        <f t="shared" si="988"/>
        <v>0</v>
      </c>
      <c r="Y1322" s="509" t="b">
        <f t="shared" si="989"/>
        <v>0</v>
      </c>
      <c r="Z1322" s="510">
        <f t="shared" si="990"/>
        <v>0</v>
      </c>
      <c r="AA1322" s="511"/>
      <c r="AB1322" s="511" t="str">
        <f t="shared" si="991"/>
        <v/>
      </c>
      <c r="AC1322" s="698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698"/>
      <c r="AE1322" s="631" t="str">
        <f t="shared" si="992"/>
        <v/>
      </c>
      <c r="AF1322" s="699" t="str">
        <f t="shared" si="993"/>
        <v/>
      </c>
      <c r="AG1322" s="699"/>
      <c r="AH1322" s="699"/>
      <c r="AI1322" s="512">
        <f>IF(H1322="credit",0,IF(AE1322="free",0,IF(AE1322="me",0,IF(G1322&gt;0,(VLOOKUP(A1322,'Discount Lookup'!J:K,2)*G1322),0))))</f>
        <v>0</v>
      </c>
      <c r="AJ1322" s="513" t="str">
        <f t="shared" ca="1" si="994"/>
        <v/>
      </c>
      <c r="AK1322" s="700" t="str">
        <f t="shared" si="995"/>
        <v/>
      </c>
      <c r="AL1322" s="700"/>
      <c r="AM1322" s="505" t="str">
        <f t="shared" si="996"/>
        <v/>
      </c>
      <c r="AN1322" s="506"/>
      <c r="AO1322" s="507"/>
      <c r="AP1322" s="507"/>
      <c r="AQ1322" s="507"/>
      <c r="AR1322" s="507"/>
      <c r="AS1322" s="507"/>
      <c r="AT1322" s="507"/>
      <c r="AU1322" s="507"/>
      <c r="AV1322" s="225"/>
      <c r="AW1322" s="508"/>
      <c r="AX1322" s="225"/>
      <c r="AY1322" s="225"/>
      <c r="AZ1322" s="225"/>
      <c r="BA1322" s="225"/>
      <c r="BB1322" s="225"/>
      <c r="BC1322" s="56"/>
      <c r="BD1322" s="56"/>
      <c r="BE1322" s="56"/>
      <c r="BF1322" s="107" t="str">
        <f t="shared" si="997"/>
        <v>https://www.google.com/search?tbm=isch&amp;q=5%20G4</v>
      </c>
      <c r="BG1322" s="107" t="str">
        <f t="shared" si="998"/>
        <v>F</v>
      </c>
      <c r="BH1322" s="254"/>
      <c r="BI1322" s="254"/>
    </row>
    <row r="1323" spans="1:61" customFormat="1" ht="15.75" x14ac:dyDescent="0.25">
      <c r="A1323" s="485">
        <v>7</v>
      </c>
      <c r="B1323" s="486" t="s">
        <v>291</v>
      </c>
      <c r="C1323" s="487" t="s">
        <v>4884</v>
      </c>
      <c r="D1323" s="488" t="s">
        <v>299</v>
      </c>
      <c r="E1323" s="489">
        <v>79.95</v>
      </c>
      <c r="F1323" s="516" t="s">
        <v>293</v>
      </c>
      <c r="G1323" s="232">
        <v>0</v>
      </c>
      <c r="H1323" s="658" t="str">
        <f t="shared" si="1009"/>
        <v/>
      </c>
      <c r="I1323" s="490">
        <f t="shared" si="1010"/>
        <v>0</v>
      </c>
      <c r="J1323" s="490">
        <f t="shared" si="1011"/>
        <v>0</v>
      </c>
      <c r="K1323" s="695">
        <f t="shared" ref="K1323" si="1018">I1323+J1323</f>
        <v>0</v>
      </c>
      <c r="L1323" s="695"/>
      <c r="M1323" s="659" t="str">
        <f t="shared" si="1013"/>
        <v/>
      </c>
      <c r="N1323" s="660"/>
      <c r="O1323" s="233"/>
      <c r="P1323" s="233"/>
      <c r="Q1323" s="233"/>
      <c r="R1323" s="233"/>
      <c r="S1323" s="233"/>
      <c r="T1323" s="508">
        <f t="shared" si="986"/>
        <v>0</v>
      </c>
      <c r="U1323" s="225">
        <f>IF(NOT(ISNUMBER(G1323)), "", VLOOKUP(A1323,'Discount Lookup'!D:E,2,FALSE)*G1323)</f>
        <v>0</v>
      </c>
      <c r="V1323" s="225">
        <f>IF(NOT(ISNUMBER(G1323)), "", VLOOKUP(A1323,'Discount Lookup'!G:H,2,FALSE)*G1323)</f>
        <v>0</v>
      </c>
      <c r="W1323" s="508">
        <f t="shared" si="987"/>
        <v>0</v>
      </c>
      <c r="X1323" s="508">
        <f t="shared" si="988"/>
        <v>0</v>
      </c>
      <c r="Y1323" s="509" t="b">
        <f t="shared" si="989"/>
        <v>0</v>
      </c>
      <c r="Z1323" s="510">
        <f t="shared" si="990"/>
        <v>0</v>
      </c>
      <c r="AA1323" s="511"/>
      <c r="AB1323" s="511" t="str">
        <f t="shared" si="991"/>
        <v/>
      </c>
      <c r="AC1323" s="698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698"/>
      <c r="AE1323" s="631" t="str">
        <f t="shared" si="992"/>
        <v/>
      </c>
      <c r="AF1323" s="699" t="str">
        <f t="shared" si="993"/>
        <v/>
      </c>
      <c r="AG1323" s="699"/>
      <c r="AH1323" s="699"/>
      <c r="AI1323" s="512">
        <f>IF(H1323="credit",0,IF(AE1323="free",0,IF(AE1323="me",0,IF(G1323&gt;0,(VLOOKUP(A1323,'Discount Lookup'!J:K,2)*G1323),0))))</f>
        <v>0</v>
      </c>
      <c r="AJ1323" s="513" t="str">
        <f t="shared" ca="1" si="994"/>
        <v/>
      </c>
      <c r="AK1323" s="700" t="str">
        <f t="shared" si="995"/>
        <v/>
      </c>
      <c r="AL1323" s="700"/>
      <c r="AM1323" s="505" t="str">
        <f t="shared" si="996"/>
        <v/>
      </c>
      <c r="AN1323" s="506"/>
      <c r="AO1323" s="507"/>
      <c r="AP1323" s="507"/>
      <c r="AQ1323" s="507"/>
      <c r="AR1323" s="507"/>
      <c r="AS1323" s="507"/>
      <c r="AT1323" s="507"/>
      <c r="AU1323" s="507"/>
      <c r="AV1323" s="225"/>
      <c r="AW1323" s="508"/>
      <c r="AX1323" s="225"/>
      <c r="AY1323" s="225"/>
      <c r="AZ1323" s="225"/>
      <c r="BA1323" s="225"/>
      <c r="BB1323" s="225"/>
      <c r="BC1323" s="56"/>
      <c r="BD1323" s="56"/>
      <c r="BE1323" s="56"/>
      <c r="BF1323" s="107" t="str">
        <f t="shared" si="997"/>
        <v>https://www.google.com/search?tbm=isch&amp;q=7%20G5</v>
      </c>
      <c r="BG1323" s="107" t="str">
        <f t="shared" si="998"/>
        <v>F</v>
      </c>
      <c r="BH1323" s="254"/>
      <c r="BI1323" s="254"/>
    </row>
    <row r="1324" spans="1:61" customFormat="1" ht="16.5" thickBot="1" x14ac:dyDescent="0.3">
      <c r="A1324" s="522" t="s">
        <v>2882</v>
      </c>
      <c r="B1324" s="491"/>
      <c r="C1324" s="675"/>
      <c r="D1324" s="491"/>
      <c r="E1324" s="491"/>
      <c r="F1324" s="492"/>
      <c r="G1324" s="493"/>
      <c r="H1324" s="491"/>
      <c r="I1324" s="234"/>
      <c r="J1324" s="234"/>
      <c r="K1324" s="494"/>
      <c r="L1324" s="543"/>
      <c r="M1324" s="561"/>
      <c r="N1324" s="495"/>
      <c r="O1324" s="496"/>
      <c r="P1324" s="497"/>
      <c r="Q1324" s="495"/>
      <c r="R1324" s="495"/>
      <c r="S1324" s="277"/>
      <c r="T1324" s="508">
        <f t="shared" si="986"/>
        <v>0</v>
      </c>
      <c r="U1324" s="225" t="str">
        <f>IF(NOT(ISNUMBER(G1324)), "", VLOOKUP(A1324,'Discount Lookup'!D:E,2,FALSE)*G1324)</f>
        <v/>
      </c>
      <c r="V1324" s="225" t="str">
        <f>IF(NOT(ISNUMBER(G1324)), "", VLOOKUP(A1324,'Discount Lookup'!G:H,2,FALSE)*G1324)</f>
        <v/>
      </c>
      <c r="W1324" s="508">
        <f t="shared" si="987"/>
        <v>0</v>
      </c>
      <c r="X1324" s="508">
        <f t="shared" si="988"/>
        <v>0</v>
      </c>
      <c r="Y1324" s="509" t="b">
        <f t="shared" si="989"/>
        <v>0</v>
      </c>
      <c r="Z1324" s="510">
        <f t="shared" si="990"/>
        <v>0</v>
      </c>
      <c r="AA1324" s="511"/>
      <c r="AB1324" s="511" t="str">
        <f t="shared" si="991"/>
        <v/>
      </c>
      <c r="AC1324" s="698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698"/>
      <c r="AE1324" s="631" t="str">
        <f t="shared" si="992"/>
        <v/>
      </c>
      <c r="AF1324" s="699" t="str">
        <f t="shared" si="993"/>
        <v/>
      </c>
      <c r="AG1324" s="699"/>
      <c r="AH1324" s="699"/>
      <c r="AI1324" s="512">
        <f>IF(H1324="credit",0,IF(AE1324="free",0,IF(AE1324="me",0,IF(G1324&gt;0,(VLOOKUP(A1324,'Discount Lookup'!J:K,2)*G1324),0))))</f>
        <v>0</v>
      </c>
      <c r="AJ1324" s="513" t="str">
        <f t="shared" ca="1" si="994"/>
        <v/>
      </c>
      <c r="AK1324" s="700" t="str">
        <f t="shared" si="995"/>
        <v/>
      </c>
      <c r="AL1324" s="700"/>
      <c r="AM1324" s="505" t="str">
        <f t="shared" si="996"/>
        <v/>
      </c>
      <c r="AN1324" s="506"/>
      <c r="AO1324" s="507"/>
      <c r="AP1324" s="507"/>
      <c r="AQ1324" s="507"/>
      <c r="AR1324" s="507"/>
      <c r="AS1324" s="507"/>
      <c r="AT1324" s="507"/>
      <c r="AU1324" s="507"/>
      <c r="AV1324" s="225"/>
      <c r="AW1324" s="508"/>
      <c r="AX1324" s="225"/>
      <c r="AY1324" s="225"/>
      <c r="AZ1324" s="225"/>
      <c r="BA1324" s="225"/>
      <c r="BB1324" s="225"/>
      <c r="BC1324" s="56"/>
      <c r="BD1324" s="56"/>
      <c r="BE1324" s="56"/>
      <c r="BF1324" s="107" t="str">
        <f t="shared" si="997"/>
        <v>https://www.google.com/search?tbm=isch&amp;q=Fire%20Chief%20is%20known%20for%20distinctive%20color%20shifts%2C%20from%20bright%20Gold%20in%20spring%2C%20to%20Orange%20in%20summer%2C%20to%20Red%20in%20fall%20</v>
      </c>
      <c r="BG1324" s="107" t="str">
        <f t="shared" si="998"/>
        <v>F</v>
      </c>
      <c r="BH1324" s="254"/>
      <c r="BI1324" s="254"/>
    </row>
    <row r="1325" spans="1:61" customFormat="1" ht="18" x14ac:dyDescent="0.25">
      <c r="A1325" s="523" t="s">
        <v>885</v>
      </c>
      <c r="B1325" s="235"/>
      <c r="C1325" s="676"/>
      <c r="D1325" s="255" t="s">
        <v>886</v>
      </c>
      <c r="E1325" s="236"/>
      <c r="F1325" s="236"/>
      <c r="G1325" s="236"/>
      <c r="H1325" s="582" t="s">
        <v>950</v>
      </c>
      <c r="I1325" s="498" t="s">
        <v>2093</v>
      </c>
      <c r="J1325" s="237"/>
      <c r="K1325" s="237"/>
      <c r="L1325" s="274"/>
      <c r="M1325" s="668" t="s">
        <v>4975</v>
      </c>
      <c r="N1325" s="681" t="str">
        <f>IF(AND(ISTEXT($A1325), ISERROR($A1325+0)), HYPERLINK($BF1325, "Images"), "")</f>
        <v>Images</v>
      </c>
      <c r="O1325" s="663" t="s">
        <v>4967</v>
      </c>
      <c r="P1325" s="253"/>
      <c r="Q1325" s="238"/>
      <c r="R1325" s="239"/>
      <c r="S1325" s="275" t="s">
        <v>305</v>
      </c>
      <c r="T1325" s="508">
        <f t="shared" si="986"/>
        <v>0</v>
      </c>
      <c r="U1325" s="225" t="str">
        <f>IF(NOT(ISNUMBER(G1325)), "", VLOOKUP(A1325,'Discount Lookup'!D:E,2,FALSE)*G1325)</f>
        <v/>
      </c>
      <c r="V1325" s="225" t="str">
        <f>IF(NOT(ISNUMBER(G1325)), "", VLOOKUP(A1325,'Discount Lookup'!G:H,2,FALSE)*G1325)</f>
        <v/>
      </c>
      <c r="W1325" s="508">
        <f t="shared" si="987"/>
        <v>0</v>
      </c>
      <c r="X1325" s="508" t="str">
        <f t="shared" si="988"/>
        <v>Dark Green foliage</v>
      </c>
      <c r="Y1325" s="509" t="b">
        <f t="shared" si="989"/>
        <v>0</v>
      </c>
      <c r="Z1325" s="510">
        <f t="shared" si="990"/>
        <v>0</v>
      </c>
      <c r="AA1325" s="511"/>
      <c r="AB1325" s="511" t="str">
        <f t="shared" si="991"/>
        <v/>
      </c>
      <c r="AC1325" s="698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698"/>
      <c r="AE1325" s="631" t="str">
        <f t="shared" si="992"/>
        <v/>
      </c>
      <c r="AF1325" s="699" t="str">
        <f t="shared" si="993"/>
        <v/>
      </c>
      <c r="AG1325" s="699"/>
      <c r="AH1325" s="699"/>
      <c r="AI1325" s="512">
        <f>IF(H1325="credit",0,IF(AE1325="free",0,IF(AE1325="me",0,IF(G1325&gt;0,(VLOOKUP(A1325,'Discount Lookup'!J:K,2)*G1325),0))))</f>
        <v>0</v>
      </c>
      <c r="AJ1325" s="513" t="str">
        <f t="shared" ca="1" si="994"/>
        <v/>
      </c>
      <c r="AK1325" s="700" t="str">
        <f t="shared" si="995"/>
        <v/>
      </c>
      <c r="AL1325" s="700"/>
      <c r="AM1325" s="505" t="str">
        <f t="shared" si="996"/>
        <v/>
      </c>
      <c r="AN1325" s="506"/>
      <c r="AO1325" s="507"/>
      <c r="AP1325" s="507"/>
      <c r="AQ1325" s="507"/>
      <c r="AR1325" s="507"/>
      <c r="AS1325" s="507"/>
      <c r="AT1325" s="507"/>
      <c r="AU1325" s="507"/>
      <c r="AV1325" s="225"/>
      <c r="AW1325" s="508"/>
      <c r="AX1325" s="225"/>
      <c r="AY1325" s="225"/>
      <c r="AZ1325" s="225"/>
      <c r="BA1325" s="225"/>
      <c r="BB1325" s="225"/>
      <c r="BC1325" s="56"/>
      <c r="BD1325" s="56"/>
      <c r="BE1325" s="56"/>
      <c r="BF1325" s="107" t="str">
        <f t="shared" si="997"/>
        <v>https://www.google.com/search?tbm=isch&amp;q=Fire%20King%20Hornbeam%20Carpinus%20caroliniana%20%27JN%20Select%20A%27%20PP%2329969</v>
      </c>
      <c r="BG1325" s="107" t="str">
        <f t="shared" si="998"/>
        <v>F</v>
      </c>
      <c r="BH1325" s="254"/>
      <c r="BI1325" s="254"/>
    </row>
    <row r="1326" spans="1:61" customFormat="1" ht="15.75" x14ac:dyDescent="0.25">
      <c r="A1326" s="276">
        <v>15</v>
      </c>
      <c r="B1326" s="240" t="s">
        <v>291</v>
      </c>
      <c r="C1326" s="241" t="s">
        <v>4405</v>
      </c>
      <c r="D1326" s="242" t="s">
        <v>292</v>
      </c>
      <c r="E1326" s="243">
        <v>217.95</v>
      </c>
      <c r="F1326" s="517" t="s">
        <v>293</v>
      </c>
      <c r="G1326" s="232">
        <v>0</v>
      </c>
      <c r="H1326" s="661" t="str">
        <f>IF(G1326=0,"",IF(F1326="Buy",IF(G1326=1,"plant","plants"),IF(F1326&gt;0.01,"warranty","Error")))</f>
        <v/>
      </c>
      <c r="I1326" s="244">
        <f>IF(H1326="free",0,IF(H1326="credit",((E1326*(F1326))*G1326*-1),IF(F1326="Buy",(E1326*G1326),((E1326*(1-F1326))*G1326))))</f>
        <v>0</v>
      </c>
      <c r="J1326" s="244">
        <f>IF(H1326="warranty",0,(I1326*(_xlfn.SINGLE(SalesTaxPercentage))))</f>
        <v>0</v>
      </c>
      <c r="K1326" s="696">
        <f t="shared" ref="K1326" si="1019">I1326+J1326</f>
        <v>0</v>
      </c>
      <c r="L1326" s="696"/>
      <c r="M1326" s="659" t="str">
        <f>IF(AND(G1326&gt;0,E1326=0),"WARNING - no PRICE inserted",IF(H1326="free"," FREE ~ no charge this plant",IF(H1326="credit",CONCATENATE(" -$",ROUND(K1326*(1-T2GDiscount)*-1,2)," CREDIT after discount"),IF(T2GDiscount=0,"",IF(G1326=0,"",IF(F1326="Buy",CONCATENATE(" $",ROUND(K1326*(1-T2GDiscount),2)," with ",(T2GDiscount*100),"% discount"),CONCATENATE(" $",ROUND(K1326*(1-T2GDiscount),2)," with ",((T2GDiscount*100+F1326*100)-(T2GDiscount*100*F1326)),IF(F1326&gt;0,"% discounts",IF(NoWarrantyDiscount&gt;0,"% discounts","% discount")))))))))</f>
        <v/>
      </c>
      <c r="N1326" s="660"/>
      <c r="O1326" s="233"/>
      <c r="P1326" s="233"/>
      <c r="Q1326" s="233"/>
      <c r="R1326" s="233"/>
      <c r="S1326" s="233"/>
      <c r="T1326" s="508">
        <f t="shared" si="986"/>
        <v>0</v>
      </c>
      <c r="U1326" s="225">
        <f>IF(NOT(ISNUMBER(G1326)), "", VLOOKUP(A1326,'Discount Lookup'!D:E,2,FALSE)*G1326)</f>
        <v>0</v>
      </c>
      <c r="V1326" s="225">
        <f>IF(NOT(ISNUMBER(G1326)), "", VLOOKUP(A1326,'Discount Lookup'!G:H,2,FALSE)*G1326)</f>
        <v>0</v>
      </c>
      <c r="W1326" s="508">
        <f t="shared" si="987"/>
        <v>0</v>
      </c>
      <c r="X1326" s="508">
        <f t="shared" si="988"/>
        <v>0</v>
      </c>
      <c r="Y1326" s="509" t="b">
        <f t="shared" si="989"/>
        <v>0</v>
      </c>
      <c r="Z1326" s="510">
        <f t="shared" si="990"/>
        <v>0</v>
      </c>
      <c r="AA1326" s="511"/>
      <c r="AB1326" s="511" t="str">
        <f t="shared" si="991"/>
        <v/>
      </c>
      <c r="AC1326" s="698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698"/>
      <c r="AE1326" s="631" t="str">
        <f t="shared" si="992"/>
        <v/>
      </c>
      <c r="AF1326" s="699" t="str">
        <f t="shared" si="993"/>
        <v/>
      </c>
      <c r="AG1326" s="699"/>
      <c r="AH1326" s="699"/>
      <c r="AI1326" s="512">
        <f>IF(H1326="credit",0,IF(AE1326="free",0,IF(AE1326="me",0,IF(G1326&gt;0,(VLOOKUP(A1326,'Discount Lookup'!J:K,2)*G1326),0))))</f>
        <v>0</v>
      </c>
      <c r="AJ1326" s="513" t="str">
        <f t="shared" ca="1" si="994"/>
        <v/>
      </c>
      <c r="AK1326" s="700" t="str">
        <f t="shared" si="995"/>
        <v/>
      </c>
      <c r="AL1326" s="700"/>
      <c r="AM1326" s="505" t="str">
        <f t="shared" si="996"/>
        <v/>
      </c>
      <c r="AN1326" s="506"/>
      <c r="AO1326" s="507"/>
      <c r="AP1326" s="507"/>
      <c r="AQ1326" s="507"/>
      <c r="AR1326" s="507"/>
      <c r="AS1326" s="507"/>
      <c r="AT1326" s="507"/>
      <c r="AU1326" s="507"/>
      <c r="AV1326" s="225"/>
      <c r="AW1326" s="508"/>
      <c r="AX1326" s="225"/>
      <c r="AY1326" s="225"/>
      <c r="AZ1326" s="225"/>
      <c r="BA1326" s="225"/>
      <c r="BB1326" s="225"/>
      <c r="BC1326" s="56"/>
      <c r="BD1326" s="56"/>
      <c r="BE1326" s="56"/>
      <c r="BF1326" s="107" t="str">
        <f t="shared" si="997"/>
        <v>https://www.google.com/search?tbm=isch&amp;q=15%20G4</v>
      </c>
      <c r="BG1326" s="107" t="str">
        <f t="shared" si="998"/>
        <v>F</v>
      </c>
      <c r="BH1326" s="254"/>
      <c r="BI1326" s="254"/>
    </row>
    <row r="1327" spans="1:61" customFormat="1" ht="17.25" thickBot="1" x14ac:dyDescent="0.3">
      <c r="A1327" s="673" t="s">
        <v>5112</v>
      </c>
      <c r="B1327" s="245"/>
      <c r="C1327" s="677"/>
      <c r="D1327" s="499"/>
      <c r="E1327" s="499"/>
      <c r="F1327" s="500"/>
      <c r="G1327" s="501"/>
      <c r="H1327" s="502"/>
      <c r="I1327" s="246"/>
      <c r="J1327" s="247"/>
      <c r="K1327" s="503"/>
      <c r="L1327" s="544"/>
      <c r="M1327" s="544"/>
      <c r="N1327" s="500"/>
      <c r="O1327" s="500"/>
      <c r="P1327" s="500"/>
      <c r="Q1327" s="500"/>
      <c r="R1327" s="500"/>
      <c r="S1327" s="669" t="s">
        <v>4972</v>
      </c>
      <c r="T1327" s="508">
        <f t="shared" si="986"/>
        <v>0</v>
      </c>
      <c r="U1327" s="225" t="str">
        <f>IF(NOT(ISNUMBER(G1327)), "", VLOOKUP(A1327,'Discount Lookup'!D:E,2,FALSE)*G1327)</f>
        <v/>
      </c>
      <c r="V1327" s="225" t="str">
        <f>IF(NOT(ISNUMBER(G1327)), "", VLOOKUP(A1327,'Discount Lookup'!G:H,2,FALSE)*G1327)</f>
        <v/>
      </c>
      <c r="W1327" s="508">
        <f t="shared" si="987"/>
        <v>0</v>
      </c>
      <c r="X1327" s="508">
        <f t="shared" si="988"/>
        <v>0</v>
      </c>
      <c r="Y1327" s="509" t="b">
        <f t="shared" si="989"/>
        <v>0</v>
      </c>
      <c r="Z1327" s="510">
        <f t="shared" si="990"/>
        <v>0</v>
      </c>
      <c r="AA1327" s="511"/>
      <c r="AB1327" s="511" t="str">
        <f t="shared" si="991"/>
        <v/>
      </c>
      <c r="AC1327" s="698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698"/>
      <c r="AE1327" s="631" t="str">
        <f t="shared" si="992"/>
        <v/>
      </c>
      <c r="AF1327" s="699" t="str">
        <f t="shared" si="993"/>
        <v/>
      </c>
      <c r="AG1327" s="699"/>
      <c r="AH1327" s="699"/>
      <c r="AI1327" s="512">
        <f>IF(H1327="credit",0,IF(AE1327="free",0,IF(AE1327="me",0,IF(G1327&gt;0,(VLOOKUP(A1327,'Discount Lookup'!J:K,2)*G1327),0))))</f>
        <v>0</v>
      </c>
      <c r="AJ1327" s="513" t="str">
        <f t="shared" ca="1" si="994"/>
        <v/>
      </c>
      <c r="AK1327" s="700" t="str">
        <f t="shared" si="995"/>
        <v/>
      </c>
      <c r="AL1327" s="700"/>
      <c r="AM1327" s="505" t="str">
        <f t="shared" si="996"/>
        <v/>
      </c>
      <c r="AN1327" s="506"/>
      <c r="AO1327" s="507"/>
      <c r="AP1327" s="507"/>
      <c r="AQ1327" s="507"/>
      <c r="AR1327" s="507"/>
      <c r="AS1327" s="507"/>
      <c r="AT1327" s="507"/>
      <c r="AU1327" s="507"/>
      <c r="AV1327" s="225"/>
      <c r="AW1327" s="508"/>
      <c r="AX1327" s="225"/>
      <c r="AY1327" s="225"/>
      <c r="AZ1327" s="225"/>
      <c r="BA1327" s="225"/>
      <c r="BB1327" s="225"/>
      <c r="BC1327" s="56"/>
      <c r="BD1327" s="56"/>
      <c r="BE1327" s="56"/>
      <c r="BF1327" s="107" t="str">
        <f t="shared" si="997"/>
        <v>https://www.google.com/search?tbm=isch&amp;q=wet%20sites%F0%9F%92%A7GOOD%2C%20Fire%20King%20named%20for%20exceptionally%20brilliant%20Fiery%20Orange%20to%20Deep%20Red%20fall%20foliage.Great%20cold%20resistance%20</v>
      </c>
      <c r="BG1327" s="107" t="str">
        <f t="shared" si="998"/>
        <v>w</v>
      </c>
      <c r="BH1327" s="254"/>
      <c r="BI1327" s="254"/>
    </row>
    <row r="1328" spans="1:61" customFormat="1" ht="18" x14ac:dyDescent="0.25">
      <c r="A1328" s="523" t="s">
        <v>5405</v>
      </c>
      <c r="B1328" s="235"/>
      <c r="C1328" s="676"/>
      <c r="D1328" s="255" t="s">
        <v>887</v>
      </c>
      <c r="E1328" s="236"/>
      <c r="F1328" s="236"/>
      <c r="G1328" s="236"/>
      <c r="H1328" s="582" t="s">
        <v>443</v>
      </c>
      <c r="I1328" s="498" t="s">
        <v>3116</v>
      </c>
      <c r="J1328" s="237"/>
      <c r="K1328" s="237"/>
      <c r="L1328" s="274"/>
      <c r="M1328" s="668" t="s">
        <v>4975</v>
      </c>
      <c r="N1328" s="681" t="str">
        <f>IF(AND(ISTEXT($A1328), ISERROR($A1328+0)), HYPERLINK($BF1328, "Images"), "")</f>
        <v>Images</v>
      </c>
      <c r="O1328" s="663" t="s">
        <v>4967</v>
      </c>
      <c r="P1328" s="253"/>
      <c r="Q1328" s="238"/>
      <c r="R1328" s="239"/>
      <c r="S1328" s="275"/>
      <c r="T1328" s="508">
        <f t="shared" si="986"/>
        <v>0</v>
      </c>
      <c r="U1328" s="225" t="str">
        <f>IF(NOT(ISNUMBER(G1328)), "", VLOOKUP(A1328,'Discount Lookup'!D:E,2,FALSE)*G1328)</f>
        <v/>
      </c>
      <c r="V1328" s="225" t="str">
        <f>IF(NOT(ISNUMBER(G1328)), "", VLOOKUP(A1328,'Discount Lookup'!G:H,2,FALSE)*G1328)</f>
        <v/>
      </c>
      <c r="W1328" s="508">
        <f t="shared" si="987"/>
        <v>0</v>
      </c>
      <c r="X1328" s="508" t="str">
        <f t="shared" si="988"/>
        <v>White ages to Pink-Red</v>
      </c>
      <c r="Y1328" s="509" t="b">
        <f t="shared" si="989"/>
        <v>0</v>
      </c>
      <c r="Z1328" s="510">
        <f t="shared" si="990"/>
        <v>0</v>
      </c>
      <c r="AA1328" s="511"/>
      <c r="AB1328" s="511" t="str">
        <f t="shared" si="991"/>
        <v/>
      </c>
      <c r="AC1328" s="698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698"/>
      <c r="AE1328" s="631" t="str">
        <f t="shared" si="992"/>
        <v/>
      </c>
      <c r="AF1328" s="699" t="str">
        <f t="shared" si="993"/>
        <v/>
      </c>
      <c r="AG1328" s="699"/>
      <c r="AH1328" s="699"/>
      <c r="AI1328" s="512">
        <f>IF(H1328="credit",0,IF(AE1328="free",0,IF(AE1328="me",0,IF(G1328&gt;0,(VLOOKUP(A1328,'Discount Lookup'!J:K,2)*G1328),0))))</f>
        <v>0</v>
      </c>
      <c r="AJ1328" s="513" t="str">
        <f t="shared" ca="1" si="994"/>
        <v/>
      </c>
      <c r="AK1328" s="700" t="str">
        <f t="shared" si="995"/>
        <v/>
      </c>
      <c r="AL1328" s="700"/>
      <c r="AM1328" s="505" t="str">
        <f t="shared" si="996"/>
        <v/>
      </c>
      <c r="AN1328" s="506"/>
      <c r="AO1328" s="507"/>
      <c r="AP1328" s="507"/>
      <c r="AQ1328" s="507"/>
      <c r="AR1328" s="507"/>
      <c r="AS1328" s="507"/>
      <c r="AT1328" s="507"/>
      <c r="AU1328" s="507"/>
      <c r="AV1328" s="225"/>
      <c r="AW1328" s="508"/>
      <c r="AX1328" s="225"/>
      <c r="AY1328" s="225"/>
      <c r="AZ1328" s="225"/>
      <c r="BA1328" s="225"/>
      <c r="BB1328" s="225"/>
      <c r="BC1328" s="56"/>
      <c r="BD1328" s="56"/>
      <c r="BE1328" s="56"/>
      <c r="BF1328" s="107" t="str">
        <f t="shared" si="997"/>
        <v>https://www.google.com/search?tbm=isch&amp;q=Fire%20Light%20Tidbit%C2%AE%20Hydrangea%20Hyd.%20paniculata%20%27SMNHPK%27%20PP%2332512</v>
      </c>
      <c r="BG1328" s="107" t="str">
        <f t="shared" si="998"/>
        <v>F</v>
      </c>
      <c r="BH1328" s="254"/>
      <c r="BI1328" s="254"/>
    </row>
    <row r="1329" spans="1:61" customFormat="1" ht="15.75" x14ac:dyDescent="0.25">
      <c r="A1329" s="276">
        <v>3</v>
      </c>
      <c r="B1329" s="240" t="s">
        <v>291</v>
      </c>
      <c r="C1329" s="241" t="s">
        <v>3987</v>
      </c>
      <c r="D1329" s="242" t="s">
        <v>299</v>
      </c>
      <c r="E1329" s="243">
        <v>42.95</v>
      </c>
      <c r="F1329" s="517" t="s">
        <v>293</v>
      </c>
      <c r="G1329" s="232">
        <v>0</v>
      </c>
      <c r="H1329" s="661" t="str">
        <f>IF(G1329=0,"",IF(F1329="Buy",IF(G1329=1,"plant","plants"),IF(F1329&gt;0.01,"warranty","Error")))</f>
        <v/>
      </c>
      <c r="I1329" s="244">
        <f>IF(H1329="free",0,IF(H1329="credit",((E1329*(F1329))*G1329*-1),IF(F1329="Buy",(E1329*G1329),((E1329*(1-F1329))*G1329))))</f>
        <v>0</v>
      </c>
      <c r="J1329" s="244">
        <f>IF(H1329="warranty",0,(I1329*(_xlfn.SINGLE(SalesTaxPercentage))))</f>
        <v>0</v>
      </c>
      <c r="K1329" s="696">
        <f t="shared" ref="K1329" si="1020">I1329+J1329</f>
        <v>0</v>
      </c>
      <c r="L1329" s="696"/>
      <c r="M1329" s="659" t="str">
        <f>IF(AND(G1329&gt;0,E1329=0),"WARNING - no PRICE inserted",IF(H1329="free"," FREE ~ no charge this plant",IF(H1329="credit",CONCATENATE(" -$",ROUND(K1329*(1-T2GDiscount)*-1,2)," CREDIT after discount"),IF(T2GDiscount=0,"",IF(G1329=0,"",IF(F1329="Buy",CONCATENATE(" $",ROUND(K1329*(1-T2GDiscount),2)," with ",(T2GDiscount*100),"% discount"),CONCATENATE(" $",ROUND(K1329*(1-T2GDiscount),2)," with ",((T2GDiscount*100+F1329*100)-(T2GDiscount*100*F1329)),IF(F1329&gt;0,"% discounts",IF(NoWarrantyDiscount&gt;0,"% discounts","% discount")))))))))</f>
        <v/>
      </c>
      <c r="N1329" s="660"/>
      <c r="O1329" s="233"/>
      <c r="P1329" s="233"/>
      <c r="Q1329" s="233"/>
      <c r="R1329" s="233"/>
      <c r="S1329" s="233"/>
      <c r="T1329" s="508">
        <f t="shared" si="986"/>
        <v>0</v>
      </c>
      <c r="U1329" s="225">
        <f>IF(NOT(ISNUMBER(G1329)), "", VLOOKUP(A1329,'Discount Lookup'!D:E,2,FALSE)*G1329)</f>
        <v>0</v>
      </c>
      <c r="V1329" s="225">
        <f>IF(NOT(ISNUMBER(G1329)), "", VLOOKUP(A1329,'Discount Lookup'!G:H,2,FALSE)*G1329)</f>
        <v>0</v>
      </c>
      <c r="W1329" s="508">
        <f t="shared" si="987"/>
        <v>0</v>
      </c>
      <c r="X1329" s="508">
        <f t="shared" si="988"/>
        <v>0</v>
      </c>
      <c r="Y1329" s="509" t="b">
        <f t="shared" si="989"/>
        <v>0</v>
      </c>
      <c r="Z1329" s="510">
        <f t="shared" si="990"/>
        <v>0</v>
      </c>
      <c r="AA1329" s="511"/>
      <c r="AB1329" s="511" t="str">
        <f t="shared" si="991"/>
        <v/>
      </c>
      <c r="AC1329" s="698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698"/>
      <c r="AE1329" s="631" t="str">
        <f t="shared" si="992"/>
        <v/>
      </c>
      <c r="AF1329" s="699" t="str">
        <f t="shared" si="993"/>
        <v/>
      </c>
      <c r="AG1329" s="699"/>
      <c r="AH1329" s="699"/>
      <c r="AI1329" s="512">
        <f>IF(H1329="credit",0,IF(AE1329="free",0,IF(AE1329="me",0,IF(G1329&gt;0,(VLOOKUP(A1329,'Discount Lookup'!J:K,2)*G1329),0))))</f>
        <v>0</v>
      </c>
      <c r="AJ1329" s="513" t="str">
        <f t="shared" ca="1" si="994"/>
        <v/>
      </c>
      <c r="AK1329" s="700" t="str">
        <f t="shared" si="995"/>
        <v/>
      </c>
      <c r="AL1329" s="700"/>
      <c r="AM1329" s="505" t="str">
        <f t="shared" si="996"/>
        <v/>
      </c>
      <c r="AN1329" s="506"/>
      <c r="AO1329" s="507"/>
      <c r="AP1329" s="507"/>
      <c r="AQ1329" s="507"/>
      <c r="AR1329" s="507"/>
      <c r="AS1329" s="507"/>
      <c r="AT1329" s="507"/>
      <c r="AU1329" s="507"/>
      <c r="AV1329" s="225"/>
      <c r="AW1329" s="508"/>
      <c r="AX1329" s="225"/>
      <c r="AY1329" s="225"/>
      <c r="AZ1329" s="225"/>
      <c r="BA1329" s="225"/>
      <c r="BB1329" s="225"/>
      <c r="BC1329" s="56"/>
      <c r="BD1329" s="56"/>
      <c r="BE1329" s="56"/>
      <c r="BF1329" s="107" t="str">
        <f t="shared" si="997"/>
        <v>https://www.google.com/search?tbm=isch&amp;q=3%20G5</v>
      </c>
      <c r="BG1329" s="107" t="str">
        <f t="shared" si="998"/>
        <v>F</v>
      </c>
      <c r="BH1329" s="254"/>
      <c r="BI1329" s="254"/>
    </row>
    <row r="1330" spans="1:61" customFormat="1" ht="15.75" x14ac:dyDescent="0.25">
      <c r="A1330" s="276">
        <v>5</v>
      </c>
      <c r="B1330" s="240" t="s">
        <v>291</v>
      </c>
      <c r="C1330" s="241" t="s">
        <v>888</v>
      </c>
      <c r="D1330" s="242" t="s">
        <v>300</v>
      </c>
      <c r="E1330" s="243">
        <v>75.95</v>
      </c>
      <c r="F1330" s="517" t="s">
        <v>293</v>
      </c>
      <c r="G1330" s="232">
        <v>0</v>
      </c>
      <c r="H1330" s="661" t="str">
        <f>IF(G1330=0,"",IF(F1330="Buy",IF(G1330=1,"plant","plants"),IF(F1330&gt;0.01,"warranty","Error")))</f>
        <v/>
      </c>
      <c r="I1330" s="244">
        <f>IF(H1330="free",0,IF(H1330="credit",((E1330*(F1330))*G1330*-1),IF(F1330="Buy",(E1330*G1330),((E1330*(1-F1330))*G1330))))</f>
        <v>0</v>
      </c>
      <c r="J1330" s="244">
        <f>IF(H1330="warranty",0,(I1330*(_xlfn.SINGLE(SalesTaxPercentage))))</f>
        <v>0</v>
      </c>
      <c r="K1330" s="696">
        <f t="shared" ref="K1330" si="1021">I1330+J1330</f>
        <v>0</v>
      </c>
      <c r="L1330" s="696"/>
      <c r="M1330" s="659" t="str">
        <f>IF(AND(G1330&gt;0,E1330=0),"WARNING - no PRICE inserted",IF(H1330="free"," FREE ~ no charge this plant",IF(H1330="credit",CONCATENATE(" -$",ROUND(K1330*(1-T2GDiscount)*-1,2)," CREDIT after discount"),IF(T2GDiscount=0,"",IF(G1330=0,"",IF(F1330="Buy",CONCATENATE(" $",ROUND(K1330*(1-T2GDiscount),2)," with ",(T2GDiscount*100),"% discount"),CONCATENATE(" $",ROUND(K1330*(1-T2GDiscount),2)," with ",((T2GDiscount*100+F1330*100)-(T2GDiscount*100*F1330)),IF(F1330&gt;0,"% discounts",IF(NoWarrantyDiscount&gt;0,"% discounts","% discount")))))))))</f>
        <v/>
      </c>
      <c r="N1330" s="660"/>
      <c r="O1330" s="233"/>
      <c r="P1330" s="233"/>
      <c r="Q1330" s="233"/>
      <c r="R1330" s="233"/>
      <c r="S1330" s="233"/>
      <c r="T1330" s="508">
        <f t="shared" si="986"/>
        <v>0</v>
      </c>
      <c r="U1330" s="225">
        <f>IF(NOT(ISNUMBER(G1330)), "", VLOOKUP(A1330,'Discount Lookup'!D:E,2,FALSE)*G1330)</f>
        <v>0</v>
      </c>
      <c r="V1330" s="225">
        <f>IF(NOT(ISNUMBER(G1330)), "", VLOOKUP(A1330,'Discount Lookup'!G:H,2,FALSE)*G1330)</f>
        <v>0</v>
      </c>
      <c r="W1330" s="508">
        <f t="shared" si="987"/>
        <v>0</v>
      </c>
      <c r="X1330" s="508">
        <f t="shared" si="988"/>
        <v>0</v>
      </c>
      <c r="Y1330" s="509" t="b">
        <f t="shared" si="989"/>
        <v>0</v>
      </c>
      <c r="Z1330" s="510">
        <f t="shared" si="990"/>
        <v>0</v>
      </c>
      <c r="AA1330" s="511"/>
      <c r="AB1330" s="511" t="str">
        <f t="shared" si="991"/>
        <v/>
      </c>
      <c r="AC1330" s="698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698"/>
      <c r="AE1330" s="631" t="str">
        <f t="shared" si="992"/>
        <v/>
      </c>
      <c r="AF1330" s="699" t="str">
        <f t="shared" si="993"/>
        <v/>
      </c>
      <c r="AG1330" s="699"/>
      <c r="AH1330" s="699"/>
      <c r="AI1330" s="512">
        <f>IF(H1330="credit",0,IF(AE1330="free",0,IF(AE1330="me",0,IF(G1330&gt;0,(VLOOKUP(A1330,'Discount Lookup'!J:K,2)*G1330),0))))</f>
        <v>0</v>
      </c>
      <c r="AJ1330" s="513" t="str">
        <f t="shared" ca="1" si="994"/>
        <v/>
      </c>
      <c r="AK1330" s="700" t="str">
        <f t="shared" si="995"/>
        <v/>
      </c>
      <c r="AL1330" s="700"/>
      <c r="AM1330" s="505" t="str">
        <f t="shared" si="996"/>
        <v/>
      </c>
      <c r="AN1330" s="506"/>
      <c r="AO1330" s="507"/>
      <c r="AP1330" s="507"/>
      <c r="AQ1330" s="507"/>
      <c r="AR1330" s="507"/>
      <c r="AS1330" s="507"/>
      <c r="AT1330" s="507"/>
      <c r="AU1330" s="507"/>
      <c r="AV1330" s="225"/>
      <c r="AW1330" s="508"/>
      <c r="AX1330" s="225"/>
      <c r="AY1330" s="225"/>
      <c r="AZ1330" s="225"/>
      <c r="BA1330" s="225"/>
      <c r="BB1330" s="225"/>
      <c r="BC1330" s="56"/>
      <c r="BD1330" s="56"/>
      <c r="BE1330" s="56"/>
      <c r="BF1330" s="107" t="str">
        <f t="shared" si="997"/>
        <v>https://www.google.com/search?tbm=isch&amp;q=5%20G6</v>
      </c>
      <c r="BG1330" s="107" t="str">
        <f t="shared" si="998"/>
        <v>F</v>
      </c>
      <c r="BH1330" s="254"/>
      <c r="BI1330" s="254"/>
    </row>
    <row r="1331" spans="1:61" customFormat="1" ht="17.25" thickBot="1" x14ac:dyDescent="0.3">
      <c r="A1331" s="524" t="s">
        <v>4090</v>
      </c>
      <c r="B1331" s="245"/>
      <c r="C1331" s="677"/>
      <c r="D1331" s="499"/>
      <c r="E1331" s="499"/>
      <c r="F1331" s="500"/>
      <c r="G1331" s="501"/>
      <c r="H1331" s="502"/>
      <c r="I1331" s="246"/>
      <c r="J1331" s="247"/>
      <c r="K1331" s="503"/>
      <c r="L1331" s="544"/>
      <c r="M1331" s="544"/>
      <c r="N1331" s="500"/>
      <c r="O1331" s="500"/>
      <c r="P1331" s="500"/>
      <c r="Q1331" s="500"/>
      <c r="R1331" s="500"/>
      <c r="S1331" s="278"/>
      <c r="T1331" s="508">
        <f t="shared" si="986"/>
        <v>0</v>
      </c>
      <c r="U1331" s="225" t="str">
        <f>IF(NOT(ISNUMBER(G1331)), "", VLOOKUP(A1331,'Discount Lookup'!D:E,2,FALSE)*G1331)</f>
        <v/>
      </c>
      <c r="V1331" s="225" t="str">
        <f>IF(NOT(ISNUMBER(G1331)), "", VLOOKUP(A1331,'Discount Lookup'!G:H,2,FALSE)*G1331)</f>
        <v/>
      </c>
      <c r="W1331" s="508">
        <f t="shared" si="987"/>
        <v>0</v>
      </c>
      <c r="X1331" s="508">
        <f t="shared" si="988"/>
        <v>0</v>
      </c>
      <c r="Y1331" s="509" t="b">
        <f t="shared" si="989"/>
        <v>0</v>
      </c>
      <c r="Z1331" s="510">
        <f t="shared" si="990"/>
        <v>0</v>
      </c>
      <c r="AA1331" s="511"/>
      <c r="AB1331" s="511" t="str">
        <f t="shared" si="991"/>
        <v/>
      </c>
      <c r="AC1331" s="698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698"/>
      <c r="AE1331" s="631" t="str">
        <f t="shared" si="992"/>
        <v/>
      </c>
      <c r="AF1331" s="699" t="str">
        <f t="shared" si="993"/>
        <v/>
      </c>
      <c r="AG1331" s="699"/>
      <c r="AH1331" s="699"/>
      <c r="AI1331" s="512">
        <f>IF(H1331="credit",0,IF(AE1331="free",0,IF(AE1331="me",0,IF(G1331&gt;0,(VLOOKUP(A1331,'Discount Lookup'!J:K,2)*G1331),0))))</f>
        <v>0</v>
      </c>
      <c r="AJ1331" s="513" t="str">
        <f t="shared" ca="1" si="994"/>
        <v/>
      </c>
      <c r="AK1331" s="700" t="str">
        <f t="shared" si="995"/>
        <v/>
      </c>
      <c r="AL1331" s="700"/>
      <c r="AM1331" s="505" t="str">
        <f t="shared" si="996"/>
        <v/>
      </c>
      <c r="AN1331" s="506"/>
      <c r="AO1331" s="507"/>
      <c r="AP1331" s="507"/>
      <c r="AQ1331" s="507"/>
      <c r="AR1331" s="507"/>
      <c r="AS1331" s="507"/>
      <c r="AT1331" s="507"/>
      <c r="AU1331" s="507"/>
      <c r="AV1331" s="225"/>
      <c r="AW1331" s="508"/>
      <c r="AX1331" s="225"/>
      <c r="AY1331" s="225"/>
      <c r="AZ1331" s="225"/>
      <c r="BA1331" s="225"/>
      <c r="BB1331" s="225"/>
      <c r="BC1331" s="56"/>
      <c r="BD1331" s="56"/>
      <c r="BE1331" s="56"/>
      <c r="BF1331" s="107" t="str">
        <f t="shared" si="997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1331" s="107" t="str">
        <f t="shared" si="998"/>
        <v>F</v>
      </c>
      <c r="BH1331" s="254"/>
      <c r="BI1331" s="254"/>
    </row>
    <row r="1332" spans="1:61" customFormat="1" ht="18" x14ac:dyDescent="0.25">
      <c r="A1332" s="523" t="s">
        <v>5406</v>
      </c>
      <c r="B1332" s="235"/>
      <c r="C1332" s="676"/>
      <c r="D1332" s="255" t="s">
        <v>889</v>
      </c>
      <c r="E1332" s="236"/>
      <c r="F1332" s="236"/>
      <c r="G1332" s="236"/>
      <c r="H1332" s="582" t="s">
        <v>467</v>
      </c>
      <c r="I1332" s="498" t="s">
        <v>3116</v>
      </c>
      <c r="J1332" s="237"/>
      <c r="K1332" s="237"/>
      <c r="L1332" s="274"/>
      <c r="M1332" s="668" t="s">
        <v>4975</v>
      </c>
      <c r="N1332" s="681" t="str">
        <f>IF(AND(ISTEXT($A1332), ISERROR($A1332+0)), HYPERLINK($BF1332, "Images"), "")</f>
        <v>Images</v>
      </c>
      <c r="O1332" s="663" t="s">
        <v>4967</v>
      </c>
      <c r="P1332" s="253"/>
      <c r="Q1332" s="238"/>
      <c r="R1332" s="239"/>
      <c r="S1332" s="275"/>
      <c r="T1332" s="508">
        <f t="shared" si="986"/>
        <v>0</v>
      </c>
      <c r="U1332" s="225" t="str">
        <f>IF(NOT(ISNUMBER(G1332)), "", VLOOKUP(A1332,'Discount Lookup'!D:E,2,FALSE)*G1332)</f>
        <v/>
      </c>
      <c r="V1332" s="225" t="str">
        <f>IF(NOT(ISNUMBER(G1332)), "", VLOOKUP(A1332,'Discount Lookup'!G:H,2,FALSE)*G1332)</f>
        <v/>
      </c>
      <c r="W1332" s="508">
        <f t="shared" si="987"/>
        <v>0</v>
      </c>
      <c r="X1332" s="508" t="str">
        <f t="shared" si="988"/>
        <v>White ages to Pink-Red</v>
      </c>
      <c r="Y1332" s="509" t="b">
        <f t="shared" si="989"/>
        <v>0</v>
      </c>
      <c r="Z1332" s="510">
        <f t="shared" si="990"/>
        <v>0</v>
      </c>
      <c r="AA1332" s="511"/>
      <c r="AB1332" s="511" t="str">
        <f t="shared" si="991"/>
        <v/>
      </c>
      <c r="AC1332" s="698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698"/>
      <c r="AE1332" s="631" t="str">
        <f t="shared" si="992"/>
        <v/>
      </c>
      <c r="AF1332" s="699" t="str">
        <f t="shared" si="993"/>
        <v/>
      </c>
      <c r="AG1332" s="699"/>
      <c r="AH1332" s="699"/>
      <c r="AI1332" s="512">
        <f>IF(H1332="credit",0,IF(AE1332="free",0,IF(AE1332="me",0,IF(G1332&gt;0,(VLOOKUP(A1332,'Discount Lookup'!J:K,2)*G1332),0))))</f>
        <v>0</v>
      </c>
      <c r="AJ1332" s="513" t="str">
        <f t="shared" ca="1" si="994"/>
        <v/>
      </c>
      <c r="AK1332" s="700" t="str">
        <f t="shared" si="995"/>
        <v/>
      </c>
      <c r="AL1332" s="700"/>
      <c r="AM1332" s="505" t="str">
        <f t="shared" si="996"/>
        <v/>
      </c>
      <c r="AN1332" s="506"/>
      <c r="AO1332" s="507"/>
      <c r="AP1332" s="507"/>
      <c r="AQ1332" s="507"/>
      <c r="AR1332" s="507"/>
      <c r="AS1332" s="507"/>
      <c r="AT1332" s="507"/>
      <c r="AU1332" s="507"/>
      <c r="AV1332" s="225"/>
      <c r="AW1332" s="508"/>
      <c r="AX1332" s="225"/>
      <c r="AY1332" s="225"/>
      <c r="AZ1332" s="225"/>
      <c r="BA1332" s="225"/>
      <c r="BB1332" s="225"/>
      <c r="BC1332" s="56"/>
      <c r="BD1332" s="56"/>
      <c r="BE1332" s="56"/>
      <c r="BF1332" s="107" t="str">
        <f t="shared" si="997"/>
        <v>https://www.google.com/search?tbm=isch&amp;q=Fire%20Light%C2%AE%20Hydrangea%20Hyd.%20paniculata%20%27SMHPFL%27%20PP%2325135</v>
      </c>
      <c r="BG1332" s="107" t="str">
        <f t="shared" si="998"/>
        <v>F</v>
      </c>
      <c r="BH1332" s="254"/>
      <c r="BI1332" s="254"/>
    </row>
    <row r="1333" spans="1:61" customFormat="1" ht="15.75" x14ac:dyDescent="0.25">
      <c r="A1333" s="276">
        <v>7</v>
      </c>
      <c r="B1333" s="240" t="s">
        <v>291</v>
      </c>
      <c r="C1333" s="241" t="s">
        <v>3475</v>
      </c>
      <c r="D1333" s="242" t="s">
        <v>292</v>
      </c>
      <c r="E1333" s="243">
        <v>95.95</v>
      </c>
      <c r="F1333" s="517" t="s">
        <v>293</v>
      </c>
      <c r="G1333" s="232">
        <v>0</v>
      </c>
      <c r="H1333" s="661" t="str">
        <f>IF(G1333=0,"",IF(F1333="Buy",IF(G1333=1,"plant","plants"),IF(F1333&gt;0.01,"warranty","Error")))</f>
        <v/>
      </c>
      <c r="I1333" s="244">
        <f>IF(H1333="free",0,IF(H1333="credit",((E1333*(F1333))*G1333*-1),IF(F1333="Buy",(E1333*G1333),((E1333*(1-F1333))*G1333))))</f>
        <v>0</v>
      </c>
      <c r="J1333" s="244">
        <f>IF(H1333="warranty",0,(I1333*(_xlfn.SINGLE(SalesTaxPercentage))))</f>
        <v>0</v>
      </c>
      <c r="K1333" s="696">
        <f t="shared" ref="K1333" si="1022">I1333+J1333</f>
        <v>0</v>
      </c>
      <c r="L1333" s="696"/>
      <c r="M1333" s="659" t="str">
        <f>IF(AND(G1333&gt;0,E1333=0),"WARNING - no PRICE inserted",IF(H1333="free"," FREE ~ no charge this plant",IF(H1333="credit",CONCATENATE(" -$",ROUND(K1333*(1-T2GDiscount)*-1,2)," CREDIT after discount"),IF(T2GDiscount=0,"",IF(G1333=0,"",IF(F1333="Buy",CONCATENATE(" $",ROUND(K1333*(1-T2GDiscount),2)," with ",(T2GDiscount*100),"% discount"),CONCATENATE(" $",ROUND(K1333*(1-T2GDiscount),2)," with ",((T2GDiscount*100+F1333*100)-(T2GDiscount*100*F1333)),IF(F1333&gt;0,"% discounts",IF(NoWarrantyDiscount&gt;0,"% discounts","% discount")))))))))</f>
        <v/>
      </c>
      <c r="N1333" s="660"/>
      <c r="O1333" s="233"/>
      <c r="P1333" s="233"/>
      <c r="Q1333" s="233"/>
      <c r="R1333" s="233"/>
      <c r="S1333" s="233"/>
      <c r="T1333" s="508">
        <f t="shared" si="986"/>
        <v>0</v>
      </c>
      <c r="U1333" s="225">
        <f>IF(NOT(ISNUMBER(G1333)), "", VLOOKUP(A1333,'Discount Lookup'!D:E,2,FALSE)*G1333)</f>
        <v>0</v>
      </c>
      <c r="V1333" s="225">
        <f>IF(NOT(ISNUMBER(G1333)), "", VLOOKUP(A1333,'Discount Lookup'!G:H,2,FALSE)*G1333)</f>
        <v>0</v>
      </c>
      <c r="W1333" s="508">
        <f t="shared" si="987"/>
        <v>0</v>
      </c>
      <c r="X1333" s="508">
        <f t="shared" si="988"/>
        <v>0</v>
      </c>
      <c r="Y1333" s="509" t="b">
        <f t="shared" si="989"/>
        <v>0</v>
      </c>
      <c r="Z1333" s="510">
        <f t="shared" si="990"/>
        <v>0</v>
      </c>
      <c r="AA1333" s="511"/>
      <c r="AB1333" s="511" t="str">
        <f t="shared" si="991"/>
        <v/>
      </c>
      <c r="AC1333" s="698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698"/>
      <c r="AE1333" s="631" t="str">
        <f t="shared" si="992"/>
        <v/>
      </c>
      <c r="AF1333" s="699" t="str">
        <f t="shared" si="993"/>
        <v/>
      </c>
      <c r="AG1333" s="699"/>
      <c r="AH1333" s="699"/>
      <c r="AI1333" s="512">
        <f>IF(H1333="credit",0,IF(AE1333="free",0,IF(AE1333="me",0,IF(G1333&gt;0,(VLOOKUP(A1333,'Discount Lookup'!J:K,2)*G1333),0))))</f>
        <v>0</v>
      </c>
      <c r="AJ1333" s="513" t="str">
        <f t="shared" ca="1" si="994"/>
        <v/>
      </c>
      <c r="AK1333" s="700" t="str">
        <f t="shared" si="995"/>
        <v/>
      </c>
      <c r="AL1333" s="700"/>
      <c r="AM1333" s="505" t="str">
        <f t="shared" si="996"/>
        <v/>
      </c>
      <c r="AN1333" s="506"/>
      <c r="AO1333" s="507"/>
      <c r="AP1333" s="507"/>
      <c r="AQ1333" s="507"/>
      <c r="AR1333" s="507"/>
      <c r="AS1333" s="507"/>
      <c r="AT1333" s="507"/>
      <c r="AU1333" s="507"/>
      <c r="AV1333" s="225"/>
      <c r="AW1333" s="508"/>
      <c r="AX1333" s="225"/>
      <c r="AY1333" s="225"/>
      <c r="AZ1333" s="225"/>
      <c r="BA1333" s="225"/>
      <c r="BB1333" s="225"/>
      <c r="BC1333" s="56"/>
      <c r="BD1333" s="56"/>
      <c r="BE1333" s="56"/>
      <c r="BF1333" s="107" t="str">
        <f t="shared" si="997"/>
        <v>https://www.google.com/search?tbm=isch&amp;q=7%20G4</v>
      </c>
      <c r="BG1333" s="107" t="str">
        <f t="shared" si="998"/>
        <v>F</v>
      </c>
      <c r="BH1333" s="254"/>
      <c r="BI1333" s="254"/>
    </row>
    <row r="1334" spans="1:61" customFormat="1" ht="17.25" thickBot="1" x14ac:dyDescent="0.3">
      <c r="A1334" s="524" t="s">
        <v>4091</v>
      </c>
      <c r="B1334" s="245"/>
      <c r="C1334" s="677"/>
      <c r="D1334" s="499"/>
      <c r="E1334" s="499"/>
      <c r="F1334" s="500"/>
      <c r="G1334" s="501"/>
      <c r="H1334" s="502"/>
      <c r="I1334" s="246"/>
      <c r="J1334" s="247"/>
      <c r="K1334" s="503"/>
      <c r="L1334" s="544"/>
      <c r="M1334" s="544"/>
      <c r="N1334" s="500"/>
      <c r="O1334" s="500"/>
      <c r="P1334" s="500"/>
      <c r="Q1334" s="500"/>
      <c r="R1334" s="500"/>
      <c r="S1334" s="278"/>
      <c r="T1334" s="508">
        <f t="shared" si="986"/>
        <v>0</v>
      </c>
      <c r="U1334" s="225" t="str">
        <f>IF(NOT(ISNUMBER(G1334)), "", VLOOKUP(A1334,'Discount Lookup'!D:E,2,FALSE)*G1334)</f>
        <v/>
      </c>
      <c r="V1334" s="225" t="str">
        <f>IF(NOT(ISNUMBER(G1334)), "", VLOOKUP(A1334,'Discount Lookup'!G:H,2,FALSE)*G1334)</f>
        <v/>
      </c>
      <c r="W1334" s="508">
        <f t="shared" si="987"/>
        <v>0</v>
      </c>
      <c r="X1334" s="508">
        <f t="shared" si="988"/>
        <v>0</v>
      </c>
      <c r="Y1334" s="509" t="b">
        <f t="shared" si="989"/>
        <v>0</v>
      </c>
      <c r="Z1334" s="510">
        <f t="shared" si="990"/>
        <v>0</v>
      </c>
      <c r="AA1334" s="511"/>
      <c r="AB1334" s="511" t="str">
        <f t="shared" si="991"/>
        <v/>
      </c>
      <c r="AC1334" s="698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698"/>
      <c r="AE1334" s="631" t="str">
        <f t="shared" si="992"/>
        <v/>
      </c>
      <c r="AF1334" s="699" t="str">
        <f t="shared" si="993"/>
        <v/>
      </c>
      <c r="AG1334" s="699"/>
      <c r="AH1334" s="699"/>
      <c r="AI1334" s="512">
        <f>IF(H1334="credit",0,IF(AE1334="free",0,IF(AE1334="me",0,IF(G1334&gt;0,(VLOOKUP(A1334,'Discount Lookup'!J:K,2)*G1334),0))))</f>
        <v>0</v>
      </c>
      <c r="AJ1334" s="513" t="str">
        <f t="shared" ca="1" si="994"/>
        <v/>
      </c>
      <c r="AK1334" s="700" t="str">
        <f t="shared" si="995"/>
        <v/>
      </c>
      <c r="AL1334" s="700"/>
      <c r="AM1334" s="505" t="str">
        <f t="shared" si="996"/>
        <v/>
      </c>
      <c r="AN1334" s="506"/>
      <c r="AO1334" s="507"/>
      <c r="AP1334" s="507"/>
      <c r="AQ1334" s="507"/>
      <c r="AR1334" s="507"/>
      <c r="AS1334" s="507"/>
      <c r="AT1334" s="507"/>
      <c r="AU1334" s="507"/>
      <c r="AV1334" s="225"/>
      <c r="AW1334" s="508"/>
      <c r="AX1334" s="225"/>
      <c r="AY1334" s="225"/>
      <c r="AZ1334" s="225"/>
      <c r="BA1334" s="225"/>
      <c r="BB1334" s="225"/>
      <c r="BC1334" s="56"/>
      <c r="BD1334" s="56"/>
      <c r="BE1334" s="56"/>
      <c r="BF1334" s="107" t="str">
        <f t="shared" si="997"/>
        <v>https://www.google.com/search?tbm=isch&amp;q=Fire%20Light%20has%20Green%20foliage.%20All%20%22Hardy%22%20Hydrangea%20have%20cone-shaped%20flowers%20on%20new%20wood.%20Flowers%20change%20color%20with%20age.%20Extremely%20cold-hardy%20</v>
      </c>
      <c r="BG1334" s="107" t="str">
        <f t="shared" si="998"/>
        <v>F</v>
      </c>
      <c r="BH1334" s="254"/>
      <c r="BI1334" s="254"/>
    </row>
    <row r="1335" spans="1:61" customFormat="1" ht="18" x14ac:dyDescent="0.25">
      <c r="A1335" s="523" t="s">
        <v>5595</v>
      </c>
      <c r="B1335" s="235"/>
      <c r="C1335" s="676"/>
      <c r="D1335" s="255" t="s">
        <v>2137</v>
      </c>
      <c r="E1335" s="236"/>
      <c r="F1335" s="236"/>
      <c r="G1335" s="236"/>
      <c r="H1335" s="582" t="s">
        <v>720</v>
      </c>
      <c r="I1335" s="498" t="s">
        <v>2338</v>
      </c>
      <c r="J1335" s="237"/>
      <c r="K1335" s="237"/>
      <c r="L1335" s="274"/>
      <c r="M1335" s="668" t="s">
        <v>4975</v>
      </c>
      <c r="N1335" s="681" t="str">
        <f>IF(AND(ISTEXT($A1335), ISERROR($A1335+0)), HYPERLINK($BF1335, "Images"), "")</f>
        <v>Images</v>
      </c>
      <c r="O1335" s="663" t="s">
        <v>4969</v>
      </c>
      <c r="P1335" s="253"/>
      <c r="Q1335" s="238"/>
      <c r="R1335" s="239"/>
      <c r="S1335" s="275" t="s">
        <v>305</v>
      </c>
      <c r="T1335" s="508">
        <f t="shared" si="986"/>
        <v>0</v>
      </c>
      <c r="U1335" s="225" t="str">
        <f>IF(NOT(ISNUMBER(G1335)), "", VLOOKUP(A1335,'Discount Lookup'!D:E,2,FALSE)*G1335)</f>
        <v/>
      </c>
      <c r="V1335" s="225" t="str">
        <f>IF(NOT(ISNUMBER(G1335)), "", VLOOKUP(A1335,'Discount Lookup'!G:H,2,FALSE)*G1335)</f>
        <v/>
      </c>
      <c r="W1335" s="508">
        <f t="shared" si="987"/>
        <v>0</v>
      </c>
      <c r="X1335" s="508" t="str">
        <f t="shared" si="988"/>
        <v>Bright Yellow trumpet</v>
      </c>
      <c r="Y1335" s="509" t="b">
        <f t="shared" si="989"/>
        <v>0</v>
      </c>
      <c r="Z1335" s="510">
        <f t="shared" si="990"/>
        <v>0</v>
      </c>
      <c r="AA1335" s="511"/>
      <c r="AB1335" s="511" t="str">
        <f t="shared" si="991"/>
        <v/>
      </c>
      <c r="AC1335" s="698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698"/>
      <c r="AE1335" s="631" t="str">
        <f t="shared" si="992"/>
        <v/>
      </c>
      <c r="AF1335" s="699" t="str">
        <f t="shared" si="993"/>
        <v/>
      </c>
      <c r="AG1335" s="699"/>
      <c r="AH1335" s="699"/>
      <c r="AI1335" s="512">
        <f>IF(H1335="credit",0,IF(AE1335="free",0,IF(AE1335="me",0,IF(G1335&gt;0,(VLOOKUP(A1335,'Discount Lookup'!J:K,2)*G1335),0))))</f>
        <v>0</v>
      </c>
      <c r="AJ1335" s="513" t="str">
        <f t="shared" ca="1" si="994"/>
        <v/>
      </c>
      <c r="AK1335" s="700" t="str">
        <f t="shared" si="995"/>
        <v/>
      </c>
      <c r="AL1335" s="700"/>
      <c r="AM1335" s="505" t="str">
        <f t="shared" si="996"/>
        <v/>
      </c>
      <c r="AN1335" s="506"/>
      <c r="AO1335" s="507"/>
      <c r="AP1335" s="507"/>
      <c r="AQ1335" s="507"/>
      <c r="AR1335" s="507"/>
      <c r="AS1335" s="507"/>
      <c r="AT1335" s="507"/>
      <c r="AU1335" s="507"/>
      <c r="AV1335" s="225"/>
      <c r="AW1335" s="508"/>
      <c r="AX1335" s="225"/>
      <c r="AY1335" s="225"/>
      <c r="AZ1335" s="225"/>
      <c r="BA1335" s="225"/>
      <c r="BB1335" s="225"/>
      <c r="BC1335" s="56"/>
      <c r="BD1335" s="56"/>
      <c r="BE1335" s="56"/>
      <c r="BF1335" s="107" t="str">
        <f t="shared" si="997"/>
        <v>https://www.google.com/search?tbm=isch&amp;q=Firefly%C2%AE%20Bush%20Honeysuckle%20%28BE%C2%AE%29%20Diervilla%20sessilifolia%20%27Firefly%27%20PP%2333978</v>
      </c>
      <c r="BG1335" s="107" t="str">
        <f t="shared" si="998"/>
        <v>F</v>
      </c>
      <c r="BH1335" s="254"/>
      <c r="BI1335" s="254"/>
    </row>
    <row r="1336" spans="1:61" customFormat="1" ht="15.75" x14ac:dyDescent="0.25">
      <c r="A1336" s="276">
        <v>3</v>
      </c>
      <c r="B1336" s="240" t="s">
        <v>291</v>
      </c>
      <c r="C1336" s="241" t="s">
        <v>4759</v>
      </c>
      <c r="D1336" s="242" t="s">
        <v>312</v>
      </c>
      <c r="E1336" s="243">
        <v>30.95</v>
      </c>
      <c r="F1336" s="517" t="s">
        <v>293</v>
      </c>
      <c r="G1336" s="232">
        <v>0</v>
      </c>
      <c r="H1336" s="661" t="str">
        <f>IF(G1336=0,"",IF(F1336="Buy",IF(G1336=1,"plant","plants"),IF(F1336&gt;0.01,"warranty","Error")))</f>
        <v/>
      </c>
      <c r="I1336" s="244">
        <f>IF(H1336="free",0,IF(H1336="credit",((E1336*(F1336))*G1336*-1),IF(F1336="Buy",(E1336*G1336),((E1336*(1-F1336))*G1336))))</f>
        <v>0</v>
      </c>
      <c r="J1336" s="244">
        <f>IF(H1336="warranty",0,(I1336*(_xlfn.SINGLE(SalesTaxPercentage))))</f>
        <v>0</v>
      </c>
      <c r="K1336" s="696">
        <f t="shared" ref="K1336" si="1023">I1336+J1336</f>
        <v>0</v>
      </c>
      <c r="L1336" s="696"/>
      <c r="M1336" s="659" t="str">
        <f>IF(AND(G1336&gt;0,E1336=0),"WARNING - no PRICE inserted",IF(H1336="free"," FREE ~ no charge this plant",IF(H1336="credit",CONCATENATE(" -$",ROUND(K1336*(1-T2GDiscount)*-1,2)," CREDIT after discount"),IF(T2GDiscount=0,"",IF(G1336=0,"",IF(F1336="Buy",CONCATENATE(" $",ROUND(K1336*(1-T2GDiscount),2)," with ",(T2GDiscount*100),"% discount"),CONCATENATE(" $",ROUND(K1336*(1-T2GDiscount),2)," with ",((T2GDiscount*100+F1336*100)-(T2GDiscount*100*F1336)),IF(F1336&gt;0,"% discounts",IF(NoWarrantyDiscount&gt;0,"% discounts","% discount")))))))))</f>
        <v/>
      </c>
      <c r="N1336" s="660"/>
      <c r="O1336" s="233"/>
      <c r="P1336" s="233"/>
      <c r="Q1336" s="233"/>
      <c r="R1336" s="233"/>
      <c r="S1336" s="233"/>
      <c r="T1336" s="508">
        <f t="shared" si="986"/>
        <v>0</v>
      </c>
      <c r="U1336" s="225">
        <f>IF(NOT(ISNUMBER(G1336)), "", VLOOKUP(A1336,'Discount Lookup'!D:E,2,FALSE)*G1336)</f>
        <v>0</v>
      </c>
      <c r="V1336" s="225">
        <f>IF(NOT(ISNUMBER(G1336)), "", VLOOKUP(A1336,'Discount Lookup'!G:H,2,FALSE)*G1336)</f>
        <v>0</v>
      </c>
      <c r="W1336" s="508">
        <f t="shared" si="987"/>
        <v>0</v>
      </c>
      <c r="X1336" s="508">
        <f t="shared" si="988"/>
        <v>0</v>
      </c>
      <c r="Y1336" s="509" t="b">
        <f t="shared" si="989"/>
        <v>0</v>
      </c>
      <c r="Z1336" s="510">
        <f t="shared" si="990"/>
        <v>0</v>
      </c>
      <c r="AA1336" s="511"/>
      <c r="AB1336" s="511" t="str">
        <f t="shared" si="991"/>
        <v/>
      </c>
      <c r="AC1336" s="698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698"/>
      <c r="AE1336" s="631" t="str">
        <f t="shared" si="992"/>
        <v/>
      </c>
      <c r="AF1336" s="699" t="str">
        <f t="shared" si="993"/>
        <v/>
      </c>
      <c r="AG1336" s="699"/>
      <c r="AH1336" s="699"/>
      <c r="AI1336" s="512">
        <f>IF(H1336="credit",0,IF(AE1336="free",0,IF(AE1336="me",0,IF(G1336&gt;0,(VLOOKUP(A1336,'Discount Lookup'!J:K,2)*G1336),0))))</f>
        <v>0</v>
      </c>
      <c r="AJ1336" s="513" t="str">
        <f t="shared" ca="1" si="994"/>
        <v/>
      </c>
      <c r="AK1336" s="700" t="str">
        <f t="shared" si="995"/>
        <v/>
      </c>
      <c r="AL1336" s="700"/>
      <c r="AM1336" s="505" t="str">
        <f t="shared" si="996"/>
        <v/>
      </c>
      <c r="AN1336" s="506"/>
      <c r="AO1336" s="507"/>
      <c r="AP1336" s="507"/>
      <c r="AQ1336" s="507"/>
      <c r="AR1336" s="507"/>
      <c r="AS1336" s="507"/>
      <c r="AT1336" s="507"/>
      <c r="AU1336" s="507"/>
      <c r="AV1336" s="225"/>
      <c r="AW1336" s="508"/>
      <c r="AX1336" s="225"/>
      <c r="AY1336" s="225"/>
      <c r="AZ1336" s="225"/>
      <c r="BA1336" s="225"/>
      <c r="BB1336" s="225"/>
      <c r="BC1336" s="56"/>
      <c r="BD1336" s="56"/>
      <c r="BE1336" s="56"/>
      <c r="BF1336" s="107" t="str">
        <f t="shared" si="997"/>
        <v>https://www.google.com/search?tbm=isch&amp;q=3%20G2</v>
      </c>
      <c r="BG1336" s="107" t="str">
        <f t="shared" si="998"/>
        <v>F</v>
      </c>
      <c r="BH1336" s="254"/>
      <c r="BI1336" s="254"/>
    </row>
    <row r="1337" spans="1:61" customFormat="1" ht="17.25" thickBot="1" x14ac:dyDescent="0.3">
      <c r="A1337" s="673" t="s">
        <v>5113</v>
      </c>
      <c r="B1337" s="245"/>
      <c r="C1337" s="677"/>
      <c r="D1337" s="499"/>
      <c r="E1337" s="499"/>
      <c r="F1337" s="500"/>
      <c r="G1337" s="501"/>
      <c r="H1337" s="502"/>
      <c r="I1337" s="246"/>
      <c r="J1337" s="247"/>
      <c r="K1337" s="503"/>
      <c r="L1337" s="544"/>
      <c r="M1337" s="544"/>
      <c r="N1337" s="500"/>
      <c r="O1337" s="500"/>
      <c r="P1337" s="500"/>
      <c r="Q1337" s="500"/>
      <c r="R1337" s="500"/>
      <c r="S1337" s="669" t="s">
        <v>4996</v>
      </c>
      <c r="T1337" s="508">
        <f t="shared" si="986"/>
        <v>0</v>
      </c>
      <c r="U1337" s="225" t="str">
        <f>IF(NOT(ISNUMBER(G1337)), "", VLOOKUP(A1337,'Discount Lookup'!D:E,2,FALSE)*G1337)</f>
        <v/>
      </c>
      <c r="V1337" s="225" t="str">
        <f>IF(NOT(ISNUMBER(G1337)), "", VLOOKUP(A1337,'Discount Lookup'!G:H,2,FALSE)*G1337)</f>
        <v/>
      </c>
      <c r="W1337" s="508">
        <f t="shared" si="987"/>
        <v>0</v>
      </c>
      <c r="X1337" s="508">
        <f t="shared" si="988"/>
        <v>0</v>
      </c>
      <c r="Y1337" s="509" t="b">
        <f t="shared" si="989"/>
        <v>0</v>
      </c>
      <c r="Z1337" s="510">
        <f t="shared" si="990"/>
        <v>0</v>
      </c>
      <c r="AA1337" s="511"/>
      <c r="AB1337" s="511" t="str">
        <f t="shared" si="991"/>
        <v/>
      </c>
      <c r="AC1337" s="698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698"/>
      <c r="AE1337" s="631" t="str">
        <f t="shared" si="992"/>
        <v/>
      </c>
      <c r="AF1337" s="699" t="str">
        <f t="shared" si="993"/>
        <v/>
      </c>
      <c r="AG1337" s="699"/>
      <c r="AH1337" s="699"/>
      <c r="AI1337" s="512">
        <f>IF(H1337="credit",0,IF(AE1337="free",0,IF(AE1337="me",0,IF(G1337&gt;0,(VLOOKUP(A1337,'Discount Lookup'!J:K,2)*G1337),0))))</f>
        <v>0</v>
      </c>
      <c r="AJ1337" s="513" t="str">
        <f t="shared" ca="1" si="994"/>
        <v/>
      </c>
      <c r="AK1337" s="700" t="str">
        <f t="shared" si="995"/>
        <v/>
      </c>
      <c r="AL1337" s="700"/>
      <c r="AM1337" s="505" t="str">
        <f t="shared" si="996"/>
        <v/>
      </c>
      <c r="AN1337" s="506"/>
      <c r="AO1337" s="507"/>
      <c r="AP1337" s="507"/>
      <c r="AQ1337" s="507"/>
      <c r="AR1337" s="507"/>
      <c r="AS1337" s="507"/>
      <c r="AT1337" s="507"/>
      <c r="AU1337" s="507"/>
      <c r="AV1337" s="225"/>
      <c r="AW1337" s="508"/>
      <c r="AX1337" s="225"/>
      <c r="AY1337" s="225"/>
      <c r="AZ1337" s="225"/>
      <c r="BA1337" s="225"/>
      <c r="BB1337" s="225"/>
      <c r="BC1337" s="56"/>
      <c r="BD1337" s="56"/>
      <c r="BE1337" s="56"/>
      <c r="BF1337" s="107" t="str">
        <f t="shared" si="997"/>
        <v>https://www.google.com/search?tbm=isch&amp;q=moist%20sites%F0%9F%92%A7GOOD%2C%20Firefly%20named%20for%20contrast%20of%20bloom%20and%20foliage%2C%20from%20Reddish-Purple%20emergence%20to%20Green%20to%20Red-Orange%20fall%20</v>
      </c>
      <c r="BG1337" s="107" t="str">
        <f t="shared" si="998"/>
        <v>m</v>
      </c>
      <c r="BH1337" s="254"/>
      <c r="BI1337" s="254"/>
    </row>
    <row r="1338" spans="1:61" customFormat="1" ht="18" x14ac:dyDescent="0.25">
      <c r="A1338" s="523" t="s">
        <v>890</v>
      </c>
      <c r="B1338" s="235"/>
      <c r="C1338" s="676"/>
      <c r="D1338" s="255" t="s">
        <v>891</v>
      </c>
      <c r="E1338" s="236"/>
      <c r="F1338" s="236"/>
      <c r="G1338" s="236"/>
      <c r="H1338" s="582" t="s">
        <v>355</v>
      </c>
      <c r="I1338" s="498" t="s">
        <v>2237</v>
      </c>
      <c r="J1338" s="237"/>
      <c r="K1338" s="237"/>
      <c r="L1338" s="274"/>
      <c r="M1338" s="668" t="s">
        <v>4975</v>
      </c>
      <c r="N1338" s="681" t="str">
        <f>IF(AND(ISTEXT($A1338), ISERROR($A1338+0)), HYPERLINK($BF1338, "Images"), "")</f>
        <v>Images</v>
      </c>
      <c r="O1338" s="663" t="s">
        <v>4967</v>
      </c>
      <c r="P1338" s="253"/>
      <c r="Q1338" s="238"/>
      <c r="R1338" s="239"/>
      <c r="S1338" s="275"/>
      <c r="T1338" s="508">
        <f t="shared" si="986"/>
        <v>0</v>
      </c>
      <c r="U1338" s="225" t="str">
        <f>IF(NOT(ISNUMBER(G1338)), "", VLOOKUP(A1338,'Discount Lookup'!D:E,2,FALSE)*G1338)</f>
        <v/>
      </c>
      <c r="V1338" s="225" t="str">
        <f>IF(NOT(ISNUMBER(G1338)), "", VLOOKUP(A1338,'Discount Lookup'!G:H,2,FALSE)*G1338)</f>
        <v/>
      </c>
      <c r="W1338" s="508">
        <f t="shared" si="987"/>
        <v>0</v>
      </c>
      <c r="X1338" s="508" t="str">
        <f t="shared" si="988"/>
        <v>Burgundy-Red foliage</v>
      </c>
      <c r="Y1338" s="509" t="b">
        <f t="shared" si="989"/>
        <v>0</v>
      </c>
      <c r="Z1338" s="510">
        <f t="shared" si="990"/>
        <v>0</v>
      </c>
      <c r="AA1338" s="511"/>
      <c r="AB1338" s="511" t="str">
        <f t="shared" si="991"/>
        <v/>
      </c>
      <c r="AC1338" s="698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698"/>
      <c r="AE1338" s="631" t="str">
        <f t="shared" si="992"/>
        <v/>
      </c>
      <c r="AF1338" s="699" t="str">
        <f t="shared" si="993"/>
        <v/>
      </c>
      <c r="AG1338" s="699"/>
      <c r="AH1338" s="699"/>
      <c r="AI1338" s="512">
        <f>IF(H1338="credit",0,IF(AE1338="free",0,IF(AE1338="me",0,IF(G1338&gt;0,(VLOOKUP(A1338,'Discount Lookup'!J:K,2)*G1338),0))))</f>
        <v>0</v>
      </c>
      <c r="AJ1338" s="513" t="str">
        <f t="shared" ca="1" si="994"/>
        <v/>
      </c>
      <c r="AK1338" s="700" t="str">
        <f t="shared" si="995"/>
        <v/>
      </c>
      <c r="AL1338" s="700"/>
      <c r="AM1338" s="505" t="str">
        <f t="shared" si="996"/>
        <v/>
      </c>
      <c r="AN1338" s="506"/>
      <c r="AO1338" s="507"/>
      <c r="AP1338" s="507"/>
      <c r="AQ1338" s="507"/>
      <c r="AR1338" s="507"/>
      <c r="AS1338" s="507"/>
      <c r="AT1338" s="507"/>
      <c r="AU1338" s="507"/>
      <c r="AV1338" s="225"/>
      <c r="AW1338" s="508"/>
      <c r="AX1338" s="225"/>
      <c r="AY1338" s="225"/>
      <c r="AZ1338" s="225"/>
      <c r="BA1338" s="225"/>
      <c r="BB1338" s="225"/>
      <c r="BC1338" s="56"/>
      <c r="BD1338" s="56"/>
      <c r="BE1338" s="56"/>
      <c r="BF1338" s="107" t="str">
        <f t="shared" si="997"/>
        <v>https://www.google.com/search?tbm=isch&amp;q=Fireglow%20Japanese%20Maple%20Acer%20palmatum%20%27Fireglow%27</v>
      </c>
      <c r="BG1338" s="107" t="str">
        <f t="shared" si="998"/>
        <v>F</v>
      </c>
      <c r="BH1338" s="254"/>
      <c r="BI1338" s="254"/>
    </row>
    <row r="1339" spans="1:61" customFormat="1" ht="15.75" x14ac:dyDescent="0.25">
      <c r="A1339" s="276">
        <v>7</v>
      </c>
      <c r="B1339" s="240" t="s">
        <v>291</v>
      </c>
      <c r="C1339" s="241" t="s">
        <v>3476</v>
      </c>
      <c r="D1339" s="242" t="s">
        <v>292</v>
      </c>
      <c r="E1339" s="243">
        <v>210.95</v>
      </c>
      <c r="F1339" s="517" t="s">
        <v>293</v>
      </c>
      <c r="G1339" s="232">
        <v>0</v>
      </c>
      <c r="H1339" s="661" t="str">
        <f>IF(G1339=0,"",IF(F1339="Buy",IF(G1339=1,"plant","plants"),IF(F1339&gt;0.01,"warranty","Error")))</f>
        <v/>
      </c>
      <c r="I1339" s="244">
        <f>IF(H1339="free",0,IF(H1339="credit",((E1339*(F1339))*G1339*-1),IF(F1339="Buy",(E1339*G1339),((E1339*(1-F1339))*G1339))))</f>
        <v>0</v>
      </c>
      <c r="J1339" s="244">
        <f>IF(H1339="warranty",0,(I1339*(_xlfn.SINGLE(SalesTaxPercentage))))</f>
        <v>0</v>
      </c>
      <c r="K1339" s="696">
        <f t="shared" ref="K1339" si="1024">I1339+J1339</f>
        <v>0</v>
      </c>
      <c r="L1339" s="696"/>
      <c r="M1339" s="659" t="str">
        <f>IF(AND(G1339&gt;0,E1339=0),"WARNING - no PRICE inserted",IF(H1339="free"," FREE ~ no charge this plant",IF(H1339="credit",CONCATENATE(" -$",ROUND(K1339*(1-T2GDiscount)*-1,2)," CREDIT after discount"),IF(T2GDiscount=0,"",IF(G1339=0,"",IF(F1339="Buy",CONCATENATE(" $",ROUND(K1339*(1-T2GDiscount),2)," with ",(T2GDiscount*100),"% discount"),CONCATENATE(" $",ROUND(K1339*(1-T2GDiscount),2)," with ",((T2GDiscount*100+F1339*100)-(T2GDiscount*100*F1339)),IF(F1339&gt;0,"% discounts",IF(NoWarrantyDiscount&gt;0,"% discounts","% discount")))))))))</f>
        <v/>
      </c>
      <c r="N1339" s="660"/>
      <c r="O1339" s="233"/>
      <c r="P1339" s="233"/>
      <c r="Q1339" s="233"/>
      <c r="R1339" s="233"/>
      <c r="S1339" s="233"/>
      <c r="T1339" s="508">
        <f t="shared" si="986"/>
        <v>0</v>
      </c>
      <c r="U1339" s="225">
        <f>IF(NOT(ISNUMBER(G1339)), "", VLOOKUP(A1339,'Discount Lookup'!D:E,2,FALSE)*G1339)</f>
        <v>0</v>
      </c>
      <c r="V1339" s="225">
        <f>IF(NOT(ISNUMBER(G1339)), "", VLOOKUP(A1339,'Discount Lookup'!G:H,2,FALSE)*G1339)</f>
        <v>0</v>
      </c>
      <c r="W1339" s="508">
        <f t="shared" si="987"/>
        <v>0</v>
      </c>
      <c r="X1339" s="508">
        <f t="shared" si="988"/>
        <v>0</v>
      </c>
      <c r="Y1339" s="509" t="b">
        <f t="shared" si="989"/>
        <v>0</v>
      </c>
      <c r="Z1339" s="510">
        <f t="shared" si="990"/>
        <v>0</v>
      </c>
      <c r="AA1339" s="511"/>
      <c r="AB1339" s="511" t="str">
        <f t="shared" si="991"/>
        <v/>
      </c>
      <c r="AC1339" s="698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698"/>
      <c r="AE1339" s="631" t="str">
        <f t="shared" si="992"/>
        <v/>
      </c>
      <c r="AF1339" s="699" t="str">
        <f t="shared" si="993"/>
        <v/>
      </c>
      <c r="AG1339" s="699"/>
      <c r="AH1339" s="699"/>
      <c r="AI1339" s="512">
        <f>IF(H1339="credit",0,IF(AE1339="free",0,IF(AE1339="me",0,IF(G1339&gt;0,(VLOOKUP(A1339,'Discount Lookup'!J:K,2)*G1339),0))))</f>
        <v>0</v>
      </c>
      <c r="AJ1339" s="513" t="str">
        <f t="shared" ca="1" si="994"/>
        <v/>
      </c>
      <c r="AK1339" s="700" t="str">
        <f t="shared" si="995"/>
        <v/>
      </c>
      <c r="AL1339" s="700"/>
      <c r="AM1339" s="505" t="str">
        <f t="shared" si="996"/>
        <v/>
      </c>
      <c r="AN1339" s="506"/>
      <c r="AO1339" s="507"/>
      <c r="AP1339" s="507"/>
      <c r="AQ1339" s="507"/>
      <c r="AR1339" s="507"/>
      <c r="AS1339" s="507"/>
      <c r="AT1339" s="507"/>
      <c r="AU1339" s="507"/>
      <c r="AV1339" s="225"/>
      <c r="AW1339" s="508"/>
      <c r="AX1339" s="225"/>
      <c r="AY1339" s="225"/>
      <c r="AZ1339" s="225"/>
      <c r="BA1339" s="225"/>
      <c r="BB1339" s="225"/>
      <c r="BC1339" s="56"/>
      <c r="BD1339" s="56"/>
      <c r="BE1339" s="56"/>
      <c r="BF1339" s="107" t="str">
        <f t="shared" si="997"/>
        <v>https://www.google.com/search?tbm=isch&amp;q=7%20G4</v>
      </c>
      <c r="BG1339" s="107" t="str">
        <f t="shared" si="998"/>
        <v>F</v>
      </c>
      <c r="BH1339" s="254"/>
      <c r="BI1339" s="254"/>
    </row>
    <row r="1340" spans="1:61" customFormat="1" ht="15.75" x14ac:dyDescent="0.25">
      <c r="A1340" s="276">
        <v>10</v>
      </c>
      <c r="B1340" s="240" t="s">
        <v>291</v>
      </c>
      <c r="C1340" s="241" t="s">
        <v>3477</v>
      </c>
      <c r="D1340" s="242" t="s">
        <v>292</v>
      </c>
      <c r="E1340" s="243">
        <v>309.95</v>
      </c>
      <c r="F1340" s="517" t="s">
        <v>293</v>
      </c>
      <c r="G1340" s="232">
        <v>0</v>
      </c>
      <c r="H1340" s="661" t="str">
        <f>IF(G1340=0,"",IF(F1340="Buy",IF(G1340=1,"plant","plants"),IF(F1340&gt;0.01,"warranty","Error")))</f>
        <v/>
      </c>
      <c r="I1340" s="244">
        <f>IF(H1340="free",0,IF(H1340="credit",((E1340*(F1340))*G1340*-1),IF(F1340="Buy",(E1340*G1340),((E1340*(1-F1340))*G1340))))</f>
        <v>0</v>
      </c>
      <c r="J1340" s="244">
        <f>IF(H1340="warranty",0,(I1340*(_xlfn.SINGLE(SalesTaxPercentage))))</f>
        <v>0</v>
      </c>
      <c r="K1340" s="696">
        <f t="shared" ref="K1340" si="1025">I1340+J1340</f>
        <v>0</v>
      </c>
      <c r="L1340" s="696"/>
      <c r="M1340" s="659" t="str">
        <f>IF(AND(G1340&gt;0,E1340=0),"WARNING - no PRICE inserted",IF(H1340="free"," FREE ~ no charge this plant",IF(H1340="credit",CONCATENATE(" -$",ROUND(K1340*(1-T2GDiscount)*-1,2)," CREDIT after discount"),IF(T2GDiscount=0,"",IF(G1340=0,"",IF(F1340="Buy",CONCATENATE(" $",ROUND(K1340*(1-T2GDiscount),2)," with ",(T2GDiscount*100),"% discount"),CONCATENATE(" $",ROUND(K1340*(1-T2GDiscount),2)," with ",((T2GDiscount*100+F1340*100)-(T2GDiscount*100*F1340)),IF(F1340&gt;0,"% discounts",IF(NoWarrantyDiscount&gt;0,"% discounts","% discount")))))))))</f>
        <v/>
      </c>
      <c r="N1340" s="660"/>
      <c r="O1340" s="233"/>
      <c r="P1340" s="233"/>
      <c r="Q1340" s="233"/>
      <c r="R1340" s="233"/>
      <c r="S1340" s="233"/>
      <c r="T1340" s="508">
        <f t="shared" si="986"/>
        <v>0</v>
      </c>
      <c r="U1340" s="225">
        <f>IF(NOT(ISNUMBER(G1340)), "", VLOOKUP(A1340,'Discount Lookup'!D:E,2,FALSE)*G1340)</f>
        <v>0</v>
      </c>
      <c r="V1340" s="225">
        <f>IF(NOT(ISNUMBER(G1340)), "", VLOOKUP(A1340,'Discount Lookup'!G:H,2,FALSE)*G1340)</f>
        <v>0</v>
      </c>
      <c r="W1340" s="508">
        <f t="shared" si="987"/>
        <v>0</v>
      </c>
      <c r="X1340" s="508">
        <f t="shared" si="988"/>
        <v>0</v>
      </c>
      <c r="Y1340" s="509" t="b">
        <f t="shared" si="989"/>
        <v>0</v>
      </c>
      <c r="Z1340" s="510">
        <f t="shared" si="990"/>
        <v>0</v>
      </c>
      <c r="AA1340" s="511"/>
      <c r="AB1340" s="511" t="str">
        <f t="shared" si="991"/>
        <v/>
      </c>
      <c r="AC1340" s="698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698"/>
      <c r="AE1340" s="631" t="str">
        <f t="shared" si="992"/>
        <v/>
      </c>
      <c r="AF1340" s="699" t="str">
        <f t="shared" si="993"/>
        <v/>
      </c>
      <c r="AG1340" s="699"/>
      <c r="AH1340" s="699"/>
      <c r="AI1340" s="512">
        <f>IF(H1340="credit",0,IF(AE1340="free",0,IF(AE1340="me",0,IF(G1340&gt;0,(VLOOKUP(A1340,'Discount Lookup'!J:K,2)*G1340),0))))</f>
        <v>0</v>
      </c>
      <c r="AJ1340" s="513" t="str">
        <f t="shared" ca="1" si="994"/>
        <v/>
      </c>
      <c r="AK1340" s="700" t="str">
        <f t="shared" si="995"/>
        <v/>
      </c>
      <c r="AL1340" s="700"/>
      <c r="AM1340" s="505" t="str">
        <f t="shared" si="996"/>
        <v/>
      </c>
      <c r="AN1340" s="506"/>
      <c r="AO1340" s="507"/>
      <c r="AP1340" s="507"/>
      <c r="AQ1340" s="507"/>
      <c r="AR1340" s="507"/>
      <c r="AS1340" s="507"/>
      <c r="AT1340" s="507"/>
      <c r="AU1340" s="507"/>
      <c r="AV1340" s="225"/>
      <c r="AW1340" s="508"/>
      <c r="AX1340" s="225"/>
      <c r="AY1340" s="225"/>
      <c r="AZ1340" s="225"/>
      <c r="BA1340" s="225"/>
      <c r="BB1340" s="225"/>
      <c r="BC1340" s="56"/>
      <c r="BD1340" s="56"/>
      <c r="BE1340" s="56"/>
      <c r="BF1340" s="107" t="str">
        <f t="shared" si="997"/>
        <v>https://www.google.com/search?tbm=isch&amp;q=10%20G4</v>
      </c>
      <c r="BG1340" s="107" t="str">
        <f t="shared" si="998"/>
        <v>F</v>
      </c>
      <c r="BH1340" s="254"/>
      <c r="BI1340" s="254"/>
    </row>
    <row r="1341" spans="1:61" customFormat="1" ht="15.75" x14ac:dyDescent="0.25">
      <c r="A1341" s="276">
        <v>15</v>
      </c>
      <c r="B1341" s="240" t="s">
        <v>291</v>
      </c>
      <c r="C1341" s="241" t="s">
        <v>3478</v>
      </c>
      <c r="D1341" s="242" t="s">
        <v>292</v>
      </c>
      <c r="E1341" s="243">
        <v>390.95</v>
      </c>
      <c r="F1341" s="517" t="s">
        <v>293</v>
      </c>
      <c r="G1341" s="232">
        <v>0</v>
      </c>
      <c r="H1341" s="661" t="str">
        <f>IF(G1341=0,"",IF(F1341="Buy",IF(G1341=1,"plant","plants"),IF(F1341&gt;0.01,"warranty","Error")))</f>
        <v/>
      </c>
      <c r="I1341" s="244">
        <f>IF(H1341="free",0,IF(H1341="credit",((E1341*(F1341))*G1341*-1),IF(F1341="Buy",(E1341*G1341),((E1341*(1-F1341))*G1341))))</f>
        <v>0</v>
      </c>
      <c r="J1341" s="244">
        <f>IF(H1341="warranty",0,(I1341*(_xlfn.SINGLE(SalesTaxPercentage))))</f>
        <v>0</v>
      </c>
      <c r="K1341" s="696">
        <f t="shared" ref="K1341" si="1026">I1341+J1341</f>
        <v>0</v>
      </c>
      <c r="L1341" s="696"/>
      <c r="M1341" s="659" t="str">
        <f>IF(AND(G1341&gt;0,E1341=0),"WARNING - no PRICE inserted",IF(H1341="free"," FREE ~ no charge this plant",IF(H1341="credit",CONCATENATE(" -$",ROUND(K1341*(1-T2GDiscount)*-1,2)," CREDIT after discount"),IF(T2GDiscount=0,"",IF(G1341=0,"",IF(F1341="Buy",CONCATENATE(" $",ROUND(K1341*(1-T2GDiscount),2)," with ",(T2GDiscount*100),"% discount"),CONCATENATE(" $",ROUND(K1341*(1-T2GDiscount),2)," with ",((T2GDiscount*100+F1341*100)-(T2GDiscount*100*F1341)),IF(F1341&gt;0,"% discounts",IF(NoWarrantyDiscount&gt;0,"% discounts","% discount")))))))))</f>
        <v/>
      </c>
      <c r="N1341" s="660"/>
      <c r="O1341" s="233"/>
      <c r="P1341" s="233"/>
      <c r="Q1341" s="233"/>
      <c r="R1341" s="233"/>
      <c r="S1341" s="233"/>
      <c r="T1341" s="508">
        <f t="shared" si="986"/>
        <v>0</v>
      </c>
      <c r="U1341" s="225">
        <f>IF(NOT(ISNUMBER(G1341)), "", VLOOKUP(A1341,'Discount Lookup'!D:E,2,FALSE)*G1341)</f>
        <v>0</v>
      </c>
      <c r="V1341" s="225">
        <f>IF(NOT(ISNUMBER(G1341)), "", VLOOKUP(A1341,'Discount Lookup'!G:H,2,FALSE)*G1341)</f>
        <v>0</v>
      </c>
      <c r="W1341" s="508">
        <f t="shared" si="987"/>
        <v>0</v>
      </c>
      <c r="X1341" s="508">
        <f t="shared" si="988"/>
        <v>0</v>
      </c>
      <c r="Y1341" s="509" t="b">
        <f t="shared" si="989"/>
        <v>0</v>
      </c>
      <c r="Z1341" s="510">
        <f t="shared" si="990"/>
        <v>0</v>
      </c>
      <c r="AA1341" s="511"/>
      <c r="AB1341" s="511" t="str">
        <f t="shared" si="991"/>
        <v/>
      </c>
      <c r="AC1341" s="698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698"/>
      <c r="AE1341" s="631" t="str">
        <f t="shared" si="992"/>
        <v/>
      </c>
      <c r="AF1341" s="699" t="str">
        <f t="shared" si="993"/>
        <v/>
      </c>
      <c r="AG1341" s="699"/>
      <c r="AH1341" s="699"/>
      <c r="AI1341" s="512">
        <f>IF(H1341="credit",0,IF(AE1341="free",0,IF(AE1341="me",0,IF(G1341&gt;0,(VLOOKUP(A1341,'Discount Lookup'!J:K,2)*G1341),0))))</f>
        <v>0</v>
      </c>
      <c r="AJ1341" s="513" t="str">
        <f t="shared" ca="1" si="994"/>
        <v/>
      </c>
      <c r="AK1341" s="700" t="str">
        <f t="shared" si="995"/>
        <v/>
      </c>
      <c r="AL1341" s="700"/>
      <c r="AM1341" s="505" t="str">
        <f t="shared" si="996"/>
        <v/>
      </c>
      <c r="AN1341" s="506"/>
      <c r="AO1341" s="507"/>
      <c r="AP1341" s="507"/>
      <c r="AQ1341" s="507"/>
      <c r="AR1341" s="507"/>
      <c r="AS1341" s="507"/>
      <c r="AT1341" s="507"/>
      <c r="AU1341" s="507"/>
      <c r="AV1341" s="225"/>
      <c r="AW1341" s="508"/>
      <c r="AX1341" s="225"/>
      <c r="AY1341" s="225"/>
      <c r="AZ1341" s="225"/>
      <c r="BA1341" s="225"/>
      <c r="BB1341" s="225"/>
      <c r="BC1341" s="56"/>
      <c r="BD1341" s="56"/>
      <c r="BE1341" s="56"/>
      <c r="BF1341" s="107" t="str">
        <f t="shared" si="997"/>
        <v>https://www.google.com/search?tbm=isch&amp;q=15%20G4</v>
      </c>
      <c r="BG1341" s="107" t="str">
        <f t="shared" si="998"/>
        <v>F</v>
      </c>
      <c r="BH1341" s="254"/>
      <c r="BI1341" s="254"/>
    </row>
    <row r="1342" spans="1:61" customFormat="1" ht="15.75" x14ac:dyDescent="0.25">
      <c r="A1342" s="276">
        <v>25</v>
      </c>
      <c r="B1342" s="240" t="s">
        <v>291</v>
      </c>
      <c r="C1342" s="241" t="s">
        <v>3479</v>
      </c>
      <c r="D1342" s="242" t="s">
        <v>292</v>
      </c>
      <c r="E1342" s="243">
        <v>812.95</v>
      </c>
      <c r="F1342" s="517" t="s">
        <v>293</v>
      </c>
      <c r="G1342" s="232">
        <v>0</v>
      </c>
      <c r="H1342" s="661" t="str">
        <f>IF(G1342=0,"",IF(F1342="Buy",IF(G1342=1,"plant","plants"),IF(F1342&gt;0.01,"warranty","Error")))</f>
        <v/>
      </c>
      <c r="I1342" s="244">
        <f>IF(H1342="free",0,IF(H1342="credit",((E1342*(F1342))*G1342*-1),IF(F1342="Buy",(E1342*G1342),((E1342*(1-F1342))*G1342))))</f>
        <v>0</v>
      </c>
      <c r="J1342" s="244">
        <f>IF(H1342="warranty",0,(I1342*(_xlfn.SINGLE(SalesTaxPercentage))))</f>
        <v>0</v>
      </c>
      <c r="K1342" s="696">
        <f t="shared" ref="K1342" si="1027">I1342+J1342</f>
        <v>0</v>
      </c>
      <c r="L1342" s="696"/>
      <c r="M1342" s="659" t="str">
        <f>IF(AND(G1342&gt;0,E1342=0),"WARNING - no PRICE inserted",IF(H1342="free"," FREE ~ no charge this plant",IF(H1342="credit",CONCATENATE(" -$",ROUND(K1342*(1-T2GDiscount)*-1,2)," CREDIT after discount"),IF(T2GDiscount=0,"",IF(G1342=0,"",IF(F1342="Buy",CONCATENATE(" $",ROUND(K1342*(1-T2GDiscount),2)," with ",(T2GDiscount*100),"% discount"),CONCATENATE(" $",ROUND(K1342*(1-T2GDiscount),2)," with ",((T2GDiscount*100+F1342*100)-(T2GDiscount*100*F1342)),IF(F1342&gt;0,"% discounts",IF(NoWarrantyDiscount&gt;0,"% discounts","% discount")))))))))</f>
        <v/>
      </c>
      <c r="N1342" s="660"/>
      <c r="O1342" s="233"/>
      <c r="P1342" s="233"/>
      <c r="Q1342" s="233"/>
      <c r="R1342" s="233"/>
      <c r="S1342" s="233"/>
      <c r="T1342" s="508">
        <f t="shared" si="986"/>
        <v>0</v>
      </c>
      <c r="U1342" s="225">
        <f>IF(NOT(ISNUMBER(G1342)), "", VLOOKUP(A1342,'Discount Lookup'!D:E,2,FALSE)*G1342)</f>
        <v>0</v>
      </c>
      <c r="V1342" s="225">
        <f>IF(NOT(ISNUMBER(G1342)), "", VLOOKUP(A1342,'Discount Lookup'!G:H,2,FALSE)*G1342)</f>
        <v>0</v>
      </c>
      <c r="W1342" s="508">
        <f t="shared" si="987"/>
        <v>0</v>
      </c>
      <c r="X1342" s="508">
        <f t="shared" si="988"/>
        <v>0</v>
      </c>
      <c r="Y1342" s="509" t="b">
        <f t="shared" si="989"/>
        <v>0</v>
      </c>
      <c r="Z1342" s="510">
        <f t="shared" si="990"/>
        <v>0</v>
      </c>
      <c r="AA1342" s="511"/>
      <c r="AB1342" s="511" t="str">
        <f t="shared" si="991"/>
        <v/>
      </c>
      <c r="AC1342" s="698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698"/>
      <c r="AE1342" s="631" t="str">
        <f t="shared" si="992"/>
        <v/>
      </c>
      <c r="AF1342" s="699" t="str">
        <f t="shared" si="993"/>
        <v/>
      </c>
      <c r="AG1342" s="699"/>
      <c r="AH1342" s="699"/>
      <c r="AI1342" s="512">
        <f>IF(H1342="credit",0,IF(AE1342="free",0,IF(AE1342="me",0,IF(G1342&gt;0,(VLOOKUP(A1342,'Discount Lookup'!J:K,2)*G1342),0))))</f>
        <v>0</v>
      </c>
      <c r="AJ1342" s="513" t="str">
        <f t="shared" ca="1" si="994"/>
        <v/>
      </c>
      <c r="AK1342" s="700" t="str">
        <f t="shared" si="995"/>
        <v/>
      </c>
      <c r="AL1342" s="700"/>
      <c r="AM1342" s="505" t="str">
        <f t="shared" si="996"/>
        <v/>
      </c>
      <c r="AN1342" s="506"/>
      <c r="AO1342" s="507"/>
      <c r="AP1342" s="507"/>
      <c r="AQ1342" s="507"/>
      <c r="AR1342" s="507"/>
      <c r="AS1342" s="507"/>
      <c r="AT1342" s="507"/>
      <c r="AU1342" s="507"/>
      <c r="AV1342" s="225"/>
      <c r="AW1342" s="508"/>
      <c r="AX1342" s="225"/>
      <c r="AY1342" s="225"/>
      <c r="AZ1342" s="225"/>
      <c r="BA1342" s="225"/>
      <c r="BB1342" s="225"/>
      <c r="BC1342" s="56"/>
      <c r="BD1342" s="56"/>
      <c r="BE1342" s="56"/>
      <c r="BF1342" s="107" t="str">
        <f t="shared" si="997"/>
        <v>https://www.google.com/search?tbm=isch&amp;q=25%20G4</v>
      </c>
      <c r="BG1342" s="107" t="str">
        <f t="shared" si="998"/>
        <v>F</v>
      </c>
      <c r="BH1342" s="254"/>
      <c r="BI1342" s="254"/>
    </row>
    <row r="1343" spans="1:61" customFormat="1" ht="17.25" thickBot="1" x14ac:dyDescent="0.3">
      <c r="A1343" s="524" t="s">
        <v>2379</v>
      </c>
      <c r="B1343" s="245"/>
      <c r="C1343" s="677"/>
      <c r="D1343" s="499"/>
      <c r="E1343" s="499"/>
      <c r="F1343" s="500"/>
      <c r="G1343" s="501"/>
      <c r="H1343" s="502"/>
      <c r="I1343" s="246"/>
      <c r="J1343" s="247"/>
      <c r="K1343" s="503"/>
      <c r="L1343" s="544"/>
      <c r="M1343" s="544"/>
      <c r="N1343" s="500"/>
      <c r="O1343" s="500"/>
      <c r="P1343" s="500"/>
      <c r="Q1343" s="500"/>
      <c r="R1343" s="500"/>
      <c r="S1343" s="278"/>
      <c r="T1343" s="508">
        <f t="shared" si="986"/>
        <v>0</v>
      </c>
      <c r="U1343" s="225" t="str">
        <f>IF(NOT(ISNUMBER(G1343)), "", VLOOKUP(A1343,'Discount Lookup'!D:E,2,FALSE)*G1343)</f>
        <v/>
      </c>
      <c r="V1343" s="225" t="str">
        <f>IF(NOT(ISNUMBER(G1343)), "", VLOOKUP(A1343,'Discount Lookup'!G:H,2,FALSE)*G1343)</f>
        <v/>
      </c>
      <c r="W1343" s="508">
        <f t="shared" si="987"/>
        <v>0</v>
      </c>
      <c r="X1343" s="508">
        <f t="shared" si="988"/>
        <v>0</v>
      </c>
      <c r="Y1343" s="509" t="b">
        <f t="shared" si="989"/>
        <v>0</v>
      </c>
      <c r="Z1343" s="510">
        <f t="shared" si="990"/>
        <v>0</v>
      </c>
      <c r="AA1343" s="511"/>
      <c r="AB1343" s="511" t="str">
        <f t="shared" si="991"/>
        <v/>
      </c>
      <c r="AC1343" s="698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698"/>
      <c r="AE1343" s="631" t="str">
        <f t="shared" si="992"/>
        <v/>
      </c>
      <c r="AF1343" s="699" t="str">
        <f t="shared" si="993"/>
        <v/>
      </c>
      <c r="AG1343" s="699"/>
      <c r="AH1343" s="699"/>
      <c r="AI1343" s="512">
        <f>IF(H1343="credit",0,IF(AE1343="free",0,IF(AE1343="me",0,IF(G1343&gt;0,(VLOOKUP(A1343,'Discount Lookup'!J:K,2)*G1343),0))))</f>
        <v>0</v>
      </c>
      <c r="AJ1343" s="513" t="str">
        <f t="shared" ca="1" si="994"/>
        <v/>
      </c>
      <c r="AK1343" s="700" t="str">
        <f t="shared" si="995"/>
        <v/>
      </c>
      <c r="AL1343" s="700"/>
      <c r="AM1343" s="505" t="str">
        <f t="shared" si="996"/>
        <v/>
      </c>
      <c r="AN1343" s="506"/>
      <c r="AO1343" s="507"/>
      <c r="AP1343" s="507"/>
      <c r="AQ1343" s="507"/>
      <c r="AR1343" s="507"/>
      <c r="AS1343" s="507"/>
      <c r="AT1343" s="507"/>
      <c r="AU1343" s="507"/>
      <c r="AV1343" s="225"/>
      <c r="AW1343" s="508"/>
      <c r="AX1343" s="225"/>
      <c r="AY1343" s="225"/>
      <c r="AZ1343" s="225"/>
      <c r="BA1343" s="225"/>
      <c r="BB1343" s="225"/>
      <c r="BC1343" s="56"/>
      <c r="BD1343" s="56"/>
      <c r="BE1343" s="56"/>
      <c r="BF1343" s="107" t="str">
        <f t="shared" si="997"/>
        <v>https://www.google.com/search?tbm=isch&amp;q=Fireglow%20foliage%20startss%20Burgundy%2C%20then%20Purple%7EScarlet%7ECrimson%20in%20fall.%20Named%20for%20glow%20seen%20looking%20up%20from%20below%20</v>
      </c>
      <c r="BG1343" s="107" t="str">
        <f t="shared" si="998"/>
        <v>F</v>
      </c>
      <c r="BH1343" s="254"/>
      <c r="BI1343" s="254"/>
    </row>
    <row r="1344" spans="1:61" customFormat="1" ht="18" x14ac:dyDescent="0.25">
      <c r="A1344" s="521" t="s">
        <v>892</v>
      </c>
      <c r="B1344" s="477"/>
      <c r="C1344" s="674"/>
      <c r="D1344" s="478" t="s">
        <v>893</v>
      </c>
      <c r="E1344" s="479"/>
      <c r="F1344" s="479"/>
      <c r="G1344" s="479"/>
      <c r="H1344" s="582" t="s">
        <v>443</v>
      </c>
      <c r="I1344" s="480" t="s">
        <v>2156</v>
      </c>
      <c r="J1344" s="479"/>
      <c r="K1344" s="479"/>
      <c r="L1344" s="560"/>
      <c r="M1344" s="666" t="s">
        <v>4966</v>
      </c>
      <c r="N1344" s="680" t="str">
        <f>IF(AND(ISTEXT($A1344), ISERROR($A1344+0)), HYPERLINK($BF1344, "Images"), "")</f>
        <v>Images</v>
      </c>
      <c r="O1344" s="662" t="s">
        <v>4967</v>
      </c>
      <c r="P1344" s="482"/>
      <c r="Q1344" s="483"/>
      <c r="R1344" s="483"/>
      <c r="S1344" s="484"/>
      <c r="T1344" s="508">
        <f t="shared" si="986"/>
        <v>0</v>
      </c>
      <c r="U1344" s="225" t="str">
        <f>IF(NOT(ISNUMBER(G1344)), "", VLOOKUP(A1344,'Discount Lookup'!D:E,2,FALSE)*G1344)</f>
        <v/>
      </c>
      <c r="V1344" s="225" t="str">
        <f>IF(NOT(ISNUMBER(G1344)), "", VLOOKUP(A1344,'Discount Lookup'!G:H,2,FALSE)*G1344)</f>
        <v/>
      </c>
      <c r="W1344" s="508">
        <f t="shared" si="987"/>
        <v>0</v>
      </c>
      <c r="X1344" s="508" t="str">
        <f t="shared" si="988"/>
        <v>Lime-Green foliage</v>
      </c>
      <c r="Y1344" s="509" t="b">
        <f t="shared" si="989"/>
        <v>0</v>
      </c>
      <c r="Z1344" s="510">
        <f t="shared" si="990"/>
        <v>0</v>
      </c>
      <c r="AA1344" s="511"/>
      <c r="AB1344" s="511" t="str">
        <f t="shared" si="991"/>
        <v/>
      </c>
      <c r="AC1344" s="698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698"/>
      <c r="AE1344" s="631" t="str">
        <f t="shared" si="992"/>
        <v/>
      </c>
      <c r="AF1344" s="699" t="str">
        <f t="shared" si="993"/>
        <v/>
      </c>
      <c r="AG1344" s="699"/>
      <c r="AH1344" s="699"/>
      <c r="AI1344" s="512">
        <f>IF(H1344="credit",0,IF(AE1344="free",0,IF(AE1344="me",0,IF(G1344&gt;0,(VLOOKUP(A1344,'Discount Lookup'!J:K,2)*G1344),0))))</f>
        <v>0</v>
      </c>
      <c r="AJ1344" s="513" t="str">
        <f t="shared" ca="1" si="994"/>
        <v/>
      </c>
      <c r="AK1344" s="700" t="str">
        <f t="shared" si="995"/>
        <v/>
      </c>
      <c r="AL1344" s="700"/>
      <c r="AM1344" s="505" t="str">
        <f t="shared" si="996"/>
        <v/>
      </c>
      <c r="AN1344" s="506"/>
      <c r="AO1344" s="507"/>
      <c r="AP1344" s="507"/>
      <c r="AQ1344" s="507"/>
      <c r="AR1344" s="507"/>
      <c r="AS1344" s="507"/>
      <c r="AT1344" s="507"/>
      <c r="AU1344" s="507"/>
      <c r="AV1344" s="225"/>
      <c r="AW1344" s="508"/>
      <c r="AX1344" s="225"/>
      <c r="AY1344" s="225"/>
      <c r="AZ1344" s="225"/>
      <c r="BA1344" s="225"/>
      <c r="BB1344" s="225"/>
      <c r="BC1344" s="56"/>
      <c r="BD1344" s="56"/>
      <c r="BE1344" s="56"/>
      <c r="BF1344" s="107" t="str">
        <f t="shared" si="997"/>
        <v>https://www.google.com/search?tbm=isch&amp;q=Firepower%20Nandina%20Nandina%20domestica%20%27Firepower%27%20PP%2320288</v>
      </c>
      <c r="BG1344" s="107" t="str">
        <f t="shared" si="998"/>
        <v>F</v>
      </c>
      <c r="BH1344" s="254"/>
      <c r="BI1344" s="254"/>
    </row>
    <row r="1345" spans="1:61" customFormat="1" ht="15.75" x14ac:dyDescent="0.25">
      <c r="A1345" s="485">
        <v>1</v>
      </c>
      <c r="B1345" s="486" t="s">
        <v>291</v>
      </c>
      <c r="C1345" s="487"/>
      <c r="D1345" s="488" t="s">
        <v>298</v>
      </c>
      <c r="E1345" s="489">
        <v>7.95</v>
      </c>
      <c r="F1345" s="516" t="s">
        <v>293</v>
      </c>
      <c r="G1345" s="232">
        <v>0</v>
      </c>
      <c r="H1345" s="658" t="str">
        <f>IF(G1345=0,"",IF(F1345="Buy",IF(G1345=1,"plant","plants"),IF(F1345&gt;0.01,"warranty","Error")))</f>
        <v/>
      </c>
      <c r="I1345" s="490">
        <f>IF(H1345="free",0,IF(H1345="credit",((E1345*(F1345))*G1345*-1),IF(F1345="Buy",(E1345*G1345),((E1345*(1-F1345))*G1345))))</f>
        <v>0</v>
      </c>
      <c r="J1345" s="490">
        <f>IF(H1345="warranty",0,(I1345*(_xlfn.SINGLE(SalesTaxPercentage))))</f>
        <v>0</v>
      </c>
      <c r="K1345" s="695">
        <f t="shared" ref="K1345" si="1028">I1345+J1345</f>
        <v>0</v>
      </c>
      <c r="L1345" s="695"/>
      <c r="M1345" s="659" t="str">
        <f>IF(AND(G1345&gt;0,E1345=0),"WARNING - no PRICE inserted",IF(H1345="free"," FREE ~ no charge this plant",IF(H1345="credit",CONCATENATE(" -$",ROUND(K1345*(1-T2GDiscount)*-1,2)," CREDIT after discount"),IF(T2GDiscount=0,"",IF(G1345=0,"",IF(F1345="Buy",CONCATENATE(" $",ROUND(K1345*(1-T2GDiscount),2)," with ",(T2GDiscount*100),"% discount"),CONCATENATE(" $",ROUND(K1345*(1-T2GDiscount),2)," with ",((T2GDiscount*100+F1345*100)-(T2GDiscount*100*F1345)),IF(F1345&gt;0,"% discounts",IF(NoWarrantyDiscount&gt;0,"% discounts","% discount")))))))))</f>
        <v/>
      </c>
      <c r="N1345" s="660"/>
      <c r="O1345" s="233"/>
      <c r="P1345" s="233"/>
      <c r="Q1345" s="233"/>
      <c r="R1345" s="233"/>
      <c r="S1345" s="233"/>
      <c r="T1345" s="508">
        <f t="shared" si="986"/>
        <v>0</v>
      </c>
      <c r="U1345" s="225">
        <f>IF(NOT(ISNUMBER(G1345)), "", VLOOKUP(A1345,'Discount Lookup'!D:E,2,FALSE)*G1345)</f>
        <v>0</v>
      </c>
      <c r="V1345" s="225">
        <f>IF(NOT(ISNUMBER(G1345)), "", VLOOKUP(A1345,'Discount Lookup'!G:H,2,FALSE)*G1345)</f>
        <v>0</v>
      </c>
      <c r="W1345" s="508">
        <f t="shared" si="987"/>
        <v>0</v>
      </c>
      <c r="X1345" s="508">
        <f t="shared" si="988"/>
        <v>0</v>
      </c>
      <c r="Y1345" s="509" t="b">
        <f t="shared" si="989"/>
        <v>0</v>
      </c>
      <c r="Z1345" s="510">
        <f t="shared" si="990"/>
        <v>0</v>
      </c>
      <c r="AA1345" s="511"/>
      <c r="AB1345" s="511" t="str">
        <f t="shared" si="991"/>
        <v/>
      </c>
      <c r="AC1345" s="698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698"/>
      <c r="AE1345" s="631" t="str">
        <f t="shared" si="992"/>
        <v/>
      </c>
      <c r="AF1345" s="699" t="str">
        <f t="shared" si="993"/>
        <v/>
      </c>
      <c r="AG1345" s="699"/>
      <c r="AH1345" s="699"/>
      <c r="AI1345" s="512">
        <f>IF(H1345="credit",0,IF(AE1345="free",0,IF(AE1345="me",0,IF(G1345&gt;0,(VLOOKUP(A1345,'Discount Lookup'!J:K,2)*G1345),0))))</f>
        <v>0</v>
      </c>
      <c r="AJ1345" s="513" t="str">
        <f t="shared" ca="1" si="994"/>
        <v/>
      </c>
      <c r="AK1345" s="700" t="str">
        <f t="shared" si="995"/>
        <v/>
      </c>
      <c r="AL1345" s="700"/>
      <c r="AM1345" s="505" t="str">
        <f t="shared" si="996"/>
        <v/>
      </c>
      <c r="AN1345" s="506"/>
      <c r="AO1345" s="507"/>
      <c r="AP1345" s="507"/>
      <c r="AQ1345" s="507"/>
      <c r="AR1345" s="507"/>
      <c r="AS1345" s="507"/>
      <c r="AT1345" s="507"/>
      <c r="AU1345" s="507"/>
      <c r="AV1345" s="225"/>
      <c r="AW1345" s="508"/>
      <c r="AX1345" s="225"/>
      <c r="AY1345" s="225"/>
      <c r="AZ1345" s="225"/>
      <c r="BA1345" s="225"/>
      <c r="BB1345" s="225"/>
      <c r="BC1345" s="56"/>
      <c r="BD1345" s="56"/>
      <c r="BE1345" s="56"/>
      <c r="BF1345" s="107" t="str">
        <f t="shared" si="997"/>
        <v>https://www.google.com/search?tbm=isch&amp;q=1%20G1</v>
      </c>
      <c r="BG1345" s="107" t="str">
        <f t="shared" si="998"/>
        <v>F</v>
      </c>
      <c r="BH1345" s="254"/>
      <c r="BI1345" s="254"/>
    </row>
    <row r="1346" spans="1:61" customFormat="1" ht="15.75" x14ac:dyDescent="0.25">
      <c r="A1346" s="485">
        <v>3</v>
      </c>
      <c r="B1346" s="486" t="s">
        <v>291</v>
      </c>
      <c r="C1346" s="487" t="s">
        <v>341</v>
      </c>
      <c r="D1346" s="488" t="s">
        <v>298</v>
      </c>
      <c r="E1346" s="489">
        <v>26.95</v>
      </c>
      <c r="F1346" s="516" t="s">
        <v>293</v>
      </c>
      <c r="G1346" s="232">
        <v>0</v>
      </c>
      <c r="H1346" s="658" t="str">
        <f>IF(G1346=0,"",IF(F1346="Buy",IF(G1346=1,"plant","plants"),IF(F1346&gt;0.01,"warranty","Error")))</f>
        <v/>
      </c>
      <c r="I1346" s="490">
        <f>IF(H1346="free",0,IF(H1346="credit",((E1346*(F1346))*G1346*-1),IF(F1346="Buy",(E1346*G1346),((E1346*(1-F1346))*G1346))))</f>
        <v>0</v>
      </c>
      <c r="J1346" s="490">
        <f>IF(H1346="warranty",0,(I1346*(_xlfn.SINGLE(SalesTaxPercentage))))</f>
        <v>0</v>
      </c>
      <c r="K1346" s="695">
        <f t="shared" ref="K1346" si="1029">I1346+J1346</f>
        <v>0</v>
      </c>
      <c r="L1346" s="695"/>
      <c r="M1346" s="659" t="str">
        <f>IF(AND(G1346&gt;0,E1346=0),"WARNING - no PRICE inserted",IF(H1346="free"," FREE ~ no charge this plant",IF(H1346="credit",CONCATENATE(" -$",ROUND(K1346*(1-T2GDiscount)*-1,2)," CREDIT after discount"),IF(T2GDiscount=0,"",IF(G1346=0,"",IF(F1346="Buy",CONCATENATE(" $",ROUND(K1346*(1-T2GDiscount),2)," with ",(T2GDiscount*100),"% discount"),CONCATENATE(" $",ROUND(K1346*(1-T2GDiscount),2)," with ",((T2GDiscount*100+F1346*100)-(T2GDiscount*100*F1346)),IF(F1346&gt;0,"% discounts",IF(NoWarrantyDiscount&gt;0,"% discounts","% discount")))))))))</f>
        <v/>
      </c>
      <c r="N1346" s="660"/>
      <c r="O1346" s="233"/>
      <c r="P1346" s="233"/>
      <c r="Q1346" s="233"/>
      <c r="R1346" s="233"/>
      <c r="S1346" s="233"/>
      <c r="T1346" s="508">
        <f t="shared" si="986"/>
        <v>0</v>
      </c>
      <c r="U1346" s="225">
        <f>IF(NOT(ISNUMBER(G1346)), "", VLOOKUP(A1346,'Discount Lookup'!D:E,2,FALSE)*G1346)</f>
        <v>0</v>
      </c>
      <c r="V1346" s="225">
        <f>IF(NOT(ISNUMBER(G1346)), "", VLOOKUP(A1346,'Discount Lookup'!G:H,2,FALSE)*G1346)</f>
        <v>0</v>
      </c>
      <c r="W1346" s="508">
        <f t="shared" si="987"/>
        <v>0</v>
      </c>
      <c r="X1346" s="508">
        <f t="shared" si="988"/>
        <v>0</v>
      </c>
      <c r="Y1346" s="509" t="b">
        <f t="shared" si="989"/>
        <v>0</v>
      </c>
      <c r="Z1346" s="510">
        <f t="shared" si="990"/>
        <v>0</v>
      </c>
      <c r="AA1346" s="511"/>
      <c r="AB1346" s="511" t="str">
        <f t="shared" si="991"/>
        <v/>
      </c>
      <c r="AC1346" s="698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698"/>
      <c r="AE1346" s="631" t="str">
        <f t="shared" si="992"/>
        <v/>
      </c>
      <c r="AF1346" s="699" t="str">
        <f t="shared" si="993"/>
        <v/>
      </c>
      <c r="AG1346" s="699"/>
      <c r="AH1346" s="699"/>
      <c r="AI1346" s="512">
        <f>IF(H1346="credit",0,IF(AE1346="free",0,IF(AE1346="me",0,IF(G1346&gt;0,(VLOOKUP(A1346,'Discount Lookup'!J:K,2)*G1346),0))))</f>
        <v>0</v>
      </c>
      <c r="AJ1346" s="513" t="str">
        <f t="shared" ca="1" si="994"/>
        <v/>
      </c>
      <c r="AK1346" s="700" t="str">
        <f t="shared" si="995"/>
        <v/>
      </c>
      <c r="AL1346" s="700"/>
      <c r="AM1346" s="505" t="str">
        <f t="shared" si="996"/>
        <v/>
      </c>
      <c r="AN1346" s="506"/>
      <c r="AO1346" s="507"/>
      <c r="AP1346" s="507"/>
      <c r="AQ1346" s="507"/>
      <c r="AR1346" s="507"/>
      <c r="AS1346" s="507"/>
      <c r="AT1346" s="507"/>
      <c r="AU1346" s="507"/>
      <c r="AV1346" s="225"/>
      <c r="AW1346" s="508"/>
      <c r="AX1346" s="225"/>
      <c r="AY1346" s="225"/>
      <c r="AZ1346" s="225"/>
      <c r="BA1346" s="225"/>
      <c r="BB1346" s="225"/>
      <c r="BC1346" s="56"/>
      <c r="BD1346" s="56"/>
      <c r="BE1346" s="56"/>
      <c r="BF1346" s="107" t="str">
        <f t="shared" si="997"/>
        <v>https://www.google.com/search?tbm=isch&amp;q=3%20G1</v>
      </c>
      <c r="BG1346" s="107" t="str">
        <f t="shared" si="998"/>
        <v>F</v>
      </c>
      <c r="BH1346" s="254"/>
      <c r="BI1346" s="254"/>
    </row>
    <row r="1347" spans="1:61" customFormat="1" ht="15.75" x14ac:dyDescent="0.25">
      <c r="A1347" s="485">
        <v>3</v>
      </c>
      <c r="B1347" s="486" t="s">
        <v>291</v>
      </c>
      <c r="C1347" s="487"/>
      <c r="D1347" s="488" t="s">
        <v>312</v>
      </c>
      <c r="E1347" s="489">
        <v>26.95</v>
      </c>
      <c r="F1347" s="516" t="s">
        <v>293</v>
      </c>
      <c r="G1347" s="232">
        <v>0</v>
      </c>
      <c r="H1347" s="658" t="str">
        <f>IF(G1347=0,"",IF(F1347="Buy",IF(G1347=1,"plant","plants"),IF(F1347&gt;0.01,"warranty","Error")))</f>
        <v/>
      </c>
      <c r="I1347" s="490">
        <f>IF(H1347="free",0,IF(H1347="credit",((E1347*(F1347))*G1347*-1),IF(F1347="Buy",(E1347*G1347),((E1347*(1-F1347))*G1347))))</f>
        <v>0</v>
      </c>
      <c r="J1347" s="490">
        <f>IF(H1347="warranty",0,(I1347*(_xlfn.SINGLE(SalesTaxPercentage))))</f>
        <v>0</v>
      </c>
      <c r="K1347" s="695">
        <f t="shared" ref="K1347" si="1030">I1347+J1347</f>
        <v>0</v>
      </c>
      <c r="L1347" s="695"/>
      <c r="M1347" s="659" t="str">
        <f>IF(AND(G1347&gt;0,E1347=0),"WARNING - no PRICE inserted",IF(H1347="free"," FREE ~ no charge this plant",IF(H1347="credit",CONCATENATE(" -$",ROUND(K1347*(1-T2GDiscount)*-1,2)," CREDIT after discount"),IF(T2GDiscount=0,"",IF(G1347=0,"",IF(F1347="Buy",CONCATENATE(" $",ROUND(K1347*(1-T2GDiscount),2)," with ",(T2GDiscount*100),"% discount"),CONCATENATE(" $",ROUND(K1347*(1-T2GDiscount),2)," with ",((T2GDiscount*100+F1347*100)-(T2GDiscount*100*F1347)),IF(F1347&gt;0,"% discounts",IF(NoWarrantyDiscount&gt;0,"% discounts","% discount")))))))))</f>
        <v/>
      </c>
      <c r="N1347" s="660"/>
      <c r="O1347" s="233"/>
      <c r="P1347" s="233"/>
      <c r="Q1347" s="233"/>
      <c r="R1347" s="233"/>
      <c r="S1347" s="233"/>
      <c r="T1347" s="508">
        <f t="shared" si="986"/>
        <v>0</v>
      </c>
      <c r="U1347" s="225">
        <f>IF(NOT(ISNUMBER(G1347)), "", VLOOKUP(A1347,'Discount Lookup'!D:E,2,FALSE)*G1347)</f>
        <v>0</v>
      </c>
      <c r="V1347" s="225">
        <f>IF(NOT(ISNUMBER(G1347)), "", VLOOKUP(A1347,'Discount Lookup'!G:H,2,FALSE)*G1347)</f>
        <v>0</v>
      </c>
      <c r="W1347" s="508">
        <f t="shared" si="987"/>
        <v>0</v>
      </c>
      <c r="X1347" s="508">
        <f t="shared" si="988"/>
        <v>0</v>
      </c>
      <c r="Y1347" s="509" t="b">
        <f t="shared" si="989"/>
        <v>0</v>
      </c>
      <c r="Z1347" s="510">
        <f t="shared" si="990"/>
        <v>0</v>
      </c>
      <c r="AA1347" s="511"/>
      <c r="AB1347" s="511" t="str">
        <f t="shared" si="991"/>
        <v/>
      </c>
      <c r="AC1347" s="698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698"/>
      <c r="AE1347" s="631" t="str">
        <f t="shared" si="992"/>
        <v/>
      </c>
      <c r="AF1347" s="699" t="str">
        <f t="shared" si="993"/>
        <v/>
      </c>
      <c r="AG1347" s="699"/>
      <c r="AH1347" s="699"/>
      <c r="AI1347" s="512">
        <f>IF(H1347="credit",0,IF(AE1347="free",0,IF(AE1347="me",0,IF(G1347&gt;0,(VLOOKUP(A1347,'Discount Lookup'!J:K,2)*G1347),0))))</f>
        <v>0</v>
      </c>
      <c r="AJ1347" s="513" t="str">
        <f t="shared" ca="1" si="994"/>
        <v/>
      </c>
      <c r="AK1347" s="700" t="str">
        <f t="shared" si="995"/>
        <v/>
      </c>
      <c r="AL1347" s="700"/>
      <c r="AM1347" s="505" t="str">
        <f t="shared" si="996"/>
        <v/>
      </c>
      <c r="AN1347" s="506"/>
      <c r="AO1347" s="507"/>
      <c r="AP1347" s="507"/>
      <c r="AQ1347" s="507"/>
      <c r="AR1347" s="507"/>
      <c r="AS1347" s="507"/>
      <c r="AT1347" s="507"/>
      <c r="AU1347" s="507"/>
      <c r="AV1347" s="225"/>
      <c r="AW1347" s="508"/>
      <c r="AX1347" s="225"/>
      <c r="AY1347" s="225"/>
      <c r="AZ1347" s="225"/>
      <c r="BA1347" s="225"/>
      <c r="BB1347" s="225"/>
      <c r="BC1347" s="56"/>
      <c r="BD1347" s="56"/>
      <c r="BE1347" s="56"/>
      <c r="BF1347" s="107" t="str">
        <f t="shared" si="997"/>
        <v>https://www.google.com/search?tbm=isch&amp;q=3%20G2</v>
      </c>
      <c r="BG1347" s="107" t="str">
        <f t="shared" si="998"/>
        <v>F</v>
      </c>
      <c r="BH1347" s="254"/>
      <c r="BI1347" s="254"/>
    </row>
    <row r="1348" spans="1:61" customFormat="1" ht="15.75" x14ac:dyDescent="0.25">
      <c r="A1348" s="485">
        <v>3</v>
      </c>
      <c r="B1348" s="486" t="s">
        <v>291</v>
      </c>
      <c r="C1348" s="487" t="s">
        <v>3257</v>
      </c>
      <c r="D1348" s="488" t="s">
        <v>299</v>
      </c>
      <c r="E1348" s="489">
        <v>31.95</v>
      </c>
      <c r="F1348" s="516" t="s">
        <v>293</v>
      </c>
      <c r="G1348" s="232">
        <v>0</v>
      </c>
      <c r="H1348" s="658" t="str">
        <f>IF(G1348=0,"",IF(F1348="Buy",IF(G1348=1,"plant","plants"),IF(F1348&gt;0.01,"warranty","Error")))</f>
        <v/>
      </c>
      <c r="I1348" s="490">
        <f>IF(H1348="free",0,IF(H1348="credit",((E1348*(F1348))*G1348*-1),IF(F1348="Buy",(E1348*G1348),((E1348*(1-F1348))*G1348))))</f>
        <v>0</v>
      </c>
      <c r="J1348" s="490">
        <f>IF(H1348="warranty",0,(I1348*(_xlfn.SINGLE(SalesTaxPercentage))))</f>
        <v>0</v>
      </c>
      <c r="K1348" s="695">
        <f t="shared" ref="K1348" si="1031">I1348+J1348</f>
        <v>0</v>
      </c>
      <c r="L1348" s="695"/>
      <c r="M1348" s="659" t="str">
        <f>IF(AND(G1348&gt;0,E1348=0),"WARNING - no PRICE inserted",IF(H1348="free"," FREE ~ no charge this plant",IF(H1348="credit",CONCATENATE(" -$",ROUND(K1348*(1-T2GDiscount)*-1,2)," CREDIT after discount"),IF(T2GDiscount=0,"",IF(G1348=0,"",IF(F1348="Buy",CONCATENATE(" $",ROUND(K1348*(1-T2GDiscount),2)," with ",(T2GDiscount*100),"% discount"),CONCATENATE(" $",ROUND(K1348*(1-T2GDiscount),2)," with ",((T2GDiscount*100+F1348*100)-(T2GDiscount*100*F1348)),IF(F1348&gt;0,"% discounts",IF(NoWarrantyDiscount&gt;0,"% discounts","% discount")))))))))</f>
        <v/>
      </c>
      <c r="N1348" s="660"/>
      <c r="O1348" s="233"/>
      <c r="P1348" s="233"/>
      <c r="Q1348" s="233"/>
      <c r="R1348" s="233"/>
      <c r="S1348" s="233"/>
      <c r="T1348" s="508">
        <f t="shared" si="986"/>
        <v>0</v>
      </c>
      <c r="U1348" s="225">
        <f>IF(NOT(ISNUMBER(G1348)), "", VLOOKUP(A1348,'Discount Lookup'!D:E,2,FALSE)*G1348)</f>
        <v>0</v>
      </c>
      <c r="V1348" s="225">
        <f>IF(NOT(ISNUMBER(G1348)), "", VLOOKUP(A1348,'Discount Lookup'!G:H,2,FALSE)*G1348)</f>
        <v>0</v>
      </c>
      <c r="W1348" s="508">
        <f t="shared" si="987"/>
        <v>0</v>
      </c>
      <c r="X1348" s="508">
        <f t="shared" si="988"/>
        <v>0</v>
      </c>
      <c r="Y1348" s="509" t="b">
        <f t="shared" si="989"/>
        <v>0</v>
      </c>
      <c r="Z1348" s="510">
        <f t="shared" si="990"/>
        <v>0</v>
      </c>
      <c r="AA1348" s="511"/>
      <c r="AB1348" s="511" t="str">
        <f t="shared" si="991"/>
        <v/>
      </c>
      <c r="AC1348" s="698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698"/>
      <c r="AE1348" s="631" t="str">
        <f t="shared" si="992"/>
        <v/>
      </c>
      <c r="AF1348" s="699" t="str">
        <f t="shared" si="993"/>
        <v/>
      </c>
      <c r="AG1348" s="699"/>
      <c r="AH1348" s="699"/>
      <c r="AI1348" s="512">
        <f>IF(H1348="credit",0,IF(AE1348="free",0,IF(AE1348="me",0,IF(G1348&gt;0,(VLOOKUP(A1348,'Discount Lookup'!J:K,2)*G1348),0))))</f>
        <v>0</v>
      </c>
      <c r="AJ1348" s="513" t="str">
        <f t="shared" ca="1" si="994"/>
        <v/>
      </c>
      <c r="AK1348" s="700" t="str">
        <f t="shared" si="995"/>
        <v/>
      </c>
      <c r="AL1348" s="700"/>
      <c r="AM1348" s="505" t="str">
        <f t="shared" si="996"/>
        <v/>
      </c>
      <c r="AN1348" s="506"/>
      <c r="AO1348" s="507"/>
      <c r="AP1348" s="507"/>
      <c r="AQ1348" s="507"/>
      <c r="AR1348" s="507"/>
      <c r="AS1348" s="507"/>
      <c r="AT1348" s="507"/>
      <c r="AU1348" s="507"/>
      <c r="AV1348" s="225"/>
      <c r="AW1348" s="508"/>
      <c r="AX1348" s="225"/>
      <c r="AY1348" s="225"/>
      <c r="AZ1348" s="225"/>
      <c r="BA1348" s="225"/>
      <c r="BB1348" s="225"/>
      <c r="BC1348" s="56"/>
      <c r="BD1348" s="56"/>
      <c r="BE1348" s="56"/>
      <c r="BF1348" s="107" t="str">
        <f t="shared" si="997"/>
        <v>https://www.google.com/search?tbm=isch&amp;q=3%20G5</v>
      </c>
      <c r="BG1348" s="107" t="str">
        <f t="shared" si="998"/>
        <v>F</v>
      </c>
      <c r="BH1348" s="254"/>
      <c r="BI1348" s="254"/>
    </row>
    <row r="1349" spans="1:61" customFormat="1" ht="16.5" thickBot="1" x14ac:dyDescent="0.3">
      <c r="A1349" s="522" t="s">
        <v>2931</v>
      </c>
      <c r="B1349" s="491"/>
      <c r="C1349" s="675"/>
      <c r="D1349" s="491"/>
      <c r="E1349" s="491"/>
      <c r="F1349" s="492"/>
      <c r="G1349" s="493"/>
      <c r="H1349" s="491"/>
      <c r="I1349" s="234"/>
      <c r="J1349" s="234"/>
      <c r="K1349" s="494"/>
      <c r="L1349" s="543"/>
      <c r="M1349" s="561"/>
      <c r="N1349" s="495"/>
      <c r="O1349" s="496"/>
      <c r="P1349" s="497"/>
      <c r="Q1349" s="495"/>
      <c r="R1349" s="495"/>
      <c r="S1349" s="277"/>
      <c r="T1349" s="508">
        <f t="shared" si="986"/>
        <v>0</v>
      </c>
      <c r="U1349" s="225" t="str">
        <f>IF(NOT(ISNUMBER(G1349)), "", VLOOKUP(A1349,'Discount Lookup'!D:E,2,FALSE)*G1349)</f>
        <v/>
      </c>
      <c r="V1349" s="225" t="str">
        <f>IF(NOT(ISNUMBER(G1349)), "", VLOOKUP(A1349,'Discount Lookup'!G:H,2,FALSE)*G1349)</f>
        <v/>
      </c>
      <c r="W1349" s="508">
        <f t="shared" si="987"/>
        <v>0</v>
      </c>
      <c r="X1349" s="508">
        <f t="shared" si="988"/>
        <v>0</v>
      </c>
      <c r="Y1349" s="509" t="b">
        <f t="shared" si="989"/>
        <v>0</v>
      </c>
      <c r="Z1349" s="510">
        <f t="shared" si="990"/>
        <v>0</v>
      </c>
      <c r="AA1349" s="511"/>
      <c r="AB1349" s="511" t="str">
        <f t="shared" si="991"/>
        <v/>
      </c>
      <c r="AC1349" s="698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698"/>
      <c r="AE1349" s="631" t="str">
        <f t="shared" si="992"/>
        <v/>
      </c>
      <c r="AF1349" s="699" t="str">
        <f t="shared" si="993"/>
        <v/>
      </c>
      <c r="AG1349" s="699"/>
      <c r="AH1349" s="699"/>
      <c r="AI1349" s="512">
        <f>IF(H1349="credit",0,IF(AE1349="free",0,IF(AE1349="me",0,IF(G1349&gt;0,(VLOOKUP(A1349,'Discount Lookup'!J:K,2)*G1349),0))))</f>
        <v>0</v>
      </c>
      <c r="AJ1349" s="513" t="str">
        <f t="shared" ca="1" si="994"/>
        <v/>
      </c>
      <c r="AK1349" s="700" t="str">
        <f t="shared" si="995"/>
        <v/>
      </c>
      <c r="AL1349" s="700"/>
      <c r="AM1349" s="505" t="str">
        <f t="shared" si="996"/>
        <v/>
      </c>
      <c r="AN1349" s="506"/>
      <c r="AO1349" s="507"/>
      <c r="AP1349" s="507"/>
      <c r="AQ1349" s="507"/>
      <c r="AR1349" s="507"/>
      <c r="AS1349" s="507"/>
      <c r="AT1349" s="507"/>
      <c r="AU1349" s="507"/>
      <c r="AV1349" s="225"/>
      <c r="AW1349" s="508"/>
      <c r="AX1349" s="225"/>
      <c r="AY1349" s="225"/>
      <c r="AZ1349" s="225"/>
      <c r="BA1349" s="225"/>
      <c r="BB1349" s="225"/>
      <c r="BC1349" s="56"/>
      <c r="BD1349" s="56"/>
      <c r="BE1349" s="56"/>
      <c r="BF1349" s="107" t="str">
        <f t="shared" si="997"/>
        <v>https://www.google.com/search?tbm=isch&amp;q=Firepower%20named%20for%20it%27s%20brilliant%20Red%20fall%2Fwinter%20foliage.%20Red-tinged%20summer%20foliage.%20Sterile%2C%20so%20no%20spreading%20issues%20</v>
      </c>
      <c r="BG1349" s="107" t="str">
        <f t="shared" si="998"/>
        <v>F</v>
      </c>
      <c r="BH1349" s="254"/>
      <c r="BI1349" s="254"/>
    </row>
    <row r="1350" spans="1:61" customFormat="1" ht="18" x14ac:dyDescent="0.25">
      <c r="A1350" s="523" t="s">
        <v>5407</v>
      </c>
      <c r="B1350" s="235"/>
      <c r="C1350" s="676"/>
      <c r="D1350" s="255" t="s">
        <v>894</v>
      </c>
      <c r="E1350" s="236"/>
      <c r="F1350" s="236"/>
      <c r="G1350" s="236"/>
      <c r="H1350" s="582" t="s">
        <v>311</v>
      </c>
      <c r="I1350" s="498" t="s">
        <v>2109</v>
      </c>
      <c r="J1350" s="237"/>
      <c r="K1350" s="237"/>
      <c r="L1350" s="274"/>
      <c r="M1350" s="668" t="s">
        <v>4962</v>
      </c>
      <c r="N1350" s="681" t="str">
        <f>IF(AND(ISTEXT($A1350), ISERROR($A1350+0)), HYPERLINK($BF1350, "Images"), "")</f>
        <v>Images</v>
      </c>
      <c r="O1350" s="663" t="s">
        <v>4967</v>
      </c>
      <c r="P1350" s="253"/>
      <c r="Q1350" s="238"/>
      <c r="R1350" s="239"/>
      <c r="S1350" s="275"/>
      <c r="T1350" s="508">
        <f t="shared" si="986"/>
        <v>0</v>
      </c>
      <c r="U1350" s="225" t="str">
        <f>IF(NOT(ISNUMBER(G1350)), "", VLOOKUP(A1350,'Discount Lookup'!D:E,2,FALSE)*G1350)</f>
        <v/>
      </c>
      <c r="V1350" s="225" t="str">
        <f>IF(NOT(ISNUMBER(G1350)), "", VLOOKUP(A1350,'Discount Lookup'!G:H,2,FALSE)*G1350)</f>
        <v/>
      </c>
      <c r="W1350" s="508">
        <f t="shared" si="987"/>
        <v>0</v>
      </c>
      <c r="X1350" s="508" t="str">
        <f t="shared" si="988"/>
        <v>Green foliage</v>
      </c>
      <c r="Y1350" s="509" t="b">
        <f t="shared" si="989"/>
        <v>0</v>
      </c>
      <c r="Z1350" s="510">
        <f t="shared" si="990"/>
        <v>0</v>
      </c>
      <c r="AA1350" s="511"/>
      <c r="AB1350" s="511" t="str">
        <f t="shared" si="991"/>
        <v/>
      </c>
      <c r="AC1350" s="698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698"/>
      <c r="AE1350" s="631" t="str">
        <f t="shared" si="992"/>
        <v/>
      </c>
      <c r="AF1350" s="699" t="str">
        <f t="shared" si="993"/>
        <v/>
      </c>
      <c r="AG1350" s="699"/>
      <c r="AH1350" s="699"/>
      <c r="AI1350" s="512">
        <f>IF(H1350="credit",0,IF(AE1350="free",0,IF(AE1350="me",0,IF(G1350&gt;0,(VLOOKUP(A1350,'Discount Lookup'!J:K,2)*G1350),0))))</f>
        <v>0</v>
      </c>
      <c r="AJ1350" s="513" t="str">
        <f t="shared" ca="1" si="994"/>
        <v/>
      </c>
      <c r="AK1350" s="700" t="str">
        <f t="shared" si="995"/>
        <v/>
      </c>
      <c r="AL1350" s="700"/>
      <c r="AM1350" s="505" t="str">
        <f t="shared" si="996"/>
        <v/>
      </c>
      <c r="AN1350" s="506"/>
      <c r="AO1350" s="507"/>
      <c r="AP1350" s="507"/>
      <c r="AQ1350" s="507"/>
      <c r="AR1350" s="507"/>
      <c r="AS1350" s="507"/>
      <c r="AT1350" s="507"/>
      <c r="AU1350" s="507"/>
      <c r="AV1350" s="225"/>
      <c r="AW1350" s="508"/>
      <c r="AX1350" s="225"/>
      <c r="AY1350" s="225"/>
      <c r="AZ1350" s="225"/>
      <c r="BA1350" s="225"/>
      <c r="BB1350" s="225"/>
      <c r="BC1350" s="56"/>
      <c r="BD1350" s="56"/>
      <c r="BE1350" s="56"/>
      <c r="BF1350" s="107" t="str">
        <f t="shared" si="997"/>
        <v>https://www.google.com/search?tbm=isch&amp;q=First%20Flame%C2%AE%20Maple%20Acer%20x%20pseudosieboldianum%20%27IsFirFl%27</v>
      </c>
      <c r="BG1350" s="107" t="str">
        <f t="shared" si="998"/>
        <v>F</v>
      </c>
      <c r="BH1350" s="254"/>
      <c r="BI1350" s="254"/>
    </row>
    <row r="1351" spans="1:61" customFormat="1" ht="15.75" x14ac:dyDescent="0.25">
      <c r="A1351" s="276">
        <v>15</v>
      </c>
      <c r="B1351" s="240" t="s">
        <v>291</v>
      </c>
      <c r="C1351" s="241" t="s">
        <v>3480</v>
      </c>
      <c r="D1351" s="242" t="s">
        <v>292</v>
      </c>
      <c r="E1351" s="243">
        <v>454.95</v>
      </c>
      <c r="F1351" s="517" t="s">
        <v>293</v>
      </c>
      <c r="G1351" s="232">
        <v>0</v>
      </c>
      <c r="H1351" s="661" t="str">
        <f>IF(G1351=0,"",IF(F1351="Buy",IF(G1351=1,"plant","plants"),IF(F1351&gt;0.01,"warranty","Error")))</f>
        <v/>
      </c>
      <c r="I1351" s="244">
        <f>IF(H1351="free",0,IF(H1351="credit",((E1351*(F1351))*G1351*-1),IF(F1351="Buy",(E1351*G1351),((E1351*(1-F1351))*G1351))))</f>
        <v>0</v>
      </c>
      <c r="J1351" s="244">
        <f>IF(H1351="warranty",0,(I1351*(_xlfn.SINGLE(SalesTaxPercentage))))</f>
        <v>0</v>
      </c>
      <c r="K1351" s="696">
        <f t="shared" ref="K1351" si="1032">I1351+J1351</f>
        <v>0</v>
      </c>
      <c r="L1351" s="696"/>
      <c r="M1351" s="659" t="str">
        <f>IF(AND(G1351&gt;0,E1351=0),"WARNING - no PRICE inserted",IF(H1351="free"," FREE ~ no charge this plant",IF(H1351="credit",CONCATENATE(" -$",ROUND(K1351*(1-T2GDiscount)*-1,2)," CREDIT after discount"),IF(T2GDiscount=0,"",IF(G1351=0,"",IF(F1351="Buy",CONCATENATE(" $",ROUND(K1351*(1-T2GDiscount),2)," with ",(T2GDiscount*100),"% discount"),CONCATENATE(" $",ROUND(K1351*(1-T2GDiscount),2)," with ",((T2GDiscount*100+F1351*100)-(T2GDiscount*100*F1351)),IF(F1351&gt;0,"% discounts",IF(NoWarrantyDiscount&gt;0,"% discounts","% discount")))))))))</f>
        <v/>
      </c>
      <c r="N1351" s="660"/>
      <c r="O1351" s="233"/>
      <c r="P1351" s="233"/>
      <c r="Q1351" s="233"/>
      <c r="R1351" s="233"/>
      <c r="S1351" s="233"/>
      <c r="T1351" s="508">
        <f t="shared" si="986"/>
        <v>0</v>
      </c>
      <c r="U1351" s="225">
        <f>IF(NOT(ISNUMBER(G1351)), "", VLOOKUP(A1351,'Discount Lookup'!D:E,2,FALSE)*G1351)</f>
        <v>0</v>
      </c>
      <c r="V1351" s="225">
        <f>IF(NOT(ISNUMBER(G1351)), "", VLOOKUP(A1351,'Discount Lookup'!G:H,2,FALSE)*G1351)</f>
        <v>0</v>
      </c>
      <c r="W1351" s="508">
        <f t="shared" si="987"/>
        <v>0</v>
      </c>
      <c r="X1351" s="508">
        <f t="shared" si="988"/>
        <v>0</v>
      </c>
      <c r="Y1351" s="509" t="b">
        <f t="shared" si="989"/>
        <v>0</v>
      </c>
      <c r="Z1351" s="510">
        <f t="shared" si="990"/>
        <v>0</v>
      </c>
      <c r="AA1351" s="511"/>
      <c r="AB1351" s="511" t="str">
        <f t="shared" si="991"/>
        <v/>
      </c>
      <c r="AC1351" s="698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698"/>
      <c r="AE1351" s="631" t="str">
        <f t="shared" si="992"/>
        <v/>
      </c>
      <c r="AF1351" s="699" t="str">
        <f t="shared" si="993"/>
        <v/>
      </c>
      <c r="AG1351" s="699"/>
      <c r="AH1351" s="699"/>
      <c r="AI1351" s="512">
        <f>IF(H1351="credit",0,IF(AE1351="free",0,IF(AE1351="me",0,IF(G1351&gt;0,(VLOOKUP(A1351,'Discount Lookup'!J:K,2)*G1351),0))))</f>
        <v>0</v>
      </c>
      <c r="AJ1351" s="513" t="str">
        <f t="shared" ca="1" si="994"/>
        <v/>
      </c>
      <c r="AK1351" s="700" t="str">
        <f t="shared" si="995"/>
        <v/>
      </c>
      <c r="AL1351" s="700"/>
      <c r="AM1351" s="505" t="str">
        <f t="shared" si="996"/>
        <v/>
      </c>
      <c r="AN1351" s="506"/>
      <c r="AO1351" s="507"/>
      <c r="AP1351" s="507"/>
      <c r="AQ1351" s="507"/>
      <c r="AR1351" s="507"/>
      <c r="AS1351" s="507"/>
      <c r="AT1351" s="507"/>
      <c r="AU1351" s="507"/>
      <c r="AV1351" s="225"/>
      <c r="AW1351" s="508"/>
      <c r="AX1351" s="225"/>
      <c r="AY1351" s="225"/>
      <c r="AZ1351" s="225"/>
      <c r="BA1351" s="225"/>
      <c r="BB1351" s="225"/>
      <c r="BC1351" s="56"/>
      <c r="BD1351" s="56"/>
      <c r="BE1351" s="56"/>
      <c r="BF1351" s="107" t="str">
        <f t="shared" si="997"/>
        <v>https://www.google.com/search?tbm=isch&amp;q=15%20G4</v>
      </c>
      <c r="BG1351" s="107" t="str">
        <f t="shared" si="998"/>
        <v>F</v>
      </c>
      <c r="BH1351" s="254"/>
      <c r="BI1351" s="254"/>
    </row>
    <row r="1352" spans="1:61" customFormat="1" ht="17.25" thickBot="1" x14ac:dyDescent="0.3">
      <c r="A1352" s="524" t="s">
        <v>4092</v>
      </c>
      <c r="B1352" s="245"/>
      <c r="C1352" s="677"/>
      <c r="D1352" s="499"/>
      <c r="E1352" s="499"/>
      <c r="F1352" s="500"/>
      <c r="G1352" s="501"/>
      <c r="H1352" s="502"/>
      <c r="I1352" s="246"/>
      <c r="J1352" s="247"/>
      <c r="K1352" s="503"/>
      <c r="L1352" s="544"/>
      <c r="M1352" s="544"/>
      <c r="N1352" s="500"/>
      <c r="O1352" s="500"/>
      <c r="P1352" s="500"/>
      <c r="Q1352" s="500"/>
      <c r="R1352" s="500"/>
      <c r="S1352" s="669" t="s">
        <v>4978</v>
      </c>
      <c r="T1352" s="508">
        <f t="shared" si="986"/>
        <v>0</v>
      </c>
      <c r="U1352" s="225" t="str">
        <f>IF(NOT(ISNUMBER(G1352)), "", VLOOKUP(A1352,'Discount Lookup'!D:E,2,FALSE)*G1352)</f>
        <v/>
      </c>
      <c r="V1352" s="225" t="str">
        <f>IF(NOT(ISNUMBER(G1352)), "", VLOOKUP(A1352,'Discount Lookup'!G:H,2,FALSE)*G1352)</f>
        <v/>
      </c>
      <c r="W1352" s="508">
        <f t="shared" si="987"/>
        <v>0</v>
      </c>
      <c r="X1352" s="508">
        <f t="shared" si="988"/>
        <v>0</v>
      </c>
      <c r="Y1352" s="509" t="b">
        <f t="shared" si="989"/>
        <v>0</v>
      </c>
      <c r="Z1352" s="510">
        <f t="shared" si="990"/>
        <v>0</v>
      </c>
      <c r="AA1352" s="511"/>
      <c r="AB1352" s="511" t="str">
        <f t="shared" si="991"/>
        <v/>
      </c>
      <c r="AC1352" s="698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698"/>
      <c r="AE1352" s="631" t="str">
        <f t="shared" si="992"/>
        <v/>
      </c>
      <c r="AF1352" s="699" t="str">
        <f t="shared" si="993"/>
        <v/>
      </c>
      <c r="AG1352" s="699"/>
      <c r="AH1352" s="699"/>
      <c r="AI1352" s="512">
        <f>IF(H1352="credit",0,IF(AE1352="free",0,IF(AE1352="me",0,IF(G1352&gt;0,(VLOOKUP(A1352,'Discount Lookup'!J:K,2)*G1352),0))))</f>
        <v>0</v>
      </c>
      <c r="AJ1352" s="513" t="str">
        <f t="shared" ca="1" si="994"/>
        <v/>
      </c>
      <c r="AK1352" s="700" t="str">
        <f t="shared" si="995"/>
        <v/>
      </c>
      <c r="AL1352" s="700"/>
      <c r="AM1352" s="505" t="str">
        <f t="shared" si="996"/>
        <v/>
      </c>
      <c r="AN1352" s="506"/>
      <c r="AO1352" s="507"/>
      <c r="AP1352" s="507"/>
      <c r="AQ1352" s="507"/>
      <c r="AR1352" s="507"/>
      <c r="AS1352" s="507"/>
      <c r="AT1352" s="507"/>
      <c r="AU1352" s="507"/>
      <c r="AV1352" s="225"/>
      <c r="AW1352" s="508"/>
      <c r="AX1352" s="225"/>
      <c r="AY1352" s="225"/>
      <c r="AZ1352" s="225"/>
      <c r="BA1352" s="225"/>
      <c r="BB1352" s="225"/>
      <c r="BC1352" s="56"/>
      <c r="BD1352" s="56"/>
      <c r="BE1352" s="56"/>
      <c r="BF1352" s="107" t="str">
        <f t="shared" si="997"/>
        <v>https://www.google.com/search?tbm=isch&amp;q=First%20Flame%20named%20for%20fiery%20shades%20of%20Orange%20and%20Red%20in%20the%20fall.%20Bred%20for%20cold%20resistance%20</v>
      </c>
      <c r="BG1352" s="107" t="str">
        <f t="shared" si="998"/>
        <v>F</v>
      </c>
      <c r="BH1352" s="254"/>
      <c r="BI1352" s="254"/>
    </row>
    <row r="1353" spans="1:61" customFormat="1" ht="18" x14ac:dyDescent="0.25">
      <c r="A1353" s="523" t="s">
        <v>3182</v>
      </c>
      <c r="B1353" s="235"/>
      <c r="C1353" s="676"/>
      <c r="D1353" s="255" t="s">
        <v>3183</v>
      </c>
      <c r="E1353" s="236"/>
      <c r="F1353" s="236"/>
      <c r="G1353" s="236"/>
      <c r="H1353" s="582" t="s">
        <v>4093</v>
      </c>
      <c r="I1353" s="498" t="s">
        <v>1349</v>
      </c>
      <c r="J1353" s="237"/>
      <c r="K1353" s="237"/>
      <c r="L1353" s="274"/>
      <c r="M1353" s="670" t="s">
        <v>4987</v>
      </c>
      <c r="N1353" s="681" t="str">
        <f>IF(AND(ISTEXT($A1353), ISERROR($A1353+0)), HYPERLINK($BF1353, "Images"), "")</f>
        <v>Images</v>
      </c>
      <c r="O1353" s="663" t="s">
        <v>4974</v>
      </c>
      <c r="P1353" s="253"/>
      <c r="Q1353" s="238"/>
      <c r="R1353" s="239"/>
      <c r="S1353" s="275"/>
      <c r="T1353" s="508">
        <f t="shared" si="986"/>
        <v>0</v>
      </c>
      <c r="U1353" s="225" t="str">
        <f>IF(NOT(ISNUMBER(G1353)), "", VLOOKUP(A1353,'Discount Lookup'!D:E,2,FALSE)*G1353)</f>
        <v/>
      </c>
      <c r="V1353" s="225" t="str">
        <f>IF(NOT(ISNUMBER(G1353)), "", VLOOKUP(A1353,'Discount Lookup'!G:H,2,FALSE)*G1353)</f>
        <v/>
      </c>
      <c r="W1353" s="508">
        <f t="shared" si="987"/>
        <v>0</v>
      </c>
      <c r="X1353" s="508" t="str">
        <f t="shared" si="988"/>
        <v>Pale Lavender bloom</v>
      </c>
      <c r="Y1353" s="509" t="b">
        <f t="shared" si="989"/>
        <v>0</v>
      </c>
      <c r="Z1353" s="510">
        <f t="shared" si="990"/>
        <v>0</v>
      </c>
      <c r="AA1353" s="511"/>
      <c r="AB1353" s="511" t="str">
        <f t="shared" si="991"/>
        <v/>
      </c>
      <c r="AC1353" s="698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698"/>
      <c r="AE1353" s="631" t="str">
        <f t="shared" si="992"/>
        <v/>
      </c>
      <c r="AF1353" s="699" t="str">
        <f t="shared" si="993"/>
        <v/>
      </c>
      <c r="AG1353" s="699"/>
      <c r="AH1353" s="699"/>
      <c r="AI1353" s="512">
        <f>IF(H1353="credit",0,IF(AE1353="free",0,IF(AE1353="me",0,IF(G1353&gt;0,(VLOOKUP(A1353,'Discount Lookup'!J:K,2)*G1353),0))))</f>
        <v>0</v>
      </c>
      <c r="AJ1353" s="513" t="str">
        <f t="shared" ca="1" si="994"/>
        <v/>
      </c>
      <c r="AK1353" s="700" t="str">
        <f t="shared" si="995"/>
        <v/>
      </c>
      <c r="AL1353" s="700"/>
      <c r="AM1353" s="505" t="str">
        <f t="shared" si="996"/>
        <v/>
      </c>
      <c r="AN1353" s="506"/>
      <c r="AO1353" s="507"/>
      <c r="AP1353" s="507"/>
      <c r="AQ1353" s="507"/>
      <c r="AR1353" s="507"/>
      <c r="AS1353" s="507"/>
      <c r="AT1353" s="507"/>
      <c r="AU1353" s="507"/>
      <c r="AV1353" s="225"/>
      <c r="AW1353" s="508"/>
      <c r="AX1353" s="225"/>
      <c r="AY1353" s="225"/>
      <c r="AZ1353" s="225"/>
      <c r="BA1353" s="225"/>
      <c r="BB1353" s="225"/>
      <c r="BC1353" s="56"/>
      <c r="BD1353" s="56"/>
      <c r="BE1353" s="56"/>
      <c r="BF1353" s="107" t="str">
        <f t="shared" si="997"/>
        <v>https://www.google.com/search?tbm=isch&amp;q=First%20Frost%20Hosta%20Hosta%20%27First%20Frost%27</v>
      </c>
      <c r="BG1353" s="107" t="str">
        <f t="shared" si="998"/>
        <v>F</v>
      </c>
      <c r="BH1353" s="254"/>
      <c r="BI1353" s="254"/>
    </row>
    <row r="1354" spans="1:61" customFormat="1" ht="15.75" x14ac:dyDescent="0.25">
      <c r="A1354" s="276">
        <v>4</v>
      </c>
      <c r="B1354" s="240" t="s">
        <v>340</v>
      </c>
      <c r="C1354" s="241"/>
      <c r="D1354" s="242" t="s">
        <v>312</v>
      </c>
      <c r="E1354" s="243">
        <v>14.95</v>
      </c>
      <c r="F1354" s="517" t="s">
        <v>293</v>
      </c>
      <c r="G1354" s="232">
        <v>0</v>
      </c>
      <c r="H1354" s="661" t="str">
        <f>IF(G1354=0,"",IF(F1354="Buy",IF(G1354=1,"plant","plants"),IF(F1354&gt;0.01,"warranty","Error")))</f>
        <v/>
      </c>
      <c r="I1354" s="244">
        <f>IF(H1354="free",0,IF(H1354="credit",((E1354*(F1354))*G1354*-1),IF(F1354="Buy",(E1354*G1354),((E1354*(1-F1354))*G1354))))</f>
        <v>0</v>
      </c>
      <c r="J1354" s="244">
        <f>IF(H1354="warranty",0,(I1354*(_xlfn.SINGLE(SalesTaxPercentage))))</f>
        <v>0</v>
      </c>
      <c r="K1354" s="696">
        <f t="shared" ref="K1354" si="1033">I1354+J1354</f>
        <v>0</v>
      </c>
      <c r="L1354" s="696"/>
      <c r="M1354" s="659" t="str">
        <f>IF(AND(G1354&gt;0,E1354=0),"WARNING - no PRICE inserted",IF(H1354="free"," FREE ~ no charge this plant",IF(H1354="credit",CONCATENATE(" -$",ROUND(K1354*(1-T2GDiscount)*-1,2)," CREDIT after discount"),IF(T2GDiscount=0,"",IF(G1354=0,"",IF(F1354="Buy",CONCATENATE(" $",ROUND(K1354*(1-T2GDiscount),2)," with ",(T2GDiscount*100),"% discount"),CONCATENATE(" $",ROUND(K1354*(1-T2GDiscount),2)," with ",((T2GDiscount*100+F1354*100)-(T2GDiscount*100*F1354)),IF(F1354&gt;0,"% discounts",IF(NoWarrantyDiscount&gt;0,"% discounts","% discount")))))))))</f>
        <v/>
      </c>
      <c r="N1354" s="660"/>
      <c r="O1354" s="233"/>
      <c r="P1354" s="233"/>
      <c r="Q1354" s="233"/>
      <c r="R1354" s="233"/>
      <c r="S1354" s="233"/>
      <c r="T1354" s="508">
        <f t="shared" si="986"/>
        <v>0</v>
      </c>
      <c r="U1354" s="225">
        <f>IF(NOT(ISNUMBER(G1354)), "", VLOOKUP(A1354,'Discount Lookup'!D:E,2,FALSE)*G1354)</f>
        <v>0</v>
      </c>
      <c r="V1354" s="225">
        <f>IF(NOT(ISNUMBER(G1354)), "", VLOOKUP(A1354,'Discount Lookup'!G:H,2,FALSE)*G1354)</f>
        <v>0</v>
      </c>
      <c r="W1354" s="508">
        <f t="shared" si="987"/>
        <v>0</v>
      </c>
      <c r="X1354" s="508">
        <f t="shared" si="988"/>
        <v>0</v>
      </c>
      <c r="Y1354" s="509" t="b">
        <f t="shared" si="989"/>
        <v>0</v>
      </c>
      <c r="Z1354" s="510">
        <f t="shared" si="990"/>
        <v>0</v>
      </c>
      <c r="AA1354" s="511"/>
      <c r="AB1354" s="511" t="str">
        <f t="shared" si="991"/>
        <v/>
      </c>
      <c r="AC1354" s="698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698"/>
      <c r="AE1354" s="631" t="str">
        <f t="shared" si="992"/>
        <v/>
      </c>
      <c r="AF1354" s="699" t="str">
        <f t="shared" si="993"/>
        <v/>
      </c>
      <c r="AG1354" s="699"/>
      <c r="AH1354" s="699"/>
      <c r="AI1354" s="512">
        <f>IF(H1354="credit",0,IF(AE1354="free",0,IF(AE1354="me",0,IF(G1354&gt;0,(VLOOKUP(A1354,'Discount Lookup'!J:K,2)*G1354),0))))</f>
        <v>0</v>
      </c>
      <c r="AJ1354" s="513" t="str">
        <f t="shared" ca="1" si="994"/>
        <v/>
      </c>
      <c r="AK1354" s="700" t="str">
        <f t="shared" si="995"/>
        <v/>
      </c>
      <c r="AL1354" s="700"/>
      <c r="AM1354" s="505" t="str">
        <f t="shared" si="996"/>
        <v/>
      </c>
      <c r="AN1354" s="506"/>
      <c r="AO1354" s="507"/>
      <c r="AP1354" s="507"/>
      <c r="AQ1354" s="507"/>
      <c r="AR1354" s="507"/>
      <c r="AS1354" s="507"/>
      <c r="AT1354" s="507"/>
      <c r="AU1354" s="507"/>
      <c r="AV1354" s="225"/>
      <c r="AW1354" s="508"/>
      <c r="AX1354" s="225"/>
      <c r="AY1354" s="225"/>
      <c r="AZ1354" s="225"/>
      <c r="BA1354" s="225"/>
      <c r="BB1354" s="225"/>
      <c r="BC1354" s="56"/>
      <c r="BD1354" s="56"/>
      <c r="BE1354" s="56"/>
      <c r="BF1354" s="107" t="str">
        <f t="shared" si="997"/>
        <v>https://www.google.com/search?tbm=isch&amp;q=4%20G2</v>
      </c>
      <c r="BG1354" s="107" t="str">
        <f t="shared" si="998"/>
        <v>F</v>
      </c>
      <c r="BH1354" s="254"/>
      <c r="BI1354" s="254"/>
    </row>
    <row r="1355" spans="1:61" customFormat="1" ht="17.25" thickBot="1" x14ac:dyDescent="0.3">
      <c r="A1355" s="673" t="s">
        <v>5114</v>
      </c>
      <c r="B1355" s="245"/>
      <c r="C1355" s="677"/>
      <c r="D1355" s="499"/>
      <c r="E1355" s="499"/>
      <c r="F1355" s="500"/>
      <c r="G1355" s="501"/>
      <c r="H1355" s="502"/>
      <c r="I1355" s="246"/>
      <c r="J1355" s="247"/>
      <c r="K1355" s="503"/>
      <c r="L1355" s="544"/>
      <c r="M1355" s="544"/>
      <c r="N1355" s="500"/>
      <c r="O1355" s="500"/>
      <c r="P1355" s="500"/>
      <c r="Q1355" s="500"/>
      <c r="R1355" s="500"/>
      <c r="S1355" s="669" t="s">
        <v>4977</v>
      </c>
      <c r="T1355" s="508">
        <f t="shared" si="986"/>
        <v>0</v>
      </c>
      <c r="U1355" s="225" t="str">
        <f>IF(NOT(ISNUMBER(G1355)), "", VLOOKUP(A1355,'Discount Lookup'!D:E,2,FALSE)*G1355)</f>
        <v/>
      </c>
      <c r="V1355" s="225" t="str">
        <f>IF(NOT(ISNUMBER(G1355)), "", VLOOKUP(A1355,'Discount Lookup'!G:H,2,FALSE)*G1355)</f>
        <v/>
      </c>
      <c r="W1355" s="508">
        <f t="shared" si="987"/>
        <v>0</v>
      </c>
      <c r="X1355" s="508">
        <f t="shared" si="988"/>
        <v>0</v>
      </c>
      <c r="Y1355" s="509" t="b">
        <f t="shared" si="989"/>
        <v>0</v>
      </c>
      <c r="Z1355" s="510">
        <f t="shared" si="990"/>
        <v>0</v>
      </c>
      <c r="AA1355" s="511"/>
      <c r="AB1355" s="511" t="str">
        <f t="shared" si="991"/>
        <v/>
      </c>
      <c r="AC1355" s="698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698"/>
      <c r="AE1355" s="631" t="str">
        <f t="shared" si="992"/>
        <v/>
      </c>
      <c r="AF1355" s="699" t="str">
        <f t="shared" si="993"/>
        <v/>
      </c>
      <c r="AG1355" s="699"/>
      <c r="AH1355" s="699"/>
      <c r="AI1355" s="512">
        <f>IF(H1355="credit",0,IF(AE1355="free",0,IF(AE1355="me",0,IF(G1355&gt;0,(VLOOKUP(A1355,'Discount Lookup'!J:K,2)*G1355),0))))</f>
        <v>0</v>
      </c>
      <c r="AJ1355" s="513" t="str">
        <f t="shared" ca="1" si="994"/>
        <v/>
      </c>
      <c r="AK1355" s="700" t="str">
        <f t="shared" si="995"/>
        <v/>
      </c>
      <c r="AL1355" s="700"/>
      <c r="AM1355" s="505" t="str">
        <f t="shared" si="996"/>
        <v/>
      </c>
      <c r="AN1355" s="506"/>
      <c r="AO1355" s="507"/>
      <c r="AP1355" s="507"/>
      <c r="AQ1355" s="507"/>
      <c r="AR1355" s="507"/>
      <c r="AS1355" s="507"/>
      <c r="AT1355" s="507"/>
      <c r="AU1355" s="507"/>
      <c r="AV1355" s="225"/>
      <c r="AW1355" s="508"/>
      <c r="AX1355" s="225"/>
      <c r="AY1355" s="225"/>
      <c r="AZ1355" s="225"/>
      <c r="BA1355" s="225"/>
      <c r="BB1355" s="225"/>
      <c r="BC1355" s="56"/>
      <c r="BD1355" s="56"/>
      <c r="BE1355" s="56"/>
      <c r="BF1355" s="107" t="str">
        <f t="shared" si="997"/>
        <v>https://www.google.com/search?tbm=isch&amp;q=moist%20sites%F0%9F%92%A7OK%2C%20First%20Frost%20named%20for%20%22frosted%22%20look%20of%20powdery%20Blue-Green%20leaf%20centers%20and%20Creamy-White%20margin%20</v>
      </c>
      <c r="BG1355" s="107" t="str">
        <f t="shared" si="998"/>
        <v>m</v>
      </c>
      <c r="BH1355" s="254"/>
      <c r="BI1355" s="254"/>
    </row>
    <row r="1356" spans="1:61" customFormat="1" ht="18" x14ac:dyDescent="0.25">
      <c r="A1356" s="523" t="s">
        <v>895</v>
      </c>
      <c r="B1356" s="235"/>
      <c r="C1356" s="676"/>
      <c r="D1356" s="255" t="s">
        <v>896</v>
      </c>
      <c r="E1356" s="236"/>
      <c r="F1356" s="236"/>
      <c r="G1356" s="236"/>
      <c r="H1356" s="582" t="s">
        <v>304</v>
      </c>
      <c r="I1356" s="498" t="s">
        <v>775</v>
      </c>
      <c r="J1356" s="237"/>
      <c r="K1356" s="237"/>
      <c r="L1356" s="274"/>
      <c r="M1356" s="668" t="s">
        <v>4962</v>
      </c>
      <c r="N1356" s="681" t="str">
        <f>IF(AND(ISTEXT($A1356), ISERROR($A1356+0)), HYPERLINK($BF1356, "Images"), "")</f>
        <v>Images</v>
      </c>
      <c r="O1356" s="663" t="s">
        <v>4971</v>
      </c>
      <c r="P1356" s="253"/>
      <c r="Q1356" s="238"/>
      <c r="R1356" s="239"/>
      <c r="S1356" s="275"/>
      <c r="T1356" s="508">
        <f t="shared" si="986"/>
        <v>0</v>
      </c>
      <c r="U1356" s="225" t="str">
        <f>IF(NOT(ISNUMBER(G1356)), "", VLOOKUP(A1356,'Discount Lookup'!D:E,2,FALSE)*G1356)</f>
        <v/>
      </c>
      <c r="V1356" s="225" t="str">
        <f>IF(NOT(ISNUMBER(G1356)), "", VLOOKUP(A1356,'Discount Lookup'!G:H,2,FALSE)*G1356)</f>
        <v/>
      </c>
      <c r="W1356" s="508">
        <f t="shared" si="987"/>
        <v>0</v>
      </c>
      <c r="X1356" s="508" t="str">
        <f t="shared" si="988"/>
        <v>Rose Pink bloom</v>
      </c>
      <c r="Y1356" s="509" t="b">
        <f t="shared" si="989"/>
        <v>0</v>
      </c>
      <c r="Z1356" s="510">
        <f t="shared" si="990"/>
        <v>0</v>
      </c>
      <c r="AA1356" s="511"/>
      <c r="AB1356" s="511" t="str">
        <f t="shared" si="991"/>
        <v/>
      </c>
      <c r="AC1356" s="698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698"/>
      <c r="AE1356" s="631" t="str">
        <f t="shared" si="992"/>
        <v/>
      </c>
      <c r="AF1356" s="699" t="str">
        <f t="shared" si="993"/>
        <v/>
      </c>
      <c r="AG1356" s="699"/>
      <c r="AH1356" s="699"/>
      <c r="AI1356" s="512">
        <f>IF(H1356="credit",0,IF(AE1356="free",0,IF(AE1356="me",0,IF(G1356&gt;0,(VLOOKUP(A1356,'Discount Lookup'!J:K,2)*G1356),0))))</f>
        <v>0</v>
      </c>
      <c r="AJ1356" s="513" t="str">
        <f t="shared" ca="1" si="994"/>
        <v/>
      </c>
      <c r="AK1356" s="700" t="str">
        <f t="shared" si="995"/>
        <v/>
      </c>
      <c r="AL1356" s="700"/>
      <c r="AM1356" s="505" t="str">
        <f t="shared" si="996"/>
        <v/>
      </c>
      <c r="AN1356" s="506"/>
      <c r="AO1356" s="507"/>
      <c r="AP1356" s="507"/>
      <c r="AQ1356" s="507"/>
      <c r="AR1356" s="507"/>
      <c r="AS1356" s="507"/>
      <c r="AT1356" s="507"/>
      <c r="AU1356" s="507"/>
      <c r="AV1356" s="225"/>
      <c r="AW1356" s="508"/>
      <c r="AX1356" s="225"/>
      <c r="AY1356" s="225"/>
      <c r="AZ1356" s="225"/>
      <c r="BA1356" s="225"/>
      <c r="BB1356" s="225"/>
      <c r="BC1356" s="56"/>
      <c r="BD1356" s="56"/>
      <c r="BE1356" s="56"/>
      <c r="BF1356" s="107" t="str">
        <f t="shared" si="997"/>
        <v>https://www.google.com/search?tbm=isch&amp;q=First%20Lady%20Flowering%20Cherry%20Prunus%20%27First%20Lady%27</v>
      </c>
      <c r="BG1356" s="107" t="str">
        <f t="shared" si="998"/>
        <v>F</v>
      </c>
      <c r="BH1356" s="254"/>
      <c r="BI1356" s="254"/>
    </row>
    <row r="1357" spans="1:61" customFormat="1" ht="15.75" x14ac:dyDescent="0.25">
      <c r="A1357" s="276">
        <v>15</v>
      </c>
      <c r="B1357" s="240" t="s">
        <v>291</v>
      </c>
      <c r="C1357" s="241" t="s">
        <v>4406</v>
      </c>
      <c r="D1357" s="242" t="s">
        <v>292</v>
      </c>
      <c r="E1357" s="243">
        <v>169.95</v>
      </c>
      <c r="F1357" s="517" t="s">
        <v>293</v>
      </c>
      <c r="G1357" s="232">
        <v>0</v>
      </c>
      <c r="H1357" s="661" t="str">
        <f>IF(G1357=0,"",IF(F1357="Buy",IF(G1357=1,"plant","plants"),IF(F1357&gt;0.01,"warranty","Error")))</f>
        <v/>
      </c>
      <c r="I1357" s="244">
        <f>IF(H1357="free",0,IF(H1357="credit",((E1357*(F1357))*G1357*-1),IF(F1357="Buy",(E1357*G1357),((E1357*(1-F1357))*G1357))))</f>
        <v>0</v>
      </c>
      <c r="J1357" s="244">
        <f>IF(H1357="warranty",0,(I1357*(_xlfn.SINGLE(SalesTaxPercentage))))</f>
        <v>0</v>
      </c>
      <c r="K1357" s="696">
        <f t="shared" ref="K1357" si="1034">I1357+J1357</f>
        <v>0</v>
      </c>
      <c r="L1357" s="696"/>
      <c r="M1357" s="659" t="str">
        <f>IF(AND(G1357&gt;0,E1357=0),"WARNING - no PRICE inserted",IF(H1357="free"," FREE ~ no charge this plant",IF(H1357="credit",CONCATENATE(" -$",ROUND(K1357*(1-T2GDiscount)*-1,2)," CREDIT after discount"),IF(T2GDiscount=0,"",IF(G1357=0,"",IF(F1357="Buy",CONCATENATE(" $",ROUND(K1357*(1-T2GDiscount),2)," with ",(T2GDiscount*100),"% discount"),CONCATENATE(" $",ROUND(K1357*(1-T2GDiscount),2)," with ",((T2GDiscount*100+F1357*100)-(T2GDiscount*100*F1357)),IF(F1357&gt;0,"% discounts",IF(NoWarrantyDiscount&gt;0,"% discounts","% discount")))))))))</f>
        <v/>
      </c>
      <c r="N1357" s="660"/>
      <c r="O1357" s="233"/>
      <c r="P1357" s="233"/>
      <c r="Q1357" s="233"/>
      <c r="R1357" s="233"/>
      <c r="S1357" s="233"/>
      <c r="T1357" s="508">
        <f t="shared" si="986"/>
        <v>0</v>
      </c>
      <c r="U1357" s="225">
        <f>IF(NOT(ISNUMBER(G1357)), "", VLOOKUP(A1357,'Discount Lookup'!D:E,2,FALSE)*G1357)</f>
        <v>0</v>
      </c>
      <c r="V1357" s="225">
        <f>IF(NOT(ISNUMBER(G1357)), "", VLOOKUP(A1357,'Discount Lookup'!G:H,2,FALSE)*G1357)</f>
        <v>0</v>
      </c>
      <c r="W1357" s="508">
        <f t="shared" si="987"/>
        <v>0</v>
      </c>
      <c r="X1357" s="508">
        <f t="shared" si="988"/>
        <v>0</v>
      </c>
      <c r="Y1357" s="509" t="b">
        <f t="shared" si="989"/>
        <v>0</v>
      </c>
      <c r="Z1357" s="510">
        <f t="shared" si="990"/>
        <v>0</v>
      </c>
      <c r="AA1357" s="511"/>
      <c r="AB1357" s="511" t="str">
        <f t="shared" si="991"/>
        <v/>
      </c>
      <c r="AC1357" s="698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698"/>
      <c r="AE1357" s="631" t="str">
        <f t="shared" si="992"/>
        <v/>
      </c>
      <c r="AF1357" s="699" t="str">
        <f t="shared" si="993"/>
        <v/>
      </c>
      <c r="AG1357" s="699"/>
      <c r="AH1357" s="699"/>
      <c r="AI1357" s="512">
        <f>IF(H1357="credit",0,IF(AE1357="free",0,IF(AE1357="me",0,IF(G1357&gt;0,(VLOOKUP(A1357,'Discount Lookup'!J:K,2)*G1357),0))))</f>
        <v>0</v>
      </c>
      <c r="AJ1357" s="513" t="str">
        <f t="shared" ca="1" si="994"/>
        <v/>
      </c>
      <c r="AK1357" s="700" t="str">
        <f t="shared" si="995"/>
        <v/>
      </c>
      <c r="AL1357" s="700"/>
      <c r="AM1357" s="505" t="str">
        <f t="shared" si="996"/>
        <v/>
      </c>
      <c r="AN1357" s="506"/>
      <c r="AO1357" s="507"/>
      <c r="AP1357" s="507"/>
      <c r="AQ1357" s="507"/>
      <c r="AR1357" s="507"/>
      <c r="AS1357" s="507"/>
      <c r="AT1357" s="507"/>
      <c r="AU1357" s="507"/>
      <c r="AV1357" s="225"/>
      <c r="AW1357" s="508"/>
      <c r="AX1357" s="225"/>
      <c r="AY1357" s="225"/>
      <c r="AZ1357" s="225"/>
      <c r="BA1357" s="225"/>
      <c r="BB1357" s="225"/>
      <c r="BC1357" s="56"/>
      <c r="BD1357" s="56"/>
      <c r="BE1357" s="56"/>
      <c r="BF1357" s="107" t="str">
        <f t="shared" si="997"/>
        <v>https://www.google.com/search?tbm=isch&amp;q=15%20G4</v>
      </c>
      <c r="BG1357" s="107" t="str">
        <f t="shared" si="998"/>
        <v>F</v>
      </c>
      <c r="BH1357" s="254"/>
      <c r="BI1357" s="254"/>
    </row>
    <row r="1358" spans="1:61" customFormat="1" ht="15.75" x14ac:dyDescent="0.25">
      <c r="A1358" s="276">
        <v>15</v>
      </c>
      <c r="B1358" s="240" t="s">
        <v>291</v>
      </c>
      <c r="C1358" s="241" t="s">
        <v>897</v>
      </c>
      <c r="D1358" s="242" t="s">
        <v>300</v>
      </c>
      <c r="E1358" s="243">
        <v>299.95</v>
      </c>
      <c r="F1358" s="517" t="s">
        <v>293</v>
      </c>
      <c r="G1358" s="232">
        <v>0</v>
      </c>
      <c r="H1358" s="661" t="str">
        <f>IF(G1358=0,"",IF(F1358="Buy",IF(G1358=1,"plant","plants"),IF(F1358&gt;0.01,"warranty","Error")))</f>
        <v/>
      </c>
      <c r="I1358" s="244">
        <f>IF(H1358="free",0,IF(H1358="credit",((E1358*(F1358))*G1358*-1),IF(F1358="Buy",(E1358*G1358),((E1358*(1-F1358))*G1358))))</f>
        <v>0</v>
      </c>
      <c r="J1358" s="244">
        <f>IF(H1358="warranty",0,(I1358*(_xlfn.SINGLE(SalesTaxPercentage))))</f>
        <v>0</v>
      </c>
      <c r="K1358" s="696">
        <f t="shared" ref="K1358" si="1035">I1358+J1358</f>
        <v>0</v>
      </c>
      <c r="L1358" s="696"/>
      <c r="M1358" s="659" t="str">
        <f>IF(AND(G1358&gt;0,E1358=0),"WARNING - no PRICE inserted",IF(H1358="free"," FREE ~ no charge this plant",IF(H1358="credit",CONCATENATE(" -$",ROUND(K1358*(1-T2GDiscount)*-1,2)," CREDIT after discount"),IF(T2GDiscount=0,"",IF(G1358=0,"",IF(F1358="Buy",CONCATENATE(" $",ROUND(K1358*(1-T2GDiscount),2)," with ",(T2GDiscount*100),"% discount"),CONCATENATE(" $",ROUND(K1358*(1-T2GDiscount),2)," with ",((T2GDiscount*100+F1358*100)-(T2GDiscount*100*F1358)),IF(F1358&gt;0,"% discounts",IF(NoWarrantyDiscount&gt;0,"% discounts","% discount")))))))))</f>
        <v/>
      </c>
      <c r="N1358" s="660"/>
      <c r="O1358" s="233"/>
      <c r="P1358" s="233"/>
      <c r="Q1358" s="233"/>
      <c r="R1358" s="233"/>
      <c r="S1358" s="233"/>
      <c r="T1358" s="508">
        <f t="shared" ref="T1358:T1421" si="1036">E1358*G1358</f>
        <v>0</v>
      </c>
      <c r="U1358" s="225">
        <f>IF(NOT(ISNUMBER(G1358)), "", VLOOKUP(A1358,'Discount Lookup'!D:E,2,FALSE)*G1358)</f>
        <v>0</v>
      </c>
      <c r="V1358" s="225">
        <f>IF(NOT(ISNUMBER(G1358)), "", VLOOKUP(A1358,'Discount Lookup'!G:H,2,FALSE)*G1358)</f>
        <v>0</v>
      </c>
      <c r="W1358" s="508">
        <f t="shared" ref="W1358:W1421" si="1037">IF(H1358="credit",0,E1358*(SalesTaxPercentage)*G1358)</f>
        <v>0</v>
      </c>
      <c r="X1358" s="508">
        <f t="shared" ref="X1358:X1421" si="1038">I1358</f>
        <v>0</v>
      </c>
      <c r="Y1358" s="509" t="b">
        <f t="shared" ref="Y1358:Y1421" si="1039">IF(AE1358="T2G",0,IF(H1358="credit",0,IF(G1358&gt;0,IF(AE1358="me","",G1358))))</f>
        <v>0</v>
      </c>
      <c r="Z1358" s="510">
        <f t="shared" ref="Z1358:Z1421" si="1040">IF(H1358="credit",G1358,0)</f>
        <v>0</v>
      </c>
      <c r="AA1358" s="511"/>
      <c r="AB1358" s="511" t="str">
        <f t="shared" ref="AB1358:AB1421" si="1041">IF(AE1358="T2G","by Trees2Go",IF(H1358="credit","CREDIT only ~",IF(AND(K1358="",AE1358=OR(PlanterYesMe="No",PlanterYesMe="N",PlanterYesMe="me")),"not THIS line⇨",IF(AND(K1358="images",AE1358="me"),"not THIS line⇨",IF(H1358="credit","",IF(G1358=0,"",IF(AE1358="me","",IF(OR(PlanterYesMe="No",PlanterYesMe="N",PlanterYesMe="me"),"",IF(AE1358="free","warranty",IF(OR(PlanterYesMe="yes",PlanterYesMe="y"),"Edison install:","to install:"))))))))))</f>
        <v/>
      </c>
      <c r="AC1358" s="698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698"/>
      <c r="AE1358" s="631" t="str">
        <f t="shared" ref="AE1358:AE1421" si="1042">IF(H1358="credit","",IF(G1358=0,"",IF(OR(PlanterYesMe="No",PlanterYesMe="N",PlanterYesMe="me"),"me",IF(H1358="warranty","free",IF(OR(PlanterYesMe="yes",PlanterYesMe="y"),"ELP","")))))</f>
        <v/>
      </c>
      <c r="AF1358" s="699" t="str">
        <f t="shared" ref="AF1358:AF1421" si="1043">IF(OR(PlanterYesMe="No",PlanterYesMe="N",PlanterYesMe="me"),"",IF(H1358="credit","",IF(G1358&gt;0,(CONCATENATE((G1358)," quantity, ",(A1358)," ",B1358)),"")))</f>
        <v/>
      </c>
      <c r="AG1358" s="699"/>
      <c r="AH1358" s="699"/>
      <c r="AI1358" s="512">
        <f>IF(H1358="credit",0,IF(AE1358="free",0,IF(AE1358="me",0,IF(G1358&gt;0,(VLOOKUP(A1358,'Discount Lookup'!J:K,2)*G1358),0))))</f>
        <v>0</v>
      </c>
      <c r="AJ1358" s="513" t="str">
        <f t="shared" ref="AJ1358:AJ1421" ca="1" si="1044">IF(AND(ISREF(H1358),H1358="credit"),"",IF(AND(AND(OFFSET(G1358,0,0)=0,OFFSET(G1358,1,0)&gt;0,ISNUMBER(OFFSET(AC1358,1,0)),OFFSET(AC1358,1,0)&gt;0),OR(PlanterYesMe="yes",PlanterYesMe="y")),"T2G+ELP=",IF(AND(OFFSET(G1358,0,0)=0,OFFSET(G1358,1,0)&gt;0,ISNUMBER(OFFSET(AC1358,1,0)),OFFSET(AC1358,1,0)&gt;0),"if T2G+ELP=",IF(AND(OFFSET(G1358,0,0)=0,OFFSET(G1358,1,0)&gt;0),"T2G Subtotal",IF(H1358="credit","",IF(G1358=0,"",IF(AE1358="free",(K1358*(1-T2GDiscount)),IF(OR(PlanterYesMe="No",PlanterYesMe="N",PlanterYesMe="me"),(K1358*(1-T2GDiscount)),IF(OR(AE1358="me",AE1358="T2G"),(K1358*(1-T2GDiscount)),(K1358*(1-T2GDiscount))+AC1358)))))))))</f>
        <v/>
      </c>
      <c r="AK1358" s="700" t="str">
        <f t="shared" ref="AK1358:AK1421" si="1045">IF(H1358="credit","",IF(G1358=0,"",IF(OR(AE1358="me",AE1358="T2G"),"  delivery-only",IF(OR(PlanterYesMe="No",PlanterYesMe="N",PlanterYesMe="me"),"  delivery-only",CONCATENATE(" $",ROUND(AJ1358/G1358,2)," each")))))</f>
        <v/>
      </c>
      <c r="AL1358" s="700"/>
      <c r="AM1358" s="505" t="str">
        <f t="shared" ref="AM1358:AM1421" si="1046">IF(H1358="credit","",IF(AE1358="free","      ~ discounts included, no tax or planting fee applies ~",IF(G1358=0,"",IF(OR(PlanterYesMe="No",PlanterYesMe="N",PlanterYesMe="me"),CONCATENATE(" $",ROUND(AJ1358/G1358,2)," per plant, with tax &amp; discount"),IF(OR(AE1358="me",AE1358="T2G"),CONCATENATE(" $",ROUND(AJ1358/G1358,2)," per plant, with tax &amp; discount"),CONCATENATE("= $",ROUND((K1358*(1-T2GDiscount))/G1358,2)," per plant + $",AC1358/G1358,(" per planting      ~ includes tax &amp; discounts ~")))))))</f>
        <v/>
      </c>
      <c r="AN1358" s="506"/>
      <c r="AO1358" s="507"/>
      <c r="AP1358" s="507"/>
      <c r="AQ1358" s="507"/>
      <c r="AR1358" s="507"/>
      <c r="AS1358" s="507"/>
      <c r="AT1358" s="507"/>
      <c r="AU1358" s="507"/>
      <c r="AV1358" s="225"/>
      <c r="AW1358" s="508"/>
      <c r="AX1358" s="225"/>
      <c r="AY1358" s="225"/>
      <c r="AZ1358" s="225"/>
      <c r="BA1358" s="225"/>
      <c r="BB1358" s="225"/>
      <c r="BC1358" s="56"/>
      <c r="BD1358" s="56"/>
      <c r="BE1358" s="56"/>
      <c r="BF1358" s="107" t="str">
        <f t="shared" ref="BF1358:BF1421" si="1047">"https://www.google.com/search?tbm=isch&amp;q=" &amp; _xlfn.ENCODEURL($A1358 &amp; " " &amp; $D1358)</f>
        <v>https://www.google.com/search?tbm=isch&amp;q=15%20G6</v>
      </c>
      <c r="BG1358" s="107" t="str">
        <f t="shared" ref="BG1358:BG1421" si="1048">IF(ISTEXT(A1358),LEFT(A1358,1),BG1357)</f>
        <v>F</v>
      </c>
      <c r="BH1358" s="254"/>
      <c r="BI1358" s="254"/>
    </row>
    <row r="1359" spans="1:61" customFormat="1" ht="17.25" thickBot="1" x14ac:dyDescent="0.3">
      <c r="A1359" s="524" t="s">
        <v>2380</v>
      </c>
      <c r="B1359" s="245"/>
      <c r="C1359" s="677"/>
      <c r="D1359" s="499"/>
      <c r="E1359" s="499"/>
      <c r="F1359" s="500"/>
      <c r="G1359" s="501"/>
      <c r="H1359" s="502"/>
      <c r="I1359" s="246"/>
      <c r="J1359" s="247"/>
      <c r="K1359" s="503"/>
      <c r="L1359" s="544"/>
      <c r="M1359" s="544"/>
      <c r="N1359" s="500"/>
      <c r="O1359" s="500"/>
      <c r="P1359" s="500"/>
      <c r="Q1359" s="500"/>
      <c r="R1359" s="500"/>
      <c r="S1359" s="669" t="s">
        <v>4978</v>
      </c>
      <c r="T1359" s="508">
        <f t="shared" si="1036"/>
        <v>0</v>
      </c>
      <c r="U1359" s="225" t="str">
        <f>IF(NOT(ISNUMBER(G1359)), "", VLOOKUP(A1359,'Discount Lookup'!D:E,2,FALSE)*G1359)</f>
        <v/>
      </c>
      <c r="V1359" s="225" t="str">
        <f>IF(NOT(ISNUMBER(G1359)), "", VLOOKUP(A1359,'Discount Lookup'!G:H,2,FALSE)*G1359)</f>
        <v/>
      </c>
      <c r="W1359" s="508">
        <f t="shared" si="1037"/>
        <v>0</v>
      </c>
      <c r="X1359" s="508">
        <f t="shared" si="1038"/>
        <v>0</v>
      </c>
      <c r="Y1359" s="509" t="b">
        <f t="shared" si="1039"/>
        <v>0</v>
      </c>
      <c r="Z1359" s="510">
        <f t="shared" si="1040"/>
        <v>0</v>
      </c>
      <c r="AA1359" s="511"/>
      <c r="AB1359" s="511" t="str">
        <f t="shared" si="1041"/>
        <v/>
      </c>
      <c r="AC1359" s="698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698"/>
      <c r="AE1359" s="631" t="str">
        <f t="shared" si="1042"/>
        <v/>
      </c>
      <c r="AF1359" s="699" t="str">
        <f t="shared" si="1043"/>
        <v/>
      </c>
      <c r="AG1359" s="699"/>
      <c r="AH1359" s="699"/>
      <c r="AI1359" s="512">
        <f>IF(H1359="credit",0,IF(AE1359="free",0,IF(AE1359="me",0,IF(G1359&gt;0,(VLOOKUP(A1359,'Discount Lookup'!J:K,2)*G1359),0))))</f>
        <v>0</v>
      </c>
      <c r="AJ1359" s="513" t="str">
        <f t="shared" ca="1" si="1044"/>
        <v/>
      </c>
      <c r="AK1359" s="700" t="str">
        <f t="shared" si="1045"/>
        <v/>
      </c>
      <c r="AL1359" s="700"/>
      <c r="AM1359" s="505" t="str">
        <f t="shared" si="1046"/>
        <v/>
      </c>
      <c r="AN1359" s="506"/>
      <c r="AO1359" s="507"/>
      <c r="AP1359" s="507"/>
      <c r="AQ1359" s="507"/>
      <c r="AR1359" s="507"/>
      <c r="AS1359" s="507"/>
      <c r="AT1359" s="507"/>
      <c r="AU1359" s="507"/>
      <c r="AV1359" s="225"/>
      <c r="AW1359" s="508"/>
      <c r="AX1359" s="225"/>
      <c r="AY1359" s="225"/>
      <c r="AZ1359" s="225"/>
      <c r="BA1359" s="225"/>
      <c r="BB1359" s="225"/>
      <c r="BC1359" s="56"/>
      <c r="BD1359" s="56"/>
      <c r="BE1359" s="56"/>
      <c r="BF1359" s="107" t="str">
        <f t="shared" si="1047"/>
        <v>https://www.google.com/search?tbm=isch&amp;q=First%20Lady%20has%20abundant%20flowers%2C%20cold-hardiness%2C%20and%20an%20upright%2C%20narrow%20form%20that%20fits%20anywhere%20</v>
      </c>
      <c r="BG1359" s="107" t="str">
        <f t="shared" si="1048"/>
        <v>F</v>
      </c>
      <c r="BH1359" s="254"/>
      <c r="BI1359" s="254"/>
    </row>
    <row r="1360" spans="1:61" customFormat="1" ht="18" x14ac:dyDescent="0.25">
      <c r="A1360" s="523" t="s">
        <v>5408</v>
      </c>
      <c r="B1360" s="235"/>
      <c r="C1360" s="676"/>
      <c r="D1360" s="255" t="s">
        <v>898</v>
      </c>
      <c r="E1360" s="236"/>
      <c r="F1360" s="236"/>
      <c r="G1360" s="236"/>
      <c r="H1360" s="582" t="s">
        <v>899</v>
      </c>
      <c r="I1360" s="498" t="s">
        <v>900</v>
      </c>
      <c r="J1360" s="237"/>
      <c r="K1360" s="237"/>
      <c r="L1360" s="274"/>
      <c r="M1360" s="668" t="s">
        <v>4962</v>
      </c>
      <c r="N1360" s="681" t="str">
        <f>IF(AND(ISTEXT($A1360), ISERROR($A1360+0)), HYPERLINK($BF1360, "Images"), "")</f>
        <v>Images</v>
      </c>
      <c r="O1360" s="663" t="s">
        <v>4969</v>
      </c>
      <c r="P1360" s="253"/>
      <c r="Q1360" s="238"/>
      <c r="R1360" s="239"/>
      <c r="S1360" s="275"/>
      <c r="T1360" s="508">
        <f t="shared" si="1036"/>
        <v>0</v>
      </c>
      <c r="U1360" s="225" t="str">
        <f>IF(NOT(ISNUMBER(G1360)), "", VLOOKUP(A1360,'Discount Lookup'!D:E,2,FALSE)*G1360)</f>
        <v/>
      </c>
      <c r="V1360" s="225" t="str">
        <f>IF(NOT(ISNUMBER(G1360)), "", VLOOKUP(A1360,'Discount Lookup'!G:H,2,FALSE)*G1360)</f>
        <v/>
      </c>
      <c r="W1360" s="508">
        <f t="shared" si="1037"/>
        <v>0</v>
      </c>
      <c r="X1360" s="508" t="str">
        <f t="shared" si="1038"/>
        <v>Purple blooms &amp; foliage</v>
      </c>
      <c r="Y1360" s="509" t="b">
        <f t="shared" si="1039"/>
        <v>0</v>
      </c>
      <c r="Z1360" s="510">
        <f t="shared" si="1040"/>
        <v>0</v>
      </c>
      <c r="AA1360" s="511"/>
      <c r="AB1360" s="511" t="str">
        <f t="shared" si="1041"/>
        <v/>
      </c>
      <c r="AC1360" s="698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698"/>
      <c r="AE1360" s="631" t="str">
        <f t="shared" si="1042"/>
        <v/>
      </c>
      <c r="AF1360" s="699" t="str">
        <f t="shared" si="1043"/>
        <v/>
      </c>
      <c r="AG1360" s="699"/>
      <c r="AH1360" s="699"/>
      <c r="AI1360" s="512">
        <f>IF(H1360="credit",0,IF(AE1360="free",0,IF(AE1360="me",0,IF(G1360&gt;0,(VLOOKUP(A1360,'Discount Lookup'!J:K,2)*G1360),0))))</f>
        <v>0</v>
      </c>
      <c r="AJ1360" s="513" t="str">
        <f t="shared" ca="1" si="1044"/>
        <v/>
      </c>
      <c r="AK1360" s="700" t="str">
        <f t="shared" si="1045"/>
        <v/>
      </c>
      <c r="AL1360" s="700"/>
      <c r="AM1360" s="505" t="str">
        <f t="shared" si="1046"/>
        <v/>
      </c>
      <c r="AN1360" s="506"/>
      <c r="AO1360" s="507"/>
      <c r="AP1360" s="507"/>
      <c r="AQ1360" s="507"/>
      <c r="AR1360" s="507"/>
      <c r="AS1360" s="507"/>
      <c r="AT1360" s="507"/>
      <c r="AU1360" s="507"/>
      <c r="AV1360" s="225"/>
      <c r="AW1360" s="508"/>
      <c r="AX1360" s="225"/>
      <c r="AY1360" s="225"/>
      <c r="AZ1360" s="225"/>
      <c r="BA1360" s="225"/>
      <c r="BB1360" s="225"/>
      <c r="BC1360" s="56"/>
      <c r="BD1360" s="56"/>
      <c r="BE1360" s="56"/>
      <c r="BF1360" s="107" t="str">
        <f t="shared" si="1047"/>
        <v>https://www.google.com/search?tbm=isch&amp;q=Flip%20Side%C2%AE%20Chaste%20Tree%20Chaste%20%27Bailtexone%27%20PP%2330283</v>
      </c>
      <c r="BG1360" s="107" t="str">
        <f t="shared" si="1048"/>
        <v>F</v>
      </c>
      <c r="BH1360" s="254"/>
      <c r="BI1360" s="254"/>
    </row>
    <row r="1361" spans="1:61" customFormat="1" ht="15.75" x14ac:dyDescent="0.25">
      <c r="A1361" s="276">
        <v>3</v>
      </c>
      <c r="B1361" s="240" t="s">
        <v>291</v>
      </c>
      <c r="C1361" s="241" t="s">
        <v>2381</v>
      </c>
      <c r="D1361" s="242" t="s">
        <v>312</v>
      </c>
      <c r="E1361" s="243">
        <v>27.95</v>
      </c>
      <c r="F1361" s="517" t="s">
        <v>293</v>
      </c>
      <c r="G1361" s="232">
        <v>0</v>
      </c>
      <c r="H1361" s="661" t="str">
        <f>IF(G1361=0,"",IF(F1361="Buy",IF(G1361=1,"plant","plants"),IF(F1361&gt;0.01,"warranty","Error")))</f>
        <v/>
      </c>
      <c r="I1361" s="244">
        <f>IF(H1361="free",0,IF(H1361="credit",((E1361*(F1361))*G1361*-1),IF(F1361="Buy",(E1361*G1361),((E1361*(1-F1361))*G1361))))</f>
        <v>0</v>
      </c>
      <c r="J1361" s="244">
        <f>IF(H1361="warranty",0,(I1361*(_xlfn.SINGLE(SalesTaxPercentage))))</f>
        <v>0</v>
      </c>
      <c r="K1361" s="696">
        <f t="shared" ref="K1361" si="1049">I1361+J1361</f>
        <v>0</v>
      </c>
      <c r="L1361" s="696"/>
      <c r="M1361" s="659" t="str">
        <f>IF(AND(G1361&gt;0,E1361=0),"WARNING - no PRICE inserted",IF(H1361="free"," FREE ~ no charge this plant",IF(H1361="credit",CONCATENATE(" -$",ROUND(K1361*(1-T2GDiscount)*-1,2)," CREDIT after discount"),IF(T2GDiscount=0,"",IF(G1361=0,"",IF(F1361="Buy",CONCATENATE(" $",ROUND(K1361*(1-T2GDiscount),2)," with ",(T2GDiscount*100),"% discount"),CONCATENATE(" $",ROUND(K1361*(1-T2GDiscount),2)," with ",((T2GDiscount*100+F1361*100)-(T2GDiscount*100*F1361)),IF(F1361&gt;0,"% discounts",IF(NoWarrantyDiscount&gt;0,"% discounts","% discount")))))))))</f>
        <v/>
      </c>
      <c r="N1361" s="660"/>
      <c r="O1361" s="233"/>
      <c r="P1361" s="233"/>
      <c r="Q1361" s="233"/>
      <c r="R1361" s="233"/>
      <c r="S1361" s="233"/>
      <c r="T1361" s="508">
        <f t="shared" si="1036"/>
        <v>0</v>
      </c>
      <c r="U1361" s="225">
        <f>IF(NOT(ISNUMBER(G1361)), "", VLOOKUP(A1361,'Discount Lookup'!D:E,2,FALSE)*G1361)</f>
        <v>0</v>
      </c>
      <c r="V1361" s="225">
        <f>IF(NOT(ISNUMBER(G1361)), "", VLOOKUP(A1361,'Discount Lookup'!G:H,2,FALSE)*G1361)</f>
        <v>0</v>
      </c>
      <c r="W1361" s="508">
        <f t="shared" si="1037"/>
        <v>0</v>
      </c>
      <c r="X1361" s="508">
        <f t="shared" si="1038"/>
        <v>0</v>
      </c>
      <c r="Y1361" s="509" t="b">
        <f t="shared" si="1039"/>
        <v>0</v>
      </c>
      <c r="Z1361" s="510">
        <f t="shared" si="1040"/>
        <v>0</v>
      </c>
      <c r="AA1361" s="511"/>
      <c r="AB1361" s="511" t="str">
        <f t="shared" si="1041"/>
        <v/>
      </c>
      <c r="AC1361" s="698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698"/>
      <c r="AE1361" s="631" t="str">
        <f t="shared" si="1042"/>
        <v/>
      </c>
      <c r="AF1361" s="699" t="str">
        <f t="shared" si="1043"/>
        <v/>
      </c>
      <c r="AG1361" s="699"/>
      <c r="AH1361" s="699"/>
      <c r="AI1361" s="512">
        <f>IF(H1361="credit",0,IF(AE1361="free",0,IF(AE1361="me",0,IF(G1361&gt;0,(VLOOKUP(A1361,'Discount Lookup'!J:K,2)*G1361),0))))</f>
        <v>0</v>
      </c>
      <c r="AJ1361" s="513" t="str">
        <f t="shared" ca="1" si="1044"/>
        <v/>
      </c>
      <c r="AK1361" s="700" t="str">
        <f t="shared" si="1045"/>
        <v/>
      </c>
      <c r="AL1361" s="700"/>
      <c r="AM1361" s="505" t="str">
        <f t="shared" si="1046"/>
        <v/>
      </c>
      <c r="AN1361" s="506"/>
      <c r="AO1361" s="507"/>
      <c r="AP1361" s="507"/>
      <c r="AQ1361" s="507"/>
      <c r="AR1361" s="507"/>
      <c r="AS1361" s="507"/>
      <c r="AT1361" s="507"/>
      <c r="AU1361" s="507"/>
      <c r="AV1361" s="225"/>
      <c r="AW1361" s="508"/>
      <c r="AX1361" s="225"/>
      <c r="AY1361" s="225"/>
      <c r="AZ1361" s="225"/>
      <c r="BA1361" s="225"/>
      <c r="BB1361" s="225"/>
      <c r="BC1361" s="56"/>
      <c r="BD1361" s="56"/>
      <c r="BE1361" s="56"/>
      <c r="BF1361" s="107" t="str">
        <f t="shared" si="1047"/>
        <v>https://www.google.com/search?tbm=isch&amp;q=3%20G2</v>
      </c>
      <c r="BG1361" s="107" t="str">
        <f t="shared" si="1048"/>
        <v>F</v>
      </c>
      <c r="BH1361" s="254"/>
      <c r="BI1361" s="254"/>
    </row>
    <row r="1362" spans="1:61" customFormat="1" ht="17.25" thickBot="1" x14ac:dyDescent="0.3">
      <c r="A1362" s="524" t="s">
        <v>2382</v>
      </c>
      <c r="B1362" s="245"/>
      <c r="C1362" s="677"/>
      <c r="D1362" s="499"/>
      <c r="E1362" s="499"/>
      <c r="F1362" s="500"/>
      <c r="G1362" s="501"/>
      <c r="H1362" s="502"/>
      <c r="I1362" s="246"/>
      <c r="J1362" s="247"/>
      <c r="K1362" s="503"/>
      <c r="L1362" s="544"/>
      <c r="M1362" s="544"/>
      <c r="N1362" s="500"/>
      <c r="O1362" s="500"/>
      <c r="P1362" s="500"/>
      <c r="Q1362" s="500"/>
      <c r="R1362" s="500"/>
      <c r="S1362" s="669" t="s">
        <v>4999</v>
      </c>
      <c r="T1362" s="508">
        <f t="shared" si="1036"/>
        <v>0</v>
      </c>
      <c r="U1362" s="225" t="str">
        <f>IF(NOT(ISNUMBER(G1362)), "", VLOOKUP(A1362,'Discount Lookup'!D:E,2,FALSE)*G1362)</f>
        <v/>
      </c>
      <c r="V1362" s="225" t="str">
        <f>IF(NOT(ISNUMBER(G1362)), "", VLOOKUP(A1362,'Discount Lookup'!G:H,2,FALSE)*G1362)</f>
        <v/>
      </c>
      <c r="W1362" s="508">
        <f t="shared" si="1037"/>
        <v>0</v>
      </c>
      <c r="X1362" s="508">
        <f t="shared" si="1038"/>
        <v>0</v>
      </c>
      <c r="Y1362" s="509" t="b">
        <f t="shared" si="1039"/>
        <v>0</v>
      </c>
      <c r="Z1362" s="510">
        <f t="shared" si="1040"/>
        <v>0</v>
      </c>
      <c r="AA1362" s="511"/>
      <c r="AB1362" s="511" t="str">
        <f t="shared" si="1041"/>
        <v/>
      </c>
      <c r="AC1362" s="698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698"/>
      <c r="AE1362" s="631" t="str">
        <f t="shared" si="1042"/>
        <v/>
      </c>
      <c r="AF1362" s="699" t="str">
        <f t="shared" si="1043"/>
        <v/>
      </c>
      <c r="AG1362" s="699"/>
      <c r="AH1362" s="699"/>
      <c r="AI1362" s="512">
        <f>IF(H1362="credit",0,IF(AE1362="free",0,IF(AE1362="me",0,IF(G1362&gt;0,(VLOOKUP(A1362,'Discount Lookup'!J:K,2)*G1362),0))))</f>
        <v>0</v>
      </c>
      <c r="AJ1362" s="513" t="str">
        <f t="shared" ca="1" si="1044"/>
        <v/>
      </c>
      <c r="AK1362" s="700" t="str">
        <f t="shared" si="1045"/>
        <v/>
      </c>
      <c r="AL1362" s="700"/>
      <c r="AM1362" s="505" t="str">
        <f t="shared" si="1046"/>
        <v/>
      </c>
      <c r="AN1362" s="506"/>
      <c r="AO1362" s="507"/>
      <c r="AP1362" s="507"/>
      <c r="AQ1362" s="507"/>
      <c r="AR1362" s="507"/>
      <c r="AS1362" s="507"/>
      <c r="AT1362" s="507"/>
      <c r="AU1362" s="507"/>
      <c r="AV1362" s="225"/>
      <c r="AW1362" s="508"/>
      <c r="AX1362" s="225"/>
      <c r="AY1362" s="225"/>
      <c r="AZ1362" s="225"/>
      <c r="BA1362" s="225"/>
      <c r="BB1362" s="225"/>
      <c r="BC1362" s="56"/>
      <c r="BD1362" s="56"/>
      <c r="BE1362" s="56"/>
      <c r="BF1362" s="107" t="str">
        <f t="shared" si="1047"/>
        <v>https://www.google.com/search?tbm=isch&amp;q=Flip%20Side%20is%20named%20for%20the%20olive-green-mauve%20leaves%2C%20purple%20below.%20Any%20breeze%20will%20expose%20this%20as%20a%20purple%20plant%20</v>
      </c>
      <c r="BG1362" s="107" t="str">
        <f t="shared" si="1048"/>
        <v>F</v>
      </c>
      <c r="BH1362" s="254"/>
      <c r="BI1362" s="254"/>
    </row>
    <row r="1363" spans="1:61" customFormat="1" ht="18" x14ac:dyDescent="0.25">
      <c r="A1363" s="521" t="s">
        <v>5409</v>
      </c>
      <c r="B1363" s="477"/>
      <c r="C1363" s="674"/>
      <c r="D1363" s="478" t="s">
        <v>901</v>
      </c>
      <c r="E1363" s="479"/>
      <c r="F1363" s="479"/>
      <c r="G1363" s="479"/>
      <c r="H1363" s="582" t="s">
        <v>507</v>
      </c>
      <c r="I1363" s="480" t="s">
        <v>2932</v>
      </c>
      <c r="J1363" s="479"/>
      <c r="K1363" s="479"/>
      <c r="L1363" s="560"/>
      <c r="M1363" s="666" t="s">
        <v>4966</v>
      </c>
      <c r="N1363" s="680" t="str">
        <f>IF(AND(ISTEXT($A1363), ISERROR($A1363+0)), HYPERLINK($BF1363, "Images"), "")</f>
        <v>Images</v>
      </c>
      <c r="O1363" s="662" t="s">
        <v>4967</v>
      </c>
      <c r="P1363" s="482"/>
      <c r="Q1363" s="483"/>
      <c r="R1363" s="483"/>
      <c r="S1363" s="484"/>
      <c r="T1363" s="508">
        <f t="shared" si="1036"/>
        <v>0</v>
      </c>
      <c r="U1363" s="225" t="str">
        <f>IF(NOT(ISNUMBER(G1363)), "", VLOOKUP(A1363,'Discount Lookup'!D:E,2,FALSE)*G1363)</f>
        <v/>
      </c>
      <c r="V1363" s="225" t="str">
        <f>IF(NOT(ISNUMBER(G1363)), "", VLOOKUP(A1363,'Discount Lookup'!G:H,2,FALSE)*G1363)</f>
        <v/>
      </c>
      <c r="W1363" s="508">
        <f t="shared" si="1037"/>
        <v>0</v>
      </c>
      <c r="X1363" s="508" t="str">
        <f t="shared" si="1038"/>
        <v>Green &amp; Red foliage</v>
      </c>
      <c r="Y1363" s="509" t="b">
        <f t="shared" si="1039"/>
        <v>0</v>
      </c>
      <c r="Z1363" s="510">
        <f t="shared" si="1040"/>
        <v>0</v>
      </c>
      <c r="AA1363" s="511"/>
      <c r="AB1363" s="511" t="str">
        <f t="shared" si="1041"/>
        <v/>
      </c>
      <c r="AC1363" s="698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698"/>
      <c r="AE1363" s="631" t="str">
        <f t="shared" si="1042"/>
        <v/>
      </c>
      <c r="AF1363" s="699" t="str">
        <f t="shared" si="1043"/>
        <v/>
      </c>
      <c r="AG1363" s="699"/>
      <c r="AH1363" s="699"/>
      <c r="AI1363" s="512">
        <f>IF(H1363="credit",0,IF(AE1363="free",0,IF(AE1363="me",0,IF(G1363&gt;0,(VLOOKUP(A1363,'Discount Lookup'!J:K,2)*G1363),0))))</f>
        <v>0</v>
      </c>
      <c r="AJ1363" s="513" t="str">
        <f t="shared" ca="1" si="1044"/>
        <v/>
      </c>
      <c r="AK1363" s="700" t="str">
        <f t="shared" si="1045"/>
        <v/>
      </c>
      <c r="AL1363" s="700"/>
      <c r="AM1363" s="505" t="str">
        <f t="shared" si="1046"/>
        <v/>
      </c>
      <c r="AN1363" s="506"/>
      <c r="AO1363" s="507"/>
      <c r="AP1363" s="507"/>
      <c r="AQ1363" s="507"/>
      <c r="AR1363" s="507"/>
      <c r="AS1363" s="507"/>
      <c r="AT1363" s="507"/>
      <c r="AU1363" s="507"/>
      <c r="AV1363" s="225"/>
      <c r="AW1363" s="508"/>
      <c r="AX1363" s="225"/>
      <c r="AY1363" s="225"/>
      <c r="AZ1363" s="225"/>
      <c r="BA1363" s="225"/>
      <c r="BB1363" s="225"/>
      <c r="BC1363" s="56"/>
      <c r="BD1363" s="56"/>
      <c r="BE1363" s="56"/>
      <c r="BF1363" s="107" t="str">
        <f t="shared" si="1047"/>
        <v>https://www.google.com/search?tbm=isch&amp;q=Flirt%E2%84%A2%20Nandina%20Nandina%20domestica%20%27Murasaki%27%20PP%2321391</v>
      </c>
      <c r="BG1363" s="107" t="str">
        <f t="shared" si="1048"/>
        <v>F</v>
      </c>
      <c r="BH1363" s="254"/>
      <c r="BI1363" s="254"/>
    </row>
    <row r="1364" spans="1:61" customFormat="1" ht="15.75" x14ac:dyDescent="0.25">
      <c r="A1364" s="485">
        <v>1</v>
      </c>
      <c r="B1364" s="486" t="s">
        <v>291</v>
      </c>
      <c r="C1364" s="487" t="s">
        <v>3051</v>
      </c>
      <c r="D1364" s="488" t="s">
        <v>312</v>
      </c>
      <c r="E1364" s="489">
        <v>28.95</v>
      </c>
      <c r="F1364" s="516" t="s">
        <v>293</v>
      </c>
      <c r="G1364" s="232">
        <v>0</v>
      </c>
      <c r="H1364" s="658" t="str">
        <f>IF(G1364=0,"",IF(F1364="Buy",IF(G1364=1,"plant","plants"),IF(F1364&gt;0.01,"warranty","Error")))</f>
        <v/>
      </c>
      <c r="I1364" s="490">
        <f>IF(H1364="free",0,IF(H1364="credit",((E1364*(F1364))*G1364*-1),IF(F1364="Buy",(E1364*G1364),((E1364*(1-F1364))*G1364))))</f>
        <v>0</v>
      </c>
      <c r="J1364" s="490">
        <f>IF(H1364="warranty",0,(I1364*(_xlfn.SINGLE(SalesTaxPercentage))))</f>
        <v>0</v>
      </c>
      <c r="K1364" s="695">
        <f t="shared" ref="K1364" si="1050">I1364+J1364</f>
        <v>0</v>
      </c>
      <c r="L1364" s="695"/>
      <c r="M1364" s="659" t="str">
        <f>IF(AND(G1364&gt;0,E1364=0),"WARNING - no PRICE inserted",IF(H1364="free"," FREE ~ no charge this plant",IF(H1364="credit",CONCATENATE(" -$",ROUND(K1364*(1-T2GDiscount)*-1,2)," CREDIT after discount"),IF(T2GDiscount=0,"",IF(G1364=0,"",IF(F1364="Buy",CONCATENATE(" $",ROUND(K1364*(1-T2GDiscount),2)," with ",(T2GDiscount*100),"% discount"),CONCATENATE(" $",ROUND(K1364*(1-T2GDiscount),2)," with ",((T2GDiscount*100+F1364*100)-(T2GDiscount*100*F1364)),IF(F1364&gt;0,"% discounts",IF(NoWarrantyDiscount&gt;0,"% discounts","% discount")))))))))</f>
        <v/>
      </c>
      <c r="N1364" s="660"/>
      <c r="O1364" s="233"/>
      <c r="P1364" s="233"/>
      <c r="Q1364" s="233"/>
      <c r="R1364" s="233"/>
      <c r="S1364" s="233"/>
      <c r="T1364" s="508">
        <f t="shared" si="1036"/>
        <v>0</v>
      </c>
      <c r="U1364" s="225">
        <f>IF(NOT(ISNUMBER(G1364)), "", VLOOKUP(A1364,'Discount Lookup'!D:E,2,FALSE)*G1364)</f>
        <v>0</v>
      </c>
      <c r="V1364" s="225">
        <f>IF(NOT(ISNUMBER(G1364)), "", VLOOKUP(A1364,'Discount Lookup'!G:H,2,FALSE)*G1364)</f>
        <v>0</v>
      </c>
      <c r="W1364" s="508">
        <f t="shared" si="1037"/>
        <v>0</v>
      </c>
      <c r="X1364" s="508">
        <f t="shared" si="1038"/>
        <v>0</v>
      </c>
      <c r="Y1364" s="509" t="b">
        <f t="shared" si="1039"/>
        <v>0</v>
      </c>
      <c r="Z1364" s="510">
        <f t="shared" si="1040"/>
        <v>0</v>
      </c>
      <c r="AA1364" s="511"/>
      <c r="AB1364" s="511" t="str">
        <f t="shared" si="1041"/>
        <v/>
      </c>
      <c r="AC1364" s="698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698"/>
      <c r="AE1364" s="631" t="str">
        <f t="shared" si="1042"/>
        <v/>
      </c>
      <c r="AF1364" s="699" t="str">
        <f t="shared" si="1043"/>
        <v/>
      </c>
      <c r="AG1364" s="699"/>
      <c r="AH1364" s="699"/>
      <c r="AI1364" s="512">
        <f>IF(H1364="credit",0,IF(AE1364="free",0,IF(AE1364="me",0,IF(G1364&gt;0,(VLOOKUP(A1364,'Discount Lookup'!J:K,2)*G1364),0))))</f>
        <v>0</v>
      </c>
      <c r="AJ1364" s="513" t="str">
        <f t="shared" ca="1" si="1044"/>
        <v/>
      </c>
      <c r="AK1364" s="700" t="str">
        <f t="shared" si="1045"/>
        <v/>
      </c>
      <c r="AL1364" s="700"/>
      <c r="AM1364" s="505" t="str">
        <f t="shared" si="1046"/>
        <v/>
      </c>
      <c r="AN1364" s="506"/>
      <c r="AO1364" s="507"/>
      <c r="AP1364" s="507"/>
      <c r="AQ1364" s="507"/>
      <c r="AR1364" s="507"/>
      <c r="AS1364" s="507"/>
      <c r="AT1364" s="507"/>
      <c r="AU1364" s="507"/>
      <c r="AV1364" s="225"/>
      <c r="AW1364" s="508"/>
      <c r="AX1364" s="225"/>
      <c r="AY1364" s="225"/>
      <c r="AZ1364" s="225"/>
      <c r="BA1364" s="225"/>
      <c r="BB1364" s="225"/>
      <c r="BC1364" s="56"/>
      <c r="BD1364" s="56"/>
      <c r="BE1364" s="56"/>
      <c r="BF1364" s="107" t="str">
        <f t="shared" si="1047"/>
        <v>https://www.google.com/search?tbm=isch&amp;q=1%20G2</v>
      </c>
      <c r="BG1364" s="107" t="str">
        <f t="shared" si="1048"/>
        <v>F</v>
      </c>
      <c r="BH1364" s="254"/>
      <c r="BI1364" s="254"/>
    </row>
    <row r="1365" spans="1:61" customFormat="1" ht="16.5" thickBot="1" x14ac:dyDescent="0.3">
      <c r="A1365" s="522" t="s">
        <v>2982</v>
      </c>
      <c r="B1365" s="491"/>
      <c r="C1365" s="675"/>
      <c r="D1365" s="491"/>
      <c r="E1365" s="491"/>
      <c r="F1365" s="492"/>
      <c r="G1365" s="493"/>
      <c r="H1365" s="491"/>
      <c r="I1365" s="234"/>
      <c r="J1365" s="234"/>
      <c r="K1365" s="494"/>
      <c r="L1365" s="543"/>
      <c r="M1365" s="561"/>
      <c r="N1365" s="495"/>
      <c r="O1365" s="496"/>
      <c r="P1365" s="497"/>
      <c r="Q1365" s="495"/>
      <c r="R1365" s="495"/>
      <c r="S1365" s="277"/>
      <c r="T1365" s="508">
        <f t="shared" si="1036"/>
        <v>0</v>
      </c>
      <c r="U1365" s="225" t="str">
        <f>IF(NOT(ISNUMBER(G1365)), "", VLOOKUP(A1365,'Discount Lookup'!D:E,2,FALSE)*G1365)</f>
        <v/>
      </c>
      <c r="V1365" s="225" t="str">
        <f>IF(NOT(ISNUMBER(G1365)), "", VLOOKUP(A1365,'Discount Lookup'!G:H,2,FALSE)*G1365)</f>
        <v/>
      </c>
      <c r="W1365" s="508">
        <f t="shared" si="1037"/>
        <v>0</v>
      </c>
      <c r="X1365" s="508">
        <f t="shared" si="1038"/>
        <v>0</v>
      </c>
      <c r="Y1365" s="509" t="b">
        <f t="shared" si="1039"/>
        <v>0</v>
      </c>
      <c r="Z1365" s="510">
        <f t="shared" si="1040"/>
        <v>0</v>
      </c>
      <c r="AA1365" s="511"/>
      <c r="AB1365" s="511" t="str">
        <f t="shared" si="1041"/>
        <v/>
      </c>
      <c r="AC1365" s="698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698"/>
      <c r="AE1365" s="631" t="str">
        <f t="shared" si="1042"/>
        <v/>
      </c>
      <c r="AF1365" s="699" t="str">
        <f t="shared" si="1043"/>
        <v/>
      </c>
      <c r="AG1365" s="699"/>
      <c r="AH1365" s="699"/>
      <c r="AI1365" s="512">
        <f>IF(H1365="credit",0,IF(AE1365="free",0,IF(AE1365="me",0,IF(G1365&gt;0,(VLOOKUP(A1365,'Discount Lookup'!J:K,2)*G1365),0))))</f>
        <v>0</v>
      </c>
      <c r="AJ1365" s="513" t="str">
        <f t="shared" ca="1" si="1044"/>
        <v/>
      </c>
      <c r="AK1365" s="700" t="str">
        <f t="shared" si="1045"/>
        <v/>
      </c>
      <c r="AL1365" s="700"/>
      <c r="AM1365" s="505" t="str">
        <f t="shared" si="1046"/>
        <v/>
      </c>
      <c r="AN1365" s="506"/>
      <c r="AO1365" s="507"/>
      <c r="AP1365" s="507"/>
      <c r="AQ1365" s="507"/>
      <c r="AR1365" s="507"/>
      <c r="AS1365" s="507"/>
      <c r="AT1365" s="507"/>
      <c r="AU1365" s="507"/>
      <c r="AV1365" s="225"/>
      <c r="AW1365" s="508"/>
      <c r="AX1365" s="225"/>
      <c r="AY1365" s="225"/>
      <c r="AZ1365" s="225"/>
      <c r="BA1365" s="225"/>
      <c r="BB1365" s="225"/>
      <c r="BC1365" s="56"/>
      <c r="BD1365" s="56"/>
      <c r="BE1365" s="56"/>
      <c r="BF1365" s="107" t="str">
        <f t="shared" si="1047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1365" s="107" t="str">
        <f t="shared" si="1048"/>
        <v>F</v>
      </c>
      <c r="BH1365" s="254"/>
      <c r="BI1365" s="254"/>
    </row>
    <row r="1366" spans="1:61" customFormat="1" ht="18" x14ac:dyDescent="0.25">
      <c r="A1366" s="523" t="s">
        <v>5596</v>
      </c>
      <c r="B1366" s="235"/>
      <c r="C1366" s="676"/>
      <c r="D1366" s="255" t="s">
        <v>902</v>
      </c>
      <c r="E1366" s="236"/>
      <c r="F1366" s="236"/>
      <c r="G1366" s="236"/>
      <c r="H1366" s="582" t="s">
        <v>1882</v>
      </c>
      <c r="I1366" s="498" t="s">
        <v>827</v>
      </c>
      <c r="J1366" s="237"/>
      <c r="K1366" s="237"/>
      <c r="L1366" s="274"/>
      <c r="M1366" s="670" t="s">
        <v>4987</v>
      </c>
      <c r="N1366" s="681" t="str">
        <f>IF(AND(ISTEXT($A1366), ISERROR($A1366+0)), HYPERLINK($BF1366, "Images"), "")</f>
        <v>Images</v>
      </c>
      <c r="O1366" s="663" t="s">
        <v>4967</v>
      </c>
      <c r="P1366" s="253"/>
      <c r="Q1366" s="238"/>
      <c r="R1366" s="239"/>
      <c r="S1366" s="275"/>
      <c r="T1366" s="508">
        <f t="shared" si="1036"/>
        <v>0</v>
      </c>
      <c r="U1366" s="225" t="str">
        <f>IF(NOT(ISNUMBER(G1366)), "", VLOOKUP(A1366,'Discount Lookup'!D:E,2,FALSE)*G1366)</f>
        <v/>
      </c>
      <c r="V1366" s="225" t="str">
        <f>IF(NOT(ISNUMBER(G1366)), "", VLOOKUP(A1366,'Discount Lookup'!G:H,2,FALSE)*G1366)</f>
        <v/>
      </c>
      <c r="W1366" s="508">
        <f t="shared" si="1037"/>
        <v>0</v>
      </c>
      <c r="X1366" s="508" t="str">
        <f t="shared" si="1038"/>
        <v>Creamy White bloom</v>
      </c>
      <c r="Y1366" s="509" t="b">
        <f t="shared" si="1039"/>
        <v>0</v>
      </c>
      <c r="Z1366" s="510">
        <f t="shared" si="1040"/>
        <v>0</v>
      </c>
      <c r="AA1366" s="511"/>
      <c r="AB1366" s="511" t="str">
        <f t="shared" si="1041"/>
        <v/>
      </c>
      <c r="AC1366" s="698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698"/>
      <c r="AE1366" s="631" t="str">
        <f t="shared" si="1042"/>
        <v/>
      </c>
      <c r="AF1366" s="699" t="str">
        <f t="shared" si="1043"/>
        <v/>
      </c>
      <c r="AG1366" s="699"/>
      <c r="AH1366" s="699"/>
      <c r="AI1366" s="512">
        <f>IF(H1366="credit",0,IF(AE1366="free",0,IF(AE1366="me",0,IF(G1366&gt;0,(VLOOKUP(A1366,'Discount Lookup'!J:K,2)*G1366),0))))</f>
        <v>0</v>
      </c>
      <c r="AJ1366" s="513" t="str">
        <f t="shared" ca="1" si="1044"/>
        <v/>
      </c>
      <c r="AK1366" s="700" t="str">
        <f t="shared" si="1045"/>
        <v/>
      </c>
      <c r="AL1366" s="700"/>
      <c r="AM1366" s="505" t="str">
        <f t="shared" si="1046"/>
        <v/>
      </c>
      <c r="AN1366" s="506"/>
      <c r="AO1366" s="507"/>
      <c r="AP1366" s="507"/>
      <c r="AQ1366" s="507"/>
      <c r="AR1366" s="507"/>
      <c r="AS1366" s="507"/>
      <c r="AT1366" s="507"/>
      <c r="AU1366" s="507"/>
      <c r="AV1366" s="225"/>
      <c r="AW1366" s="508"/>
      <c r="AX1366" s="225"/>
      <c r="AY1366" s="225"/>
      <c r="AZ1366" s="225"/>
      <c r="BA1366" s="225"/>
      <c r="BB1366" s="225"/>
      <c r="BC1366" s="56"/>
      <c r="BD1366" s="56"/>
      <c r="BE1366" s="56"/>
      <c r="BF1366" s="107" t="str">
        <f t="shared" si="1047"/>
        <v>https://www.google.com/search?tbm=isch&amp;q=Flirty%20Girl%C2%AE%20False%20Hydrangea%20Vine%20%28PW%C2%AE%29%20Schizophragma%20hydrangeoides%20%27Minsnow3%27%20PP%2331720</v>
      </c>
      <c r="BG1366" s="107" t="str">
        <f t="shared" si="1048"/>
        <v>F</v>
      </c>
      <c r="BH1366" s="254"/>
      <c r="BI1366" s="254"/>
    </row>
    <row r="1367" spans="1:61" customFormat="1" ht="15.75" x14ac:dyDescent="0.25">
      <c r="A1367" s="276">
        <v>3</v>
      </c>
      <c r="B1367" s="240" t="s">
        <v>291</v>
      </c>
      <c r="C1367" s="241"/>
      <c r="D1367" s="242" t="s">
        <v>312</v>
      </c>
      <c r="E1367" s="243">
        <v>40.950000000000003</v>
      </c>
      <c r="F1367" s="517" t="s">
        <v>293</v>
      </c>
      <c r="G1367" s="232">
        <v>0</v>
      </c>
      <c r="H1367" s="661" t="str">
        <f>IF(G1367=0,"",IF(F1367="Buy",IF(G1367=1,"plant","plants"),IF(F1367&gt;0.01,"warranty","Error")))</f>
        <v/>
      </c>
      <c r="I1367" s="244">
        <f>IF(H1367="free",0,IF(H1367="credit",((E1367*(F1367))*G1367*-1),IF(F1367="Buy",(E1367*G1367),((E1367*(1-F1367))*G1367))))</f>
        <v>0</v>
      </c>
      <c r="J1367" s="244">
        <f>IF(H1367="warranty",0,(I1367*(_xlfn.SINGLE(SalesTaxPercentage))))</f>
        <v>0</v>
      </c>
      <c r="K1367" s="696">
        <f t="shared" ref="K1367" si="1051">I1367+J1367</f>
        <v>0</v>
      </c>
      <c r="L1367" s="696"/>
      <c r="M1367" s="659" t="str">
        <f>IF(AND(G1367&gt;0,E1367=0),"WARNING - no PRICE inserted",IF(H1367="free"," FREE ~ no charge this plant",IF(H1367="credit",CONCATENATE(" -$",ROUND(K1367*(1-T2GDiscount)*-1,2)," CREDIT after discount"),IF(T2GDiscount=0,"",IF(G1367=0,"",IF(F1367="Buy",CONCATENATE(" $",ROUND(K1367*(1-T2GDiscount),2)," with ",(T2GDiscount*100),"% discount"),CONCATENATE(" $",ROUND(K1367*(1-T2GDiscount),2)," with ",((T2GDiscount*100+F1367*100)-(T2GDiscount*100*F1367)),IF(F1367&gt;0,"% discounts",IF(NoWarrantyDiscount&gt;0,"% discounts","% discount")))))))))</f>
        <v/>
      </c>
      <c r="N1367" s="660"/>
      <c r="O1367" s="233"/>
      <c r="P1367" s="233"/>
      <c r="Q1367" s="233"/>
      <c r="R1367" s="233"/>
      <c r="S1367" s="233"/>
      <c r="T1367" s="508">
        <f t="shared" si="1036"/>
        <v>0</v>
      </c>
      <c r="U1367" s="225">
        <f>IF(NOT(ISNUMBER(G1367)), "", VLOOKUP(A1367,'Discount Lookup'!D:E,2,FALSE)*G1367)</f>
        <v>0</v>
      </c>
      <c r="V1367" s="225">
        <f>IF(NOT(ISNUMBER(G1367)), "", VLOOKUP(A1367,'Discount Lookup'!G:H,2,FALSE)*G1367)</f>
        <v>0</v>
      </c>
      <c r="W1367" s="508">
        <f t="shared" si="1037"/>
        <v>0</v>
      </c>
      <c r="X1367" s="508">
        <f t="shared" si="1038"/>
        <v>0</v>
      </c>
      <c r="Y1367" s="509" t="b">
        <f t="shared" si="1039"/>
        <v>0</v>
      </c>
      <c r="Z1367" s="510">
        <f t="shared" si="1040"/>
        <v>0</v>
      </c>
      <c r="AA1367" s="511"/>
      <c r="AB1367" s="511" t="str">
        <f t="shared" si="1041"/>
        <v/>
      </c>
      <c r="AC1367" s="698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698"/>
      <c r="AE1367" s="631" t="str">
        <f t="shared" si="1042"/>
        <v/>
      </c>
      <c r="AF1367" s="699" t="str">
        <f t="shared" si="1043"/>
        <v/>
      </c>
      <c r="AG1367" s="699"/>
      <c r="AH1367" s="699"/>
      <c r="AI1367" s="512">
        <f>IF(H1367="credit",0,IF(AE1367="free",0,IF(AE1367="me",0,IF(G1367&gt;0,(VLOOKUP(A1367,'Discount Lookup'!J:K,2)*G1367),0))))</f>
        <v>0</v>
      </c>
      <c r="AJ1367" s="513" t="str">
        <f t="shared" ca="1" si="1044"/>
        <v/>
      </c>
      <c r="AK1367" s="700" t="str">
        <f t="shared" si="1045"/>
        <v/>
      </c>
      <c r="AL1367" s="700"/>
      <c r="AM1367" s="505" t="str">
        <f t="shared" si="1046"/>
        <v/>
      </c>
      <c r="AN1367" s="506"/>
      <c r="AO1367" s="507"/>
      <c r="AP1367" s="507"/>
      <c r="AQ1367" s="507"/>
      <c r="AR1367" s="507"/>
      <c r="AS1367" s="507"/>
      <c r="AT1367" s="507"/>
      <c r="AU1367" s="507"/>
      <c r="AV1367" s="225"/>
      <c r="AW1367" s="508"/>
      <c r="AX1367" s="225"/>
      <c r="AY1367" s="225"/>
      <c r="AZ1367" s="225"/>
      <c r="BA1367" s="225"/>
      <c r="BB1367" s="225"/>
      <c r="BC1367" s="56"/>
      <c r="BD1367" s="56"/>
      <c r="BE1367" s="56"/>
      <c r="BF1367" s="107" t="str">
        <f t="shared" si="1047"/>
        <v>https://www.google.com/search?tbm=isch&amp;q=3%20G2</v>
      </c>
      <c r="BG1367" s="107" t="str">
        <f t="shared" si="1048"/>
        <v>F</v>
      </c>
      <c r="BH1367" s="254"/>
      <c r="BI1367" s="254"/>
    </row>
    <row r="1368" spans="1:61" customFormat="1" ht="17.25" thickBot="1" x14ac:dyDescent="0.3">
      <c r="A1368" s="524" t="s">
        <v>4094</v>
      </c>
      <c r="B1368" s="245"/>
      <c r="C1368" s="677"/>
      <c r="D1368" s="499"/>
      <c r="E1368" s="499"/>
      <c r="F1368" s="500"/>
      <c r="G1368" s="501"/>
      <c r="H1368" s="502"/>
      <c r="I1368" s="246"/>
      <c r="J1368" s="247"/>
      <c r="K1368" s="503"/>
      <c r="L1368" s="544"/>
      <c r="M1368" s="544"/>
      <c r="N1368" s="500"/>
      <c r="O1368" s="500"/>
      <c r="P1368" s="500"/>
      <c r="Q1368" s="500"/>
      <c r="R1368" s="500"/>
      <c r="S1368" s="278"/>
      <c r="T1368" s="508">
        <f t="shared" si="1036"/>
        <v>0</v>
      </c>
      <c r="U1368" s="225" t="str">
        <f>IF(NOT(ISNUMBER(G1368)), "", VLOOKUP(A1368,'Discount Lookup'!D:E,2,FALSE)*G1368)</f>
        <v/>
      </c>
      <c r="V1368" s="225" t="str">
        <f>IF(NOT(ISNUMBER(G1368)), "", VLOOKUP(A1368,'Discount Lookup'!G:H,2,FALSE)*G1368)</f>
        <v/>
      </c>
      <c r="W1368" s="508">
        <f t="shared" si="1037"/>
        <v>0</v>
      </c>
      <c r="X1368" s="508">
        <f t="shared" si="1038"/>
        <v>0</v>
      </c>
      <c r="Y1368" s="509" t="b">
        <f t="shared" si="1039"/>
        <v>0</v>
      </c>
      <c r="Z1368" s="510">
        <f t="shared" si="1040"/>
        <v>0</v>
      </c>
      <c r="AA1368" s="511"/>
      <c r="AB1368" s="511" t="str">
        <f t="shared" si="1041"/>
        <v/>
      </c>
      <c r="AC1368" s="698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698"/>
      <c r="AE1368" s="631" t="str">
        <f t="shared" si="1042"/>
        <v/>
      </c>
      <c r="AF1368" s="699" t="str">
        <f t="shared" si="1043"/>
        <v/>
      </c>
      <c r="AG1368" s="699"/>
      <c r="AH1368" s="699"/>
      <c r="AI1368" s="512">
        <f>IF(H1368="credit",0,IF(AE1368="free",0,IF(AE1368="me",0,IF(G1368&gt;0,(VLOOKUP(A1368,'Discount Lookup'!J:K,2)*G1368),0))))</f>
        <v>0</v>
      </c>
      <c r="AJ1368" s="513" t="str">
        <f t="shared" ca="1" si="1044"/>
        <v/>
      </c>
      <c r="AK1368" s="700" t="str">
        <f t="shared" si="1045"/>
        <v/>
      </c>
      <c r="AL1368" s="700"/>
      <c r="AM1368" s="505" t="str">
        <f t="shared" si="1046"/>
        <v/>
      </c>
      <c r="AN1368" s="506"/>
      <c r="AO1368" s="507"/>
      <c r="AP1368" s="507"/>
      <c r="AQ1368" s="507"/>
      <c r="AR1368" s="507"/>
      <c r="AS1368" s="507"/>
      <c r="AT1368" s="507"/>
      <c r="AU1368" s="507"/>
      <c r="AV1368" s="225"/>
      <c r="AW1368" s="508"/>
      <c r="AX1368" s="225"/>
      <c r="AY1368" s="225"/>
      <c r="AZ1368" s="225"/>
      <c r="BA1368" s="225"/>
      <c r="BB1368" s="225"/>
      <c r="BC1368" s="56"/>
      <c r="BD1368" s="56"/>
      <c r="BE1368" s="56"/>
      <c r="BF1368" s="107" t="str">
        <f t="shared" si="1047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1368" s="107" t="str">
        <f t="shared" si="1048"/>
        <v>F</v>
      </c>
      <c r="BH1368" s="254"/>
      <c r="BI1368" s="254"/>
    </row>
    <row r="1369" spans="1:61" customFormat="1" ht="18" x14ac:dyDescent="0.25">
      <c r="A1369" s="521" t="s">
        <v>903</v>
      </c>
      <c r="B1369" s="477"/>
      <c r="C1369" s="674"/>
      <c r="D1369" s="478" t="s">
        <v>904</v>
      </c>
      <c r="E1369" s="479"/>
      <c r="F1369" s="479"/>
      <c r="G1369" s="479"/>
      <c r="H1369" s="582" t="s">
        <v>905</v>
      </c>
      <c r="I1369" s="480" t="s">
        <v>2933</v>
      </c>
      <c r="J1369" s="479"/>
      <c r="K1369" s="479"/>
      <c r="L1369" s="560"/>
      <c r="M1369" s="671" t="s">
        <v>4990</v>
      </c>
      <c r="N1369" s="680" t="str">
        <f>IF(AND(ISTEXT($A1369), ISERROR($A1369+0)), HYPERLINK($BF1369, "Images"), "")</f>
        <v>Images</v>
      </c>
      <c r="O1369" s="662" t="s">
        <v>4969</v>
      </c>
      <c r="P1369" s="482"/>
      <c r="Q1369" s="483"/>
      <c r="R1369" s="483"/>
      <c r="S1369" s="484" t="s">
        <v>305</v>
      </c>
      <c r="T1369" s="508">
        <f t="shared" si="1036"/>
        <v>0</v>
      </c>
      <c r="U1369" s="225" t="str">
        <f>IF(NOT(ISNUMBER(G1369)), "", VLOOKUP(A1369,'Discount Lookup'!D:E,2,FALSE)*G1369)</f>
        <v/>
      </c>
      <c r="V1369" s="225" t="str">
        <f>IF(NOT(ISNUMBER(G1369)), "", VLOOKUP(A1369,'Discount Lookup'!G:H,2,FALSE)*G1369)</f>
        <v/>
      </c>
      <c r="W1369" s="508">
        <f t="shared" si="1037"/>
        <v>0</v>
      </c>
      <c r="X1369" s="508" t="str">
        <f t="shared" si="1038"/>
        <v>Chartreuse foliage</v>
      </c>
      <c r="Y1369" s="509" t="b">
        <f t="shared" si="1039"/>
        <v>0</v>
      </c>
      <c r="Z1369" s="510">
        <f t="shared" si="1040"/>
        <v>0</v>
      </c>
      <c r="AA1369" s="511"/>
      <c r="AB1369" s="511" t="str">
        <f t="shared" si="1041"/>
        <v/>
      </c>
      <c r="AC1369" s="698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698"/>
      <c r="AE1369" s="631" t="str">
        <f t="shared" si="1042"/>
        <v/>
      </c>
      <c r="AF1369" s="699" t="str">
        <f t="shared" si="1043"/>
        <v/>
      </c>
      <c r="AG1369" s="699"/>
      <c r="AH1369" s="699"/>
      <c r="AI1369" s="512">
        <f>IF(H1369="credit",0,IF(AE1369="free",0,IF(AE1369="me",0,IF(G1369&gt;0,(VLOOKUP(A1369,'Discount Lookup'!J:K,2)*G1369),0))))</f>
        <v>0</v>
      </c>
      <c r="AJ1369" s="513" t="str">
        <f t="shared" ca="1" si="1044"/>
        <v/>
      </c>
      <c r="AK1369" s="700" t="str">
        <f t="shared" si="1045"/>
        <v/>
      </c>
      <c r="AL1369" s="700"/>
      <c r="AM1369" s="505" t="str">
        <f t="shared" si="1046"/>
        <v/>
      </c>
      <c r="AN1369" s="506"/>
      <c r="AO1369" s="507"/>
      <c r="AP1369" s="507"/>
      <c r="AQ1369" s="507"/>
      <c r="AR1369" s="507"/>
      <c r="AS1369" s="507"/>
      <c r="AT1369" s="507"/>
      <c r="AU1369" s="507"/>
      <c r="AV1369" s="225"/>
      <c r="AW1369" s="508"/>
      <c r="AX1369" s="225"/>
      <c r="AY1369" s="225"/>
      <c r="AZ1369" s="225"/>
      <c r="BA1369" s="225"/>
      <c r="BB1369" s="225"/>
      <c r="BC1369" s="56"/>
      <c r="BD1369" s="56"/>
      <c r="BE1369" s="56"/>
      <c r="BF1369" s="107" t="str">
        <f t="shared" si="1047"/>
        <v>https://www.google.com/search?tbm=isch&amp;q=Florida%20Sunshine%20Anise%20Tree%20Illicium%20parviflorum%20%27Florida%20Sunshine%27%20PP%2328887</v>
      </c>
      <c r="BG1369" s="107" t="str">
        <f t="shared" si="1048"/>
        <v>F</v>
      </c>
      <c r="BH1369" s="254"/>
      <c r="BI1369" s="254"/>
    </row>
    <row r="1370" spans="1:61" customFormat="1" ht="15.75" x14ac:dyDescent="0.25">
      <c r="A1370" s="485">
        <v>3</v>
      </c>
      <c r="B1370" s="486" t="s">
        <v>291</v>
      </c>
      <c r="C1370" s="487" t="s">
        <v>834</v>
      </c>
      <c r="D1370" s="488" t="s">
        <v>298</v>
      </c>
      <c r="E1370" s="489">
        <v>28.95</v>
      </c>
      <c r="F1370" s="516" t="s">
        <v>293</v>
      </c>
      <c r="G1370" s="232">
        <v>0</v>
      </c>
      <c r="H1370" s="658" t="str">
        <f t="shared" ref="H1370:H1375" si="1052">IF(G1370=0,"",IF(F1370="Buy",IF(G1370=1,"plant","plants"),IF(F1370&gt;0.01,"warranty","Error")))</f>
        <v/>
      </c>
      <c r="I1370" s="490">
        <f t="shared" ref="I1370:I1375" si="1053">IF(H1370="free",0,IF(H1370="credit",((E1370*(F1370))*G1370*-1),IF(F1370="Buy",(E1370*G1370),((E1370*(1-F1370))*G1370))))</f>
        <v>0</v>
      </c>
      <c r="J1370" s="490">
        <f t="shared" ref="J1370:J1375" si="1054">IF(H1370="warranty",0,(I1370*(_xlfn.SINGLE(SalesTaxPercentage))))</f>
        <v>0</v>
      </c>
      <c r="K1370" s="695">
        <f t="shared" ref="K1370" si="1055">I1370+J1370</f>
        <v>0</v>
      </c>
      <c r="L1370" s="695"/>
      <c r="M1370" s="659" t="str">
        <f t="shared" ref="M1370:M1375" si="1056">IF(AND(G1370&gt;0,E1370=0),"WARNING - no PRICE inserted",IF(H1370="free"," FREE ~ no charge this plant",IF(H1370="credit",CONCATENATE(" -$",ROUND(K1370*(1-T2GDiscount)*-1,2)," CREDIT after discount"),IF(T2GDiscount=0,"",IF(G1370=0,"",IF(F1370="Buy",CONCATENATE(" $",ROUND(K1370*(1-T2GDiscount),2)," with ",(T2GDiscount*100),"% discount"),CONCATENATE(" $",ROUND(K1370*(1-T2GDiscount),2)," with ",((T2GDiscount*100+F1370*100)-(T2GDiscount*100*F1370)),IF(F1370&gt;0,"% discounts",IF(NoWarrantyDiscount&gt;0,"% discounts","% discount")))))))))</f>
        <v/>
      </c>
      <c r="N1370" s="660"/>
      <c r="O1370" s="233"/>
      <c r="P1370" s="233"/>
      <c r="Q1370" s="233"/>
      <c r="R1370" s="233"/>
      <c r="S1370" s="233"/>
      <c r="T1370" s="508">
        <f t="shared" si="1036"/>
        <v>0</v>
      </c>
      <c r="U1370" s="225">
        <f>IF(NOT(ISNUMBER(G1370)), "", VLOOKUP(A1370,'Discount Lookup'!D:E,2,FALSE)*G1370)</f>
        <v>0</v>
      </c>
      <c r="V1370" s="225">
        <f>IF(NOT(ISNUMBER(G1370)), "", VLOOKUP(A1370,'Discount Lookup'!G:H,2,FALSE)*G1370)</f>
        <v>0</v>
      </c>
      <c r="W1370" s="508">
        <f t="shared" si="1037"/>
        <v>0</v>
      </c>
      <c r="X1370" s="508">
        <f t="shared" si="1038"/>
        <v>0</v>
      </c>
      <c r="Y1370" s="509" t="b">
        <f t="shared" si="1039"/>
        <v>0</v>
      </c>
      <c r="Z1370" s="510">
        <f t="shared" si="1040"/>
        <v>0</v>
      </c>
      <c r="AA1370" s="511"/>
      <c r="AB1370" s="511" t="str">
        <f t="shared" si="1041"/>
        <v/>
      </c>
      <c r="AC1370" s="698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698"/>
      <c r="AE1370" s="631" t="str">
        <f t="shared" si="1042"/>
        <v/>
      </c>
      <c r="AF1370" s="699" t="str">
        <f t="shared" si="1043"/>
        <v/>
      </c>
      <c r="AG1370" s="699"/>
      <c r="AH1370" s="699"/>
      <c r="AI1370" s="512">
        <f>IF(H1370="credit",0,IF(AE1370="free",0,IF(AE1370="me",0,IF(G1370&gt;0,(VLOOKUP(A1370,'Discount Lookup'!J:K,2)*G1370),0))))</f>
        <v>0</v>
      </c>
      <c r="AJ1370" s="513" t="str">
        <f t="shared" ca="1" si="1044"/>
        <v/>
      </c>
      <c r="AK1370" s="700" t="str">
        <f t="shared" si="1045"/>
        <v/>
      </c>
      <c r="AL1370" s="700"/>
      <c r="AM1370" s="505" t="str">
        <f t="shared" si="1046"/>
        <v/>
      </c>
      <c r="AN1370" s="506"/>
      <c r="AO1370" s="507"/>
      <c r="AP1370" s="507"/>
      <c r="AQ1370" s="507"/>
      <c r="AR1370" s="507"/>
      <c r="AS1370" s="507"/>
      <c r="AT1370" s="507"/>
      <c r="AU1370" s="507"/>
      <c r="AV1370" s="225"/>
      <c r="AW1370" s="508"/>
      <c r="AX1370" s="225"/>
      <c r="AY1370" s="225"/>
      <c r="AZ1370" s="225"/>
      <c r="BA1370" s="225"/>
      <c r="BB1370" s="225"/>
      <c r="BC1370" s="56"/>
      <c r="BD1370" s="56"/>
      <c r="BE1370" s="56"/>
      <c r="BF1370" s="107" t="str">
        <f t="shared" si="1047"/>
        <v>https://www.google.com/search?tbm=isch&amp;q=3%20G1</v>
      </c>
      <c r="BG1370" s="107" t="str">
        <f t="shared" si="1048"/>
        <v>F</v>
      </c>
      <c r="BH1370" s="254"/>
      <c r="BI1370" s="254"/>
    </row>
    <row r="1371" spans="1:61" customFormat="1" ht="15.75" x14ac:dyDescent="0.25">
      <c r="A1371" s="485">
        <v>3</v>
      </c>
      <c r="B1371" s="486" t="s">
        <v>291</v>
      </c>
      <c r="C1371" s="487" t="s">
        <v>2750</v>
      </c>
      <c r="D1371" s="488" t="s">
        <v>299</v>
      </c>
      <c r="E1371" s="489">
        <v>36.950000000000003</v>
      </c>
      <c r="F1371" s="516" t="s">
        <v>293</v>
      </c>
      <c r="G1371" s="232">
        <v>0</v>
      </c>
      <c r="H1371" s="658" t="str">
        <f t="shared" si="1052"/>
        <v/>
      </c>
      <c r="I1371" s="490">
        <f t="shared" si="1053"/>
        <v>0</v>
      </c>
      <c r="J1371" s="490">
        <f t="shared" si="1054"/>
        <v>0</v>
      </c>
      <c r="K1371" s="695">
        <f t="shared" ref="K1371" si="1057">I1371+J1371</f>
        <v>0</v>
      </c>
      <c r="L1371" s="695"/>
      <c r="M1371" s="659" t="str">
        <f t="shared" si="1056"/>
        <v/>
      </c>
      <c r="N1371" s="660"/>
      <c r="O1371" s="233"/>
      <c r="P1371" s="233"/>
      <c r="Q1371" s="233"/>
      <c r="R1371" s="233"/>
      <c r="S1371" s="233"/>
      <c r="T1371" s="508">
        <f t="shared" si="1036"/>
        <v>0</v>
      </c>
      <c r="U1371" s="225">
        <f>IF(NOT(ISNUMBER(G1371)), "", VLOOKUP(A1371,'Discount Lookup'!D:E,2,FALSE)*G1371)</f>
        <v>0</v>
      </c>
      <c r="V1371" s="225">
        <f>IF(NOT(ISNUMBER(G1371)), "", VLOOKUP(A1371,'Discount Lookup'!G:H,2,FALSE)*G1371)</f>
        <v>0</v>
      </c>
      <c r="W1371" s="508">
        <f t="shared" si="1037"/>
        <v>0</v>
      </c>
      <c r="X1371" s="508">
        <f t="shared" si="1038"/>
        <v>0</v>
      </c>
      <c r="Y1371" s="509" t="b">
        <f t="shared" si="1039"/>
        <v>0</v>
      </c>
      <c r="Z1371" s="510">
        <f t="shared" si="1040"/>
        <v>0</v>
      </c>
      <c r="AA1371" s="511"/>
      <c r="AB1371" s="511" t="str">
        <f t="shared" si="1041"/>
        <v/>
      </c>
      <c r="AC1371" s="698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698"/>
      <c r="AE1371" s="631" t="str">
        <f t="shared" si="1042"/>
        <v/>
      </c>
      <c r="AF1371" s="699" t="str">
        <f t="shared" si="1043"/>
        <v/>
      </c>
      <c r="AG1371" s="699"/>
      <c r="AH1371" s="699"/>
      <c r="AI1371" s="512">
        <f>IF(H1371="credit",0,IF(AE1371="free",0,IF(AE1371="me",0,IF(G1371&gt;0,(VLOOKUP(A1371,'Discount Lookup'!J:K,2)*G1371),0))))</f>
        <v>0</v>
      </c>
      <c r="AJ1371" s="513" t="str">
        <f t="shared" ca="1" si="1044"/>
        <v/>
      </c>
      <c r="AK1371" s="700" t="str">
        <f t="shared" si="1045"/>
        <v/>
      </c>
      <c r="AL1371" s="700"/>
      <c r="AM1371" s="505" t="str">
        <f t="shared" si="1046"/>
        <v/>
      </c>
      <c r="AN1371" s="506"/>
      <c r="AO1371" s="507"/>
      <c r="AP1371" s="507"/>
      <c r="AQ1371" s="507"/>
      <c r="AR1371" s="507"/>
      <c r="AS1371" s="507"/>
      <c r="AT1371" s="507"/>
      <c r="AU1371" s="507"/>
      <c r="AV1371" s="225"/>
      <c r="AW1371" s="508"/>
      <c r="AX1371" s="225"/>
      <c r="AY1371" s="225"/>
      <c r="AZ1371" s="225"/>
      <c r="BA1371" s="225"/>
      <c r="BB1371" s="225"/>
      <c r="BC1371" s="56"/>
      <c r="BD1371" s="56"/>
      <c r="BE1371" s="56"/>
      <c r="BF1371" s="107" t="str">
        <f t="shared" si="1047"/>
        <v>https://www.google.com/search?tbm=isch&amp;q=3%20G5</v>
      </c>
      <c r="BG1371" s="107" t="str">
        <f t="shared" si="1048"/>
        <v>F</v>
      </c>
      <c r="BH1371" s="254"/>
      <c r="BI1371" s="254"/>
    </row>
    <row r="1372" spans="1:61" customFormat="1" ht="15.75" x14ac:dyDescent="0.25">
      <c r="A1372" s="485">
        <v>7</v>
      </c>
      <c r="B1372" s="486" t="s">
        <v>291</v>
      </c>
      <c r="C1372" s="487" t="s">
        <v>328</v>
      </c>
      <c r="D1372" s="488" t="s">
        <v>298</v>
      </c>
      <c r="E1372" s="489">
        <v>68.95</v>
      </c>
      <c r="F1372" s="516" t="s">
        <v>293</v>
      </c>
      <c r="G1372" s="232">
        <v>0</v>
      </c>
      <c r="H1372" s="658" t="str">
        <f t="shared" si="1052"/>
        <v/>
      </c>
      <c r="I1372" s="490">
        <f t="shared" si="1053"/>
        <v>0</v>
      </c>
      <c r="J1372" s="490">
        <f t="shared" si="1054"/>
        <v>0</v>
      </c>
      <c r="K1372" s="695">
        <f t="shared" ref="K1372" si="1058">I1372+J1372</f>
        <v>0</v>
      </c>
      <c r="L1372" s="695"/>
      <c r="M1372" s="659" t="str">
        <f t="shared" si="1056"/>
        <v/>
      </c>
      <c r="N1372" s="660"/>
      <c r="O1372" s="233"/>
      <c r="P1372" s="233"/>
      <c r="Q1372" s="233"/>
      <c r="R1372" s="233"/>
      <c r="S1372" s="233"/>
      <c r="T1372" s="508">
        <f t="shared" si="1036"/>
        <v>0</v>
      </c>
      <c r="U1372" s="225">
        <f>IF(NOT(ISNUMBER(G1372)), "", VLOOKUP(A1372,'Discount Lookup'!D:E,2,FALSE)*G1372)</f>
        <v>0</v>
      </c>
      <c r="V1372" s="225">
        <f>IF(NOT(ISNUMBER(G1372)), "", VLOOKUP(A1372,'Discount Lookup'!G:H,2,FALSE)*G1372)</f>
        <v>0</v>
      </c>
      <c r="W1372" s="508">
        <f t="shared" si="1037"/>
        <v>0</v>
      </c>
      <c r="X1372" s="508">
        <f t="shared" si="1038"/>
        <v>0</v>
      </c>
      <c r="Y1372" s="509" t="b">
        <f t="shared" si="1039"/>
        <v>0</v>
      </c>
      <c r="Z1372" s="510">
        <f t="shared" si="1040"/>
        <v>0</v>
      </c>
      <c r="AA1372" s="511"/>
      <c r="AB1372" s="511" t="str">
        <f t="shared" si="1041"/>
        <v/>
      </c>
      <c r="AC1372" s="698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698"/>
      <c r="AE1372" s="631" t="str">
        <f t="shared" si="1042"/>
        <v/>
      </c>
      <c r="AF1372" s="699" t="str">
        <f t="shared" si="1043"/>
        <v/>
      </c>
      <c r="AG1372" s="699"/>
      <c r="AH1372" s="699"/>
      <c r="AI1372" s="512">
        <f>IF(H1372="credit",0,IF(AE1372="free",0,IF(AE1372="me",0,IF(G1372&gt;0,(VLOOKUP(A1372,'Discount Lookup'!J:K,2)*G1372),0))))</f>
        <v>0</v>
      </c>
      <c r="AJ1372" s="513" t="str">
        <f t="shared" ca="1" si="1044"/>
        <v/>
      </c>
      <c r="AK1372" s="700" t="str">
        <f t="shared" si="1045"/>
        <v/>
      </c>
      <c r="AL1372" s="700"/>
      <c r="AM1372" s="505" t="str">
        <f t="shared" si="1046"/>
        <v/>
      </c>
      <c r="AN1372" s="506"/>
      <c r="AO1372" s="507"/>
      <c r="AP1372" s="507"/>
      <c r="AQ1372" s="507"/>
      <c r="AR1372" s="507"/>
      <c r="AS1372" s="507"/>
      <c r="AT1372" s="507"/>
      <c r="AU1372" s="507"/>
      <c r="AV1372" s="225"/>
      <c r="AW1372" s="508"/>
      <c r="AX1372" s="225"/>
      <c r="AY1372" s="225"/>
      <c r="AZ1372" s="225"/>
      <c r="BA1372" s="225"/>
      <c r="BB1372" s="225"/>
      <c r="BC1372" s="56"/>
      <c r="BD1372" s="56"/>
      <c r="BE1372" s="56"/>
      <c r="BF1372" s="107" t="str">
        <f t="shared" si="1047"/>
        <v>https://www.google.com/search?tbm=isch&amp;q=7%20G1</v>
      </c>
      <c r="BG1372" s="107" t="str">
        <f t="shared" si="1048"/>
        <v>F</v>
      </c>
      <c r="BH1372" s="254"/>
      <c r="BI1372" s="254"/>
    </row>
    <row r="1373" spans="1:61" customFormat="1" ht="15.75" x14ac:dyDescent="0.25">
      <c r="A1373" s="485">
        <v>7</v>
      </c>
      <c r="B1373" s="486" t="s">
        <v>291</v>
      </c>
      <c r="C1373" s="487" t="s">
        <v>906</v>
      </c>
      <c r="D1373" s="488" t="s">
        <v>297</v>
      </c>
      <c r="E1373" s="489">
        <v>68.95</v>
      </c>
      <c r="F1373" s="516" t="s">
        <v>293</v>
      </c>
      <c r="G1373" s="232">
        <v>0</v>
      </c>
      <c r="H1373" s="658" t="str">
        <f t="shared" si="1052"/>
        <v/>
      </c>
      <c r="I1373" s="490">
        <f t="shared" si="1053"/>
        <v>0</v>
      </c>
      <c r="J1373" s="490">
        <f t="shared" si="1054"/>
        <v>0</v>
      </c>
      <c r="K1373" s="695">
        <f t="shared" ref="K1373" si="1059">I1373+J1373</f>
        <v>0</v>
      </c>
      <c r="L1373" s="695"/>
      <c r="M1373" s="659" t="str">
        <f t="shared" si="1056"/>
        <v/>
      </c>
      <c r="N1373" s="660"/>
      <c r="O1373" s="233"/>
      <c r="P1373" s="233"/>
      <c r="Q1373" s="233"/>
      <c r="R1373" s="233"/>
      <c r="S1373" s="233"/>
      <c r="T1373" s="508">
        <f t="shared" si="1036"/>
        <v>0</v>
      </c>
      <c r="U1373" s="225">
        <f>IF(NOT(ISNUMBER(G1373)), "", VLOOKUP(A1373,'Discount Lookup'!D:E,2,FALSE)*G1373)</f>
        <v>0</v>
      </c>
      <c r="V1373" s="225">
        <f>IF(NOT(ISNUMBER(G1373)), "", VLOOKUP(A1373,'Discount Lookup'!G:H,2,FALSE)*G1373)</f>
        <v>0</v>
      </c>
      <c r="W1373" s="508">
        <f t="shared" si="1037"/>
        <v>0</v>
      </c>
      <c r="X1373" s="508">
        <f t="shared" si="1038"/>
        <v>0</v>
      </c>
      <c r="Y1373" s="509" t="b">
        <f t="shared" si="1039"/>
        <v>0</v>
      </c>
      <c r="Z1373" s="510">
        <f t="shared" si="1040"/>
        <v>0</v>
      </c>
      <c r="AA1373" s="511"/>
      <c r="AB1373" s="511" t="str">
        <f t="shared" si="1041"/>
        <v/>
      </c>
      <c r="AC1373" s="698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698"/>
      <c r="AE1373" s="631" t="str">
        <f t="shared" si="1042"/>
        <v/>
      </c>
      <c r="AF1373" s="699" t="str">
        <f t="shared" si="1043"/>
        <v/>
      </c>
      <c r="AG1373" s="699"/>
      <c r="AH1373" s="699"/>
      <c r="AI1373" s="512">
        <f>IF(H1373="credit",0,IF(AE1373="free",0,IF(AE1373="me",0,IF(G1373&gt;0,(VLOOKUP(A1373,'Discount Lookup'!J:K,2)*G1373),0))))</f>
        <v>0</v>
      </c>
      <c r="AJ1373" s="513" t="str">
        <f t="shared" ca="1" si="1044"/>
        <v/>
      </c>
      <c r="AK1373" s="700" t="str">
        <f t="shared" si="1045"/>
        <v/>
      </c>
      <c r="AL1373" s="700"/>
      <c r="AM1373" s="505" t="str">
        <f t="shared" si="1046"/>
        <v/>
      </c>
      <c r="AN1373" s="506"/>
      <c r="AO1373" s="507"/>
      <c r="AP1373" s="507"/>
      <c r="AQ1373" s="507"/>
      <c r="AR1373" s="507"/>
      <c r="AS1373" s="507"/>
      <c r="AT1373" s="507"/>
      <c r="AU1373" s="507"/>
      <c r="AV1373" s="225"/>
      <c r="AW1373" s="508"/>
      <c r="AX1373" s="225"/>
      <c r="AY1373" s="225"/>
      <c r="AZ1373" s="225"/>
      <c r="BA1373" s="225"/>
      <c r="BB1373" s="225"/>
      <c r="BC1373" s="56"/>
      <c r="BD1373" s="56"/>
      <c r="BE1373" s="56"/>
      <c r="BF1373" s="107" t="str">
        <f t="shared" si="1047"/>
        <v>https://www.google.com/search?tbm=isch&amp;q=7%20G3</v>
      </c>
      <c r="BG1373" s="107" t="str">
        <f t="shared" si="1048"/>
        <v>F</v>
      </c>
      <c r="BH1373" s="254"/>
      <c r="BI1373" s="254"/>
    </row>
    <row r="1374" spans="1:61" customFormat="1" ht="15.75" x14ac:dyDescent="0.25">
      <c r="A1374" s="485">
        <v>7</v>
      </c>
      <c r="B1374" s="486" t="s">
        <v>291</v>
      </c>
      <c r="C1374" s="487" t="s">
        <v>3988</v>
      </c>
      <c r="D1374" s="488" t="s">
        <v>299</v>
      </c>
      <c r="E1374" s="489">
        <v>68.95</v>
      </c>
      <c r="F1374" s="516" t="s">
        <v>293</v>
      </c>
      <c r="G1374" s="232">
        <v>0</v>
      </c>
      <c r="H1374" s="658" t="str">
        <f t="shared" si="1052"/>
        <v/>
      </c>
      <c r="I1374" s="490">
        <f t="shared" si="1053"/>
        <v>0</v>
      </c>
      <c r="J1374" s="490">
        <f t="shared" si="1054"/>
        <v>0</v>
      </c>
      <c r="K1374" s="695">
        <f t="shared" ref="K1374" si="1060">I1374+J1374</f>
        <v>0</v>
      </c>
      <c r="L1374" s="695"/>
      <c r="M1374" s="659" t="str">
        <f t="shared" si="1056"/>
        <v/>
      </c>
      <c r="N1374" s="660"/>
      <c r="O1374" s="233"/>
      <c r="P1374" s="233"/>
      <c r="Q1374" s="233"/>
      <c r="R1374" s="233"/>
      <c r="S1374" s="233"/>
      <c r="T1374" s="508">
        <f t="shared" si="1036"/>
        <v>0</v>
      </c>
      <c r="U1374" s="225">
        <f>IF(NOT(ISNUMBER(G1374)), "", VLOOKUP(A1374,'Discount Lookup'!D:E,2,FALSE)*G1374)</f>
        <v>0</v>
      </c>
      <c r="V1374" s="225">
        <f>IF(NOT(ISNUMBER(G1374)), "", VLOOKUP(A1374,'Discount Lookup'!G:H,2,FALSE)*G1374)</f>
        <v>0</v>
      </c>
      <c r="W1374" s="508">
        <f t="shared" si="1037"/>
        <v>0</v>
      </c>
      <c r="X1374" s="508">
        <f t="shared" si="1038"/>
        <v>0</v>
      </c>
      <c r="Y1374" s="509" t="b">
        <f t="shared" si="1039"/>
        <v>0</v>
      </c>
      <c r="Z1374" s="510">
        <f t="shared" si="1040"/>
        <v>0</v>
      </c>
      <c r="AA1374" s="511"/>
      <c r="AB1374" s="511" t="str">
        <f t="shared" si="1041"/>
        <v/>
      </c>
      <c r="AC1374" s="698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698"/>
      <c r="AE1374" s="631" t="str">
        <f t="shared" si="1042"/>
        <v/>
      </c>
      <c r="AF1374" s="699" t="str">
        <f t="shared" si="1043"/>
        <v/>
      </c>
      <c r="AG1374" s="699"/>
      <c r="AH1374" s="699"/>
      <c r="AI1374" s="512">
        <f>IF(H1374="credit",0,IF(AE1374="free",0,IF(AE1374="me",0,IF(G1374&gt;0,(VLOOKUP(A1374,'Discount Lookup'!J:K,2)*G1374),0))))</f>
        <v>0</v>
      </c>
      <c r="AJ1374" s="513" t="str">
        <f t="shared" ca="1" si="1044"/>
        <v/>
      </c>
      <c r="AK1374" s="700" t="str">
        <f t="shared" si="1045"/>
        <v/>
      </c>
      <c r="AL1374" s="700"/>
      <c r="AM1374" s="505" t="str">
        <f t="shared" si="1046"/>
        <v/>
      </c>
      <c r="AN1374" s="506"/>
      <c r="AO1374" s="507"/>
      <c r="AP1374" s="507"/>
      <c r="AQ1374" s="507"/>
      <c r="AR1374" s="507"/>
      <c r="AS1374" s="507"/>
      <c r="AT1374" s="507"/>
      <c r="AU1374" s="507"/>
      <c r="AV1374" s="225"/>
      <c r="AW1374" s="508"/>
      <c r="AX1374" s="225"/>
      <c r="AY1374" s="225"/>
      <c r="AZ1374" s="225"/>
      <c r="BA1374" s="225"/>
      <c r="BB1374" s="225"/>
      <c r="BC1374" s="56"/>
      <c r="BD1374" s="56"/>
      <c r="BE1374" s="56"/>
      <c r="BF1374" s="107" t="str">
        <f t="shared" si="1047"/>
        <v>https://www.google.com/search?tbm=isch&amp;q=7%20G5</v>
      </c>
      <c r="BG1374" s="107" t="str">
        <f t="shared" si="1048"/>
        <v>F</v>
      </c>
      <c r="BH1374" s="254"/>
      <c r="BI1374" s="254"/>
    </row>
    <row r="1375" spans="1:61" customFormat="1" ht="15.75" x14ac:dyDescent="0.25">
      <c r="A1375" s="485">
        <v>10</v>
      </c>
      <c r="B1375" s="486" t="s">
        <v>291</v>
      </c>
      <c r="C1375" s="487" t="s">
        <v>2210</v>
      </c>
      <c r="D1375" s="488" t="s">
        <v>300</v>
      </c>
      <c r="E1375" s="489">
        <v>131.94999999999999</v>
      </c>
      <c r="F1375" s="516" t="s">
        <v>293</v>
      </c>
      <c r="G1375" s="232">
        <v>0</v>
      </c>
      <c r="H1375" s="658" t="str">
        <f t="shared" si="1052"/>
        <v/>
      </c>
      <c r="I1375" s="490">
        <f t="shared" si="1053"/>
        <v>0</v>
      </c>
      <c r="J1375" s="490">
        <f t="shared" si="1054"/>
        <v>0</v>
      </c>
      <c r="K1375" s="695">
        <f t="shared" ref="K1375" si="1061">I1375+J1375</f>
        <v>0</v>
      </c>
      <c r="L1375" s="695"/>
      <c r="M1375" s="659" t="str">
        <f t="shared" si="1056"/>
        <v/>
      </c>
      <c r="N1375" s="660"/>
      <c r="O1375" s="233"/>
      <c r="P1375" s="233"/>
      <c r="Q1375" s="233"/>
      <c r="R1375" s="233"/>
      <c r="S1375" s="233"/>
      <c r="T1375" s="508">
        <f t="shared" si="1036"/>
        <v>0</v>
      </c>
      <c r="U1375" s="225">
        <f>IF(NOT(ISNUMBER(G1375)), "", VLOOKUP(A1375,'Discount Lookup'!D:E,2,FALSE)*G1375)</f>
        <v>0</v>
      </c>
      <c r="V1375" s="225">
        <f>IF(NOT(ISNUMBER(G1375)), "", VLOOKUP(A1375,'Discount Lookup'!G:H,2,FALSE)*G1375)</f>
        <v>0</v>
      </c>
      <c r="W1375" s="508">
        <f t="shared" si="1037"/>
        <v>0</v>
      </c>
      <c r="X1375" s="508">
        <f t="shared" si="1038"/>
        <v>0</v>
      </c>
      <c r="Y1375" s="509" t="b">
        <f t="shared" si="1039"/>
        <v>0</v>
      </c>
      <c r="Z1375" s="510">
        <f t="shared" si="1040"/>
        <v>0</v>
      </c>
      <c r="AA1375" s="511"/>
      <c r="AB1375" s="511" t="str">
        <f t="shared" si="1041"/>
        <v/>
      </c>
      <c r="AC1375" s="698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698"/>
      <c r="AE1375" s="631" t="str">
        <f t="shared" si="1042"/>
        <v/>
      </c>
      <c r="AF1375" s="699" t="str">
        <f t="shared" si="1043"/>
        <v/>
      </c>
      <c r="AG1375" s="699"/>
      <c r="AH1375" s="699"/>
      <c r="AI1375" s="512">
        <f>IF(H1375="credit",0,IF(AE1375="free",0,IF(AE1375="me",0,IF(G1375&gt;0,(VLOOKUP(A1375,'Discount Lookup'!J:K,2)*G1375),0))))</f>
        <v>0</v>
      </c>
      <c r="AJ1375" s="513" t="str">
        <f t="shared" ca="1" si="1044"/>
        <v/>
      </c>
      <c r="AK1375" s="700" t="str">
        <f t="shared" si="1045"/>
        <v/>
      </c>
      <c r="AL1375" s="700"/>
      <c r="AM1375" s="505" t="str">
        <f t="shared" si="1046"/>
        <v/>
      </c>
      <c r="AN1375" s="506"/>
      <c r="AO1375" s="507"/>
      <c r="AP1375" s="507"/>
      <c r="AQ1375" s="507"/>
      <c r="AR1375" s="507"/>
      <c r="AS1375" s="507"/>
      <c r="AT1375" s="507"/>
      <c r="AU1375" s="507"/>
      <c r="AV1375" s="225"/>
      <c r="AW1375" s="508"/>
      <c r="AX1375" s="225"/>
      <c r="AY1375" s="225"/>
      <c r="AZ1375" s="225"/>
      <c r="BA1375" s="225"/>
      <c r="BB1375" s="225"/>
      <c r="BC1375" s="56"/>
      <c r="BD1375" s="56"/>
      <c r="BE1375" s="56"/>
      <c r="BF1375" s="107" t="str">
        <f t="shared" si="1047"/>
        <v>https://www.google.com/search?tbm=isch&amp;q=10%20G6</v>
      </c>
      <c r="BG1375" s="107" t="str">
        <f t="shared" si="1048"/>
        <v>F</v>
      </c>
      <c r="BH1375" s="254"/>
      <c r="BI1375" s="254"/>
    </row>
    <row r="1376" spans="1:61" customFormat="1" ht="16.5" thickBot="1" x14ac:dyDescent="0.3">
      <c r="A1376" s="672" t="s">
        <v>5115</v>
      </c>
      <c r="B1376" s="491"/>
      <c r="C1376" s="675"/>
      <c r="D1376" s="491"/>
      <c r="E1376" s="491"/>
      <c r="F1376" s="492"/>
      <c r="G1376" s="493"/>
      <c r="H1376" s="491"/>
      <c r="I1376" s="234"/>
      <c r="J1376" s="234"/>
      <c r="K1376" s="494"/>
      <c r="L1376" s="543"/>
      <c r="M1376" s="561"/>
      <c r="N1376" s="495"/>
      <c r="O1376" s="496"/>
      <c r="P1376" s="497"/>
      <c r="Q1376" s="495"/>
      <c r="R1376" s="495"/>
      <c r="S1376" s="667" t="s">
        <v>4968</v>
      </c>
      <c r="T1376" s="508">
        <f t="shared" si="1036"/>
        <v>0</v>
      </c>
      <c r="U1376" s="225" t="str">
        <f>IF(NOT(ISNUMBER(G1376)), "", VLOOKUP(A1376,'Discount Lookup'!D:E,2,FALSE)*G1376)</f>
        <v/>
      </c>
      <c r="V1376" s="225" t="str">
        <f>IF(NOT(ISNUMBER(G1376)), "", VLOOKUP(A1376,'Discount Lookup'!G:H,2,FALSE)*G1376)</f>
        <v/>
      </c>
      <c r="W1376" s="508">
        <f t="shared" si="1037"/>
        <v>0</v>
      </c>
      <c r="X1376" s="508">
        <f t="shared" si="1038"/>
        <v>0</v>
      </c>
      <c r="Y1376" s="509" t="b">
        <f t="shared" si="1039"/>
        <v>0</v>
      </c>
      <c r="Z1376" s="510">
        <f t="shared" si="1040"/>
        <v>0</v>
      </c>
      <c r="AA1376" s="511"/>
      <c r="AB1376" s="511" t="str">
        <f t="shared" si="1041"/>
        <v/>
      </c>
      <c r="AC1376" s="698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698"/>
      <c r="AE1376" s="631" t="str">
        <f t="shared" si="1042"/>
        <v/>
      </c>
      <c r="AF1376" s="699" t="str">
        <f t="shared" si="1043"/>
        <v/>
      </c>
      <c r="AG1376" s="699"/>
      <c r="AH1376" s="699"/>
      <c r="AI1376" s="512">
        <f>IF(H1376="credit",0,IF(AE1376="free",0,IF(AE1376="me",0,IF(G1376&gt;0,(VLOOKUP(A1376,'Discount Lookup'!J:K,2)*G1376),0))))</f>
        <v>0</v>
      </c>
      <c r="AJ1376" s="513" t="str">
        <f t="shared" ca="1" si="1044"/>
        <v/>
      </c>
      <c r="AK1376" s="700" t="str">
        <f t="shared" si="1045"/>
        <v/>
      </c>
      <c r="AL1376" s="700"/>
      <c r="AM1376" s="505" t="str">
        <f t="shared" si="1046"/>
        <v/>
      </c>
      <c r="AN1376" s="506"/>
      <c r="AO1376" s="507"/>
      <c r="AP1376" s="507"/>
      <c r="AQ1376" s="507"/>
      <c r="AR1376" s="507"/>
      <c r="AS1376" s="507"/>
      <c r="AT1376" s="507"/>
      <c r="AU1376" s="507"/>
      <c r="AV1376" s="225"/>
      <c r="AW1376" s="508"/>
      <c r="AX1376" s="225"/>
      <c r="AY1376" s="225"/>
      <c r="AZ1376" s="225"/>
      <c r="BA1376" s="225"/>
      <c r="BB1376" s="225"/>
      <c r="BC1376" s="56"/>
      <c r="BD1376" s="56"/>
      <c r="BE1376" s="56"/>
      <c r="BF1376" s="107" t="str">
        <f t="shared" si="1047"/>
        <v>https://www.google.com/search?tbm=isch&amp;q=wet%20sites%F0%9F%92%A7GOOD%2C%20Florida%20Sunshine%27s%20luminous%20Chartreuse%20foliage%20intensifies%20to%20Brilliant%20Yellow%20in%20fall.%20Small%2C%20Yellowish-Green%20flowers%20</v>
      </c>
      <c r="BG1376" s="107" t="str">
        <f t="shared" si="1048"/>
        <v>w</v>
      </c>
      <c r="BH1376" s="254"/>
      <c r="BI1376" s="254"/>
    </row>
    <row r="1377" spans="1:61" customFormat="1" ht="18" x14ac:dyDescent="0.25">
      <c r="A1377" s="523" t="s">
        <v>907</v>
      </c>
      <c r="B1377" s="235"/>
      <c r="C1377" s="676"/>
      <c r="D1377" s="255" t="s">
        <v>908</v>
      </c>
      <c r="E1377" s="236"/>
      <c r="F1377" s="236"/>
      <c r="G1377" s="236"/>
      <c r="H1377" s="582" t="s">
        <v>321</v>
      </c>
      <c r="I1377" s="498" t="s">
        <v>654</v>
      </c>
      <c r="J1377" s="237"/>
      <c r="K1377" s="237"/>
      <c r="L1377" s="274"/>
      <c r="M1377" s="668" t="s">
        <v>4962</v>
      </c>
      <c r="N1377" s="681" t="str">
        <f>IF(AND(ISTEXT($A1377), ISERROR($A1377+0)), HYPERLINK($BF1377, "Images"), "")</f>
        <v>Images</v>
      </c>
      <c r="O1377" s="663" t="s">
        <v>4969</v>
      </c>
      <c r="P1377" s="253"/>
      <c r="Q1377" s="238"/>
      <c r="R1377" s="239"/>
      <c r="S1377" s="275"/>
      <c r="T1377" s="508">
        <f t="shared" si="1036"/>
        <v>0</v>
      </c>
      <c r="U1377" s="225" t="str">
        <f>IF(NOT(ISNUMBER(G1377)), "", VLOOKUP(A1377,'Discount Lookup'!D:E,2,FALSE)*G1377)</f>
        <v/>
      </c>
      <c r="V1377" s="225" t="str">
        <f>IF(NOT(ISNUMBER(G1377)), "", VLOOKUP(A1377,'Discount Lookup'!G:H,2,FALSE)*G1377)</f>
        <v/>
      </c>
      <c r="W1377" s="508">
        <f t="shared" si="1037"/>
        <v>0</v>
      </c>
      <c r="X1377" s="508" t="str">
        <f t="shared" si="1038"/>
        <v>White bloom</v>
      </c>
      <c r="Y1377" s="509" t="b">
        <f t="shared" si="1039"/>
        <v>0</v>
      </c>
      <c r="Z1377" s="510">
        <f t="shared" si="1040"/>
        <v>0</v>
      </c>
      <c r="AA1377" s="511"/>
      <c r="AB1377" s="511" t="str">
        <f t="shared" si="1041"/>
        <v/>
      </c>
      <c r="AC1377" s="698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698"/>
      <c r="AE1377" s="631" t="str">
        <f t="shared" si="1042"/>
        <v/>
      </c>
      <c r="AF1377" s="699" t="str">
        <f t="shared" si="1043"/>
        <v/>
      </c>
      <c r="AG1377" s="699"/>
      <c r="AH1377" s="699"/>
      <c r="AI1377" s="512">
        <f>IF(H1377="credit",0,IF(AE1377="free",0,IF(AE1377="me",0,IF(G1377&gt;0,(VLOOKUP(A1377,'Discount Lookup'!J:K,2)*G1377),0))))</f>
        <v>0</v>
      </c>
      <c r="AJ1377" s="513" t="str">
        <f t="shared" ca="1" si="1044"/>
        <v/>
      </c>
      <c r="AK1377" s="700" t="str">
        <f t="shared" si="1045"/>
        <v/>
      </c>
      <c r="AL1377" s="700"/>
      <c r="AM1377" s="505" t="str">
        <f t="shared" si="1046"/>
        <v/>
      </c>
      <c r="AN1377" s="506"/>
      <c r="AO1377" s="507"/>
      <c r="AP1377" s="507"/>
      <c r="AQ1377" s="507"/>
      <c r="AR1377" s="507"/>
      <c r="AS1377" s="507"/>
      <c r="AT1377" s="507"/>
      <c r="AU1377" s="507"/>
      <c r="AV1377" s="225"/>
      <c r="AW1377" s="508"/>
      <c r="AX1377" s="225"/>
      <c r="AY1377" s="225"/>
      <c r="AZ1377" s="225"/>
      <c r="BA1377" s="225"/>
      <c r="BB1377" s="225"/>
      <c r="BC1377" s="56"/>
      <c r="BD1377" s="56"/>
      <c r="BE1377" s="56"/>
      <c r="BF1377" s="107" t="str">
        <f t="shared" si="1047"/>
        <v>https://www.google.com/search?tbm=isch&amp;q=Flying%20Dragon%20Orange%20Tree%20Citrus%20trifoliata%20%27Flying%20Dragon%27</v>
      </c>
      <c r="BG1377" s="107" t="str">
        <f t="shared" si="1048"/>
        <v>F</v>
      </c>
      <c r="BH1377" s="254"/>
      <c r="BI1377" s="254"/>
    </row>
    <row r="1378" spans="1:61" customFormat="1" ht="15.75" x14ac:dyDescent="0.25">
      <c r="A1378" s="276">
        <v>7</v>
      </c>
      <c r="B1378" s="240" t="s">
        <v>291</v>
      </c>
      <c r="C1378" s="241" t="s">
        <v>3481</v>
      </c>
      <c r="D1378" s="242" t="s">
        <v>292</v>
      </c>
      <c r="E1378" s="243">
        <v>95.95</v>
      </c>
      <c r="F1378" s="517" t="s">
        <v>293</v>
      </c>
      <c r="G1378" s="232">
        <v>0</v>
      </c>
      <c r="H1378" s="661" t="str">
        <f>IF(G1378=0,"",IF(F1378="Buy",IF(G1378=1,"plant","plants"),IF(F1378&gt;0.01,"warranty","Error")))</f>
        <v/>
      </c>
      <c r="I1378" s="244">
        <f>IF(H1378="free",0,IF(H1378="credit",((E1378*(F1378))*G1378*-1),IF(F1378="Buy",(E1378*G1378),((E1378*(1-F1378))*G1378))))</f>
        <v>0</v>
      </c>
      <c r="J1378" s="244">
        <f>IF(H1378="warranty",0,(I1378*(_xlfn.SINGLE(SalesTaxPercentage))))</f>
        <v>0</v>
      </c>
      <c r="K1378" s="696">
        <f t="shared" ref="K1378" si="1062">I1378+J1378</f>
        <v>0</v>
      </c>
      <c r="L1378" s="696"/>
      <c r="M1378" s="659" t="str">
        <f>IF(AND(G1378&gt;0,E1378=0),"WARNING - no PRICE inserted",IF(H1378="free"," FREE ~ no charge this plant",IF(H1378="credit",CONCATENATE(" -$",ROUND(K1378*(1-T2GDiscount)*-1,2)," CREDIT after discount"),IF(T2GDiscount=0,"",IF(G1378=0,"",IF(F1378="Buy",CONCATENATE(" $",ROUND(K1378*(1-T2GDiscount),2)," with ",(T2GDiscount*100),"% discount"),CONCATENATE(" $",ROUND(K1378*(1-T2GDiscount),2)," with ",((T2GDiscount*100+F1378*100)-(T2GDiscount*100*F1378)),IF(F1378&gt;0,"% discounts",IF(NoWarrantyDiscount&gt;0,"% discounts","% discount")))))))))</f>
        <v/>
      </c>
      <c r="N1378" s="660"/>
      <c r="O1378" s="233"/>
      <c r="P1378" s="233"/>
      <c r="Q1378" s="233"/>
      <c r="R1378" s="233"/>
      <c r="S1378" s="233"/>
      <c r="T1378" s="508">
        <f t="shared" si="1036"/>
        <v>0</v>
      </c>
      <c r="U1378" s="225">
        <f>IF(NOT(ISNUMBER(G1378)), "", VLOOKUP(A1378,'Discount Lookup'!D:E,2,FALSE)*G1378)</f>
        <v>0</v>
      </c>
      <c r="V1378" s="225">
        <f>IF(NOT(ISNUMBER(G1378)), "", VLOOKUP(A1378,'Discount Lookup'!G:H,2,FALSE)*G1378)</f>
        <v>0</v>
      </c>
      <c r="W1378" s="508">
        <f t="shared" si="1037"/>
        <v>0</v>
      </c>
      <c r="X1378" s="508">
        <f t="shared" si="1038"/>
        <v>0</v>
      </c>
      <c r="Y1378" s="509" t="b">
        <f t="shared" si="1039"/>
        <v>0</v>
      </c>
      <c r="Z1378" s="510">
        <f t="shared" si="1040"/>
        <v>0</v>
      </c>
      <c r="AA1378" s="511"/>
      <c r="AB1378" s="511" t="str">
        <f t="shared" si="1041"/>
        <v/>
      </c>
      <c r="AC1378" s="698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698"/>
      <c r="AE1378" s="631" t="str">
        <f t="shared" si="1042"/>
        <v/>
      </c>
      <c r="AF1378" s="699" t="str">
        <f t="shared" si="1043"/>
        <v/>
      </c>
      <c r="AG1378" s="699"/>
      <c r="AH1378" s="699"/>
      <c r="AI1378" s="512">
        <f>IF(H1378="credit",0,IF(AE1378="free",0,IF(AE1378="me",0,IF(G1378&gt;0,(VLOOKUP(A1378,'Discount Lookup'!J:K,2)*G1378),0))))</f>
        <v>0</v>
      </c>
      <c r="AJ1378" s="513" t="str">
        <f t="shared" ca="1" si="1044"/>
        <v/>
      </c>
      <c r="AK1378" s="700" t="str">
        <f t="shared" si="1045"/>
        <v/>
      </c>
      <c r="AL1378" s="700"/>
      <c r="AM1378" s="505" t="str">
        <f t="shared" si="1046"/>
        <v/>
      </c>
      <c r="AN1378" s="506"/>
      <c r="AO1378" s="507"/>
      <c r="AP1378" s="507"/>
      <c r="AQ1378" s="507"/>
      <c r="AR1378" s="507"/>
      <c r="AS1378" s="507"/>
      <c r="AT1378" s="507"/>
      <c r="AU1378" s="507"/>
      <c r="AV1378" s="225"/>
      <c r="AW1378" s="508"/>
      <c r="AX1378" s="225"/>
      <c r="AY1378" s="225"/>
      <c r="AZ1378" s="225"/>
      <c r="BA1378" s="225"/>
      <c r="BB1378" s="225"/>
      <c r="BC1378" s="56"/>
      <c r="BD1378" s="56"/>
      <c r="BE1378" s="56"/>
      <c r="BF1378" s="107" t="str">
        <f t="shared" si="1047"/>
        <v>https://www.google.com/search?tbm=isch&amp;q=7%20G4</v>
      </c>
      <c r="BG1378" s="107" t="str">
        <f t="shared" si="1048"/>
        <v>F</v>
      </c>
      <c r="BH1378" s="254"/>
      <c r="BI1378" s="254"/>
    </row>
    <row r="1379" spans="1:61" customFormat="1" ht="27" x14ac:dyDescent="0.25">
      <c r="A1379" s="276">
        <v>10</v>
      </c>
      <c r="B1379" s="240" t="s">
        <v>291</v>
      </c>
      <c r="C1379" s="241" t="s">
        <v>3482</v>
      </c>
      <c r="D1379" s="242" t="s">
        <v>292</v>
      </c>
      <c r="E1379" s="243">
        <v>210.95</v>
      </c>
      <c r="F1379" s="517" t="s">
        <v>293</v>
      </c>
      <c r="G1379" s="232">
        <v>0</v>
      </c>
      <c r="H1379" s="661" t="str">
        <f>IF(G1379=0,"",IF(F1379="Buy",IF(G1379=1,"plant","plants"),IF(F1379&gt;0.01,"warranty","Error")))</f>
        <v/>
      </c>
      <c r="I1379" s="244">
        <f>IF(H1379="free",0,IF(H1379="credit",((E1379*(F1379))*G1379*-1),IF(F1379="Buy",(E1379*G1379),((E1379*(1-F1379))*G1379))))</f>
        <v>0</v>
      </c>
      <c r="J1379" s="244">
        <f>IF(H1379="warranty",0,(I1379*(_xlfn.SINGLE(SalesTaxPercentage))))</f>
        <v>0</v>
      </c>
      <c r="K1379" s="696">
        <f t="shared" ref="K1379" si="1063">I1379+J1379</f>
        <v>0</v>
      </c>
      <c r="L1379" s="696"/>
      <c r="M1379" s="659" t="str">
        <f>IF(AND(G1379&gt;0,E1379=0),"WARNING - no PRICE inserted",IF(H1379="free"," FREE ~ no charge this plant",IF(H1379="credit",CONCATENATE(" -$",ROUND(K1379*(1-T2GDiscount)*-1,2)," CREDIT after discount"),IF(T2GDiscount=0,"",IF(G1379=0,"",IF(F1379="Buy",CONCATENATE(" $",ROUND(K1379*(1-T2GDiscount),2)," with ",(T2GDiscount*100),"% discount"),CONCATENATE(" $",ROUND(K1379*(1-T2GDiscount),2)," with ",((T2GDiscount*100+F1379*100)-(T2GDiscount*100*F1379)),IF(F1379&gt;0,"% discounts",IF(NoWarrantyDiscount&gt;0,"% discounts","% discount")))))))))</f>
        <v/>
      </c>
      <c r="N1379" s="660"/>
      <c r="O1379" s="233"/>
      <c r="P1379" s="233"/>
      <c r="Q1379" s="233"/>
      <c r="R1379" s="233"/>
      <c r="S1379" s="233"/>
      <c r="T1379" s="508">
        <f t="shared" si="1036"/>
        <v>0</v>
      </c>
      <c r="U1379" s="225">
        <f>IF(NOT(ISNUMBER(G1379)), "", VLOOKUP(A1379,'Discount Lookup'!D:E,2,FALSE)*G1379)</f>
        <v>0</v>
      </c>
      <c r="V1379" s="225">
        <f>IF(NOT(ISNUMBER(G1379)), "", VLOOKUP(A1379,'Discount Lookup'!G:H,2,FALSE)*G1379)</f>
        <v>0</v>
      </c>
      <c r="W1379" s="508">
        <f t="shared" si="1037"/>
        <v>0</v>
      </c>
      <c r="X1379" s="508">
        <f t="shared" si="1038"/>
        <v>0</v>
      </c>
      <c r="Y1379" s="509" t="b">
        <f t="shared" si="1039"/>
        <v>0</v>
      </c>
      <c r="Z1379" s="510">
        <f t="shared" si="1040"/>
        <v>0</v>
      </c>
      <c r="AA1379" s="511"/>
      <c r="AB1379" s="511" t="str">
        <f t="shared" si="1041"/>
        <v/>
      </c>
      <c r="AC1379" s="698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698"/>
      <c r="AE1379" s="631" t="str">
        <f t="shared" si="1042"/>
        <v/>
      </c>
      <c r="AF1379" s="699" t="str">
        <f t="shared" si="1043"/>
        <v/>
      </c>
      <c r="AG1379" s="699"/>
      <c r="AH1379" s="699"/>
      <c r="AI1379" s="512">
        <f>IF(H1379="credit",0,IF(AE1379="free",0,IF(AE1379="me",0,IF(G1379&gt;0,(VLOOKUP(A1379,'Discount Lookup'!J:K,2)*G1379),0))))</f>
        <v>0</v>
      </c>
      <c r="AJ1379" s="513" t="str">
        <f t="shared" ca="1" si="1044"/>
        <v/>
      </c>
      <c r="AK1379" s="700" t="str">
        <f t="shared" si="1045"/>
        <v/>
      </c>
      <c r="AL1379" s="700"/>
      <c r="AM1379" s="505" t="str">
        <f t="shared" si="1046"/>
        <v/>
      </c>
      <c r="AN1379" s="506"/>
      <c r="AO1379" s="507"/>
      <c r="AP1379" s="507"/>
      <c r="AQ1379" s="507"/>
      <c r="AR1379" s="507"/>
      <c r="AS1379" s="507"/>
      <c r="AT1379" s="507"/>
      <c r="AU1379" s="507"/>
      <c r="AV1379" s="225"/>
      <c r="AW1379" s="508"/>
      <c r="AX1379" s="225"/>
      <c r="AY1379" s="225"/>
      <c r="AZ1379" s="225"/>
      <c r="BA1379" s="225"/>
      <c r="BB1379" s="225"/>
      <c r="BC1379" s="56"/>
      <c r="BD1379" s="56"/>
      <c r="BE1379" s="56"/>
      <c r="BF1379" s="107" t="str">
        <f t="shared" si="1047"/>
        <v>https://www.google.com/search?tbm=isch&amp;q=10%20G4</v>
      </c>
      <c r="BG1379" s="107" t="str">
        <f t="shared" si="1048"/>
        <v>F</v>
      </c>
      <c r="BH1379" s="254"/>
      <c r="BI1379" s="254"/>
    </row>
    <row r="1380" spans="1:61" customFormat="1" ht="27" x14ac:dyDescent="0.25">
      <c r="A1380" s="276">
        <v>15</v>
      </c>
      <c r="B1380" s="240" t="s">
        <v>291</v>
      </c>
      <c r="C1380" s="241" t="s">
        <v>3483</v>
      </c>
      <c r="D1380" s="242" t="s">
        <v>292</v>
      </c>
      <c r="E1380" s="243">
        <v>299.95</v>
      </c>
      <c r="F1380" s="517" t="s">
        <v>293</v>
      </c>
      <c r="G1380" s="232">
        <v>0</v>
      </c>
      <c r="H1380" s="661" t="str">
        <f>IF(G1380=0,"",IF(F1380="Buy",IF(G1380=1,"plant","plants"),IF(F1380&gt;0.01,"warranty","Error")))</f>
        <v/>
      </c>
      <c r="I1380" s="244">
        <f>IF(H1380="free",0,IF(H1380="credit",((E1380*(F1380))*G1380*-1),IF(F1380="Buy",(E1380*G1380),((E1380*(1-F1380))*G1380))))</f>
        <v>0</v>
      </c>
      <c r="J1380" s="244">
        <f>IF(H1380="warranty",0,(I1380*(_xlfn.SINGLE(SalesTaxPercentage))))</f>
        <v>0</v>
      </c>
      <c r="K1380" s="696">
        <f t="shared" ref="K1380" si="1064">I1380+J1380</f>
        <v>0</v>
      </c>
      <c r="L1380" s="696"/>
      <c r="M1380" s="659" t="str">
        <f>IF(AND(G1380&gt;0,E1380=0),"WARNING - no PRICE inserted",IF(H1380="free"," FREE ~ no charge this plant",IF(H1380="credit",CONCATENATE(" -$",ROUND(K1380*(1-T2GDiscount)*-1,2)," CREDIT after discount"),IF(T2GDiscount=0,"",IF(G1380=0,"",IF(F1380="Buy",CONCATENATE(" $",ROUND(K1380*(1-T2GDiscount),2)," with ",(T2GDiscount*100),"% discount"),CONCATENATE(" $",ROUND(K1380*(1-T2GDiscount),2)," with ",((T2GDiscount*100+F1380*100)-(T2GDiscount*100*F1380)),IF(F1380&gt;0,"% discounts",IF(NoWarrantyDiscount&gt;0,"% discounts","% discount")))))))))</f>
        <v/>
      </c>
      <c r="N1380" s="660"/>
      <c r="O1380" s="233"/>
      <c r="P1380" s="233"/>
      <c r="Q1380" s="233"/>
      <c r="R1380" s="233"/>
      <c r="S1380" s="233"/>
      <c r="T1380" s="508">
        <f t="shared" si="1036"/>
        <v>0</v>
      </c>
      <c r="U1380" s="225">
        <f>IF(NOT(ISNUMBER(G1380)), "", VLOOKUP(A1380,'Discount Lookup'!D:E,2,FALSE)*G1380)</f>
        <v>0</v>
      </c>
      <c r="V1380" s="225">
        <f>IF(NOT(ISNUMBER(G1380)), "", VLOOKUP(A1380,'Discount Lookup'!G:H,2,FALSE)*G1380)</f>
        <v>0</v>
      </c>
      <c r="W1380" s="508">
        <f t="shared" si="1037"/>
        <v>0</v>
      </c>
      <c r="X1380" s="508">
        <f t="shared" si="1038"/>
        <v>0</v>
      </c>
      <c r="Y1380" s="509" t="b">
        <f t="shared" si="1039"/>
        <v>0</v>
      </c>
      <c r="Z1380" s="510">
        <f t="shared" si="1040"/>
        <v>0</v>
      </c>
      <c r="AA1380" s="511"/>
      <c r="AB1380" s="511" t="str">
        <f t="shared" si="1041"/>
        <v/>
      </c>
      <c r="AC1380" s="698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698"/>
      <c r="AE1380" s="631" t="str">
        <f t="shared" si="1042"/>
        <v/>
      </c>
      <c r="AF1380" s="699" t="str">
        <f t="shared" si="1043"/>
        <v/>
      </c>
      <c r="AG1380" s="699"/>
      <c r="AH1380" s="699"/>
      <c r="AI1380" s="512">
        <f>IF(H1380="credit",0,IF(AE1380="free",0,IF(AE1380="me",0,IF(G1380&gt;0,(VLOOKUP(A1380,'Discount Lookup'!J:K,2)*G1380),0))))</f>
        <v>0</v>
      </c>
      <c r="AJ1380" s="513" t="str">
        <f t="shared" ca="1" si="1044"/>
        <v/>
      </c>
      <c r="AK1380" s="700" t="str">
        <f t="shared" si="1045"/>
        <v/>
      </c>
      <c r="AL1380" s="700"/>
      <c r="AM1380" s="505" t="str">
        <f t="shared" si="1046"/>
        <v/>
      </c>
      <c r="AN1380" s="506"/>
      <c r="AO1380" s="507"/>
      <c r="AP1380" s="507"/>
      <c r="AQ1380" s="507"/>
      <c r="AR1380" s="507"/>
      <c r="AS1380" s="507"/>
      <c r="AT1380" s="507"/>
      <c r="AU1380" s="507"/>
      <c r="AV1380" s="225"/>
      <c r="AW1380" s="508"/>
      <c r="AX1380" s="225"/>
      <c r="AY1380" s="225"/>
      <c r="AZ1380" s="225"/>
      <c r="BA1380" s="225"/>
      <c r="BB1380" s="225"/>
      <c r="BC1380" s="56"/>
      <c r="BD1380" s="56"/>
      <c r="BE1380" s="56"/>
      <c r="BF1380" s="107" t="str">
        <f t="shared" si="1047"/>
        <v>https://www.google.com/search?tbm=isch&amp;q=15%20G4</v>
      </c>
      <c r="BG1380" s="107" t="str">
        <f t="shared" si="1048"/>
        <v>F</v>
      </c>
      <c r="BH1380" s="254"/>
      <c r="BI1380" s="254"/>
    </row>
    <row r="1381" spans="1:61" customFormat="1" ht="17.25" thickBot="1" x14ac:dyDescent="0.3">
      <c r="A1381" s="524" t="s">
        <v>2677</v>
      </c>
      <c r="B1381" s="245"/>
      <c r="C1381" s="677"/>
      <c r="D1381" s="499"/>
      <c r="E1381" s="499"/>
      <c r="F1381" s="500"/>
      <c r="G1381" s="501"/>
      <c r="H1381" s="502"/>
      <c r="I1381" s="246"/>
      <c r="J1381" s="247"/>
      <c r="K1381" s="503"/>
      <c r="L1381" s="544"/>
      <c r="M1381" s="544"/>
      <c r="N1381" s="500"/>
      <c r="O1381" s="500"/>
      <c r="P1381" s="500"/>
      <c r="Q1381" s="500"/>
      <c r="R1381" s="500"/>
      <c r="S1381" s="669" t="s">
        <v>5008</v>
      </c>
      <c r="T1381" s="508">
        <f t="shared" si="1036"/>
        <v>0</v>
      </c>
      <c r="U1381" s="225" t="str">
        <f>IF(NOT(ISNUMBER(G1381)), "", VLOOKUP(A1381,'Discount Lookup'!D:E,2,FALSE)*G1381)</f>
        <v/>
      </c>
      <c r="V1381" s="225" t="str">
        <f>IF(NOT(ISNUMBER(G1381)), "", VLOOKUP(A1381,'Discount Lookup'!G:H,2,FALSE)*G1381)</f>
        <v/>
      </c>
      <c r="W1381" s="508">
        <f t="shared" si="1037"/>
        <v>0</v>
      </c>
      <c r="X1381" s="508">
        <f t="shared" si="1038"/>
        <v>0</v>
      </c>
      <c r="Y1381" s="509" t="b">
        <f t="shared" si="1039"/>
        <v>0</v>
      </c>
      <c r="Z1381" s="510">
        <f t="shared" si="1040"/>
        <v>0</v>
      </c>
      <c r="AA1381" s="511"/>
      <c r="AB1381" s="511" t="str">
        <f t="shared" si="1041"/>
        <v/>
      </c>
      <c r="AC1381" s="698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698"/>
      <c r="AE1381" s="631" t="str">
        <f t="shared" si="1042"/>
        <v/>
      </c>
      <c r="AF1381" s="699" t="str">
        <f t="shared" si="1043"/>
        <v/>
      </c>
      <c r="AG1381" s="699"/>
      <c r="AH1381" s="699"/>
      <c r="AI1381" s="512">
        <f>IF(H1381="credit",0,IF(AE1381="free",0,IF(AE1381="me",0,IF(G1381&gt;0,(VLOOKUP(A1381,'Discount Lookup'!J:K,2)*G1381),0))))</f>
        <v>0</v>
      </c>
      <c r="AJ1381" s="513" t="str">
        <f t="shared" ca="1" si="1044"/>
        <v/>
      </c>
      <c r="AK1381" s="700" t="str">
        <f t="shared" si="1045"/>
        <v/>
      </c>
      <c r="AL1381" s="700"/>
      <c r="AM1381" s="505" t="str">
        <f t="shared" si="1046"/>
        <v/>
      </c>
      <c r="AN1381" s="506"/>
      <c r="AO1381" s="507"/>
      <c r="AP1381" s="507"/>
      <c r="AQ1381" s="507"/>
      <c r="AR1381" s="507"/>
      <c r="AS1381" s="507"/>
      <c r="AT1381" s="507"/>
      <c r="AU1381" s="507"/>
      <c r="AV1381" s="225"/>
      <c r="AW1381" s="508"/>
      <c r="AX1381" s="225"/>
      <c r="AY1381" s="225"/>
      <c r="AZ1381" s="225"/>
      <c r="BA1381" s="225"/>
      <c r="BB1381" s="225"/>
      <c r="BC1381" s="56"/>
      <c r="BD1381" s="56"/>
      <c r="BE1381" s="56"/>
      <c r="BF1381" s="107" t="str">
        <f t="shared" si="1047"/>
        <v>https://www.google.com/search?tbm=isch&amp;q=Flying%20Dragon%20grown%20for%20its%20wild%20twisted%20branches%20and%20big%20thorns.%20Small%20fruit%20is%20sour%2C%20but%20edible.%20Self%20pollinates%20</v>
      </c>
      <c r="BG1381" s="107" t="str">
        <f t="shared" si="1048"/>
        <v>F</v>
      </c>
      <c r="BH1381" s="254"/>
      <c r="BI1381" s="254"/>
    </row>
    <row r="1382" spans="1:61" customFormat="1" ht="18" x14ac:dyDescent="0.25">
      <c r="A1382" s="523" t="s">
        <v>5410</v>
      </c>
      <c r="B1382" s="235"/>
      <c r="C1382" s="676"/>
      <c r="D1382" s="255" t="s">
        <v>909</v>
      </c>
      <c r="E1382" s="236"/>
      <c r="F1382" s="236"/>
      <c r="G1382" s="236"/>
      <c r="H1382" s="582" t="s">
        <v>1031</v>
      </c>
      <c r="I1382" s="498" t="s">
        <v>2109</v>
      </c>
      <c r="J1382" s="237"/>
      <c r="K1382" s="237"/>
      <c r="L1382" s="274"/>
      <c r="M1382" s="668" t="s">
        <v>4975</v>
      </c>
      <c r="N1382" s="681" t="str">
        <f>IF(AND(ISTEXT($A1382), ISERROR($A1382+0)), HYPERLINK($BF1382, "Images"), "")</f>
        <v>Images</v>
      </c>
      <c r="O1382" s="663" t="s">
        <v>4967</v>
      </c>
      <c r="P1382" s="253"/>
      <c r="Q1382" s="238"/>
      <c r="R1382" s="239"/>
      <c r="S1382" s="275" t="s">
        <v>305</v>
      </c>
      <c r="T1382" s="508">
        <f t="shared" si="1036"/>
        <v>0</v>
      </c>
      <c r="U1382" s="225" t="str">
        <f>IF(NOT(ISNUMBER(G1382)), "", VLOOKUP(A1382,'Discount Lookup'!D:E,2,FALSE)*G1382)</f>
        <v/>
      </c>
      <c r="V1382" s="225" t="str">
        <f>IF(NOT(ISNUMBER(G1382)), "", VLOOKUP(A1382,'Discount Lookup'!G:H,2,FALSE)*G1382)</f>
        <v/>
      </c>
      <c r="W1382" s="508">
        <f t="shared" si="1037"/>
        <v>0</v>
      </c>
      <c r="X1382" s="508" t="str">
        <f t="shared" si="1038"/>
        <v>Green foliage</v>
      </c>
      <c r="Y1382" s="509" t="b">
        <f t="shared" si="1039"/>
        <v>0</v>
      </c>
      <c r="Z1382" s="510">
        <f t="shared" si="1040"/>
        <v>0</v>
      </c>
      <c r="AA1382" s="511"/>
      <c r="AB1382" s="511" t="str">
        <f t="shared" si="1041"/>
        <v/>
      </c>
      <c r="AC1382" s="698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698"/>
      <c r="AE1382" s="631" t="str">
        <f t="shared" si="1042"/>
        <v/>
      </c>
      <c r="AF1382" s="699" t="str">
        <f t="shared" si="1043"/>
        <v/>
      </c>
      <c r="AG1382" s="699"/>
      <c r="AH1382" s="699"/>
      <c r="AI1382" s="512">
        <f>IF(H1382="credit",0,IF(AE1382="free",0,IF(AE1382="me",0,IF(G1382&gt;0,(VLOOKUP(A1382,'Discount Lookup'!J:K,2)*G1382),0))))</f>
        <v>0</v>
      </c>
      <c r="AJ1382" s="513" t="str">
        <f t="shared" ca="1" si="1044"/>
        <v/>
      </c>
      <c r="AK1382" s="700" t="str">
        <f t="shared" si="1045"/>
        <v/>
      </c>
      <c r="AL1382" s="700"/>
      <c r="AM1382" s="505" t="str">
        <f t="shared" si="1046"/>
        <v/>
      </c>
      <c r="AN1382" s="506"/>
      <c r="AO1382" s="507"/>
      <c r="AP1382" s="507"/>
      <c r="AQ1382" s="507"/>
      <c r="AR1382" s="507"/>
      <c r="AS1382" s="507"/>
      <c r="AT1382" s="507"/>
      <c r="AU1382" s="507"/>
      <c r="AV1382" s="225"/>
      <c r="AW1382" s="508"/>
      <c r="AX1382" s="225"/>
      <c r="AY1382" s="225"/>
      <c r="AZ1382" s="225"/>
      <c r="BA1382" s="225"/>
      <c r="BB1382" s="225"/>
      <c r="BC1382" s="56"/>
      <c r="BD1382" s="56"/>
      <c r="BE1382" s="56"/>
      <c r="BF1382" s="107" t="str">
        <f t="shared" si="1047"/>
        <v>https://www.google.com/search?tbm=isch&amp;q=Forest%20Fire%E2%84%A2%20Tupelo%20Nyssa%20Sylvatica%20%27The%20James%27%20PP%2329473</v>
      </c>
      <c r="BG1382" s="107" t="str">
        <f t="shared" si="1048"/>
        <v>F</v>
      </c>
      <c r="BH1382" s="254"/>
      <c r="BI1382" s="254"/>
    </row>
    <row r="1383" spans="1:61" customFormat="1" ht="15.75" x14ac:dyDescent="0.25">
      <c r="A1383" s="276">
        <v>25</v>
      </c>
      <c r="B1383" s="240" t="s">
        <v>291</v>
      </c>
      <c r="C1383" s="241" t="s">
        <v>3062</v>
      </c>
      <c r="D1383" s="242" t="s">
        <v>300</v>
      </c>
      <c r="E1383" s="243">
        <v>377.95</v>
      </c>
      <c r="F1383" s="517" t="s">
        <v>293</v>
      </c>
      <c r="G1383" s="232">
        <v>0</v>
      </c>
      <c r="H1383" s="661" t="str">
        <f>IF(G1383=0,"",IF(F1383="Buy",IF(G1383=1,"plant","plants"),IF(F1383&gt;0.01,"warranty","Error")))</f>
        <v/>
      </c>
      <c r="I1383" s="244">
        <f>IF(H1383="free",0,IF(H1383="credit",((E1383*(F1383))*G1383*-1),IF(F1383="Buy",(E1383*G1383),((E1383*(1-F1383))*G1383))))</f>
        <v>0</v>
      </c>
      <c r="J1383" s="244">
        <f>IF(H1383="warranty",0,(I1383*(_xlfn.SINGLE(SalesTaxPercentage))))</f>
        <v>0</v>
      </c>
      <c r="K1383" s="696">
        <f t="shared" ref="K1383" si="1065">I1383+J1383</f>
        <v>0</v>
      </c>
      <c r="L1383" s="696"/>
      <c r="M1383" s="659" t="str">
        <f>IF(AND(G1383&gt;0,E1383=0),"WARNING - no PRICE inserted",IF(H1383="free"," FREE ~ no charge this plant",IF(H1383="credit",CONCATENATE(" -$",ROUND(K1383*(1-T2GDiscount)*-1,2)," CREDIT after discount"),IF(T2GDiscount=0,"",IF(G1383=0,"",IF(F1383="Buy",CONCATENATE(" $",ROUND(K1383*(1-T2GDiscount),2)," with ",(T2GDiscount*100),"% discount"),CONCATENATE(" $",ROUND(K1383*(1-T2GDiscount),2)," with ",((T2GDiscount*100+F1383*100)-(T2GDiscount*100*F1383)),IF(F1383&gt;0,"% discounts",IF(NoWarrantyDiscount&gt;0,"% discounts","% discount")))))))))</f>
        <v/>
      </c>
      <c r="N1383" s="660"/>
      <c r="O1383" s="233"/>
      <c r="P1383" s="233"/>
      <c r="Q1383" s="233"/>
      <c r="R1383" s="233"/>
      <c r="S1383" s="233"/>
      <c r="T1383" s="508">
        <f t="shared" si="1036"/>
        <v>0</v>
      </c>
      <c r="U1383" s="225">
        <f>IF(NOT(ISNUMBER(G1383)), "", VLOOKUP(A1383,'Discount Lookup'!D:E,2,FALSE)*G1383)</f>
        <v>0</v>
      </c>
      <c r="V1383" s="225">
        <f>IF(NOT(ISNUMBER(G1383)), "", VLOOKUP(A1383,'Discount Lookup'!G:H,2,FALSE)*G1383)</f>
        <v>0</v>
      </c>
      <c r="W1383" s="508">
        <f t="shared" si="1037"/>
        <v>0</v>
      </c>
      <c r="X1383" s="508">
        <f t="shared" si="1038"/>
        <v>0</v>
      </c>
      <c r="Y1383" s="509" t="b">
        <f t="shared" si="1039"/>
        <v>0</v>
      </c>
      <c r="Z1383" s="510">
        <f t="shared" si="1040"/>
        <v>0</v>
      </c>
      <c r="AA1383" s="511"/>
      <c r="AB1383" s="511" t="str">
        <f t="shared" si="1041"/>
        <v/>
      </c>
      <c r="AC1383" s="698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698"/>
      <c r="AE1383" s="631" t="str">
        <f t="shared" si="1042"/>
        <v/>
      </c>
      <c r="AF1383" s="699" t="str">
        <f t="shared" si="1043"/>
        <v/>
      </c>
      <c r="AG1383" s="699"/>
      <c r="AH1383" s="699"/>
      <c r="AI1383" s="512">
        <f>IF(H1383="credit",0,IF(AE1383="free",0,IF(AE1383="me",0,IF(G1383&gt;0,(VLOOKUP(A1383,'Discount Lookup'!J:K,2)*G1383),0))))</f>
        <v>0</v>
      </c>
      <c r="AJ1383" s="513" t="str">
        <f t="shared" ca="1" si="1044"/>
        <v/>
      </c>
      <c r="AK1383" s="700" t="str">
        <f t="shared" si="1045"/>
        <v/>
      </c>
      <c r="AL1383" s="700"/>
      <c r="AM1383" s="505" t="str">
        <f t="shared" si="1046"/>
        <v/>
      </c>
      <c r="AN1383" s="506"/>
      <c r="AO1383" s="507"/>
      <c r="AP1383" s="507"/>
      <c r="AQ1383" s="507"/>
      <c r="AR1383" s="507"/>
      <c r="AS1383" s="507"/>
      <c r="AT1383" s="507"/>
      <c r="AU1383" s="507"/>
      <c r="AV1383" s="225"/>
      <c r="AW1383" s="508"/>
      <c r="AX1383" s="225"/>
      <c r="AY1383" s="225"/>
      <c r="AZ1383" s="225"/>
      <c r="BA1383" s="225"/>
      <c r="BB1383" s="225"/>
      <c r="BC1383" s="56"/>
      <c r="BD1383" s="56"/>
      <c r="BE1383" s="56"/>
      <c r="BF1383" s="107" t="str">
        <f t="shared" si="1047"/>
        <v>https://www.google.com/search?tbm=isch&amp;q=25%20G6</v>
      </c>
      <c r="BG1383" s="107" t="str">
        <f t="shared" si="1048"/>
        <v>F</v>
      </c>
      <c r="BH1383" s="254"/>
      <c r="BI1383" s="254"/>
    </row>
    <row r="1384" spans="1:61" customFormat="1" ht="17.25" thickBot="1" x14ac:dyDescent="0.3">
      <c r="A1384" s="673" t="s">
        <v>5116</v>
      </c>
      <c r="B1384" s="245"/>
      <c r="C1384" s="677"/>
      <c r="D1384" s="499"/>
      <c r="E1384" s="499"/>
      <c r="F1384" s="500"/>
      <c r="G1384" s="501"/>
      <c r="H1384" s="502"/>
      <c r="I1384" s="246"/>
      <c r="J1384" s="247"/>
      <c r="K1384" s="503"/>
      <c r="L1384" s="544"/>
      <c r="M1384" s="544"/>
      <c r="N1384" s="500"/>
      <c r="O1384" s="500"/>
      <c r="P1384" s="500"/>
      <c r="Q1384" s="500"/>
      <c r="R1384" s="500"/>
      <c r="S1384" s="669" t="s">
        <v>5012</v>
      </c>
      <c r="T1384" s="508">
        <f t="shared" si="1036"/>
        <v>0</v>
      </c>
      <c r="U1384" s="225" t="str">
        <f>IF(NOT(ISNUMBER(G1384)), "", VLOOKUP(A1384,'Discount Lookup'!D:E,2,FALSE)*G1384)</f>
        <v/>
      </c>
      <c r="V1384" s="225" t="str">
        <f>IF(NOT(ISNUMBER(G1384)), "", VLOOKUP(A1384,'Discount Lookup'!G:H,2,FALSE)*G1384)</f>
        <v/>
      </c>
      <c r="W1384" s="508">
        <f t="shared" si="1037"/>
        <v>0</v>
      </c>
      <c r="X1384" s="508">
        <f t="shared" si="1038"/>
        <v>0</v>
      </c>
      <c r="Y1384" s="509" t="b">
        <f t="shared" si="1039"/>
        <v>0</v>
      </c>
      <c r="Z1384" s="510">
        <f t="shared" si="1040"/>
        <v>0</v>
      </c>
      <c r="AA1384" s="511"/>
      <c r="AB1384" s="511" t="str">
        <f t="shared" si="1041"/>
        <v/>
      </c>
      <c r="AC1384" s="698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698"/>
      <c r="AE1384" s="631" t="str">
        <f t="shared" si="1042"/>
        <v/>
      </c>
      <c r="AF1384" s="699" t="str">
        <f t="shared" si="1043"/>
        <v/>
      </c>
      <c r="AG1384" s="699"/>
      <c r="AH1384" s="699"/>
      <c r="AI1384" s="512">
        <f>IF(H1384="credit",0,IF(AE1384="free",0,IF(AE1384="me",0,IF(G1384&gt;0,(VLOOKUP(A1384,'Discount Lookup'!J:K,2)*G1384),0))))</f>
        <v>0</v>
      </c>
      <c r="AJ1384" s="513" t="str">
        <f t="shared" ca="1" si="1044"/>
        <v/>
      </c>
      <c r="AK1384" s="700" t="str">
        <f t="shared" si="1045"/>
        <v/>
      </c>
      <c r="AL1384" s="700"/>
      <c r="AM1384" s="505" t="str">
        <f t="shared" si="1046"/>
        <v/>
      </c>
      <c r="AN1384" s="506"/>
      <c r="AO1384" s="507"/>
      <c r="AP1384" s="507"/>
      <c r="AQ1384" s="507"/>
      <c r="AR1384" s="507"/>
      <c r="AS1384" s="507"/>
      <c r="AT1384" s="507"/>
      <c r="AU1384" s="507"/>
      <c r="AV1384" s="225"/>
      <c r="AW1384" s="508"/>
      <c r="AX1384" s="225"/>
      <c r="AY1384" s="225"/>
      <c r="AZ1384" s="225"/>
      <c r="BA1384" s="225"/>
      <c r="BB1384" s="225"/>
      <c r="BC1384" s="56"/>
      <c r="BD1384" s="56"/>
      <c r="BE1384" s="56"/>
      <c r="BF1384" s="107" t="str">
        <f t="shared" si="1047"/>
        <v>https://www.google.com/search?tbm=isch&amp;q=wet%20sites%F0%9F%92%A7GOOD%2C%20Forest%20Fire%20named%20for%20intense%20Red-Orange%20fall%20display.%20Small%2C%20Dark%20Blue-Black%20fruit.%20%22Alligaotor%20Hide%22%20bark%20</v>
      </c>
      <c r="BG1384" s="107" t="str">
        <f t="shared" si="1048"/>
        <v>w</v>
      </c>
      <c r="BH1384" s="254"/>
      <c r="BI1384" s="254"/>
    </row>
    <row r="1385" spans="1:61" customFormat="1" ht="18" x14ac:dyDescent="0.25">
      <c r="A1385" s="523" t="s">
        <v>910</v>
      </c>
      <c r="B1385" s="235"/>
      <c r="C1385" s="676"/>
      <c r="D1385" s="255" t="s">
        <v>911</v>
      </c>
      <c r="E1385" s="236"/>
      <c r="F1385" s="236"/>
      <c r="G1385" s="236"/>
      <c r="H1385" s="582" t="s">
        <v>370</v>
      </c>
      <c r="I1385" s="498" t="s">
        <v>912</v>
      </c>
      <c r="J1385" s="237"/>
      <c r="K1385" s="237"/>
      <c r="L1385" s="274"/>
      <c r="M1385" s="668" t="s">
        <v>4975</v>
      </c>
      <c r="N1385" s="681" t="str">
        <f>IF(AND(ISTEXT($A1385), ISERROR($A1385+0)), HYPERLINK($BF1385, "Images"), "")</f>
        <v>Images</v>
      </c>
      <c r="O1385" s="663" t="s">
        <v>4974</v>
      </c>
      <c r="P1385" s="253"/>
      <c r="Q1385" s="238"/>
      <c r="R1385" s="239"/>
      <c r="S1385" s="275" t="s">
        <v>305</v>
      </c>
      <c r="T1385" s="508">
        <f t="shared" si="1036"/>
        <v>0</v>
      </c>
      <c r="U1385" s="225" t="str">
        <f>IF(NOT(ISNUMBER(G1385)), "", VLOOKUP(A1385,'Discount Lookup'!D:E,2,FALSE)*G1385)</f>
        <v/>
      </c>
      <c r="V1385" s="225" t="str">
        <f>IF(NOT(ISNUMBER(G1385)), "", VLOOKUP(A1385,'Discount Lookup'!G:H,2,FALSE)*G1385)</f>
        <v/>
      </c>
      <c r="W1385" s="508">
        <f t="shared" si="1037"/>
        <v>0</v>
      </c>
      <c r="X1385" s="508" t="str">
        <f t="shared" si="1038"/>
        <v>Rosy-Pink bloom</v>
      </c>
      <c r="Y1385" s="509" t="b">
        <f t="shared" si="1039"/>
        <v>0</v>
      </c>
      <c r="Z1385" s="510">
        <f t="shared" si="1040"/>
        <v>0</v>
      </c>
      <c r="AA1385" s="511"/>
      <c r="AB1385" s="511" t="str">
        <f t="shared" si="1041"/>
        <v/>
      </c>
      <c r="AC1385" s="698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698"/>
      <c r="AE1385" s="631" t="str">
        <f t="shared" si="1042"/>
        <v/>
      </c>
      <c r="AF1385" s="699" t="str">
        <f t="shared" si="1043"/>
        <v/>
      </c>
      <c r="AG1385" s="699"/>
      <c r="AH1385" s="699"/>
      <c r="AI1385" s="512">
        <f>IF(H1385="credit",0,IF(AE1385="free",0,IF(AE1385="me",0,IF(G1385&gt;0,(VLOOKUP(A1385,'Discount Lookup'!J:K,2)*G1385),0))))</f>
        <v>0</v>
      </c>
      <c r="AJ1385" s="513" t="str">
        <f t="shared" ca="1" si="1044"/>
        <v/>
      </c>
      <c r="AK1385" s="700" t="str">
        <f t="shared" si="1045"/>
        <v/>
      </c>
      <c r="AL1385" s="700"/>
      <c r="AM1385" s="505" t="str">
        <f t="shared" si="1046"/>
        <v/>
      </c>
      <c r="AN1385" s="506"/>
      <c r="AO1385" s="507"/>
      <c r="AP1385" s="507"/>
      <c r="AQ1385" s="507"/>
      <c r="AR1385" s="507"/>
      <c r="AS1385" s="507"/>
      <c r="AT1385" s="507"/>
      <c r="AU1385" s="507"/>
      <c r="AV1385" s="225"/>
      <c r="AW1385" s="508"/>
      <c r="AX1385" s="225"/>
      <c r="AY1385" s="225"/>
      <c r="AZ1385" s="225"/>
      <c r="BA1385" s="225"/>
      <c r="BB1385" s="225"/>
      <c r="BC1385" s="56"/>
      <c r="BD1385" s="56"/>
      <c r="BE1385" s="56"/>
      <c r="BF1385" s="107" t="str">
        <f t="shared" si="1047"/>
        <v>https://www.google.com/search?tbm=isch&amp;q=Forest%20Pansy%20Redbud%20Cercis%20canadensis%20%27Forest%20Pansy%27%20PP%232556Exp.</v>
      </c>
      <c r="BG1385" s="107" t="str">
        <f t="shared" si="1048"/>
        <v>F</v>
      </c>
      <c r="BH1385" s="254"/>
      <c r="BI1385" s="254"/>
    </row>
    <row r="1386" spans="1:61" customFormat="1" ht="15.75" x14ac:dyDescent="0.25">
      <c r="A1386" s="276">
        <v>7</v>
      </c>
      <c r="B1386" s="240" t="s">
        <v>291</v>
      </c>
      <c r="C1386" s="241" t="s">
        <v>3484</v>
      </c>
      <c r="D1386" s="242" t="s">
        <v>292</v>
      </c>
      <c r="E1386" s="243">
        <v>104.95</v>
      </c>
      <c r="F1386" s="517" t="s">
        <v>293</v>
      </c>
      <c r="G1386" s="232">
        <v>0</v>
      </c>
      <c r="H1386" s="661" t="str">
        <f>IF(G1386=0,"",IF(F1386="Buy",IF(G1386=1,"plant","plants"),IF(F1386&gt;0.01,"warranty","Error")))</f>
        <v/>
      </c>
      <c r="I1386" s="244">
        <f>IF(H1386="free",0,IF(H1386="credit",((E1386*(F1386))*G1386*-1),IF(F1386="Buy",(E1386*G1386),((E1386*(1-F1386))*G1386))))</f>
        <v>0</v>
      </c>
      <c r="J1386" s="244">
        <f>IF(H1386="warranty",0,(I1386*(_xlfn.SINGLE(SalesTaxPercentage))))</f>
        <v>0</v>
      </c>
      <c r="K1386" s="696">
        <f t="shared" ref="K1386" si="1066">I1386+J1386</f>
        <v>0</v>
      </c>
      <c r="L1386" s="696"/>
      <c r="M1386" s="659" t="str">
        <f>IF(AND(G1386&gt;0,E1386=0),"WARNING - no PRICE inserted",IF(H1386="free"," FREE ~ no charge this plant",IF(H1386="credit",CONCATENATE(" -$",ROUND(K1386*(1-T2GDiscount)*-1,2)," CREDIT after discount"),IF(T2GDiscount=0,"",IF(G1386=0,"",IF(F1386="Buy",CONCATENATE(" $",ROUND(K1386*(1-T2GDiscount),2)," with ",(T2GDiscount*100),"% discount"),CONCATENATE(" $",ROUND(K1386*(1-T2GDiscount),2)," with ",((T2GDiscount*100+F1386*100)-(T2GDiscount*100*F1386)),IF(F1386&gt;0,"% discounts",IF(NoWarrantyDiscount&gt;0,"% discounts","% discount")))))))))</f>
        <v/>
      </c>
      <c r="N1386" s="660"/>
      <c r="O1386" s="233"/>
      <c r="P1386" s="233"/>
      <c r="Q1386" s="233"/>
      <c r="R1386" s="233"/>
      <c r="S1386" s="233"/>
      <c r="T1386" s="508">
        <f t="shared" si="1036"/>
        <v>0</v>
      </c>
      <c r="U1386" s="225">
        <f>IF(NOT(ISNUMBER(G1386)), "", VLOOKUP(A1386,'Discount Lookup'!D:E,2,FALSE)*G1386)</f>
        <v>0</v>
      </c>
      <c r="V1386" s="225">
        <f>IF(NOT(ISNUMBER(G1386)), "", VLOOKUP(A1386,'Discount Lookup'!G:H,2,FALSE)*G1386)</f>
        <v>0</v>
      </c>
      <c r="W1386" s="508">
        <f t="shared" si="1037"/>
        <v>0</v>
      </c>
      <c r="X1386" s="508">
        <f t="shared" si="1038"/>
        <v>0</v>
      </c>
      <c r="Y1386" s="509" t="b">
        <f t="shared" si="1039"/>
        <v>0</v>
      </c>
      <c r="Z1386" s="510">
        <f t="shared" si="1040"/>
        <v>0</v>
      </c>
      <c r="AA1386" s="511"/>
      <c r="AB1386" s="511" t="str">
        <f t="shared" si="1041"/>
        <v/>
      </c>
      <c r="AC1386" s="698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698"/>
      <c r="AE1386" s="631" t="str">
        <f t="shared" si="1042"/>
        <v/>
      </c>
      <c r="AF1386" s="699" t="str">
        <f t="shared" si="1043"/>
        <v/>
      </c>
      <c r="AG1386" s="699"/>
      <c r="AH1386" s="699"/>
      <c r="AI1386" s="512">
        <f>IF(H1386="credit",0,IF(AE1386="free",0,IF(AE1386="me",0,IF(G1386&gt;0,(VLOOKUP(A1386,'Discount Lookup'!J:K,2)*G1386),0))))</f>
        <v>0</v>
      </c>
      <c r="AJ1386" s="513" t="str">
        <f t="shared" ca="1" si="1044"/>
        <v/>
      </c>
      <c r="AK1386" s="700" t="str">
        <f t="shared" si="1045"/>
        <v/>
      </c>
      <c r="AL1386" s="700"/>
      <c r="AM1386" s="505" t="str">
        <f t="shared" si="1046"/>
        <v/>
      </c>
      <c r="AN1386" s="506"/>
      <c r="AO1386" s="507"/>
      <c r="AP1386" s="507"/>
      <c r="AQ1386" s="507"/>
      <c r="AR1386" s="507"/>
      <c r="AS1386" s="507"/>
      <c r="AT1386" s="507"/>
      <c r="AU1386" s="507"/>
      <c r="AV1386" s="225"/>
      <c r="AW1386" s="508"/>
      <c r="AX1386" s="225"/>
      <c r="AY1386" s="225"/>
      <c r="AZ1386" s="225"/>
      <c r="BA1386" s="225"/>
      <c r="BB1386" s="225"/>
      <c r="BC1386" s="56"/>
      <c r="BD1386" s="56"/>
      <c r="BE1386" s="56"/>
      <c r="BF1386" s="107" t="str">
        <f t="shared" si="1047"/>
        <v>https://www.google.com/search?tbm=isch&amp;q=7%20G4</v>
      </c>
      <c r="BG1386" s="107" t="str">
        <f t="shared" si="1048"/>
        <v>F</v>
      </c>
      <c r="BH1386" s="254"/>
      <c r="BI1386" s="254"/>
    </row>
    <row r="1387" spans="1:61" customFormat="1" ht="15.75" x14ac:dyDescent="0.25">
      <c r="A1387" s="276">
        <v>10</v>
      </c>
      <c r="B1387" s="240" t="s">
        <v>291</v>
      </c>
      <c r="C1387" s="241" t="s">
        <v>3485</v>
      </c>
      <c r="D1387" s="242" t="s">
        <v>292</v>
      </c>
      <c r="E1387" s="243">
        <v>155.94999999999999</v>
      </c>
      <c r="F1387" s="517" t="s">
        <v>293</v>
      </c>
      <c r="G1387" s="232">
        <v>0</v>
      </c>
      <c r="H1387" s="661" t="str">
        <f>IF(G1387=0,"",IF(F1387="Buy",IF(G1387=1,"plant","plants"),IF(F1387&gt;0.01,"warranty","Error")))</f>
        <v/>
      </c>
      <c r="I1387" s="244">
        <f>IF(H1387="free",0,IF(H1387="credit",((E1387*(F1387))*G1387*-1),IF(F1387="Buy",(E1387*G1387),((E1387*(1-F1387))*G1387))))</f>
        <v>0</v>
      </c>
      <c r="J1387" s="244">
        <f>IF(H1387="warranty",0,(I1387*(_xlfn.SINGLE(SalesTaxPercentage))))</f>
        <v>0</v>
      </c>
      <c r="K1387" s="696">
        <f t="shared" ref="K1387" si="1067">I1387+J1387</f>
        <v>0</v>
      </c>
      <c r="L1387" s="696"/>
      <c r="M1387" s="659" t="str">
        <f>IF(AND(G1387&gt;0,E1387=0),"WARNING - no PRICE inserted",IF(H1387="free"," FREE ~ no charge this plant",IF(H1387="credit",CONCATENATE(" -$",ROUND(K1387*(1-T2GDiscount)*-1,2)," CREDIT after discount"),IF(T2GDiscount=0,"",IF(G1387=0,"",IF(F1387="Buy",CONCATENATE(" $",ROUND(K1387*(1-T2GDiscount),2)," with ",(T2GDiscount*100),"% discount"),CONCATENATE(" $",ROUND(K1387*(1-T2GDiscount),2)," with ",((T2GDiscount*100+F1387*100)-(T2GDiscount*100*F1387)),IF(F1387&gt;0,"% discounts",IF(NoWarrantyDiscount&gt;0,"% discounts","% discount")))))))))</f>
        <v/>
      </c>
      <c r="N1387" s="660"/>
      <c r="O1387" s="233"/>
      <c r="P1387" s="233"/>
      <c r="Q1387" s="233"/>
      <c r="R1387" s="233"/>
      <c r="S1387" s="233"/>
      <c r="T1387" s="508">
        <f t="shared" si="1036"/>
        <v>0</v>
      </c>
      <c r="U1387" s="225">
        <f>IF(NOT(ISNUMBER(G1387)), "", VLOOKUP(A1387,'Discount Lookup'!D:E,2,FALSE)*G1387)</f>
        <v>0</v>
      </c>
      <c r="V1387" s="225">
        <f>IF(NOT(ISNUMBER(G1387)), "", VLOOKUP(A1387,'Discount Lookup'!G:H,2,FALSE)*G1387)</f>
        <v>0</v>
      </c>
      <c r="W1387" s="508">
        <f t="shared" si="1037"/>
        <v>0</v>
      </c>
      <c r="X1387" s="508">
        <f t="shared" si="1038"/>
        <v>0</v>
      </c>
      <c r="Y1387" s="509" t="b">
        <f t="shared" si="1039"/>
        <v>0</v>
      </c>
      <c r="Z1387" s="510">
        <f t="shared" si="1040"/>
        <v>0</v>
      </c>
      <c r="AA1387" s="511"/>
      <c r="AB1387" s="511" t="str">
        <f t="shared" si="1041"/>
        <v/>
      </c>
      <c r="AC1387" s="698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698"/>
      <c r="AE1387" s="631" t="str">
        <f t="shared" si="1042"/>
        <v/>
      </c>
      <c r="AF1387" s="699" t="str">
        <f t="shared" si="1043"/>
        <v/>
      </c>
      <c r="AG1387" s="699"/>
      <c r="AH1387" s="699"/>
      <c r="AI1387" s="512">
        <f>IF(H1387="credit",0,IF(AE1387="free",0,IF(AE1387="me",0,IF(G1387&gt;0,(VLOOKUP(A1387,'Discount Lookup'!J:K,2)*G1387),0))))</f>
        <v>0</v>
      </c>
      <c r="AJ1387" s="513" t="str">
        <f t="shared" ca="1" si="1044"/>
        <v/>
      </c>
      <c r="AK1387" s="700" t="str">
        <f t="shared" si="1045"/>
        <v/>
      </c>
      <c r="AL1387" s="700"/>
      <c r="AM1387" s="505" t="str">
        <f t="shared" si="1046"/>
        <v/>
      </c>
      <c r="AN1387" s="506"/>
      <c r="AO1387" s="507"/>
      <c r="AP1387" s="507"/>
      <c r="AQ1387" s="507"/>
      <c r="AR1387" s="507"/>
      <c r="AS1387" s="507"/>
      <c r="AT1387" s="507"/>
      <c r="AU1387" s="507"/>
      <c r="AV1387" s="225"/>
      <c r="AW1387" s="508"/>
      <c r="AX1387" s="225"/>
      <c r="AY1387" s="225"/>
      <c r="AZ1387" s="225"/>
      <c r="BA1387" s="225"/>
      <c r="BB1387" s="225"/>
      <c r="BC1387" s="56"/>
      <c r="BD1387" s="56"/>
      <c r="BE1387" s="56"/>
      <c r="BF1387" s="107" t="str">
        <f t="shared" si="1047"/>
        <v>https://www.google.com/search?tbm=isch&amp;q=10%20G4</v>
      </c>
      <c r="BG1387" s="107" t="str">
        <f t="shared" si="1048"/>
        <v>F</v>
      </c>
      <c r="BH1387" s="254"/>
      <c r="BI1387" s="254"/>
    </row>
    <row r="1388" spans="1:61" customFormat="1" ht="15.75" x14ac:dyDescent="0.25">
      <c r="A1388" s="276">
        <v>15</v>
      </c>
      <c r="B1388" s="240" t="s">
        <v>291</v>
      </c>
      <c r="C1388" s="241" t="s">
        <v>3312</v>
      </c>
      <c r="D1388" s="242" t="s">
        <v>292</v>
      </c>
      <c r="E1388" s="243">
        <v>189.95</v>
      </c>
      <c r="F1388" s="517" t="s">
        <v>293</v>
      </c>
      <c r="G1388" s="232">
        <v>0</v>
      </c>
      <c r="H1388" s="661" t="str">
        <f>IF(G1388=0,"",IF(F1388="Buy",IF(G1388=1,"plant","plants"),IF(F1388&gt;0.01,"warranty","Error")))</f>
        <v/>
      </c>
      <c r="I1388" s="244">
        <f>IF(H1388="free",0,IF(H1388="credit",((E1388*(F1388))*G1388*-1),IF(F1388="Buy",(E1388*G1388),((E1388*(1-F1388))*G1388))))</f>
        <v>0</v>
      </c>
      <c r="J1388" s="244">
        <f>IF(H1388="warranty",0,(I1388*(_xlfn.SINGLE(SalesTaxPercentage))))</f>
        <v>0</v>
      </c>
      <c r="K1388" s="696">
        <f t="shared" ref="K1388" si="1068">I1388+J1388</f>
        <v>0</v>
      </c>
      <c r="L1388" s="696"/>
      <c r="M1388" s="659" t="str">
        <f>IF(AND(G1388&gt;0,E1388=0),"WARNING - no PRICE inserted",IF(H1388="free"," FREE ~ no charge this plant",IF(H1388="credit",CONCATENATE(" -$",ROUND(K1388*(1-T2GDiscount)*-1,2)," CREDIT after discount"),IF(T2GDiscount=0,"",IF(G1388=0,"",IF(F1388="Buy",CONCATENATE(" $",ROUND(K1388*(1-T2GDiscount),2)," with ",(T2GDiscount*100),"% discount"),CONCATENATE(" $",ROUND(K1388*(1-T2GDiscount),2)," with ",((T2GDiscount*100+F1388*100)-(T2GDiscount*100*F1388)),IF(F1388&gt;0,"% discounts",IF(NoWarrantyDiscount&gt;0,"% discounts","% discount")))))))))</f>
        <v/>
      </c>
      <c r="N1388" s="660"/>
      <c r="O1388" s="233"/>
      <c r="P1388" s="233"/>
      <c r="Q1388" s="233"/>
      <c r="R1388" s="233"/>
      <c r="S1388" s="233"/>
      <c r="T1388" s="508">
        <f t="shared" si="1036"/>
        <v>0</v>
      </c>
      <c r="U1388" s="225">
        <f>IF(NOT(ISNUMBER(G1388)), "", VLOOKUP(A1388,'Discount Lookup'!D:E,2,FALSE)*G1388)</f>
        <v>0</v>
      </c>
      <c r="V1388" s="225">
        <f>IF(NOT(ISNUMBER(G1388)), "", VLOOKUP(A1388,'Discount Lookup'!G:H,2,FALSE)*G1388)</f>
        <v>0</v>
      </c>
      <c r="W1388" s="508">
        <f t="shared" si="1037"/>
        <v>0</v>
      </c>
      <c r="X1388" s="508">
        <f t="shared" si="1038"/>
        <v>0</v>
      </c>
      <c r="Y1388" s="509" t="b">
        <f t="shared" si="1039"/>
        <v>0</v>
      </c>
      <c r="Z1388" s="510">
        <f t="shared" si="1040"/>
        <v>0</v>
      </c>
      <c r="AA1388" s="511"/>
      <c r="AB1388" s="511" t="str">
        <f t="shared" si="1041"/>
        <v/>
      </c>
      <c r="AC1388" s="698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698"/>
      <c r="AE1388" s="631" t="str">
        <f t="shared" si="1042"/>
        <v/>
      </c>
      <c r="AF1388" s="699" t="str">
        <f t="shared" si="1043"/>
        <v/>
      </c>
      <c r="AG1388" s="699"/>
      <c r="AH1388" s="699"/>
      <c r="AI1388" s="512">
        <f>IF(H1388="credit",0,IF(AE1388="free",0,IF(AE1388="me",0,IF(G1388&gt;0,(VLOOKUP(A1388,'Discount Lookup'!J:K,2)*G1388),0))))</f>
        <v>0</v>
      </c>
      <c r="AJ1388" s="513" t="str">
        <f t="shared" ca="1" si="1044"/>
        <v/>
      </c>
      <c r="AK1388" s="700" t="str">
        <f t="shared" si="1045"/>
        <v/>
      </c>
      <c r="AL1388" s="700"/>
      <c r="AM1388" s="505" t="str">
        <f t="shared" si="1046"/>
        <v/>
      </c>
      <c r="AN1388" s="506"/>
      <c r="AO1388" s="507"/>
      <c r="AP1388" s="507"/>
      <c r="AQ1388" s="507"/>
      <c r="AR1388" s="507"/>
      <c r="AS1388" s="507"/>
      <c r="AT1388" s="507"/>
      <c r="AU1388" s="507"/>
      <c r="AV1388" s="225"/>
      <c r="AW1388" s="508"/>
      <c r="AX1388" s="225"/>
      <c r="AY1388" s="225"/>
      <c r="AZ1388" s="225"/>
      <c r="BA1388" s="225"/>
      <c r="BB1388" s="225"/>
      <c r="BC1388" s="56"/>
      <c r="BD1388" s="56"/>
      <c r="BE1388" s="56"/>
      <c r="BF1388" s="107" t="str">
        <f t="shared" si="1047"/>
        <v>https://www.google.com/search?tbm=isch&amp;q=15%20G4</v>
      </c>
      <c r="BG1388" s="107" t="str">
        <f t="shared" si="1048"/>
        <v>F</v>
      </c>
      <c r="BH1388" s="254"/>
      <c r="BI1388" s="254"/>
    </row>
    <row r="1389" spans="1:61" customFormat="1" ht="17.25" thickBot="1" x14ac:dyDescent="0.3">
      <c r="A1389" s="673" t="s">
        <v>5117</v>
      </c>
      <c r="B1389" s="245"/>
      <c r="C1389" s="677"/>
      <c r="D1389" s="499"/>
      <c r="E1389" s="499"/>
      <c r="F1389" s="500"/>
      <c r="G1389" s="501"/>
      <c r="H1389" s="502"/>
      <c r="I1389" s="246"/>
      <c r="J1389" s="247"/>
      <c r="K1389" s="503"/>
      <c r="L1389" s="544"/>
      <c r="M1389" s="544"/>
      <c r="N1389" s="500"/>
      <c r="O1389" s="500"/>
      <c r="P1389" s="500"/>
      <c r="Q1389" s="500"/>
      <c r="R1389" s="500"/>
      <c r="S1389" s="669" t="s">
        <v>4976</v>
      </c>
      <c r="T1389" s="508">
        <f t="shared" si="1036"/>
        <v>0</v>
      </c>
      <c r="U1389" s="225" t="str">
        <f>IF(NOT(ISNUMBER(G1389)), "", VLOOKUP(A1389,'Discount Lookup'!D:E,2,FALSE)*G1389)</f>
        <v/>
      </c>
      <c r="V1389" s="225" t="str">
        <f>IF(NOT(ISNUMBER(G1389)), "", VLOOKUP(A1389,'Discount Lookup'!G:H,2,FALSE)*G1389)</f>
        <v/>
      </c>
      <c r="W1389" s="508">
        <f t="shared" si="1037"/>
        <v>0</v>
      </c>
      <c r="X1389" s="508">
        <f t="shared" si="1038"/>
        <v>0</v>
      </c>
      <c r="Y1389" s="509" t="b">
        <f t="shared" si="1039"/>
        <v>0</v>
      </c>
      <c r="Z1389" s="510">
        <f t="shared" si="1040"/>
        <v>0</v>
      </c>
      <c r="AA1389" s="511"/>
      <c r="AB1389" s="511" t="str">
        <f t="shared" si="1041"/>
        <v/>
      </c>
      <c r="AC1389" s="698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698"/>
      <c r="AE1389" s="631" t="str">
        <f t="shared" si="1042"/>
        <v/>
      </c>
      <c r="AF1389" s="699" t="str">
        <f t="shared" si="1043"/>
        <v/>
      </c>
      <c r="AG1389" s="699"/>
      <c r="AH1389" s="699"/>
      <c r="AI1389" s="512">
        <f>IF(H1389="credit",0,IF(AE1389="free",0,IF(AE1389="me",0,IF(G1389&gt;0,(VLOOKUP(A1389,'Discount Lookup'!J:K,2)*G1389),0))))</f>
        <v>0</v>
      </c>
      <c r="AJ1389" s="513" t="str">
        <f t="shared" ca="1" si="1044"/>
        <v/>
      </c>
      <c r="AK1389" s="700" t="str">
        <f t="shared" si="1045"/>
        <v/>
      </c>
      <c r="AL1389" s="700"/>
      <c r="AM1389" s="505" t="str">
        <f t="shared" si="1046"/>
        <v/>
      </c>
      <c r="AN1389" s="506"/>
      <c r="AO1389" s="507"/>
      <c r="AP1389" s="507"/>
      <c r="AQ1389" s="507"/>
      <c r="AR1389" s="507"/>
      <c r="AS1389" s="507"/>
      <c r="AT1389" s="507"/>
      <c r="AU1389" s="507"/>
      <c r="AV1389" s="225"/>
      <c r="AW1389" s="508"/>
      <c r="AX1389" s="225"/>
      <c r="AY1389" s="225"/>
      <c r="AZ1389" s="225"/>
      <c r="BA1389" s="225"/>
      <c r="BB1389" s="225"/>
      <c r="BC1389" s="56"/>
      <c r="BD1389" s="56"/>
      <c r="BE1389" s="56"/>
      <c r="BF1389" s="107" t="str">
        <f t="shared" si="1047"/>
        <v>https://www.google.com/search?tbm=isch&amp;q=moist%20sites%F0%9F%92%A7GOOD%2C%20Forest%20Pansy%20foliage%20emerges%20Red-Purple%2C%20then%20turns%20shades%20of%20Orange-Bronze-Red-Purple%20in%20fall%20</v>
      </c>
      <c r="BG1389" s="107" t="str">
        <f t="shared" si="1048"/>
        <v>m</v>
      </c>
      <c r="BH1389" s="254"/>
      <c r="BI1389" s="254"/>
    </row>
    <row r="1390" spans="1:61" customFormat="1" ht="18" x14ac:dyDescent="0.25">
      <c r="A1390" s="521" t="s">
        <v>5411</v>
      </c>
      <c r="B1390" s="477"/>
      <c r="C1390" s="674"/>
      <c r="D1390" s="478" t="s">
        <v>913</v>
      </c>
      <c r="E1390" s="479"/>
      <c r="F1390" s="479"/>
      <c r="G1390" s="479"/>
      <c r="H1390" s="582" t="s">
        <v>914</v>
      </c>
      <c r="I1390" s="480" t="s">
        <v>2293</v>
      </c>
      <c r="J1390" s="479"/>
      <c r="K1390" s="479"/>
      <c r="L1390" s="560"/>
      <c r="M1390" s="666" t="s">
        <v>4963</v>
      </c>
      <c r="N1390" s="680" t="str">
        <f>IF(AND(ISTEXT($A1390), ISERROR($A1390+0)), HYPERLINK($BF1390, "Images"), "")</f>
        <v>Images</v>
      </c>
      <c r="O1390" s="662" t="s">
        <v>4971</v>
      </c>
      <c r="P1390" s="482"/>
      <c r="Q1390" s="483"/>
      <c r="R1390" s="483"/>
      <c r="S1390" s="484"/>
      <c r="T1390" s="508">
        <f t="shared" si="1036"/>
        <v>0</v>
      </c>
      <c r="U1390" s="225" t="str">
        <f>IF(NOT(ISNUMBER(G1390)), "", VLOOKUP(A1390,'Discount Lookup'!D:E,2,FALSE)*G1390)</f>
        <v/>
      </c>
      <c r="V1390" s="225" t="str">
        <f>IF(NOT(ISNUMBER(G1390)), "", VLOOKUP(A1390,'Discount Lookup'!G:H,2,FALSE)*G1390)</f>
        <v/>
      </c>
      <c r="W1390" s="508">
        <f t="shared" si="1037"/>
        <v>0</v>
      </c>
      <c r="X1390" s="508" t="str">
        <f t="shared" si="1038"/>
        <v>Golden-Yellow foliage</v>
      </c>
      <c r="Y1390" s="509" t="b">
        <f t="shared" si="1039"/>
        <v>0</v>
      </c>
      <c r="Z1390" s="510">
        <f t="shared" si="1040"/>
        <v>0</v>
      </c>
      <c r="AA1390" s="511"/>
      <c r="AB1390" s="511" t="str">
        <f t="shared" si="1041"/>
        <v/>
      </c>
      <c r="AC1390" s="698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698"/>
      <c r="AE1390" s="631" t="str">
        <f t="shared" si="1042"/>
        <v/>
      </c>
      <c r="AF1390" s="699" t="str">
        <f t="shared" si="1043"/>
        <v/>
      </c>
      <c r="AG1390" s="699"/>
      <c r="AH1390" s="699"/>
      <c r="AI1390" s="512">
        <f>IF(H1390="credit",0,IF(AE1390="free",0,IF(AE1390="me",0,IF(G1390&gt;0,(VLOOKUP(A1390,'Discount Lookup'!J:K,2)*G1390),0))))</f>
        <v>0</v>
      </c>
      <c r="AJ1390" s="513" t="str">
        <f t="shared" ca="1" si="1044"/>
        <v/>
      </c>
      <c r="AK1390" s="700" t="str">
        <f t="shared" si="1045"/>
        <v/>
      </c>
      <c r="AL1390" s="700"/>
      <c r="AM1390" s="505" t="str">
        <f t="shared" si="1046"/>
        <v/>
      </c>
      <c r="AN1390" s="506"/>
      <c r="AO1390" s="507"/>
      <c r="AP1390" s="507"/>
      <c r="AQ1390" s="507"/>
      <c r="AR1390" s="507"/>
      <c r="AS1390" s="507"/>
      <c r="AT1390" s="507"/>
      <c r="AU1390" s="507"/>
      <c r="AV1390" s="225"/>
      <c r="AW1390" s="508"/>
      <c r="AX1390" s="225"/>
      <c r="AY1390" s="225"/>
      <c r="AZ1390" s="225"/>
      <c r="BA1390" s="225"/>
      <c r="BB1390" s="225"/>
      <c r="BC1390" s="56"/>
      <c r="BD1390" s="56"/>
      <c r="BE1390" s="56"/>
      <c r="BF1390" s="107" t="str">
        <f t="shared" si="1047"/>
        <v>https://www.google.com/search?tbm=isch&amp;q=Forever%20Goldy%E2%84%A2%20Arborvitae%20Thuja%20plicata%20%274EVER%27%20PP%2319267</v>
      </c>
      <c r="BG1390" s="107" t="str">
        <f t="shared" si="1048"/>
        <v>F</v>
      </c>
      <c r="BH1390" s="254"/>
      <c r="BI1390" s="254"/>
    </row>
    <row r="1391" spans="1:61" customFormat="1" ht="15.75" x14ac:dyDescent="0.25">
      <c r="A1391" s="485">
        <v>3</v>
      </c>
      <c r="B1391" s="486" t="s">
        <v>291</v>
      </c>
      <c r="C1391" s="487" t="s">
        <v>915</v>
      </c>
      <c r="D1391" s="488" t="s">
        <v>299</v>
      </c>
      <c r="E1391" s="489">
        <v>36.950000000000003</v>
      </c>
      <c r="F1391" s="516" t="s">
        <v>293</v>
      </c>
      <c r="G1391" s="232">
        <v>0</v>
      </c>
      <c r="H1391" s="658" t="str">
        <f>IF(G1391=0,"",IF(F1391="Buy",IF(G1391=1,"plant","plants"),IF(F1391&gt;0.01,"warranty","Error")))</f>
        <v/>
      </c>
      <c r="I1391" s="490">
        <f>IF(H1391="free",0,IF(H1391="credit",((E1391*(F1391))*G1391*-1),IF(F1391="Buy",(E1391*G1391),((E1391*(1-F1391))*G1391))))</f>
        <v>0</v>
      </c>
      <c r="J1391" s="490">
        <f>IF(H1391="warranty",0,(I1391*(_xlfn.SINGLE(SalesTaxPercentage))))</f>
        <v>0</v>
      </c>
      <c r="K1391" s="695">
        <f t="shared" ref="K1391" si="1069">I1391+J1391</f>
        <v>0</v>
      </c>
      <c r="L1391" s="695"/>
      <c r="M1391" s="659" t="str">
        <f>IF(AND(G1391&gt;0,E1391=0),"WARNING - no PRICE inserted",IF(H1391="free"," FREE ~ no charge this plant",IF(H1391="credit",CONCATENATE(" -$",ROUND(K1391*(1-T2GDiscount)*-1,2)," CREDIT after discount"),IF(T2GDiscount=0,"",IF(G1391=0,"",IF(F1391="Buy",CONCATENATE(" $",ROUND(K1391*(1-T2GDiscount),2)," with ",(T2GDiscount*100),"% discount"),CONCATENATE(" $",ROUND(K1391*(1-T2GDiscount),2)," with ",((T2GDiscount*100+F1391*100)-(T2GDiscount*100*F1391)),IF(F1391&gt;0,"% discounts",IF(NoWarrantyDiscount&gt;0,"% discounts","% discount")))))))))</f>
        <v/>
      </c>
      <c r="N1391" s="660"/>
      <c r="O1391" s="233"/>
      <c r="P1391" s="233"/>
      <c r="Q1391" s="233"/>
      <c r="R1391" s="233"/>
      <c r="S1391" s="233"/>
      <c r="T1391" s="508">
        <f t="shared" si="1036"/>
        <v>0</v>
      </c>
      <c r="U1391" s="225">
        <f>IF(NOT(ISNUMBER(G1391)), "", VLOOKUP(A1391,'Discount Lookup'!D:E,2,FALSE)*G1391)</f>
        <v>0</v>
      </c>
      <c r="V1391" s="225">
        <f>IF(NOT(ISNUMBER(G1391)), "", VLOOKUP(A1391,'Discount Lookup'!G:H,2,FALSE)*G1391)</f>
        <v>0</v>
      </c>
      <c r="W1391" s="508">
        <f t="shared" si="1037"/>
        <v>0</v>
      </c>
      <c r="X1391" s="508">
        <f t="shared" si="1038"/>
        <v>0</v>
      </c>
      <c r="Y1391" s="509" t="b">
        <f t="shared" si="1039"/>
        <v>0</v>
      </c>
      <c r="Z1391" s="510">
        <f t="shared" si="1040"/>
        <v>0</v>
      </c>
      <c r="AA1391" s="511"/>
      <c r="AB1391" s="511" t="str">
        <f t="shared" si="1041"/>
        <v/>
      </c>
      <c r="AC1391" s="698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698"/>
      <c r="AE1391" s="631" t="str">
        <f t="shared" si="1042"/>
        <v/>
      </c>
      <c r="AF1391" s="699" t="str">
        <f t="shared" si="1043"/>
        <v/>
      </c>
      <c r="AG1391" s="699"/>
      <c r="AH1391" s="699"/>
      <c r="AI1391" s="512">
        <f>IF(H1391="credit",0,IF(AE1391="free",0,IF(AE1391="me",0,IF(G1391&gt;0,(VLOOKUP(A1391,'Discount Lookup'!J:K,2)*G1391),0))))</f>
        <v>0</v>
      </c>
      <c r="AJ1391" s="513" t="str">
        <f t="shared" ca="1" si="1044"/>
        <v/>
      </c>
      <c r="AK1391" s="700" t="str">
        <f t="shared" si="1045"/>
        <v/>
      </c>
      <c r="AL1391" s="700"/>
      <c r="AM1391" s="505" t="str">
        <f t="shared" si="1046"/>
        <v/>
      </c>
      <c r="AN1391" s="506"/>
      <c r="AO1391" s="507"/>
      <c r="AP1391" s="507"/>
      <c r="AQ1391" s="507"/>
      <c r="AR1391" s="507"/>
      <c r="AS1391" s="507"/>
      <c r="AT1391" s="507"/>
      <c r="AU1391" s="507"/>
      <c r="AV1391" s="225"/>
      <c r="AW1391" s="508"/>
      <c r="AX1391" s="225"/>
      <c r="AY1391" s="225"/>
      <c r="AZ1391" s="225"/>
      <c r="BA1391" s="225"/>
      <c r="BB1391" s="225"/>
      <c r="BC1391" s="56"/>
      <c r="BD1391" s="56"/>
      <c r="BE1391" s="56"/>
      <c r="BF1391" s="107" t="str">
        <f t="shared" si="1047"/>
        <v>https://www.google.com/search?tbm=isch&amp;q=3%20G5</v>
      </c>
      <c r="BG1391" s="107" t="str">
        <f t="shared" si="1048"/>
        <v>F</v>
      </c>
      <c r="BH1391" s="254"/>
      <c r="BI1391" s="254"/>
    </row>
    <row r="1392" spans="1:61" customFormat="1" ht="15.75" x14ac:dyDescent="0.25">
      <c r="A1392" s="485">
        <v>7</v>
      </c>
      <c r="B1392" s="486" t="s">
        <v>291</v>
      </c>
      <c r="C1392" s="487" t="s">
        <v>4885</v>
      </c>
      <c r="D1392" s="488" t="s">
        <v>299</v>
      </c>
      <c r="E1392" s="489">
        <v>79.95</v>
      </c>
      <c r="F1392" s="516" t="s">
        <v>293</v>
      </c>
      <c r="G1392" s="232">
        <v>0</v>
      </c>
      <c r="H1392" s="658" t="str">
        <f>IF(G1392=0,"",IF(F1392="Buy",IF(G1392=1,"plant","plants"),IF(F1392&gt;0.01,"warranty","Error")))</f>
        <v/>
      </c>
      <c r="I1392" s="490">
        <f>IF(H1392="free",0,IF(H1392="credit",((E1392*(F1392))*G1392*-1),IF(F1392="Buy",(E1392*G1392),((E1392*(1-F1392))*G1392))))</f>
        <v>0</v>
      </c>
      <c r="J1392" s="490">
        <f>IF(H1392="warranty",0,(I1392*(_xlfn.SINGLE(SalesTaxPercentage))))</f>
        <v>0</v>
      </c>
      <c r="K1392" s="695">
        <f t="shared" ref="K1392" si="1070">I1392+J1392</f>
        <v>0</v>
      </c>
      <c r="L1392" s="695"/>
      <c r="M1392" s="659" t="str">
        <f>IF(AND(G1392&gt;0,E1392=0),"WARNING - no PRICE inserted",IF(H1392="free"," FREE ~ no charge this plant",IF(H1392="credit",CONCATENATE(" -$",ROUND(K1392*(1-T2GDiscount)*-1,2)," CREDIT after discount"),IF(T2GDiscount=0,"",IF(G1392=0,"",IF(F1392="Buy",CONCATENATE(" $",ROUND(K1392*(1-T2GDiscount),2)," with ",(T2GDiscount*100),"% discount"),CONCATENATE(" $",ROUND(K1392*(1-T2GDiscount),2)," with ",((T2GDiscount*100+F1392*100)-(T2GDiscount*100*F1392)),IF(F1392&gt;0,"% discounts",IF(NoWarrantyDiscount&gt;0,"% discounts","% discount")))))))))</f>
        <v/>
      </c>
      <c r="N1392" s="660"/>
      <c r="O1392" s="233"/>
      <c r="P1392" s="233"/>
      <c r="Q1392" s="233"/>
      <c r="R1392" s="233"/>
      <c r="S1392" s="233"/>
      <c r="T1392" s="508">
        <f t="shared" si="1036"/>
        <v>0</v>
      </c>
      <c r="U1392" s="225">
        <f>IF(NOT(ISNUMBER(G1392)), "", VLOOKUP(A1392,'Discount Lookup'!D:E,2,FALSE)*G1392)</f>
        <v>0</v>
      </c>
      <c r="V1392" s="225">
        <f>IF(NOT(ISNUMBER(G1392)), "", VLOOKUP(A1392,'Discount Lookup'!G:H,2,FALSE)*G1392)</f>
        <v>0</v>
      </c>
      <c r="W1392" s="508">
        <f t="shared" si="1037"/>
        <v>0</v>
      </c>
      <c r="X1392" s="508">
        <f t="shared" si="1038"/>
        <v>0</v>
      </c>
      <c r="Y1392" s="509" t="b">
        <f t="shared" si="1039"/>
        <v>0</v>
      </c>
      <c r="Z1392" s="510">
        <f t="shared" si="1040"/>
        <v>0</v>
      </c>
      <c r="AA1392" s="511"/>
      <c r="AB1392" s="511" t="str">
        <f t="shared" si="1041"/>
        <v/>
      </c>
      <c r="AC1392" s="698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698"/>
      <c r="AE1392" s="631" t="str">
        <f t="shared" si="1042"/>
        <v/>
      </c>
      <c r="AF1392" s="699" t="str">
        <f t="shared" si="1043"/>
        <v/>
      </c>
      <c r="AG1392" s="699"/>
      <c r="AH1392" s="699"/>
      <c r="AI1392" s="512">
        <f>IF(H1392="credit",0,IF(AE1392="free",0,IF(AE1392="me",0,IF(G1392&gt;0,(VLOOKUP(A1392,'Discount Lookup'!J:K,2)*G1392),0))))</f>
        <v>0</v>
      </c>
      <c r="AJ1392" s="513" t="str">
        <f t="shared" ca="1" si="1044"/>
        <v/>
      </c>
      <c r="AK1392" s="700" t="str">
        <f t="shared" si="1045"/>
        <v/>
      </c>
      <c r="AL1392" s="700"/>
      <c r="AM1392" s="505" t="str">
        <f t="shared" si="1046"/>
        <v/>
      </c>
      <c r="AN1392" s="506"/>
      <c r="AO1392" s="507"/>
      <c r="AP1392" s="507"/>
      <c r="AQ1392" s="507"/>
      <c r="AR1392" s="507"/>
      <c r="AS1392" s="507"/>
      <c r="AT1392" s="507"/>
      <c r="AU1392" s="507"/>
      <c r="AV1392" s="225"/>
      <c r="AW1392" s="508"/>
      <c r="AX1392" s="225"/>
      <c r="AY1392" s="225"/>
      <c r="AZ1392" s="225"/>
      <c r="BA1392" s="225"/>
      <c r="BB1392" s="225"/>
      <c r="BC1392" s="56"/>
      <c r="BD1392" s="56"/>
      <c r="BE1392" s="56"/>
      <c r="BF1392" s="107" t="str">
        <f t="shared" si="1047"/>
        <v>https://www.google.com/search?tbm=isch&amp;q=7%20G5</v>
      </c>
      <c r="BG1392" s="107" t="str">
        <f t="shared" si="1048"/>
        <v>F</v>
      </c>
      <c r="BH1392" s="254"/>
      <c r="BI1392" s="254"/>
    </row>
    <row r="1393" spans="1:61" customFormat="1" ht="15.75" x14ac:dyDescent="0.25">
      <c r="A1393" s="485">
        <v>7</v>
      </c>
      <c r="B1393" s="486" t="s">
        <v>291</v>
      </c>
      <c r="C1393" s="487" t="s">
        <v>3486</v>
      </c>
      <c r="D1393" s="488" t="s">
        <v>292</v>
      </c>
      <c r="E1393" s="489">
        <v>100.95</v>
      </c>
      <c r="F1393" s="516" t="s">
        <v>293</v>
      </c>
      <c r="G1393" s="232">
        <v>0</v>
      </c>
      <c r="H1393" s="658" t="str">
        <f>IF(G1393=0,"",IF(F1393="Buy",IF(G1393=1,"plant","plants"),IF(F1393&gt;0.01,"warranty","Error")))</f>
        <v/>
      </c>
      <c r="I1393" s="490">
        <f>IF(H1393="free",0,IF(H1393="credit",((E1393*(F1393))*G1393*-1),IF(F1393="Buy",(E1393*G1393),((E1393*(1-F1393))*G1393))))</f>
        <v>0</v>
      </c>
      <c r="J1393" s="490">
        <f>IF(H1393="warranty",0,(I1393*(_xlfn.SINGLE(SalesTaxPercentage))))</f>
        <v>0</v>
      </c>
      <c r="K1393" s="695">
        <f t="shared" ref="K1393" si="1071">I1393+J1393</f>
        <v>0</v>
      </c>
      <c r="L1393" s="695"/>
      <c r="M1393" s="659" t="str">
        <f>IF(AND(G1393&gt;0,E1393=0),"WARNING - no PRICE inserted",IF(H1393="free"," FREE ~ no charge this plant",IF(H1393="credit",CONCATENATE(" -$",ROUND(K1393*(1-T2GDiscount)*-1,2)," CREDIT after discount"),IF(T2GDiscount=0,"",IF(G1393=0,"",IF(F1393="Buy",CONCATENATE(" $",ROUND(K1393*(1-T2GDiscount),2)," with ",(T2GDiscount*100),"% discount"),CONCATENATE(" $",ROUND(K1393*(1-T2GDiscount),2)," with ",((T2GDiscount*100+F1393*100)-(T2GDiscount*100*F1393)),IF(F1393&gt;0,"% discounts",IF(NoWarrantyDiscount&gt;0,"% discounts","% discount")))))))))</f>
        <v/>
      </c>
      <c r="N1393" s="660"/>
      <c r="O1393" s="233"/>
      <c r="P1393" s="233"/>
      <c r="Q1393" s="233"/>
      <c r="R1393" s="233"/>
      <c r="S1393" s="233"/>
      <c r="T1393" s="508">
        <f t="shared" si="1036"/>
        <v>0</v>
      </c>
      <c r="U1393" s="225">
        <f>IF(NOT(ISNUMBER(G1393)), "", VLOOKUP(A1393,'Discount Lookup'!D:E,2,FALSE)*G1393)</f>
        <v>0</v>
      </c>
      <c r="V1393" s="225">
        <f>IF(NOT(ISNUMBER(G1393)), "", VLOOKUP(A1393,'Discount Lookup'!G:H,2,FALSE)*G1393)</f>
        <v>0</v>
      </c>
      <c r="W1393" s="508">
        <f t="shared" si="1037"/>
        <v>0</v>
      </c>
      <c r="X1393" s="508">
        <f t="shared" si="1038"/>
        <v>0</v>
      </c>
      <c r="Y1393" s="509" t="b">
        <f t="shared" si="1039"/>
        <v>0</v>
      </c>
      <c r="Z1393" s="510">
        <f t="shared" si="1040"/>
        <v>0</v>
      </c>
      <c r="AA1393" s="511"/>
      <c r="AB1393" s="511" t="str">
        <f t="shared" si="1041"/>
        <v/>
      </c>
      <c r="AC1393" s="698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698"/>
      <c r="AE1393" s="631" t="str">
        <f t="shared" si="1042"/>
        <v/>
      </c>
      <c r="AF1393" s="699" t="str">
        <f t="shared" si="1043"/>
        <v/>
      </c>
      <c r="AG1393" s="699"/>
      <c r="AH1393" s="699"/>
      <c r="AI1393" s="512">
        <f>IF(H1393="credit",0,IF(AE1393="free",0,IF(AE1393="me",0,IF(G1393&gt;0,(VLOOKUP(A1393,'Discount Lookup'!J:K,2)*G1393),0))))</f>
        <v>0</v>
      </c>
      <c r="AJ1393" s="513" t="str">
        <f t="shared" ca="1" si="1044"/>
        <v/>
      </c>
      <c r="AK1393" s="700" t="str">
        <f t="shared" si="1045"/>
        <v/>
      </c>
      <c r="AL1393" s="700"/>
      <c r="AM1393" s="505" t="str">
        <f t="shared" si="1046"/>
        <v/>
      </c>
      <c r="AN1393" s="506"/>
      <c r="AO1393" s="507"/>
      <c r="AP1393" s="507"/>
      <c r="AQ1393" s="507"/>
      <c r="AR1393" s="507"/>
      <c r="AS1393" s="507"/>
      <c r="AT1393" s="507"/>
      <c r="AU1393" s="507"/>
      <c r="AV1393" s="225"/>
      <c r="AW1393" s="508"/>
      <c r="AX1393" s="225"/>
      <c r="AY1393" s="225"/>
      <c r="AZ1393" s="225"/>
      <c r="BA1393" s="225"/>
      <c r="BB1393" s="225"/>
      <c r="BC1393" s="56"/>
      <c r="BD1393" s="56"/>
      <c r="BE1393" s="56"/>
      <c r="BF1393" s="107" t="str">
        <f t="shared" si="1047"/>
        <v>https://www.google.com/search?tbm=isch&amp;q=7%20G4</v>
      </c>
      <c r="BG1393" s="107" t="str">
        <f t="shared" si="1048"/>
        <v>F</v>
      </c>
      <c r="BH1393" s="254"/>
      <c r="BI1393" s="254"/>
    </row>
    <row r="1394" spans="1:61" customFormat="1" ht="15.75" x14ac:dyDescent="0.25">
      <c r="A1394" s="485">
        <v>15</v>
      </c>
      <c r="B1394" s="486" t="s">
        <v>291</v>
      </c>
      <c r="C1394" s="487" t="s">
        <v>4886</v>
      </c>
      <c r="D1394" s="488" t="s">
        <v>300</v>
      </c>
      <c r="E1394" s="489">
        <v>178.95</v>
      </c>
      <c r="F1394" s="516" t="s">
        <v>293</v>
      </c>
      <c r="G1394" s="232">
        <v>0</v>
      </c>
      <c r="H1394" s="658" t="str">
        <f>IF(G1394=0,"",IF(F1394="Buy",IF(G1394=1,"plant","plants"),IF(F1394&gt;0.01,"warranty","Error")))</f>
        <v/>
      </c>
      <c r="I1394" s="490">
        <f>IF(H1394="free",0,IF(H1394="credit",((E1394*(F1394))*G1394*-1),IF(F1394="Buy",(E1394*G1394),((E1394*(1-F1394))*G1394))))</f>
        <v>0</v>
      </c>
      <c r="J1394" s="490">
        <f>IF(H1394="warranty",0,(I1394*(_xlfn.SINGLE(SalesTaxPercentage))))</f>
        <v>0</v>
      </c>
      <c r="K1394" s="695">
        <f t="shared" ref="K1394" si="1072">I1394+J1394</f>
        <v>0</v>
      </c>
      <c r="L1394" s="695"/>
      <c r="M1394" s="659" t="str">
        <f>IF(AND(G1394&gt;0,E1394=0),"WARNING - no PRICE inserted",IF(H1394="free"," FREE ~ no charge this plant",IF(H1394="credit",CONCATENATE(" -$",ROUND(K1394*(1-T2GDiscount)*-1,2)," CREDIT after discount"),IF(T2GDiscount=0,"",IF(G1394=0,"",IF(F1394="Buy",CONCATENATE(" $",ROUND(K1394*(1-T2GDiscount),2)," with ",(T2GDiscount*100),"% discount"),CONCATENATE(" $",ROUND(K1394*(1-T2GDiscount),2)," with ",((T2GDiscount*100+F1394*100)-(T2GDiscount*100*F1394)),IF(F1394&gt;0,"% discounts",IF(NoWarrantyDiscount&gt;0,"% discounts","% discount")))))))))</f>
        <v/>
      </c>
      <c r="N1394" s="660"/>
      <c r="O1394" s="233"/>
      <c r="P1394" s="233"/>
      <c r="Q1394" s="233"/>
      <c r="R1394" s="233"/>
      <c r="S1394" s="233"/>
      <c r="T1394" s="508">
        <f t="shared" si="1036"/>
        <v>0</v>
      </c>
      <c r="U1394" s="225">
        <f>IF(NOT(ISNUMBER(G1394)), "", VLOOKUP(A1394,'Discount Lookup'!D:E,2,FALSE)*G1394)</f>
        <v>0</v>
      </c>
      <c r="V1394" s="225">
        <f>IF(NOT(ISNUMBER(G1394)), "", VLOOKUP(A1394,'Discount Lookup'!G:H,2,FALSE)*G1394)</f>
        <v>0</v>
      </c>
      <c r="W1394" s="508">
        <f t="shared" si="1037"/>
        <v>0</v>
      </c>
      <c r="X1394" s="508">
        <f t="shared" si="1038"/>
        <v>0</v>
      </c>
      <c r="Y1394" s="509" t="b">
        <f t="shared" si="1039"/>
        <v>0</v>
      </c>
      <c r="Z1394" s="510">
        <f t="shared" si="1040"/>
        <v>0</v>
      </c>
      <c r="AA1394" s="511"/>
      <c r="AB1394" s="511" t="str">
        <f t="shared" si="1041"/>
        <v/>
      </c>
      <c r="AC1394" s="698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698"/>
      <c r="AE1394" s="631" t="str">
        <f t="shared" si="1042"/>
        <v/>
      </c>
      <c r="AF1394" s="699" t="str">
        <f t="shared" si="1043"/>
        <v/>
      </c>
      <c r="AG1394" s="699"/>
      <c r="AH1394" s="699"/>
      <c r="AI1394" s="512">
        <f>IF(H1394="credit",0,IF(AE1394="free",0,IF(AE1394="me",0,IF(G1394&gt;0,(VLOOKUP(A1394,'Discount Lookup'!J:K,2)*G1394),0))))</f>
        <v>0</v>
      </c>
      <c r="AJ1394" s="513" t="str">
        <f t="shared" ca="1" si="1044"/>
        <v/>
      </c>
      <c r="AK1394" s="700" t="str">
        <f t="shared" si="1045"/>
        <v/>
      </c>
      <c r="AL1394" s="700"/>
      <c r="AM1394" s="505" t="str">
        <f t="shared" si="1046"/>
        <v/>
      </c>
      <c r="AN1394" s="506"/>
      <c r="AO1394" s="507"/>
      <c r="AP1394" s="507"/>
      <c r="AQ1394" s="507"/>
      <c r="AR1394" s="507"/>
      <c r="AS1394" s="507"/>
      <c r="AT1394" s="507"/>
      <c r="AU1394" s="507"/>
      <c r="AV1394" s="225"/>
      <c r="AW1394" s="508"/>
      <c r="AX1394" s="225"/>
      <c r="AY1394" s="225"/>
      <c r="AZ1394" s="225"/>
      <c r="BA1394" s="225"/>
      <c r="BB1394" s="225"/>
      <c r="BC1394" s="56"/>
      <c r="BD1394" s="56"/>
      <c r="BE1394" s="56"/>
      <c r="BF1394" s="107" t="str">
        <f t="shared" si="1047"/>
        <v>https://www.google.com/search?tbm=isch&amp;q=15%20G6</v>
      </c>
      <c r="BG1394" s="107" t="str">
        <f t="shared" si="1048"/>
        <v>F</v>
      </c>
      <c r="BH1394" s="254"/>
      <c r="BI1394" s="254"/>
    </row>
    <row r="1395" spans="1:61" customFormat="1" ht="15.75" x14ac:dyDescent="0.25">
      <c r="A1395" s="485">
        <v>15</v>
      </c>
      <c r="B1395" s="486" t="s">
        <v>291</v>
      </c>
      <c r="C1395" s="487" t="s">
        <v>3486</v>
      </c>
      <c r="D1395" s="488" t="s">
        <v>292</v>
      </c>
      <c r="E1395" s="489">
        <v>215.95</v>
      </c>
      <c r="F1395" s="516" t="s">
        <v>293</v>
      </c>
      <c r="G1395" s="232">
        <v>0</v>
      </c>
      <c r="H1395" s="658" t="str">
        <f>IF(G1395=0,"",IF(F1395="Buy",IF(G1395=1,"plant","plants"),IF(F1395&gt;0.01,"warranty","Error")))</f>
        <v/>
      </c>
      <c r="I1395" s="490">
        <f>IF(H1395="free",0,IF(H1395="credit",((E1395*(F1395))*G1395*-1),IF(F1395="Buy",(E1395*G1395),((E1395*(1-F1395))*G1395))))</f>
        <v>0</v>
      </c>
      <c r="J1395" s="490">
        <f>IF(H1395="warranty",0,(I1395*(_xlfn.SINGLE(SalesTaxPercentage))))</f>
        <v>0</v>
      </c>
      <c r="K1395" s="695">
        <f t="shared" ref="K1395" si="1073">I1395+J1395</f>
        <v>0</v>
      </c>
      <c r="L1395" s="695"/>
      <c r="M1395" s="659" t="str">
        <f>IF(AND(G1395&gt;0,E1395=0),"WARNING - no PRICE inserted",IF(H1395="free"," FREE ~ no charge this plant",IF(H1395="credit",CONCATENATE(" -$",ROUND(K1395*(1-T2GDiscount)*-1,2)," CREDIT after discount"),IF(T2GDiscount=0,"",IF(G1395=0,"",IF(F1395="Buy",CONCATENATE(" $",ROUND(K1395*(1-T2GDiscount),2)," with ",(T2GDiscount*100),"% discount"),CONCATENATE(" $",ROUND(K1395*(1-T2GDiscount),2)," with ",((T2GDiscount*100+F1395*100)-(T2GDiscount*100*F1395)),IF(F1395&gt;0,"% discounts",IF(NoWarrantyDiscount&gt;0,"% discounts","% discount")))))))))</f>
        <v/>
      </c>
      <c r="N1395" s="660"/>
      <c r="O1395" s="233"/>
      <c r="P1395" s="233"/>
      <c r="Q1395" s="233"/>
      <c r="R1395" s="233"/>
      <c r="S1395" s="233"/>
      <c r="T1395" s="508">
        <f t="shared" si="1036"/>
        <v>0</v>
      </c>
      <c r="U1395" s="225">
        <f>IF(NOT(ISNUMBER(G1395)), "", VLOOKUP(A1395,'Discount Lookup'!D:E,2,FALSE)*G1395)</f>
        <v>0</v>
      </c>
      <c r="V1395" s="225">
        <f>IF(NOT(ISNUMBER(G1395)), "", VLOOKUP(A1395,'Discount Lookup'!G:H,2,FALSE)*G1395)</f>
        <v>0</v>
      </c>
      <c r="W1395" s="508">
        <f t="shared" si="1037"/>
        <v>0</v>
      </c>
      <c r="X1395" s="508">
        <f t="shared" si="1038"/>
        <v>0</v>
      </c>
      <c r="Y1395" s="509" t="b">
        <f t="shared" si="1039"/>
        <v>0</v>
      </c>
      <c r="Z1395" s="510">
        <f t="shared" si="1040"/>
        <v>0</v>
      </c>
      <c r="AA1395" s="511"/>
      <c r="AB1395" s="511" t="str">
        <f t="shared" si="1041"/>
        <v/>
      </c>
      <c r="AC1395" s="698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698"/>
      <c r="AE1395" s="631" t="str">
        <f t="shared" si="1042"/>
        <v/>
      </c>
      <c r="AF1395" s="699" t="str">
        <f t="shared" si="1043"/>
        <v/>
      </c>
      <c r="AG1395" s="699"/>
      <c r="AH1395" s="699"/>
      <c r="AI1395" s="512">
        <f>IF(H1395="credit",0,IF(AE1395="free",0,IF(AE1395="me",0,IF(G1395&gt;0,(VLOOKUP(A1395,'Discount Lookup'!J:K,2)*G1395),0))))</f>
        <v>0</v>
      </c>
      <c r="AJ1395" s="513" t="str">
        <f t="shared" ca="1" si="1044"/>
        <v/>
      </c>
      <c r="AK1395" s="700" t="str">
        <f t="shared" si="1045"/>
        <v/>
      </c>
      <c r="AL1395" s="700"/>
      <c r="AM1395" s="505" t="str">
        <f t="shared" si="1046"/>
        <v/>
      </c>
      <c r="AN1395" s="506"/>
      <c r="AO1395" s="507"/>
      <c r="AP1395" s="507"/>
      <c r="AQ1395" s="507"/>
      <c r="AR1395" s="507"/>
      <c r="AS1395" s="507"/>
      <c r="AT1395" s="507"/>
      <c r="AU1395" s="507"/>
      <c r="AV1395" s="225"/>
      <c r="AW1395" s="508"/>
      <c r="AX1395" s="225"/>
      <c r="AY1395" s="225"/>
      <c r="AZ1395" s="225"/>
      <c r="BA1395" s="225"/>
      <c r="BB1395" s="225"/>
      <c r="BC1395" s="56"/>
      <c r="BD1395" s="56"/>
      <c r="BE1395" s="56"/>
      <c r="BF1395" s="107" t="str">
        <f t="shared" si="1047"/>
        <v>https://www.google.com/search?tbm=isch&amp;q=15%20G4</v>
      </c>
      <c r="BG1395" s="107" t="str">
        <f t="shared" si="1048"/>
        <v>F</v>
      </c>
      <c r="BH1395" s="254"/>
      <c r="BI1395" s="254"/>
    </row>
    <row r="1396" spans="1:61" customFormat="1" ht="16.5" thickBot="1" x14ac:dyDescent="0.3">
      <c r="A1396" s="672" t="s">
        <v>5118</v>
      </c>
      <c r="B1396" s="491"/>
      <c r="C1396" s="675"/>
      <c r="D1396" s="491"/>
      <c r="E1396" s="491"/>
      <c r="F1396" s="492"/>
      <c r="G1396" s="493"/>
      <c r="H1396" s="491"/>
      <c r="I1396" s="234"/>
      <c r="J1396" s="234"/>
      <c r="K1396" s="494"/>
      <c r="L1396" s="543"/>
      <c r="M1396" s="561"/>
      <c r="N1396" s="495"/>
      <c r="O1396" s="496"/>
      <c r="P1396" s="497"/>
      <c r="Q1396" s="495"/>
      <c r="R1396" s="495"/>
      <c r="S1396" s="277"/>
      <c r="T1396" s="508">
        <f t="shared" si="1036"/>
        <v>0</v>
      </c>
      <c r="U1396" s="225" t="str">
        <f>IF(NOT(ISNUMBER(G1396)), "", VLOOKUP(A1396,'Discount Lookup'!D:E,2,FALSE)*G1396)</f>
        <v/>
      </c>
      <c r="V1396" s="225" t="str">
        <f>IF(NOT(ISNUMBER(G1396)), "", VLOOKUP(A1396,'Discount Lookup'!G:H,2,FALSE)*G1396)</f>
        <v/>
      </c>
      <c r="W1396" s="508">
        <f t="shared" si="1037"/>
        <v>0</v>
      </c>
      <c r="X1396" s="508">
        <f t="shared" si="1038"/>
        <v>0</v>
      </c>
      <c r="Y1396" s="509" t="b">
        <f t="shared" si="1039"/>
        <v>0</v>
      </c>
      <c r="Z1396" s="510">
        <f t="shared" si="1040"/>
        <v>0</v>
      </c>
      <c r="AA1396" s="511"/>
      <c r="AB1396" s="511" t="str">
        <f t="shared" si="1041"/>
        <v/>
      </c>
      <c r="AC1396" s="698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698"/>
      <c r="AE1396" s="631" t="str">
        <f t="shared" si="1042"/>
        <v/>
      </c>
      <c r="AF1396" s="699" t="str">
        <f t="shared" si="1043"/>
        <v/>
      </c>
      <c r="AG1396" s="699"/>
      <c r="AH1396" s="699"/>
      <c r="AI1396" s="512">
        <f>IF(H1396="credit",0,IF(AE1396="free",0,IF(AE1396="me",0,IF(G1396&gt;0,(VLOOKUP(A1396,'Discount Lookup'!J:K,2)*G1396),0))))</f>
        <v>0</v>
      </c>
      <c r="AJ1396" s="513" t="str">
        <f t="shared" ca="1" si="1044"/>
        <v/>
      </c>
      <c r="AK1396" s="700" t="str">
        <f t="shared" si="1045"/>
        <v/>
      </c>
      <c r="AL1396" s="700"/>
      <c r="AM1396" s="505" t="str">
        <f t="shared" si="1046"/>
        <v/>
      </c>
      <c r="AN1396" s="506"/>
      <c r="AO1396" s="507"/>
      <c r="AP1396" s="507"/>
      <c r="AQ1396" s="507"/>
      <c r="AR1396" s="507"/>
      <c r="AS1396" s="507"/>
      <c r="AT1396" s="507"/>
      <c r="AU1396" s="507"/>
      <c r="AV1396" s="225"/>
      <c r="AW1396" s="508"/>
      <c r="AX1396" s="225"/>
      <c r="AY1396" s="225"/>
      <c r="AZ1396" s="225"/>
      <c r="BA1396" s="225"/>
      <c r="BB1396" s="225"/>
      <c r="BC1396" s="56"/>
      <c r="BD1396" s="56"/>
      <c r="BE1396" s="56"/>
      <c r="BF1396" s="107" t="str">
        <f t="shared" si="1047"/>
        <v>https://www.google.com/search?tbm=isch&amp;q=moist%20sites%F0%9F%92%A7OK%2C%20Forever%20Goldy%20maintains%20year-round%20color%20better%20than%20any%20other%20similar%20Arborvitae.%20Reddish-brown%20bark%20exfoliates%20</v>
      </c>
      <c r="BG1396" s="107" t="str">
        <f t="shared" si="1048"/>
        <v>m</v>
      </c>
      <c r="BH1396" s="254"/>
      <c r="BI1396" s="254"/>
    </row>
    <row r="1397" spans="1:61" customFormat="1" ht="18" x14ac:dyDescent="0.25">
      <c r="A1397" s="521" t="s">
        <v>916</v>
      </c>
      <c r="B1397" s="477"/>
      <c r="C1397" s="674"/>
      <c r="D1397" s="478" t="s">
        <v>917</v>
      </c>
      <c r="E1397" s="479"/>
      <c r="F1397" s="479"/>
      <c r="G1397" s="479"/>
      <c r="H1397" s="582" t="s">
        <v>356</v>
      </c>
      <c r="I1397" s="480" t="s">
        <v>2602</v>
      </c>
      <c r="J1397" s="479"/>
      <c r="K1397" s="479"/>
      <c r="L1397" s="560"/>
      <c r="M1397" s="671" t="s">
        <v>4990</v>
      </c>
      <c r="N1397" s="680" t="str">
        <f>IF(AND(ISTEXT($A1397), ISERROR($A1397+0)), HYPERLINK($BF1397, "Images"), "")</f>
        <v>Images</v>
      </c>
      <c r="O1397" s="662" t="s">
        <v>4974</v>
      </c>
      <c r="P1397" s="482"/>
      <c r="Q1397" s="483"/>
      <c r="R1397" s="483"/>
      <c r="S1397" s="484"/>
      <c r="T1397" s="508">
        <f t="shared" si="1036"/>
        <v>0</v>
      </c>
      <c r="U1397" s="225" t="str">
        <f>IF(NOT(ISNUMBER(G1397)), "", VLOOKUP(A1397,'Discount Lookup'!D:E,2,FALSE)*G1397)</f>
        <v/>
      </c>
      <c r="V1397" s="225" t="str">
        <f>IF(NOT(ISNUMBER(G1397)), "", VLOOKUP(A1397,'Discount Lookup'!G:H,2,FALSE)*G1397)</f>
        <v/>
      </c>
      <c r="W1397" s="508">
        <f t="shared" si="1037"/>
        <v>0</v>
      </c>
      <c r="X1397" s="508" t="str">
        <f t="shared" si="1038"/>
        <v>Lavender-Purple +darker blotch</v>
      </c>
      <c r="Y1397" s="509" t="b">
        <f t="shared" si="1039"/>
        <v>0</v>
      </c>
      <c r="Z1397" s="510">
        <f t="shared" si="1040"/>
        <v>0</v>
      </c>
      <c r="AA1397" s="511"/>
      <c r="AB1397" s="511" t="str">
        <f t="shared" si="1041"/>
        <v/>
      </c>
      <c r="AC1397" s="698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698"/>
      <c r="AE1397" s="631" t="str">
        <f t="shared" si="1042"/>
        <v/>
      </c>
      <c r="AF1397" s="699" t="str">
        <f t="shared" si="1043"/>
        <v/>
      </c>
      <c r="AG1397" s="699"/>
      <c r="AH1397" s="699"/>
      <c r="AI1397" s="512">
        <f>IF(H1397="credit",0,IF(AE1397="free",0,IF(AE1397="me",0,IF(G1397&gt;0,(VLOOKUP(A1397,'Discount Lookup'!J:K,2)*G1397),0))))</f>
        <v>0</v>
      </c>
      <c r="AJ1397" s="513" t="str">
        <f t="shared" ca="1" si="1044"/>
        <v/>
      </c>
      <c r="AK1397" s="700" t="str">
        <f t="shared" si="1045"/>
        <v/>
      </c>
      <c r="AL1397" s="700"/>
      <c r="AM1397" s="505" t="str">
        <f t="shared" si="1046"/>
        <v/>
      </c>
      <c r="AN1397" s="506"/>
      <c r="AO1397" s="507"/>
      <c r="AP1397" s="507"/>
      <c r="AQ1397" s="507"/>
      <c r="AR1397" s="507"/>
      <c r="AS1397" s="507"/>
      <c r="AT1397" s="507"/>
      <c r="AU1397" s="507"/>
      <c r="AV1397" s="225"/>
      <c r="AW1397" s="508"/>
      <c r="AX1397" s="225"/>
      <c r="AY1397" s="225"/>
      <c r="AZ1397" s="225"/>
      <c r="BA1397" s="225"/>
      <c r="BB1397" s="225"/>
      <c r="BC1397" s="56"/>
      <c r="BD1397" s="56"/>
      <c r="BE1397" s="56"/>
      <c r="BF1397" s="107" t="str">
        <f t="shared" si="1047"/>
        <v>https://www.google.com/search?tbm=isch&amp;q=Formosa%20Azalea%20Rhod.%20indicum%20%27Formosa%27</v>
      </c>
      <c r="BG1397" s="107" t="str">
        <f t="shared" si="1048"/>
        <v>F</v>
      </c>
      <c r="BH1397" s="254"/>
      <c r="BI1397" s="254"/>
    </row>
    <row r="1398" spans="1:61" customFormat="1" ht="15.75" x14ac:dyDescent="0.25">
      <c r="A1398" s="485">
        <v>3</v>
      </c>
      <c r="B1398" s="486" t="s">
        <v>291</v>
      </c>
      <c r="C1398" s="487" t="s">
        <v>1970</v>
      </c>
      <c r="D1398" s="488" t="s">
        <v>297</v>
      </c>
      <c r="E1398" s="489">
        <v>22.95</v>
      </c>
      <c r="F1398" s="516" t="s">
        <v>293</v>
      </c>
      <c r="G1398" s="232">
        <v>0</v>
      </c>
      <c r="H1398" s="658" t="str">
        <f>IF(G1398=0,"",IF(F1398="Buy",IF(G1398=1,"plant","plants"),IF(F1398&gt;0.01,"warranty","Error")))</f>
        <v/>
      </c>
      <c r="I1398" s="490">
        <f>IF(H1398="free",0,IF(H1398="credit",((E1398*(F1398))*G1398*-1),IF(F1398="Buy",(E1398*G1398),((E1398*(1-F1398))*G1398))))</f>
        <v>0</v>
      </c>
      <c r="J1398" s="490">
        <f>IF(H1398="warranty",0,(I1398*(_xlfn.SINGLE(SalesTaxPercentage))))</f>
        <v>0</v>
      </c>
      <c r="K1398" s="695">
        <f t="shared" ref="K1398" si="1074">I1398+J1398</f>
        <v>0</v>
      </c>
      <c r="L1398" s="695"/>
      <c r="M1398" s="659" t="str">
        <f>IF(AND(G1398&gt;0,E1398=0),"WARNING - no PRICE inserted",IF(H1398="free"," FREE ~ no charge this plant",IF(H1398="credit",CONCATENATE(" -$",ROUND(K1398*(1-T2GDiscount)*-1,2)," CREDIT after discount"),IF(T2GDiscount=0,"",IF(G1398=0,"",IF(F1398="Buy",CONCATENATE(" $",ROUND(K1398*(1-T2GDiscount),2)," with ",(T2GDiscount*100),"% discount"),CONCATENATE(" $",ROUND(K1398*(1-T2GDiscount),2)," with ",((T2GDiscount*100+F1398*100)-(T2GDiscount*100*F1398)),IF(F1398&gt;0,"% discounts",IF(NoWarrantyDiscount&gt;0,"% discounts","% discount")))))))))</f>
        <v/>
      </c>
      <c r="N1398" s="660"/>
      <c r="O1398" s="233"/>
      <c r="P1398" s="233"/>
      <c r="Q1398" s="233"/>
      <c r="R1398" s="233"/>
      <c r="S1398" s="233"/>
      <c r="T1398" s="508">
        <f t="shared" si="1036"/>
        <v>0</v>
      </c>
      <c r="U1398" s="225">
        <f>IF(NOT(ISNUMBER(G1398)), "", VLOOKUP(A1398,'Discount Lookup'!D:E,2,FALSE)*G1398)</f>
        <v>0</v>
      </c>
      <c r="V1398" s="225">
        <f>IF(NOT(ISNUMBER(G1398)), "", VLOOKUP(A1398,'Discount Lookup'!G:H,2,FALSE)*G1398)</f>
        <v>0</v>
      </c>
      <c r="W1398" s="508">
        <f t="shared" si="1037"/>
        <v>0</v>
      </c>
      <c r="X1398" s="508">
        <f t="shared" si="1038"/>
        <v>0</v>
      </c>
      <c r="Y1398" s="509" t="b">
        <f t="shared" si="1039"/>
        <v>0</v>
      </c>
      <c r="Z1398" s="510">
        <f t="shared" si="1040"/>
        <v>0</v>
      </c>
      <c r="AA1398" s="511"/>
      <c r="AB1398" s="511" t="str">
        <f t="shared" si="1041"/>
        <v/>
      </c>
      <c r="AC1398" s="698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698"/>
      <c r="AE1398" s="631" t="str">
        <f t="shared" si="1042"/>
        <v/>
      </c>
      <c r="AF1398" s="699" t="str">
        <f t="shared" si="1043"/>
        <v/>
      </c>
      <c r="AG1398" s="699"/>
      <c r="AH1398" s="699"/>
      <c r="AI1398" s="512">
        <f>IF(H1398="credit",0,IF(AE1398="free",0,IF(AE1398="me",0,IF(G1398&gt;0,(VLOOKUP(A1398,'Discount Lookup'!J:K,2)*G1398),0))))</f>
        <v>0</v>
      </c>
      <c r="AJ1398" s="513" t="str">
        <f t="shared" ca="1" si="1044"/>
        <v/>
      </c>
      <c r="AK1398" s="700" t="str">
        <f t="shared" si="1045"/>
        <v/>
      </c>
      <c r="AL1398" s="700"/>
      <c r="AM1398" s="505" t="str">
        <f t="shared" si="1046"/>
        <v/>
      </c>
      <c r="AN1398" s="506"/>
      <c r="AO1398" s="507"/>
      <c r="AP1398" s="507"/>
      <c r="AQ1398" s="507"/>
      <c r="AR1398" s="507"/>
      <c r="AS1398" s="507"/>
      <c r="AT1398" s="507"/>
      <c r="AU1398" s="507"/>
      <c r="AV1398" s="225"/>
      <c r="AW1398" s="508"/>
      <c r="AX1398" s="225"/>
      <c r="AY1398" s="225"/>
      <c r="AZ1398" s="225"/>
      <c r="BA1398" s="225"/>
      <c r="BB1398" s="225"/>
      <c r="BC1398" s="56"/>
      <c r="BD1398" s="56"/>
      <c r="BE1398" s="56"/>
      <c r="BF1398" s="107" t="str">
        <f t="shared" si="1047"/>
        <v>https://www.google.com/search?tbm=isch&amp;q=3%20G3</v>
      </c>
      <c r="BG1398" s="107" t="str">
        <f t="shared" si="1048"/>
        <v>F</v>
      </c>
      <c r="BH1398" s="254"/>
      <c r="BI1398" s="254"/>
    </row>
    <row r="1399" spans="1:61" customFormat="1" ht="15.75" x14ac:dyDescent="0.25">
      <c r="A1399" s="485">
        <v>3</v>
      </c>
      <c r="B1399" s="486" t="s">
        <v>291</v>
      </c>
      <c r="C1399" s="487" t="s">
        <v>918</v>
      </c>
      <c r="D1399" s="488" t="s">
        <v>299</v>
      </c>
      <c r="E1399" s="489">
        <v>33.950000000000003</v>
      </c>
      <c r="F1399" s="516" t="s">
        <v>293</v>
      </c>
      <c r="G1399" s="232">
        <v>0</v>
      </c>
      <c r="H1399" s="658" t="str">
        <f>IF(G1399=0,"",IF(F1399="Buy",IF(G1399=1,"plant","plants"),IF(F1399&gt;0.01,"warranty","Error")))</f>
        <v/>
      </c>
      <c r="I1399" s="490">
        <f>IF(H1399="free",0,IF(H1399="credit",((E1399*(F1399))*G1399*-1),IF(F1399="Buy",(E1399*G1399),((E1399*(1-F1399))*G1399))))</f>
        <v>0</v>
      </c>
      <c r="J1399" s="490">
        <f>IF(H1399="warranty",0,(I1399*(_xlfn.SINGLE(SalesTaxPercentage))))</f>
        <v>0</v>
      </c>
      <c r="K1399" s="695">
        <f t="shared" ref="K1399" si="1075">I1399+J1399</f>
        <v>0</v>
      </c>
      <c r="L1399" s="695"/>
      <c r="M1399" s="659" t="str">
        <f>IF(AND(G1399&gt;0,E1399=0),"WARNING - no PRICE inserted",IF(H1399="free"," FREE ~ no charge this plant",IF(H1399="credit",CONCATENATE(" -$",ROUND(K1399*(1-T2GDiscount)*-1,2)," CREDIT after discount"),IF(T2GDiscount=0,"",IF(G1399=0,"",IF(F1399="Buy",CONCATENATE(" $",ROUND(K1399*(1-T2GDiscount),2)," with ",(T2GDiscount*100),"% discount"),CONCATENATE(" $",ROUND(K1399*(1-T2GDiscount),2)," with ",((T2GDiscount*100+F1399*100)-(T2GDiscount*100*F1399)),IF(F1399&gt;0,"% discounts",IF(NoWarrantyDiscount&gt;0,"% discounts","% discount")))))))))</f>
        <v/>
      </c>
      <c r="N1399" s="660"/>
      <c r="O1399" s="233"/>
      <c r="P1399" s="233"/>
      <c r="Q1399" s="233"/>
      <c r="R1399" s="233"/>
      <c r="S1399" s="233"/>
      <c r="T1399" s="508">
        <f t="shared" si="1036"/>
        <v>0</v>
      </c>
      <c r="U1399" s="225">
        <f>IF(NOT(ISNUMBER(G1399)), "", VLOOKUP(A1399,'Discount Lookup'!D:E,2,FALSE)*G1399)</f>
        <v>0</v>
      </c>
      <c r="V1399" s="225">
        <f>IF(NOT(ISNUMBER(G1399)), "", VLOOKUP(A1399,'Discount Lookup'!G:H,2,FALSE)*G1399)</f>
        <v>0</v>
      </c>
      <c r="W1399" s="508">
        <f t="shared" si="1037"/>
        <v>0</v>
      </c>
      <c r="X1399" s="508">
        <f t="shared" si="1038"/>
        <v>0</v>
      </c>
      <c r="Y1399" s="509" t="b">
        <f t="shared" si="1039"/>
        <v>0</v>
      </c>
      <c r="Z1399" s="510">
        <f t="shared" si="1040"/>
        <v>0</v>
      </c>
      <c r="AA1399" s="511"/>
      <c r="AB1399" s="511" t="str">
        <f t="shared" si="1041"/>
        <v/>
      </c>
      <c r="AC1399" s="698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698"/>
      <c r="AE1399" s="631" t="str">
        <f t="shared" si="1042"/>
        <v/>
      </c>
      <c r="AF1399" s="699" t="str">
        <f t="shared" si="1043"/>
        <v/>
      </c>
      <c r="AG1399" s="699"/>
      <c r="AH1399" s="699"/>
      <c r="AI1399" s="512">
        <f>IF(H1399="credit",0,IF(AE1399="free",0,IF(AE1399="me",0,IF(G1399&gt;0,(VLOOKUP(A1399,'Discount Lookup'!J:K,2)*G1399),0))))</f>
        <v>0</v>
      </c>
      <c r="AJ1399" s="513" t="str">
        <f t="shared" ca="1" si="1044"/>
        <v/>
      </c>
      <c r="AK1399" s="700" t="str">
        <f t="shared" si="1045"/>
        <v/>
      </c>
      <c r="AL1399" s="700"/>
      <c r="AM1399" s="505" t="str">
        <f t="shared" si="1046"/>
        <v/>
      </c>
      <c r="AN1399" s="506"/>
      <c r="AO1399" s="507"/>
      <c r="AP1399" s="507"/>
      <c r="AQ1399" s="507"/>
      <c r="AR1399" s="507"/>
      <c r="AS1399" s="507"/>
      <c r="AT1399" s="507"/>
      <c r="AU1399" s="507"/>
      <c r="AV1399" s="225"/>
      <c r="AW1399" s="508"/>
      <c r="AX1399" s="225"/>
      <c r="AY1399" s="225"/>
      <c r="AZ1399" s="225"/>
      <c r="BA1399" s="225"/>
      <c r="BB1399" s="225"/>
      <c r="BC1399" s="56"/>
      <c r="BD1399" s="56"/>
      <c r="BE1399" s="56"/>
      <c r="BF1399" s="107" t="str">
        <f t="shared" si="1047"/>
        <v>https://www.google.com/search?tbm=isch&amp;q=3%20G5</v>
      </c>
      <c r="BG1399" s="107" t="str">
        <f t="shared" si="1048"/>
        <v>F</v>
      </c>
      <c r="BH1399" s="254"/>
      <c r="BI1399" s="254"/>
    </row>
    <row r="1400" spans="1:61" customFormat="1" ht="15.75" x14ac:dyDescent="0.25">
      <c r="A1400" s="485">
        <v>3</v>
      </c>
      <c r="B1400" s="486" t="s">
        <v>291</v>
      </c>
      <c r="C1400" s="487" t="s">
        <v>3989</v>
      </c>
      <c r="D1400" s="488" t="s">
        <v>300</v>
      </c>
      <c r="E1400" s="489">
        <v>45.95</v>
      </c>
      <c r="F1400" s="516" t="s">
        <v>293</v>
      </c>
      <c r="G1400" s="232">
        <v>0</v>
      </c>
      <c r="H1400" s="658" t="str">
        <f>IF(G1400=0,"",IF(F1400="Buy",IF(G1400=1,"plant","plants"),IF(F1400&gt;0.01,"warranty","Error")))</f>
        <v/>
      </c>
      <c r="I1400" s="490">
        <f>IF(H1400="free",0,IF(H1400="credit",((E1400*(F1400))*G1400*-1),IF(F1400="Buy",(E1400*G1400),((E1400*(1-F1400))*G1400))))</f>
        <v>0</v>
      </c>
      <c r="J1400" s="490">
        <f>IF(H1400="warranty",0,(I1400*(_xlfn.SINGLE(SalesTaxPercentage))))</f>
        <v>0</v>
      </c>
      <c r="K1400" s="695">
        <f t="shared" ref="K1400" si="1076">I1400+J1400</f>
        <v>0</v>
      </c>
      <c r="L1400" s="695"/>
      <c r="M1400" s="659" t="str">
        <f>IF(AND(G1400&gt;0,E1400=0),"WARNING - no PRICE inserted",IF(H1400="free"," FREE ~ no charge this plant",IF(H1400="credit",CONCATENATE(" -$",ROUND(K1400*(1-T2GDiscount)*-1,2)," CREDIT after discount"),IF(T2GDiscount=0,"",IF(G1400=0,"",IF(F1400="Buy",CONCATENATE(" $",ROUND(K1400*(1-T2GDiscount),2)," with ",(T2GDiscount*100),"% discount"),CONCATENATE(" $",ROUND(K1400*(1-T2GDiscount),2)," with ",((T2GDiscount*100+F1400*100)-(T2GDiscount*100*F1400)),IF(F1400&gt;0,"% discounts",IF(NoWarrantyDiscount&gt;0,"% discounts","% discount")))))))))</f>
        <v/>
      </c>
      <c r="N1400" s="660"/>
      <c r="O1400" s="233"/>
      <c r="P1400" s="233"/>
      <c r="Q1400" s="233"/>
      <c r="R1400" s="233"/>
      <c r="S1400" s="233"/>
      <c r="T1400" s="508">
        <f t="shared" si="1036"/>
        <v>0</v>
      </c>
      <c r="U1400" s="225">
        <f>IF(NOT(ISNUMBER(G1400)), "", VLOOKUP(A1400,'Discount Lookup'!D:E,2,FALSE)*G1400)</f>
        <v>0</v>
      </c>
      <c r="V1400" s="225">
        <f>IF(NOT(ISNUMBER(G1400)), "", VLOOKUP(A1400,'Discount Lookup'!G:H,2,FALSE)*G1400)</f>
        <v>0</v>
      </c>
      <c r="W1400" s="508">
        <f t="shared" si="1037"/>
        <v>0</v>
      </c>
      <c r="X1400" s="508">
        <f t="shared" si="1038"/>
        <v>0</v>
      </c>
      <c r="Y1400" s="509" t="b">
        <f t="shared" si="1039"/>
        <v>0</v>
      </c>
      <c r="Z1400" s="510">
        <f t="shared" si="1040"/>
        <v>0</v>
      </c>
      <c r="AA1400" s="511"/>
      <c r="AB1400" s="511" t="str">
        <f t="shared" si="1041"/>
        <v/>
      </c>
      <c r="AC1400" s="698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698"/>
      <c r="AE1400" s="631" t="str">
        <f t="shared" si="1042"/>
        <v/>
      </c>
      <c r="AF1400" s="699" t="str">
        <f t="shared" si="1043"/>
        <v/>
      </c>
      <c r="AG1400" s="699"/>
      <c r="AH1400" s="699"/>
      <c r="AI1400" s="512">
        <f>IF(H1400="credit",0,IF(AE1400="free",0,IF(AE1400="me",0,IF(G1400&gt;0,(VLOOKUP(A1400,'Discount Lookup'!J:K,2)*G1400),0))))</f>
        <v>0</v>
      </c>
      <c r="AJ1400" s="513" t="str">
        <f t="shared" ca="1" si="1044"/>
        <v/>
      </c>
      <c r="AK1400" s="700" t="str">
        <f t="shared" si="1045"/>
        <v/>
      </c>
      <c r="AL1400" s="700"/>
      <c r="AM1400" s="505" t="str">
        <f t="shared" si="1046"/>
        <v/>
      </c>
      <c r="AN1400" s="506"/>
      <c r="AO1400" s="507"/>
      <c r="AP1400" s="507"/>
      <c r="AQ1400" s="507"/>
      <c r="AR1400" s="507"/>
      <c r="AS1400" s="507"/>
      <c r="AT1400" s="507"/>
      <c r="AU1400" s="507"/>
      <c r="AV1400" s="225"/>
      <c r="AW1400" s="508"/>
      <c r="AX1400" s="225"/>
      <c r="AY1400" s="225"/>
      <c r="AZ1400" s="225"/>
      <c r="BA1400" s="225"/>
      <c r="BB1400" s="225"/>
      <c r="BC1400" s="56"/>
      <c r="BD1400" s="56"/>
      <c r="BE1400" s="56"/>
      <c r="BF1400" s="107" t="str">
        <f t="shared" si="1047"/>
        <v>https://www.google.com/search?tbm=isch&amp;q=3%20G6</v>
      </c>
      <c r="BG1400" s="107" t="str">
        <f t="shared" si="1048"/>
        <v>F</v>
      </c>
      <c r="BH1400" s="254"/>
      <c r="BI1400" s="254"/>
    </row>
    <row r="1401" spans="1:61" customFormat="1" ht="17.25" thickBot="1" x14ac:dyDescent="0.3">
      <c r="A1401" s="522" t="s">
        <v>2603</v>
      </c>
      <c r="B1401" s="491"/>
      <c r="C1401" s="675"/>
      <c r="D1401" s="491"/>
      <c r="E1401" s="491"/>
      <c r="F1401" s="492"/>
      <c r="G1401" s="493"/>
      <c r="H1401" s="491"/>
      <c r="I1401" s="234"/>
      <c r="J1401" s="234"/>
      <c r="K1401" s="494"/>
      <c r="L1401" s="543"/>
      <c r="M1401" s="561"/>
      <c r="N1401" s="495"/>
      <c r="O1401" s="496"/>
      <c r="P1401" s="497"/>
      <c r="Q1401" s="495"/>
      <c r="R1401" s="495"/>
      <c r="S1401" s="667" t="s">
        <v>4988</v>
      </c>
      <c r="T1401" s="508">
        <f t="shared" si="1036"/>
        <v>0</v>
      </c>
      <c r="U1401" s="225" t="str">
        <f>IF(NOT(ISNUMBER(G1401)), "", VLOOKUP(A1401,'Discount Lookup'!D:E,2,FALSE)*G1401)</f>
        <v/>
      </c>
      <c r="V1401" s="225" t="str">
        <f>IF(NOT(ISNUMBER(G1401)), "", VLOOKUP(A1401,'Discount Lookup'!G:H,2,FALSE)*G1401)</f>
        <v/>
      </c>
      <c r="W1401" s="508">
        <f t="shared" si="1037"/>
        <v>0</v>
      </c>
      <c r="X1401" s="508">
        <f t="shared" si="1038"/>
        <v>0</v>
      </c>
      <c r="Y1401" s="509" t="b">
        <f t="shared" si="1039"/>
        <v>0</v>
      </c>
      <c r="Z1401" s="510">
        <f t="shared" si="1040"/>
        <v>0</v>
      </c>
      <c r="AA1401" s="511"/>
      <c r="AB1401" s="511" t="str">
        <f t="shared" si="1041"/>
        <v/>
      </c>
      <c r="AC1401" s="698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698"/>
      <c r="AE1401" s="631" t="str">
        <f t="shared" si="1042"/>
        <v/>
      </c>
      <c r="AF1401" s="699" t="str">
        <f t="shared" si="1043"/>
        <v/>
      </c>
      <c r="AG1401" s="699"/>
      <c r="AH1401" s="699"/>
      <c r="AI1401" s="512">
        <f>IF(H1401="credit",0,IF(AE1401="free",0,IF(AE1401="me",0,IF(G1401&gt;0,(VLOOKUP(A1401,'Discount Lookup'!J:K,2)*G1401),0))))</f>
        <v>0</v>
      </c>
      <c r="AJ1401" s="513" t="str">
        <f t="shared" ca="1" si="1044"/>
        <v/>
      </c>
      <c r="AK1401" s="700" t="str">
        <f t="shared" si="1045"/>
        <v/>
      </c>
      <c r="AL1401" s="700"/>
      <c r="AM1401" s="505" t="str">
        <f t="shared" si="1046"/>
        <v/>
      </c>
      <c r="AN1401" s="506"/>
      <c r="AO1401" s="507"/>
      <c r="AP1401" s="507"/>
      <c r="AQ1401" s="507"/>
      <c r="AR1401" s="507"/>
      <c r="AS1401" s="507"/>
      <c r="AT1401" s="507"/>
      <c r="AU1401" s="507"/>
      <c r="AV1401" s="225"/>
      <c r="AW1401" s="508"/>
      <c r="AX1401" s="225"/>
      <c r="AY1401" s="225"/>
      <c r="AZ1401" s="225"/>
      <c r="BA1401" s="225"/>
      <c r="BB1401" s="225"/>
      <c r="BC1401" s="56"/>
      <c r="BD1401" s="56"/>
      <c r="BE1401" s="56"/>
      <c r="BF1401" s="107" t="str">
        <f t="shared" si="1047"/>
        <v>https://www.google.com/search?tbm=isch&amp;q=Formosa%20widely%20planted%20in%20NC.%20Trumpet%20flowers.%20Vigorous%2C%20upright%20habit%20with%20coarse%20foliage%20and%20dense%20branching%20</v>
      </c>
      <c r="BG1401" s="107" t="str">
        <f t="shared" si="1048"/>
        <v>F</v>
      </c>
      <c r="BH1401" s="254"/>
      <c r="BI1401" s="254"/>
    </row>
    <row r="1402" spans="1:61" customFormat="1" ht="18" x14ac:dyDescent="0.25">
      <c r="A1402" s="521" t="s">
        <v>920</v>
      </c>
      <c r="B1402" s="477"/>
      <c r="C1402" s="674"/>
      <c r="D1402" s="478" t="s">
        <v>921</v>
      </c>
      <c r="E1402" s="479"/>
      <c r="F1402" s="479"/>
      <c r="G1402" s="479"/>
      <c r="H1402" s="582" t="s">
        <v>2947</v>
      </c>
      <c r="I1402" s="480" t="s">
        <v>2093</v>
      </c>
      <c r="J1402" s="479"/>
      <c r="K1402" s="479"/>
      <c r="L1402" s="560"/>
      <c r="M1402" s="671" t="s">
        <v>4985</v>
      </c>
      <c r="N1402" s="680" t="str">
        <f>IF(AND(ISTEXT($A1402), ISERROR($A1402+0)), HYPERLINK($BF1402, "Images"), "")</f>
        <v>Images</v>
      </c>
      <c r="O1402" s="662" t="s">
        <v>4969</v>
      </c>
      <c r="P1402" s="482"/>
      <c r="Q1402" s="483"/>
      <c r="R1402" s="483"/>
      <c r="S1402" s="484"/>
      <c r="T1402" s="508">
        <f t="shared" si="1036"/>
        <v>0</v>
      </c>
      <c r="U1402" s="225" t="str">
        <f>IF(NOT(ISNUMBER(G1402)), "", VLOOKUP(A1402,'Discount Lookup'!D:E,2,FALSE)*G1402)</f>
        <v/>
      </c>
      <c r="V1402" s="225" t="str">
        <f>IF(NOT(ISNUMBER(G1402)), "", VLOOKUP(A1402,'Discount Lookup'!G:H,2,FALSE)*G1402)</f>
        <v/>
      </c>
      <c r="W1402" s="508">
        <f t="shared" si="1037"/>
        <v>0</v>
      </c>
      <c r="X1402" s="508" t="str">
        <f t="shared" si="1038"/>
        <v>Dark Green foliage</v>
      </c>
      <c r="Y1402" s="509" t="b">
        <f t="shared" si="1039"/>
        <v>0</v>
      </c>
      <c r="Z1402" s="510">
        <f t="shared" si="1040"/>
        <v>0</v>
      </c>
      <c r="AA1402" s="511"/>
      <c r="AB1402" s="511" t="str">
        <f t="shared" si="1041"/>
        <v/>
      </c>
      <c r="AC1402" s="698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698"/>
      <c r="AE1402" s="631" t="str">
        <f t="shared" si="1042"/>
        <v/>
      </c>
      <c r="AF1402" s="699" t="str">
        <f t="shared" si="1043"/>
        <v/>
      </c>
      <c r="AG1402" s="699"/>
      <c r="AH1402" s="699"/>
      <c r="AI1402" s="512">
        <f>IF(H1402="credit",0,IF(AE1402="free",0,IF(AE1402="me",0,IF(G1402&gt;0,(VLOOKUP(A1402,'Discount Lookup'!J:K,2)*G1402),0))))</f>
        <v>0</v>
      </c>
      <c r="AJ1402" s="513" t="str">
        <f t="shared" ca="1" si="1044"/>
        <v/>
      </c>
      <c r="AK1402" s="700" t="str">
        <f t="shared" si="1045"/>
        <v/>
      </c>
      <c r="AL1402" s="700"/>
      <c r="AM1402" s="505" t="str">
        <f t="shared" si="1046"/>
        <v/>
      </c>
      <c r="AN1402" s="506"/>
      <c r="AO1402" s="507"/>
      <c r="AP1402" s="507"/>
      <c r="AQ1402" s="507"/>
      <c r="AR1402" s="507"/>
      <c r="AS1402" s="507"/>
      <c r="AT1402" s="507"/>
      <c r="AU1402" s="507"/>
      <c r="AV1402" s="225"/>
      <c r="AW1402" s="508"/>
      <c r="AX1402" s="225"/>
      <c r="AY1402" s="225"/>
      <c r="AZ1402" s="225"/>
      <c r="BA1402" s="225"/>
      <c r="BB1402" s="225"/>
      <c r="BC1402" s="56"/>
      <c r="BD1402" s="56"/>
      <c r="BE1402" s="56"/>
      <c r="BF1402" s="107" t="str">
        <f t="shared" si="1047"/>
        <v>https://www.google.com/search?tbm=isch&amp;q=Fortune%27s%20Holly%20Fern%20Cyrtomium%20fortunei</v>
      </c>
      <c r="BG1402" s="107" t="str">
        <f t="shared" si="1048"/>
        <v>F</v>
      </c>
      <c r="BH1402" s="254"/>
      <c r="BI1402" s="254"/>
    </row>
    <row r="1403" spans="1:61" customFormat="1" ht="15.75" x14ac:dyDescent="0.25">
      <c r="A1403" s="485">
        <v>1</v>
      </c>
      <c r="B1403" s="486" t="s">
        <v>291</v>
      </c>
      <c r="C1403" s="487"/>
      <c r="D1403" s="488" t="s">
        <v>312</v>
      </c>
      <c r="E1403" s="489">
        <v>11.95</v>
      </c>
      <c r="F1403" s="516" t="s">
        <v>293</v>
      </c>
      <c r="G1403" s="232">
        <v>0</v>
      </c>
      <c r="H1403" s="658" t="str">
        <f>IF(G1403=0,"",IF(F1403="Buy",IF(G1403=1,"plant","plants"),IF(F1403&gt;0.01,"warranty","Error")))</f>
        <v/>
      </c>
      <c r="I1403" s="490">
        <f>IF(H1403="free",0,IF(H1403="credit",((E1403*(F1403))*G1403*-1),IF(F1403="Buy",(E1403*G1403),((E1403*(1-F1403))*G1403))))</f>
        <v>0</v>
      </c>
      <c r="J1403" s="490">
        <f>IF(H1403="warranty",0,(I1403*(_xlfn.SINGLE(SalesTaxPercentage))))</f>
        <v>0</v>
      </c>
      <c r="K1403" s="695">
        <f t="shared" ref="K1403" si="1077">I1403+J1403</f>
        <v>0</v>
      </c>
      <c r="L1403" s="695"/>
      <c r="M1403" s="659" t="str">
        <f>IF(AND(G1403&gt;0,E1403=0),"WARNING - no PRICE inserted",IF(H1403="free"," FREE ~ no charge this plant",IF(H1403="credit",CONCATENATE(" -$",ROUND(K1403*(1-T2GDiscount)*-1,2)," CREDIT after discount"),IF(T2GDiscount=0,"",IF(G1403=0,"",IF(F1403="Buy",CONCATENATE(" $",ROUND(K1403*(1-T2GDiscount),2)," with ",(T2GDiscount*100),"% discount"),CONCATENATE(" $",ROUND(K1403*(1-T2GDiscount),2)," with ",((T2GDiscount*100+F1403*100)-(T2GDiscount*100*F1403)),IF(F1403&gt;0,"% discounts",IF(NoWarrantyDiscount&gt;0,"% discounts","% discount")))))))))</f>
        <v/>
      </c>
      <c r="N1403" s="660"/>
      <c r="O1403" s="233"/>
      <c r="P1403" s="233"/>
      <c r="Q1403" s="233"/>
      <c r="R1403" s="233"/>
      <c r="S1403" s="233"/>
      <c r="T1403" s="508">
        <f t="shared" si="1036"/>
        <v>0</v>
      </c>
      <c r="U1403" s="225">
        <f>IF(NOT(ISNUMBER(G1403)), "", VLOOKUP(A1403,'Discount Lookup'!D:E,2,FALSE)*G1403)</f>
        <v>0</v>
      </c>
      <c r="V1403" s="225">
        <f>IF(NOT(ISNUMBER(G1403)), "", VLOOKUP(A1403,'Discount Lookup'!G:H,2,FALSE)*G1403)</f>
        <v>0</v>
      </c>
      <c r="W1403" s="508">
        <f t="shared" si="1037"/>
        <v>0</v>
      </c>
      <c r="X1403" s="508">
        <f t="shared" si="1038"/>
        <v>0</v>
      </c>
      <c r="Y1403" s="509" t="b">
        <f t="shared" si="1039"/>
        <v>0</v>
      </c>
      <c r="Z1403" s="510">
        <f t="shared" si="1040"/>
        <v>0</v>
      </c>
      <c r="AA1403" s="511"/>
      <c r="AB1403" s="511" t="str">
        <f t="shared" si="1041"/>
        <v/>
      </c>
      <c r="AC1403" s="698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698"/>
      <c r="AE1403" s="631" t="str">
        <f t="shared" si="1042"/>
        <v/>
      </c>
      <c r="AF1403" s="699" t="str">
        <f t="shared" si="1043"/>
        <v/>
      </c>
      <c r="AG1403" s="699"/>
      <c r="AH1403" s="699"/>
      <c r="AI1403" s="512">
        <f>IF(H1403="credit",0,IF(AE1403="free",0,IF(AE1403="me",0,IF(G1403&gt;0,(VLOOKUP(A1403,'Discount Lookup'!J:K,2)*G1403),0))))</f>
        <v>0</v>
      </c>
      <c r="AJ1403" s="513" t="str">
        <f t="shared" ca="1" si="1044"/>
        <v/>
      </c>
      <c r="AK1403" s="700" t="str">
        <f t="shared" si="1045"/>
        <v/>
      </c>
      <c r="AL1403" s="700"/>
      <c r="AM1403" s="505" t="str">
        <f t="shared" si="1046"/>
        <v/>
      </c>
      <c r="AN1403" s="506"/>
      <c r="AO1403" s="507"/>
      <c r="AP1403" s="507"/>
      <c r="AQ1403" s="507"/>
      <c r="AR1403" s="507"/>
      <c r="AS1403" s="507"/>
      <c r="AT1403" s="507"/>
      <c r="AU1403" s="507"/>
      <c r="AV1403" s="225"/>
      <c r="AW1403" s="508"/>
      <c r="AX1403" s="225"/>
      <c r="AY1403" s="225"/>
      <c r="AZ1403" s="225"/>
      <c r="BA1403" s="225"/>
      <c r="BB1403" s="225"/>
      <c r="BC1403" s="56"/>
      <c r="BD1403" s="56"/>
      <c r="BE1403" s="56"/>
      <c r="BF1403" s="107" t="str">
        <f t="shared" si="1047"/>
        <v>https://www.google.com/search?tbm=isch&amp;q=1%20G2</v>
      </c>
      <c r="BG1403" s="107" t="str">
        <f t="shared" si="1048"/>
        <v>F</v>
      </c>
      <c r="BH1403" s="254"/>
      <c r="BI1403" s="254"/>
    </row>
    <row r="1404" spans="1:61" customFormat="1" ht="16.5" thickBot="1" x14ac:dyDescent="0.3">
      <c r="A1404" s="672" t="s">
        <v>5119</v>
      </c>
      <c r="B1404" s="491"/>
      <c r="C1404" s="675"/>
      <c r="D1404" s="491"/>
      <c r="E1404" s="491"/>
      <c r="F1404" s="492"/>
      <c r="G1404" s="493"/>
      <c r="H1404" s="491"/>
      <c r="I1404" s="234"/>
      <c r="J1404" s="234"/>
      <c r="K1404" s="494"/>
      <c r="L1404" s="543"/>
      <c r="M1404" s="561"/>
      <c r="N1404" s="495"/>
      <c r="O1404" s="496"/>
      <c r="P1404" s="497"/>
      <c r="Q1404" s="495"/>
      <c r="R1404" s="495"/>
      <c r="S1404" s="667" t="s">
        <v>4968</v>
      </c>
      <c r="T1404" s="508">
        <f t="shared" si="1036"/>
        <v>0</v>
      </c>
      <c r="U1404" s="225" t="str">
        <f>IF(NOT(ISNUMBER(G1404)), "", VLOOKUP(A1404,'Discount Lookup'!D:E,2,FALSE)*G1404)</f>
        <v/>
      </c>
      <c r="V1404" s="225" t="str">
        <f>IF(NOT(ISNUMBER(G1404)), "", VLOOKUP(A1404,'Discount Lookup'!G:H,2,FALSE)*G1404)</f>
        <v/>
      </c>
      <c r="W1404" s="508">
        <f t="shared" si="1037"/>
        <v>0</v>
      </c>
      <c r="X1404" s="508">
        <f t="shared" si="1038"/>
        <v>0</v>
      </c>
      <c r="Y1404" s="509" t="b">
        <f t="shared" si="1039"/>
        <v>0</v>
      </c>
      <c r="Z1404" s="510">
        <f t="shared" si="1040"/>
        <v>0</v>
      </c>
      <c r="AA1404" s="511"/>
      <c r="AB1404" s="511" t="str">
        <f t="shared" si="1041"/>
        <v/>
      </c>
      <c r="AC1404" s="698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698"/>
      <c r="AE1404" s="631" t="str">
        <f t="shared" si="1042"/>
        <v/>
      </c>
      <c r="AF1404" s="699" t="str">
        <f t="shared" si="1043"/>
        <v/>
      </c>
      <c r="AG1404" s="699"/>
      <c r="AH1404" s="699"/>
      <c r="AI1404" s="512">
        <f>IF(H1404="credit",0,IF(AE1404="free",0,IF(AE1404="me",0,IF(G1404&gt;0,(VLOOKUP(A1404,'Discount Lookup'!J:K,2)*G1404),0))))</f>
        <v>0</v>
      </c>
      <c r="AJ1404" s="513" t="str">
        <f t="shared" ca="1" si="1044"/>
        <v/>
      </c>
      <c r="AK1404" s="700" t="str">
        <f t="shared" si="1045"/>
        <v/>
      </c>
      <c r="AL1404" s="700"/>
      <c r="AM1404" s="505" t="str">
        <f t="shared" si="1046"/>
        <v/>
      </c>
      <c r="AN1404" s="506"/>
      <c r="AO1404" s="507"/>
      <c r="AP1404" s="507"/>
      <c r="AQ1404" s="507"/>
      <c r="AR1404" s="507"/>
      <c r="AS1404" s="507"/>
      <c r="AT1404" s="507"/>
      <c r="AU1404" s="507"/>
      <c r="AV1404" s="225"/>
      <c r="AW1404" s="508"/>
      <c r="AX1404" s="225"/>
      <c r="AY1404" s="225"/>
      <c r="AZ1404" s="225"/>
      <c r="BA1404" s="225"/>
      <c r="BB1404" s="225"/>
      <c r="BC1404" s="56"/>
      <c r="BD1404" s="56"/>
      <c r="BE1404" s="56"/>
      <c r="BF1404" s="107" t="str">
        <f t="shared" si="1047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04" s="107" t="str">
        <f t="shared" si="1048"/>
        <v>m</v>
      </c>
      <c r="BH1404" s="254"/>
      <c r="BI1404" s="254"/>
    </row>
    <row r="1405" spans="1:61" customFormat="1" ht="18" x14ac:dyDescent="0.25">
      <c r="A1405" s="521" t="s">
        <v>922</v>
      </c>
      <c r="B1405" s="477"/>
      <c r="C1405" s="674"/>
      <c r="D1405" s="478" t="s">
        <v>923</v>
      </c>
      <c r="E1405" s="479"/>
      <c r="F1405" s="479"/>
      <c r="G1405" s="479"/>
      <c r="H1405" s="582" t="s">
        <v>924</v>
      </c>
      <c r="I1405" s="480" t="s">
        <v>654</v>
      </c>
      <c r="J1405" s="479"/>
      <c r="K1405" s="479"/>
      <c r="L1405" s="560"/>
      <c r="M1405" s="666" t="s">
        <v>4966</v>
      </c>
      <c r="N1405" s="680" t="str">
        <f>IF(AND(ISTEXT($A1405), ISERROR($A1405+0)), HYPERLINK($BF1405, "Images"), "")</f>
        <v>Images</v>
      </c>
      <c r="O1405" s="662" t="s">
        <v>4969</v>
      </c>
      <c r="P1405" s="482"/>
      <c r="Q1405" s="483"/>
      <c r="R1405" s="483"/>
      <c r="S1405" s="484"/>
      <c r="T1405" s="508">
        <f t="shared" si="1036"/>
        <v>0</v>
      </c>
      <c r="U1405" s="225" t="str">
        <f>IF(NOT(ISNUMBER(G1405)), "", VLOOKUP(A1405,'Discount Lookup'!D:E,2,FALSE)*G1405)</f>
        <v/>
      </c>
      <c r="V1405" s="225" t="str">
        <f>IF(NOT(ISNUMBER(G1405)), "", VLOOKUP(A1405,'Discount Lookup'!G:H,2,FALSE)*G1405)</f>
        <v/>
      </c>
      <c r="W1405" s="508">
        <f t="shared" si="1037"/>
        <v>0</v>
      </c>
      <c r="X1405" s="508" t="str">
        <f t="shared" si="1038"/>
        <v>White bloom</v>
      </c>
      <c r="Y1405" s="509" t="b">
        <f t="shared" si="1039"/>
        <v>0</v>
      </c>
      <c r="Z1405" s="510">
        <f t="shared" si="1040"/>
        <v>0</v>
      </c>
      <c r="AA1405" s="511"/>
      <c r="AB1405" s="511" t="str">
        <f t="shared" si="1041"/>
        <v/>
      </c>
      <c r="AC1405" s="698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698"/>
      <c r="AE1405" s="631" t="str">
        <f t="shared" si="1042"/>
        <v/>
      </c>
      <c r="AF1405" s="699" t="str">
        <f t="shared" si="1043"/>
        <v/>
      </c>
      <c r="AG1405" s="699"/>
      <c r="AH1405" s="699"/>
      <c r="AI1405" s="512">
        <f>IF(H1405="credit",0,IF(AE1405="free",0,IF(AE1405="me",0,IF(G1405&gt;0,(VLOOKUP(A1405,'Discount Lookup'!J:K,2)*G1405),0))))</f>
        <v>0</v>
      </c>
      <c r="AJ1405" s="513" t="str">
        <f t="shared" ca="1" si="1044"/>
        <v/>
      </c>
      <c r="AK1405" s="700" t="str">
        <f t="shared" si="1045"/>
        <v/>
      </c>
      <c r="AL1405" s="700"/>
      <c r="AM1405" s="505" t="str">
        <f t="shared" si="1046"/>
        <v/>
      </c>
      <c r="AN1405" s="506"/>
      <c r="AO1405" s="507"/>
      <c r="AP1405" s="507"/>
      <c r="AQ1405" s="507"/>
      <c r="AR1405" s="507"/>
      <c r="AS1405" s="507"/>
      <c r="AT1405" s="507"/>
      <c r="AU1405" s="507"/>
      <c r="AV1405" s="225"/>
      <c r="AW1405" s="508"/>
      <c r="AX1405" s="225"/>
      <c r="AY1405" s="225"/>
      <c r="AZ1405" s="225"/>
      <c r="BA1405" s="225"/>
      <c r="BB1405" s="225"/>
      <c r="BC1405" s="56"/>
      <c r="BD1405" s="56"/>
      <c r="BE1405" s="56"/>
      <c r="BF1405" s="107" t="str">
        <f t="shared" si="1047"/>
        <v>https://www.google.com/search?tbm=isch&amp;q=Fortune%27s%20Osmanthus%20Osmanthus%20x%20fortunei</v>
      </c>
      <c r="BG1405" s="107" t="str">
        <f t="shared" si="1048"/>
        <v>F</v>
      </c>
      <c r="BH1405" s="254"/>
      <c r="BI1405" s="254"/>
    </row>
    <row r="1406" spans="1:61" customFormat="1" ht="15.75" x14ac:dyDescent="0.25">
      <c r="A1406" s="485">
        <v>3</v>
      </c>
      <c r="B1406" s="486" t="s">
        <v>291</v>
      </c>
      <c r="C1406" s="487"/>
      <c r="D1406" s="488" t="s">
        <v>298</v>
      </c>
      <c r="E1406" s="489">
        <v>25.95</v>
      </c>
      <c r="F1406" s="516" t="s">
        <v>293</v>
      </c>
      <c r="G1406" s="232">
        <v>0</v>
      </c>
      <c r="H1406" s="658" t="str">
        <f t="shared" ref="H1406:H1412" si="1078">IF(G1406=0,"",IF(F1406="Buy",IF(G1406=1,"plant","plants"),IF(F1406&gt;0.01,"warranty","Error")))</f>
        <v/>
      </c>
      <c r="I1406" s="490">
        <f t="shared" ref="I1406:I1412" si="1079">IF(H1406="free",0,IF(H1406="credit",((E1406*(F1406))*G1406*-1),IF(F1406="Buy",(E1406*G1406),((E1406*(1-F1406))*G1406))))</f>
        <v>0</v>
      </c>
      <c r="J1406" s="490">
        <f t="shared" ref="J1406:J1412" si="1080">IF(H1406="warranty",0,(I1406*(_xlfn.SINGLE(SalesTaxPercentage))))</f>
        <v>0</v>
      </c>
      <c r="K1406" s="695">
        <f t="shared" ref="K1406" si="1081">I1406+J1406</f>
        <v>0</v>
      </c>
      <c r="L1406" s="695"/>
      <c r="M1406" s="659" t="str">
        <f t="shared" ref="M1406:M1412" si="1082">IF(AND(G1406&gt;0,E1406=0),"WARNING - no PRICE inserted",IF(H1406="free"," FREE ~ no charge this plant",IF(H1406="credit",CONCATENATE(" -$",ROUND(K1406*(1-T2GDiscount)*-1,2)," CREDIT after discount"),IF(T2GDiscount=0,"",IF(G1406=0,"",IF(F1406="Buy",CONCATENATE(" $",ROUND(K1406*(1-T2GDiscount),2)," with ",(T2GDiscount*100),"% discount"),CONCATENATE(" $",ROUND(K1406*(1-T2GDiscount),2)," with ",((T2GDiscount*100+F1406*100)-(T2GDiscount*100*F1406)),IF(F1406&gt;0,"% discounts",IF(NoWarrantyDiscount&gt;0,"% discounts","% discount")))))))))</f>
        <v/>
      </c>
      <c r="N1406" s="660"/>
      <c r="O1406" s="233"/>
      <c r="P1406" s="233"/>
      <c r="Q1406" s="233"/>
      <c r="R1406" s="233"/>
      <c r="S1406" s="233"/>
      <c r="T1406" s="508">
        <f t="shared" si="1036"/>
        <v>0</v>
      </c>
      <c r="U1406" s="225">
        <f>IF(NOT(ISNUMBER(G1406)), "", VLOOKUP(A1406,'Discount Lookup'!D:E,2,FALSE)*G1406)</f>
        <v>0</v>
      </c>
      <c r="V1406" s="225">
        <f>IF(NOT(ISNUMBER(G1406)), "", VLOOKUP(A1406,'Discount Lookup'!G:H,2,FALSE)*G1406)</f>
        <v>0</v>
      </c>
      <c r="W1406" s="508">
        <f t="shared" si="1037"/>
        <v>0</v>
      </c>
      <c r="X1406" s="508">
        <f t="shared" si="1038"/>
        <v>0</v>
      </c>
      <c r="Y1406" s="509" t="b">
        <f t="shared" si="1039"/>
        <v>0</v>
      </c>
      <c r="Z1406" s="510">
        <f t="shared" si="1040"/>
        <v>0</v>
      </c>
      <c r="AA1406" s="511"/>
      <c r="AB1406" s="511" t="str">
        <f t="shared" si="1041"/>
        <v/>
      </c>
      <c r="AC1406" s="698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698"/>
      <c r="AE1406" s="631" t="str">
        <f t="shared" si="1042"/>
        <v/>
      </c>
      <c r="AF1406" s="699" t="str">
        <f t="shared" si="1043"/>
        <v/>
      </c>
      <c r="AG1406" s="699"/>
      <c r="AH1406" s="699"/>
      <c r="AI1406" s="512">
        <f>IF(H1406="credit",0,IF(AE1406="free",0,IF(AE1406="me",0,IF(G1406&gt;0,(VLOOKUP(A1406,'Discount Lookup'!J:K,2)*G1406),0))))</f>
        <v>0</v>
      </c>
      <c r="AJ1406" s="513" t="str">
        <f t="shared" ca="1" si="1044"/>
        <v/>
      </c>
      <c r="AK1406" s="700" t="str">
        <f t="shared" si="1045"/>
        <v/>
      </c>
      <c r="AL1406" s="700"/>
      <c r="AM1406" s="505" t="str">
        <f t="shared" si="1046"/>
        <v/>
      </c>
      <c r="AN1406" s="506"/>
      <c r="AO1406" s="507"/>
      <c r="AP1406" s="507"/>
      <c r="AQ1406" s="507"/>
      <c r="AR1406" s="507"/>
      <c r="AS1406" s="507"/>
      <c r="AT1406" s="507"/>
      <c r="AU1406" s="507"/>
      <c r="AV1406" s="225"/>
      <c r="AW1406" s="508"/>
      <c r="AX1406" s="225"/>
      <c r="AY1406" s="225"/>
      <c r="AZ1406" s="225"/>
      <c r="BA1406" s="225"/>
      <c r="BB1406" s="225"/>
      <c r="BC1406" s="56"/>
      <c r="BD1406" s="56"/>
      <c r="BE1406" s="56"/>
      <c r="BF1406" s="107" t="str">
        <f t="shared" si="1047"/>
        <v>https://www.google.com/search?tbm=isch&amp;q=3%20G1</v>
      </c>
      <c r="BG1406" s="107" t="str">
        <f t="shared" si="1048"/>
        <v>F</v>
      </c>
      <c r="BH1406" s="254"/>
      <c r="BI1406" s="254"/>
    </row>
    <row r="1407" spans="1:61" customFormat="1" ht="15.75" x14ac:dyDescent="0.25">
      <c r="A1407" s="485">
        <v>7</v>
      </c>
      <c r="B1407" s="486" t="s">
        <v>291</v>
      </c>
      <c r="C1407" s="487" t="s">
        <v>925</v>
      </c>
      <c r="D1407" s="488" t="s">
        <v>299</v>
      </c>
      <c r="E1407" s="489">
        <v>56.95</v>
      </c>
      <c r="F1407" s="516" t="s">
        <v>293</v>
      </c>
      <c r="G1407" s="232">
        <v>0</v>
      </c>
      <c r="H1407" s="658" t="str">
        <f t="shared" si="1078"/>
        <v/>
      </c>
      <c r="I1407" s="490">
        <f t="shared" si="1079"/>
        <v>0</v>
      </c>
      <c r="J1407" s="490">
        <f t="shared" si="1080"/>
        <v>0</v>
      </c>
      <c r="K1407" s="695">
        <f t="shared" ref="K1407" si="1083">I1407+J1407</f>
        <v>0</v>
      </c>
      <c r="L1407" s="695"/>
      <c r="M1407" s="659" t="str">
        <f t="shared" si="1082"/>
        <v/>
      </c>
      <c r="N1407" s="660"/>
      <c r="O1407" s="233"/>
      <c r="P1407" s="233"/>
      <c r="Q1407" s="233"/>
      <c r="R1407" s="233"/>
      <c r="S1407" s="233"/>
      <c r="T1407" s="508">
        <f t="shared" si="1036"/>
        <v>0</v>
      </c>
      <c r="U1407" s="225">
        <f>IF(NOT(ISNUMBER(G1407)), "", VLOOKUP(A1407,'Discount Lookup'!D:E,2,FALSE)*G1407)</f>
        <v>0</v>
      </c>
      <c r="V1407" s="225">
        <f>IF(NOT(ISNUMBER(G1407)), "", VLOOKUP(A1407,'Discount Lookup'!G:H,2,FALSE)*G1407)</f>
        <v>0</v>
      </c>
      <c r="W1407" s="508">
        <f t="shared" si="1037"/>
        <v>0</v>
      </c>
      <c r="X1407" s="508">
        <f t="shared" si="1038"/>
        <v>0</v>
      </c>
      <c r="Y1407" s="509" t="b">
        <f t="shared" si="1039"/>
        <v>0</v>
      </c>
      <c r="Z1407" s="510">
        <f t="shared" si="1040"/>
        <v>0</v>
      </c>
      <c r="AA1407" s="511"/>
      <c r="AB1407" s="511" t="str">
        <f t="shared" si="1041"/>
        <v/>
      </c>
      <c r="AC1407" s="698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698"/>
      <c r="AE1407" s="631" t="str">
        <f t="shared" si="1042"/>
        <v/>
      </c>
      <c r="AF1407" s="699" t="str">
        <f t="shared" si="1043"/>
        <v/>
      </c>
      <c r="AG1407" s="699"/>
      <c r="AH1407" s="699"/>
      <c r="AI1407" s="512">
        <f>IF(H1407="credit",0,IF(AE1407="free",0,IF(AE1407="me",0,IF(G1407&gt;0,(VLOOKUP(A1407,'Discount Lookup'!J:K,2)*G1407),0))))</f>
        <v>0</v>
      </c>
      <c r="AJ1407" s="513" t="str">
        <f t="shared" ca="1" si="1044"/>
        <v/>
      </c>
      <c r="AK1407" s="700" t="str">
        <f t="shared" si="1045"/>
        <v/>
      </c>
      <c r="AL1407" s="700"/>
      <c r="AM1407" s="505" t="str">
        <f t="shared" si="1046"/>
        <v/>
      </c>
      <c r="AN1407" s="506"/>
      <c r="AO1407" s="507"/>
      <c r="AP1407" s="507"/>
      <c r="AQ1407" s="507"/>
      <c r="AR1407" s="507"/>
      <c r="AS1407" s="507"/>
      <c r="AT1407" s="507"/>
      <c r="AU1407" s="507"/>
      <c r="AV1407" s="225"/>
      <c r="AW1407" s="508"/>
      <c r="AX1407" s="225"/>
      <c r="AY1407" s="225"/>
      <c r="AZ1407" s="225"/>
      <c r="BA1407" s="225"/>
      <c r="BB1407" s="225"/>
      <c r="BC1407" s="56"/>
      <c r="BD1407" s="56"/>
      <c r="BE1407" s="56"/>
      <c r="BF1407" s="107" t="str">
        <f t="shared" si="1047"/>
        <v>https://www.google.com/search?tbm=isch&amp;q=7%20G5</v>
      </c>
      <c r="BG1407" s="107" t="str">
        <f t="shared" si="1048"/>
        <v>F</v>
      </c>
      <c r="BH1407" s="254"/>
      <c r="BI1407" s="254"/>
    </row>
    <row r="1408" spans="1:61" customFormat="1" ht="15.75" x14ac:dyDescent="0.25">
      <c r="A1408" s="485">
        <v>7</v>
      </c>
      <c r="B1408" s="486" t="s">
        <v>291</v>
      </c>
      <c r="C1408" s="487"/>
      <c r="D1408" s="488" t="s">
        <v>298</v>
      </c>
      <c r="E1408" s="489">
        <v>62.95</v>
      </c>
      <c r="F1408" s="516" t="s">
        <v>293</v>
      </c>
      <c r="G1408" s="232">
        <v>0</v>
      </c>
      <c r="H1408" s="658" t="str">
        <f t="shared" si="1078"/>
        <v/>
      </c>
      <c r="I1408" s="490">
        <f t="shared" si="1079"/>
        <v>0</v>
      </c>
      <c r="J1408" s="490">
        <f t="shared" si="1080"/>
        <v>0</v>
      </c>
      <c r="K1408" s="695">
        <f t="shared" ref="K1408" si="1084">I1408+J1408</f>
        <v>0</v>
      </c>
      <c r="L1408" s="695"/>
      <c r="M1408" s="659" t="str">
        <f t="shared" si="1082"/>
        <v/>
      </c>
      <c r="N1408" s="660"/>
      <c r="O1408" s="233"/>
      <c r="P1408" s="233"/>
      <c r="Q1408" s="233"/>
      <c r="R1408" s="233"/>
      <c r="S1408" s="233"/>
      <c r="T1408" s="508">
        <f t="shared" si="1036"/>
        <v>0</v>
      </c>
      <c r="U1408" s="225">
        <f>IF(NOT(ISNUMBER(G1408)), "", VLOOKUP(A1408,'Discount Lookup'!D:E,2,FALSE)*G1408)</f>
        <v>0</v>
      </c>
      <c r="V1408" s="225">
        <f>IF(NOT(ISNUMBER(G1408)), "", VLOOKUP(A1408,'Discount Lookup'!G:H,2,FALSE)*G1408)</f>
        <v>0</v>
      </c>
      <c r="W1408" s="508">
        <f t="shared" si="1037"/>
        <v>0</v>
      </c>
      <c r="X1408" s="508">
        <f t="shared" si="1038"/>
        <v>0</v>
      </c>
      <c r="Y1408" s="509" t="b">
        <f t="shared" si="1039"/>
        <v>0</v>
      </c>
      <c r="Z1408" s="510">
        <f t="shared" si="1040"/>
        <v>0</v>
      </c>
      <c r="AA1408" s="511"/>
      <c r="AB1408" s="511" t="str">
        <f t="shared" si="1041"/>
        <v/>
      </c>
      <c r="AC1408" s="698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698"/>
      <c r="AE1408" s="631" t="str">
        <f t="shared" si="1042"/>
        <v/>
      </c>
      <c r="AF1408" s="699" t="str">
        <f t="shared" si="1043"/>
        <v/>
      </c>
      <c r="AG1408" s="699"/>
      <c r="AH1408" s="699"/>
      <c r="AI1408" s="512">
        <f>IF(H1408="credit",0,IF(AE1408="free",0,IF(AE1408="me",0,IF(G1408&gt;0,(VLOOKUP(A1408,'Discount Lookup'!J:K,2)*G1408),0))))</f>
        <v>0</v>
      </c>
      <c r="AJ1408" s="513" t="str">
        <f t="shared" ca="1" si="1044"/>
        <v/>
      </c>
      <c r="AK1408" s="700" t="str">
        <f t="shared" si="1045"/>
        <v/>
      </c>
      <c r="AL1408" s="700"/>
      <c r="AM1408" s="505" t="str">
        <f t="shared" si="1046"/>
        <v/>
      </c>
      <c r="AN1408" s="506"/>
      <c r="AO1408" s="507"/>
      <c r="AP1408" s="507"/>
      <c r="AQ1408" s="507"/>
      <c r="AR1408" s="507"/>
      <c r="AS1408" s="507"/>
      <c r="AT1408" s="507"/>
      <c r="AU1408" s="507"/>
      <c r="AV1408" s="225"/>
      <c r="AW1408" s="508"/>
      <c r="AX1408" s="225"/>
      <c r="AY1408" s="225"/>
      <c r="AZ1408" s="225"/>
      <c r="BA1408" s="225"/>
      <c r="BB1408" s="225"/>
      <c r="BC1408" s="56"/>
      <c r="BD1408" s="56"/>
      <c r="BE1408" s="56"/>
      <c r="BF1408" s="107" t="str">
        <f t="shared" si="1047"/>
        <v>https://www.google.com/search?tbm=isch&amp;q=7%20G1</v>
      </c>
      <c r="BG1408" s="107" t="str">
        <f t="shared" si="1048"/>
        <v>F</v>
      </c>
      <c r="BH1408" s="254"/>
      <c r="BI1408" s="254"/>
    </row>
    <row r="1409" spans="1:61" customFormat="1" ht="15.75" x14ac:dyDescent="0.25">
      <c r="A1409" s="485">
        <v>10</v>
      </c>
      <c r="B1409" s="486" t="s">
        <v>291</v>
      </c>
      <c r="C1409" s="487" t="s">
        <v>926</v>
      </c>
      <c r="D1409" s="488" t="s">
        <v>297</v>
      </c>
      <c r="E1409" s="489">
        <v>83.95</v>
      </c>
      <c r="F1409" s="516" t="s">
        <v>293</v>
      </c>
      <c r="G1409" s="232">
        <v>0</v>
      </c>
      <c r="H1409" s="658" t="str">
        <f t="shared" si="1078"/>
        <v/>
      </c>
      <c r="I1409" s="490">
        <f t="shared" si="1079"/>
        <v>0</v>
      </c>
      <c r="J1409" s="490">
        <f t="shared" si="1080"/>
        <v>0</v>
      </c>
      <c r="K1409" s="695">
        <f t="shared" ref="K1409" si="1085">I1409+J1409</f>
        <v>0</v>
      </c>
      <c r="L1409" s="695"/>
      <c r="M1409" s="659" t="str">
        <f t="shared" si="1082"/>
        <v/>
      </c>
      <c r="N1409" s="660"/>
      <c r="O1409" s="233"/>
      <c r="P1409" s="233"/>
      <c r="Q1409" s="233"/>
      <c r="R1409" s="233"/>
      <c r="S1409" s="233"/>
      <c r="T1409" s="508">
        <f t="shared" si="1036"/>
        <v>0</v>
      </c>
      <c r="U1409" s="225">
        <f>IF(NOT(ISNUMBER(G1409)), "", VLOOKUP(A1409,'Discount Lookup'!D:E,2,FALSE)*G1409)</f>
        <v>0</v>
      </c>
      <c r="V1409" s="225">
        <f>IF(NOT(ISNUMBER(G1409)), "", VLOOKUP(A1409,'Discount Lookup'!G:H,2,FALSE)*G1409)</f>
        <v>0</v>
      </c>
      <c r="W1409" s="508">
        <f t="shared" si="1037"/>
        <v>0</v>
      </c>
      <c r="X1409" s="508">
        <f t="shared" si="1038"/>
        <v>0</v>
      </c>
      <c r="Y1409" s="509" t="b">
        <f t="shared" si="1039"/>
        <v>0</v>
      </c>
      <c r="Z1409" s="510">
        <f t="shared" si="1040"/>
        <v>0</v>
      </c>
      <c r="AA1409" s="511"/>
      <c r="AB1409" s="511" t="str">
        <f t="shared" si="1041"/>
        <v/>
      </c>
      <c r="AC1409" s="698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698"/>
      <c r="AE1409" s="631" t="str">
        <f t="shared" si="1042"/>
        <v/>
      </c>
      <c r="AF1409" s="699" t="str">
        <f t="shared" si="1043"/>
        <v/>
      </c>
      <c r="AG1409" s="699"/>
      <c r="AH1409" s="699"/>
      <c r="AI1409" s="512">
        <f>IF(H1409="credit",0,IF(AE1409="free",0,IF(AE1409="me",0,IF(G1409&gt;0,(VLOOKUP(A1409,'Discount Lookup'!J:K,2)*G1409),0))))</f>
        <v>0</v>
      </c>
      <c r="AJ1409" s="513" t="str">
        <f t="shared" ca="1" si="1044"/>
        <v/>
      </c>
      <c r="AK1409" s="700" t="str">
        <f t="shared" si="1045"/>
        <v/>
      </c>
      <c r="AL1409" s="700"/>
      <c r="AM1409" s="505" t="str">
        <f t="shared" si="1046"/>
        <v/>
      </c>
      <c r="AN1409" s="506"/>
      <c r="AO1409" s="507"/>
      <c r="AP1409" s="507"/>
      <c r="AQ1409" s="507"/>
      <c r="AR1409" s="507"/>
      <c r="AS1409" s="507"/>
      <c r="AT1409" s="507"/>
      <c r="AU1409" s="507"/>
      <c r="AV1409" s="225"/>
      <c r="AW1409" s="508"/>
      <c r="AX1409" s="225"/>
      <c r="AY1409" s="225"/>
      <c r="AZ1409" s="225"/>
      <c r="BA1409" s="225"/>
      <c r="BB1409" s="225"/>
      <c r="BC1409" s="56"/>
      <c r="BD1409" s="56"/>
      <c r="BE1409" s="56"/>
      <c r="BF1409" s="107" t="str">
        <f t="shared" si="1047"/>
        <v>https://www.google.com/search?tbm=isch&amp;q=10%20G3</v>
      </c>
      <c r="BG1409" s="107" t="str">
        <f t="shared" si="1048"/>
        <v>F</v>
      </c>
      <c r="BH1409" s="254"/>
      <c r="BI1409" s="254"/>
    </row>
    <row r="1410" spans="1:61" customFormat="1" ht="15.75" x14ac:dyDescent="0.25">
      <c r="A1410" s="485">
        <v>15</v>
      </c>
      <c r="B1410" s="486" t="s">
        <v>291</v>
      </c>
      <c r="C1410" s="487" t="s">
        <v>1036</v>
      </c>
      <c r="D1410" s="488" t="s">
        <v>299</v>
      </c>
      <c r="E1410" s="489">
        <v>148.94999999999999</v>
      </c>
      <c r="F1410" s="516" t="s">
        <v>293</v>
      </c>
      <c r="G1410" s="232">
        <v>0</v>
      </c>
      <c r="H1410" s="658" t="str">
        <f t="shared" si="1078"/>
        <v/>
      </c>
      <c r="I1410" s="490">
        <f t="shared" si="1079"/>
        <v>0</v>
      </c>
      <c r="J1410" s="490">
        <f t="shared" si="1080"/>
        <v>0</v>
      </c>
      <c r="K1410" s="695">
        <f t="shared" ref="K1410" si="1086">I1410+J1410</f>
        <v>0</v>
      </c>
      <c r="L1410" s="695"/>
      <c r="M1410" s="659" t="str">
        <f t="shared" si="1082"/>
        <v/>
      </c>
      <c r="N1410" s="660"/>
      <c r="O1410" s="233"/>
      <c r="P1410" s="233"/>
      <c r="Q1410" s="233"/>
      <c r="R1410" s="233"/>
      <c r="S1410" s="233"/>
      <c r="T1410" s="508">
        <f t="shared" si="1036"/>
        <v>0</v>
      </c>
      <c r="U1410" s="225">
        <f>IF(NOT(ISNUMBER(G1410)), "", VLOOKUP(A1410,'Discount Lookup'!D:E,2,FALSE)*G1410)</f>
        <v>0</v>
      </c>
      <c r="V1410" s="225">
        <f>IF(NOT(ISNUMBER(G1410)), "", VLOOKUP(A1410,'Discount Lookup'!G:H,2,FALSE)*G1410)</f>
        <v>0</v>
      </c>
      <c r="W1410" s="508">
        <f t="shared" si="1037"/>
        <v>0</v>
      </c>
      <c r="X1410" s="508">
        <f t="shared" si="1038"/>
        <v>0</v>
      </c>
      <c r="Y1410" s="509" t="b">
        <f t="shared" si="1039"/>
        <v>0</v>
      </c>
      <c r="Z1410" s="510">
        <f t="shared" si="1040"/>
        <v>0</v>
      </c>
      <c r="AA1410" s="511"/>
      <c r="AB1410" s="511" t="str">
        <f t="shared" si="1041"/>
        <v/>
      </c>
      <c r="AC1410" s="698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698"/>
      <c r="AE1410" s="631" t="str">
        <f t="shared" si="1042"/>
        <v/>
      </c>
      <c r="AF1410" s="699" t="str">
        <f t="shared" si="1043"/>
        <v/>
      </c>
      <c r="AG1410" s="699"/>
      <c r="AH1410" s="699"/>
      <c r="AI1410" s="512">
        <f>IF(H1410="credit",0,IF(AE1410="free",0,IF(AE1410="me",0,IF(G1410&gt;0,(VLOOKUP(A1410,'Discount Lookup'!J:K,2)*G1410),0))))</f>
        <v>0</v>
      </c>
      <c r="AJ1410" s="513" t="str">
        <f t="shared" ca="1" si="1044"/>
        <v/>
      </c>
      <c r="AK1410" s="700" t="str">
        <f t="shared" si="1045"/>
        <v/>
      </c>
      <c r="AL1410" s="700"/>
      <c r="AM1410" s="505" t="str">
        <f t="shared" si="1046"/>
        <v/>
      </c>
      <c r="AN1410" s="506"/>
      <c r="AO1410" s="507"/>
      <c r="AP1410" s="507"/>
      <c r="AQ1410" s="507"/>
      <c r="AR1410" s="507"/>
      <c r="AS1410" s="507"/>
      <c r="AT1410" s="507"/>
      <c r="AU1410" s="507"/>
      <c r="AV1410" s="225"/>
      <c r="AW1410" s="508"/>
      <c r="AX1410" s="225"/>
      <c r="AY1410" s="225"/>
      <c r="AZ1410" s="225"/>
      <c r="BA1410" s="225"/>
      <c r="BB1410" s="225"/>
      <c r="BC1410" s="56"/>
      <c r="BD1410" s="56"/>
      <c r="BE1410" s="56"/>
      <c r="BF1410" s="107" t="str">
        <f t="shared" si="1047"/>
        <v>https://www.google.com/search?tbm=isch&amp;q=15%20G5</v>
      </c>
      <c r="BG1410" s="107" t="str">
        <f t="shared" si="1048"/>
        <v>F</v>
      </c>
      <c r="BH1410" s="254"/>
      <c r="BI1410" s="254"/>
    </row>
    <row r="1411" spans="1:61" customFormat="1" ht="15.75" x14ac:dyDescent="0.25">
      <c r="A1411" s="485">
        <v>15</v>
      </c>
      <c r="B1411" s="486" t="s">
        <v>291</v>
      </c>
      <c r="C1411" s="487" t="s">
        <v>3487</v>
      </c>
      <c r="D1411" s="488" t="s">
        <v>292</v>
      </c>
      <c r="E1411" s="489">
        <v>160.94999999999999</v>
      </c>
      <c r="F1411" s="516" t="s">
        <v>293</v>
      </c>
      <c r="G1411" s="232">
        <v>0</v>
      </c>
      <c r="H1411" s="658" t="str">
        <f t="shared" si="1078"/>
        <v/>
      </c>
      <c r="I1411" s="490">
        <f t="shared" si="1079"/>
        <v>0</v>
      </c>
      <c r="J1411" s="490">
        <f t="shared" si="1080"/>
        <v>0</v>
      </c>
      <c r="K1411" s="695">
        <f t="shared" ref="K1411" si="1087">I1411+J1411</f>
        <v>0</v>
      </c>
      <c r="L1411" s="695"/>
      <c r="M1411" s="659" t="str">
        <f t="shared" si="1082"/>
        <v/>
      </c>
      <c r="N1411" s="660"/>
      <c r="O1411" s="233"/>
      <c r="P1411" s="233"/>
      <c r="Q1411" s="233"/>
      <c r="R1411" s="233"/>
      <c r="S1411" s="233"/>
      <c r="T1411" s="508">
        <f t="shared" si="1036"/>
        <v>0</v>
      </c>
      <c r="U1411" s="225">
        <f>IF(NOT(ISNUMBER(G1411)), "", VLOOKUP(A1411,'Discount Lookup'!D:E,2,FALSE)*G1411)</f>
        <v>0</v>
      </c>
      <c r="V1411" s="225">
        <f>IF(NOT(ISNUMBER(G1411)), "", VLOOKUP(A1411,'Discount Lookup'!G:H,2,FALSE)*G1411)</f>
        <v>0</v>
      </c>
      <c r="W1411" s="508">
        <f t="shared" si="1037"/>
        <v>0</v>
      </c>
      <c r="X1411" s="508">
        <f t="shared" si="1038"/>
        <v>0</v>
      </c>
      <c r="Y1411" s="509" t="b">
        <f t="shared" si="1039"/>
        <v>0</v>
      </c>
      <c r="Z1411" s="510">
        <f t="shared" si="1040"/>
        <v>0</v>
      </c>
      <c r="AA1411" s="511"/>
      <c r="AB1411" s="511" t="str">
        <f t="shared" si="1041"/>
        <v/>
      </c>
      <c r="AC1411" s="698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698"/>
      <c r="AE1411" s="631" t="str">
        <f t="shared" si="1042"/>
        <v/>
      </c>
      <c r="AF1411" s="699" t="str">
        <f t="shared" si="1043"/>
        <v/>
      </c>
      <c r="AG1411" s="699"/>
      <c r="AH1411" s="699"/>
      <c r="AI1411" s="512">
        <f>IF(H1411="credit",0,IF(AE1411="free",0,IF(AE1411="me",0,IF(G1411&gt;0,(VLOOKUP(A1411,'Discount Lookup'!J:K,2)*G1411),0))))</f>
        <v>0</v>
      </c>
      <c r="AJ1411" s="513" t="str">
        <f t="shared" ca="1" si="1044"/>
        <v/>
      </c>
      <c r="AK1411" s="700" t="str">
        <f t="shared" si="1045"/>
        <v/>
      </c>
      <c r="AL1411" s="700"/>
      <c r="AM1411" s="505" t="str">
        <f t="shared" si="1046"/>
        <v/>
      </c>
      <c r="AN1411" s="506"/>
      <c r="AO1411" s="507"/>
      <c r="AP1411" s="507"/>
      <c r="AQ1411" s="507"/>
      <c r="AR1411" s="507"/>
      <c r="AS1411" s="507"/>
      <c r="AT1411" s="507"/>
      <c r="AU1411" s="507"/>
      <c r="AV1411" s="225"/>
      <c r="AW1411" s="508"/>
      <c r="AX1411" s="225"/>
      <c r="AY1411" s="225"/>
      <c r="AZ1411" s="225"/>
      <c r="BA1411" s="225"/>
      <c r="BB1411" s="225"/>
      <c r="BC1411" s="56"/>
      <c r="BD1411" s="56"/>
      <c r="BE1411" s="56"/>
      <c r="BF1411" s="107" t="str">
        <f t="shared" si="1047"/>
        <v>https://www.google.com/search?tbm=isch&amp;q=15%20G4</v>
      </c>
      <c r="BG1411" s="107" t="str">
        <f t="shared" si="1048"/>
        <v>F</v>
      </c>
      <c r="BH1411" s="254"/>
      <c r="BI1411" s="254"/>
    </row>
    <row r="1412" spans="1:61" customFormat="1" ht="15.75" x14ac:dyDescent="0.25">
      <c r="A1412" s="485">
        <v>15</v>
      </c>
      <c r="B1412" s="486" t="s">
        <v>291</v>
      </c>
      <c r="C1412" s="487" t="s">
        <v>4887</v>
      </c>
      <c r="D1412" s="488" t="s">
        <v>300</v>
      </c>
      <c r="E1412" s="489">
        <v>205.95</v>
      </c>
      <c r="F1412" s="516" t="s">
        <v>293</v>
      </c>
      <c r="G1412" s="232">
        <v>0</v>
      </c>
      <c r="H1412" s="658" t="str">
        <f t="shared" si="1078"/>
        <v/>
      </c>
      <c r="I1412" s="490">
        <f t="shared" si="1079"/>
        <v>0</v>
      </c>
      <c r="J1412" s="490">
        <f t="shared" si="1080"/>
        <v>0</v>
      </c>
      <c r="K1412" s="695">
        <f t="shared" ref="K1412" si="1088">I1412+J1412</f>
        <v>0</v>
      </c>
      <c r="L1412" s="695"/>
      <c r="M1412" s="659" t="str">
        <f t="shared" si="1082"/>
        <v/>
      </c>
      <c r="N1412" s="660"/>
      <c r="O1412" s="233"/>
      <c r="P1412" s="233"/>
      <c r="Q1412" s="233"/>
      <c r="R1412" s="233"/>
      <c r="S1412" s="233"/>
      <c r="T1412" s="508">
        <f t="shared" si="1036"/>
        <v>0</v>
      </c>
      <c r="U1412" s="225">
        <f>IF(NOT(ISNUMBER(G1412)), "", VLOOKUP(A1412,'Discount Lookup'!D:E,2,FALSE)*G1412)</f>
        <v>0</v>
      </c>
      <c r="V1412" s="225">
        <f>IF(NOT(ISNUMBER(G1412)), "", VLOOKUP(A1412,'Discount Lookup'!G:H,2,FALSE)*G1412)</f>
        <v>0</v>
      </c>
      <c r="W1412" s="508">
        <f t="shared" si="1037"/>
        <v>0</v>
      </c>
      <c r="X1412" s="508">
        <f t="shared" si="1038"/>
        <v>0</v>
      </c>
      <c r="Y1412" s="509" t="b">
        <f t="shared" si="1039"/>
        <v>0</v>
      </c>
      <c r="Z1412" s="510">
        <f t="shared" si="1040"/>
        <v>0</v>
      </c>
      <c r="AA1412" s="511"/>
      <c r="AB1412" s="511" t="str">
        <f t="shared" si="1041"/>
        <v/>
      </c>
      <c r="AC1412" s="698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698"/>
      <c r="AE1412" s="631" t="str">
        <f t="shared" si="1042"/>
        <v/>
      </c>
      <c r="AF1412" s="699" t="str">
        <f t="shared" si="1043"/>
        <v/>
      </c>
      <c r="AG1412" s="699"/>
      <c r="AH1412" s="699"/>
      <c r="AI1412" s="512">
        <f>IF(H1412="credit",0,IF(AE1412="free",0,IF(AE1412="me",0,IF(G1412&gt;0,(VLOOKUP(A1412,'Discount Lookup'!J:K,2)*G1412),0))))</f>
        <v>0</v>
      </c>
      <c r="AJ1412" s="513" t="str">
        <f t="shared" ca="1" si="1044"/>
        <v/>
      </c>
      <c r="AK1412" s="700" t="str">
        <f t="shared" si="1045"/>
        <v/>
      </c>
      <c r="AL1412" s="700"/>
      <c r="AM1412" s="505" t="str">
        <f t="shared" si="1046"/>
        <v/>
      </c>
      <c r="AN1412" s="506"/>
      <c r="AO1412" s="507"/>
      <c r="AP1412" s="507"/>
      <c r="AQ1412" s="507"/>
      <c r="AR1412" s="507"/>
      <c r="AS1412" s="507"/>
      <c r="AT1412" s="507"/>
      <c r="AU1412" s="507"/>
      <c r="AV1412" s="225"/>
      <c r="AW1412" s="508"/>
      <c r="AX1412" s="225"/>
      <c r="AY1412" s="225"/>
      <c r="AZ1412" s="225"/>
      <c r="BA1412" s="225"/>
      <c r="BB1412" s="225"/>
      <c r="BC1412" s="56"/>
      <c r="BD1412" s="56"/>
      <c r="BE1412" s="56"/>
      <c r="BF1412" s="107" t="str">
        <f t="shared" si="1047"/>
        <v>https://www.google.com/search?tbm=isch&amp;q=15%20G6</v>
      </c>
      <c r="BG1412" s="107" t="str">
        <f t="shared" si="1048"/>
        <v>F</v>
      </c>
      <c r="BH1412" s="254"/>
      <c r="BI1412" s="254"/>
    </row>
    <row r="1413" spans="1:61" customFormat="1" ht="16.5" thickBot="1" x14ac:dyDescent="0.3">
      <c r="A1413" s="522" t="s">
        <v>2138</v>
      </c>
      <c r="B1413" s="491"/>
      <c r="C1413" s="675"/>
      <c r="D1413" s="491"/>
      <c r="E1413" s="491"/>
      <c r="F1413" s="492"/>
      <c r="G1413" s="493"/>
      <c r="H1413" s="491"/>
      <c r="I1413" s="234"/>
      <c r="J1413" s="234"/>
      <c r="K1413" s="494"/>
      <c r="L1413" s="543"/>
      <c r="M1413" s="561"/>
      <c r="N1413" s="495"/>
      <c r="O1413" s="496"/>
      <c r="P1413" s="497"/>
      <c r="Q1413" s="495"/>
      <c r="R1413" s="495"/>
      <c r="S1413" s="277"/>
      <c r="T1413" s="508">
        <f t="shared" si="1036"/>
        <v>0</v>
      </c>
      <c r="U1413" s="225" t="str">
        <f>IF(NOT(ISNUMBER(G1413)), "", VLOOKUP(A1413,'Discount Lookup'!D:E,2,FALSE)*G1413)</f>
        <v/>
      </c>
      <c r="V1413" s="225" t="str">
        <f>IF(NOT(ISNUMBER(G1413)), "", VLOOKUP(A1413,'Discount Lookup'!G:H,2,FALSE)*G1413)</f>
        <v/>
      </c>
      <c r="W1413" s="508">
        <f t="shared" si="1037"/>
        <v>0</v>
      </c>
      <c r="X1413" s="508">
        <f t="shared" si="1038"/>
        <v>0</v>
      </c>
      <c r="Y1413" s="509" t="b">
        <f t="shared" si="1039"/>
        <v>0</v>
      </c>
      <c r="Z1413" s="510">
        <f t="shared" si="1040"/>
        <v>0</v>
      </c>
      <c r="AA1413" s="511"/>
      <c r="AB1413" s="511" t="str">
        <f t="shared" si="1041"/>
        <v/>
      </c>
      <c r="AC1413" s="698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698"/>
      <c r="AE1413" s="631" t="str">
        <f t="shared" si="1042"/>
        <v/>
      </c>
      <c r="AF1413" s="699" t="str">
        <f t="shared" si="1043"/>
        <v/>
      </c>
      <c r="AG1413" s="699"/>
      <c r="AH1413" s="699"/>
      <c r="AI1413" s="512">
        <f>IF(H1413="credit",0,IF(AE1413="free",0,IF(AE1413="me",0,IF(G1413&gt;0,(VLOOKUP(A1413,'Discount Lookup'!J:K,2)*G1413),0))))</f>
        <v>0</v>
      </c>
      <c r="AJ1413" s="513" t="str">
        <f t="shared" ca="1" si="1044"/>
        <v/>
      </c>
      <c r="AK1413" s="700" t="str">
        <f t="shared" si="1045"/>
        <v/>
      </c>
      <c r="AL1413" s="700"/>
      <c r="AM1413" s="505" t="str">
        <f t="shared" si="1046"/>
        <v/>
      </c>
      <c r="AN1413" s="506"/>
      <c r="AO1413" s="507"/>
      <c r="AP1413" s="507"/>
      <c r="AQ1413" s="507"/>
      <c r="AR1413" s="507"/>
      <c r="AS1413" s="507"/>
      <c r="AT1413" s="507"/>
      <c r="AU1413" s="507"/>
      <c r="AV1413" s="225"/>
      <c r="AW1413" s="508"/>
      <c r="AX1413" s="225"/>
      <c r="AY1413" s="225"/>
      <c r="AZ1413" s="225"/>
      <c r="BA1413" s="225"/>
      <c r="BB1413" s="225"/>
      <c r="BC1413" s="56"/>
      <c r="BD1413" s="56"/>
      <c r="BE1413" s="56"/>
      <c r="BF1413" s="107" t="str">
        <f t="shared" si="1047"/>
        <v>https://www.google.com/search?tbm=isch&amp;q=Fortune%27s%20is%20very%20aromatic%20in%20late%20summer.%20Toothed%20foliage.%20Drought%20and%20shade%20tolerant%20</v>
      </c>
      <c r="BG1413" s="107" t="str">
        <f t="shared" si="1048"/>
        <v>F</v>
      </c>
      <c r="BH1413" s="254"/>
      <c r="BI1413" s="254"/>
    </row>
    <row r="1414" spans="1:61" customFormat="1" ht="18" x14ac:dyDescent="0.25">
      <c r="A1414" s="523" t="s">
        <v>927</v>
      </c>
      <c r="B1414" s="235"/>
      <c r="C1414" s="676"/>
      <c r="D1414" s="255" t="s">
        <v>928</v>
      </c>
      <c r="E1414" s="236"/>
      <c r="F1414" s="236"/>
      <c r="G1414" s="236"/>
      <c r="H1414" s="582" t="s">
        <v>471</v>
      </c>
      <c r="I1414" s="498" t="s">
        <v>654</v>
      </c>
      <c r="J1414" s="237"/>
      <c r="K1414" s="237"/>
      <c r="L1414" s="274"/>
      <c r="M1414" s="668" t="s">
        <v>4975</v>
      </c>
      <c r="N1414" s="681" t="str">
        <f>IF(AND(ISTEXT($A1414), ISERROR($A1414+0)), HYPERLINK($BF1414, "Images"), "")</f>
        <v>Images</v>
      </c>
      <c r="O1414" s="663" t="s">
        <v>4967</v>
      </c>
      <c r="P1414" s="253"/>
      <c r="Q1414" s="238"/>
      <c r="R1414" s="239"/>
      <c r="S1414" s="275"/>
      <c r="T1414" s="508">
        <f t="shared" si="1036"/>
        <v>0</v>
      </c>
      <c r="U1414" s="225" t="str">
        <f>IF(NOT(ISNUMBER(G1414)), "", VLOOKUP(A1414,'Discount Lookup'!D:E,2,FALSE)*G1414)</f>
        <v/>
      </c>
      <c r="V1414" s="225" t="str">
        <f>IF(NOT(ISNUMBER(G1414)), "", VLOOKUP(A1414,'Discount Lookup'!G:H,2,FALSE)*G1414)</f>
        <v/>
      </c>
      <c r="W1414" s="508">
        <f t="shared" si="1037"/>
        <v>0</v>
      </c>
      <c r="X1414" s="508" t="str">
        <f t="shared" si="1038"/>
        <v>White bloom</v>
      </c>
      <c r="Y1414" s="509" t="b">
        <f t="shared" si="1039"/>
        <v>0</v>
      </c>
      <c r="Z1414" s="510">
        <f t="shared" si="1040"/>
        <v>0</v>
      </c>
      <c r="AA1414" s="511"/>
      <c r="AB1414" s="511" t="str">
        <f t="shared" si="1041"/>
        <v/>
      </c>
      <c r="AC1414" s="698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698"/>
      <c r="AE1414" s="631" t="str">
        <f t="shared" si="1042"/>
        <v/>
      </c>
      <c r="AF1414" s="699" t="str">
        <f t="shared" si="1043"/>
        <v/>
      </c>
      <c r="AG1414" s="699"/>
      <c r="AH1414" s="699"/>
      <c r="AI1414" s="512">
        <f>IF(H1414="credit",0,IF(AE1414="free",0,IF(AE1414="me",0,IF(G1414&gt;0,(VLOOKUP(A1414,'Discount Lookup'!J:K,2)*G1414),0))))</f>
        <v>0</v>
      </c>
      <c r="AJ1414" s="513" t="str">
        <f t="shared" ca="1" si="1044"/>
        <v/>
      </c>
      <c r="AK1414" s="700" t="str">
        <f t="shared" si="1045"/>
        <v/>
      </c>
      <c r="AL1414" s="700"/>
      <c r="AM1414" s="505" t="str">
        <f t="shared" si="1046"/>
        <v/>
      </c>
      <c r="AN1414" s="506"/>
      <c r="AO1414" s="507"/>
      <c r="AP1414" s="507"/>
      <c r="AQ1414" s="507"/>
      <c r="AR1414" s="507"/>
      <c r="AS1414" s="507"/>
      <c r="AT1414" s="507"/>
      <c r="AU1414" s="507"/>
      <c r="AV1414" s="225"/>
      <c r="AW1414" s="508"/>
      <c r="AX1414" s="225"/>
      <c r="AY1414" s="225"/>
      <c r="AZ1414" s="225"/>
      <c r="BA1414" s="225"/>
      <c r="BB1414" s="225"/>
      <c r="BC1414" s="56"/>
      <c r="BD1414" s="56"/>
      <c r="BE1414" s="56"/>
      <c r="BF1414" s="107" t="str">
        <f t="shared" si="1047"/>
        <v>https://www.google.com/search?tbm=isch&amp;q=Fragrant%20Fountain%20Japanese%20Snowbell%20Styrax%20japonicus%20%27Fragrant%20Fountain%27%20PP%2319664</v>
      </c>
      <c r="BG1414" s="107" t="str">
        <f t="shared" si="1048"/>
        <v>F</v>
      </c>
      <c r="BH1414" s="254"/>
      <c r="BI1414" s="254"/>
    </row>
    <row r="1415" spans="1:61" customFormat="1" ht="15.75" x14ac:dyDescent="0.25">
      <c r="A1415" s="276">
        <v>7</v>
      </c>
      <c r="B1415" s="240" t="s">
        <v>291</v>
      </c>
      <c r="C1415" s="241" t="s">
        <v>3488</v>
      </c>
      <c r="D1415" s="242" t="s">
        <v>292</v>
      </c>
      <c r="E1415" s="243">
        <v>160.94999999999999</v>
      </c>
      <c r="F1415" s="517" t="s">
        <v>293</v>
      </c>
      <c r="G1415" s="232">
        <v>0</v>
      </c>
      <c r="H1415" s="661" t="str">
        <f>IF(G1415=0,"",IF(F1415="Buy",IF(G1415=1,"plant","plants"),IF(F1415&gt;0.01,"warranty","Error")))</f>
        <v/>
      </c>
      <c r="I1415" s="244">
        <f>IF(H1415="free",0,IF(H1415="credit",((E1415*(F1415))*G1415*-1),IF(F1415="Buy",(E1415*G1415),((E1415*(1-F1415))*G1415))))</f>
        <v>0</v>
      </c>
      <c r="J1415" s="244">
        <f>IF(H1415="warranty",0,(I1415*(_xlfn.SINGLE(SalesTaxPercentage))))</f>
        <v>0</v>
      </c>
      <c r="K1415" s="696">
        <f t="shared" ref="K1415" si="1089">I1415+J1415</f>
        <v>0</v>
      </c>
      <c r="L1415" s="696"/>
      <c r="M1415" s="659" t="str">
        <f>IF(AND(G1415&gt;0,E1415=0),"WARNING - no PRICE inserted",IF(H1415="free"," FREE ~ no charge this plant",IF(H1415="credit",CONCATENATE(" -$",ROUND(K1415*(1-T2GDiscount)*-1,2)," CREDIT after discount"),IF(T2GDiscount=0,"",IF(G1415=0,"",IF(F1415="Buy",CONCATENATE(" $",ROUND(K1415*(1-T2GDiscount),2)," with ",(T2GDiscount*100),"% discount"),CONCATENATE(" $",ROUND(K1415*(1-T2GDiscount),2)," with ",((T2GDiscount*100+F1415*100)-(T2GDiscount*100*F1415)),IF(F1415&gt;0,"% discounts",IF(NoWarrantyDiscount&gt;0,"% discounts","% discount")))))))))</f>
        <v/>
      </c>
      <c r="N1415" s="660"/>
      <c r="O1415" s="233"/>
      <c r="P1415" s="233"/>
      <c r="Q1415" s="233"/>
      <c r="R1415" s="233"/>
      <c r="S1415" s="233"/>
      <c r="T1415" s="508">
        <f t="shared" si="1036"/>
        <v>0</v>
      </c>
      <c r="U1415" s="225">
        <f>IF(NOT(ISNUMBER(G1415)), "", VLOOKUP(A1415,'Discount Lookup'!D:E,2,FALSE)*G1415)</f>
        <v>0</v>
      </c>
      <c r="V1415" s="225">
        <f>IF(NOT(ISNUMBER(G1415)), "", VLOOKUP(A1415,'Discount Lookup'!G:H,2,FALSE)*G1415)</f>
        <v>0</v>
      </c>
      <c r="W1415" s="508">
        <f t="shared" si="1037"/>
        <v>0</v>
      </c>
      <c r="X1415" s="508">
        <f t="shared" si="1038"/>
        <v>0</v>
      </c>
      <c r="Y1415" s="509" t="b">
        <f t="shared" si="1039"/>
        <v>0</v>
      </c>
      <c r="Z1415" s="510">
        <f t="shared" si="1040"/>
        <v>0</v>
      </c>
      <c r="AA1415" s="511"/>
      <c r="AB1415" s="511" t="str">
        <f t="shared" si="1041"/>
        <v/>
      </c>
      <c r="AC1415" s="698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698"/>
      <c r="AE1415" s="631" t="str">
        <f t="shared" si="1042"/>
        <v/>
      </c>
      <c r="AF1415" s="699" t="str">
        <f t="shared" si="1043"/>
        <v/>
      </c>
      <c r="AG1415" s="699"/>
      <c r="AH1415" s="699"/>
      <c r="AI1415" s="512">
        <f>IF(H1415="credit",0,IF(AE1415="free",0,IF(AE1415="me",0,IF(G1415&gt;0,(VLOOKUP(A1415,'Discount Lookup'!J:K,2)*G1415),0))))</f>
        <v>0</v>
      </c>
      <c r="AJ1415" s="513" t="str">
        <f t="shared" ca="1" si="1044"/>
        <v/>
      </c>
      <c r="AK1415" s="700" t="str">
        <f t="shared" si="1045"/>
        <v/>
      </c>
      <c r="AL1415" s="700"/>
      <c r="AM1415" s="505" t="str">
        <f t="shared" si="1046"/>
        <v/>
      </c>
      <c r="AN1415" s="506"/>
      <c r="AO1415" s="507"/>
      <c r="AP1415" s="507"/>
      <c r="AQ1415" s="507"/>
      <c r="AR1415" s="507"/>
      <c r="AS1415" s="507"/>
      <c r="AT1415" s="507"/>
      <c r="AU1415" s="507"/>
      <c r="AV1415" s="225"/>
      <c r="AW1415" s="508"/>
      <c r="AX1415" s="225"/>
      <c r="AY1415" s="225"/>
      <c r="AZ1415" s="225"/>
      <c r="BA1415" s="225"/>
      <c r="BB1415" s="225"/>
      <c r="BC1415" s="56"/>
      <c r="BD1415" s="56"/>
      <c r="BE1415" s="56"/>
      <c r="BF1415" s="107" t="str">
        <f t="shared" si="1047"/>
        <v>https://www.google.com/search?tbm=isch&amp;q=7%20G4</v>
      </c>
      <c r="BG1415" s="107" t="str">
        <f t="shared" si="1048"/>
        <v>F</v>
      </c>
      <c r="BH1415" s="254"/>
      <c r="BI1415" s="254"/>
    </row>
    <row r="1416" spans="1:61" customFormat="1" ht="15.75" x14ac:dyDescent="0.25">
      <c r="A1416" s="276">
        <v>10</v>
      </c>
      <c r="B1416" s="240" t="s">
        <v>291</v>
      </c>
      <c r="C1416" s="241" t="s">
        <v>3489</v>
      </c>
      <c r="D1416" s="242" t="s">
        <v>292</v>
      </c>
      <c r="E1416" s="243">
        <v>192.95</v>
      </c>
      <c r="F1416" s="517" t="s">
        <v>293</v>
      </c>
      <c r="G1416" s="232">
        <v>0</v>
      </c>
      <c r="H1416" s="661" t="str">
        <f>IF(G1416=0,"",IF(F1416="Buy",IF(G1416=1,"plant","plants"),IF(F1416&gt;0.01,"warranty","Error")))</f>
        <v/>
      </c>
      <c r="I1416" s="244">
        <f>IF(H1416="free",0,IF(H1416="credit",((E1416*(F1416))*G1416*-1),IF(F1416="Buy",(E1416*G1416),((E1416*(1-F1416))*G1416))))</f>
        <v>0</v>
      </c>
      <c r="J1416" s="244">
        <f>IF(H1416="warranty",0,(I1416*(_xlfn.SINGLE(SalesTaxPercentage))))</f>
        <v>0</v>
      </c>
      <c r="K1416" s="696">
        <f t="shared" ref="K1416" si="1090">I1416+J1416</f>
        <v>0</v>
      </c>
      <c r="L1416" s="696"/>
      <c r="M1416" s="659" t="str">
        <f>IF(AND(G1416&gt;0,E1416=0),"WARNING - no PRICE inserted",IF(H1416="free"," FREE ~ no charge this plant",IF(H1416="credit",CONCATENATE(" -$",ROUND(K1416*(1-T2GDiscount)*-1,2)," CREDIT after discount"),IF(T2GDiscount=0,"",IF(G1416=0,"",IF(F1416="Buy",CONCATENATE(" $",ROUND(K1416*(1-T2GDiscount),2)," with ",(T2GDiscount*100),"% discount"),CONCATENATE(" $",ROUND(K1416*(1-T2GDiscount),2)," with ",((T2GDiscount*100+F1416*100)-(T2GDiscount*100*F1416)),IF(F1416&gt;0,"% discounts",IF(NoWarrantyDiscount&gt;0,"% discounts","% discount")))))))))</f>
        <v/>
      </c>
      <c r="N1416" s="660"/>
      <c r="O1416" s="233"/>
      <c r="P1416" s="233"/>
      <c r="Q1416" s="233"/>
      <c r="R1416" s="233"/>
      <c r="S1416" s="233"/>
      <c r="T1416" s="508">
        <f t="shared" si="1036"/>
        <v>0</v>
      </c>
      <c r="U1416" s="225">
        <f>IF(NOT(ISNUMBER(G1416)), "", VLOOKUP(A1416,'Discount Lookup'!D:E,2,FALSE)*G1416)</f>
        <v>0</v>
      </c>
      <c r="V1416" s="225">
        <f>IF(NOT(ISNUMBER(G1416)), "", VLOOKUP(A1416,'Discount Lookup'!G:H,2,FALSE)*G1416)</f>
        <v>0</v>
      </c>
      <c r="W1416" s="508">
        <f t="shared" si="1037"/>
        <v>0</v>
      </c>
      <c r="X1416" s="508">
        <f t="shared" si="1038"/>
        <v>0</v>
      </c>
      <c r="Y1416" s="509" t="b">
        <f t="shared" si="1039"/>
        <v>0</v>
      </c>
      <c r="Z1416" s="510">
        <f t="shared" si="1040"/>
        <v>0</v>
      </c>
      <c r="AA1416" s="511"/>
      <c r="AB1416" s="511" t="str">
        <f t="shared" si="1041"/>
        <v/>
      </c>
      <c r="AC1416" s="698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698"/>
      <c r="AE1416" s="631" t="str">
        <f t="shared" si="1042"/>
        <v/>
      </c>
      <c r="AF1416" s="699" t="str">
        <f t="shared" si="1043"/>
        <v/>
      </c>
      <c r="AG1416" s="699"/>
      <c r="AH1416" s="699"/>
      <c r="AI1416" s="512">
        <f>IF(H1416="credit",0,IF(AE1416="free",0,IF(AE1416="me",0,IF(G1416&gt;0,(VLOOKUP(A1416,'Discount Lookup'!J:K,2)*G1416),0))))</f>
        <v>0</v>
      </c>
      <c r="AJ1416" s="513" t="str">
        <f t="shared" ca="1" si="1044"/>
        <v/>
      </c>
      <c r="AK1416" s="700" t="str">
        <f t="shared" si="1045"/>
        <v/>
      </c>
      <c r="AL1416" s="700"/>
      <c r="AM1416" s="505" t="str">
        <f t="shared" si="1046"/>
        <v/>
      </c>
      <c r="AN1416" s="506"/>
      <c r="AO1416" s="507"/>
      <c r="AP1416" s="507"/>
      <c r="AQ1416" s="507"/>
      <c r="AR1416" s="507"/>
      <c r="AS1416" s="507"/>
      <c r="AT1416" s="507"/>
      <c r="AU1416" s="507"/>
      <c r="AV1416" s="225"/>
      <c r="AW1416" s="508"/>
      <c r="AX1416" s="225"/>
      <c r="AY1416" s="225"/>
      <c r="AZ1416" s="225"/>
      <c r="BA1416" s="225"/>
      <c r="BB1416" s="225"/>
      <c r="BC1416" s="56"/>
      <c r="BD1416" s="56"/>
      <c r="BE1416" s="56"/>
      <c r="BF1416" s="107" t="str">
        <f t="shared" si="1047"/>
        <v>https://www.google.com/search?tbm=isch&amp;q=10%20G4</v>
      </c>
      <c r="BG1416" s="107" t="str">
        <f t="shared" si="1048"/>
        <v>F</v>
      </c>
      <c r="BH1416" s="254"/>
      <c r="BI1416" s="254"/>
    </row>
    <row r="1417" spans="1:61" customFormat="1" ht="17.25" thickBot="1" x14ac:dyDescent="0.3">
      <c r="A1417" s="673" t="s">
        <v>5120</v>
      </c>
      <c r="B1417" s="245"/>
      <c r="C1417" s="677"/>
      <c r="D1417" s="499"/>
      <c r="E1417" s="499"/>
      <c r="F1417" s="500"/>
      <c r="G1417" s="501"/>
      <c r="H1417" s="502"/>
      <c r="I1417" s="246"/>
      <c r="J1417" s="247"/>
      <c r="K1417" s="503"/>
      <c r="L1417" s="544"/>
      <c r="M1417" s="544"/>
      <c r="N1417" s="500"/>
      <c r="O1417" s="500"/>
      <c r="P1417" s="500"/>
      <c r="Q1417" s="500"/>
      <c r="R1417" s="500"/>
      <c r="S1417" s="669" t="s">
        <v>4980</v>
      </c>
      <c r="T1417" s="508">
        <f t="shared" si="1036"/>
        <v>0</v>
      </c>
      <c r="U1417" s="225" t="str">
        <f>IF(NOT(ISNUMBER(G1417)), "", VLOOKUP(A1417,'Discount Lookup'!D:E,2,FALSE)*G1417)</f>
        <v/>
      </c>
      <c r="V1417" s="225" t="str">
        <f>IF(NOT(ISNUMBER(G1417)), "", VLOOKUP(A1417,'Discount Lookup'!G:H,2,FALSE)*G1417)</f>
        <v/>
      </c>
      <c r="W1417" s="508">
        <f t="shared" si="1037"/>
        <v>0</v>
      </c>
      <c r="X1417" s="508">
        <f t="shared" si="1038"/>
        <v>0</v>
      </c>
      <c r="Y1417" s="509" t="b">
        <f t="shared" si="1039"/>
        <v>0</v>
      </c>
      <c r="Z1417" s="510">
        <f t="shared" si="1040"/>
        <v>0</v>
      </c>
      <c r="AA1417" s="511"/>
      <c r="AB1417" s="511" t="str">
        <f t="shared" si="1041"/>
        <v/>
      </c>
      <c r="AC1417" s="698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698"/>
      <c r="AE1417" s="631" t="str">
        <f t="shared" si="1042"/>
        <v/>
      </c>
      <c r="AF1417" s="699" t="str">
        <f t="shared" si="1043"/>
        <v/>
      </c>
      <c r="AG1417" s="699"/>
      <c r="AH1417" s="699"/>
      <c r="AI1417" s="512">
        <f>IF(H1417="credit",0,IF(AE1417="free",0,IF(AE1417="me",0,IF(G1417&gt;0,(VLOOKUP(A1417,'Discount Lookup'!J:K,2)*G1417),0))))</f>
        <v>0</v>
      </c>
      <c r="AJ1417" s="513" t="str">
        <f t="shared" ca="1" si="1044"/>
        <v/>
      </c>
      <c r="AK1417" s="700" t="str">
        <f t="shared" si="1045"/>
        <v/>
      </c>
      <c r="AL1417" s="700"/>
      <c r="AM1417" s="505" t="str">
        <f t="shared" si="1046"/>
        <v/>
      </c>
      <c r="AN1417" s="506"/>
      <c r="AO1417" s="507"/>
      <c r="AP1417" s="507"/>
      <c r="AQ1417" s="507"/>
      <c r="AR1417" s="507"/>
      <c r="AS1417" s="507"/>
      <c r="AT1417" s="507"/>
      <c r="AU1417" s="507"/>
      <c r="AV1417" s="225"/>
      <c r="AW1417" s="508"/>
      <c r="AX1417" s="225"/>
      <c r="AY1417" s="225"/>
      <c r="AZ1417" s="225"/>
      <c r="BA1417" s="225"/>
      <c r="BB1417" s="225"/>
      <c r="BC1417" s="56"/>
      <c r="BD1417" s="56"/>
      <c r="BE1417" s="56"/>
      <c r="BF1417" s="107" t="str">
        <f t="shared" si="1047"/>
        <v>https://www.google.com/search?tbm=isch&amp;q=moist%20sites%F0%9F%92%A7GOOD%2C%20Fragrant%20Fountain%20has%20cascading%20fragrant%20blooms%20and%20graceful%20weeping%20branches.%20Foliage%20is%20Deep%20Green%2C%20Yellow%20in%20fall%20</v>
      </c>
      <c r="BG1417" s="107" t="str">
        <f t="shared" si="1048"/>
        <v>m</v>
      </c>
      <c r="BH1417" s="254"/>
      <c r="BI1417" s="254"/>
    </row>
    <row r="1418" spans="1:61" customFormat="1" ht="18" x14ac:dyDescent="0.25">
      <c r="A1418" s="521" t="s">
        <v>929</v>
      </c>
      <c r="B1418" s="477"/>
      <c r="C1418" s="674"/>
      <c r="D1418" s="478" t="s">
        <v>930</v>
      </c>
      <c r="E1418" s="479"/>
      <c r="F1418" s="479"/>
      <c r="G1418" s="479"/>
      <c r="H1418" s="582" t="s">
        <v>356</v>
      </c>
      <c r="I1418" s="480" t="s">
        <v>654</v>
      </c>
      <c r="J1418" s="479"/>
      <c r="K1418" s="479"/>
      <c r="L1418" s="560"/>
      <c r="M1418" s="666" t="s">
        <v>4966</v>
      </c>
      <c r="N1418" s="680" t="str">
        <f>IF(AND(ISTEXT($A1418), ISERROR($A1418+0)), HYPERLINK($BF1418, "Images"), "")</f>
        <v>Images</v>
      </c>
      <c r="O1418" s="662" t="s">
        <v>4967</v>
      </c>
      <c r="P1418" s="482"/>
      <c r="Q1418" s="483"/>
      <c r="R1418" s="483"/>
      <c r="S1418" s="484"/>
      <c r="T1418" s="508">
        <f t="shared" si="1036"/>
        <v>0</v>
      </c>
      <c r="U1418" s="225" t="str">
        <f>IF(NOT(ISNUMBER(G1418)), "", VLOOKUP(A1418,'Discount Lookup'!D:E,2,FALSE)*G1418)</f>
        <v/>
      </c>
      <c r="V1418" s="225" t="str">
        <f>IF(NOT(ISNUMBER(G1418)), "", VLOOKUP(A1418,'Discount Lookup'!G:H,2,FALSE)*G1418)</f>
        <v/>
      </c>
      <c r="W1418" s="508">
        <f t="shared" si="1037"/>
        <v>0</v>
      </c>
      <c r="X1418" s="508" t="str">
        <f t="shared" si="1038"/>
        <v>White bloom</v>
      </c>
      <c r="Y1418" s="509" t="b">
        <f t="shared" si="1039"/>
        <v>0</v>
      </c>
      <c r="Z1418" s="510">
        <f t="shared" si="1040"/>
        <v>0</v>
      </c>
      <c r="AA1418" s="511"/>
      <c r="AB1418" s="511" t="str">
        <f t="shared" si="1041"/>
        <v/>
      </c>
      <c r="AC1418" s="698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698"/>
      <c r="AE1418" s="631" t="str">
        <f t="shared" si="1042"/>
        <v/>
      </c>
      <c r="AF1418" s="699" t="str">
        <f t="shared" si="1043"/>
        <v/>
      </c>
      <c r="AG1418" s="699"/>
      <c r="AH1418" s="699"/>
      <c r="AI1418" s="512">
        <f>IF(H1418="credit",0,IF(AE1418="free",0,IF(AE1418="me",0,IF(G1418&gt;0,(VLOOKUP(A1418,'Discount Lookup'!J:K,2)*G1418),0))))</f>
        <v>0</v>
      </c>
      <c r="AJ1418" s="513" t="str">
        <f t="shared" ca="1" si="1044"/>
        <v/>
      </c>
      <c r="AK1418" s="700" t="str">
        <f t="shared" si="1045"/>
        <v/>
      </c>
      <c r="AL1418" s="700"/>
      <c r="AM1418" s="505" t="str">
        <f t="shared" si="1046"/>
        <v/>
      </c>
      <c r="AN1418" s="506"/>
      <c r="AO1418" s="507"/>
      <c r="AP1418" s="507"/>
      <c r="AQ1418" s="507"/>
      <c r="AR1418" s="507"/>
      <c r="AS1418" s="507"/>
      <c r="AT1418" s="507"/>
      <c r="AU1418" s="507"/>
      <c r="AV1418" s="225"/>
      <c r="AW1418" s="508"/>
      <c r="AX1418" s="225"/>
      <c r="AY1418" s="225"/>
      <c r="AZ1418" s="225"/>
      <c r="BA1418" s="225"/>
      <c r="BB1418" s="225"/>
      <c r="BC1418" s="56"/>
      <c r="BD1418" s="56"/>
      <c r="BE1418" s="56"/>
      <c r="BF1418" s="107" t="str">
        <f t="shared" si="1047"/>
        <v>https://www.google.com/search?tbm=isch&amp;q=Fragrant%20Princess%20Tea%20Olive%20Osmanthus%20heterophyllus%20%27Kaori%20Hime%27%20PP%2312083</v>
      </c>
      <c r="BG1418" s="107" t="str">
        <f t="shared" si="1048"/>
        <v>F</v>
      </c>
      <c r="BH1418" s="254"/>
      <c r="BI1418" s="254"/>
    </row>
    <row r="1419" spans="1:61" customFormat="1" ht="15.75" x14ac:dyDescent="0.25">
      <c r="A1419" s="485">
        <v>1</v>
      </c>
      <c r="B1419" s="486" t="s">
        <v>291</v>
      </c>
      <c r="C1419" s="487"/>
      <c r="D1419" s="488" t="s">
        <v>299</v>
      </c>
      <c r="E1419" s="489">
        <v>11.95</v>
      </c>
      <c r="F1419" s="516" t="s">
        <v>293</v>
      </c>
      <c r="G1419" s="232">
        <v>0</v>
      </c>
      <c r="H1419" s="658" t="str">
        <f t="shared" ref="H1419:H1426" si="1091">IF(G1419=0,"",IF(F1419="Buy",IF(G1419=1,"plant","plants"),IF(F1419&gt;0.01,"warranty","Error")))</f>
        <v/>
      </c>
      <c r="I1419" s="490">
        <f t="shared" ref="I1419:I1426" si="1092">IF(H1419="free",0,IF(H1419="credit",((E1419*(F1419))*G1419*-1),IF(F1419="Buy",(E1419*G1419),((E1419*(1-F1419))*G1419))))</f>
        <v>0</v>
      </c>
      <c r="J1419" s="490">
        <f t="shared" ref="J1419:J1426" si="1093">IF(H1419="warranty",0,(I1419*(_xlfn.SINGLE(SalesTaxPercentage))))</f>
        <v>0</v>
      </c>
      <c r="K1419" s="695">
        <f t="shared" ref="K1419" si="1094">I1419+J1419</f>
        <v>0</v>
      </c>
      <c r="L1419" s="695"/>
      <c r="M1419" s="659" t="str">
        <f t="shared" ref="M1419:M1426" si="1095">IF(AND(G1419&gt;0,E1419=0),"WARNING - no PRICE inserted",IF(H1419="free"," FREE ~ no charge this plant",IF(H1419="credit",CONCATENATE(" -$",ROUND(K1419*(1-T2GDiscount)*-1,2)," CREDIT after discount"),IF(T2GDiscount=0,"",IF(G1419=0,"",IF(F1419="Buy",CONCATENATE(" $",ROUND(K1419*(1-T2GDiscount),2)," with ",(T2GDiscount*100),"% discount"),CONCATENATE(" $",ROUND(K1419*(1-T2GDiscount),2)," with ",((T2GDiscount*100+F1419*100)-(T2GDiscount*100*F1419)),IF(F1419&gt;0,"% discounts",IF(NoWarrantyDiscount&gt;0,"% discounts","% discount")))))))))</f>
        <v/>
      </c>
      <c r="N1419" s="660"/>
      <c r="O1419" s="233"/>
      <c r="P1419" s="233"/>
      <c r="Q1419" s="233"/>
      <c r="R1419" s="233"/>
      <c r="S1419" s="233"/>
      <c r="T1419" s="508">
        <f t="shared" si="1036"/>
        <v>0</v>
      </c>
      <c r="U1419" s="225">
        <f>IF(NOT(ISNUMBER(G1419)), "", VLOOKUP(A1419,'Discount Lookup'!D:E,2,FALSE)*G1419)</f>
        <v>0</v>
      </c>
      <c r="V1419" s="225">
        <f>IF(NOT(ISNUMBER(G1419)), "", VLOOKUP(A1419,'Discount Lookup'!G:H,2,FALSE)*G1419)</f>
        <v>0</v>
      </c>
      <c r="W1419" s="508">
        <f t="shared" si="1037"/>
        <v>0</v>
      </c>
      <c r="X1419" s="508">
        <f t="shared" si="1038"/>
        <v>0</v>
      </c>
      <c r="Y1419" s="509" t="b">
        <f t="shared" si="1039"/>
        <v>0</v>
      </c>
      <c r="Z1419" s="510">
        <f t="shared" si="1040"/>
        <v>0</v>
      </c>
      <c r="AA1419" s="511"/>
      <c r="AB1419" s="511" t="str">
        <f t="shared" si="1041"/>
        <v/>
      </c>
      <c r="AC1419" s="698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698"/>
      <c r="AE1419" s="631" t="str">
        <f t="shared" si="1042"/>
        <v/>
      </c>
      <c r="AF1419" s="699" t="str">
        <f t="shared" si="1043"/>
        <v/>
      </c>
      <c r="AG1419" s="699"/>
      <c r="AH1419" s="699"/>
      <c r="AI1419" s="512">
        <f>IF(H1419="credit",0,IF(AE1419="free",0,IF(AE1419="me",0,IF(G1419&gt;0,(VLOOKUP(A1419,'Discount Lookup'!J:K,2)*G1419),0))))</f>
        <v>0</v>
      </c>
      <c r="AJ1419" s="513" t="str">
        <f t="shared" ca="1" si="1044"/>
        <v/>
      </c>
      <c r="AK1419" s="700" t="str">
        <f t="shared" si="1045"/>
        <v/>
      </c>
      <c r="AL1419" s="700"/>
      <c r="AM1419" s="505" t="str">
        <f t="shared" si="1046"/>
        <v/>
      </c>
      <c r="AN1419" s="506"/>
      <c r="AO1419" s="507"/>
      <c r="AP1419" s="507"/>
      <c r="AQ1419" s="507"/>
      <c r="AR1419" s="507"/>
      <c r="AS1419" s="507"/>
      <c r="AT1419" s="507"/>
      <c r="AU1419" s="507"/>
      <c r="AV1419" s="225"/>
      <c r="AW1419" s="508"/>
      <c r="AX1419" s="225"/>
      <c r="AY1419" s="225"/>
      <c r="AZ1419" s="225"/>
      <c r="BA1419" s="225"/>
      <c r="BB1419" s="225"/>
      <c r="BC1419" s="56"/>
      <c r="BD1419" s="56"/>
      <c r="BE1419" s="56"/>
      <c r="BF1419" s="107" t="str">
        <f t="shared" si="1047"/>
        <v>https://www.google.com/search?tbm=isch&amp;q=1%20G5</v>
      </c>
      <c r="BG1419" s="107" t="str">
        <f t="shared" si="1048"/>
        <v>F</v>
      </c>
      <c r="BH1419" s="254"/>
      <c r="BI1419" s="254"/>
    </row>
    <row r="1420" spans="1:61" customFormat="1" ht="15.75" x14ac:dyDescent="0.25">
      <c r="A1420" s="485">
        <v>3</v>
      </c>
      <c r="B1420" s="486" t="s">
        <v>291</v>
      </c>
      <c r="C1420" s="487"/>
      <c r="D1420" s="488" t="s">
        <v>298</v>
      </c>
      <c r="E1420" s="489">
        <v>33.950000000000003</v>
      </c>
      <c r="F1420" s="516" t="s">
        <v>293</v>
      </c>
      <c r="G1420" s="232">
        <v>0</v>
      </c>
      <c r="H1420" s="658" t="str">
        <f t="shared" si="1091"/>
        <v/>
      </c>
      <c r="I1420" s="490">
        <f t="shared" si="1092"/>
        <v>0</v>
      </c>
      <c r="J1420" s="490">
        <f t="shared" si="1093"/>
        <v>0</v>
      </c>
      <c r="K1420" s="695">
        <f t="shared" ref="K1420" si="1096">I1420+J1420</f>
        <v>0</v>
      </c>
      <c r="L1420" s="695"/>
      <c r="M1420" s="659" t="str">
        <f t="shared" si="1095"/>
        <v/>
      </c>
      <c r="N1420" s="660"/>
      <c r="O1420" s="233"/>
      <c r="P1420" s="233"/>
      <c r="Q1420" s="233"/>
      <c r="R1420" s="233"/>
      <c r="S1420" s="233"/>
      <c r="T1420" s="508">
        <f t="shared" si="1036"/>
        <v>0</v>
      </c>
      <c r="U1420" s="225">
        <f>IF(NOT(ISNUMBER(G1420)), "", VLOOKUP(A1420,'Discount Lookup'!D:E,2,FALSE)*G1420)</f>
        <v>0</v>
      </c>
      <c r="V1420" s="225">
        <f>IF(NOT(ISNUMBER(G1420)), "", VLOOKUP(A1420,'Discount Lookup'!G:H,2,FALSE)*G1420)</f>
        <v>0</v>
      </c>
      <c r="W1420" s="508">
        <f t="shared" si="1037"/>
        <v>0</v>
      </c>
      <c r="X1420" s="508">
        <f t="shared" si="1038"/>
        <v>0</v>
      </c>
      <c r="Y1420" s="509" t="b">
        <f t="shared" si="1039"/>
        <v>0</v>
      </c>
      <c r="Z1420" s="510">
        <f t="shared" si="1040"/>
        <v>0</v>
      </c>
      <c r="AA1420" s="511"/>
      <c r="AB1420" s="511" t="str">
        <f t="shared" si="1041"/>
        <v/>
      </c>
      <c r="AC1420" s="698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698"/>
      <c r="AE1420" s="631" t="str">
        <f t="shared" si="1042"/>
        <v/>
      </c>
      <c r="AF1420" s="699" t="str">
        <f t="shared" si="1043"/>
        <v/>
      </c>
      <c r="AG1420" s="699"/>
      <c r="AH1420" s="699"/>
      <c r="AI1420" s="512">
        <f>IF(H1420="credit",0,IF(AE1420="free",0,IF(AE1420="me",0,IF(G1420&gt;0,(VLOOKUP(A1420,'Discount Lookup'!J:K,2)*G1420),0))))</f>
        <v>0</v>
      </c>
      <c r="AJ1420" s="513" t="str">
        <f t="shared" ca="1" si="1044"/>
        <v/>
      </c>
      <c r="AK1420" s="700" t="str">
        <f t="shared" si="1045"/>
        <v/>
      </c>
      <c r="AL1420" s="700"/>
      <c r="AM1420" s="505" t="str">
        <f t="shared" si="1046"/>
        <v/>
      </c>
      <c r="AN1420" s="506"/>
      <c r="AO1420" s="507"/>
      <c r="AP1420" s="507"/>
      <c r="AQ1420" s="507"/>
      <c r="AR1420" s="507"/>
      <c r="AS1420" s="507"/>
      <c r="AT1420" s="507"/>
      <c r="AU1420" s="507"/>
      <c r="AV1420" s="225"/>
      <c r="AW1420" s="508"/>
      <c r="AX1420" s="225"/>
      <c r="AY1420" s="225"/>
      <c r="AZ1420" s="225"/>
      <c r="BA1420" s="225"/>
      <c r="BB1420" s="225"/>
      <c r="BC1420" s="56"/>
      <c r="BD1420" s="56"/>
      <c r="BE1420" s="56"/>
      <c r="BF1420" s="107" t="str">
        <f t="shared" si="1047"/>
        <v>https://www.google.com/search?tbm=isch&amp;q=3%20G1</v>
      </c>
      <c r="BG1420" s="107" t="str">
        <f t="shared" si="1048"/>
        <v>F</v>
      </c>
      <c r="BH1420" s="254"/>
      <c r="BI1420" s="254"/>
    </row>
    <row r="1421" spans="1:61" customFormat="1" ht="15.75" x14ac:dyDescent="0.25">
      <c r="A1421" s="485">
        <v>3</v>
      </c>
      <c r="B1421" s="486" t="s">
        <v>291</v>
      </c>
      <c r="C1421" s="487" t="s">
        <v>3490</v>
      </c>
      <c r="D1421" s="488" t="s">
        <v>292</v>
      </c>
      <c r="E1421" s="489">
        <v>35.950000000000003</v>
      </c>
      <c r="F1421" s="516" t="s">
        <v>293</v>
      </c>
      <c r="G1421" s="232">
        <v>0</v>
      </c>
      <c r="H1421" s="658" t="str">
        <f t="shared" si="1091"/>
        <v/>
      </c>
      <c r="I1421" s="490">
        <f t="shared" si="1092"/>
        <v>0</v>
      </c>
      <c r="J1421" s="490">
        <f t="shared" si="1093"/>
        <v>0</v>
      </c>
      <c r="K1421" s="695">
        <f t="shared" ref="K1421" si="1097">I1421+J1421</f>
        <v>0</v>
      </c>
      <c r="L1421" s="695"/>
      <c r="M1421" s="659" t="str">
        <f t="shared" si="1095"/>
        <v/>
      </c>
      <c r="N1421" s="660"/>
      <c r="O1421" s="233"/>
      <c r="P1421" s="233"/>
      <c r="Q1421" s="233"/>
      <c r="R1421" s="233"/>
      <c r="S1421" s="233"/>
      <c r="T1421" s="508">
        <f t="shared" si="1036"/>
        <v>0</v>
      </c>
      <c r="U1421" s="225">
        <f>IF(NOT(ISNUMBER(G1421)), "", VLOOKUP(A1421,'Discount Lookup'!D:E,2,FALSE)*G1421)</f>
        <v>0</v>
      </c>
      <c r="V1421" s="225">
        <f>IF(NOT(ISNUMBER(G1421)), "", VLOOKUP(A1421,'Discount Lookup'!G:H,2,FALSE)*G1421)</f>
        <v>0</v>
      </c>
      <c r="W1421" s="508">
        <f t="shared" si="1037"/>
        <v>0</v>
      </c>
      <c r="X1421" s="508">
        <f t="shared" si="1038"/>
        <v>0</v>
      </c>
      <c r="Y1421" s="509" t="b">
        <f t="shared" si="1039"/>
        <v>0</v>
      </c>
      <c r="Z1421" s="510">
        <f t="shared" si="1040"/>
        <v>0</v>
      </c>
      <c r="AA1421" s="511"/>
      <c r="AB1421" s="511" t="str">
        <f t="shared" si="1041"/>
        <v/>
      </c>
      <c r="AC1421" s="698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698"/>
      <c r="AE1421" s="631" t="str">
        <f t="shared" si="1042"/>
        <v/>
      </c>
      <c r="AF1421" s="699" t="str">
        <f t="shared" si="1043"/>
        <v/>
      </c>
      <c r="AG1421" s="699"/>
      <c r="AH1421" s="699"/>
      <c r="AI1421" s="512">
        <f>IF(H1421="credit",0,IF(AE1421="free",0,IF(AE1421="me",0,IF(G1421&gt;0,(VLOOKUP(A1421,'Discount Lookup'!J:K,2)*G1421),0))))</f>
        <v>0</v>
      </c>
      <c r="AJ1421" s="513" t="str">
        <f t="shared" ca="1" si="1044"/>
        <v/>
      </c>
      <c r="AK1421" s="700" t="str">
        <f t="shared" si="1045"/>
        <v/>
      </c>
      <c r="AL1421" s="700"/>
      <c r="AM1421" s="505" t="str">
        <f t="shared" si="1046"/>
        <v/>
      </c>
      <c r="AN1421" s="506"/>
      <c r="AO1421" s="507"/>
      <c r="AP1421" s="507"/>
      <c r="AQ1421" s="507"/>
      <c r="AR1421" s="507"/>
      <c r="AS1421" s="507"/>
      <c r="AT1421" s="507"/>
      <c r="AU1421" s="507"/>
      <c r="AV1421" s="225"/>
      <c r="AW1421" s="508"/>
      <c r="AX1421" s="225"/>
      <c r="AY1421" s="225"/>
      <c r="AZ1421" s="225"/>
      <c r="BA1421" s="225"/>
      <c r="BB1421" s="225"/>
      <c r="BC1421" s="56"/>
      <c r="BD1421" s="56"/>
      <c r="BE1421" s="56"/>
      <c r="BF1421" s="107" t="str">
        <f t="shared" si="1047"/>
        <v>https://www.google.com/search?tbm=isch&amp;q=3%20G4</v>
      </c>
      <c r="BG1421" s="107" t="str">
        <f t="shared" si="1048"/>
        <v>F</v>
      </c>
      <c r="BH1421" s="254"/>
      <c r="BI1421" s="254"/>
    </row>
    <row r="1422" spans="1:61" customFormat="1" ht="27" x14ac:dyDescent="0.25">
      <c r="A1422" s="485">
        <v>3</v>
      </c>
      <c r="B1422" s="486" t="s">
        <v>291</v>
      </c>
      <c r="C1422" s="487" t="s">
        <v>3258</v>
      </c>
      <c r="D1422" s="488" t="s">
        <v>299</v>
      </c>
      <c r="E1422" s="489">
        <v>35.950000000000003</v>
      </c>
      <c r="F1422" s="516" t="s">
        <v>293</v>
      </c>
      <c r="G1422" s="232">
        <v>0</v>
      </c>
      <c r="H1422" s="658" t="str">
        <f t="shared" si="1091"/>
        <v/>
      </c>
      <c r="I1422" s="490">
        <f t="shared" si="1092"/>
        <v>0</v>
      </c>
      <c r="J1422" s="490">
        <f t="shared" si="1093"/>
        <v>0</v>
      </c>
      <c r="K1422" s="695">
        <f t="shared" ref="K1422" si="1098">I1422+J1422</f>
        <v>0</v>
      </c>
      <c r="L1422" s="695"/>
      <c r="M1422" s="659" t="str">
        <f t="shared" si="1095"/>
        <v/>
      </c>
      <c r="N1422" s="660"/>
      <c r="O1422" s="233"/>
      <c r="P1422" s="233"/>
      <c r="Q1422" s="233"/>
      <c r="R1422" s="233"/>
      <c r="S1422" s="233"/>
      <c r="T1422" s="508">
        <f t="shared" ref="T1422:T1485" si="1099">E1422*G1422</f>
        <v>0</v>
      </c>
      <c r="U1422" s="225">
        <f>IF(NOT(ISNUMBER(G1422)), "", VLOOKUP(A1422,'Discount Lookup'!D:E,2,FALSE)*G1422)</f>
        <v>0</v>
      </c>
      <c r="V1422" s="225">
        <f>IF(NOT(ISNUMBER(G1422)), "", VLOOKUP(A1422,'Discount Lookup'!G:H,2,FALSE)*G1422)</f>
        <v>0</v>
      </c>
      <c r="W1422" s="508">
        <f t="shared" ref="W1422:W1485" si="1100">IF(H1422="credit",0,E1422*(SalesTaxPercentage)*G1422)</f>
        <v>0</v>
      </c>
      <c r="X1422" s="508">
        <f t="shared" ref="X1422:X1485" si="1101">I1422</f>
        <v>0</v>
      </c>
      <c r="Y1422" s="509" t="b">
        <f t="shared" ref="Y1422:Y1485" si="1102">IF(AE1422="T2G",0,IF(H1422="credit",0,IF(G1422&gt;0,IF(AE1422="me","",G1422))))</f>
        <v>0</v>
      </c>
      <c r="Z1422" s="510">
        <f t="shared" ref="Z1422:Z1485" si="1103">IF(H1422="credit",G1422,0)</f>
        <v>0</v>
      </c>
      <c r="AA1422" s="511"/>
      <c r="AB1422" s="511" t="str">
        <f t="shared" ref="AB1422:AB1485" si="1104">IF(AE1422="T2G","by Trees2Go",IF(H1422="credit","CREDIT only ~",IF(AND(K1422="",AE1422=OR(PlanterYesMe="No",PlanterYesMe="N",PlanterYesMe="me")),"not THIS line⇨",IF(AND(K1422="images",AE1422="me"),"not THIS line⇨",IF(H1422="credit","",IF(G1422=0,"",IF(AE1422="me","",IF(OR(PlanterYesMe="No",PlanterYesMe="N",PlanterYesMe="me"),"",IF(AE1422="free","warranty",IF(OR(PlanterYesMe="yes",PlanterYesMe="y"),"Edison install:","to install:"))))))))))</f>
        <v/>
      </c>
      <c r="AC1422" s="698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698"/>
      <c r="AE1422" s="631" t="str">
        <f t="shared" ref="AE1422:AE1485" si="1105">IF(H1422="credit","",IF(G1422=0,"",IF(OR(PlanterYesMe="No",PlanterYesMe="N",PlanterYesMe="me"),"me",IF(H1422="warranty","free",IF(OR(PlanterYesMe="yes",PlanterYesMe="y"),"ELP","")))))</f>
        <v/>
      </c>
      <c r="AF1422" s="699" t="str">
        <f t="shared" ref="AF1422:AF1485" si="1106">IF(OR(PlanterYesMe="No",PlanterYesMe="N",PlanterYesMe="me"),"",IF(H1422="credit","",IF(G1422&gt;0,(CONCATENATE((G1422)," quantity, ",(A1422)," ",B1422)),"")))</f>
        <v/>
      </c>
      <c r="AG1422" s="699"/>
      <c r="AH1422" s="699"/>
      <c r="AI1422" s="512">
        <f>IF(H1422="credit",0,IF(AE1422="free",0,IF(AE1422="me",0,IF(G1422&gt;0,(VLOOKUP(A1422,'Discount Lookup'!J:K,2)*G1422),0))))</f>
        <v>0</v>
      </c>
      <c r="AJ1422" s="513" t="str">
        <f t="shared" ref="AJ1422:AJ1485" ca="1" si="1107">IF(AND(ISREF(H1422),H1422="credit"),"",IF(AND(AND(OFFSET(G1422,0,0)=0,OFFSET(G1422,1,0)&gt;0,ISNUMBER(OFFSET(AC1422,1,0)),OFFSET(AC1422,1,0)&gt;0),OR(PlanterYesMe="yes",PlanterYesMe="y")),"T2G+ELP=",IF(AND(OFFSET(G1422,0,0)=0,OFFSET(G1422,1,0)&gt;0,ISNUMBER(OFFSET(AC1422,1,0)),OFFSET(AC1422,1,0)&gt;0),"if T2G+ELP=",IF(AND(OFFSET(G1422,0,0)=0,OFFSET(G1422,1,0)&gt;0),"T2G Subtotal",IF(H1422="credit","",IF(G1422=0,"",IF(AE1422="free",(K1422*(1-T2GDiscount)),IF(OR(PlanterYesMe="No",PlanterYesMe="N",PlanterYesMe="me"),(K1422*(1-T2GDiscount)),IF(OR(AE1422="me",AE1422="T2G"),(K1422*(1-T2GDiscount)),(K1422*(1-T2GDiscount))+AC1422)))))))))</f>
        <v/>
      </c>
      <c r="AK1422" s="700" t="str">
        <f t="shared" ref="AK1422:AK1485" si="1108">IF(H1422="credit","",IF(G1422=0,"",IF(OR(AE1422="me",AE1422="T2G"),"  delivery-only",IF(OR(PlanterYesMe="No",PlanterYesMe="N",PlanterYesMe="me"),"  delivery-only",CONCATENATE(" $",ROUND(AJ1422/G1422,2)," each")))))</f>
        <v/>
      </c>
      <c r="AL1422" s="700"/>
      <c r="AM1422" s="505" t="str">
        <f t="shared" ref="AM1422:AM1485" si="1109">IF(H1422="credit","",IF(AE1422="free","      ~ discounts included, no tax or planting fee applies ~",IF(G1422=0,"",IF(OR(PlanterYesMe="No",PlanterYesMe="N",PlanterYesMe="me"),CONCATENATE(" $",ROUND(AJ1422/G1422,2)," per plant, with tax &amp; discount"),IF(OR(AE1422="me",AE1422="T2G"),CONCATENATE(" $",ROUND(AJ1422/G1422,2)," per plant, with tax &amp; discount"),CONCATENATE("= $",ROUND((K1422*(1-T2GDiscount))/G1422,2)," per plant + $",AC1422/G1422,(" per planting      ~ includes tax &amp; discounts ~")))))))</f>
        <v/>
      </c>
      <c r="AN1422" s="506"/>
      <c r="AO1422" s="507"/>
      <c r="AP1422" s="507"/>
      <c r="AQ1422" s="507"/>
      <c r="AR1422" s="507"/>
      <c r="AS1422" s="507"/>
      <c r="AT1422" s="507"/>
      <c r="AU1422" s="507"/>
      <c r="AV1422" s="225"/>
      <c r="AW1422" s="508"/>
      <c r="AX1422" s="225"/>
      <c r="AY1422" s="225"/>
      <c r="AZ1422" s="225"/>
      <c r="BA1422" s="225"/>
      <c r="BB1422" s="225"/>
      <c r="BC1422" s="56"/>
      <c r="BD1422" s="56"/>
      <c r="BE1422" s="56"/>
      <c r="BF1422" s="107" t="str">
        <f t="shared" ref="BF1422:BF1485" si="1110">"https://www.google.com/search?tbm=isch&amp;q=" &amp; _xlfn.ENCODEURL($A1422 &amp; " " &amp; $D1422)</f>
        <v>https://www.google.com/search?tbm=isch&amp;q=3%20G5</v>
      </c>
      <c r="BG1422" s="107" t="str">
        <f t="shared" ref="BG1422:BG1485" si="1111">IF(ISTEXT(A1422),LEFT(A1422,1),BG1421)</f>
        <v>F</v>
      </c>
      <c r="BH1422" s="254"/>
      <c r="BI1422" s="254"/>
    </row>
    <row r="1423" spans="1:61" customFormat="1" ht="27" x14ac:dyDescent="0.25">
      <c r="A1423" s="485">
        <v>5</v>
      </c>
      <c r="B1423" s="486" t="s">
        <v>291</v>
      </c>
      <c r="C1423" s="487" t="s">
        <v>4671</v>
      </c>
      <c r="D1423" s="488" t="s">
        <v>297</v>
      </c>
      <c r="E1423" s="489">
        <v>54.95</v>
      </c>
      <c r="F1423" s="516" t="s">
        <v>293</v>
      </c>
      <c r="G1423" s="232">
        <v>0</v>
      </c>
      <c r="H1423" s="658" t="str">
        <f t="shared" si="1091"/>
        <v/>
      </c>
      <c r="I1423" s="490">
        <f t="shared" si="1092"/>
        <v>0</v>
      </c>
      <c r="J1423" s="490">
        <f t="shared" si="1093"/>
        <v>0</v>
      </c>
      <c r="K1423" s="695">
        <f t="shared" ref="K1423" si="1112">I1423+J1423</f>
        <v>0</v>
      </c>
      <c r="L1423" s="695"/>
      <c r="M1423" s="659" t="str">
        <f t="shared" si="1095"/>
        <v/>
      </c>
      <c r="N1423" s="660"/>
      <c r="O1423" s="233"/>
      <c r="P1423" s="233"/>
      <c r="Q1423" s="233"/>
      <c r="R1423" s="233"/>
      <c r="S1423" s="233"/>
      <c r="T1423" s="508">
        <f t="shared" si="1099"/>
        <v>0</v>
      </c>
      <c r="U1423" s="225">
        <f>IF(NOT(ISNUMBER(G1423)), "", VLOOKUP(A1423,'Discount Lookup'!D:E,2,FALSE)*G1423)</f>
        <v>0</v>
      </c>
      <c r="V1423" s="225">
        <f>IF(NOT(ISNUMBER(G1423)), "", VLOOKUP(A1423,'Discount Lookup'!G:H,2,FALSE)*G1423)</f>
        <v>0</v>
      </c>
      <c r="W1423" s="508">
        <f t="shared" si="1100"/>
        <v>0</v>
      </c>
      <c r="X1423" s="508">
        <f t="shared" si="1101"/>
        <v>0</v>
      </c>
      <c r="Y1423" s="509" t="b">
        <f t="shared" si="1102"/>
        <v>0</v>
      </c>
      <c r="Z1423" s="510">
        <f t="shared" si="1103"/>
        <v>0</v>
      </c>
      <c r="AA1423" s="511"/>
      <c r="AB1423" s="511" t="str">
        <f t="shared" si="1104"/>
        <v/>
      </c>
      <c r="AC1423" s="698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698"/>
      <c r="AE1423" s="631" t="str">
        <f t="shared" si="1105"/>
        <v/>
      </c>
      <c r="AF1423" s="699" t="str">
        <f t="shared" si="1106"/>
        <v/>
      </c>
      <c r="AG1423" s="699"/>
      <c r="AH1423" s="699"/>
      <c r="AI1423" s="512">
        <f>IF(H1423="credit",0,IF(AE1423="free",0,IF(AE1423="me",0,IF(G1423&gt;0,(VLOOKUP(A1423,'Discount Lookup'!J:K,2)*G1423),0))))</f>
        <v>0</v>
      </c>
      <c r="AJ1423" s="513" t="str">
        <f t="shared" ca="1" si="1107"/>
        <v/>
      </c>
      <c r="AK1423" s="700" t="str">
        <f t="shared" si="1108"/>
        <v/>
      </c>
      <c r="AL1423" s="700"/>
      <c r="AM1423" s="505" t="str">
        <f t="shared" si="1109"/>
        <v/>
      </c>
      <c r="AN1423" s="506"/>
      <c r="AO1423" s="507"/>
      <c r="AP1423" s="507"/>
      <c r="AQ1423" s="507"/>
      <c r="AR1423" s="507"/>
      <c r="AS1423" s="507"/>
      <c r="AT1423" s="507"/>
      <c r="AU1423" s="507"/>
      <c r="AV1423" s="225"/>
      <c r="AW1423" s="508"/>
      <c r="AX1423" s="225"/>
      <c r="AY1423" s="225"/>
      <c r="AZ1423" s="225"/>
      <c r="BA1423" s="225"/>
      <c r="BB1423" s="225"/>
      <c r="BC1423" s="56"/>
      <c r="BD1423" s="56"/>
      <c r="BE1423" s="56"/>
      <c r="BF1423" s="107" t="str">
        <f t="shared" si="1110"/>
        <v>https://www.google.com/search?tbm=isch&amp;q=5%20G3</v>
      </c>
      <c r="BG1423" s="107" t="str">
        <f t="shared" si="1111"/>
        <v>F</v>
      </c>
      <c r="BH1423" s="254"/>
      <c r="BI1423" s="254"/>
    </row>
    <row r="1424" spans="1:61" customFormat="1" ht="15.75" x14ac:dyDescent="0.25">
      <c r="A1424" s="485">
        <v>7</v>
      </c>
      <c r="B1424" s="486" t="s">
        <v>291</v>
      </c>
      <c r="C1424" s="487" t="s">
        <v>3491</v>
      </c>
      <c r="D1424" s="488" t="s">
        <v>292</v>
      </c>
      <c r="E1424" s="489">
        <v>86.95</v>
      </c>
      <c r="F1424" s="516" t="s">
        <v>293</v>
      </c>
      <c r="G1424" s="232">
        <v>0</v>
      </c>
      <c r="H1424" s="658" t="str">
        <f t="shared" si="1091"/>
        <v/>
      </c>
      <c r="I1424" s="490">
        <f t="shared" si="1092"/>
        <v>0</v>
      </c>
      <c r="J1424" s="490">
        <f t="shared" si="1093"/>
        <v>0</v>
      </c>
      <c r="K1424" s="695">
        <f t="shared" ref="K1424" si="1113">I1424+J1424</f>
        <v>0</v>
      </c>
      <c r="L1424" s="695"/>
      <c r="M1424" s="659" t="str">
        <f t="shared" si="1095"/>
        <v/>
      </c>
      <c r="N1424" s="660"/>
      <c r="O1424" s="233"/>
      <c r="P1424" s="233"/>
      <c r="Q1424" s="233"/>
      <c r="R1424" s="233"/>
      <c r="S1424" s="233"/>
      <c r="T1424" s="508">
        <f t="shared" si="1099"/>
        <v>0</v>
      </c>
      <c r="U1424" s="225">
        <f>IF(NOT(ISNUMBER(G1424)), "", VLOOKUP(A1424,'Discount Lookup'!D:E,2,FALSE)*G1424)</f>
        <v>0</v>
      </c>
      <c r="V1424" s="225">
        <f>IF(NOT(ISNUMBER(G1424)), "", VLOOKUP(A1424,'Discount Lookup'!G:H,2,FALSE)*G1424)</f>
        <v>0</v>
      </c>
      <c r="W1424" s="508">
        <f t="shared" si="1100"/>
        <v>0</v>
      </c>
      <c r="X1424" s="508">
        <f t="shared" si="1101"/>
        <v>0</v>
      </c>
      <c r="Y1424" s="509" t="b">
        <f t="shared" si="1102"/>
        <v>0</v>
      </c>
      <c r="Z1424" s="510">
        <f t="shared" si="1103"/>
        <v>0</v>
      </c>
      <c r="AA1424" s="511"/>
      <c r="AB1424" s="511" t="str">
        <f t="shared" si="1104"/>
        <v/>
      </c>
      <c r="AC1424" s="698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698"/>
      <c r="AE1424" s="631" t="str">
        <f t="shared" si="1105"/>
        <v/>
      </c>
      <c r="AF1424" s="699" t="str">
        <f t="shared" si="1106"/>
        <v/>
      </c>
      <c r="AG1424" s="699"/>
      <c r="AH1424" s="699"/>
      <c r="AI1424" s="512">
        <f>IF(H1424="credit",0,IF(AE1424="free",0,IF(AE1424="me",0,IF(G1424&gt;0,(VLOOKUP(A1424,'Discount Lookup'!J:K,2)*G1424),0))))</f>
        <v>0</v>
      </c>
      <c r="AJ1424" s="513" t="str">
        <f t="shared" ca="1" si="1107"/>
        <v/>
      </c>
      <c r="AK1424" s="700" t="str">
        <f t="shared" si="1108"/>
        <v/>
      </c>
      <c r="AL1424" s="700"/>
      <c r="AM1424" s="505" t="str">
        <f t="shared" si="1109"/>
        <v/>
      </c>
      <c r="AN1424" s="506"/>
      <c r="AO1424" s="507"/>
      <c r="AP1424" s="507"/>
      <c r="AQ1424" s="507"/>
      <c r="AR1424" s="507"/>
      <c r="AS1424" s="507"/>
      <c r="AT1424" s="507"/>
      <c r="AU1424" s="507"/>
      <c r="AV1424" s="225"/>
      <c r="AW1424" s="508"/>
      <c r="AX1424" s="225"/>
      <c r="AY1424" s="225"/>
      <c r="AZ1424" s="225"/>
      <c r="BA1424" s="225"/>
      <c r="BB1424" s="225"/>
      <c r="BC1424" s="56"/>
      <c r="BD1424" s="56"/>
      <c r="BE1424" s="56"/>
      <c r="BF1424" s="107" t="str">
        <f t="shared" si="1110"/>
        <v>https://www.google.com/search?tbm=isch&amp;q=7%20G4</v>
      </c>
      <c r="BG1424" s="107" t="str">
        <f t="shared" si="1111"/>
        <v>F</v>
      </c>
      <c r="BH1424" s="254"/>
      <c r="BI1424" s="254"/>
    </row>
    <row r="1425" spans="1:61" customFormat="1" ht="27" x14ac:dyDescent="0.25">
      <c r="A1425" s="485">
        <v>10</v>
      </c>
      <c r="B1425" s="486" t="s">
        <v>291</v>
      </c>
      <c r="C1425" s="487" t="s">
        <v>4760</v>
      </c>
      <c r="D1425" s="488" t="s">
        <v>292</v>
      </c>
      <c r="E1425" s="489">
        <v>160.94999999999999</v>
      </c>
      <c r="F1425" s="516" t="s">
        <v>293</v>
      </c>
      <c r="G1425" s="232">
        <v>0</v>
      </c>
      <c r="H1425" s="658" t="str">
        <f t="shared" si="1091"/>
        <v/>
      </c>
      <c r="I1425" s="490">
        <f t="shared" si="1092"/>
        <v>0</v>
      </c>
      <c r="J1425" s="490">
        <f t="shared" si="1093"/>
        <v>0</v>
      </c>
      <c r="K1425" s="695">
        <f t="shared" ref="K1425" si="1114">I1425+J1425</f>
        <v>0</v>
      </c>
      <c r="L1425" s="695"/>
      <c r="M1425" s="659" t="str">
        <f t="shared" si="1095"/>
        <v/>
      </c>
      <c r="N1425" s="660"/>
      <c r="O1425" s="233"/>
      <c r="P1425" s="233"/>
      <c r="Q1425" s="233"/>
      <c r="R1425" s="233"/>
      <c r="S1425" s="233"/>
      <c r="T1425" s="508">
        <f t="shared" si="1099"/>
        <v>0</v>
      </c>
      <c r="U1425" s="225">
        <f>IF(NOT(ISNUMBER(G1425)), "", VLOOKUP(A1425,'Discount Lookup'!D:E,2,FALSE)*G1425)</f>
        <v>0</v>
      </c>
      <c r="V1425" s="225">
        <f>IF(NOT(ISNUMBER(G1425)), "", VLOOKUP(A1425,'Discount Lookup'!G:H,2,FALSE)*G1425)</f>
        <v>0</v>
      </c>
      <c r="W1425" s="508">
        <f t="shared" si="1100"/>
        <v>0</v>
      </c>
      <c r="X1425" s="508">
        <f t="shared" si="1101"/>
        <v>0</v>
      </c>
      <c r="Y1425" s="509" t="b">
        <f t="shared" si="1102"/>
        <v>0</v>
      </c>
      <c r="Z1425" s="510">
        <f t="shared" si="1103"/>
        <v>0</v>
      </c>
      <c r="AA1425" s="511"/>
      <c r="AB1425" s="511" t="str">
        <f t="shared" si="1104"/>
        <v/>
      </c>
      <c r="AC1425" s="698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698"/>
      <c r="AE1425" s="631" t="str">
        <f t="shared" si="1105"/>
        <v/>
      </c>
      <c r="AF1425" s="699" t="str">
        <f t="shared" si="1106"/>
        <v/>
      </c>
      <c r="AG1425" s="699"/>
      <c r="AH1425" s="699"/>
      <c r="AI1425" s="512">
        <f>IF(H1425="credit",0,IF(AE1425="free",0,IF(AE1425="me",0,IF(G1425&gt;0,(VLOOKUP(A1425,'Discount Lookup'!J:K,2)*G1425),0))))</f>
        <v>0</v>
      </c>
      <c r="AJ1425" s="513" t="str">
        <f t="shared" ca="1" si="1107"/>
        <v/>
      </c>
      <c r="AK1425" s="700" t="str">
        <f t="shared" si="1108"/>
        <v/>
      </c>
      <c r="AL1425" s="700"/>
      <c r="AM1425" s="505" t="str">
        <f t="shared" si="1109"/>
        <v/>
      </c>
      <c r="AN1425" s="506"/>
      <c r="AO1425" s="507"/>
      <c r="AP1425" s="507"/>
      <c r="AQ1425" s="507"/>
      <c r="AR1425" s="507"/>
      <c r="AS1425" s="507"/>
      <c r="AT1425" s="507"/>
      <c r="AU1425" s="507"/>
      <c r="AV1425" s="225"/>
      <c r="AW1425" s="508"/>
      <c r="AX1425" s="225"/>
      <c r="AY1425" s="225"/>
      <c r="AZ1425" s="225"/>
      <c r="BA1425" s="225"/>
      <c r="BB1425" s="225"/>
      <c r="BC1425" s="56"/>
      <c r="BD1425" s="56"/>
      <c r="BE1425" s="56"/>
      <c r="BF1425" s="107" t="str">
        <f t="shared" si="1110"/>
        <v>https://www.google.com/search?tbm=isch&amp;q=10%20G4</v>
      </c>
      <c r="BG1425" s="107" t="str">
        <f t="shared" si="1111"/>
        <v>F</v>
      </c>
      <c r="BH1425" s="254"/>
      <c r="BI1425" s="254"/>
    </row>
    <row r="1426" spans="1:61" customFormat="1" ht="15.75" x14ac:dyDescent="0.25">
      <c r="A1426" s="485">
        <v>10</v>
      </c>
      <c r="B1426" s="486" t="s">
        <v>291</v>
      </c>
      <c r="C1426" s="487" t="s">
        <v>4888</v>
      </c>
      <c r="D1426" s="488" t="s">
        <v>300</v>
      </c>
      <c r="E1426" s="489">
        <v>208.95</v>
      </c>
      <c r="F1426" s="516" t="s">
        <v>293</v>
      </c>
      <c r="G1426" s="232">
        <v>0</v>
      </c>
      <c r="H1426" s="658" t="str">
        <f t="shared" si="1091"/>
        <v/>
      </c>
      <c r="I1426" s="490">
        <f t="shared" si="1092"/>
        <v>0</v>
      </c>
      <c r="J1426" s="490">
        <f t="shared" si="1093"/>
        <v>0</v>
      </c>
      <c r="K1426" s="695">
        <f t="shared" ref="K1426" si="1115">I1426+J1426</f>
        <v>0</v>
      </c>
      <c r="L1426" s="695"/>
      <c r="M1426" s="659" t="str">
        <f t="shared" si="1095"/>
        <v/>
      </c>
      <c r="N1426" s="660"/>
      <c r="O1426" s="233"/>
      <c r="P1426" s="233"/>
      <c r="Q1426" s="233"/>
      <c r="R1426" s="233"/>
      <c r="S1426" s="233"/>
      <c r="T1426" s="508">
        <f t="shared" si="1099"/>
        <v>0</v>
      </c>
      <c r="U1426" s="225">
        <f>IF(NOT(ISNUMBER(G1426)), "", VLOOKUP(A1426,'Discount Lookup'!D:E,2,FALSE)*G1426)</f>
        <v>0</v>
      </c>
      <c r="V1426" s="225">
        <f>IF(NOT(ISNUMBER(G1426)), "", VLOOKUP(A1426,'Discount Lookup'!G:H,2,FALSE)*G1426)</f>
        <v>0</v>
      </c>
      <c r="W1426" s="508">
        <f t="shared" si="1100"/>
        <v>0</v>
      </c>
      <c r="X1426" s="508">
        <f t="shared" si="1101"/>
        <v>0</v>
      </c>
      <c r="Y1426" s="509" t="b">
        <f t="shared" si="1102"/>
        <v>0</v>
      </c>
      <c r="Z1426" s="510">
        <f t="shared" si="1103"/>
        <v>0</v>
      </c>
      <c r="AA1426" s="511"/>
      <c r="AB1426" s="511" t="str">
        <f t="shared" si="1104"/>
        <v/>
      </c>
      <c r="AC1426" s="698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698"/>
      <c r="AE1426" s="631" t="str">
        <f t="shared" si="1105"/>
        <v/>
      </c>
      <c r="AF1426" s="699" t="str">
        <f t="shared" si="1106"/>
        <v/>
      </c>
      <c r="AG1426" s="699"/>
      <c r="AH1426" s="699"/>
      <c r="AI1426" s="512">
        <f>IF(H1426="credit",0,IF(AE1426="free",0,IF(AE1426="me",0,IF(G1426&gt;0,(VLOOKUP(A1426,'Discount Lookup'!J:K,2)*G1426),0))))</f>
        <v>0</v>
      </c>
      <c r="AJ1426" s="513" t="str">
        <f t="shared" ca="1" si="1107"/>
        <v/>
      </c>
      <c r="AK1426" s="700" t="str">
        <f t="shared" si="1108"/>
        <v/>
      </c>
      <c r="AL1426" s="700"/>
      <c r="AM1426" s="505" t="str">
        <f t="shared" si="1109"/>
        <v/>
      </c>
      <c r="AN1426" s="506"/>
      <c r="AO1426" s="507"/>
      <c r="AP1426" s="507"/>
      <c r="AQ1426" s="507"/>
      <c r="AR1426" s="507"/>
      <c r="AS1426" s="507"/>
      <c r="AT1426" s="507"/>
      <c r="AU1426" s="507"/>
      <c r="AV1426" s="225"/>
      <c r="AW1426" s="508"/>
      <c r="AX1426" s="225"/>
      <c r="AY1426" s="225"/>
      <c r="AZ1426" s="225"/>
      <c r="BA1426" s="225"/>
      <c r="BB1426" s="225"/>
      <c r="BC1426" s="56"/>
      <c r="BD1426" s="56"/>
      <c r="BE1426" s="56"/>
      <c r="BF1426" s="107" t="str">
        <f t="shared" si="1110"/>
        <v>https://www.google.com/search?tbm=isch&amp;q=10%20G6</v>
      </c>
      <c r="BG1426" s="107" t="str">
        <f t="shared" si="1111"/>
        <v>F</v>
      </c>
      <c r="BH1426" s="254"/>
      <c r="BI1426" s="254"/>
    </row>
    <row r="1427" spans="1:61" customFormat="1" ht="16.5" thickBot="1" x14ac:dyDescent="0.3">
      <c r="A1427" s="522" t="s">
        <v>2139</v>
      </c>
      <c r="B1427" s="491"/>
      <c r="C1427" s="675"/>
      <c r="D1427" s="491"/>
      <c r="E1427" s="491"/>
      <c r="F1427" s="492"/>
      <c r="G1427" s="493"/>
      <c r="H1427" s="491"/>
      <c r="I1427" s="234"/>
      <c r="J1427" s="234"/>
      <c r="K1427" s="494"/>
      <c r="L1427" s="543"/>
      <c r="M1427" s="561"/>
      <c r="N1427" s="495"/>
      <c r="O1427" s="496"/>
      <c r="P1427" s="497"/>
      <c r="Q1427" s="495"/>
      <c r="R1427" s="495"/>
      <c r="S1427" s="277"/>
      <c r="T1427" s="508">
        <f t="shared" si="1099"/>
        <v>0</v>
      </c>
      <c r="U1427" s="225" t="str">
        <f>IF(NOT(ISNUMBER(G1427)), "", VLOOKUP(A1427,'Discount Lookup'!D:E,2,FALSE)*G1427)</f>
        <v/>
      </c>
      <c r="V1427" s="225" t="str">
        <f>IF(NOT(ISNUMBER(G1427)), "", VLOOKUP(A1427,'Discount Lookup'!G:H,2,FALSE)*G1427)</f>
        <v/>
      </c>
      <c r="W1427" s="508">
        <f t="shared" si="1100"/>
        <v>0</v>
      </c>
      <c r="X1427" s="508">
        <f t="shared" si="1101"/>
        <v>0</v>
      </c>
      <c r="Y1427" s="509" t="b">
        <f t="shared" si="1102"/>
        <v>0</v>
      </c>
      <c r="Z1427" s="510">
        <f t="shared" si="1103"/>
        <v>0</v>
      </c>
      <c r="AA1427" s="511"/>
      <c r="AB1427" s="511" t="str">
        <f t="shared" si="1104"/>
        <v/>
      </c>
      <c r="AC1427" s="698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698"/>
      <c r="AE1427" s="631" t="str">
        <f t="shared" si="1105"/>
        <v/>
      </c>
      <c r="AF1427" s="699" t="str">
        <f t="shared" si="1106"/>
        <v/>
      </c>
      <c r="AG1427" s="699"/>
      <c r="AH1427" s="699"/>
      <c r="AI1427" s="512">
        <f>IF(H1427="credit",0,IF(AE1427="free",0,IF(AE1427="me",0,IF(G1427&gt;0,(VLOOKUP(A1427,'Discount Lookup'!J:K,2)*G1427),0))))</f>
        <v>0</v>
      </c>
      <c r="AJ1427" s="513" t="str">
        <f t="shared" ca="1" si="1107"/>
        <v/>
      </c>
      <c r="AK1427" s="700" t="str">
        <f t="shared" si="1108"/>
        <v/>
      </c>
      <c r="AL1427" s="700"/>
      <c r="AM1427" s="505" t="str">
        <f t="shared" si="1109"/>
        <v/>
      </c>
      <c r="AN1427" s="506"/>
      <c r="AO1427" s="507"/>
      <c r="AP1427" s="507"/>
      <c r="AQ1427" s="507"/>
      <c r="AR1427" s="507"/>
      <c r="AS1427" s="507"/>
      <c r="AT1427" s="507"/>
      <c r="AU1427" s="507"/>
      <c r="AV1427" s="225"/>
      <c r="AW1427" s="508"/>
      <c r="AX1427" s="225"/>
      <c r="AY1427" s="225"/>
      <c r="AZ1427" s="225"/>
      <c r="BA1427" s="225"/>
      <c r="BB1427" s="225"/>
      <c r="BC1427" s="56"/>
      <c r="BD1427" s="56"/>
      <c r="BE1427" s="56"/>
      <c r="BF1427" s="107" t="str">
        <f t="shared" si="1110"/>
        <v>https://www.google.com/search?tbm=isch&amp;q=Fragrant%20Princess%20has%20%27intensly%27%20fragrant%20flowers%20in%20the%20fall.%20Will%20flower%20even%20as%20a%20tiny%20plant%20</v>
      </c>
      <c r="BG1427" s="107" t="str">
        <f t="shared" si="1111"/>
        <v>F</v>
      </c>
      <c r="BH1427" s="254"/>
      <c r="BI1427" s="254"/>
    </row>
    <row r="1428" spans="1:61" customFormat="1" ht="18" x14ac:dyDescent="0.25">
      <c r="A1428" s="521" t="s">
        <v>931</v>
      </c>
      <c r="B1428" s="477"/>
      <c r="C1428" s="674"/>
      <c r="D1428" s="478" t="s">
        <v>932</v>
      </c>
      <c r="E1428" s="479"/>
      <c r="F1428" s="479"/>
      <c r="G1428" s="479"/>
      <c r="H1428" s="582" t="s">
        <v>311</v>
      </c>
      <c r="I1428" s="480" t="s">
        <v>654</v>
      </c>
      <c r="J1428" s="479"/>
      <c r="K1428" s="479"/>
      <c r="L1428" s="560"/>
      <c r="M1428" s="666" t="s">
        <v>4966</v>
      </c>
      <c r="N1428" s="680" t="str">
        <f>IF(AND(ISTEXT($A1428), ISERROR($A1428+0)), HYPERLINK($BF1428, "Images"), "")</f>
        <v>Images</v>
      </c>
      <c r="O1428" s="662" t="s">
        <v>4969</v>
      </c>
      <c r="P1428" s="482"/>
      <c r="Q1428" s="483"/>
      <c r="R1428" s="483"/>
      <c r="S1428" s="484"/>
      <c r="T1428" s="508">
        <f t="shared" si="1099"/>
        <v>0</v>
      </c>
      <c r="U1428" s="225" t="str">
        <f>IF(NOT(ISNUMBER(G1428)), "", VLOOKUP(A1428,'Discount Lookup'!D:E,2,FALSE)*G1428)</f>
        <v/>
      </c>
      <c r="V1428" s="225" t="str">
        <f>IF(NOT(ISNUMBER(G1428)), "", VLOOKUP(A1428,'Discount Lookup'!G:H,2,FALSE)*G1428)</f>
        <v/>
      </c>
      <c r="W1428" s="508">
        <f t="shared" si="1100"/>
        <v>0</v>
      </c>
      <c r="X1428" s="508" t="str">
        <f t="shared" si="1101"/>
        <v>White bloom</v>
      </c>
      <c r="Y1428" s="509" t="b">
        <f t="shared" si="1102"/>
        <v>0</v>
      </c>
      <c r="Z1428" s="510">
        <f t="shared" si="1103"/>
        <v>0</v>
      </c>
      <c r="AA1428" s="511"/>
      <c r="AB1428" s="511" t="str">
        <f t="shared" si="1104"/>
        <v/>
      </c>
      <c r="AC1428" s="698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698"/>
      <c r="AE1428" s="631" t="str">
        <f t="shared" si="1105"/>
        <v/>
      </c>
      <c r="AF1428" s="699" t="str">
        <f t="shared" si="1106"/>
        <v/>
      </c>
      <c r="AG1428" s="699"/>
      <c r="AH1428" s="699"/>
      <c r="AI1428" s="512">
        <f>IF(H1428="credit",0,IF(AE1428="free",0,IF(AE1428="me",0,IF(G1428&gt;0,(VLOOKUP(A1428,'Discount Lookup'!J:K,2)*G1428),0))))</f>
        <v>0</v>
      </c>
      <c r="AJ1428" s="513" t="str">
        <f t="shared" ca="1" si="1107"/>
        <v/>
      </c>
      <c r="AK1428" s="700" t="str">
        <f t="shared" si="1108"/>
        <v/>
      </c>
      <c r="AL1428" s="700"/>
      <c r="AM1428" s="505" t="str">
        <f t="shared" si="1109"/>
        <v/>
      </c>
      <c r="AN1428" s="506"/>
      <c r="AO1428" s="507"/>
      <c r="AP1428" s="507"/>
      <c r="AQ1428" s="507"/>
      <c r="AR1428" s="507"/>
      <c r="AS1428" s="507"/>
      <c r="AT1428" s="507"/>
      <c r="AU1428" s="507"/>
      <c r="AV1428" s="225"/>
      <c r="AW1428" s="508"/>
      <c r="AX1428" s="225"/>
      <c r="AY1428" s="225"/>
      <c r="AZ1428" s="225"/>
      <c r="BA1428" s="225"/>
      <c r="BB1428" s="225"/>
      <c r="BC1428" s="56"/>
      <c r="BD1428" s="56"/>
      <c r="BE1428" s="56"/>
      <c r="BF1428" s="107" t="str">
        <f t="shared" si="1110"/>
        <v>https://www.google.com/search?tbm=isch&amp;q=Fragrant%20Tea%20Olive%20Osmanthus%20fragrans</v>
      </c>
      <c r="BG1428" s="107" t="str">
        <f t="shared" si="1111"/>
        <v>F</v>
      </c>
      <c r="BH1428" s="254"/>
      <c r="BI1428" s="254"/>
    </row>
    <row r="1429" spans="1:61" customFormat="1" ht="15.75" x14ac:dyDescent="0.25">
      <c r="A1429" s="485">
        <v>3</v>
      </c>
      <c r="B1429" s="486" t="s">
        <v>291</v>
      </c>
      <c r="C1429" s="487"/>
      <c r="D1429" s="488" t="s">
        <v>298</v>
      </c>
      <c r="E1429" s="489">
        <v>25.95</v>
      </c>
      <c r="F1429" s="516" t="s">
        <v>293</v>
      </c>
      <c r="G1429" s="232">
        <v>0</v>
      </c>
      <c r="H1429" s="658" t="str">
        <f t="shared" ref="H1429:H1437" si="1116">IF(G1429=0,"",IF(F1429="Buy",IF(G1429=1,"plant","plants"),IF(F1429&gt;0.01,"warranty","Error")))</f>
        <v/>
      </c>
      <c r="I1429" s="490">
        <f t="shared" ref="I1429:I1437" si="1117">IF(H1429="free",0,IF(H1429="credit",((E1429*(F1429))*G1429*-1),IF(F1429="Buy",(E1429*G1429),((E1429*(1-F1429))*G1429))))</f>
        <v>0</v>
      </c>
      <c r="J1429" s="490">
        <f t="shared" ref="J1429:J1437" si="1118">IF(H1429="warranty",0,(I1429*(_xlfn.SINGLE(SalesTaxPercentage))))</f>
        <v>0</v>
      </c>
      <c r="K1429" s="695">
        <f t="shared" ref="K1429" si="1119">I1429+J1429</f>
        <v>0</v>
      </c>
      <c r="L1429" s="695"/>
      <c r="M1429" s="659" t="str">
        <f t="shared" ref="M1429:M1437" si="1120">IF(AND(G1429&gt;0,E1429=0),"WARNING - no PRICE inserted",IF(H1429="free"," FREE ~ no charge this plant",IF(H1429="credit",CONCATENATE(" -$",ROUND(K1429*(1-T2GDiscount)*-1,2)," CREDIT after discount"),IF(T2GDiscount=0,"",IF(G1429=0,"",IF(F1429="Buy",CONCATENATE(" $",ROUND(K1429*(1-T2GDiscount),2)," with ",(T2GDiscount*100),"% discount"),CONCATENATE(" $",ROUND(K1429*(1-T2GDiscount),2)," with ",((T2GDiscount*100+F1429*100)-(T2GDiscount*100*F1429)),IF(F1429&gt;0,"% discounts",IF(NoWarrantyDiscount&gt;0,"% discounts","% discount")))))))))</f>
        <v/>
      </c>
      <c r="N1429" s="660"/>
      <c r="O1429" s="233"/>
      <c r="P1429" s="233"/>
      <c r="Q1429" s="233"/>
      <c r="R1429" s="233"/>
      <c r="S1429" s="233"/>
      <c r="T1429" s="508">
        <f t="shared" si="1099"/>
        <v>0</v>
      </c>
      <c r="U1429" s="225">
        <f>IF(NOT(ISNUMBER(G1429)), "", VLOOKUP(A1429,'Discount Lookup'!D:E,2,FALSE)*G1429)</f>
        <v>0</v>
      </c>
      <c r="V1429" s="225">
        <f>IF(NOT(ISNUMBER(G1429)), "", VLOOKUP(A1429,'Discount Lookup'!G:H,2,FALSE)*G1429)</f>
        <v>0</v>
      </c>
      <c r="W1429" s="508">
        <f t="shared" si="1100"/>
        <v>0</v>
      </c>
      <c r="X1429" s="508">
        <f t="shared" si="1101"/>
        <v>0</v>
      </c>
      <c r="Y1429" s="509" t="b">
        <f t="shared" si="1102"/>
        <v>0</v>
      </c>
      <c r="Z1429" s="510">
        <f t="shared" si="1103"/>
        <v>0</v>
      </c>
      <c r="AA1429" s="511"/>
      <c r="AB1429" s="511" t="str">
        <f t="shared" si="1104"/>
        <v/>
      </c>
      <c r="AC1429" s="698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698"/>
      <c r="AE1429" s="631" t="str">
        <f t="shared" si="1105"/>
        <v/>
      </c>
      <c r="AF1429" s="699" t="str">
        <f t="shared" si="1106"/>
        <v/>
      </c>
      <c r="AG1429" s="699"/>
      <c r="AH1429" s="699"/>
      <c r="AI1429" s="512">
        <f>IF(H1429="credit",0,IF(AE1429="free",0,IF(AE1429="me",0,IF(G1429&gt;0,(VLOOKUP(A1429,'Discount Lookup'!J:K,2)*G1429),0))))</f>
        <v>0</v>
      </c>
      <c r="AJ1429" s="513" t="str">
        <f t="shared" ca="1" si="1107"/>
        <v/>
      </c>
      <c r="AK1429" s="700" t="str">
        <f t="shared" si="1108"/>
        <v/>
      </c>
      <c r="AL1429" s="700"/>
      <c r="AM1429" s="505" t="str">
        <f t="shared" si="1109"/>
        <v/>
      </c>
      <c r="AN1429" s="506"/>
      <c r="AO1429" s="507"/>
      <c r="AP1429" s="507"/>
      <c r="AQ1429" s="507"/>
      <c r="AR1429" s="507"/>
      <c r="AS1429" s="507"/>
      <c r="AT1429" s="507"/>
      <c r="AU1429" s="507"/>
      <c r="AV1429" s="225"/>
      <c r="AW1429" s="508"/>
      <c r="AX1429" s="225"/>
      <c r="AY1429" s="225"/>
      <c r="AZ1429" s="225"/>
      <c r="BA1429" s="225"/>
      <c r="BB1429" s="225"/>
      <c r="BC1429" s="56"/>
      <c r="BD1429" s="56"/>
      <c r="BE1429" s="56"/>
      <c r="BF1429" s="107" t="str">
        <f t="shared" si="1110"/>
        <v>https://www.google.com/search?tbm=isch&amp;q=3%20G1</v>
      </c>
      <c r="BG1429" s="107" t="str">
        <f t="shared" si="1111"/>
        <v>F</v>
      </c>
      <c r="BH1429" s="254"/>
      <c r="BI1429" s="254"/>
    </row>
    <row r="1430" spans="1:61" customFormat="1" ht="15.75" x14ac:dyDescent="0.25">
      <c r="A1430" s="485">
        <v>3</v>
      </c>
      <c r="B1430" s="486" t="s">
        <v>291</v>
      </c>
      <c r="C1430" s="487" t="s">
        <v>2483</v>
      </c>
      <c r="D1430" s="488" t="s">
        <v>312</v>
      </c>
      <c r="E1430" s="489">
        <v>26.95</v>
      </c>
      <c r="F1430" s="516" t="s">
        <v>293</v>
      </c>
      <c r="G1430" s="232">
        <v>0</v>
      </c>
      <c r="H1430" s="658" t="str">
        <f t="shared" si="1116"/>
        <v/>
      </c>
      <c r="I1430" s="490">
        <f t="shared" si="1117"/>
        <v>0</v>
      </c>
      <c r="J1430" s="490">
        <f t="shared" si="1118"/>
        <v>0</v>
      </c>
      <c r="K1430" s="695">
        <f t="shared" ref="K1430" si="1121">I1430+J1430</f>
        <v>0</v>
      </c>
      <c r="L1430" s="695"/>
      <c r="M1430" s="659" t="str">
        <f t="shared" si="1120"/>
        <v/>
      </c>
      <c r="N1430" s="660"/>
      <c r="O1430" s="233"/>
      <c r="P1430" s="233"/>
      <c r="Q1430" s="233"/>
      <c r="R1430" s="233"/>
      <c r="S1430" s="233"/>
      <c r="T1430" s="508">
        <f t="shared" si="1099"/>
        <v>0</v>
      </c>
      <c r="U1430" s="225">
        <f>IF(NOT(ISNUMBER(G1430)), "", VLOOKUP(A1430,'Discount Lookup'!D:E,2,FALSE)*G1430)</f>
        <v>0</v>
      </c>
      <c r="V1430" s="225">
        <f>IF(NOT(ISNUMBER(G1430)), "", VLOOKUP(A1430,'Discount Lookup'!G:H,2,FALSE)*G1430)</f>
        <v>0</v>
      </c>
      <c r="W1430" s="508">
        <f t="shared" si="1100"/>
        <v>0</v>
      </c>
      <c r="X1430" s="508">
        <f t="shared" si="1101"/>
        <v>0</v>
      </c>
      <c r="Y1430" s="509" t="b">
        <f t="shared" si="1102"/>
        <v>0</v>
      </c>
      <c r="Z1430" s="510">
        <f t="shared" si="1103"/>
        <v>0</v>
      </c>
      <c r="AA1430" s="511"/>
      <c r="AB1430" s="511" t="str">
        <f t="shared" si="1104"/>
        <v/>
      </c>
      <c r="AC1430" s="698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698"/>
      <c r="AE1430" s="631" t="str">
        <f t="shared" si="1105"/>
        <v/>
      </c>
      <c r="AF1430" s="699" t="str">
        <f t="shared" si="1106"/>
        <v/>
      </c>
      <c r="AG1430" s="699"/>
      <c r="AH1430" s="699"/>
      <c r="AI1430" s="512">
        <f>IF(H1430="credit",0,IF(AE1430="free",0,IF(AE1430="me",0,IF(G1430&gt;0,(VLOOKUP(A1430,'Discount Lookup'!J:K,2)*G1430),0))))</f>
        <v>0</v>
      </c>
      <c r="AJ1430" s="513" t="str">
        <f t="shared" ca="1" si="1107"/>
        <v/>
      </c>
      <c r="AK1430" s="700" t="str">
        <f t="shared" si="1108"/>
        <v/>
      </c>
      <c r="AL1430" s="700"/>
      <c r="AM1430" s="505" t="str">
        <f t="shared" si="1109"/>
        <v/>
      </c>
      <c r="AN1430" s="506"/>
      <c r="AO1430" s="507"/>
      <c r="AP1430" s="507"/>
      <c r="AQ1430" s="507"/>
      <c r="AR1430" s="507"/>
      <c r="AS1430" s="507"/>
      <c r="AT1430" s="507"/>
      <c r="AU1430" s="507"/>
      <c r="AV1430" s="225"/>
      <c r="AW1430" s="508"/>
      <c r="AX1430" s="225"/>
      <c r="AY1430" s="225"/>
      <c r="AZ1430" s="225"/>
      <c r="BA1430" s="225"/>
      <c r="BB1430" s="225"/>
      <c r="BC1430" s="56"/>
      <c r="BD1430" s="56"/>
      <c r="BE1430" s="56"/>
      <c r="BF1430" s="107" t="str">
        <f t="shared" si="1110"/>
        <v>https://www.google.com/search?tbm=isch&amp;q=3%20G2</v>
      </c>
      <c r="BG1430" s="107" t="str">
        <f t="shared" si="1111"/>
        <v>F</v>
      </c>
      <c r="BH1430" s="254"/>
      <c r="BI1430" s="254"/>
    </row>
    <row r="1431" spans="1:61" customFormat="1" ht="15.75" x14ac:dyDescent="0.25">
      <c r="A1431" s="485">
        <v>3</v>
      </c>
      <c r="B1431" s="486" t="s">
        <v>291</v>
      </c>
      <c r="C1431" s="487" t="s">
        <v>4510</v>
      </c>
      <c r="D1431" s="488" t="s">
        <v>299</v>
      </c>
      <c r="E1431" s="489">
        <v>31.95</v>
      </c>
      <c r="F1431" s="516" t="s">
        <v>293</v>
      </c>
      <c r="G1431" s="232">
        <v>0</v>
      </c>
      <c r="H1431" s="658" t="str">
        <f t="shared" si="1116"/>
        <v/>
      </c>
      <c r="I1431" s="490">
        <f t="shared" si="1117"/>
        <v>0</v>
      </c>
      <c r="J1431" s="490">
        <f t="shared" si="1118"/>
        <v>0</v>
      </c>
      <c r="K1431" s="695">
        <f t="shared" ref="K1431" si="1122">I1431+J1431</f>
        <v>0</v>
      </c>
      <c r="L1431" s="695"/>
      <c r="M1431" s="659" t="str">
        <f t="shared" si="1120"/>
        <v/>
      </c>
      <c r="N1431" s="660"/>
      <c r="O1431" s="233"/>
      <c r="P1431" s="233"/>
      <c r="Q1431" s="233"/>
      <c r="R1431" s="233"/>
      <c r="S1431" s="233"/>
      <c r="T1431" s="508">
        <f t="shared" si="1099"/>
        <v>0</v>
      </c>
      <c r="U1431" s="225">
        <f>IF(NOT(ISNUMBER(G1431)), "", VLOOKUP(A1431,'Discount Lookup'!D:E,2,FALSE)*G1431)</f>
        <v>0</v>
      </c>
      <c r="V1431" s="225">
        <f>IF(NOT(ISNUMBER(G1431)), "", VLOOKUP(A1431,'Discount Lookup'!G:H,2,FALSE)*G1431)</f>
        <v>0</v>
      </c>
      <c r="W1431" s="508">
        <f t="shared" si="1100"/>
        <v>0</v>
      </c>
      <c r="X1431" s="508">
        <f t="shared" si="1101"/>
        <v>0</v>
      </c>
      <c r="Y1431" s="509" t="b">
        <f t="shared" si="1102"/>
        <v>0</v>
      </c>
      <c r="Z1431" s="510">
        <f t="shared" si="1103"/>
        <v>0</v>
      </c>
      <c r="AA1431" s="511"/>
      <c r="AB1431" s="511" t="str">
        <f t="shared" si="1104"/>
        <v/>
      </c>
      <c r="AC1431" s="698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698"/>
      <c r="AE1431" s="631" t="str">
        <f t="shared" si="1105"/>
        <v/>
      </c>
      <c r="AF1431" s="699" t="str">
        <f t="shared" si="1106"/>
        <v/>
      </c>
      <c r="AG1431" s="699"/>
      <c r="AH1431" s="699"/>
      <c r="AI1431" s="512">
        <f>IF(H1431="credit",0,IF(AE1431="free",0,IF(AE1431="me",0,IF(G1431&gt;0,(VLOOKUP(A1431,'Discount Lookup'!J:K,2)*G1431),0))))</f>
        <v>0</v>
      </c>
      <c r="AJ1431" s="513" t="str">
        <f t="shared" ca="1" si="1107"/>
        <v/>
      </c>
      <c r="AK1431" s="700" t="str">
        <f t="shared" si="1108"/>
        <v/>
      </c>
      <c r="AL1431" s="700"/>
      <c r="AM1431" s="505" t="str">
        <f t="shared" si="1109"/>
        <v/>
      </c>
      <c r="AN1431" s="506"/>
      <c r="AO1431" s="507"/>
      <c r="AP1431" s="507"/>
      <c r="AQ1431" s="507"/>
      <c r="AR1431" s="507"/>
      <c r="AS1431" s="507"/>
      <c r="AT1431" s="507"/>
      <c r="AU1431" s="507"/>
      <c r="AV1431" s="225"/>
      <c r="AW1431" s="508"/>
      <c r="AX1431" s="225"/>
      <c r="AY1431" s="225"/>
      <c r="AZ1431" s="225"/>
      <c r="BA1431" s="225"/>
      <c r="BB1431" s="225"/>
      <c r="BC1431" s="56"/>
      <c r="BD1431" s="56"/>
      <c r="BE1431" s="56"/>
      <c r="BF1431" s="107" t="str">
        <f t="shared" si="1110"/>
        <v>https://www.google.com/search?tbm=isch&amp;q=3%20G5</v>
      </c>
      <c r="BG1431" s="107" t="str">
        <f t="shared" si="1111"/>
        <v>F</v>
      </c>
      <c r="BH1431" s="254"/>
      <c r="BI1431" s="254"/>
    </row>
    <row r="1432" spans="1:61" customFormat="1" ht="15.75" x14ac:dyDescent="0.25">
      <c r="A1432" s="485">
        <v>7</v>
      </c>
      <c r="B1432" s="486" t="s">
        <v>291</v>
      </c>
      <c r="C1432" s="487" t="s">
        <v>2383</v>
      </c>
      <c r="D1432" s="488" t="s">
        <v>297</v>
      </c>
      <c r="E1432" s="489">
        <v>56.95</v>
      </c>
      <c r="F1432" s="516" t="s">
        <v>293</v>
      </c>
      <c r="G1432" s="232">
        <v>0</v>
      </c>
      <c r="H1432" s="658" t="str">
        <f t="shared" si="1116"/>
        <v/>
      </c>
      <c r="I1432" s="490">
        <f t="shared" si="1117"/>
        <v>0</v>
      </c>
      <c r="J1432" s="490">
        <f t="shared" si="1118"/>
        <v>0</v>
      </c>
      <c r="K1432" s="695">
        <f t="shared" ref="K1432" si="1123">I1432+J1432</f>
        <v>0</v>
      </c>
      <c r="L1432" s="695"/>
      <c r="M1432" s="659" t="str">
        <f t="shared" si="1120"/>
        <v/>
      </c>
      <c r="N1432" s="660"/>
      <c r="O1432" s="233"/>
      <c r="P1432" s="233"/>
      <c r="Q1432" s="233"/>
      <c r="R1432" s="233"/>
      <c r="S1432" s="233"/>
      <c r="T1432" s="508">
        <f t="shared" si="1099"/>
        <v>0</v>
      </c>
      <c r="U1432" s="225">
        <f>IF(NOT(ISNUMBER(G1432)), "", VLOOKUP(A1432,'Discount Lookup'!D:E,2,FALSE)*G1432)</f>
        <v>0</v>
      </c>
      <c r="V1432" s="225">
        <f>IF(NOT(ISNUMBER(G1432)), "", VLOOKUP(A1432,'Discount Lookup'!G:H,2,FALSE)*G1432)</f>
        <v>0</v>
      </c>
      <c r="W1432" s="508">
        <f t="shared" si="1100"/>
        <v>0</v>
      </c>
      <c r="X1432" s="508">
        <f t="shared" si="1101"/>
        <v>0</v>
      </c>
      <c r="Y1432" s="509" t="b">
        <f t="shared" si="1102"/>
        <v>0</v>
      </c>
      <c r="Z1432" s="510">
        <f t="shared" si="1103"/>
        <v>0</v>
      </c>
      <c r="AA1432" s="511"/>
      <c r="AB1432" s="511" t="str">
        <f t="shared" si="1104"/>
        <v/>
      </c>
      <c r="AC1432" s="698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698"/>
      <c r="AE1432" s="631" t="str">
        <f t="shared" si="1105"/>
        <v/>
      </c>
      <c r="AF1432" s="699" t="str">
        <f t="shared" si="1106"/>
        <v/>
      </c>
      <c r="AG1432" s="699"/>
      <c r="AH1432" s="699"/>
      <c r="AI1432" s="512">
        <f>IF(H1432="credit",0,IF(AE1432="free",0,IF(AE1432="me",0,IF(G1432&gt;0,(VLOOKUP(A1432,'Discount Lookup'!J:K,2)*G1432),0))))</f>
        <v>0</v>
      </c>
      <c r="AJ1432" s="513" t="str">
        <f t="shared" ca="1" si="1107"/>
        <v/>
      </c>
      <c r="AK1432" s="700" t="str">
        <f t="shared" si="1108"/>
        <v/>
      </c>
      <c r="AL1432" s="700"/>
      <c r="AM1432" s="505" t="str">
        <f t="shared" si="1109"/>
        <v/>
      </c>
      <c r="AN1432" s="506"/>
      <c r="AO1432" s="507"/>
      <c r="AP1432" s="507"/>
      <c r="AQ1432" s="507"/>
      <c r="AR1432" s="507"/>
      <c r="AS1432" s="507"/>
      <c r="AT1432" s="507"/>
      <c r="AU1432" s="507"/>
      <c r="AV1432" s="225"/>
      <c r="AW1432" s="508"/>
      <c r="AX1432" s="225"/>
      <c r="AY1432" s="225"/>
      <c r="AZ1432" s="225"/>
      <c r="BA1432" s="225"/>
      <c r="BB1432" s="225"/>
      <c r="BC1432" s="56"/>
      <c r="BD1432" s="56"/>
      <c r="BE1432" s="56"/>
      <c r="BF1432" s="107" t="str">
        <f t="shared" si="1110"/>
        <v>https://www.google.com/search?tbm=isch&amp;q=7%20G3</v>
      </c>
      <c r="BG1432" s="107" t="str">
        <f t="shared" si="1111"/>
        <v>F</v>
      </c>
      <c r="BH1432" s="254"/>
      <c r="BI1432" s="254"/>
    </row>
    <row r="1433" spans="1:61" customFormat="1" ht="15.75" x14ac:dyDescent="0.25">
      <c r="A1433" s="485">
        <v>7</v>
      </c>
      <c r="B1433" s="486" t="s">
        <v>291</v>
      </c>
      <c r="C1433" s="487" t="s">
        <v>4761</v>
      </c>
      <c r="D1433" s="488" t="s">
        <v>299</v>
      </c>
      <c r="E1433" s="489">
        <v>79.95</v>
      </c>
      <c r="F1433" s="516" t="s">
        <v>293</v>
      </c>
      <c r="G1433" s="232">
        <v>0</v>
      </c>
      <c r="H1433" s="658" t="str">
        <f t="shared" si="1116"/>
        <v/>
      </c>
      <c r="I1433" s="490">
        <f t="shared" si="1117"/>
        <v>0</v>
      </c>
      <c r="J1433" s="490">
        <f t="shared" si="1118"/>
        <v>0</v>
      </c>
      <c r="K1433" s="695">
        <f t="shared" ref="K1433" si="1124">I1433+J1433</f>
        <v>0</v>
      </c>
      <c r="L1433" s="695"/>
      <c r="M1433" s="659" t="str">
        <f t="shared" si="1120"/>
        <v/>
      </c>
      <c r="N1433" s="660"/>
      <c r="O1433" s="233"/>
      <c r="P1433" s="233"/>
      <c r="Q1433" s="233"/>
      <c r="R1433" s="233"/>
      <c r="S1433" s="233"/>
      <c r="T1433" s="508">
        <f t="shared" si="1099"/>
        <v>0</v>
      </c>
      <c r="U1433" s="225">
        <f>IF(NOT(ISNUMBER(G1433)), "", VLOOKUP(A1433,'Discount Lookup'!D:E,2,FALSE)*G1433)</f>
        <v>0</v>
      </c>
      <c r="V1433" s="225">
        <f>IF(NOT(ISNUMBER(G1433)), "", VLOOKUP(A1433,'Discount Lookup'!G:H,2,FALSE)*G1433)</f>
        <v>0</v>
      </c>
      <c r="W1433" s="508">
        <f t="shared" si="1100"/>
        <v>0</v>
      </c>
      <c r="X1433" s="508">
        <f t="shared" si="1101"/>
        <v>0</v>
      </c>
      <c r="Y1433" s="509" t="b">
        <f t="shared" si="1102"/>
        <v>0</v>
      </c>
      <c r="Z1433" s="510">
        <f t="shared" si="1103"/>
        <v>0</v>
      </c>
      <c r="AA1433" s="511"/>
      <c r="AB1433" s="511" t="str">
        <f t="shared" si="1104"/>
        <v/>
      </c>
      <c r="AC1433" s="698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698"/>
      <c r="AE1433" s="631" t="str">
        <f t="shared" si="1105"/>
        <v/>
      </c>
      <c r="AF1433" s="699" t="str">
        <f t="shared" si="1106"/>
        <v/>
      </c>
      <c r="AG1433" s="699"/>
      <c r="AH1433" s="699"/>
      <c r="AI1433" s="512">
        <f>IF(H1433="credit",0,IF(AE1433="free",0,IF(AE1433="me",0,IF(G1433&gt;0,(VLOOKUP(A1433,'Discount Lookup'!J:K,2)*G1433),0))))</f>
        <v>0</v>
      </c>
      <c r="AJ1433" s="513" t="str">
        <f t="shared" ca="1" si="1107"/>
        <v/>
      </c>
      <c r="AK1433" s="700" t="str">
        <f t="shared" si="1108"/>
        <v/>
      </c>
      <c r="AL1433" s="700"/>
      <c r="AM1433" s="505" t="str">
        <f t="shared" si="1109"/>
        <v/>
      </c>
      <c r="AN1433" s="506"/>
      <c r="AO1433" s="507"/>
      <c r="AP1433" s="507"/>
      <c r="AQ1433" s="507"/>
      <c r="AR1433" s="507"/>
      <c r="AS1433" s="507"/>
      <c r="AT1433" s="507"/>
      <c r="AU1433" s="507"/>
      <c r="AV1433" s="225"/>
      <c r="AW1433" s="508"/>
      <c r="AX1433" s="225"/>
      <c r="AY1433" s="225"/>
      <c r="AZ1433" s="225"/>
      <c r="BA1433" s="225"/>
      <c r="BB1433" s="225"/>
      <c r="BC1433" s="56"/>
      <c r="BD1433" s="56"/>
      <c r="BE1433" s="56"/>
      <c r="BF1433" s="107" t="str">
        <f t="shared" si="1110"/>
        <v>https://www.google.com/search?tbm=isch&amp;q=7%20G5</v>
      </c>
      <c r="BG1433" s="107" t="str">
        <f t="shared" si="1111"/>
        <v>F</v>
      </c>
      <c r="BH1433" s="254"/>
      <c r="BI1433" s="254"/>
    </row>
    <row r="1434" spans="1:61" customFormat="1" ht="15.75" x14ac:dyDescent="0.25">
      <c r="A1434" s="485">
        <v>7</v>
      </c>
      <c r="B1434" s="486" t="s">
        <v>291</v>
      </c>
      <c r="C1434" s="487" t="s">
        <v>3492</v>
      </c>
      <c r="D1434" s="488" t="s">
        <v>292</v>
      </c>
      <c r="E1434" s="489">
        <v>86.95</v>
      </c>
      <c r="F1434" s="516" t="s">
        <v>293</v>
      </c>
      <c r="G1434" s="232">
        <v>0</v>
      </c>
      <c r="H1434" s="658" t="str">
        <f t="shared" si="1116"/>
        <v/>
      </c>
      <c r="I1434" s="490">
        <f t="shared" si="1117"/>
        <v>0</v>
      </c>
      <c r="J1434" s="490">
        <f t="shared" si="1118"/>
        <v>0</v>
      </c>
      <c r="K1434" s="695">
        <f t="shared" ref="K1434" si="1125">I1434+J1434</f>
        <v>0</v>
      </c>
      <c r="L1434" s="695"/>
      <c r="M1434" s="659" t="str">
        <f t="shared" si="1120"/>
        <v/>
      </c>
      <c r="N1434" s="660"/>
      <c r="O1434" s="233"/>
      <c r="P1434" s="233"/>
      <c r="Q1434" s="233"/>
      <c r="R1434" s="233"/>
      <c r="S1434" s="233"/>
      <c r="T1434" s="508">
        <f t="shared" si="1099"/>
        <v>0</v>
      </c>
      <c r="U1434" s="225">
        <f>IF(NOT(ISNUMBER(G1434)), "", VLOOKUP(A1434,'Discount Lookup'!D:E,2,FALSE)*G1434)</f>
        <v>0</v>
      </c>
      <c r="V1434" s="225">
        <f>IF(NOT(ISNUMBER(G1434)), "", VLOOKUP(A1434,'Discount Lookup'!G:H,2,FALSE)*G1434)</f>
        <v>0</v>
      </c>
      <c r="W1434" s="508">
        <f t="shared" si="1100"/>
        <v>0</v>
      </c>
      <c r="X1434" s="508">
        <f t="shared" si="1101"/>
        <v>0</v>
      </c>
      <c r="Y1434" s="509" t="b">
        <f t="shared" si="1102"/>
        <v>0</v>
      </c>
      <c r="Z1434" s="510">
        <f t="shared" si="1103"/>
        <v>0</v>
      </c>
      <c r="AA1434" s="511"/>
      <c r="AB1434" s="511" t="str">
        <f t="shared" si="1104"/>
        <v/>
      </c>
      <c r="AC1434" s="698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698"/>
      <c r="AE1434" s="631" t="str">
        <f t="shared" si="1105"/>
        <v/>
      </c>
      <c r="AF1434" s="699" t="str">
        <f t="shared" si="1106"/>
        <v/>
      </c>
      <c r="AG1434" s="699"/>
      <c r="AH1434" s="699"/>
      <c r="AI1434" s="512">
        <f>IF(H1434="credit",0,IF(AE1434="free",0,IF(AE1434="me",0,IF(G1434&gt;0,(VLOOKUP(A1434,'Discount Lookup'!J:K,2)*G1434),0))))</f>
        <v>0</v>
      </c>
      <c r="AJ1434" s="513" t="str">
        <f t="shared" ca="1" si="1107"/>
        <v/>
      </c>
      <c r="AK1434" s="700" t="str">
        <f t="shared" si="1108"/>
        <v/>
      </c>
      <c r="AL1434" s="700"/>
      <c r="AM1434" s="505" t="str">
        <f t="shared" si="1109"/>
        <v/>
      </c>
      <c r="AN1434" s="506"/>
      <c r="AO1434" s="507"/>
      <c r="AP1434" s="507"/>
      <c r="AQ1434" s="507"/>
      <c r="AR1434" s="507"/>
      <c r="AS1434" s="507"/>
      <c r="AT1434" s="507"/>
      <c r="AU1434" s="507"/>
      <c r="AV1434" s="225"/>
      <c r="AW1434" s="508"/>
      <c r="AX1434" s="225"/>
      <c r="AY1434" s="225"/>
      <c r="AZ1434" s="225"/>
      <c r="BA1434" s="225"/>
      <c r="BB1434" s="225"/>
      <c r="BC1434" s="56"/>
      <c r="BD1434" s="56"/>
      <c r="BE1434" s="56"/>
      <c r="BF1434" s="107" t="str">
        <f t="shared" si="1110"/>
        <v>https://www.google.com/search?tbm=isch&amp;q=7%20G4</v>
      </c>
      <c r="BG1434" s="107" t="str">
        <f t="shared" si="1111"/>
        <v>F</v>
      </c>
      <c r="BH1434" s="254"/>
      <c r="BI1434" s="254"/>
    </row>
    <row r="1435" spans="1:61" customFormat="1" ht="15.75" x14ac:dyDescent="0.25">
      <c r="A1435" s="485">
        <v>7</v>
      </c>
      <c r="B1435" s="486" t="s">
        <v>291</v>
      </c>
      <c r="C1435" s="487" t="s">
        <v>4609</v>
      </c>
      <c r="D1435" s="488" t="s">
        <v>312</v>
      </c>
      <c r="E1435" s="489">
        <v>91.95</v>
      </c>
      <c r="F1435" s="516" t="s">
        <v>293</v>
      </c>
      <c r="G1435" s="232">
        <v>0</v>
      </c>
      <c r="H1435" s="658" t="str">
        <f t="shared" si="1116"/>
        <v/>
      </c>
      <c r="I1435" s="490">
        <f t="shared" si="1117"/>
        <v>0</v>
      </c>
      <c r="J1435" s="490">
        <f t="shared" si="1118"/>
        <v>0</v>
      </c>
      <c r="K1435" s="695">
        <f t="shared" ref="K1435" si="1126">I1435+J1435</f>
        <v>0</v>
      </c>
      <c r="L1435" s="695"/>
      <c r="M1435" s="659" t="str">
        <f t="shared" si="1120"/>
        <v/>
      </c>
      <c r="N1435" s="660"/>
      <c r="O1435" s="233"/>
      <c r="P1435" s="233"/>
      <c r="Q1435" s="233"/>
      <c r="R1435" s="233"/>
      <c r="S1435" s="233"/>
      <c r="T1435" s="508">
        <f t="shared" si="1099"/>
        <v>0</v>
      </c>
      <c r="U1435" s="225">
        <f>IF(NOT(ISNUMBER(G1435)), "", VLOOKUP(A1435,'Discount Lookup'!D:E,2,FALSE)*G1435)</f>
        <v>0</v>
      </c>
      <c r="V1435" s="225">
        <f>IF(NOT(ISNUMBER(G1435)), "", VLOOKUP(A1435,'Discount Lookup'!G:H,2,FALSE)*G1435)</f>
        <v>0</v>
      </c>
      <c r="W1435" s="508">
        <f t="shared" si="1100"/>
        <v>0</v>
      </c>
      <c r="X1435" s="508">
        <f t="shared" si="1101"/>
        <v>0</v>
      </c>
      <c r="Y1435" s="509" t="b">
        <f t="shared" si="1102"/>
        <v>0</v>
      </c>
      <c r="Z1435" s="510">
        <f t="shared" si="1103"/>
        <v>0</v>
      </c>
      <c r="AA1435" s="511"/>
      <c r="AB1435" s="511" t="str">
        <f t="shared" si="1104"/>
        <v/>
      </c>
      <c r="AC1435" s="698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698"/>
      <c r="AE1435" s="631" t="str">
        <f t="shared" si="1105"/>
        <v/>
      </c>
      <c r="AF1435" s="699" t="str">
        <f t="shared" si="1106"/>
        <v/>
      </c>
      <c r="AG1435" s="699"/>
      <c r="AH1435" s="699"/>
      <c r="AI1435" s="512">
        <f>IF(H1435="credit",0,IF(AE1435="free",0,IF(AE1435="me",0,IF(G1435&gt;0,(VLOOKUP(A1435,'Discount Lookup'!J:K,2)*G1435),0))))</f>
        <v>0</v>
      </c>
      <c r="AJ1435" s="513" t="str">
        <f t="shared" ca="1" si="1107"/>
        <v/>
      </c>
      <c r="AK1435" s="700" t="str">
        <f t="shared" si="1108"/>
        <v/>
      </c>
      <c r="AL1435" s="700"/>
      <c r="AM1435" s="505" t="str">
        <f t="shared" si="1109"/>
        <v/>
      </c>
      <c r="AN1435" s="506"/>
      <c r="AO1435" s="507"/>
      <c r="AP1435" s="507"/>
      <c r="AQ1435" s="507"/>
      <c r="AR1435" s="507"/>
      <c r="AS1435" s="507"/>
      <c r="AT1435" s="507"/>
      <c r="AU1435" s="507"/>
      <c r="AV1435" s="225"/>
      <c r="AW1435" s="508"/>
      <c r="AX1435" s="225"/>
      <c r="AY1435" s="225"/>
      <c r="AZ1435" s="225"/>
      <c r="BA1435" s="225"/>
      <c r="BB1435" s="225"/>
      <c r="BC1435" s="56"/>
      <c r="BD1435" s="56"/>
      <c r="BE1435" s="56"/>
      <c r="BF1435" s="107" t="str">
        <f t="shared" si="1110"/>
        <v>https://www.google.com/search?tbm=isch&amp;q=7%20G2</v>
      </c>
      <c r="BG1435" s="107" t="str">
        <f t="shared" si="1111"/>
        <v>F</v>
      </c>
      <c r="BH1435" s="254"/>
      <c r="BI1435" s="254"/>
    </row>
    <row r="1436" spans="1:61" customFormat="1" ht="15.75" x14ac:dyDescent="0.25">
      <c r="A1436" s="485">
        <v>10</v>
      </c>
      <c r="B1436" s="486" t="s">
        <v>291</v>
      </c>
      <c r="C1436" s="487" t="s">
        <v>3990</v>
      </c>
      <c r="D1436" s="488" t="s">
        <v>300</v>
      </c>
      <c r="E1436" s="489">
        <v>166.95</v>
      </c>
      <c r="F1436" s="516" t="s">
        <v>293</v>
      </c>
      <c r="G1436" s="232">
        <v>0</v>
      </c>
      <c r="H1436" s="658" t="str">
        <f t="shared" si="1116"/>
        <v/>
      </c>
      <c r="I1436" s="490">
        <f t="shared" si="1117"/>
        <v>0</v>
      </c>
      <c r="J1436" s="490">
        <f t="shared" si="1118"/>
        <v>0</v>
      </c>
      <c r="K1436" s="695">
        <f t="shared" ref="K1436" si="1127">I1436+J1436</f>
        <v>0</v>
      </c>
      <c r="L1436" s="695"/>
      <c r="M1436" s="659" t="str">
        <f t="shared" si="1120"/>
        <v/>
      </c>
      <c r="N1436" s="660"/>
      <c r="O1436" s="233"/>
      <c r="P1436" s="233"/>
      <c r="Q1436" s="233"/>
      <c r="R1436" s="233"/>
      <c r="S1436" s="233"/>
      <c r="T1436" s="508">
        <f t="shared" si="1099"/>
        <v>0</v>
      </c>
      <c r="U1436" s="225">
        <f>IF(NOT(ISNUMBER(G1436)), "", VLOOKUP(A1436,'Discount Lookup'!D:E,2,FALSE)*G1436)</f>
        <v>0</v>
      </c>
      <c r="V1436" s="225">
        <f>IF(NOT(ISNUMBER(G1436)), "", VLOOKUP(A1436,'Discount Lookup'!G:H,2,FALSE)*G1436)</f>
        <v>0</v>
      </c>
      <c r="W1436" s="508">
        <f t="shared" si="1100"/>
        <v>0</v>
      </c>
      <c r="X1436" s="508">
        <f t="shared" si="1101"/>
        <v>0</v>
      </c>
      <c r="Y1436" s="509" t="b">
        <f t="shared" si="1102"/>
        <v>0</v>
      </c>
      <c r="Z1436" s="510">
        <f t="shared" si="1103"/>
        <v>0</v>
      </c>
      <c r="AA1436" s="511"/>
      <c r="AB1436" s="511" t="str">
        <f t="shared" si="1104"/>
        <v/>
      </c>
      <c r="AC1436" s="698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698"/>
      <c r="AE1436" s="631" t="str">
        <f t="shared" si="1105"/>
        <v/>
      </c>
      <c r="AF1436" s="699" t="str">
        <f t="shared" si="1106"/>
        <v/>
      </c>
      <c r="AG1436" s="699"/>
      <c r="AH1436" s="699"/>
      <c r="AI1436" s="512">
        <f>IF(H1436="credit",0,IF(AE1436="free",0,IF(AE1436="me",0,IF(G1436&gt;0,(VLOOKUP(A1436,'Discount Lookup'!J:K,2)*G1436),0))))</f>
        <v>0</v>
      </c>
      <c r="AJ1436" s="513" t="str">
        <f t="shared" ca="1" si="1107"/>
        <v/>
      </c>
      <c r="AK1436" s="700" t="str">
        <f t="shared" si="1108"/>
        <v/>
      </c>
      <c r="AL1436" s="700"/>
      <c r="AM1436" s="505" t="str">
        <f t="shared" si="1109"/>
        <v/>
      </c>
      <c r="AN1436" s="506"/>
      <c r="AO1436" s="507"/>
      <c r="AP1436" s="507"/>
      <c r="AQ1436" s="507"/>
      <c r="AR1436" s="507"/>
      <c r="AS1436" s="507"/>
      <c r="AT1436" s="507"/>
      <c r="AU1436" s="507"/>
      <c r="AV1436" s="225"/>
      <c r="AW1436" s="508"/>
      <c r="AX1436" s="225"/>
      <c r="AY1436" s="225"/>
      <c r="AZ1436" s="225"/>
      <c r="BA1436" s="225"/>
      <c r="BB1436" s="225"/>
      <c r="BC1436" s="56"/>
      <c r="BD1436" s="56"/>
      <c r="BE1436" s="56"/>
      <c r="BF1436" s="107" t="str">
        <f t="shared" si="1110"/>
        <v>https://www.google.com/search?tbm=isch&amp;q=10%20G6</v>
      </c>
      <c r="BG1436" s="107" t="str">
        <f t="shared" si="1111"/>
        <v>F</v>
      </c>
      <c r="BH1436" s="254"/>
      <c r="BI1436" s="254"/>
    </row>
    <row r="1437" spans="1:61" customFormat="1" ht="15.75" x14ac:dyDescent="0.25">
      <c r="A1437" s="485">
        <v>20</v>
      </c>
      <c r="B1437" s="486" t="s">
        <v>291</v>
      </c>
      <c r="C1437" s="487" t="s">
        <v>3493</v>
      </c>
      <c r="D1437" s="488" t="s">
        <v>292</v>
      </c>
      <c r="E1437" s="489">
        <v>206.95</v>
      </c>
      <c r="F1437" s="516" t="s">
        <v>293</v>
      </c>
      <c r="G1437" s="232">
        <v>0</v>
      </c>
      <c r="H1437" s="658" t="str">
        <f t="shared" si="1116"/>
        <v/>
      </c>
      <c r="I1437" s="490">
        <f t="shared" si="1117"/>
        <v>0</v>
      </c>
      <c r="J1437" s="490">
        <f t="shared" si="1118"/>
        <v>0</v>
      </c>
      <c r="K1437" s="695">
        <f t="shared" ref="K1437" si="1128">I1437+J1437</f>
        <v>0</v>
      </c>
      <c r="L1437" s="695"/>
      <c r="M1437" s="659" t="str">
        <f t="shared" si="1120"/>
        <v/>
      </c>
      <c r="N1437" s="660"/>
      <c r="O1437" s="233"/>
      <c r="P1437" s="233"/>
      <c r="Q1437" s="233"/>
      <c r="R1437" s="233"/>
      <c r="S1437" s="233"/>
      <c r="T1437" s="508">
        <f t="shared" si="1099"/>
        <v>0</v>
      </c>
      <c r="U1437" s="225">
        <f>IF(NOT(ISNUMBER(G1437)), "", VLOOKUP(A1437,'Discount Lookup'!D:E,2,FALSE)*G1437)</f>
        <v>0</v>
      </c>
      <c r="V1437" s="225">
        <f>IF(NOT(ISNUMBER(G1437)), "", VLOOKUP(A1437,'Discount Lookup'!G:H,2,FALSE)*G1437)</f>
        <v>0</v>
      </c>
      <c r="W1437" s="508">
        <f t="shared" si="1100"/>
        <v>0</v>
      </c>
      <c r="X1437" s="508">
        <f t="shared" si="1101"/>
        <v>0</v>
      </c>
      <c r="Y1437" s="509" t="b">
        <f t="shared" si="1102"/>
        <v>0</v>
      </c>
      <c r="Z1437" s="510">
        <f t="shared" si="1103"/>
        <v>0</v>
      </c>
      <c r="AA1437" s="511"/>
      <c r="AB1437" s="511" t="str">
        <f t="shared" si="1104"/>
        <v/>
      </c>
      <c r="AC1437" s="698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698"/>
      <c r="AE1437" s="631" t="str">
        <f t="shared" si="1105"/>
        <v/>
      </c>
      <c r="AF1437" s="699" t="str">
        <f t="shared" si="1106"/>
        <v/>
      </c>
      <c r="AG1437" s="699"/>
      <c r="AH1437" s="699"/>
      <c r="AI1437" s="512">
        <f>IF(H1437="credit",0,IF(AE1437="free",0,IF(AE1437="me",0,IF(G1437&gt;0,(VLOOKUP(A1437,'Discount Lookup'!J:K,2)*G1437),0))))</f>
        <v>0</v>
      </c>
      <c r="AJ1437" s="513" t="str">
        <f t="shared" ca="1" si="1107"/>
        <v/>
      </c>
      <c r="AK1437" s="700" t="str">
        <f t="shared" si="1108"/>
        <v/>
      </c>
      <c r="AL1437" s="700"/>
      <c r="AM1437" s="505" t="str">
        <f t="shared" si="1109"/>
        <v/>
      </c>
      <c r="AN1437" s="506"/>
      <c r="AO1437" s="507"/>
      <c r="AP1437" s="507"/>
      <c r="AQ1437" s="507"/>
      <c r="AR1437" s="507"/>
      <c r="AS1437" s="507"/>
      <c r="AT1437" s="507"/>
      <c r="AU1437" s="507"/>
      <c r="AV1437" s="225"/>
      <c r="AW1437" s="508"/>
      <c r="AX1437" s="225"/>
      <c r="AY1437" s="225"/>
      <c r="AZ1437" s="225"/>
      <c r="BA1437" s="225"/>
      <c r="BB1437" s="225"/>
      <c r="BC1437" s="56"/>
      <c r="BD1437" s="56"/>
      <c r="BE1437" s="56"/>
      <c r="BF1437" s="107" t="str">
        <f t="shared" si="1110"/>
        <v>https://www.google.com/search?tbm=isch&amp;q=20%20G4</v>
      </c>
      <c r="BG1437" s="107" t="str">
        <f t="shared" si="1111"/>
        <v>F</v>
      </c>
      <c r="BH1437" s="254"/>
      <c r="BI1437" s="254"/>
    </row>
    <row r="1438" spans="1:61" customFormat="1" ht="16.5" thickBot="1" x14ac:dyDescent="0.3">
      <c r="A1438" s="522" t="s">
        <v>2384</v>
      </c>
      <c r="B1438" s="491"/>
      <c r="C1438" s="675"/>
      <c r="D1438" s="491"/>
      <c r="E1438" s="491"/>
      <c r="F1438" s="492"/>
      <c r="G1438" s="493"/>
      <c r="H1438" s="491"/>
      <c r="I1438" s="234"/>
      <c r="J1438" s="234"/>
      <c r="K1438" s="494"/>
      <c r="L1438" s="543"/>
      <c r="M1438" s="561"/>
      <c r="N1438" s="495"/>
      <c r="O1438" s="496"/>
      <c r="P1438" s="497"/>
      <c r="Q1438" s="495"/>
      <c r="R1438" s="495"/>
      <c r="S1438" s="277"/>
      <c r="T1438" s="508">
        <f t="shared" si="1099"/>
        <v>0</v>
      </c>
      <c r="U1438" s="225" t="str">
        <f>IF(NOT(ISNUMBER(G1438)), "", VLOOKUP(A1438,'Discount Lookup'!D:E,2,FALSE)*G1438)</f>
        <v/>
      </c>
      <c r="V1438" s="225" t="str">
        <f>IF(NOT(ISNUMBER(G1438)), "", VLOOKUP(A1438,'Discount Lookup'!G:H,2,FALSE)*G1438)</f>
        <v/>
      </c>
      <c r="W1438" s="508">
        <f t="shared" si="1100"/>
        <v>0</v>
      </c>
      <c r="X1438" s="508">
        <f t="shared" si="1101"/>
        <v>0</v>
      </c>
      <c r="Y1438" s="509" t="b">
        <f t="shared" si="1102"/>
        <v>0</v>
      </c>
      <c r="Z1438" s="510">
        <f t="shared" si="1103"/>
        <v>0</v>
      </c>
      <c r="AA1438" s="511"/>
      <c r="AB1438" s="511" t="str">
        <f t="shared" si="1104"/>
        <v/>
      </c>
      <c r="AC1438" s="698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698"/>
      <c r="AE1438" s="631" t="str">
        <f t="shared" si="1105"/>
        <v/>
      </c>
      <c r="AF1438" s="699" t="str">
        <f t="shared" si="1106"/>
        <v/>
      </c>
      <c r="AG1438" s="699"/>
      <c r="AH1438" s="699"/>
      <c r="AI1438" s="512">
        <f>IF(H1438="credit",0,IF(AE1438="free",0,IF(AE1438="me",0,IF(G1438&gt;0,(VLOOKUP(A1438,'Discount Lookup'!J:K,2)*G1438),0))))</f>
        <v>0</v>
      </c>
      <c r="AJ1438" s="513" t="str">
        <f t="shared" ca="1" si="1107"/>
        <v/>
      </c>
      <c r="AK1438" s="700" t="str">
        <f t="shared" si="1108"/>
        <v/>
      </c>
      <c r="AL1438" s="700"/>
      <c r="AM1438" s="505" t="str">
        <f t="shared" si="1109"/>
        <v/>
      </c>
      <c r="AN1438" s="506"/>
      <c r="AO1438" s="507"/>
      <c r="AP1438" s="507"/>
      <c r="AQ1438" s="507"/>
      <c r="AR1438" s="507"/>
      <c r="AS1438" s="507"/>
      <c r="AT1438" s="507"/>
      <c r="AU1438" s="507"/>
      <c r="AV1438" s="225"/>
      <c r="AW1438" s="508"/>
      <c r="AX1438" s="225"/>
      <c r="AY1438" s="225"/>
      <c r="AZ1438" s="225"/>
      <c r="BA1438" s="225"/>
      <c r="BB1438" s="225"/>
      <c r="BC1438" s="56"/>
      <c r="BD1438" s="56"/>
      <c r="BE1438" s="56"/>
      <c r="BF1438" s="107" t="str">
        <f t="shared" si="1110"/>
        <v>https://www.google.com/search?tbm=isch&amp;q=Fragrant%20Tea%20Olive%20is%20very%20aromatic%2C%20starting%20with%20blooms%20in%20late%20winter%2C%20then%20sporadically%20over%20summer%20</v>
      </c>
      <c r="BG1438" s="107" t="str">
        <f t="shared" si="1111"/>
        <v>F</v>
      </c>
      <c r="BH1438" s="254"/>
      <c r="BI1438" s="254"/>
    </row>
    <row r="1439" spans="1:61" customFormat="1" ht="18" x14ac:dyDescent="0.25">
      <c r="A1439" s="523" t="s">
        <v>934</v>
      </c>
      <c r="B1439" s="235"/>
      <c r="C1439" s="676"/>
      <c r="D1439" s="255" t="s">
        <v>935</v>
      </c>
      <c r="E1439" s="236"/>
      <c r="F1439" s="236"/>
      <c r="G1439" s="236"/>
      <c r="H1439" s="582" t="s">
        <v>2883</v>
      </c>
      <c r="I1439" s="498" t="s">
        <v>4407</v>
      </c>
      <c r="J1439" s="237"/>
      <c r="K1439" s="237"/>
      <c r="L1439" s="274"/>
      <c r="M1439" s="668" t="s">
        <v>4975</v>
      </c>
      <c r="N1439" s="681" t="str">
        <f>IF(AND(ISTEXT($A1439), ISERROR($A1439+0)), HYPERLINK($BF1439, "Images"), "")</f>
        <v>Images</v>
      </c>
      <c r="O1439" s="663" t="s">
        <v>4967</v>
      </c>
      <c r="P1439" s="253"/>
      <c r="Q1439" s="238"/>
      <c r="R1439" s="239"/>
      <c r="S1439" s="275"/>
      <c r="T1439" s="508">
        <f t="shared" si="1099"/>
        <v>0</v>
      </c>
      <c r="U1439" s="225" t="str">
        <f>IF(NOT(ISNUMBER(G1439)), "", VLOOKUP(A1439,'Discount Lookup'!D:E,2,FALSE)*G1439)</f>
        <v/>
      </c>
      <c r="V1439" s="225" t="str">
        <f>IF(NOT(ISNUMBER(G1439)), "", VLOOKUP(A1439,'Discount Lookup'!G:H,2,FALSE)*G1439)</f>
        <v/>
      </c>
      <c r="W1439" s="508">
        <f t="shared" si="1100"/>
        <v>0</v>
      </c>
      <c r="X1439" s="508" t="str">
        <f t="shared" si="1101"/>
        <v>Pale Yellow, Maroon eye</v>
      </c>
      <c r="Y1439" s="509" t="b">
        <f t="shared" si="1102"/>
        <v>0</v>
      </c>
      <c r="Z1439" s="510">
        <f t="shared" si="1103"/>
        <v>0</v>
      </c>
      <c r="AA1439" s="511"/>
      <c r="AB1439" s="511" t="str">
        <f t="shared" si="1104"/>
        <v/>
      </c>
      <c r="AC1439" s="698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698"/>
      <c r="AE1439" s="631" t="str">
        <f t="shared" si="1105"/>
        <v/>
      </c>
      <c r="AF1439" s="699" t="str">
        <f t="shared" si="1106"/>
        <v/>
      </c>
      <c r="AG1439" s="699"/>
      <c r="AH1439" s="699"/>
      <c r="AI1439" s="512">
        <f>IF(H1439="credit",0,IF(AE1439="free",0,IF(AE1439="me",0,IF(G1439&gt;0,(VLOOKUP(A1439,'Discount Lookup'!J:K,2)*G1439),0))))</f>
        <v>0</v>
      </c>
      <c r="AJ1439" s="513" t="str">
        <f t="shared" ca="1" si="1107"/>
        <v/>
      </c>
      <c r="AK1439" s="700" t="str">
        <f t="shared" si="1108"/>
        <v/>
      </c>
      <c r="AL1439" s="700"/>
      <c r="AM1439" s="505" t="str">
        <f t="shared" si="1109"/>
        <v/>
      </c>
      <c r="AN1439" s="506"/>
      <c r="AO1439" s="507"/>
      <c r="AP1439" s="507"/>
      <c r="AQ1439" s="507"/>
      <c r="AR1439" s="507"/>
      <c r="AS1439" s="507"/>
      <c r="AT1439" s="507"/>
      <c r="AU1439" s="507"/>
      <c r="AV1439" s="225"/>
      <c r="AW1439" s="508"/>
      <c r="AX1439" s="225"/>
      <c r="AY1439" s="225"/>
      <c r="AZ1439" s="225"/>
      <c r="BA1439" s="225"/>
      <c r="BB1439" s="225"/>
      <c r="BC1439" s="56"/>
      <c r="BD1439" s="56"/>
      <c r="BE1439" s="56"/>
      <c r="BF1439" s="107" t="str">
        <f t="shared" si="1110"/>
        <v>https://www.google.com/search?tbm=isch&amp;q=Fragrant%20Wintersweet%20Chimonanthus%20praecox</v>
      </c>
      <c r="BG1439" s="107" t="str">
        <f t="shared" si="1111"/>
        <v>F</v>
      </c>
      <c r="BH1439" s="254"/>
      <c r="BI1439" s="254"/>
    </row>
    <row r="1440" spans="1:61" customFormat="1" ht="27" x14ac:dyDescent="0.25">
      <c r="A1440" s="276">
        <v>7</v>
      </c>
      <c r="B1440" s="240" t="s">
        <v>291</v>
      </c>
      <c r="C1440" s="241" t="s">
        <v>3494</v>
      </c>
      <c r="D1440" s="242" t="s">
        <v>292</v>
      </c>
      <c r="E1440" s="243">
        <v>86.95</v>
      </c>
      <c r="F1440" s="517" t="s">
        <v>293</v>
      </c>
      <c r="G1440" s="232">
        <v>0</v>
      </c>
      <c r="H1440" s="661" t="str">
        <f>IF(G1440=0,"",IF(F1440="Buy",IF(G1440=1,"plant","plants"),IF(F1440&gt;0.01,"warranty","Error")))</f>
        <v/>
      </c>
      <c r="I1440" s="244">
        <f>IF(H1440="free",0,IF(H1440="credit",((E1440*(F1440))*G1440*-1),IF(F1440="Buy",(E1440*G1440),((E1440*(1-F1440))*G1440))))</f>
        <v>0</v>
      </c>
      <c r="J1440" s="244">
        <f>IF(H1440="warranty",0,(I1440*(_xlfn.SINGLE(SalesTaxPercentage))))</f>
        <v>0</v>
      </c>
      <c r="K1440" s="696">
        <f t="shared" ref="K1440" si="1129">I1440+J1440</f>
        <v>0</v>
      </c>
      <c r="L1440" s="696"/>
      <c r="M1440" s="659" t="str">
        <f>IF(AND(G1440&gt;0,E1440=0),"WARNING - no PRICE inserted",IF(H1440="free"," FREE ~ no charge this plant",IF(H1440="credit",CONCATENATE(" -$",ROUND(K1440*(1-T2GDiscount)*-1,2)," CREDIT after discount"),IF(T2GDiscount=0,"",IF(G1440=0,"",IF(F1440="Buy",CONCATENATE(" $",ROUND(K1440*(1-T2GDiscount),2)," with ",(T2GDiscount*100),"% discount"),CONCATENATE(" $",ROUND(K1440*(1-T2GDiscount),2)," with ",((T2GDiscount*100+F1440*100)-(T2GDiscount*100*F1440)),IF(F1440&gt;0,"% discounts",IF(NoWarrantyDiscount&gt;0,"% discounts","% discount")))))))))</f>
        <v/>
      </c>
      <c r="N1440" s="660"/>
      <c r="O1440" s="233"/>
      <c r="P1440" s="233"/>
      <c r="Q1440" s="233"/>
      <c r="R1440" s="233"/>
      <c r="S1440" s="233"/>
      <c r="T1440" s="508">
        <f t="shared" si="1099"/>
        <v>0</v>
      </c>
      <c r="U1440" s="225">
        <f>IF(NOT(ISNUMBER(G1440)), "", VLOOKUP(A1440,'Discount Lookup'!D:E,2,FALSE)*G1440)</f>
        <v>0</v>
      </c>
      <c r="V1440" s="225">
        <f>IF(NOT(ISNUMBER(G1440)), "", VLOOKUP(A1440,'Discount Lookup'!G:H,2,FALSE)*G1440)</f>
        <v>0</v>
      </c>
      <c r="W1440" s="508">
        <f t="shared" si="1100"/>
        <v>0</v>
      </c>
      <c r="X1440" s="508">
        <f t="shared" si="1101"/>
        <v>0</v>
      </c>
      <c r="Y1440" s="509" t="b">
        <f t="shared" si="1102"/>
        <v>0</v>
      </c>
      <c r="Z1440" s="510">
        <f t="shared" si="1103"/>
        <v>0</v>
      </c>
      <c r="AA1440" s="511"/>
      <c r="AB1440" s="511" t="str">
        <f t="shared" si="1104"/>
        <v/>
      </c>
      <c r="AC1440" s="698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698"/>
      <c r="AE1440" s="631" t="str">
        <f t="shared" si="1105"/>
        <v/>
      </c>
      <c r="AF1440" s="699" t="str">
        <f t="shared" si="1106"/>
        <v/>
      </c>
      <c r="AG1440" s="699"/>
      <c r="AH1440" s="699"/>
      <c r="AI1440" s="512">
        <f>IF(H1440="credit",0,IF(AE1440="free",0,IF(AE1440="me",0,IF(G1440&gt;0,(VLOOKUP(A1440,'Discount Lookup'!J:K,2)*G1440),0))))</f>
        <v>0</v>
      </c>
      <c r="AJ1440" s="513" t="str">
        <f t="shared" ca="1" si="1107"/>
        <v/>
      </c>
      <c r="AK1440" s="700" t="str">
        <f t="shared" si="1108"/>
        <v/>
      </c>
      <c r="AL1440" s="700"/>
      <c r="AM1440" s="505" t="str">
        <f t="shared" si="1109"/>
        <v/>
      </c>
      <c r="AN1440" s="506"/>
      <c r="AO1440" s="507"/>
      <c r="AP1440" s="507"/>
      <c r="AQ1440" s="507"/>
      <c r="AR1440" s="507"/>
      <c r="AS1440" s="507"/>
      <c r="AT1440" s="507"/>
      <c r="AU1440" s="507"/>
      <c r="AV1440" s="225"/>
      <c r="AW1440" s="508"/>
      <c r="AX1440" s="225"/>
      <c r="AY1440" s="225"/>
      <c r="AZ1440" s="225"/>
      <c r="BA1440" s="225"/>
      <c r="BB1440" s="225"/>
      <c r="BC1440" s="56"/>
      <c r="BD1440" s="56"/>
      <c r="BE1440" s="56"/>
      <c r="BF1440" s="107" t="str">
        <f t="shared" si="1110"/>
        <v>https://www.google.com/search?tbm=isch&amp;q=7%20G4</v>
      </c>
      <c r="BG1440" s="107" t="str">
        <f t="shared" si="1111"/>
        <v>F</v>
      </c>
      <c r="BH1440" s="254"/>
      <c r="BI1440" s="254"/>
    </row>
    <row r="1441" spans="1:61" customFormat="1" ht="27" x14ac:dyDescent="0.25">
      <c r="A1441" s="276">
        <v>7</v>
      </c>
      <c r="B1441" s="240" t="s">
        <v>291</v>
      </c>
      <c r="C1441" s="241" t="s">
        <v>3495</v>
      </c>
      <c r="D1441" s="242" t="s">
        <v>292</v>
      </c>
      <c r="E1441" s="243">
        <v>100.95</v>
      </c>
      <c r="F1441" s="517" t="s">
        <v>293</v>
      </c>
      <c r="G1441" s="232">
        <v>0</v>
      </c>
      <c r="H1441" s="661" t="str">
        <f>IF(G1441=0,"",IF(F1441="Buy",IF(G1441=1,"plant","plants"),IF(F1441&gt;0.01,"warranty","Error")))</f>
        <v/>
      </c>
      <c r="I1441" s="244">
        <f>IF(H1441="free",0,IF(H1441="credit",((E1441*(F1441))*G1441*-1),IF(F1441="Buy",(E1441*G1441),((E1441*(1-F1441))*G1441))))</f>
        <v>0</v>
      </c>
      <c r="J1441" s="244">
        <f>IF(H1441="warranty",0,(I1441*(_xlfn.SINGLE(SalesTaxPercentage))))</f>
        <v>0</v>
      </c>
      <c r="K1441" s="696">
        <f t="shared" ref="K1441" si="1130">I1441+J1441</f>
        <v>0</v>
      </c>
      <c r="L1441" s="696"/>
      <c r="M1441" s="659" t="str">
        <f>IF(AND(G1441&gt;0,E1441=0),"WARNING - no PRICE inserted",IF(H1441="free"," FREE ~ no charge this plant",IF(H1441="credit",CONCATENATE(" -$",ROUND(K1441*(1-T2GDiscount)*-1,2)," CREDIT after discount"),IF(T2GDiscount=0,"",IF(G1441=0,"",IF(F1441="Buy",CONCATENATE(" $",ROUND(K1441*(1-T2GDiscount),2)," with ",(T2GDiscount*100),"% discount"),CONCATENATE(" $",ROUND(K1441*(1-T2GDiscount),2)," with ",((T2GDiscount*100+F1441*100)-(T2GDiscount*100*F1441)),IF(F1441&gt;0,"% discounts",IF(NoWarrantyDiscount&gt;0,"% discounts","% discount")))))))))</f>
        <v/>
      </c>
      <c r="N1441" s="660"/>
      <c r="O1441" s="233"/>
      <c r="P1441" s="233"/>
      <c r="Q1441" s="233"/>
      <c r="R1441" s="233"/>
      <c r="S1441" s="233"/>
      <c r="T1441" s="508">
        <f t="shared" si="1099"/>
        <v>0</v>
      </c>
      <c r="U1441" s="225">
        <f>IF(NOT(ISNUMBER(G1441)), "", VLOOKUP(A1441,'Discount Lookup'!D:E,2,FALSE)*G1441)</f>
        <v>0</v>
      </c>
      <c r="V1441" s="225">
        <f>IF(NOT(ISNUMBER(G1441)), "", VLOOKUP(A1441,'Discount Lookup'!G:H,2,FALSE)*G1441)</f>
        <v>0</v>
      </c>
      <c r="W1441" s="508">
        <f t="shared" si="1100"/>
        <v>0</v>
      </c>
      <c r="X1441" s="508">
        <f t="shared" si="1101"/>
        <v>0</v>
      </c>
      <c r="Y1441" s="509" t="b">
        <f t="shared" si="1102"/>
        <v>0</v>
      </c>
      <c r="Z1441" s="510">
        <f t="shared" si="1103"/>
        <v>0</v>
      </c>
      <c r="AA1441" s="511"/>
      <c r="AB1441" s="511" t="str">
        <f t="shared" si="1104"/>
        <v/>
      </c>
      <c r="AC1441" s="698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698"/>
      <c r="AE1441" s="631" t="str">
        <f t="shared" si="1105"/>
        <v/>
      </c>
      <c r="AF1441" s="699" t="str">
        <f t="shared" si="1106"/>
        <v/>
      </c>
      <c r="AG1441" s="699"/>
      <c r="AH1441" s="699"/>
      <c r="AI1441" s="512">
        <f>IF(H1441="credit",0,IF(AE1441="free",0,IF(AE1441="me",0,IF(G1441&gt;0,(VLOOKUP(A1441,'Discount Lookup'!J:K,2)*G1441),0))))</f>
        <v>0</v>
      </c>
      <c r="AJ1441" s="513" t="str">
        <f t="shared" ca="1" si="1107"/>
        <v/>
      </c>
      <c r="AK1441" s="700" t="str">
        <f t="shared" si="1108"/>
        <v/>
      </c>
      <c r="AL1441" s="700"/>
      <c r="AM1441" s="505" t="str">
        <f t="shared" si="1109"/>
        <v/>
      </c>
      <c r="AN1441" s="506"/>
      <c r="AO1441" s="507"/>
      <c r="AP1441" s="507"/>
      <c r="AQ1441" s="507"/>
      <c r="AR1441" s="507"/>
      <c r="AS1441" s="507"/>
      <c r="AT1441" s="507"/>
      <c r="AU1441" s="507"/>
      <c r="AV1441" s="225"/>
      <c r="AW1441" s="508"/>
      <c r="AX1441" s="225"/>
      <c r="AY1441" s="225"/>
      <c r="AZ1441" s="225"/>
      <c r="BA1441" s="225"/>
      <c r="BB1441" s="225"/>
      <c r="BC1441" s="56"/>
      <c r="BD1441" s="56"/>
      <c r="BE1441" s="56"/>
      <c r="BF1441" s="107" t="str">
        <f t="shared" si="1110"/>
        <v>https://www.google.com/search?tbm=isch&amp;q=7%20G4</v>
      </c>
      <c r="BG1441" s="107" t="str">
        <f t="shared" si="1111"/>
        <v>F</v>
      </c>
      <c r="BH1441" s="254"/>
      <c r="BI1441" s="254"/>
    </row>
    <row r="1442" spans="1:61" customFormat="1" ht="17.25" thickBot="1" x14ac:dyDescent="0.3">
      <c r="A1442" s="524" t="s">
        <v>2884</v>
      </c>
      <c r="B1442" s="245"/>
      <c r="C1442" s="677"/>
      <c r="D1442" s="499"/>
      <c r="E1442" s="499"/>
      <c r="F1442" s="500"/>
      <c r="G1442" s="501"/>
      <c r="H1442" s="502"/>
      <c r="I1442" s="246"/>
      <c r="J1442" s="247"/>
      <c r="K1442" s="503"/>
      <c r="L1442" s="544"/>
      <c r="M1442" s="544"/>
      <c r="N1442" s="500"/>
      <c r="O1442" s="500"/>
      <c r="P1442" s="500"/>
      <c r="Q1442" s="500"/>
      <c r="R1442" s="500"/>
      <c r="S1442" s="278"/>
      <c r="T1442" s="508">
        <f t="shared" si="1099"/>
        <v>0</v>
      </c>
      <c r="U1442" s="225" t="str">
        <f>IF(NOT(ISNUMBER(G1442)), "", VLOOKUP(A1442,'Discount Lookup'!D:E,2,FALSE)*G1442)</f>
        <v/>
      </c>
      <c r="V1442" s="225" t="str">
        <f>IF(NOT(ISNUMBER(G1442)), "", VLOOKUP(A1442,'Discount Lookup'!G:H,2,FALSE)*G1442)</f>
        <v/>
      </c>
      <c r="W1442" s="508">
        <f t="shared" si="1100"/>
        <v>0</v>
      </c>
      <c r="X1442" s="508">
        <f t="shared" si="1101"/>
        <v>0</v>
      </c>
      <c r="Y1442" s="509" t="b">
        <f t="shared" si="1102"/>
        <v>0</v>
      </c>
      <c r="Z1442" s="510">
        <f t="shared" si="1103"/>
        <v>0</v>
      </c>
      <c r="AA1442" s="511"/>
      <c r="AB1442" s="511" t="str">
        <f t="shared" si="1104"/>
        <v/>
      </c>
      <c r="AC1442" s="698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698"/>
      <c r="AE1442" s="631" t="str">
        <f t="shared" si="1105"/>
        <v/>
      </c>
      <c r="AF1442" s="699" t="str">
        <f t="shared" si="1106"/>
        <v/>
      </c>
      <c r="AG1442" s="699"/>
      <c r="AH1442" s="699"/>
      <c r="AI1442" s="512">
        <f>IF(H1442="credit",0,IF(AE1442="free",0,IF(AE1442="me",0,IF(G1442&gt;0,(VLOOKUP(A1442,'Discount Lookup'!J:K,2)*G1442),0))))</f>
        <v>0</v>
      </c>
      <c r="AJ1442" s="513" t="str">
        <f t="shared" ca="1" si="1107"/>
        <v/>
      </c>
      <c r="AK1442" s="700" t="str">
        <f t="shared" si="1108"/>
        <v/>
      </c>
      <c r="AL1442" s="700"/>
      <c r="AM1442" s="505" t="str">
        <f t="shared" si="1109"/>
        <v/>
      </c>
      <c r="AN1442" s="506"/>
      <c r="AO1442" s="507"/>
      <c r="AP1442" s="507"/>
      <c r="AQ1442" s="507"/>
      <c r="AR1442" s="507"/>
      <c r="AS1442" s="507"/>
      <c r="AT1442" s="507"/>
      <c r="AU1442" s="507"/>
      <c r="AV1442" s="225"/>
      <c r="AW1442" s="508"/>
      <c r="AX1442" s="225"/>
      <c r="AY1442" s="225"/>
      <c r="AZ1442" s="225"/>
      <c r="BA1442" s="225"/>
      <c r="BB1442" s="225"/>
      <c r="BC1442" s="56"/>
      <c r="BD1442" s="56"/>
      <c r="BE1442" s="56"/>
      <c r="BF1442" s="107" t="str">
        <f t="shared" si="1110"/>
        <v>https://www.google.com/search?tbm=isch&amp;q=Fragrant%20Wintersweet%20has%20intensely%20sweet%2C%20lemony-scented%20blooms%20that%20appear%20on%20bare%20branches%20in%20mid%20to%20late%20winter%2C%20then%20Dark%20Green%20foliage%20</v>
      </c>
      <c r="BG1442" s="107" t="str">
        <f t="shared" si="1111"/>
        <v>F</v>
      </c>
      <c r="BH1442" s="254"/>
      <c r="BI1442" s="254"/>
    </row>
    <row r="1443" spans="1:61" customFormat="1" ht="18" x14ac:dyDescent="0.25">
      <c r="A1443" s="521" t="s">
        <v>936</v>
      </c>
      <c r="B1443" s="477"/>
      <c r="C1443" s="674"/>
      <c r="D1443" s="478" t="s">
        <v>937</v>
      </c>
      <c r="E1443" s="479"/>
      <c r="F1443" s="479"/>
      <c r="G1443" s="479"/>
      <c r="H1443" s="582" t="s">
        <v>359</v>
      </c>
      <c r="I1443" s="480" t="s">
        <v>2293</v>
      </c>
      <c r="J1443" s="479"/>
      <c r="K1443" s="479"/>
      <c r="L1443" s="560"/>
      <c r="M1443" s="666" t="s">
        <v>4963</v>
      </c>
      <c r="N1443" s="680" t="str">
        <f>IF(AND(ISTEXT($A1443), ISERROR($A1443+0)), HYPERLINK($BF1443, "Images"), "")</f>
        <v>Images</v>
      </c>
      <c r="O1443" s="662" t="s">
        <v>4974</v>
      </c>
      <c r="P1443" s="482"/>
      <c r="Q1443" s="483"/>
      <c r="R1443" s="483"/>
      <c r="S1443" s="484"/>
      <c r="T1443" s="508">
        <f t="shared" si="1099"/>
        <v>0</v>
      </c>
      <c r="U1443" s="225" t="str">
        <f>IF(NOT(ISNUMBER(G1443)), "", VLOOKUP(A1443,'Discount Lookup'!D:E,2,FALSE)*G1443)</f>
        <v/>
      </c>
      <c r="V1443" s="225" t="str">
        <f>IF(NOT(ISNUMBER(G1443)), "", VLOOKUP(A1443,'Discount Lookup'!G:H,2,FALSE)*G1443)</f>
        <v/>
      </c>
      <c r="W1443" s="508">
        <f t="shared" si="1100"/>
        <v>0</v>
      </c>
      <c r="X1443" s="508" t="str">
        <f t="shared" si="1101"/>
        <v>Golden-Yellow foliage</v>
      </c>
      <c r="Y1443" s="509" t="b">
        <f t="shared" si="1102"/>
        <v>0</v>
      </c>
      <c r="Z1443" s="510">
        <f t="shared" si="1103"/>
        <v>0</v>
      </c>
      <c r="AA1443" s="511"/>
      <c r="AB1443" s="511" t="str">
        <f t="shared" si="1104"/>
        <v/>
      </c>
      <c r="AC1443" s="698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698"/>
      <c r="AE1443" s="631" t="str">
        <f t="shared" si="1105"/>
        <v/>
      </c>
      <c r="AF1443" s="699" t="str">
        <f t="shared" si="1106"/>
        <v/>
      </c>
      <c r="AG1443" s="699"/>
      <c r="AH1443" s="699"/>
      <c r="AI1443" s="512">
        <f>IF(H1443="credit",0,IF(AE1443="free",0,IF(AE1443="me",0,IF(G1443&gt;0,(VLOOKUP(A1443,'Discount Lookup'!J:K,2)*G1443),0))))</f>
        <v>0</v>
      </c>
      <c r="AJ1443" s="513" t="str">
        <f t="shared" ca="1" si="1107"/>
        <v/>
      </c>
      <c r="AK1443" s="700" t="str">
        <f t="shared" si="1108"/>
        <v/>
      </c>
      <c r="AL1443" s="700"/>
      <c r="AM1443" s="505" t="str">
        <f t="shared" si="1109"/>
        <v/>
      </c>
      <c r="AN1443" s="506"/>
      <c r="AO1443" s="507"/>
      <c r="AP1443" s="507"/>
      <c r="AQ1443" s="507"/>
      <c r="AR1443" s="507"/>
      <c r="AS1443" s="507"/>
      <c r="AT1443" s="507"/>
      <c r="AU1443" s="507"/>
      <c r="AV1443" s="225"/>
      <c r="AW1443" s="508"/>
      <c r="AX1443" s="225"/>
      <c r="AY1443" s="225"/>
      <c r="AZ1443" s="225"/>
      <c r="BA1443" s="225"/>
      <c r="BB1443" s="225"/>
      <c r="BC1443" s="56"/>
      <c r="BD1443" s="56"/>
      <c r="BE1443" s="56"/>
      <c r="BF1443" s="107" t="str">
        <f t="shared" si="1110"/>
        <v>https://www.google.com/search?tbm=isch&amp;q=Franky%20Boy%20Chinese%20Arborvitae%20Thuja%20orientalis%20%27Franky%20Boy%27</v>
      </c>
      <c r="BG1443" s="107" t="str">
        <f t="shared" si="1111"/>
        <v>F</v>
      </c>
      <c r="BH1443" s="254"/>
      <c r="BI1443" s="254"/>
    </row>
    <row r="1444" spans="1:61" customFormat="1" ht="15.75" x14ac:dyDescent="0.25">
      <c r="A1444" s="485">
        <v>3</v>
      </c>
      <c r="B1444" s="486" t="s">
        <v>291</v>
      </c>
      <c r="C1444" s="487" t="s">
        <v>3496</v>
      </c>
      <c r="D1444" s="488" t="s">
        <v>292</v>
      </c>
      <c r="E1444" s="489">
        <v>58.95</v>
      </c>
      <c r="F1444" s="516" t="s">
        <v>293</v>
      </c>
      <c r="G1444" s="232">
        <v>0</v>
      </c>
      <c r="H1444" s="658" t="str">
        <f>IF(G1444=0,"",IF(F1444="Buy",IF(G1444=1,"plant","plants"),IF(F1444&gt;0.01,"warranty","Error")))</f>
        <v/>
      </c>
      <c r="I1444" s="490">
        <f>IF(H1444="free",0,IF(H1444="credit",((E1444*(F1444))*G1444*-1),IF(F1444="Buy",(E1444*G1444),((E1444*(1-F1444))*G1444))))</f>
        <v>0</v>
      </c>
      <c r="J1444" s="490">
        <f>IF(H1444="warranty",0,(I1444*(_xlfn.SINGLE(SalesTaxPercentage))))</f>
        <v>0</v>
      </c>
      <c r="K1444" s="695">
        <f t="shared" ref="K1444" si="1131">I1444+J1444</f>
        <v>0</v>
      </c>
      <c r="L1444" s="695"/>
      <c r="M1444" s="659" t="str">
        <f>IF(AND(G1444&gt;0,E1444=0),"WARNING - no PRICE inserted",IF(H1444="free"," FREE ~ no charge this plant",IF(H1444="credit",CONCATENATE(" -$",ROUND(K1444*(1-T2GDiscount)*-1,2)," CREDIT after discount"),IF(T2GDiscount=0,"",IF(G1444=0,"",IF(F1444="Buy",CONCATENATE(" $",ROUND(K1444*(1-T2GDiscount),2)," with ",(T2GDiscount*100),"% discount"),CONCATENATE(" $",ROUND(K1444*(1-T2GDiscount),2)," with ",((T2GDiscount*100+F1444*100)-(T2GDiscount*100*F1444)),IF(F1444&gt;0,"% discounts",IF(NoWarrantyDiscount&gt;0,"% discounts","% discount")))))))))</f>
        <v/>
      </c>
      <c r="N1444" s="660"/>
      <c r="O1444" s="233"/>
      <c r="P1444" s="233"/>
      <c r="Q1444" s="233"/>
      <c r="R1444" s="233"/>
      <c r="S1444" s="233"/>
      <c r="T1444" s="508">
        <f t="shared" si="1099"/>
        <v>0</v>
      </c>
      <c r="U1444" s="225">
        <f>IF(NOT(ISNUMBER(G1444)), "", VLOOKUP(A1444,'Discount Lookup'!D:E,2,FALSE)*G1444)</f>
        <v>0</v>
      </c>
      <c r="V1444" s="225">
        <f>IF(NOT(ISNUMBER(G1444)), "", VLOOKUP(A1444,'Discount Lookup'!G:H,2,FALSE)*G1444)</f>
        <v>0</v>
      </c>
      <c r="W1444" s="508">
        <f t="shared" si="1100"/>
        <v>0</v>
      </c>
      <c r="X1444" s="508">
        <f t="shared" si="1101"/>
        <v>0</v>
      </c>
      <c r="Y1444" s="509" t="b">
        <f t="shared" si="1102"/>
        <v>0</v>
      </c>
      <c r="Z1444" s="510">
        <f t="shared" si="1103"/>
        <v>0</v>
      </c>
      <c r="AA1444" s="511"/>
      <c r="AB1444" s="511" t="str">
        <f t="shared" si="1104"/>
        <v/>
      </c>
      <c r="AC1444" s="698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698"/>
      <c r="AE1444" s="631" t="str">
        <f t="shared" si="1105"/>
        <v/>
      </c>
      <c r="AF1444" s="699" t="str">
        <f t="shared" si="1106"/>
        <v/>
      </c>
      <c r="AG1444" s="699"/>
      <c r="AH1444" s="699"/>
      <c r="AI1444" s="512">
        <f>IF(H1444="credit",0,IF(AE1444="free",0,IF(AE1444="me",0,IF(G1444&gt;0,(VLOOKUP(A1444,'Discount Lookup'!J:K,2)*G1444),0))))</f>
        <v>0</v>
      </c>
      <c r="AJ1444" s="513" t="str">
        <f t="shared" ca="1" si="1107"/>
        <v/>
      </c>
      <c r="AK1444" s="700" t="str">
        <f t="shared" si="1108"/>
        <v/>
      </c>
      <c r="AL1444" s="700"/>
      <c r="AM1444" s="505" t="str">
        <f t="shared" si="1109"/>
        <v/>
      </c>
      <c r="AN1444" s="506"/>
      <c r="AO1444" s="507"/>
      <c r="AP1444" s="507"/>
      <c r="AQ1444" s="507"/>
      <c r="AR1444" s="507"/>
      <c r="AS1444" s="507"/>
      <c r="AT1444" s="507"/>
      <c r="AU1444" s="507"/>
      <c r="AV1444" s="225"/>
      <c r="AW1444" s="508"/>
      <c r="AX1444" s="225"/>
      <c r="AY1444" s="225"/>
      <c r="AZ1444" s="225"/>
      <c r="BA1444" s="225"/>
      <c r="BB1444" s="225"/>
      <c r="BC1444" s="56"/>
      <c r="BD1444" s="56"/>
      <c r="BE1444" s="56"/>
      <c r="BF1444" s="107" t="str">
        <f t="shared" si="1110"/>
        <v>https://www.google.com/search?tbm=isch&amp;q=3%20G4</v>
      </c>
      <c r="BG1444" s="107" t="str">
        <f t="shared" si="1111"/>
        <v>F</v>
      </c>
      <c r="BH1444" s="254"/>
      <c r="BI1444" s="254"/>
    </row>
    <row r="1445" spans="1:61" customFormat="1" ht="15.75" x14ac:dyDescent="0.25">
      <c r="A1445" s="485">
        <v>7</v>
      </c>
      <c r="B1445" s="486" t="s">
        <v>291</v>
      </c>
      <c r="C1445" s="487" t="s">
        <v>3497</v>
      </c>
      <c r="D1445" s="488" t="s">
        <v>292</v>
      </c>
      <c r="E1445" s="489">
        <v>160.94999999999999</v>
      </c>
      <c r="F1445" s="516" t="s">
        <v>293</v>
      </c>
      <c r="G1445" s="232">
        <v>0</v>
      </c>
      <c r="H1445" s="658" t="str">
        <f>IF(G1445=0,"",IF(F1445="Buy",IF(G1445=1,"plant","plants"),IF(F1445&gt;0.01,"warranty","Error")))</f>
        <v/>
      </c>
      <c r="I1445" s="490">
        <f>IF(H1445="free",0,IF(H1445="credit",((E1445*(F1445))*G1445*-1),IF(F1445="Buy",(E1445*G1445),((E1445*(1-F1445))*G1445))))</f>
        <v>0</v>
      </c>
      <c r="J1445" s="490">
        <f>IF(H1445="warranty",0,(I1445*(_xlfn.SINGLE(SalesTaxPercentage))))</f>
        <v>0</v>
      </c>
      <c r="K1445" s="695">
        <f t="shared" ref="K1445" si="1132">I1445+J1445</f>
        <v>0</v>
      </c>
      <c r="L1445" s="695"/>
      <c r="M1445" s="659" t="str">
        <f>IF(AND(G1445&gt;0,E1445=0),"WARNING - no PRICE inserted",IF(H1445="free"," FREE ~ no charge this plant",IF(H1445="credit",CONCATENATE(" -$",ROUND(K1445*(1-T2GDiscount)*-1,2)," CREDIT after discount"),IF(T2GDiscount=0,"",IF(G1445=0,"",IF(F1445="Buy",CONCATENATE(" $",ROUND(K1445*(1-T2GDiscount),2)," with ",(T2GDiscount*100),"% discount"),CONCATENATE(" $",ROUND(K1445*(1-T2GDiscount),2)," with ",((T2GDiscount*100+F1445*100)-(T2GDiscount*100*F1445)),IF(F1445&gt;0,"% discounts",IF(NoWarrantyDiscount&gt;0,"% discounts","% discount")))))))))</f>
        <v/>
      </c>
      <c r="N1445" s="660"/>
      <c r="O1445" s="233"/>
      <c r="P1445" s="233"/>
      <c r="Q1445" s="233"/>
      <c r="R1445" s="233"/>
      <c r="S1445" s="233"/>
      <c r="T1445" s="508">
        <f t="shared" si="1099"/>
        <v>0</v>
      </c>
      <c r="U1445" s="225">
        <f>IF(NOT(ISNUMBER(G1445)), "", VLOOKUP(A1445,'Discount Lookup'!D:E,2,FALSE)*G1445)</f>
        <v>0</v>
      </c>
      <c r="V1445" s="225">
        <f>IF(NOT(ISNUMBER(G1445)), "", VLOOKUP(A1445,'Discount Lookup'!G:H,2,FALSE)*G1445)</f>
        <v>0</v>
      </c>
      <c r="W1445" s="508">
        <f t="shared" si="1100"/>
        <v>0</v>
      </c>
      <c r="X1445" s="508">
        <f t="shared" si="1101"/>
        <v>0</v>
      </c>
      <c r="Y1445" s="509" t="b">
        <f t="shared" si="1102"/>
        <v>0</v>
      </c>
      <c r="Z1445" s="510">
        <f t="shared" si="1103"/>
        <v>0</v>
      </c>
      <c r="AA1445" s="511"/>
      <c r="AB1445" s="511" t="str">
        <f t="shared" si="1104"/>
        <v/>
      </c>
      <c r="AC1445" s="698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698"/>
      <c r="AE1445" s="631" t="str">
        <f t="shared" si="1105"/>
        <v/>
      </c>
      <c r="AF1445" s="699" t="str">
        <f t="shared" si="1106"/>
        <v/>
      </c>
      <c r="AG1445" s="699"/>
      <c r="AH1445" s="699"/>
      <c r="AI1445" s="512">
        <f>IF(H1445="credit",0,IF(AE1445="free",0,IF(AE1445="me",0,IF(G1445&gt;0,(VLOOKUP(A1445,'Discount Lookup'!J:K,2)*G1445),0))))</f>
        <v>0</v>
      </c>
      <c r="AJ1445" s="513" t="str">
        <f t="shared" ca="1" si="1107"/>
        <v/>
      </c>
      <c r="AK1445" s="700" t="str">
        <f t="shared" si="1108"/>
        <v/>
      </c>
      <c r="AL1445" s="700"/>
      <c r="AM1445" s="505" t="str">
        <f t="shared" si="1109"/>
        <v/>
      </c>
      <c r="AN1445" s="506"/>
      <c r="AO1445" s="507"/>
      <c r="AP1445" s="507"/>
      <c r="AQ1445" s="507"/>
      <c r="AR1445" s="507"/>
      <c r="AS1445" s="507"/>
      <c r="AT1445" s="507"/>
      <c r="AU1445" s="507"/>
      <c r="AV1445" s="225"/>
      <c r="AW1445" s="508"/>
      <c r="AX1445" s="225"/>
      <c r="AY1445" s="225"/>
      <c r="AZ1445" s="225"/>
      <c r="BA1445" s="225"/>
      <c r="BB1445" s="225"/>
      <c r="BC1445" s="56"/>
      <c r="BD1445" s="56"/>
      <c r="BE1445" s="56"/>
      <c r="BF1445" s="107" t="str">
        <f t="shared" si="1110"/>
        <v>https://www.google.com/search?tbm=isch&amp;q=7%20G4</v>
      </c>
      <c r="BG1445" s="107" t="str">
        <f t="shared" si="1111"/>
        <v>F</v>
      </c>
      <c r="BH1445" s="254"/>
      <c r="BI1445" s="254"/>
    </row>
    <row r="1446" spans="1:61" customFormat="1" ht="27" x14ac:dyDescent="0.25">
      <c r="A1446" s="485">
        <v>7</v>
      </c>
      <c r="B1446" s="486" t="s">
        <v>291</v>
      </c>
      <c r="C1446" s="487" t="s">
        <v>3498</v>
      </c>
      <c r="D1446" s="488" t="s">
        <v>292</v>
      </c>
      <c r="E1446" s="489">
        <v>263.95</v>
      </c>
      <c r="F1446" s="516" t="s">
        <v>293</v>
      </c>
      <c r="G1446" s="232">
        <v>0</v>
      </c>
      <c r="H1446" s="658" t="str">
        <f>IF(G1446=0,"",IF(F1446="Buy",IF(G1446=1,"plant","plants"),IF(F1446&gt;0.01,"warranty","Error")))</f>
        <v/>
      </c>
      <c r="I1446" s="490">
        <f>IF(H1446="free",0,IF(H1446="credit",((E1446*(F1446))*G1446*-1),IF(F1446="Buy",(E1446*G1446),((E1446*(1-F1446))*G1446))))</f>
        <v>0</v>
      </c>
      <c r="J1446" s="490">
        <f>IF(H1446="warranty",0,(I1446*(_xlfn.SINGLE(SalesTaxPercentage))))</f>
        <v>0</v>
      </c>
      <c r="K1446" s="695">
        <f t="shared" ref="K1446" si="1133">I1446+J1446</f>
        <v>0</v>
      </c>
      <c r="L1446" s="695"/>
      <c r="M1446" s="659" t="str">
        <f>IF(AND(G1446&gt;0,E1446=0),"WARNING - no PRICE inserted",IF(H1446="free"," FREE ~ no charge this plant",IF(H1446="credit",CONCATENATE(" -$",ROUND(K1446*(1-T2GDiscount)*-1,2)," CREDIT after discount"),IF(T2GDiscount=0,"",IF(G1446=0,"",IF(F1446="Buy",CONCATENATE(" $",ROUND(K1446*(1-T2GDiscount),2)," with ",(T2GDiscount*100),"% discount"),CONCATENATE(" $",ROUND(K1446*(1-T2GDiscount),2)," with ",((T2GDiscount*100+F1446*100)-(T2GDiscount*100*F1446)),IF(F1446&gt;0,"% discounts",IF(NoWarrantyDiscount&gt;0,"% discounts","% discount")))))))))</f>
        <v/>
      </c>
      <c r="N1446" s="660"/>
      <c r="O1446" s="233"/>
      <c r="P1446" s="233"/>
      <c r="Q1446" s="233"/>
      <c r="R1446" s="233"/>
      <c r="S1446" s="233"/>
      <c r="T1446" s="508">
        <f t="shared" si="1099"/>
        <v>0</v>
      </c>
      <c r="U1446" s="225">
        <f>IF(NOT(ISNUMBER(G1446)), "", VLOOKUP(A1446,'Discount Lookup'!D:E,2,FALSE)*G1446)</f>
        <v>0</v>
      </c>
      <c r="V1446" s="225">
        <f>IF(NOT(ISNUMBER(G1446)), "", VLOOKUP(A1446,'Discount Lookup'!G:H,2,FALSE)*G1446)</f>
        <v>0</v>
      </c>
      <c r="W1446" s="508">
        <f t="shared" si="1100"/>
        <v>0</v>
      </c>
      <c r="X1446" s="508">
        <f t="shared" si="1101"/>
        <v>0</v>
      </c>
      <c r="Y1446" s="509" t="b">
        <f t="shared" si="1102"/>
        <v>0</v>
      </c>
      <c r="Z1446" s="510">
        <f t="shared" si="1103"/>
        <v>0</v>
      </c>
      <c r="AA1446" s="511"/>
      <c r="AB1446" s="511" t="str">
        <f t="shared" si="1104"/>
        <v/>
      </c>
      <c r="AC1446" s="698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698"/>
      <c r="AE1446" s="631" t="str">
        <f t="shared" si="1105"/>
        <v/>
      </c>
      <c r="AF1446" s="699" t="str">
        <f t="shared" si="1106"/>
        <v/>
      </c>
      <c r="AG1446" s="699"/>
      <c r="AH1446" s="699"/>
      <c r="AI1446" s="512">
        <f>IF(H1446="credit",0,IF(AE1446="free",0,IF(AE1446="me",0,IF(G1446&gt;0,(VLOOKUP(A1446,'Discount Lookup'!J:K,2)*G1446),0))))</f>
        <v>0</v>
      </c>
      <c r="AJ1446" s="513" t="str">
        <f t="shared" ca="1" si="1107"/>
        <v/>
      </c>
      <c r="AK1446" s="700" t="str">
        <f t="shared" si="1108"/>
        <v/>
      </c>
      <c r="AL1446" s="700"/>
      <c r="AM1446" s="505" t="str">
        <f t="shared" si="1109"/>
        <v/>
      </c>
      <c r="AN1446" s="506"/>
      <c r="AO1446" s="507"/>
      <c r="AP1446" s="507"/>
      <c r="AQ1446" s="507"/>
      <c r="AR1446" s="507"/>
      <c r="AS1446" s="507"/>
      <c r="AT1446" s="507"/>
      <c r="AU1446" s="507"/>
      <c r="AV1446" s="225"/>
      <c r="AW1446" s="508"/>
      <c r="AX1446" s="225"/>
      <c r="AY1446" s="225"/>
      <c r="AZ1446" s="225"/>
      <c r="BA1446" s="225"/>
      <c r="BB1446" s="225"/>
      <c r="BC1446" s="56"/>
      <c r="BD1446" s="56"/>
      <c r="BE1446" s="56"/>
      <c r="BF1446" s="107" t="str">
        <f t="shared" si="1110"/>
        <v>https://www.google.com/search?tbm=isch&amp;q=7%20G4</v>
      </c>
      <c r="BG1446" s="107" t="str">
        <f t="shared" si="1111"/>
        <v>F</v>
      </c>
      <c r="BH1446" s="254"/>
      <c r="BI1446" s="254"/>
    </row>
    <row r="1447" spans="1:61" customFormat="1" ht="17.25" thickBot="1" x14ac:dyDescent="0.3">
      <c r="A1447" s="522" t="s">
        <v>2885</v>
      </c>
      <c r="B1447" s="491"/>
      <c r="C1447" s="675"/>
      <c r="D1447" s="491"/>
      <c r="E1447" s="491"/>
      <c r="F1447" s="492"/>
      <c r="G1447" s="493"/>
      <c r="H1447" s="491"/>
      <c r="I1447" s="234"/>
      <c r="J1447" s="234"/>
      <c r="K1447" s="494"/>
      <c r="L1447" s="543"/>
      <c r="M1447" s="561"/>
      <c r="N1447" s="495"/>
      <c r="O1447" s="496"/>
      <c r="P1447" s="497"/>
      <c r="Q1447" s="495"/>
      <c r="R1447" s="495"/>
      <c r="S1447" s="667" t="s">
        <v>4984</v>
      </c>
      <c r="T1447" s="508">
        <f t="shared" si="1099"/>
        <v>0</v>
      </c>
      <c r="U1447" s="225" t="str">
        <f>IF(NOT(ISNUMBER(G1447)), "", VLOOKUP(A1447,'Discount Lookup'!D:E,2,FALSE)*G1447)</f>
        <v/>
      </c>
      <c r="V1447" s="225" t="str">
        <f>IF(NOT(ISNUMBER(G1447)), "", VLOOKUP(A1447,'Discount Lookup'!G:H,2,FALSE)*G1447)</f>
        <v/>
      </c>
      <c r="W1447" s="508">
        <f t="shared" si="1100"/>
        <v>0</v>
      </c>
      <c r="X1447" s="508">
        <f t="shared" si="1101"/>
        <v>0</v>
      </c>
      <c r="Y1447" s="509" t="b">
        <f t="shared" si="1102"/>
        <v>0</v>
      </c>
      <c r="Z1447" s="510">
        <f t="shared" si="1103"/>
        <v>0</v>
      </c>
      <c r="AA1447" s="511"/>
      <c r="AB1447" s="511" t="str">
        <f t="shared" si="1104"/>
        <v/>
      </c>
      <c r="AC1447" s="698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698"/>
      <c r="AE1447" s="631" t="str">
        <f t="shared" si="1105"/>
        <v/>
      </c>
      <c r="AF1447" s="699" t="str">
        <f t="shared" si="1106"/>
        <v/>
      </c>
      <c r="AG1447" s="699"/>
      <c r="AH1447" s="699"/>
      <c r="AI1447" s="512">
        <f>IF(H1447="credit",0,IF(AE1447="free",0,IF(AE1447="me",0,IF(G1447&gt;0,(VLOOKUP(A1447,'Discount Lookup'!J:K,2)*G1447),0))))</f>
        <v>0</v>
      </c>
      <c r="AJ1447" s="513" t="str">
        <f t="shared" ca="1" si="1107"/>
        <v/>
      </c>
      <c r="AK1447" s="700" t="str">
        <f t="shared" si="1108"/>
        <v/>
      </c>
      <c r="AL1447" s="700"/>
      <c r="AM1447" s="505" t="str">
        <f t="shared" si="1109"/>
        <v/>
      </c>
      <c r="AN1447" s="506"/>
      <c r="AO1447" s="507"/>
      <c r="AP1447" s="507"/>
      <c r="AQ1447" s="507"/>
      <c r="AR1447" s="507"/>
      <c r="AS1447" s="507"/>
      <c r="AT1447" s="507"/>
      <c r="AU1447" s="507"/>
      <c r="AV1447" s="225"/>
      <c r="AW1447" s="508"/>
      <c r="AX1447" s="225"/>
      <c r="AY1447" s="225"/>
      <c r="AZ1447" s="225"/>
      <c r="BA1447" s="225"/>
      <c r="BB1447" s="225"/>
      <c r="BC1447" s="56"/>
      <c r="BD1447" s="56"/>
      <c r="BE1447" s="56"/>
      <c r="BF1447" s="107" t="str">
        <f t="shared" si="1110"/>
        <v>https://www.google.com/search?tbm=isch&amp;q=Franky%20Boy%20has%20grass-like%20foliage%20and%20pendulous%20texture%20for%20a%20unique%20ornamental%20presence.%20Warm%20Bronze%20in%20winter%20</v>
      </c>
      <c r="BG1447" s="107" t="str">
        <f t="shared" si="1111"/>
        <v>F</v>
      </c>
      <c r="BH1447" s="254"/>
      <c r="BI1447" s="254"/>
    </row>
    <row r="1448" spans="1:61" customFormat="1" ht="18" x14ac:dyDescent="0.25">
      <c r="A1448" s="521" t="s">
        <v>938</v>
      </c>
      <c r="B1448" s="477"/>
      <c r="C1448" s="674"/>
      <c r="D1448" s="478" t="s">
        <v>939</v>
      </c>
      <c r="E1448" s="479"/>
      <c r="F1448" s="479"/>
      <c r="G1448" s="479"/>
      <c r="H1448" s="582" t="s">
        <v>720</v>
      </c>
      <c r="I1448" s="480" t="s">
        <v>2644</v>
      </c>
      <c r="J1448" s="479"/>
      <c r="K1448" s="479"/>
      <c r="L1448" s="560"/>
      <c r="M1448" s="671" t="s">
        <v>4985</v>
      </c>
      <c r="N1448" s="680" t="str">
        <f>IF(AND(ISTEXT($A1448), ISERROR($A1448+0)), HYPERLINK($BF1448, "Images"), "")</f>
        <v>Images</v>
      </c>
      <c r="O1448" s="662" t="s">
        <v>4969</v>
      </c>
      <c r="P1448" s="482"/>
      <c r="Q1448" s="483"/>
      <c r="R1448" s="483"/>
      <c r="S1448" s="484"/>
      <c r="T1448" s="508">
        <f t="shared" si="1099"/>
        <v>0</v>
      </c>
      <c r="U1448" s="225" t="str">
        <f>IF(NOT(ISNUMBER(G1448)), "", VLOOKUP(A1448,'Discount Lookup'!D:E,2,FALSE)*G1448)</f>
        <v/>
      </c>
      <c r="V1448" s="225" t="str">
        <f>IF(NOT(ISNUMBER(G1448)), "", VLOOKUP(A1448,'Discount Lookup'!G:H,2,FALSE)*G1448)</f>
        <v/>
      </c>
      <c r="W1448" s="508">
        <f t="shared" si="1100"/>
        <v>0</v>
      </c>
      <c r="X1448" s="508" t="str">
        <f t="shared" si="1101"/>
        <v>Emerald Green foliage</v>
      </c>
      <c r="Y1448" s="509" t="b">
        <f t="shared" si="1102"/>
        <v>0</v>
      </c>
      <c r="Z1448" s="510">
        <f t="shared" si="1103"/>
        <v>0</v>
      </c>
      <c r="AA1448" s="511"/>
      <c r="AB1448" s="511" t="str">
        <f t="shared" si="1104"/>
        <v/>
      </c>
      <c r="AC1448" s="698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698"/>
      <c r="AE1448" s="631" t="str">
        <f t="shared" si="1105"/>
        <v/>
      </c>
      <c r="AF1448" s="699" t="str">
        <f t="shared" si="1106"/>
        <v/>
      </c>
      <c r="AG1448" s="699"/>
      <c r="AH1448" s="699"/>
      <c r="AI1448" s="512">
        <f>IF(H1448="credit",0,IF(AE1448="free",0,IF(AE1448="me",0,IF(G1448&gt;0,(VLOOKUP(A1448,'Discount Lookup'!J:K,2)*G1448),0))))</f>
        <v>0</v>
      </c>
      <c r="AJ1448" s="513" t="str">
        <f t="shared" ca="1" si="1107"/>
        <v/>
      </c>
      <c r="AK1448" s="700" t="str">
        <f t="shared" si="1108"/>
        <v/>
      </c>
      <c r="AL1448" s="700"/>
      <c r="AM1448" s="505" t="str">
        <f t="shared" si="1109"/>
        <v/>
      </c>
      <c r="AN1448" s="506"/>
      <c r="AO1448" s="507"/>
      <c r="AP1448" s="507"/>
      <c r="AQ1448" s="507"/>
      <c r="AR1448" s="507"/>
      <c r="AS1448" s="507"/>
      <c r="AT1448" s="507"/>
      <c r="AU1448" s="507"/>
      <c r="AV1448" s="225"/>
      <c r="AW1448" s="508"/>
      <c r="AX1448" s="225"/>
      <c r="AY1448" s="225"/>
      <c r="AZ1448" s="225"/>
      <c r="BA1448" s="225"/>
      <c r="BB1448" s="225"/>
      <c r="BC1448" s="56"/>
      <c r="BD1448" s="56"/>
      <c r="BE1448" s="56"/>
      <c r="BF1448" s="107" t="str">
        <f t="shared" si="1110"/>
        <v>https://www.google.com/search?tbm=isch&amp;q=Fritz%20Huber%20Japanese%20Plum%20Yew%20Cephalotaxus%20harringtonia%20%27Fritz%20Huber%27</v>
      </c>
      <c r="BG1448" s="107" t="str">
        <f t="shared" si="1111"/>
        <v>F</v>
      </c>
      <c r="BH1448" s="254"/>
      <c r="BI1448" s="254"/>
    </row>
    <row r="1449" spans="1:61" customFormat="1" ht="15.75" x14ac:dyDescent="0.25">
      <c r="A1449" s="485">
        <v>7</v>
      </c>
      <c r="B1449" s="486" t="s">
        <v>291</v>
      </c>
      <c r="C1449" s="487" t="s">
        <v>3303</v>
      </c>
      <c r="D1449" s="488" t="s">
        <v>292</v>
      </c>
      <c r="E1449" s="489">
        <v>109.95</v>
      </c>
      <c r="F1449" s="516" t="s">
        <v>293</v>
      </c>
      <c r="G1449" s="232">
        <v>0</v>
      </c>
      <c r="H1449" s="658" t="str">
        <f>IF(G1449=0,"",IF(F1449="Buy",IF(G1449=1,"plant","plants"),IF(F1449&gt;0.01,"warranty","Error")))</f>
        <v/>
      </c>
      <c r="I1449" s="490">
        <f>IF(H1449="free",0,IF(H1449="credit",((E1449*(F1449))*G1449*-1),IF(F1449="Buy",(E1449*G1449),((E1449*(1-F1449))*G1449))))</f>
        <v>0</v>
      </c>
      <c r="J1449" s="490">
        <f>IF(H1449="warranty",0,(I1449*(_xlfn.SINGLE(SalesTaxPercentage))))</f>
        <v>0</v>
      </c>
      <c r="K1449" s="695">
        <f t="shared" ref="K1449" si="1134">I1449+J1449</f>
        <v>0</v>
      </c>
      <c r="L1449" s="695"/>
      <c r="M1449" s="659" t="str">
        <f>IF(AND(G1449&gt;0,E1449=0),"WARNING - no PRICE inserted",IF(H1449="free"," FREE ~ no charge this plant",IF(H1449="credit",CONCATENATE(" -$",ROUND(K1449*(1-T2GDiscount)*-1,2)," CREDIT after discount"),IF(T2GDiscount=0,"",IF(G1449=0,"",IF(F1449="Buy",CONCATENATE(" $",ROUND(K1449*(1-T2GDiscount),2)," with ",(T2GDiscount*100),"% discount"),CONCATENATE(" $",ROUND(K1449*(1-T2GDiscount),2)," with ",((T2GDiscount*100+F1449*100)-(T2GDiscount*100*F1449)),IF(F1449&gt;0,"% discounts",IF(NoWarrantyDiscount&gt;0,"% discounts","% discount")))))))))</f>
        <v/>
      </c>
      <c r="N1449" s="660"/>
      <c r="O1449" s="233"/>
      <c r="P1449" s="233"/>
      <c r="Q1449" s="233"/>
      <c r="R1449" s="233"/>
      <c r="S1449" s="233"/>
      <c r="T1449" s="508">
        <f t="shared" si="1099"/>
        <v>0</v>
      </c>
      <c r="U1449" s="225">
        <f>IF(NOT(ISNUMBER(G1449)), "", VLOOKUP(A1449,'Discount Lookup'!D:E,2,FALSE)*G1449)</f>
        <v>0</v>
      </c>
      <c r="V1449" s="225">
        <f>IF(NOT(ISNUMBER(G1449)), "", VLOOKUP(A1449,'Discount Lookup'!G:H,2,FALSE)*G1449)</f>
        <v>0</v>
      </c>
      <c r="W1449" s="508">
        <f t="shared" si="1100"/>
        <v>0</v>
      </c>
      <c r="X1449" s="508">
        <f t="shared" si="1101"/>
        <v>0</v>
      </c>
      <c r="Y1449" s="509" t="b">
        <f t="shared" si="1102"/>
        <v>0</v>
      </c>
      <c r="Z1449" s="510">
        <f t="shared" si="1103"/>
        <v>0</v>
      </c>
      <c r="AA1449" s="511"/>
      <c r="AB1449" s="511" t="str">
        <f t="shared" si="1104"/>
        <v/>
      </c>
      <c r="AC1449" s="698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698"/>
      <c r="AE1449" s="631" t="str">
        <f t="shared" si="1105"/>
        <v/>
      </c>
      <c r="AF1449" s="699" t="str">
        <f t="shared" si="1106"/>
        <v/>
      </c>
      <c r="AG1449" s="699"/>
      <c r="AH1449" s="699"/>
      <c r="AI1449" s="512">
        <f>IF(H1449="credit",0,IF(AE1449="free",0,IF(AE1449="me",0,IF(G1449&gt;0,(VLOOKUP(A1449,'Discount Lookup'!J:K,2)*G1449),0))))</f>
        <v>0</v>
      </c>
      <c r="AJ1449" s="513" t="str">
        <f t="shared" ca="1" si="1107"/>
        <v/>
      </c>
      <c r="AK1449" s="700" t="str">
        <f t="shared" si="1108"/>
        <v/>
      </c>
      <c r="AL1449" s="700"/>
      <c r="AM1449" s="505" t="str">
        <f t="shared" si="1109"/>
        <v/>
      </c>
      <c r="AN1449" s="506"/>
      <c r="AO1449" s="507"/>
      <c r="AP1449" s="507"/>
      <c r="AQ1449" s="507"/>
      <c r="AR1449" s="507"/>
      <c r="AS1449" s="507"/>
      <c r="AT1449" s="507"/>
      <c r="AU1449" s="507"/>
      <c r="AV1449" s="225"/>
      <c r="AW1449" s="508"/>
      <c r="AX1449" s="225"/>
      <c r="AY1449" s="225"/>
      <c r="AZ1449" s="225"/>
      <c r="BA1449" s="225"/>
      <c r="BB1449" s="225"/>
      <c r="BC1449" s="56"/>
      <c r="BD1449" s="56"/>
      <c r="BE1449" s="56"/>
      <c r="BF1449" s="107" t="str">
        <f t="shared" si="1110"/>
        <v>https://www.google.com/search?tbm=isch&amp;q=7%20G4</v>
      </c>
      <c r="BG1449" s="107" t="str">
        <f t="shared" si="1111"/>
        <v>F</v>
      </c>
      <c r="BH1449" s="254"/>
      <c r="BI1449" s="254"/>
    </row>
    <row r="1450" spans="1:61" customFormat="1" ht="17.25" thickBot="1" x14ac:dyDescent="0.3">
      <c r="A1450" s="522" t="s">
        <v>2876</v>
      </c>
      <c r="B1450" s="491"/>
      <c r="C1450" s="675"/>
      <c r="D1450" s="491"/>
      <c r="E1450" s="491"/>
      <c r="F1450" s="492"/>
      <c r="G1450" s="493"/>
      <c r="H1450" s="491"/>
      <c r="I1450" s="234"/>
      <c r="J1450" s="234"/>
      <c r="K1450" s="494"/>
      <c r="L1450" s="543"/>
      <c r="M1450" s="561"/>
      <c r="N1450" s="495"/>
      <c r="O1450" s="496"/>
      <c r="P1450" s="497"/>
      <c r="Q1450" s="495"/>
      <c r="R1450" s="495"/>
      <c r="S1450" s="667" t="s">
        <v>5009</v>
      </c>
      <c r="T1450" s="508">
        <f t="shared" si="1099"/>
        <v>0</v>
      </c>
      <c r="U1450" s="225" t="str">
        <f>IF(NOT(ISNUMBER(G1450)), "", VLOOKUP(A1450,'Discount Lookup'!D:E,2,FALSE)*G1450)</f>
        <v/>
      </c>
      <c r="V1450" s="225" t="str">
        <f>IF(NOT(ISNUMBER(G1450)), "", VLOOKUP(A1450,'Discount Lookup'!G:H,2,FALSE)*G1450)</f>
        <v/>
      </c>
      <c r="W1450" s="508">
        <f t="shared" si="1100"/>
        <v>0</v>
      </c>
      <c r="X1450" s="508">
        <f t="shared" si="1101"/>
        <v>0</v>
      </c>
      <c r="Y1450" s="509" t="b">
        <f t="shared" si="1102"/>
        <v>0</v>
      </c>
      <c r="Z1450" s="510">
        <f t="shared" si="1103"/>
        <v>0</v>
      </c>
      <c r="AA1450" s="511"/>
      <c r="AB1450" s="511" t="str">
        <f t="shared" si="1104"/>
        <v/>
      </c>
      <c r="AC1450" s="698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698"/>
      <c r="AE1450" s="631" t="str">
        <f t="shared" si="1105"/>
        <v/>
      </c>
      <c r="AF1450" s="699" t="str">
        <f t="shared" si="1106"/>
        <v/>
      </c>
      <c r="AG1450" s="699"/>
      <c r="AH1450" s="699"/>
      <c r="AI1450" s="512">
        <f>IF(H1450="credit",0,IF(AE1450="free",0,IF(AE1450="me",0,IF(G1450&gt;0,(VLOOKUP(A1450,'Discount Lookup'!J:K,2)*G1450),0))))</f>
        <v>0</v>
      </c>
      <c r="AJ1450" s="513" t="str">
        <f t="shared" ca="1" si="1107"/>
        <v/>
      </c>
      <c r="AK1450" s="700" t="str">
        <f t="shared" si="1108"/>
        <v/>
      </c>
      <c r="AL1450" s="700"/>
      <c r="AM1450" s="505" t="str">
        <f t="shared" si="1109"/>
        <v/>
      </c>
      <c r="AN1450" s="506"/>
      <c r="AO1450" s="507"/>
      <c r="AP1450" s="507"/>
      <c r="AQ1450" s="507"/>
      <c r="AR1450" s="507"/>
      <c r="AS1450" s="507"/>
      <c r="AT1450" s="507"/>
      <c r="AU1450" s="507"/>
      <c r="AV1450" s="225"/>
      <c r="AW1450" s="508"/>
      <c r="AX1450" s="225"/>
      <c r="AY1450" s="225"/>
      <c r="AZ1450" s="225"/>
      <c r="BA1450" s="225"/>
      <c r="BB1450" s="225"/>
      <c r="BC1450" s="56"/>
      <c r="BD1450" s="56"/>
      <c r="BE1450" s="56"/>
      <c r="BF1450" s="107" t="str">
        <f t="shared" si="1110"/>
        <v>https://www.google.com/search?tbm=isch&amp;q=All%20Plum%20Yews%20have%20fine-textured%20foliage%20with%20brown%2C%20scaly%20bark.%20Slow%20growing%2C%20heat%20and%20shade%20tolerant%20</v>
      </c>
      <c r="BG1450" s="107" t="str">
        <f t="shared" si="1111"/>
        <v>A</v>
      </c>
      <c r="BH1450" s="254"/>
      <c r="BI1450" s="254"/>
    </row>
    <row r="1451" spans="1:61" customFormat="1" ht="18" x14ac:dyDescent="0.25">
      <c r="A1451" s="521" t="s">
        <v>940</v>
      </c>
      <c r="B1451" s="477"/>
      <c r="C1451" s="674"/>
      <c r="D1451" s="478" t="s">
        <v>941</v>
      </c>
      <c r="E1451" s="479"/>
      <c r="F1451" s="479"/>
      <c r="G1451" s="479"/>
      <c r="H1451" s="582" t="s">
        <v>474</v>
      </c>
      <c r="I1451" s="480" t="s">
        <v>654</v>
      </c>
      <c r="J1451" s="479"/>
      <c r="K1451" s="479"/>
      <c r="L1451" s="560"/>
      <c r="M1451" s="666" t="s">
        <v>4966</v>
      </c>
      <c r="N1451" s="680" t="str">
        <f>IF(AND(ISTEXT($A1451), ISERROR($A1451+0)), HYPERLINK($BF1451, "Images"), "")</f>
        <v>Images</v>
      </c>
      <c r="O1451" s="662" t="s">
        <v>4974</v>
      </c>
      <c r="P1451" s="482"/>
      <c r="Q1451" s="483"/>
      <c r="R1451" s="483"/>
      <c r="S1451" s="484"/>
      <c r="T1451" s="508">
        <f t="shared" si="1099"/>
        <v>0</v>
      </c>
      <c r="U1451" s="225" t="str">
        <f>IF(NOT(ISNUMBER(G1451)), "", VLOOKUP(A1451,'Discount Lookup'!D:E,2,FALSE)*G1451)</f>
        <v/>
      </c>
      <c r="V1451" s="225" t="str">
        <f>IF(NOT(ISNUMBER(G1451)), "", VLOOKUP(A1451,'Discount Lookup'!G:H,2,FALSE)*G1451)</f>
        <v/>
      </c>
      <c r="W1451" s="508">
        <f t="shared" si="1100"/>
        <v>0</v>
      </c>
      <c r="X1451" s="508" t="str">
        <f t="shared" si="1101"/>
        <v>White bloom</v>
      </c>
      <c r="Y1451" s="509" t="b">
        <f t="shared" si="1102"/>
        <v>0</v>
      </c>
      <c r="Z1451" s="510">
        <f t="shared" si="1103"/>
        <v>0</v>
      </c>
      <c r="AA1451" s="511"/>
      <c r="AB1451" s="511" t="str">
        <f t="shared" si="1104"/>
        <v/>
      </c>
      <c r="AC1451" s="698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698"/>
      <c r="AE1451" s="631" t="str">
        <f t="shared" si="1105"/>
        <v/>
      </c>
      <c r="AF1451" s="699" t="str">
        <f t="shared" si="1106"/>
        <v/>
      </c>
      <c r="AG1451" s="699"/>
      <c r="AH1451" s="699"/>
      <c r="AI1451" s="512">
        <f>IF(H1451="credit",0,IF(AE1451="free",0,IF(AE1451="me",0,IF(G1451&gt;0,(VLOOKUP(A1451,'Discount Lookup'!J:K,2)*G1451),0))))</f>
        <v>0</v>
      </c>
      <c r="AJ1451" s="513" t="str">
        <f t="shared" ca="1" si="1107"/>
        <v/>
      </c>
      <c r="AK1451" s="700" t="str">
        <f t="shared" si="1108"/>
        <v/>
      </c>
      <c r="AL1451" s="700"/>
      <c r="AM1451" s="505" t="str">
        <f t="shared" si="1109"/>
        <v/>
      </c>
      <c r="AN1451" s="506"/>
      <c r="AO1451" s="507"/>
      <c r="AP1451" s="507"/>
      <c r="AQ1451" s="507"/>
      <c r="AR1451" s="507"/>
      <c r="AS1451" s="507"/>
      <c r="AT1451" s="507"/>
      <c r="AU1451" s="507"/>
      <c r="AV1451" s="225"/>
      <c r="AW1451" s="508"/>
      <c r="AX1451" s="225"/>
      <c r="AY1451" s="225"/>
      <c r="AZ1451" s="225"/>
      <c r="BA1451" s="225"/>
      <c r="BB1451" s="225"/>
      <c r="BC1451" s="56"/>
      <c r="BD1451" s="56"/>
      <c r="BE1451" s="56"/>
      <c r="BF1451" s="107" t="str">
        <f t="shared" si="1110"/>
        <v>https://www.google.com/search?tbm=isch&amp;q=Frostproof%20Gardenia%20Gardenia%20jasminoides%20%27Frostproof%27</v>
      </c>
      <c r="BG1451" s="107" t="str">
        <f t="shared" si="1111"/>
        <v>F</v>
      </c>
      <c r="BH1451" s="254"/>
      <c r="BI1451" s="254"/>
    </row>
    <row r="1452" spans="1:61" customFormat="1" ht="15.75" x14ac:dyDescent="0.25">
      <c r="A1452" s="485">
        <v>3</v>
      </c>
      <c r="B1452" s="486" t="s">
        <v>291</v>
      </c>
      <c r="C1452" s="487"/>
      <c r="D1452" s="488" t="s">
        <v>298</v>
      </c>
      <c r="E1452" s="489">
        <v>26.95</v>
      </c>
      <c r="F1452" s="516" t="s">
        <v>293</v>
      </c>
      <c r="G1452" s="232">
        <v>0</v>
      </c>
      <c r="H1452" s="658" t="str">
        <f>IF(G1452=0,"",IF(F1452="Buy",IF(G1452=1,"plant","plants"),IF(F1452&gt;0.01,"warranty","Error")))</f>
        <v/>
      </c>
      <c r="I1452" s="490">
        <f>IF(H1452="free",0,IF(H1452="credit",((E1452*(F1452))*G1452*-1),IF(F1452="Buy",(E1452*G1452),((E1452*(1-F1452))*G1452))))</f>
        <v>0</v>
      </c>
      <c r="J1452" s="490">
        <f>IF(H1452="warranty",0,(I1452*(_xlfn.SINGLE(SalesTaxPercentage))))</f>
        <v>0</v>
      </c>
      <c r="K1452" s="695">
        <f t="shared" ref="K1452" si="1135">I1452+J1452</f>
        <v>0</v>
      </c>
      <c r="L1452" s="695"/>
      <c r="M1452" s="659" t="str">
        <f>IF(AND(G1452&gt;0,E1452=0),"WARNING - no PRICE inserted",IF(H1452="free"," FREE ~ no charge this plant",IF(H1452="credit",CONCATENATE(" -$",ROUND(K1452*(1-T2GDiscount)*-1,2)," CREDIT after discount"),IF(T2GDiscount=0,"",IF(G1452=0,"",IF(F1452="Buy",CONCATENATE(" $",ROUND(K1452*(1-T2GDiscount),2)," with ",(T2GDiscount*100),"% discount"),CONCATENATE(" $",ROUND(K1452*(1-T2GDiscount),2)," with ",((T2GDiscount*100+F1452*100)-(T2GDiscount*100*F1452)),IF(F1452&gt;0,"% discounts",IF(NoWarrantyDiscount&gt;0,"% discounts","% discount")))))))))</f>
        <v/>
      </c>
      <c r="N1452" s="660"/>
      <c r="O1452" s="233"/>
      <c r="P1452" s="233"/>
      <c r="Q1452" s="233"/>
      <c r="R1452" s="233"/>
      <c r="S1452" s="233"/>
      <c r="T1452" s="508">
        <f t="shared" si="1099"/>
        <v>0</v>
      </c>
      <c r="U1452" s="225">
        <f>IF(NOT(ISNUMBER(G1452)), "", VLOOKUP(A1452,'Discount Lookup'!D:E,2,FALSE)*G1452)</f>
        <v>0</v>
      </c>
      <c r="V1452" s="225">
        <f>IF(NOT(ISNUMBER(G1452)), "", VLOOKUP(A1452,'Discount Lookup'!G:H,2,FALSE)*G1452)</f>
        <v>0</v>
      </c>
      <c r="W1452" s="508">
        <f t="shared" si="1100"/>
        <v>0</v>
      </c>
      <c r="X1452" s="508">
        <f t="shared" si="1101"/>
        <v>0</v>
      </c>
      <c r="Y1452" s="509" t="b">
        <f t="shared" si="1102"/>
        <v>0</v>
      </c>
      <c r="Z1452" s="510">
        <f t="shared" si="1103"/>
        <v>0</v>
      </c>
      <c r="AA1452" s="511"/>
      <c r="AB1452" s="511" t="str">
        <f t="shared" si="1104"/>
        <v/>
      </c>
      <c r="AC1452" s="698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698"/>
      <c r="AE1452" s="631" t="str">
        <f t="shared" si="1105"/>
        <v/>
      </c>
      <c r="AF1452" s="699" t="str">
        <f t="shared" si="1106"/>
        <v/>
      </c>
      <c r="AG1452" s="699"/>
      <c r="AH1452" s="699"/>
      <c r="AI1452" s="512">
        <f>IF(H1452="credit",0,IF(AE1452="free",0,IF(AE1452="me",0,IF(G1452&gt;0,(VLOOKUP(A1452,'Discount Lookup'!J:K,2)*G1452),0))))</f>
        <v>0</v>
      </c>
      <c r="AJ1452" s="513" t="str">
        <f t="shared" ca="1" si="1107"/>
        <v/>
      </c>
      <c r="AK1452" s="700" t="str">
        <f t="shared" si="1108"/>
        <v/>
      </c>
      <c r="AL1452" s="700"/>
      <c r="AM1452" s="505" t="str">
        <f t="shared" si="1109"/>
        <v/>
      </c>
      <c r="AN1452" s="506"/>
      <c r="AO1452" s="507"/>
      <c r="AP1452" s="507"/>
      <c r="AQ1452" s="507"/>
      <c r="AR1452" s="507"/>
      <c r="AS1452" s="507"/>
      <c r="AT1452" s="507"/>
      <c r="AU1452" s="507"/>
      <c r="AV1452" s="225"/>
      <c r="AW1452" s="508"/>
      <c r="AX1452" s="225"/>
      <c r="AY1452" s="225"/>
      <c r="AZ1452" s="225"/>
      <c r="BA1452" s="225"/>
      <c r="BB1452" s="225"/>
      <c r="BC1452" s="56"/>
      <c r="BD1452" s="56"/>
      <c r="BE1452" s="56"/>
      <c r="BF1452" s="107" t="str">
        <f t="shared" si="1110"/>
        <v>https://www.google.com/search?tbm=isch&amp;q=3%20G1</v>
      </c>
      <c r="BG1452" s="107" t="str">
        <f t="shared" si="1111"/>
        <v>F</v>
      </c>
      <c r="BH1452" s="254"/>
      <c r="BI1452" s="254"/>
    </row>
    <row r="1453" spans="1:61" customFormat="1" ht="15.75" x14ac:dyDescent="0.25">
      <c r="A1453" s="485">
        <v>3</v>
      </c>
      <c r="B1453" s="486" t="s">
        <v>291</v>
      </c>
      <c r="C1453" s="487" t="s">
        <v>4511</v>
      </c>
      <c r="D1453" s="488" t="s">
        <v>299</v>
      </c>
      <c r="E1453" s="489">
        <v>35.950000000000003</v>
      </c>
      <c r="F1453" s="516" t="s">
        <v>293</v>
      </c>
      <c r="G1453" s="232">
        <v>0</v>
      </c>
      <c r="H1453" s="658" t="str">
        <f>IF(G1453=0,"",IF(F1453="Buy",IF(G1453=1,"plant","plants"),IF(F1453&gt;0.01,"warranty","Error")))</f>
        <v/>
      </c>
      <c r="I1453" s="490">
        <f>IF(H1453="free",0,IF(H1453="credit",((E1453*(F1453))*G1453*-1),IF(F1453="Buy",(E1453*G1453),((E1453*(1-F1453))*G1453))))</f>
        <v>0</v>
      </c>
      <c r="J1453" s="490">
        <f>IF(H1453="warranty",0,(I1453*(_xlfn.SINGLE(SalesTaxPercentage))))</f>
        <v>0</v>
      </c>
      <c r="K1453" s="695">
        <f t="shared" ref="K1453" si="1136">I1453+J1453</f>
        <v>0</v>
      </c>
      <c r="L1453" s="695"/>
      <c r="M1453" s="659" t="str">
        <f>IF(AND(G1453&gt;0,E1453=0),"WARNING - no PRICE inserted",IF(H1453="free"," FREE ~ no charge this plant",IF(H1453="credit",CONCATENATE(" -$",ROUND(K1453*(1-T2GDiscount)*-1,2)," CREDIT after discount"),IF(T2GDiscount=0,"",IF(G1453=0,"",IF(F1453="Buy",CONCATENATE(" $",ROUND(K1453*(1-T2GDiscount),2)," with ",(T2GDiscount*100),"% discount"),CONCATENATE(" $",ROUND(K1453*(1-T2GDiscount),2)," with ",((T2GDiscount*100+F1453*100)-(T2GDiscount*100*F1453)),IF(F1453&gt;0,"% discounts",IF(NoWarrantyDiscount&gt;0,"% discounts","% discount")))))))))</f>
        <v/>
      </c>
      <c r="N1453" s="660"/>
      <c r="O1453" s="233"/>
      <c r="P1453" s="233"/>
      <c r="Q1453" s="233"/>
      <c r="R1453" s="233"/>
      <c r="S1453" s="233"/>
      <c r="T1453" s="508">
        <f t="shared" si="1099"/>
        <v>0</v>
      </c>
      <c r="U1453" s="225">
        <f>IF(NOT(ISNUMBER(G1453)), "", VLOOKUP(A1453,'Discount Lookup'!D:E,2,FALSE)*G1453)</f>
        <v>0</v>
      </c>
      <c r="V1453" s="225">
        <f>IF(NOT(ISNUMBER(G1453)), "", VLOOKUP(A1453,'Discount Lookup'!G:H,2,FALSE)*G1453)</f>
        <v>0</v>
      </c>
      <c r="W1453" s="508">
        <f t="shared" si="1100"/>
        <v>0</v>
      </c>
      <c r="X1453" s="508">
        <f t="shared" si="1101"/>
        <v>0</v>
      </c>
      <c r="Y1453" s="509" t="b">
        <f t="shared" si="1102"/>
        <v>0</v>
      </c>
      <c r="Z1453" s="510">
        <f t="shared" si="1103"/>
        <v>0</v>
      </c>
      <c r="AA1453" s="511"/>
      <c r="AB1453" s="511" t="str">
        <f t="shared" si="1104"/>
        <v/>
      </c>
      <c r="AC1453" s="698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698"/>
      <c r="AE1453" s="631" t="str">
        <f t="shared" si="1105"/>
        <v/>
      </c>
      <c r="AF1453" s="699" t="str">
        <f t="shared" si="1106"/>
        <v/>
      </c>
      <c r="AG1453" s="699"/>
      <c r="AH1453" s="699"/>
      <c r="AI1453" s="512">
        <f>IF(H1453="credit",0,IF(AE1453="free",0,IF(AE1453="me",0,IF(G1453&gt;0,(VLOOKUP(A1453,'Discount Lookup'!J:K,2)*G1453),0))))</f>
        <v>0</v>
      </c>
      <c r="AJ1453" s="513" t="str">
        <f t="shared" ca="1" si="1107"/>
        <v/>
      </c>
      <c r="AK1453" s="700" t="str">
        <f t="shared" si="1108"/>
        <v/>
      </c>
      <c r="AL1453" s="700"/>
      <c r="AM1453" s="505" t="str">
        <f t="shared" si="1109"/>
        <v/>
      </c>
      <c r="AN1453" s="506"/>
      <c r="AO1453" s="507"/>
      <c r="AP1453" s="507"/>
      <c r="AQ1453" s="507"/>
      <c r="AR1453" s="507"/>
      <c r="AS1453" s="507"/>
      <c r="AT1453" s="507"/>
      <c r="AU1453" s="507"/>
      <c r="AV1453" s="225"/>
      <c r="AW1453" s="508"/>
      <c r="AX1453" s="225"/>
      <c r="AY1453" s="225"/>
      <c r="AZ1453" s="225"/>
      <c r="BA1453" s="225"/>
      <c r="BB1453" s="225"/>
      <c r="BC1453" s="56"/>
      <c r="BD1453" s="56"/>
      <c r="BE1453" s="56"/>
      <c r="BF1453" s="107" t="str">
        <f t="shared" si="1110"/>
        <v>https://www.google.com/search?tbm=isch&amp;q=3%20G5</v>
      </c>
      <c r="BG1453" s="107" t="str">
        <f t="shared" si="1111"/>
        <v>F</v>
      </c>
      <c r="BH1453" s="254"/>
      <c r="BI1453" s="254"/>
    </row>
    <row r="1454" spans="1:61" customFormat="1" ht="15.75" x14ac:dyDescent="0.25">
      <c r="A1454" s="485">
        <v>3</v>
      </c>
      <c r="B1454" s="486" t="s">
        <v>291</v>
      </c>
      <c r="C1454" s="487" t="s">
        <v>2211</v>
      </c>
      <c r="D1454" s="488" t="s">
        <v>300</v>
      </c>
      <c r="E1454" s="489">
        <v>40.950000000000003</v>
      </c>
      <c r="F1454" s="516" t="s">
        <v>293</v>
      </c>
      <c r="G1454" s="232">
        <v>0</v>
      </c>
      <c r="H1454" s="658" t="str">
        <f>IF(G1454=0,"",IF(F1454="Buy",IF(G1454=1,"plant","plants"),IF(F1454&gt;0.01,"warranty","Error")))</f>
        <v/>
      </c>
      <c r="I1454" s="490">
        <f>IF(H1454="free",0,IF(H1454="credit",((E1454*(F1454))*G1454*-1),IF(F1454="Buy",(E1454*G1454),((E1454*(1-F1454))*G1454))))</f>
        <v>0</v>
      </c>
      <c r="J1454" s="490">
        <f>IF(H1454="warranty",0,(I1454*(_xlfn.SINGLE(SalesTaxPercentage))))</f>
        <v>0</v>
      </c>
      <c r="K1454" s="695">
        <f t="shared" ref="K1454" si="1137">I1454+J1454</f>
        <v>0</v>
      </c>
      <c r="L1454" s="695"/>
      <c r="M1454" s="659" t="str">
        <f>IF(AND(G1454&gt;0,E1454=0),"WARNING - no PRICE inserted",IF(H1454="free"," FREE ~ no charge this plant",IF(H1454="credit",CONCATENATE(" -$",ROUND(K1454*(1-T2GDiscount)*-1,2)," CREDIT after discount"),IF(T2GDiscount=0,"",IF(G1454=0,"",IF(F1454="Buy",CONCATENATE(" $",ROUND(K1454*(1-T2GDiscount),2)," with ",(T2GDiscount*100),"% discount"),CONCATENATE(" $",ROUND(K1454*(1-T2GDiscount),2)," with ",((T2GDiscount*100+F1454*100)-(T2GDiscount*100*F1454)),IF(F1454&gt;0,"% discounts",IF(NoWarrantyDiscount&gt;0,"% discounts","% discount")))))))))</f>
        <v/>
      </c>
      <c r="N1454" s="660"/>
      <c r="O1454" s="233"/>
      <c r="P1454" s="233"/>
      <c r="Q1454" s="233"/>
      <c r="R1454" s="233"/>
      <c r="S1454" s="233"/>
      <c r="T1454" s="508">
        <f t="shared" si="1099"/>
        <v>0</v>
      </c>
      <c r="U1454" s="225">
        <f>IF(NOT(ISNUMBER(G1454)), "", VLOOKUP(A1454,'Discount Lookup'!D:E,2,FALSE)*G1454)</f>
        <v>0</v>
      </c>
      <c r="V1454" s="225">
        <f>IF(NOT(ISNUMBER(G1454)), "", VLOOKUP(A1454,'Discount Lookup'!G:H,2,FALSE)*G1454)</f>
        <v>0</v>
      </c>
      <c r="W1454" s="508">
        <f t="shared" si="1100"/>
        <v>0</v>
      </c>
      <c r="X1454" s="508">
        <f t="shared" si="1101"/>
        <v>0</v>
      </c>
      <c r="Y1454" s="509" t="b">
        <f t="shared" si="1102"/>
        <v>0</v>
      </c>
      <c r="Z1454" s="510">
        <f t="shared" si="1103"/>
        <v>0</v>
      </c>
      <c r="AA1454" s="511"/>
      <c r="AB1454" s="511" t="str">
        <f t="shared" si="1104"/>
        <v/>
      </c>
      <c r="AC1454" s="698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698"/>
      <c r="AE1454" s="631" t="str">
        <f t="shared" si="1105"/>
        <v/>
      </c>
      <c r="AF1454" s="699" t="str">
        <f t="shared" si="1106"/>
        <v/>
      </c>
      <c r="AG1454" s="699"/>
      <c r="AH1454" s="699"/>
      <c r="AI1454" s="512">
        <f>IF(H1454="credit",0,IF(AE1454="free",0,IF(AE1454="me",0,IF(G1454&gt;0,(VLOOKUP(A1454,'Discount Lookup'!J:K,2)*G1454),0))))</f>
        <v>0</v>
      </c>
      <c r="AJ1454" s="513" t="str">
        <f t="shared" ca="1" si="1107"/>
        <v/>
      </c>
      <c r="AK1454" s="700" t="str">
        <f t="shared" si="1108"/>
        <v/>
      </c>
      <c r="AL1454" s="700"/>
      <c r="AM1454" s="505" t="str">
        <f t="shared" si="1109"/>
        <v/>
      </c>
      <c r="AN1454" s="506"/>
      <c r="AO1454" s="507"/>
      <c r="AP1454" s="507"/>
      <c r="AQ1454" s="507"/>
      <c r="AR1454" s="507"/>
      <c r="AS1454" s="507"/>
      <c r="AT1454" s="507"/>
      <c r="AU1454" s="507"/>
      <c r="AV1454" s="225"/>
      <c r="AW1454" s="508"/>
      <c r="AX1454" s="225"/>
      <c r="AY1454" s="225"/>
      <c r="AZ1454" s="225"/>
      <c r="BA1454" s="225"/>
      <c r="BB1454" s="225"/>
      <c r="BC1454" s="56"/>
      <c r="BD1454" s="56"/>
      <c r="BE1454" s="56"/>
      <c r="BF1454" s="107" t="str">
        <f t="shared" si="1110"/>
        <v>https://www.google.com/search?tbm=isch&amp;q=3%20G6</v>
      </c>
      <c r="BG1454" s="107" t="str">
        <f t="shared" si="1111"/>
        <v>F</v>
      </c>
      <c r="BH1454" s="254"/>
      <c r="BI1454" s="254"/>
    </row>
    <row r="1455" spans="1:61" customFormat="1" ht="17.25" thickBot="1" x14ac:dyDescent="0.3">
      <c r="A1455" s="522" t="s">
        <v>2140</v>
      </c>
      <c r="B1455" s="491"/>
      <c r="C1455" s="675"/>
      <c r="D1455" s="491"/>
      <c r="E1455" s="491"/>
      <c r="F1455" s="492"/>
      <c r="G1455" s="493"/>
      <c r="H1455" s="491"/>
      <c r="I1455" s="234"/>
      <c r="J1455" s="234"/>
      <c r="K1455" s="494"/>
      <c r="L1455" s="543"/>
      <c r="M1455" s="561"/>
      <c r="N1455" s="495"/>
      <c r="O1455" s="496"/>
      <c r="P1455" s="497"/>
      <c r="Q1455" s="495"/>
      <c r="R1455" s="495"/>
      <c r="S1455" s="667" t="s">
        <v>4986</v>
      </c>
      <c r="T1455" s="508">
        <f t="shared" si="1099"/>
        <v>0</v>
      </c>
      <c r="U1455" s="225" t="str">
        <f>IF(NOT(ISNUMBER(G1455)), "", VLOOKUP(A1455,'Discount Lookup'!D:E,2,FALSE)*G1455)</f>
        <v/>
      </c>
      <c r="V1455" s="225" t="str">
        <f>IF(NOT(ISNUMBER(G1455)), "", VLOOKUP(A1455,'Discount Lookup'!G:H,2,FALSE)*G1455)</f>
        <v/>
      </c>
      <c r="W1455" s="508">
        <f t="shared" si="1100"/>
        <v>0</v>
      </c>
      <c r="X1455" s="508">
        <f t="shared" si="1101"/>
        <v>0</v>
      </c>
      <c r="Y1455" s="509" t="b">
        <f t="shared" si="1102"/>
        <v>0</v>
      </c>
      <c r="Z1455" s="510">
        <f t="shared" si="1103"/>
        <v>0</v>
      </c>
      <c r="AA1455" s="511"/>
      <c r="AB1455" s="511" t="str">
        <f t="shared" si="1104"/>
        <v/>
      </c>
      <c r="AC1455" s="698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698"/>
      <c r="AE1455" s="631" t="str">
        <f t="shared" si="1105"/>
        <v/>
      </c>
      <c r="AF1455" s="699" t="str">
        <f t="shared" si="1106"/>
        <v/>
      </c>
      <c r="AG1455" s="699"/>
      <c r="AH1455" s="699"/>
      <c r="AI1455" s="512">
        <f>IF(H1455="credit",0,IF(AE1455="free",0,IF(AE1455="me",0,IF(G1455&gt;0,(VLOOKUP(A1455,'Discount Lookup'!J:K,2)*G1455),0))))</f>
        <v>0</v>
      </c>
      <c r="AJ1455" s="513" t="str">
        <f t="shared" ca="1" si="1107"/>
        <v/>
      </c>
      <c r="AK1455" s="700" t="str">
        <f t="shared" si="1108"/>
        <v/>
      </c>
      <c r="AL1455" s="700"/>
      <c r="AM1455" s="505" t="str">
        <f t="shared" si="1109"/>
        <v/>
      </c>
      <c r="AN1455" s="506"/>
      <c r="AO1455" s="507"/>
      <c r="AP1455" s="507"/>
      <c r="AQ1455" s="507"/>
      <c r="AR1455" s="507"/>
      <c r="AS1455" s="507"/>
      <c r="AT1455" s="507"/>
      <c r="AU1455" s="507"/>
      <c r="AV1455" s="225"/>
      <c r="AW1455" s="508"/>
      <c r="AX1455" s="225"/>
      <c r="AY1455" s="225"/>
      <c r="AZ1455" s="225"/>
      <c r="BA1455" s="225"/>
      <c r="BB1455" s="225"/>
      <c r="BC1455" s="56"/>
      <c r="BD1455" s="56"/>
      <c r="BE1455" s="56"/>
      <c r="BF1455" s="107" t="str">
        <f t="shared" si="1110"/>
        <v>https://www.google.com/search?tbm=isch&amp;q=Frostproof%20resists%20late%20spring%20frosts.%20Fragrant%20blooms%20are%20more%20abundant%20than%20other%20Gardenia%20</v>
      </c>
      <c r="BG1455" s="107" t="str">
        <f t="shared" si="1111"/>
        <v>F</v>
      </c>
      <c r="BH1455" s="254"/>
      <c r="BI1455" s="254"/>
    </row>
    <row r="1456" spans="1:61" customFormat="1" ht="18" x14ac:dyDescent="0.25">
      <c r="A1456" s="521" t="s">
        <v>4672</v>
      </c>
      <c r="B1456" s="477"/>
      <c r="C1456" s="674"/>
      <c r="D1456" s="478" t="s">
        <v>4673</v>
      </c>
      <c r="E1456" s="479"/>
      <c r="F1456" s="479"/>
      <c r="G1456" s="479"/>
      <c r="H1456" s="582" t="s">
        <v>720</v>
      </c>
      <c r="I1456" s="480" t="s">
        <v>2510</v>
      </c>
      <c r="J1456" s="479"/>
      <c r="K1456" s="479"/>
      <c r="L1456" s="560"/>
      <c r="M1456" s="666" t="s">
        <v>4966</v>
      </c>
      <c r="N1456" s="680" t="str">
        <f>IF(AND(ISTEXT($A1456), ISERROR($A1456+0)), HYPERLINK($BF1456, "Images"), "")</f>
        <v>Images</v>
      </c>
      <c r="O1456" s="662" t="s">
        <v>4969</v>
      </c>
      <c r="P1456" s="482"/>
      <c r="Q1456" s="483"/>
      <c r="R1456" s="483"/>
      <c r="S1456" s="484"/>
      <c r="T1456" s="508">
        <f t="shared" si="1099"/>
        <v>0</v>
      </c>
      <c r="U1456" s="225" t="str">
        <f>IF(NOT(ISNUMBER(G1456)), "", VLOOKUP(A1456,'Discount Lookup'!D:E,2,FALSE)*G1456)</f>
        <v/>
      </c>
      <c r="V1456" s="225" t="str">
        <f>IF(NOT(ISNUMBER(G1456)), "", VLOOKUP(A1456,'Discount Lookup'!G:H,2,FALSE)*G1456)</f>
        <v/>
      </c>
      <c r="W1456" s="508">
        <f t="shared" si="1100"/>
        <v>0</v>
      </c>
      <c r="X1456" s="508" t="str">
        <f t="shared" si="1101"/>
        <v>White bloom, hint of Pink</v>
      </c>
      <c r="Y1456" s="509" t="b">
        <f t="shared" si="1102"/>
        <v>0</v>
      </c>
      <c r="Z1456" s="510">
        <f t="shared" si="1103"/>
        <v>0</v>
      </c>
      <c r="AA1456" s="511"/>
      <c r="AB1456" s="511" t="str">
        <f t="shared" si="1104"/>
        <v/>
      </c>
      <c r="AC1456" s="698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698"/>
      <c r="AE1456" s="631" t="str">
        <f t="shared" si="1105"/>
        <v/>
      </c>
      <c r="AF1456" s="699" t="str">
        <f t="shared" si="1106"/>
        <v/>
      </c>
      <c r="AG1456" s="699"/>
      <c r="AH1456" s="699"/>
      <c r="AI1456" s="512">
        <f>IF(H1456="credit",0,IF(AE1456="free",0,IF(AE1456="me",0,IF(G1456&gt;0,(VLOOKUP(A1456,'Discount Lookup'!J:K,2)*G1456),0))))</f>
        <v>0</v>
      </c>
      <c r="AJ1456" s="513" t="str">
        <f t="shared" ca="1" si="1107"/>
        <v/>
      </c>
      <c r="AK1456" s="700" t="str">
        <f t="shared" si="1108"/>
        <v/>
      </c>
      <c r="AL1456" s="700"/>
      <c r="AM1456" s="505" t="str">
        <f t="shared" si="1109"/>
        <v/>
      </c>
      <c r="AN1456" s="506"/>
      <c r="AO1456" s="507"/>
      <c r="AP1456" s="507"/>
      <c r="AQ1456" s="507"/>
      <c r="AR1456" s="507"/>
      <c r="AS1456" s="507"/>
      <c r="AT1456" s="507"/>
      <c r="AU1456" s="507"/>
      <c r="AV1456" s="225"/>
      <c r="AW1456" s="508"/>
      <c r="AX1456" s="225"/>
      <c r="AY1456" s="225"/>
      <c r="AZ1456" s="225"/>
      <c r="BA1456" s="225"/>
      <c r="BB1456" s="225"/>
      <c r="BC1456" s="56"/>
      <c r="BD1456" s="56"/>
      <c r="BE1456" s="56"/>
      <c r="BF1456" s="107" t="str">
        <f t="shared" si="1110"/>
        <v>https://www.google.com/search?tbm=isch&amp;q=Frosty%20Abelia%20Abelia%20x%20grandiflora%20%27Frosty%27</v>
      </c>
      <c r="BG1456" s="107" t="str">
        <f t="shared" si="1111"/>
        <v>F</v>
      </c>
      <c r="BH1456" s="254"/>
      <c r="BI1456" s="254"/>
    </row>
    <row r="1457" spans="1:61" customFormat="1" ht="27" x14ac:dyDescent="0.25">
      <c r="A1457" s="485">
        <v>3</v>
      </c>
      <c r="B1457" s="486" t="s">
        <v>291</v>
      </c>
      <c r="C1457" s="487" t="s">
        <v>4674</v>
      </c>
      <c r="D1457" s="488" t="s">
        <v>299</v>
      </c>
      <c r="E1457" s="489">
        <v>35.950000000000003</v>
      </c>
      <c r="F1457" s="516" t="s">
        <v>293</v>
      </c>
      <c r="G1457" s="232">
        <v>0</v>
      </c>
      <c r="H1457" s="658" t="str">
        <f>IF(G1457=0,"",IF(F1457="Buy",IF(G1457=1,"plant","plants"),IF(F1457&gt;0.01,"warranty","Error")))</f>
        <v/>
      </c>
      <c r="I1457" s="490">
        <f>IF(H1457="free",0,IF(H1457="credit",((E1457*(F1457))*G1457*-1),IF(F1457="Buy",(E1457*G1457),((E1457*(1-F1457))*G1457))))</f>
        <v>0</v>
      </c>
      <c r="J1457" s="490">
        <f>IF(H1457="warranty",0,(I1457*(_xlfn.SINGLE(SalesTaxPercentage))))</f>
        <v>0</v>
      </c>
      <c r="K1457" s="695">
        <f t="shared" ref="K1457" si="1138">I1457+J1457</f>
        <v>0</v>
      </c>
      <c r="L1457" s="695"/>
      <c r="M1457" s="659" t="str">
        <f>IF(AND(G1457&gt;0,E1457=0),"WARNING - no PRICE inserted",IF(H1457="free"," FREE ~ no charge this plant",IF(H1457="credit",CONCATENATE(" -$",ROUND(K1457*(1-T2GDiscount)*-1,2)," CREDIT after discount"),IF(T2GDiscount=0,"",IF(G1457=0,"",IF(F1457="Buy",CONCATENATE(" $",ROUND(K1457*(1-T2GDiscount),2)," with ",(T2GDiscount*100),"% discount"),CONCATENATE(" $",ROUND(K1457*(1-T2GDiscount),2)," with ",((T2GDiscount*100+F1457*100)-(T2GDiscount*100*F1457)),IF(F1457&gt;0,"% discounts",IF(NoWarrantyDiscount&gt;0,"% discounts","% discount")))))))))</f>
        <v/>
      </c>
      <c r="N1457" s="660"/>
      <c r="O1457" s="233"/>
      <c r="P1457" s="233"/>
      <c r="Q1457" s="233"/>
      <c r="R1457" s="233"/>
      <c r="S1457" s="233"/>
      <c r="T1457" s="508">
        <f t="shared" si="1099"/>
        <v>0</v>
      </c>
      <c r="U1457" s="225">
        <f>IF(NOT(ISNUMBER(G1457)), "", VLOOKUP(A1457,'Discount Lookup'!D:E,2,FALSE)*G1457)</f>
        <v>0</v>
      </c>
      <c r="V1457" s="225">
        <f>IF(NOT(ISNUMBER(G1457)), "", VLOOKUP(A1457,'Discount Lookup'!G:H,2,FALSE)*G1457)</f>
        <v>0</v>
      </c>
      <c r="W1457" s="508">
        <f t="shared" si="1100"/>
        <v>0</v>
      </c>
      <c r="X1457" s="508">
        <f t="shared" si="1101"/>
        <v>0</v>
      </c>
      <c r="Y1457" s="509" t="b">
        <f t="shared" si="1102"/>
        <v>0</v>
      </c>
      <c r="Z1457" s="510">
        <f t="shared" si="1103"/>
        <v>0</v>
      </c>
      <c r="AA1457" s="511"/>
      <c r="AB1457" s="511" t="str">
        <f t="shared" si="1104"/>
        <v/>
      </c>
      <c r="AC1457" s="698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698"/>
      <c r="AE1457" s="631" t="str">
        <f t="shared" si="1105"/>
        <v/>
      </c>
      <c r="AF1457" s="699" t="str">
        <f t="shared" si="1106"/>
        <v/>
      </c>
      <c r="AG1457" s="699"/>
      <c r="AH1457" s="699"/>
      <c r="AI1457" s="512">
        <f>IF(H1457="credit",0,IF(AE1457="free",0,IF(AE1457="me",0,IF(G1457&gt;0,(VLOOKUP(A1457,'Discount Lookup'!J:K,2)*G1457),0))))</f>
        <v>0</v>
      </c>
      <c r="AJ1457" s="513" t="str">
        <f t="shared" ca="1" si="1107"/>
        <v/>
      </c>
      <c r="AK1457" s="700" t="str">
        <f t="shared" si="1108"/>
        <v/>
      </c>
      <c r="AL1457" s="700"/>
      <c r="AM1457" s="505" t="str">
        <f t="shared" si="1109"/>
        <v/>
      </c>
      <c r="AN1457" s="506"/>
      <c r="AO1457" s="507"/>
      <c r="AP1457" s="507"/>
      <c r="AQ1457" s="507"/>
      <c r="AR1457" s="507"/>
      <c r="AS1457" s="507"/>
      <c r="AT1457" s="507"/>
      <c r="AU1457" s="507"/>
      <c r="AV1457" s="225"/>
      <c r="AW1457" s="508"/>
      <c r="AX1457" s="225"/>
      <c r="AY1457" s="225"/>
      <c r="AZ1457" s="225"/>
      <c r="BA1457" s="225"/>
      <c r="BB1457" s="225"/>
      <c r="BC1457" s="56"/>
      <c r="BD1457" s="56"/>
      <c r="BE1457" s="56"/>
      <c r="BF1457" s="107" t="str">
        <f t="shared" si="1110"/>
        <v>https://www.google.com/search?tbm=isch&amp;q=3%20G5</v>
      </c>
      <c r="BG1457" s="107" t="str">
        <f t="shared" si="1111"/>
        <v>F</v>
      </c>
      <c r="BH1457" s="254"/>
      <c r="BI1457" s="254"/>
    </row>
    <row r="1458" spans="1:61" customFormat="1" ht="17.25" thickBot="1" x14ac:dyDescent="0.3">
      <c r="A1458" s="522" t="s">
        <v>4675</v>
      </c>
      <c r="B1458" s="491"/>
      <c r="C1458" s="675"/>
      <c r="D1458" s="491"/>
      <c r="E1458" s="491"/>
      <c r="F1458" s="492"/>
      <c r="G1458" s="493"/>
      <c r="H1458" s="491"/>
      <c r="I1458" s="234"/>
      <c r="J1458" s="234"/>
      <c r="K1458" s="494"/>
      <c r="L1458" s="543"/>
      <c r="M1458" s="561"/>
      <c r="N1458" s="495"/>
      <c r="O1458" s="496"/>
      <c r="P1458" s="497"/>
      <c r="Q1458" s="495"/>
      <c r="R1458" s="495"/>
      <c r="S1458" s="667" t="s">
        <v>4988</v>
      </c>
      <c r="T1458" s="508">
        <f t="shared" si="1099"/>
        <v>0</v>
      </c>
      <c r="U1458" s="225" t="str">
        <f>IF(NOT(ISNUMBER(G1458)), "", VLOOKUP(A1458,'Discount Lookup'!D:E,2,FALSE)*G1458)</f>
        <v/>
      </c>
      <c r="V1458" s="225" t="str">
        <f>IF(NOT(ISNUMBER(G1458)), "", VLOOKUP(A1458,'Discount Lookup'!G:H,2,FALSE)*G1458)</f>
        <v/>
      </c>
      <c r="W1458" s="508">
        <f t="shared" si="1100"/>
        <v>0</v>
      </c>
      <c r="X1458" s="508">
        <f t="shared" si="1101"/>
        <v>0</v>
      </c>
      <c r="Y1458" s="509" t="b">
        <f t="shared" si="1102"/>
        <v>0</v>
      </c>
      <c r="Z1458" s="510">
        <f t="shared" si="1103"/>
        <v>0</v>
      </c>
      <c r="AA1458" s="511"/>
      <c r="AB1458" s="511" t="str">
        <f t="shared" si="1104"/>
        <v/>
      </c>
      <c r="AC1458" s="698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698"/>
      <c r="AE1458" s="631" t="str">
        <f t="shared" si="1105"/>
        <v/>
      </c>
      <c r="AF1458" s="699" t="str">
        <f t="shared" si="1106"/>
        <v/>
      </c>
      <c r="AG1458" s="699"/>
      <c r="AH1458" s="699"/>
      <c r="AI1458" s="512">
        <f>IF(H1458="credit",0,IF(AE1458="free",0,IF(AE1458="me",0,IF(G1458&gt;0,(VLOOKUP(A1458,'Discount Lookup'!J:K,2)*G1458),0))))</f>
        <v>0</v>
      </c>
      <c r="AJ1458" s="513" t="str">
        <f t="shared" ca="1" si="1107"/>
        <v/>
      </c>
      <c r="AK1458" s="700" t="str">
        <f t="shared" si="1108"/>
        <v/>
      </c>
      <c r="AL1458" s="700"/>
      <c r="AM1458" s="505" t="str">
        <f t="shared" si="1109"/>
        <v/>
      </c>
      <c r="AN1458" s="506"/>
      <c r="AO1458" s="507"/>
      <c r="AP1458" s="507"/>
      <c r="AQ1458" s="507"/>
      <c r="AR1458" s="507"/>
      <c r="AS1458" s="507"/>
      <c r="AT1458" s="507"/>
      <c r="AU1458" s="507"/>
      <c r="AV1458" s="225"/>
      <c r="AW1458" s="508"/>
      <c r="AX1458" s="225"/>
      <c r="AY1458" s="225"/>
      <c r="AZ1458" s="225"/>
      <c r="BA1458" s="225"/>
      <c r="BB1458" s="225"/>
      <c r="BC1458" s="56"/>
      <c r="BD1458" s="56"/>
      <c r="BE1458" s="56"/>
      <c r="BF1458" s="107" t="str">
        <f t="shared" si="1110"/>
        <v>https://www.google.com/search?tbm=isch&amp;q=Frosty%20admired%20for%20its%20striking%20variegated%20foliage.%20Purple%20fall%20color%20lingers%20into%20winter.%20Light%20fragrance%20</v>
      </c>
      <c r="BG1458" s="107" t="str">
        <f t="shared" si="1111"/>
        <v>F</v>
      </c>
      <c r="BH1458" s="254"/>
      <c r="BI1458" s="254"/>
    </row>
    <row r="1459" spans="1:61" customFormat="1" ht="18" x14ac:dyDescent="0.25">
      <c r="A1459" s="521" t="s">
        <v>942</v>
      </c>
      <c r="B1459" s="477"/>
      <c r="C1459" s="674"/>
      <c r="D1459" s="478" t="s">
        <v>943</v>
      </c>
      <c r="E1459" s="479"/>
      <c r="F1459" s="479"/>
      <c r="G1459" s="479"/>
      <c r="H1459" s="582" t="s">
        <v>321</v>
      </c>
      <c r="I1459" s="480" t="s">
        <v>2314</v>
      </c>
      <c r="J1459" s="479"/>
      <c r="K1459" s="479"/>
      <c r="L1459" s="560"/>
      <c r="M1459" s="666" t="s">
        <v>4966</v>
      </c>
      <c r="N1459" s="680" t="str">
        <f>IF(AND(ISTEXT($A1459), ISERROR($A1459+0)), HYPERLINK($BF1459, "Images"), "")</f>
        <v>Images</v>
      </c>
      <c r="O1459" s="662" t="s">
        <v>4969</v>
      </c>
      <c r="P1459" s="482"/>
      <c r="Q1459" s="483"/>
      <c r="R1459" s="483"/>
      <c r="S1459" s="484"/>
      <c r="T1459" s="508">
        <f t="shared" si="1099"/>
        <v>0</v>
      </c>
      <c r="U1459" s="225" t="str">
        <f>IF(NOT(ISNUMBER(G1459)), "", VLOOKUP(A1459,'Discount Lookup'!D:E,2,FALSE)*G1459)</f>
        <v/>
      </c>
      <c r="V1459" s="225" t="str">
        <f>IF(NOT(ISNUMBER(G1459)), "", VLOOKUP(A1459,'Discount Lookup'!G:H,2,FALSE)*G1459)</f>
        <v/>
      </c>
      <c r="W1459" s="508">
        <f t="shared" si="1100"/>
        <v>0</v>
      </c>
      <c r="X1459" s="508" t="str">
        <f t="shared" si="1101"/>
        <v>Olive-Green foliage</v>
      </c>
      <c r="Y1459" s="509" t="b">
        <f t="shared" si="1102"/>
        <v>0</v>
      </c>
      <c r="Z1459" s="510">
        <f t="shared" si="1103"/>
        <v>0</v>
      </c>
      <c r="AA1459" s="511"/>
      <c r="AB1459" s="511" t="str">
        <f t="shared" si="1104"/>
        <v/>
      </c>
      <c r="AC1459" s="698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698"/>
      <c r="AE1459" s="631" t="str">
        <f t="shared" si="1105"/>
        <v/>
      </c>
      <c r="AF1459" s="699" t="str">
        <f t="shared" si="1106"/>
        <v/>
      </c>
      <c r="AG1459" s="699"/>
      <c r="AH1459" s="699"/>
      <c r="AI1459" s="512">
        <f>IF(H1459="credit",0,IF(AE1459="free",0,IF(AE1459="me",0,IF(G1459&gt;0,(VLOOKUP(A1459,'Discount Lookup'!J:K,2)*G1459),0))))</f>
        <v>0</v>
      </c>
      <c r="AJ1459" s="513" t="str">
        <f t="shared" ca="1" si="1107"/>
        <v/>
      </c>
      <c r="AK1459" s="700" t="str">
        <f t="shared" si="1108"/>
        <v/>
      </c>
      <c r="AL1459" s="700"/>
      <c r="AM1459" s="505" t="str">
        <f t="shared" si="1109"/>
        <v/>
      </c>
      <c r="AN1459" s="506"/>
      <c r="AO1459" s="507"/>
      <c r="AP1459" s="507"/>
      <c r="AQ1459" s="507"/>
      <c r="AR1459" s="507"/>
      <c r="AS1459" s="507"/>
      <c r="AT1459" s="507"/>
      <c r="AU1459" s="507"/>
      <c r="AV1459" s="225"/>
      <c r="AW1459" s="508"/>
      <c r="AX1459" s="225"/>
      <c r="AY1459" s="225"/>
      <c r="AZ1459" s="225"/>
      <c r="BA1459" s="225"/>
      <c r="BB1459" s="225"/>
      <c r="BC1459" s="56"/>
      <c r="BD1459" s="56"/>
      <c r="BE1459" s="56"/>
      <c r="BF1459" s="107" t="str">
        <f t="shared" si="1110"/>
        <v>https://www.google.com/search?tbm=isch&amp;q=Fruitland%20Elaeagnus%20Elaeagnus%20pungens%20%27Fruitlandii%27</v>
      </c>
      <c r="BG1459" s="107" t="str">
        <f t="shared" si="1111"/>
        <v>F</v>
      </c>
      <c r="BH1459" s="254"/>
      <c r="BI1459" s="254"/>
    </row>
    <row r="1460" spans="1:61" customFormat="1" ht="15.75" x14ac:dyDescent="0.25">
      <c r="A1460" s="485">
        <v>3</v>
      </c>
      <c r="B1460" s="486" t="s">
        <v>291</v>
      </c>
      <c r="C1460" s="487" t="s">
        <v>352</v>
      </c>
      <c r="D1460" s="488" t="s">
        <v>297</v>
      </c>
      <c r="E1460" s="489">
        <v>22.95</v>
      </c>
      <c r="F1460" s="516" t="s">
        <v>293</v>
      </c>
      <c r="G1460" s="232">
        <v>0</v>
      </c>
      <c r="H1460" s="658" t="str">
        <f>IF(G1460=0,"",IF(F1460="Buy",IF(G1460=1,"plant","plants"),IF(F1460&gt;0.01,"warranty","Error")))</f>
        <v/>
      </c>
      <c r="I1460" s="490">
        <f>IF(H1460="free",0,IF(H1460="credit",((E1460*(F1460))*G1460*-1),IF(F1460="Buy",(E1460*G1460),((E1460*(1-F1460))*G1460))))</f>
        <v>0</v>
      </c>
      <c r="J1460" s="490">
        <f>IF(H1460="warranty",0,(I1460*(_xlfn.SINGLE(SalesTaxPercentage))))</f>
        <v>0</v>
      </c>
      <c r="K1460" s="695">
        <f t="shared" ref="K1460" si="1139">I1460+J1460</f>
        <v>0</v>
      </c>
      <c r="L1460" s="695"/>
      <c r="M1460" s="659" t="str">
        <f>IF(AND(G1460&gt;0,E1460=0),"WARNING - no PRICE inserted",IF(H1460="free"," FREE ~ no charge this plant",IF(H1460="credit",CONCATENATE(" -$",ROUND(K1460*(1-T2GDiscount)*-1,2)," CREDIT after discount"),IF(T2GDiscount=0,"",IF(G1460=0,"",IF(F1460="Buy",CONCATENATE(" $",ROUND(K1460*(1-T2GDiscount),2)," with ",(T2GDiscount*100),"% discount"),CONCATENATE(" $",ROUND(K1460*(1-T2GDiscount),2)," with ",((T2GDiscount*100+F1460*100)-(T2GDiscount*100*F1460)),IF(F1460&gt;0,"% discounts",IF(NoWarrantyDiscount&gt;0,"% discounts","% discount")))))))))</f>
        <v/>
      </c>
      <c r="N1460" s="660"/>
      <c r="O1460" s="233"/>
      <c r="P1460" s="233"/>
      <c r="Q1460" s="233"/>
      <c r="R1460" s="233"/>
      <c r="S1460" s="233"/>
      <c r="T1460" s="508">
        <f t="shared" si="1099"/>
        <v>0</v>
      </c>
      <c r="U1460" s="225">
        <f>IF(NOT(ISNUMBER(G1460)), "", VLOOKUP(A1460,'Discount Lookup'!D:E,2,FALSE)*G1460)</f>
        <v>0</v>
      </c>
      <c r="V1460" s="225">
        <f>IF(NOT(ISNUMBER(G1460)), "", VLOOKUP(A1460,'Discount Lookup'!G:H,2,FALSE)*G1460)</f>
        <v>0</v>
      </c>
      <c r="W1460" s="508">
        <f t="shared" si="1100"/>
        <v>0</v>
      </c>
      <c r="X1460" s="508">
        <f t="shared" si="1101"/>
        <v>0</v>
      </c>
      <c r="Y1460" s="509" t="b">
        <f t="shared" si="1102"/>
        <v>0</v>
      </c>
      <c r="Z1460" s="510">
        <f t="shared" si="1103"/>
        <v>0</v>
      </c>
      <c r="AA1460" s="511"/>
      <c r="AB1460" s="511" t="str">
        <f t="shared" si="1104"/>
        <v/>
      </c>
      <c r="AC1460" s="698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698"/>
      <c r="AE1460" s="631" t="str">
        <f t="shared" si="1105"/>
        <v/>
      </c>
      <c r="AF1460" s="699" t="str">
        <f t="shared" si="1106"/>
        <v/>
      </c>
      <c r="AG1460" s="699"/>
      <c r="AH1460" s="699"/>
      <c r="AI1460" s="512">
        <f>IF(H1460="credit",0,IF(AE1460="free",0,IF(AE1460="me",0,IF(G1460&gt;0,(VLOOKUP(A1460,'Discount Lookup'!J:K,2)*G1460),0))))</f>
        <v>0</v>
      </c>
      <c r="AJ1460" s="513" t="str">
        <f t="shared" ca="1" si="1107"/>
        <v/>
      </c>
      <c r="AK1460" s="700" t="str">
        <f t="shared" si="1108"/>
        <v/>
      </c>
      <c r="AL1460" s="700"/>
      <c r="AM1460" s="505" t="str">
        <f t="shared" si="1109"/>
        <v/>
      </c>
      <c r="AN1460" s="506"/>
      <c r="AO1460" s="507"/>
      <c r="AP1460" s="507"/>
      <c r="AQ1460" s="507"/>
      <c r="AR1460" s="507"/>
      <c r="AS1460" s="507"/>
      <c r="AT1460" s="507"/>
      <c r="AU1460" s="507"/>
      <c r="AV1460" s="225"/>
      <c r="AW1460" s="508"/>
      <c r="AX1460" s="225"/>
      <c r="AY1460" s="225"/>
      <c r="AZ1460" s="225"/>
      <c r="BA1460" s="225"/>
      <c r="BB1460" s="225"/>
      <c r="BC1460" s="56"/>
      <c r="BD1460" s="56"/>
      <c r="BE1460" s="56"/>
      <c r="BF1460" s="107" t="str">
        <f t="shared" si="1110"/>
        <v>https://www.google.com/search?tbm=isch&amp;q=3%20G3</v>
      </c>
      <c r="BG1460" s="107" t="str">
        <f t="shared" si="1111"/>
        <v>F</v>
      </c>
      <c r="BH1460" s="254"/>
      <c r="BI1460" s="254"/>
    </row>
    <row r="1461" spans="1:61" customFormat="1" ht="17.25" thickBot="1" x14ac:dyDescent="0.3">
      <c r="A1461" s="522" t="s">
        <v>2934</v>
      </c>
      <c r="B1461" s="491"/>
      <c r="C1461" s="675"/>
      <c r="D1461" s="491"/>
      <c r="E1461" s="491"/>
      <c r="F1461" s="492"/>
      <c r="G1461" s="493"/>
      <c r="H1461" s="491"/>
      <c r="I1461" s="234"/>
      <c r="J1461" s="234"/>
      <c r="K1461" s="494"/>
      <c r="L1461" s="543"/>
      <c r="M1461" s="561"/>
      <c r="N1461" s="495"/>
      <c r="O1461" s="496"/>
      <c r="P1461" s="497"/>
      <c r="Q1461" s="495"/>
      <c r="R1461" s="495"/>
      <c r="S1461" s="667" t="s">
        <v>4984</v>
      </c>
      <c r="T1461" s="508">
        <f t="shared" si="1099"/>
        <v>0</v>
      </c>
      <c r="U1461" s="225" t="str">
        <f>IF(NOT(ISNUMBER(G1461)), "", VLOOKUP(A1461,'Discount Lookup'!D:E,2,FALSE)*G1461)</f>
        <v/>
      </c>
      <c r="V1461" s="225" t="str">
        <f>IF(NOT(ISNUMBER(G1461)), "", VLOOKUP(A1461,'Discount Lookup'!G:H,2,FALSE)*G1461)</f>
        <v/>
      </c>
      <c r="W1461" s="508">
        <f t="shared" si="1100"/>
        <v>0</v>
      </c>
      <c r="X1461" s="508">
        <f t="shared" si="1101"/>
        <v>0</v>
      </c>
      <c r="Y1461" s="509" t="b">
        <f t="shared" si="1102"/>
        <v>0</v>
      </c>
      <c r="Z1461" s="510">
        <f t="shared" si="1103"/>
        <v>0</v>
      </c>
      <c r="AA1461" s="511"/>
      <c r="AB1461" s="511" t="str">
        <f t="shared" si="1104"/>
        <v/>
      </c>
      <c r="AC1461" s="698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698"/>
      <c r="AE1461" s="631" t="str">
        <f t="shared" si="1105"/>
        <v/>
      </c>
      <c r="AF1461" s="699" t="str">
        <f t="shared" si="1106"/>
        <v/>
      </c>
      <c r="AG1461" s="699"/>
      <c r="AH1461" s="699"/>
      <c r="AI1461" s="512">
        <f>IF(H1461="credit",0,IF(AE1461="free",0,IF(AE1461="me",0,IF(G1461&gt;0,(VLOOKUP(A1461,'Discount Lookup'!J:K,2)*G1461),0))))</f>
        <v>0</v>
      </c>
      <c r="AJ1461" s="513" t="str">
        <f t="shared" ca="1" si="1107"/>
        <v/>
      </c>
      <c r="AK1461" s="700" t="str">
        <f t="shared" si="1108"/>
        <v/>
      </c>
      <c r="AL1461" s="700"/>
      <c r="AM1461" s="505" t="str">
        <f t="shared" si="1109"/>
        <v/>
      </c>
      <c r="AN1461" s="506"/>
      <c r="AO1461" s="507"/>
      <c r="AP1461" s="507"/>
      <c r="AQ1461" s="507"/>
      <c r="AR1461" s="507"/>
      <c r="AS1461" s="507"/>
      <c r="AT1461" s="507"/>
      <c r="AU1461" s="507"/>
      <c r="AV1461" s="225"/>
      <c r="AW1461" s="508"/>
      <c r="AX1461" s="225"/>
      <c r="AY1461" s="225"/>
      <c r="AZ1461" s="225"/>
      <c r="BA1461" s="225"/>
      <c r="BB1461" s="225"/>
      <c r="BC1461" s="56"/>
      <c r="BD1461" s="56"/>
      <c r="BE1461" s="56"/>
      <c r="BF1461" s="107" t="str">
        <f t="shared" si="1110"/>
        <v>https://www.google.com/search?tbm=isch&amp;q=Fruitland%20has%20Silvery-backed%20foliage%20and%20small%2C%20very%20fragrant%20Creamy%20White%20fall%20flowers.%20Tough%20shrub.%20Birds%20%20adore%20the%20Red%20fruits%20</v>
      </c>
      <c r="BG1461" s="107" t="str">
        <f t="shared" si="1111"/>
        <v>F</v>
      </c>
      <c r="BH1461" s="254"/>
      <c r="BI1461" s="254"/>
    </row>
    <row r="1462" spans="1:61" customFormat="1" ht="18" x14ac:dyDescent="0.25">
      <c r="A1462" s="521" t="s">
        <v>944</v>
      </c>
      <c r="B1462" s="477"/>
      <c r="C1462" s="674"/>
      <c r="D1462" s="478" t="s">
        <v>945</v>
      </c>
      <c r="E1462" s="479"/>
      <c r="F1462" s="479"/>
      <c r="G1462" s="479"/>
      <c r="H1462" s="582" t="s">
        <v>311</v>
      </c>
      <c r="I1462" s="480" t="s">
        <v>654</v>
      </c>
      <c r="J1462" s="479"/>
      <c r="K1462" s="479"/>
      <c r="L1462" s="560"/>
      <c r="M1462" s="666" t="s">
        <v>4965</v>
      </c>
      <c r="N1462" s="680" t="str">
        <f>IF(AND(ISTEXT($A1462), ISERROR($A1462+0)), HYPERLINK($BF1462, "Images"), "")</f>
        <v>Images</v>
      </c>
      <c r="O1462" s="662" t="s">
        <v>4969</v>
      </c>
      <c r="P1462" s="482"/>
      <c r="Q1462" s="483"/>
      <c r="R1462" s="483"/>
      <c r="S1462" s="484"/>
      <c r="T1462" s="508">
        <f t="shared" si="1099"/>
        <v>0</v>
      </c>
      <c r="U1462" s="225" t="str">
        <f>IF(NOT(ISNUMBER(G1462)), "", VLOOKUP(A1462,'Discount Lookup'!D:E,2,FALSE)*G1462)</f>
        <v/>
      </c>
      <c r="V1462" s="225" t="str">
        <f>IF(NOT(ISNUMBER(G1462)), "", VLOOKUP(A1462,'Discount Lookup'!G:H,2,FALSE)*G1462)</f>
        <v/>
      </c>
      <c r="W1462" s="508">
        <f t="shared" si="1100"/>
        <v>0</v>
      </c>
      <c r="X1462" s="508" t="str">
        <f t="shared" si="1101"/>
        <v>White bloom</v>
      </c>
      <c r="Y1462" s="509" t="b">
        <f t="shared" si="1102"/>
        <v>0</v>
      </c>
      <c r="Z1462" s="510">
        <f t="shared" si="1103"/>
        <v>0</v>
      </c>
      <c r="AA1462" s="511"/>
      <c r="AB1462" s="511" t="str">
        <f t="shared" si="1104"/>
        <v/>
      </c>
      <c r="AC1462" s="698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698"/>
      <c r="AE1462" s="631" t="str">
        <f t="shared" si="1105"/>
        <v/>
      </c>
      <c r="AF1462" s="699" t="str">
        <f t="shared" si="1106"/>
        <v/>
      </c>
      <c r="AG1462" s="699"/>
      <c r="AH1462" s="699"/>
      <c r="AI1462" s="512">
        <f>IF(H1462="credit",0,IF(AE1462="free",0,IF(AE1462="me",0,IF(G1462&gt;0,(VLOOKUP(A1462,'Discount Lookup'!J:K,2)*G1462),0))))</f>
        <v>0</v>
      </c>
      <c r="AJ1462" s="513" t="str">
        <f t="shared" ca="1" si="1107"/>
        <v/>
      </c>
      <c r="AK1462" s="700" t="str">
        <f t="shared" si="1108"/>
        <v/>
      </c>
      <c r="AL1462" s="700"/>
      <c r="AM1462" s="505" t="str">
        <f t="shared" si="1109"/>
        <v/>
      </c>
      <c r="AN1462" s="506"/>
      <c r="AO1462" s="507"/>
      <c r="AP1462" s="507"/>
      <c r="AQ1462" s="507"/>
      <c r="AR1462" s="507"/>
      <c r="AS1462" s="507"/>
      <c r="AT1462" s="507"/>
      <c r="AU1462" s="507"/>
      <c r="AV1462" s="225"/>
      <c r="AW1462" s="508"/>
      <c r="AX1462" s="225"/>
      <c r="AY1462" s="225"/>
      <c r="AZ1462" s="225"/>
      <c r="BA1462" s="225"/>
      <c r="BB1462" s="225"/>
      <c r="BC1462" s="56"/>
      <c r="BD1462" s="56"/>
      <c r="BE1462" s="56"/>
      <c r="BF1462" s="107" t="str">
        <f t="shared" si="1110"/>
        <v>https://www.google.com/search?tbm=isch&amp;q=Fruitlandii%20Tea%20Olive%20Osmanthus%20x%20fortunei%20%27Fruitlandii%27</v>
      </c>
      <c r="BG1462" s="107" t="str">
        <f t="shared" si="1111"/>
        <v>F</v>
      </c>
      <c r="BH1462" s="254"/>
      <c r="BI1462" s="254"/>
    </row>
    <row r="1463" spans="1:61" customFormat="1" ht="15.75" x14ac:dyDescent="0.25">
      <c r="A1463" s="485">
        <v>7</v>
      </c>
      <c r="B1463" s="486" t="s">
        <v>291</v>
      </c>
      <c r="C1463" s="487" t="s">
        <v>3499</v>
      </c>
      <c r="D1463" s="488" t="s">
        <v>292</v>
      </c>
      <c r="E1463" s="489">
        <v>86.95</v>
      </c>
      <c r="F1463" s="516" t="s">
        <v>293</v>
      </c>
      <c r="G1463" s="232">
        <v>0</v>
      </c>
      <c r="H1463" s="658" t="str">
        <f>IF(G1463=0,"",IF(F1463="Buy",IF(G1463=1,"plant","plants"),IF(F1463&gt;0.01,"warranty","Error")))</f>
        <v/>
      </c>
      <c r="I1463" s="490">
        <f>IF(H1463="free",0,IF(H1463="credit",((E1463*(F1463))*G1463*-1),IF(F1463="Buy",(E1463*G1463),((E1463*(1-F1463))*G1463))))</f>
        <v>0</v>
      </c>
      <c r="J1463" s="490">
        <f>IF(H1463="warranty",0,(I1463*(_xlfn.SINGLE(SalesTaxPercentage))))</f>
        <v>0</v>
      </c>
      <c r="K1463" s="695">
        <f t="shared" ref="K1463" si="1140">I1463+J1463</f>
        <v>0</v>
      </c>
      <c r="L1463" s="695"/>
      <c r="M1463" s="659" t="str">
        <f>IF(AND(G1463&gt;0,E1463=0),"WARNING - no PRICE inserted",IF(H1463="free"," FREE ~ no charge this plant",IF(H1463="credit",CONCATENATE(" -$",ROUND(K1463*(1-T2GDiscount)*-1,2)," CREDIT after discount"),IF(T2GDiscount=0,"",IF(G1463=0,"",IF(F1463="Buy",CONCATENATE(" $",ROUND(K1463*(1-T2GDiscount),2)," with ",(T2GDiscount*100),"% discount"),CONCATENATE(" $",ROUND(K1463*(1-T2GDiscount),2)," with ",((T2GDiscount*100+F1463*100)-(T2GDiscount*100*F1463)),IF(F1463&gt;0,"% discounts",IF(NoWarrantyDiscount&gt;0,"% discounts","% discount")))))))))</f>
        <v/>
      </c>
      <c r="N1463" s="660"/>
      <c r="O1463" s="233"/>
      <c r="P1463" s="233"/>
      <c r="Q1463" s="233"/>
      <c r="R1463" s="233"/>
      <c r="S1463" s="233"/>
      <c r="T1463" s="508">
        <f t="shared" si="1099"/>
        <v>0</v>
      </c>
      <c r="U1463" s="225">
        <f>IF(NOT(ISNUMBER(G1463)), "", VLOOKUP(A1463,'Discount Lookup'!D:E,2,FALSE)*G1463)</f>
        <v>0</v>
      </c>
      <c r="V1463" s="225">
        <f>IF(NOT(ISNUMBER(G1463)), "", VLOOKUP(A1463,'Discount Lookup'!G:H,2,FALSE)*G1463)</f>
        <v>0</v>
      </c>
      <c r="W1463" s="508">
        <f t="shared" si="1100"/>
        <v>0</v>
      </c>
      <c r="X1463" s="508">
        <f t="shared" si="1101"/>
        <v>0</v>
      </c>
      <c r="Y1463" s="509" t="b">
        <f t="shared" si="1102"/>
        <v>0</v>
      </c>
      <c r="Z1463" s="510">
        <f t="shared" si="1103"/>
        <v>0</v>
      </c>
      <c r="AA1463" s="511"/>
      <c r="AB1463" s="511" t="str">
        <f t="shared" si="1104"/>
        <v/>
      </c>
      <c r="AC1463" s="698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698"/>
      <c r="AE1463" s="631" t="str">
        <f t="shared" si="1105"/>
        <v/>
      </c>
      <c r="AF1463" s="699" t="str">
        <f t="shared" si="1106"/>
        <v/>
      </c>
      <c r="AG1463" s="699"/>
      <c r="AH1463" s="699"/>
      <c r="AI1463" s="512">
        <f>IF(H1463="credit",0,IF(AE1463="free",0,IF(AE1463="me",0,IF(G1463&gt;0,(VLOOKUP(A1463,'Discount Lookup'!J:K,2)*G1463),0))))</f>
        <v>0</v>
      </c>
      <c r="AJ1463" s="513" t="str">
        <f t="shared" ca="1" si="1107"/>
        <v/>
      </c>
      <c r="AK1463" s="700" t="str">
        <f t="shared" si="1108"/>
        <v/>
      </c>
      <c r="AL1463" s="700"/>
      <c r="AM1463" s="505" t="str">
        <f t="shared" si="1109"/>
        <v/>
      </c>
      <c r="AN1463" s="506"/>
      <c r="AO1463" s="507"/>
      <c r="AP1463" s="507"/>
      <c r="AQ1463" s="507"/>
      <c r="AR1463" s="507"/>
      <c r="AS1463" s="507"/>
      <c r="AT1463" s="507"/>
      <c r="AU1463" s="507"/>
      <c r="AV1463" s="225"/>
      <c r="AW1463" s="508"/>
      <c r="AX1463" s="225"/>
      <c r="AY1463" s="225"/>
      <c r="AZ1463" s="225"/>
      <c r="BA1463" s="225"/>
      <c r="BB1463" s="225"/>
      <c r="BC1463" s="56"/>
      <c r="BD1463" s="56"/>
      <c r="BE1463" s="56"/>
      <c r="BF1463" s="107" t="str">
        <f t="shared" si="1110"/>
        <v>https://www.google.com/search?tbm=isch&amp;q=7%20G4</v>
      </c>
      <c r="BG1463" s="107" t="str">
        <f t="shared" si="1111"/>
        <v>F</v>
      </c>
      <c r="BH1463" s="254"/>
      <c r="BI1463" s="254"/>
    </row>
    <row r="1464" spans="1:61" customFormat="1" ht="17.25" thickBot="1" x14ac:dyDescent="0.3">
      <c r="A1464" s="522" t="s">
        <v>2141</v>
      </c>
      <c r="B1464" s="491"/>
      <c r="C1464" s="675"/>
      <c r="D1464" s="491"/>
      <c r="E1464" s="491"/>
      <c r="F1464" s="492"/>
      <c r="G1464" s="493"/>
      <c r="H1464" s="491"/>
      <c r="I1464" s="234"/>
      <c r="J1464" s="234"/>
      <c r="K1464" s="494"/>
      <c r="L1464" s="543"/>
      <c r="M1464" s="561"/>
      <c r="N1464" s="495"/>
      <c r="O1464" s="496"/>
      <c r="P1464" s="497"/>
      <c r="Q1464" s="495"/>
      <c r="R1464" s="495"/>
      <c r="S1464" s="667" t="s">
        <v>5002</v>
      </c>
      <c r="T1464" s="508">
        <f t="shared" si="1099"/>
        <v>0</v>
      </c>
      <c r="U1464" s="225" t="str">
        <f>IF(NOT(ISNUMBER(G1464)), "", VLOOKUP(A1464,'Discount Lookup'!D:E,2,FALSE)*G1464)</f>
        <v/>
      </c>
      <c r="V1464" s="225" t="str">
        <f>IF(NOT(ISNUMBER(G1464)), "", VLOOKUP(A1464,'Discount Lookup'!G:H,2,FALSE)*G1464)</f>
        <v/>
      </c>
      <c r="W1464" s="508">
        <f t="shared" si="1100"/>
        <v>0</v>
      </c>
      <c r="X1464" s="508">
        <f t="shared" si="1101"/>
        <v>0</v>
      </c>
      <c r="Y1464" s="509" t="b">
        <f t="shared" si="1102"/>
        <v>0</v>
      </c>
      <c r="Z1464" s="510">
        <f t="shared" si="1103"/>
        <v>0</v>
      </c>
      <c r="AA1464" s="511"/>
      <c r="AB1464" s="511" t="str">
        <f t="shared" si="1104"/>
        <v/>
      </c>
      <c r="AC1464" s="698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698"/>
      <c r="AE1464" s="631" t="str">
        <f t="shared" si="1105"/>
        <v/>
      </c>
      <c r="AF1464" s="699" t="str">
        <f t="shared" si="1106"/>
        <v/>
      </c>
      <c r="AG1464" s="699"/>
      <c r="AH1464" s="699"/>
      <c r="AI1464" s="512">
        <f>IF(H1464="credit",0,IF(AE1464="free",0,IF(AE1464="me",0,IF(G1464&gt;0,(VLOOKUP(A1464,'Discount Lookup'!J:K,2)*G1464),0))))</f>
        <v>0</v>
      </c>
      <c r="AJ1464" s="513" t="str">
        <f t="shared" ca="1" si="1107"/>
        <v/>
      </c>
      <c r="AK1464" s="700" t="str">
        <f t="shared" si="1108"/>
        <v/>
      </c>
      <c r="AL1464" s="700"/>
      <c r="AM1464" s="505" t="str">
        <f t="shared" si="1109"/>
        <v/>
      </c>
      <c r="AN1464" s="506"/>
      <c r="AO1464" s="507"/>
      <c r="AP1464" s="507"/>
      <c r="AQ1464" s="507"/>
      <c r="AR1464" s="507"/>
      <c r="AS1464" s="507"/>
      <c r="AT1464" s="507"/>
      <c r="AU1464" s="507"/>
      <c r="AV1464" s="225"/>
      <c r="AW1464" s="508"/>
      <c r="AX1464" s="225"/>
      <c r="AY1464" s="225"/>
      <c r="AZ1464" s="225"/>
      <c r="BA1464" s="225"/>
      <c r="BB1464" s="225"/>
      <c r="BC1464" s="56"/>
      <c r="BD1464" s="56"/>
      <c r="BE1464" s="56"/>
      <c r="BF1464" s="107" t="str">
        <f t="shared" si="1110"/>
        <v>https://www.google.com/search?tbm=isch&amp;q=Fruitlandii%20has%20abundant%20fall%20blooming%20fragrant%20flowers%20that%20perist%20into%20winter%20</v>
      </c>
      <c r="BG1464" s="107" t="str">
        <f t="shared" si="1111"/>
        <v>F</v>
      </c>
      <c r="BH1464" s="254"/>
      <c r="BI1464" s="254"/>
    </row>
    <row r="1465" spans="1:61" customFormat="1" ht="18" x14ac:dyDescent="0.25">
      <c r="A1465" s="523" t="s">
        <v>946</v>
      </c>
      <c r="B1465" s="235"/>
      <c r="C1465" s="676"/>
      <c r="D1465" s="255" t="s">
        <v>947</v>
      </c>
      <c r="E1465" s="236"/>
      <c r="F1465" s="236"/>
      <c r="G1465" s="236"/>
      <c r="H1465" s="582" t="s">
        <v>355</v>
      </c>
      <c r="I1465" s="498" t="s">
        <v>2109</v>
      </c>
      <c r="J1465" s="237"/>
      <c r="K1465" s="237"/>
      <c r="L1465" s="274"/>
      <c r="M1465" s="670" t="s">
        <v>4973</v>
      </c>
      <c r="N1465" s="681" t="str">
        <f>IF(AND(ISTEXT($A1465), ISERROR($A1465+0)), HYPERLINK($BF1465, "Images"), "")</f>
        <v>Images</v>
      </c>
      <c r="O1465" s="663" t="s">
        <v>4967</v>
      </c>
      <c r="P1465" s="253"/>
      <c r="Q1465" s="238"/>
      <c r="R1465" s="239"/>
      <c r="S1465" s="275"/>
      <c r="T1465" s="508">
        <f t="shared" si="1099"/>
        <v>0</v>
      </c>
      <c r="U1465" s="225" t="str">
        <f>IF(NOT(ISNUMBER(G1465)), "", VLOOKUP(A1465,'Discount Lookup'!D:E,2,FALSE)*G1465)</f>
        <v/>
      </c>
      <c r="V1465" s="225" t="str">
        <f>IF(NOT(ISNUMBER(G1465)), "", VLOOKUP(A1465,'Discount Lookup'!G:H,2,FALSE)*G1465)</f>
        <v/>
      </c>
      <c r="W1465" s="508">
        <f t="shared" si="1100"/>
        <v>0</v>
      </c>
      <c r="X1465" s="508" t="str">
        <f t="shared" si="1101"/>
        <v>Green foliage</v>
      </c>
      <c r="Y1465" s="509" t="b">
        <f t="shared" si="1102"/>
        <v>0</v>
      </c>
      <c r="Z1465" s="510">
        <f t="shared" si="1103"/>
        <v>0</v>
      </c>
      <c r="AA1465" s="511"/>
      <c r="AB1465" s="511" t="str">
        <f t="shared" si="1104"/>
        <v/>
      </c>
      <c r="AC1465" s="698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698"/>
      <c r="AE1465" s="631" t="str">
        <f t="shared" si="1105"/>
        <v/>
      </c>
      <c r="AF1465" s="699" t="str">
        <f t="shared" si="1106"/>
        <v/>
      </c>
      <c r="AG1465" s="699"/>
      <c r="AH1465" s="699"/>
      <c r="AI1465" s="512">
        <f>IF(H1465="credit",0,IF(AE1465="free",0,IF(AE1465="me",0,IF(G1465&gt;0,(VLOOKUP(A1465,'Discount Lookup'!J:K,2)*G1465),0))))</f>
        <v>0</v>
      </c>
      <c r="AJ1465" s="513" t="str">
        <f t="shared" ca="1" si="1107"/>
        <v/>
      </c>
      <c r="AK1465" s="700" t="str">
        <f t="shared" si="1108"/>
        <v/>
      </c>
      <c r="AL1465" s="700"/>
      <c r="AM1465" s="505" t="str">
        <f t="shared" si="1109"/>
        <v/>
      </c>
      <c r="AN1465" s="506"/>
      <c r="AO1465" s="507"/>
      <c r="AP1465" s="507"/>
      <c r="AQ1465" s="507"/>
      <c r="AR1465" s="507"/>
      <c r="AS1465" s="507"/>
      <c r="AT1465" s="507"/>
      <c r="AU1465" s="507"/>
      <c r="AV1465" s="225"/>
      <c r="AW1465" s="508"/>
      <c r="AX1465" s="225"/>
      <c r="AY1465" s="225"/>
      <c r="AZ1465" s="225"/>
      <c r="BA1465" s="225"/>
      <c r="BB1465" s="225"/>
      <c r="BC1465" s="56"/>
      <c r="BD1465" s="56"/>
      <c r="BE1465" s="56"/>
      <c r="BF1465" s="107" t="str">
        <f t="shared" si="1110"/>
        <v>https://www.google.com/search?tbm=isch&amp;q=Full%20Moon%20Japanese%20Maple%20Acer%20japonicum%20%27Aconitifolium%27</v>
      </c>
      <c r="BG1465" s="107" t="str">
        <f t="shared" si="1111"/>
        <v>F</v>
      </c>
      <c r="BH1465" s="254"/>
      <c r="BI1465" s="254"/>
    </row>
    <row r="1466" spans="1:61" customFormat="1" ht="15.75" x14ac:dyDescent="0.25">
      <c r="A1466" s="276">
        <v>25</v>
      </c>
      <c r="B1466" s="240" t="s">
        <v>291</v>
      </c>
      <c r="C1466" s="241" t="s">
        <v>3337</v>
      </c>
      <c r="D1466" s="242" t="s">
        <v>292</v>
      </c>
      <c r="E1466" s="243">
        <v>869.95</v>
      </c>
      <c r="F1466" s="517" t="s">
        <v>293</v>
      </c>
      <c r="G1466" s="232">
        <v>0</v>
      </c>
      <c r="H1466" s="661" t="str">
        <f>IF(G1466=0,"",IF(F1466="Buy",IF(G1466=1,"plant","plants"),IF(F1466&gt;0.01,"warranty","Error")))</f>
        <v/>
      </c>
      <c r="I1466" s="244">
        <f>IF(H1466="free",0,IF(H1466="credit",((E1466*(F1466))*G1466*-1),IF(F1466="Buy",(E1466*G1466),((E1466*(1-F1466))*G1466))))</f>
        <v>0</v>
      </c>
      <c r="J1466" s="244">
        <f>IF(H1466="warranty",0,(I1466*(_xlfn.SINGLE(SalesTaxPercentage))))</f>
        <v>0</v>
      </c>
      <c r="K1466" s="696">
        <f t="shared" ref="K1466" si="1141">I1466+J1466</f>
        <v>0</v>
      </c>
      <c r="L1466" s="696"/>
      <c r="M1466" s="659" t="str">
        <f>IF(AND(G1466&gt;0,E1466=0),"WARNING - no PRICE inserted",IF(H1466="free"," FREE ~ no charge this plant",IF(H1466="credit",CONCATENATE(" -$",ROUND(K1466*(1-T2GDiscount)*-1,2)," CREDIT after discount"),IF(T2GDiscount=0,"",IF(G1466=0,"",IF(F1466="Buy",CONCATENATE(" $",ROUND(K1466*(1-T2GDiscount),2)," with ",(T2GDiscount*100),"% discount"),CONCATENATE(" $",ROUND(K1466*(1-T2GDiscount),2)," with ",((T2GDiscount*100+F1466*100)-(T2GDiscount*100*F1466)),IF(F1466&gt;0,"% discounts",IF(NoWarrantyDiscount&gt;0,"% discounts","% discount")))))))))</f>
        <v/>
      </c>
      <c r="N1466" s="660"/>
      <c r="O1466" s="233"/>
      <c r="P1466" s="233"/>
      <c r="Q1466" s="233"/>
      <c r="R1466" s="233"/>
      <c r="S1466" s="233"/>
      <c r="T1466" s="508">
        <f t="shared" si="1099"/>
        <v>0</v>
      </c>
      <c r="U1466" s="225">
        <f>IF(NOT(ISNUMBER(G1466)), "", VLOOKUP(A1466,'Discount Lookup'!D:E,2,FALSE)*G1466)</f>
        <v>0</v>
      </c>
      <c r="V1466" s="225">
        <f>IF(NOT(ISNUMBER(G1466)), "", VLOOKUP(A1466,'Discount Lookup'!G:H,2,FALSE)*G1466)</f>
        <v>0</v>
      </c>
      <c r="W1466" s="508">
        <f t="shared" si="1100"/>
        <v>0</v>
      </c>
      <c r="X1466" s="508">
        <f t="shared" si="1101"/>
        <v>0</v>
      </c>
      <c r="Y1466" s="509" t="b">
        <f t="shared" si="1102"/>
        <v>0</v>
      </c>
      <c r="Z1466" s="510">
        <f t="shared" si="1103"/>
        <v>0</v>
      </c>
      <c r="AA1466" s="511"/>
      <c r="AB1466" s="511" t="str">
        <f t="shared" si="1104"/>
        <v/>
      </c>
      <c r="AC1466" s="698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698"/>
      <c r="AE1466" s="631" t="str">
        <f t="shared" si="1105"/>
        <v/>
      </c>
      <c r="AF1466" s="699" t="str">
        <f t="shared" si="1106"/>
        <v/>
      </c>
      <c r="AG1466" s="699"/>
      <c r="AH1466" s="699"/>
      <c r="AI1466" s="512">
        <f>IF(H1466="credit",0,IF(AE1466="free",0,IF(AE1466="me",0,IF(G1466&gt;0,(VLOOKUP(A1466,'Discount Lookup'!J:K,2)*G1466),0))))</f>
        <v>0</v>
      </c>
      <c r="AJ1466" s="513" t="str">
        <f t="shared" ca="1" si="1107"/>
        <v/>
      </c>
      <c r="AK1466" s="700" t="str">
        <f t="shared" si="1108"/>
        <v/>
      </c>
      <c r="AL1466" s="700"/>
      <c r="AM1466" s="505" t="str">
        <f t="shared" si="1109"/>
        <v/>
      </c>
      <c r="AN1466" s="506"/>
      <c r="AO1466" s="507"/>
      <c r="AP1466" s="507"/>
      <c r="AQ1466" s="507"/>
      <c r="AR1466" s="507"/>
      <c r="AS1466" s="507"/>
      <c r="AT1466" s="507"/>
      <c r="AU1466" s="507"/>
      <c r="AV1466" s="225"/>
      <c r="AW1466" s="508"/>
      <c r="AX1466" s="225"/>
      <c r="AY1466" s="225"/>
      <c r="AZ1466" s="225"/>
      <c r="BA1466" s="225"/>
      <c r="BB1466" s="225"/>
      <c r="BC1466" s="56"/>
      <c r="BD1466" s="56"/>
      <c r="BE1466" s="56"/>
      <c r="BF1466" s="107" t="str">
        <f t="shared" si="1110"/>
        <v>https://www.google.com/search?tbm=isch&amp;q=25%20G4</v>
      </c>
      <c r="BG1466" s="107" t="str">
        <f t="shared" si="1111"/>
        <v>F</v>
      </c>
      <c r="BH1466" s="254"/>
      <c r="BI1466" s="254"/>
    </row>
    <row r="1467" spans="1:61" customFormat="1" ht="15.75" x14ac:dyDescent="0.25">
      <c r="A1467" s="276">
        <v>45</v>
      </c>
      <c r="B1467" s="240" t="s">
        <v>291</v>
      </c>
      <c r="C1467" s="241" t="s">
        <v>3500</v>
      </c>
      <c r="D1467" s="242" t="s">
        <v>292</v>
      </c>
      <c r="E1467" s="243">
        <v>1053.95</v>
      </c>
      <c r="F1467" s="517" t="s">
        <v>293</v>
      </c>
      <c r="G1467" s="232">
        <v>0</v>
      </c>
      <c r="H1467" s="661" t="str">
        <f>IF(G1467=0,"",IF(F1467="Buy",IF(G1467=1,"plant","plants"),IF(F1467&gt;0.01,"warranty","Error")))</f>
        <v/>
      </c>
      <c r="I1467" s="244">
        <f>IF(H1467="free",0,IF(H1467="credit",((E1467*(F1467))*G1467*-1),IF(F1467="Buy",(E1467*G1467),((E1467*(1-F1467))*G1467))))</f>
        <v>0</v>
      </c>
      <c r="J1467" s="244">
        <f>IF(H1467="warranty",0,(I1467*(_xlfn.SINGLE(SalesTaxPercentage))))</f>
        <v>0</v>
      </c>
      <c r="K1467" s="696">
        <f t="shared" ref="K1467" si="1142">I1467+J1467</f>
        <v>0</v>
      </c>
      <c r="L1467" s="696"/>
      <c r="M1467" s="659" t="str">
        <f>IF(AND(G1467&gt;0,E1467=0),"WARNING - no PRICE inserted",IF(H1467="free"," FREE ~ no charge this plant",IF(H1467="credit",CONCATENATE(" -$",ROUND(K1467*(1-T2GDiscount)*-1,2)," CREDIT after discount"),IF(T2GDiscount=0,"",IF(G1467=0,"",IF(F1467="Buy",CONCATENATE(" $",ROUND(K1467*(1-T2GDiscount),2)," with ",(T2GDiscount*100),"% discount"),CONCATENATE(" $",ROUND(K1467*(1-T2GDiscount),2)," with ",((T2GDiscount*100+F1467*100)-(T2GDiscount*100*F1467)),IF(F1467&gt;0,"% discounts",IF(NoWarrantyDiscount&gt;0,"% discounts","% discount")))))))))</f>
        <v/>
      </c>
      <c r="N1467" s="660"/>
      <c r="O1467" s="233"/>
      <c r="P1467" s="233"/>
      <c r="Q1467" s="233"/>
      <c r="R1467" s="233"/>
      <c r="S1467" s="233"/>
      <c r="T1467" s="508">
        <f t="shared" si="1099"/>
        <v>0</v>
      </c>
      <c r="U1467" s="225">
        <f>IF(NOT(ISNUMBER(G1467)), "", VLOOKUP(A1467,'Discount Lookup'!D:E,2,FALSE)*G1467)</f>
        <v>0</v>
      </c>
      <c r="V1467" s="225">
        <f>IF(NOT(ISNUMBER(G1467)), "", VLOOKUP(A1467,'Discount Lookup'!G:H,2,FALSE)*G1467)</f>
        <v>0</v>
      </c>
      <c r="W1467" s="508">
        <f t="shared" si="1100"/>
        <v>0</v>
      </c>
      <c r="X1467" s="508">
        <f t="shared" si="1101"/>
        <v>0</v>
      </c>
      <c r="Y1467" s="509" t="b">
        <f t="shared" si="1102"/>
        <v>0</v>
      </c>
      <c r="Z1467" s="510">
        <f t="shared" si="1103"/>
        <v>0</v>
      </c>
      <c r="AA1467" s="511"/>
      <c r="AB1467" s="511" t="str">
        <f t="shared" si="1104"/>
        <v/>
      </c>
      <c r="AC1467" s="698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698"/>
      <c r="AE1467" s="631" t="str">
        <f t="shared" si="1105"/>
        <v/>
      </c>
      <c r="AF1467" s="699" t="str">
        <f t="shared" si="1106"/>
        <v/>
      </c>
      <c r="AG1467" s="699"/>
      <c r="AH1467" s="699"/>
      <c r="AI1467" s="512">
        <f>IF(H1467="credit",0,IF(AE1467="free",0,IF(AE1467="me",0,IF(G1467&gt;0,(VLOOKUP(A1467,'Discount Lookup'!J:K,2)*G1467),0))))</f>
        <v>0</v>
      </c>
      <c r="AJ1467" s="513" t="str">
        <f t="shared" ca="1" si="1107"/>
        <v/>
      </c>
      <c r="AK1467" s="700" t="str">
        <f t="shared" si="1108"/>
        <v/>
      </c>
      <c r="AL1467" s="700"/>
      <c r="AM1467" s="505" t="str">
        <f t="shared" si="1109"/>
        <v/>
      </c>
      <c r="AN1467" s="506"/>
      <c r="AO1467" s="507"/>
      <c r="AP1467" s="507"/>
      <c r="AQ1467" s="507"/>
      <c r="AR1467" s="507"/>
      <c r="AS1467" s="507"/>
      <c r="AT1467" s="507"/>
      <c r="AU1467" s="507"/>
      <c r="AV1467" s="225"/>
      <c r="AW1467" s="508"/>
      <c r="AX1467" s="225"/>
      <c r="AY1467" s="225"/>
      <c r="AZ1467" s="225"/>
      <c r="BA1467" s="225"/>
      <c r="BB1467" s="225"/>
      <c r="BC1467" s="56"/>
      <c r="BD1467" s="56"/>
      <c r="BE1467" s="56"/>
      <c r="BF1467" s="107" t="str">
        <f t="shared" si="1110"/>
        <v>https://www.google.com/search?tbm=isch&amp;q=45%20G4</v>
      </c>
      <c r="BG1467" s="107" t="str">
        <f t="shared" si="1111"/>
        <v>F</v>
      </c>
      <c r="BH1467" s="254"/>
      <c r="BI1467" s="254"/>
    </row>
    <row r="1468" spans="1:61" customFormat="1" ht="15.75" x14ac:dyDescent="0.25">
      <c r="A1468" s="276">
        <v>65</v>
      </c>
      <c r="B1468" s="240" t="s">
        <v>291</v>
      </c>
      <c r="C1468" s="241" t="s">
        <v>3501</v>
      </c>
      <c r="D1468" s="242" t="s">
        <v>292</v>
      </c>
      <c r="E1468" s="243">
        <v>1609.95</v>
      </c>
      <c r="F1468" s="517" t="s">
        <v>293</v>
      </c>
      <c r="G1468" s="232">
        <v>0</v>
      </c>
      <c r="H1468" s="661" t="str">
        <f>IF(G1468=0,"",IF(F1468="Buy",IF(G1468=1,"plant","plants"),IF(F1468&gt;0.01,"warranty","Error")))</f>
        <v/>
      </c>
      <c r="I1468" s="244">
        <f>IF(H1468="free",0,IF(H1468="credit",((E1468*(F1468))*G1468*-1),IF(F1468="Buy",(E1468*G1468),((E1468*(1-F1468))*G1468))))</f>
        <v>0</v>
      </c>
      <c r="J1468" s="244">
        <f>IF(H1468="warranty",0,(I1468*(_xlfn.SINGLE(SalesTaxPercentage))))</f>
        <v>0</v>
      </c>
      <c r="K1468" s="696">
        <f t="shared" ref="K1468" si="1143">I1468+J1468</f>
        <v>0</v>
      </c>
      <c r="L1468" s="696"/>
      <c r="M1468" s="659" t="str">
        <f>IF(AND(G1468&gt;0,E1468=0),"WARNING - no PRICE inserted",IF(H1468="free"," FREE ~ no charge this plant",IF(H1468="credit",CONCATENATE(" -$",ROUND(K1468*(1-T2GDiscount)*-1,2)," CREDIT after discount"),IF(T2GDiscount=0,"",IF(G1468=0,"",IF(F1468="Buy",CONCATENATE(" $",ROUND(K1468*(1-T2GDiscount),2)," with ",(T2GDiscount*100),"% discount"),CONCATENATE(" $",ROUND(K1468*(1-T2GDiscount),2)," with ",((T2GDiscount*100+F1468*100)-(T2GDiscount*100*F1468)),IF(F1468&gt;0,"% discounts",IF(NoWarrantyDiscount&gt;0,"% discounts","% discount")))))))))</f>
        <v/>
      </c>
      <c r="N1468" s="660"/>
      <c r="O1468" s="233"/>
      <c r="P1468" s="233"/>
      <c r="Q1468" s="233"/>
      <c r="R1468" s="233"/>
      <c r="S1468" s="233"/>
      <c r="T1468" s="508">
        <f t="shared" si="1099"/>
        <v>0</v>
      </c>
      <c r="U1468" s="225">
        <f>IF(NOT(ISNUMBER(G1468)), "", VLOOKUP(A1468,'Discount Lookup'!D:E,2,FALSE)*G1468)</f>
        <v>0</v>
      </c>
      <c r="V1468" s="225">
        <f>IF(NOT(ISNUMBER(G1468)), "", VLOOKUP(A1468,'Discount Lookup'!G:H,2,FALSE)*G1468)</f>
        <v>0</v>
      </c>
      <c r="W1468" s="508">
        <f t="shared" si="1100"/>
        <v>0</v>
      </c>
      <c r="X1468" s="508">
        <f t="shared" si="1101"/>
        <v>0</v>
      </c>
      <c r="Y1468" s="509" t="b">
        <f t="shared" si="1102"/>
        <v>0</v>
      </c>
      <c r="Z1468" s="510">
        <f t="shared" si="1103"/>
        <v>0</v>
      </c>
      <c r="AA1468" s="511"/>
      <c r="AB1468" s="511" t="str">
        <f t="shared" si="1104"/>
        <v/>
      </c>
      <c r="AC1468" s="698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698"/>
      <c r="AE1468" s="631" t="str">
        <f t="shared" si="1105"/>
        <v/>
      </c>
      <c r="AF1468" s="699" t="str">
        <f t="shared" si="1106"/>
        <v/>
      </c>
      <c r="AG1468" s="699"/>
      <c r="AH1468" s="699"/>
      <c r="AI1468" s="512">
        <f>IF(H1468="credit",0,IF(AE1468="free",0,IF(AE1468="me",0,IF(G1468&gt;0,(VLOOKUP(A1468,'Discount Lookup'!J:K,2)*G1468),0))))</f>
        <v>0</v>
      </c>
      <c r="AJ1468" s="513" t="str">
        <f t="shared" ca="1" si="1107"/>
        <v/>
      </c>
      <c r="AK1468" s="700" t="str">
        <f t="shared" si="1108"/>
        <v/>
      </c>
      <c r="AL1468" s="700"/>
      <c r="AM1468" s="505" t="str">
        <f t="shared" si="1109"/>
        <v/>
      </c>
      <c r="AN1468" s="506"/>
      <c r="AO1468" s="507"/>
      <c r="AP1468" s="507"/>
      <c r="AQ1468" s="507"/>
      <c r="AR1468" s="507"/>
      <c r="AS1468" s="507"/>
      <c r="AT1468" s="507"/>
      <c r="AU1468" s="507"/>
      <c r="AV1468" s="225"/>
      <c r="AW1468" s="508"/>
      <c r="AX1468" s="225"/>
      <c r="AY1468" s="225"/>
      <c r="AZ1468" s="225"/>
      <c r="BA1468" s="225"/>
      <c r="BB1468" s="225"/>
      <c r="BC1468" s="56"/>
      <c r="BD1468" s="56"/>
      <c r="BE1468" s="56"/>
      <c r="BF1468" s="107" t="str">
        <f t="shared" si="1110"/>
        <v>https://www.google.com/search?tbm=isch&amp;q=65%20G4</v>
      </c>
      <c r="BG1468" s="107" t="str">
        <f t="shared" si="1111"/>
        <v>F</v>
      </c>
      <c r="BH1468" s="254"/>
      <c r="BI1468" s="254"/>
    </row>
    <row r="1469" spans="1:61" customFormat="1" ht="17.25" thickBot="1" x14ac:dyDescent="0.3">
      <c r="A1469" s="524" t="s">
        <v>2385</v>
      </c>
      <c r="B1469" s="245"/>
      <c r="C1469" s="677"/>
      <c r="D1469" s="499"/>
      <c r="E1469" s="499"/>
      <c r="F1469" s="500"/>
      <c r="G1469" s="501"/>
      <c r="H1469" s="502"/>
      <c r="I1469" s="246"/>
      <c r="J1469" s="247"/>
      <c r="K1469" s="503"/>
      <c r="L1469" s="544"/>
      <c r="M1469" s="544"/>
      <c r="N1469" s="500"/>
      <c r="O1469" s="500"/>
      <c r="P1469" s="500"/>
      <c r="Q1469" s="500"/>
      <c r="R1469" s="500"/>
      <c r="S1469" s="278"/>
      <c r="T1469" s="508">
        <f t="shared" si="1099"/>
        <v>0</v>
      </c>
      <c r="U1469" s="225" t="str">
        <f>IF(NOT(ISNUMBER(G1469)), "", VLOOKUP(A1469,'Discount Lookup'!D:E,2,FALSE)*G1469)</f>
        <v/>
      </c>
      <c r="V1469" s="225" t="str">
        <f>IF(NOT(ISNUMBER(G1469)), "", VLOOKUP(A1469,'Discount Lookup'!G:H,2,FALSE)*G1469)</f>
        <v/>
      </c>
      <c r="W1469" s="508">
        <f t="shared" si="1100"/>
        <v>0</v>
      </c>
      <c r="X1469" s="508">
        <f t="shared" si="1101"/>
        <v>0</v>
      </c>
      <c r="Y1469" s="509" t="b">
        <f t="shared" si="1102"/>
        <v>0</v>
      </c>
      <c r="Z1469" s="510">
        <f t="shared" si="1103"/>
        <v>0</v>
      </c>
      <c r="AA1469" s="511"/>
      <c r="AB1469" s="511" t="str">
        <f t="shared" si="1104"/>
        <v/>
      </c>
      <c r="AC1469" s="698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698"/>
      <c r="AE1469" s="631" t="str">
        <f t="shared" si="1105"/>
        <v/>
      </c>
      <c r="AF1469" s="699" t="str">
        <f t="shared" si="1106"/>
        <v/>
      </c>
      <c r="AG1469" s="699"/>
      <c r="AH1469" s="699"/>
      <c r="AI1469" s="512">
        <f>IF(H1469="credit",0,IF(AE1469="free",0,IF(AE1469="me",0,IF(G1469&gt;0,(VLOOKUP(A1469,'Discount Lookup'!J:K,2)*G1469),0))))</f>
        <v>0</v>
      </c>
      <c r="AJ1469" s="513" t="str">
        <f t="shared" ca="1" si="1107"/>
        <v/>
      </c>
      <c r="AK1469" s="700" t="str">
        <f t="shared" si="1108"/>
        <v/>
      </c>
      <c r="AL1469" s="700"/>
      <c r="AM1469" s="505" t="str">
        <f t="shared" si="1109"/>
        <v/>
      </c>
      <c r="AN1469" s="506"/>
      <c r="AO1469" s="507"/>
      <c r="AP1469" s="507"/>
      <c r="AQ1469" s="507"/>
      <c r="AR1469" s="507"/>
      <c r="AS1469" s="507"/>
      <c r="AT1469" s="507"/>
      <c r="AU1469" s="507"/>
      <c r="AV1469" s="225"/>
      <c r="AW1469" s="508"/>
      <c r="AX1469" s="225"/>
      <c r="AY1469" s="225"/>
      <c r="AZ1469" s="225"/>
      <c r="BA1469" s="225"/>
      <c r="BB1469" s="225"/>
      <c r="BC1469" s="56"/>
      <c r="BD1469" s="56"/>
      <c r="BE1469" s="56"/>
      <c r="BF1469" s="107" t="str">
        <f t="shared" si="1110"/>
        <v>https://www.google.com/search?tbm=isch&amp;q=Full%20Moon%20named%20for%20stunning%20fall%20display%20of%20fiery%20shades%20of%20Scarlet%2C%20Orange%2C%20and%20Crimson%20</v>
      </c>
      <c r="BG1469" s="107" t="str">
        <f t="shared" si="1111"/>
        <v>F</v>
      </c>
      <c r="BH1469" s="254"/>
      <c r="BI1469" s="254"/>
    </row>
    <row r="1470" spans="1:61" customFormat="1" ht="18" x14ac:dyDescent="0.25">
      <c r="A1470" s="521" t="s">
        <v>5412</v>
      </c>
      <c r="B1470" s="477"/>
      <c r="C1470" s="674"/>
      <c r="D1470" s="478" t="s">
        <v>4707</v>
      </c>
      <c r="E1470" s="479"/>
      <c r="F1470" s="479"/>
      <c r="G1470" s="479"/>
      <c r="H1470" s="582" t="s">
        <v>359</v>
      </c>
      <c r="I1470" s="480" t="s">
        <v>2093</v>
      </c>
      <c r="J1470" s="479"/>
      <c r="K1470" s="479"/>
      <c r="L1470" s="560"/>
      <c r="M1470" s="671" t="s">
        <v>4985</v>
      </c>
      <c r="N1470" s="680" t="str">
        <f>IF(AND(ISTEXT($A1470), ISERROR($A1470+0)), HYPERLINK($BF1470, "Images"), "")</f>
        <v>Images</v>
      </c>
      <c r="O1470" s="662" t="s">
        <v>4969</v>
      </c>
      <c r="P1470" s="482"/>
      <c r="Q1470" s="483"/>
      <c r="R1470" s="483"/>
      <c r="S1470" s="484"/>
      <c r="T1470" s="508">
        <f t="shared" si="1099"/>
        <v>0</v>
      </c>
      <c r="U1470" s="225" t="str">
        <f>IF(NOT(ISNUMBER(G1470)), "", VLOOKUP(A1470,'Discount Lookup'!D:E,2,FALSE)*G1470)</f>
        <v/>
      </c>
      <c r="V1470" s="225" t="str">
        <f>IF(NOT(ISNUMBER(G1470)), "", VLOOKUP(A1470,'Discount Lookup'!G:H,2,FALSE)*G1470)</f>
        <v/>
      </c>
      <c r="W1470" s="508">
        <f t="shared" si="1100"/>
        <v>0</v>
      </c>
      <c r="X1470" s="508" t="str">
        <f t="shared" si="1101"/>
        <v>Dark Green foliage</v>
      </c>
      <c r="Y1470" s="509" t="b">
        <f t="shared" si="1102"/>
        <v>0</v>
      </c>
      <c r="Z1470" s="510">
        <f t="shared" si="1103"/>
        <v>0</v>
      </c>
      <c r="AA1470" s="511"/>
      <c r="AB1470" s="511" t="str">
        <f t="shared" si="1104"/>
        <v/>
      </c>
      <c r="AC1470" s="698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698"/>
      <c r="AE1470" s="631" t="str">
        <f t="shared" si="1105"/>
        <v/>
      </c>
      <c r="AF1470" s="699" t="str">
        <f t="shared" si="1106"/>
        <v/>
      </c>
      <c r="AG1470" s="699"/>
      <c r="AH1470" s="699"/>
      <c r="AI1470" s="512">
        <f>IF(H1470="credit",0,IF(AE1470="free",0,IF(AE1470="me",0,IF(G1470&gt;0,(VLOOKUP(A1470,'Discount Lookup'!J:K,2)*G1470),0))))</f>
        <v>0</v>
      </c>
      <c r="AJ1470" s="513" t="str">
        <f t="shared" ca="1" si="1107"/>
        <v/>
      </c>
      <c r="AK1470" s="700" t="str">
        <f t="shared" si="1108"/>
        <v/>
      </c>
      <c r="AL1470" s="700"/>
      <c r="AM1470" s="505" t="str">
        <f t="shared" si="1109"/>
        <v/>
      </c>
      <c r="AN1470" s="506"/>
      <c r="AO1470" s="507"/>
      <c r="AP1470" s="507"/>
      <c r="AQ1470" s="507"/>
      <c r="AR1470" s="507"/>
      <c r="AS1470" s="507"/>
      <c r="AT1470" s="507"/>
      <c r="AU1470" s="507"/>
      <c r="AV1470" s="225"/>
      <c r="AW1470" s="508"/>
      <c r="AX1470" s="225"/>
      <c r="AY1470" s="225"/>
      <c r="AZ1470" s="225"/>
      <c r="BA1470" s="225"/>
      <c r="BB1470" s="225"/>
      <c r="BC1470" s="56"/>
      <c r="BD1470" s="56"/>
      <c r="BE1470" s="56"/>
      <c r="BF1470" s="107" t="str">
        <f t="shared" si="1110"/>
        <v>https://www.google.com/search?tbm=isch&amp;q=Funky%20Flow%E2%84%A2%20Mahonia%20Mahonia%20hybrid%20%27NCMH1%27%20PP%2334442</v>
      </c>
      <c r="BG1470" s="107" t="str">
        <f t="shared" si="1111"/>
        <v>F</v>
      </c>
      <c r="BH1470" s="254"/>
      <c r="BI1470" s="254"/>
    </row>
    <row r="1471" spans="1:61" customFormat="1" ht="15.75" x14ac:dyDescent="0.25">
      <c r="A1471" s="485">
        <v>3</v>
      </c>
      <c r="B1471" s="486" t="s">
        <v>291</v>
      </c>
      <c r="C1471" s="487" t="s">
        <v>4708</v>
      </c>
      <c r="D1471" s="488" t="s">
        <v>312</v>
      </c>
      <c r="E1471" s="489">
        <v>29.95</v>
      </c>
      <c r="F1471" s="516" t="s">
        <v>293</v>
      </c>
      <c r="G1471" s="232">
        <v>0</v>
      </c>
      <c r="H1471" s="658" t="str">
        <f>IF(G1471=0,"",IF(F1471="Buy",IF(G1471=1,"plant","plants"),IF(F1471&gt;0.01,"warranty","Error")))</f>
        <v/>
      </c>
      <c r="I1471" s="490">
        <f>IF(H1471="free",0,IF(H1471="credit",((E1471*(F1471))*G1471*-1),IF(F1471="Buy",(E1471*G1471),((E1471*(1-F1471))*G1471))))</f>
        <v>0</v>
      </c>
      <c r="J1471" s="490">
        <f>IF(H1471="warranty",0,(I1471*(_xlfn.SINGLE(SalesTaxPercentage))))</f>
        <v>0</v>
      </c>
      <c r="K1471" s="695">
        <f t="shared" ref="K1471" si="1144">I1471+J1471</f>
        <v>0</v>
      </c>
      <c r="L1471" s="695"/>
      <c r="M1471" s="659" t="str">
        <f>IF(AND(G1471&gt;0,E1471=0),"WARNING - no PRICE inserted",IF(H1471="free"," FREE ~ no charge this plant",IF(H1471="credit",CONCATENATE(" -$",ROUND(K1471*(1-T2GDiscount)*-1,2)," CREDIT after discount"),IF(T2GDiscount=0,"",IF(G1471=0,"",IF(F1471="Buy",CONCATENATE(" $",ROUND(K1471*(1-T2GDiscount),2)," with ",(T2GDiscount*100),"% discount"),CONCATENATE(" $",ROUND(K1471*(1-T2GDiscount),2)," with ",((T2GDiscount*100+F1471*100)-(T2GDiscount*100*F1471)),IF(F1471&gt;0,"% discounts",IF(NoWarrantyDiscount&gt;0,"% discounts","% discount")))))))))</f>
        <v/>
      </c>
      <c r="N1471" s="660"/>
      <c r="O1471" s="233"/>
      <c r="P1471" s="233"/>
      <c r="Q1471" s="233"/>
      <c r="R1471" s="233"/>
      <c r="S1471" s="233"/>
      <c r="T1471" s="508">
        <f t="shared" si="1099"/>
        <v>0</v>
      </c>
      <c r="U1471" s="225">
        <f>IF(NOT(ISNUMBER(G1471)), "", VLOOKUP(A1471,'Discount Lookup'!D:E,2,FALSE)*G1471)</f>
        <v>0</v>
      </c>
      <c r="V1471" s="225">
        <f>IF(NOT(ISNUMBER(G1471)), "", VLOOKUP(A1471,'Discount Lookup'!G:H,2,FALSE)*G1471)</f>
        <v>0</v>
      </c>
      <c r="W1471" s="508">
        <f t="shared" si="1100"/>
        <v>0</v>
      </c>
      <c r="X1471" s="508">
        <f t="shared" si="1101"/>
        <v>0</v>
      </c>
      <c r="Y1471" s="509" t="b">
        <f t="shared" si="1102"/>
        <v>0</v>
      </c>
      <c r="Z1471" s="510">
        <f t="shared" si="1103"/>
        <v>0</v>
      </c>
      <c r="AA1471" s="511"/>
      <c r="AB1471" s="511" t="str">
        <f t="shared" si="1104"/>
        <v/>
      </c>
      <c r="AC1471" s="698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698"/>
      <c r="AE1471" s="631" t="str">
        <f t="shared" si="1105"/>
        <v/>
      </c>
      <c r="AF1471" s="699" t="str">
        <f t="shared" si="1106"/>
        <v/>
      </c>
      <c r="AG1471" s="699"/>
      <c r="AH1471" s="699"/>
      <c r="AI1471" s="512">
        <f>IF(H1471="credit",0,IF(AE1471="free",0,IF(AE1471="me",0,IF(G1471&gt;0,(VLOOKUP(A1471,'Discount Lookup'!J:K,2)*G1471),0))))</f>
        <v>0</v>
      </c>
      <c r="AJ1471" s="513" t="str">
        <f t="shared" ca="1" si="1107"/>
        <v/>
      </c>
      <c r="AK1471" s="700" t="str">
        <f t="shared" si="1108"/>
        <v/>
      </c>
      <c r="AL1471" s="700"/>
      <c r="AM1471" s="505" t="str">
        <f t="shared" si="1109"/>
        <v/>
      </c>
      <c r="AN1471" s="506"/>
      <c r="AO1471" s="507"/>
      <c r="AP1471" s="507"/>
      <c r="AQ1471" s="507"/>
      <c r="AR1471" s="507"/>
      <c r="AS1471" s="507"/>
      <c r="AT1471" s="507"/>
      <c r="AU1471" s="507"/>
      <c r="AV1471" s="225"/>
      <c r="AW1471" s="508"/>
      <c r="AX1471" s="225"/>
      <c r="AY1471" s="225"/>
      <c r="AZ1471" s="225"/>
      <c r="BA1471" s="225"/>
      <c r="BB1471" s="225"/>
      <c r="BC1471" s="56"/>
      <c r="BD1471" s="56"/>
      <c r="BE1471" s="56"/>
      <c r="BF1471" s="107" t="str">
        <f t="shared" si="1110"/>
        <v>https://www.google.com/search?tbm=isch&amp;q=3%20G2</v>
      </c>
      <c r="BG1471" s="107" t="str">
        <f t="shared" si="1111"/>
        <v>F</v>
      </c>
      <c r="BH1471" s="254"/>
      <c r="BI1471" s="254"/>
    </row>
    <row r="1472" spans="1:61" customFormat="1" ht="16.5" x14ac:dyDescent="0.25">
      <c r="A1472" s="522" t="s">
        <v>4709</v>
      </c>
      <c r="B1472" s="491"/>
      <c r="C1472" s="675"/>
      <c r="D1472" s="491"/>
      <c r="E1472" s="491"/>
      <c r="F1472" s="492"/>
      <c r="G1472" s="493"/>
      <c r="H1472" s="491"/>
      <c r="I1472" s="234"/>
      <c r="J1472" s="234"/>
      <c r="K1472" s="494"/>
      <c r="L1472" s="543"/>
      <c r="M1472" s="561"/>
      <c r="N1472" s="495"/>
      <c r="O1472" s="496"/>
      <c r="P1472" s="497"/>
      <c r="Q1472" s="495"/>
      <c r="R1472" s="495"/>
      <c r="S1472" s="667" t="s">
        <v>4982</v>
      </c>
      <c r="T1472" s="508">
        <f t="shared" si="1099"/>
        <v>0</v>
      </c>
      <c r="U1472" s="225" t="str">
        <f>IF(NOT(ISNUMBER(G1472)), "", VLOOKUP(A1472,'Discount Lookup'!D:E,2,FALSE)*G1472)</f>
        <v/>
      </c>
      <c r="V1472" s="225" t="str">
        <f>IF(NOT(ISNUMBER(G1472)), "", VLOOKUP(A1472,'Discount Lookup'!G:H,2,FALSE)*G1472)</f>
        <v/>
      </c>
      <c r="W1472" s="508">
        <f t="shared" si="1100"/>
        <v>0</v>
      </c>
      <c r="X1472" s="508">
        <f t="shared" si="1101"/>
        <v>0</v>
      </c>
      <c r="Y1472" s="509" t="b">
        <f t="shared" si="1102"/>
        <v>0</v>
      </c>
      <c r="Z1472" s="510">
        <f t="shared" si="1103"/>
        <v>0</v>
      </c>
      <c r="AA1472" s="511"/>
      <c r="AB1472" s="511" t="str">
        <f t="shared" si="1104"/>
        <v/>
      </c>
      <c r="AC1472" s="698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698"/>
      <c r="AE1472" s="631" t="str">
        <f t="shared" si="1105"/>
        <v/>
      </c>
      <c r="AF1472" s="699" t="str">
        <f t="shared" si="1106"/>
        <v/>
      </c>
      <c r="AG1472" s="699"/>
      <c r="AH1472" s="699"/>
      <c r="AI1472" s="512">
        <f>IF(H1472="credit",0,IF(AE1472="free",0,IF(AE1472="me",0,IF(G1472&gt;0,(VLOOKUP(A1472,'Discount Lookup'!J:K,2)*G1472),0))))</f>
        <v>0</v>
      </c>
      <c r="AJ1472" s="513" t="str">
        <f t="shared" ca="1" si="1107"/>
        <v/>
      </c>
      <c r="AK1472" s="700" t="str">
        <f t="shared" si="1108"/>
        <v/>
      </c>
      <c r="AL1472" s="700"/>
      <c r="AM1472" s="505" t="str">
        <f t="shared" si="1109"/>
        <v/>
      </c>
      <c r="AN1472" s="506"/>
      <c r="AO1472" s="507"/>
      <c r="AP1472" s="507"/>
      <c r="AQ1472" s="507"/>
      <c r="AR1472" s="507"/>
      <c r="AS1472" s="507"/>
      <c r="AT1472" s="507"/>
      <c r="AU1472" s="507"/>
      <c r="AV1472" s="225"/>
      <c r="AW1472" s="508"/>
      <c r="AX1472" s="225"/>
      <c r="AY1472" s="225"/>
      <c r="AZ1472" s="225"/>
      <c r="BA1472" s="225"/>
      <c r="BB1472" s="225"/>
      <c r="BC1472" s="56"/>
      <c r="BD1472" s="56"/>
      <c r="BE1472" s="56"/>
      <c r="BF1472" s="107" t="str">
        <f t="shared" si="1110"/>
        <v>https://www.google.com/search?tbm=isch&amp;q=Funky%20Flow%20has%20bold%2C%20fragrant%20Neon%20Yellow%20winter%20blooms%20from%20late%20fall%20through%20winter.%20Berries%20follow%20</v>
      </c>
      <c r="BG1472" s="107" t="str">
        <f t="shared" si="1111"/>
        <v>F</v>
      </c>
      <c r="BH1472" s="254"/>
      <c r="BI1472" s="254"/>
    </row>
    <row r="1473" spans="1:61" customFormat="1" ht="45.75" thickBot="1" x14ac:dyDescent="0.35">
      <c r="A1473" s="525" t="s">
        <v>672</v>
      </c>
      <c r="B1473" s="248"/>
      <c r="C1473" s="678" t="s">
        <v>673</v>
      </c>
      <c r="D1473" s="249"/>
      <c r="E1473" s="249"/>
      <c r="F1473" s="249"/>
      <c r="G1473" s="249"/>
      <c r="H1473" s="250"/>
      <c r="I1473" s="249"/>
      <c r="J1473" s="249"/>
      <c r="K1473" s="526" t="s">
        <v>2840</v>
      </c>
      <c r="L1473" s="279"/>
      <c r="M1473" s="251"/>
      <c r="S1473" s="504" t="s">
        <v>2841</v>
      </c>
      <c r="T1473" s="508">
        <f t="shared" si="1099"/>
        <v>0</v>
      </c>
      <c r="U1473" s="225" t="str">
        <f>IF(NOT(ISNUMBER(G1473)), "", VLOOKUP(A1473,'Discount Lookup'!D:E,2,FALSE)*G1473)</f>
        <v/>
      </c>
      <c r="V1473" s="225" t="str">
        <f>IF(NOT(ISNUMBER(G1473)), "", VLOOKUP(A1473,'Discount Lookup'!G:H,2,FALSE)*G1473)</f>
        <v/>
      </c>
      <c r="W1473" s="508">
        <f t="shared" si="1100"/>
        <v>0</v>
      </c>
      <c r="X1473" s="508">
        <f t="shared" si="1101"/>
        <v>0</v>
      </c>
      <c r="Y1473" s="509" t="b">
        <f t="shared" si="1102"/>
        <v>0</v>
      </c>
      <c r="Z1473" s="510">
        <f t="shared" si="1103"/>
        <v>0</v>
      </c>
      <c r="AA1473" s="511"/>
      <c r="AB1473" s="511" t="str">
        <f t="shared" si="1104"/>
        <v/>
      </c>
      <c r="AC1473" s="698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698"/>
      <c r="AE1473" s="631" t="str">
        <f t="shared" si="1105"/>
        <v/>
      </c>
      <c r="AF1473" s="699" t="str">
        <f t="shared" si="1106"/>
        <v/>
      </c>
      <c r="AG1473" s="699"/>
      <c r="AH1473" s="699"/>
      <c r="AI1473" s="512">
        <f>IF(H1473="credit",0,IF(AE1473="free",0,IF(AE1473="me",0,IF(G1473&gt;0,(VLOOKUP(A1473,'Discount Lookup'!J:K,2)*G1473),0))))</f>
        <v>0</v>
      </c>
      <c r="AJ1473" s="513" t="str">
        <f t="shared" ca="1" si="1107"/>
        <v/>
      </c>
      <c r="AK1473" s="700" t="str">
        <f t="shared" si="1108"/>
        <v/>
      </c>
      <c r="AL1473" s="700"/>
      <c r="AM1473" s="505" t="str">
        <f t="shared" si="1109"/>
        <v/>
      </c>
      <c r="AN1473" s="506"/>
      <c r="AO1473" s="507"/>
      <c r="AP1473" s="507"/>
      <c r="AQ1473" s="507"/>
      <c r="AR1473" s="507"/>
      <c r="AS1473" s="507"/>
      <c r="AT1473" s="507"/>
      <c r="AU1473" s="507"/>
      <c r="AV1473" s="225"/>
      <c r="AW1473" s="508"/>
      <c r="AX1473" s="225"/>
      <c r="AY1473" s="225"/>
      <c r="AZ1473" s="225"/>
      <c r="BA1473" s="225"/>
      <c r="BB1473" s="225"/>
      <c r="BC1473" s="56"/>
      <c r="BD1473" s="56"/>
      <c r="BE1473" s="56"/>
      <c r="BF1473" s="107" t="str">
        <f t="shared" si="1110"/>
        <v>https://www.google.com/search?tbm=isch&amp;q=G%20</v>
      </c>
      <c r="BG1473" s="107" t="str">
        <f t="shared" si="1111"/>
        <v>G</v>
      </c>
      <c r="BH1473" s="254"/>
      <c r="BI1473" s="254"/>
    </row>
    <row r="1474" spans="1:61" customFormat="1" ht="18" x14ac:dyDescent="0.25">
      <c r="A1474" s="523" t="s">
        <v>948</v>
      </c>
      <c r="B1474" s="235"/>
      <c r="C1474" s="676"/>
      <c r="D1474" s="255" t="s">
        <v>949</v>
      </c>
      <c r="E1474" s="236"/>
      <c r="F1474" s="236"/>
      <c r="G1474" s="236"/>
      <c r="H1474" s="582" t="s">
        <v>950</v>
      </c>
      <c r="I1474" s="498" t="s">
        <v>843</v>
      </c>
      <c r="J1474" s="237"/>
      <c r="K1474" s="237"/>
      <c r="L1474" s="274"/>
      <c r="M1474" s="668" t="s">
        <v>4975</v>
      </c>
      <c r="N1474" s="681" t="str">
        <f>IF(AND(ISTEXT($A1474), ISERROR($A1474+0)), HYPERLINK($BF1474, "Images"), "")</f>
        <v>Images</v>
      </c>
      <c r="O1474" s="663" t="s">
        <v>4967</v>
      </c>
      <c r="P1474" s="253"/>
      <c r="Q1474" s="238"/>
      <c r="R1474" s="239"/>
      <c r="S1474" s="275"/>
      <c r="T1474" s="508">
        <f t="shared" si="1099"/>
        <v>0</v>
      </c>
      <c r="U1474" s="225" t="str">
        <f>IF(NOT(ISNUMBER(G1474)), "", VLOOKUP(A1474,'Discount Lookup'!D:E,2,FALSE)*G1474)</f>
        <v/>
      </c>
      <c r="V1474" s="225" t="str">
        <f>IF(NOT(ISNUMBER(G1474)), "", VLOOKUP(A1474,'Discount Lookup'!G:H,2,FALSE)*G1474)</f>
        <v/>
      </c>
      <c r="W1474" s="508">
        <f t="shared" si="1100"/>
        <v>0</v>
      </c>
      <c r="X1474" s="508" t="str">
        <f t="shared" si="1101"/>
        <v>Reddish-Purple bloom</v>
      </c>
      <c r="Y1474" s="509" t="b">
        <f t="shared" si="1102"/>
        <v>0</v>
      </c>
      <c r="Z1474" s="510">
        <f t="shared" si="1103"/>
        <v>0</v>
      </c>
      <c r="AA1474" s="511"/>
      <c r="AB1474" s="511" t="str">
        <f t="shared" si="1104"/>
        <v/>
      </c>
      <c r="AC1474" s="698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698"/>
      <c r="AE1474" s="631" t="str">
        <f t="shared" si="1105"/>
        <v/>
      </c>
      <c r="AF1474" s="699" t="str">
        <f t="shared" si="1106"/>
        <v/>
      </c>
      <c r="AG1474" s="699"/>
      <c r="AH1474" s="699"/>
      <c r="AI1474" s="512">
        <f>IF(H1474="credit",0,IF(AE1474="free",0,IF(AE1474="me",0,IF(G1474&gt;0,(VLOOKUP(A1474,'Discount Lookup'!J:K,2)*G1474),0))))</f>
        <v>0</v>
      </c>
      <c r="AJ1474" s="513" t="str">
        <f t="shared" ca="1" si="1107"/>
        <v/>
      </c>
      <c r="AK1474" s="700" t="str">
        <f t="shared" si="1108"/>
        <v/>
      </c>
      <c r="AL1474" s="700"/>
      <c r="AM1474" s="505" t="str">
        <f t="shared" si="1109"/>
        <v/>
      </c>
      <c r="AN1474" s="506"/>
      <c r="AO1474" s="507"/>
      <c r="AP1474" s="507"/>
      <c r="AQ1474" s="507"/>
      <c r="AR1474" s="507"/>
      <c r="AS1474" s="507"/>
      <c r="AT1474" s="507"/>
      <c r="AU1474" s="507"/>
      <c r="AV1474" s="225"/>
      <c r="AW1474" s="508"/>
      <c r="AX1474" s="225"/>
      <c r="AY1474" s="225"/>
      <c r="AZ1474" s="225"/>
      <c r="BA1474" s="225"/>
      <c r="BB1474" s="225"/>
      <c r="BC1474" s="56"/>
      <c r="BD1474" s="56"/>
      <c r="BE1474" s="56"/>
      <c r="BF1474" s="107" t="str">
        <f t="shared" si="1110"/>
        <v>https://www.google.com/search?tbm=isch&amp;q=Galaxy%20Magnolia%20Magnolia%20%27Galaxy%27</v>
      </c>
      <c r="BG1474" s="107" t="str">
        <f t="shared" si="1111"/>
        <v>G</v>
      </c>
      <c r="BH1474" s="254"/>
      <c r="BI1474" s="254"/>
    </row>
    <row r="1475" spans="1:61" customFormat="1" ht="15.75" x14ac:dyDescent="0.25">
      <c r="A1475" s="276">
        <v>7</v>
      </c>
      <c r="B1475" s="240" t="s">
        <v>291</v>
      </c>
      <c r="C1475" s="241" t="s">
        <v>3502</v>
      </c>
      <c r="D1475" s="242" t="s">
        <v>292</v>
      </c>
      <c r="E1475" s="243">
        <v>132.94999999999999</v>
      </c>
      <c r="F1475" s="517" t="s">
        <v>293</v>
      </c>
      <c r="G1475" s="232">
        <v>0</v>
      </c>
      <c r="H1475" s="661" t="str">
        <f>IF(G1475=0,"",IF(F1475="Buy",IF(G1475=1,"plant","plants"),IF(F1475&gt;0.01,"warranty","Error")))</f>
        <v/>
      </c>
      <c r="I1475" s="244">
        <f>IF(H1475="free",0,IF(H1475="credit",((E1475*(F1475))*G1475*-1),IF(F1475="Buy",(E1475*G1475),((E1475*(1-F1475))*G1475))))</f>
        <v>0</v>
      </c>
      <c r="J1475" s="244">
        <f>IF(H1475="warranty",0,(I1475*(_xlfn.SINGLE(SalesTaxPercentage))))</f>
        <v>0</v>
      </c>
      <c r="K1475" s="696">
        <f t="shared" ref="K1475" si="1145">I1475+J1475</f>
        <v>0</v>
      </c>
      <c r="L1475" s="696"/>
      <c r="M1475" s="659" t="str">
        <f>IF(AND(G1475&gt;0,E1475=0),"WARNING - no PRICE inserted",IF(H1475="free"," FREE ~ no charge this plant",IF(H1475="credit",CONCATENATE(" -$",ROUND(K1475*(1-T2GDiscount)*-1,2)," CREDIT after discount"),IF(T2GDiscount=0,"",IF(G1475=0,"",IF(F1475="Buy",CONCATENATE(" $",ROUND(K1475*(1-T2GDiscount),2)," with ",(T2GDiscount*100),"% discount"),CONCATENATE(" $",ROUND(K1475*(1-T2GDiscount),2)," with ",((T2GDiscount*100+F1475*100)-(T2GDiscount*100*F1475)),IF(F1475&gt;0,"% discounts",IF(NoWarrantyDiscount&gt;0,"% discounts","% discount")))))))))</f>
        <v/>
      </c>
      <c r="N1475" s="660"/>
      <c r="O1475" s="233"/>
      <c r="P1475" s="233"/>
      <c r="Q1475" s="233"/>
      <c r="R1475" s="233"/>
      <c r="S1475" s="233"/>
      <c r="T1475" s="508">
        <f t="shared" si="1099"/>
        <v>0</v>
      </c>
      <c r="U1475" s="225">
        <f>IF(NOT(ISNUMBER(G1475)), "", VLOOKUP(A1475,'Discount Lookup'!D:E,2,FALSE)*G1475)</f>
        <v>0</v>
      </c>
      <c r="V1475" s="225">
        <f>IF(NOT(ISNUMBER(G1475)), "", VLOOKUP(A1475,'Discount Lookup'!G:H,2,FALSE)*G1475)</f>
        <v>0</v>
      </c>
      <c r="W1475" s="508">
        <f t="shared" si="1100"/>
        <v>0</v>
      </c>
      <c r="X1475" s="508">
        <f t="shared" si="1101"/>
        <v>0</v>
      </c>
      <c r="Y1475" s="509" t="b">
        <f t="shared" si="1102"/>
        <v>0</v>
      </c>
      <c r="Z1475" s="510">
        <f t="shared" si="1103"/>
        <v>0</v>
      </c>
      <c r="AA1475" s="511"/>
      <c r="AB1475" s="511" t="str">
        <f t="shared" si="1104"/>
        <v/>
      </c>
      <c r="AC1475" s="698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698"/>
      <c r="AE1475" s="631" t="str">
        <f t="shared" si="1105"/>
        <v/>
      </c>
      <c r="AF1475" s="699" t="str">
        <f t="shared" si="1106"/>
        <v/>
      </c>
      <c r="AG1475" s="699"/>
      <c r="AH1475" s="699"/>
      <c r="AI1475" s="512">
        <f>IF(H1475="credit",0,IF(AE1475="free",0,IF(AE1475="me",0,IF(G1475&gt;0,(VLOOKUP(A1475,'Discount Lookup'!J:K,2)*G1475),0))))</f>
        <v>0</v>
      </c>
      <c r="AJ1475" s="513" t="str">
        <f t="shared" ca="1" si="1107"/>
        <v/>
      </c>
      <c r="AK1475" s="700" t="str">
        <f t="shared" si="1108"/>
        <v/>
      </c>
      <c r="AL1475" s="700"/>
      <c r="AM1475" s="505" t="str">
        <f t="shared" si="1109"/>
        <v/>
      </c>
      <c r="AN1475" s="506"/>
      <c r="AO1475" s="507"/>
      <c r="AP1475" s="507"/>
      <c r="AQ1475" s="507"/>
      <c r="AR1475" s="507"/>
      <c r="AS1475" s="507"/>
      <c r="AT1475" s="507"/>
      <c r="AU1475" s="507"/>
      <c r="AV1475" s="225"/>
      <c r="AW1475" s="508"/>
      <c r="AX1475" s="225"/>
      <c r="AY1475" s="225"/>
      <c r="AZ1475" s="225"/>
      <c r="BA1475" s="225"/>
      <c r="BB1475" s="225"/>
      <c r="BC1475" s="56"/>
      <c r="BD1475" s="56"/>
      <c r="BE1475" s="56"/>
      <c r="BF1475" s="107" t="str">
        <f t="shared" si="1110"/>
        <v>https://www.google.com/search?tbm=isch&amp;q=7%20G4</v>
      </c>
      <c r="BG1475" s="107" t="str">
        <f t="shared" si="1111"/>
        <v>G</v>
      </c>
      <c r="BH1475" s="254"/>
      <c r="BI1475" s="254"/>
    </row>
    <row r="1476" spans="1:61" customFormat="1" ht="15.75" x14ac:dyDescent="0.25">
      <c r="A1476" s="276">
        <v>10</v>
      </c>
      <c r="B1476" s="240" t="s">
        <v>291</v>
      </c>
      <c r="C1476" s="241" t="s">
        <v>3503</v>
      </c>
      <c r="D1476" s="242" t="s">
        <v>292</v>
      </c>
      <c r="E1476" s="243">
        <v>155.94999999999999</v>
      </c>
      <c r="F1476" s="517" t="s">
        <v>293</v>
      </c>
      <c r="G1476" s="232">
        <v>0</v>
      </c>
      <c r="H1476" s="661" t="str">
        <f>IF(G1476=0,"",IF(F1476="Buy",IF(G1476=1,"plant","plants"),IF(F1476&gt;0.01,"warranty","Error")))</f>
        <v/>
      </c>
      <c r="I1476" s="244">
        <f>IF(H1476="free",0,IF(H1476="credit",((E1476*(F1476))*G1476*-1),IF(F1476="Buy",(E1476*G1476),((E1476*(1-F1476))*G1476))))</f>
        <v>0</v>
      </c>
      <c r="J1476" s="244">
        <f>IF(H1476="warranty",0,(I1476*(_xlfn.SINGLE(SalesTaxPercentage))))</f>
        <v>0</v>
      </c>
      <c r="K1476" s="696">
        <f t="shared" ref="K1476" si="1146">I1476+J1476</f>
        <v>0</v>
      </c>
      <c r="L1476" s="696"/>
      <c r="M1476" s="659" t="str">
        <f>IF(AND(G1476&gt;0,E1476=0),"WARNING - no PRICE inserted",IF(H1476="free"," FREE ~ no charge this plant",IF(H1476="credit",CONCATENATE(" -$",ROUND(K1476*(1-T2GDiscount)*-1,2)," CREDIT after discount"),IF(T2GDiscount=0,"",IF(G1476=0,"",IF(F1476="Buy",CONCATENATE(" $",ROUND(K1476*(1-T2GDiscount),2)," with ",(T2GDiscount*100),"% discount"),CONCATENATE(" $",ROUND(K1476*(1-T2GDiscount),2)," with ",((T2GDiscount*100+F1476*100)-(T2GDiscount*100*F1476)),IF(F1476&gt;0,"% discounts",IF(NoWarrantyDiscount&gt;0,"% discounts","% discount")))))))))</f>
        <v/>
      </c>
      <c r="N1476" s="660"/>
      <c r="O1476" s="233"/>
      <c r="P1476" s="233"/>
      <c r="Q1476" s="233"/>
      <c r="R1476" s="233"/>
      <c r="S1476" s="233"/>
      <c r="T1476" s="508">
        <f t="shared" si="1099"/>
        <v>0</v>
      </c>
      <c r="U1476" s="225">
        <f>IF(NOT(ISNUMBER(G1476)), "", VLOOKUP(A1476,'Discount Lookup'!D:E,2,FALSE)*G1476)</f>
        <v>0</v>
      </c>
      <c r="V1476" s="225">
        <f>IF(NOT(ISNUMBER(G1476)), "", VLOOKUP(A1476,'Discount Lookup'!G:H,2,FALSE)*G1476)</f>
        <v>0</v>
      </c>
      <c r="W1476" s="508">
        <f t="shared" si="1100"/>
        <v>0</v>
      </c>
      <c r="X1476" s="508">
        <f t="shared" si="1101"/>
        <v>0</v>
      </c>
      <c r="Y1476" s="509" t="b">
        <f t="shared" si="1102"/>
        <v>0</v>
      </c>
      <c r="Z1476" s="510">
        <f t="shared" si="1103"/>
        <v>0</v>
      </c>
      <c r="AA1476" s="511"/>
      <c r="AB1476" s="511" t="str">
        <f t="shared" si="1104"/>
        <v/>
      </c>
      <c r="AC1476" s="698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698"/>
      <c r="AE1476" s="631" t="str">
        <f t="shared" si="1105"/>
        <v/>
      </c>
      <c r="AF1476" s="699" t="str">
        <f t="shared" si="1106"/>
        <v/>
      </c>
      <c r="AG1476" s="699"/>
      <c r="AH1476" s="699"/>
      <c r="AI1476" s="512">
        <f>IF(H1476="credit",0,IF(AE1476="free",0,IF(AE1476="me",0,IF(G1476&gt;0,(VLOOKUP(A1476,'Discount Lookup'!J:K,2)*G1476),0))))</f>
        <v>0</v>
      </c>
      <c r="AJ1476" s="513" t="str">
        <f t="shared" ca="1" si="1107"/>
        <v/>
      </c>
      <c r="AK1476" s="700" t="str">
        <f t="shared" si="1108"/>
        <v/>
      </c>
      <c r="AL1476" s="700"/>
      <c r="AM1476" s="505" t="str">
        <f t="shared" si="1109"/>
        <v/>
      </c>
      <c r="AN1476" s="506"/>
      <c r="AO1476" s="507"/>
      <c r="AP1476" s="507"/>
      <c r="AQ1476" s="507"/>
      <c r="AR1476" s="507"/>
      <c r="AS1476" s="507"/>
      <c r="AT1476" s="507"/>
      <c r="AU1476" s="507"/>
      <c r="AV1476" s="225"/>
      <c r="AW1476" s="508"/>
      <c r="AX1476" s="225"/>
      <c r="AY1476" s="225"/>
      <c r="AZ1476" s="225"/>
      <c r="BA1476" s="225"/>
      <c r="BB1476" s="225"/>
      <c r="BC1476" s="56"/>
      <c r="BD1476" s="56"/>
      <c r="BE1476" s="56"/>
      <c r="BF1476" s="107" t="str">
        <f t="shared" si="1110"/>
        <v>https://www.google.com/search?tbm=isch&amp;q=10%20G4</v>
      </c>
      <c r="BG1476" s="107" t="str">
        <f t="shared" si="1111"/>
        <v>G</v>
      </c>
      <c r="BH1476" s="254"/>
      <c r="BI1476" s="254"/>
    </row>
    <row r="1477" spans="1:61" customFormat="1" ht="27" x14ac:dyDescent="0.25">
      <c r="A1477" s="276">
        <v>15</v>
      </c>
      <c r="B1477" s="240" t="s">
        <v>291</v>
      </c>
      <c r="C1477" s="241" t="s">
        <v>3504</v>
      </c>
      <c r="D1477" s="242" t="s">
        <v>292</v>
      </c>
      <c r="E1477" s="243">
        <v>194.95</v>
      </c>
      <c r="F1477" s="517" t="s">
        <v>293</v>
      </c>
      <c r="G1477" s="232">
        <v>0</v>
      </c>
      <c r="H1477" s="661" t="str">
        <f>IF(G1477=0,"",IF(F1477="Buy",IF(G1477=1,"plant","plants"),IF(F1477&gt;0.01,"warranty","Error")))</f>
        <v/>
      </c>
      <c r="I1477" s="244">
        <f>IF(H1477="free",0,IF(H1477="credit",((E1477*(F1477))*G1477*-1),IF(F1477="Buy",(E1477*G1477),((E1477*(1-F1477))*G1477))))</f>
        <v>0</v>
      </c>
      <c r="J1477" s="244">
        <f>IF(H1477="warranty",0,(I1477*(_xlfn.SINGLE(SalesTaxPercentage))))</f>
        <v>0</v>
      </c>
      <c r="K1477" s="696">
        <f t="shared" ref="K1477" si="1147">I1477+J1477</f>
        <v>0</v>
      </c>
      <c r="L1477" s="696"/>
      <c r="M1477" s="659" t="str">
        <f>IF(AND(G1477&gt;0,E1477=0),"WARNING - no PRICE inserted",IF(H1477="free"," FREE ~ no charge this plant",IF(H1477="credit",CONCATENATE(" -$",ROUND(K1477*(1-T2GDiscount)*-1,2)," CREDIT after discount"),IF(T2GDiscount=0,"",IF(G1477=0,"",IF(F1477="Buy",CONCATENATE(" $",ROUND(K1477*(1-T2GDiscount),2)," with ",(T2GDiscount*100),"% discount"),CONCATENATE(" $",ROUND(K1477*(1-T2GDiscount),2)," with ",((T2GDiscount*100+F1477*100)-(T2GDiscount*100*F1477)),IF(F1477&gt;0,"% discounts",IF(NoWarrantyDiscount&gt;0,"% discounts","% discount")))))))))</f>
        <v/>
      </c>
      <c r="N1477" s="660"/>
      <c r="O1477" s="233"/>
      <c r="P1477" s="233"/>
      <c r="Q1477" s="233"/>
      <c r="R1477" s="233"/>
      <c r="S1477" s="233"/>
      <c r="T1477" s="508">
        <f t="shared" si="1099"/>
        <v>0</v>
      </c>
      <c r="U1477" s="225">
        <f>IF(NOT(ISNUMBER(G1477)), "", VLOOKUP(A1477,'Discount Lookup'!D:E,2,FALSE)*G1477)</f>
        <v>0</v>
      </c>
      <c r="V1477" s="225">
        <f>IF(NOT(ISNUMBER(G1477)), "", VLOOKUP(A1477,'Discount Lookup'!G:H,2,FALSE)*G1477)</f>
        <v>0</v>
      </c>
      <c r="W1477" s="508">
        <f t="shared" si="1100"/>
        <v>0</v>
      </c>
      <c r="X1477" s="508">
        <f t="shared" si="1101"/>
        <v>0</v>
      </c>
      <c r="Y1477" s="509" t="b">
        <f t="shared" si="1102"/>
        <v>0</v>
      </c>
      <c r="Z1477" s="510">
        <f t="shared" si="1103"/>
        <v>0</v>
      </c>
      <c r="AA1477" s="511"/>
      <c r="AB1477" s="511" t="str">
        <f t="shared" si="1104"/>
        <v/>
      </c>
      <c r="AC1477" s="698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698"/>
      <c r="AE1477" s="631" t="str">
        <f t="shared" si="1105"/>
        <v/>
      </c>
      <c r="AF1477" s="699" t="str">
        <f t="shared" si="1106"/>
        <v/>
      </c>
      <c r="AG1477" s="699"/>
      <c r="AH1477" s="699"/>
      <c r="AI1477" s="512">
        <f>IF(H1477="credit",0,IF(AE1477="free",0,IF(AE1477="me",0,IF(G1477&gt;0,(VLOOKUP(A1477,'Discount Lookup'!J:K,2)*G1477),0))))</f>
        <v>0</v>
      </c>
      <c r="AJ1477" s="513" t="str">
        <f t="shared" ca="1" si="1107"/>
        <v/>
      </c>
      <c r="AK1477" s="700" t="str">
        <f t="shared" si="1108"/>
        <v/>
      </c>
      <c r="AL1477" s="700"/>
      <c r="AM1477" s="505" t="str">
        <f t="shared" si="1109"/>
        <v/>
      </c>
      <c r="AN1477" s="506"/>
      <c r="AO1477" s="507"/>
      <c r="AP1477" s="507"/>
      <c r="AQ1477" s="507"/>
      <c r="AR1477" s="507"/>
      <c r="AS1477" s="507"/>
      <c r="AT1477" s="507"/>
      <c r="AU1477" s="507"/>
      <c r="AV1477" s="225"/>
      <c r="AW1477" s="508"/>
      <c r="AX1477" s="225"/>
      <c r="AY1477" s="225"/>
      <c r="AZ1477" s="225"/>
      <c r="BA1477" s="225"/>
      <c r="BB1477" s="225"/>
      <c r="BC1477" s="56"/>
      <c r="BD1477" s="56"/>
      <c r="BE1477" s="56"/>
      <c r="BF1477" s="107" t="str">
        <f t="shared" si="1110"/>
        <v>https://www.google.com/search?tbm=isch&amp;q=15%20G4</v>
      </c>
      <c r="BG1477" s="107" t="str">
        <f t="shared" si="1111"/>
        <v>G</v>
      </c>
      <c r="BH1477" s="254"/>
      <c r="BI1477" s="254"/>
    </row>
    <row r="1478" spans="1:61" customFormat="1" ht="17.25" thickBot="1" x14ac:dyDescent="0.3">
      <c r="A1478" s="524" t="s">
        <v>2386</v>
      </c>
      <c r="B1478" s="245"/>
      <c r="C1478" s="677"/>
      <c r="D1478" s="499"/>
      <c r="E1478" s="499"/>
      <c r="F1478" s="500"/>
      <c r="G1478" s="501"/>
      <c r="H1478" s="502"/>
      <c r="I1478" s="246"/>
      <c r="J1478" s="247"/>
      <c r="K1478" s="503"/>
      <c r="L1478" s="544"/>
      <c r="M1478" s="544"/>
      <c r="N1478" s="500"/>
      <c r="O1478" s="500"/>
      <c r="P1478" s="500"/>
      <c r="Q1478" s="500"/>
      <c r="R1478" s="500"/>
      <c r="S1478" s="669" t="s">
        <v>4996</v>
      </c>
      <c r="T1478" s="508">
        <f t="shared" si="1099"/>
        <v>0</v>
      </c>
      <c r="U1478" s="225" t="str">
        <f>IF(NOT(ISNUMBER(G1478)), "", VLOOKUP(A1478,'Discount Lookup'!D:E,2,FALSE)*G1478)</f>
        <v/>
      </c>
      <c r="V1478" s="225" t="str">
        <f>IF(NOT(ISNUMBER(G1478)), "", VLOOKUP(A1478,'Discount Lookup'!G:H,2,FALSE)*G1478)</f>
        <v/>
      </c>
      <c r="W1478" s="508">
        <f t="shared" si="1100"/>
        <v>0</v>
      </c>
      <c r="X1478" s="508">
        <f t="shared" si="1101"/>
        <v>0</v>
      </c>
      <c r="Y1478" s="509" t="b">
        <f t="shared" si="1102"/>
        <v>0</v>
      </c>
      <c r="Z1478" s="510">
        <f t="shared" si="1103"/>
        <v>0</v>
      </c>
      <c r="AA1478" s="511"/>
      <c r="AB1478" s="511" t="str">
        <f t="shared" si="1104"/>
        <v/>
      </c>
      <c r="AC1478" s="698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698"/>
      <c r="AE1478" s="631" t="str">
        <f t="shared" si="1105"/>
        <v/>
      </c>
      <c r="AF1478" s="699" t="str">
        <f t="shared" si="1106"/>
        <v/>
      </c>
      <c r="AG1478" s="699"/>
      <c r="AH1478" s="699"/>
      <c r="AI1478" s="512">
        <f>IF(H1478="credit",0,IF(AE1478="free",0,IF(AE1478="me",0,IF(G1478&gt;0,(VLOOKUP(A1478,'Discount Lookup'!J:K,2)*G1478),0))))</f>
        <v>0</v>
      </c>
      <c r="AJ1478" s="513" t="str">
        <f t="shared" ca="1" si="1107"/>
        <v/>
      </c>
      <c r="AK1478" s="700" t="str">
        <f t="shared" si="1108"/>
        <v/>
      </c>
      <c r="AL1478" s="700"/>
      <c r="AM1478" s="505" t="str">
        <f t="shared" si="1109"/>
        <v/>
      </c>
      <c r="AN1478" s="506"/>
      <c r="AO1478" s="507"/>
      <c r="AP1478" s="507"/>
      <c r="AQ1478" s="507"/>
      <c r="AR1478" s="507"/>
      <c r="AS1478" s="507"/>
      <c r="AT1478" s="507"/>
      <c r="AU1478" s="507"/>
      <c r="AV1478" s="225"/>
      <c r="AW1478" s="508"/>
      <c r="AX1478" s="225"/>
      <c r="AY1478" s="225"/>
      <c r="AZ1478" s="225"/>
      <c r="BA1478" s="225"/>
      <c r="BB1478" s="225"/>
      <c r="BC1478" s="56"/>
      <c r="BD1478" s="56"/>
      <c r="BE1478" s="56"/>
      <c r="BF1478" s="107" t="str">
        <f t="shared" si="1110"/>
        <v>https://www.google.com/search?tbm=isch&amp;q=Galaxy%20blooms%20mid-spring%2C%20on%20otherwise%20bare%20branches.%20Fragrant%20</v>
      </c>
      <c r="BG1478" s="107" t="str">
        <f t="shared" si="1111"/>
        <v>G</v>
      </c>
      <c r="BH1478" s="254"/>
      <c r="BI1478" s="254"/>
    </row>
    <row r="1479" spans="1:61" customFormat="1" ht="18" x14ac:dyDescent="0.25">
      <c r="A1479" s="523" t="s">
        <v>5413</v>
      </c>
      <c r="B1479" s="235"/>
      <c r="C1479" s="676"/>
      <c r="D1479" s="255" t="s">
        <v>3220</v>
      </c>
      <c r="E1479" s="236"/>
      <c r="F1479" s="236"/>
      <c r="G1479" s="236"/>
      <c r="H1479" s="582" t="s">
        <v>357</v>
      </c>
      <c r="I1479" s="498" t="s">
        <v>654</v>
      </c>
      <c r="J1479" s="237"/>
      <c r="K1479" s="237"/>
      <c r="L1479" s="274"/>
      <c r="M1479" s="668" t="s">
        <v>4975</v>
      </c>
      <c r="N1479" s="681" t="str">
        <f>IF(AND(ISTEXT($A1479), ISERROR($A1479+0)), HYPERLINK($BF1479, "Images"), "")</f>
        <v>Images</v>
      </c>
      <c r="O1479" s="663" t="s">
        <v>4967</v>
      </c>
      <c r="P1479" s="253"/>
      <c r="Q1479" s="238"/>
      <c r="R1479" s="239"/>
      <c r="S1479" s="275"/>
      <c r="T1479" s="508">
        <f t="shared" si="1099"/>
        <v>0</v>
      </c>
      <c r="U1479" s="225" t="str">
        <f>IF(NOT(ISNUMBER(G1479)), "", VLOOKUP(A1479,'Discount Lookup'!D:E,2,FALSE)*G1479)</f>
        <v/>
      </c>
      <c r="V1479" s="225" t="str">
        <f>IF(NOT(ISNUMBER(G1479)), "", VLOOKUP(A1479,'Discount Lookup'!G:H,2,FALSE)*G1479)</f>
        <v/>
      </c>
      <c r="W1479" s="508">
        <f t="shared" si="1100"/>
        <v>0</v>
      </c>
      <c r="X1479" s="508" t="str">
        <f t="shared" si="1101"/>
        <v>White bloom</v>
      </c>
      <c r="Y1479" s="509" t="b">
        <f t="shared" si="1102"/>
        <v>0</v>
      </c>
      <c r="Z1479" s="510">
        <f t="shared" si="1103"/>
        <v>0</v>
      </c>
      <c r="AA1479" s="511"/>
      <c r="AB1479" s="511" t="str">
        <f t="shared" si="1104"/>
        <v/>
      </c>
      <c r="AC1479" s="698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698"/>
      <c r="AE1479" s="631" t="str">
        <f t="shared" si="1105"/>
        <v/>
      </c>
      <c r="AF1479" s="699" t="str">
        <f t="shared" si="1106"/>
        <v/>
      </c>
      <c r="AG1479" s="699"/>
      <c r="AH1479" s="699"/>
      <c r="AI1479" s="512">
        <f>IF(H1479="credit",0,IF(AE1479="free",0,IF(AE1479="me",0,IF(G1479&gt;0,(VLOOKUP(A1479,'Discount Lookup'!J:K,2)*G1479),0))))</f>
        <v>0</v>
      </c>
      <c r="AJ1479" s="513" t="str">
        <f t="shared" ca="1" si="1107"/>
        <v/>
      </c>
      <c r="AK1479" s="700" t="str">
        <f t="shared" si="1108"/>
        <v/>
      </c>
      <c r="AL1479" s="700"/>
      <c r="AM1479" s="505" t="str">
        <f t="shared" si="1109"/>
        <v/>
      </c>
      <c r="AN1479" s="506"/>
      <c r="AO1479" s="507"/>
      <c r="AP1479" s="507"/>
      <c r="AQ1479" s="507"/>
      <c r="AR1479" s="507"/>
      <c r="AS1479" s="507"/>
      <c r="AT1479" s="507"/>
      <c r="AU1479" s="507"/>
      <c r="AV1479" s="225"/>
      <c r="AW1479" s="508"/>
      <c r="AX1479" s="225"/>
      <c r="AY1479" s="225"/>
      <c r="AZ1479" s="225"/>
      <c r="BA1479" s="225"/>
      <c r="BB1479" s="225"/>
      <c r="BC1479" s="56"/>
      <c r="BD1479" s="56"/>
      <c r="BE1479" s="56"/>
      <c r="BF1479" s="107" t="str">
        <f t="shared" si="1110"/>
        <v>https://www.google.com/search?tbm=isch&amp;q=Galilean%E2%84%A2%20Kousa%20Dogwood%20Cornus%20kousa%20%27Galzam%27%20PP%2315788</v>
      </c>
      <c r="BG1479" s="107" t="str">
        <f t="shared" si="1111"/>
        <v>G</v>
      </c>
      <c r="BH1479" s="254"/>
      <c r="BI1479" s="254"/>
    </row>
    <row r="1480" spans="1:61" customFormat="1" ht="15.75" x14ac:dyDescent="0.25">
      <c r="A1480" s="276">
        <v>7</v>
      </c>
      <c r="B1480" s="240" t="s">
        <v>291</v>
      </c>
      <c r="C1480" s="241" t="s">
        <v>3505</v>
      </c>
      <c r="D1480" s="242" t="s">
        <v>292</v>
      </c>
      <c r="E1480" s="243">
        <v>104.95</v>
      </c>
      <c r="F1480" s="517" t="s">
        <v>293</v>
      </c>
      <c r="G1480" s="232">
        <v>0</v>
      </c>
      <c r="H1480" s="661" t="str">
        <f>IF(G1480=0,"",IF(F1480="Buy",IF(G1480=1,"plant","plants"),IF(F1480&gt;0.01,"warranty","Error")))</f>
        <v/>
      </c>
      <c r="I1480" s="244">
        <f>IF(H1480="free",0,IF(H1480="credit",((E1480*(F1480))*G1480*-1),IF(F1480="Buy",(E1480*G1480),((E1480*(1-F1480))*G1480))))</f>
        <v>0</v>
      </c>
      <c r="J1480" s="244">
        <f>IF(H1480="warranty",0,(I1480*(_xlfn.SINGLE(SalesTaxPercentage))))</f>
        <v>0</v>
      </c>
      <c r="K1480" s="696">
        <f t="shared" ref="K1480" si="1148">I1480+J1480</f>
        <v>0</v>
      </c>
      <c r="L1480" s="696"/>
      <c r="M1480" s="659" t="str">
        <f>IF(AND(G1480&gt;0,E1480=0),"WARNING - no PRICE inserted",IF(H1480="free"," FREE ~ no charge this plant",IF(H1480="credit",CONCATENATE(" -$",ROUND(K1480*(1-T2GDiscount)*-1,2)," CREDIT after discount"),IF(T2GDiscount=0,"",IF(G1480=0,"",IF(F1480="Buy",CONCATENATE(" $",ROUND(K1480*(1-T2GDiscount),2)," with ",(T2GDiscount*100),"% discount"),CONCATENATE(" $",ROUND(K1480*(1-T2GDiscount),2)," with ",((T2GDiscount*100+F1480*100)-(T2GDiscount*100*F1480)),IF(F1480&gt;0,"% discounts",IF(NoWarrantyDiscount&gt;0,"% discounts","% discount")))))))))</f>
        <v/>
      </c>
      <c r="N1480" s="660"/>
      <c r="O1480" s="233"/>
      <c r="P1480" s="233"/>
      <c r="Q1480" s="233"/>
      <c r="R1480" s="233"/>
      <c r="S1480" s="233"/>
      <c r="T1480" s="508">
        <f t="shared" si="1099"/>
        <v>0</v>
      </c>
      <c r="U1480" s="225">
        <f>IF(NOT(ISNUMBER(G1480)), "", VLOOKUP(A1480,'Discount Lookup'!D:E,2,FALSE)*G1480)</f>
        <v>0</v>
      </c>
      <c r="V1480" s="225">
        <f>IF(NOT(ISNUMBER(G1480)), "", VLOOKUP(A1480,'Discount Lookup'!G:H,2,FALSE)*G1480)</f>
        <v>0</v>
      </c>
      <c r="W1480" s="508">
        <f t="shared" si="1100"/>
        <v>0</v>
      </c>
      <c r="X1480" s="508">
        <f t="shared" si="1101"/>
        <v>0</v>
      </c>
      <c r="Y1480" s="509" t="b">
        <f t="shared" si="1102"/>
        <v>0</v>
      </c>
      <c r="Z1480" s="510">
        <f t="shared" si="1103"/>
        <v>0</v>
      </c>
      <c r="AA1480" s="511"/>
      <c r="AB1480" s="511" t="str">
        <f t="shared" si="1104"/>
        <v/>
      </c>
      <c r="AC1480" s="698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698"/>
      <c r="AE1480" s="631" t="str">
        <f t="shared" si="1105"/>
        <v/>
      </c>
      <c r="AF1480" s="699" t="str">
        <f t="shared" si="1106"/>
        <v/>
      </c>
      <c r="AG1480" s="699"/>
      <c r="AH1480" s="699"/>
      <c r="AI1480" s="512">
        <f>IF(H1480="credit",0,IF(AE1480="free",0,IF(AE1480="me",0,IF(G1480&gt;0,(VLOOKUP(A1480,'Discount Lookup'!J:K,2)*G1480),0))))</f>
        <v>0</v>
      </c>
      <c r="AJ1480" s="513" t="str">
        <f t="shared" ca="1" si="1107"/>
        <v/>
      </c>
      <c r="AK1480" s="700" t="str">
        <f t="shared" si="1108"/>
        <v/>
      </c>
      <c r="AL1480" s="700"/>
      <c r="AM1480" s="505" t="str">
        <f t="shared" si="1109"/>
        <v/>
      </c>
      <c r="AN1480" s="506"/>
      <c r="AO1480" s="507"/>
      <c r="AP1480" s="507"/>
      <c r="AQ1480" s="507"/>
      <c r="AR1480" s="507"/>
      <c r="AS1480" s="507"/>
      <c r="AT1480" s="507"/>
      <c r="AU1480" s="507"/>
      <c r="AV1480" s="225"/>
      <c r="AW1480" s="508"/>
      <c r="AX1480" s="225"/>
      <c r="AY1480" s="225"/>
      <c r="AZ1480" s="225"/>
      <c r="BA1480" s="225"/>
      <c r="BB1480" s="225"/>
      <c r="BC1480" s="56"/>
      <c r="BD1480" s="56"/>
      <c r="BE1480" s="56"/>
      <c r="BF1480" s="107" t="str">
        <f t="shared" si="1110"/>
        <v>https://www.google.com/search?tbm=isch&amp;q=7%20G4</v>
      </c>
      <c r="BG1480" s="107" t="str">
        <f t="shared" si="1111"/>
        <v>G</v>
      </c>
      <c r="BH1480" s="254"/>
      <c r="BI1480" s="254"/>
    </row>
    <row r="1481" spans="1:61" customFormat="1" ht="17.25" thickBot="1" x14ac:dyDescent="0.3">
      <c r="A1481" s="524" t="s">
        <v>3221</v>
      </c>
      <c r="B1481" s="245"/>
      <c r="C1481" s="677"/>
      <c r="D1481" s="499"/>
      <c r="E1481" s="499"/>
      <c r="F1481" s="500"/>
      <c r="G1481" s="501"/>
      <c r="H1481" s="502"/>
      <c r="I1481" s="246"/>
      <c r="J1481" s="247"/>
      <c r="K1481" s="503"/>
      <c r="L1481" s="544"/>
      <c r="M1481" s="544"/>
      <c r="N1481" s="500"/>
      <c r="O1481" s="500"/>
      <c r="P1481" s="500"/>
      <c r="Q1481" s="500"/>
      <c r="R1481" s="500"/>
      <c r="S1481" s="669" t="s">
        <v>4996</v>
      </c>
      <c r="T1481" s="508">
        <f t="shared" si="1099"/>
        <v>0</v>
      </c>
      <c r="U1481" s="225" t="str">
        <f>IF(NOT(ISNUMBER(G1481)), "", VLOOKUP(A1481,'Discount Lookup'!D:E,2,FALSE)*G1481)</f>
        <v/>
      </c>
      <c r="V1481" s="225" t="str">
        <f>IF(NOT(ISNUMBER(G1481)), "", VLOOKUP(A1481,'Discount Lookup'!G:H,2,FALSE)*G1481)</f>
        <v/>
      </c>
      <c r="W1481" s="508">
        <f t="shared" si="1100"/>
        <v>0</v>
      </c>
      <c r="X1481" s="508">
        <f t="shared" si="1101"/>
        <v>0</v>
      </c>
      <c r="Y1481" s="509" t="b">
        <f t="shared" si="1102"/>
        <v>0</v>
      </c>
      <c r="Z1481" s="510">
        <f t="shared" si="1103"/>
        <v>0</v>
      </c>
      <c r="AA1481" s="511"/>
      <c r="AB1481" s="511" t="str">
        <f t="shared" si="1104"/>
        <v/>
      </c>
      <c r="AC1481" s="698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698"/>
      <c r="AE1481" s="631" t="str">
        <f t="shared" si="1105"/>
        <v/>
      </c>
      <c r="AF1481" s="699" t="str">
        <f t="shared" si="1106"/>
        <v/>
      </c>
      <c r="AG1481" s="699"/>
      <c r="AH1481" s="699"/>
      <c r="AI1481" s="512">
        <f>IF(H1481="credit",0,IF(AE1481="free",0,IF(AE1481="me",0,IF(G1481&gt;0,(VLOOKUP(A1481,'Discount Lookup'!J:K,2)*G1481),0))))</f>
        <v>0</v>
      </c>
      <c r="AJ1481" s="513" t="str">
        <f t="shared" ca="1" si="1107"/>
        <v/>
      </c>
      <c r="AK1481" s="700" t="str">
        <f t="shared" si="1108"/>
        <v/>
      </c>
      <c r="AL1481" s="700"/>
      <c r="AM1481" s="505" t="str">
        <f t="shared" si="1109"/>
        <v/>
      </c>
      <c r="AN1481" s="506"/>
      <c r="AO1481" s="507"/>
      <c r="AP1481" s="507"/>
      <c r="AQ1481" s="507"/>
      <c r="AR1481" s="507"/>
      <c r="AS1481" s="507"/>
      <c r="AT1481" s="507"/>
      <c r="AU1481" s="507"/>
      <c r="AV1481" s="225"/>
      <c r="AW1481" s="508"/>
      <c r="AX1481" s="225"/>
      <c r="AY1481" s="225"/>
      <c r="AZ1481" s="225"/>
      <c r="BA1481" s="225"/>
      <c r="BB1481" s="225"/>
      <c r="BC1481" s="56"/>
      <c r="BD1481" s="56"/>
      <c r="BE1481" s="56"/>
      <c r="BF1481" s="107" t="str">
        <f t="shared" si="1110"/>
        <v>https://www.google.com/search?tbm=isch&amp;q=Galilean%20sports%20extra-large%20flowers.%20Late%20summer%20fruit%20resembles%20raspberiies.%20Exfoliating%20gray%20bark%20</v>
      </c>
      <c r="BG1481" s="107" t="str">
        <f t="shared" si="1111"/>
        <v>G</v>
      </c>
      <c r="BH1481" s="254"/>
      <c r="BI1481" s="254"/>
    </row>
    <row r="1482" spans="1:61" customFormat="1" ht="18" x14ac:dyDescent="0.25">
      <c r="A1482" s="521" t="s">
        <v>5414</v>
      </c>
      <c r="B1482" s="477"/>
      <c r="C1482" s="674"/>
      <c r="D1482" s="478" t="s">
        <v>951</v>
      </c>
      <c r="E1482" s="479"/>
      <c r="F1482" s="479"/>
      <c r="G1482" s="479"/>
      <c r="H1482" s="582" t="s">
        <v>443</v>
      </c>
      <c r="I1482" s="480" t="s">
        <v>2322</v>
      </c>
      <c r="J1482" s="479"/>
      <c r="K1482" s="479"/>
      <c r="L1482" s="560"/>
      <c r="M1482" s="666" t="s">
        <v>4966</v>
      </c>
      <c r="N1482" s="680" t="str">
        <f>IF(AND(ISTEXT($A1482), ISERROR($A1482+0)), HYPERLINK($BF1482, "Images"), "")</f>
        <v>Images</v>
      </c>
      <c r="O1482" s="662" t="s">
        <v>4967</v>
      </c>
      <c r="P1482" s="482"/>
      <c r="Q1482" s="483"/>
      <c r="R1482" s="483"/>
      <c r="S1482" s="484" t="s">
        <v>305</v>
      </c>
      <c r="T1482" s="508">
        <f t="shared" si="1099"/>
        <v>0</v>
      </c>
      <c r="U1482" s="225" t="str">
        <f>IF(NOT(ISNUMBER(G1482)), "", VLOOKUP(A1482,'Discount Lookup'!D:E,2,FALSE)*G1482)</f>
        <v/>
      </c>
      <c r="V1482" s="225" t="str">
        <f>IF(NOT(ISNUMBER(G1482)), "", VLOOKUP(A1482,'Discount Lookup'!G:H,2,FALSE)*G1482)</f>
        <v/>
      </c>
      <c r="W1482" s="508">
        <f t="shared" si="1100"/>
        <v>0</v>
      </c>
      <c r="X1482" s="508" t="str">
        <f t="shared" si="1101"/>
        <v>Dark Green folaige</v>
      </c>
      <c r="Y1482" s="509" t="b">
        <f t="shared" si="1102"/>
        <v>0</v>
      </c>
      <c r="Z1482" s="510">
        <f t="shared" si="1103"/>
        <v>0</v>
      </c>
      <c r="AA1482" s="511"/>
      <c r="AB1482" s="511" t="str">
        <f t="shared" si="1104"/>
        <v/>
      </c>
      <c r="AC1482" s="698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698"/>
      <c r="AE1482" s="631" t="str">
        <f t="shared" si="1105"/>
        <v/>
      </c>
      <c r="AF1482" s="699" t="str">
        <f t="shared" si="1106"/>
        <v/>
      </c>
      <c r="AG1482" s="699"/>
      <c r="AH1482" s="699"/>
      <c r="AI1482" s="512">
        <f>IF(H1482="credit",0,IF(AE1482="free",0,IF(AE1482="me",0,IF(G1482&gt;0,(VLOOKUP(A1482,'Discount Lookup'!J:K,2)*G1482),0))))</f>
        <v>0</v>
      </c>
      <c r="AJ1482" s="513" t="str">
        <f t="shared" ca="1" si="1107"/>
        <v/>
      </c>
      <c r="AK1482" s="700" t="str">
        <f t="shared" si="1108"/>
        <v/>
      </c>
      <c r="AL1482" s="700"/>
      <c r="AM1482" s="505" t="str">
        <f t="shared" si="1109"/>
        <v/>
      </c>
      <c r="AN1482" s="506"/>
      <c r="AO1482" s="507"/>
      <c r="AP1482" s="507"/>
      <c r="AQ1482" s="507"/>
      <c r="AR1482" s="507"/>
      <c r="AS1482" s="507"/>
      <c r="AT1482" s="507"/>
      <c r="AU1482" s="507"/>
      <c r="AV1482" s="225"/>
      <c r="AW1482" s="508"/>
      <c r="AX1482" s="225"/>
      <c r="AY1482" s="225"/>
      <c r="AZ1482" s="225"/>
      <c r="BA1482" s="225"/>
      <c r="BB1482" s="225"/>
      <c r="BC1482" s="56"/>
      <c r="BD1482" s="56"/>
      <c r="BE1482" s="56"/>
      <c r="BF1482" s="107" t="str">
        <f t="shared" si="1110"/>
        <v>https://www.google.com/search?tbm=isch&amp;q=Gem%20Box%C2%AE%20Inkberry%20Holly%20Ilex%20glabra%20%27SMNIGAB17%27%20PP%2327554</v>
      </c>
      <c r="BG1482" s="107" t="str">
        <f t="shared" si="1111"/>
        <v>G</v>
      </c>
      <c r="BH1482" s="254"/>
      <c r="BI1482" s="254"/>
    </row>
    <row r="1483" spans="1:61" customFormat="1" ht="15.75" x14ac:dyDescent="0.25">
      <c r="A1483" s="485">
        <v>3</v>
      </c>
      <c r="B1483" s="486" t="s">
        <v>291</v>
      </c>
      <c r="C1483" s="487" t="s">
        <v>3259</v>
      </c>
      <c r="D1483" s="488" t="s">
        <v>299</v>
      </c>
      <c r="E1483" s="489">
        <v>42.95</v>
      </c>
      <c r="F1483" s="516" t="s">
        <v>293</v>
      </c>
      <c r="G1483" s="232">
        <v>0</v>
      </c>
      <c r="H1483" s="658" t="str">
        <f>IF(G1483=0,"",IF(F1483="Buy",IF(G1483=1,"plant","plants"),IF(F1483&gt;0.01,"warranty","Error")))</f>
        <v/>
      </c>
      <c r="I1483" s="490">
        <f>IF(H1483="free",0,IF(H1483="credit",((E1483*(F1483))*G1483*-1),IF(F1483="Buy",(E1483*G1483),((E1483*(1-F1483))*G1483))))</f>
        <v>0</v>
      </c>
      <c r="J1483" s="490">
        <f>IF(H1483="warranty",0,(I1483*(_xlfn.SINGLE(SalesTaxPercentage))))</f>
        <v>0</v>
      </c>
      <c r="K1483" s="695">
        <f t="shared" ref="K1483" si="1149">I1483+J1483</f>
        <v>0</v>
      </c>
      <c r="L1483" s="695"/>
      <c r="M1483" s="659" t="str">
        <f>IF(AND(G1483&gt;0,E1483=0),"WARNING - no PRICE inserted",IF(H1483="free"," FREE ~ no charge this plant",IF(H1483="credit",CONCATENATE(" -$",ROUND(K1483*(1-T2GDiscount)*-1,2)," CREDIT after discount"),IF(T2GDiscount=0,"",IF(G1483=0,"",IF(F1483="Buy",CONCATENATE(" $",ROUND(K1483*(1-T2GDiscount),2)," with ",(T2GDiscount*100),"% discount"),CONCATENATE(" $",ROUND(K1483*(1-T2GDiscount),2)," with ",((T2GDiscount*100+F1483*100)-(T2GDiscount*100*F1483)),IF(F1483&gt;0,"% discounts",IF(NoWarrantyDiscount&gt;0,"% discounts","% discount")))))))))</f>
        <v/>
      </c>
      <c r="N1483" s="660"/>
      <c r="O1483" s="233"/>
      <c r="P1483" s="233"/>
      <c r="Q1483" s="233"/>
      <c r="R1483" s="233"/>
      <c r="S1483" s="233"/>
      <c r="T1483" s="508">
        <f t="shared" si="1099"/>
        <v>0</v>
      </c>
      <c r="U1483" s="225">
        <f>IF(NOT(ISNUMBER(G1483)), "", VLOOKUP(A1483,'Discount Lookup'!D:E,2,FALSE)*G1483)</f>
        <v>0</v>
      </c>
      <c r="V1483" s="225">
        <f>IF(NOT(ISNUMBER(G1483)), "", VLOOKUP(A1483,'Discount Lookup'!G:H,2,FALSE)*G1483)</f>
        <v>0</v>
      </c>
      <c r="W1483" s="508">
        <f t="shared" si="1100"/>
        <v>0</v>
      </c>
      <c r="X1483" s="508">
        <f t="shared" si="1101"/>
        <v>0</v>
      </c>
      <c r="Y1483" s="509" t="b">
        <f t="shared" si="1102"/>
        <v>0</v>
      </c>
      <c r="Z1483" s="510">
        <f t="shared" si="1103"/>
        <v>0</v>
      </c>
      <c r="AA1483" s="511"/>
      <c r="AB1483" s="511" t="str">
        <f t="shared" si="1104"/>
        <v/>
      </c>
      <c r="AC1483" s="698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698"/>
      <c r="AE1483" s="631" t="str">
        <f t="shared" si="1105"/>
        <v/>
      </c>
      <c r="AF1483" s="699" t="str">
        <f t="shared" si="1106"/>
        <v/>
      </c>
      <c r="AG1483" s="699"/>
      <c r="AH1483" s="699"/>
      <c r="AI1483" s="512">
        <f>IF(H1483="credit",0,IF(AE1483="free",0,IF(AE1483="me",0,IF(G1483&gt;0,(VLOOKUP(A1483,'Discount Lookup'!J:K,2)*G1483),0))))</f>
        <v>0</v>
      </c>
      <c r="AJ1483" s="513" t="str">
        <f t="shared" ca="1" si="1107"/>
        <v/>
      </c>
      <c r="AK1483" s="700" t="str">
        <f t="shared" si="1108"/>
        <v/>
      </c>
      <c r="AL1483" s="700"/>
      <c r="AM1483" s="505" t="str">
        <f t="shared" si="1109"/>
        <v/>
      </c>
      <c r="AN1483" s="506"/>
      <c r="AO1483" s="507"/>
      <c r="AP1483" s="507"/>
      <c r="AQ1483" s="507"/>
      <c r="AR1483" s="507"/>
      <c r="AS1483" s="507"/>
      <c r="AT1483" s="507"/>
      <c r="AU1483" s="507"/>
      <c r="AV1483" s="225"/>
      <c r="AW1483" s="508"/>
      <c r="AX1483" s="225"/>
      <c r="AY1483" s="225"/>
      <c r="AZ1483" s="225"/>
      <c r="BA1483" s="225"/>
      <c r="BB1483" s="225"/>
      <c r="BC1483" s="56"/>
      <c r="BD1483" s="56"/>
      <c r="BE1483" s="56"/>
      <c r="BF1483" s="107" t="str">
        <f t="shared" si="1110"/>
        <v>https://www.google.com/search?tbm=isch&amp;q=3%20G5</v>
      </c>
      <c r="BG1483" s="107" t="str">
        <f t="shared" si="1111"/>
        <v>G</v>
      </c>
      <c r="BH1483" s="254"/>
      <c r="BI1483" s="254"/>
    </row>
    <row r="1484" spans="1:61" customFormat="1" ht="16.5" thickBot="1" x14ac:dyDescent="0.3">
      <c r="A1484" s="672" t="s">
        <v>5121</v>
      </c>
      <c r="B1484" s="491"/>
      <c r="C1484" s="675"/>
      <c r="D1484" s="491"/>
      <c r="E1484" s="491"/>
      <c r="F1484" s="492"/>
      <c r="G1484" s="493"/>
      <c r="H1484" s="491"/>
      <c r="I1484" s="234"/>
      <c r="J1484" s="234"/>
      <c r="K1484" s="494"/>
      <c r="L1484" s="543"/>
      <c r="M1484" s="561"/>
      <c r="N1484" s="495"/>
      <c r="O1484" s="496"/>
      <c r="P1484" s="497"/>
      <c r="Q1484" s="495"/>
      <c r="R1484" s="495"/>
      <c r="S1484" s="667" t="s">
        <v>4968</v>
      </c>
      <c r="T1484" s="508">
        <f t="shared" si="1099"/>
        <v>0</v>
      </c>
      <c r="U1484" s="225" t="str">
        <f>IF(NOT(ISNUMBER(G1484)), "", VLOOKUP(A1484,'Discount Lookup'!D:E,2,FALSE)*G1484)</f>
        <v/>
      </c>
      <c r="V1484" s="225" t="str">
        <f>IF(NOT(ISNUMBER(G1484)), "", VLOOKUP(A1484,'Discount Lookup'!G:H,2,FALSE)*G1484)</f>
        <v/>
      </c>
      <c r="W1484" s="508">
        <f t="shared" si="1100"/>
        <v>0</v>
      </c>
      <c r="X1484" s="508">
        <f t="shared" si="1101"/>
        <v>0</v>
      </c>
      <c r="Y1484" s="509" t="b">
        <f t="shared" si="1102"/>
        <v>0</v>
      </c>
      <c r="Z1484" s="510">
        <f t="shared" si="1103"/>
        <v>0</v>
      </c>
      <c r="AA1484" s="511"/>
      <c r="AB1484" s="511" t="str">
        <f t="shared" si="1104"/>
        <v/>
      </c>
      <c r="AC1484" s="698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698"/>
      <c r="AE1484" s="631" t="str">
        <f t="shared" si="1105"/>
        <v/>
      </c>
      <c r="AF1484" s="699" t="str">
        <f t="shared" si="1106"/>
        <v/>
      </c>
      <c r="AG1484" s="699"/>
      <c r="AH1484" s="699"/>
      <c r="AI1484" s="512">
        <f>IF(H1484="credit",0,IF(AE1484="free",0,IF(AE1484="me",0,IF(G1484&gt;0,(VLOOKUP(A1484,'Discount Lookup'!J:K,2)*G1484),0))))</f>
        <v>0</v>
      </c>
      <c r="AJ1484" s="513" t="str">
        <f t="shared" ca="1" si="1107"/>
        <v/>
      </c>
      <c r="AK1484" s="700" t="str">
        <f t="shared" si="1108"/>
        <v/>
      </c>
      <c r="AL1484" s="700"/>
      <c r="AM1484" s="505" t="str">
        <f t="shared" si="1109"/>
        <v/>
      </c>
      <c r="AN1484" s="506"/>
      <c r="AO1484" s="507"/>
      <c r="AP1484" s="507"/>
      <c r="AQ1484" s="507"/>
      <c r="AR1484" s="507"/>
      <c r="AS1484" s="507"/>
      <c r="AT1484" s="507"/>
      <c r="AU1484" s="507"/>
      <c r="AV1484" s="225"/>
      <c r="AW1484" s="508"/>
      <c r="AX1484" s="225"/>
      <c r="AY1484" s="225"/>
      <c r="AZ1484" s="225"/>
      <c r="BA1484" s="225"/>
      <c r="BB1484" s="225"/>
      <c r="BC1484" s="56"/>
      <c r="BD1484" s="56"/>
      <c r="BE1484" s="56"/>
      <c r="BF1484" s="107" t="str">
        <f t="shared" si="1110"/>
        <v>https://www.google.com/search?tbm=isch&amp;q=wet%20sites%F0%9F%92%A7GOOD%2C%20Gem%20Box%20named%20for%20being%20great%20alternate%20to%20Boxwood.%20Naturally%20rounded.%20Small%20black%20berries%20if%20a%20male%20nearby.%20Tolerant%20</v>
      </c>
      <c r="BG1484" s="107" t="str">
        <f t="shared" si="1111"/>
        <v>w</v>
      </c>
      <c r="BH1484" s="254"/>
      <c r="BI1484" s="254"/>
    </row>
    <row r="1485" spans="1:61" customFormat="1" ht="18" x14ac:dyDescent="0.25">
      <c r="A1485" s="523" t="s">
        <v>952</v>
      </c>
      <c r="B1485" s="235"/>
      <c r="C1485" s="676"/>
      <c r="D1485" s="255" t="s">
        <v>953</v>
      </c>
      <c r="E1485" s="236"/>
      <c r="F1485" s="236"/>
      <c r="G1485" s="236"/>
      <c r="H1485" s="582" t="s">
        <v>2142</v>
      </c>
      <c r="I1485" s="498" t="s">
        <v>2387</v>
      </c>
      <c r="J1485" s="237"/>
      <c r="K1485" s="237"/>
      <c r="L1485" s="274"/>
      <c r="M1485" s="668" t="s">
        <v>4975</v>
      </c>
      <c r="N1485" s="681" t="str">
        <f>IF(AND(ISTEXT($A1485), ISERROR($A1485+0)), HYPERLINK($BF1485, "Images"), "")</f>
        <v>Images</v>
      </c>
      <c r="O1485" s="663" t="s">
        <v>4967</v>
      </c>
      <c r="P1485" s="253"/>
      <c r="Q1485" s="238"/>
      <c r="R1485" s="239"/>
      <c r="S1485" s="275"/>
      <c r="T1485" s="508">
        <f t="shared" si="1099"/>
        <v>0</v>
      </c>
      <c r="U1485" s="225" t="str">
        <f>IF(NOT(ISNUMBER(G1485)), "", VLOOKUP(A1485,'Discount Lookup'!D:E,2,FALSE)*G1485)</f>
        <v/>
      </c>
      <c r="V1485" s="225" t="str">
        <f>IF(NOT(ISNUMBER(G1485)), "", VLOOKUP(A1485,'Discount Lookup'!G:H,2,FALSE)*G1485)</f>
        <v/>
      </c>
      <c r="W1485" s="508">
        <f t="shared" si="1100"/>
        <v>0</v>
      </c>
      <c r="X1485" s="508" t="str">
        <f t="shared" si="1101"/>
        <v>Dark Burgundy-Purple</v>
      </c>
      <c r="Y1485" s="509" t="b">
        <f t="shared" si="1102"/>
        <v>0</v>
      </c>
      <c r="Z1485" s="510">
        <f t="shared" si="1103"/>
        <v>0</v>
      </c>
      <c r="AA1485" s="511"/>
      <c r="AB1485" s="511" t="str">
        <f t="shared" si="1104"/>
        <v/>
      </c>
      <c r="AC1485" s="698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698"/>
      <c r="AE1485" s="631" t="str">
        <f t="shared" si="1105"/>
        <v/>
      </c>
      <c r="AF1485" s="699" t="str">
        <f t="shared" si="1106"/>
        <v/>
      </c>
      <c r="AG1485" s="699"/>
      <c r="AH1485" s="699"/>
      <c r="AI1485" s="512">
        <f>IF(H1485="credit",0,IF(AE1485="free",0,IF(AE1485="me",0,IF(G1485&gt;0,(VLOOKUP(A1485,'Discount Lookup'!J:K,2)*G1485),0))))</f>
        <v>0</v>
      </c>
      <c r="AJ1485" s="513" t="str">
        <f t="shared" ca="1" si="1107"/>
        <v/>
      </c>
      <c r="AK1485" s="700" t="str">
        <f t="shared" si="1108"/>
        <v/>
      </c>
      <c r="AL1485" s="700"/>
      <c r="AM1485" s="505" t="str">
        <f t="shared" si="1109"/>
        <v/>
      </c>
      <c r="AN1485" s="506"/>
      <c r="AO1485" s="507"/>
      <c r="AP1485" s="507"/>
      <c r="AQ1485" s="507"/>
      <c r="AR1485" s="507"/>
      <c r="AS1485" s="507"/>
      <c r="AT1485" s="507"/>
      <c r="AU1485" s="507"/>
      <c r="AV1485" s="225"/>
      <c r="AW1485" s="508"/>
      <c r="AX1485" s="225"/>
      <c r="AY1485" s="225"/>
      <c r="AZ1485" s="225"/>
      <c r="BA1485" s="225"/>
      <c r="BB1485" s="225"/>
      <c r="BC1485" s="56"/>
      <c r="BD1485" s="56"/>
      <c r="BE1485" s="56"/>
      <c r="BF1485" s="107" t="str">
        <f t="shared" si="1110"/>
        <v>https://www.google.com/search?tbm=isch&amp;q=Genie%20Magnolia%20Magnolia%20%27Genie%27%20PP%2320748</v>
      </c>
      <c r="BG1485" s="107" t="str">
        <f t="shared" si="1111"/>
        <v>G</v>
      </c>
      <c r="BH1485" s="254"/>
      <c r="BI1485" s="254"/>
    </row>
    <row r="1486" spans="1:61" customFormat="1" ht="15.75" x14ac:dyDescent="0.25">
      <c r="A1486" s="276">
        <v>7</v>
      </c>
      <c r="B1486" s="240" t="s">
        <v>291</v>
      </c>
      <c r="C1486" s="241" t="s">
        <v>3506</v>
      </c>
      <c r="D1486" s="242" t="s">
        <v>292</v>
      </c>
      <c r="E1486" s="243">
        <v>109.95</v>
      </c>
      <c r="F1486" s="517" t="s">
        <v>293</v>
      </c>
      <c r="G1486" s="232">
        <v>0</v>
      </c>
      <c r="H1486" s="661" t="str">
        <f>IF(G1486=0,"",IF(F1486="Buy",IF(G1486=1,"plant","plants"),IF(F1486&gt;0.01,"warranty","Error")))</f>
        <v/>
      </c>
      <c r="I1486" s="244">
        <f>IF(H1486="free",0,IF(H1486="credit",((E1486*(F1486))*G1486*-1),IF(F1486="Buy",(E1486*G1486),((E1486*(1-F1486))*G1486))))</f>
        <v>0</v>
      </c>
      <c r="J1486" s="244">
        <f>IF(H1486="warranty",0,(I1486*(_xlfn.SINGLE(SalesTaxPercentage))))</f>
        <v>0</v>
      </c>
      <c r="K1486" s="696">
        <f t="shared" ref="K1486" si="1150">I1486+J1486</f>
        <v>0</v>
      </c>
      <c r="L1486" s="696"/>
      <c r="M1486" s="659" t="str">
        <f>IF(AND(G1486&gt;0,E1486=0),"WARNING - no PRICE inserted",IF(H1486="free"," FREE ~ no charge this plant",IF(H1486="credit",CONCATENATE(" -$",ROUND(K1486*(1-T2GDiscount)*-1,2)," CREDIT after discount"),IF(T2GDiscount=0,"",IF(G1486=0,"",IF(F1486="Buy",CONCATENATE(" $",ROUND(K1486*(1-T2GDiscount),2)," with ",(T2GDiscount*100),"% discount"),CONCATENATE(" $",ROUND(K1486*(1-T2GDiscount),2)," with ",((T2GDiscount*100+F1486*100)-(T2GDiscount*100*F1486)),IF(F1486&gt;0,"% discounts",IF(NoWarrantyDiscount&gt;0,"% discounts","% discount")))))))))</f>
        <v/>
      </c>
      <c r="N1486" s="660"/>
      <c r="O1486" s="233"/>
      <c r="P1486" s="233"/>
      <c r="Q1486" s="233"/>
      <c r="R1486" s="233"/>
      <c r="S1486" s="233"/>
      <c r="T1486" s="508">
        <f t="shared" ref="T1486:T1549" si="1151">E1486*G1486</f>
        <v>0</v>
      </c>
      <c r="U1486" s="225">
        <f>IF(NOT(ISNUMBER(G1486)), "", VLOOKUP(A1486,'Discount Lookup'!D:E,2,FALSE)*G1486)</f>
        <v>0</v>
      </c>
      <c r="V1486" s="225">
        <f>IF(NOT(ISNUMBER(G1486)), "", VLOOKUP(A1486,'Discount Lookup'!G:H,2,FALSE)*G1486)</f>
        <v>0</v>
      </c>
      <c r="W1486" s="508">
        <f t="shared" ref="W1486:W1549" si="1152">IF(H1486="credit",0,E1486*(SalesTaxPercentage)*G1486)</f>
        <v>0</v>
      </c>
      <c r="X1486" s="508">
        <f t="shared" ref="X1486:X1549" si="1153">I1486</f>
        <v>0</v>
      </c>
      <c r="Y1486" s="509" t="b">
        <f t="shared" ref="Y1486:Y1549" si="1154">IF(AE1486="T2G",0,IF(H1486="credit",0,IF(G1486&gt;0,IF(AE1486="me","",G1486))))</f>
        <v>0</v>
      </c>
      <c r="Z1486" s="510">
        <f t="shared" ref="Z1486:Z1549" si="1155">IF(H1486="credit",G1486,0)</f>
        <v>0</v>
      </c>
      <c r="AA1486" s="511"/>
      <c r="AB1486" s="511" t="str">
        <f t="shared" ref="AB1486:AB1549" si="1156">IF(AE1486="T2G","by Trees2Go",IF(H1486="credit","CREDIT only ~",IF(AND(K1486="",AE1486=OR(PlanterYesMe="No",PlanterYesMe="N",PlanterYesMe="me")),"not THIS line⇨",IF(AND(K1486="images",AE1486="me"),"not THIS line⇨",IF(H1486="credit","",IF(G1486=0,"",IF(AE1486="me","",IF(OR(PlanterYesMe="No",PlanterYesMe="N",PlanterYesMe="me"),"",IF(AE1486="free","warranty",IF(OR(PlanterYesMe="yes",PlanterYesMe="y"),"Edison install:","to install:"))))))))))</f>
        <v/>
      </c>
      <c r="AC1486" s="698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698"/>
      <c r="AE1486" s="631" t="str">
        <f t="shared" ref="AE1486:AE1549" si="1157">IF(H1486="credit","",IF(G1486=0,"",IF(OR(PlanterYesMe="No",PlanterYesMe="N",PlanterYesMe="me"),"me",IF(H1486="warranty","free",IF(OR(PlanterYesMe="yes",PlanterYesMe="y"),"ELP","")))))</f>
        <v/>
      </c>
      <c r="AF1486" s="699" t="str">
        <f t="shared" ref="AF1486:AF1549" si="1158">IF(OR(PlanterYesMe="No",PlanterYesMe="N",PlanterYesMe="me"),"",IF(H1486="credit","",IF(G1486&gt;0,(CONCATENATE((G1486)," quantity, ",(A1486)," ",B1486)),"")))</f>
        <v/>
      </c>
      <c r="AG1486" s="699"/>
      <c r="AH1486" s="699"/>
      <c r="AI1486" s="512">
        <f>IF(H1486="credit",0,IF(AE1486="free",0,IF(AE1486="me",0,IF(G1486&gt;0,(VLOOKUP(A1486,'Discount Lookup'!J:K,2)*G1486),0))))</f>
        <v>0</v>
      </c>
      <c r="AJ1486" s="513" t="str">
        <f t="shared" ref="AJ1486:AJ1549" ca="1" si="1159">IF(AND(ISREF(H1486),H1486="credit"),"",IF(AND(AND(OFFSET(G1486,0,0)=0,OFFSET(G1486,1,0)&gt;0,ISNUMBER(OFFSET(AC1486,1,0)),OFFSET(AC1486,1,0)&gt;0),OR(PlanterYesMe="yes",PlanterYesMe="y")),"T2G+ELP=",IF(AND(OFFSET(G1486,0,0)=0,OFFSET(G1486,1,0)&gt;0,ISNUMBER(OFFSET(AC1486,1,0)),OFFSET(AC1486,1,0)&gt;0),"if T2G+ELP=",IF(AND(OFFSET(G1486,0,0)=0,OFFSET(G1486,1,0)&gt;0),"T2G Subtotal",IF(H1486="credit","",IF(G1486=0,"",IF(AE1486="free",(K1486*(1-T2GDiscount)),IF(OR(PlanterYesMe="No",PlanterYesMe="N",PlanterYesMe="me"),(K1486*(1-T2GDiscount)),IF(OR(AE1486="me",AE1486="T2G"),(K1486*(1-T2GDiscount)),(K1486*(1-T2GDiscount))+AC1486)))))))))</f>
        <v/>
      </c>
      <c r="AK1486" s="700" t="str">
        <f t="shared" ref="AK1486:AK1549" si="1160">IF(H1486="credit","",IF(G1486=0,"",IF(OR(AE1486="me",AE1486="T2G"),"  delivery-only",IF(OR(PlanterYesMe="No",PlanterYesMe="N",PlanterYesMe="me"),"  delivery-only",CONCATENATE(" $",ROUND(AJ1486/G1486,2)," each")))))</f>
        <v/>
      </c>
      <c r="AL1486" s="700"/>
      <c r="AM1486" s="505" t="str">
        <f t="shared" ref="AM1486:AM1549" si="1161">IF(H1486="credit","",IF(AE1486="free","      ~ discounts included, no tax or planting fee applies ~",IF(G1486=0,"",IF(OR(PlanterYesMe="No",PlanterYesMe="N",PlanterYesMe="me"),CONCATENATE(" $",ROUND(AJ1486/G1486,2)," per plant, with tax &amp; discount"),IF(OR(AE1486="me",AE1486="T2G"),CONCATENATE(" $",ROUND(AJ1486/G1486,2)," per plant, with tax &amp; discount"),CONCATENATE("= $",ROUND((K1486*(1-T2GDiscount))/G1486,2)," per plant + $",AC1486/G1486,(" per planting      ~ includes tax &amp; discounts ~")))))))</f>
        <v/>
      </c>
      <c r="AN1486" s="506"/>
      <c r="AO1486" s="507"/>
      <c r="AP1486" s="507"/>
      <c r="AQ1486" s="507"/>
      <c r="AR1486" s="507"/>
      <c r="AS1486" s="507"/>
      <c r="AT1486" s="507"/>
      <c r="AU1486" s="507"/>
      <c r="AV1486" s="225"/>
      <c r="AW1486" s="508"/>
      <c r="AX1486" s="225"/>
      <c r="AY1486" s="225"/>
      <c r="AZ1486" s="225"/>
      <c r="BA1486" s="225"/>
      <c r="BB1486" s="225"/>
      <c r="BC1486" s="56"/>
      <c r="BD1486" s="56"/>
      <c r="BE1486" s="56"/>
      <c r="BF1486" s="107" t="str">
        <f t="shared" ref="BF1486:BF1549" si="1162">"https://www.google.com/search?tbm=isch&amp;q=" &amp; _xlfn.ENCODEURL($A1486 &amp; " " &amp; $D1486)</f>
        <v>https://www.google.com/search?tbm=isch&amp;q=7%20G4</v>
      </c>
      <c r="BG1486" s="107" t="str">
        <f t="shared" ref="BG1486:BG1549" si="1163">IF(ISTEXT(A1486),LEFT(A1486,1),BG1485)</f>
        <v>G</v>
      </c>
      <c r="BH1486" s="254"/>
      <c r="BI1486" s="254"/>
    </row>
    <row r="1487" spans="1:61" customFormat="1" ht="17.25" thickBot="1" x14ac:dyDescent="0.3">
      <c r="A1487" s="524" t="s">
        <v>2388</v>
      </c>
      <c r="B1487" s="245"/>
      <c r="C1487" s="677"/>
      <c r="D1487" s="499"/>
      <c r="E1487" s="499"/>
      <c r="F1487" s="500"/>
      <c r="G1487" s="501"/>
      <c r="H1487" s="502"/>
      <c r="I1487" s="246"/>
      <c r="J1487" s="247"/>
      <c r="K1487" s="503"/>
      <c r="L1487" s="544"/>
      <c r="M1487" s="544"/>
      <c r="N1487" s="500"/>
      <c r="O1487" s="500"/>
      <c r="P1487" s="500"/>
      <c r="Q1487" s="500"/>
      <c r="R1487" s="500"/>
      <c r="S1487" s="278"/>
      <c r="T1487" s="508">
        <f t="shared" si="1151"/>
        <v>0</v>
      </c>
      <c r="U1487" s="225" t="str">
        <f>IF(NOT(ISNUMBER(G1487)), "", VLOOKUP(A1487,'Discount Lookup'!D:E,2,FALSE)*G1487)</f>
        <v/>
      </c>
      <c r="V1487" s="225" t="str">
        <f>IF(NOT(ISNUMBER(G1487)), "", VLOOKUP(A1487,'Discount Lookup'!G:H,2,FALSE)*G1487)</f>
        <v/>
      </c>
      <c r="W1487" s="508">
        <f t="shared" si="1152"/>
        <v>0</v>
      </c>
      <c r="X1487" s="508">
        <f t="shared" si="1153"/>
        <v>0</v>
      </c>
      <c r="Y1487" s="509" t="b">
        <f t="shared" si="1154"/>
        <v>0</v>
      </c>
      <c r="Z1487" s="510">
        <f t="shared" si="1155"/>
        <v>0</v>
      </c>
      <c r="AA1487" s="511"/>
      <c r="AB1487" s="511" t="str">
        <f t="shared" si="1156"/>
        <v/>
      </c>
      <c r="AC1487" s="698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698"/>
      <c r="AE1487" s="631" t="str">
        <f t="shared" si="1157"/>
        <v/>
      </c>
      <c r="AF1487" s="699" t="str">
        <f t="shared" si="1158"/>
        <v/>
      </c>
      <c r="AG1487" s="699"/>
      <c r="AH1487" s="699"/>
      <c r="AI1487" s="512">
        <f>IF(H1487="credit",0,IF(AE1487="free",0,IF(AE1487="me",0,IF(G1487&gt;0,(VLOOKUP(A1487,'Discount Lookup'!J:K,2)*G1487),0))))</f>
        <v>0</v>
      </c>
      <c r="AJ1487" s="513" t="str">
        <f t="shared" ca="1" si="1159"/>
        <v/>
      </c>
      <c r="AK1487" s="700" t="str">
        <f t="shared" si="1160"/>
        <v/>
      </c>
      <c r="AL1487" s="700"/>
      <c r="AM1487" s="505" t="str">
        <f t="shared" si="1161"/>
        <v/>
      </c>
      <c r="AN1487" s="506"/>
      <c r="AO1487" s="507"/>
      <c r="AP1487" s="507"/>
      <c r="AQ1487" s="507"/>
      <c r="AR1487" s="507"/>
      <c r="AS1487" s="507"/>
      <c r="AT1487" s="507"/>
      <c r="AU1487" s="507"/>
      <c r="AV1487" s="225"/>
      <c r="AW1487" s="508"/>
      <c r="AX1487" s="225"/>
      <c r="AY1487" s="225"/>
      <c r="AZ1487" s="225"/>
      <c r="BA1487" s="225"/>
      <c r="BB1487" s="225"/>
      <c r="BC1487" s="56"/>
      <c r="BD1487" s="56"/>
      <c r="BE1487" s="56"/>
      <c r="BF1487" s="107" t="str">
        <f t="shared" si="1162"/>
        <v>https://www.google.com/search?tbm=isch&amp;q=Genie%20known%20for%20incredible%20dark%20tulip-shaped%20flowers.%20Likely%20rebloomer%2C%20with%20good%20cold%20hardiness%20</v>
      </c>
      <c r="BG1487" s="107" t="str">
        <f t="shared" si="1163"/>
        <v>G</v>
      </c>
      <c r="BH1487" s="254"/>
      <c r="BI1487" s="254"/>
    </row>
    <row r="1488" spans="1:61" customFormat="1" ht="18" x14ac:dyDescent="0.25">
      <c r="A1488" s="521" t="s">
        <v>954</v>
      </c>
      <c r="B1488" s="477"/>
      <c r="C1488" s="674"/>
      <c r="D1488" s="478" t="s">
        <v>955</v>
      </c>
      <c r="E1488" s="479"/>
      <c r="F1488" s="479"/>
      <c r="G1488" s="479"/>
      <c r="H1488" s="582" t="s">
        <v>715</v>
      </c>
      <c r="I1488" s="480" t="s">
        <v>2935</v>
      </c>
      <c r="J1488" s="479"/>
      <c r="K1488" s="479"/>
      <c r="L1488" s="560"/>
      <c r="M1488" s="671" t="s">
        <v>4990</v>
      </c>
      <c r="N1488" s="680" t="str">
        <f>IF(AND(ISTEXT($A1488), ISERROR($A1488+0)), HYPERLINK($BF1488, "Images"), "")</f>
        <v>Images</v>
      </c>
      <c r="O1488" s="662" t="s">
        <v>4971</v>
      </c>
      <c r="P1488" s="482"/>
      <c r="Q1488" s="483"/>
      <c r="R1488" s="483"/>
      <c r="S1488" s="484" t="s">
        <v>305</v>
      </c>
      <c r="T1488" s="508">
        <f t="shared" si="1151"/>
        <v>0</v>
      </c>
      <c r="U1488" s="225" t="str">
        <f>IF(NOT(ISNUMBER(G1488)), "", VLOOKUP(A1488,'Discount Lookup'!D:E,2,FALSE)*G1488)</f>
        <v/>
      </c>
      <c r="V1488" s="225" t="str">
        <f>IF(NOT(ISNUMBER(G1488)), "", VLOOKUP(A1488,'Discount Lookup'!G:H,2,FALSE)*G1488)</f>
        <v/>
      </c>
      <c r="W1488" s="508">
        <f t="shared" si="1152"/>
        <v>0</v>
      </c>
      <c r="X1488" s="508" t="str">
        <f t="shared" si="1153"/>
        <v>Green needles, White tips</v>
      </c>
      <c r="Y1488" s="509" t="b">
        <f t="shared" si="1154"/>
        <v>0</v>
      </c>
      <c r="Z1488" s="510">
        <f t="shared" si="1155"/>
        <v>0</v>
      </c>
      <c r="AA1488" s="511"/>
      <c r="AB1488" s="511" t="str">
        <f t="shared" si="1156"/>
        <v/>
      </c>
      <c r="AC1488" s="698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698"/>
      <c r="AE1488" s="631" t="str">
        <f t="shared" si="1157"/>
        <v/>
      </c>
      <c r="AF1488" s="699" t="str">
        <f t="shared" si="1158"/>
        <v/>
      </c>
      <c r="AG1488" s="699"/>
      <c r="AH1488" s="699"/>
      <c r="AI1488" s="512">
        <f>IF(H1488="credit",0,IF(AE1488="free",0,IF(AE1488="me",0,IF(G1488&gt;0,(VLOOKUP(A1488,'Discount Lookup'!J:K,2)*G1488),0))))</f>
        <v>0</v>
      </c>
      <c r="AJ1488" s="513" t="str">
        <f t="shared" ca="1" si="1159"/>
        <v/>
      </c>
      <c r="AK1488" s="700" t="str">
        <f t="shared" si="1160"/>
        <v/>
      </c>
      <c r="AL1488" s="700"/>
      <c r="AM1488" s="505" t="str">
        <f t="shared" si="1161"/>
        <v/>
      </c>
      <c r="AN1488" s="506"/>
      <c r="AO1488" s="507"/>
      <c r="AP1488" s="507"/>
      <c r="AQ1488" s="507"/>
      <c r="AR1488" s="507"/>
      <c r="AS1488" s="507"/>
      <c r="AT1488" s="507"/>
      <c r="AU1488" s="507"/>
      <c r="AV1488" s="225"/>
      <c r="AW1488" s="508"/>
      <c r="AX1488" s="225"/>
      <c r="AY1488" s="225"/>
      <c r="AZ1488" s="225"/>
      <c r="BA1488" s="225"/>
      <c r="BB1488" s="225"/>
      <c r="BC1488" s="56"/>
      <c r="BD1488" s="56"/>
      <c r="BE1488" s="56"/>
      <c r="BF1488" s="107" t="str">
        <f t="shared" si="1162"/>
        <v>https://www.google.com/search?tbm=isch&amp;q=Gentsch%20White%20Canadian%20Hemlock%20Tsuga%20canadensis%20%27Gentsch%20White%27</v>
      </c>
      <c r="BG1488" s="107" t="str">
        <f t="shared" si="1163"/>
        <v>G</v>
      </c>
      <c r="BH1488" s="254"/>
      <c r="BI1488" s="254"/>
    </row>
    <row r="1489" spans="1:61" customFormat="1" ht="15.75" x14ac:dyDescent="0.25">
      <c r="A1489" s="485">
        <v>10</v>
      </c>
      <c r="B1489" s="486" t="s">
        <v>291</v>
      </c>
      <c r="C1489" s="487" t="s">
        <v>3507</v>
      </c>
      <c r="D1489" s="488" t="s">
        <v>292</v>
      </c>
      <c r="E1489" s="489">
        <v>316.95</v>
      </c>
      <c r="F1489" s="516" t="s">
        <v>293</v>
      </c>
      <c r="G1489" s="232">
        <v>0</v>
      </c>
      <c r="H1489" s="658" t="str">
        <f>IF(G1489=0,"",IF(F1489="Buy",IF(G1489=1,"plant","plants"),IF(F1489&gt;0.01,"warranty","Error")))</f>
        <v/>
      </c>
      <c r="I1489" s="490">
        <f>IF(H1489="free",0,IF(H1489="credit",((E1489*(F1489))*G1489*-1),IF(F1489="Buy",(E1489*G1489),((E1489*(1-F1489))*G1489))))</f>
        <v>0</v>
      </c>
      <c r="J1489" s="490">
        <f>IF(H1489="warranty",0,(I1489*(_xlfn.SINGLE(SalesTaxPercentage))))</f>
        <v>0</v>
      </c>
      <c r="K1489" s="695">
        <f t="shared" ref="K1489" si="1164">I1489+J1489</f>
        <v>0</v>
      </c>
      <c r="L1489" s="695"/>
      <c r="M1489" s="659" t="str">
        <f>IF(AND(G1489&gt;0,E1489=0),"WARNING - no PRICE inserted",IF(H1489="free"," FREE ~ no charge this plant",IF(H1489="credit",CONCATENATE(" -$",ROUND(K1489*(1-T2GDiscount)*-1,2)," CREDIT after discount"),IF(T2GDiscount=0,"",IF(G1489=0,"",IF(F1489="Buy",CONCATENATE(" $",ROUND(K1489*(1-T2GDiscount),2)," with ",(T2GDiscount*100),"% discount"),CONCATENATE(" $",ROUND(K1489*(1-T2GDiscount),2)," with ",((T2GDiscount*100+F1489*100)-(T2GDiscount*100*F1489)),IF(F1489&gt;0,"% discounts",IF(NoWarrantyDiscount&gt;0,"% discounts","% discount")))))))))</f>
        <v/>
      </c>
      <c r="N1489" s="660"/>
      <c r="O1489" s="233"/>
      <c r="P1489" s="233"/>
      <c r="Q1489" s="233"/>
      <c r="R1489" s="233"/>
      <c r="S1489" s="233"/>
      <c r="T1489" s="508">
        <f t="shared" si="1151"/>
        <v>0</v>
      </c>
      <c r="U1489" s="225">
        <f>IF(NOT(ISNUMBER(G1489)), "", VLOOKUP(A1489,'Discount Lookup'!D:E,2,FALSE)*G1489)</f>
        <v>0</v>
      </c>
      <c r="V1489" s="225">
        <f>IF(NOT(ISNUMBER(G1489)), "", VLOOKUP(A1489,'Discount Lookup'!G:H,2,FALSE)*G1489)</f>
        <v>0</v>
      </c>
      <c r="W1489" s="508">
        <f t="shared" si="1152"/>
        <v>0</v>
      </c>
      <c r="X1489" s="508">
        <f t="shared" si="1153"/>
        <v>0</v>
      </c>
      <c r="Y1489" s="509" t="b">
        <f t="shared" si="1154"/>
        <v>0</v>
      </c>
      <c r="Z1489" s="510">
        <f t="shared" si="1155"/>
        <v>0</v>
      </c>
      <c r="AA1489" s="511"/>
      <c r="AB1489" s="511" t="str">
        <f t="shared" si="1156"/>
        <v/>
      </c>
      <c r="AC1489" s="698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698"/>
      <c r="AE1489" s="631" t="str">
        <f t="shared" si="1157"/>
        <v/>
      </c>
      <c r="AF1489" s="699" t="str">
        <f t="shared" si="1158"/>
        <v/>
      </c>
      <c r="AG1489" s="699"/>
      <c r="AH1489" s="699"/>
      <c r="AI1489" s="512">
        <f>IF(H1489="credit",0,IF(AE1489="free",0,IF(AE1489="me",0,IF(G1489&gt;0,(VLOOKUP(A1489,'Discount Lookup'!J:K,2)*G1489),0))))</f>
        <v>0</v>
      </c>
      <c r="AJ1489" s="513" t="str">
        <f t="shared" ca="1" si="1159"/>
        <v/>
      </c>
      <c r="AK1489" s="700" t="str">
        <f t="shared" si="1160"/>
        <v/>
      </c>
      <c r="AL1489" s="700"/>
      <c r="AM1489" s="505" t="str">
        <f t="shared" si="1161"/>
        <v/>
      </c>
      <c r="AN1489" s="506"/>
      <c r="AO1489" s="507"/>
      <c r="AP1489" s="507"/>
      <c r="AQ1489" s="507"/>
      <c r="AR1489" s="507"/>
      <c r="AS1489" s="507"/>
      <c r="AT1489" s="507"/>
      <c r="AU1489" s="507"/>
      <c r="AV1489" s="225"/>
      <c r="AW1489" s="508"/>
      <c r="AX1489" s="225"/>
      <c r="AY1489" s="225"/>
      <c r="AZ1489" s="225"/>
      <c r="BA1489" s="225"/>
      <c r="BB1489" s="225"/>
      <c r="BC1489" s="56"/>
      <c r="BD1489" s="56"/>
      <c r="BE1489" s="56"/>
      <c r="BF1489" s="107" t="str">
        <f t="shared" si="1162"/>
        <v>https://www.google.com/search?tbm=isch&amp;q=10%20G4</v>
      </c>
      <c r="BG1489" s="107" t="str">
        <f t="shared" si="1163"/>
        <v>G</v>
      </c>
      <c r="BH1489" s="254"/>
      <c r="BI1489" s="254"/>
    </row>
    <row r="1490" spans="1:61" customFormat="1" ht="16.5" thickBot="1" x14ac:dyDescent="0.3">
      <c r="A1490" s="672" t="s">
        <v>5122</v>
      </c>
      <c r="B1490" s="491"/>
      <c r="C1490" s="675"/>
      <c r="D1490" s="491"/>
      <c r="E1490" s="491"/>
      <c r="F1490" s="492"/>
      <c r="G1490" s="493"/>
      <c r="H1490" s="491"/>
      <c r="I1490" s="234"/>
      <c r="J1490" s="234"/>
      <c r="K1490" s="494"/>
      <c r="L1490" s="543"/>
      <c r="M1490" s="561"/>
      <c r="N1490" s="495"/>
      <c r="O1490" s="496"/>
      <c r="P1490" s="497"/>
      <c r="Q1490" s="495"/>
      <c r="R1490" s="495"/>
      <c r="S1490" s="277"/>
      <c r="T1490" s="508">
        <f t="shared" si="1151"/>
        <v>0</v>
      </c>
      <c r="U1490" s="225" t="str">
        <f>IF(NOT(ISNUMBER(G1490)), "", VLOOKUP(A1490,'Discount Lookup'!D:E,2,FALSE)*G1490)</f>
        <v/>
      </c>
      <c r="V1490" s="225" t="str">
        <f>IF(NOT(ISNUMBER(G1490)), "", VLOOKUP(A1490,'Discount Lookup'!G:H,2,FALSE)*G1490)</f>
        <v/>
      </c>
      <c r="W1490" s="508">
        <f t="shared" si="1152"/>
        <v>0</v>
      </c>
      <c r="X1490" s="508">
        <f t="shared" si="1153"/>
        <v>0</v>
      </c>
      <c r="Y1490" s="509" t="b">
        <f t="shared" si="1154"/>
        <v>0</v>
      </c>
      <c r="Z1490" s="510">
        <f t="shared" si="1155"/>
        <v>0</v>
      </c>
      <c r="AA1490" s="511"/>
      <c r="AB1490" s="511" t="str">
        <f t="shared" si="1156"/>
        <v/>
      </c>
      <c r="AC1490" s="698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698"/>
      <c r="AE1490" s="631" t="str">
        <f t="shared" si="1157"/>
        <v/>
      </c>
      <c r="AF1490" s="699" t="str">
        <f t="shared" si="1158"/>
        <v/>
      </c>
      <c r="AG1490" s="699"/>
      <c r="AH1490" s="699"/>
      <c r="AI1490" s="512">
        <f>IF(H1490="credit",0,IF(AE1490="free",0,IF(AE1490="me",0,IF(G1490&gt;0,(VLOOKUP(A1490,'Discount Lookup'!J:K,2)*G1490),0))))</f>
        <v>0</v>
      </c>
      <c r="AJ1490" s="513" t="str">
        <f t="shared" ca="1" si="1159"/>
        <v/>
      </c>
      <c r="AK1490" s="700" t="str">
        <f t="shared" si="1160"/>
        <v/>
      </c>
      <c r="AL1490" s="700"/>
      <c r="AM1490" s="505" t="str">
        <f t="shared" si="1161"/>
        <v/>
      </c>
      <c r="AN1490" s="506"/>
      <c r="AO1490" s="507"/>
      <c r="AP1490" s="507"/>
      <c r="AQ1490" s="507"/>
      <c r="AR1490" s="507"/>
      <c r="AS1490" s="507"/>
      <c r="AT1490" s="507"/>
      <c r="AU1490" s="507"/>
      <c r="AV1490" s="225"/>
      <c r="AW1490" s="508"/>
      <c r="AX1490" s="225"/>
      <c r="AY1490" s="225"/>
      <c r="AZ1490" s="225"/>
      <c r="BA1490" s="225"/>
      <c r="BB1490" s="225"/>
      <c r="BC1490" s="56"/>
      <c r="BD1490" s="56"/>
      <c r="BE1490" s="56"/>
      <c r="BF1490" s="107" t="str">
        <f t="shared" si="1162"/>
        <v>https://www.google.com/search?tbm=isch&amp;q=moist%20sites%F0%9F%92%A7BEST%2C%20Gentsch%20White%20features%20striking%20Creamy%20White-tipped%20foliage%20that%20intensifies%20in%20fall%20and%20winter.%20Slow%20growing%20</v>
      </c>
      <c r="BG1490" s="107" t="str">
        <f t="shared" si="1163"/>
        <v>m</v>
      </c>
      <c r="BH1490" s="254"/>
      <c r="BI1490" s="254"/>
    </row>
    <row r="1491" spans="1:61" customFormat="1" ht="18" x14ac:dyDescent="0.25">
      <c r="A1491" s="521" t="s">
        <v>2604</v>
      </c>
      <c r="B1491" s="477"/>
      <c r="C1491" s="674"/>
      <c r="D1491" s="478" t="s">
        <v>956</v>
      </c>
      <c r="E1491" s="479"/>
      <c r="F1491" s="479"/>
      <c r="G1491" s="479"/>
      <c r="H1491" s="582" t="s">
        <v>467</v>
      </c>
      <c r="I1491" s="480" t="s">
        <v>2605</v>
      </c>
      <c r="J1491" s="479"/>
      <c r="K1491" s="479"/>
      <c r="L1491" s="560"/>
      <c r="M1491" s="671" t="s">
        <v>4990</v>
      </c>
      <c r="N1491" s="680" t="str">
        <f>IF(AND(ISTEXT($A1491), ISERROR($A1491+0)), HYPERLINK($BF1491, "Images"), "")</f>
        <v>Images</v>
      </c>
      <c r="O1491" s="662" t="s">
        <v>4974</v>
      </c>
      <c r="P1491" s="482"/>
      <c r="Q1491" s="483"/>
      <c r="R1491" s="483"/>
      <c r="S1491" s="484"/>
      <c r="T1491" s="508">
        <f t="shared" si="1151"/>
        <v>0</v>
      </c>
      <c r="U1491" s="225" t="str">
        <f>IF(NOT(ISNUMBER(G1491)), "", VLOOKUP(A1491,'Discount Lookup'!D:E,2,FALSE)*G1491)</f>
        <v/>
      </c>
      <c r="V1491" s="225" t="str">
        <f>IF(NOT(ISNUMBER(G1491)), "", VLOOKUP(A1491,'Discount Lookup'!G:H,2,FALSE)*G1491)</f>
        <v/>
      </c>
      <c r="W1491" s="508">
        <f t="shared" si="1152"/>
        <v>0</v>
      </c>
      <c r="X1491" s="508" t="str">
        <f t="shared" si="1153"/>
        <v>Lavender-Pink with a darker blotch</v>
      </c>
      <c r="Y1491" s="509" t="b">
        <f t="shared" si="1154"/>
        <v>0</v>
      </c>
      <c r="Z1491" s="510">
        <f t="shared" si="1155"/>
        <v>0</v>
      </c>
      <c r="AA1491" s="511"/>
      <c r="AB1491" s="511" t="str">
        <f t="shared" si="1156"/>
        <v/>
      </c>
      <c r="AC1491" s="698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698"/>
      <c r="AE1491" s="631" t="str">
        <f t="shared" si="1157"/>
        <v/>
      </c>
      <c r="AF1491" s="699" t="str">
        <f t="shared" si="1158"/>
        <v/>
      </c>
      <c r="AG1491" s="699"/>
      <c r="AH1491" s="699"/>
      <c r="AI1491" s="512">
        <f>IF(H1491="credit",0,IF(AE1491="free",0,IF(AE1491="me",0,IF(G1491&gt;0,(VLOOKUP(A1491,'Discount Lookup'!J:K,2)*G1491),0))))</f>
        <v>0</v>
      </c>
      <c r="AJ1491" s="513" t="str">
        <f t="shared" ca="1" si="1159"/>
        <v/>
      </c>
      <c r="AK1491" s="700" t="str">
        <f t="shared" si="1160"/>
        <v/>
      </c>
      <c r="AL1491" s="700"/>
      <c r="AM1491" s="505" t="str">
        <f t="shared" si="1161"/>
        <v/>
      </c>
      <c r="AN1491" s="506"/>
      <c r="AO1491" s="507"/>
      <c r="AP1491" s="507"/>
      <c r="AQ1491" s="507"/>
      <c r="AR1491" s="507"/>
      <c r="AS1491" s="507"/>
      <c r="AT1491" s="507"/>
      <c r="AU1491" s="507"/>
      <c r="AV1491" s="225"/>
      <c r="AW1491" s="508"/>
      <c r="AX1491" s="225"/>
      <c r="AY1491" s="225"/>
      <c r="AZ1491" s="225"/>
      <c r="BA1491" s="225"/>
      <c r="BB1491" s="225"/>
      <c r="BC1491" s="56"/>
      <c r="BD1491" s="56"/>
      <c r="BE1491" s="56"/>
      <c r="BF1491" s="107" t="str">
        <f t="shared" si="1162"/>
        <v>https://www.google.com/search?tbm=isch&amp;q=George%20Tabor%20Azalea%20Rhod.%20%27George%20Tabor%27</v>
      </c>
      <c r="BG1491" s="107" t="str">
        <f t="shared" si="1163"/>
        <v>G</v>
      </c>
      <c r="BH1491" s="254"/>
      <c r="BI1491" s="254"/>
    </row>
    <row r="1492" spans="1:61" customFormat="1" ht="15.75" x14ac:dyDescent="0.25">
      <c r="A1492" s="485">
        <v>3</v>
      </c>
      <c r="B1492" s="486" t="s">
        <v>291</v>
      </c>
      <c r="C1492" s="487"/>
      <c r="D1492" s="488" t="s">
        <v>298</v>
      </c>
      <c r="E1492" s="489">
        <v>25.95</v>
      </c>
      <c r="F1492" s="516" t="s">
        <v>293</v>
      </c>
      <c r="G1492" s="232">
        <v>0</v>
      </c>
      <c r="H1492" s="658" t="str">
        <f>IF(G1492=0,"",IF(F1492="Buy",IF(G1492=1,"plant","plants"),IF(F1492&gt;0.01,"warranty","Error")))</f>
        <v/>
      </c>
      <c r="I1492" s="490">
        <f>IF(H1492="free",0,IF(H1492="credit",((E1492*(F1492))*G1492*-1),IF(F1492="Buy",(E1492*G1492),((E1492*(1-F1492))*G1492))))</f>
        <v>0</v>
      </c>
      <c r="J1492" s="490">
        <f>IF(H1492="warranty",0,(I1492*(_xlfn.SINGLE(SalesTaxPercentage))))</f>
        <v>0</v>
      </c>
      <c r="K1492" s="695">
        <f t="shared" ref="K1492" si="1165">I1492+J1492</f>
        <v>0</v>
      </c>
      <c r="L1492" s="695"/>
      <c r="M1492" s="659" t="str">
        <f>IF(AND(G1492&gt;0,E1492=0),"WARNING - no PRICE inserted",IF(H1492="free"," FREE ~ no charge this plant",IF(H1492="credit",CONCATENATE(" -$",ROUND(K1492*(1-T2GDiscount)*-1,2)," CREDIT after discount"),IF(T2GDiscount=0,"",IF(G1492=0,"",IF(F1492="Buy",CONCATENATE(" $",ROUND(K1492*(1-T2GDiscount),2)," with ",(T2GDiscount*100),"% discount"),CONCATENATE(" $",ROUND(K1492*(1-T2GDiscount),2)," with ",((T2GDiscount*100+F1492*100)-(T2GDiscount*100*F1492)),IF(F1492&gt;0,"% discounts",IF(NoWarrantyDiscount&gt;0,"% discounts","% discount")))))))))</f>
        <v/>
      </c>
      <c r="N1492" s="660"/>
      <c r="O1492" s="233"/>
      <c r="P1492" s="233"/>
      <c r="Q1492" s="233"/>
      <c r="R1492" s="233"/>
      <c r="S1492" s="233"/>
      <c r="T1492" s="508">
        <f t="shared" si="1151"/>
        <v>0</v>
      </c>
      <c r="U1492" s="225">
        <f>IF(NOT(ISNUMBER(G1492)), "", VLOOKUP(A1492,'Discount Lookup'!D:E,2,FALSE)*G1492)</f>
        <v>0</v>
      </c>
      <c r="V1492" s="225">
        <f>IF(NOT(ISNUMBER(G1492)), "", VLOOKUP(A1492,'Discount Lookup'!G:H,2,FALSE)*G1492)</f>
        <v>0</v>
      </c>
      <c r="W1492" s="508">
        <f t="shared" si="1152"/>
        <v>0</v>
      </c>
      <c r="X1492" s="508">
        <f t="shared" si="1153"/>
        <v>0</v>
      </c>
      <c r="Y1492" s="509" t="b">
        <f t="shared" si="1154"/>
        <v>0</v>
      </c>
      <c r="Z1492" s="510">
        <f t="shared" si="1155"/>
        <v>0</v>
      </c>
      <c r="AA1492" s="511"/>
      <c r="AB1492" s="511" t="str">
        <f t="shared" si="1156"/>
        <v/>
      </c>
      <c r="AC1492" s="698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698"/>
      <c r="AE1492" s="631" t="str">
        <f t="shared" si="1157"/>
        <v/>
      </c>
      <c r="AF1492" s="699" t="str">
        <f t="shared" si="1158"/>
        <v/>
      </c>
      <c r="AG1492" s="699"/>
      <c r="AH1492" s="699"/>
      <c r="AI1492" s="512">
        <f>IF(H1492="credit",0,IF(AE1492="free",0,IF(AE1492="me",0,IF(G1492&gt;0,(VLOOKUP(A1492,'Discount Lookup'!J:K,2)*G1492),0))))</f>
        <v>0</v>
      </c>
      <c r="AJ1492" s="513" t="str">
        <f t="shared" ca="1" si="1159"/>
        <v/>
      </c>
      <c r="AK1492" s="700" t="str">
        <f t="shared" si="1160"/>
        <v/>
      </c>
      <c r="AL1492" s="700"/>
      <c r="AM1492" s="505" t="str">
        <f t="shared" si="1161"/>
        <v/>
      </c>
      <c r="AN1492" s="506"/>
      <c r="AO1492" s="507"/>
      <c r="AP1492" s="507"/>
      <c r="AQ1492" s="507"/>
      <c r="AR1492" s="507"/>
      <c r="AS1492" s="507"/>
      <c r="AT1492" s="507"/>
      <c r="AU1492" s="507"/>
      <c r="AV1492" s="225"/>
      <c r="AW1492" s="508"/>
      <c r="AX1492" s="225"/>
      <c r="AY1492" s="225"/>
      <c r="AZ1492" s="225"/>
      <c r="BA1492" s="225"/>
      <c r="BB1492" s="225"/>
      <c r="BC1492" s="56"/>
      <c r="BD1492" s="56"/>
      <c r="BE1492" s="56"/>
      <c r="BF1492" s="107" t="str">
        <f t="shared" si="1162"/>
        <v>https://www.google.com/search?tbm=isch&amp;q=3%20G1</v>
      </c>
      <c r="BG1492" s="107" t="str">
        <f t="shared" si="1163"/>
        <v>G</v>
      </c>
      <c r="BH1492" s="254"/>
      <c r="BI1492" s="254"/>
    </row>
    <row r="1493" spans="1:61" customFormat="1" ht="15.75" x14ac:dyDescent="0.25">
      <c r="A1493" s="485">
        <v>3</v>
      </c>
      <c r="B1493" s="486" t="s">
        <v>291</v>
      </c>
      <c r="C1493" s="487"/>
      <c r="D1493" s="488" t="s">
        <v>300</v>
      </c>
      <c r="E1493" s="489">
        <v>45.95</v>
      </c>
      <c r="F1493" s="516" t="s">
        <v>293</v>
      </c>
      <c r="G1493" s="232">
        <v>0</v>
      </c>
      <c r="H1493" s="658" t="str">
        <f>IF(G1493=0,"",IF(F1493="Buy",IF(G1493=1,"plant","plants"),IF(F1493&gt;0.01,"warranty","Error")))</f>
        <v/>
      </c>
      <c r="I1493" s="490">
        <f>IF(H1493="free",0,IF(H1493="credit",((E1493*(F1493))*G1493*-1),IF(F1493="Buy",(E1493*G1493),((E1493*(1-F1493))*G1493))))</f>
        <v>0</v>
      </c>
      <c r="J1493" s="490">
        <f>IF(H1493="warranty",0,(I1493*(_xlfn.SINGLE(SalesTaxPercentage))))</f>
        <v>0</v>
      </c>
      <c r="K1493" s="695">
        <f t="shared" ref="K1493" si="1166">I1493+J1493</f>
        <v>0</v>
      </c>
      <c r="L1493" s="695"/>
      <c r="M1493" s="659" t="str">
        <f>IF(AND(G1493&gt;0,E1493=0),"WARNING - no PRICE inserted",IF(H1493="free"," FREE ~ no charge this plant",IF(H1493="credit",CONCATENATE(" -$",ROUND(K1493*(1-T2GDiscount)*-1,2)," CREDIT after discount"),IF(T2GDiscount=0,"",IF(G1493=0,"",IF(F1493="Buy",CONCATENATE(" $",ROUND(K1493*(1-T2GDiscount),2)," with ",(T2GDiscount*100),"% discount"),CONCATENATE(" $",ROUND(K1493*(1-T2GDiscount),2)," with ",((T2GDiscount*100+F1493*100)-(T2GDiscount*100*F1493)),IF(F1493&gt;0,"% discounts",IF(NoWarrantyDiscount&gt;0,"% discounts","% discount")))))))))</f>
        <v/>
      </c>
      <c r="N1493" s="660"/>
      <c r="O1493" s="233"/>
      <c r="P1493" s="233"/>
      <c r="Q1493" s="233"/>
      <c r="R1493" s="233"/>
      <c r="S1493" s="233"/>
      <c r="T1493" s="508">
        <f t="shared" si="1151"/>
        <v>0</v>
      </c>
      <c r="U1493" s="225">
        <f>IF(NOT(ISNUMBER(G1493)), "", VLOOKUP(A1493,'Discount Lookup'!D:E,2,FALSE)*G1493)</f>
        <v>0</v>
      </c>
      <c r="V1493" s="225">
        <f>IF(NOT(ISNUMBER(G1493)), "", VLOOKUP(A1493,'Discount Lookup'!G:H,2,FALSE)*G1493)</f>
        <v>0</v>
      </c>
      <c r="W1493" s="508">
        <f t="shared" si="1152"/>
        <v>0</v>
      </c>
      <c r="X1493" s="508">
        <f t="shared" si="1153"/>
        <v>0</v>
      </c>
      <c r="Y1493" s="509" t="b">
        <f t="shared" si="1154"/>
        <v>0</v>
      </c>
      <c r="Z1493" s="510">
        <f t="shared" si="1155"/>
        <v>0</v>
      </c>
      <c r="AA1493" s="511"/>
      <c r="AB1493" s="511" t="str">
        <f t="shared" si="1156"/>
        <v/>
      </c>
      <c r="AC1493" s="698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698"/>
      <c r="AE1493" s="631" t="str">
        <f t="shared" si="1157"/>
        <v/>
      </c>
      <c r="AF1493" s="699" t="str">
        <f t="shared" si="1158"/>
        <v/>
      </c>
      <c r="AG1493" s="699"/>
      <c r="AH1493" s="699"/>
      <c r="AI1493" s="512">
        <f>IF(H1493="credit",0,IF(AE1493="free",0,IF(AE1493="me",0,IF(G1493&gt;0,(VLOOKUP(A1493,'Discount Lookup'!J:K,2)*G1493),0))))</f>
        <v>0</v>
      </c>
      <c r="AJ1493" s="513" t="str">
        <f t="shared" ca="1" si="1159"/>
        <v/>
      </c>
      <c r="AK1493" s="700" t="str">
        <f t="shared" si="1160"/>
        <v/>
      </c>
      <c r="AL1493" s="700"/>
      <c r="AM1493" s="505" t="str">
        <f t="shared" si="1161"/>
        <v/>
      </c>
      <c r="AN1493" s="506"/>
      <c r="AO1493" s="507"/>
      <c r="AP1493" s="507"/>
      <c r="AQ1493" s="507"/>
      <c r="AR1493" s="507"/>
      <c r="AS1493" s="507"/>
      <c r="AT1493" s="507"/>
      <c r="AU1493" s="507"/>
      <c r="AV1493" s="225"/>
      <c r="AW1493" s="508"/>
      <c r="AX1493" s="225"/>
      <c r="AY1493" s="225"/>
      <c r="AZ1493" s="225"/>
      <c r="BA1493" s="225"/>
      <c r="BB1493" s="225"/>
      <c r="BC1493" s="56"/>
      <c r="BD1493" s="56"/>
      <c r="BE1493" s="56"/>
      <c r="BF1493" s="107" t="str">
        <f t="shared" si="1162"/>
        <v>https://www.google.com/search?tbm=isch&amp;q=3%20G6</v>
      </c>
      <c r="BG1493" s="107" t="str">
        <f t="shared" si="1163"/>
        <v>G</v>
      </c>
      <c r="BH1493" s="254"/>
      <c r="BI1493" s="254"/>
    </row>
    <row r="1494" spans="1:61" customFormat="1" ht="17.25" thickBot="1" x14ac:dyDescent="0.3">
      <c r="A1494" s="522" t="s">
        <v>2678</v>
      </c>
      <c r="B1494" s="491"/>
      <c r="C1494" s="675"/>
      <c r="D1494" s="491"/>
      <c r="E1494" s="491"/>
      <c r="F1494" s="492"/>
      <c r="G1494" s="493"/>
      <c r="H1494" s="491"/>
      <c r="I1494" s="234"/>
      <c r="J1494" s="234"/>
      <c r="K1494" s="494"/>
      <c r="L1494" s="543"/>
      <c r="M1494" s="561"/>
      <c r="N1494" s="495"/>
      <c r="O1494" s="496"/>
      <c r="P1494" s="497"/>
      <c r="Q1494" s="495"/>
      <c r="R1494" s="495"/>
      <c r="S1494" s="667" t="s">
        <v>4988</v>
      </c>
      <c r="T1494" s="508">
        <f t="shared" si="1151"/>
        <v>0</v>
      </c>
      <c r="U1494" s="225" t="str">
        <f>IF(NOT(ISNUMBER(G1494)), "", VLOOKUP(A1494,'Discount Lookup'!D:E,2,FALSE)*G1494)</f>
        <v/>
      </c>
      <c r="V1494" s="225" t="str">
        <f>IF(NOT(ISNUMBER(G1494)), "", VLOOKUP(A1494,'Discount Lookup'!G:H,2,FALSE)*G1494)</f>
        <v/>
      </c>
      <c r="W1494" s="508">
        <f t="shared" si="1152"/>
        <v>0</v>
      </c>
      <c r="X1494" s="508">
        <f t="shared" si="1153"/>
        <v>0</v>
      </c>
      <c r="Y1494" s="509" t="b">
        <f t="shared" si="1154"/>
        <v>0</v>
      </c>
      <c r="Z1494" s="510">
        <f t="shared" si="1155"/>
        <v>0</v>
      </c>
      <c r="AA1494" s="511"/>
      <c r="AB1494" s="511" t="str">
        <f t="shared" si="1156"/>
        <v/>
      </c>
      <c r="AC1494" s="698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698"/>
      <c r="AE1494" s="631" t="str">
        <f t="shared" si="1157"/>
        <v/>
      </c>
      <c r="AF1494" s="699" t="str">
        <f t="shared" si="1158"/>
        <v/>
      </c>
      <c r="AG1494" s="699"/>
      <c r="AH1494" s="699"/>
      <c r="AI1494" s="512">
        <f>IF(H1494="credit",0,IF(AE1494="free",0,IF(AE1494="me",0,IF(G1494&gt;0,(VLOOKUP(A1494,'Discount Lookup'!J:K,2)*G1494),0))))</f>
        <v>0</v>
      </c>
      <c r="AJ1494" s="513" t="str">
        <f t="shared" ca="1" si="1159"/>
        <v/>
      </c>
      <c r="AK1494" s="700" t="str">
        <f t="shared" si="1160"/>
        <v/>
      </c>
      <c r="AL1494" s="700"/>
      <c r="AM1494" s="505" t="str">
        <f t="shared" si="1161"/>
        <v/>
      </c>
      <c r="AN1494" s="506"/>
      <c r="AO1494" s="507"/>
      <c r="AP1494" s="507"/>
      <c r="AQ1494" s="507"/>
      <c r="AR1494" s="507"/>
      <c r="AS1494" s="507"/>
      <c r="AT1494" s="507"/>
      <c r="AU1494" s="507"/>
      <c r="AV1494" s="225"/>
      <c r="AW1494" s="508"/>
      <c r="AX1494" s="225"/>
      <c r="AY1494" s="225"/>
      <c r="AZ1494" s="225"/>
      <c r="BA1494" s="225"/>
      <c r="BB1494" s="225"/>
      <c r="BC1494" s="56"/>
      <c r="BD1494" s="56"/>
      <c r="BE1494" s="56"/>
      <c r="BF1494" s="107" t="str">
        <f t="shared" si="1162"/>
        <v>https://www.google.com/search?tbm=isch&amp;q=George%20Tabor%20is%20a%20classic%20Southern%20Indica%20hybrid%20known%20for%20its%20prolific%20display%20of%20very%20large%2C%20showy%20flowers%20in%20the%20spring%20</v>
      </c>
      <c r="BG1494" s="107" t="str">
        <f t="shared" si="1163"/>
        <v>G</v>
      </c>
      <c r="BH1494" s="254"/>
      <c r="BI1494" s="254"/>
    </row>
    <row r="1495" spans="1:61" customFormat="1" ht="18" x14ac:dyDescent="0.25">
      <c r="A1495" s="523" t="s">
        <v>4610</v>
      </c>
      <c r="B1495" s="235"/>
      <c r="C1495" s="676"/>
      <c r="D1495" s="255" t="s">
        <v>4611</v>
      </c>
      <c r="E1495" s="236"/>
      <c r="F1495" s="236"/>
      <c r="G1495" s="236"/>
      <c r="H1495" s="582" t="s">
        <v>4612</v>
      </c>
      <c r="I1495" s="498" t="s">
        <v>4613</v>
      </c>
      <c r="J1495" s="237"/>
      <c r="K1495" s="237"/>
      <c r="L1495" s="274"/>
      <c r="M1495" s="668" t="s">
        <v>4975</v>
      </c>
      <c r="N1495" s="681" t="str">
        <f>IF(AND(ISTEXT($A1495), ISERROR($A1495+0)), HYPERLINK($BF1495, "Images"), "")</f>
        <v>Images</v>
      </c>
      <c r="O1495" s="663" t="s">
        <v>4969</v>
      </c>
      <c r="P1495" s="253"/>
      <c r="Q1495" s="238"/>
      <c r="R1495" s="239"/>
      <c r="S1495" s="275"/>
      <c r="T1495" s="508">
        <f t="shared" si="1151"/>
        <v>0</v>
      </c>
      <c r="U1495" s="225" t="str">
        <f>IF(NOT(ISNUMBER(G1495)), "", VLOOKUP(A1495,'Discount Lookup'!D:E,2,FALSE)*G1495)</f>
        <v/>
      </c>
      <c r="V1495" s="225" t="str">
        <f>IF(NOT(ISNUMBER(G1495)), "", VLOOKUP(A1495,'Discount Lookup'!G:H,2,FALSE)*G1495)</f>
        <v/>
      </c>
      <c r="W1495" s="508">
        <f t="shared" si="1152"/>
        <v>0</v>
      </c>
      <c r="X1495" s="508" t="str">
        <f t="shared" si="1153"/>
        <v>Rich Blue, Pearly White eye</v>
      </c>
      <c r="Y1495" s="509" t="b">
        <f t="shared" si="1154"/>
        <v>0</v>
      </c>
      <c r="Z1495" s="510">
        <f t="shared" si="1155"/>
        <v>0</v>
      </c>
      <c r="AA1495" s="511"/>
      <c r="AB1495" s="511" t="str">
        <f t="shared" si="1156"/>
        <v/>
      </c>
      <c r="AC1495" s="698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698"/>
      <c r="AE1495" s="631" t="str">
        <f t="shared" si="1157"/>
        <v/>
      </c>
      <c r="AF1495" s="699" t="str">
        <f t="shared" si="1158"/>
        <v/>
      </c>
      <c r="AG1495" s="699"/>
      <c r="AH1495" s="699"/>
      <c r="AI1495" s="512">
        <f>IF(H1495="credit",0,IF(AE1495="free",0,IF(AE1495="me",0,IF(G1495&gt;0,(VLOOKUP(A1495,'Discount Lookup'!J:K,2)*G1495),0))))</f>
        <v>0</v>
      </c>
      <c r="AJ1495" s="513" t="str">
        <f t="shared" ca="1" si="1159"/>
        <v/>
      </c>
      <c r="AK1495" s="700" t="str">
        <f t="shared" si="1160"/>
        <v/>
      </c>
      <c r="AL1495" s="700"/>
      <c r="AM1495" s="505" t="str">
        <f t="shared" si="1161"/>
        <v/>
      </c>
      <c r="AN1495" s="506"/>
      <c r="AO1495" s="507"/>
      <c r="AP1495" s="507"/>
      <c r="AQ1495" s="507"/>
      <c r="AR1495" s="507"/>
      <c r="AS1495" s="507"/>
      <c r="AT1495" s="507"/>
      <c r="AU1495" s="507"/>
      <c r="AV1495" s="225"/>
      <c r="AW1495" s="508"/>
      <c r="AX1495" s="225"/>
      <c r="AY1495" s="225"/>
      <c r="AZ1495" s="225"/>
      <c r="BA1495" s="225"/>
      <c r="BB1495" s="225"/>
      <c r="BC1495" s="56"/>
      <c r="BD1495" s="56"/>
      <c r="BE1495" s="56"/>
      <c r="BF1495" s="107" t="str">
        <f t="shared" si="1162"/>
        <v>https://www.google.com/search?tbm=isch&amp;q=Georgia%20Blue%20Speedwell%20Veronica%20umbrosa%20%27Georgia%20Blue%27</v>
      </c>
      <c r="BG1495" s="107" t="str">
        <f t="shared" si="1163"/>
        <v>G</v>
      </c>
      <c r="BH1495" s="254"/>
      <c r="BI1495" s="254"/>
    </row>
    <row r="1496" spans="1:61" customFormat="1" ht="15.75" x14ac:dyDescent="0.25">
      <c r="A1496" s="276">
        <v>2</v>
      </c>
      <c r="B1496" s="240" t="s">
        <v>291</v>
      </c>
      <c r="C1496" s="241"/>
      <c r="D1496" s="242" t="s">
        <v>300</v>
      </c>
      <c r="E1496" s="243">
        <v>20.95</v>
      </c>
      <c r="F1496" s="517" t="s">
        <v>293</v>
      </c>
      <c r="G1496" s="232">
        <v>0</v>
      </c>
      <c r="H1496" s="661" t="str">
        <f>IF(G1496=0,"",IF(F1496="Buy",IF(G1496=1,"plant","plants"),IF(F1496&gt;0.01,"warranty","Error")))</f>
        <v/>
      </c>
      <c r="I1496" s="244">
        <f>IF(H1496="free",0,IF(H1496="credit",((E1496*(F1496))*G1496*-1),IF(F1496="Buy",(E1496*G1496),((E1496*(1-F1496))*G1496))))</f>
        <v>0</v>
      </c>
      <c r="J1496" s="244">
        <f>IF(H1496="warranty",0,(I1496*(_xlfn.SINGLE(SalesTaxPercentage))))</f>
        <v>0</v>
      </c>
      <c r="K1496" s="696">
        <f t="shared" ref="K1496" si="1167">I1496+J1496</f>
        <v>0</v>
      </c>
      <c r="L1496" s="696"/>
      <c r="M1496" s="659" t="str">
        <f>IF(AND(G1496&gt;0,E1496=0),"WARNING - no PRICE inserted",IF(H1496="free"," FREE ~ no charge this plant",IF(H1496="credit",CONCATENATE(" -$",ROUND(K1496*(1-T2GDiscount)*-1,2)," CREDIT after discount"),IF(T2GDiscount=0,"",IF(G1496=0,"",IF(F1496="Buy",CONCATENATE(" $",ROUND(K1496*(1-T2GDiscount),2)," with ",(T2GDiscount*100),"% discount"),CONCATENATE(" $",ROUND(K1496*(1-T2GDiscount),2)," with ",((T2GDiscount*100+F1496*100)-(T2GDiscount*100*F1496)),IF(F1496&gt;0,"% discounts",IF(NoWarrantyDiscount&gt;0,"% discounts","% discount")))))))))</f>
        <v/>
      </c>
      <c r="N1496" s="660"/>
      <c r="O1496" s="233"/>
      <c r="P1496" s="233"/>
      <c r="Q1496" s="233"/>
      <c r="R1496" s="233"/>
      <c r="S1496" s="233"/>
      <c r="T1496" s="508">
        <f t="shared" si="1151"/>
        <v>0</v>
      </c>
      <c r="U1496" s="225">
        <f>IF(NOT(ISNUMBER(G1496)), "", VLOOKUP(A1496,'Discount Lookup'!D:E,2,FALSE)*G1496)</f>
        <v>0</v>
      </c>
      <c r="V1496" s="225">
        <f>IF(NOT(ISNUMBER(G1496)), "", VLOOKUP(A1496,'Discount Lookup'!G:H,2,FALSE)*G1496)</f>
        <v>0</v>
      </c>
      <c r="W1496" s="508">
        <f t="shared" si="1152"/>
        <v>0</v>
      </c>
      <c r="X1496" s="508">
        <f t="shared" si="1153"/>
        <v>0</v>
      </c>
      <c r="Y1496" s="509" t="b">
        <f t="shared" si="1154"/>
        <v>0</v>
      </c>
      <c r="Z1496" s="510">
        <f t="shared" si="1155"/>
        <v>0</v>
      </c>
      <c r="AA1496" s="511"/>
      <c r="AB1496" s="511" t="str">
        <f t="shared" si="1156"/>
        <v/>
      </c>
      <c r="AC1496" s="698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698"/>
      <c r="AE1496" s="631" t="str">
        <f t="shared" si="1157"/>
        <v/>
      </c>
      <c r="AF1496" s="699" t="str">
        <f t="shared" si="1158"/>
        <v/>
      </c>
      <c r="AG1496" s="699"/>
      <c r="AH1496" s="699"/>
      <c r="AI1496" s="512">
        <f>IF(H1496="credit",0,IF(AE1496="free",0,IF(AE1496="me",0,IF(G1496&gt;0,(VLOOKUP(A1496,'Discount Lookup'!J:K,2)*G1496),0))))</f>
        <v>0</v>
      </c>
      <c r="AJ1496" s="513" t="str">
        <f t="shared" ca="1" si="1159"/>
        <v/>
      </c>
      <c r="AK1496" s="700" t="str">
        <f t="shared" si="1160"/>
        <v/>
      </c>
      <c r="AL1496" s="700"/>
      <c r="AM1496" s="505" t="str">
        <f t="shared" si="1161"/>
        <v/>
      </c>
      <c r="AN1496" s="506"/>
      <c r="AO1496" s="507"/>
      <c r="AP1496" s="507"/>
      <c r="AQ1496" s="507"/>
      <c r="AR1496" s="507"/>
      <c r="AS1496" s="507"/>
      <c r="AT1496" s="507"/>
      <c r="AU1496" s="507"/>
      <c r="AV1496" s="225"/>
      <c r="AW1496" s="508"/>
      <c r="AX1496" s="225"/>
      <c r="AY1496" s="225"/>
      <c r="AZ1496" s="225"/>
      <c r="BA1496" s="225"/>
      <c r="BB1496" s="225"/>
      <c r="BC1496" s="56"/>
      <c r="BD1496" s="56"/>
      <c r="BE1496" s="56"/>
      <c r="BF1496" s="107" t="str">
        <f t="shared" si="1162"/>
        <v>https://www.google.com/search?tbm=isch&amp;q=2%20G6</v>
      </c>
      <c r="BG1496" s="107" t="str">
        <f t="shared" si="1163"/>
        <v>G</v>
      </c>
      <c r="BH1496" s="254"/>
      <c r="BI1496" s="254"/>
    </row>
    <row r="1497" spans="1:61" customFormat="1" ht="17.25" thickBot="1" x14ac:dyDescent="0.3">
      <c r="A1497" s="524" t="s">
        <v>4614</v>
      </c>
      <c r="B1497" s="245"/>
      <c r="C1497" s="677"/>
      <c r="D1497" s="499"/>
      <c r="E1497" s="499"/>
      <c r="F1497" s="500"/>
      <c r="G1497" s="501"/>
      <c r="H1497" s="502"/>
      <c r="I1497" s="246"/>
      <c r="J1497" s="247"/>
      <c r="K1497" s="503"/>
      <c r="L1497" s="544"/>
      <c r="M1497" s="544"/>
      <c r="N1497" s="500"/>
      <c r="O1497" s="500"/>
      <c r="P1497" s="500"/>
      <c r="Q1497" s="500"/>
      <c r="R1497" s="500"/>
      <c r="S1497" s="669" t="s">
        <v>4980</v>
      </c>
      <c r="T1497" s="508">
        <f t="shared" si="1151"/>
        <v>0</v>
      </c>
      <c r="U1497" s="225" t="str">
        <f>IF(NOT(ISNUMBER(G1497)), "", VLOOKUP(A1497,'Discount Lookup'!D:E,2,FALSE)*G1497)</f>
        <v/>
      </c>
      <c r="V1497" s="225" t="str">
        <f>IF(NOT(ISNUMBER(G1497)), "", VLOOKUP(A1497,'Discount Lookup'!G:H,2,FALSE)*G1497)</f>
        <v/>
      </c>
      <c r="W1497" s="508">
        <f t="shared" si="1152"/>
        <v>0</v>
      </c>
      <c r="X1497" s="508">
        <f t="shared" si="1153"/>
        <v>0</v>
      </c>
      <c r="Y1497" s="509" t="b">
        <f t="shared" si="1154"/>
        <v>0</v>
      </c>
      <c r="Z1497" s="510">
        <f t="shared" si="1155"/>
        <v>0</v>
      </c>
      <c r="AA1497" s="511"/>
      <c r="AB1497" s="511" t="str">
        <f t="shared" si="1156"/>
        <v/>
      </c>
      <c r="AC1497" s="698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698"/>
      <c r="AE1497" s="631" t="str">
        <f t="shared" si="1157"/>
        <v/>
      </c>
      <c r="AF1497" s="699" t="str">
        <f t="shared" si="1158"/>
        <v/>
      </c>
      <c r="AG1497" s="699"/>
      <c r="AH1497" s="699"/>
      <c r="AI1497" s="512">
        <f>IF(H1497="credit",0,IF(AE1497="free",0,IF(AE1497="me",0,IF(G1497&gt;0,(VLOOKUP(A1497,'Discount Lookup'!J:K,2)*G1497),0))))</f>
        <v>0</v>
      </c>
      <c r="AJ1497" s="513" t="str">
        <f t="shared" ca="1" si="1159"/>
        <v/>
      </c>
      <c r="AK1497" s="700" t="str">
        <f t="shared" si="1160"/>
        <v/>
      </c>
      <c r="AL1497" s="700"/>
      <c r="AM1497" s="505" t="str">
        <f t="shared" si="1161"/>
        <v/>
      </c>
      <c r="AN1497" s="506"/>
      <c r="AO1497" s="507"/>
      <c r="AP1497" s="507"/>
      <c r="AQ1497" s="507"/>
      <c r="AR1497" s="507"/>
      <c r="AS1497" s="507"/>
      <c r="AT1497" s="507"/>
      <c r="AU1497" s="507"/>
      <c r="AV1497" s="225"/>
      <c r="AW1497" s="508"/>
      <c r="AX1497" s="225"/>
      <c r="AY1497" s="225"/>
      <c r="AZ1497" s="225"/>
      <c r="BA1497" s="225"/>
      <c r="BB1497" s="225"/>
      <c r="BC1497" s="56"/>
      <c r="BD1497" s="56"/>
      <c r="BE1497" s="56"/>
      <c r="BF1497" s="107" t="str">
        <f t="shared" si="1162"/>
        <v>https://www.google.com/search?tbm=isch&amp;q=Georgia%20Blue%20is%20notable%20for%20its%20vigorous%2C%20low-growing%20evergreen%20mat%20of%20foliage%20that%20turns%20a%20beautiful%20Bronze-Purple%20in%20cooler%20weather%20</v>
      </c>
      <c r="BG1497" s="107" t="str">
        <f t="shared" si="1163"/>
        <v>G</v>
      </c>
      <c r="BH1497" s="254"/>
      <c r="BI1497" s="254"/>
    </row>
    <row r="1498" spans="1:61" customFormat="1" ht="18" x14ac:dyDescent="0.25">
      <c r="A1498" s="521" t="s">
        <v>958</v>
      </c>
      <c r="B1498" s="477"/>
      <c r="C1498" s="674"/>
      <c r="D1498" s="478" t="s">
        <v>959</v>
      </c>
      <c r="E1498" s="479"/>
      <c r="F1498" s="479"/>
      <c r="G1498" s="479"/>
      <c r="H1498" s="582" t="s">
        <v>356</v>
      </c>
      <c r="I1498" s="480" t="s">
        <v>2023</v>
      </c>
      <c r="J1498" s="479"/>
      <c r="K1498" s="479"/>
      <c r="L1498" s="560"/>
      <c r="M1498" s="666" t="s">
        <v>4966</v>
      </c>
      <c r="N1498" s="680" t="str">
        <f>IF(AND(ISTEXT($A1498), ISERROR($A1498+0)), HYPERLINK($BF1498, "Images"), "")</f>
        <v>Images</v>
      </c>
      <c r="O1498" s="662" t="s">
        <v>4974</v>
      </c>
      <c r="P1498" s="482"/>
      <c r="Q1498" s="483"/>
      <c r="R1498" s="483"/>
      <c r="S1498" s="484"/>
      <c r="T1498" s="508">
        <f t="shared" si="1151"/>
        <v>0</v>
      </c>
      <c r="U1498" s="225" t="str">
        <f>IF(NOT(ISNUMBER(G1498)), "", VLOOKUP(A1498,'Discount Lookup'!D:E,2,FALSE)*G1498)</f>
        <v/>
      </c>
      <c r="V1498" s="225" t="str">
        <f>IF(NOT(ISNUMBER(G1498)), "", VLOOKUP(A1498,'Discount Lookup'!G:H,2,FALSE)*G1498)</f>
        <v/>
      </c>
      <c r="W1498" s="508">
        <f t="shared" si="1152"/>
        <v>0</v>
      </c>
      <c r="X1498" s="508" t="str">
        <f t="shared" si="1153"/>
        <v>Pure White bloom</v>
      </c>
      <c r="Y1498" s="509" t="b">
        <f t="shared" si="1154"/>
        <v>0</v>
      </c>
      <c r="Z1498" s="510">
        <f t="shared" si="1155"/>
        <v>0</v>
      </c>
      <c r="AA1498" s="511"/>
      <c r="AB1498" s="511" t="str">
        <f t="shared" si="1156"/>
        <v/>
      </c>
      <c r="AC1498" s="698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698"/>
      <c r="AE1498" s="631" t="str">
        <f t="shared" si="1157"/>
        <v/>
      </c>
      <c r="AF1498" s="699" t="str">
        <f t="shared" si="1158"/>
        <v/>
      </c>
      <c r="AG1498" s="699"/>
      <c r="AH1498" s="699"/>
      <c r="AI1498" s="512">
        <f>IF(H1498="credit",0,IF(AE1498="free",0,IF(AE1498="me",0,IF(G1498&gt;0,(VLOOKUP(A1498,'Discount Lookup'!J:K,2)*G1498),0))))</f>
        <v>0</v>
      </c>
      <c r="AJ1498" s="513" t="str">
        <f t="shared" ca="1" si="1159"/>
        <v/>
      </c>
      <c r="AK1498" s="700" t="str">
        <f t="shared" si="1160"/>
        <v/>
      </c>
      <c r="AL1498" s="700"/>
      <c r="AM1498" s="505" t="str">
        <f t="shared" si="1161"/>
        <v/>
      </c>
      <c r="AN1498" s="506"/>
      <c r="AO1498" s="507"/>
      <c r="AP1498" s="507"/>
      <c r="AQ1498" s="507"/>
      <c r="AR1498" s="507"/>
      <c r="AS1498" s="507"/>
      <c r="AT1498" s="507"/>
      <c r="AU1498" s="507"/>
      <c r="AV1498" s="225"/>
      <c r="AW1498" s="508"/>
      <c r="AX1498" s="225"/>
      <c r="AY1498" s="225"/>
      <c r="AZ1498" s="225"/>
      <c r="BA1498" s="225"/>
      <c r="BB1498" s="225"/>
      <c r="BC1498" s="56"/>
      <c r="BD1498" s="56"/>
      <c r="BE1498" s="56"/>
      <c r="BF1498" s="107" t="str">
        <f t="shared" si="1162"/>
        <v>https://www.google.com/search?tbm=isch&amp;q=GG%20Gerbing%20Azalea%20Rhod.%20%27Mrs.%20G.G.%20Gerbing%27</v>
      </c>
      <c r="BG1498" s="107" t="str">
        <f t="shared" si="1163"/>
        <v>G</v>
      </c>
      <c r="BH1498" s="254"/>
      <c r="BI1498" s="254"/>
    </row>
    <row r="1499" spans="1:61" customFormat="1" ht="15.75" x14ac:dyDescent="0.25">
      <c r="A1499" s="485">
        <v>3</v>
      </c>
      <c r="B1499" s="486" t="s">
        <v>291</v>
      </c>
      <c r="C1499" s="487" t="s">
        <v>960</v>
      </c>
      <c r="D1499" s="488" t="s">
        <v>300</v>
      </c>
      <c r="E1499" s="489">
        <v>45.95</v>
      </c>
      <c r="F1499" s="516" t="s">
        <v>293</v>
      </c>
      <c r="G1499" s="232">
        <v>0</v>
      </c>
      <c r="H1499" s="658" t="str">
        <f>IF(G1499=0,"",IF(F1499="Buy",IF(G1499=1,"plant","plants"),IF(F1499&gt;0.01,"warranty","Error")))</f>
        <v/>
      </c>
      <c r="I1499" s="490">
        <f>IF(H1499="free",0,IF(H1499="credit",((E1499*(F1499))*G1499*-1),IF(F1499="Buy",(E1499*G1499),((E1499*(1-F1499))*G1499))))</f>
        <v>0</v>
      </c>
      <c r="J1499" s="490">
        <f>IF(H1499="warranty",0,(I1499*(_xlfn.SINGLE(SalesTaxPercentage))))</f>
        <v>0</v>
      </c>
      <c r="K1499" s="695">
        <f t="shared" ref="K1499" si="1168">I1499+J1499</f>
        <v>0</v>
      </c>
      <c r="L1499" s="695"/>
      <c r="M1499" s="659" t="str">
        <f>IF(AND(G1499&gt;0,E1499=0),"WARNING - no PRICE inserted",IF(H1499="free"," FREE ~ no charge this plant",IF(H1499="credit",CONCATENATE(" -$",ROUND(K1499*(1-T2GDiscount)*-1,2)," CREDIT after discount"),IF(T2GDiscount=0,"",IF(G1499=0,"",IF(F1499="Buy",CONCATENATE(" $",ROUND(K1499*(1-T2GDiscount),2)," with ",(T2GDiscount*100),"% discount"),CONCATENATE(" $",ROUND(K1499*(1-T2GDiscount),2)," with ",((T2GDiscount*100+F1499*100)-(T2GDiscount*100*F1499)),IF(F1499&gt;0,"% discounts",IF(NoWarrantyDiscount&gt;0,"% discounts","% discount")))))))))</f>
        <v/>
      </c>
      <c r="N1499" s="660"/>
      <c r="O1499" s="233"/>
      <c r="P1499" s="233"/>
      <c r="Q1499" s="233"/>
      <c r="R1499" s="233"/>
      <c r="S1499" s="233"/>
      <c r="T1499" s="508">
        <f t="shared" si="1151"/>
        <v>0</v>
      </c>
      <c r="U1499" s="225">
        <f>IF(NOT(ISNUMBER(G1499)), "", VLOOKUP(A1499,'Discount Lookup'!D:E,2,FALSE)*G1499)</f>
        <v>0</v>
      </c>
      <c r="V1499" s="225">
        <f>IF(NOT(ISNUMBER(G1499)), "", VLOOKUP(A1499,'Discount Lookup'!G:H,2,FALSE)*G1499)</f>
        <v>0</v>
      </c>
      <c r="W1499" s="508">
        <f t="shared" si="1152"/>
        <v>0</v>
      </c>
      <c r="X1499" s="508">
        <f t="shared" si="1153"/>
        <v>0</v>
      </c>
      <c r="Y1499" s="509" t="b">
        <f t="shared" si="1154"/>
        <v>0</v>
      </c>
      <c r="Z1499" s="510">
        <f t="shared" si="1155"/>
        <v>0</v>
      </c>
      <c r="AA1499" s="511"/>
      <c r="AB1499" s="511" t="str">
        <f t="shared" si="1156"/>
        <v/>
      </c>
      <c r="AC1499" s="698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698"/>
      <c r="AE1499" s="631" t="str">
        <f t="shared" si="1157"/>
        <v/>
      </c>
      <c r="AF1499" s="699" t="str">
        <f t="shared" si="1158"/>
        <v/>
      </c>
      <c r="AG1499" s="699"/>
      <c r="AH1499" s="699"/>
      <c r="AI1499" s="512">
        <f>IF(H1499="credit",0,IF(AE1499="free",0,IF(AE1499="me",0,IF(G1499&gt;0,(VLOOKUP(A1499,'Discount Lookup'!J:K,2)*G1499),0))))</f>
        <v>0</v>
      </c>
      <c r="AJ1499" s="513" t="str">
        <f t="shared" ca="1" si="1159"/>
        <v/>
      </c>
      <c r="AK1499" s="700" t="str">
        <f t="shared" si="1160"/>
        <v/>
      </c>
      <c r="AL1499" s="700"/>
      <c r="AM1499" s="505" t="str">
        <f t="shared" si="1161"/>
        <v/>
      </c>
      <c r="AN1499" s="506"/>
      <c r="AO1499" s="507"/>
      <c r="AP1499" s="507"/>
      <c r="AQ1499" s="507"/>
      <c r="AR1499" s="507"/>
      <c r="AS1499" s="507"/>
      <c r="AT1499" s="507"/>
      <c r="AU1499" s="507"/>
      <c r="AV1499" s="225"/>
      <c r="AW1499" s="508"/>
      <c r="AX1499" s="225"/>
      <c r="AY1499" s="225"/>
      <c r="AZ1499" s="225"/>
      <c r="BA1499" s="225"/>
      <c r="BB1499" s="225"/>
      <c r="BC1499" s="56"/>
      <c r="BD1499" s="56"/>
      <c r="BE1499" s="56"/>
      <c r="BF1499" s="107" t="str">
        <f t="shared" si="1162"/>
        <v>https://www.google.com/search?tbm=isch&amp;q=3%20G6</v>
      </c>
      <c r="BG1499" s="107" t="str">
        <f t="shared" si="1163"/>
        <v>G</v>
      </c>
      <c r="BH1499" s="254"/>
      <c r="BI1499" s="254"/>
    </row>
    <row r="1500" spans="1:61" customFormat="1" ht="17.25" thickBot="1" x14ac:dyDescent="0.3">
      <c r="A1500" s="522" t="s">
        <v>2886</v>
      </c>
      <c r="B1500" s="491"/>
      <c r="C1500" s="675"/>
      <c r="D1500" s="491"/>
      <c r="E1500" s="491"/>
      <c r="F1500" s="492"/>
      <c r="G1500" s="493"/>
      <c r="H1500" s="491"/>
      <c r="I1500" s="234"/>
      <c r="J1500" s="234"/>
      <c r="K1500" s="494"/>
      <c r="L1500" s="543"/>
      <c r="M1500" s="561"/>
      <c r="N1500" s="495"/>
      <c r="O1500" s="496"/>
      <c r="P1500" s="497"/>
      <c r="Q1500" s="495"/>
      <c r="R1500" s="495"/>
      <c r="S1500" s="667" t="s">
        <v>4988</v>
      </c>
      <c r="T1500" s="508">
        <f t="shared" si="1151"/>
        <v>0</v>
      </c>
      <c r="U1500" s="225" t="str">
        <f>IF(NOT(ISNUMBER(G1500)), "", VLOOKUP(A1500,'Discount Lookup'!D:E,2,FALSE)*G1500)</f>
        <v/>
      </c>
      <c r="V1500" s="225" t="str">
        <f>IF(NOT(ISNUMBER(G1500)), "", VLOOKUP(A1500,'Discount Lookup'!G:H,2,FALSE)*G1500)</f>
        <v/>
      </c>
      <c r="W1500" s="508">
        <f t="shared" si="1152"/>
        <v>0</v>
      </c>
      <c r="X1500" s="508">
        <f t="shared" si="1153"/>
        <v>0</v>
      </c>
      <c r="Y1500" s="509" t="b">
        <f t="shared" si="1154"/>
        <v>0</v>
      </c>
      <c r="Z1500" s="510">
        <f t="shared" si="1155"/>
        <v>0</v>
      </c>
      <c r="AA1500" s="511"/>
      <c r="AB1500" s="511" t="str">
        <f t="shared" si="1156"/>
        <v/>
      </c>
      <c r="AC1500" s="698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698"/>
      <c r="AE1500" s="631" t="str">
        <f t="shared" si="1157"/>
        <v/>
      </c>
      <c r="AF1500" s="699" t="str">
        <f t="shared" si="1158"/>
        <v/>
      </c>
      <c r="AG1500" s="699"/>
      <c r="AH1500" s="699"/>
      <c r="AI1500" s="512">
        <f>IF(H1500="credit",0,IF(AE1500="free",0,IF(AE1500="me",0,IF(G1500&gt;0,(VLOOKUP(A1500,'Discount Lookup'!J:K,2)*G1500),0))))</f>
        <v>0</v>
      </c>
      <c r="AJ1500" s="513" t="str">
        <f t="shared" ca="1" si="1159"/>
        <v/>
      </c>
      <c r="AK1500" s="700" t="str">
        <f t="shared" si="1160"/>
        <v/>
      </c>
      <c r="AL1500" s="700"/>
      <c r="AM1500" s="505" t="str">
        <f t="shared" si="1161"/>
        <v/>
      </c>
      <c r="AN1500" s="506"/>
      <c r="AO1500" s="507"/>
      <c r="AP1500" s="507"/>
      <c r="AQ1500" s="507"/>
      <c r="AR1500" s="507"/>
      <c r="AS1500" s="507"/>
      <c r="AT1500" s="507"/>
      <c r="AU1500" s="507"/>
      <c r="AV1500" s="225"/>
      <c r="AW1500" s="508"/>
      <c r="AX1500" s="225"/>
      <c r="AY1500" s="225"/>
      <c r="AZ1500" s="225"/>
      <c r="BA1500" s="225"/>
      <c r="BB1500" s="225"/>
      <c r="BC1500" s="56"/>
      <c r="BD1500" s="56"/>
      <c r="BE1500" s="56"/>
      <c r="BF1500" s="107" t="str">
        <f t="shared" si="1162"/>
        <v>https://www.google.com/search?tbm=isch&amp;q=GG%20Gerbing%20Azalea%20is%20a%20vigorous%2C%20heat-tolerant%20Southern%20Indica%20cultivar%20known%20for%20its%20profuse%20blooms%20</v>
      </c>
      <c r="BG1500" s="107" t="str">
        <f t="shared" si="1163"/>
        <v>G</v>
      </c>
      <c r="BH1500" s="254"/>
      <c r="BI1500" s="254"/>
    </row>
    <row r="1501" spans="1:61" customFormat="1" ht="18" x14ac:dyDescent="0.25">
      <c r="A1501" s="521" t="s">
        <v>962</v>
      </c>
      <c r="B1501" s="477"/>
      <c r="C1501" s="674"/>
      <c r="D1501" s="478" t="s">
        <v>963</v>
      </c>
      <c r="E1501" s="479"/>
      <c r="F1501" s="479"/>
      <c r="G1501" s="479"/>
      <c r="H1501" s="582" t="s">
        <v>720</v>
      </c>
      <c r="I1501" s="480" t="s">
        <v>2606</v>
      </c>
      <c r="J1501" s="479"/>
      <c r="K1501" s="479"/>
      <c r="L1501" s="560"/>
      <c r="M1501" s="671" t="s">
        <v>4990</v>
      </c>
      <c r="N1501" s="680" t="str">
        <f>IF(AND(ISTEXT($A1501), ISERROR($A1501+0)), HYPERLINK($BF1501, "Images"), "")</f>
        <v>Images</v>
      </c>
      <c r="O1501" s="662" t="s">
        <v>4974</v>
      </c>
      <c r="P1501" s="482"/>
      <c r="Q1501" s="483"/>
      <c r="R1501" s="483"/>
      <c r="S1501" s="484"/>
      <c r="T1501" s="508">
        <f t="shared" si="1151"/>
        <v>0</v>
      </c>
      <c r="U1501" s="225" t="str">
        <f>IF(NOT(ISNUMBER(G1501)), "", VLOOKUP(A1501,'Discount Lookup'!D:E,2,FALSE)*G1501)</f>
        <v/>
      </c>
      <c r="V1501" s="225" t="str">
        <f>IF(NOT(ISNUMBER(G1501)), "", VLOOKUP(A1501,'Discount Lookup'!G:H,2,FALSE)*G1501)</f>
        <v/>
      </c>
      <c r="W1501" s="508">
        <f t="shared" si="1152"/>
        <v>0</v>
      </c>
      <c r="X1501" s="508" t="str">
        <f t="shared" si="1153"/>
        <v>Crimson-Red, vivid Red blotch</v>
      </c>
      <c r="Y1501" s="509" t="b">
        <f t="shared" si="1154"/>
        <v>0</v>
      </c>
      <c r="Z1501" s="510">
        <f t="shared" si="1155"/>
        <v>0</v>
      </c>
      <c r="AA1501" s="511"/>
      <c r="AB1501" s="511" t="str">
        <f t="shared" si="1156"/>
        <v/>
      </c>
      <c r="AC1501" s="698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698"/>
      <c r="AE1501" s="631" t="str">
        <f t="shared" si="1157"/>
        <v/>
      </c>
      <c r="AF1501" s="699" t="str">
        <f t="shared" si="1158"/>
        <v/>
      </c>
      <c r="AG1501" s="699"/>
      <c r="AH1501" s="699"/>
      <c r="AI1501" s="512">
        <f>IF(H1501="credit",0,IF(AE1501="free",0,IF(AE1501="me",0,IF(G1501&gt;0,(VLOOKUP(A1501,'Discount Lookup'!J:K,2)*G1501),0))))</f>
        <v>0</v>
      </c>
      <c r="AJ1501" s="513" t="str">
        <f t="shared" ca="1" si="1159"/>
        <v/>
      </c>
      <c r="AK1501" s="700" t="str">
        <f t="shared" si="1160"/>
        <v/>
      </c>
      <c r="AL1501" s="700"/>
      <c r="AM1501" s="505" t="str">
        <f t="shared" si="1161"/>
        <v/>
      </c>
      <c r="AN1501" s="506"/>
      <c r="AO1501" s="507"/>
      <c r="AP1501" s="507"/>
      <c r="AQ1501" s="507"/>
      <c r="AR1501" s="507"/>
      <c r="AS1501" s="507"/>
      <c r="AT1501" s="507"/>
      <c r="AU1501" s="507"/>
      <c r="AV1501" s="225"/>
      <c r="AW1501" s="508"/>
      <c r="AX1501" s="225"/>
      <c r="AY1501" s="225"/>
      <c r="AZ1501" s="225"/>
      <c r="BA1501" s="225"/>
      <c r="BB1501" s="225"/>
      <c r="BC1501" s="56"/>
      <c r="BD1501" s="56"/>
      <c r="BE1501" s="56"/>
      <c r="BF1501" s="107" t="str">
        <f t="shared" si="1162"/>
        <v>https://www.google.com/search?tbm=isch&amp;q=Girard%27s%20Crimson%20Azalea%20Rhod.%20%27Girard%27s%20Crimson%27</v>
      </c>
      <c r="BG1501" s="107" t="str">
        <f t="shared" si="1163"/>
        <v>G</v>
      </c>
      <c r="BH1501" s="254"/>
      <c r="BI1501" s="254"/>
    </row>
    <row r="1502" spans="1:61" customFormat="1" ht="15.75" x14ac:dyDescent="0.25">
      <c r="A1502" s="485">
        <v>3</v>
      </c>
      <c r="B1502" s="486" t="s">
        <v>291</v>
      </c>
      <c r="C1502" s="487" t="s">
        <v>3991</v>
      </c>
      <c r="D1502" s="488" t="s">
        <v>300</v>
      </c>
      <c r="E1502" s="489">
        <v>45.95</v>
      </c>
      <c r="F1502" s="516" t="s">
        <v>293</v>
      </c>
      <c r="G1502" s="232">
        <v>0</v>
      </c>
      <c r="H1502" s="658" t="str">
        <f>IF(G1502=0,"",IF(F1502="Buy",IF(G1502=1,"plant","plants"),IF(F1502&gt;0.01,"warranty","Error")))</f>
        <v/>
      </c>
      <c r="I1502" s="490">
        <f>IF(H1502="free",0,IF(H1502="credit",((E1502*(F1502))*G1502*-1),IF(F1502="Buy",(E1502*G1502),((E1502*(1-F1502))*G1502))))</f>
        <v>0</v>
      </c>
      <c r="J1502" s="490">
        <f>IF(H1502="warranty",0,(I1502*(_xlfn.SINGLE(SalesTaxPercentage))))</f>
        <v>0</v>
      </c>
      <c r="K1502" s="695">
        <f t="shared" ref="K1502" si="1169">I1502+J1502</f>
        <v>0</v>
      </c>
      <c r="L1502" s="695"/>
      <c r="M1502" s="659" t="str">
        <f>IF(AND(G1502&gt;0,E1502=0),"WARNING - no PRICE inserted",IF(H1502="free"," FREE ~ no charge this plant",IF(H1502="credit",CONCATENATE(" -$",ROUND(K1502*(1-T2GDiscount)*-1,2)," CREDIT after discount"),IF(T2GDiscount=0,"",IF(G1502=0,"",IF(F1502="Buy",CONCATENATE(" $",ROUND(K1502*(1-T2GDiscount),2)," with ",(T2GDiscount*100),"% discount"),CONCATENATE(" $",ROUND(K1502*(1-T2GDiscount),2)," with ",((T2GDiscount*100+F1502*100)-(T2GDiscount*100*F1502)),IF(F1502&gt;0,"% discounts",IF(NoWarrantyDiscount&gt;0,"% discounts","% discount")))))))))</f>
        <v/>
      </c>
      <c r="N1502" s="660"/>
      <c r="O1502" s="233"/>
      <c r="P1502" s="233"/>
      <c r="Q1502" s="233"/>
      <c r="R1502" s="233"/>
      <c r="S1502" s="233"/>
      <c r="T1502" s="508">
        <f t="shared" si="1151"/>
        <v>0</v>
      </c>
      <c r="U1502" s="225">
        <f>IF(NOT(ISNUMBER(G1502)), "", VLOOKUP(A1502,'Discount Lookup'!D:E,2,FALSE)*G1502)</f>
        <v>0</v>
      </c>
      <c r="V1502" s="225">
        <f>IF(NOT(ISNUMBER(G1502)), "", VLOOKUP(A1502,'Discount Lookup'!G:H,2,FALSE)*G1502)</f>
        <v>0</v>
      </c>
      <c r="W1502" s="508">
        <f t="shared" si="1152"/>
        <v>0</v>
      </c>
      <c r="X1502" s="508">
        <f t="shared" si="1153"/>
        <v>0</v>
      </c>
      <c r="Y1502" s="509" t="b">
        <f t="shared" si="1154"/>
        <v>0</v>
      </c>
      <c r="Z1502" s="510">
        <f t="shared" si="1155"/>
        <v>0</v>
      </c>
      <c r="AA1502" s="511"/>
      <c r="AB1502" s="511" t="str">
        <f t="shared" si="1156"/>
        <v/>
      </c>
      <c r="AC1502" s="698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698"/>
      <c r="AE1502" s="631" t="str">
        <f t="shared" si="1157"/>
        <v/>
      </c>
      <c r="AF1502" s="699" t="str">
        <f t="shared" si="1158"/>
        <v/>
      </c>
      <c r="AG1502" s="699"/>
      <c r="AH1502" s="699"/>
      <c r="AI1502" s="512">
        <f>IF(H1502="credit",0,IF(AE1502="free",0,IF(AE1502="me",0,IF(G1502&gt;0,(VLOOKUP(A1502,'Discount Lookup'!J:K,2)*G1502),0))))</f>
        <v>0</v>
      </c>
      <c r="AJ1502" s="513" t="str">
        <f t="shared" ca="1" si="1159"/>
        <v/>
      </c>
      <c r="AK1502" s="700" t="str">
        <f t="shared" si="1160"/>
        <v/>
      </c>
      <c r="AL1502" s="700"/>
      <c r="AM1502" s="505" t="str">
        <f t="shared" si="1161"/>
        <v/>
      </c>
      <c r="AN1502" s="506"/>
      <c r="AO1502" s="507"/>
      <c r="AP1502" s="507"/>
      <c r="AQ1502" s="507"/>
      <c r="AR1502" s="507"/>
      <c r="AS1502" s="507"/>
      <c r="AT1502" s="507"/>
      <c r="AU1502" s="507"/>
      <c r="AV1502" s="225"/>
      <c r="AW1502" s="508"/>
      <c r="AX1502" s="225"/>
      <c r="AY1502" s="225"/>
      <c r="AZ1502" s="225"/>
      <c r="BA1502" s="225"/>
      <c r="BB1502" s="225"/>
      <c r="BC1502" s="56"/>
      <c r="BD1502" s="56"/>
      <c r="BE1502" s="56"/>
      <c r="BF1502" s="107" t="str">
        <f t="shared" si="1162"/>
        <v>https://www.google.com/search?tbm=isch&amp;q=3%20G6</v>
      </c>
      <c r="BG1502" s="107" t="str">
        <f t="shared" si="1163"/>
        <v>G</v>
      </c>
      <c r="BH1502" s="254"/>
      <c r="BI1502" s="254"/>
    </row>
    <row r="1503" spans="1:61" customFormat="1" ht="17.25" thickBot="1" x14ac:dyDescent="0.3">
      <c r="A1503" s="522" t="s">
        <v>2607</v>
      </c>
      <c r="B1503" s="491"/>
      <c r="C1503" s="675"/>
      <c r="D1503" s="491"/>
      <c r="E1503" s="491"/>
      <c r="F1503" s="492"/>
      <c r="G1503" s="493"/>
      <c r="H1503" s="491"/>
      <c r="I1503" s="234"/>
      <c r="J1503" s="234"/>
      <c r="K1503" s="494"/>
      <c r="L1503" s="543"/>
      <c r="M1503" s="561"/>
      <c r="N1503" s="495"/>
      <c r="O1503" s="496"/>
      <c r="P1503" s="497"/>
      <c r="Q1503" s="495"/>
      <c r="R1503" s="495"/>
      <c r="S1503" s="667" t="s">
        <v>4988</v>
      </c>
      <c r="T1503" s="508">
        <f t="shared" si="1151"/>
        <v>0</v>
      </c>
      <c r="U1503" s="225" t="str">
        <f>IF(NOT(ISNUMBER(G1503)), "", VLOOKUP(A1503,'Discount Lookup'!D:E,2,FALSE)*G1503)</f>
        <v/>
      </c>
      <c r="V1503" s="225" t="str">
        <f>IF(NOT(ISNUMBER(G1503)), "", VLOOKUP(A1503,'Discount Lookup'!G:H,2,FALSE)*G1503)</f>
        <v/>
      </c>
      <c r="W1503" s="508">
        <f t="shared" si="1152"/>
        <v>0</v>
      </c>
      <c r="X1503" s="508">
        <f t="shared" si="1153"/>
        <v>0</v>
      </c>
      <c r="Y1503" s="509" t="b">
        <f t="shared" si="1154"/>
        <v>0</v>
      </c>
      <c r="Z1503" s="510">
        <f t="shared" si="1155"/>
        <v>0</v>
      </c>
      <c r="AA1503" s="511"/>
      <c r="AB1503" s="511" t="str">
        <f t="shared" si="1156"/>
        <v/>
      </c>
      <c r="AC1503" s="698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698"/>
      <c r="AE1503" s="631" t="str">
        <f t="shared" si="1157"/>
        <v/>
      </c>
      <c r="AF1503" s="699" t="str">
        <f t="shared" si="1158"/>
        <v/>
      </c>
      <c r="AG1503" s="699"/>
      <c r="AH1503" s="699"/>
      <c r="AI1503" s="512">
        <f>IF(H1503="credit",0,IF(AE1503="free",0,IF(AE1503="me",0,IF(G1503&gt;0,(VLOOKUP(A1503,'Discount Lookup'!J:K,2)*G1503),0))))</f>
        <v>0</v>
      </c>
      <c r="AJ1503" s="513" t="str">
        <f t="shared" ca="1" si="1159"/>
        <v/>
      </c>
      <c r="AK1503" s="700" t="str">
        <f t="shared" si="1160"/>
        <v/>
      </c>
      <c r="AL1503" s="700"/>
      <c r="AM1503" s="505" t="str">
        <f t="shared" si="1161"/>
        <v/>
      </c>
      <c r="AN1503" s="506"/>
      <c r="AO1503" s="507"/>
      <c r="AP1503" s="507"/>
      <c r="AQ1503" s="507"/>
      <c r="AR1503" s="507"/>
      <c r="AS1503" s="507"/>
      <c r="AT1503" s="507"/>
      <c r="AU1503" s="507"/>
      <c r="AV1503" s="225"/>
      <c r="AW1503" s="508"/>
      <c r="AX1503" s="225"/>
      <c r="AY1503" s="225"/>
      <c r="AZ1503" s="225"/>
      <c r="BA1503" s="225"/>
      <c r="BB1503" s="225"/>
      <c r="BC1503" s="56"/>
      <c r="BD1503" s="56"/>
      <c r="BE1503" s="56"/>
      <c r="BF1503" s="107" t="str">
        <f t="shared" si="1162"/>
        <v>https://www.google.com/search?tbm=isch&amp;q=Girard%27s%20Crimson%20h%20glossy%20deep%20Green%20foliage%20with%20Copper-Red%20winter%20tones.%20Large%20spring%20flowers.%20Cold-hardy%20</v>
      </c>
      <c r="BG1503" s="107" t="str">
        <f t="shared" si="1163"/>
        <v>G</v>
      </c>
      <c r="BH1503" s="254"/>
      <c r="BI1503" s="254"/>
    </row>
    <row r="1504" spans="1:61" customFormat="1" ht="18" x14ac:dyDescent="0.25">
      <c r="A1504" s="521" t="s">
        <v>5597</v>
      </c>
      <c r="B1504" s="477"/>
      <c r="C1504" s="674"/>
      <c r="D1504" s="478" t="s">
        <v>1577</v>
      </c>
      <c r="E1504" s="479"/>
      <c r="F1504" s="479"/>
      <c r="G1504" s="479"/>
      <c r="H1504" s="582" t="s">
        <v>474</v>
      </c>
      <c r="I1504" s="480" t="s">
        <v>2614</v>
      </c>
      <c r="J1504" s="479"/>
      <c r="K1504" s="479"/>
      <c r="L1504" s="560"/>
      <c r="M1504" s="666" t="s">
        <v>4966</v>
      </c>
      <c r="N1504" s="680" t="str">
        <f>IF(AND(ISTEXT($A1504), ISERROR($A1504+0)), HYPERLINK($BF1504, "Images"), "")</f>
        <v>Images</v>
      </c>
      <c r="O1504" s="662" t="s">
        <v>4974</v>
      </c>
      <c r="P1504" s="482"/>
      <c r="Q1504" s="483"/>
      <c r="R1504" s="483"/>
      <c r="S1504" s="484"/>
      <c r="T1504" s="508">
        <f t="shared" si="1151"/>
        <v>0</v>
      </c>
      <c r="U1504" s="225" t="str">
        <f>IF(NOT(ISNUMBER(G1504)), "", VLOOKUP(A1504,'Discount Lookup'!D:E,2,FALSE)*G1504)</f>
        <v/>
      </c>
      <c r="V1504" s="225" t="str">
        <f>IF(NOT(ISNUMBER(G1504)), "", VLOOKUP(A1504,'Discount Lookup'!G:H,2,FALSE)*G1504)</f>
        <v/>
      </c>
      <c r="W1504" s="508">
        <f t="shared" si="1152"/>
        <v>0</v>
      </c>
      <c r="X1504" s="508" t="str">
        <f t="shared" si="1153"/>
        <v>White, feint Green blotch</v>
      </c>
      <c r="Y1504" s="509" t="b">
        <f t="shared" si="1154"/>
        <v>0</v>
      </c>
      <c r="Z1504" s="510">
        <f t="shared" si="1155"/>
        <v>0</v>
      </c>
      <c r="AA1504" s="511"/>
      <c r="AB1504" s="511" t="str">
        <f t="shared" si="1156"/>
        <v/>
      </c>
      <c r="AC1504" s="698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698"/>
      <c r="AE1504" s="631" t="str">
        <f t="shared" si="1157"/>
        <v/>
      </c>
      <c r="AF1504" s="699" t="str">
        <f t="shared" si="1158"/>
        <v/>
      </c>
      <c r="AG1504" s="699"/>
      <c r="AH1504" s="699"/>
      <c r="AI1504" s="512">
        <f>IF(H1504="credit",0,IF(AE1504="free",0,IF(AE1504="me",0,IF(G1504&gt;0,(VLOOKUP(A1504,'Discount Lookup'!J:K,2)*G1504),0))))</f>
        <v>0</v>
      </c>
      <c r="AJ1504" s="513" t="str">
        <f t="shared" ca="1" si="1159"/>
        <v/>
      </c>
      <c r="AK1504" s="700" t="str">
        <f t="shared" si="1160"/>
        <v/>
      </c>
      <c r="AL1504" s="700"/>
      <c r="AM1504" s="505" t="str">
        <f t="shared" si="1161"/>
        <v/>
      </c>
      <c r="AN1504" s="506"/>
      <c r="AO1504" s="507"/>
      <c r="AP1504" s="507"/>
      <c r="AQ1504" s="507"/>
      <c r="AR1504" s="507"/>
      <c r="AS1504" s="507"/>
      <c r="AT1504" s="507"/>
      <c r="AU1504" s="507"/>
      <c r="AV1504" s="225"/>
      <c r="AW1504" s="508"/>
      <c r="AX1504" s="225"/>
      <c r="AY1504" s="225"/>
      <c r="AZ1504" s="225"/>
      <c r="BA1504" s="225"/>
      <c r="BB1504" s="225"/>
      <c r="BC1504" s="56"/>
      <c r="BD1504" s="56"/>
      <c r="BE1504" s="56"/>
      <c r="BF1504" s="107" t="str">
        <f t="shared" si="1162"/>
        <v>https://www.google.com/search?tbm=isch&amp;q=Glacier%20Azalea%20%28PW%C2%AE%29%20Rhod.%20%27Glacier%27</v>
      </c>
      <c r="BG1504" s="107" t="str">
        <f t="shared" si="1163"/>
        <v>G</v>
      </c>
      <c r="BH1504" s="254"/>
      <c r="BI1504" s="254"/>
    </row>
    <row r="1505" spans="1:61" customFormat="1" ht="15.75" x14ac:dyDescent="0.25">
      <c r="A1505" s="485">
        <v>3</v>
      </c>
      <c r="B1505" s="486" t="s">
        <v>291</v>
      </c>
      <c r="C1505" s="487" t="s">
        <v>2374</v>
      </c>
      <c r="D1505" s="488" t="s">
        <v>297</v>
      </c>
      <c r="E1505" s="489">
        <v>22.95</v>
      </c>
      <c r="F1505" s="516" t="s">
        <v>293</v>
      </c>
      <c r="G1505" s="232">
        <v>0</v>
      </c>
      <c r="H1505" s="658" t="str">
        <f>IF(G1505=0,"",IF(F1505="Buy",IF(G1505=1,"plant","plants"),IF(F1505&gt;0.01,"warranty","Error")))</f>
        <v/>
      </c>
      <c r="I1505" s="490">
        <f>IF(H1505="free",0,IF(H1505="credit",((E1505*(F1505))*G1505*-1),IF(F1505="Buy",(E1505*G1505),((E1505*(1-F1505))*G1505))))</f>
        <v>0</v>
      </c>
      <c r="J1505" s="490">
        <f>IF(H1505="warranty",0,(I1505*(_xlfn.SINGLE(SalesTaxPercentage))))</f>
        <v>0</v>
      </c>
      <c r="K1505" s="695">
        <f t="shared" ref="K1505" si="1170">I1505+J1505</f>
        <v>0</v>
      </c>
      <c r="L1505" s="695"/>
      <c r="M1505" s="659" t="str">
        <f>IF(AND(G1505&gt;0,E1505=0),"WARNING - no PRICE inserted",IF(H1505="free"," FREE ~ no charge this plant",IF(H1505="credit",CONCATENATE(" -$",ROUND(K1505*(1-T2GDiscount)*-1,2)," CREDIT after discount"),IF(T2GDiscount=0,"",IF(G1505=0,"",IF(F1505="Buy",CONCATENATE(" $",ROUND(K1505*(1-T2GDiscount),2)," with ",(T2GDiscount*100),"% discount"),CONCATENATE(" $",ROUND(K1505*(1-T2GDiscount),2)," with ",((T2GDiscount*100+F1505*100)-(T2GDiscount*100*F1505)),IF(F1505&gt;0,"% discounts",IF(NoWarrantyDiscount&gt;0,"% discounts","% discount")))))))))</f>
        <v/>
      </c>
      <c r="N1505" s="660"/>
      <c r="O1505" s="233"/>
      <c r="P1505" s="233"/>
      <c r="Q1505" s="233"/>
      <c r="R1505" s="233"/>
      <c r="S1505" s="233"/>
      <c r="T1505" s="508">
        <f t="shared" si="1151"/>
        <v>0</v>
      </c>
      <c r="U1505" s="225">
        <f>IF(NOT(ISNUMBER(G1505)), "", VLOOKUP(A1505,'Discount Lookup'!D:E,2,FALSE)*G1505)</f>
        <v>0</v>
      </c>
      <c r="V1505" s="225">
        <f>IF(NOT(ISNUMBER(G1505)), "", VLOOKUP(A1505,'Discount Lookup'!G:H,2,FALSE)*G1505)</f>
        <v>0</v>
      </c>
      <c r="W1505" s="508">
        <f t="shared" si="1152"/>
        <v>0</v>
      </c>
      <c r="X1505" s="508">
        <f t="shared" si="1153"/>
        <v>0</v>
      </c>
      <c r="Y1505" s="509" t="b">
        <f t="shared" si="1154"/>
        <v>0</v>
      </c>
      <c r="Z1505" s="510">
        <f t="shared" si="1155"/>
        <v>0</v>
      </c>
      <c r="AA1505" s="511"/>
      <c r="AB1505" s="511" t="str">
        <f t="shared" si="1156"/>
        <v/>
      </c>
      <c r="AC1505" s="698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698"/>
      <c r="AE1505" s="631" t="str">
        <f t="shared" si="1157"/>
        <v/>
      </c>
      <c r="AF1505" s="699" t="str">
        <f t="shared" si="1158"/>
        <v/>
      </c>
      <c r="AG1505" s="699"/>
      <c r="AH1505" s="699"/>
      <c r="AI1505" s="512">
        <f>IF(H1505="credit",0,IF(AE1505="free",0,IF(AE1505="me",0,IF(G1505&gt;0,(VLOOKUP(A1505,'Discount Lookup'!J:K,2)*G1505),0))))</f>
        <v>0</v>
      </c>
      <c r="AJ1505" s="513" t="str">
        <f t="shared" ca="1" si="1159"/>
        <v/>
      </c>
      <c r="AK1505" s="700" t="str">
        <f t="shared" si="1160"/>
        <v/>
      </c>
      <c r="AL1505" s="700"/>
      <c r="AM1505" s="505" t="str">
        <f t="shared" si="1161"/>
        <v/>
      </c>
      <c r="AN1505" s="506"/>
      <c r="AO1505" s="507"/>
      <c r="AP1505" s="507"/>
      <c r="AQ1505" s="507"/>
      <c r="AR1505" s="507"/>
      <c r="AS1505" s="507"/>
      <c r="AT1505" s="507"/>
      <c r="AU1505" s="507"/>
      <c r="AV1505" s="225"/>
      <c r="AW1505" s="508"/>
      <c r="AX1505" s="225"/>
      <c r="AY1505" s="225"/>
      <c r="AZ1505" s="225"/>
      <c r="BA1505" s="225"/>
      <c r="BB1505" s="225"/>
      <c r="BC1505" s="56"/>
      <c r="BD1505" s="56"/>
      <c r="BE1505" s="56"/>
      <c r="BF1505" s="107" t="str">
        <f t="shared" si="1162"/>
        <v>https://www.google.com/search?tbm=isch&amp;q=3%20G3</v>
      </c>
      <c r="BG1505" s="107" t="str">
        <f t="shared" si="1163"/>
        <v>G</v>
      </c>
      <c r="BH1505" s="254"/>
      <c r="BI1505" s="254"/>
    </row>
    <row r="1506" spans="1:61" customFormat="1" ht="17.25" thickBot="1" x14ac:dyDescent="0.3">
      <c r="A1506" s="522" t="s">
        <v>2912</v>
      </c>
      <c r="B1506" s="491"/>
      <c r="C1506" s="675"/>
      <c r="D1506" s="491"/>
      <c r="E1506" s="491"/>
      <c r="F1506" s="492"/>
      <c r="G1506" s="493"/>
      <c r="H1506" s="491"/>
      <c r="I1506" s="234"/>
      <c r="J1506" s="234"/>
      <c r="K1506" s="494"/>
      <c r="L1506" s="543"/>
      <c r="M1506" s="561"/>
      <c r="N1506" s="495"/>
      <c r="O1506" s="496"/>
      <c r="P1506" s="497"/>
      <c r="Q1506" s="495"/>
      <c r="R1506" s="495"/>
      <c r="S1506" s="667" t="s">
        <v>5013</v>
      </c>
      <c r="T1506" s="508">
        <f t="shared" si="1151"/>
        <v>0</v>
      </c>
      <c r="U1506" s="225" t="str">
        <f>IF(NOT(ISNUMBER(G1506)), "", VLOOKUP(A1506,'Discount Lookup'!D:E,2,FALSE)*G1506)</f>
        <v/>
      </c>
      <c r="V1506" s="225" t="str">
        <f>IF(NOT(ISNUMBER(G1506)), "", VLOOKUP(A1506,'Discount Lookup'!G:H,2,FALSE)*G1506)</f>
        <v/>
      </c>
      <c r="W1506" s="508">
        <f t="shared" si="1152"/>
        <v>0</v>
      </c>
      <c r="X1506" s="508">
        <f t="shared" si="1153"/>
        <v>0</v>
      </c>
      <c r="Y1506" s="509" t="b">
        <f t="shared" si="1154"/>
        <v>0</v>
      </c>
      <c r="Z1506" s="510">
        <f t="shared" si="1155"/>
        <v>0</v>
      </c>
      <c r="AA1506" s="511"/>
      <c r="AB1506" s="511" t="str">
        <f t="shared" si="1156"/>
        <v/>
      </c>
      <c r="AC1506" s="698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698"/>
      <c r="AE1506" s="631" t="str">
        <f t="shared" si="1157"/>
        <v/>
      </c>
      <c r="AF1506" s="699" t="str">
        <f t="shared" si="1158"/>
        <v/>
      </c>
      <c r="AG1506" s="699"/>
      <c r="AH1506" s="699"/>
      <c r="AI1506" s="512">
        <f>IF(H1506="credit",0,IF(AE1506="free",0,IF(AE1506="me",0,IF(G1506&gt;0,(VLOOKUP(A1506,'Discount Lookup'!J:K,2)*G1506),0))))</f>
        <v>0</v>
      </c>
      <c r="AJ1506" s="513" t="str">
        <f t="shared" ca="1" si="1159"/>
        <v/>
      </c>
      <c r="AK1506" s="700" t="str">
        <f t="shared" si="1160"/>
        <v/>
      </c>
      <c r="AL1506" s="700"/>
      <c r="AM1506" s="505" t="str">
        <f t="shared" si="1161"/>
        <v/>
      </c>
      <c r="AN1506" s="506"/>
      <c r="AO1506" s="507"/>
      <c r="AP1506" s="507"/>
      <c r="AQ1506" s="507"/>
      <c r="AR1506" s="507"/>
      <c r="AS1506" s="507"/>
      <c r="AT1506" s="507"/>
      <c r="AU1506" s="507"/>
      <c r="AV1506" s="225"/>
      <c r="AW1506" s="508"/>
      <c r="AX1506" s="225"/>
      <c r="AY1506" s="225"/>
      <c r="AZ1506" s="225"/>
      <c r="BA1506" s="225"/>
      <c r="BB1506" s="225"/>
      <c r="BC1506" s="56"/>
      <c r="BD1506" s="56"/>
      <c r="BE1506" s="56"/>
      <c r="BF1506" s="107" t="str">
        <f t="shared" si="1162"/>
        <v>https://www.google.com/search?tbm=isch&amp;q=Glacier%20Azalea%20has%20luminous%20spring%20blooms%20with%20a%20Green%20flush%2C%20tiered%20branching%2C%20and%20glossy%20foliage%20emerging%20Coppery-Bronze%20in%20spring%20</v>
      </c>
      <c r="BG1506" s="107" t="str">
        <f t="shared" si="1163"/>
        <v>G</v>
      </c>
      <c r="BH1506" s="254"/>
      <c r="BI1506" s="254"/>
    </row>
    <row r="1507" spans="1:61" customFormat="1" ht="18" x14ac:dyDescent="0.25">
      <c r="A1507" s="521" t="s">
        <v>964</v>
      </c>
      <c r="B1507" s="477"/>
      <c r="C1507" s="674"/>
      <c r="D1507" s="478" t="s">
        <v>965</v>
      </c>
      <c r="E1507" s="479"/>
      <c r="F1507" s="479"/>
      <c r="G1507" s="479"/>
      <c r="H1507" s="582" t="s">
        <v>303</v>
      </c>
      <c r="I1507" s="480" t="s">
        <v>2563</v>
      </c>
      <c r="J1507" s="479"/>
      <c r="K1507" s="479"/>
      <c r="L1507" s="560"/>
      <c r="M1507" s="671" t="s">
        <v>4990</v>
      </c>
      <c r="N1507" s="680" t="str">
        <f>IF(AND(ISTEXT($A1507), ISERROR($A1507+0)), HYPERLINK($BF1507, "Images"), "")</f>
        <v>Images</v>
      </c>
      <c r="O1507" s="662" t="s">
        <v>4967</v>
      </c>
      <c r="P1507" s="482"/>
      <c r="Q1507" s="483"/>
      <c r="R1507" s="483"/>
      <c r="S1507" s="484"/>
      <c r="T1507" s="508">
        <f t="shared" si="1151"/>
        <v>0</v>
      </c>
      <c r="U1507" s="225" t="str">
        <f>IF(NOT(ISNUMBER(G1507)), "", VLOOKUP(A1507,'Discount Lookup'!D:E,2,FALSE)*G1507)</f>
        <v/>
      </c>
      <c r="V1507" s="225" t="str">
        <f>IF(NOT(ISNUMBER(G1507)), "", VLOOKUP(A1507,'Discount Lookup'!G:H,2,FALSE)*G1507)</f>
        <v/>
      </c>
      <c r="W1507" s="508">
        <f t="shared" si="1152"/>
        <v>0</v>
      </c>
      <c r="X1507" s="508" t="str">
        <f t="shared" si="1153"/>
        <v>Deep Red Doublr bloom</v>
      </c>
      <c r="Y1507" s="509" t="b">
        <f t="shared" si="1154"/>
        <v>0</v>
      </c>
      <c r="Z1507" s="510">
        <f t="shared" si="1155"/>
        <v>0</v>
      </c>
      <c r="AA1507" s="511"/>
      <c r="AB1507" s="511" t="str">
        <f t="shared" si="1156"/>
        <v/>
      </c>
      <c r="AC1507" s="698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698"/>
      <c r="AE1507" s="631" t="str">
        <f t="shared" si="1157"/>
        <v/>
      </c>
      <c r="AF1507" s="699" t="str">
        <f t="shared" si="1158"/>
        <v/>
      </c>
      <c r="AG1507" s="699"/>
      <c r="AH1507" s="699"/>
      <c r="AI1507" s="512">
        <f>IF(H1507="credit",0,IF(AE1507="free",0,IF(AE1507="me",0,IF(G1507&gt;0,(VLOOKUP(A1507,'Discount Lookup'!J:K,2)*G1507),0))))</f>
        <v>0</v>
      </c>
      <c r="AJ1507" s="513" t="str">
        <f t="shared" ca="1" si="1159"/>
        <v/>
      </c>
      <c r="AK1507" s="700" t="str">
        <f t="shared" si="1160"/>
        <v/>
      </c>
      <c r="AL1507" s="700"/>
      <c r="AM1507" s="505" t="str">
        <f t="shared" si="1161"/>
        <v/>
      </c>
      <c r="AN1507" s="506"/>
      <c r="AO1507" s="507"/>
      <c r="AP1507" s="507"/>
      <c r="AQ1507" s="507"/>
      <c r="AR1507" s="507"/>
      <c r="AS1507" s="507"/>
      <c r="AT1507" s="507"/>
      <c r="AU1507" s="507"/>
      <c r="AV1507" s="225"/>
      <c r="AW1507" s="508"/>
      <c r="AX1507" s="225"/>
      <c r="AY1507" s="225"/>
      <c r="AZ1507" s="225"/>
      <c r="BA1507" s="225"/>
      <c r="BB1507" s="225"/>
      <c r="BC1507" s="56"/>
      <c r="BD1507" s="56"/>
      <c r="BE1507" s="56"/>
      <c r="BF1507" s="107" t="str">
        <f t="shared" si="1162"/>
        <v>https://www.google.com/search?tbm=isch&amp;q=Glen%2040%20Camellia%20Camellia%20japonica%20%27Glen%2040%27</v>
      </c>
      <c r="BG1507" s="107" t="str">
        <f t="shared" si="1163"/>
        <v>G</v>
      </c>
      <c r="BH1507" s="254"/>
      <c r="BI1507" s="254"/>
    </row>
    <row r="1508" spans="1:61" customFormat="1" ht="15.75" x14ac:dyDescent="0.25">
      <c r="A1508" s="485">
        <v>3</v>
      </c>
      <c r="B1508" s="486" t="s">
        <v>291</v>
      </c>
      <c r="C1508" s="487" t="s">
        <v>1084</v>
      </c>
      <c r="D1508" s="488" t="s">
        <v>312</v>
      </c>
      <c r="E1508" s="489">
        <v>39.950000000000003</v>
      </c>
      <c r="F1508" s="516" t="s">
        <v>293</v>
      </c>
      <c r="G1508" s="232">
        <v>0</v>
      </c>
      <c r="H1508" s="658" t="str">
        <f>IF(G1508=0,"",IF(F1508="Buy",IF(G1508=1,"plant","plants"),IF(F1508&gt;0.01,"warranty","Error")))</f>
        <v/>
      </c>
      <c r="I1508" s="490">
        <f>IF(H1508="free",0,IF(H1508="credit",((E1508*(F1508))*G1508*-1),IF(F1508="Buy",(E1508*G1508),((E1508*(1-F1508))*G1508))))</f>
        <v>0</v>
      </c>
      <c r="J1508" s="490">
        <f>IF(H1508="warranty",0,(I1508*(_xlfn.SINGLE(SalesTaxPercentage))))</f>
        <v>0</v>
      </c>
      <c r="K1508" s="695">
        <f t="shared" ref="K1508" si="1171">I1508+J1508</f>
        <v>0</v>
      </c>
      <c r="L1508" s="695"/>
      <c r="M1508" s="659" t="str">
        <f>IF(AND(G1508&gt;0,E1508=0),"WARNING - no PRICE inserted",IF(H1508="free"," FREE ~ no charge this plant",IF(H1508="credit",CONCATENATE(" -$",ROUND(K1508*(1-T2GDiscount)*-1,2)," CREDIT after discount"),IF(T2GDiscount=0,"",IF(G1508=0,"",IF(F1508="Buy",CONCATENATE(" $",ROUND(K1508*(1-T2GDiscount),2)," with ",(T2GDiscount*100),"% discount"),CONCATENATE(" $",ROUND(K1508*(1-T2GDiscount),2)," with ",((T2GDiscount*100+F1508*100)-(T2GDiscount*100*F1508)),IF(F1508&gt;0,"% discounts",IF(NoWarrantyDiscount&gt;0,"% discounts","% discount")))))))))</f>
        <v/>
      </c>
      <c r="N1508" s="660"/>
      <c r="O1508" s="233"/>
      <c r="P1508" s="233"/>
      <c r="Q1508" s="233"/>
      <c r="R1508" s="233"/>
      <c r="S1508" s="233"/>
      <c r="T1508" s="508">
        <f t="shared" si="1151"/>
        <v>0</v>
      </c>
      <c r="U1508" s="225">
        <f>IF(NOT(ISNUMBER(G1508)), "", VLOOKUP(A1508,'Discount Lookup'!D:E,2,FALSE)*G1508)</f>
        <v>0</v>
      </c>
      <c r="V1508" s="225">
        <f>IF(NOT(ISNUMBER(G1508)), "", VLOOKUP(A1508,'Discount Lookup'!G:H,2,FALSE)*G1508)</f>
        <v>0</v>
      </c>
      <c r="W1508" s="508">
        <f t="shared" si="1152"/>
        <v>0</v>
      </c>
      <c r="X1508" s="508">
        <f t="shared" si="1153"/>
        <v>0</v>
      </c>
      <c r="Y1508" s="509" t="b">
        <f t="shared" si="1154"/>
        <v>0</v>
      </c>
      <c r="Z1508" s="510">
        <f t="shared" si="1155"/>
        <v>0</v>
      </c>
      <c r="AA1508" s="511"/>
      <c r="AB1508" s="511" t="str">
        <f t="shared" si="1156"/>
        <v/>
      </c>
      <c r="AC1508" s="698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698"/>
      <c r="AE1508" s="631" t="str">
        <f t="shared" si="1157"/>
        <v/>
      </c>
      <c r="AF1508" s="699" t="str">
        <f t="shared" si="1158"/>
        <v/>
      </c>
      <c r="AG1508" s="699"/>
      <c r="AH1508" s="699"/>
      <c r="AI1508" s="512">
        <f>IF(H1508="credit",0,IF(AE1508="free",0,IF(AE1508="me",0,IF(G1508&gt;0,(VLOOKUP(A1508,'Discount Lookup'!J:K,2)*G1508),0))))</f>
        <v>0</v>
      </c>
      <c r="AJ1508" s="513" t="str">
        <f t="shared" ca="1" si="1159"/>
        <v/>
      </c>
      <c r="AK1508" s="700" t="str">
        <f t="shared" si="1160"/>
        <v/>
      </c>
      <c r="AL1508" s="700"/>
      <c r="AM1508" s="505" t="str">
        <f t="shared" si="1161"/>
        <v/>
      </c>
      <c r="AN1508" s="506"/>
      <c r="AO1508" s="507"/>
      <c r="AP1508" s="507"/>
      <c r="AQ1508" s="507"/>
      <c r="AR1508" s="507"/>
      <c r="AS1508" s="507"/>
      <c r="AT1508" s="507"/>
      <c r="AU1508" s="507"/>
      <c r="AV1508" s="225"/>
      <c r="AW1508" s="508"/>
      <c r="AX1508" s="225"/>
      <c r="AY1508" s="225"/>
      <c r="AZ1508" s="225"/>
      <c r="BA1508" s="225"/>
      <c r="BB1508" s="225"/>
      <c r="BC1508" s="56"/>
      <c r="BD1508" s="56"/>
      <c r="BE1508" s="56"/>
      <c r="BF1508" s="107" t="str">
        <f t="shared" si="1162"/>
        <v>https://www.google.com/search?tbm=isch&amp;q=3%20G2</v>
      </c>
      <c r="BG1508" s="107" t="str">
        <f t="shared" si="1163"/>
        <v>G</v>
      </c>
      <c r="BH1508" s="254"/>
      <c r="BI1508" s="254"/>
    </row>
    <row r="1509" spans="1:61" customFormat="1" ht="17.25" thickBot="1" x14ac:dyDescent="0.3">
      <c r="A1509" s="522" t="s">
        <v>2564</v>
      </c>
      <c r="B1509" s="491"/>
      <c r="C1509" s="675"/>
      <c r="D1509" s="491"/>
      <c r="E1509" s="491"/>
      <c r="F1509" s="492"/>
      <c r="G1509" s="493"/>
      <c r="H1509" s="491"/>
      <c r="I1509" s="234"/>
      <c r="J1509" s="234"/>
      <c r="K1509" s="494"/>
      <c r="L1509" s="543"/>
      <c r="M1509" s="561"/>
      <c r="N1509" s="495"/>
      <c r="O1509" s="496"/>
      <c r="P1509" s="497"/>
      <c r="Q1509" s="495"/>
      <c r="R1509" s="495"/>
      <c r="S1509" s="667" t="s">
        <v>4986</v>
      </c>
      <c r="T1509" s="508">
        <f t="shared" si="1151"/>
        <v>0</v>
      </c>
      <c r="U1509" s="225" t="str">
        <f>IF(NOT(ISNUMBER(G1509)), "", VLOOKUP(A1509,'Discount Lookup'!D:E,2,FALSE)*G1509)</f>
        <v/>
      </c>
      <c r="V1509" s="225" t="str">
        <f>IF(NOT(ISNUMBER(G1509)), "", VLOOKUP(A1509,'Discount Lookup'!G:H,2,FALSE)*G1509)</f>
        <v/>
      </c>
      <c r="W1509" s="508">
        <f t="shared" si="1152"/>
        <v>0</v>
      </c>
      <c r="X1509" s="508">
        <f t="shared" si="1153"/>
        <v>0</v>
      </c>
      <c r="Y1509" s="509" t="b">
        <f t="shared" si="1154"/>
        <v>0</v>
      </c>
      <c r="Z1509" s="510">
        <f t="shared" si="1155"/>
        <v>0</v>
      </c>
      <c r="AA1509" s="511"/>
      <c r="AB1509" s="511" t="str">
        <f t="shared" si="1156"/>
        <v/>
      </c>
      <c r="AC1509" s="698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698"/>
      <c r="AE1509" s="631" t="str">
        <f t="shared" si="1157"/>
        <v/>
      </c>
      <c r="AF1509" s="699" t="str">
        <f t="shared" si="1158"/>
        <v/>
      </c>
      <c r="AG1509" s="699"/>
      <c r="AH1509" s="699"/>
      <c r="AI1509" s="512">
        <f>IF(H1509="credit",0,IF(AE1509="free",0,IF(AE1509="me",0,IF(G1509&gt;0,(VLOOKUP(A1509,'Discount Lookup'!J:K,2)*G1509),0))))</f>
        <v>0</v>
      </c>
      <c r="AJ1509" s="513" t="str">
        <f t="shared" ca="1" si="1159"/>
        <v/>
      </c>
      <c r="AK1509" s="700" t="str">
        <f t="shared" si="1160"/>
        <v/>
      </c>
      <c r="AL1509" s="700"/>
      <c r="AM1509" s="505" t="str">
        <f t="shared" si="1161"/>
        <v/>
      </c>
      <c r="AN1509" s="506"/>
      <c r="AO1509" s="507"/>
      <c r="AP1509" s="507"/>
      <c r="AQ1509" s="507"/>
      <c r="AR1509" s="507"/>
      <c r="AS1509" s="507"/>
      <c r="AT1509" s="507"/>
      <c r="AU1509" s="507"/>
      <c r="AV1509" s="225"/>
      <c r="AW1509" s="508"/>
      <c r="AX1509" s="225"/>
      <c r="AY1509" s="225"/>
      <c r="AZ1509" s="225"/>
      <c r="BA1509" s="225"/>
      <c r="BB1509" s="225"/>
      <c r="BC1509" s="56"/>
      <c r="BD1509" s="56"/>
      <c r="BE1509" s="56"/>
      <c r="BF1509" s="107" t="str">
        <f t="shared" si="1162"/>
        <v>https://www.google.com/search?tbm=isch&amp;q=Glen%2040%20offers%20velvety%20red%20blooms%20from%20winter%20through%20mid-spring%2C%20with%20a%20dense%20habit%20and%20elegant%20foliage%20</v>
      </c>
      <c r="BG1509" s="107" t="str">
        <f t="shared" si="1163"/>
        <v>G</v>
      </c>
      <c r="BH1509" s="254"/>
      <c r="BI1509" s="254"/>
    </row>
    <row r="1510" spans="1:61" customFormat="1" ht="18" x14ac:dyDescent="0.25">
      <c r="A1510" s="521" t="s">
        <v>966</v>
      </c>
      <c r="B1510" s="477"/>
      <c r="C1510" s="674"/>
      <c r="D1510" s="478" t="s">
        <v>967</v>
      </c>
      <c r="E1510" s="479"/>
      <c r="F1510" s="479"/>
      <c r="G1510" s="479"/>
      <c r="H1510" s="582" t="s">
        <v>467</v>
      </c>
      <c r="I1510" s="480" t="s">
        <v>2109</v>
      </c>
      <c r="J1510" s="479"/>
      <c r="K1510" s="479"/>
      <c r="L1510" s="560"/>
      <c r="M1510" s="666" t="s">
        <v>4966</v>
      </c>
      <c r="N1510" s="680" t="str">
        <f>IF(AND(ISTEXT($A1510), ISERROR($A1510+0)), HYPERLINK($BF1510, "Images"), "")</f>
        <v>Images</v>
      </c>
      <c r="O1510" s="662" t="s">
        <v>4967</v>
      </c>
      <c r="P1510" s="482"/>
      <c r="Q1510" s="483"/>
      <c r="R1510" s="483"/>
      <c r="S1510" s="484"/>
      <c r="T1510" s="508">
        <f t="shared" si="1151"/>
        <v>0</v>
      </c>
      <c r="U1510" s="225" t="str">
        <f>IF(NOT(ISNUMBER(G1510)), "", VLOOKUP(A1510,'Discount Lookup'!D:E,2,FALSE)*G1510)</f>
        <v/>
      </c>
      <c r="V1510" s="225" t="str">
        <f>IF(NOT(ISNUMBER(G1510)), "", VLOOKUP(A1510,'Discount Lookup'!G:H,2,FALSE)*G1510)</f>
        <v/>
      </c>
      <c r="W1510" s="508">
        <f t="shared" si="1152"/>
        <v>0</v>
      </c>
      <c r="X1510" s="508" t="str">
        <f t="shared" si="1153"/>
        <v>Green foliage</v>
      </c>
      <c r="Y1510" s="509" t="b">
        <f t="shared" si="1154"/>
        <v>0</v>
      </c>
      <c r="Z1510" s="510">
        <f t="shared" si="1155"/>
        <v>0</v>
      </c>
      <c r="AA1510" s="511"/>
      <c r="AB1510" s="511" t="str">
        <f t="shared" si="1156"/>
        <v/>
      </c>
      <c r="AC1510" s="698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698"/>
      <c r="AE1510" s="631" t="str">
        <f t="shared" si="1157"/>
        <v/>
      </c>
      <c r="AF1510" s="699" t="str">
        <f t="shared" si="1158"/>
        <v/>
      </c>
      <c r="AG1510" s="699"/>
      <c r="AH1510" s="699"/>
      <c r="AI1510" s="512">
        <f>IF(H1510="credit",0,IF(AE1510="free",0,IF(AE1510="me",0,IF(G1510&gt;0,(VLOOKUP(A1510,'Discount Lookup'!J:K,2)*G1510),0))))</f>
        <v>0</v>
      </c>
      <c r="AJ1510" s="513" t="str">
        <f t="shared" ca="1" si="1159"/>
        <v/>
      </c>
      <c r="AK1510" s="700" t="str">
        <f t="shared" si="1160"/>
        <v/>
      </c>
      <c r="AL1510" s="700"/>
      <c r="AM1510" s="505" t="str">
        <f t="shared" si="1161"/>
        <v/>
      </c>
      <c r="AN1510" s="506"/>
      <c r="AO1510" s="507"/>
      <c r="AP1510" s="507"/>
      <c r="AQ1510" s="507"/>
      <c r="AR1510" s="507"/>
      <c r="AS1510" s="507"/>
      <c r="AT1510" s="507"/>
      <c r="AU1510" s="507"/>
      <c r="AV1510" s="225"/>
      <c r="AW1510" s="508"/>
      <c r="AX1510" s="225"/>
      <c r="AY1510" s="225"/>
      <c r="AZ1510" s="225"/>
      <c r="BA1510" s="225"/>
      <c r="BB1510" s="225"/>
      <c r="BC1510" s="56"/>
      <c r="BD1510" s="56"/>
      <c r="BE1510" s="56"/>
      <c r="BF1510" s="107" t="str">
        <f t="shared" si="1162"/>
        <v>https://www.google.com/search?tbm=isch&amp;q=Globosa%20Nana%20Cryptomeria%20Cryptomeria%20japonica%20%27Globosa%20Nana%27</v>
      </c>
      <c r="BG1510" s="107" t="str">
        <f t="shared" si="1163"/>
        <v>G</v>
      </c>
      <c r="BH1510" s="254"/>
      <c r="BI1510" s="254"/>
    </row>
    <row r="1511" spans="1:61" customFormat="1" ht="15.75" x14ac:dyDescent="0.25">
      <c r="A1511" s="485">
        <v>3</v>
      </c>
      <c r="B1511" s="486" t="s">
        <v>291</v>
      </c>
      <c r="C1511" s="487"/>
      <c r="D1511" s="488" t="s">
        <v>298</v>
      </c>
      <c r="E1511" s="489">
        <v>27.95</v>
      </c>
      <c r="F1511" s="516" t="s">
        <v>293</v>
      </c>
      <c r="G1511" s="232">
        <v>0</v>
      </c>
      <c r="H1511" s="658" t="str">
        <f>IF(G1511=0,"",IF(F1511="Buy",IF(G1511=1,"plant","plants"),IF(F1511&gt;0.01,"warranty","Error")))</f>
        <v/>
      </c>
      <c r="I1511" s="490">
        <f>IF(H1511="free",0,IF(H1511="credit",((E1511*(F1511))*G1511*-1),IF(F1511="Buy",(E1511*G1511),((E1511*(1-F1511))*G1511))))</f>
        <v>0</v>
      </c>
      <c r="J1511" s="490">
        <f>IF(H1511="warranty",0,(I1511*(_xlfn.SINGLE(SalesTaxPercentage))))</f>
        <v>0</v>
      </c>
      <c r="K1511" s="695">
        <f t="shared" ref="K1511" si="1172">I1511+J1511</f>
        <v>0</v>
      </c>
      <c r="L1511" s="695"/>
      <c r="M1511" s="659" t="str">
        <f>IF(AND(G1511&gt;0,E1511=0),"WARNING - no PRICE inserted",IF(H1511="free"," FREE ~ no charge this plant",IF(H1511="credit",CONCATENATE(" -$",ROUND(K1511*(1-T2GDiscount)*-1,2)," CREDIT after discount"),IF(T2GDiscount=0,"",IF(G1511=0,"",IF(F1511="Buy",CONCATENATE(" $",ROUND(K1511*(1-T2GDiscount),2)," with ",(T2GDiscount*100),"% discount"),CONCATENATE(" $",ROUND(K1511*(1-T2GDiscount),2)," with ",((T2GDiscount*100+F1511*100)-(T2GDiscount*100*F1511)),IF(F1511&gt;0,"% discounts",IF(NoWarrantyDiscount&gt;0,"% discounts","% discount")))))))))</f>
        <v/>
      </c>
      <c r="N1511" s="660"/>
      <c r="O1511" s="233"/>
      <c r="P1511" s="233"/>
      <c r="Q1511" s="233"/>
      <c r="R1511" s="233"/>
      <c r="S1511" s="233"/>
      <c r="T1511" s="508">
        <f t="shared" si="1151"/>
        <v>0</v>
      </c>
      <c r="U1511" s="225">
        <f>IF(NOT(ISNUMBER(G1511)), "", VLOOKUP(A1511,'Discount Lookup'!D:E,2,FALSE)*G1511)</f>
        <v>0</v>
      </c>
      <c r="V1511" s="225">
        <f>IF(NOT(ISNUMBER(G1511)), "", VLOOKUP(A1511,'Discount Lookup'!G:H,2,FALSE)*G1511)</f>
        <v>0</v>
      </c>
      <c r="W1511" s="508">
        <f t="shared" si="1152"/>
        <v>0</v>
      </c>
      <c r="X1511" s="508">
        <f t="shared" si="1153"/>
        <v>0</v>
      </c>
      <c r="Y1511" s="509" t="b">
        <f t="shared" si="1154"/>
        <v>0</v>
      </c>
      <c r="Z1511" s="510">
        <f t="shared" si="1155"/>
        <v>0</v>
      </c>
      <c r="AA1511" s="511"/>
      <c r="AB1511" s="511" t="str">
        <f t="shared" si="1156"/>
        <v/>
      </c>
      <c r="AC1511" s="698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698"/>
      <c r="AE1511" s="631" t="str">
        <f t="shared" si="1157"/>
        <v/>
      </c>
      <c r="AF1511" s="699" t="str">
        <f t="shared" si="1158"/>
        <v/>
      </c>
      <c r="AG1511" s="699"/>
      <c r="AH1511" s="699"/>
      <c r="AI1511" s="512">
        <f>IF(H1511="credit",0,IF(AE1511="free",0,IF(AE1511="me",0,IF(G1511&gt;0,(VLOOKUP(A1511,'Discount Lookup'!J:K,2)*G1511),0))))</f>
        <v>0</v>
      </c>
      <c r="AJ1511" s="513" t="str">
        <f t="shared" ca="1" si="1159"/>
        <v/>
      </c>
      <c r="AK1511" s="700" t="str">
        <f t="shared" si="1160"/>
        <v/>
      </c>
      <c r="AL1511" s="700"/>
      <c r="AM1511" s="505" t="str">
        <f t="shared" si="1161"/>
        <v/>
      </c>
      <c r="AN1511" s="506"/>
      <c r="AO1511" s="507"/>
      <c r="AP1511" s="507"/>
      <c r="AQ1511" s="507"/>
      <c r="AR1511" s="507"/>
      <c r="AS1511" s="507"/>
      <c r="AT1511" s="507"/>
      <c r="AU1511" s="507"/>
      <c r="AV1511" s="225"/>
      <c r="AW1511" s="508"/>
      <c r="AX1511" s="225"/>
      <c r="AY1511" s="225"/>
      <c r="AZ1511" s="225"/>
      <c r="BA1511" s="225"/>
      <c r="BB1511" s="225"/>
      <c r="BC1511" s="56"/>
      <c r="BD1511" s="56"/>
      <c r="BE1511" s="56"/>
      <c r="BF1511" s="107" t="str">
        <f t="shared" si="1162"/>
        <v>https://www.google.com/search?tbm=isch&amp;q=3%20G1</v>
      </c>
      <c r="BG1511" s="107" t="str">
        <f t="shared" si="1163"/>
        <v>G</v>
      </c>
      <c r="BH1511" s="254"/>
      <c r="BI1511" s="254"/>
    </row>
    <row r="1512" spans="1:61" customFormat="1" ht="15.75" x14ac:dyDescent="0.25">
      <c r="A1512" s="485">
        <v>3</v>
      </c>
      <c r="B1512" s="486" t="s">
        <v>291</v>
      </c>
      <c r="C1512" s="487" t="s">
        <v>439</v>
      </c>
      <c r="D1512" s="488" t="s">
        <v>312</v>
      </c>
      <c r="E1512" s="489">
        <v>31.95</v>
      </c>
      <c r="F1512" s="516" t="s">
        <v>293</v>
      </c>
      <c r="G1512" s="232">
        <v>0</v>
      </c>
      <c r="H1512" s="658" t="str">
        <f>IF(G1512=0,"",IF(F1512="Buy",IF(G1512=1,"plant","plants"),IF(F1512&gt;0.01,"warranty","Error")))</f>
        <v/>
      </c>
      <c r="I1512" s="490">
        <f>IF(H1512="free",0,IF(H1512="credit",((E1512*(F1512))*G1512*-1),IF(F1512="Buy",(E1512*G1512),((E1512*(1-F1512))*G1512))))</f>
        <v>0</v>
      </c>
      <c r="J1512" s="490">
        <f>IF(H1512="warranty",0,(I1512*(_xlfn.SINGLE(SalesTaxPercentage))))</f>
        <v>0</v>
      </c>
      <c r="K1512" s="695">
        <f t="shared" ref="K1512" si="1173">I1512+J1512</f>
        <v>0</v>
      </c>
      <c r="L1512" s="695"/>
      <c r="M1512" s="659" t="str">
        <f>IF(AND(G1512&gt;0,E1512=0),"WARNING - no PRICE inserted",IF(H1512="free"," FREE ~ no charge this plant",IF(H1512="credit",CONCATENATE(" -$",ROUND(K1512*(1-T2GDiscount)*-1,2)," CREDIT after discount"),IF(T2GDiscount=0,"",IF(G1512=0,"",IF(F1512="Buy",CONCATENATE(" $",ROUND(K1512*(1-T2GDiscount),2)," with ",(T2GDiscount*100),"% discount"),CONCATENATE(" $",ROUND(K1512*(1-T2GDiscount),2)," with ",((T2GDiscount*100+F1512*100)-(T2GDiscount*100*F1512)),IF(F1512&gt;0,"% discounts",IF(NoWarrantyDiscount&gt;0,"% discounts","% discount")))))))))</f>
        <v/>
      </c>
      <c r="N1512" s="660"/>
      <c r="O1512" s="233"/>
      <c r="P1512" s="233"/>
      <c r="Q1512" s="233"/>
      <c r="R1512" s="233"/>
      <c r="S1512" s="233"/>
      <c r="T1512" s="508">
        <f t="shared" si="1151"/>
        <v>0</v>
      </c>
      <c r="U1512" s="225">
        <f>IF(NOT(ISNUMBER(G1512)), "", VLOOKUP(A1512,'Discount Lookup'!D:E,2,FALSE)*G1512)</f>
        <v>0</v>
      </c>
      <c r="V1512" s="225">
        <f>IF(NOT(ISNUMBER(G1512)), "", VLOOKUP(A1512,'Discount Lookup'!G:H,2,FALSE)*G1512)</f>
        <v>0</v>
      </c>
      <c r="W1512" s="508">
        <f t="shared" si="1152"/>
        <v>0</v>
      </c>
      <c r="X1512" s="508">
        <f t="shared" si="1153"/>
        <v>0</v>
      </c>
      <c r="Y1512" s="509" t="b">
        <f t="shared" si="1154"/>
        <v>0</v>
      </c>
      <c r="Z1512" s="510">
        <f t="shared" si="1155"/>
        <v>0</v>
      </c>
      <c r="AA1512" s="511"/>
      <c r="AB1512" s="511" t="str">
        <f t="shared" si="1156"/>
        <v/>
      </c>
      <c r="AC1512" s="698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698"/>
      <c r="AE1512" s="631" t="str">
        <f t="shared" si="1157"/>
        <v/>
      </c>
      <c r="AF1512" s="699" t="str">
        <f t="shared" si="1158"/>
        <v/>
      </c>
      <c r="AG1512" s="699"/>
      <c r="AH1512" s="699"/>
      <c r="AI1512" s="512">
        <f>IF(H1512="credit",0,IF(AE1512="free",0,IF(AE1512="me",0,IF(G1512&gt;0,(VLOOKUP(A1512,'Discount Lookup'!J:K,2)*G1512),0))))</f>
        <v>0</v>
      </c>
      <c r="AJ1512" s="513" t="str">
        <f t="shared" ca="1" si="1159"/>
        <v/>
      </c>
      <c r="AK1512" s="700" t="str">
        <f t="shared" si="1160"/>
        <v/>
      </c>
      <c r="AL1512" s="700"/>
      <c r="AM1512" s="505" t="str">
        <f t="shared" si="1161"/>
        <v/>
      </c>
      <c r="AN1512" s="506"/>
      <c r="AO1512" s="507"/>
      <c r="AP1512" s="507"/>
      <c r="AQ1512" s="507"/>
      <c r="AR1512" s="507"/>
      <c r="AS1512" s="507"/>
      <c r="AT1512" s="507"/>
      <c r="AU1512" s="507"/>
      <c r="AV1512" s="225"/>
      <c r="AW1512" s="508"/>
      <c r="AX1512" s="225"/>
      <c r="AY1512" s="225"/>
      <c r="AZ1512" s="225"/>
      <c r="BA1512" s="225"/>
      <c r="BB1512" s="225"/>
      <c r="BC1512" s="56"/>
      <c r="BD1512" s="56"/>
      <c r="BE1512" s="56"/>
      <c r="BF1512" s="107" t="str">
        <f t="shared" si="1162"/>
        <v>https://www.google.com/search?tbm=isch&amp;q=3%20G2</v>
      </c>
      <c r="BG1512" s="107" t="str">
        <f t="shared" si="1163"/>
        <v>G</v>
      </c>
      <c r="BH1512" s="254"/>
      <c r="BI1512" s="254"/>
    </row>
    <row r="1513" spans="1:61" customFormat="1" ht="15.75" x14ac:dyDescent="0.25">
      <c r="A1513" s="485">
        <v>3</v>
      </c>
      <c r="B1513" s="486" t="s">
        <v>291</v>
      </c>
      <c r="C1513" s="487" t="s">
        <v>4615</v>
      </c>
      <c r="D1513" s="488" t="s">
        <v>299</v>
      </c>
      <c r="E1513" s="489">
        <v>33.950000000000003</v>
      </c>
      <c r="F1513" s="516" t="s">
        <v>293</v>
      </c>
      <c r="G1513" s="232">
        <v>0</v>
      </c>
      <c r="H1513" s="658" t="str">
        <f>IF(G1513=0,"",IF(F1513="Buy",IF(G1513=1,"plant","plants"),IF(F1513&gt;0.01,"warranty","Error")))</f>
        <v/>
      </c>
      <c r="I1513" s="490">
        <f>IF(H1513="free",0,IF(H1513="credit",((E1513*(F1513))*G1513*-1),IF(F1513="Buy",(E1513*G1513),((E1513*(1-F1513))*G1513))))</f>
        <v>0</v>
      </c>
      <c r="J1513" s="490">
        <f>IF(H1513="warranty",0,(I1513*(_xlfn.SINGLE(SalesTaxPercentage))))</f>
        <v>0</v>
      </c>
      <c r="K1513" s="695">
        <f t="shared" ref="K1513" si="1174">I1513+J1513</f>
        <v>0</v>
      </c>
      <c r="L1513" s="695"/>
      <c r="M1513" s="659" t="str">
        <f>IF(AND(G1513&gt;0,E1513=0),"WARNING - no PRICE inserted",IF(H1513="free"," FREE ~ no charge this plant",IF(H1513="credit",CONCATENATE(" -$",ROUND(K1513*(1-T2GDiscount)*-1,2)," CREDIT after discount"),IF(T2GDiscount=0,"",IF(G1513=0,"",IF(F1513="Buy",CONCATENATE(" $",ROUND(K1513*(1-T2GDiscount),2)," with ",(T2GDiscount*100),"% discount"),CONCATENATE(" $",ROUND(K1513*(1-T2GDiscount),2)," with ",((T2GDiscount*100+F1513*100)-(T2GDiscount*100*F1513)),IF(F1513&gt;0,"% discounts",IF(NoWarrantyDiscount&gt;0,"% discounts","% discount")))))))))</f>
        <v/>
      </c>
      <c r="N1513" s="660"/>
      <c r="O1513" s="233"/>
      <c r="P1513" s="233"/>
      <c r="Q1513" s="233"/>
      <c r="R1513" s="233"/>
      <c r="S1513" s="233"/>
      <c r="T1513" s="508">
        <f t="shared" si="1151"/>
        <v>0</v>
      </c>
      <c r="U1513" s="225">
        <f>IF(NOT(ISNUMBER(G1513)), "", VLOOKUP(A1513,'Discount Lookup'!D:E,2,FALSE)*G1513)</f>
        <v>0</v>
      </c>
      <c r="V1513" s="225">
        <f>IF(NOT(ISNUMBER(G1513)), "", VLOOKUP(A1513,'Discount Lookup'!G:H,2,FALSE)*G1513)</f>
        <v>0</v>
      </c>
      <c r="W1513" s="508">
        <f t="shared" si="1152"/>
        <v>0</v>
      </c>
      <c r="X1513" s="508">
        <f t="shared" si="1153"/>
        <v>0</v>
      </c>
      <c r="Y1513" s="509" t="b">
        <f t="shared" si="1154"/>
        <v>0</v>
      </c>
      <c r="Z1513" s="510">
        <f t="shared" si="1155"/>
        <v>0</v>
      </c>
      <c r="AA1513" s="511"/>
      <c r="AB1513" s="511" t="str">
        <f t="shared" si="1156"/>
        <v/>
      </c>
      <c r="AC1513" s="698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698"/>
      <c r="AE1513" s="631" t="str">
        <f t="shared" si="1157"/>
        <v/>
      </c>
      <c r="AF1513" s="699" t="str">
        <f t="shared" si="1158"/>
        <v/>
      </c>
      <c r="AG1513" s="699"/>
      <c r="AH1513" s="699"/>
      <c r="AI1513" s="512">
        <f>IF(H1513="credit",0,IF(AE1513="free",0,IF(AE1513="me",0,IF(G1513&gt;0,(VLOOKUP(A1513,'Discount Lookup'!J:K,2)*G1513),0))))</f>
        <v>0</v>
      </c>
      <c r="AJ1513" s="513" t="str">
        <f t="shared" ca="1" si="1159"/>
        <v/>
      </c>
      <c r="AK1513" s="700" t="str">
        <f t="shared" si="1160"/>
        <v/>
      </c>
      <c r="AL1513" s="700"/>
      <c r="AM1513" s="505" t="str">
        <f t="shared" si="1161"/>
        <v/>
      </c>
      <c r="AN1513" s="506"/>
      <c r="AO1513" s="507"/>
      <c r="AP1513" s="507"/>
      <c r="AQ1513" s="507"/>
      <c r="AR1513" s="507"/>
      <c r="AS1513" s="507"/>
      <c r="AT1513" s="507"/>
      <c r="AU1513" s="507"/>
      <c r="AV1513" s="225"/>
      <c r="AW1513" s="508"/>
      <c r="AX1513" s="225"/>
      <c r="AY1513" s="225"/>
      <c r="AZ1513" s="225"/>
      <c r="BA1513" s="225"/>
      <c r="BB1513" s="225"/>
      <c r="BC1513" s="56"/>
      <c r="BD1513" s="56"/>
      <c r="BE1513" s="56"/>
      <c r="BF1513" s="107" t="str">
        <f t="shared" si="1162"/>
        <v>https://www.google.com/search?tbm=isch&amp;q=3%20G5</v>
      </c>
      <c r="BG1513" s="107" t="str">
        <f t="shared" si="1163"/>
        <v>G</v>
      </c>
      <c r="BH1513" s="254"/>
      <c r="BI1513" s="254"/>
    </row>
    <row r="1514" spans="1:61" customFormat="1" ht="15.75" x14ac:dyDescent="0.25">
      <c r="A1514" s="485">
        <v>7</v>
      </c>
      <c r="B1514" s="486" t="s">
        <v>291</v>
      </c>
      <c r="C1514" s="487" t="s">
        <v>968</v>
      </c>
      <c r="D1514" s="488" t="s">
        <v>300</v>
      </c>
      <c r="E1514" s="489">
        <v>83.95</v>
      </c>
      <c r="F1514" s="516" t="s">
        <v>293</v>
      </c>
      <c r="G1514" s="232">
        <v>0</v>
      </c>
      <c r="H1514" s="658" t="str">
        <f>IF(G1514=0,"",IF(F1514="Buy",IF(G1514=1,"plant","plants"),IF(F1514&gt;0.01,"warranty","Error")))</f>
        <v/>
      </c>
      <c r="I1514" s="490">
        <f>IF(H1514="free",0,IF(H1514="credit",((E1514*(F1514))*G1514*-1),IF(F1514="Buy",(E1514*G1514),((E1514*(1-F1514))*G1514))))</f>
        <v>0</v>
      </c>
      <c r="J1514" s="490">
        <f>IF(H1514="warranty",0,(I1514*(_xlfn.SINGLE(SalesTaxPercentage))))</f>
        <v>0</v>
      </c>
      <c r="K1514" s="695">
        <f t="shared" ref="K1514" si="1175">I1514+J1514</f>
        <v>0</v>
      </c>
      <c r="L1514" s="695"/>
      <c r="M1514" s="659" t="str">
        <f>IF(AND(G1514&gt;0,E1514=0),"WARNING - no PRICE inserted",IF(H1514="free"," FREE ~ no charge this plant",IF(H1514="credit",CONCATENATE(" -$",ROUND(K1514*(1-T2GDiscount)*-1,2)," CREDIT after discount"),IF(T2GDiscount=0,"",IF(G1514=0,"",IF(F1514="Buy",CONCATENATE(" $",ROUND(K1514*(1-T2GDiscount),2)," with ",(T2GDiscount*100),"% discount"),CONCATENATE(" $",ROUND(K1514*(1-T2GDiscount),2)," with ",((T2GDiscount*100+F1514*100)-(T2GDiscount*100*F1514)),IF(F1514&gt;0,"% discounts",IF(NoWarrantyDiscount&gt;0,"% discounts","% discount")))))))))</f>
        <v/>
      </c>
      <c r="N1514" s="660"/>
      <c r="O1514" s="233"/>
      <c r="P1514" s="233"/>
      <c r="Q1514" s="233"/>
      <c r="R1514" s="233"/>
      <c r="S1514" s="233"/>
      <c r="T1514" s="508">
        <f t="shared" si="1151"/>
        <v>0</v>
      </c>
      <c r="U1514" s="225">
        <f>IF(NOT(ISNUMBER(G1514)), "", VLOOKUP(A1514,'Discount Lookup'!D:E,2,FALSE)*G1514)</f>
        <v>0</v>
      </c>
      <c r="V1514" s="225">
        <f>IF(NOT(ISNUMBER(G1514)), "", VLOOKUP(A1514,'Discount Lookup'!G:H,2,FALSE)*G1514)</f>
        <v>0</v>
      </c>
      <c r="W1514" s="508">
        <f t="shared" si="1152"/>
        <v>0</v>
      </c>
      <c r="X1514" s="508">
        <f t="shared" si="1153"/>
        <v>0</v>
      </c>
      <c r="Y1514" s="509" t="b">
        <f t="shared" si="1154"/>
        <v>0</v>
      </c>
      <c r="Z1514" s="510">
        <f t="shared" si="1155"/>
        <v>0</v>
      </c>
      <c r="AA1514" s="511"/>
      <c r="AB1514" s="511" t="str">
        <f t="shared" si="1156"/>
        <v/>
      </c>
      <c r="AC1514" s="698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698"/>
      <c r="AE1514" s="631" t="str">
        <f t="shared" si="1157"/>
        <v/>
      </c>
      <c r="AF1514" s="699" t="str">
        <f t="shared" si="1158"/>
        <v/>
      </c>
      <c r="AG1514" s="699"/>
      <c r="AH1514" s="699"/>
      <c r="AI1514" s="512">
        <f>IF(H1514="credit",0,IF(AE1514="free",0,IF(AE1514="me",0,IF(G1514&gt;0,(VLOOKUP(A1514,'Discount Lookup'!J:K,2)*G1514),0))))</f>
        <v>0</v>
      </c>
      <c r="AJ1514" s="513" t="str">
        <f t="shared" ca="1" si="1159"/>
        <v/>
      </c>
      <c r="AK1514" s="700" t="str">
        <f t="shared" si="1160"/>
        <v/>
      </c>
      <c r="AL1514" s="700"/>
      <c r="AM1514" s="505" t="str">
        <f t="shared" si="1161"/>
        <v/>
      </c>
      <c r="AN1514" s="506"/>
      <c r="AO1514" s="507"/>
      <c r="AP1514" s="507"/>
      <c r="AQ1514" s="507"/>
      <c r="AR1514" s="507"/>
      <c r="AS1514" s="507"/>
      <c r="AT1514" s="507"/>
      <c r="AU1514" s="507"/>
      <c r="AV1514" s="225"/>
      <c r="AW1514" s="508"/>
      <c r="AX1514" s="225"/>
      <c r="AY1514" s="225"/>
      <c r="AZ1514" s="225"/>
      <c r="BA1514" s="225"/>
      <c r="BB1514" s="225"/>
      <c r="BC1514" s="56"/>
      <c r="BD1514" s="56"/>
      <c r="BE1514" s="56"/>
      <c r="BF1514" s="107" t="str">
        <f t="shared" si="1162"/>
        <v>https://www.google.com/search?tbm=isch&amp;q=7%20G6</v>
      </c>
      <c r="BG1514" s="107" t="str">
        <f t="shared" si="1163"/>
        <v>G</v>
      </c>
      <c r="BH1514" s="254"/>
      <c r="BI1514" s="254"/>
    </row>
    <row r="1515" spans="1:61" customFormat="1" ht="15.75" x14ac:dyDescent="0.25">
      <c r="A1515" s="485">
        <v>7</v>
      </c>
      <c r="B1515" s="486" t="s">
        <v>291</v>
      </c>
      <c r="C1515" s="487" t="s">
        <v>3511</v>
      </c>
      <c r="D1515" s="488" t="s">
        <v>292</v>
      </c>
      <c r="E1515" s="489">
        <v>100.95</v>
      </c>
      <c r="F1515" s="516" t="s">
        <v>293</v>
      </c>
      <c r="G1515" s="232">
        <v>0</v>
      </c>
      <c r="H1515" s="658" t="str">
        <f>IF(G1515=0,"",IF(F1515="Buy",IF(G1515=1,"plant","plants"),IF(F1515&gt;0.01,"warranty","Error")))</f>
        <v/>
      </c>
      <c r="I1515" s="490">
        <f>IF(H1515="free",0,IF(H1515="credit",((E1515*(F1515))*G1515*-1),IF(F1515="Buy",(E1515*G1515),((E1515*(1-F1515))*G1515))))</f>
        <v>0</v>
      </c>
      <c r="J1515" s="490">
        <f>IF(H1515="warranty",0,(I1515*(_xlfn.SINGLE(SalesTaxPercentage))))</f>
        <v>0</v>
      </c>
      <c r="K1515" s="695">
        <f t="shared" ref="K1515" si="1176">I1515+J1515</f>
        <v>0</v>
      </c>
      <c r="L1515" s="695"/>
      <c r="M1515" s="659" t="str">
        <f>IF(AND(G1515&gt;0,E1515=0),"WARNING - no PRICE inserted",IF(H1515="free"," FREE ~ no charge this plant",IF(H1515="credit",CONCATENATE(" -$",ROUND(K1515*(1-T2GDiscount)*-1,2)," CREDIT after discount"),IF(T2GDiscount=0,"",IF(G1515=0,"",IF(F1515="Buy",CONCATENATE(" $",ROUND(K1515*(1-T2GDiscount),2)," with ",(T2GDiscount*100),"% discount"),CONCATENATE(" $",ROUND(K1515*(1-T2GDiscount),2)," with ",((T2GDiscount*100+F1515*100)-(T2GDiscount*100*F1515)),IF(F1515&gt;0,"% discounts",IF(NoWarrantyDiscount&gt;0,"% discounts","% discount")))))))))</f>
        <v/>
      </c>
      <c r="N1515" s="660"/>
      <c r="O1515" s="233"/>
      <c r="P1515" s="233"/>
      <c r="Q1515" s="233"/>
      <c r="R1515" s="233"/>
      <c r="S1515" s="233"/>
      <c r="T1515" s="508">
        <f t="shared" si="1151"/>
        <v>0</v>
      </c>
      <c r="U1515" s="225">
        <f>IF(NOT(ISNUMBER(G1515)), "", VLOOKUP(A1515,'Discount Lookup'!D:E,2,FALSE)*G1515)</f>
        <v>0</v>
      </c>
      <c r="V1515" s="225">
        <f>IF(NOT(ISNUMBER(G1515)), "", VLOOKUP(A1515,'Discount Lookup'!G:H,2,FALSE)*G1515)</f>
        <v>0</v>
      </c>
      <c r="W1515" s="508">
        <f t="shared" si="1152"/>
        <v>0</v>
      </c>
      <c r="X1515" s="508">
        <f t="shared" si="1153"/>
        <v>0</v>
      </c>
      <c r="Y1515" s="509" t="b">
        <f t="shared" si="1154"/>
        <v>0</v>
      </c>
      <c r="Z1515" s="510">
        <f t="shared" si="1155"/>
        <v>0</v>
      </c>
      <c r="AA1515" s="511"/>
      <c r="AB1515" s="511" t="str">
        <f t="shared" si="1156"/>
        <v/>
      </c>
      <c r="AC1515" s="698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698"/>
      <c r="AE1515" s="631" t="str">
        <f t="shared" si="1157"/>
        <v/>
      </c>
      <c r="AF1515" s="699" t="str">
        <f t="shared" si="1158"/>
        <v/>
      </c>
      <c r="AG1515" s="699"/>
      <c r="AH1515" s="699"/>
      <c r="AI1515" s="512">
        <f>IF(H1515="credit",0,IF(AE1515="free",0,IF(AE1515="me",0,IF(G1515&gt;0,(VLOOKUP(A1515,'Discount Lookup'!J:K,2)*G1515),0))))</f>
        <v>0</v>
      </c>
      <c r="AJ1515" s="513" t="str">
        <f t="shared" ca="1" si="1159"/>
        <v/>
      </c>
      <c r="AK1515" s="700" t="str">
        <f t="shared" si="1160"/>
        <v/>
      </c>
      <c r="AL1515" s="700"/>
      <c r="AM1515" s="505" t="str">
        <f t="shared" si="1161"/>
        <v/>
      </c>
      <c r="AN1515" s="506"/>
      <c r="AO1515" s="507"/>
      <c r="AP1515" s="507"/>
      <c r="AQ1515" s="507"/>
      <c r="AR1515" s="507"/>
      <c r="AS1515" s="507"/>
      <c r="AT1515" s="507"/>
      <c r="AU1515" s="507"/>
      <c r="AV1515" s="225"/>
      <c r="AW1515" s="508"/>
      <c r="AX1515" s="225"/>
      <c r="AY1515" s="225"/>
      <c r="AZ1515" s="225"/>
      <c r="BA1515" s="225"/>
      <c r="BB1515" s="225"/>
      <c r="BC1515" s="56"/>
      <c r="BD1515" s="56"/>
      <c r="BE1515" s="56"/>
      <c r="BF1515" s="107" t="str">
        <f t="shared" si="1162"/>
        <v>https://www.google.com/search?tbm=isch&amp;q=7%20G4</v>
      </c>
      <c r="BG1515" s="107" t="str">
        <f t="shared" si="1163"/>
        <v>G</v>
      </c>
      <c r="BH1515" s="254"/>
      <c r="BI1515" s="254"/>
    </row>
    <row r="1516" spans="1:61" customFormat="1" ht="16.5" thickBot="1" x14ac:dyDescent="0.3">
      <c r="A1516" s="522" t="s">
        <v>2389</v>
      </c>
      <c r="B1516" s="491"/>
      <c r="C1516" s="675"/>
      <c r="D1516" s="491"/>
      <c r="E1516" s="491"/>
      <c r="F1516" s="492"/>
      <c r="G1516" s="493"/>
      <c r="H1516" s="491"/>
      <c r="I1516" s="234"/>
      <c r="J1516" s="234"/>
      <c r="K1516" s="494"/>
      <c r="L1516" s="543"/>
      <c r="M1516" s="561"/>
      <c r="N1516" s="495"/>
      <c r="O1516" s="496"/>
      <c r="P1516" s="497"/>
      <c r="Q1516" s="495"/>
      <c r="R1516" s="495"/>
      <c r="S1516" s="277"/>
      <c r="T1516" s="508">
        <f t="shared" si="1151"/>
        <v>0</v>
      </c>
      <c r="U1516" s="225" t="str">
        <f>IF(NOT(ISNUMBER(G1516)), "", VLOOKUP(A1516,'Discount Lookup'!D:E,2,FALSE)*G1516)</f>
        <v/>
      </c>
      <c r="V1516" s="225" t="str">
        <f>IF(NOT(ISNUMBER(G1516)), "", VLOOKUP(A1516,'Discount Lookup'!G:H,2,FALSE)*G1516)</f>
        <v/>
      </c>
      <c r="W1516" s="508">
        <f t="shared" si="1152"/>
        <v>0</v>
      </c>
      <c r="X1516" s="508">
        <f t="shared" si="1153"/>
        <v>0</v>
      </c>
      <c r="Y1516" s="509" t="b">
        <f t="shared" si="1154"/>
        <v>0</v>
      </c>
      <c r="Z1516" s="510">
        <f t="shared" si="1155"/>
        <v>0</v>
      </c>
      <c r="AA1516" s="511"/>
      <c r="AB1516" s="511" t="str">
        <f t="shared" si="1156"/>
        <v/>
      </c>
      <c r="AC1516" s="698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698"/>
      <c r="AE1516" s="631" t="str">
        <f t="shared" si="1157"/>
        <v/>
      </c>
      <c r="AF1516" s="699" t="str">
        <f t="shared" si="1158"/>
        <v/>
      </c>
      <c r="AG1516" s="699"/>
      <c r="AH1516" s="699"/>
      <c r="AI1516" s="512">
        <f>IF(H1516="credit",0,IF(AE1516="free",0,IF(AE1516="me",0,IF(G1516&gt;0,(VLOOKUP(A1516,'Discount Lookup'!J:K,2)*G1516),0))))</f>
        <v>0</v>
      </c>
      <c r="AJ1516" s="513" t="str">
        <f t="shared" ca="1" si="1159"/>
        <v/>
      </c>
      <c r="AK1516" s="700" t="str">
        <f t="shared" si="1160"/>
        <v/>
      </c>
      <c r="AL1516" s="700"/>
      <c r="AM1516" s="505" t="str">
        <f t="shared" si="1161"/>
        <v/>
      </c>
      <c r="AN1516" s="506"/>
      <c r="AO1516" s="507"/>
      <c r="AP1516" s="507"/>
      <c r="AQ1516" s="507"/>
      <c r="AR1516" s="507"/>
      <c r="AS1516" s="507"/>
      <c r="AT1516" s="507"/>
      <c r="AU1516" s="507"/>
      <c r="AV1516" s="225"/>
      <c r="AW1516" s="508"/>
      <c r="AX1516" s="225"/>
      <c r="AY1516" s="225"/>
      <c r="AZ1516" s="225"/>
      <c r="BA1516" s="225"/>
      <c r="BB1516" s="225"/>
      <c r="BC1516" s="56"/>
      <c r="BD1516" s="56"/>
      <c r="BE1516" s="56"/>
      <c r="BF1516" s="107" t="str">
        <f t="shared" si="1162"/>
        <v>https://www.google.com/search?tbm=isch&amp;q=Globosa%20Nana%20grows%20naturally%20into%20a%20dense%2C%20dome%20shape.%20Bluish-green%20foliage%20turns%20rusty-red%20in%20winter%20</v>
      </c>
      <c r="BG1516" s="107" t="str">
        <f t="shared" si="1163"/>
        <v>G</v>
      </c>
      <c r="BH1516" s="254"/>
      <c r="BI1516" s="254"/>
    </row>
    <row r="1517" spans="1:61" customFormat="1" ht="18" x14ac:dyDescent="0.25">
      <c r="A1517" s="523" t="s">
        <v>969</v>
      </c>
      <c r="B1517" s="235"/>
      <c r="C1517" s="676"/>
      <c r="D1517" s="255" t="s">
        <v>970</v>
      </c>
      <c r="E1517" s="236"/>
      <c r="F1517" s="236"/>
      <c r="G1517" s="236"/>
      <c r="H1517" s="582" t="s">
        <v>971</v>
      </c>
      <c r="I1517" s="498" t="s">
        <v>2093</v>
      </c>
      <c r="J1517" s="237"/>
      <c r="K1517" s="237"/>
      <c r="L1517" s="274"/>
      <c r="M1517" s="668" t="s">
        <v>4962</v>
      </c>
      <c r="N1517" s="681" t="str">
        <f>IF(AND(ISTEXT($A1517), ISERROR($A1517+0)), HYPERLINK($BF1517, "Images"), "")</f>
        <v>Images</v>
      </c>
      <c r="O1517" s="663" t="s">
        <v>4967</v>
      </c>
      <c r="P1517" s="253"/>
      <c r="Q1517" s="238"/>
      <c r="R1517" s="239"/>
      <c r="S1517" s="275"/>
      <c r="T1517" s="508">
        <f t="shared" si="1151"/>
        <v>0</v>
      </c>
      <c r="U1517" s="225" t="str">
        <f>IF(NOT(ISNUMBER(G1517)), "", VLOOKUP(A1517,'Discount Lookup'!D:E,2,FALSE)*G1517)</f>
        <v/>
      </c>
      <c r="V1517" s="225" t="str">
        <f>IF(NOT(ISNUMBER(G1517)), "", VLOOKUP(A1517,'Discount Lookup'!G:H,2,FALSE)*G1517)</f>
        <v/>
      </c>
      <c r="W1517" s="508">
        <f t="shared" si="1152"/>
        <v>0</v>
      </c>
      <c r="X1517" s="508" t="str">
        <f t="shared" si="1153"/>
        <v>Dark Green foliage</v>
      </c>
      <c r="Y1517" s="509" t="b">
        <f t="shared" si="1154"/>
        <v>0</v>
      </c>
      <c r="Z1517" s="510">
        <f t="shared" si="1155"/>
        <v>0</v>
      </c>
      <c r="AA1517" s="511"/>
      <c r="AB1517" s="511" t="str">
        <f t="shared" si="1156"/>
        <v/>
      </c>
      <c r="AC1517" s="698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698"/>
      <c r="AE1517" s="631" t="str">
        <f t="shared" si="1157"/>
        <v/>
      </c>
      <c r="AF1517" s="699" t="str">
        <f t="shared" si="1158"/>
        <v/>
      </c>
      <c r="AG1517" s="699"/>
      <c r="AH1517" s="699"/>
      <c r="AI1517" s="512">
        <f>IF(H1517="credit",0,IF(AE1517="free",0,IF(AE1517="me",0,IF(G1517&gt;0,(VLOOKUP(A1517,'Discount Lookup'!J:K,2)*G1517),0))))</f>
        <v>0</v>
      </c>
      <c r="AJ1517" s="513" t="str">
        <f t="shared" ca="1" si="1159"/>
        <v/>
      </c>
      <c r="AK1517" s="700" t="str">
        <f t="shared" si="1160"/>
        <v/>
      </c>
      <c r="AL1517" s="700"/>
      <c r="AM1517" s="505" t="str">
        <f t="shared" si="1161"/>
        <v/>
      </c>
      <c r="AN1517" s="506"/>
      <c r="AO1517" s="507"/>
      <c r="AP1517" s="507"/>
      <c r="AQ1517" s="507"/>
      <c r="AR1517" s="507"/>
      <c r="AS1517" s="507"/>
      <c r="AT1517" s="507"/>
      <c r="AU1517" s="507"/>
      <c r="AV1517" s="225"/>
      <c r="AW1517" s="508"/>
      <c r="AX1517" s="225"/>
      <c r="AY1517" s="225"/>
      <c r="AZ1517" s="225"/>
      <c r="BA1517" s="225"/>
      <c r="BB1517" s="225"/>
      <c r="BC1517" s="56"/>
      <c r="BD1517" s="56"/>
      <c r="BE1517" s="56"/>
      <c r="BF1517" s="107" t="str">
        <f t="shared" si="1162"/>
        <v>https://www.google.com/search?tbm=isch&amp;q=Goblin%20Dwarf%20Zelkova%20Zelkova%20serrata%20%27Goblin%27%20PP%235080Exp.</v>
      </c>
      <c r="BG1517" s="107" t="str">
        <f t="shared" si="1163"/>
        <v>G</v>
      </c>
      <c r="BH1517" s="254"/>
      <c r="BI1517" s="254"/>
    </row>
    <row r="1518" spans="1:61" customFormat="1" ht="15.75" x14ac:dyDescent="0.25">
      <c r="A1518" s="276">
        <v>7</v>
      </c>
      <c r="B1518" s="240" t="s">
        <v>291</v>
      </c>
      <c r="C1518" s="241" t="s">
        <v>3512</v>
      </c>
      <c r="D1518" s="242" t="s">
        <v>292</v>
      </c>
      <c r="E1518" s="243">
        <v>148.94999999999999</v>
      </c>
      <c r="F1518" s="517" t="s">
        <v>293</v>
      </c>
      <c r="G1518" s="232">
        <v>0</v>
      </c>
      <c r="H1518" s="661" t="str">
        <f>IF(G1518=0,"",IF(F1518="Buy",IF(G1518=1,"plant","plants"),IF(F1518&gt;0.01,"warranty","Error")))</f>
        <v/>
      </c>
      <c r="I1518" s="244">
        <f>IF(H1518="free",0,IF(H1518="credit",((E1518*(F1518))*G1518*-1),IF(F1518="Buy",(E1518*G1518),((E1518*(1-F1518))*G1518))))</f>
        <v>0</v>
      </c>
      <c r="J1518" s="244">
        <f>IF(H1518="warranty",0,(I1518*(_xlfn.SINGLE(SalesTaxPercentage))))</f>
        <v>0</v>
      </c>
      <c r="K1518" s="696">
        <f t="shared" ref="K1518" si="1177">I1518+J1518</f>
        <v>0</v>
      </c>
      <c r="L1518" s="696"/>
      <c r="M1518" s="659" t="str">
        <f>IF(AND(G1518&gt;0,E1518=0),"WARNING - no PRICE inserted",IF(H1518="free"," FREE ~ no charge this plant",IF(H1518="credit",CONCATENATE(" -$",ROUND(K1518*(1-T2GDiscount)*-1,2)," CREDIT after discount"),IF(T2GDiscount=0,"",IF(G1518=0,"",IF(F1518="Buy",CONCATENATE(" $",ROUND(K1518*(1-T2GDiscount),2)," with ",(T2GDiscount*100),"% discount"),CONCATENATE(" $",ROUND(K1518*(1-T2GDiscount),2)," with ",((T2GDiscount*100+F1518*100)-(T2GDiscount*100*F1518)),IF(F1518&gt;0,"% discounts",IF(NoWarrantyDiscount&gt;0,"% discounts","% discount")))))))))</f>
        <v/>
      </c>
      <c r="N1518" s="660"/>
      <c r="O1518" s="233"/>
      <c r="P1518" s="233"/>
      <c r="Q1518" s="233"/>
      <c r="R1518" s="233"/>
      <c r="S1518" s="233"/>
      <c r="T1518" s="508">
        <f t="shared" si="1151"/>
        <v>0</v>
      </c>
      <c r="U1518" s="225">
        <f>IF(NOT(ISNUMBER(G1518)), "", VLOOKUP(A1518,'Discount Lookup'!D:E,2,FALSE)*G1518)</f>
        <v>0</v>
      </c>
      <c r="V1518" s="225">
        <f>IF(NOT(ISNUMBER(G1518)), "", VLOOKUP(A1518,'Discount Lookup'!G:H,2,FALSE)*G1518)</f>
        <v>0</v>
      </c>
      <c r="W1518" s="508">
        <f t="shared" si="1152"/>
        <v>0</v>
      </c>
      <c r="X1518" s="508">
        <f t="shared" si="1153"/>
        <v>0</v>
      </c>
      <c r="Y1518" s="509" t="b">
        <f t="shared" si="1154"/>
        <v>0</v>
      </c>
      <c r="Z1518" s="510">
        <f t="shared" si="1155"/>
        <v>0</v>
      </c>
      <c r="AA1518" s="511"/>
      <c r="AB1518" s="511" t="str">
        <f t="shared" si="1156"/>
        <v/>
      </c>
      <c r="AC1518" s="698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698"/>
      <c r="AE1518" s="631" t="str">
        <f t="shared" si="1157"/>
        <v/>
      </c>
      <c r="AF1518" s="699" t="str">
        <f t="shared" si="1158"/>
        <v/>
      </c>
      <c r="AG1518" s="699"/>
      <c r="AH1518" s="699"/>
      <c r="AI1518" s="512">
        <f>IF(H1518="credit",0,IF(AE1518="free",0,IF(AE1518="me",0,IF(G1518&gt;0,(VLOOKUP(A1518,'Discount Lookup'!J:K,2)*G1518),0))))</f>
        <v>0</v>
      </c>
      <c r="AJ1518" s="513" t="str">
        <f t="shared" ca="1" si="1159"/>
        <v/>
      </c>
      <c r="AK1518" s="700" t="str">
        <f t="shared" si="1160"/>
        <v/>
      </c>
      <c r="AL1518" s="700"/>
      <c r="AM1518" s="505" t="str">
        <f t="shared" si="1161"/>
        <v/>
      </c>
      <c r="AN1518" s="506"/>
      <c r="AO1518" s="507"/>
      <c r="AP1518" s="507"/>
      <c r="AQ1518" s="507"/>
      <c r="AR1518" s="507"/>
      <c r="AS1518" s="507"/>
      <c r="AT1518" s="507"/>
      <c r="AU1518" s="507"/>
      <c r="AV1518" s="225"/>
      <c r="AW1518" s="508"/>
      <c r="AX1518" s="225"/>
      <c r="AY1518" s="225"/>
      <c r="AZ1518" s="225"/>
      <c r="BA1518" s="225"/>
      <c r="BB1518" s="225"/>
      <c r="BC1518" s="56"/>
      <c r="BD1518" s="56"/>
      <c r="BE1518" s="56"/>
      <c r="BF1518" s="107" t="str">
        <f t="shared" si="1162"/>
        <v>https://www.google.com/search?tbm=isch&amp;q=7%20G4</v>
      </c>
      <c r="BG1518" s="107" t="str">
        <f t="shared" si="1163"/>
        <v>G</v>
      </c>
      <c r="BH1518" s="254"/>
      <c r="BI1518" s="254"/>
    </row>
    <row r="1519" spans="1:61" customFormat="1" ht="27" x14ac:dyDescent="0.25">
      <c r="A1519" s="276">
        <v>15</v>
      </c>
      <c r="B1519" s="240" t="s">
        <v>291</v>
      </c>
      <c r="C1519" s="241" t="s">
        <v>3513</v>
      </c>
      <c r="D1519" s="242" t="s">
        <v>292</v>
      </c>
      <c r="E1519" s="243">
        <v>194.95</v>
      </c>
      <c r="F1519" s="517" t="s">
        <v>293</v>
      </c>
      <c r="G1519" s="232">
        <v>0</v>
      </c>
      <c r="H1519" s="661" t="str">
        <f>IF(G1519=0,"",IF(F1519="Buy",IF(G1519=1,"plant","plants"),IF(F1519&gt;0.01,"warranty","Error")))</f>
        <v/>
      </c>
      <c r="I1519" s="244">
        <f>IF(H1519="free",0,IF(H1519="credit",((E1519*(F1519))*G1519*-1),IF(F1519="Buy",(E1519*G1519),((E1519*(1-F1519))*G1519))))</f>
        <v>0</v>
      </c>
      <c r="J1519" s="244">
        <f>IF(H1519="warranty",0,(I1519*(_xlfn.SINGLE(SalesTaxPercentage))))</f>
        <v>0</v>
      </c>
      <c r="K1519" s="696">
        <f t="shared" ref="K1519" si="1178">I1519+J1519</f>
        <v>0</v>
      </c>
      <c r="L1519" s="696"/>
      <c r="M1519" s="659" t="str">
        <f>IF(AND(G1519&gt;0,E1519=0),"WARNING - no PRICE inserted",IF(H1519="free"," FREE ~ no charge this plant",IF(H1519="credit",CONCATENATE(" -$",ROUND(K1519*(1-T2GDiscount)*-1,2)," CREDIT after discount"),IF(T2GDiscount=0,"",IF(G1519=0,"",IF(F1519="Buy",CONCATENATE(" $",ROUND(K1519*(1-T2GDiscount),2)," with ",(T2GDiscount*100),"% discount"),CONCATENATE(" $",ROUND(K1519*(1-T2GDiscount),2)," with ",((T2GDiscount*100+F1519*100)-(T2GDiscount*100*F1519)),IF(F1519&gt;0,"% discounts",IF(NoWarrantyDiscount&gt;0,"% discounts","% discount")))))))))</f>
        <v/>
      </c>
      <c r="N1519" s="660"/>
      <c r="O1519" s="233"/>
      <c r="P1519" s="233"/>
      <c r="Q1519" s="233"/>
      <c r="R1519" s="233"/>
      <c r="S1519" s="233"/>
      <c r="T1519" s="508">
        <f t="shared" si="1151"/>
        <v>0</v>
      </c>
      <c r="U1519" s="225">
        <f>IF(NOT(ISNUMBER(G1519)), "", VLOOKUP(A1519,'Discount Lookup'!D:E,2,FALSE)*G1519)</f>
        <v>0</v>
      </c>
      <c r="V1519" s="225">
        <f>IF(NOT(ISNUMBER(G1519)), "", VLOOKUP(A1519,'Discount Lookup'!G:H,2,FALSE)*G1519)</f>
        <v>0</v>
      </c>
      <c r="W1519" s="508">
        <f t="shared" si="1152"/>
        <v>0</v>
      </c>
      <c r="X1519" s="508">
        <f t="shared" si="1153"/>
        <v>0</v>
      </c>
      <c r="Y1519" s="509" t="b">
        <f t="shared" si="1154"/>
        <v>0</v>
      </c>
      <c r="Z1519" s="510">
        <f t="shared" si="1155"/>
        <v>0</v>
      </c>
      <c r="AA1519" s="511"/>
      <c r="AB1519" s="511" t="str">
        <f t="shared" si="1156"/>
        <v/>
      </c>
      <c r="AC1519" s="698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698"/>
      <c r="AE1519" s="631" t="str">
        <f t="shared" si="1157"/>
        <v/>
      </c>
      <c r="AF1519" s="699" t="str">
        <f t="shared" si="1158"/>
        <v/>
      </c>
      <c r="AG1519" s="699"/>
      <c r="AH1519" s="699"/>
      <c r="AI1519" s="512">
        <f>IF(H1519="credit",0,IF(AE1519="free",0,IF(AE1519="me",0,IF(G1519&gt;0,(VLOOKUP(A1519,'Discount Lookup'!J:K,2)*G1519),0))))</f>
        <v>0</v>
      </c>
      <c r="AJ1519" s="513" t="str">
        <f t="shared" ca="1" si="1159"/>
        <v/>
      </c>
      <c r="AK1519" s="700" t="str">
        <f t="shared" si="1160"/>
        <v/>
      </c>
      <c r="AL1519" s="700"/>
      <c r="AM1519" s="505" t="str">
        <f t="shared" si="1161"/>
        <v/>
      </c>
      <c r="AN1519" s="506"/>
      <c r="AO1519" s="507"/>
      <c r="AP1519" s="507"/>
      <c r="AQ1519" s="507"/>
      <c r="AR1519" s="507"/>
      <c r="AS1519" s="507"/>
      <c r="AT1519" s="507"/>
      <c r="AU1519" s="507"/>
      <c r="AV1519" s="225"/>
      <c r="AW1519" s="508"/>
      <c r="AX1519" s="225"/>
      <c r="AY1519" s="225"/>
      <c r="AZ1519" s="225"/>
      <c r="BA1519" s="225"/>
      <c r="BB1519" s="225"/>
      <c r="BC1519" s="56"/>
      <c r="BD1519" s="56"/>
      <c r="BE1519" s="56"/>
      <c r="BF1519" s="107" t="str">
        <f t="shared" si="1162"/>
        <v>https://www.google.com/search?tbm=isch&amp;q=15%20G4</v>
      </c>
      <c r="BG1519" s="107" t="str">
        <f t="shared" si="1163"/>
        <v>G</v>
      </c>
      <c r="BH1519" s="254"/>
      <c r="BI1519" s="254"/>
    </row>
    <row r="1520" spans="1:61" customFormat="1" ht="17.25" thickBot="1" x14ac:dyDescent="0.3">
      <c r="A1520" s="524" t="s">
        <v>2853</v>
      </c>
      <c r="B1520" s="245"/>
      <c r="C1520" s="677"/>
      <c r="D1520" s="499"/>
      <c r="E1520" s="499"/>
      <c r="F1520" s="500"/>
      <c r="G1520" s="501"/>
      <c r="H1520" s="502"/>
      <c r="I1520" s="246"/>
      <c r="J1520" s="247"/>
      <c r="K1520" s="503"/>
      <c r="L1520" s="544"/>
      <c r="M1520" s="544"/>
      <c r="N1520" s="500"/>
      <c r="O1520" s="500"/>
      <c r="P1520" s="500"/>
      <c r="Q1520" s="500"/>
      <c r="R1520" s="500"/>
      <c r="S1520" s="278"/>
      <c r="T1520" s="508">
        <f t="shared" si="1151"/>
        <v>0</v>
      </c>
      <c r="U1520" s="225" t="str">
        <f>IF(NOT(ISNUMBER(G1520)), "", VLOOKUP(A1520,'Discount Lookup'!D:E,2,FALSE)*G1520)</f>
        <v/>
      </c>
      <c r="V1520" s="225" t="str">
        <f>IF(NOT(ISNUMBER(G1520)), "", VLOOKUP(A1520,'Discount Lookup'!G:H,2,FALSE)*G1520)</f>
        <v/>
      </c>
      <c r="W1520" s="508">
        <f t="shared" si="1152"/>
        <v>0</v>
      </c>
      <c r="X1520" s="508">
        <f t="shared" si="1153"/>
        <v>0</v>
      </c>
      <c r="Y1520" s="509" t="b">
        <f t="shared" si="1154"/>
        <v>0</v>
      </c>
      <c r="Z1520" s="510">
        <f t="shared" si="1155"/>
        <v>0</v>
      </c>
      <c r="AA1520" s="511"/>
      <c r="AB1520" s="511" t="str">
        <f t="shared" si="1156"/>
        <v/>
      </c>
      <c r="AC1520" s="698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698"/>
      <c r="AE1520" s="631" t="str">
        <f t="shared" si="1157"/>
        <v/>
      </c>
      <c r="AF1520" s="699" t="str">
        <f t="shared" si="1158"/>
        <v/>
      </c>
      <c r="AG1520" s="699"/>
      <c r="AH1520" s="699"/>
      <c r="AI1520" s="512">
        <f>IF(H1520="credit",0,IF(AE1520="free",0,IF(AE1520="me",0,IF(G1520&gt;0,(VLOOKUP(A1520,'Discount Lookup'!J:K,2)*G1520),0))))</f>
        <v>0</v>
      </c>
      <c r="AJ1520" s="513" t="str">
        <f t="shared" ca="1" si="1159"/>
        <v/>
      </c>
      <c r="AK1520" s="700" t="str">
        <f t="shared" si="1160"/>
        <v/>
      </c>
      <c r="AL1520" s="700"/>
      <c r="AM1520" s="505" t="str">
        <f t="shared" si="1161"/>
        <v/>
      </c>
      <c r="AN1520" s="506"/>
      <c r="AO1520" s="507"/>
      <c r="AP1520" s="507"/>
      <c r="AQ1520" s="507"/>
      <c r="AR1520" s="507"/>
      <c r="AS1520" s="507"/>
      <c r="AT1520" s="507"/>
      <c r="AU1520" s="507"/>
      <c r="AV1520" s="225"/>
      <c r="AW1520" s="508"/>
      <c r="AX1520" s="225"/>
      <c r="AY1520" s="225"/>
      <c r="AZ1520" s="225"/>
      <c r="BA1520" s="225"/>
      <c r="BB1520" s="225"/>
      <c r="BC1520" s="56"/>
      <c r="BD1520" s="56"/>
      <c r="BE1520" s="56"/>
      <c r="BF1520" s="107" t="str">
        <f t="shared" si="1162"/>
        <v>https://www.google.com/search?tbm=isch&amp;q=Goblin%27s%20narrow%20Green%20leaves%20turn%20Orange-Yellow%20to%20Reddish-Purple%20in%20fall.%20Bark%20exfoliates%20to%20Orange-Red%20inner%20layer%20</v>
      </c>
      <c r="BG1520" s="107" t="str">
        <f t="shared" si="1163"/>
        <v>G</v>
      </c>
      <c r="BH1520" s="254"/>
      <c r="BI1520" s="254"/>
    </row>
    <row r="1521" spans="1:61" customFormat="1" ht="18" x14ac:dyDescent="0.25">
      <c r="A1521" s="521" t="s">
        <v>972</v>
      </c>
      <c r="B1521" s="477"/>
      <c r="C1521" s="674"/>
      <c r="D1521" s="478" t="s">
        <v>973</v>
      </c>
      <c r="E1521" s="479"/>
      <c r="F1521" s="479"/>
      <c r="G1521" s="479"/>
      <c r="H1521" s="582" t="s">
        <v>471</v>
      </c>
      <c r="I1521" s="480" t="s">
        <v>2936</v>
      </c>
      <c r="J1521" s="479"/>
      <c r="K1521" s="479"/>
      <c r="L1521" s="560"/>
      <c r="M1521" s="671" t="s">
        <v>4985</v>
      </c>
      <c r="N1521" s="680" t="str">
        <f>IF(AND(ISTEXT($A1521), ISERROR($A1521+0)), HYPERLINK($BF1521, "Images"), "")</f>
        <v>Images</v>
      </c>
      <c r="O1521" s="662" t="s">
        <v>4969</v>
      </c>
      <c r="P1521" s="482"/>
      <c r="Q1521" s="483"/>
      <c r="R1521" s="483"/>
      <c r="S1521" s="484"/>
      <c r="T1521" s="508">
        <f t="shared" si="1151"/>
        <v>0</v>
      </c>
      <c r="U1521" s="225" t="str">
        <f>IF(NOT(ISNUMBER(G1521)), "", VLOOKUP(A1521,'Discount Lookup'!D:E,2,FALSE)*G1521)</f>
        <v/>
      </c>
      <c r="V1521" s="225" t="str">
        <f>IF(NOT(ISNUMBER(G1521)), "", VLOOKUP(A1521,'Discount Lookup'!G:H,2,FALSE)*G1521)</f>
        <v/>
      </c>
      <c r="W1521" s="508">
        <f t="shared" si="1152"/>
        <v>0</v>
      </c>
      <c r="X1521" s="508" t="str">
        <f t="shared" si="1153"/>
        <v>Green &amp; Gold foliage</v>
      </c>
      <c r="Y1521" s="509" t="b">
        <f t="shared" si="1154"/>
        <v>0</v>
      </c>
      <c r="Z1521" s="510">
        <f t="shared" si="1155"/>
        <v>0</v>
      </c>
      <c r="AA1521" s="511"/>
      <c r="AB1521" s="511" t="str">
        <f t="shared" si="1156"/>
        <v/>
      </c>
      <c r="AC1521" s="698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698"/>
      <c r="AE1521" s="631" t="str">
        <f t="shared" si="1157"/>
        <v/>
      </c>
      <c r="AF1521" s="699" t="str">
        <f t="shared" si="1158"/>
        <v/>
      </c>
      <c r="AG1521" s="699"/>
      <c r="AH1521" s="699"/>
      <c r="AI1521" s="512">
        <f>IF(H1521="credit",0,IF(AE1521="free",0,IF(AE1521="me",0,IF(G1521&gt;0,(VLOOKUP(A1521,'Discount Lookup'!J:K,2)*G1521),0))))</f>
        <v>0</v>
      </c>
      <c r="AJ1521" s="513" t="str">
        <f t="shared" ca="1" si="1159"/>
        <v/>
      </c>
      <c r="AK1521" s="700" t="str">
        <f t="shared" si="1160"/>
        <v/>
      </c>
      <c r="AL1521" s="700"/>
      <c r="AM1521" s="505" t="str">
        <f t="shared" si="1161"/>
        <v/>
      </c>
      <c r="AN1521" s="506"/>
      <c r="AO1521" s="507"/>
      <c r="AP1521" s="507"/>
      <c r="AQ1521" s="507"/>
      <c r="AR1521" s="507"/>
      <c r="AS1521" s="507"/>
      <c r="AT1521" s="507"/>
      <c r="AU1521" s="507"/>
      <c r="AV1521" s="225"/>
      <c r="AW1521" s="508"/>
      <c r="AX1521" s="225"/>
      <c r="AY1521" s="225"/>
      <c r="AZ1521" s="225"/>
      <c r="BA1521" s="225"/>
      <c r="BB1521" s="225"/>
      <c r="BC1521" s="56"/>
      <c r="BD1521" s="56"/>
      <c r="BE1521" s="56"/>
      <c r="BF1521" s="107" t="str">
        <f t="shared" si="1162"/>
        <v>https://www.google.com/search?tbm=isch&amp;q=Gold%20Dust%20Aucuba%20Aucuba%20japonica%20%27Variegata%27</v>
      </c>
      <c r="BG1521" s="107" t="str">
        <f t="shared" si="1163"/>
        <v>G</v>
      </c>
      <c r="BH1521" s="254"/>
      <c r="BI1521" s="254"/>
    </row>
    <row r="1522" spans="1:61" customFormat="1" ht="15.75" x14ac:dyDescent="0.25">
      <c r="A1522" s="485">
        <v>3</v>
      </c>
      <c r="B1522" s="486" t="s">
        <v>291</v>
      </c>
      <c r="C1522" s="487" t="s">
        <v>345</v>
      </c>
      <c r="D1522" s="488" t="s">
        <v>298</v>
      </c>
      <c r="E1522" s="489">
        <v>25.95</v>
      </c>
      <c r="F1522" s="516" t="s">
        <v>293</v>
      </c>
      <c r="G1522" s="232">
        <v>0</v>
      </c>
      <c r="H1522" s="658" t="str">
        <f t="shared" ref="H1522:H1527" si="1179">IF(G1522=0,"",IF(F1522="Buy",IF(G1522=1,"plant","plants"),IF(F1522&gt;0.01,"warranty","Error")))</f>
        <v/>
      </c>
      <c r="I1522" s="490">
        <f t="shared" ref="I1522:I1527" si="1180">IF(H1522="free",0,IF(H1522="credit",((E1522*(F1522))*G1522*-1),IF(F1522="Buy",(E1522*G1522),((E1522*(1-F1522))*G1522))))</f>
        <v>0</v>
      </c>
      <c r="J1522" s="490">
        <f t="shared" ref="J1522:J1527" si="1181">IF(H1522="warranty",0,(I1522*(_xlfn.SINGLE(SalesTaxPercentage))))</f>
        <v>0</v>
      </c>
      <c r="K1522" s="695">
        <f t="shared" ref="K1522" si="1182">I1522+J1522</f>
        <v>0</v>
      </c>
      <c r="L1522" s="695"/>
      <c r="M1522" s="659" t="str">
        <f t="shared" ref="M1522:M1527" si="1183">IF(AND(G1522&gt;0,E1522=0),"WARNING - no PRICE inserted",IF(H1522="free"," FREE ~ no charge this plant",IF(H1522="credit",CONCATENATE(" -$",ROUND(K1522*(1-T2GDiscount)*-1,2)," CREDIT after discount"),IF(T2GDiscount=0,"",IF(G1522=0,"",IF(F1522="Buy",CONCATENATE(" $",ROUND(K1522*(1-T2GDiscount),2)," with ",(T2GDiscount*100),"% discount"),CONCATENATE(" $",ROUND(K1522*(1-T2GDiscount),2)," with ",((T2GDiscount*100+F1522*100)-(T2GDiscount*100*F1522)),IF(F1522&gt;0,"% discounts",IF(NoWarrantyDiscount&gt;0,"% discounts","% discount")))))))))</f>
        <v/>
      </c>
      <c r="N1522" s="660"/>
      <c r="O1522" s="233"/>
      <c r="P1522" s="233"/>
      <c r="Q1522" s="233"/>
      <c r="R1522" s="233"/>
      <c r="S1522" s="233"/>
      <c r="T1522" s="508">
        <f t="shared" si="1151"/>
        <v>0</v>
      </c>
      <c r="U1522" s="225">
        <f>IF(NOT(ISNUMBER(G1522)), "", VLOOKUP(A1522,'Discount Lookup'!D:E,2,FALSE)*G1522)</f>
        <v>0</v>
      </c>
      <c r="V1522" s="225">
        <f>IF(NOT(ISNUMBER(G1522)), "", VLOOKUP(A1522,'Discount Lookup'!G:H,2,FALSE)*G1522)</f>
        <v>0</v>
      </c>
      <c r="W1522" s="508">
        <f t="shared" si="1152"/>
        <v>0</v>
      </c>
      <c r="X1522" s="508">
        <f t="shared" si="1153"/>
        <v>0</v>
      </c>
      <c r="Y1522" s="509" t="b">
        <f t="shared" si="1154"/>
        <v>0</v>
      </c>
      <c r="Z1522" s="510">
        <f t="shared" si="1155"/>
        <v>0</v>
      </c>
      <c r="AA1522" s="511"/>
      <c r="AB1522" s="511" t="str">
        <f t="shared" si="1156"/>
        <v/>
      </c>
      <c r="AC1522" s="698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698"/>
      <c r="AE1522" s="631" t="str">
        <f t="shared" si="1157"/>
        <v/>
      </c>
      <c r="AF1522" s="699" t="str">
        <f t="shared" si="1158"/>
        <v/>
      </c>
      <c r="AG1522" s="699"/>
      <c r="AH1522" s="699"/>
      <c r="AI1522" s="512">
        <f>IF(H1522="credit",0,IF(AE1522="free",0,IF(AE1522="me",0,IF(G1522&gt;0,(VLOOKUP(A1522,'Discount Lookup'!J:K,2)*G1522),0))))</f>
        <v>0</v>
      </c>
      <c r="AJ1522" s="513" t="str">
        <f t="shared" ca="1" si="1159"/>
        <v/>
      </c>
      <c r="AK1522" s="700" t="str">
        <f t="shared" si="1160"/>
        <v/>
      </c>
      <c r="AL1522" s="700"/>
      <c r="AM1522" s="505" t="str">
        <f t="shared" si="1161"/>
        <v/>
      </c>
      <c r="AN1522" s="506"/>
      <c r="AO1522" s="507"/>
      <c r="AP1522" s="507"/>
      <c r="AQ1522" s="507"/>
      <c r="AR1522" s="507"/>
      <c r="AS1522" s="507"/>
      <c r="AT1522" s="507"/>
      <c r="AU1522" s="507"/>
      <c r="AV1522" s="225"/>
      <c r="AW1522" s="508"/>
      <c r="AX1522" s="225"/>
      <c r="AY1522" s="225"/>
      <c r="AZ1522" s="225"/>
      <c r="BA1522" s="225"/>
      <c r="BB1522" s="225"/>
      <c r="BC1522" s="56"/>
      <c r="BD1522" s="56"/>
      <c r="BE1522" s="56"/>
      <c r="BF1522" s="107" t="str">
        <f t="shared" si="1162"/>
        <v>https://www.google.com/search?tbm=isch&amp;q=3%20G1</v>
      </c>
      <c r="BG1522" s="107" t="str">
        <f t="shared" si="1163"/>
        <v>G</v>
      </c>
      <c r="BH1522" s="254"/>
      <c r="BI1522" s="254"/>
    </row>
    <row r="1523" spans="1:61" customFormat="1" ht="15.75" x14ac:dyDescent="0.25">
      <c r="A1523" s="485">
        <v>3</v>
      </c>
      <c r="B1523" s="486" t="s">
        <v>291</v>
      </c>
      <c r="C1523" s="487" t="s">
        <v>2483</v>
      </c>
      <c r="D1523" s="488" t="s">
        <v>312</v>
      </c>
      <c r="E1523" s="489">
        <v>30.95</v>
      </c>
      <c r="F1523" s="516" t="s">
        <v>293</v>
      </c>
      <c r="G1523" s="232">
        <v>0</v>
      </c>
      <c r="H1523" s="658" t="str">
        <f t="shared" si="1179"/>
        <v/>
      </c>
      <c r="I1523" s="490">
        <f t="shared" si="1180"/>
        <v>0</v>
      </c>
      <c r="J1523" s="490">
        <f t="shared" si="1181"/>
        <v>0</v>
      </c>
      <c r="K1523" s="695">
        <f t="shared" ref="K1523" si="1184">I1523+J1523</f>
        <v>0</v>
      </c>
      <c r="L1523" s="695"/>
      <c r="M1523" s="659" t="str">
        <f t="shared" si="1183"/>
        <v/>
      </c>
      <c r="N1523" s="660"/>
      <c r="O1523" s="233"/>
      <c r="P1523" s="233"/>
      <c r="Q1523" s="233"/>
      <c r="R1523" s="233"/>
      <c r="S1523" s="233"/>
      <c r="T1523" s="508">
        <f t="shared" si="1151"/>
        <v>0</v>
      </c>
      <c r="U1523" s="225">
        <f>IF(NOT(ISNUMBER(G1523)), "", VLOOKUP(A1523,'Discount Lookup'!D:E,2,FALSE)*G1523)</f>
        <v>0</v>
      </c>
      <c r="V1523" s="225">
        <f>IF(NOT(ISNUMBER(G1523)), "", VLOOKUP(A1523,'Discount Lookup'!G:H,2,FALSE)*G1523)</f>
        <v>0</v>
      </c>
      <c r="W1523" s="508">
        <f t="shared" si="1152"/>
        <v>0</v>
      </c>
      <c r="X1523" s="508">
        <f t="shared" si="1153"/>
        <v>0</v>
      </c>
      <c r="Y1523" s="509" t="b">
        <f t="shared" si="1154"/>
        <v>0</v>
      </c>
      <c r="Z1523" s="510">
        <f t="shared" si="1155"/>
        <v>0</v>
      </c>
      <c r="AA1523" s="511"/>
      <c r="AB1523" s="511" t="str">
        <f t="shared" si="1156"/>
        <v/>
      </c>
      <c r="AC1523" s="698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698"/>
      <c r="AE1523" s="631" t="str">
        <f t="shared" si="1157"/>
        <v/>
      </c>
      <c r="AF1523" s="699" t="str">
        <f t="shared" si="1158"/>
        <v/>
      </c>
      <c r="AG1523" s="699"/>
      <c r="AH1523" s="699"/>
      <c r="AI1523" s="512">
        <f>IF(H1523="credit",0,IF(AE1523="free",0,IF(AE1523="me",0,IF(G1523&gt;0,(VLOOKUP(A1523,'Discount Lookup'!J:K,2)*G1523),0))))</f>
        <v>0</v>
      </c>
      <c r="AJ1523" s="513" t="str">
        <f t="shared" ca="1" si="1159"/>
        <v/>
      </c>
      <c r="AK1523" s="700" t="str">
        <f t="shared" si="1160"/>
        <v/>
      </c>
      <c r="AL1523" s="700"/>
      <c r="AM1523" s="505" t="str">
        <f t="shared" si="1161"/>
        <v/>
      </c>
      <c r="AN1523" s="506"/>
      <c r="AO1523" s="507"/>
      <c r="AP1523" s="507"/>
      <c r="AQ1523" s="507"/>
      <c r="AR1523" s="507"/>
      <c r="AS1523" s="507"/>
      <c r="AT1523" s="507"/>
      <c r="AU1523" s="507"/>
      <c r="AV1523" s="225"/>
      <c r="AW1523" s="508"/>
      <c r="AX1523" s="225"/>
      <c r="AY1523" s="225"/>
      <c r="AZ1523" s="225"/>
      <c r="BA1523" s="225"/>
      <c r="BB1523" s="225"/>
      <c r="BC1523" s="56"/>
      <c r="BD1523" s="56"/>
      <c r="BE1523" s="56"/>
      <c r="BF1523" s="107" t="str">
        <f t="shared" si="1162"/>
        <v>https://www.google.com/search?tbm=isch&amp;q=3%20G2</v>
      </c>
      <c r="BG1523" s="107" t="str">
        <f t="shared" si="1163"/>
        <v>G</v>
      </c>
      <c r="BH1523" s="254"/>
      <c r="BI1523" s="254"/>
    </row>
    <row r="1524" spans="1:61" customFormat="1" ht="15.75" x14ac:dyDescent="0.25">
      <c r="A1524" s="485">
        <v>3</v>
      </c>
      <c r="B1524" s="486" t="s">
        <v>291</v>
      </c>
      <c r="C1524" s="487" t="s">
        <v>3337</v>
      </c>
      <c r="D1524" s="488" t="s">
        <v>292</v>
      </c>
      <c r="E1524" s="489">
        <v>33.950000000000003</v>
      </c>
      <c r="F1524" s="516" t="s">
        <v>293</v>
      </c>
      <c r="G1524" s="232">
        <v>0</v>
      </c>
      <c r="H1524" s="658" t="str">
        <f t="shared" si="1179"/>
        <v/>
      </c>
      <c r="I1524" s="490">
        <f t="shared" si="1180"/>
        <v>0</v>
      </c>
      <c r="J1524" s="490">
        <f t="shared" si="1181"/>
        <v>0</v>
      </c>
      <c r="K1524" s="695">
        <f t="shared" ref="K1524" si="1185">I1524+J1524</f>
        <v>0</v>
      </c>
      <c r="L1524" s="695"/>
      <c r="M1524" s="659" t="str">
        <f t="shared" si="1183"/>
        <v/>
      </c>
      <c r="N1524" s="660"/>
      <c r="O1524" s="233"/>
      <c r="P1524" s="233"/>
      <c r="Q1524" s="233"/>
      <c r="R1524" s="233"/>
      <c r="S1524" s="233"/>
      <c r="T1524" s="508">
        <f t="shared" si="1151"/>
        <v>0</v>
      </c>
      <c r="U1524" s="225">
        <f>IF(NOT(ISNUMBER(G1524)), "", VLOOKUP(A1524,'Discount Lookup'!D:E,2,FALSE)*G1524)</f>
        <v>0</v>
      </c>
      <c r="V1524" s="225">
        <f>IF(NOT(ISNUMBER(G1524)), "", VLOOKUP(A1524,'Discount Lookup'!G:H,2,FALSE)*G1524)</f>
        <v>0</v>
      </c>
      <c r="W1524" s="508">
        <f t="shared" si="1152"/>
        <v>0</v>
      </c>
      <c r="X1524" s="508">
        <f t="shared" si="1153"/>
        <v>0</v>
      </c>
      <c r="Y1524" s="509" t="b">
        <f t="shared" si="1154"/>
        <v>0</v>
      </c>
      <c r="Z1524" s="510">
        <f t="shared" si="1155"/>
        <v>0</v>
      </c>
      <c r="AA1524" s="511"/>
      <c r="AB1524" s="511" t="str">
        <f t="shared" si="1156"/>
        <v/>
      </c>
      <c r="AC1524" s="698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698"/>
      <c r="AE1524" s="631" t="str">
        <f t="shared" si="1157"/>
        <v/>
      </c>
      <c r="AF1524" s="699" t="str">
        <f t="shared" si="1158"/>
        <v/>
      </c>
      <c r="AG1524" s="699"/>
      <c r="AH1524" s="699"/>
      <c r="AI1524" s="512">
        <f>IF(H1524="credit",0,IF(AE1524="free",0,IF(AE1524="me",0,IF(G1524&gt;0,(VLOOKUP(A1524,'Discount Lookup'!J:K,2)*G1524),0))))</f>
        <v>0</v>
      </c>
      <c r="AJ1524" s="513" t="str">
        <f t="shared" ca="1" si="1159"/>
        <v/>
      </c>
      <c r="AK1524" s="700" t="str">
        <f t="shared" si="1160"/>
        <v/>
      </c>
      <c r="AL1524" s="700"/>
      <c r="AM1524" s="505" t="str">
        <f t="shared" si="1161"/>
        <v/>
      </c>
      <c r="AN1524" s="506"/>
      <c r="AO1524" s="507"/>
      <c r="AP1524" s="507"/>
      <c r="AQ1524" s="507"/>
      <c r="AR1524" s="507"/>
      <c r="AS1524" s="507"/>
      <c r="AT1524" s="507"/>
      <c r="AU1524" s="507"/>
      <c r="AV1524" s="225"/>
      <c r="AW1524" s="508"/>
      <c r="AX1524" s="225"/>
      <c r="AY1524" s="225"/>
      <c r="AZ1524" s="225"/>
      <c r="BA1524" s="225"/>
      <c r="BB1524" s="225"/>
      <c r="BC1524" s="56"/>
      <c r="BD1524" s="56"/>
      <c r="BE1524" s="56"/>
      <c r="BF1524" s="107" t="str">
        <f t="shared" si="1162"/>
        <v>https://www.google.com/search?tbm=isch&amp;q=3%20G4</v>
      </c>
      <c r="BG1524" s="107" t="str">
        <f t="shared" si="1163"/>
        <v>G</v>
      </c>
      <c r="BH1524" s="254"/>
      <c r="BI1524" s="254"/>
    </row>
    <row r="1525" spans="1:61" customFormat="1" ht="15.75" x14ac:dyDescent="0.25">
      <c r="A1525" s="485">
        <v>3</v>
      </c>
      <c r="B1525" s="486" t="s">
        <v>291</v>
      </c>
      <c r="C1525" s="487" t="s">
        <v>975</v>
      </c>
      <c r="D1525" s="488" t="s">
        <v>299</v>
      </c>
      <c r="E1525" s="489">
        <v>33.950000000000003</v>
      </c>
      <c r="F1525" s="516" t="s">
        <v>293</v>
      </c>
      <c r="G1525" s="232">
        <v>0</v>
      </c>
      <c r="H1525" s="658" t="str">
        <f t="shared" si="1179"/>
        <v/>
      </c>
      <c r="I1525" s="490">
        <f t="shared" si="1180"/>
        <v>0</v>
      </c>
      <c r="J1525" s="490">
        <f t="shared" si="1181"/>
        <v>0</v>
      </c>
      <c r="K1525" s="695">
        <f t="shared" ref="K1525" si="1186">I1525+J1525</f>
        <v>0</v>
      </c>
      <c r="L1525" s="695"/>
      <c r="M1525" s="659" t="str">
        <f t="shared" si="1183"/>
        <v/>
      </c>
      <c r="N1525" s="660"/>
      <c r="O1525" s="233"/>
      <c r="P1525" s="233"/>
      <c r="Q1525" s="233"/>
      <c r="R1525" s="233"/>
      <c r="S1525" s="233"/>
      <c r="T1525" s="508">
        <f t="shared" si="1151"/>
        <v>0</v>
      </c>
      <c r="U1525" s="225">
        <f>IF(NOT(ISNUMBER(G1525)), "", VLOOKUP(A1525,'Discount Lookup'!D:E,2,FALSE)*G1525)</f>
        <v>0</v>
      </c>
      <c r="V1525" s="225">
        <f>IF(NOT(ISNUMBER(G1525)), "", VLOOKUP(A1525,'Discount Lookup'!G:H,2,FALSE)*G1525)</f>
        <v>0</v>
      </c>
      <c r="W1525" s="508">
        <f t="shared" si="1152"/>
        <v>0</v>
      </c>
      <c r="X1525" s="508">
        <f t="shared" si="1153"/>
        <v>0</v>
      </c>
      <c r="Y1525" s="509" t="b">
        <f t="shared" si="1154"/>
        <v>0</v>
      </c>
      <c r="Z1525" s="510">
        <f t="shared" si="1155"/>
        <v>0</v>
      </c>
      <c r="AA1525" s="511"/>
      <c r="AB1525" s="511" t="str">
        <f t="shared" si="1156"/>
        <v/>
      </c>
      <c r="AC1525" s="698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698"/>
      <c r="AE1525" s="631" t="str">
        <f t="shared" si="1157"/>
        <v/>
      </c>
      <c r="AF1525" s="699" t="str">
        <f t="shared" si="1158"/>
        <v/>
      </c>
      <c r="AG1525" s="699"/>
      <c r="AH1525" s="699"/>
      <c r="AI1525" s="512">
        <f>IF(H1525="credit",0,IF(AE1525="free",0,IF(AE1525="me",0,IF(G1525&gt;0,(VLOOKUP(A1525,'Discount Lookup'!J:K,2)*G1525),0))))</f>
        <v>0</v>
      </c>
      <c r="AJ1525" s="513" t="str">
        <f t="shared" ca="1" si="1159"/>
        <v/>
      </c>
      <c r="AK1525" s="700" t="str">
        <f t="shared" si="1160"/>
        <v/>
      </c>
      <c r="AL1525" s="700"/>
      <c r="AM1525" s="505" t="str">
        <f t="shared" si="1161"/>
        <v/>
      </c>
      <c r="AN1525" s="506"/>
      <c r="AO1525" s="507"/>
      <c r="AP1525" s="507"/>
      <c r="AQ1525" s="507"/>
      <c r="AR1525" s="507"/>
      <c r="AS1525" s="507"/>
      <c r="AT1525" s="507"/>
      <c r="AU1525" s="507"/>
      <c r="AV1525" s="225"/>
      <c r="AW1525" s="508"/>
      <c r="AX1525" s="225"/>
      <c r="AY1525" s="225"/>
      <c r="AZ1525" s="225"/>
      <c r="BA1525" s="225"/>
      <c r="BB1525" s="225"/>
      <c r="BC1525" s="56"/>
      <c r="BD1525" s="56"/>
      <c r="BE1525" s="56"/>
      <c r="BF1525" s="107" t="str">
        <f t="shared" si="1162"/>
        <v>https://www.google.com/search?tbm=isch&amp;q=3%20G5</v>
      </c>
      <c r="BG1525" s="107" t="str">
        <f t="shared" si="1163"/>
        <v>G</v>
      </c>
      <c r="BH1525" s="254"/>
      <c r="BI1525" s="254"/>
    </row>
    <row r="1526" spans="1:61" customFormat="1" ht="15.75" x14ac:dyDescent="0.25">
      <c r="A1526" s="485">
        <v>3</v>
      </c>
      <c r="B1526" s="486" t="s">
        <v>291</v>
      </c>
      <c r="C1526" s="487" t="s">
        <v>4294</v>
      </c>
      <c r="D1526" s="488" t="s">
        <v>300</v>
      </c>
      <c r="E1526" s="489">
        <v>52.95</v>
      </c>
      <c r="F1526" s="516" t="s">
        <v>293</v>
      </c>
      <c r="G1526" s="232">
        <v>0</v>
      </c>
      <c r="H1526" s="658" t="str">
        <f t="shared" si="1179"/>
        <v/>
      </c>
      <c r="I1526" s="490">
        <f t="shared" si="1180"/>
        <v>0</v>
      </c>
      <c r="J1526" s="490">
        <f t="shared" si="1181"/>
        <v>0</v>
      </c>
      <c r="K1526" s="695">
        <f t="shared" ref="K1526" si="1187">I1526+J1526</f>
        <v>0</v>
      </c>
      <c r="L1526" s="695"/>
      <c r="M1526" s="659" t="str">
        <f t="shared" si="1183"/>
        <v/>
      </c>
      <c r="N1526" s="660"/>
      <c r="O1526" s="233"/>
      <c r="P1526" s="233"/>
      <c r="Q1526" s="233"/>
      <c r="R1526" s="233"/>
      <c r="S1526" s="233"/>
      <c r="T1526" s="508">
        <f t="shared" si="1151"/>
        <v>0</v>
      </c>
      <c r="U1526" s="225">
        <f>IF(NOT(ISNUMBER(G1526)), "", VLOOKUP(A1526,'Discount Lookup'!D:E,2,FALSE)*G1526)</f>
        <v>0</v>
      </c>
      <c r="V1526" s="225">
        <f>IF(NOT(ISNUMBER(G1526)), "", VLOOKUP(A1526,'Discount Lookup'!G:H,2,FALSE)*G1526)</f>
        <v>0</v>
      </c>
      <c r="W1526" s="508">
        <f t="shared" si="1152"/>
        <v>0</v>
      </c>
      <c r="X1526" s="508">
        <f t="shared" si="1153"/>
        <v>0</v>
      </c>
      <c r="Y1526" s="509" t="b">
        <f t="shared" si="1154"/>
        <v>0</v>
      </c>
      <c r="Z1526" s="510">
        <f t="shared" si="1155"/>
        <v>0</v>
      </c>
      <c r="AA1526" s="511"/>
      <c r="AB1526" s="511" t="str">
        <f t="shared" si="1156"/>
        <v/>
      </c>
      <c r="AC1526" s="698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698"/>
      <c r="AE1526" s="631" t="str">
        <f t="shared" si="1157"/>
        <v/>
      </c>
      <c r="AF1526" s="699" t="str">
        <f t="shared" si="1158"/>
        <v/>
      </c>
      <c r="AG1526" s="699"/>
      <c r="AH1526" s="699"/>
      <c r="AI1526" s="512">
        <f>IF(H1526="credit",0,IF(AE1526="free",0,IF(AE1526="me",0,IF(G1526&gt;0,(VLOOKUP(A1526,'Discount Lookup'!J:K,2)*G1526),0))))</f>
        <v>0</v>
      </c>
      <c r="AJ1526" s="513" t="str">
        <f t="shared" ca="1" si="1159"/>
        <v/>
      </c>
      <c r="AK1526" s="700" t="str">
        <f t="shared" si="1160"/>
        <v/>
      </c>
      <c r="AL1526" s="700"/>
      <c r="AM1526" s="505" t="str">
        <f t="shared" si="1161"/>
        <v/>
      </c>
      <c r="AN1526" s="506"/>
      <c r="AO1526" s="507"/>
      <c r="AP1526" s="507"/>
      <c r="AQ1526" s="507"/>
      <c r="AR1526" s="507"/>
      <c r="AS1526" s="507"/>
      <c r="AT1526" s="507"/>
      <c r="AU1526" s="507"/>
      <c r="AV1526" s="225"/>
      <c r="AW1526" s="508"/>
      <c r="AX1526" s="225"/>
      <c r="AY1526" s="225"/>
      <c r="AZ1526" s="225"/>
      <c r="BA1526" s="225"/>
      <c r="BB1526" s="225"/>
      <c r="BC1526" s="56"/>
      <c r="BD1526" s="56"/>
      <c r="BE1526" s="56"/>
      <c r="BF1526" s="107" t="str">
        <f t="shared" si="1162"/>
        <v>https://www.google.com/search?tbm=isch&amp;q=3%20G6</v>
      </c>
      <c r="BG1526" s="107" t="str">
        <f t="shared" si="1163"/>
        <v>G</v>
      </c>
      <c r="BH1526" s="254"/>
      <c r="BI1526" s="254"/>
    </row>
    <row r="1527" spans="1:61" customFormat="1" ht="15.75" x14ac:dyDescent="0.25">
      <c r="A1527" s="485">
        <v>10</v>
      </c>
      <c r="B1527" s="486" t="s">
        <v>291</v>
      </c>
      <c r="C1527" s="487" t="s">
        <v>3337</v>
      </c>
      <c r="D1527" s="488" t="s">
        <v>292</v>
      </c>
      <c r="E1527" s="489">
        <v>127.95</v>
      </c>
      <c r="F1527" s="516" t="s">
        <v>293</v>
      </c>
      <c r="G1527" s="232">
        <v>0</v>
      </c>
      <c r="H1527" s="658" t="str">
        <f t="shared" si="1179"/>
        <v/>
      </c>
      <c r="I1527" s="490">
        <f t="shared" si="1180"/>
        <v>0</v>
      </c>
      <c r="J1527" s="490">
        <f t="shared" si="1181"/>
        <v>0</v>
      </c>
      <c r="K1527" s="695">
        <f t="shared" ref="K1527" si="1188">I1527+J1527</f>
        <v>0</v>
      </c>
      <c r="L1527" s="695"/>
      <c r="M1527" s="659" t="str">
        <f t="shared" si="1183"/>
        <v/>
      </c>
      <c r="N1527" s="660"/>
      <c r="O1527" s="233"/>
      <c r="P1527" s="233"/>
      <c r="Q1527" s="233"/>
      <c r="R1527" s="233"/>
      <c r="S1527" s="233"/>
      <c r="T1527" s="508">
        <f t="shared" si="1151"/>
        <v>0</v>
      </c>
      <c r="U1527" s="225">
        <f>IF(NOT(ISNUMBER(G1527)), "", VLOOKUP(A1527,'Discount Lookup'!D:E,2,FALSE)*G1527)</f>
        <v>0</v>
      </c>
      <c r="V1527" s="225">
        <f>IF(NOT(ISNUMBER(G1527)), "", VLOOKUP(A1527,'Discount Lookup'!G:H,2,FALSE)*G1527)</f>
        <v>0</v>
      </c>
      <c r="W1527" s="508">
        <f t="shared" si="1152"/>
        <v>0</v>
      </c>
      <c r="X1527" s="508">
        <f t="shared" si="1153"/>
        <v>0</v>
      </c>
      <c r="Y1527" s="509" t="b">
        <f t="shared" si="1154"/>
        <v>0</v>
      </c>
      <c r="Z1527" s="510">
        <f t="shared" si="1155"/>
        <v>0</v>
      </c>
      <c r="AA1527" s="511"/>
      <c r="AB1527" s="511" t="str">
        <f t="shared" si="1156"/>
        <v/>
      </c>
      <c r="AC1527" s="698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698"/>
      <c r="AE1527" s="631" t="str">
        <f t="shared" si="1157"/>
        <v/>
      </c>
      <c r="AF1527" s="699" t="str">
        <f t="shared" si="1158"/>
        <v/>
      </c>
      <c r="AG1527" s="699"/>
      <c r="AH1527" s="699"/>
      <c r="AI1527" s="512">
        <f>IF(H1527="credit",0,IF(AE1527="free",0,IF(AE1527="me",0,IF(G1527&gt;0,(VLOOKUP(A1527,'Discount Lookup'!J:K,2)*G1527),0))))</f>
        <v>0</v>
      </c>
      <c r="AJ1527" s="513" t="str">
        <f t="shared" ca="1" si="1159"/>
        <v/>
      </c>
      <c r="AK1527" s="700" t="str">
        <f t="shared" si="1160"/>
        <v/>
      </c>
      <c r="AL1527" s="700"/>
      <c r="AM1527" s="505" t="str">
        <f t="shared" si="1161"/>
        <v/>
      </c>
      <c r="AN1527" s="506"/>
      <c r="AO1527" s="507"/>
      <c r="AP1527" s="507"/>
      <c r="AQ1527" s="507"/>
      <c r="AR1527" s="507"/>
      <c r="AS1527" s="507"/>
      <c r="AT1527" s="507"/>
      <c r="AU1527" s="507"/>
      <c r="AV1527" s="225"/>
      <c r="AW1527" s="508"/>
      <c r="AX1527" s="225"/>
      <c r="AY1527" s="225"/>
      <c r="AZ1527" s="225"/>
      <c r="BA1527" s="225"/>
      <c r="BB1527" s="225"/>
      <c r="BC1527" s="56"/>
      <c r="BD1527" s="56"/>
      <c r="BE1527" s="56"/>
      <c r="BF1527" s="107" t="str">
        <f t="shared" si="1162"/>
        <v>https://www.google.com/search?tbm=isch&amp;q=10%20G4</v>
      </c>
      <c r="BG1527" s="107" t="str">
        <f t="shared" si="1163"/>
        <v>G</v>
      </c>
      <c r="BH1527" s="254"/>
      <c r="BI1527" s="254"/>
    </row>
    <row r="1528" spans="1:61" customFormat="1" ht="16.5" thickBot="1" x14ac:dyDescent="0.3">
      <c r="A1528" s="522" t="s">
        <v>2983</v>
      </c>
      <c r="B1528" s="491"/>
      <c r="C1528" s="675"/>
      <c r="D1528" s="491"/>
      <c r="E1528" s="491"/>
      <c r="F1528" s="492"/>
      <c r="G1528" s="493"/>
      <c r="H1528" s="491"/>
      <c r="I1528" s="234"/>
      <c r="J1528" s="234"/>
      <c r="K1528" s="494"/>
      <c r="L1528" s="543"/>
      <c r="M1528" s="561"/>
      <c r="N1528" s="495"/>
      <c r="O1528" s="496"/>
      <c r="P1528" s="497"/>
      <c r="Q1528" s="495"/>
      <c r="R1528" s="495"/>
      <c r="S1528" s="277"/>
      <c r="T1528" s="508">
        <f t="shared" si="1151"/>
        <v>0</v>
      </c>
      <c r="U1528" s="225" t="str">
        <f>IF(NOT(ISNUMBER(G1528)), "", VLOOKUP(A1528,'Discount Lookup'!D:E,2,FALSE)*G1528)</f>
        <v/>
      </c>
      <c r="V1528" s="225" t="str">
        <f>IF(NOT(ISNUMBER(G1528)), "", VLOOKUP(A1528,'Discount Lookup'!G:H,2,FALSE)*G1528)</f>
        <v/>
      </c>
      <c r="W1528" s="508">
        <f t="shared" si="1152"/>
        <v>0</v>
      </c>
      <c r="X1528" s="508">
        <f t="shared" si="1153"/>
        <v>0</v>
      </c>
      <c r="Y1528" s="509" t="b">
        <f t="shared" si="1154"/>
        <v>0</v>
      </c>
      <c r="Z1528" s="510">
        <f t="shared" si="1155"/>
        <v>0</v>
      </c>
      <c r="AA1528" s="511"/>
      <c r="AB1528" s="511" t="str">
        <f t="shared" si="1156"/>
        <v/>
      </c>
      <c r="AC1528" s="698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698"/>
      <c r="AE1528" s="631" t="str">
        <f t="shared" si="1157"/>
        <v/>
      </c>
      <c r="AF1528" s="699" t="str">
        <f t="shared" si="1158"/>
        <v/>
      </c>
      <c r="AG1528" s="699"/>
      <c r="AH1528" s="699"/>
      <c r="AI1528" s="512">
        <f>IF(H1528="credit",0,IF(AE1528="free",0,IF(AE1528="me",0,IF(G1528&gt;0,(VLOOKUP(A1528,'Discount Lookup'!J:K,2)*G1528),0))))</f>
        <v>0</v>
      </c>
      <c r="AJ1528" s="513" t="str">
        <f t="shared" ca="1" si="1159"/>
        <v/>
      </c>
      <c r="AK1528" s="700" t="str">
        <f t="shared" si="1160"/>
        <v/>
      </c>
      <c r="AL1528" s="700"/>
      <c r="AM1528" s="505" t="str">
        <f t="shared" si="1161"/>
        <v/>
      </c>
      <c r="AN1528" s="506"/>
      <c r="AO1528" s="507"/>
      <c r="AP1528" s="507"/>
      <c r="AQ1528" s="507"/>
      <c r="AR1528" s="507"/>
      <c r="AS1528" s="507"/>
      <c r="AT1528" s="507"/>
      <c r="AU1528" s="507"/>
      <c r="AV1528" s="225"/>
      <c r="AW1528" s="508"/>
      <c r="AX1528" s="225"/>
      <c r="AY1528" s="225"/>
      <c r="AZ1528" s="225"/>
      <c r="BA1528" s="225"/>
      <c r="BB1528" s="225"/>
      <c r="BC1528" s="56"/>
      <c r="BD1528" s="56"/>
      <c r="BE1528" s="56"/>
      <c r="BF1528" s="107" t="str">
        <f t="shared" si="1162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528" s="107" t="str">
        <f t="shared" si="1163"/>
        <v>G</v>
      </c>
      <c r="BH1528" s="254"/>
      <c r="BI1528" s="254"/>
    </row>
    <row r="1529" spans="1:61" customFormat="1" ht="18" x14ac:dyDescent="0.25">
      <c r="A1529" s="521" t="s">
        <v>3063</v>
      </c>
      <c r="B1529" s="477"/>
      <c r="C1529" s="674"/>
      <c r="D1529" s="478" t="s">
        <v>976</v>
      </c>
      <c r="E1529" s="479"/>
      <c r="F1529" s="479"/>
      <c r="G1529" s="479"/>
      <c r="H1529" s="582" t="s">
        <v>977</v>
      </c>
      <c r="I1529" s="480" t="s">
        <v>2293</v>
      </c>
      <c r="J1529" s="479"/>
      <c r="K1529" s="479"/>
      <c r="L1529" s="560"/>
      <c r="M1529" s="666" t="s">
        <v>4963</v>
      </c>
      <c r="N1529" s="680" t="str">
        <f>IF(AND(ISTEXT($A1529), ISERROR($A1529+0)), HYPERLINK($BF1529, "Images"), "")</f>
        <v>Images</v>
      </c>
      <c r="O1529" s="662" t="s">
        <v>4969</v>
      </c>
      <c r="P1529" s="482"/>
      <c r="Q1529" s="483"/>
      <c r="R1529" s="483"/>
      <c r="S1529" s="484"/>
      <c r="T1529" s="508">
        <f t="shared" si="1151"/>
        <v>0</v>
      </c>
      <c r="U1529" s="225" t="str">
        <f>IF(NOT(ISNUMBER(G1529)), "", VLOOKUP(A1529,'Discount Lookup'!D:E,2,FALSE)*G1529)</f>
        <v/>
      </c>
      <c r="V1529" s="225" t="str">
        <f>IF(NOT(ISNUMBER(G1529)), "", VLOOKUP(A1529,'Discount Lookup'!G:H,2,FALSE)*G1529)</f>
        <v/>
      </c>
      <c r="W1529" s="508">
        <f t="shared" si="1152"/>
        <v>0</v>
      </c>
      <c r="X1529" s="508" t="str">
        <f t="shared" si="1153"/>
        <v>Golden-Yellow foliage</v>
      </c>
      <c r="Y1529" s="509" t="b">
        <f t="shared" si="1154"/>
        <v>0</v>
      </c>
      <c r="Z1529" s="510">
        <f t="shared" si="1155"/>
        <v>0</v>
      </c>
      <c r="AA1529" s="511"/>
      <c r="AB1529" s="511" t="str">
        <f t="shared" si="1156"/>
        <v/>
      </c>
      <c r="AC1529" s="698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698"/>
      <c r="AE1529" s="631" t="str">
        <f t="shared" si="1157"/>
        <v/>
      </c>
      <c r="AF1529" s="699" t="str">
        <f t="shared" si="1158"/>
        <v/>
      </c>
      <c r="AG1529" s="699"/>
      <c r="AH1529" s="699"/>
      <c r="AI1529" s="512">
        <f>IF(H1529="credit",0,IF(AE1529="free",0,IF(AE1529="me",0,IF(G1529&gt;0,(VLOOKUP(A1529,'Discount Lookup'!J:K,2)*G1529),0))))</f>
        <v>0</v>
      </c>
      <c r="AJ1529" s="513" t="str">
        <f t="shared" ca="1" si="1159"/>
        <v/>
      </c>
      <c r="AK1529" s="700" t="str">
        <f t="shared" si="1160"/>
        <v/>
      </c>
      <c r="AL1529" s="700"/>
      <c r="AM1529" s="505" t="str">
        <f t="shared" si="1161"/>
        <v/>
      </c>
      <c r="AN1529" s="506"/>
      <c r="AO1529" s="507"/>
      <c r="AP1529" s="507"/>
      <c r="AQ1529" s="507"/>
      <c r="AR1529" s="507"/>
      <c r="AS1529" s="507"/>
      <c r="AT1529" s="507"/>
      <c r="AU1529" s="507"/>
      <c r="AV1529" s="225"/>
      <c r="AW1529" s="508"/>
      <c r="AX1529" s="225"/>
      <c r="AY1529" s="225"/>
      <c r="AZ1529" s="225"/>
      <c r="BA1529" s="225"/>
      <c r="BB1529" s="225"/>
      <c r="BC1529" s="56"/>
      <c r="BD1529" s="56"/>
      <c r="BE1529" s="56"/>
      <c r="BF1529" s="107" t="str">
        <f t="shared" si="1162"/>
        <v>https://www.google.com/search?tbm=isch&amp;q=Gold%20Lace%20Juniper%20Juniperus%20chinensis%20%27Gold%20Lace%27%20PP%238202Exp.</v>
      </c>
      <c r="BG1529" s="107" t="str">
        <f t="shared" si="1163"/>
        <v>G</v>
      </c>
      <c r="BH1529" s="254"/>
      <c r="BI1529" s="254"/>
    </row>
    <row r="1530" spans="1:61" customFormat="1" ht="15.75" x14ac:dyDescent="0.25">
      <c r="A1530" s="485">
        <v>3</v>
      </c>
      <c r="B1530" s="486" t="s">
        <v>291</v>
      </c>
      <c r="C1530" s="487"/>
      <c r="D1530" s="488" t="s">
        <v>298</v>
      </c>
      <c r="E1530" s="489">
        <v>25.95</v>
      </c>
      <c r="F1530" s="516" t="s">
        <v>293</v>
      </c>
      <c r="G1530" s="232">
        <v>0</v>
      </c>
      <c r="H1530" s="658" t="str">
        <f>IF(G1530=0,"",IF(F1530="Buy",IF(G1530=1,"plant","plants"),IF(F1530&gt;0.01,"warranty","Error")))</f>
        <v/>
      </c>
      <c r="I1530" s="490">
        <f>IF(H1530="free",0,IF(H1530="credit",((E1530*(F1530))*G1530*-1),IF(F1530="Buy",(E1530*G1530),((E1530*(1-F1530))*G1530))))</f>
        <v>0</v>
      </c>
      <c r="J1530" s="490">
        <f>IF(H1530="warranty",0,(I1530*(_xlfn.SINGLE(SalesTaxPercentage))))</f>
        <v>0</v>
      </c>
      <c r="K1530" s="695">
        <f t="shared" ref="K1530" si="1189">I1530+J1530</f>
        <v>0</v>
      </c>
      <c r="L1530" s="695"/>
      <c r="M1530" s="659" t="str">
        <f>IF(AND(G1530&gt;0,E1530=0),"WARNING - no PRICE inserted",IF(H1530="free"," FREE ~ no charge this plant",IF(H1530="credit",CONCATENATE(" -$",ROUND(K1530*(1-T2GDiscount)*-1,2)," CREDIT after discount"),IF(T2GDiscount=0,"",IF(G1530=0,"",IF(F1530="Buy",CONCATENATE(" $",ROUND(K1530*(1-T2GDiscount),2)," with ",(T2GDiscount*100),"% discount"),CONCATENATE(" $",ROUND(K1530*(1-T2GDiscount),2)," with ",((T2GDiscount*100+F1530*100)-(T2GDiscount*100*F1530)),IF(F1530&gt;0,"% discounts",IF(NoWarrantyDiscount&gt;0,"% discounts","% discount")))))))))</f>
        <v/>
      </c>
      <c r="N1530" s="660"/>
      <c r="O1530" s="233"/>
      <c r="P1530" s="233"/>
      <c r="Q1530" s="233"/>
      <c r="R1530" s="233"/>
      <c r="S1530" s="233"/>
      <c r="T1530" s="508">
        <f t="shared" si="1151"/>
        <v>0</v>
      </c>
      <c r="U1530" s="225">
        <f>IF(NOT(ISNUMBER(G1530)), "", VLOOKUP(A1530,'Discount Lookup'!D:E,2,FALSE)*G1530)</f>
        <v>0</v>
      </c>
      <c r="V1530" s="225">
        <f>IF(NOT(ISNUMBER(G1530)), "", VLOOKUP(A1530,'Discount Lookup'!G:H,2,FALSE)*G1530)</f>
        <v>0</v>
      </c>
      <c r="W1530" s="508">
        <f t="shared" si="1152"/>
        <v>0</v>
      </c>
      <c r="X1530" s="508">
        <f t="shared" si="1153"/>
        <v>0</v>
      </c>
      <c r="Y1530" s="509" t="b">
        <f t="shared" si="1154"/>
        <v>0</v>
      </c>
      <c r="Z1530" s="510">
        <f t="shared" si="1155"/>
        <v>0</v>
      </c>
      <c r="AA1530" s="511"/>
      <c r="AB1530" s="511" t="str">
        <f t="shared" si="1156"/>
        <v/>
      </c>
      <c r="AC1530" s="698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698"/>
      <c r="AE1530" s="631" t="str">
        <f t="shared" si="1157"/>
        <v/>
      </c>
      <c r="AF1530" s="699" t="str">
        <f t="shared" si="1158"/>
        <v/>
      </c>
      <c r="AG1530" s="699"/>
      <c r="AH1530" s="699"/>
      <c r="AI1530" s="512">
        <f>IF(H1530="credit",0,IF(AE1530="free",0,IF(AE1530="me",0,IF(G1530&gt;0,(VLOOKUP(A1530,'Discount Lookup'!J:K,2)*G1530),0))))</f>
        <v>0</v>
      </c>
      <c r="AJ1530" s="513" t="str">
        <f t="shared" ca="1" si="1159"/>
        <v/>
      </c>
      <c r="AK1530" s="700" t="str">
        <f t="shared" si="1160"/>
        <v/>
      </c>
      <c r="AL1530" s="700"/>
      <c r="AM1530" s="505" t="str">
        <f t="shared" si="1161"/>
        <v/>
      </c>
      <c r="AN1530" s="506"/>
      <c r="AO1530" s="507"/>
      <c r="AP1530" s="507"/>
      <c r="AQ1530" s="507"/>
      <c r="AR1530" s="507"/>
      <c r="AS1530" s="507"/>
      <c r="AT1530" s="507"/>
      <c r="AU1530" s="507"/>
      <c r="AV1530" s="225"/>
      <c r="AW1530" s="508"/>
      <c r="AX1530" s="225"/>
      <c r="AY1530" s="225"/>
      <c r="AZ1530" s="225"/>
      <c r="BA1530" s="225"/>
      <c r="BB1530" s="225"/>
      <c r="BC1530" s="56"/>
      <c r="BD1530" s="56"/>
      <c r="BE1530" s="56"/>
      <c r="BF1530" s="107" t="str">
        <f t="shared" si="1162"/>
        <v>https://www.google.com/search?tbm=isch&amp;q=3%20G1</v>
      </c>
      <c r="BG1530" s="107" t="str">
        <f t="shared" si="1163"/>
        <v>G</v>
      </c>
      <c r="BH1530" s="254"/>
      <c r="BI1530" s="254"/>
    </row>
    <row r="1531" spans="1:61" customFormat="1" ht="17.25" thickBot="1" x14ac:dyDescent="0.3">
      <c r="A1531" s="522" t="s">
        <v>2679</v>
      </c>
      <c r="B1531" s="491"/>
      <c r="C1531" s="675"/>
      <c r="D1531" s="491"/>
      <c r="E1531" s="491"/>
      <c r="F1531" s="492"/>
      <c r="G1531" s="493"/>
      <c r="H1531" s="491"/>
      <c r="I1531" s="234"/>
      <c r="J1531" s="234"/>
      <c r="K1531" s="494"/>
      <c r="L1531" s="543"/>
      <c r="M1531" s="561"/>
      <c r="N1531" s="495"/>
      <c r="O1531" s="496"/>
      <c r="P1531" s="497"/>
      <c r="Q1531" s="495"/>
      <c r="R1531" s="495"/>
      <c r="S1531" s="667" t="s">
        <v>4982</v>
      </c>
      <c r="T1531" s="508">
        <f t="shared" si="1151"/>
        <v>0</v>
      </c>
      <c r="U1531" s="225" t="str">
        <f>IF(NOT(ISNUMBER(G1531)), "", VLOOKUP(A1531,'Discount Lookup'!D:E,2,FALSE)*G1531)</f>
        <v/>
      </c>
      <c r="V1531" s="225" t="str">
        <f>IF(NOT(ISNUMBER(G1531)), "", VLOOKUP(A1531,'Discount Lookup'!G:H,2,FALSE)*G1531)</f>
        <v/>
      </c>
      <c r="W1531" s="508">
        <f t="shared" si="1152"/>
        <v>0</v>
      </c>
      <c r="X1531" s="508">
        <f t="shared" si="1153"/>
        <v>0</v>
      </c>
      <c r="Y1531" s="509" t="b">
        <f t="shared" si="1154"/>
        <v>0</v>
      </c>
      <c r="Z1531" s="510">
        <f t="shared" si="1155"/>
        <v>0</v>
      </c>
      <c r="AA1531" s="511"/>
      <c r="AB1531" s="511" t="str">
        <f t="shared" si="1156"/>
        <v/>
      </c>
      <c r="AC1531" s="698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698"/>
      <c r="AE1531" s="631" t="str">
        <f t="shared" si="1157"/>
        <v/>
      </c>
      <c r="AF1531" s="699" t="str">
        <f t="shared" si="1158"/>
        <v/>
      </c>
      <c r="AG1531" s="699"/>
      <c r="AH1531" s="699"/>
      <c r="AI1531" s="512">
        <f>IF(H1531="credit",0,IF(AE1531="free",0,IF(AE1531="me",0,IF(G1531&gt;0,(VLOOKUP(A1531,'Discount Lookup'!J:K,2)*G1531),0))))</f>
        <v>0</v>
      </c>
      <c r="AJ1531" s="513" t="str">
        <f t="shared" ca="1" si="1159"/>
        <v/>
      </c>
      <c r="AK1531" s="700" t="str">
        <f t="shared" si="1160"/>
        <v/>
      </c>
      <c r="AL1531" s="700"/>
      <c r="AM1531" s="505" t="str">
        <f t="shared" si="1161"/>
        <v/>
      </c>
      <c r="AN1531" s="506"/>
      <c r="AO1531" s="507"/>
      <c r="AP1531" s="507"/>
      <c r="AQ1531" s="507"/>
      <c r="AR1531" s="507"/>
      <c r="AS1531" s="507"/>
      <c r="AT1531" s="507"/>
      <c r="AU1531" s="507"/>
      <c r="AV1531" s="225"/>
      <c r="AW1531" s="508"/>
      <c r="AX1531" s="225"/>
      <c r="AY1531" s="225"/>
      <c r="AZ1531" s="225"/>
      <c r="BA1531" s="225"/>
      <c r="BB1531" s="225"/>
      <c r="BC1531" s="56"/>
      <c r="BD1531" s="56"/>
      <c r="BE1531" s="56"/>
      <c r="BF1531" s="107" t="str">
        <f t="shared" si="1162"/>
        <v>https://www.google.com/search?tbm=isch&amp;q=Gold%20Lace%20fills%20a%20space%20with%20it%27s%20soft%2C%20lacy%20texture.%20Gets%20brighter%20Yellow%20in%20summer%2C%20then%20Golder%20in%20fall.%20Sun%2Fheat%2Fdrought%20tolerant%20</v>
      </c>
      <c r="BG1531" s="107" t="str">
        <f t="shared" si="1163"/>
        <v>G</v>
      </c>
      <c r="BH1531" s="254"/>
      <c r="BI1531" s="254"/>
    </row>
    <row r="1532" spans="1:61" customFormat="1" ht="18" x14ac:dyDescent="0.25">
      <c r="A1532" s="521" t="s">
        <v>978</v>
      </c>
      <c r="B1532" s="477"/>
      <c r="C1532" s="674"/>
      <c r="D1532" s="478" t="s">
        <v>979</v>
      </c>
      <c r="E1532" s="479"/>
      <c r="F1532" s="479"/>
      <c r="G1532" s="479"/>
      <c r="H1532" s="582" t="s">
        <v>474</v>
      </c>
      <c r="I1532" s="480" t="s">
        <v>2293</v>
      </c>
      <c r="J1532" s="479"/>
      <c r="K1532" s="479"/>
      <c r="L1532" s="560"/>
      <c r="M1532" s="666" t="s">
        <v>4966</v>
      </c>
      <c r="N1532" s="680" t="str">
        <f>IF(AND(ISTEXT($A1532), ISERROR($A1532+0)), HYPERLINK($BF1532, "Images"), "")</f>
        <v>Images</v>
      </c>
      <c r="O1532" s="662" t="s">
        <v>4967</v>
      </c>
      <c r="P1532" s="482"/>
      <c r="Q1532" s="483"/>
      <c r="R1532" s="483"/>
      <c r="S1532" s="484"/>
      <c r="T1532" s="508">
        <f t="shared" si="1151"/>
        <v>0</v>
      </c>
      <c r="U1532" s="225" t="str">
        <f>IF(NOT(ISNUMBER(G1532)), "", VLOOKUP(A1532,'Discount Lookup'!D:E,2,FALSE)*G1532)</f>
        <v/>
      </c>
      <c r="V1532" s="225" t="str">
        <f>IF(NOT(ISNUMBER(G1532)), "", VLOOKUP(A1532,'Discount Lookup'!G:H,2,FALSE)*G1532)</f>
        <v/>
      </c>
      <c r="W1532" s="508">
        <f t="shared" si="1152"/>
        <v>0</v>
      </c>
      <c r="X1532" s="508" t="str">
        <f t="shared" si="1153"/>
        <v>Golden-Yellow foliage</v>
      </c>
      <c r="Y1532" s="509" t="b">
        <f t="shared" si="1154"/>
        <v>0</v>
      </c>
      <c r="Z1532" s="510">
        <f t="shared" si="1155"/>
        <v>0</v>
      </c>
      <c r="AA1532" s="511"/>
      <c r="AB1532" s="511" t="str">
        <f t="shared" si="1156"/>
        <v/>
      </c>
      <c r="AC1532" s="698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698"/>
      <c r="AE1532" s="631" t="str">
        <f t="shared" si="1157"/>
        <v/>
      </c>
      <c r="AF1532" s="699" t="str">
        <f t="shared" si="1158"/>
        <v/>
      </c>
      <c r="AG1532" s="699"/>
      <c r="AH1532" s="699"/>
      <c r="AI1532" s="512">
        <f>IF(H1532="credit",0,IF(AE1532="free",0,IF(AE1532="me",0,IF(G1532&gt;0,(VLOOKUP(A1532,'Discount Lookup'!J:K,2)*G1532),0))))</f>
        <v>0</v>
      </c>
      <c r="AJ1532" s="513" t="str">
        <f t="shared" ca="1" si="1159"/>
        <v/>
      </c>
      <c r="AK1532" s="700" t="str">
        <f t="shared" si="1160"/>
        <v/>
      </c>
      <c r="AL1532" s="700"/>
      <c r="AM1532" s="505" t="str">
        <f t="shared" si="1161"/>
        <v/>
      </c>
      <c r="AN1532" s="506"/>
      <c r="AO1532" s="507"/>
      <c r="AP1532" s="507"/>
      <c r="AQ1532" s="507"/>
      <c r="AR1532" s="507"/>
      <c r="AS1532" s="507"/>
      <c r="AT1532" s="507"/>
      <c r="AU1532" s="507"/>
      <c r="AV1532" s="225"/>
      <c r="AW1532" s="508"/>
      <c r="AX1532" s="225"/>
      <c r="AY1532" s="225"/>
      <c r="AZ1532" s="225"/>
      <c r="BA1532" s="225"/>
      <c r="BB1532" s="225"/>
      <c r="BC1532" s="56"/>
      <c r="BD1532" s="56"/>
      <c r="BE1532" s="56"/>
      <c r="BF1532" s="107" t="str">
        <f t="shared" si="1162"/>
        <v>https://www.google.com/search?tbm=isch&amp;q=Gold%20Mop%20Cypress%20Chamaecyparis%20pisifera%20%27Golden%20Mop%27</v>
      </c>
      <c r="BG1532" s="107" t="str">
        <f t="shared" si="1163"/>
        <v>G</v>
      </c>
      <c r="BH1532" s="254"/>
      <c r="BI1532" s="254"/>
    </row>
    <row r="1533" spans="1:61" customFormat="1" ht="15.75" x14ac:dyDescent="0.25">
      <c r="A1533" s="485">
        <v>3</v>
      </c>
      <c r="B1533" s="486" t="s">
        <v>291</v>
      </c>
      <c r="C1533" s="487" t="s">
        <v>4710</v>
      </c>
      <c r="D1533" s="488" t="s">
        <v>297</v>
      </c>
      <c r="E1533" s="489">
        <v>24.95</v>
      </c>
      <c r="F1533" s="516" t="s">
        <v>293</v>
      </c>
      <c r="G1533" s="232">
        <v>0</v>
      </c>
      <c r="H1533" s="658" t="str">
        <f t="shared" ref="H1533:H1541" si="1190">IF(G1533=0,"",IF(F1533="Buy",IF(G1533=1,"plant","plants"),IF(F1533&gt;0.01,"warranty","Error")))</f>
        <v/>
      </c>
      <c r="I1533" s="490">
        <f t="shared" ref="I1533:I1541" si="1191">IF(H1533="free",0,IF(H1533="credit",((E1533*(F1533))*G1533*-1),IF(F1533="Buy",(E1533*G1533),((E1533*(1-F1533))*G1533))))</f>
        <v>0</v>
      </c>
      <c r="J1533" s="490">
        <f t="shared" ref="J1533:J1541" si="1192">IF(H1533="warranty",0,(I1533*(_xlfn.SINGLE(SalesTaxPercentage))))</f>
        <v>0</v>
      </c>
      <c r="K1533" s="695">
        <f t="shared" ref="K1533" si="1193">I1533+J1533</f>
        <v>0</v>
      </c>
      <c r="L1533" s="695"/>
      <c r="M1533" s="659" t="str">
        <f t="shared" ref="M1533:M1541" si="1194">IF(AND(G1533&gt;0,E1533=0),"WARNING - no PRICE inserted",IF(H1533="free"," FREE ~ no charge this plant",IF(H1533="credit",CONCATENATE(" -$",ROUND(K1533*(1-T2GDiscount)*-1,2)," CREDIT after discount"),IF(T2GDiscount=0,"",IF(G1533=0,"",IF(F1533="Buy",CONCATENATE(" $",ROUND(K1533*(1-T2GDiscount),2)," with ",(T2GDiscount*100),"% discount"),CONCATENATE(" $",ROUND(K1533*(1-T2GDiscount),2)," with ",((T2GDiscount*100+F1533*100)-(T2GDiscount*100*F1533)),IF(F1533&gt;0,"% discounts",IF(NoWarrantyDiscount&gt;0,"% discounts","% discount")))))))))</f>
        <v/>
      </c>
      <c r="N1533" s="660"/>
      <c r="O1533" s="233"/>
      <c r="P1533" s="233"/>
      <c r="Q1533" s="233"/>
      <c r="R1533" s="233"/>
      <c r="S1533" s="233"/>
      <c r="T1533" s="508">
        <f t="shared" si="1151"/>
        <v>0</v>
      </c>
      <c r="U1533" s="225">
        <f>IF(NOT(ISNUMBER(G1533)), "", VLOOKUP(A1533,'Discount Lookup'!D:E,2,FALSE)*G1533)</f>
        <v>0</v>
      </c>
      <c r="V1533" s="225">
        <f>IF(NOT(ISNUMBER(G1533)), "", VLOOKUP(A1533,'Discount Lookup'!G:H,2,FALSE)*G1533)</f>
        <v>0</v>
      </c>
      <c r="W1533" s="508">
        <f t="shared" si="1152"/>
        <v>0</v>
      </c>
      <c r="X1533" s="508">
        <f t="shared" si="1153"/>
        <v>0</v>
      </c>
      <c r="Y1533" s="509" t="b">
        <f t="shared" si="1154"/>
        <v>0</v>
      </c>
      <c r="Z1533" s="510">
        <f t="shared" si="1155"/>
        <v>0</v>
      </c>
      <c r="AA1533" s="511"/>
      <c r="AB1533" s="511" t="str">
        <f t="shared" si="1156"/>
        <v/>
      </c>
      <c r="AC1533" s="698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698"/>
      <c r="AE1533" s="631" t="str">
        <f t="shared" si="1157"/>
        <v/>
      </c>
      <c r="AF1533" s="699" t="str">
        <f t="shared" si="1158"/>
        <v/>
      </c>
      <c r="AG1533" s="699"/>
      <c r="AH1533" s="699"/>
      <c r="AI1533" s="512">
        <f>IF(H1533="credit",0,IF(AE1533="free",0,IF(AE1533="me",0,IF(G1533&gt;0,(VLOOKUP(A1533,'Discount Lookup'!J:K,2)*G1533),0))))</f>
        <v>0</v>
      </c>
      <c r="AJ1533" s="513" t="str">
        <f t="shared" ca="1" si="1159"/>
        <v/>
      </c>
      <c r="AK1533" s="700" t="str">
        <f t="shared" si="1160"/>
        <v/>
      </c>
      <c r="AL1533" s="700"/>
      <c r="AM1533" s="505" t="str">
        <f t="shared" si="1161"/>
        <v/>
      </c>
      <c r="AN1533" s="506"/>
      <c r="AO1533" s="507"/>
      <c r="AP1533" s="507"/>
      <c r="AQ1533" s="507"/>
      <c r="AR1533" s="507"/>
      <c r="AS1533" s="507"/>
      <c r="AT1533" s="507"/>
      <c r="AU1533" s="507"/>
      <c r="AV1533" s="225"/>
      <c r="AW1533" s="508"/>
      <c r="AX1533" s="225"/>
      <c r="AY1533" s="225"/>
      <c r="AZ1533" s="225"/>
      <c r="BA1533" s="225"/>
      <c r="BB1533" s="225"/>
      <c r="BC1533" s="56"/>
      <c r="BD1533" s="56"/>
      <c r="BE1533" s="56"/>
      <c r="BF1533" s="107" t="str">
        <f t="shared" si="1162"/>
        <v>https://www.google.com/search?tbm=isch&amp;q=3%20G3</v>
      </c>
      <c r="BG1533" s="107" t="str">
        <f t="shared" si="1163"/>
        <v>G</v>
      </c>
      <c r="BH1533" s="254"/>
      <c r="BI1533" s="254"/>
    </row>
    <row r="1534" spans="1:61" customFormat="1" ht="15.75" x14ac:dyDescent="0.25">
      <c r="A1534" s="485">
        <v>3</v>
      </c>
      <c r="B1534" s="486" t="s">
        <v>291</v>
      </c>
      <c r="C1534" s="487" t="s">
        <v>3992</v>
      </c>
      <c r="D1534" s="488" t="s">
        <v>312</v>
      </c>
      <c r="E1534" s="489">
        <v>26.95</v>
      </c>
      <c r="F1534" s="516" t="s">
        <v>293</v>
      </c>
      <c r="G1534" s="232">
        <v>0</v>
      </c>
      <c r="H1534" s="658" t="str">
        <f t="shared" si="1190"/>
        <v/>
      </c>
      <c r="I1534" s="490">
        <f t="shared" si="1191"/>
        <v>0</v>
      </c>
      <c r="J1534" s="490">
        <f t="shared" si="1192"/>
        <v>0</v>
      </c>
      <c r="K1534" s="695">
        <f t="shared" ref="K1534" si="1195">I1534+J1534</f>
        <v>0</v>
      </c>
      <c r="L1534" s="695"/>
      <c r="M1534" s="659" t="str">
        <f t="shared" si="1194"/>
        <v/>
      </c>
      <c r="N1534" s="660"/>
      <c r="O1534" s="233"/>
      <c r="P1534" s="233"/>
      <c r="Q1534" s="233"/>
      <c r="R1534" s="233"/>
      <c r="S1534" s="233"/>
      <c r="T1534" s="508">
        <f t="shared" si="1151"/>
        <v>0</v>
      </c>
      <c r="U1534" s="225">
        <f>IF(NOT(ISNUMBER(G1534)), "", VLOOKUP(A1534,'Discount Lookup'!D:E,2,FALSE)*G1534)</f>
        <v>0</v>
      </c>
      <c r="V1534" s="225">
        <f>IF(NOT(ISNUMBER(G1534)), "", VLOOKUP(A1534,'Discount Lookup'!G:H,2,FALSE)*G1534)</f>
        <v>0</v>
      </c>
      <c r="W1534" s="508">
        <f t="shared" si="1152"/>
        <v>0</v>
      </c>
      <c r="X1534" s="508">
        <f t="shared" si="1153"/>
        <v>0</v>
      </c>
      <c r="Y1534" s="509" t="b">
        <f t="shared" si="1154"/>
        <v>0</v>
      </c>
      <c r="Z1534" s="510">
        <f t="shared" si="1155"/>
        <v>0</v>
      </c>
      <c r="AA1534" s="511"/>
      <c r="AB1534" s="511" t="str">
        <f t="shared" si="1156"/>
        <v/>
      </c>
      <c r="AC1534" s="698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698"/>
      <c r="AE1534" s="631" t="str">
        <f t="shared" si="1157"/>
        <v/>
      </c>
      <c r="AF1534" s="699" t="str">
        <f t="shared" si="1158"/>
        <v/>
      </c>
      <c r="AG1534" s="699"/>
      <c r="AH1534" s="699"/>
      <c r="AI1534" s="512">
        <f>IF(H1534="credit",0,IF(AE1534="free",0,IF(AE1534="me",0,IF(G1534&gt;0,(VLOOKUP(A1534,'Discount Lookup'!J:K,2)*G1534),0))))</f>
        <v>0</v>
      </c>
      <c r="AJ1534" s="513" t="str">
        <f t="shared" ca="1" si="1159"/>
        <v/>
      </c>
      <c r="AK1534" s="700" t="str">
        <f t="shared" si="1160"/>
        <v/>
      </c>
      <c r="AL1534" s="700"/>
      <c r="AM1534" s="505" t="str">
        <f t="shared" si="1161"/>
        <v/>
      </c>
      <c r="AN1534" s="506"/>
      <c r="AO1534" s="507"/>
      <c r="AP1534" s="507"/>
      <c r="AQ1534" s="507"/>
      <c r="AR1534" s="507"/>
      <c r="AS1534" s="507"/>
      <c r="AT1534" s="507"/>
      <c r="AU1534" s="507"/>
      <c r="AV1534" s="225"/>
      <c r="AW1534" s="508"/>
      <c r="AX1534" s="225"/>
      <c r="AY1534" s="225"/>
      <c r="AZ1534" s="225"/>
      <c r="BA1534" s="225"/>
      <c r="BB1534" s="225"/>
      <c r="BC1534" s="56"/>
      <c r="BD1534" s="56"/>
      <c r="BE1534" s="56"/>
      <c r="BF1534" s="107" t="str">
        <f t="shared" si="1162"/>
        <v>https://www.google.com/search?tbm=isch&amp;q=3%20G2</v>
      </c>
      <c r="BG1534" s="107" t="str">
        <f t="shared" si="1163"/>
        <v>G</v>
      </c>
      <c r="BH1534" s="254"/>
      <c r="BI1534" s="254"/>
    </row>
    <row r="1535" spans="1:61" customFormat="1" ht="15.75" x14ac:dyDescent="0.25">
      <c r="A1535" s="485">
        <v>3</v>
      </c>
      <c r="B1535" s="486" t="s">
        <v>291</v>
      </c>
      <c r="C1535" s="487" t="s">
        <v>341</v>
      </c>
      <c r="D1535" s="488" t="s">
        <v>298</v>
      </c>
      <c r="E1535" s="489">
        <v>27.95</v>
      </c>
      <c r="F1535" s="516" t="s">
        <v>293</v>
      </c>
      <c r="G1535" s="232">
        <v>0</v>
      </c>
      <c r="H1535" s="658" t="str">
        <f t="shared" si="1190"/>
        <v/>
      </c>
      <c r="I1535" s="490">
        <f t="shared" si="1191"/>
        <v>0</v>
      </c>
      <c r="J1535" s="490">
        <f t="shared" si="1192"/>
        <v>0</v>
      </c>
      <c r="K1535" s="695">
        <f t="shared" ref="K1535" si="1196">I1535+J1535</f>
        <v>0</v>
      </c>
      <c r="L1535" s="695"/>
      <c r="M1535" s="659" t="str">
        <f t="shared" si="1194"/>
        <v/>
      </c>
      <c r="N1535" s="660"/>
      <c r="O1535" s="233"/>
      <c r="P1535" s="233"/>
      <c r="Q1535" s="233"/>
      <c r="R1535" s="233"/>
      <c r="S1535" s="233"/>
      <c r="T1535" s="508">
        <f t="shared" si="1151"/>
        <v>0</v>
      </c>
      <c r="U1535" s="225">
        <f>IF(NOT(ISNUMBER(G1535)), "", VLOOKUP(A1535,'Discount Lookup'!D:E,2,FALSE)*G1535)</f>
        <v>0</v>
      </c>
      <c r="V1535" s="225">
        <f>IF(NOT(ISNUMBER(G1535)), "", VLOOKUP(A1535,'Discount Lookup'!G:H,2,FALSE)*G1535)</f>
        <v>0</v>
      </c>
      <c r="W1535" s="508">
        <f t="shared" si="1152"/>
        <v>0</v>
      </c>
      <c r="X1535" s="508">
        <f t="shared" si="1153"/>
        <v>0</v>
      </c>
      <c r="Y1535" s="509" t="b">
        <f t="shared" si="1154"/>
        <v>0</v>
      </c>
      <c r="Z1535" s="510">
        <f t="shared" si="1155"/>
        <v>0</v>
      </c>
      <c r="AA1535" s="511"/>
      <c r="AB1535" s="511" t="str">
        <f t="shared" si="1156"/>
        <v/>
      </c>
      <c r="AC1535" s="698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698"/>
      <c r="AE1535" s="631" t="str">
        <f t="shared" si="1157"/>
        <v/>
      </c>
      <c r="AF1535" s="699" t="str">
        <f t="shared" si="1158"/>
        <v/>
      </c>
      <c r="AG1535" s="699"/>
      <c r="AH1535" s="699"/>
      <c r="AI1535" s="512">
        <f>IF(H1535="credit",0,IF(AE1535="free",0,IF(AE1535="me",0,IF(G1535&gt;0,(VLOOKUP(A1535,'Discount Lookup'!J:K,2)*G1535),0))))</f>
        <v>0</v>
      </c>
      <c r="AJ1535" s="513" t="str">
        <f t="shared" ca="1" si="1159"/>
        <v/>
      </c>
      <c r="AK1535" s="700" t="str">
        <f t="shared" si="1160"/>
        <v/>
      </c>
      <c r="AL1535" s="700"/>
      <c r="AM1535" s="505" t="str">
        <f t="shared" si="1161"/>
        <v/>
      </c>
      <c r="AN1535" s="506"/>
      <c r="AO1535" s="507"/>
      <c r="AP1535" s="507"/>
      <c r="AQ1535" s="507"/>
      <c r="AR1535" s="507"/>
      <c r="AS1535" s="507"/>
      <c r="AT1535" s="507"/>
      <c r="AU1535" s="507"/>
      <c r="AV1535" s="225"/>
      <c r="AW1535" s="508"/>
      <c r="AX1535" s="225"/>
      <c r="AY1535" s="225"/>
      <c r="AZ1535" s="225"/>
      <c r="BA1535" s="225"/>
      <c r="BB1535" s="225"/>
      <c r="BC1535" s="56"/>
      <c r="BD1535" s="56"/>
      <c r="BE1535" s="56"/>
      <c r="BF1535" s="107" t="str">
        <f t="shared" si="1162"/>
        <v>https://www.google.com/search?tbm=isch&amp;q=3%20G1</v>
      </c>
      <c r="BG1535" s="107" t="str">
        <f t="shared" si="1163"/>
        <v>G</v>
      </c>
      <c r="BH1535" s="254"/>
      <c r="BI1535" s="254"/>
    </row>
    <row r="1536" spans="1:61" customFormat="1" ht="15.75" x14ac:dyDescent="0.25">
      <c r="A1536" s="485">
        <v>3</v>
      </c>
      <c r="B1536" s="486" t="s">
        <v>291</v>
      </c>
      <c r="C1536" s="487" t="s">
        <v>2390</v>
      </c>
      <c r="D1536" s="488" t="s">
        <v>299</v>
      </c>
      <c r="E1536" s="489">
        <v>33.950000000000003</v>
      </c>
      <c r="F1536" s="516" t="s">
        <v>293</v>
      </c>
      <c r="G1536" s="232">
        <v>0</v>
      </c>
      <c r="H1536" s="658" t="str">
        <f t="shared" si="1190"/>
        <v/>
      </c>
      <c r="I1536" s="490">
        <f t="shared" si="1191"/>
        <v>0</v>
      </c>
      <c r="J1536" s="490">
        <f t="shared" si="1192"/>
        <v>0</v>
      </c>
      <c r="K1536" s="695">
        <f t="shared" ref="K1536" si="1197">I1536+J1536</f>
        <v>0</v>
      </c>
      <c r="L1536" s="695"/>
      <c r="M1536" s="659" t="str">
        <f t="shared" si="1194"/>
        <v/>
      </c>
      <c r="N1536" s="660"/>
      <c r="O1536" s="233"/>
      <c r="P1536" s="233"/>
      <c r="Q1536" s="233"/>
      <c r="R1536" s="233"/>
      <c r="S1536" s="233"/>
      <c r="T1536" s="508">
        <f t="shared" si="1151"/>
        <v>0</v>
      </c>
      <c r="U1536" s="225">
        <f>IF(NOT(ISNUMBER(G1536)), "", VLOOKUP(A1536,'Discount Lookup'!D:E,2,FALSE)*G1536)</f>
        <v>0</v>
      </c>
      <c r="V1536" s="225">
        <f>IF(NOT(ISNUMBER(G1536)), "", VLOOKUP(A1536,'Discount Lookup'!G:H,2,FALSE)*G1536)</f>
        <v>0</v>
      </c>
      <c r="W1536" s="508">
        <f t="shared" si="1152"/>
        <v>0</v>
      </c>
      <c r="X1536" s="508">
        <f t="shared" si="1153"/>
        <v>0</v>
      </c>
      <c r="Y1536" s="509" t="b">
        <f t="shared" si="1154"/>
        <v>0</v>
      </c>
      <c r="Z1536" s="510">
        <f t="shared" si="1155"/>
        <v>0</v>
      </c>
      <c r="AA1536" s="511"/>
      <c r="AB1536" s="511" t="str">
        <f t="shared" si="1156"/>
        <v/>
      </c>
      <c r="AC1536" s="698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698"/>
      <c r="AE1536" s="631" t="str">
        <f t="shared" si="1157"/>
        <v/>
      </c>
      <c r="AF1536" s="699" t="str">
        <f t="shared" si="1158"/>
        <v/>
      </c>
      <c r="AG1536" s="699"/>
      <c r="AH1536" s="699"/>
      <c r="AI1536" s="512">
        <f>IF(H1536="credit",0,IF(AE1536="free",0,IF(AE1536="me",0,IF(G1536&gt;0,(VLOOKUP(A1536,'Discount Lookup'!J:K,2)*G1536),0))))</f>
        <v>0</v>
      </c>
      <c r="AJ1536" s="513" t="str">
        <f t="shared" ca="1" si="1159"/>
        <v/>
      </c>
      <c r="AK1536" s="700" t="str">
        <f t="shared" si="1160"/>
        <v/>
      </c>
      <c r="AL1536" s="700"/>
      <c r="AM1536" s="505" t="str">
        <f t="shared" si="1161"/>
        <v/>
      </c>
      <c r="AN1536" s="506"/>
      <c r="AO1536" s="507"/>
      <c r="AP1536" s="507"/>
      <c r="AQ1536" s="507"/>
      <c r="AR1536" s="507"/>
      <c r="AS1536" s="507"/>
      <c r="AT1536" s="507"/>
      <c r="AU1536" s="507"/>
      <c r="AV1536" s="225"/>
      <c r="AW1536" s="508"/>
      <c r="AX1536" s="225"/>
      <c r="AY1536" s="225"/>
      <c r="AZ1536" s="225"/>
      <c r="BA1536" s="225"/>
      <c r="BB1536" s="225"/>
      <c r="BC1536" s="56"/>
      <c r="BD1536" s="56"/>
      <c r="BE1536" s="56"/>
      <c r="BF1536" s="107" t="str">
        <f t="shared" si="1162"/>
        <v>https://www.google.com/search?tbm=isch&amp;q=3%20G5</v>
      </c>
      <c r="BG1536" s="107" t="str">
        <f t="shared" si="1163"/>
        <v>G</v>
      </c>
      <c r="BH1536" s="254"/>
      <c r="BI1536" s="254"/>
    </row>
    <row r="1537" spans="1:61" customFormat="1" ht="15.75" x14ac:dyDescent="0.25">
      <c r="A1537" s="485">
        <v>7</v>
      </c>
      <c r="B1537" s="486" t="s">
        <v>291</v>
      </c>
      <c r="C1537" s="487" t="s">
        <v>4889</v>
      </c>
      <c r="D1537" s="488" t="s">
        <v>292</v>
      </c>
      <c r="E1537" s="489">
        <v>109.95</v>
      </c>
      <c r="F1537" s="516" t="s">
        <v>293</v>
      </c>
      <c r="G1537" s="232">
        <v>0</v>
      </c>
      <c r="H1537" s="658" t="str">
        <f t="shared" si="1190"/>
        <v/>
      </c>
      <c r="I1537" s="490">
        <f t="shared" si="1191"/>
        <v>0</v>
      </c>
      <c r="J1537" s="490">
        <f t="shared" si="1192"/>
        <v>0</v>
      </c>
      <c r="K1537" s="695">
        <f t="shared" ref="K1537" si="1198">I1537+J1537</f>
        <v>0</v>
      </c>
      <c r="L1537" s="695"/>
      <c r="M1537" s="659" t="str">
        <f t="shared" si="1194"/>
        <v/>
      </c>
      <c r="N1537" s="660"/>
      <c r="O1537" s="233"/>
      <c r="P1537" s="233"/>
      <c r="Q1537" s="233"/>
      <c r="R1537" s="233"/>
      <c r="S1537" s="233"/>
      <c r="T1537" s="508">
        <f t="shared" si="1151"/>
        <v>0</v>
      </c>
      <c r="U1537" s="225">
        <f>IF(NOT(ISNUMBER(G1537)), "", VLOOKUP(A1537,'Discount Lookup'!D:E,2,FALSE)*G1537)</f>
        <v>0</v>
      </c>
      <c r="V1537" s="225">
        <f>IF(NOT(ISNUMBER(G1537)), "", VLOOKUP(A1537,'Discount Lookup'!G:H,2,FALSE)*G1537)</f>
        <v>0</v>
      </c>
      <c r="W1537" s="508">
        <f t="shared" si="1152"/>
        <v>0</v>
      </c>
      <c r="X1537" s="508">
        <f t="shared" si="1153"/>
        <v>0</v>
      </c>
      <c r="Y1537" s="509" t="b">
        <f t="shared" si="1154"/>
        <v>0</v>
      </c>
      <c r="Z1537" s="510">
        <f t="shared" si="1155"/>
        <v>0</v>
      </c>
      <c r="AA1537" s="511"/>
      <c r="AB1537" s="511" t="str">
        <f t="shared" si="1156"/>
        <v/>
      </c>
      <c r="AC1537" s="698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698"/>
      <c r="AE1537" s="631" t="str">
        <f t="shared" si="1157"/>
        <v/>
      </c>
      <c r="AF1537" s="699" t="str">
        <f t="shared" si="1158"/>
        <v/>
      </c>
      <c r="AG1537" s="699"/>
      <c r="AH1537" s="699"/>
      <c r="AI1537" s="512">
        <f>IF(H1537="credit",0,IF(AE1537="free",0,IF(AE1537="me",0,IF(G1537&gt;0,(VLOOKUP(A1537,'Discount Lookup'!J:K,2)*G1537),0))))</f>
        <v>0</v>
      </c>
      <c r="AJ1537" s="513" t="str">
        <f t="shared" ca="1" si="1159"/>
        <v/>
      </c>
      <c r="AK1537" s="700" t="str">
        <f t="shared" si="1160"/>
        <v/>
      </c>
      <c r="AL1537" s="700"/>
      <c r="AM1537" s="505" t="str">
        <f t="shared" si="1161"/>
        <v/>
      </c>
      <c r="AN1537" s="506"/>
      <c r="AO1537" s="507"/>
      <c r="AP1537" s="507"/>
      <c r="AQ1537" s="507"/>
      <c r="AR1537" s="507"/>
      <c r="AS1537" s="507"/>
      <c r="AT1537" s="507"/>
      <c r="AU1537" s="507"/>
      <c r="AV1537" s="225"/>
      <c r="AW1537" s="508"/>
      <c r="AX1537" s="225"/>
      <c r="AY1537" s="225"/>
      <c r="AZ1537" s="225"/>
      <c r="BA1537" s="225"/>
      <c r="BB1537" s="225"/>
      <c r="BC1537" s="56"/>
      <c r="BD1537" s="56"/>
      <c r="BE1537" s="56"/>
      <c r="BF1537" s="107" t="str">
        <f t="shared" si="1162"/>
        <v>https://www.google.com/search?tbm=isch&amp;q=7%20G4</v>
      </c>
      <c r="BG1537" s="107" t="str">
        <f t="shared" si="1163"/>
        <v>G</v>
      </c>
      <c r="BH1537" s="254"/>
      <c r="BI1537" s="254"/>
    </row>
    <row r="1538" spans="1:61" customFormat="1" ht="40.5" x14ac:dyDescent="0.25">
      <c r="A1538" s="485">
        <v>7</v>
      </c>
      <c r="B1538" s="486" t="s">
        <v>291</v>
      </c>
      <c r="C1538" s="487" t="s">
        <v>3514</v>
      </c>
      <c r="D1538" s="488" t="s">
        <v>292</v>
      </c>
      <c r="E1538" s="489">
        <v>224.95</v>
      </c>
      <c r="F1538" s="516" t="s">
        <v>293</v>
      </c>
      <c r="G1538" s="232">
        <v>0</v>
      </c>
      <c r="H1538" s="658" t="str">
        <f t="shared" si="1190"/>
        <v/>
      </c>
      <c r="I1538" s="490">
        <f t="shared" si="1191"/>
        <v>0</v>
      </c>
      <c r="J1538" s="490">
        <f t="shared" si="1192"/>
        <v>0</v>
      </c>
      <c r="K1538" s="695">
        <f t="shared" ref="K1538" si="1199">I1538+J1538</f>
        <v>0</v>
      </c>
      <c r="L1538" s="695"/>
      <c r="M1538" s="659" t="str">
        <f t="shared" si="1194"/>
        <v/>
      </c>
      <c r="N1538" s="660"/>
      <c r="O1538" s="233"/>
      <c r="P1538" s="233"/>
      <c r="Q1538" s="233"/>
      <c r="R1538" s="233"/>
      <c r="S1538" s="233"/>
      <c r="T1538" s="508">
        <f t="shared" si="1151"/>
        <v>0</v>
      </c>
      <c r="U1538" s="225">
        <f>IF(NOT(ISNUMBER(G1538)), "", VLOOKUP(A1538,'Discount Lookup'!D:E,2,FALSE)*G1538)</f>
        <v>0</v>
      </c>
      <c r="V1538" s="225">
        <f>IF(NOT(ISNUMBER(G1538)), "", VLOOKUP(A1538,'Discount Lookup'!G:H,2,FALSE)*G1538)</f>
        <v>0</v>
      </c>
      <c r="W1538" s="508">
        <f t="shared" si="1152"/>
        <v>0</v>
      </c>
      <c r="X1538" s="508">
        <f t="shared" si="1153"/>
        <v>0</v>
      </c>
      <c r="Y1538" s="509" t="b">
        <f t="shared" si="1154"/>
        <v>0</v>
      </c>
      <c r="Z1538" s="510">
        <f t="shared" si="1155"/>
        <v>0</v>
      </c>
      <c r="AA1538" s="511"/>
      <c r="AB1538" s="511" t="str">
        <f t="shared" si="1156"/>
        <v/>
      </c>
      <c r="AC1538" s="698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698"/>
      <c r="AE1538" s="631" t="str">
        <f t="shared" si="1157"/>
        <v/>
      </c>
      <c r="AF1538" s="699" t="str">
        <f t="shared" si="1158"/>
        <v/>
      </c>
      <c r="AG1538" s="699"/>
      <c r="AH1538" s="699"/>
      <c r="AI1538" s="512">
        <f>IF(H1538="credit",0,IF(AE1538="free",0,IF(AE1538="me",0,IF(G1538&gt;0,(VLOOKUP(A1538,'Discount Lookup'!J:K,2)*G1538),0))))</f>
        <v>0</v>
      </c>
      <c r="AJ1538" s="513" t="str">
        <f t="shared" ca="1" si="1159"/>
        <v/>
      </c>
      <c r="AK1538" s="700" t="str">
        <f t="shared" si="1160"/>
        <v/>
      </c>
      <c r="AL1538" s="700"/>
      <c r="AM1538" s="505" t="str">
        <f t="shared" si="1161"/>
        <v/>
      </c>
      <c r="AN1538" s="506"/>
      <c r="AO1538" s="507"/>
      <c r="AP1538" s="507"/>
      <c r="AQ1538" s="507"/>
      <c r="AR1538" s="507"/>
      <c r="AS1538" s="507"/>
      <c r="AT1538" s="507"/>
      <c r="AU1538" s="507"/>
      <c r="AV1538" s="225"/>
      <c r="AW1538" s="508"/>
      <c r="AX1538" s="225"/>
      <c r="AY1538" s="225"/>
      <c r="AZ1538" s="225"/>
      <c r="BA1538" s="225"/>
      <c r="BB1538" s="225"/>
      <c r="BC1538" s="56"/>
      <c r="BD1538" s="56"/>
      <c r="BE1538" s="56"/>
      <c r="BF1538" s="107" t="str">
        <f t="shared" si="1162"/>
        <v>https://www.google.com/search?tbm=isch&amp;q=7%20G4</v>
      </c>
      <c r="BG1538" s="107" t="str">
        <f t="shared" si="1163"/>
        <v>G</v>
      </c>
      <c r="BH1538" s="254"/>
      <c r="BI1538" s="254"/>
    </row>
    <row r="1539" spans="1:61" customFormat="1" ht="15.75" x14ac:dyDescent="0.25">
      <c r="A1539" s="485">
        <v>25</v>
      </c>
      <c r="B1539" s="486" t="s">
        <v>291</v>
      </c>
      <c r="C1539" s="487" t="s">
        <v>3515</v>
      </c>
      <c r="D1539" s="488" t="s">
        <v>292</v>
      </c>
      <c r="E1539" s="489">
        <v>332.95</v>
      </c>
      <c r="F1539" s="516" t="s">
        <v>293</v>
      </c>
      <c r="G1539" s="232">
        <v>0</v>
      </c>
      <c r="H1539" s="658" t="str">
        <f t="shared" si="1190"/>
        <v/>
      </c>
      <c r="I1539" s="490">
        <f t="shared" si="1191"/>
        <v>0</v>
      </c>
      <c r="J1539" s="490">
        <f t="shared" si="1192"/>
        <v>0</v>
      </c>
      <c r="K1539" s="695">
        <f t="shared" ref="K1539" si="1200">I1539+J1539</f>
        <v>0</v>
      </c>
      <c r="L1539" s="695"/>
      <c r="M1539" s="659" t="str">
        <f t="shared" si="1194"/>
        <v/>
      </c>
      <c r="N1539" s="660"/>
      <c r="O1539" s="233"/>
      <c r="P1539" s="233"/>
      <c r="Q1539" s="233"/>
      <c r="R1539" s="233"/>
      <c r="S1539" s="233"/>
      <c r="T1539" s="508">
        <f t="shared" si="1151"/>
        <v>0</v>
      </c>
      <c r="U1539" s="225">
        <f>IF(NOT(ISNUMBER(G1539)), "", VLOOKUP(A1539,'Discount Lookup'!D:E,2,FALSE)*G1539)</f>
        <v>0</v>
      </c>
      <c r="V1539" s="225">
        <f>IF(NOT(ISNUMBER(G1539)), "", VLOOKUP(A1539,'Discount Lookup'!G:H,2,FALSE)*G1539)</f>
        <v>0</v>
      </c>
      <c r="W1539" s="508">
        <f t="shared" si="1152"/>
        <v>0</v>
      </c>
      <c r="X1539" s="508">
        <f t="shared" si="1153"/>
        <v>0</v>
      </c>
      <c r="Y1539" s="509" t="b">
        <f t="shared" si="1154"/>
        <v>0</v>
      </c>
      <c r="Z1539" s="510">
        <f t="shared" si="1155"/>
        <v>0</v>
      </c>
      <c r="AA1539" s="511"/>
      <c r="AB1539" s="511" t="str">
        <f t="shared" si="1156"/>
        <v/>
      </c>
      <c r="AC1539" s="698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698"/>
      <c r="AE1539" s="631" t="str">
        <f t="shared" si="1157"/>
        <v/>
      </c>
      <c r="AF1539" s="699" t="str">
        <f t="shared" si="1158"/>
        <v/>
      </c>
      <c r="AG1539" s="699"/>
      <c r="AH1539" s="699"/>
      <c r="AI1539" s="512">
        <f>IF(H1539="credit",0,IF(AE1539="free",0,IF(AE1539="me",0,IF(G1539&gt;0,(VLOOKUP(A1539,'Discount Lookup'!J:K,2)*G1539),0))))</f>
        <v>0</v>
      </c>
      <c r="AJ1539" s="513" t="str">
        <f t="shared" ca="1" si="1159"/>
        <v/>
      </c>
      <c r="AK1539" s="700" t="str">
        <f t="shared" si="1160"/>
        <v/>
      </c>
      <c r="AL1539" s="700"/>
      <c r="AM1539" s="505" t="str">
        <f t="shared" si="1161"/>
        <v/>
      </c>
      <c r="AN1539" s="506"/>
      <c r="AO1539" s="507"/>
      <c r="AP1539" s="507"/>
      <c r="AQ1539" s="507"/>
      <c r="AR1539" s="507"/>
      <c r="AS1539" s="507"/>
      <c r="AT1539" s="507"/>
      <c r="AU1539" s="507"/>
      <c r="AV1539" s="225"/>
      <c r="AW1539" s="508"/>
      <c r="AX1539" s="225"/>
      <c r="AY1539" s="225"/>
      <c r="AZ1539" s="225"/>
      <c r="BA1539" s="225"/>
      <c r="BB1539" s="225"/>
      <c r="BC1539" s="56"/>
      <c r="BD1539" s="56"/>
      <c r="BE1539" s="56"/>
      <c r="BF1539" s="107" t="str">
        <f t="shared" si="1162"/>
        <v>https://www.google.com/search?tbm=isch&amp;q=25%20G4</v>
      </c>
      <c r="BG1539" s="107" t="str">
        <f t="shared" si="1163"/>
        <v>G</v>
      </c>
      <c r="BH1539" s="254"/>
      <c r="BI1539" s="254"/>
    </row>
    <row r="1540" spans="1:61" customFormat="1" ht="15.75" x14ac:dyDescent="0.25">
      <c r="A1540" s="485">
        <v>15</v>
      </c>
      <c r="B1540" s="486" t="s">
        <v>291</v>
      </c>
      <c r="C1540" s="487" t="s">
        <v>3516</v>
      </c>
      <c r="D1540" s="488" t="s">
        <v>292</v>
      </c>
      <c r="E1540" s="489">
        <v>454.95</v>
      </c>
      <c r="F1540" s="516" t="s">
        <v>293</v>
      </c>
      <c r="G1540" s="232">
        <v>0</v>
      </c>
      <c r="H1540" s="658" t="str">
        <f t="shared" si="1190"/>
        <v/>
      </c>
      <c r="I1540" s="490">
        <f t="shared" si="1191"/>
        <v>0</v>
      </c>
      <c r="J1540" s="490">
        <f t="shared" si="1192"/>
        <v>0</v>
      </c>
      <c r="K1540" s="695">
        <f t="shared" ref="K1540" si="1201">I1540+J1540</f>
        <v>0</v>
      </c>
      <c r="L1540" s="695"/>
      <c r="M1540" s="659" t="str">
        <f t="shared" si="1194"/>
        <v/>
      </c>
      <c r="N1540" s="660"/>
      <c r="O1540" s="233"/>
      <c r="P1540" s="233"/>
      <c r="Q1540" s="233"/>
      <c r="R1540" s="233"/>
      <c r="S1540" s="233"/>
      <c r="T1540" s="508">
        <f t="shared" si="1151"/>
        <v>0</v>
      </c>
      <c r="U1540" s="225">
        <f>IF(NOT(ISNUMBER(G1540)), "", VLOOKUP(A1540,'Discount Lookup'!D:E,2,FALSE)*G1540)</f>
        <v>0</v>
      </c>
      <c r="V1540" s="225">
        <f>IF(NOT(ISNUMBER(G1540)), "", VLOOKUP(A1540,'Discount Lookup'!G:H,2,FALSE)*G1540)</f>
        <v>0</v>
      </c>
      <c r="W1540" s="508">
        <f t="shared" si="1152"/>
        <v>0</v>
      </c>
      <c r="X1540" s="508">
        <f t="shared" si="1153"/>
        <v>0</v>
      </c>
      <c r="Y1540" s="509" t="b">
        <f t="shared" si="1154"/>
        <v>0</v>
      </c>
      <c r="Z1540" s="510">
        <f t="shared" si="1155"/>
        <v>0</v>
      </c>
      <c r="AA1540" s="511"/>
      <c r="AB1540" s="511" t="str">
        <f t="shared" si="1156"/>
        <v/>
      </c>
      <c r="AC1540" s="698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698"/>
      <c r="AE1540" s="631" t="str">
        <f t="shared" si="1157"/>
        <v/>
      </c>
      <c r="AF1540" s="699" t="str">
        <f t="shared" si="1158"/>
        <v/>
      </c>
      <c r="AG1540" s="699"/>
      <c r="AH1540" s="699"/>
      <c r="AI1540" s="512">
        <f>IF(H1540="credit",0,IF(AE1540="free",0,IF(AE1540="me",0,IF(G1540&gt;0,(VLOOKUP(A1540,'Discount Lookup'!J:K,2)*G1540),0))))</f>
        <v>0</v>
      </c>
      <c r="AJ1540" s="513" t="str">
        <f t="shared" ca="1" si="1159"/>
        <v/>
      </c>
      <c r="AK1540" s="700" t="str">
        <f t="shared" si="1160"/>
        <v/>
      </c>
      <c r="AL1540" s="700"/>
      <c r="AM1540" s="505" t="str">
        <f t="shared" si="1161"/>
        <v/>
      </c>
      <c r="AN1540" s="506"/>
      <c r="AO1540" s="507"/>
      <c r="AP1540" s="507"/>
      <c r="AQ1540" s="507"/>
      <c r="AR1540" s="507"/>
      <c r="AS1540" s="507"/>
      <c r="AT1540" s="507"/>
      <c r="AU1540" s="507"/>
      <c r="AV1540" s="225"/>
      <c r="AW1540" s="508"/>
      <c r="AX1540" s="225"/>
      <c r="AY1540" s="225"/>
      <c r="AZ1540" s="225"/>
      <c r="BA1540" s="225"/>
      <c r="BB1540" s="225"/>
      <c r="BC1540" s="56"/>
      <c r="BD1540" s="56"/>
      <c r="BE1540" s="56"/>
      <c r="BF1540" s="107" t="str">
        <f t="shared" si="1162"/>
        <v>https://www.google.com/search?tbm=isch&amp;q=15%20G4</v>
      </c>
      <c r="BG1540" s="107" t="str">
        <f t="shared" si="1163"/>
        <v>G</v>
      </c>
      <c r="BH1540" s="254"/>
      <c r="BI1540" s="254"/>
    </row>
    <row r="1541" spans="1:61" customFormat="1" ht="15.75" x14ac:dyDescent="0.25">
      <c r="A1541" s="485">
        <v>20</v>
      </c>
      <c r="B1541" s="486" t="s">
        <v>291</v>
      </c>
      <c r="C1541" s="487" t="s">
        <v>3486</v>
      </c>
      <c r="D1541" s="488" t="s">
        <v>292</v>
      </c>
      <c r="E1541" s="489">
        <v>665.95</v>
      </c>
      <c r="F1541" s="516" t="s">
        <v>293</v>
      </c>
      <c r="G1541" s="232">
        <v>0</v>
      </c>
      <c r="H1541" s="658" t="str">
        <f t="shared" si="1190"/>
        <v/>
      </c>
      <c r="I1541" s="490">
        <f t="shared" si="1191"/>
        <v>0</v>
      </c>
      <c r="J1541" s="490">
        <f t="shared" si="1192"/>
        <v>0</v>
      </c>
      <c r="K1541" s="695">
        <f t="shared" ref="K1541" si="1202">I1541+J1541</f>
        <v>0</v>
      </c>
      <c r="L1541" s="695"/>
      <c r="M1541" s="659" t="str">
        <f t="shared" si="1194"/>
        <v/>
      </c>
      <c r="N1541" s="660"/>
      <c r="O1541" s="233"/>
      <c r="P1541" s="233"/>
      <c r="Q1541" s="233"/>
      <c r="R1541" s="233"/>
      <c r="S1541" s="233"/>
      <c r="T1541" s="508">
        <f t="shared" si="1151"/>
        <v>0</v>
      </c>
      <c r="U1541" s="225">
        <f>IF(NOT(ISNUMBER(G1541)), "", VLOOKUP(A1541,'Discount Lookup'!D:E,2,FALSE)*G1541)</f>
        <v>0</v>
      </c>
      <c r="V1541" s="225">
        <f>IF(NOT(ISNUMBER(G1541)), "", VLOOKUP(A1541,'Discount Lookup'!G:H,2,FALSE)*G1541)</f>
        <v>0</v>
      </c>
      <c r="W1541" s="508">
        <f t="shared" si="1152"/>
        <v>0</v>
      </c>
      <c r="X1541" s="508">
        <f t="shared" si="1153"/>
        <v>0</v>
      </c>
      <c r="Y1541" s="509" t="b">
        <f t="shared" si="1154"/>
        <v>0</v>
      </c>
      <c r="Z1541" s="510">
        <f t="shared" si="1155"/>
        <v>0</v>
      </c>
      <c r="AA1541" s="511"/>
      <c r="AB1541" s="511" t="str">
        <f t="shared" si="1156"/>
        <v/>
      </c>
      <c r="AC1541" s="698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698"/>
      <c r="AE1541" s="631" t="str">
        <f t="shared" si="1157"/>
        <v/>
      </c>
      <c r="AF1541" s="699" t="str">
        <f t="shared" si="1158"/>
        <v/>
      </c>
      <c r="AG1541" s="699"/>
      <c r="AH1541" s="699"/>
      <c r="AI1541" s="512">
        <f>IF(H1541="credit",0,IF(AE1541="free",0,IF(AE1541="me",0,IF(G1541&gt;0,(VLOOKUP(A1541,'Discount Lookup'!J:K,2)*G1541),0))))</f>
        <v>0</v>
      </c>
      <c r="AJ1541" s="513" t="str">
        <f t="shared" ca="1" si="1159"/>
        <v/>
      </c>
      <c r="AK1541" s="700" t="str">
        <f t="shared" si="1160"/>
        <v/>
      </c>
      <c r="AL1541" s="700"/>
      <c r="AM1541" s="505" t="str">
        <f t="shared" si="1161"/>
        <v/>
      </c>
      <c r="AN1541" s="506"/>
      <c r="AO1541" s="507"/>
      <c r="AP1541" s="507"/>
      <c r="AQ1541" s="507"/>
      <c r="AR1541" s="507"/>
      <c r="AS1541" s="507"/>
      <c r="AT1541" s="507"/>
      <c r="AU1541" s="507"/>
      <c r="AV1541" s="225"/>
      <c r="AW1541" s="508"/>
      <c r="AX1541" s="225"/>
      <c r="AY1541" s="225"/>
      <c r="AZ1541" s="225"/>
      <c r="BA1541" s="225"/>
      <c r="BB1541" s="225"/>
      <c r="BC1541" s="56"/>
      <c r="BD1541" s="56"/>
      <c r="BE1541" s="56"/>
      <c r="BF1541" s="107" t="str">
        <f t="shared" si="1162"/>
        <v>https://www.google.com/search?tbm=isch&amp;q=20%20G4</v>
      </c>
      <c r="BG1541" s="107" t="str">
        <f t="shared" si="1163"/>
        <v>G</v>
      </c>
      <c r="BH1541" s="254"/>
      <c r="BI1541" s="254"/>
    </row>
    <row r="1542" spans="1:61" customFormat="1" ht="17.25" thickBot="1" x14ac:dyDescent="0.3">
      <c r="A1542" s="522" t="s">
        <v>2887</v>
      </c>
      <c r="B1542" s="491"/>
      <c r="C1542" s="675"/>
      <c r="D1542" s="491"/>
      <c r="E1542" s="491"/>
      <c r="F1542" s="492"/>
      <c r="G1542" s="493"/>
      <c r="H1542" s="491"/>
      <c r="I1542" s="234"/>
      <c r="J1542" s="234"/>
      <c r="K1542" s="494"/>
      <c r="L1542" s="543"/>
      <c r="M1542" s="561"/>
      <c r="N1542" s="495"/>
      <c r="O1542" s="496"/>
      <c r="P1542" s="497"/>
      <c r="Q1542" s="495"/>
      <c r="R1542" s="495"/>
      <c r="S1542" s="667" t="s">
        <v>4984</v>
      </c>
      <c r="T1542" s="508">
        <f t="shared" si="1151"/>
        <v>0</v>
      </c>
      <c r="U1542" s="225" t="str">
        <f>IF(NOT(ISNUMBER(G1542)), "", VLOOKUP(A1542,'Discount Lookup'!D:E,2,FALSE)*G1542)</f>
        <v/>
      </c>
      <c r="V1542" s="225" t="str">
        <f>IF(NOT(ISNUMBER(G1542)), "", VLOOKUP(A1542,'Discount Lookup'!G:H,2,FALSE)*G1542)</f>
        <v/>
      </c>
      <c r="W1542" s="508">
        <f t="shared" si="1152"/>
        <v>0</v>
      </c>
      <c r="X1542" s="508">
        <f t="shared" si="1153"/>
        <v>0</v>
      </c>
      <c r="Y1542" s="509" t="b">
        <f t="shared" si="1154"/>
        <v>0</v>
      </c>
      <c r="Z1542" s="510">
        <f t="shared" si="1155"/>
        <v>0</v>
      </c>
      <c r="AA1542" s="511"/>
      <c r="AB1542" s="511" t="str">
        <f t="shared" si="1156"/>
        <v/>
      </c>
      <c r="AC1542" s="698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698"/>
      <c r="AE1542" s="631" t="str">
        <f t="shared" si="1157"/>
        <v/>
      </c>
      <c r="AF1542" s="699" t="str">
        <f t="shared" si="1158"/>
        <v/>
      </c>
      <c r="AG1542" s="699"/>
      <c r="AH1542" s="699"/>
      <c r="AI1542" s="512">
        <f>IF(H1542="credit",0,IF(AE1542="free",0,IF(AE1542="me",0,IF(G1542&gt;0,(VLOOKUP(A1542,'Discount Lookup'!J:K,2)*G1542),0))))</f>
        <v>0</v>
      </c>
      <c r="AJ1542" s="513" t="str">
        <f t="shared" ca="1" si="1159"/>
        <v/>
      </c>
      <c r="AK1542" s="700" t="str">
        <f t="shared" si="1160"/>
        <v/>
      </c>
      <c r="AL1542" s="700"/>
      <c r="AM1542" s="505" t="str">
        <f t="shared" si="1161"/>
        <v/>
      </c>
      <c r="AN1542" s="506"/>
      <c r="AO1542" s="507"/>
      <c r="AP1542" s="507"/>
      <c r="AQ1542" s="507"/>
      <c r="AR1542" s="507"/>
      <c r="AS1542" s="507"/>
      <c r="AT1542" s="507"/>
      <c r="AU1542" s="507"/>
      <c r="AV1542" s="225"/>
      <c r="AW1542" s="508"/>
      <c r="AX1542" s="225"/>
      <c r="AY1542" s="225"/>
      <c r="AZ1542" s="225"/>
      <c r="BA1542" s="225"/>
      <c r="BB1542" s="225"/>
      <c r="BC1542" s="56"/>
      <c r="BD1542" s="56"/>
      <c r="BE1542" s="56"/>
      <c r="BF1542" s="107" t="str">
        <f t="shared" si="1162"/>
        <v>https://www.google.com/search?tbm=isch&amp;q=Gold%20Mop%20has%20vibrant%2C%20thread-like%20foliage%20that%20creates%20a%20shaggy%2C%20mop-like%20mound%2C%20with%20year-round%20color%20</v>
      </c>
      <c r="BG1542" s="107" t="str">
        <f t="shared" si="1163"/>
        <v>G</v>
      </c>
      <c r="BH1542" s="254"/>
      <c r="BI1542" s="254"/>
    </row>
    <row r="1543" spans="1:61" customFormat="1" ht="18" x14ac:dyDescent="0.25">
      <c r="A1543" s="523" t="s">
        <v>980</v>
      </c>
      <c r="B1543" s="235"/>
      <c r="C1543" s="676"/>
      <c r="D1543" s="255" t="s">
        <v>981</v>
      </c>
      <c r="E1543" s="236"/>
      <c r="F1543" s="236"/>
      <c r="G1543" s="236"/>
      <c r="H1543" s="582" t="s">
        <v>2144</v>
      </c>
      <c r="I1543" s="498" t="s">
        <v>2282</v>
      </c>
      <c r="J1543" s="237"/>
      <c r="K1543" s="237"/>
      <c r="L1543" s="274"/>
      <c r="M1543" s="668" t="s">
        <v>4962</v>
      </c>
      <c r="N1543" s="681" t="str">
        <f>IF(AND(ISTEXT($A1543), ISERROR($A1543+0)), HYPERLINK($BF1543, "Images"), "")</f>
        <v>Images</v>
      </c>
      <c r="O1543" s="663" t="s">
        <v>4967</v>
      </c>
      <c r="P1543" s="253"/>
      <c r="Q1543" s="238"/>
      <c r="R1543" s="239"/>
      <c r="S1543" s="275"/>
      <c r="T1543" s="508">
        <f t="shared" si="1151"/>
        <v>0</v>
      </c>
      <c r="U1543" s="225" t="str">
        <f>IF(NOT(ISNUMBER(G1543)), "", VLOOKUP(A1543,'Discount Lookup'!D:E,2,FALSE)*G1543)</f>
        <v/>
      </c>
      <c r="V1543" s="225" t="str">
        <f>IF(NOT(ISNUMBER(G1543)), "", VLOOKUP(A1543,'Discount Lookup'!G:H,2,FALSE)*G1543)</f>
        <v/>
      </c>
      <c r="W1543" s="508">
        <f t="shared" si="1152"/>
        <v>0</v>
      </c>
      <c r="X1543" s="508" t="str">
        <f t="shared" si="1153"/>
        <v>Golden-Yellow needles</v>
      </c>
      <c r="Y1543" s="509" t="b">
        <f t="shared" si="1154"/>
        <v>0</v>
      </c>
      <c r="Z1543" s="510">
        <f t="shared" si="1155"/>
        <v>0</v>
      </c>
      <c r="AA1543" s="511"/>
      <c r="AB1543" s="511" t="str">
        <f t="shared" si="1156"/>
        <v/>
      </c>
      <c r="AC1543" s="698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698"/>
      <c r="AE1543" s="631" t="str">
        <f t="shared" si="1157"/>
        <v/>
      </c>
      <c r="AF1543" s="699" t="str">
        <f t="shared" si="1158"/>
        <v/>
      </c>
      <c r="AG1543" s="699"/>
      <c r="AH1543" s="699"/>
      <c r="AI1543" s="512">
        <f>IF(H1543="credit",0,IF(AE1543="free",0,IF(AE1543="me",0,IF(G1543&gt;0,(VLOOKUP(A1543,'Discount Lookup'!J:K,2)*G1543),0))))</f>
        <v>0</v>
      </c>
      <c r="AJ1543" s="513" t="str">
        <f t="shared" ca="1" si="1159"/>
        <v/>
      </c>
      <c r="AK1543" s="700" t="str">
        <f t="shared" si="1160"/>
        <v/>
      </c>
      <c r="AL1543" s="700"/>
      <c r="AM1543" s="505" t="str">
        <f t="shared" si="1161"/>
        <v/>
      </c>
      <c r="AN1543" s="506"/>
      <c r="AO1543" s="507"/>
      <c r="AP1543" s="507"/>
      <c r="AQ1543" s="507"/>
      <c r="AR1543" s="507"/>
      <c r="AS1543" s="507"/>
      <c r="AT1543" s="507"/>
      <c r="AU1543" s="507"/>
      <c r="AV1543" s="225"/>
      <c r="AW1543" s="508"/>
      <c r="AX1543" s="225"/>
      <c r="AY1543" s="225"/>
      <c r="AZ1543" s="225"/>
      <c r="BA1543" s="225"/>
      <c r="BB1543" s="225"/>
      <c r="BC1543" s="56"/>
      <c r="BD1543" s="56"/>
      <c r="BE1543" s="56"/>
      <c r="BF1543" s="107" t="str">
        <f t="shared" si="1162"/>
        <v>https://www.google.com/search?tbm=isch&amp;q=Gold%20Rush%20Dawn%20Redwood%20Metasequoia%20%27Ogon%27</v>
      </c>
      <c r="BG1543" s="107" t="str">
        <f t="shared" si="1163"/>
        <v>G</v>
      </c>
      <c r="BH1543" s="254"/>
      <c r="BI1543" s="254"/>
    </row>
    <row r="1544" spans="1:61" customFormat="1" ht="15.75" x14ac:dyDescent="0.25">
      <c r="A1544" s="276">
        <v>7</v>
      </c>
      <c r="B1544" s="240" t="s">
        <v>291</v>
      </c>
      <c r="C1544" s="241" t="s">
        <v>3517</v>
      </c>
      <c r="D1544" s="242" t="s">
        <v>292</v>
      </c>
      <c r="E1544" s="243">
        <v>132.94999999999999</v>
      </c>
      <c r="F1544" s="517" t="s">
        <v>293</v>
      </c>
      <c r="G1544" s="232">
        <v>0</v>
      </c>
      <c r="H1544" s="661" t="str">
        <f>IF(G1544=0,"",IF(F1544="Buy",IF(G1544=1,"plant","plants"),IF(F1544&gt;0.01,"warranty","Error")))</f>
        <v/>
      </c>
      <c r="I1544" s="244">
        <f>IF(H1544="free",0,IF(H1544="credit",((E1544*(F1544))*G1544*-1),IF(F1544="Buy",(E1544*G1544),((E1544*(1-F1544))*G1544))))</f>
        <v>0</v>
      </c>
      <c r="J1544" s="244">
        <f>IF(H1544="warranty",0,(I1544*(_xlfn.SINGLE(SalesTaxPercentage))))</f>
        <v>0</v>
      </c>
      <c r="K1544" s="696">
        <f t="shared" ref="K1544" si="1203">I1544+J1544</f>
        <v>0</v>
      </c>
      <c r="L1544" s="696"/>
      <c r="M1544" s="659" t="str">
        <f>IF(AND(G1544&gt;0,E1544=0),"WARNING - no PRICE inserted",IF(H1544="free"," FREE ~ no charge this plant",IF(H1544="credit",CONCATENATE(" -$",ROUND(K1544*(1-T2GDiscount)*-1,2)," CREDIT after discount"),IF(T2GDiscount=0,"",IF(G1544=0,"",IF(F1544="Buy",CONCATENATE(" $",ROUND(K1544*(1-T2GDiscount),2)," with ",(T2GDiscount*100),"% discount"),CONCATENATE(" $",ROUND(K1544*(1-T2GDiscount),2)," with ",((T2GDiscount*100+F1544*100)-(T2GDiscount*100*F1544)),IF(F1544&gt;0,"% discounts",IF(NoWarrantyDiscount&gt;0,"% discounts","% discount")))))))))</f>
        <v/>
      </c>
      <c r="N1544" s="660"/>
      <c r="O1544" s="233"/>
      <c r="P1544" s="233"/>
      <c r="Q1544" s="233"/>
      <c r="R1544" s="233"/>
      <c r="S1544" s="233"/>
      <c r="T1544" s="508">
        <f t="shared" si="1151"/>
        <v>0</v>
      </c>
      <c r="U1544" s="225">
        <f>IF(NOT(ISNUMBER(G1544)), "", VLOOKUP(A1544,'Discount Lookup'!D:E,2,FALSE)*G1544)</f>
        <v>0</v>
      </c>
      <c r="V1544" s="225">
        <f>IF(NOT(ISNUMBER(G1544)), "", VLOOKUP(A1544,'Discount Lookup'!G:H,2,FALSE)*G1544)</f>
        <v>0</v>
      </c>
      <c r="W1544" s="508">
        <f t="shared" si="1152"/>
        <v>0</v>
      </c>
      <c r="X1544" s="508">
        <f t="shared" si="1153"/>
        <v>0</v>
      </c>
      <c r="Y1544" s="509" t="b">
        <f t="shared" si="1154"/>
        <v>0</v>
      </c>
      <c r="Z1544" s="510">
        <f t="shared" si="1155"/>
        <v>0</v>
      </c>
      <c r="AA1544" s="511"/>
      <c r="AB1544" s="511" t="str">
        <f t="shared" si="1156"/>
        <v/>
      </c>
      <c r="AC1544" s="698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698"/>
      <c r="AE1544" s="631" t="str">
        <f t="shared" si="1157"/>
        <v/>
      </c>
      <c r="AF1544" s="699" t="str">
        <f t="shared" si="1158"/>
        <v/>
      </c>
      <c r="AG1544" s="699"/>
      <c r="AH1544" s="699"/>
      <c r="AI1544" s="512">
        <f>IF(H1544="credit",0,IF(AE1544="free",0,IF(AE1544="me",0,IF(G1544&gt;0,(VLOOKUP(A1544,'Discount Lookup'!J:K,2)*G1544),0))))</f>
        <v>0</v>
      </c>
      <c r="AJ1544" s="513" t="str">
        <f t="shared" ca="1" si="1159"/>
        <v/>
      </c>
      <c r="AK1544" s="700" t="str">
        <f t="shared" si="1160"/>
        <v/>
      </c>
      <c r="AL1544" s="700"/>
      <c r="AM1544" s="505" t="str">
        <f t="shared" si="1161"/>
        <v/>
      </c>
      <c r="AN1544" s="506"/>
      <c r="AO1544" s="507"/>
      <c r="AP1544" s="507"/>
      <c r="AQ1544" s="507"/>
      <c r="AR1544" s="507"/>
      <c r="AS1544" s="507"/>
      <c r="AT1544" s="507"/>
      <c r="AU1544" s="507"/>
      <c r="AV1544" s="225"/>
      <c r="AW1544" s="508"/>
      <c r="AX1544" s="225"/>
      <c r="AY1544" s="225"/>
      <c r="AZ1544" s="225"/>
      <c r="BA1544" s="225"/>
      <c r="BB1544" s="225"/>
      <c r="BC1544" s="56"/>
      <c r="BD1544" s="56"/>
      <c r="BE1544" s="56"/>
      <c r="BF1544" s="107" t="str">
        <f t="shared" si="1162"/>
        <v>https://www.google.com/search?tbm=isch&amp;q=7%20G4</v>
      </c>
      <c r="BG1544" s="107" t="str">
        <f t="shared" si="1163"/>
        <v>G</v>
      </c>
      <c r="BH1544" s="254"/>
      <c r="BI1544" s="254"/>
    </row>
    <row r="1545" spans="1:61" customFormat="1" ht="15.75" x14ac:dyDescent="0.25">
      <c r="A1545" s="276">
        <v>15</v>
      </c>
      <c r="B1545" s="240" t="s">
        <v>291</v>
      </c>
      <c r="C1545" s="241" t="s">
        <v>3518</v>
      </c>
      <c r="D1545" s="242" t="s">
        <v>292</v>
      </c>
      <c r="E1545" s="243">
        <v>183.95</v>
      </c>
      <c r="F1545" s="517" t="s">
        <v>293</v>
      </c>
      <c r="G1545" s="232">
        <v>0</v>
      </c>
      <c r="H1545" s="661" t="str">
        <f>IF(G1545=0,"",IF(F1545="Buy",IF(G1545=1,"plant","plants"),IF(F1545&gt;0.01,"warranty","Error")))</f>
        <v/>
      </c>
      <c r="I1545" s="244">
        <f>IF(H1545="free",0,IF(H1545="credit",((E1545*(F1545))*G1545*-1),IF(F1545="Buy",(E1545*G1545),((E1545*(1-F1545))*G1545))))</f>
        <v>0</v>
      </c>
      <c r="J1545" s="244">
        <f>IF(H1545="warranty",0,(I1545*(_xlfn.SINGLE(SalesTaxPercentage))))</f>
        <v>0</v>
      </c>
      <c r="K1545" s="696">
        <f t="shared" ref="K1545" si="1204">I1545+J1545</f>
        <v>0</v>
      </c>
      <c r="L1545" s="696"/>
      <c r="M1545" s="659" t="str">
        <f>IF(AND(G1545&gt;0,E1545=0),"WARNING - no PRICE inserted",IF(H1545="free"," FREE ~ no charge this plant",IF(H1545="credit",CONCATENATE(" -$",ROUND(K1545*(1-T2GDiscount)*-1,2)," CREDIT after discount"),IF(T2GDiscount=0,"",IF(G1545=0,"",IF(F1545="Buy",CONCATENATE(" $",ROUND(K1545*(1-T2GDiscount),2)," with ",(T2GDiscount*100),"% discount"),CONCATENATE(" $",ROUND(K1545*(1-T2GDiscount),2)," with ",((T2GDiscount*100+F1545*100)-(T2GDiscount*100*F1545)),IF(F1545&gt;0,"% discounts",IF(NoWarrantyDiscount&gt;0,"% discounts","% discount")))))))))</f>
        <v/>
      </c>
      <c r="N1545" s="660"/>
      <c r="O1545" s="233"/>
      <c r="P1545" s="233"/>
      <c r="Q1545" s="233"/>
      <c r="R1545" s="233"/>
      <c r="S1545" s="233"/>
      <c r="T1545" s="508">
        <f t="shared" si="1151"/>
        <v>0</v>
      </c>
      <c r="U1545" s="225">
        <f>IF(NOT(ISNUMBER(G1545)), "", VLOOKUP(A1545,'Discount Lookup'!D:E,2,FALSE)*G1545)</f>
        <v>0</v>
      </c>
      <c r="V1545" s="225">
        <f>IF(NOT(ISNUMBER(G1545)), "", VLOOKUP(A1545,'Discount Lookup'!G:H,2,FALSE)*G1545)</f>
        <v>0</v>
      </c>
      <c r="W1545" s="508">
        <f t="shared" si="1152"/>
        <v>0</v>
      </c>
      <c r="X1545" s="508">
        <f t="shared" si="1153"/>
        <v>0</v>
      </c>
      <c r="Y1545" s="509" t="b">
        <f t="shared" si="1154"/>
        <v>0</v>
      </c>
      <c r="Z1545" s="510">
        <f t="shared" si="1155"/>
        <v>0</v>
      </c>
      <c r="AA1545" s="511"/>
      <c r="AB1545" s="511" t="str">
        <f t="shared" si="1156"/>
        <v/>
      </c>
      <c r="AC1545" s="698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698"/>
      <c r="AE1545" s="631" t="str">
        <f t="shared" si="1157"/>
        <v/>
      </c>
      <c r="AF1545" s="699" t="str">
        <f t="shared" si="1158"/>
        <v/>
      </c>
      <c r="AG1545" s="699"/>
      <c r="AH1545" s="699"/>
      <c r="AI1545" s="512">
        <f>IF(H1545="credit",0,IF(AE1545="free",0,IF(AE1545="me",0,IF(G1545&gt;0,(VLOOKUP(A1545,'Discount Lookup'!J:K,2)*G1545),0))))</f>
        <v>0</v>
      </c>
      <c r="AJ1545" s="513" t="str">
        <f t="shared" ca="1" si="1159"/>
        <v/>
      </c>
      <c r="AK1545" s="700" t="str">
        <f t="shared" si="1160"/>
        <v/>
      </c>
      <c r="AL1545" s="700"/>
      <c r="AM1545" s="505" t="str">
        <f t="shared" si="1161"/>
        <v/>
      </c>
      <c r="AN1545" s="506"/>
      <c r="AO1545" s="507"/>
      <c r="AP1545" s="507"/>
      <c r="AQ1545" s="507"/>
      <c r="AR1545" s="507"/>
      <c r="AS1545" s="507"/>
      <c r="AT1545" s="507"/>
      <c r="AU1545" s="507"/>
      <c r="AV1545" s="225"/>
      <c r="AW1545" s="508"/>
      <c r="AX1545" s="225"/>
      <c r="AY1545" s="225"/>
      <c r="AZ1545" s="225"/>
      <c r="BA1545" s="225"/>
      <c r="BB1545" s="225"/>
      <c r="BC1545" s="56"/>
      <c r="BD1545" s="56"/>
      <c r="BE1545" s="56"/>
      <c r="BF1545" s="107" t="str">
        <f t="shared" si="1162"/>
        <v>https://www.google.com/search?tbm=isch&amp;q=15%20G4</v>
      </c>
      <c r="BG1545" s="107" t="str">
        <f t="shared" si="1163"/>
        <v>G</v>
      </c>
      <c r="BH1545" s="254"/>
      <c r="BI1545" s="254"/>
    </row>
    <row r="1546" spans="1:61" customFormat="1" ht="27" x14ac:dyDescent="0.25">
      <c r="A1546" s="276">
        <v>25</v>
      </c>
      <c r="B1546" s="240" t="s">
        <v>291</v>
      </c>
      <c r="C1546" s="241" t="s">
        <v>3519</v>
      </c>
      <c r="D1546" s="242" t="s">
        <v>292</v>
      </c>
      <c r="E1546" s="243">
        <v>309.95</v>
      </c>
      <c r="F1546" s="517" t="s">
        <v>293</v>
      </c>
      <c r="G1546" s="232">
        <v>0</v>
      </c>
      <c r="H1546" s="661" t="str">
        <f>IF(G1546=0,"",IF(F1546="Buy",IF(G1546=1,"plant","plants"),IF(F1546&gt;0.01,"warranty","Error")))</f>
        <v/>
      </c>
      <c r="I1546" s="244">
        <f>IF(H1546="free",0,IF(H1546="credit",((E1546*(F1546))*G1546*-1),IF(F1546="Buy",(E1546*G1546),((E1546*(1-F1546))*G1546))))</f>
        <v>0</v>
      </c>
      <c r="J1546" s="244">
        <f>IF(H1546="warranty",0,(I1546*(_xlfn.SINGLE(SalesTaxPercentage))))</f>
        <v>0</v>
      </c>
      <c r="K1546" s="696">
        <f t="shared" ref="K1546" si="1205">I1546+J1546</f>
        <v>0</v>
      </c>
      <c r="L1546" s="696"/>
      <c r="M1546" s="659" t="str">
        <f>IF(AND(G1546&gt;0,E1546=0),"WARNING - no PRICE inserted",IF(H1546="free"," FREE ~ no charge this plant",IF(H1546="credit",CONCATENATE(" -$",ROUND(K1546*(1-T2GDiscount)*-1,2)," CREDIT after discount"),IF(T2GDiscount=0,"",IF(G1546=0,"",IF(F1546="Buy",CONCATENATE(" $",ROUND(K1546*(1-T2GDiscount),2)," with ",(T2GDiscount*100),"% discount"),CONCATENATE(" $",ROUND(K1546*(1-T2GDiscount),2)," with ",((T2GDiscount*100+F1546*100)-(T2GDiscount*100*F1546)),IF(F1546&gt;0,"% discounts",IF(NoWarrantyDiscount&gt;0,"% discounts","% discount")))))))))</f>
        <v/>
      </c>
      <c r="N1546" s="660"/>
      <c r="O1546" s="233"/>
      <c r="P1546" s="233"/>
      <c r="Q1546" s="233"/>
      <c r="R1546" s="233"/>
      <c r="S1546" s="233"/>
      <c r="T1546" s="508">
        <f t="shared" si="1151"/>
        <v>0</v>
      </c>
      <c r="U1546" s="225">
        <f>IF(NOT(ISNUMBER(G1546)), "", VLOOKUP(A1546,'Discount Lookup'!D:E,2,FALSE)*G1546)</f>
        <v>0</v>
      </c>
      <c r="V1546" s="225">
        <f>IF(NOT(ISNUMBER(G1546)), "", VLOOKUP(A1546,'Discount Lookup'!G:H,2,FALSE)*G1546)</f>
        <v>0</v>
      </c>
      <c r="W1546" s="508">
        <f t="shared" si="1152"/>
        <v>0</v>
      </c>
      <c r="X1546" s="508">
        <f t="shared" si="1153"/>
        <v>0</v>
      </c>
      <c r="Y1546" s="509" t="b">
        <f t="shared" si="1154"/>
        <v>0</v>
      </c>
      <c r="Z1546" s="510">
        <f t="shared" si="1155"/>
        <v>0</v>
      </c>
      <c r="AA1546" s="511"/>
      <c r="AB1546" s="511" t="str">
        <f t="shared" si="1156"/>
        <v/>
      </c>
      <c r="AC1546" s="698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698"/>
      <c r="AE1546" s="631" t="str">
        <f t="shared" si="1157"/>
        <v/>
      </c>
      <c r="AF1546" s="699" t="str">
        <f t="shared" si="1158"/>
        <v/>
      </c>
      <c r="AG1546" s="699"/>
      <c r="AH1546" s="699"/>
      <c r="AI1546" s="512">
        <f>IF(H1546="credit",0,IF(AE1546="free",0,IF(AE1546="me",0,IF(G1546&gt;0,(VLOOKUP(A1546,'Discount Lookup'!J:K,2)*G1546),0))))</f>
        <v>0</v>
      </c>
      <c r="AJ1546" s="513" t="str">
        <f t="shared" ca="1" si="1159"/>
        <v/>
      </c>
      <c r="AK1546" s="700" t="str">
        <f t="shared" si="1160"/>
        <v/>
      </c>
      <c r="AL1546" s="700"/>
      <c r="AM1546" s="505" t="str">
        <f t="shared" si="1161"/>
        <v/>
      </c>
      <c r="AN1546" s="506"/>
      <c r="AO1546" s="507"/>
      <c r="AP1546" s="507"/>
      <c r="AQ1546" s="507"/>
      <c r="AR1546" s="507"/>
      <c r="AS1546" s="507"/>
      <c r="AT1546" s="507"/>
      <c r="AU1546" s="507"/>
      <c r="AV1546" s="225"/>
      <c r="AW1546" s="508"/>
      <c r="AX1546" s="225"/>
      <c r="AY1546" s="225"/>
      <c r="AZ1546" s="225"/>
      <c r="BA1546" s="225"/>
      <c r="BB1546" s="225"/>
      <c r="BC1546" s="56"/>
      <c r="BD1546" s="56"/>
      <c r="BE1546" s="56"/>
      <c r="BF1546" s="107" t="str">
        <f t="shared" si="1162"/>
        <v>https://www.google.com/search?tbm=isch&amp;q=25%20G4</v>
      </c>
      <c r="BG1546" s="107" t="str">
        <f t="shared" si="1163"/>
        <v>G</v>
      </c>
      <c r="BH1546" s="254"/>
      <c r="BI1546" s="254"/>
    </row>
    <row r="1547" spans="1:61" customFormat="1" ht="17.25" thickBot="1" x14ac:dyDescent="0.3">
      <c r="A1547" s="673" t="s">
        <v>5123</v>
      </c>
      <c r="B1547" s="245"/>
      <c r="C1547" s="677"/>
      <c r="D1547" s="499"/>
      <c r="E1547" s="499"/>
      <c r="F1547" s="500"/>
      <c r="G1547" s="501"/>
      <c r="H1547" s="502"/>
      <c r="I1547" s="246"/>
      <c r="J1547" s="247"/>
      <c r="K1547" s="503"/>
      <c r="L1547" s="544"/>
      <c r="M1547" s="544"/>
      <c r="N1547" s="500"/>
      <c r="O1547" s="500"/>
      <c r="P1547" s="500"/>
      <c r="Q1547" s="500"/>
      <c r="R1547" s="500"/>
      <c r="S1547" s="669" t="s">
        <v>4972</v>
      </c>
      <c r="T1547" s="508">
        <f t="shared" si="1151"/>
        <v>0</v>
      </c>
      <c r="U1547" s="225" t="str">
        <f>IF(NOT(ISNUMBER(G1547)), "", VLOOKUP(A1547,'Discount Lookup'!D:E,2,FALSE)*G1547)</f>
        <v/>
      </c>
      <c r="V1547" s="225" t="str">
        <f>IF(NOT(ISNUMBER(G1547)), "", VLOOKUP(A1547,'Discount Lookup'!G:H,2,FALSE)*G1547)</f>
        <v/>
      </c>
      <c r="W1547" s="508">
        <f t="shared" si="1152"/>
        <v>0</v>
      </c>
      <c r="X1547" s="508">
        <f t="shared" si="1153"/>
        <v>0</v>
      </c>
      <c r="Y1547" s="509" t="b">
        <f t="shared" si="1154"/>
        <v>0</v>
      </c>
      <c r="Z1547" s="510">
        <f t="shared" si="1155"/>
        <v>0</v>
      </c>
      <c r="AA1547" s="511"/>
      <c r="AB1547" s="511" t="str">
        <f t="shared" si="1156"/>
        <v/>
      </c>
      <c r="AC1547" s="698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698"/>
      <c r="AE1547" s="631" t="str">
        <f t="shared" si="1157"/>
        <v/>
      </c>
      <c r="AF1547" s="699" t="str">
        <f t="shared" si="1158"/>
        <v/>
      </c>
      <c r="AG1547" s="699"/>
      <c r="AH1547" s="699"/>
      <c r="AI1547" s="512">
        <f>IF(H1547="credit",0,IF(AE1547="free",0,IF(AE1547="me",0,IF(G1547&gt;0,(VLOOKUP(A1547,'Discount Lookup'!J:K,2)*G1547),0))))</f>
        <v>0</v>
      </c>
      <c r="AJ1547" s="513" t="str">
        <f t="shared" ca="1" si="1159"/>
        <v/>
      </c>
      <c r="AK1547" s="700" t="str">
        <f t="shared" si="1160"/>
        <v/>
      </c>
      <c r="AL1547" s="700"/>
      <c r="AM1547" s="505" t="str">
        <f t="shared" si="1161"/>
        <v/>
      </c>
      <c r="AN1547" s="506"/>
      <c r="AO1547" s="507"/>
      <c r="AP1547" s="507"/>
      <c r="AQ1547" s="507"/>
      <c r="AR1547" s="507"/>
      <c r="AS1547" s="507"/>
      <c r="AT1547" s="507"/>
      <c r="AU1547" s="507"/>
      <c r="AV1547" s="225"/>
      <c r="AW1547" s="508"/>
      <c r="AX1547" s="225"/>
      <c r="AY1547" s="225"/>
      <c r="AZ1547" s="225"/>
      <c r="BA1547" s="225"/>
      <c r="BB1547" s="225"/>
      <c r="BC1547" s="56"/>
      <c r="BD1547" s="56"/>
      <c r="BE1547" s="56"/>
      <c r="BF1547" s="107" t="str">
        <f t="shared" si="1162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1547" s="107" t="str">
        <f t="shared" si="1163"/>
        <v>m</v>
      </c>
      <c r="BH1547" s="254"/>
      <c r="BI1547" s="254"/>
    </row>
    <row r="1548" spans="1:61" customFormat="1" ht="18" x14ac:dyDescent="0.25">
      <c r="A1548" s="523" t="s">
        <v>982</v>
      </c>
      <c r="B1548" s="235"/>
      <c r="C1548" s="676"/>
      <c r="D1548" s="255" t="s">
        <v>983</v>
      </c>
      <c r="E1548" s="236"/>
      <c r="F1548" s="236"/>
      <c r="G1548" s="236"/>
      <c r="H1548" s="582" t="s">
        <v>357</v>
      </c>
      <c r="I1548" s="498" t="s">
        <v>2145</v>
      </c>
      <c r="J1548" s="237"/>
      <c r="K1548" s="237"/>
      <c r="L1548" s="274"/>
      <c r="M1548" s="668" t="s">
        <v>4975</v>
      </c>
      <c r="N1548" s="681" t="str">
        <f>IF(AND(ISTEXT($A1548), ISERROR($A1548+0)), HYPERLINK($BF1548, "Images"), "")</f>
        <v>Images</v>
      </c>
      <c r="O1548" s="663" t="s">
        <v>4967</v>
      </c>
      <c r="P1548" s="253"/>
      <c r="Q1548" s="238"/>
      <c r="R1548" s="239"/>
      <c r="S1548" s="275"/>
      <c r="T1548" s="508">
        <f t="shared" si="1151"/>
        <v>0</v>
      </c>
      <c r="U1548" s="225" t="str">
        <f>IF(NOT(ISNUMBER(G1548)), "", VLOOKUP(A1548,'Discount Lookup'!D:E,2,FALSE)*G1548)</f>
        <v/>
      </c>
      <c r="V1548" s="225" t="str">
        <f>IF(NOT(ISNUMBER(G1548)), "", VLOOKUP(A1548,'Discount Lookup'!G:H,2,FALSE)*G1548)</f>
        <v/>
      </c>
      <c r="W1548" s="508">
        <f t="shared" si="1152"/>
        <v>0</v>
      </c>
      <c r="X1548" s="508" t="str">
        <f t="shared" si="1153"/>
        <v>Pale Yellow bloom</v>
      </c>
      <c r="Y1548" s="509" t="b">
        <f t="shared" si="1154"/>
        <v>0</v>
      </c>
      <c r="Z1548" s="510">
        <f t="shared" si="1155"/>
        <v>0</v>
      </c>
      <c r="AA1548" s="511"/>
      <c r="AB1548" s="511" t="str">
        <f t="shared" si="1156"/>
        <v/>
      </c>
      <c r="AC1548" s="698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698"/>
      <c r="AE1548" s="631" t="str">
        <f t="shared" si="1157"/>
        <v/>
      </c>
      <c r="AF1548" s="699" t="str">
        <f t="shared" si="1158"/>
        <v/>
      </c>
      <c r="AG1548" s="699"/>
      <c r="AH1548" s="699"/>
      <c r="AI1548" s="512">
        <f>IF(H1548="credit",0,IF(AE1548="free",0,IF(AE1548="me",0,IF(G1548&gt;0,(VLOOKUP(A1548,'Discount Lookup'!J:K,2)*G1548),0))))</f>
        <v>0</v>
      </c>
      <c r="AJ1548" s="513" t="str">
        <f t="shared" ca="1" si="1159"/>
        <v/>
      </c>
      <c r="AK1548" s="700" t="str">
        <f t="shared" si="1160"/>
        <v/>
      </c>
      <c r="AL1548" s="700"/>
      <c r="AM1548" s="505" t="str">
        <f t="shared" si="1161"/>
        <v/>
      </c>
      <c r="AN1548" s="506"/>
      <c r="AO1548" s="507"/>
      <c r="AP1548" s="507"/>
      <c r="AQ1548" s="507"/>
      <c r="AR1548" s="507"/>
      <c r="AS1548" s="507"/>
      <c r="AT1548" s="507"/>
      <c r="AU1548" s="507"/>
      <c r="AV1548" s="225"/>
      <c r="AW1548" s="508"/>
      <c r="AX1548" s="225"/>
      <c r="AY1548" s="225"/>
      <c r="AZ1548" s="225"/>
      <c r="BA1548" s="225"/>
      <c r="BB1548" s="225"/>
      <c r="BC1548" s="56"/>
      <c r="BD1548" s="56"/>
      <c r="BE1548" s="56"/>
      <c r="BF1548" s="107" t="str">
        <f t="shared" si="1162"/>
        <v>https://www.google.com/search?tbm=isch&amp;q=Gold%20Star%20Magnolia%20Magnolia%20%27Gold%20Star%27</v>
      </c>
      <c r="BG1548" s="107" t="str">
        <f t="shared" si="1163"/>
        <v>G</v>
      </c>
      <c r="BH1548" s="254"/>
      <c r="BI1548" s="254"/>
    </row>
    <row r="1549" spans="1:61" customFormat="1" ht="15.75" x14ac:dyDescent="0.25">
      <c r="A1549" s="276">
        <v>10</v>
      </c>
      <c r="B1549" s="240" t="s">
        <v>291</v>
      </c>
      <c r="C1549" s="241" t="s">
        <v>4408</v>
      </c>
      <c r="D1549" s="242" t="s">
        <v>292</v>
      </c>
      <c r="E1549" s="243">
        <v>164.95</v>
      </c>
      <c r="F1549" s="517" t="s">
        <v>293</v>
      </c>
      <c r="G1549" s="232">
        <v>0</v>
      </c>
      <c r="H1549" s="661" t="str">
        <f>IF(G1549=0,"",IF(F1549="Buy",IF(G1549=1,"plant","plants"),IF(F1549&gt;0.01,"warranty","Error")))</f>
        <v/>
      </c>
      <c r="I1549" s="244">
        <f>IF(H1549="free",0,IF(H1549="credit",((E1549*(F1549))*G1549*-1),IF(F1549="Buy",(E1549*G1549),((E1549*(1-F1549))*G1549))))</f>
        <v>0</v>
      </c>
      <c r="J1549" s="244">
        <f>IF(H1549="warranty",0,(I1549*(_xlfn.SINGLE(SalesTaxPercentage))))</f>
        <v>0</v>
      </c>
      <c r="K1549" s="696">
        <f t="shared" ref="K1549" si="1206">I1549+J1549</f>
        <v>0</v>
      </c>
      <c r="L1549" s="696"/>
      <c r="M1549" s="659" t="str">
        <f>IF(AND(G1549&gt;0,E1549=0),"WARNING - no PRICE inserted",IF(H1549="free"," FREE ~ no charge this plant",IF(H1549="credit",CONCATENATE(" -$",ROUND(K1549*(1-T2GDiscount)*-1,2)," CREDIT after discount"),IF(T2GDiscount=0,"",IF(G1549=0,"",IF(F1549="Buy",CONCATENATE(" $",ROUND(K1549*(1-T2GDiscount),2)," with ",(T2GDiscount*100),"% discount"),CONCATENATE(" $",ROUND(K1549*(1-T2GDiscount),2)," with ",((T2GDiscount*100+F1549*100)-(T2GDiscount*100*F1549)),IF(F1549&gt;0,"% discounts",IF(NoWarrantyDiscount&gt;0,"% discounts","% discount")))))))))</f>
        <v/>
      </c>
      <c r="N1549" s="660"/>
      <c r="O1549" s="233"/>
      <c r="P1549" s="233"/>
      <c r="Q1549" s="233"/>
      <c r="R1549" s="233"/>
      <c r="S1549" s="233"/>
      <c r="T1549" s="508">
        <f t="shared" si="1151"/>
        <v>0</v>
      </c>
      <c r="U1549" s="225">
        <f>IF(NOT(ISNUMBER(G1549)), "", VLOOKUP(A1549,'Discount Lookup'!D:E,2,FALSE)*G1549)</f>
        <v>0</v>
      </c>
      <c r="V1549" s="225">
        <f>IF(NOT(ISNUMBER(G1549)), "", VLOOKUP(A1549,'Discount Lookup'!G:H,2,FALSE)*G1549)</f>
        <v>0</v>
      </c>
      <c r="W1549" s="508">
        <f t="shared" si="1152"/>
        <v>0</v>
      </c>
      <c r="X1549" s="508">
        <f t="shared" si="1153"/>
        <v>0</v>
      </c>
      <c r="Y1549" s="509" t="b">
        <f t="shared" si="1154"/>
        <v>0</v>
      </c>
      <c r="Z1549" s="510">
        <f t="shared" si="1155"/>
        <v>0</v>
      </c>
      <c r="AA1549" s="511"/>
      <c r="AB1549" s="511" t="str">
        <f t="shared" si="1156"/>
        <v/>
      </c>
      <c r="AC1549" s="698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698"/>
      <c r="AE1549" s="631" t="str">
        <f t="shared" si="1157"/>
        <v/>
      </c>
      <c r="AF1549" s="699" t="str">
        <f t="shared" si="1158"/>
        <v/>
      </c>
      <c r="AG1549" s="699"/>
      <c r="AH1549" s="699"/>
      <c r="AI1549" s="512">
        <f>IF(H1549="credit",0,IF(AE1549="free",0,IF(AE1549="me",0,IF(G1549&gt;0,(VLOOKUP(A1549,'Discount Lookup'!J:K,2)*G1549),0))))</f>
        <v>0</v>
      </c>
      <c r="AJ1549" s="513" t="str">
        <f t="shared" ca="1" si="1159"/>
        <v/>
      </c>
      <c r="AK1549" s="700" t="str">
        <f t="shared" si="1160"/>
        <v/>
      </c>
      <c r="AL1549" s="700"/>
      <c r="AM1549" s="505" t="str">
        <f t="shared" si="1161"/>
        <v/>
      </c>
      <c r="AN1549" s="506"/>
      <c r="AO1549" s="507"/>
      <c r="AP1549" s="507"/>
      <c r="AQ1549" s="507"/>
      <c r="AR1549" s="507"/>
      <c r="AS1549" s="507"/>
      <c r="AT1549" s="507"/>
      <c r="AU1549" s="507"/>
      <c r="AV1549" s="225"/>
      <c r="AW1549" s="508"/>
      <c r="AX1549" s="225"/>
      <c r="AY1549" s="225"/>
      <c r="AZ1549" s="225"/>
      <c r="BA1549" s="225"/>
      <c r="BB1549" s="225"/>
      <c r="BC1549" s="56"/>
      <c r="BD1549" s="56"/>
      <c r="BE1549" s="56"/>
      <c r="BF1549" s="107" t="str">
        <f t="shared" si="1162"/>
        <v>https://www.google.com/search?tbm=isch&amp;q=10%20G4</v>
      </c>
      <c r="BG1549" s="107" t="str">
        <f t="shared" si="1163"/>
        <v>G</v>
      </c>
      <c r="BH1549" s="254"/>
      <c r="BI1549" s="254"/>
    </row>
    <row r="1550" spans="1:61" customFormat="1" ht="17.25" thickBot="1" x14ac:dyDescent="0.3">
      <c r="A1550" s="524" t="s">
        <v>2391</v>
      </c>
      <c r="B1550" s="245"/>
      <c r="C1550" s="677"/>
      <c r="D1550" s="499"/>
      <c r="E1550" s="499"/>
      <c r="F1550" s="500"/>
      <c r="G1550" s="501"/>
      <c r="H1550" s="502"/>
      <c r="I1550" s="246"/>
      <c r="J1550" s="247"/>
      <c r="K1550" s="503"/>
      <c r="L1550" s="544"/>
      <c r="M1550" s="544"/>
      <c r="N1550" s="500"/>
      <c r="O1550" s="500"/>
      <c r="P1550" s="500"/>
      <c r="Q1550" s="500"/>
      <c r="R1550" s="500"/>
      <c r="S1550" s="669" t="s">
        <v>4972</v>
      </c>
      <c r="T1550" s="508">
        <f t="shared" ref="T1550:T1613" si="1207">E1550*G1550</f>
        <v>0</v>
      </c>
      <c r="U1550" s="225" t="str">
        <f>IF(NOT(ISNUMBER(G1550)), "", VLOOKUP(A1550,'Discount Lookup'!D:E,2,FALSE)*G1550)</f>
        <v/>
      </c>
      <c r="V1550" s="225" t="str">
        <f>IF(NOT(ISNUMBER(G1550)), "", VLOOKUP(A1550,'Discount Lookup'!G:H,2,FALSE)*G1550)</f>
        <v/>
      </c>
      <c r="W1550" s="508">
        <f t="shared" ref="W1550:W1613" si="1208">IF(H1550="credit",0,E1550*(SalesTaxPercentage)*G1550)</f>
        <v>0</v>
      </c>
      <c r="X1550" s="508">
        <f t="shared" ref="X1550:X1613" si="1209">I1550</f>
        <v>0</v>
      </c>
      <c r="Y1550" s="509" t="b">
        <f t="shared" ref="Y1550:Y1613" si="1210">IF(AE1550="T2G",0,IF(H1550="credit",0,IF(G1550&gt;0,IF(AE1550="me","",G1550))))</f>
        <v>0</v>
      </c>
      <c r="Z1550" s="510">
        <f t="shared" ref="Z1550:Z1613" si="1211">IF(H1550="credit",G1550,0)</f>
        <v>0</v>
      </c>
      <c r="AA1550" s="511"/>
      <c r="AB1550" s="511" t="str">
        <f t="shared" ref="AB1550:AB1613" si="1212">IF(AE1550="T2G","by Trees2Go",IF(H1550="credit","CREDIT only ~",IF(AND(K1550="",AE1550=OR(PlanterYesMe="No",PlanterYesMe="N",PlanterYesMe="me")),"not THIS line⇨",IF(AND(K1550="images",AE1550="me"),"not THIS line⇨",IF(H1550="credit","",IF(G1550=0,"",IF(AE1550="me","",IF(OR(PlanterYesMe="No",PlanterYesMe="N",PlanterYesMe="me"),"",IF(AE1550="free","warranty",IF(OR(PlanterYesMe="yes",PlanterYesMe="y"),"Edison install:","to install:"))))))))))</f>
        <v/>
      </c>
      <c r="AC1550" s="698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698"/>
      <c r="AE1550" s="631" t="str">
        <f t="shared" ref="AE1550:AE1613" si="1213">IF(H1550="credit","",IF(G1550=0,"",IF(OR(PlanterYesMe="No",PlanterYesMe="N",PlanterYesMe="me"),"me",IF(H1550="warranty","free",IF(OR(PlanterYesMe="yes",PlanterYesMe="y"),"ELP","")))))</f>
        <v/>
      </c>
      <c r="AF1550" s="699" t="str">
        <f t="shared" ref="AF1550:AF1613" si="1214">IF(OR(PlanterYesMe="No",PlanterYesMe="N",PlanterYesMe="me"),"",IF(H1550="credit","",IF(G1550&gt;0,(CONCATENATE((G1550)," quantity, ",(A1550)," ",B1550)),"")))</f>
        <v/>
      </c>
      <c r="AG1550" s="699"/>
      <c r="AH1550" s="699"/>
      <c r="AI1550" s="512">
        <f>IF(H1550="credit",0,IF(AE1550="free",0,IF(AE1550="me",0,IF(G1550&gt;0,(VLOOKUP(A1550,'Discount Lookup'!J:K,2)*G1550),0))))</f>
        <v>0</v>
      </c>
      <c r="AJ1550" s="513" t="str">
        <f t="shared" ref="AJ1550:AJ1613" ca="1" si="1215">IF(AND(ISREF(H1550),H1550="credit"),"",IF(AND(AND(OFFSET(G1550,0,0)=0,OFFSET(G1550,1,0)&gt;0,ISNUMBER(OFFSET(AC1550,1,0)),OFFSET(AC1550,1,0)&gt;0),OR(PlanterYesMe="yes",PlanterYesMe="y")),"T2G+ELP=",IF(AND(OFFSET(G1550,0,0)=0,OFFSET(G1550,1,0)&gt;0,ISNUMBER(OFFSET(AC1550,1,0)),OFFSET(AC1550,1,0)&gt;0),"if T2G+ELP=",IF(AND(OFFSET(G1550,0,0)=0,OFFSET(G1550,1,0)&gt;0),"T2G Subtotal",IF(H1550="credit","",IF(G1550=0,"",IF(AE1550="free",(K1550*(1-T2GDiscount)),IF(OR(PlanterYesMe="No",PlanterYesMe="N",PlanterYesMe="me"),(K1550*(1-T2GDiscount)),IF(OR(AE1550="me",AE1550="T2G"),(K1550*(1-T2GDiscount)),(K1550*(1-T2GDiscount))+AC1550)))))))))</f>
        <v/>
      </c>
      <c r="AK1550" s="700" t="str">
        <f t="shared" ref="AK1550:AK1613" si="1216">IF(H1550="credit","",IF(G1550=0,"",IF(OR(AE1550="me",AE1550="T2G"),"  delivery-only",IF(OR(PlanterYesMe="No",PlanterYesMe="N",PlanterYesMe="me"),"  delivery-only",CONCATENATE(" $",ROUND(AJ1550/G1550,2)," each")))))</f>
        <v/>
      </c>
      <c r="AL1550" s="700"/>
      <c r="AM1550" s="505" t="str">
        <f t="shared" ref="AM1550:AM1613" si="1217">IF(H1550="credit","",IF(AE1550="free","      ~ discounts included, no tax or planting fee applies ~",IF(G1550=0,"",IF(OR(PlanterYesMe="No",PlanterYesMe="N",PlanterYesMe="me"),CONCATENATE(" $",ROUND(AJ1550/G1550,2)," per plant, with tax &amp; discount"),IF(OR(AE1550="me",AE1550="T2G"),CONCATENATE(" $",ROUND(AJ1550/G1550,2)," per plant, with tax &amp; discount"),CONCATENATE("= $",ROUND((K1550*(1-T2GDiscount))/G1550,2)," per plant + $",AC1550/G1550,(" per planting      ~ includes tax &amp; discounts ~")))))))</f>
        <v/>
      </c>
      <c r="AN1550" s="506"/>
      <c r="AO1550" s="507"/>
      <c r="AP1550" s="507"/>
      <c r="AQ1550" s="507"/>
      <c r="AR1550" s="507"/>
      <c r="AS1550" s="507"/>
      <c r="AT1550" s="507"/>
      <c r="AU1550" s="507"/>
      <c r="AV1550" s="225"/>
      <c r="AW1550" s="508"/>
      <c r="AX1550" s="225"/>
      <c r="AY1550" s="225"/>
      <c r="AZ1550" s="225"/>
      <c r="BA1550" s="225"/>
      <c r="BB1550" s="225"/>
      <c r="BC1550" s="56"/>
      <c r="BD1550" s="56"/>
      <c r="BE1550" s="56"/>
      <c r="BF1550" s="107" t="str">
        <f t="shared" ref="BF1550:BF1613" si="1218">"https://www.google.com/search?tbm=isch&amp;q=" &amp; _xlfn.ENCODEURL($A1550 &amp; " " &amp; $D1550)</f>
        <v>https://www.google.com/search?tbm=isch&amp;q=Gold%20Star%20is%20fast%20growing%2C%20with%20a%20unifom%20pyramidal%20habit.%20Fragrant%20flowers%20are%20quite%20beautiful%20</v>
      </c>
      <c r="BG1550" s="107" t="str">
        <f t="shared" ref="BG1550:BG1613" si="1219">IF(ISTEXT(A1550),LEFT(A1550,1),BG1549)</f>
        <v>G</v>
      </c>
      <c r="BH1550" s="254"/>
      <c r="BI1550" s="254"/>
    </row>
    <row r="1551" spans="1:61" customFormat="1" ht="18" x14ac:dyDescent="0.25">
      <c r="A1551" s="521" t="s">
        <v>984</v>
      </c>
      <c r="B1551" s="477"/>
      <c r="C1551" s="674"/>
      <c r="D1551" s="478" t="s">
        <v>985</v>
      </c>
      <c r="E1551" s="479"/>
      <c r="F1551" s="479"/>
      <c r="G1551" s="479"/>
      <c r="H1551" s="582" t="s">
        <v>986</v>
      </c>
      <c r="I1551" s="480" t="s">
        <v>3939</v>
      </c>
      <c r="J1551" s="479"/>
      <c r="K1551" s="479"/>
      <c r="L1551" s="560"/>
      <c r="M1551" s="666" t="s">
        <v>4965</v>
      </c>
      <c r="N1551" s="680" t="str">
        <f>IF(AND(ISTEXT($A1551), ISERROR($A1551+0)), HYPERLINK($BF1551, "Images"), "")</f>
        <v>Images</v>
      </c>
      <c r="O1551" s="662" t="s">
        <v>4969</v>
      </c>
      <c r="P1551" s="482"/>
      <c r="Q1551" s="483"/>
      <c r="R1551" s="483"/>
      <c r="S1551" s="484"/>
      <c r="T1551" s="508">
        <f t="shared" si="1207"/>
        <v>0</v>
      </c>
      <c r="U1551" s="225" t="str">
        <f>IF(NOT(ISNUMBER(G1551)), "", VLOOKUP(A1551,'Discount Lookup'!D:E,2,FALSE)*G1551)</f>
        <v/>
      </c>
      <c r="V1551" s="225" t="str">
        <f>IF(NOT(ISNUMBER(G1551)), "", VLOOKUP(A1551,'Discount Lookup'!G:H,2,FALSE)*G1551)</f>
        <v/>
      </c>
      <c r="W1551" s="508">
        <f t="shared" si="1208"/>
        <v>0</v>
      </c>
      <c r="X1551" s="508" t="str">
        <f t="shared" si="1209"/>
        <v>Golden-Yellow culms</v>
      </c>
      <c r="Y1551" s="509" t="b">
        <f t="shared" si="1210"/>
        <v>0</v>
      </c>
      <c r="Z1551" s="510">
        <f t="shared" si="1211"/>
        <v>0</v>
      </c>
      <c r="AA1551" s="511"/>
      <c r="AB1551" s="511" t="str">
        <f t="shared" si="1212"/>
        <v/>
      </c>
      <c r="AC1551" s="698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698"/>
      <c r="AE1551" s="631" t="str">
        <f t="shared" si="1213"/>
        <v/>
      </c>
      <c r="AF1551" s="699" t="str">
        <f t="shared" si="1214"/>
        <v/>
      </c>
      <c r="AG1551" s="699"/>
      <c r="AH1551" s="699"/>
      <c r="AI1551" s="512">
        <f>IF(H1551="credit",0,IF(AE1551="free",0,IF(AE1551="me",0,IF(G1551&gt;0,(VLOOKUP(A1551,'Discount Lookup'!J:K,2)*G1551),0))))</f>
        <v>0</v>
      </c>
      <c r="AJ1551" s="513" t="str">
        <f t="shared" ca="1" si="1215"/>
        <v/>
      </c>
      <c r="AK1551" s="700" t="str">
        <f t="shared" si="1216"/>
        <v/>
      </c>
      <c r="AL1551" s="700"/>
      <c r="AM1551" s="505" t="str">
        <f t="shared" si="1217"/>
        <v/>
      </c>
      <c r="AN1551" s="506"/>
      <c r="AO1551" s="507"/>
      <c r="AP1551" s="507"/>
      <c r="AQ1551" s="507"/>
      <c r="AR1551" s="507"/>
      <c r="AS1551" s="507"/>
      <c r="AT1551" s="507"/>
      <c r="AU1551" s="507"/>
      <c r="AV1551" s="225"/>
      <c r="AW1551" s="508"/>
      <c r="AX1551" s="225"/>
      <c r="AY1551" s="225"/>
      <c r="AZ1551" s="225"/>
      <c r="BA1551" s="225"/>
      <c r="BB1551" s="225"/>
      <c r="BC1551" s="56"/>
      <c r="BD1551" s="56"/>
      <c r="BE1551" s="56"/>
      <c r="BF1551" s="107" t="str">
        <f t="shared" si="1218"/>
        <v>https://www.google.com/search?tbm=isch&amp;q=Golden%20Bamboo%20Phyllostachys%20aurea</v>
      </c>
      <c r="BG1551" s="107" t="str">
        <f t="shared" si="1219"/>
        <v>G</v>
      </c>
      <c r="BH1551" s="254"/>
      <c r="BI1551" s="254"/>
    </row>
    <row r="1552" spans="1:61" customFormat="1" ht="15.75" x14ac:dyDescent="0.25">
      <c r="A1552" s="485">
        <v>15</v>
      </c>
      <c r="B1552" s="486" t="s">
        <v>291</v>
      </c>
      <c r="C1552" s="487" t="s">
        <v>3520</v>
      </c>
      <c r="D1552" s="488" t="s">
        <v>292</v>
      </c>
      <c r="E1552" s="489">
        <v>206.95</v>
      </c>
      <c r="F1552" s="516" t="s">
        <v>293</v>
      </c>
      <c r="G1552" s="232">
        <v>0</v>
      </c>
      <c r="H1552" s="658" t="str">
        <f>IF(G1552=0,"",IF(F1552="Buy",IF(G1552=1,"plant","plants"),IF(F1552&gt;0.01,"warranty","Error")))</f>
        <v/>
      </c>
      <c r="I1552" s="490">
        <f>IF(H1552="free",0,IF(H1552="credit",((E1552*(F1552))*G1552*-1),IF(F1552="Buy",(E1552*G1552),((E1552*(1-F1552))*G1552))))</f>
        <v>0</v>
      </c>
      <c r="J1552" s="490">
        <f>IF(H1552="warranty",0,(I1552*(_xlfn.SINGLE(SalesTaxPercentage))))</f>
        <v>0</v>
      </c>
      <c r="K1552" s="695">
        <f t="shared" ref="K1552" si="1220">I1552+J1552</f>
        <v>0</v>
      </c>
      <c r="L1552" s="695"/>
      <c r="M1552" s="659" t="str">
        <f>IF(AND(G1552&gt;0,E1552=0),"WARNING - no PRICE inserted",IF(H1552="free"," FREE ~ no charge this plant",IF(H1552="credit",CONCATENATE(" -$",ROUND(K1552*(1-T2GDiscount)*-1,2)," CREDIT after discount"),IF(T2GDiscount=0,"",IF(G1552=0,"",IF(F1552="Buy",CONCATENATE(" $",ROUND(K1552*(1-T2GDiscount),2)," with ",(T2GDiscount*100),"% discount"),CONCATENATE(" $",ROUND(K1552*(1-T2GDiscount),2)," with ",((T2GDiscount*100+F1552*100)-(T2GDiscount*100*F1552)),IF(F1552&gt;0,"% discounts",IF(NoWarrantyDiscount&gt;0,"% discounts","% discount")))))))))</f>
        <v/>
      </c>
      <c r="N1552" s="660"/>
      <c r="O1552" s="233"/>
      <c r="P1552" s="233"/>
      <c r="Q1552" s="233"/>
      <c r="R1552" s="233"/>
      <c r="S1552" s="233"/>
      <c r="T1552" s="508">
        <f t="shared" si="1207"/>
        <v>0</v>
      </c>
      <c r="U1552" s="225">
        <f>IF(NOT(ISNUMBER(G1552)), "", VLOOKUP(A1552,'Discount Lookup'!D:E,2,FALSE)*G1552)</f>
        <v>0</v>
      </c>
      <c r="V1552" s="225">
        <f>IF(NOT(ISNUMBER(G1552)), "", VLOOKUP(A1552,'Discount Lookup'!G:H,2,FALSE)*G1552)</f>
        <v>0</v>
      </c>
      <c r="W1552" s="508">
        <f t="shared" si="1208"/>
        <v>0</v>
      </c>
      <c r="X1552" s="508">
        <f t="shared" si="1209"/>
        <v>0</v>
      </c>
      <c r="Y1552" s="509" t="b">
        <f t="shared" si="1210"/>
        <v>0</v>
      </c>
      <c r="Z1552" s="510">
        <f t="shared" si="1211"/>
        <v>0</v>
      </c>
      <c r="AA1552" s="511"/>
      <c r="AB1552" s="511" t="str">
        <f t="shared" si="1212"/>
        <v/>
      </c>
      <c r="AC1552" s="698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698"/>
      <c r="AE1552" s="631" t="str">
        <f t="shared" si="1213"/>
        <v/>
      </c>
      <c r="AF1552" s="699" t="str">
        <f t="shared" si="1214"/>
        <v/>
      </c>
      <c r="AG1552" s="699"/>
      <c r="AH1552" s="699"/>
      <c r="AI1552" s="512">
        <f>IF(H1552="credit",0,IF(AE1552="free",0,IF(AE1552="me",0,IF(G1552&gt;0,(VLOOKUP(A1552,'Discount Lookup'!J:K,2)*G1552),0))))</f>
        <v>0</v>
      </c>
      <c r="AJ1552" s="513" t="str">
        <f t="shared" ca="1" si="1215"/>
        <v/>
      </c>
      <c r="AK1552" s="700" t="str">
        <f t="shared" si="1216"/>
        <v/>
      </c>
      <c r="AL1552" s="700"/>
      <c r="AM1552" s="505" t="str">
        <f t="shared" si="1217"/>
        <v/>
      </c>
      <c r="AN1552" s="506"/>
      <c r="AO1552" s="507"/>
      <c r="AP1552" s="507"/>
      <c r="AQ1552" s="507"/>
      <c r="AR1552" s="507"/>
      <c r="AS1552" s="507"/>
      <c r="AT1552" s="507"/>
      <c r="AU1552" s="507"/>
      <c r="AV1552" s="225"/>
      <c r="AW1552" s="508"/>
      <c r="AX1552" s="225"/>
      <c r="AY1552" s="225"/>
      <c r="AZ1552" s="225"/>
      <c r="BA1552" s="225"/>
      <c r="BB1552" s="225"/>
      <c r="BC1552" s="56"/>
      <c r="BD1552" s="56"/>
      <c r="BE1552" s="56"/>
      <c r="BF1552" s="107" t="str">
        <f t="shared" si="1218"/>
        <v>https://www.google.com/search?tbm=isch&amp;q=15%20G4</v>
      </c>
      <c r="BG1552" s="107" t="str">
        <f t="shared" si="1219"/>
        <v>G</v>
      </c>
      <c r="BH1552" s="254"/>
      <c r="BI1552" s="254"/>
    </row>
    <row r="1553" spans="1:61" customFormat="1" ht="16.5" thickBot="1" x14ac:dyDescent="0.3">
      <c r="A1553" s="672" t="s">
        <v>5124</v>
      </c>
      <c r="B1553" s="491"/>
      <c r="C1553" s="675"/>
      <c r="D1553" s="491"/>
      <c r="E1553" s="491"/>
      <c r="F1553" s="492"/>
      <c r="G1553" s="493"/>
      <c r="H1553" s="491"/>
      <c r="I1553" s="234"/>
      <c r="J1553" s="234"/>
      <c r="K1553" s="494"/>
      <c r="L1553" s="543"/>
      <c r="M1553" s="561"/>
      <c r="N1553" s="495"/>
      <c r="O1553" s="496"/>
      <c r="P1553" s="497"/>
      <c r="Q1553" s="495"/>
      <c r="R1553" s="495"/>
      <c r="S1553" s="277"/>
      <c r="T1553" s="508">
        <f t="shared" si="1207"/>
        <v>0</v>
      </c>
      <c r="U1553" s="225" t="str">
        <f>IF(NOT(ISNUMBER(G1553)), "", VLOOKUP(A1553,'Discount Lookup'!D:E,2,FALSE)*G1553)</f>
        <v/>
      </c>
      <c r="V1553" s="225" t="str">
        <f>IF(NOT(ISNUMBER(G1553)), "", VLOOKUP(A1553,'Discount Lookup'!G:H,2,FALSE)*G1553)</f>
        <v/>
      </c>
      <c r="W1553" s="508">
        <f t="shared" si="1208"/>
        <v>0</v>
      </c>
      <c r="X1553" s="508">
        <f t="shared" si="1209"/>
        <v>0</v>
      </c>
      <c r="Y1553" s="509" t="b">
        <f t="shared" si="1210"/>
        <v>0</v>
      </c>
      <c r="Z1553" s="510">
        <f t="shared" si="1211"/>
        <v>0</v>
      </c>
      <c r="AA1553" s="511"/>
      <c r="AB1553" s="511" t="str">
        <f t="shared" si="1212"/>
        <v/>
      </c>
      <c r="AC1553" s="698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698"/>
      <c r="AE1553" s="631" t="str">
        <f t="shared" si="1213"/>
        <v/>
      </c>
      <c r="AF1553" s="699" t="str">
        <f t="shared" si="1214"/>
        <v/>
      </c>
      <c r="AG1553" s="699"/>
      <c r="AH1553" s="699"/>
      <c r="AI1553" s="512">
        <f>IF(H1553="credit",0,IF(AE1553="free",0,IF(AE1553="me",0,IF(G1553&gt;0,(VLOOKUP(A1553,'Discount Lookup'!J:K,2)*G1553),0))))</f>
        <v>0</v>
      </c>
      <c r="AJ1553" s="513" t="str">
        <f t="shared" ca="1" si="1215"/>
        <v/>
      </c>
      <c r="AK1553" s="700" t="str">
        <f t="shared" si="1216"/>
        <v/>
      </c>
      <c r="AL1553" s="700"/>
      <c r="AM1553" s="505" t="str">
        <f t="shared" si="1217"/>
        <v/>
      </c>
      <c r="AN1553" s="506"/>
      <c r="AO1553" s="507"/>
      <c r="AP1553" s="507"/>
      <c r="AQ1553" s="507"/>
      <c r="AR1553" s="507"/>
      <c r="AS1553" s="507"/>
      <c r="AT1553" s="507"/>
      <c r="AU1553" s="507"/>
      <c r="AV1553" s="225"/>
      <c r="AW1553" s="508"/>
      <c r="AX1553" s="225"/>
      <c r="AY1553" s="225"/>
      <c r="AZ1553" s="225"/>
      <c r="BA1553" s="225"/>
      <c r="BB1553" s="225"/>
      <c r="BC1553" s="56"/>
      <c r="BD1553" s="56"/>
      <c r="BE1553" s="56"/>
      <c r="BF1553" s="107" t="str">
        <f t="shared" si="1218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1553" s="107" t="str">
        <f t="shared" si="1219"/>
        <v>m</v>
      </c>
      <c r="BH1553" s="254"/>
      <c r="BI1553" s="254"/>
    </row>
    <row r="1554" spans="1:61" customFormat="1" ht="18" x14ac:dyDescent="0.25">
      <c r="A1554" s="523" t="s">
        <v>987</v>
      </c>
      <c r="B1554" s="235"/>
      <c r="C1554" s="676"/>
      <c r="D1554" s="255" t="s">
        <v>988</v>
      </c>
      <c r="E1554" s="236"/>
      <c r="F1554" s="236"/>
      <c r="G1554" s="236"/>
      <c r="H1554" s="582" t="s">
        <v>483</v>
      </c>
      <c r="I1554" s="498" t="s">
        <v>665</v>
      </c>
      <c r="J1554" s="237"/>
      <c r="K1554" s="237"/>
      <c r="L1554" s="274"/>
      <c r="M1554" s="668" t="s">
        <v>4975</v>
      </c>
      <c r="N1554" s="681" t="str">
        <f>IF(AND(ISTEXT($A1554), ISERROR($A1554+0)), HYPERLINK($BF1554, "Images"), "")</f>
        <v>Images</v>
      </c>
      <c r="O1554" s="663" t="s">
        <v>4969</v>
      </c>
      <c r="P1554" s="253"/>
      <c r="Q1554" s="238"/>
      <c r="R1554" s="239"/>
      <c r="S1554" s="275"/>
      <c r="T1554" s="508">
        <f t="shared" si="1207"/>
        <v>0</v>
      </c>
      <c r="U1554" s="225" t="str">
        <f>IF(NOT(ISNUMBER(G1554)), "", VLOOKUP(A1554,'Discount Lookup'!D:E,2,FALSE)*G1554)</f>
        <v/>
      </c>
      <c r="V1554" s="225" t="str">
        <f>IF(NOT(ISNUMBER(G1554)), "", VLOOKUP(A1554,'Discount Lookup'!G:H,2,FALSE)*G1554)</f>
        <v/>
      </c>
      <c r="W1554" s="508">
        <f t="shared" si="1208"/>
        <v>0</v>
      </c>
      <c r="X1554" s="508" t="str">
        <f t="shared" si="1209"/>
        <v>Yellow bloom</v>
      </c>
      <c r="Y1554" s="509" t="b">
        <f t="shared" si="1210"/>
        <v>0</v>
      </c>
      <c r="Z1554" s="510">
        <f t="shared" si="1211"/>
        <v>0</v>
      </c>
      <c r="AA1554" s="511"/>
      <c r="AB1554" s="511" t="str">
        <f t="shared" si="1212"/>
        <v/>
      </c>
      <c r="AC1554" s="698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698"/>
      <c r="AE1554" s="631" t="str">
        <f t="shared" si="1213"/>
        <v/>
      </c>
      <c r="AF1554" s="699" t="str">
        <f t="shared" si="1214"/>
        <v/>
      </c>
      <c r="AG1554" s="699"/>
      <c r="AH1554" s="699"/>
      <c r="AI1554" s="512">
        <f>IF(H1554="credit",0,IF(AE1554="free",0,IF(AE1554="me",0,IF(G1554&gt;0,(VLOOKUP(A1554,'Discount Lookup'!J:K,2)*G1554),0))))</f>
        <v>0</v>
      </c>
      <c r="AJ1554" s="513" t="str">
        <f t="shared" ca="1" si="1215"/>
        <v/>
      </c>
      <c r="AK1554" s="700" t="str">
        <f t="shared" si="1216"/>
        <v/>
      </c>
      <c r="AL1554" s="700"/>
      <c r="AM1554" s="505" t="str">
        <f t="shared" si="1217"/>
        <v/>
      </c>
      <c r="AN1554" s="506"/>
      <c r="AO1554" s="507"/>
      <c r="AP1554" s="507"/>
      <c r="AQ1554" s="507"/>
      <c r="AR1554" s="507"/>
      <c r="AS1554" s="507"/>
      <c r="AT1554" s="507"/>
      <c r="AU1554" s="507"/>
      <c r="AV1554" s="225"/>
      <c r="AW1554" s="508"/>
      <c r="AX1554" s="225"/>
      <c r="AY1554" s="225"/>
      <c r="AZ1554" s="225"/>
      <c r="BA1554" s="225"/>
      <c r="BB1554" s="225"/>
      <c r="BC1554" s="56"/>
      <c r="BD1554" s="56"/>
      <c r="BE1554" s="56"/>
      <c r="BF1554" s="107" t="str">
        <f t="shared" si="1218"/>
        <v>https://www.google.com/search?tbm=isch&amp;q=Golden%20Barberry%20Berberis%20thunbergii%20%27Aurea%27</v>
      </c>
      <c r="BG1554" s="107" t="str">
        <f t="shared" si="1219"/>
        <v>G</v>
      </c>
      <c r="BH1554" s="254"/>
      <c r="BI1554" s="254"/>
    </row>
    <row r="1555" spans="1:61" customFormat="1" ht="15.75" x14ac:dyDescent="0.25">
      <c r="A1555" s="276">
        <v>3</v>
      </c>
      <c r="B1555" s="240" t="s">
        <v>291</v>
      </c>
      <c r="C1555" s="241" t="s">
        <v>329</v>
      </c>
      <c r="D1555" s="242" t="s">
        <v>298</v>
      </c>
      <c r="E1555" s="243">
        <v>25.95</v>
      </c>
      <c r="F1555" s="517" t="s">
        <v>293</v>
      </c>
      <c r="G1555" s="232">
        <v>0</v>
      </c>
      <c r="H1555" s="661" t="str">
        <f>IF(G1555=0,"",IF(F1555="Buy",IF(G1555=1,"plant","plants"),IF(F1555&gt;0.01,"warranty","Error")))</f>
        <v/>
      </c>
      <c r="I1555" s="244">
        <f>IF(H1555="free",0,IF(H1555="credit",((E1555*(F1555))*G1555*-1),IF(F1555="Buy",(E1555*G1555),((E1555*(1-F1555))*G1555))))</f>
        <v>0</v>
      </c>
      <c r="J1555" s="244">
        <f>IF(H1555="warranty",0,(I1555*(_xlfn.SINGLE(SalesTaxPercentage))))</f>
        <v>0</v>
      </c>
      <c r="K1555" s="696">
        <f t="shared" ref="K1555" si="1221">I1555+J1555</f>
        <v>0</v>
      </c>
      <c r="L1555" s="696"/>
      <c r="M1555" s="659" t="str">
        <f>IF(AND(G1555&gt;0,E1555=0),"WARNING - no PRICE inserted",IF(H1555="free"," FREE ~ no charge this plant",IF(H1555="credit",CONCATENATE(" -$",ROUND(K1555*(1-T2GDiscount)*-1,2)," CREDIT after discount"),IF(T2GDiscount=0,"",IF(G1555=0,"",IF(F1555="Buy",CONCATENATE(" $",ROUND(K1555*(1-T2GDiscount),2)," with ",(T2GDiscount*100),"% discount"),CONCATENATE(" $",ROUND(K1555*(1-T2GDiscount),2)," with ",((T2GDiscount*100+F1555*100)-(T2GDiscount*100*F1555)),IF(F1555&gt;0,"% discounts",IF(NoWarrantyDiscount&gt;0,"% discounts","% discount")))))))))</f>
        <v/>
      </c>
      <c r="N1555" s="660"/>
      <c r="O1555" s="233"/>
      <c r="P1555" s="233"/>
      <c r="Q1555" s="233"/>
      <c r="R1555" s="233"/>
      <c r="S1555" s="233"/>
      <c r="T1555" s="508">
        <f t="shared" si="1207"/>
        <v>0</v>
      </c>
      <c r="U1555" s="225">
        <f>IF(NOT(ISNUMBER(G1555)), "", VLOOKUP(A1555,'Discount Lookup'!D:E,2,FALSE)*G1555)</f>
        <v>0</v>
      </c>
      <c r="V1555" s="225">
        <f>IF(NOT(ISNUMBER(G1555)), "", VLOOKUP(A1555,'Discount Lookup'!G:H,2,FALSE)*G1555)</f>
        <v>0</v>
      </c>
      <c r="W1555" s="508">
        <f t="shared" si="1208"/>
        <v>0</v>
      </c>
      <c r="X1555" s="508">
        <f t="shared" si="1209"/>
        <v>0</v>
      </c>
      <c r="Y1555" s="509" t="b">
        <f t="shared" si="1210"/>
        <v>0</v>
      </c>
      <c r="Z1555" s="510">
        <f t="shared" si="1211"/>
        <v>0</v>
      </c>
      <c r="AA1555" s="511"/>
      <c r="AB1555" s="511" t="str">
        <f t="shared" si="1212"/>
        <v/>
      </c>
      <c r="AC1555" s="698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698"/>
      <c r="AE1555" s="631" t="str">
        <f t="shared" si="1213"/>
        <v/>
      </c>
      <c r="AF1555" s="699" t="str">
        <f t="shared" si="1214"/>
        <v/>
      </c>
      <c r="AG1555" s="699"/>
      <c r="AH1555" s="699"/>
      <c r="AI1555" s="512">
        <f>IF(H1555="credit",0,IF(AE1555="free",0,IF(AE1555="me",0,IF(G1555&gt;0,(VLOOKUP(A1555,'Discount Lookup'!J:K,2)*G1555),0))))</f>
        <v>0</v>
      </c>
      <c r="AJ1555" s="513" t="str">
        <f t="shared" ca="1" si="1215"/>
        <v/>
      </c>
      <c r="AK1555" s="700" t="str">
        <f t="shared" si="1216"/>
        <v/>
      </c>
      <c r="AL1555" s="700"/>
      <c r="AM1555" s="505" t="str">
        <f t="shared" si="1217"/>
        <v/>
      </c>
      <c r="AN1555" s="506"/>
      <c r="AO1555" s="507"/>
      <c r="AP1555" s="507"/>
      <c r="AQ1555" s="507"/>
      <c r="AR1555" s="507"/>
      <c r="AS1555" s="507"/>
      <c r="AT1555" s="507"/>
      <c r="AU1555" s="507"/>
      <c r="AV1555" s="225"/>
      <c r="AW1555" s="508"/>
      <c r="AX1555" s="225"/>
      <c r="AY1555" s="225"/>
      <c r="AZ1555" s="225"/>
      <c r="BA1555" s="225"/>
      <c r="BB1555" s="225"/>
      <c r="BC1555" s="56"/>
      <c r="BD1555" s="56"/>
      <c r="BE1555" s="56"/>
      <c r="BF1555" s="107" t="str">
        <f t="shared" si="1218"/>
        <v>https://www.google.com/search?tbm=isch&amp;q=3%20G1</v>
      </c>
      <c r="BG1555" s="107" t="str">
        <f t="shared" si="1219"/>
        <v>G</v>
      </c>
      <c r="BH1555" s="254"/>
      <c r="BI1555" s="254"/>
    </row>
    <row r="1556" spans="1:61" customFormat="1" ht="15.75" x14ac:dyDescent="0.25">
      <c r="A1556" s="276">
        <v>3</v>
      </c>
      <c r="B1556" s="240" t="s">
        <v>291</v>
      </c>
      <c r="C1556" s="241" t="s">
        <v>352</v>
      </c>
      <c r="D1556" s="242" t="s">
        <v>297</v>
      </c>
      <c r="E1556" s="243">
        <v>26.95</v>
      </c>
      <c r="F1556" s="517" t="s">
        <v>293</v>
      </c>
      <c r="G1556" s="232">
        <v>0</v>
      </c>
      <c r="H1556" s="661" t="str">
        <f>IF(G1556=0,"",IF(F1556="Buy",IF(G1556=1,"plant","plants"),IF(F1556&gt;0.01,"warranty","Error")))</f>
        <v/>
      </c>
      <c r="I1556" s="244">
        <f>IF(H1556="free",0,IF(H1556="credit",((E1556*(F1556))*G1556*-1),IF(F1556="Buy",(E1556*G1556),((E1556*(1-F1556))*G1556))))</f>
        <v>0</v>
      </c>
      <c r="J1556" s="244">
        <f>IF(H1556="warranty",0,(I1556*(_xlfn.SINGLE(SalesTaxPercentage))))</f>
        <v>0</v>
      </c>
      <c r="K1556" s="696">
        <f t="shared" ref="K1556" si="1222">I1556+J1556</f>
        <v>0</v>
      </c>
      <c r="L1556" s="696"/>
      <c r="M1556" s="659" t="str">
        <f>IF(AND(G1556&gt;0,E1556=0),"WARNING - no PRICE inserted",IF(H1556="free"," FREE ~ no charge this plant",IF(H1556="credit",CONCATENATE(" -$",ROUND(K1556*(1-T2GDiscount)*-1,2)," CREDIT after discount"),IF(T2GDiscount=0,"",IF(G1556=0,"",IF(F1556="Buy",CONCATENATE(" $",ROUND(K1556*(1-T2GDiscount),2)," with ",(T2GDiscount*100),"% discount"),CONCATENATE(" $",ROUND(K1556*(1-T2GDiscount),2)," with ",((T2GDiscount*100+F1556*100)-(T2GDiscount*100*F1556)),IF(F1556&gt;0,"% discounts",IF(NoWarrantyDiscount&gt;0,"% discounts","% discount")))))))))</f>
        <v/>
      </c>
      <c r="N1556" s="660"/>
      <c r="O1556" s="233"/>
      <c r="P1556" s="233"/>
      <c r="Q1556" s="233"/>
      <c r="R1556" s="233"/>
      <c r="S1556" s="233"/>
      <c r="T1556" s="508">
        <f t="shared" si="1207"/>
        <v>0</v>
      </c>
      <c r="U1556" s="225">
        <f>IF(NOT(ISNUMBER(G1556)), "", VLOOKUP(A1556,'Discount Lookup'!D:E,2,FALSE)*G1556)</f>
        <v>0</v>
      </c>
      <c r="V1556" s="225">
        <f>IF(NOT(ISNUMBER(G1556)), "", VLOOKUP(A1556,'Discount Lookup'!G:H,2,FALSE)*G1556)</f>
        <v>0</v>
      </c>
      <c r="W1556" s="508">
        <f t="shared" si="1208"/>
        <v>0</v>
      </c>
      <c r="X1556" s="508">
        <f t="shared" si="1209"/>
        <v>0</v>
      </c>
      <c r="Y1556" s="509" t="b">
        <f t="shared" si="1210"/>
        <v>0</v>
      </c>
      <c r="Z1556" s="510">
        <f t="shared" si="1211"/>
        <v>0</v>
      </c>
      <c r="AA1556" s="511"/>
      <c r="AB1556" s="511" t="str">
        <f t="shared" si="1212"/>
        <v/>
      </c>
      <c r="AC1556" s="698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698"/>
      <c r="AE1556" s="631" t="str">
        <f t="shared" si="1213"/>
        <v/>
      </c>
      <c r="AF1556" s="699" t="str">
        <f t="shared" si="1214"/>
        <v/>
      </c>
      <c r="AG1556" s="699"/>
      <c r="AH1556" s="699"/>
      <c r="AI1556" s="512">
        <f>IF(H1556="credit",0,IF(AE1556="free",0,IF(AE1556="me",0,IF(G1556&gt;0,(VLOOKUP(A1556,'Discount Lookup'!J:K,2)*G1556),0))))</f>
        <v>0</v>
      </c>
      <c r="AJ1556" s="513" t="str">
        <f t="shared" ca="1" si="1215"/>
        <v/>
      </c>
      <c r="AK1556" s="700" t="str">
        <f t="shared" si="1216"/>
        <v/>
      </c>
      <c r="AL1556" s="700"/>
      <c r="AM1556" s="505" t="str">
        <f t="shared" si="1217"/>
        <v/>
      </c>
      <c r="AN1556" s="506"/>
      <c r="AO1556" s="507"/>
      <c r="AP1556" s="507"/>
      <c r="AQ1556" s="507"/>
      <c r="AR1556" s="507"/>
      <c r="AS1556" s="507"/>
      <c r="AT1556" s="507"/>
      <c r="AU1556" s="507"/>
      <c r="AV1556" s="225"/>
      <c r="AW1556" s="508"/>
      <c r="AX1556" s="225"/>
      <c r="AY1556" s="225"/>
      <c r="AZ1556" s="225"/>
      <c r="BA1556" s="225"/>
      <c r="BB1556" s="225"/>
      <c r="BC1556" s="56"/>
      <c r="BD1556" s="56"/>
      <c r="BE1556" s="56"/>
      <c r="BF1556" s="107" t="str">
        <f t="shared" si="1218"/>
        <v>https://www.google.com/search?tbm=isch&amp;q=3%20G3</v>
      </c>
      <c r="BG1556" s="107" t="str">
        <f t="shared" si="1219"/>
        <v>G</v>
      </c>
      <c r="BH1556" s="254"/>
      <c r="BI1556" s="254"/>
    </row>
    <row r="1557" spans="1:61" customFormat="1" ht="17.25" thickBot="1" x14ac:dyDescent="0.3">
      <c r="A1557" s="524" t="s">
        <v>2392</v>
      </c>
      <c r="B1557" s="245"/>
      <c r="C1557" s="677"/>
      <c r="D1557" s="499"/>
      <c r="E1557" s="499"/>
      <c r="F1557" s="500"/>
      <c r="G1557" s="501"/>
      <c r="H1557" s="502"/>
      <c r="I1557" s="246"/>
      <c r="J1557" s="247"/>
      <c r="K1557" s="503"/>
      <c r="L1557" s="544"/>
      <c r="M1557" s="544"/>
      <c r="N1557" s="500"/>
      <c r="O1557" s="500"/>
      <c r="P1557" s="500"/>
      <c r="Q1557" s="500"/>
      <c r="R1557" s="500"/>
      <c r="S1557" s="278"/>
      <c r="T1557" s="508">
        <f t="shared" si="1207"/>
        <v>0</v>
      </c>
      <c r="U1557" s="225" t="str">
        <f>IF(NOT(ISNUMBER(G1557)), "", VLOOKUP(A1557,'Discount Lookup'!D:E,2,FALSE)*G1557)</f>
        <v/>
      </c>
      <c r="V1557" s="225" t="str">
        <f>IF(NOT(ISNUMBER(G1557)), "", VLOOKUP(A1557,'Discount Lookup'!G:H,2,FALSE)*G1557)</f>
        <v/>
      </c>
      <c r="W1557" s="508">
        <f t="shared" si="1208"/>
        <v>0</v>
      </c>
      <c r="X1557" s="508">
        <f t="shared" si="1209"/>
        <v>0</v>
      </c>
      <c r="Y1557" s="509" t="b">
        <f t="shared" si="1210"/>
        <v>0</v>
      </c>
      <c r="Z1557" s="510">
        <f t="shared" si="1211"/>
        <v>0</v>
      </c>
      <c r="AA1557" s="511"/>
      <c r="AB1557" s="511" t="str">
        <f t="shared" si="1212"/>
        <v/>
      </c>
      <c r="AC1557" s="698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698"/>
      <c r="AE1557" s="631" t="str">
        <f t="shared" si="1213"/>
        <v/>
      </c>
      <c r="AF1557" s="699" t="str">
        <f t="shared" si="1214"/>
        <v/>
      </c>
      <c r="AG1557" s="699"/>
      <c r="AH1557" s="699"/>
      <c r="AI1557" s="512">
        <f>IF(H1557="credit",0,IF(AE1557="free",0,IF(AE1557="me",0,IF(G1557&gt;0,(VLOOKUP(A1557,'Discount Lookup'!J:K,2)*G1557),0))))</f>
        <v>0</v>
      </c>
      <c r="AJ1557" s="513" t="str">
        <f t="shared" ca="1" si="1215"/>
        <v/>
      </c>
      <c r="AK1557" s="700" t="str">
        <f t="shared" si="1216"/>
        <v/>
      </c>
      <c r="AL1557" s="700"/>
      <c r="AM1557" s="505" t="str">
        <f t="shared" si="1217"/>
        <v/>
      </c>
      <c r="AN1557" s="506"/>
      <c r="AO1557" s="507"/>
      <c r="AP1557" s="507"/>
      <c r="AQ1557" s="507"/>
      <c r="AR1557" s="507"/>
      <c r="AS1557" s="507"/>
      <c r="AT1557" s="507"/>
      <c r="AU1557" s="507"/>
      <c r="AV1557" s="225"/>
      <c r="AW1557" s="508"/>
      <c r="AX1557" s="225"/>
      <c r="AY1557" s="225"/>
      <c r="AZ1557" s="225"/>
      <c r="BA1557" s="225"/>
      <c r="BB1557" s="225"/>
      <c r="BC1557" s="56"/>
      <c r="BD1557" s="56"/>
      <c r="BE1557" s="56"/>
      <c r="BF1557" s="107" t="str">
        <f t="shared" si="1218"/>
        <v>https://www.google.com/search?tbm=isch&amp;q=Golden%20Barberry%20is%20sharp%2C%20beware.%20Foliage%20emerges%20bright%20yellow%2C%20then%20turns%20to%20a%20green%20late%20summer%20</v>
      </c>
      <c r="BG1557" s="107" t="str">
        <f t="shared" si="1219"/>
        <v>G</v>
      </c>
      <c r="BH1557" s="254"/>
      <c r="BI1557" s="254"/>
    </row>
    <row r="1558" spans="1:61" customFormat="1" ht="18" x14ac:dyDescent="0.25">
      <c r="A1558" s="523" t="s">
        <v>4325</v>
      </c>
      <c r="B1558" s="235"/>
      <c r="C1558" s="676"/>
      <c r="D1558" s="255" t="s">
        <v>4326</v>
      </c>
      <c r="E1558" s="236"/>
      <c r="F1558" s="236"/>
      <c r="G1558" s="236"/>
      <c r="H1558" s="582" t="s">
        <v>2042</v>
      </c>
      <c r="I1558" s="498" t="s">
        <v>655</v>
      </c>
      <c r="J1558" s="237"/>
      <c r="K1558" s="237"/>
      <c r="L1558" s="274"/>
      <c r="M1558" s="668" t="s">
        <v>4975</v>
      </c>
      <c r="N1558" s="681" t="str">
        <f>IF(AND(ISTEXT($A1558), ISERROR($A1558+0)), HYPERLINK($BF1558, "Images"), "")</f>
        <v>Images</v>
      </c>
      <c r="O1558" s="663" t="s">
        <v>4969</v>
      </c>
      <c r="P1558" s="253"/>
      <c r="Q1558" s="238"/>
      <c r="R1558" s="239"/>
      <c r="S1558" s="275"/>
      <c r="T1558" s="508">
        <f t="shared" si="1207"/>
        <v>0</v>
      </c>
      <c r="U1558" s="225" t="str">
        <f>IF(NOT(ISNUMBER(G1558)), "", VLOOKUP(A1558,'Discount Lookup'!D:E,2,FALSE)*G1558)</f>
        <v/>
      </c>
      <c r="V1558" s="225" t="str">
        <f>IF(NOT(ISNUMBER(G1558)), "", VLOOKUP(A1558,'Discount Lookup'!G:H,2,FALSE)*G1558)</f>
        <v/>
      </c>
      <c r="W1558" s="508">
        <f t="shared" si="1208"/>
        <v>0</v>
      </c>
      <c r="X1558" s="508" t="str">
        <f t="shared" si="1209"/>
        <v>Red bloom</v>
      </c>
      <c r="Y1558" s="509" t="b">
        <f t="shared" si="1210"/>
        <v>0</v>
      </c>
      <c r="Z1558" s="510">
        <f t="shared" si="1211"/>
        <v>0</v>
      </c>
      <c r="AA1558" s="511"/>
      <c r="AB1558" s="511" t="str">
        <f t="shared" si="1212"/>
        <v/>
      </c>
      <c r="AC1558" s="698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698"/>
      <c r="AE1558" s="631" t="str">
        <f t="shared" si="1213"/>
        <v/>
      </c>
      <c r="AF1558" s="699" t="str">
        <f t="shared" si="1214"/>
        <v/>
      </c>
      <c r="AG1558" s="699"/>
      <c r="AH1558" s="699"/>
      <c r="AI1558" s="512">
        <f>IF(H1558="credit",0,IF(AE1558="free",0,IF(AE1558="me",0,IF(G1558&gt;0,(VLOOKUP(A1558,'Discount Lookup'!J:K,2)*G1558),0))))</f>
        <v>0</v>
      </c>
      <c r="AJ1558" s="513" t="str">
        <f t="shared" ca="1" si="1215"/>
        <v/>
      </c>
      <c r="AK1558" s="700" t="str">
        <f t="shared" si="1216"/>
        <v/>
      </c>
      <c r="AL1558" s="700"/>
      <c r="AM1558" s="505" t="str">
        <f t="shared" si="1217"/>
        <v/>
      </c>
      <c r="AN1558" s="506"/>
      <c r="AO1558" s="507"/>
      <c r="AP1558" s="507"/>
      <c r="AQ1558" s="507"/>
      <c r="AR1558" s="507"/>
      <c r="AS1558" s="507"/>
      <c r="AT1558" s="507"/>
      <c r="AU1558" s="507"/>
      <c r="AV1558" s="225"/>
      <c r="AW1558" s="508"/>
      <c r="AX1558" s="225"/>
      <c r="AY1558" s="225"/>
      <c r="AZ1558" s="225"/>
      <c r="BA1558" s="225"/>
      <c r="BB1558" s="225"/>
      <c r="BC1558" s="56"/>
      <c r="BD1558" s="56"/>
      <c r="BE1558" s="56"/>
      <c r="BF1558" s="107" t="str">
        <f t="shared" si="1218"/>
        <v>https://www.google.com/search?tbm=isch&amp;q=Golden%20Bell%20Tower%20Persian%20Parrotia%20Parrotia%20persica%20%27Golden%20Bell%20Tower%27</v>
      </c>
      <c r="BG1558" s="107" t="str">
        <f t="shared" si="1219"/>
        <v>G</v>
      </c>
      <c r="BH1558" s="254"/>
      <c r="BI1558" s="254"/>
    </row>
    <row r="1559" spans="1:61" customFormat="1" ht="15.75" x14ac:dyDescent="0.25">
      <c r="A1559" s="276">
        <v>7</v>
      </c>
      <c r="B1559" s="240" t="s">
        <v>291</v>
      </c>
      <c r="C1559" s="241" t="s">
        <v>4409</v>
      </c>
      <c r="D1559" s="242" t="s">
        <v>292</v>
      </c>
      <c r="E1559" s="243">
        <v>146.94999999999999</v>
      </c>
      <c r="F1559" s="517" t="s">
        <v>293</v>
      </c>
      <c r="G1559" s="232">
        <v>0</v>
      </c>
      <c r="H1559" s="661" t="str">
        <f>IF(G1559=0,"",IF(F1559="Buy",IF(G1559=1,"plant","plants"),IF(F1559&gt;0.01,"warranty","Error")))</f>
        <v/>
      </c>
      <c r="I1559" s="244">
        <f>IF(H1559="free",0,IF(H1559="credit",((E1559*(F1559))*G1559*-1),IF(F1559="Buy",(E1559*G1559),((E1559*(1-F1559))*G1559))))</f>
        <v>0</v>
      </c>
      <c r="J1559" s="244">
        <f>IF(H1559="warranty",0,(I1559*(_xlfn.SINGLE(SalesTaxPercentage))))</f>
        <v>0</v>
      </c>
      <c r="K1559" s="696">
        <f t="shared" ref="K1559" si="1223">I1559+J1559</f>
        <v>0</v>
      </c>
      <c r="L1559" s="696"/>
      <c r="M1559" s="659" t="str">
        <f>IF(AND(G1559&gt;0,E1559=0),"WARNING - no PRICE inserted",IF(H1559="free"," FREE ~ no charge this plant",IF(H1559="credit",CONCATENATE(" -$",ROUND(K1559*(1-T2GDiscount)*-1,2)," CREDIT after discount"),IF(T2GDiscount=0,"",IF(G1559=0,"",IF(F1559="Buy",CONCATENATE(" $",ROUND(K1559*(1-T2GDiscount),2)," with ",(T2GDiscount*100),"% discount"),CONCATENATE(" $",ROUND(K1559*(1-T2GDiscount),2)," with ",((T2GDiscount*100+F1559*100)-(T2GDiscount*100*F1559)),IF(F1559&gt;0,"% discounts",IF(NoWarrantyDiscount&gt;0,"% discounts","% discount")))))))))</f>
        <v/>
      </c>
      <c r="N1559" s="660"/>
      <c r="O1559" s="233"/>
      <c r="P1559" s="233"/>
      <c r="Q1559" s="233"/>
      <c r="R1559" s="233"/>
      <c r="S1559" s="233"/>
      <c r="T1559" s="508">
        <f t="shared" si="1207"/>
        <v>0</v>
      </c>
      <c r="U1559" s="225">
        <f>IF(NOT(ISNUMBER(G1559)), "", VLOOKUP(A1559,'Discount Lookup'!D:E,2,FALSE)*G1559)</f>
        <v>0</v>
      </c>
      <c r="V1559" s="225">
        <f>IF(NOT(ISNUMBER(G1559)), "", VLOOKUP(A1559,'Discount Lookup'!G:H,2,FALSE)*G1559)</f>
        <v>0</v>
      </c>
      <c r="W1559" s="508">
        <f t="shared" si="1208"/>
        <v>0</v>
      </c>
      <c r="X1559" s="508">
        <f t="shared" si="1209"/>
        <v>0</v>
      </c>
      <c r="Y1559" s="509" t="b">
        <f t="shared" si="1210"/>
        <v>0</v>
      </c>
      <c r="Z1559" s="510">
        <f t="shared" si="1211"/>
        <v>0</v>
      </c>
      <c r="AA1559" s="511"/>
      <c r="AB1559" s="511" t="str">
        <f t="shared" si="1212"/>
        <v/>
      </c>
      <c r="AC1559" s="698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698"/>
      <c r="AE1559" s="631" t="str">
        <f t="shared" si="1213"/>
        <v/>
      </c>
      <c r="AF1559" s="699" t="str">
        <f t="shared" si="1214"/>
        <v/>
      </c>
      <c r="AG1559" s="699"/>
      <c r="AH1559" s="699"/>
      <c r="AI1559" s="512">
        <f>IF(H1559="credit",0,IF(AE1559="free",0,IF(AE1559="me",0,IF(G1559&gt;0,(VLOOKUP(A1559,'Discount Lookup'!J:K,2)*G1559),0))))</f>
        <v>0</v>
      </c>
      <c r="AJ1559" s="513" t="str">
        <f t="shared" ca="1" si="1215"/>
        <v/>
      </c>
      <c r="AK1559" s="700" t="str">
        <f t="shared" si="1216"/>
        <v/>
      </c>
      <c r="AL1559" s="700"/>
      <c r="AM1559" s="505" t="str">
        <f t="shared" si="1217"/>
        <v/>
      </c>
      <c r="AN1559" s="506"/>
      <c r="AO1559" s="507"/>
      <c r="AP1559" s="507"/>
      <c r="AQ1559" s="507"/>
      <c r="AR1559" s="507"/>
      <c r="AS1559" s="507"/>
      <c r="AT1559" s="507"/>
      <c r="AU1559" s="507"/>
      <c r="AV1559" s="225"/>
      <c r="AW1559" s="508"/>
      <c r="AX1559" s="225"/>
      <c r="AY1559" s="225"/>
      <c r="AZ1559" s="225"/>
      <c r="BA1559" s="225"/>
      <c r="BB1559" s="225"/>
      <c r="BC1559" s="56"/>
      <c r="BD1559" s="56"/>
      <c r="BE1559" s="56"/>
      <c r="BF1559" s="107" t="str">
        <f t="shared" si="1218"/>
        <v>https://www.google.com/search?tbm=isch&amp;q=7%20G4</v>
      </c>
      <c r="BG1559" s="107" t="str">
        <f t="shared" si="1219"/>
        <v>G</v>
      </c>
      <c r="BH1559" s="254"/>
      <c r="BI1559" s="254"/>
    </row>
    <row r="1560" spans="1:61" customFormat="1" ht="17.25" thickBot="1" x14ac:dyDescent="0.3">
      <c r="A1560" s="524" t="s">
        <v>4327</v>
      </c>
      <c r="B1560" s="245"/>
      <c r="C1560" s="677"/>
      <c r="D1560" s="499"/>
      <c r="E1560" s="499"/>
      <c r="F1560" s="500"/>
      <c r="G1560" s="501"/>
      <c r="H1560" s="502"/>
      <c r="I1560" s="246"/>
      <c r="J1560" s="247"/>
      <c r="K1560" s="503"/>
      <c r="L1560" s="544"/>
      <c r="M1560" s="544"/>
      <c r="N1560" s="500"/>
      <c r="O1560" s="500"/>
      <c r="P1560" s="500"/>
      <c r="Q1560" s="500"/>
      <c r="R1560" s="500"/>
      <c r="S1560" s="278"/>
      <c r="T1560" s="508">
        <f t="shared" si="1207"/>
        <v>0</v>
      </c>
      <c r="U1560" s="225" t="str">
        <f>IF(NOT(ISNUMBER(G1560)), "", VLOOKUP(A1560,'Discount Lookup'!D:E,2,FALSE)*G1560)</f>
        <v/>
      </c>
      <c r="V1560" s="225" t="str">
        <f>IF(NOT(ISNUMBER(G1560)), "", VLOOKUP(A1560,'Discount Lookup'!G:H,2,FALSE)*G1560)</f>
        <v/>
      </c>
      <c r="W1560" s="508">
        <f t="shared" si="1208"/>
        <v>0</v>
      </c>
      <c r="X1560" s="508">
        <f t="shared" si="1209"/>
        <v>0</v>
      </c>
      <c r="Y1560" s="509" t="b">
        <f t="shared" si="1210"/>
        <v>0</v>
      </c>
      <c r="Z1560" s="510">
        <f t="shared" si="1211"/>
        <v>0</v>
      </c>
      <c r="AA1560" s="511"/>
      <c r="AB1560" s="511" t="str">
        <f t="shared" si="1212"/>
        <v/>
      </c>
      <c r="AC1560" s="698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698"/>
      <c r="AE1560" s="631" t="str">
        <f t="shared" si="1213"/>
        <v/>
      </c>
      <c r="AF1560" s="699" t="str">
        <f t="shared" si="1214"/>
        <v/>
      </c>
      <c r="AG1560" s="699"/>
      <c r="AH1560" s="699"/>
      <c r="AI1560" s="512">
        <f>IF(H1560="credit",0,IF(AE1560="free",0,IF(AE1560="me",0,IF(G1560&gt;0,(VLOOKUP(A1560,'Discount Lookup'!J:K,2)*G1560),0))))</f>
        <v>0</v>
      </c>
      <c r="AJ1560" s="513" t="str">
        <f t="shared" ca="1" si="1215"/>
        <v/>
      </c>
      <c r="AK1560" s="700" t="str">
        <f t="shared" si="1216"/>
        <v/>
      </c>
      <c r="AL1560" s="700"/>
      <c r="AM1560" s="505" t="str">
        <f t="shared" si="1217"/>
        <v/>
      </c>
      <c r="AN1560" s="506"/>
      <c r="AO1560" s="507"/>
      <c r="AP1560" s="507"/>
      <c r="AQ1560" s="507"/>
      <c r="AR1560" s="507"/>
      <c r="AS1560" s="507"/>
      <c r="AT1560" s="507"/>
      <c r="AU1560" s="507"/>
      <c r="AV1560" s="225"/>
      <c r="AW1560" s="508"/>
      <c r="AX1560" s="225"/>
      <c r="AY1560" s="225"/>
      <c r="AZ1560" s="225"/>
      <c r="BA1560" s="225"/>
      <c r="BB1560" s="225"/>
      <c r="BC1560" s="56"/>
      <c r="BD1560" s="56"/>
      <c r="BE1560" s="56"/>
      <c r="BF1560" s="107" t="str">
        <f t="shared" si="1218"/>
        <v>https://www.google.com/search?tbm=isch&amp;q=Golden%20Bell%20Tower%20has%20a%20storm-resistant%20columnar%20form%2C%20exfoliating%20bark%20revealing%20Pink%20tones%2C%20and%20consistent%20Golden-Apricot%20fall%20color%20</v>
      </c>
      <c r="BG1560" s="107" t="str">
        <f t="shared" si="1219"/>
        <v>G</v>
      </c>
      <c r="BH1560" s="254"/>
      <c r="BI1560" s="254"/>
    </row>
    <row r="1561" spans="1:61" customFormat="1" ht="18" x14ac:dyDescent="0.25">
      <c r="A1561" s="523" t="s">
        <v>5415</v>
      </c>
      <c r="B1561" s="235"/>
      <c r="C1561" s="676"/>
      <c r="D1561" s="255" t="s">
        <v>989</v>
      </c>
      <c r="E1561" s="236"/>
      <c r="F1561" s="236"/>
      <c r="G1561" s="236"/>
      <c r="H1561" s="582" t="s">
        <v>990</v>
      </c>
      <c r="I1561" s="498" t="s">
        <v>2109</v>
      </c>
      <c r="J1561" s="237"/>
      <c r="K1561" s="237"/>
      <c r="L1561" s="274"/>
      <c r="M1561" s="668" t="s">
        <v>4962</v>
      </c>
      <c r="N1561" s="681" t="str">
        <f>IF(AND(ISTEXT($A1561), ISERROR($A1561+0)), HYPERLINK($BF1561, "Images"), "")</f>
        <v>Images</v>
      </c>
      <c r="O1561" s="663" t="s">
        <v>4967</v>
      </c>
      <c r="P1561" s="253"/>
      <c r="Q1561" s="238"/>
      <c r="R1561" s="239"/>
      <c r="S1561" s="275"/>
      <c r="T1561" s="508">
        <f t="shared" si="1207"/>
        <v>0</v>
      </c>
      <c r="U1561" s="225" t="str">
        <f>IF(NOT(ISNUMBER(G1561)), "", VLOOKUP(A1561,'Discount Lookup'!D:E,2,FALSE)*G1561)</f>
        <v/>
      </c>
      <c r="V1561" s="225" t="str">
        <f>IF(NOT(ISNUMBER(G1561)), "", VLOOKUP(A1561,'Discount Lookup'!G:H,2,FALSE)*G1561)</f>
        <v/>
      </c>
      <c r="W1561" s="508">
        <f t="shared" si="1208"/>
        <v>0</v>
      </c>
      <c r="X1561" s="508" t="str">
        <f t="shared" si="1209"/>
        <v>Green foliage</v>
      </c>
      <c r="Y1561" s="509" t="b">
        <f t="shared" si="1210"/>
        <v>0</v>
      </c>
      <c r="Z1561" s="510">
        <f t="shared" si="1211"/>
        <v>0</v>
      </c>
      <c r="AA1561" s="511"/>
      <c r="AB1561" s="511" t="str">
        <f t="shared" si="1212"/>
        <v/>
      </c>
      <c r="AC1561" s="698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698"/>
      <c r="AE1561" s="631" t="str">
        <f t="shared" si="1213"/>
        <v/>
      </c>
      <c r="AF1561" s="699" t="str">
        <f t="shared" si="1214"/>
        <v/>
      </c>
      <c r="AG1561" s="699"/>
      <c r="AH1561" s="699"/>
      <c r="AI1561" s="512">
        <f>IF(H1561="credit",0,IF(AE1561="free",0,IF(AE1561="me",0,IF(G1561&gt;0,(VLOOKUP(A1561,'Discount Lookup'!J:K,2)*G1561),0))))</f>
        <v>0</v>
      </c>
      <c r="AJ1561" s="513" t="str">
        <f t="shared" ca="1" si="1215"/>
        <v/>
      </c>
      <c r="AK1561" s="700" t="str">
        <f t="shared" si="1216"/>
        <v/>
      </c>
      <c r="AL1561" s="700"/>
      <c r="AM1561" s="505" t="str">
        <f t="shared" si="1217"/>
        <v/>
      </c>
      <c r="AN1561" s="506"/>
      <c r="AO1561" s="507"/>
      <c r="AP1561" s="507"/>
      <c r="AQ1561" s="507"/>
      <c r="AR1561" s="507"/>
      <c r="AS1561" s="507"/>
      <c r="AT1561" s="507"/>
      <c r="AU1561" s="507"/>
      <c r="AV1561" s="225"/>
      <c r="AW1561" s="508"/>
      <c r="AX1561" s="225"/>
      <c r="AY1561" s="225"/>
      <c r="AZ1561" s="225"/>
      <c r="BA1561" s="225"/>
      <c r="BB1561" s="225"/>
      <c r="BC1561" s="56"/>
      <c r="BD1561" s="56"/>
      <c r="BE1561" s="56"/>
      <c r="BF1561" s="107" t="str">
        <f t="shared" si="1218"/>
        <v>https://www.google.com/search?tbm=isch&amp;q=Golden%20Colonnade%E2%84%A2%20Ginkgo%20Ginkgo%20biloba%20%27JFS-UGA2%27%20PP%2332171</v>
      </c>
      <c r="BG1561" s="107" t="str">
        <f t="shared" si="1219"/>
        <v>G</v>
      </c>
      <c r="BH1561" s="254"/>
      <c r="BI1561" s="254"/>
    </row>
    <row r="1562" spans="1:61" customFormat="1" ht="15.75" x14ac:dyDescent="0.25">
      <c r="A1562" s="276">
        <v>15</v>
      </c>
      <c r="B1562" s="240" t="s">
        <v>291</v>
      </c>
      <c r="C1562" s="241" t="s">
        <v>3521</v>
      </c>
      <c r="D1562" s="242" t="s">
        <v>292</v>
      </c>
      <c r="E1562" s="243">
        <v>270.95</v>
      </c>
      <c r="F1562" s="517" t="s">
        <v>293</v>
      </c>
      <c r="G1562" s="232">
        <v>0</v>
      </c>
      <c r="H1562" s="661" t="str">
        <f>IF(G1562=0,"",IF(F1562="Buy",IF(G1562=1,"plant","plants"),IF(F1562&gt;0.01,"warranty","Error")))</f>
        <v/>
      </c>
      <c r="I1562" s="244">
        <f>IF(H1562="free",0,IF(H1562="credit",((E1562*(F1562))*G1562*-1),IF(F1562="Buy",(E1562*G1562),((E1562*(1-F1562))*G1562))))</f>
        <v>0</v>
      </c>
      <c r="J1562" s="244">
        <f>IF(H1562="warranty",0,(I1562*(_xlfn.SINGLE(SalesTaxPercentage))))</f>
        <v>0</v>
      </c>
      <c r="K1562" s="696">
        <f t="shared" ref="K1562" si="1224">I1562+J1562</f>
        <v>0</v>
      </c>
      <c r="L1562" s="696"/>
      <c r="M1562" s="659" t="str">
        <f>IF(AND(G1562&gt;0,E1562=0),"WARNING - no PRICE inserted",IF(H1562="free"," FREE ~ no charge this plant",IF(H1562="credit",CONCATENATE(" -$",ROUND(K1562*(1-T2GDiscount)*-1,2)," CREDIT after discount"),IF(T2GDiscount=0,"",IF(G1562=0,"",IF(F1562="Buy",CONCATENATE(" $",ROUND(K1562*(1-T2GDiscount),2)," with ",(T2GDiscount*100),"% discount"),CONCATENATE(" $",ROUND(K1562*(1-T2GDiscount),2)," with ",((T2GDiscount*100+F1562*100)-(T2GDiscount*100*F1562)),IF(F1562&gt;0,"% discounts",IF(NoWarrantyDiscount&gt;0,"% discounts","% discount")))))))))</f>
        <v/>
      </c>
      <c r="N1562" s="660"/>
      <c r="O1562" s="233"/>
      <c r="P1562" s="233"/>
      <c r="Q1562" s="233"/>
      <c r="R1562" s="233"/>
      <c r="S1562" s="233"/>
      <c r="T1562" s="508">
        <f t="shared" si="1207"/>
        <v>0</v>
      </c>
      <c r="U1562" s="225">
        <f>IF(NOT(ISNUMBER(G1562)), "", VLOOKUP(A1562,'Discount Lookup'!D:E,2,FALSE)*G1562)</f>
        <v>0</v>
      </c>
      <c r="V1562" s="225">
        <f>IF(NOT(ISNUMBER(G1562)), "", VLOOKUP(A1562,'Discount Lookup'!G:H,2,FALSE)*G1562)</f>
        <v>0</v>
      </c>
      <c r="W1562" s="508">
        <f t="shared" si="1208"/>
        <v>0</v>
      </c>
      <c r="X1562" s="508">
        <f t="shared" si="1209"/>
        <v>0</v>
      </c>
      <c r="Y1562" s="509" t="b">
        <f t="shared" si="1210"/>
        <v>0</v>
      </c>
      <c r="Z1562" s="510">
        <f t="shared" si="1211"/>
        <v>0</v>
      </c>
      <c r="AA1562" s="511"/>
      <c r="AB1562" s="511" t="str">
        <f t="shared" si="1212"/>
        <v/>
      </c>
      <c r="AC1562" s="698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698"/>
      <c r="AE1562" s="631" t="str">
        <f t="shared" si="1213"/>
        <v/>
      </c>
      <c r="AF1562" s="699" t="str">
        <f t="shared" si="1214"/>
        <v/>
      </c>
      <c r="AG1562" s="699"/>
      <c r="AH1562" s="699"/>
      <c r="AI1562" s="512">
        <f>IF(H1562="credit",0,IF(AE1562="free",0,IF(AE1562="me",0,IF(G1562&gt;0,(VLOOKUP(A1562,'Discount Lookup'!J:K,2)*G1562),0))))</f>
        <v>0</v>
      </c>
      <c r="AJ1562" s="513" t="str">
        <f t="shared" ca="1" si="1215"/>
        <v/>
      </c>
      <c r="AK1562" s="700" t="str">
        <f t="shared" si="1216"/>
        <v/>
      </c>
      <c r="AL1562" s="700"/>
      <c r="AM1562" s="505" t="str">
        <f t="shared" si="1217"/>
        <v/>
      </c>
      <c r="AN1562" s="506"/>
      <c r="AO1562" s="507"/>
      <c r="AP1562" s="507"/>
      <c r="AQ1562" s="507"/>
      <c r="AR1562" s="507"/>
      <c r="AS1562" s="507"/>
      <c r="AT1562" s="507"/>
      <c r="AU1562" s="507"/>
      <c r="AV1562" s="225"/>
      <c r="AW1562" s="508"/>
      <c r="AX1562" s="225"/>
      <c r="AY1562" s="225"/>
      <c r="AZ1562" s="225"/>
      <c r="BA1562" s="225"/>
      <c r="BB1562" s="225"/>
      <c r="BC1562" s="56"/>
      <c r="BD1562" s="56"/>
      <c r="BE1562" s="56"/>
      <c r="BF1562" s="107" t="str">
        <f t="shared" si="1218"/>
        <v>https://www.google.com/search?tbm=isch&amp;q=15%20G4</v>
      </c>
      <c r="BG1562" s="107" t="str">
        <f t="shared" si="1219"/>
        <v>G</v>
      </c>
      <c r="BH1562" s="254"/>
      <c r="BI1562" s="254"/>
    </row>
    <row r="1563" spans="1:61" customFormat="1" ht="17.25" thickBot="1" x14ac:dyDescent="0.3">
      <c r="A1563" s="524" t="s">
        <v>2393</v>
      </c>
      <c r="B1563" s="245"/>
      <c r="C1563" s="677"/>
      <c r="D1563" s="499"/>
      <c r="E1563" s="499"/>
      <c r="F1563" s="500"/>
      <c r="G1563" s="501"/>
      <c r="H1563" s="502"/>
      <c r="I1563" s="246"/>
      <c r="J1563" s="247"/>
      <c r="K1563" s="503"/>
      <c r="L1563" s="544"/>
      <c r="M1563" s="544"/>
      <c r="N1563" s="500"/>
      <c r="O1563" s="500"/>
      <c r="P1563" s="500"/>
      <c r="Q1563" s="500"/>
      <c r="R1563" s="500"/>
      <c r="S1563" s="278"/>
      <c r="T1563" s="508">
        <f t="shared" si="1207"/>
        <v>0</v>
      </c>
      <c r="U1563" s="225" t="str">
        <f>IF(NOT(ISNUMBER(G1563)), "", VLOOKUP(A1563,'Discount Lookup'!D:E,2,FALSE)*G1563)</f>
        <v/>
      </c>
      <c r="V1563" s="225" t="str">
        <f>IF(NOT(ISNUMBER(G1563)), "", VLOOKUP(A1563,'Discount Lookup'!G:H,2,FALSE)*G1563)</f>
        <v/>
      </c>
      <c r="W1563" s="508">
        <f t="shared" si="1208"/>
        <v>0</v>
      </c>
      <c r="X1563" s="508">
        <f t="shared" si="1209"/>
        <v>0</v>
      </c>
      <c r="Y1563" s="509" t="b">
        <f t="shared" si="1210"/>
        <v>0</v>
      </c>
      <c r="Z1563" s="510">
        <f t="shared" si="1211"/>
        <v>0</v>
      </c>
      <c r="AA1563" s="511"/>
      <c r="AB1563" s="511" t="str">
        <f t="shared" si="1212"/>
        <v/>
      </c>
      <c r="AC1563" s="698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698"/>
      <c r="AE1563" s="631" t="str">
        <f t="shared" si="1213"/>
        <v/>
      </c>
      <c r="AF1563" s="699" t="str">
        <f t="shared" si="1214"/>
        <v/>
      </c>
      <c r="AG1563" s="699"/>
      <c r="AH1563" s="699"/>
      <c r="AI1563" s="512">
        <f>IF(H1563="credit",0,IF(AE1563="free",0,IF(AE1563="me",0,IF(G1563&gt;0,(VLOOKUP(A1563,'Discount Lookup'!J:K,2)*G1563),0))))</f>
        <v>0</v>
      </c>
      <c r="AJ1563" s="513" t="str">
        <f t="shared" ca="1" si="1215"/>
        <v/>
      </c>
      <c r="AK1563" s="700" t="str">
        <f t="shared" si="1216"/>
        <v/>
      </c>
      <c r="AL1563" s="700"/>
      <c r="AM1563" s="505" t="str">
        <f t="shared" si="1217"/>
        <v/>
      </c>
      <c r="AN1563" s="506"/>
      <c r="AO1563" s="507"/>
      <c r="AP1563" s="507"/>
      <c r="AQ1563" s="507"/>
      <c r="AR1563" s="507"/>
      <c r="AS1563" s="507"/>
      <c r="AT1563" s="507"/>
      <c r="AU1563" s="507"/>
      <c r="AV1563" s="225"/>
      <c r="AW1563" s="508"/>
      <c r="AX1563" s="225"/>
      <c r="AY1563" s="225"/>
      <c r="AZ1563" s="225"/>
      <c r="BA1563" s="225"/>
      <c r="BB1563" s="225"/>
      <c r="BC1563" s="56"/>
      <c r="BD1563" s="56"/>
      <c r="BE1563" s="56"/>
      <c r="BF1563" s="107" t="str">
        <f t="shared" si="1218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563" s="107" t="str">
        <f t="shared" si="1219"/>
        <v>G</v>
      </c>
      <c r="BH1563" s="254"/>
      <c r="BI1563" s="254"/>
    </row>
    <row r="1564" spans="1:61" customFormat="1" ht="18" x14ac:dyDescent="0.25">
      <c r="A1564" s="521" t="s">
        <v>5416</v>
      </c>
      <c r="B1564" s="477"/>
      <c r="C1564" s="674"/>
      <c r="D1564" s="478" t="s">
        <v>991</v>
      </c>
      <c r="E1564" s="479"/>
      <c r="F1564" s="479"/>
      <c r="G1564" s="479"/>
      <c r="H1564" s="582" t="s">
        <v>483</v>
      </c>
      <c r="I1564" s="480" t="s">
        <v>2888</v>
      </c>
      <c r="J1564" s="479"/>
      <c r="K1564" s="479"/>
      <c r="L1564" s="560"/>
      <c r="M1564" s="671" t="s">
        <v>4990</v>
      </c>
      <c r="N1564" s="680" t="str">
        <f>IF(AND(ISTEXT($A1564), ISERROR($A1564+0)), HYPERLINK($BF1564, "Images"), "")</f>
        <v>Images</v>
      </c>
      <c r="O1564" s="662" t="s">
        <v>4969</v>
      </c>
      <c r="P1564" s="482"/>
      <c r="Q1564" s="483"/>
      <c r="R1564" s="483"/>
      <c r="S1564" s="484"/>
      <c r="T1564" s="508">
        <f t="shared" si="1207"/>
        <v>0</v>
      </c>
      <c r="U1564" s="225" t="str">
        <f>IF(NOT(ISNUMBER(G1564)), "", VLOOKUP(A1564,'Discount Lookup'!D:E,2,FALSE)*G1564)</f>
        <v/>
      </c>
      <c r="V1564" s="225" t="str">
        <f>IF(NOT(ISNUMBER(G1564)), "", VLOOKUP(A1564,'Discount Lookup'!G:H,2,FALSE)*G1564)</f>
        <v/>
      </c>
      <c r="W1564" s="508">
        <f t="shared" si="1208"/>
        <v>0</v>
      </c>
      <c r="X1564" s="508" t="str">
        <f t="shared" si="1209"/>
        <v>Green &amp; Yellow foliage</v>
      </c>
      <c r="Y1564" s="509" t="b">
        <f t="shared" si="1210"/>
        <v>0</v>
      </c>
      <c r="Z1564" s="510">
        <f t="shared" si="1211"/>
        <v>0</v>
      </c>
      <c r="AA1564" s="511"/>
      <c r="AB1564" s="511" t="str">
        <f t="shared" si="1212"/>
        <v/>
      </c>
      <c r="AC1564" s="698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698"/>
      <c r="AE1564" s="631" t="str">
        <f t="shared" si="1213"/>
        <v/>
      </c>
      <c r="AF1564" s="699" t="str">
        <f t="shared" si="1214"/>
        <v/>
      </c>
      <c r="AG1564" s="699"/>
      <c r="AH1564" s="699"/>
      <c r="AI1564" s="512">
        <f>IF(H1564="credit",0,IF(AE1564="free",0,IF(AE1564="me",0,IF(G1564&gt;0,(VLOOKUP(A1564,'Discount Lookup'!J:K,2)*G1564),0))))</f>
        <v>0</v>
      </c>
      <c r="AJ1564" s="513" t="str">
        <f t="shared" ca="1" si="1215"/>
        <v/>
      </c>
      <c r="AK1564" s="700" t="str">
        <f t="shared" si="1216"/>
        <v/>
      </c>
      <c r="AL1564" s="700"/>
      <c r="AM1564" s="505" t="str">
        <f t="shared" si="1217"/>
        <v/>
      </c>
      <c r="AN1564" s="506"/>
      <c r="AO1564" s="507"/>
      <c r="AP1564" s="507"/>
      <c r="AQ1564" s="507"/>
      <c r="AR1564" s="507"/>
      <c r="AS1564" s="507"/>
      <c r="AT1564" s="507"/>
      <c r="AU1564" s="507"/>
      <c r="AV1564" s="225"/>
      <c r="AW1564" s="508"/>
      <c r="AX1564" s="225"/>
      <c r="AY1564" s="225"/>
      <c r="AZ1564" s="225"/>
      <c r="BA1564" s="225"/>
      <c r="BB1564" s="225"/>
      <c r="BC1564" s="56"/>
      <c r="BD1564" s="56"/>
      <c r="BE1564" s="56"/>
      <c r="BF1564" s="107" t="str">
        <f t="shared" si="1218"/>
        <v>https://www.google.com/search?tbm=isch&amp;q=Golden%20Dragon%E2%84%A2%20Japanese%20Plum%20Yew%20Cephalotaxus%20harringtonia%20%27Golden%20Dragon%27</v>
      </c>
      <c r="BG1564" s="107" t="str">
        <f t="shared" si="1219"/>
        <v>G</v>
      </c>
      <c r="BH1564" s="254"/>
      <c r="BI1564" s="254"/>
    </row>
    <row r="1565" spans="1:61" customFormat="1" ht="15.75" x14ac:dyDescent="0.25">
      <c r="A1565" s="485">
        <v>5</v>
      </c>
      <c r="B1565" s="486" t="s">
        <v>291</v>
      </c>
      <c r="C1565" s="487" t="s">
        <v>3522</v>
      </c>
      <c r="D1565" s="488" t="s">
        <v>292</v>
      </c>
      <c r="E1565" s="489">
        <v>109.95</v>
      </c>
      <c r="F1565" s="516" t="s">
        <v>293</v>
      </c>
      <c r="G1565" s="232">
        <v>0</v>
      </c>
      <c r="H1565" s="658" t="str">
        <f>IF(G1565=0,"",IF(F1565="Buy",IF(G1565=1,"plant","plants"),IF(F1565&gt;0.01,"warranty","Error")))</f>
        <v/>
      </c>
      <c r="I1565" s="490">
        <f>IF(H1565="free",0,IF(H1565="credit",((E1565*(F1565))*G1565*-1),IF(F1565="Buy",(E1565*G1565),((E1565*(1-F1565))*G1565))))</f>
        <v>0</v>
      </c>
      <c r="J1565" s="490">
        <f>IF(H1565="warranty",0,(I1565*(_xlfn.SINGLE(SalesTaxPercentage))))</f>
        <v>0</v>
      </c>
      <c r="K1565" s="695">
        <f t="shared" ref="K1565" si="1225">I1565+J1565</f>
        <v>0</v>
      </c>
      <c r="L1565" s="695"/>
      <c r="M1565" s="659" t="str">
        <f>IF(AND(G1565&gt;0,E1565=0),"WARNING - no PRICE inserted",IF(H1565="free"," FREE ~ no charge this plant",IF(H1565="credit",CONCATENATE(" -$",ROUND(K1565*(1-T2GDiscount)*-1,2)," CREDIT after discount"),IF(T2GDiscount=0,"",IF(G1565=0,"",IF(F1565="Buy",CONCATENATE(" $",ROUND(K1565*(1-T2GDiscount),2)," with ",(T2GDiscount*100),"% discount"),CONCATENATE(" $",ROUND(K1565*(1-T2GDiscount),2)," with ",((T2GDiscount*100+F1565*100)-(T2GDiscount*100*F1565)),IF(F1565&gt;0,"% discounts",IF(NoWarrantyDiscount&gt;0,"% discounts","% discount")))))))))</f>
        <v/>
      </c>
      <c r="N1565" s="660"/>
      <c r="O1565" s="233"/>
      <c r="P1565" s="233"/>
      <c r="Q1565" s="233"/>
      <c r="R1565" s="233"/>
      <c r="S1565" s="233"/>
      <c r="T1565" s="508">
        <f t="shared" si="1207"/>
        <v>0</v>
      </c>
      <c r="U1565" s="225">
        <f>IF(NOT(ISNUMBER(G1565)), "", VLOOKUP(A1565,'Discount Lookup'!D:E,2,FALSE)*G1565)</f>
        <v>0</v>
      </c>
      <c r="V1565" s="225">
        <f>IF(NOT(ISNUMBER(G1565)), "", VLOOKUP(A1565,'Discount Lookup'!G:H,2,FALSE)*G1565)</f>
        <v>0</v>
      </c>
      <c r="W1565" s="508">
        <f t="shared" si="1208"/>
        <v>0</v>
      </c>
      <c r="X1565" s="508">
        <f t="shared" si="1209"/>
        <v>0</v>
      </c>
      <c r="Y1565" s="509" t="b">
        <f t="shared" si="1210"/>
        <v>0</v>
      </c>
      <c r="Z1565" s="510">
        <f t="shared" si="1211"/>
        <v>0</v>
      </c>
      <c r="AA1565" s="511"/>
      <c r="AB1565" s="511" t="str">
        <f t="shared" si="1212"/>
        <v/>
      </c>
      <c r="AC1565" s="698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698"/>
      <c r="AE1565" s="631" t="str">
        <f t="shared" si="1213"/>
        <v/>
      </c>
      <c r="AF1565" s="699" t="str">
        <f t="shared" si="1214"/>
        <v/>
      </c>
      <c r="AG1565" s="699"/>
      <c r="AH1565" s="699"/>
      <c r="AI1565" s="512">
        <f>IF(H1565="credit",0,IF(AE1565="free",0,IF(AE1565="me",0,IF(G1565&gt;0,(VLOOKUP(A1565,'Discount Lookup'!J:K,2)*G1565),0))))</f>
        <v>0</v>
      </c>
      <c r="AJ1565" s="513" t="str">
        <f t="shared" ca="1" si="1215"/>
        <v/>
      </c>
      <c r="AK1565" s="700" t="str">
        <f t="shared" si="1216"/>
        <v/>
      </c>
      <c r="AL1565" s="700"/>
      <c r="AM1565" s="505" t="str">
        <f t="shared" si="1217"/>
        <v/>
      </c>
      <c r="AN1565" s="506"/>
      <c r="AO1565" s="507"/>
      <c r="AP1565" s="507"/>
      <c r="AQ1565" s="507"/>
      <c r="AR1565" s="507"/>
      <c r="AS1565" s="507"/>
      <c r="AT1565" s="507"/>
      <c r="AU1565" s="507"/>
      <c r="AV1565" s="225"/>
      <c r="AW1565" s="508"/>
      <c r="AX1565" s="225"/>
      <c r="AY1565" s="225"/>
      <c r="AZ1565" s="225"/>
      <c r="BA1565" s="225"/>
      <c r="BB1565" s="225"/>
      <c r="BC1565" s="56"/>
      <c r="BD1565" s="56"/>
      <c r="BE1565" s="56"/>
      <c r="BF1565" s="107" t="str">
        <f t="shared" si="1218"/>
        <v>https://www.google.com/search?tbm=isch&amp;q=5%20G4</v>
      </c>
      <c r="BG1565" s="107" t="str">
        <f t="shared" si="1219"/>
        <v>G</v>
      </c>
      <c r="BH1565" s="254"/>
      <c r="BI1565" s="254"/>
    </row>
    <row r="1566" spans="1:61" customFormat="1" ht="17.25" thickBot="1" x14ac:dyDescent="0.3">
      <c r="A1566" s="522" t="s">
        <v>2876</v>
      </c>
      <c r="B1566" s="491"/>
      <c r="C1566" s="675"/>
      <c r="D1566" s="491"/>
      <c r="E1566" s="491"/>
      <c r="F1566" s="492"/>
      <c r="G1566" s="493"/>
      <c r="H1566" s="491"/>
      <c r="I1566" s="234"/>
      <c r="J1566" s="234"/>
      <c r="K1566" s="494"/>
      <c r="L1566" s="543"/>
      <c r="M1566" s="561"/>
      <c r="N1566" s="495"/>
      <c r="O1566" s="496"/>
      <c r="P1566" s="497"/>
      <c r="Q1566" s="495"/>
      <c r="R1566" s="495"/>
      <c r="S1566" s="667" t="s">
        <v>5009</v>
      </c>
      <c r="T1566" s="508">
        <f t="shared" si="1207"/>
        <v>0</v>
      </c>
      <c r="U1566" s="225" t="str">
        <f>IF(NOT(ISNUMBER(G1566)), "", VLOOKUP(A1566,'Discount Lookup'!D:E,2,FALSE)*G1566)</f>
        <v/>
      </c>
      <c r="V1566" s="225" t="str">
        <f>IF(NOT(ISNUMBER(G1566)), "", VLOOKUP(A1566,'Discount Lookup'!G:H,2,FALSE)*G1566)</f>
        <v/>
      </c>
      <c r="W1566" s="508">
        <f t="shared" si="1208"/>
        <v>0</v>
      </c>
      <c r="X1566" s="508">
        <f t="shared" si="1209"/>
        <v>0</v>
      </c>
      <c r="Y1566" s="509" t="b">
        <f t="shared" si="1210"/>
        <v>0</v>
      </c>
      <c r="Z1566" s="510">
        <f t="shared" si="1211"/>
        <v>0</v>
      </c>
      <c r="AA1566" s="511"/>
      <c r="AB1566" s="511" t="str">
        <f t="shared" si="1212"/>
        <v/>
      </c>
      <c r="AC1566" s="698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698"/>
      <c r="AE1566" s="631" t="str">
        <f t="shared" si="1213"/>
        <v/>
      </c>
      <c r="AF1566" s="699" t="str">
        <f t="shared" si="1214"/>
        <v/>
      </c>
      <c r="AG1566" s="699"/>
      <c r="AH1566" s="699"/>
      <c r="AI1566" s="512">
        <f>IF(H1566="credit",0,IF(AE1566="free",0,IF(AE1566="me",0,IF(G1566&gt;0,(VLOOKUP(A1566,'Discount Lookup'!J:K,2)*G1566),0))))</f>
        <v>0</v>
      </c>
      <c r="AJ1566" s="513" t="str">
        <f t="shared" ca="1" si="1215"/>
        <v/>
      </c>
      <c r="AK1566" s="700" t="str">
        <f t="shared" si="1216"/>
        <v/>
      </c>
      <c r="AL1566" s="700"/>
      <c r="AM1566" s="505" t="str">
        <f t="shared" si="1217"/>
        <v/>
      </c>
      <c r="AN1566" s="506"/>
      <c r="AO1566" s="507"/>
      <c r="AP1566" s="507"/>
      <c r="AQ1566" s="507"/>
      <c r="AR1566" s="507"/>
      <c r="AS1566" s="507"/>
      <c r="AT1566" s="507"/>
      <c r="AU1566" s="507"/>
      <c r="AV1566" s="225"/>
      <c r="AW1566" s="508"/>
      <c r="AX1566" s="225"/>
      <c r="AY1566" s="225"/>
      <c r="AZ1566" s="225"/>
      <c r="BA1566" s="225"/>
      <c r="BB1566" s="225"/>
      <c r="BC1566" s="56"/>
      <c r="BD1566" s="56"/>
      <c r="BE1566" s="56"/>
      <c r="BF1566" s="107" t="str">
        <f t="shared" si="1218"/>
        <v>https://www.google.com/search?tbm=isch&amp;q=All%20Plum%20Yews%20have%20fine-textured%20foliage%20with%20brown%2C%20scaly%20bark.%20Slow%20growing%2C%20heat%20and%20shade%20tolerant%20</v>
      </c>
      <c r="BG1566" s="107" t="str">
        <f t="shared" si="1219"/>
        <v>A</v>
      </c>
      <c r="BH1566" s="254"/>
      <c r="BI1566" s="254"/>
    </row>
    <row r="1567" spans="1:61" customFormat="1" ht="18" x14ac:dyDescent="0.25">
      <c r="A1567" s="521" t="s">
        <v>992</v>
      </c>
      <c r="B1567" s="477"/>
      <c r="C1567" s="674"/>
      <c r="D1567" s="478" t="s">
        <v>993</v>
      </c>
      <c r="E1567" s="479"/>
      <c r="F1567" s="479"/>
      <c r="G1567" s="479"/>
      <c r="H1567" s="582" t="s">
        <v>443</v>
      </c>
      <c r="I1567" s="480" t="s">
        <v>2888</v>
      </c>
      <c r="J1567" s="479"/>
      <c r="K1567" s="479"/>
      <c r="L1567" s="560"/>
      <c r="M1567" s="666" t="s">
        <v>4966</v>
      </c>
      <c r="N1567" s="680" t="str">
        <f>IF(AND(ISTEXT($A1567), ISERROR($A1567+0)), HYPERLINK($BF1567, "Images"), "")</f>
        <v>Images</v>
      </c>
      <c r="O1567" s="662" t="s">
        <v>4969</v>
      </c>
      <c r="P1567" s="482"/>
      <c r="Q1567" s="483"/>
      <c r="R1567" s="483"/>
      <c r="S1567" s="484"/>
      <c r="T1567" s="508">
        <f t="shared" si="1207"/>
        <v>0</v>
      </c>
      <c r="U1567" s="225" t="str">
        <f>IF(NOT(ISNUMBER(G1567)), "", VLOOKUP(A1567,'Discount Lookup'!D:E,2,FALSE)*G1567)</f>
        <v/>
      </c>
      <c r="V1567" s="225" t="str">
        <f>IF(NOT(ISNUMBER(G1567)), "", VLOOKUP(A1567,'Discount Lookup'!G:H,2,FALSE)*G1567)</f>
        <v/>
      </c>
      <c r="W1567" s="508">
        <f t="shared" si="1208"/>
        <v>0</v>
      </c>
      <c r="X1567" s="508" t="str">
        <f t="shared" si="1209"/>
        <v>Green &amp; Yellow foliage</v>
      </c>
      <c r="Y1567" s="509" t="b">
        <f t="shared" si="1210"/>
        <v>0</v>
      </c>
      <c r="Z1567" s="510">
        <f t="shared" si="1211"/>
        <v>0</v>
      </c>
      <c r="AA1567" s="511"/>
      <c r="AB1567" s="511" t="str">
        <f t="shared" si="1212"/>
        <v/>
      </c>
      <c r="AC1567" s="698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698"/>
      <c r="AE1567" s="631" t="str">
        <f t="shared" si="1213"/>
        <v/>
      </c>
      <c r="AF1567" s="699" t="str">
        <f t="shared" si="1214"/>
        <v/>
      </c>
      <c r="AG1567" s="699"/>
      <c r="AH1567" s="699"/>
      <c r="AI1567" s="512">
        <f>IF(H1567="credit",0,IF(AE1567="free",0,IF(AE1567="me",0,IF(G1567&gt;0,(VLOOKUP(A1567,'Discount Lookup'!J:K,2)*G1567),0))))</f>
        <v>0</v>
      </c>
      <c r="AJ1567" s="513" t="str">
        <f t="shared" ca="1" si="1215"/>
        <v/>
      </c>
      <c r="AK1567" s="700" t="str">
        <f t="shared" si="1216"/>
        <v/>
      </c>
      <c r="AL1567" s="700"/>
      <c r="AM1567" s="505" t="str">
        <f t="shared" si="1217"/>
        <v/>
      </c>
      <c r="AN1567" s="506"/>
      <c r="AO1567" s="507"/>
      <c r="AP1567" s="507"/>
      <c r="AQ1567" s="507"/>
      <c r="AR1567" s="507"/>
      <c r="AS1567" s="507"/>
      <c r="AT1567" s="507"/>
      <c r="AU1567" s="507"/>
      <c r="AV1567" s="225"/>
      <c r="AW1567" s="508"/>
      <c r="AX1567" s="225"/>
      <c r="AY1567" s="225"/>
      <c r="AZ1567" s="225"/>
      <c r="BA1567" s="225"/>
      <c r="BB1567" s="225"/>
      <c r="BC1567" s="56"/>
      <c r="BD1567" s="56"/>
      <c r="BE1567" s="56"/>
      <c r="BF1567" s="107" t="str">
        <f t="shared" si="1218"/>
        <v>https://www.google.com/search?tbm=isch&amp;q=Golden%20Dream%20Boxwood%20Buxus%20microphylla%20%27Peergold%27%20PP%2316052</v>
      </c>
      <c r="BG1567" s="107" t="str">
        <f t="shared" si="1219"/>
        <v>G</v>
      </c>
      <c r="BH1567" s="254"/>
      <c r="BI1567" s="254"/>
    </row>
    <row r="1568" spans="1:61" customFormat="1" ht="27" x14ac:dyDescent="0.25">
      <c r="A1568" s="485">
        <v>5</v>
      </c>
      <c r="B1568" s="486" t="s">
        <v>291</v>
      </c>
      <c r="C1568" s="487" t="s">
        <v>3523</v>
      </c>
      <c r="D1568" s="488" t="s">
        <v>292</v>
      </c>
      <c r="E1568" s="489">
        <v>95.95</v>
      </c>
      <c r="F1568" s="516" t="s">
        <v>293</v>
      </c>
      <c r="G1568" s="232">
        <v>0</v>
      </c>
      <c r="H1568" s="658" t="str">
        <f>IF(G1568=0,"",IF(F1568="Buy",IF(G1568=1,"plant","plants"),IF(F1568&gt;0.01,"warranty","Error")))</f>
        <v/>
      </c>
      <c r="I1568" s="490">
        <f>IF(H1568="free",0,IF(H1568="credit",((E1568*(F1568))*G1568*-1),IF(F1568="Buy",(E1568*G1568),((E1568*(1-F1568))*G1568))))</f>
        <v>0</v>
      </c>
      <c r="J1568" s="490">
        <f>IF(H1568="warranty",0,(I1568*(_xlfn.SINGLE(SalesTaxPercentage))))</f>
        <v>0</v>
      </c>
      <c r="K1568" s="695">
        <f t="shared" ref="K1568" si="1226">I1568+J1568</f>
        <v>0</v>
      </c>
      <c r="L1568" s="695"/>
      <c r="M1568" s="659" t="str">
        <f>IF(AND(G1568&gt;0,E1568=0),"WARNING - no PRICE inserted",IF(H1568="free"," FREE ~ no charge this plant",IF(H1568="credit",CONCATENATE(" -$",ROUND(K1568*(1-T2GDiscount)*-1,2)," CREDIT after discount"),IF(T2GDiscount=0,"",IF(G1568=0,"",IF(F1568="Buy",CONCATENATE(" $",ROUND(K1568*(1-T2GDiscount),2)," with ",(T2GDiscount*100),"% discount"),CONCATENATE(" $",ROUND(K1568*(1-T2GDiscount),2)," with ",((T2GDiscount*100+F1568*100)-(T2GDiscount*100*F1568)),IF(F1568&gt;0,"% discounts",IF(NoWarrantyDiscount&gt;0,"% discounts","% discount")))))))))</f>
        <v/>
      </c>
      <c r="N1568" s="660"/>
      <c r="O1568" s="233"/>
      <c r="P1568" s="233"/>
      <c r="Q1568" s="233"/>
      <c r="R1568" s="233"/>
      <c r="S1568" s="233"/>
      <c r="T1568" s="508">
        <f t="shared" si="1207"/>
        <v>0</v>
      </c>
      <c r="U1568" s="225">
        <f>IF(NOT(ISNUMBER(G1568)), "", VLOOKUP(A1568,'Discount Lookup'!D:E,2,FALSE)*G1568)</f>
        <v>0</v>
      </c>
      <c r="V1568" s="225">
        <f>IF(NOT(ISNUMBER(G1568)), "", VLOOKUP(A1568,'Discount Lookup'!G:H,2,FALSE)*G1568)</f>
        <v>0</v>
      </c>
      <c r="W1568" s="508">
        <f t="shared" si="1208"/>
        <v>0</v>
      </c>
      <c r="X1568" s="508">
        <f t="shared" si="1209"/>
        <v>0</v>
      </c>
      <c r="Y1568" s="509" t="b">
        <f t="shared" si="1210"/>
        <v>0</v>
      </c>
      <c r="Z1568" s="510">
        <f t="shared" si="1211"/>
        <v>0</v>
      </c>
      <c r="AA1568" s="511"/>
      <c r="AB1568" s="511" t="str">
        <f t="shared" si="1212"/>
        <v/>
      </c>
      <c r="AC1568" s="698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698"/>
      <c r="AE1568" s="631" t="str">
        <f t="shared" si="1213"/>
        <v/>
      </c>
      <c r="AF1568" s="699" t="str">
        <f t="shared" si="1214"/>
        <v/>
      </c>
      <c r="AG1568" s="699"/>
      <c r="AH1568" s="699"/>
      <c r="AI1568" s="512">
        <f>IF(H1568="credit",0,IF(AE1568="free",0,IF(AE1568="me",0,IF(G1568&gt;0,(VLOOKUP(A1568,'Discount Lookup'!J:K,2)*G1568),0))))</f>
        <v>0</v>
      </c>
      <c r="AJ1568" s="513" t="str">
        <f t="shared" ca="1" si="1215"/>
        <v/>
      </c>
      <c r="AK1568" s="700" t="str">
        <f t="shared" si="1216"/>
        <v/>
      </c>
      <c r="AL1568" s="700"/>
      <c r="AM1568" s="505" t="str">
        <f t="shared" si="1217"/>
        <v/>
      </c>
      <c r="AN1568" s="506"/>
      <c r="AO1568" s="507"/>
      <c r="AP1568" s="507"/>
      <c r="AQ1568" s="507"/>
      <c r="AR1568" s="507"/>
      <c r="AS1568" s="507"/>
      <c r="AT1568" s="507"/>
      <c r="AU1568" s="507"/>
      <c r="AV1568" s="225"/>
      <c r="AW1568" s="508"/>
      <c r="AX1568" s="225"/>
      <c r="AY1568" s="225"/>
      <c r="AZ1568" s="225"/>
      <c r="BA1568" s="225"/>
      <c r="BB1568" s="225"/>
      <c r="BC1568" s="56"/>
      <c r="BD1568" s="56"/>
      <c r="BE1568" s="56"/>
      <c r="BF1568" s="107" t="str">
        <f t="shared" si="1218"/>
        <v>https://www.google.com/search?tbm=isch&amp;q=5%20G4</v>
      </c>
      <c r="BG1568" s="107" t="str">
        <f t="shared" si="1219"/>
        <v>G</v>
      </c>
      <c r="BH1568" s="254"/>
      <c r="BI1568" s="254"/>
    </row>
    <row r="1569" spans="1:61" customFormat="1" ht="16.5" thickBot="1" x14ac:dyDescent="0.3">
      <c r="A1569" s="522" t="s">
        <v>2937</v>
      </c>
      <c r="B1569" s="491"/>
      <c r="C1569" s="675"/>
      <c r="D1569" s="491"/>
      <c r="E1569" s="491"/>
      <c r="F1569" s="492"/>
      <c r="G1569" s="493"/>
      <c r="H1569" s="491"/>
      <c r="I1569" s="234"/>
      <c r="J1569" s="234"/>
      <c r="K1569" s="494"/>
      <c r="L1569" s="543"/>
      <c r="M1569" s="561"/>
      <c r="N1569" s="495"/>
      <c r="O1569" s="496"/>
      <c r="P1569" s="497"/>
      <c r="Q1569" s="495"/>
      <c r="R1569" s="495"/>
      <c r="S1569" s="667" t="s">
        <v>4968</v>
      </c>
      <c r="T1569" s="508">
        <f t="shared" si="1207"/>
        <v>0</v>
      </c>
      <c r="U1569" s="225" t="str">
        <f>IF(NOT(ISNUMBER(G1569)), "", VLOOKUP(A1569,'Discount Lookup'!D:E,2,FALSE)*G1569)</f>
        <v/>
      </c>
      <c r="V1569" s="225" t="str">
        <f>IF(NOT(ISNUMBER(G1569)), "", VLOOKUP(A1569,'Discount Lookup'!G:H,2,FALSE)*G1569)</f>
        <v/>
      </c>
      <c r="W1569" s="508">
        <f t="shared" si="1208"/>
        <v>0</v>
      </c>
      <c r="X1569" s="508">
        <f t="shared" si="1209"/>
        <v>0</v>
      </c>
      <c r="Y1569" s="509" t="b">
        <f t="shared" si="1210"/>
        <v>0</v>
      </c>
      <c r="Z1569" s="510">
        <f t="shared" si="1211"/>
        <v>0</v>
      </c>
      <c r="AA1569" s="511"/>
      <c r="AB1569" s="511" t="str">
        <f t="shared" si="1212"/>
        <v/>
      </c>
      <c r="AC1569" s="698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698"/>
      <c r="AE1569" s="631" t="str">
        <f t="shared" si="1213"/>
        <v/>
      </c>
      <c r="AF1569" s="699" t="str">
        <f t="shared" si="1214"/>
        <v/>
      </c>
      <c r="AG1569" s="699"/>
      <c r="AH1569" s="699"/>
      <c r="AI1569" s="512">
        <f>IF(H1569="credit",0,IF(AE1569="free",0,IF(AE1569="me",0,IF(G1569&gt;0,(VLOOKUP(A1569,'Discount Lookup'!J:K,2)*G1569),0))))</f>
        <v>0</v>
      </c>
      <c r="AJ1569" s="513" t="str">
        <f t="shared" ca="1" si="1215"/>
        <v/>
      </c>
      <c r="AK1569" s="700" t="str">
        <f t="shared" si="1216"/>
        <v/>
      </c>
      <c r="AL1569" s="700"/>
      <c r="AM1569" s="505" t="str">
        <f t="shared" si="1217"/>
        <v/>
      </c>
      <c r="AN1569" s="506"/>
      <c r="AO1569" s="507"/>
      <c r="AP1569" s="507"/>
      <c r="AQ1569" s="507"/>
      <c r="AR1569" s="507"/>
      <c r="AS1569" s="507"/>
      <c r="AT1569" s="507"/>
      <c r="AU1569" s="507"/>
      <c r="AV1569" s="225"/>
      <c r="AW1569" s="508"/>
      <c r="AX1569" s="225"/>
      <c r="AY1569" s="225"/>
      <c r="AZ1569" s="225"/>
      <c r="BA1569" s="225"/>
      <c r="BB1569" s="225"/>
      <c r="BC1569" s="56"/>
      <c r="BD1569" s="56"/>
      <c r="BE1569" s="56"/>
      <c r="BF1569" s="107" t="str">
        <f t="shared" si="1218"/>
        <v>https://www.google.com/search?tbm=isch&amp;q=Golden%20Dream%20has%20vivid%20Golden-edged%20foliage%20and%20a%20naturally%20rounded%20habit.%20Slow-growing%2C%20dense%2C%20and%20ideal%20for%20hedges%20and%20borders%20</v>
      </c>
      <c r="BG1569" s="107" t="str">
        <f t="shared" si="1219"/>
        <v>G</v>
      </c>
      <c r="BH1569" s="254"/>
      <c r="BI1569" s="254"/>
    </row>
    <row r="1570" spans="1:61" customFormat="1" ht="18" x14ac:dyDescent="0.25">
      <c r="A1570" s="521" t="s">
        <v>994</v>
      </c>
      <c r="B1570" s="477"/>
      <c r="C1570" s="674"/>
      <c r="D1570" s="478" t="s">
        <v>995</v>
      </c>
      <c r="E1570" s="479"/>
      <c r="F1570" s="479"/>
      <c r="G1570" s="479"/>
      <c r="H1570" s="582" t="s">
        <v>441</v>
      </c>
      <c r="I1570" s="480" t="s">
        <v>2293</v>
      </c>
      <c r="J1570" s="479"/>
      <c r="K1570" s="479"/>
      <c r="L1570" s="560"/>
      <c r="M1570" s="666" t="s">
        <v>4966</v>
      </c>
      <c r="N1570" s="680" t="str">
        <f>IF(AND(ISTEXT($A1570), ISERROR($A1570+0)), HYPERLINK($BF1570, "Images"), "")</f>
        <v>Images</v>
      </c>
      <c r="O1570" s="662" t="s">
        <v>4967</v>
      </c>
      <c r="P1570" s="482"/>
      <c r="Q1570" s="483"/>
      <c r="R1570" s="483"/>
      <c r="S1570" s="484"/>
      <c r="T1570" s="508">
        <f t="shared" si="1207"/>
        <v>0</v>
      </c>
      <c r="U1570" s="225" t="str">
        <f>IF(NOT(ISNUMBER(G1570)), "", VLOOKUP(A1570,'Discount Lookup'!D:E,2,FALSE)*G1570)</f>
        <v/>
      </c>
      <c r="V1570" s="225" t="str">
        <f>IF(NOT(ISNUMBER(G1570)), "", VLOOKUP(A1570,'Discount Lookup'!G:H,2,FALSE)*G1570)</f>
        <v/>
      </c>
      <c r="W1570" s="508">
        <f t="shared" si="1208"/>
        <v>0</v>
      </c>
      <c r="X1570" s="508" t="str">
        <f t="shared" si="1209"/>
        <v>Golden-Yellow foliage</v>
      </c>
      <c r="Y1570" s="509" t="b">
        <f t="shared" si="1210"/>
        <v>0</v>
      </c>
      <c r="Z1570" s="510">
        <f t="shared" si="1211"/>
        <v>0</v>
      </c>
      <c r="AA1570" s="511"/>
      <c r="AB1570" s="511" t="str">
        <f t="shared" si="1212"/>
        <v/>
      </c>
      <c r="AC1570" s="698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698"/>
      <c r="AE1570" s="631" t="str">
        <f t="shared" si="1213"/>
        <v/>
      </c>
      <c r="AF1570" s="699" t="str">
        <f t="shared" si="1214"/>
        <v/>
      </c>
      <c r="AG1570" s="699"/>
      <c r="AH1570" s="699"/>
      <c r="AI1570" s="512">
        <f>IF(H1570="credit",0,IF(AE1570="free",0,IF(AE1570="me",0,IF(G1570&gt;0,(VLOOKUP(A1570,'Discount Lookup'!J:K,2)*G1570),0))))</f>
        <v>0</v>
      </c>
      <c r="AJ1570" s="513" t="str">
        <f t="shared" ca="1" si="1215"/>
        <v/>
      </c>
      <c r="AK1570" s="700" t="str">
        <f t="shared" si="1216"/>
        <v/>
      </c>
      <c r="AL1570" s="700"/>
      <c r="AM1570" s="505" t="str">
        <f t="shared" si="1217"/>
        <v/>
      </c>
      <c r="AN1570" s="506"/>
      <c r="AO1570" s="507"/>
      <c r="AP1570" s="507"/>
      <c r="AQ1570" s="507"/>
      <c r="AR1570" s="507"/>
      <c r="AS1570" s="507"/>
      <c r="AT1570" s="507"/>
      <c r="AU1570" s="507"/>
      <c r="AV1570" s="225"/>
      <c r="AW1570" s="508"/>
      <c r="AX1570" s="225"/>
      <c r="AY1570" s="225"/>
      <c r="AZ1570" s="225"/>
      <c r="BA1570" s="225"/>
      <c r="BB1570" s="225"/>
      <c r="BC1570" s="56"/>
      <c r="BD1570" s="56"/>
      <c r="BE1570" s="56"/>
      <c r="BF1570" s="107" t="str">
        <f t="shared" si="1218"/>
        <v>https://www.google.com/search?tbm=isch&amp;q=Golden%20Dwarf%20Hinoki%20Cypress%20Chamaecyparis%20obtusa%20%27Nana%20Lutea%27</v>
      </c>
      <c r="BG1570" s="107" t="str">
        <f t="shared" si="1219"/>
        <v>G</v>
      </c>
      <c r="BH1570" s="254"/>
      <c r="BI1570" s="254"/>
    </row>
    <row r="1571" spans="1:61" customFormat="1" ht="15.75" x14ac:dyDescent="0.25">
      <c r="A1571" s="485">
        <v>7</v>
      </c>
      <c r="B1571" s="486" t="s">
        <v>291</v>
      </c>
      <c r="C1571" s="487" t="s">
        <v>3524</v>
      </c>
      <c r="D1571" s="488" t="s">
        <v>292</v>
      </c>
      <c r="E1571" s="489">
        <v>155.94999999999999</v>
      </c>
      <c r="F1571" s="516" t="s">
        <v>293</v>
      </c>
      <c r="G1571" s="232">
        <v>0</v>
      </c>
      <c r="H1571" s="658" t="str">
        <f>IF(G1571=0,"",IF(F1571="Buy",IF(G1571=1,"plant","plants"),IF(F1571&gt;0.01,"warranty","Error")))</f>
        <v/>
      </c>
      <c r="I1571" s="490">
        <f>IF(H1571="free",0,IF(H1571="credit",((E1571*(F1571))*G1571*-1),IF(F1571="Buy",(E1571*G1571),((E1571*(1-F1571))*G1571))))</f>
        <v>0</v>
      </c>
      <c r="J1571" s="490">
        <f>IF(H1571="warranty",0,(I1571*(_xlfn.SINGLE(SalesTaxPercentage))))</f>
        <v>0</v>
      </c>
      <c r="K1571" s="695">
        <f t="shared" ref="K1571" si="1227">I1571+J1571</f>
        <v>0</v>
      </c>
      <c r="L1571" s="695"/>
      <c r="M1571" s="659" t="str">
        <f>IF(AND(G1571&gt;0,E1571=0),"WARNING - no PRICE inserted",IF(H1571="free"," FREE ~ no charge this plant",IF(H1571="credit",CONCATENATE(" -$",ROUND(K1571*(1-T2GDiscount)*-1,2)," CREDIT after discount"),IF(T2GDiscount=0,"",IF(G1571=0,"",IF(F1571="Buy",CONCATENATE(" $",ROUND(K1571*(1-T2GDiscount),2)," with ",(T2GDiscount*100),"% discount"),CONCATENATE(" $",ROUND(K1571*(1-T2GDiscount),2)," with ",((T2GDiscount*100+F1571*100)-(T2GDiscount*100*F1571)),IF(F1571&gt;0,"% discounts",IF(NoWarrantyDiscount&gt;0,"% discounts","% discount")))))))))</f>
        <v/>
      </c>
      <c r="N1571" s="660"/>
      <c r="O1571" s="233"/>
      <c r="P1571" s="233"/>
      <c r="Q1571" s="233"/>
      <c r="R1571" s="233"/>
      <c r="S1571" s="233"/>
      <c r="T1571" s="508">
        <f t="shared" si="1207"/>
        <v>0</v>
      </c>
      <c r="U1571" s="225">
        <f>IF(NOT(ISNUMBER(G1571)), "", VLOOKUP(A1571,'Discount Lookup'!D:E,2,FALSE)*G1571)</f>
        <v>0</v>
      </c>
      <c r="V1571" s="225">
        <f>IF(NOT(ISNUMBER(G1571)), "", VLOOKUP(A1571,'Discount Lookup'!G:H,2,FALSE)*G1571)</f>
        <v>0</v>
      </c>
      <c r="W1571" s="508">
        <f t="shared" si="1208"/>
        <v>0</v>
      </c>
      <c r="X1571" s="508">
        <f t="shared" si="1209"/>
        <v>0</v>
      </c>
      <c r="Y1571" s="509" t="b">
        <f t="shared" si="1210"/>
        <v>0</v>
      </c>
      <c r="Z1571" s="510">
        <f t="shared" si="1211"/>
        <v>0</v>
      </c>
      <c r="AA1571" s="511"/>
      <c r="AB1571" s="511" t="str">
        <f t="shared" si="1212"/>
        <v/>
      </c>
      <c r="AC1571" s="698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698"/>
      <c r="AE1571" s="631" t="str">
        <f t="shared" si="1213"/>
        <v/>
      </c>
      <c r="AF1571" s="699" t="str">
        <f t="shared" si="1214"/>
        <v/>
      </c>
      <c r="AG1571" s="699"/>
      <c r="AH1571" s="699"/>
      <c r="AI1571" s="512">
        <f>IF(H1571="credit",0,IF(AE1571="free",0,IF(AE1571="me",0,IF(G1571&gt;0,(VLOOKUP(A1571,'Discount Lookup'!J:K,2)*G1571),0))))</f>
        <v>0</v>
      </c>
      <c r="AJ1571" s="513" t="str">
        <f t="shared" ca="1" si="1215"/>
        <v/>
      </c>
      <c r="AK1571" s="700" t="str">
        <f t="shared" si="1216"/>
        <v/>
      </c>
      <c r="AL1571" s="700"/>
      <c r="AM1571" s="505" t="str">
        <f t="shared" si="1217"/>
        <v/>
      </c>
      <c r="AN1571" s="506"/>
      <c r="AO1571" s="507"/>
      <c r="AP1571" s="507"/>
      <c r="AQ1571" s="507"/>
      <c r="AR1571" s="507"/>
      <c r="AS1571" s="507"/>
      <c r="AT1571" s="507"/>
      <c r="AU1571" s="507"/>
      <c r="AV1571" s="225"/>
      <c r="AW1571" s="508"/>
      <c r="AX1571" s="225"/>
      <c r="AY1571" s="225"/>
      <c r="AZ1571" s="225"/>
      <c r="BA1571" s="225"/>
      <c r="BB1571" s="225"/>
      <c r="BC1571" s="56"/>
      <c r="BD1571" s="56"/>
      <c r="BE1571" s="56"/>
      <c r="BF1571" s="107" t="str">
        <f t="shared" si="1218"/>
        <v>https://www.google.com/search?tbm=isch&amp;q=7%20G4</v>
      </c>
      <c r="BG1571" s="107" t="str">
        <f t="shared" si="1219"/>
        <v>G</v>
      </c>
      <c r="BH1571" s="254"/>
      <c r="BI1571" s="254"/>
    </row>
    <row r="1572" spans="1:61" customFormat="1" ht="54" x14ac:dyDescent="0.25">
      <c r="A1572" s="485">
        <v>10</v>
      </c>
      <c r="B1572" s="486" t="s">
        <v>291</v>
      </c>
      <c r="C1572" s="487" t="s">
        <v>3525</v>
      </c>
      <c r="D1572" s="488" t="s">
        <v>292</v>
      </c>
      <c r="E1572" s="489">
        <v>339.95</v>
      </c>
      <c r="F1572" s="516" t="s">
        <v>293</v>
      </c>
      <c r="G1572" s="232">
        <v>0</v>
      </c>
      <c r="H1572" s="658" t="str">
        <f>IF(G1572=0,"",IF(F1572="Buy",IF(G1572=1,"plant","plants"),IF(F1572&gt;0.01,"warranty","Error")))</f>
        <v/>
      </c>
      <c r="I1572" s="490">
        <f>IF(H1572="free",0,IF(H1572="credit",((E1572*(F1572))*G1572*-1),IF(F1572="Buy",(E1572*G1572),((E1572*(1-F1572))*G1572))))</f>
        <v>0</v>
      </c>
      <c r="J1572" s="490">
        <f>IF(H1572="warranty",0,(I1572*(_xlfn.SINGLE(SalesTaxPercentage))))</f>
        <v>0</v>
      </c>
      <c r="K1572" s="695">
        <f t="shared" ref="K1572" si="1228">I1572+J1572</f>
        <v>0</v>
      </c>
      <c r="L1572" s="695"/>
      <c r="M1572" s="659" t="str">
        <f>IF(AND(G1572&gt;0,E1572=0),"WARNING - no PRICE inserted",IF(H1572="free"," FREE ~ no charge this plant",IF(H1572="credit",CONCATENATE(" -$",ROUND(K1572*(1-T2GDiscount)*-1,2)," CREDIT after discount"),IF(T2GDiscount=0,"",IF(G1572=0,"",IF(F1572="Buy",CONCATENATE(" $",ROUND(K1572*(1-T2GDiscount),2)," with ",(T2GDiscount*100),"% discount"),CONCATENATE(" $",ROUND(K1572*(1-T2GDiscount),2)," with ",((T2GDiscount*100+F1572*100)-(T2GDiscount*100*F1572)),IF(F1572&gt;0,"% discounts",IF(NoWarrantyDiscount&gt;0,"% discounts","% discount")))))))))</f>
        <v/>
      </c>
      <c r="N1572" s="660"/>
      <c r="O1572" s="233"/>
      <c r="P1572" s="233"/>
      <c r="Q1572" s="233"/>
      <c r="R1572" s="233"/>
      <c r="S1572" s="233"/>
      <c r="T1572" s="508">
        <f t="shared" si="1207"/>
        <v>0</v>
      </c>
      <c r="U1572" s="225">
        <f>IF(NOT(ISNUMBER(G1572)), "", VLOOKUP(A1572,'Discount Lookup'!D:E,2,FALSE)*G1572)</f>
        <v>0</v>
      </c>
      <c r="V1572" s="225">
        <f>IF(NOT(ISNUMBER(G1572)), "", VLOOKUP(A1572,'Discount Lookup'!G:H,2,FALSE)*G1572)</f>
        <v>0</v>
      </c>
      <c r="W1572" s="508">
        <f t="shared" si="1208"/>
        <v>0</v>
      </c>
      <c r="X1572" s="508">
        <f t="shared" si="1209"/>
        <v>0</v>
      </c>
      <c r="Y1572" s="509" t="b">
        <f t="shared" si="1210"/>
        <v>0</v>
      </c>
      <c r="Z1572" s="510">
        <f t="shared" si="1211"/>
        <v>0</v>
      </c>
      <c r="AA1572" s="511"/>
      <c r="AB1572" s="511" t="str">
        <f t="shared" si="1212"/>
        <v/>
      </c>
      <c r="AC1572" s="698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698"/>
      <c r="AE1572" s="631" t="str">
        <f t="shared" si="1213"/>
        <v/>
      </c>
      <c r="AF1572" s="699" t="str">
        <f t="shared" si="1214"/>
        <v/>
      </c>
      <c r="AG1572" s="699"/>
      <c r="AH1572" s="699"/>
      <c r="AI1572" s="512">
        <f>IF(H1572="credit",0,IF(AE1572="free",0,IF(AE1572="me",0,IF(G1572&gt;0,(VLOOKUP(A1572,'Discount Lookup'!J:K,2)*G1572),0))))</f>
        <v>0</v>
      </c>
      <c r="AJ1572" s="513" t="str">
        <f t="shared" ca="1" si="1215"/>
        <v/>
      </c>
      <c r="AK1572" s="700" t="str">
        <f t="shared" si="1216"/>
        <v/>
      </c>
      <c r="AL1572" s="700"/>
      <c r="AM1572" s="505" t="str">
        <f t="shared" si="1217"/>
        <v/>
      </c>
      <c r="AN1572" s="506"/>
      <c r="AO1572" s="507"/>
      <c r="AP1572" s="507"/>
      <c r="AQ1572" s="507"/>
      <c r="AR1572" s="507"/>
      <c r="AS1572" s="507"/>
      <c r="AT1572" s="507"/>
      <c r="AU1572" s="507"/>
      <c r="AV1572" s="225"/>
      <c r="AW1572" s="508"/>
      <c r="AX1572" s="225"/>
      <c r="AY1572" s="225"/>
      <c r="AZ1572" s="225"/>
      <c r="BA1572" s="225"/>
      <c r="BB1572" s="225"/>
      <c r="BC1572" s="56"/>
      <c r="BD1572" s="56"/>
      <c r="BE1572" s="56"/>
      <c r="BF1572" s="107" t="str">
        <f t="shared" si="1218"/>
        <v>https://www.google.com/search?tbm=isch&amp;q=10%20G4</v>
      </c>
      <c r="BG1572" s="107" t="str">
        <f t="shared" si="1219"/>
        <v>G</v>
      </c>
      <c r="BH1572" s="254"/>
      <c r="BI1572" s="254"/>
    </row>
    <row r="1573" spans="1:61" customFormat="1" ht="17.25" thickBot="1" x14ac:dyDescent="0.3">
      <c r="A1573" s="522" t="s">
        <v>2889</v>
      </c>
      <c r="B1573" s="491"/>
      <c r="C1573" s="675"/>
      <c r="D1573" s="491"/>
      <c r="E1573" s="491"/>
      <c r="F1573" s="492"/>
      <c r="G1573" s="493"/>
      <c r="H1573" s="491"/>
      <c r="I1573" s="234"/>
      <c r="J1573" s="234"/>
      <c r="K1573" s="494"/>
      <c r="L1573" s="543"/>
      <c r="M1573" s="561"/>
      <c r="N1573" s="495"/>
      <c r="O1573" s="496"/>
      <c r="P1573" s="497"/>
      <c r="Q1573" s="495"/>
      <c r="R1573" s="495"/>
      <c r="S1573" s="667" t="s">
        <v>4984</v>
      </c>
      <c r="T1573" s="508">
        <f t="shared" si="1207"/>
        <v>0</v>
      </c>
      <c r="U1573" s="225" t="str">
        <f>IF(NOT(ISNUMBER(G1573)), "", VLOOKUP(A1573,'Discount Lookup'!D:E,2,FALSE)*G1573)</f>
        <v/>
      </c>
      <c r="V1573" s="225" t="str">
        <f>IF(NOT(ISNUMBER(G1573)), "", VLOOKUP(A1573,'Discount Lookup'!G:H,2,FALSE)*G1573)</f>
        <v/>
      </c>
      <c r="W1573" s="508">
        <f t="shared" si="1208"/>
        <v>0</v>
      </c>
      <c r="X1573" s="508">
        <f t="shared" si="1209"/>
        <v>0</v>
      </c>
      <c r="Y1573" s="509" t="b">
        <f t="shared" si="1210"/>
        <v>0</v>
      </c>
      <c r="Z1573" s="510">
        <f t="shared" si="1211"/>
        <v>0</v>
      </c>
      <c r="AA1573" s="511"/>
      <c r="AB1573" s="511" t="str">
        <f t="shared" si="1212"/>
        <v/>
      </c>
      <c r="AC1573" s="698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698"/>
      <c r="AE1573" s="631" t="str">
        <f t="shared" si="1213"/>
        <v/>
      </c>
      <c r="AF1573" s="699" t="str">
        <f t="shared" si="1214"/>
        <v/>
      </c>
      <c r="AG1573" s="699"/>
      <c r="AH1573" s="699"/>
      <c r="AI1573" s="512">
        <f>IF(H1573="credit",0,IF(AE1573="free",0,IF(AE1573="me",0,IF(G1573&gt;0,(VLOOKUP(A1573,'Discount Lookup'!J:K,2)*G1573),0))))</f>
        <v>0</v>
      </c>
      <c r="AJ1573" s="513" t="str">
        <f t="shared" ca="1" si="1215"/>
        <v/>
      </c>
      <c r="AK1573" s="700" t="str">
        <f t="shared" si="1216"/>
        <v/>
      </c>
      <c r="AL1573" s="700"/>
      <c r="AM1573" s="505" t="str">
        <f t="shared" si="1217"/>
        <v/>
      </c>
      <c r="AN1573" s="506"/>
      <c r="AO1573" s="507"/>
      <c r="AP1573" s="507"/>
      <c r="AQ1573" s="507"/>
      <c r="AR1573" s="507"/>
      <c r="AS1573" s="507"/>
      <c r="AT1573" s="507"/>
      <c r="AU1573" s="507"/>
      <c r="AV1573" s="225"/>
      <c r="AW1573" s="508"/>
      <c r="AX1573" s="225"/>
      <c r="AY1573" s="225"/>
      <c r="AZ1573" s="225"/>
      <c r="BA1573" s="225"/>
      <c r="BB1573" s="225"/>
      <c r="BC1573" s="56"/>
      <c r="BD1573" s="56"/>
      <c r="BE1573" s="56"/>
      <c r="BF1573" s="107" t="str">
        <f t="shared" si="1218"/>
        <v>https://www.google.com/search?tbm=isch&amp;q=Golden%20Dwarf%20Hinoki%20forms%20a%20compact%2C%20rounded%20mound%20of%20finely%20layered%20Golden%20foliage%2C%20with%20Green%20interior%20</v>
      </c>
      <c r="BG1573" s="107" t="str">
        <f t="shared" si="1219"/>
        <v>G</v>
      </c>
      <c r="BH1573" s="254"/>
      <c r="BI1573" s="254"/>
    </row>
    <row r="1574" spans="1:61" customFormat="1" ht="18" x14ac:dyDescent="0.25">
      <c r="A1574" s="521" t="s">
        <v>996</v>
      </c>
      <c r="B1574" s="477"/>
      <c r="C1574" s="674"/>
      <c r="D1574" s="478" t="s">
        <v>997</v>
      </c>
      <c r="E1574" s="479"/>
      <c r="F1574" s="479"/>
      <c r="G1574" s="479"/>
      <c r="H1574" s="582" t="s">
        <v>471</v>
      </c>
      <c r="I1574" s="480" t="s">
        <v>2938</v>
      </c>
      <c r="J1574" s="479"/>
      <c r="K1574" s="479"/>
      <c r="L1574" s="560"/>
      <c r="M1574" s="666" t="s">
        <v>4966</v>
      </c>
      <c r="N1574" s="680" t="str">
        <f>IF(AND(ISTEXT($A1574), ISERROR($A1574+0)), HYPERLINK($BF1574, "Images"), "")</f>
        <v>Images</v>
      </c>
      <c r="O1574" s="662" t="s">
        <v>4974</v>
      </c>
      <c r="P1574" s="482"/>
      <c r="Q1574" s="483"/>
      <c r="R1574" s="483"/>
      <c r="S1574" s="484"/>
      <c r="T1574" s="508">
        <f t="shared" si="1207"/>
        <v>0</v>
      </c>
      <c r="U1574" s="225" t="str">
        <f>IF(NOT(ISNUMBER(G1574)), "", VLOOKUP(A1574,'Discount Lookup'!D:E,2,FALSE)*G1574)</f>
        <v/>
      </c>
      <c r="V1574" s="225" t="str">
        <f>IF(NOT(ISNUMBER(G1574)), "", VLOOKUP(A1574,'Discount Lookup'!G:H,2,FALSE)*G1574)</f>
        <v/>
      </c>
      <c r="W1574" s="508">
        <f t="shared" si="1208"/>
        <v>0</v>
      </c>
      <c r="X1574" s="508" t="str">
        <f t="shared" si="1209"/>
        <v>Dark Green &amp; Yellow</v>
      </c>
      <c r="Y1574" s="509" t="b">
        <f t="shared" si="1210"/>
        <v>0</v>
      </c>
      <c r="Z1574" s="510">
        <f t="shared" si="1211"/>
        <v>0</v>
      </c>
      <c r="AA1574" s="511"/>
      <c r="AB1574" s="511" t="str">
        <f t="shared" si="1212"/>
        <v/>
      </c>
      <c r="AC1574" s="698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698"/>
      <c r="AE1574" s="631" t="str">
        <f t="shared" si="1213"/>
        <v/>
      </c>
      <c r="AF1574" s="699" t="str">
        <f t="shared" si="1214"/>
        <v/>
      </c>
      <c r="AG1574" s="699"/>
      <c r="AH1574" s="699"/>
      <c r="AI1574" s="512">
        <f>IF(H1574="credit",0,IF(AE1574="free",0,IF(AE1574="me",0,IF(G1574&gt;0,(VLOOKUP(A1574,'Discount Lookup'!J:K,2)*G1574),0))))</f>
        <v>0</v>
      </c>
      <c r="AJ1574" s="513" t="str">
        <f t="shared" ca="1" si="1215"/>
        <v/>
      </c>
      <c r="AK1574" s="700" t="str">
        <f t="shared" si="1216"/>
        <v/>
      </c>
      <c r="AL1574" s="700"/>
      <c r="AM1574" s="505" t="str">
        <f t="shared" si="1217"/>
        <v/>
      </c>
      <c r="AN1574" s="506"/>
      <c r="AO1574" s="507"/>
      <c r="AP1574" s="507"/>
      <c r="AQ1574" s="507"/>
      <c r="AR1574" s="507"/>
      <c r="AS1574" s="507"/>
      <c r="AT1574" s="507"/>
      <c r="AU1574" s="507"/>
      <c r="AV1574" s="225"/>
      <c r="AW1574" s="508"/>
      <c r="AX1574" s="225"/>
      <c r="AY1574" s="225"/>
      <c r="AZ1574" s="225"/>
      <c r="BA1574" s="225"/>
      <c r="BB1574" s="225"/>
      <c r="BC1574" s="56"/>
      <c r="BD1574" s="56"/>
      <c r="BE1574" s="56"/>
      <c r="BF1574" s="107" t="str">
        <f t="shared" si="1218"/>
        <v>https://www.google.com/search?tbm=isch&amp;q=Golden%20Euonymus%20Euonymus%20japonicus%20%27Aureo-marginatus%27</v>
      </c>
      <c r="BG1574" s="107" t="str">
        <f t="shared" si="1219"/>
        <v>G</v>
      </c>
      <c r="BH1574" s="254"/>
      <c r="BI1574" s="254"/>
    </row>
    <row r="1575" spans="1:61" customFormat="1" ht="15.75" x14ac:dyDescent="0.25">
      <c r="A1575" s="485">
        <v>3</v>
      </c>
      <c r="B1575" s="486" t="s">
        <v>291</v>
      </c>
      <c r="C1575" s="487" t="s">
        <v>329</v>
      </c>
      <c r="D1575" s="488" t="s">
        <v>298</v>
      </c>
      <c r="E1575" s="489">
        <v>25.95</v>
      </c>
      <c r="F1575" s="516" t="s">
        <v>293</v>
      </c>
      <c r="G1575" s="232">
        <v>0</v>
      </c>
      <c r="H1575" s="658" t="str">
        <f>IF(G1575=0,"",IF(F1575="Buy",IF(G1575=1,"plant","plants"),IF(F1575&gt;0.01,"warranty","Error")))</f>
        <v/>
      </c>
      <c r="I1575" s="490">
        <f>IF(H1575="free",0,IF(H1575="credit",((E1575*(F1575))*G1575*-1),IF(F1575="Buy",(E1575*G1575),((E1575*(1-F1575))*G1575))))</f>
        <v>0</v>
      </c>
      <c r="J1575" s="490">
        <f>IF(H1575="warranty",0,(I1575*(_xlfn.SINGLE(SalesTaxPercentage))))</f>
        <v>0</v>
      </c>
      <c r="K1575" s="695">
        <f t="shared" ref="K1575" si="1229">I1575+J1575</f>
        <v>0</v>
      </c>
      <c r="L1575" s="695"/>
      <c r="M1575" s="659" t="str">
        <f>IF(AND(G1575&gt;0,E1575=0),"WARNING - no PRICE inserted",IF(H1575="free"," FREE ~ no charge this plant",IF(H1575="credit",CONCATENATE(" -$",ROUND(K1575*(1-T2GDiscount)*-1,2)," CREDIT after discount"),IF(T2GDiscount=0,"",IF(G1575=0,"",IF(F1575="Buy",CONCATENATE(" $",ROUND(K1575*(1-T2GDiscount),2)," with ",(T2GDiscount*100),"% discount"),CONCATENATE(" $",ROUND(K1575*(1-T2GDiscount),2)," with ",((T2GDiscount*100+F1575*100)-(T2GDiscount*100*F1575)),IF(F1575&gt;0,"% discounts",IF(NoWarrantyDiscount&gt;0,"% discounts","% discount")))))))))</f>
        <v/>
      </c>
      <c r="N1575" s="660"/>
      <c r="O1575" s="233"/>
      <c r="P1575" s="233"/>
      <c r="Q1575" s="233"/>
      <c r="R1575" s="233"/>
      <c r="S1575" s="233"/>
      <c r="T1575" s="508">
        <f t="shared" si="1207"/>
        <v>0</v>
      </c>
      <c r="U1575" s="225">
        <f>IF(NOT(ISNUMBER(G1575)), "", VLOOKUP(A1575,'Discount Lookup'!D:E,2,FALSE)*G1575)</f>
        <v>0</v>
      </c>
      <c r="V1575" s="225">
        <f>IF(NOT(ISNUMBER(G1575)), "", VLOOKUP(A1575,'Discount Lookup'!G:H,2,FALSE)*G1575)</f>
        <v>0</v>
      </c>
      <c r="W1575" s="508">
        <f t="shared" si="1208"/>
        <v>0</v>
      </c>
      <c r="X1575" s="508">
        <f t="shared" si="1209"/>
        <v>0</v>
      </c>
      <c r="Y1575" s="509" t="b">
        <f t="shared" si="1210"/>
        <v>0</v>
      </c>
      <c r="Z1575" s="510">
        <f t="shared" si="1211"/>
        <v>0</v>
      </c>
      <c r="AA1575" s="511"/>
      <c r="AB1575" s="511" t="str">
        <f t="shared" si="1212"/>
        <v/>
      </c>
      <c r="AC1575" s="698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698"/>
      <c r="AE1575" s="631" t="str">
        <f t="shared" si="1213"/>
        <v/>
      </c>
      <c r="AF1575" s="699" t="str">
        <f t="shared" si="1214"/>
        <v/>
      </c>
      <c r="AG1575" s="699"/>
      <c r="AH1575" s="699"/>
      <c r="AI1575" s="512">
        <f>IF(H1575="credit",0,IF(AE1575="free",0,IF(AE1575="me",0,IF(G1575&gt;0,(VLOOKUP(A1575,'Discount Lookup'!J:K,2)*G1575),0))))</f>
        <v>0</v>
      </c>
      <c r="AJ1575" s="513" t="str">
        <f t="shared" ca="1" si="1215"/>
        <v/>
      </c>
      <c r="AK1575" s="700" t="str">
        <f t="shared" si="1216"/>
        <v/>
      </c>
      <c r="AL1575" s="700"/>
      <c r="AM1575" s="505" t="str">
        <f t="shared" si="1217"/>
        <v/>
      </c>
      <c r="AN1575" s="506"/>
      <c r="AO1575" s="507"/>
      <c r="AP1575" s="507"/>
      <c r="AQ1575" s="507"/>
      <c r="AR1575" s="507"/>
      <c r="AS1575" s="507"/>
      <c r="AT1575" s="507"/>
      <c r="AU1575" s="507"/>
      <c r="AV1575" s="225"/>
      <c r="AW1575" s="508"/>
      <c r="AX1575" s="225"/>
      <c r="AY1575" s="225"/>
      <c r="AZ1575" s="225"/>
      <c r="BA1575" s="225"/>
      <c r="BB1575" s="225"/>
      <c r="BC1575" s="56"/>
      <c r="BD1575" s="56"/>
      <c r="BE1575" s="56"/>
      <c r="BF1575" s="107" t="str">
        <f t="shared" si="1218"/>
        <v>https://www.google.com/search?tbm=isch&amp;q=3%20G1</v>
      </c>
      <c r="BG1575" s="107" t="str">
        <f t="shared" si="1219"/>
        <v>G</v>
      </c>
      <c r="BH1575" s="254"/>
      <c r="BI1575" s="254"/>
    </row>
    <row r="1576" spans="1:61" customFormat="1" ht="17.25" thickBot="1" x14ac:dyDescent="0.3">
      <c r="A1576" s="522" t="s">
        <v>2939</v>
      </c>
      <c r="B1576" s="491"/>
      <c r="C1576" s="675"/>
      <c r="D1576" s="491"/>
      <c r="E1576" s="491"/>
      <c r="F1576" s="492"/>
      <c r="G1576" s="493"/>
      <c r="H1576" s="491"/>
      <c r="I1576" s="234"/>
      <c r="J1576" s="234"/>
      <c r="K1576" s="494"/>
      <c r="L1576" s="543"/>
      <c r="M1576" s="561"/>
      <c r="N1576" s="495"/>
      <c r="O1576" s="496"/>
      <c r="P1576" s="497"/>
      <c r="Q1576" s="495"/>
      <c r="R1576" s="495"/>
      <c r="S1576" s="667" t="s">
        <v>4984</v>
      </c>
      <c r="T1576" s="508">
        <f t="shared" si="1207"/>
        <v>0</v>
      </c>
      <c r="U1576" s="225" t="str">
        <f>IF(NOT(ISNUMBER(G1576)), "", VLOOKUP(A1576,'Discount Lookup'!D:E,2,FALSE)*G1576)</f>
        <v/>
      </c>
      <c r="V1576" s="225" t="str">
        <f>IF(NOT(ISNUMBER(G1576)), "", VLOOKUP(A1576,'Discount Lookup'!G:H,2,FALSE)*G1576)</f>
        <v/>
      </c>
      <c r="W1576" s="508">
        <f t="shared" si="1208"/>
        <v>0</v>
      </c>
      <c r="X1576" s="508">
        <f t="shared" si="1209"/>
        <v>0</v>
      </c>
      <c r="Y1576" s="509" t="b">
        <f t="shared" si="1210"/>
        <v>0</v>
      </c>
      <c r="Z1576" s="510">
        <f t="shared" si="1211"/>
        <v>0</v>
      </c>
      <c r="AA1576" s="511"/>
      <c r="AB1576" s="511" t="str">
        <f t="shared" si="1212"/>
        <v/>
      </c>
      <c r="AC1576" s="698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698"/>
      <c r="AE1576" s="631" t="str">
        <f t="shared" si="1213"/>
        <v/>
      </c>
      <c r="AF1576" s="699" t="str">
        <f t="shared" si="1214"/>
        <v/>
      </c>
      <c r="AG1576" s="699"/>
      <c r="AH1576" s="699"/>
      <c r="AI1576" s="512">
        <f>IF(H1576="credit",0,IF(AE1576="free",0,IF(AE1576="me",0,IF(G1576&gt;0,(VLOOKUP(A1576,'Discount Lookup'!J:K,2)*G1576),0))))</f>
        <v>0</v>
      </c>
      <c r="AJ1576" s="513" t="str">
        <f t="shared" ca="1" si="1215"/>
        <v/>
      </c>
      <c r="AK1576" s="700" t="str">
        <f t="shared" si="1216"/>
        <v/>
      </c>
      <c r="AL1576" s="700"/>
      <c r="AM1576" s="505" t="str">
        <f t="shared" si="1217"/>
        <v/>
      </c>
      <c r="AN1576" s="506"/>
      <c r="AO1576" s="507"/>
      <c r="AP1576" s="507"/>
      <c r="AQ1576" s="507"/>
      <c r="AR1576" s="507"/>
      <c r="AS1576" s="507"/>
      <c r="AT1576" s="507"/>
      <c r="AU1576" s="507"/>
      <c r="AV1576" s="225"/>
      <c r="AW1576" s="508"/>
      <c r="AX1576" s="225"/>
      <c r="AY1576" s="225"/>
      <c r="AZ1576" s="225"/>
      <c r="BA1576" s="225"/>
      <c r="BB1576" s="225"/>
      <c r="BC1576" s="56"/>
      <c r="BD1576" s="56"/>
      <c r="BE1576" s="56"/>
      <c r="BF1576" s="107" t="str">
        <f t="shared" si="1218"/>
        <v>https://www.google.com/search?tbm=isch&amp;q=Golden%20Euonymus%20has%20vibrant%20Yellow-edges%20against%20Dark%20Green%20foliage.%20Small%20Greenish-White%20sping%20blooms.%20Tidy%20upright%20habit.%20Can%20be%20sheared%20</v>
      </c>
      <c r="BG1576" s="107" t="str">
        <f t="shared" si="1219"/>
        <v>G</v>
      </c>
      <c r="BH1576" s="254"/>
      <c r="BI1576" s="254"/>
    </row>
    <row r="1577" spans="1:61" customFormat="1" ht="18" x14ac:dyDescent="0.25">
      <c r="A1577" s="523" t="s">
        <v>5417</v>
      </c>
      <c r="B1577" s="235"/>
      <c r="C1577" s="676"/>
      <c r="D1577" s="255" t="s">
        <v>998</v>
      </c>
      <c r="E1577" s="236"/>
      <c r="F1577" s="236"/>
      <c r="G1577" s="236"/>
      <c r="H1577" s="582" t="s">
        <v>344</v>
      </c>
      <c r="I1577" s="498" t="s">
        <v>656</v>
      </c>
      <c r="J1577" s="237"/>
      <c r="K1577" s="237"/>
      <c r="L1577" s="274"/>
      <c r="M1577" s="668" t="s">
        <v>4975</v>
      </c>
      <c r="N1577" s="681" t="str">
        <f>IF(AND(ISTEXT($A1577), ISERROR($A1577+0)), HYPERLINK($BF1577, "Images"), "")</f>
        <v>Images</v>
      </c>
      <c r="O1577" s="663" t="s">
        <v>4974</v>
      </c>
      <c r="P1577" s="253"/>
      <c r="Q1577" s="238"/>
      <c r="R1577" s="239"/>
      <c r="S1577" s="275" t="s">
        <v>305</v>
      </c>
      <c r="T1577" s="508">
        <f t="shared" si="1207"/>
        <v>0</v>
      </c>
      <c r="U1577" s="225" t="str">
        <f>IF(NOT(ISNUMBER(G1577)), "", VLOOKUP(A1577,'Discount Lookup'!D:E,2,FALSE)*G1577)</f>
        <v/>
      </c>
      <c r="V1577" s="225" t="str">
        <f>IF(NOT(ISNUMBER(G1577)), "", VLOOKUP(A1577,'Discount Lookup'!G:H,2,FALSE)*G1577)</f>
        <v/>
      </c>
      <c r="W1577" s="508">
        <f t="shared" si="1208"/>
        <v>0</v>
      </c>
      <c r="X1577" s="508" t="str">
        <f t="shared" si="1209"/>
        <v>Pink bloom</v>
      </c>
      <c r="Y1577" s="509" t="b">
        <f t="shared" si="1210"/>
        <v>0</v>
      </c>
      <c r="Z1577" s="510">
        <f t="shared" si="1211"/>
        <v>0</v>
      </c>
      <c r="AA1577" s="511"/>
      <c r="AB1577" s="511" t="str">
        <f t="shared" si="1212"/>
        <v/>
      </c>
      <c r="AC1577" s="698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698"/>
      <c r="AE1577" s="631" t="str">
        <f t="shared" si="1213"/>
        <v/>
      </c>
      <c r="AF1577" s="699" t="str">
        <f t="shared" si="1214"/>
        <v/>
      </c>
      <c r="AG1577" s="699"/>
      <c r="AH1577" s="699"/>
      <c r="AI1577" s="512">
        <f>IF(H1577="credit",0,IF(AE1577="free",0,IF(AE1577="me",0,IF(G1577&gt;0,(VLOOKUP(A1577,'Discount Lookup'!J:K,2)*G1577),0))))</f>
        <v>0</v>
      </c>
      <c r="AJ1577" s="513" t="str">
        <f t="shared" ca="1" si="1215"/>
        <v/>
      </c>
      <c r="AK1577" s="700" t="str">
        <f t="shared" si="1216"/>
        <v/>
      </c>
      <c r="AL1577" s="700"/>
      <c r="AM1577" s="505" t="str">
        <f t="shared" si="1217"/>
        <v/>
      </c>
      <c r="AN1577" s="506"/>
      <c r="AO1577" s="507"/>
      <c r="AP1577" s="507"/>
      <c r="AQ1577" s="507"/>
      <c r="AR1577" s="507"/>
      <c r="AS1577" s="507"/>
      <c r="AT1577" s="507"/>
      <c r="AU1577" s="507"/>
      <c r="AV1577" s="225"/>
      <c r="AW1577" s="508"/>
      <c r="AX1577" s="225"/>
      <c r="AY1577" s="225"/>
      <c r="AZ1577" s="225"/>
      <c r="BA1577" s="225"/>
      <c r="BB1577" s="225"/>
      <c r="BC1577" s="56"/>
      <c r="BD1577" s="56"/>
      <c r="BE1577" s="56"/>
      <c r="BF1577" s="107" t="str">
        <f t="shared" si="1218"/>
        <v>https://www.google.com/search?tbm=isch&amp;q=Golden%20Falls%C2%AE%20Weeping%20Redbud%20Cercis%20canadensis%20%27NC2015-12%27%20PP%2331658</v>
      </c>
      <c r="BG1577" s="107" t="str">
        <f t="shared" si="1219"/>
        <v>G</v>
      </c>
      <c r="BH1577" s="254"/>
      <c r="BI1577" s="254"/>
    </row>
    <row r="1578" spans="1:61" customFormat="1" ht="15.75" x14ac:dyDescent="0.25">
      <c r="A1578" s="276">
        <v>7</v>
      </c>
      <c r="B1578" s="240" t="s">
        <v>291</v>
      </c>
      <c r="C1578" s="241" t="s">
        <v>2394</v>
      </c>
      <c r="D1578" s="242" t="s">
        <v>312</v>
      </c>
      <c r="E1578" s="243">
        <v>126.95</v>
      </c>
      <c r="F1578" s="517" t="s">
        <v>293</v>
      </c>
      <c r="G1578" s="232">
        <v>0</v>
      </c>
      <c r="H1578" s="661" t="str">
        <f>IF(G1578=0,"",IF(F1578="Buy",IF(G1578=1,"plant","plants"),IF(F1578&gt;0.01,"warranty","Error")))</f>
        <v/>
      </c>
      <c r="I1578" s="244">
        <f>IF(H1578="free",0,IF(H1578="credit",((E1578*(F1578))*G1578*-1),IF(F1578="Buy",(E1578*G1578),((E1578*(1-F1578))*G1578))))</f>
        <v>0</v>
      </c>
      <c r="J1578" s="244">
        <f>IF(H1578="warranty",0,(I1578*(_xlfn.SINGLE(SalesTaxPercentage))))</f>
        <v>0</v>
      </c>
      <c r="K1578" s="696">
        <f t="shared" ref="K1578" si="1230">I1578+J1578</f>
        <v>0</v>
      </c>
      <c r="L1578" s="696"/>
      <c r="M1578" s="659" t="str">
        <f>IF(AND(G1578&gt;0,E1578=0),"WARNING - no PRICE inserted",IF(H1578="free"," FREE ~ no charge this plant",IF(H1578="credit",CONCATENATE(" -$",ROUND(K1578*(1-T2GDiscount)*-1,2)," CREDIT after discount"),IF(T2GDiscount=0,"",IF(G1578=0,"",IF(F1578="Buy",CONCATENATE(" $",ROUND(K1578*(1-T2GDiscount),2)," with ",(T2GDiscount*100),"% discount"),CONCATENATE(" $",ROUND(K1578*(1-T2GDiscount),2)," with ",((T2GDiscount*100+F1578*100)-(T2GDiscount*100*F1578)),IF(F1578&gt;0,"% discounts",IF(NoWarrantyDiscount&gt;0,"% discounts","% discount")))))))))</f>
        <v/>
      </c>
      <c r="N1578" s="660"/>
      <c r="O1578" s="233"/>
      <c r="P1578" s="233"/>
      <c r="Q1578" s="233"/>
      <c r="R1578" s="233"/>
      <c r="S1578" s="233"/>
      <c r="T1578" s="508">
        <f t="shared" si="1207"/>
        <v>0</v>
      </c>
      <c r="U1578" s="225">
        <f>IF(NOT(ISNUMBER(G1578)), "", VLOOKUP(A1578,'Discount Lookup'!D:E,2,FALSE)*G1578)</f>
        <v>0</v>
      </c>
      <c r="V1578" s="225">
        <f>IF(NOT(ISNUMBER(G1578)), "", VLOOKUP(A1578,'Discount Lookup'!G:H,2,FALSE)*G1578)</f>
        <v>0</v>
      </c>
      <c r="W1578" s="508">
        <f t="shared" si="1208"/>
        <v>0</v>
      </c>
      <c r="X1578" s="508">
        <f t="shared" si="1209"/>
        <v>0</v>
      </c>
      <c r="Y1578" s="509" t="b">
        <f t="shared" si="1210"/>
        <v>0</v>
      </c>
      <c r="Z1578" s="510">
        <f t="shared" si="1211"/>
        <v>0</v>
      </c>
      <c r="AA1578" s="511"/>
      <c r="AB1578" s="511" t="str">
        <f t="shared" si="1212"/>
        <v/>
      </c>
      <c r="AC1578" s="698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698"/>
      <c r="AE1578" s="631" t="str">
        <f t="shared" si="1213"/>
        <v/>
      </c>
      <c r="AF1578" s="699" t="str">
        <f t="shared" si="1214"/>
        <v/>
      </c>
      <c r="AG1578" s="699"/>
      <c r="AH1578" s="699"/>
      <c r="AI1578" s="512">
        <f>IF(H1578="credit",0,IF(AE1578="free",0,IF(AE1578="me",0,IF(G1578&gt;0,(VLOOKUP(A1578,'Discount Lookup'!J:K,2)*G1578),0))))</f>
        <v>0</v>
      </c>
      <c r="AJ1578" s="513" t="str">
        <f t="shared" ca="1" si="1215"/>
        <v/>
      </c>
      <c r="AK1578" s="700" t="str">
        <f t="shared" si="1216"/>
        <v/>
      </c>
      <c r="AL1578" s="700"/>
      <c r="AM1578" s="505" t="str">
        <f t="shared" si="1217"/>
        <v/>
      </c>
      <c r="AN1578" s="506"/>
      <c r="AO1578" s="507"/>
      <c r="AP1578" s="507"/>
      <c r="AQ1578" s="507"/>
      <c r="AR1578" s="507"/>
      <c r="AS1578" s="507"/>
      <c r="AT1578" s="507"/>
      <c r="AU1578" s="507"/>
      <c r="AV1578" s="225"/>
      <c r="AW1578" s="508"/>
      <c r="AX1578" s="225"/>
      <c r="AY1578" s="225"/>
      <c r="AZ1578" s="225"/>
      <c r="BA1578" s="225"/>
      <c r="BB1578" s="225"/>
      <c r="BC1578" s="56"/>
      <c r="BD1578" s="56"/>
      <c r="BE1578" s="56"/>
      <c r="BF1578" s="107" t="str">
        <f t="shared" si="1218"/>
        <v>https://www.google.com/search?tbm=isch&amp;q=7%20G2</v>
      </c>
      <c r="BG1578" s="107" t="str">
        <f t="shared" si="1219"/>
        <v>G</v>
      </c>
      <c r="BH1578" s="254"/>
      <c r="BI1578" s="254"/>
    </row>
    <row r="1579" spans="1:61" customFormat="1" ht="15.75" x14ac:dyDescent="0.25">
      <c r="A1579" s="276">
        <v>7</v>
      </c>
      <c r="B1579" s="240" t="s">
        <v>291</v>
      </c>
      <c r="C1579" s="241" t="s">
        <v>3526</v>
      </c>
      <c r="D1579" s="242" t="s">
        <v>292</v>
      </c>
      <c r="E1579" s="243">
        <v>137.94999999999999</v>
      </c>
      <c r="F1579" s="517" t="s">
        <v>293</v>
      </c>
      <c r="G1579" s="232">
        <v>0</v>
      </c>
      <c r="H1579" s="661" t="str">
        <f>IF(G1579=0,"",IF(F1579="Buy",IF(G1579=1,"plant","plants"),IF(F1579&gt;0.01,"warranty","Error")))</f>
        <v/>
      </c>
      <c r="I1579" s="244">
        <f>IF(H1579="free",0,IF(H1579="credit",((E1579*(F1579))*G1579*-1),IF(F1579="Buy",(E1579*G1579),((E1579*(1-F1579))*G1579))))</f>
        <v>0</v>
      </c>
      <c r="J1579" s="244">
        <f>IF(H1579="warranty",0,(I1579*(_xlfn.SINGLE(SalesTaxPercentage))))</f>
        <v>0</v>
      </c>
      <c r="K1579" s="696">
        <f t="shared" ref="K1579" si="1231">I1579+J1579</f>
        <v>0</v>
      </c>
      <c r="L1579" s="696"/>
      <c r="M1579" s="659" t="str">
        <f>IF(AND(G1579&gt;0,E1579=0),"WARNING - no PRICE inserted",IF(H1579="free"," FREE ~ no charge this plant",IF(H1579="credit",CONCATENATE(" -$",ROUND(K1579*(1-T2GDiscount)*-1,2)," CREDIT after discount"),IF(T2GDiscount=0,"",IF(G1579=0,"",IF(F1579="Buy",CONCATENATE(" $",ROUND(K1579*(1-T2GDiscount),2)," with ",(T2GDiscount*100),"% discount"),CONCATENATE(" $",ROUND(K1579*(1-T2GDiscount),2)," with ",((T2GDiscount*100+F1579*100)-(T2GDiscount*100*F1579)),IF(F1579&gt;0,"% discounts",IF(NoWarrantyDiscount&gt;0,"% discounts","% discount")))))))))</f>
        <v/>
      </c>
      <c r="N1579" s="660"/>
      <c r="O1579" s="233"/>
      <c r="P1579" s="233"/>
      <c r="Q1579" s="233"/>
      <c r="R1579" s="233"/>
      <c r="S1579" s="233"/>
      <c r="T1579" s="508">
        <f t="shared" si="1207"/>
        <v>0</v>
      </c>
      <c r="U1579" s="225">
        <f>IF(NOT(ISNUMBER(G1579)), "", VLOOKUP(A1579,'Discount Lookup'!D:E,2,FALSE)*G1579)</f>
        <v>0</v>
      </c>
      <c r="V1579" s="225">
        <f>IF(NOT(ISNUMBER(G1579)), "", VLOOKUP(A1579,'Discount Lookup'!G:H,2,FALSE)*G1579)</f>
        <v>0</v>
      </c>
      <c r="W1579" s="508">
        <f t="shared" si="1208"/>
        <v>0</v>
      </c>
      <c r="X1579" s="508">
        <f t="shared" si="1209"/>
        <v>0</v>
      </c>
      <c r="Y1579" s="509" t="b">
        <f t="shared" si="1210"/>
        <v>0</v>
      </c>
      <c r="Z1579" s="510">
        <f t="shared" si="1211"/>
        <v>0</v>
      </c>
      <c r="AA1579" s="511"/>
      <c r="AB1579" s="511" t="str">
        <f t="shared" si="1212"/>
        <v/>
      </c>
      <c r="AC1579" s="698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698"/>
      <c r="AE1579" s="631" t="str">
        <f t="shared" si="1213"/>
        <v/>
      </c>
      <c r="AF1579" s="699" t="str">
        <f t="shared" si="1214"/>
        <v/>
      </c>
      <c r="AG1579" s="699"/>
      <c r="AH1579" s="699"/>
      <c r="AI1579" s="512">
        <f>IF(H1579="credit",0,IF(AE1579="free",0,IF(AE1579="me",0,IF(G1579&gt;0,(VLOOKUP(A1579,'Discount Lookup'!J:K,2)*G1579),0))))</f>
        <v>0</v>
      </c>
      <c r="AJ1579" s="513" t="str">
        <f t="shared" ca="1" si="1215"/>
        <v/>
      </c>
      <c r="AK1579" s="700" t="str">
        <f t="shared" si="1216"/>
        <v/>
      </c>
      <c r="AL1579" s="700"/>
      <c r="AM1579" s="505" t="str">
        <f t="shared" si="1217"/>
        <v/>
      </c>
      <c r="AN1579" s="506"/>
      <c r="AO1579" s="507"/>
      <c r="AP1579" s="507"/>
      <c r="AQ1579" s="507"/>
      <c r="AR1579" s="507"/>
      <c r="AS1579" s="507"/>
      <c r="AT1579" s="507"/>
      <c r="AU1579" s="507"/>
      <c r="AV1579" s="225"/>
      <c r="AW1579" s="508"/>
      <c r="AX1579" s="225"/>
      <c r="AY1579" s="225"/>
      <c r="AZ1579" s="225"/>
      <c r="BA1579" s="225"/>
      <c r="BB1579" s="225"/>
      <c r="BC1579" s="56"/>
      <c r="BD1579" s="56"/>
      <c r="BE1579" s="56"/>
      <c r="BF1579" s="107" t="str">
        <f t="shared" si="1218"/>
        <v>https://www.google.com/search?tbm=isch&amp;q=7%20G4</v>
      </c>
      <c r="BG1579" s="107" t="str">
        <f t="shared" si="1219"/>
        <v>G</v>
      </c>
      <c r="BH1579" s="254"/>
      <c r="BI1579" s="254"/>
    </row>
    <row r="1580" spans="1:61" customFormat="1" ht="15.75" x14ac:dyDescent="0.25">
      <c r="A1580" s="276">
        <v>10</v>
      </c>
      <c r="B1580" s="240" t="s">
        <v>291</v>
      </c>
      <c r="C1580" s="241" t="s">
        <v>3527</v>
      </c>
      <c r="D1580" s="242" t="s">
        <v>292</v>
      </c>
      <c r="E1580" s="243">
        <v>173.95</v>
      </c>
      <c r="F1580" s="517" t="s">
        <v>293</v>
      </c>
      <c r="G1580" s="232">
        <v>0</v>
      </c>
      <c r="H1580" s="661" t="str">
        <f>IF(G1580=0,"",IF(F1580="Buy",IF(G1580=1,"plant","plants"),IF(F1580&gt;0.01,"warranty","Error")))</f>
        <v/>
      </c>
      <c r="I1580" s="244">
        <f>IF(H1580="free",0,IF(H1580="credit",((E1580*(F1580))*G1580*-1),IF(F1580="Buy",(E1580*G1580),((E1580*(1-F1580))*G1580))))</f>
        <v>0</v>
      </c>
      <c r="J1580" s="244">
        <f>IF(H1580="warranty",0,(I1580*(_xlfn.SINGLE(SalesTaxPercentage))))</f>
        <v>0</v>
      </c>
      <c r="K1580" s="696">
        <f t="shared" ref="K1580" si="1232">I1580+J1580</f>
        <v>0</v>
      </c>
      <c r="L1580" s="696"/>
      <c r="M1580" s="659" t="str">
        <f>IF(AND(G1580&gt;0,E1580=0),"WARNING - no PRICE inserted",IF(H1580="free"," FREE ~ no charge this plant",IF(H1580="credit",CONCATENATE(" -$",ROUND(K1580*(1-T2GDiscount)*-1,2)," CREDIT after discount"),IF(T2GDiscount=0,"",IF(G1580=0,"",IF(F1580="Buy",CONCATENATE(" $",ROUND(K1580*(1-T2GDiscount),2)," with ",(T2GDiscount*100),"% discount"),CONCATENATE(" $",ROUND(K1580*(1-T2GDiscount),2)," with ",((T2GDiscount*100+F1580*100)-(T2GDiscount*100*F1580)),IF(F1580&gt;0,"% discounts",IF(NoWarrantyDiscount&gt;0,"% discounts","% discount")))))))))</f>
        <v/>
      </c>
      <c r="N1580" s="660"/>
      <c r="O1580" s="233"/>
      <c r="P1580" s="233"/>
      <c r="Q1580" s="233"/>
      <c r="R1580" s="233"/>
      <c r="S1580" s="233"/>
      <c r="T1580" s="508">
        <f t="shared" si="1207"/>
        <v>0</v>
      </c>
      <c r="U1580" s="225">
        <f>IF(NOT(ISNUMBER(G1580)), "", VLOOKUP(A1580,'Discount Lookup'!D:E,2,FALSE)*G1580)</f>
        <v>0</v>
      </c>
      <c r="V1580" s="225">
        <f>IF(NOT(ISNUMBER(G1580)), "", VLOOKUP(A1580,'Discount Lookup'!G:H,2,FALSE)*G1580)</f>
        <v>0</v>
      </c>
      <c r="W1580" s="508">
        <f t="shared" si="1208"/>
        <v>0</v>
      </c>
      <c r="X1580" s="508">
        <f t="shared" si="1209"/>
        <v>0</v>
      </c>
      <c r="Y1580" s="509" t="b">
        <f t="shared" si="1210"/>
        <v>0</v>
      </c>
      <c r="Z1580" s="510">
        <f t="shared" si="1211"/>
        <v>0</v>
      </c>
      <c r="AA1580" s="511"/>
      <c r="AB1580" s="511" t="str">
        <f t="shared" si="1212"/>
        <v/>
      </c>
      <c r="AC1580" s="698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698"/>
      <c r="AE1580" s="631" t="str">
        <f t="shared" si="1213"/>
        <v/>
      </c>
      <c r="AF1580" s="699" t="str">
        <f t="shared" si="1214"/>
        <v/>
      </c>
      <c r="AG1580" s="699"/>
      <c r="AH1580" s="699"/>
      <c r="AI1580" s="512">
        <f>IF(H1580="credit",0,IF(AE1580="free",0,IF(AE1580="me",0,IF(G1580&gt;0,(VLOOKUP(A1580,'Discount Lookup'!J:K,2)*G1580),0))))</f>
        <v>0</v>
      </c>
      <c r="AJ1580" s="513" t="str">
        <f t="shared" ca="1" si="1215"/>
        <v/>
      </c>
      <c r="AK1580" s="700" t="str">
        <f t="shared" si="1216"/>
        <v/>
      </c>
      <c r="AL1580" s="700"/>
      <c r="AM1580" s="505" t="str">
        <f t="shared" si="1217"/>
        <v/>
      </c>
      <c r="AN1580" s="506"/>
      <c r="AO1580" s="507"/>
      <c r="AP1580" s="507"/>
      <c r="AQ1580" s="507"/>
      <c r="AR1580" s="507"/>
      <c r="AS1580" s="507"/>
      <c r="AT1580" s="507"/>
      <c r="AU1580" s="507"/>
      <c r="AV1580" s="225"/>
      <c r="AW1580" s="508"/>
      <c r="AX1580" s="225"/>
      <c r="AY1580" s="225"/>
      <c r="AZ1580" s="225"/>
      <c r="BA1580" s="225"/>
      <c r="BB1580" s="225"/>
      <c r="BC1580" s="56"/>
      <c r="BD1580" s="56"/>
      <c r="BE1580" s="56"/>
      <c r="BF1580" s="107" t="str">
        <f t="shared" si="1218"/>
        <v>https://www.google.com/search?tbm=isch&amp;q=10%20G4</v>
      </c>
      <c r="BG1580" s="107" t="str">
        <f t="shared" si="1219"/>
        <v>G</v>
      </c>
      <c r="BH1580" s="254"/>
      <c r="BI1580" s="254"/>
    </row>
    <row r="1581" spans="1:61" customFormat="1" ht="15.75" x14ac:dyDescent="0.25">
      <c r="A1581" s="276">
        <v>15</v>
      </c>
      <c r="B1581" s="240" t="s">
        <v>291</v>
      </c>
      <c r="C1581" s="241" t="s">
        <v>3528</v>
      </c>
      <c r="D1581" s="242" t="s">
        <v>292</v>
      </c>
      <c r="E1581" s="243">
        <v>201.95</v>
      </c>
      <c r="F1581" s="517" t="s">
        <v>293</v>
      </c>
      <c r="G1581" s="232">
        <v>0</v>
      </c>
      <c r="H1581" s="661" t="str">
        <f>IF(G1581=0,"",IF(F1581="Buy",IF(G1581=1,"plant","plants"),IF(F1581&gt;0.01,"warranty","Error")))</f>
        <v/>
      </c>
      <c r="I1581" s="244">
        <f>IF(H1581="free",0,IF(H1581="credit",((E1581*(F1581))*G1581*-1),IF(F1581="Buy",(E1581*G1581),((E1581*(1-F1581))*G1581))))</f>
        <v>0</v>
      </c>
      <c r="J1581" s="244">
        <f>IF(H1581="warranty",0,(I1581*(_xlfn.SINGLE(SalesTaxPercentage))))</f>
        <v>0</v>
      </c>
      <c r="K1581" s="696">
        <f t="shared" ref="K1581" si="1233">I1581+J1581</f>
        <v>0</v>
      </c>
      <c r="L1581" s="696"/>
      <c r="M1581" s="659" t="str">
        <f>IF(AND(G1581&gt;0,E1581=0),"WARNING - no PRICE inserted",IF(H1581="free"," FREE ~ no charge this plant",IF(H1581="credit",CONCATENATE(" -$",ROUND(K1581*(1-T2GDiscount)*-1,2)," CREDIT after discount"),IF(T2GDiscount=0,"",IF(G1581=0,"",IF(F1581="Buy",CONCATENATE(" $",ROUND(K1581*(1-T2GDiscount),2)," with ",(T2GDiscount*100),"% discount"),CONCATENATE(" $",ROUND(K1581*(1-T2GDiscount),2)," with ",((T2GDiscount*100+F1581*100)-(T2GDiscount*100*F1581)),IF(F1581&gt;0,"% discounts",IF(NoWarrantyDiscount&gt;0,"% discounts","% discount")))))))))</f>
        <v/>
      </c>
      <c r="N1581" s="660"/>
      <c r="O1581" s="233"/>
      <c r="P1581" s="233"/>
      <c r="Q1581" s="233"/>
      <c r="R1581" s="233"/>
      <c r="S1581" s="233"/>
      <c r="T1581" s="508">
        <f t="shared" si="1207"/>
        <v>0</v>
      </c>
      <c r="U1581" s="225">
        <f>IF(NOT(ISNUMBER(G1581)), "", VLOOKUP(A1581,'Discount Lookup'!D:E,2,FALSE)*G1581)</f>
        <v>0</v>
      </c>
      <c r="V1581" s="225">
        <f>IF(NOT(ISNUMBER(G1581)), "", VLOOKUP(A1581,'Discount Lookup'!G:H,2,FALSE)*G1581)</f>
        <v>0</v>
      </c>
      <c r="W1581" s="508">
        <f t="shared" si="1208"/>
        <v>0</v>
      </c>
      <c r="X1581" s="508">
        <f t="shared" si="1209"/>
        <v>0</v>
      </c>
      <c r="Y1581" s="509" t="b">
        <f t="shared" si="1210"/>
        <v>0</v>
      </c>
      <c r="Z1581" s="510">
        <f t="shared" si="1211"/>
        <v>0</v>
      </c>
      <c r="AA1581" s="511"/>
      <c r="AB1581" s="511" t="str">
        <f t="shared" si="1212"/>
        <v/>
      </c>
      <c r="AC1581" s="698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698"/>
      <c r="AE1581" s="631" t="str">
        <f t="shared" si="1213"/>
        <v/>
      </c>
      <c r="AF1581" s="699" t="str">
        <f t="shared" si="1214"/>
        <v/>
      </c>
      <c r="AG1581" s="699"/>
      <c r="AH1581" s="699"/>
      <c r="AI1581" s="512">
        <f>IF(H1581="credit",0,IF(AE1581="free",0,IF(AE1581="me",0,IF(G1581&gt;0,(VLOOKUP(A1581,'Discount Lookup'!J:K,2)*G1581),0))))</f>
        <v>0</v>
      </c>
      <c r="AJ1581" s="513" t="str">
        <f t="shared" ca="1" si="1215"/>
        <v/>
      </c>
      <c r="AK1581" s="700" t="str">
        <f t="shared" si="1216"/>
        <v/>
      </c>
      <c r="AL1581" s="700"/>
      <c r="AM1581" s="505" t="str">
        <f t="shared" si="1217"/>
        <v/>
      </c>
      <c r="AN1581" s="506"/>
      <c r="AO1581" s="507"/>
      <c r="AP1581" s="507"/>
      <c r="AQ1581" s="507"/>
      <c r="AR1581" s="507"/>
      <c r="AS1581" s="507"/>
      <c r="AT1581" s="507"/>
      <c r="AU1581" s="507"/>
      <c r="AV1581" s="225"/>
      <c r="AW1581" s="508"/>
      <c r="AX1581" s="225"/>
      <c r="AY1581" s="225"/>
      <c r="AZ1581" s="225"/>
      <c r="BA1581" s="225"/>
      <c r="BB1581" s="225"/>
      <c r="BC1581" s="56"/>
      <c r="BD1581" s="56"/>
      <c r="BE1581" s="56"/>
      <c r="BF1581" s="107" t="str">
        <f t="shared" si="1218"/>
        <v>https://www.google.com/search?tbm=isch&amp;q=15%20G4</v>
      </c>
      <c r="BG1581" s="107" t="str">
        <f t="shared" si="1219"/>
        <v>G</v>
      </c>
      <c r="BH1581" s="254"/>
      <c r="BI1581" s="254"/>
    </row>
    <row r="1582" spans="1:61" customFormat="1" ht="17.25" thickBot="1" x14ac:dyDescent="0.3">
      <c r="A1582" s="524" t="s">
        <v>2395</v>
      </c>
      <c r="B1582" s="245"/>
      <c r="C1582" s="677"/>
      <c r="D1582" s="499"/>
      <c r="E1582" s="499"/>
      <c r="F1582" s="500"/>
      <c r="G1582" s="501"/>
      <c r="H1582" s="502"/>
      <c r="I1582" s="246"/>
      <c r="J1582" s="247"/>
      <c r="K1582" s="503"/>
      <c r="L1582" s="544"/>
      <c r="M1582" s="544"/>
      <c r="N1582" s="500"/>
      <c r="O1582" s="500"/>
      <c r="P1582" s="500"/>
      <c r="Q1582" s="500"/>
      <c r="R1582" s="500"/>
      <c r="S1582" s="278"/>
      <c r="T1582" s="508">
        <f t="shared" si="1207"/>
        <v>0</v>
      </c>
      <c r="U1582" s="225" t="str">
        <f>IF(NOT(ISNUMBER(G1582)), "", VLOOKUP(A1582,'Discount Lookup'!D:E,2,FALSE)*G1582)</f>
        <v/>
      </c>
      <c r="V1582" s="225" t="str">
        <f>IF(NOT(ISNUMBER(G1582)), "", VLOOKUP(A1582,'Discount Lookup'!G:H,2,FALSE)*G1582)</f>
        <v/>
      </c>
      <c r="W1582" s="508">
        <f t="shared" si="1208"/>
        <v>0</v>
      </c>
      <c r="X1582" s="508">
        <f t="shared" si="1209"/>
        <v>0</v>
      </c>
      <c r="Y1582" s="509" t="b">
        <f t="shared" si="1210"/>
        <v>0</v>
      </c>
      <c r="Z1582" s="510">
        <f t="shared" si="1211"/>
        <v>0</v>
      </c>
      <c r="AA1582" s="511"/>
      <c r="AB1582" s="511" t="str">
        <f t="shared" si="1212"/>
        <v/>
      </c>
      <c r="AC1582" s="698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698"/>
      <c r="AE1582" s="631" t="str">
        <f t="shared" si="1213"/>
        <v/>
      </c>
      <c r="AF1582" s="699" t="str">
        <f t="shared" si="1214"/>
        <v/>
      </c>
      <c r="AG1582" s="699"/>
      <c r="AH1582" s="699"/>
      <c r="AI1582" s="512">
        <f>IF(H1582="credit",0,IF(AE1582="free",0,IF(AE1582="me",0,IF(G1582&gt;0,(VLOOKUP(A1582,'Discount Lookup'!J:K,2)*G1582),0))))</f>
        <v>0</v>
      </c>
      <c r="AJ1582" s="513" t="str">
        <f t="shared" ca="1" si="1215"/>
        <v/>
      </c>
      <c r="AK1582" s="700" t="str">
        <f t="shared" si="1216"/>
        <v/>
      </c>
      <c r="AL1582" s="700"/>
      <c r="AM1582" s="505" t="str">
        <f t="shared" si="1217"/>
        <v/>
      </c>
      <c r="AN1582" s="506"/>
      <c r="AO1582" s="507"/>
      <c r="AP1582" s="507"/>
      <c r="AQ1582" s="507"/>
      <c r="AR1582" s="507"/>
      <c r="AS1582" s="507"/>
      <c r="AT1582" s="507"/>
      <c r="AU1582" s="507"/>
      <c r="AV1582" s="225"/>
      <c r="AW1582" s="508"/>
      <c r="AX1582" s="225"/>
      <c r="AY1582" s="225"/>
      <c r="AZ1582" s="225"/>
      <c r="BA1582" s="225"/>
      <c r="BB1582" s="225"/>
      <c r="BC1582" s="56"/>
      <c r="BD1582" s="56"/>
      <c r="BE1582" s="56"/>
      <c r="BF1582" s="107" t="str">
        <f t="shared" si="1218"/>
        <v>https://www.google.com/search?tbm=isch&amp;q=Golden%20Falls%20foliage%20tinged%20with%20orange%20in%20spring%2C%20then%20a%20bright%20gold%20that%20persists%20all%20season%20</v>
      </c>
      <c r="BG1582" s="107" t="str">
        <f t="shared" si="1219"/>
        <v>G</v>
      </c>
      <c r="BH1582" s="254"/>
      <c r="BI1582" s="254"/>
    </row>
    <row r="1583" spans="1:61" customFormat="1" ht="18" x14ac:dyDescent="0.25">
      <c r="A1583" s="521" t="s">
        <v>999</v>
      </c>
      <c r="B1583" s="477"/>
      <c r="C1583" s="674"/>
      <c r="D1583" s="478" t="s">
        <v>1000</v>
      </c>
      <c r="E1583" s="479"/>
      <c r="F1583" s="479"/>
      <c r="G1583" s="479"/>
      <c r="H1583" s="582" t="s">
        <v>2568</v>
      </c>
      <c r="I1583" s="480" t="s">
        <v>2293</v>
      </c>
      <c r="J1583" s="479"/>
      <c r="K1583" s="479"/>
      <c r="L1583" s="560"/>
      <c r="M1583" s="666" t="s">
        <v>4966</v>
      </c>
      <c r="N1583" s="680" t="str">
        <f>IF(AND(ISTEXT($A1583), ISERROR($A1583+0)), HYPERLINK($BF1583, "Images"), "")</f>
        <v>Images</v>
      </c>
      <c r="O1583" s="662" t="s">
        <v>4967</v>
      </c>
      <c r="P1583" s="482"/>
      <c r="Q1583" s="483"/>
      <c r="R1583" s="483"/>
      <c r="S1583" s="484"/>
      <c r="T1583" s="508">
        <f t="shared" si="1207"/>
        <v>0</v>
      </c>
      <c r="U1583" s="225" t="str">
        <f>IF(NOT(ISNUMBER(G1583)), "", VLOOKUP(A1583,'Discount Lookup'!D:E,2,FALSE)*G1583)</f>
        <v/>
      </c>
      <c r="V1583" s="225" t="str">
        <f>IF(NOT(ISNUMBER(G1583)), "", VLOOKUP(A1583,'Discount Lookup'!G:H,2,FALSE)*G1583)</f>
        <v/>
      </c>
      <c r="W1583" s="508">
        <f t="shared" si="1208"/>
        <v>0</v>
      </c>
      <c r="X1583" s="508" t="str">
        <f t="shared" si="1209"/>
        <v>Golden-Yellow foliage</v>
      </c>
      <c r="Y1583" s="509" t="b">
        <f t="shared" si="1210"/>
        <v>0</v>
      </c>
      <c r="Z1583" s="510">
        <f t="shared" si="1211"/>
        <v>0</v>
      </c>
      <c r="AA1583" s="511"/>
      <c r="AB1583" s="511" t="str">
        <f t="shared" si="1212"/>
        <v/>
      </c>
      <c r="AC1583" s="698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698"/>
      <c r="AE1583" s="631" t="str">
        <f t="shared" si="1213"/>
        <v/>
      </c>
      <c r="AF1583" s="699" t="str">
        <f t="shared" si="1214"/>
        <v/>
      </c>
      <c r="AG1583" s="699"/>
      <c r="AH1583" s="699"/>
      <c r="AI1583" s="512">
        <f>IF(H1583="credit",0,IF(AE1583="free",0,IF(AE1583="me",0,IF(G1583&gt;0,(VLOOKUP(A1583,'Discount Lookup'!J:K,2)*G1583),0))))</f>
        <v>0</v>
      </c>
      <c r="AJ1583" s="513" t="str">
        <f t="shared" ca="1" si="1215"/>
        <v/>
      </c>
      <c r="AK1583" s="700" t="str">
        <f t="shared" si="1216"/>
        <v/>
      </c>
      <c r="AL1583" s="700"/>
      <c r="AM1583" s="505" t="str">
        <f t="shared" si="1217"/>
        <v/>
      </c>
      <c r="AN1583" s="506"/>
      <c r="AO1583" s="507"/>
      <c r="AP1583" s="507"/>
      <c r="AQ1583" s="507"/>
      <c r="AR1583" s="507"/>
      <c r="AS1583" s="507"/>
      <c r="AT1583" s="507"/>
      <c r="AU1583" s="507"/>
      <c r="AV1583" s="225"/>
      <c r="AW1583" s="508"/>
      <c r="AX1583" s="225"/>
      <c r="AY1583" s="225"/>
      <c r="AZ1583" s="225"/>
      <c r="BA1583" s="225"/>
      <c r="BB1583" s="225"/>
      <c r="BC1583" s="56"/>
      <c r="BD1583" s="56"/>
      <c r="BE1583" s="56"/>
      <c r="BF1583" s="107" t="str">
        <f t="shared" si="1218"/>
        <v>https://www.google.com/search?tbm=isch&amp;q=Golden%20Fernleaf%20Cypress%20Chamaecyparis%20obtusa%20%27Tetragona%20Aurea%27</v>
      </c>
      <c r="BG1583" s="107" t="str">
        <f t="shared" si="1219"/>
        <v>G</v>
      </c>
      <c r="BH1583" s="254"/>
      <c r="BI1583" s="254"/>
    </row>
    <row r="1584" spans="1:61" customFormat="1" ht="27" x14ac:dyDescent="0.25">
      <c r="A1584" s="485">
        <v>15</v>
      </c>
      <c r="B1584" s="486" t="s">
        <v>291</v>
      </c>
      <c r="C1584" s="487" t="s">
        <v>3529</v>
      </c>
      <c r="D1584" s="488" t="s">
        <v>292</v>
      </c>
      <c r="E1584" s="489">
        <v>252.95</v>
      </c>
      <c r="F1584" s="516" t="s">
        <v>293</v>
      </c>
      <c r="G1584" s="232">
        <v>0</v>
      </c>
      <c r="H1584" s="658" t="str">
        <f>IF(G1584=0,"",IF(F1584="Buy",IF(G1584=1,"plant","plants"),IF(F1584&gt;0.01,"warranty","Error")))</f>
        <v/>
      </c>
      <c r="I1584" s="490">
        <f>IF(H1584="free",0,IF(H1584="credit",((E1584*(F1584))*G1584*-1),IF(F1584="Buy",(E1584*G1584),((E1584*(1-F1584))*G1584))))</f>
        <v>0</v>
      </c>
      <c r="J1584" s="490">
        <f>IF(H1584="warranty",0,(I1584*(_xlfn.SINGLE(SalesTaxPercentage))))</f>
        <v>0</v>
      </c>
      <c r="K1584" s="695">
        <f t="shared" ref="K1584" si="1234">I1584+J1584</f>
        <v>0</v>
      </c>
      <c r="L1584" s="695"/>
      <c r="M1584" s="659" t="str">
        <f>IF(AND(G1584&gt;0,E1584=0),"WARNING - no PRICE inserted",IF(H1584="free"," FREE ~ no charge this plant",IF(H1584="credit",CONCATENATE(" -$",ROUND(K1584*(1-T2GDiscount)*-1,2)," CREDIT after discount"),IF(T2GDiscount=0,"",IF(G1584=0,"",IF(F1584="Buy",CONCATENATE(" $",ROUND(K1584*(1-T2GDiscount),2)," with ",(T2GDiscount*100),"% discount"),CONCATENATE(" $",ROUND(K1584*(1-T2GDiscount),2)," with ",((T2GDiscount*100+F1584*100)-(T2GDiscount*100*F1584)),IF(F1584&gt;0,"% discounts",IF(NoWarrantyDiscount&gt;0,"% discounts","% discount")))))))))</f>
        <v/>
      </c>
      <c r="N1584" s="660"/>
      <c r="O1584" s="233"/>
      <c r="P1584" s="233"/>
      <c r="Q1584" s="233"/>
      <c r="R1584" s="233"/>
      <c r="S1584" s="233"/>
      <c r="T1584" s="508">
        <f t="shared" si="1207"/>
        <v>0</v>
      </c>
      <c r="U1584" s="225">
        <f>IF(NOT(ISNUMBER(G1584)), "", VLOOKUP(A1584,'Discount Lookup'!D:E,2,FALSE)*G1584)</f>
        <v>0</v>
      </c>
      <c r="V1584" s="225">
        <f>IF(NOT(ISNUMBER(G1584)), "", VLOOKUP(A1584,'Discount Lookup'!G:H,2,FALSE)*G1584)</f>
        <v>0</v>
      </c>
      <c r="W1584" s="508">
        <f t="shared" si="1208"/>
        <v>0</v>
      </c>
      <c r="X1584" s="508">
        <f t="shared" si="1209"/>
        <v>0</v>
      </c>
      <c r="Y1584" s="509" t="b">
        <f t="shared" si="1210"/>
        <v>0</v>
      </c>
      <c r="Z1584" s="510">
        <f t="shared" si="1211"/>
        <v>0</v>
      </c>
      <c r="AA1584" s="511"/>
      <c r="AB1584" s="511" t="str">
        <f t="shared" si="1212"/>
        <v/>
      </c>
      <c r="AC1584" s="698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698"/>
      <c r="AE1584" s="631" t="str">
        <f t="shared" si="1213"/>
        <v/>
      </c>
      <c r="AF1584" s="699" t="str">
        <f t="shared" si="1214"/>
        <v/>
      </c>
      <c r="AG1584" s="699"/>
      <c r="AH1584" s="699"/>
      <c r="AI1584" s="512">
        <f>IF(H1584="credit",0,IF(AE1584="free",0,IF(AE1584="me",0,IF(G1584&gt;0,(VLOOKUP(A1584,'Discount Lookup'!J:K,2)*G1584),0))))</f>
        <v>0</v>
      </c>
      <c r="AJ1584" s="513" t="str">
        <f t="shared" ca="1" si="1215"/>
        <v/>
      </c>
      <c r="AK1584" s="700" t="str">
        <f t="shared" si="1216"/>
        <v/>
      </c>
      <c r="AL1584" s="700"/>
      <c r="AM1584" s="505" t="str">
        <f t="shared" si="1217"/>
        <v/>
      </c>
      <c r="AN1584" s="506"/>
      <c r="AO1584" s="507"/>
      <c r="AP1584" s="507"/>
      <c r="AQ1584" s="507"/>
      <c r="AR1584" s="507"/>
      <c r="AS1584" s="507"/>
      <c r="AT1584" s="507"/>
      <c r="AU1584" s="507"/>
      <c r="AV1584" s="225"/>
      <c r="AW1584" s="508"/>
      <c r="AX1584" s="225"/>
      <c r="AY1584" s="225"/>
      <c r="AZ1584" s="225"/>
      <c r="BA1584" s="225"/>
      <c r="BB1584" s="225"/>
      <c r="BC1584" s="56"/>
      <c r="BD1584" s="56"/>
      <c r="BE1584" s="56"/>
      <c r="BF1584" s="107" t="str">
        <f t="shared" si="1218"/>
        <v>https://www.google.com/search?tbm=isch&amp;q=15%20G4</v>
      </c>
      <c r="BG1584" s="107" t="str">
        <f t="shared" si="1219"/>
        <v>G</v>
      </c>
      <c r="BH1584" s="254"/>
      <c r="BI1584" s="254"/>
    </row>
    <row r="1585" spans="1:61" customFormat="1" ht="27" x14ac:dyDescent="0.25">
      <c r="A1585" s="485">
        <v>25</v>
      </c>
      <c r="B1585" s="486" t="s">
        <v>291</v>
      </c>
      <c r="C1585" s="487" t="s">
        <v>3530</v>
      </c>
      <c r="D1585" s="488" t="s">
        <v>292</v>
      </c>
      <c r="E1585" s="489">
        <v>424.95</v>
      </c>
      <c r="F1585" s="516" t="s">
        <v>293</v>
      </c>
      <c r="G1585" s="232">
        <v>0</v>
      </c>
      <c r="H1585" s="658" t="str">
        <f>IF(G1585=0,"",IF(F1585="Buy",IF(G1585=1,"plant","plants"),IF(F1585&gt;0.01,"warranty","Error")))</f>
        <v/>
      </c>
      <c r="I1585" s="490">
        <f>IF(H1585="free",0,IF(H1585="credit",((E1585*(F1585))*G1585*-1),IF(F1585="Buy",(E1585*G1585),((E1585*(1-F1585))*G1585))))</f>
        <v>0</v>
      </c>
      <c r="J1585" s="490">
        <f>IF(H1585="warranty",0,(I1585*(_xlfn.SINGLE(SalesTaxPercentage))))</f>
        <v>0</v>
      </c>
      <c r="K1585" s="695">
        <f t="shared" ref="K1585" si="1235">I1585+J1585</f>
        <v>0</v>
      </c>
      <c r="L1585" s="695"/>
      <c r="M1585" s="659" t="str">
        <f>IF(AND(G1585&gt;0,E1585=0),"WARNING - no PRICE inserted",IF(H1585="free"," FREE ~ no charge this plant",IF(H1585="credit",CONCATENATE(" -$",ROUND(K1585*(1-T2GDiscount)*-1,2)," CREDIT after discount"),IF(T2GDiscount=0,"",IF(G1585=0,"",IF(F1585="Buy",CONCATENATE(" $",ROUND(K1585*(1-T2GDiscount),2)," with ",(T2GDiscount*100),"% discount"),CONCATENATE(" $",ROUND(K1585*(1-T2GDiscount),2)," with ",((T2GDiscount*100+F1585*100)-(T2GDiscount*100*F1585)),IF(F1585&gt;0,"% discounts",IF(NoWarrantyDiscount&gt;0,"% discounts","% discount")))))))))</f>
        <v/>
      </c>
      <c r="N1585" s="660"/>
      <c r="O1585" s="233"/>
      <c r="P1585" s="233"/>
      <c r="Q1585" s="233"/>
      <c r="R1585" s="233"/>
      <c r="S1585" s="233"/>
      <c r="T1585" s="508">
        <f t="shared" si="1207"/>
        <v>0</v>
      </c>
      <c r="U1585" s="225">
        <f>IF(NOT(ISNUMBER(G1585)), "", VLOOKUP(A1585,'Discount Lookup'!D:E,2,FALSE)*G1585)</f>
        <v>0</v>
      </c>
      <c r="V1585" s="225">
        <f>IF(NOT(ISNUMBER(G1585)), "", VLOOKUP(A1585,'Discount Lookup'!G:H,2,FALSE)*G1585)</f>
        <v>0</v>
      </c>
      <c r="W1585" s="508">
        <f t="shared" si="1208"/>
        <v>0</v>
      </c>
      <c r="X1585" s="508">
        <f t="shared" si="1209"/>
        <v>0</v>
      </c>
      <c r="Y1585" s="509" t="b">
        <f t="shared" si="1210"/>
        <v>0</v>
      </c>
      <c r="Z1585" s="510">
        <f t="shared" si="1211"/>
        <v>0</v>
      </c>
      <c r="AA1585" s="511"/>
      <c r="AB1585" s="511" t="str">
        <f t="shared" si="1212"/>
        <v/>
      </c>
      <c r="AC1585" s="698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698"/>
      <c r="AE1585" s="631" t="str">
        <f t="shared" si="1213"/>
        <v/>
      </c>
      <c r="AF1585" s="699" t="str">
        <f t="shared" si="1214"/>
        <v/>
      </c>
      <c r="AG1585" s="699"/>
      <c r="AH1585" s="699"/>
      <c r="AI1585" s="512">
        <f>IF(H1585="credit",0,IF(AE1585="free",0,IF(AE1585="me",0,IF(G1585&gt;0,(VLOOKUP(A1585,'Discount Lookup'!J:K,2)*G1585),0))))</f>
        <v>0</v>
      </c>
      <c r="AJ1585" s="513" t="str">
        <f t="shared" ca="1" si="1215"/>
        <v/>
      </c>
      <c r="AK1585" s="700" t="str">
        <f t="shared" si="1216"/>
        <v/>
      </c>
      <c r="AL1585" s="700"/>
      <c r="AM1585" s="505" t="str">
        <f t="shared" si="1217"/>
        <v/>
      </c>
      <c r="AN1585" s="506"/>
      <c r="AO1585" s="507"/>
      <c r="AP1585" s="507"/>
      <c r="AQ1585" s="507"/>
      <c r="AR1585" s="507"/>
      <c r="AS1585" s="507"/>
      <c r="AT1585" s="507"/>
      <c r="AU1585" s="507"/>
      <c r="AV1585" s="225"/>
      <c r="AW1585" s="508"/>
      <c r="AX1585" s="225"/>
      <c r="AY1585" s="225"/>
      <c r="AZ1585" s="225"/>
      <c r="BA1585" s="225"/>
      <c r="BB1585" s="225"/>
      <c r="BC1585" s="56"/>
      <c r="BD1585" s="56"/>
      <c r="BE1585" s="56"/>
      <c r="BF1585" s="107" t="str">
        <f t="shared" si="1218"/>
        <v>https://www.google.com/search?tbm=isch&amp;q=25%20G4</v>
      </c>
      <c r="BG1585" s="107" t="str">
        <f t="shared" si="1219"/>
        <v>G</v>
      </c>
      <c r="BH1585" s="254"/>
      <c r="BI1585" s="254"/>
    </row>
    <row r="1586" spans="1:61" customFormat="1" ht="17.25" thickBot="1" x14ac:dyDescent="0.3">
      <c r="A1586" s="522" t="s">
        <v>2890</v>
      </c>
      <c r="B1586" s="491"/>
      <c r="C1586" s="675"/>
      <c r="D1586" s="491"/>
      <c r="E1586" s="491"/>
      <c r="F1586" s="492"/>
      <c r="G1586" s="493"/>
      <c r="H1586" s="491"/>
      <c r="I1586" s="234"/>
      <c r="J1586" s="234"/>
      <c r="K1586" s="494"/>
      <c r="L1586" s="543"/>
      <c r="M1586" s="561"/>
      <c r="N1586" s="495"/>
      <c r="O1586" s="496"/>
      <c r="P1586" s="497"/>
      <c r="Q1586" s="495"/>
      <c r="R1586" s="495"/>
      <c r="S1586" s="667" t="s">
        <v>4984</v>
      </c>
      <c r="T1586" s="508">
        <f t="shared" si="1207"/>
        <v>0</v>
      </c>
      <c r="U1586" s="225" t="str">
        <f>IF(NOT(ISNUMBER(G1586)), "", VLOOKUP(A1586,'Discount Lookup'!D:E,2,FALSE)*G1586)</f>
        <v/>
      </c>
      <c r="V1586" s="225" t="str">
        <f>IF(NOT(ISNUMBER(G1586)), "", VLOOKUP(A1586,'Discount Lookup'!G:H,2,FALSE)*G1586)</f>
        <v/>
      </c>
      <c r="W1586" s="508">
        <f t="shared" si="1208"/>
        <v>0</v>
      </c>
      <c r="X1586" s="508">
        <f t="shared" si="1209"/>
        <v>0</v>
      </c>
      <c r="Y1586" s="509" t="b">
        <f t="shared" si="1210"/>
        <v>0</v>
      </c>
      <c r="Z1586" s="510">
        <f t="shared" si="1211"/>
        <v>0</v>
      </c>
      <c r="AA1586" s="511"/>
      <c r="AB1586" s="511" t="str">
        <f t="shared" si="1212"/>
        <v/>
      </c>
      <c r="AC1586" s="698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698"/>
      <c r="AE1586" s="631" t="str">
        <f t="shared" si="1213"/>
        <v/>
      </c>
      <c r="AF1586" s="699" t="str">
        <f t="shared" si="1214"/>
        <v/>
      </c>
      <c r="AG1586" s="699"/>
      <c r="AH1586" s="699"/>
      <c r="AI1586" s="512">
        <f>IF(H1586="credit",0,IF(AE1586="free",0,IF(AE1586="me",0,IF(G1586&gt;0,(VLOOKUP(A1586,'Discount Lookup'!J:K,2)*G1586),0))))</f>
        <v>0</v>
      </c>
      <c r="AJ1586" s="513" t="str">
        <f t="shared" ca="1" si="1215"/>
        <v/>
      </c>
      <c r="AK1586" s="700" t="str">
        <f t="shared" si="1216"/>
        <v/>
      </c>
      <c r="AL1586" s="700"/>
      <c r="AM1586" s="505" t="str">
        <f t="shared" si="1217"/>
        <v/>
      </c>
      <c r="AN1586" s="506"/>
      <c r="AO1586" s="507"/>
      <c r="AP1586" s="507"/>
      <c r="AQ1586" s="507"/>
      <c r="AR1586" s="507"/>
      <c r="AS1586" s="507"/>
      <c r="AT1586" s="507"/>
      <c r="AU1586" s="507"/>
      <c r="AV1586" s="225"/>
      <c r="AW1586" s="508"/>
      <c r="AX1586" s="225"/>
      <c r="AY1586" s="225"/>
      <c r="AZ1586" s="225"/>
      <c r="BA1586" s="225"/>
      <c r="BB1586" s="225"/>
      <c r="BC1586" s="56"/>
      <c r="BD1586" s="56"/>
      <c r="BE1586" s="56"/>
      <c r="BF1586" s="107" t="str">
        <f t="shared" si="1218"/>
        <v>https://www.google.com/search?tbm=isch&amp;q=Golden%20Fernleaf%20has%20stiff%2C%20four-angled%20feathery%20sprays%20that%20resemble%20fern%20fronds%2C%20glowing%20Golden%20in%20sun%2C%20Green%20toward%20interior%20</v>
      </c>
      <c r="BG1586" s="107" t="str">
        <f t="shared" si="1219"/>
        <v>G</v>
      </c>
      <c r="BH1586" s="254"/>
      <c r="BI1586" s="254"/>
    </row>
    <row r="1587" spans="1:61" customFormat="1" ht="18" x14ac:dyDescent="0.25">
      <c r="A1587" s="521" t="s">
        <v>1001</v>
      </c>
      <c r="B1587" s="477"/>
      <c r="C1587" s="674"/>
      <c r="D1587" s="478" t="s">
        <v>1002</v>
      </c>
      <c r="E1587" s="479"/>
      <c r="F1587" s="479"/>
      <c r="G1587" s="479"/>
      <c r="H1587" s="582" t="s">
        <v>303</v>
      </c>
      <c r="I1587" s="480" t="s">
        <v>2293</v>
      </c>
      <c r="J1587" s="479"/>
      <c r="K1587" s="479"/>
      <c r="L1587" s="560"/>
      <c r="M1587" s="666" t="s">
        <v>4966</v>
      </c>
      <c r="N1587" s="680" t="str">
        <f>IF(AND(ISTEXT($A1587), ISERROR($A1587+0)), HYPERLINK($BF1587, "Images"), "")</f>
        <v>Images</v>
      </c>
      <c r="O1587" s="662" t="s">
        <v>4967</v>
      </c>
      <c r="P1587" s="482"/>
      <c r="Q1587" s="483"/>
      <c r="R1587" s="483"/>
      <c r="S1587" s="484"/>
      <c r="T1587" s="508">
        <f t="shared" si="1207"/>
        <v>0</v>
      </c>
      <c r="U1587" s="225" t="str">
        <f>IF(NOT(ISNUMBER(G1587)), "", VLOOKUP(A1587,'Discount Lookup'!D:E,2,FALSE)*G1587)</f>
        <v/>
      </c>
      <c r="V1587" s="225" t="str">
        <f>IF(NOT(ISNUMBER(G1587)), "", VLOOKUP(A1587,'Discount Lookup'!G:H,2,FALSE)*G1587)</f>
        <v/>
      </c>
      <c r="W1587" s="508">
        <f t="shared" si="1208"/>
        <v>0</v>
      </c>
      <c r="X1587" s="508" t="str">
        <f t="shared" si="1209"/>
        <v>Golden-Yellow foliage</v>
      </c>
      <c r="Y1587" s="509" t="b">
        <f t="shared" si="1210"/>
        <v>0</v>
      </c>
      <c r="Z1587" s="510">
        <f t="shared" si="1211"/>
        <v>0</v>
      </c>
      <c r="AA1587" s="511"/>
      <c r="AB1587" s="511" t="str">
        <f t="shared" si="1212"/>
        <v/>
      </c>
      <c r="AC1587" s="698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698"/>
      <c r="AE1587" s="631" t="str">
        <f t="shared" si="1213"/>
        <v/>
      </c>
      <c r="AF1587" s="699" t="str">
        <f t="shared" si="1214"/>
        <v/>
      </c>
      <c r="AG1587" s="699"/>
      <c r="AH1587" s="699"/>
      <c r="AI1587" s="512">
        <f>IF(H1587="credit",0,IF(AE1587="free",0,IF(AE1587="me",0,IF(G1587&gt;0,(VLOOKUP(A1587,'Discount Lookup'!J:K,2)*G1587),0))))</f>
        <v>0</v>
      </c>
      <c r="AJ1587" s="513" t="str">
        <f t="shared" ca="1" si="1215"/>
        <v/>
      </c>
      <c r="AK1587" s="700" t="str">
        <f t="shared" si="1216"/>
        <v/>
      </c>
      <c r="AL1587" s="700"/>
      <c r="AM1587" s="505" t="str">
        <f t="shared" si="1217"/>
        <v/>
      </c>
      <c r="AN1587" s="506"/>
      <c r="AO1587" s="507"/>
      <c r="AP1587" s="507"/>
      <c r="AQ1587" s="507"/>
      <c r="AR1587" s="507"/>
      <c r="AS1587" s="507"/>
      <c r="AT1587" s="507"/>
      <c r="AU1587" s="507"/>
      <c r="AV1587" s="225"/>
      <c r="AW1587" s="508"/>
      <c r="AX1587" s="225"/>
      <c r="AY1587" s="225"/>
      <c r="AZ1587" s="225"/>
      <c r="BA1587" s="225"/>
      <c r="BB1587" s="225"/>
      <c r="BC1587" s="56"/>
      <c r="BD1587" s="56"/>
      <c r="BE1587" s="56"/>
      <c r="BF1587" s="107" t="str">
        <f t="shared" si="1218"/>
        <v>https://www.google.com/search?tbm=isch&amp;q=Golden%20Fernspray%20Cypress%20Chamaecyparis%20obtusa%20%27Fernspray%20Gold%27</v>
      </c>
      <c r="BG1587" s="107" t="str">
        <f t="shared" si="1219"/>
        <v>G</v>
      </c>
      <c r="BH1587" s="254"/>
      <c r="BI1587" s="254"/>
    </row>
    <row r="1588" spans="1:61" customFormat="1" ht="40.5" x14ac:dyDescent="0.25">
      <c r="A1588" s="485">
        <v>10</v>
      </c>
      <c r="B1588" s="486" t="s">
        <v>291</v>
      </c>
      <c r="C1588" s="487" t="s">
        <v>3531</v>
      </c>
      <c r="D1588" s="488" t="s">
        <v>292</v>
      </c>
      <c r="E1588" s="489">
        <v>332.95</v>
      </c>
      <c r="F1588" s="516" t="s">
        <v>293</v>
      </c>
      <c r="G1588" s="232">
        <v>0</v>
      </c>
      <c r="H1588" s="658" t="str">
        <f>IF(G1588=0,"",IF(F1588="Buy",IF(G1588=1,"plant","plants"),IF(F1588&gt;0.01,"warranty","Error")))</f>
        <v/>
      </c>
      <c r="I1588" s="490">
        <f>IF(H1588="free",0,IF(H1588="credit",((E1588*(F1588))*G1588*-1),IF(F1588="Buy",(E1588*G1588),((E1588*(1-F1588))*G1588))))</f>
        <v>0</v>
      </c>
      <c r="J1588" s="490">
        <f>IF(H1588="warranty",0,(I1588*(_xlfn.SINGLE(SalesTaxPercentage))))</f>
        <v>0</v>
      </c>
      <c r="K1588" s="695">
        <f t="shared" ref="K1588" si="1236">I1588+J1588</f>
        <v>0</v>
      </c>
      <c r="L1588" s="695"/>
      <c r="M1588" s="659" t="str">
        <f>IF(AND(G1588&gt;0,E1588=0),"WARNING - no PRICE inserted",IF(H1588="free"," FREE ~ no charge this plant",IF(H1588="credit",CONCATENATE(" -$",ROUND(K1588*(1-T2GDiscount)*-1,2)," CREDIT after discount"),IF(T2GDiscount=0,"",IF(G1588=0,"",IF(F1588="Buy",CONCATENATE(" $",ROUND(K1588*(1-T2GDiscount),2)," with ",(T2GDiscount*100),"% discount"),CONCATENATE(" $",ROUND(K1588*(1-T2GDiscount),2)," with ",((T2GDiscount*100+F1588*100)-(T2GDiscount*100*F1588)),IF(F1588&gt;0,"% discounts",IF(NoWarrantyDiscount&gt;0,"% discounts","% discount")))))))))</f>
        <v/>
      </c>
      <c r="N1588" s="660"/>
      <c r="O1588" s="233"/>
      <c r="P1588" s="233"/>
      <c r="Q1588" s="233"/>
      <c r="R1588" s="233"/>
      <c r="S1588" s="233"/>
      <c r="T1588" s="508">
        <f t="shared" si="1207"/>
        <v>0</v>
      </c>
      <c r="U1588" s="225">
        <f>IF(NOT(ISNUMBER(G1588)), "", VLOOKUP(A1588,'Discount Lookup'!D:E,2,FALSE)*G1588)</f>
        <v>0</v>
      </c>
      <c r="V1588" s="225">
        <f>IF(NOT(ISNUMBER(G1588)), "", VLOOKUP(A1588,'Discount Lookup'!G:H,2,FALSE)*G1588)</f>
        <v>0</v>
      </c>
      <c r="W1588" s="508">
        <f t="shared" si="1208"/>
        <v>0</v>
      </c>
      <c r="X1588" s="508">
        <f t="shared" si="1209"/>
        <v>0</v>
      </c>
      <c r="Y1588" s="509" t="b">
        <f t="shared" si="1210"/>
        <v>0</v>
      </c>
      <c r="Z1588" s="510">
        <f t="shared" si="1211"/>
        <v>0</v>
      </c>
      <c r="AA1588" s="511"/>
      <c r="AB1588" s="511" t="str">
        <f t="shared" si="1212"/>
        <v/>
      </c>
      <c r="AC1588" s="698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698"/>
      <c r="AE1588" s="631" t="str">
        <f t="shared" si="1213"/>
        <v/>
      </c>
      <c r="AF1588" s="699" t="str">
        <f t="shared" si="1214"/>
        <v/>
      </c>
      <c r="AG1588" s="699"/>
      <c r="AH1588" s="699"/>
      <c r="AI1588" s="512">
        <f>IF(H1588="credit",0,IF(AE1588="free",0,IF(AE1588="me",0,IF(G1588&gt;0,(VLOOKUP(A1588,'Discount Lookup'!J:K,2)*G1588),0))))</f>
        <v>0</v>
      </c>
      <c r="AJ1588" s="513" t="str">
        <f t="shared" ca="1" si="1215"/>
        <v/>
      </c>
      <c r="AK1588" s="700" t="str">
        <f t="shared" si="1216"/>
        <v/>
      </c>
      <c r="AL1588" s="700"/>
      <c r="AM1588" s="505" t="str">
        <f t="shared" si="1217"/>
        <v/>
      </c>
      <c r="AN1588" s="506"/>
      <c r="AO1588" s="507"/>
      <c r="AP1588" s="507"/>
      <c r="AQ1588" s="507"/>
      <c r="AR1588" s="507"/>
      <c r="AS1588" s="507"/>
      <c r="AT1588" s="507"/>
      <c r="AU1588" s="507"/>
      <c r="AV1588" s="225"/>
      <c r="AW1588" s="508"/>
      <c r="AX1588" s="225"/>
      <c r="AY1588" s="225"/>
      <c r="AZ1588" s="225"/>
      <c r="BA1588" s="225"/>
      <c r="BB1588" s="225"/>
      <c r="BC1588" s="56"/>
      <c r="BD1588" s="56"/>
      <c r="BE1588" s="56"/>
      <c r="BF1588" s="107" t="str">
        <f t="shared" si="1218"/>
        <v>https://www.google.com/search?tbm=isch&amp;q=10%20G4</v>
      </c>
      <c r="BG1588" s="107" t="str">
        <f t="shared" si="1219"/>
        <v>G</v>
      </c>
      <c r="BH1588" s="254"/>
      <c r="BI1588" s="254"/>
    </row>
    <row r="1589" spans="1:61" customFormat="1" ht="15.75" x14ac:dyDescent="0.25">
      <c r="A1589" s="485">
        <v>15</v>
      </c>
      <c r="B1589" s="486" t="s">
        <v>291</v>
      </c>
      <c r="C1589" s="487" t="s">
        <v>4410</v>
      </c>
      <c r="D1589" s="488" t="s">
        <v>292</v>
      </c>
      <c r="E1589" s="489">
        <v>332.95</v>
      </c>
      <c r="F1589" s="516" t="s">
        <v>293</v>
      </c>
      <c r="G1589" s="232">
        <v>0</v>
      </c>
      <c r="H1589" s="658" t="str">
        <f>IF(G1589=0,"",IF(F1589="Buy",IF(G1589=1,"plant","plants"),IF(F1589&gt;0.01,"warranty","Error")))</f>
        <v/>
      </c>
      <c r="I1589" s="490">
        <f>IF(H1589="free",0,IF(H1589="credit",((E1589*(F1589))*G1589*-1),IF(F1589="Buy",(E1589*G1589),((E1589*(1-F1589))*G1589))))</f>
        <v>0</v>
      </c>
      <c r="J1589" s="490">
        <f>IF(H1589="warranty",0,(I1589*(_xlfn.SINGLE(SalesTaxPercentage))))</f>
        <v>0</v>
      </c>
      <c r="K1589" s="695">
        <f t="shared" ref="K1589" si="1237">I1589+J1589</f>
        <v>0</v>
      </c>
      <c r="L1589" s="695"/>
      <c r="M1589" s="659" t="str">
        <f>IF(AND(G1589&gt;0,E1589=0),"WARNING - no PRICE inserted",IF(H1589="free"," FREE ~ no charge this plant",IF(H1589="credit",CONCATENATE(" -$",ROUND(K1589*(1-T2GDiscount)*-1,2)," CREDIT after discount"),IF(T2GDiscount=0,"",IF(G1589=0,"",IF(F1589="Buy",CONCATENATE(" $",ROUND(K1589*(1-T2GDiscount),2)," with ",(T2GDiscount*100),"% discount"),CONCATENATE(" $",ROUND(K1589*(1-T2GDiscount),2)," with ",((T2GDiscount*100+F1589*100)-(T2GDiscount*100*F1589)),IF(F1589&gt;0,"% discounts",IF(NoWarrantyDiscount&gt;0,"% discounts","% discount")))))))))</f>
        <v/>
      </c>
      <c r="N1589" s="660"/>
      <c r="O1589" s="233"/>
      <c r="P1589" s="233"/>
      <c r="Q1589" s="233"/>
      <c r="R1589" s="233"/>
      <c r="S1589" s="233"/>
      <c r="T1589" s="508">
        <f t="shared" si="1207"/>
        <v>0</v>
      </c>
      <c r="U1589" s="225">
        <f>IF(NOT(ISNUMBER(G1589)), "", VLOOKUP(A1589,'Discount Lookup'!D:E,2,FALSE)*G1589)</f>
        <v>0</v>
      </c>
      <c r="V1589" s="225">
        <f>IF(NOT(ISNUMBER(G1589)), "", VLOOKUP(A1589,'Discount Lookup'!G:H,2,FALSE)*G1589)</f>
        <v>0</v>
      </c>
      <c r="W1589" s="508">
        <f t="shared" si="1208"/>
        <v>0</v>
      </c>
      <c r="X1589" s="508">
        <f t="shared" si="1209"/>
        <v>0</v>
      </c>
      <c r="Y1589" s="509" t="b">
        <f t="shared" si="1210"/>
        <v>0</v>
      </c>
      <c r="Z1589" s="510">
        <f t="shared" si="1211"/>
        <v>0</v>
      </c>
      <c r="AA1589" s="511"/>
      <c r="AB1589" s="511" t="str">
        <f t="shared" si="1212"/>
        <v/>
      </c>
      <c r="AC1589" s="698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698"/>
      <c r="AE1589" s="631" t="str">
        <f t="shared" si="1213"/>
        <v/>
      </c>
      <c r="AF1589" s="699" t="str">
        <f t="shared" si="1214"/>
        <v/>
      </c>
      <c r="AG1589" s="699"/>
      <c r="AH1589" s="699"/>
      <c r="AI1589" s="512">
        <f>IF(H1589="credit",0,IF(AE1589="free",0,IF(AE1589="me",0,IF(G1589&gt;0,(VLOOKUP(A1589,'Discount Lookup'!J:K,2)*G1589),0))))</f>
        <v>0</v>
      </c>
      <c r="AJ1589" s="513" t="str">
        <f t="shared" ca="1" si="1215"/>
        <v/>
      </c>
      <c r="AK1589" s="700" t="str">
        <f t="shared" si="1216"/>
        <v/>
      </c>
      <c r="AL1589" s="700"/>
      <c r="AM1589" s="505" t="str">
        <f t="shared" si="1217"/>
        <v/>
      </c>
      <c r="AN1589" s="506"/>
      <c r="AO1589" s="507"/>
      <c r="AP1589" s="507"/>
      <c r="AQ1589" s="507"/>
      <c r="AR1589" s="507"/>
      <c r="AS1589" s="507"/>
      <c r="AT1589" s="507"/>
      <c r="AU1589" s="507"/>
      <c r="AV1589" s="225"/>
      <c r="AW1589" s="508"/>
      <c r="AX1589" s="225"/>
      <c r="AY1589" s="225"/>
      <c r="AZ1589" s="225"/>
      <c r="BA1589" s="225"/>
      <c r="BB1589" s="225"/>
      <c r="BC1589" s="56"/>
      <c r="BD1589" s="56"/>
      <c r="BE1589" s="56"/>
      <c r="BF1589" s="107" t="str">
        <f t="shared" si="1218"/>
        <v>https://www.google.com/search?tbm=isch&amp;q=15%20G4</v>
      </c>
      <c r="BG1589" s="107" t="str">
        <f t="shared" si="1219"/>
        <v>G</v>
      </c>
      <c r="BH1589" s="254"/>
      <c r="BI1589" s="254"/>
    </row>
    <row r="1590" spans="1:61" customFormat="1" ht="17.25" thickBot="1" x14ac:dyDescent="0.3">
      <c r="A1590" s="522" t="s">
        <v>2891</v>
      </c>
      <c r="B1590" s="491"/>
      <c r="C1590" s="675"/>
      <c r="D1590" s="491"/>
      <c r="E1590" s="491"/>
      <c r="F1590" s="492"/>
      <c r="G1590" s="493"/>
      <c r="H1590" s="491"/>
      <c r="I1590" s="234"/>
      <c r="J1590" s="234"/>
      <c r="K1590" s="494"/>
      <c r="L1590" s="543"/>
      <c r="M1590" s="561"/>
      <c r="N1590" s="495"/>
      <c r="O1590" s="496"/>
      <c r="P1590" s="497"/>
      <c r="Q1590" s="495"/>
      <c r="R1590" s="495"/>
      <c r="S1590" s="667" t="s">
        <v>4984</v>
      </c>
      <c r="T1590" s="508">
        <f t="shared" si="1207"/>
        <v>0</v>
      </c>
      <c r="U1590" s="225" t="str">
        <f>IF(NOT(ISNUMBER(G1590)), "", VLOOKUP(A1590,'Discount Lookup'!D:E,2,FALSE)*G1590)</f>
        <v/>
      </c>
      <c r="V1590" s="225" t="str">
        <f>IF(NOT(ISNUMBER(G1590)), "", VLOOKUP(A1590,'Discount Lookup'!G:H,2,FALSE)*G1590)</f>
        <v/>
      </c>
      <c r="W1590" s="508">
        <f t="shared" si="1208"/>
        <v>0</v>
      </c>
      <c r="X1590" s="508">
        <f t="shared" si="1209"/>
        <v>0</v>
      </c>
      <c r="Y1590" s="509" t="b">
        <f t="shared" si="1210"/>
        <v>0</v>
      </c>
      <c r="Z1590" s="510">
        <f t="shared" si="1211"/>
        <v>0</v>
      </c>
      <c r="AA1590" s="511"/>
      <c r="AB1590" s="511" t="str">
        <f t="shared" si="1212"/>
        <v/>
      </c>
      <c r="AC1590" s="698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698"/>
      <c r="AE1590" s="631" t="str">
        <f t="shared" si="1213"/>
        <v/>
      </c>
      <c r="AF1590" s="699" t="str">
        <f t="shared" si="1214"/>
        <v/>
      </c>
      <c r="AG1590" s="699"/>
      <c r="AH1590" s="699"/>
      <c r="AI1590" s="512">
        <f>IF(H1590="credit",0,IF(AE1590="free",0,IF(AE1590="me",0,IF(G1590&gt;0,(VLOOKUP(A1590,'Discount Lookup'!J:K,2)*G1590),0))))</f>
        <v>0</v>
      </c>
      <c r="AJ1590" s="513" t="str">
        <f t="shared" ca="1" si="1215"/>
        <v/>
      </c>
      <c r="AK1590" s="700" t="str">
        <f t="shared" si="1216"/>
        <v/>
      </c>
      <c r="AL1590" s="700"/>
      <c r="AM1590" s="505" t="str">
        <f t="shared" si="1217"/>
        <v/>
      </c>
      <c r="AN1590" s="506"/>
      <c r="AO1590" s="507"/>
      <c r="AP1590" s="507"/>
      <c r="AQ1590" s="507"/>
      <c r="AR1590" s="507"/>
      <c r="AS1590" s="507"/>
      <c r="AT1590" s="507"/>
      <c r="AU1590" s="507"/>
      <c r="AV1590" s="225"/>
      <c r="AW1590" s="508"/>
      <c r="AX1590" s="225"/>
      <c r="AY1590" s="225"/>
      <c r="AZ1590" s="225"/>
      <c r="BA1590" s="225"/>
      <c r="BB1590" s="225"/>
      <c r="BC1590" s="56"/>
      <c r="BD1590" s="56"/>
      <c r="BE1590" s="56"/>
      <c r="BF1590" s="107" t="str">
        <f t="shared" si="1218"/>
        <v>https://www.google.com/search?tbm=isch&amp;q=Golden%20Fernspray%20has%20arching%20sprays%20that%20mimic%20fern%20fronds%2C%20glowing%20Gold%20in%20sun%2C%20deepening%20to%20copper%20in%20winter%20</v>
      </c>
      <c r="BG1590" s="107" t="str">
        <f t="shared" si="1219"/>
        <v>G</v>
      </c>
      <c r="BH1590" s="254"/>
      <c r="BI1590" s="254"/>
    </row>
    <row r="1591" spans="1:61" customFormat="1" ht="18" x14ac:dyDescent="0.25">
      <c r="A1591" s="521" t="s">
        <v>1003</v>
      </c>
      <c r="B1591" s="477"/>
      <c r="C1591" s="674"/>
      <c r="D1591" s="478" t="s">
        <v>1004</v>
      </c>
      <c r="E1591" s="479"/>
      <c r="F1591" s="479"/>
      <c r="G1591" s="479"/>
      <c r="H1591" s="582" t="s">
        <v>441</v>
      </c>
      <c r="I1591" s="480" t="s">
        <v>2293</v>
      </c>
      <c r="J1591" s="479"/>
      <c r="K1591" s="479"/>
      <c r="L1591" s="560"/>
      <c r="M1591" s="666" t="s">
        <v>4963</v>
      </c>
      <c r="N1591" s="680" t="str">
        <f>IF(AND(ISTEXT($A1591), ISERROR($A1591+0)), HYPERLINK($BF1591, "Images"), "")</f>
        <v>Images</v>
      </c>
      <c r="O1591" s="662" t="s">
        <v>4971</v>
      </c>
      <c r="P1591" s="482"/>
      <c r="Q1591" s="483"/>
      <c r="R1591" s="483"/>
      <c r="S1591" s="484" t="s">
        <v>305</v>
      </c>
      <c r="T1591" s="508">
        <f t="shared" si="1207"/>
        <v>0</v>
      </c>
      <c r="U1591" s="225" t="str">
        <f>IF(NOT(ISNUMBER(G1591)), "", VLOOKUP(A1591,'Discount Lookup'!D:E,2,FALSE)*G1591)</f>
        <v/>
      </c>
      <c r="V1591" s="225" t="str">
        <f>IF(NOT(ISNUMBER(G1591)), "", VLOOKUP(A1591,'Discount Lookup'!G:H,2,FALSE)*G1591)</f>
        <v/>
      </c>
      <c r="W1591" s="508">
        <f t="shared" si="1208"/>
        <v>0</v>
      </c>
      <c r="X1591" s="508" t="str">
        <f t="shared" si="1209"/>
        <v>Golden-Yellow foliage</v>
      </c>
      <c r="Y1591" s="509" t="b">
        <f t="shared" si="1210"/>
        <v>0</v>
      </c>
      <c r="Z1591" s="510">
        <f t="shared" si="1211"/>
        <v>0</v>
      </c>
      <c r="AA1591" s="511"/>
      <c r="AB1591" s="511" t="str">
        <f t="shared" si="1212"/>
        <v/>
      </c>
      <c r="AC1591" s="698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698"/>
      <c r="AE1591" s="631" t="str">
        <f t="shared" si="1213"/>
        <v/>
      </c>
      <c r="AF1591" s="699" t="str">
        <f t="shared" si="1214"/>
        <v/>
      </c>
      <c r="AG1591" s="699"/>
      <c r="AH1591" s="699"/>
      <c r="AI1591" s="512">
        <f>IF(H1591="credit",0,IF(AE1591="free",0,IF(AE1591="me",0,IF(G1591&gt;0,(VLOOKUP(A1591,'Discount Lookup'!J:K,2)*G1591),0))))</f>
        <v>0</v>
      </c>
      <c r="AJ1591" s="513" t="str">
        <f t="shared" ca="1" si="1215"/>
        <v/>
      </c>
      <c r="AK1591" s="700" t="str">
        <f t="shared" si="1216"/>
        <v/>
      </c>
      <c r="AL1591" s="700"/>
      <c r="AM1591" s="505" t="str">
        <f t="shared" si="1217"/>
        <v/>
      </c>
      <c r="AN1591" s="506"/>
      <c r="AO1591" s="507"/>
      <c r="AP1591" s="507"/>
      <c r="AQ1591" s="507"/>
      <c r="AR1591" s="507"/>
      <c r="AS1591" s="507"/>
      <c r="AT1591" s="507"/>
      <c r="AU1591" s="507"/>
      <c r="AV1591" s="225"/>
      <c r="AW1591" s="508"/>
      <c r="AX1591" s="225"/>
      <c r="AY1591" s="225"/>
      <c r="AZ1591" s="225"/>
      <c r="BA1591" s="225"/>
      <c r="BB1591" s="225"/>
      <c r="BC1591" s="56"/>
      <c r="BD1591" s="56"/>
      <c r="BE1591" s="56"/>
      <c r="BF1591" s="107" t="str">
        <f t="shared" si="1218"/>
        <v>https://www.google.com/search?tbm=isch&amp;q=Golden%20Globe%20Arborvitae%20Thuja%20occidentalis%20%27Golden%20Globe%27</v>
      </c>
      <c r="BG1591" s="107" t="str">
        <f t="shared" si="1219"/>
        <v>G</v>
      </c>
      <c r="BH1591" s="254"/>
      <c r="BI1591" s="254"/>
    </row>
    <row r="1592" spans="1:61" customFormat="1" ht="27" x14ac:dyDescent="0.25">
      <c r="A1592" s="485">
        <v>7</v>
      </c>
      <c r="B1592" s="486" t="s">
        <v>291</v>
      </c>
      <c r="C1592" s="487" t="s">
        <v>3532</v>
      </c>
      <c r="D1592" s="488" t="s">
        <v>292</v>
      </c>
      <c r="E1592" s="489">
        <v>104.95</v>
      </c>
      <c r="F1592" s="516" t="s">
        <v>293</v>
      </c>
      <c r="G1592" s="232">
        <v>0</v>
      </c>
      <c r="H1592" s="658" t="str">
        <f>IF(G1592=0,"",IF(F1592="Buy",IF(G1592=1,"plant","plants"),IF(F1592&gt;0.01,"warranty","Error")))</f>
        <v/>
      </c>
      <c r="I1592" s="490">
        <f>IF(H1592="free",0,IF(H1592="credit",((E1592*(F1592))*G1592*-1),IF(F1592="Buy",(E1592*G1592),((E1592*(1-F1592))*G1592))))</f>
        <v>0</v>
      </c>
      <c r="J1592" s="490">
        <f>IF(H1592="warranty",0,(I1592*(_xlfn.SINGLE(SalesTaxPercentage))))</f>
        <v>0</v>
      </c>
      <c r="K1592" s="695">
        <f t="shared" ref="K1592" si="1238">I1592+J1592</f>
        <v>0</v>
      </c>
      <c r="L1592" s="695"/>
      <c r="M1592" s="659" t="str">
        <f>IF(AND(G1592&gt;0,E1592=0),"WARNING - no PRICE inserted",IF(H1592="free"," FREE ~ no charge this plant",IF(H1592="credit",CONCATENATE(" -$",ROUND(K1592*(1-T2GDiscount)*-1,2)," CREDIT after discount"),IF(T2GDiscount=0,"",IF(G1592=0,"",IF(F1592="Buy",CONCATENATE(" $",ROUND(K1592*(1-T2GDiscount),2)," with ",(T2GDiscount*100),"% discount"),CONCATENATE(" $",ROUND(K1592*(1-T2GDiscount),2)," with ",((T2GDiscount*100+F1592*100)-(T2GDiscount*100*F1592)),IF(F1592&gt;0,"% discounts",IF(NoWarrantyDiscount&gt;0,"% discounts","% discount")))))))))</f>
        <v/>
      </c>
      <c r="N1592" s="660"/>
      <c r="O1592" s="233"/>
      <c r="P1592" s="233"/>
      <c r="Q1592" s="233"/>
      <c r="R1592" s="233"/>
      <c r="S1592" s="233"/>
      <c r="T1592" s="508">
        <f t="shared" si="1207"/>
        <v>0</v>
      </c>
      <c r="U1592" s="225">
        <f>IF(NOT(ISNUMBER(G1592)), "", VLOOKUP(A1592,'Discount Lookup'!D:E,2,FALSE)*G1592)</f>
        <v>0</v>
      </c>
      <c r="V1592" s="225">
        <f>IF(NOT(ISNUMBER(G1592)), "", VLOOKUP(A1592,'Discount Lookup'!G:H,2,FALSE)*G1592)</f>
        <v>0</v>
      </c>
      <c r="W1592" s="508">
        <f t="shared" si="1208"/>
        <v>0</v>
      </c>
      <c r="X1592" s="508">
        <f t="shared" si="1209"/>
        <v>0</v>
      </c>
      <c r="Y1592" s="509" t="b">
        <f t="shared" si="1210"/>
        <v>0</v>
      </c>
      <c r="Z1592" s="510">
        <f t="shared" si="1211"/>
        <v>0</v>
      </c>
      <c r="AA1592" s="511"/>
      <c r="AB1592" s="511" t="str">
        <f t="shared" si="1212"/>
        <v/>
      </c>
      <c r="AC1592" s="698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698"/>
      <c r="AE1592" s="631" t="str">
        <f t="shared" si="1213"/>
        <v/>
      </c>
      <c r="AF1592" s="699" t="str">
        <f t="shared" si="1214"/>
        <v/>
      </c>
      <c r="AG1592" s="699"/>
      <c r="AH1592" s="699"/>
      <c r="AI1592" s="512">
        <f>IF(H1592="credit",0,IF(AE1592="free",0,IF(AE1592="me",0,IF(G1592&gt;0,(VLOOKUP(A1592,'Discount Lookup'!J:K,2)*G1592),0))))</f>
        <v>0</v>
      </c>
      <c r="AJ1592" s="513" t="str">
        <f t="shared" ca="1" si="1215"/>
        <v/>
      </c>
      <c r="AK1592" s="700" t="str">
        <f t="shared" si="1216"/>
        <v/>
      </c>
      <c r="AL1592" s="700"/>
      <c r="AM1592" s="505" t="str">
        <f t="shared" si="1217"/>
        <v/>
      </c>
      <c r="AN1592" s="506"/>
      <c r="AO1592" s="507"/>
      <c r="AP1592" s="507"/>
      <c r="AQ1592" s="507"/>
      <c r="AR1592" s="507"/>
      <c r="AS1592" s="507"/>
      <c r="AT1592" s="507"/>
      <c r="AU1592" s="507"/>
      <c r="AV1592" s="225"/>
      <c r="AW1592" s="508"/>
      <c r="AX1592" s="225"/>
      <c r="AY1592" s="225"/>
      <c r="AZ1592" s="225"/>
      <c r="BA1592" s="225"/>
      <c r="BB1592" s="225"/>
      <c r="BC1592" s="56"/>
      <c r="BD1592" s="56"/>
      <c r="BE1592" s="56"/>
      <c r="BF1592" s="107" t="str">
        <f t="shared" si="1218"/>
        <v>https://www.google.com/search?tbm=isch&amp;q=7%20G4</v>
      </c>
      <c r="BG1592" s="107" t="str">
        <f t="shared" si="1219"/>
        <v>G</v>
      </c>
      <c r="BH1592" s="254"/>
      <c r="BI1592" s="254"/>
    </row>
    <row r="1593" spans="1:61" customFormat="1" ht="16.5" thickBot="1" x14ac:dyDescent="0.3">
      <c r="A1593" s="522" t="s">
        <v>2892</v>
      </c>
      <c r="B1593" s="491"/>
      <c r="C1593" s="675"/>
      <c r="D1593" s="491"/>
      <c r="E1593" s="491"/>
      <c r="F1593" s="492"/>
      <c r="G1593" s="493"/>
      <c r="H1593" s="491"/>
      <c r="I1593" s="234"/>
      <c r="J1593" s="234"/>
      <c r="K1593" s="494"/>
      <c r="L1593" s="543"/>
      <c r="M1593" s="561"/>
      <c r="N1593" s="495"/>
      <c r="O1593" s="496"/>
      <c r="P1593" s="497"/>
      <c r="Q1593" s="495"/>
      <c r="R1593" s="495"/>
      <c r="S1593" s="277"/>
      <c r="T1593" s="508">
        <f t="shared" si="1207"/>
        <v>0</v>
      </c>
      <c r="U1593" s="225" t="str">
        <f>IF(NOT(ISNUMBER(G1593)), "", VLOOKUP(A1593,'Discount Lookup'!D:E,2,FALSE)*G1593)</f>
        <v/>
      </c>
      <c r="V1593" s="225" t="str">
        <f>IF(NOT(ISNUMBER(G1593)), "", VLOOKUP(A1593,'Discount Lookup'!G:H,2,FALSE)*G1593)</f>
        <v/>
      </c>
      <c r="W1593" s="508">
        <f t="shared" si="1208"/>
        <v>0</v>
      </c>
      <c r="X1593" s="508">
        <f t="shared" si="1209"/>
        <v>0</v>
      </c>
      <c r="Y1593" s="509" t="b">
        <f t="shared" si="1210"/>
        <v>0</v>
      </c>
      <c r="Z1593" s="510">
        <f t="shared" si="1211"/>
        <v>0</v>
      </c>
      <c r="AA1593" s="511"/>
      <c r="AB1593" s="511" t="str">
        <f t="shared" si="1212"/>
        <v/>
      </c>
      <c r="AC1593" s="698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698"/>
      <c r="AE1593" s="631" t="str">
        <f t="shared" si="1213"/>
        <v/>
      </c>
      <c r="AF1593" s="699" t="str">
        <f t="shared" si="1214"/>
        <v/>
      </c>
      <c r="AG1593" s="699"/>
      <c r="AH1593" s="699"/>
      <c r="AI1593" s="512">
        <f>IF(H1593="credit",0,IF(AE1593="free",0,IF(AE1593="me",0,IF(G1593&gt;0,(VLOOKUP(A1593,'Discount Lookup'!J:K,2)*G1593),0))))</f>
        <v>0</v>
      </c>
      <c r="AJ1593" s="513" t="str">
        <f t="shared" ca="1" si="1215"/>
        <v/>
      </c>
      <c r="AK1593" s="700" t="str">
        <f t="shared" si="1216"/>
        <v/>
      </c>
      <c r="AL1593" s="700"/>
      <c r="AM1593" s="505" t="str">
        <f t="shared" si="1217"/>
        <v/>
      </c>
      <c r="AN1593" s="506"/>
      <c r="AO1593" s="507"/>
      <c r="AP1593" s="507"/>
      <c r="AQ1593" s="507"/>
      <c r="AR1593" s="507"/>
      <c r="AS1593" s="507"/>
      <c r="AT1593" s="507"/>
      <c r="AU1593" s="507"/>
      <c r="AV1593" s="225"/>
      <c r="AW1593" s="508"/>
      <c r="AX1593" s="225"/>
      <c r="AY1593" s="225"/>
      <c r="AZ1593" s="225"/>
      <c r="BA1593" s="225"/>
      <c r="BB1593" s="225"/>
      <c r="BC1593" s="56"/>
      <c r="BD1593" s="56"/>
      <c r="BE1593" s="56"/>
      <c r="BF1593" s="107" t="str">
        <f t="shared" si="1218"/>
        <v>https://www.google.com/search?tbm=isch&amp;q=Golden%20Globe%20is%20a%20dwarf%2C%20globe-shaped%20shrub%20prized%20for%20its%20dense%2C%20fine-textured%20foliage%20that%20holds%20it%27s%20bright%20color%20throughout%20the%20year%20</v>
      </c>
      <c r="BG1593" s="107" t="str">
        <f t="shared" si="1219"/>
        <v>G</v>
      </c>
      <c r="BH1593" s="254"/>
      <c r="BI1593" s="254"/>
    </row>
    <row r="1594" spans="1:61" customFormat="1" ht="18" x14ac:dyDescent="0.25">
      <c r="A1594" s="521" t="s">
        <v>1005</v>
      </c>
      <c r="B1594" s="477"/>
      <c r="C1594" s="674"/>
      <c r="D1594" s="478" t="s">
        <v>1006</v>
      </c>
      <c r="E1594" s="479"/>
      <c r="F1594" s="479"/>
      <c r="G1594" s="479"/>
      <c r="H1594" s="582" t="s">
        <v>407</v>
      </c>
      <c r="I1594" s="480" t="s">
        <v>2293</v>
      </c>
      <c r="J1594" s="479"/>
      <c r="K1594" s="479"/>
      <c r="L1594" s="560"/>
      <c r="M1594" s="666" t="s">
        <v>4966</v>
      </c>
      <c r="N1594" s="680" t="str">
        <f>IF(AND(ISTEXT($A1594), ISERROR($A1594+0)), HYPERLINK($BF1594, "Images"), "")</f>
        <v>Images</v>
      </c>
      <c r="O1594" s="662" t="s">
        <v>4967</v>
      </c>
      <c r="P1594" s="482"/>
      <c r="Q1594" s="483"/>
      <c r="R1594" s="483"/>
      <c r="S1594" s="484"/>
      <c r="T1594" s="508">
        <f t="shared" si="1207"/>
        <v>0</v>
      </c>
      <c r="U1594" s="225" t="str">
        <f>IF(NOT(ISNUMBER(G1594)), "", VLOOKUP(A1594,'Discount Lookup'!D:E,2,FALSE)*G1594)</f>
        <v/>
      </c>
      <c r="V1594" s="225" t="str">
        <f>IF(NOT(ISNUMBER(G1594)), "", VLOOKUP(A1594,'Discount Lookup'!G:H,2,FALSE)*G1594)</f>
        <v/>
      </c>
      <c r="W1594" s="508">
        <f t="shared" si="1208"/>
        <v>0</v>
      </c>
      <c r="X1594" s="508" t="str">
        <f t="shared" si="1209"/>
        <v>Golden-Yellow foliage</v>
      </c>
      <c r="Y1594" s="509" t="b">
        <f t="shared" si="1210"/>
        <v>0</v>
      </c>
      <c r="Z1594" s="510">
        <f t="shared" si="1211"/>
        <v>0</v>
      </c>
      <c r="AA1594" s="511"/>
      <c r="AB1594" s="511" t="str">
        <f t="shared" si="1212"/>
        <v/>
      </c>
      <c r="AC1594" s="698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698"/>
      <c r="AE1594" s="631" t="str">
        <f t="shared" si="1213"/>
        <v/>
      </c>
      <c r="AF1594" s="699" t="str">
        <f t="shared" si="1214"/>
        <v/>
      </c>
      <c r="AG1594" s="699"/>
      <c r="AH1594" s="699"/>
      <c r="AI1594" s="512">
        <f>IF(H1594="credit",0,IF(AE1594="free",0,IF(AE1594="me",0,IF(G1594&gt;0,(VLOOKUP(A1594,'Discount Lookup'!J:K,2)*G1594),0))))</f>
        <v>0</v>
      </c>
      <c r="AJ1594" s="513" t="str">
        <f t="shared" ca="1" si="1215"/>
        <v/>
      </c>
      <c r="AK1594" s="700" t="str">
        <f t="shared" si="1216"/>
        <v/>
      </c>
      <c r="AL1594" s="700"/>
      <c r="AM1594" s="505" t="str">
        <f t="shared" si="1217"/>
        <v/>
      </c>
      <c r="AN1594" s="506"/>
      <c r="AO1594" s="507"/>
      <c r="AP1594" s="507"/>
      <c r="AQ1594" s="507"/>
      <c r="AR1594" s="507"/>
      <c r="AS1594" s="507"/>
      <c r="AT1594" s="507"/>
      <c r="AU1594" s="507"/>
      <c r="AV1594" s="225"/>
      <c r="AW1594" s="508"/>
      <c r="AX1594" s="225"/>
      <c r="AY1594" s="225"/>
      <c r="AZ1594" s="225"/>
      <c r="BA1594" s="225"/>
      <c r="BB1594" s="225"/>
      <c r="BC1594" s="56"/>
      <c r="BD1594" s="56"/>
      <c r="BE1594" s="56"/>
      <c r="BF1594" s="107" t="str">
        <f t="shared" si="1218"/>
        <v>https://www.google.com/search?tbm=isch&amp;q=Golden%20Hinoki%20Cypress%20Chamaecyparis%20obtusa%20%27Crippsii%27</v>
      </c>
      <c r="BG1594" s="107" t="str">
        <f t="shared" si="1219"/>
        <v>G</v>
      </c>
      <c r="BH1594" s="254"/>
      <c r="BI1594" s="254"/>
    </row>
    <row r="1595" spans="1:61" customFormat="1" ht="15.75" x14ac:dyDescent="0.25">
      <c r="A1595" s="485">
        <v>3</v>
      </c>
      <c r="B1595" s="486" t="s">
        <v>291</v>
      </c>
      <c r="C1595" s="487" t="s">
        <v>1008</v>
      </c>
      <c r="D1595" s="488" t="s">
        <v>297</v>
      </c>
      <c r="E1595" s="489">
        <v>24.95</v>
      </c>
      <c r="F1595" s="516" t="s">
        <v>293</v>
      </c>
      <c r="G1595" s="232">
        <v>0</v>
      </c>
      <c r="H1595" s="658" t="str">
        <f t="shared" ref="H1595:H1601" si="1239">IF(G1595=0,"",IF(F1595="Buy",IF(G1595=1,"plant","plants"),IF(F1595&gt;0.01,"warranty","Error")))</f>
        <v/>
      </c>
      <c r="I1595" s="490">
        <f t="shared" ref="I1595:I1601" si="1240">IF(H1595="free",0,IF(H1595="credit",((E1595*(F1595))*G1595*-1),IF(F1595="Buy",(E1595*G1595),((E1595*(1-F1595))*G1595))))</f>
        <v>0</v>
      </c>
      <c r="J1595" s="490">
        <f t="shared" ref="J1595:J1601" si="1241">IF(H1595="warranty",0,(I1595*(_xlfn.SINGLE(SalesTaxPercentage))))</f>
        <v>0</v>
      </c>
      <c r="K1595" s="695">
        <f t="shared" ref="K1595" si="1242">I1595+J1595</f>
        <v>0</v>
      </c>
      <c r="L1595" s="695"/>
      <c r="M1595" s="659" t="str">
        <f t="shared" ref="M1595:M1601" si="1243">IF(AND(G1595&gt;0,E1595=0),"WARNING - no PRICE inserted",IF(H1595="free"," FREE ~ no charge this plant",IF(H1595="credit",CONCATENATE(" -$",ROUND(K1595*(1-T2GDiscount)*-1,2)," CREDIT after discount"),IF(T2GDiscount=0,"",IF(G1595=0,"",IF(F1595="Buy",CONCATENATE(" $",ROUND(K1595*(1-T2GDiscount),2)," with ",(T2GDiscount*100),"% discount"),CONCATENATE(" $",ROUND(K1595*(1-T2GDiscount),2)," with ",((T2GDiscount*100+F1595*100)-(T2GDiscount*100*F1595)),IF(F1595&gt;0,"% discounts",IF(NoWarrantyDiscount&gt;0,"% discounts","% discount")))))))))</f>
        <v/>
      </c>
      <c r="N1595" s="660"/>
      <c r="O1595" s="233"/>
      <c r="P1595" s="233"/>
      <c r="Q1595" s="233"/>
      <c r="R1595" s="233"/>
      <c r="S1595" s="233"/>
      <c r="T1595" s="508">
        <f t="shared" si="1207"/>
        <v>0</v>
      </c>
      <c r="U1595" s="225">
        <f>IF(NOT(ISNUMBER(G1595)), "", VLOOKUP(A1595,'Discount Lookup'!D:E,2,FALSE)*G1595)</f>
        <v>0</v>
      </c>
      <c r="V1595" s="225">
        <f>IF(NOT(ISNUMBER(G1595)), "", VLOOKUP(A1595,'Discount Lookup'!G:H,2,FALSE)*G1595)</f>
        <v>0</v>
      </c>
      <c r="W1595" s="508">
        <f t="shared" si="1208"/>
        <v>0</v>
      </c>
      <c r="X1595" s="508">
        <f t="shared" si="1209"/>
        <v>0</v>
      </c>
      <c r="Y1595" s="509" t="b">
        <f t="shared" si="1210"/>
        <v>0</v>
      </c>
      <c r="Z1595" s="510">
        <f t="shared" si="1211"/>
        <v>0</v>
      </c>
      <c r="AA1595" s="511"/>
      <c r="AB1595" s="511" t="str">
        <f t="shared" si="1212"/>
        <v/>
      </c>
      <c r="AC1595" s="698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698"/>
      <c r="AE1595" s="631" t="str">
        <f t="shared" si="1213"/>
        <v/>
      </c>
      <c r="AF1595" s="699" t="str">
        <f t="shared" si="1214"/>
        <v/>
      </c>
      <c r="AG1595" s="699"/>
      <c r="AH1595" s="699"/>
      <c r="AI1595" s="512">
        <f>IF(H1595="credit",0,IF(AE1595="free",0,IF(AE1595="me",0,IF(G1595&gt;0,(VLOOKUP(A1595,'Discount Lookup'!J:K,2)*G1595),0))))</f>
        <v>0</v>
      </c>
      <c r="AJ1595" s="513" t="str">
        <f t="shared" ca="1" si="1215"/>
        <v/>
      </c>
      <c r="AK1595" s="700" t="str">
        <f t="shared" si="1216"/>
        <v/>
      </c>
      <c r="AL1595" s="700"/>
      <c r="AM1595" s="505" t="str">
        <f t="shared" si="1217"/>
        <v/>
      </c>
      <c r="AN1595" s="506"/>
      <c r="AO1595" s="507"/>
      <c r="AP1595" s="507"/>
      <c r="AQ1595" s="507"/>
      <c r="AR1595" s="507"/>
      <c r="AS1595" s="507"/>
      <c r="AT1595" s="507"/>
      <c r="AU1595" s="507"/>
      <c r="AV1595" s="225"/>
      <c r="AW1595" s="508"/>
      <c r="AX1595" s="225"/>
      <c r="AY1595" s="225"/>
      <c r="AZ1595" s="225"/>
      <c r="BA1595" s="225"/>
      <c r="BB1595" s="225"/>
      <c r="BC1595" s="56"/>
      <c r="BD1595" s="56"/>
      <c r="BE1595" s="56"/>
      <c r="BF1595" s="107" t="str">
        <f t="shared" si="1218"/>
        <v>https://www.google.com/search?tbm=isch&amp;q=3%20G3</v>
      </c>
      <c r="BG1595" s="107" t="str">
        <f t="shared" si="1219"/>
        <v>G</v>
      </c>
      <c r="BH1595" s="254"/>
      <c r="BI1595" s="254"/>
    </row>
    <row r="1596" spans="1:61" customFormat="1" ht="15.75" x14ac:dyDescent="0.25">
      <c r="A1596" s="485">
        <v>3</v>
      </c>
      <c r="B1596" s="486" t="s">
        <v>291</v>
      </c>
      <c r="C1596" s="487" t="s">
        <v>445</v>
      </c>
      <c r="D1596" s="488" t="s">
        <v>298</v>
      </c>
      <c r="E1596" s="489">
        <v>27.95</v>
      </c>
      <c r="F1596" s="516" t="s">
        <v>293</v>
      </c>
      <c r="G1596" s="232">
        <v>0</v>
      </c>
      <c r="H1596" s="658" t="str">
        <f t="shared" si="1239"/>
        <v/>
      </c>
      <c r="I1596" s="490">
        <f t="shared" si="1240"/>
        <v>0</v>
      </c>
      <c r="J1596" s="490">
        <f t="shared" si="1241"/>
        <v>0</v>
      </c>
      <c r="K1596" s="695">
        <f t="shared" ref="K1596" si="1244">I1596+J1596</f>
        <v>0</v>
      </c>
      <c r="L1596" s="695"/>
      <c r="M1596" s="659" t="str">
        <f t="shared" si="1243"/>
        <v/>
      </c>
      <c r="N1596" s="660"/>
      <c r="O1596" s="233"/>
      <c r="P1596" s="233"/>
      <c r="Q1596" s="233"/>
      <c r="R1596" s="233"/>
      <c r="S1596" s="233"/>
      <c r="T1596" s="508">
        <f t="shared" si="1207"/>
        <v>0</v>
      </c>
      <c r="U1596" s="225">
        <f>IF(NOT(ISNUMBER(G1596)), "", VLOOKUP(A1596,'Discount Lookup'!D:E,2,FALSE)*G1596)</f>
        <v>0</v>
      </c>
      <c r="V1596" s="225">
        <f>IF(NOT(ISNUMBER(G1596)), "", VLOOKUP(A1596,'Discount Lookup'!G:H,2,FALSE)*G1596)</f>
        <v>0</v>
      </c>
      <c r="W1596" s="508">
        <f t="shared" si="1208"/>
        <v>0</v>
      </c>
      <c r="X1596" s="508">
        <f t="shared" si="1209"/>
        <v>0</v>
      </c>
      <c r="Y1596" s="509" t="b">
        <f t="shared" si="1210"/>
        <v>0</v>
      </c>
      <c r="Z1596" s="510">
        <f t="shared" si="1211"/>
        <v>0</v>
      </c>
      <c r="AA1596" s="511"/>
      <c r="AB1596" s="511" t="str">
        <f t="shared" si="1212"/>
        <v/>
      </c>
      <c r="AC1596" s="698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698"/>
      <c r="AE1596" s="631" t="str">
        <f t="shared" si="1213"/>
        <v/>
      </c>
      <c r="AF1596" s="699" t="str">
        <f t="shared" si="1214"/>
        <v/>
      </c>
      <c r="AG1596" s="699"/>
      <c r="AH1596" s="699"/>
      <c r="AI1596" s="512">
        <f>IF(H1596="credit",0,IF(AE1596="free",0,IF(AE1596="me",0,IF(G1596&gt;0,(VLOOKUP(A1596,'Discount Lookup'!J:K,2)*G1596),0))))</f>
        <v>0</v>
      </c>
      <c r="AJ1596" s="513" t="str">
        <f t="shared" ca="1" si="1215"/>
        <v/>
      </c>
      <c r="AK1596" s="700" t="str">
        <f t="shared" si="1216"/>
        <v/>
      </c>
      <c r="AL1596" s="700"/>
      <c r="AM1596" s="505" t="str">
        <f t="shared" si="1217"/>
        <v/>
      </c>
      <c r="AN1596" s="506"/>
      <c r="AO1596" s="507"/>
      <c r="AP1596" s="507"/>
      <c r="AQ1596" s="507"/>
      <c r="AR1596" s="507"/>
      <c r="AS1596" s="507"/>
      <c r="AT1596" s="507"/>
      <c r="AU1596" s="507"/>
      <c r="AV1596" s="225"/>
      <c r="AW1596" s="508"/>
      <c r="AX1596" s="225"/>
      <c r="AY1596" s="225"/>
      <c r="AZ1596" s="225"/>
      <c r="BA1596" s="225"/>
      <c r="BB1596" s="225"/>
      <c r="BC1596" s="56"/>
      <c r="BD1596" s="56"/>
      <c r="BE1596" s="56"/>
      <c r="BF1596" s="107" t="str">
        <f t="shared" si="1218"/>
        <v>https://www.google.com/search?tbm=isch&amp;q=3%20G1</v>
      </c>
      <c r="BG1596" s="107" t="str">
        <f t="shared" si="1219"/>
        <v>G</v>
      </c>
      <c r="BH1596" s="254"/>
      <c r="BI1596" s="254"/>
    </row>
    <row r="1597" spans="1:61" customFormat="1" ht="15.75" x14ac:dyDescent="0.25">
      <c r="A1597" s="485">
        <v>7</v>
      </c>
      <c r="B1597" s="486" t="s">
        <v>291</v>
      </c>
      <c r="C1597" s="487" t="s">
        <v>4890</v>
      </c>
      <c r="D1597" s="488" t="s">
        <v>297</v>
      </c>
      <c r="E1597" s="489">
        <v>56.95</v>
      </c>
      <c r="F1597" s="516" t="s">
        <v>293</v>
      </c>
      <c r="G1597" s="232">
        <v>0</v>
      </c>
      <c r="H1597" s="658" t="str">
        <f t="shared" si="1239"/>
        <v/>
      </c>
      <c r="I1597" s="490">
        <f t="shared" si="1240"/>
        <v>0</v>
      </c>
      <c r="J1597" s="490">
        <f t="shared" si="1241"/>
        <v>0</v>
      </c>
      <c r="K1597" s="695">
        <f t="shared" ref="K1597" si="1245">I1597+J1597</f>
        <v>0</v>
      </c>
      <c r="L1597" s="695"/>
      <c r="M1597" s="659" t="str">
        <f t="shared" si="1243"/>
        <v/>
      </c>
      <c r="N1597" s="660"/>
      <c r="O1597" s="233"/>
      <c r="P1597" s="233"/>
      <c r="Q1597" s="233"/>
      <c r="R1597" s="233"/>
      <c r="S1597" s="233"/>
      <c r="T1597" s="508">
        <f t="shared" si="1207"/>
        <v>0</v>
      </c>
      <c r="U1597" s="225">
        <f>IF(NOT(ISNUMBER(G1597)), "", VLOOKUP(A1597,'Discount Lookup'!D:E,2,FALSE)*G1597)</f>
        <v>0</v>
      </c>
      <c r="V1597" s="225">
        <f>IF(NOT(ISNUMBER(G1597)), "", VLOOKUP(A1597,'Discount Lookup'!G:H,2,FALSE)*G1597)</f>
        <v>0</v>
      </c>
      <c r="W1597" s="508">
        <f t="shared" si="1208"/>
        <v>0</v>
      </c>
      <c r="X1597" s="508">
        <f t="shared" si="1209"/>
        <v>0</v>
      </c>
      <c r="Y1597" s="509" t="b">
        <f t="shared" si="1210"/>
        <v>0</v>
      </c>
      <c r="Z1597" s="510">
        <f t="shared" si="1211"/>
        <v>0</v>
      </c>
      <c r="AA1597" s="511"/>
      <c r="AB1597" s="511" t="str">
        <f t="shared" si="1212"/>
        <v/>
      </c>
      <c r="AC1597" s="698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698"/>
      <c r="AE1597" s="631" t="str">
        <f t="shared" si="1213"/>
        <v/>
      </c>
      <c r="AF1597" s="699" t="str">
        <f t="shared" si="1214"/>
        <v/>
      </c>
      <c r="AG1597" s="699"/>
      <c r="AH1597" s="699"/>
      <c r="AI1597" s="512">
        <f>IF(H1597="credit",0,IF(AE1597="free",0,IF(AE1597="me",0,IF(G1597&gt;0,(VLOOKUP(A1597,'Discount Lookup'!J:K,2)*G1597),0))))</f>
        <v>0</v>
      </c>
      <c r="AJ1597" s="513" t="str">
        <f t="shared" ca="1" si="1215"/>
        <v/>
      </c>
      <c r="AK1597" s="700" t="str">
        <f t="shared" si="1216"/>
        <v/>
      </c>
      <c r="AL1597" s="700"/>
      <c r="AM1597" s="505" t="str">
        <f t="shared" si="1217"/>
        <v/>
      </c>
      <c r="AN1597" s="506"/>
      <c r="AO1597" s="507"/>
      <c r="AP1597" s="507"/>
      <c r="AQ1597" s="507"/>
      <c r="AR1597" s="507"/>
      <c r="AS1597" s="507"/>
      <c r="AT1597" s="507"/>
      <c r="AU1597" s="507"/>
      <c r="AV1597" s="225"/>
      <c r="AW1597" s="508"/>
      <c r="AX1597" s="225"/>
      <c r="AY1597" s="225"/>
      <c r="AZ1597" s="225"/>
      <c r="BA1597" s="225"/>
      <c r="BB1597" s="225"/>
      <c r="BC1597" s="56"/>
      <c r="BD1597" s="56"/>
      <c r="BE1597" s="56"/>
      <c r="BF1597" s="107" t="str">
        <f t="shared" si="1218"/>
        <v>https://www.google.com/search?tbm=isch&amp;q=7%20G3</v>
      </c>
      <c r="BG1597" s="107" t="str">
        <f t="shared" si="1219"/>
        <v>G</v>
      </c>
      <c r="BH1597" s="254"/>
      <c r="BI1597" s="254"/>
    </row>
    <row r="1598" spans="1:61" customFormat="1" ht="15.75" x14ac:dyDescent="0.25">
      <c r="A1598" s="485">
        <v>7</v>
      </c>
      <c r="B1598" s="486" t="s">
        <v>291</v>
      </c>
      <c r="C1598" s="487" t="s">
        <v>3815</v>
      </c>
      <c r="D1598" s="488" t="s">
        <v>292</v>
      </c>
      <c r="E1598" s="489">
        <v>100.95</v>
      </c>
      <c r="F1598" s="516" t="s">
        <v>293</v>
      </c>
      <c r="G1598" s="232">
        <v>0</v>
      </c>
      <c r="H1598" s="658" t="str">
        <f t="shared" si="1239"/>
        <v/>
      </c>
      <c r="I1598" s="490">
        <f t="shared" si="1240"/>
        <v>0</v>
      </c>
      <c r="J1598" s="490">
        <f t="shared" si="1241"/>
        <v>0</v>
      </c>
      <c r="K1598" s="695">
        <f t="shared" ref="K1598" si="1246">I1598+J1598</f>
        <v>0</v>
      </c>
      <c r="L1598" s="695"/>
      <c r="M1598" s="659" t="str">
        <f t="shared" si="1243"/>
        <v/>
      </c>
      <c r="N1598" s="660"/>
      <c r="O1598" s="233"/>
      <c r="P1598" s="233"/>
      <c r="Q1598" s="233"/>
      <c r="R1598" s="233"/>
      <c r="S1598" s="233"/>
      <c r="T1598" s="508">
        <f t="shared" si="1207"/>
        <v>0</v>
      </c>
      <c r="U1598" s="225">
        <f>IF(NOT(ISNUMBER(G1598)), "", VLOOKUP(A1598,'Discount Lookup'!D:E,2,FALSE)*G1598)</f>
        <v>0</v>
      </c>
      <c r="V1598" s="225">
        <f>IF(NOT(ISNUMBER(G1598)), "", VLOOKUP(A1598,'Discount Lookup'!G:H,2,FALSE)*G1598)</f>
        <v>0</v>
      </c>
      <c r="W1598" s="508">
        <f t="shared" si="1208"/>
        <v>0</v>
      </c>
      <c r="X1598" s="508">
        <f t="shared" si="1209"/>
        <v>0</v>
      </c>
      <c r="Y1598" s="509" t="b">
        <f t="shared" si="1210"/>
        <v>0</v>
      </c>
      <c r="Z1598" s="510">
        <f t="shared" si="1211"/>
        <v>0</v>
      </c>
      <c r="AA1598" s="511"/>
      <c r="AB1598" s="511" t="str">
        <f t="shared" si="1212"/>
        <v/>
      </c>
      <c r="AC1598" s="698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698"/>
      <c r="AE1598" s="631" t="str">
        <f t="shared" si="1213"/>
        <v/>
      </c>
      <c r="AF1598" s="699" t="str">
        <f t="shared" si="1214"/>
        <v/>
      </c>
      <c r="AG1598" s="699"/>
      <c r="AH1598" s="699"/>
      <c r="AI1598" s="512">
        <f>IF(H1598="credit",0,IF(AE1598="free",0,IF(AE1598="me",0,IF(G1598&gt;0,(VLOOKUP(A1598,'Discount Lookup'!J:K,2)*G1598),0))))</f>
        <v>0</v>
      </c>
      <c r="AJ1598" s="513" t="str">
        <f t="shared" ca="1" si="1215"/>
        <v/>
      </c>
      <c r="AK1598" s="700" t="str">
        <f t="shared" si="1216"/>
        <v/>
      </c>
      <c r="AL1598" s="700"/>
      <c r="AM1598" s="505" t="str">
        <f t="shared" si="1217"/>
        <v/>
      </c>
      <c r="AN1598" s="506"/>
      <c r="AO1598" s="507"/>
      <c r="AP1598" s="507"/>
      <c r="AQ1598" s="507"/>
      <c r="AR1598" s="507"/>
      <c r="AS1598" s="507"/>
      <c r="AT1598" s="507"/>
      <c r="AU1598" s="507"/>
      <c r="AV1598" s="225"/>
      <c r="AW1598" s="508"/>
      <c r="AX1598" s="225"/>
      <c r="AY1598" s="225"/>
      <c r="AZ1598" s="225"/>
      <c r="BA1598" s="225"/>
      <c r="BB1598" s="225"/>
      <c r="BC1598" s="56"/>
      <c r="BD1598" s="56"/>
      <c r="BE1598" s="56"/>
      <c r="BF1598" s="107" t="str">
        <f t="shared" si="1218"/>
        <v>https://www.google.com/search?tbm=isch&amp;q=7%20G4</v>
      </c>
      <c r="BG1598" s="107" t="str">
        <f t="shared" si="1219"/>
        <v>G</v>
      </c>
      <c r="BH1598" s="254"/>
      <c r="BI1598" s="254"/>
    </row>
    <row r="1599" spans="1:61" customFormat="1" ht="15.75" x14ac:dyDescent="0.25">
      <c r="A1599" s="485">
        <v>7</v>
      </c>
      <c r="B1599" s="486" t="s">
        <v>291</v>
      </c>
      <c r="C1599" s="487" t="s">
        <v>2212</v>
      </c>
      <c r="D1599" s="488" t="s">
        <v>300</v>
      </c>
      <c r="E1599" s="489">
        <v>114.95</v>
      </c>
      <c r="F1599" s="516" t="s">
        <v>293</v>
      </c>
      <c r="G1599" s="232">
        <v>0</v>
      </c>
      <c r="H1599" s="658" t="str">
        <f t="shared" si="1239"/>
        <v/>
      </c>
      <c r="I1599" s="490">
        <f t="shared" si="1240"/>
        <v>0</v>
      </c>
      <c r="J1599" s="490">
        <f t="shared" si="1241"/>
        <v>0</v>
      </c>
      <c r="K1599" s="695">
        <f t="shared" ref="K1599" si="1247">I1599+J1599</f>
        <v>0</v>
      </c>
      <c r="L1599" s="695"/>
      <c r="M1599" s="659" t="str">
        <f t="shared" si="1243"/>
        <v/>
      </c>
      <c r="N1599" s="660"/>
      <c r="O1599" s="233"/>
      <c r="P1599" s="233"/>
      <c r="Q1599" s="233"/>
      <c r="R1599" s="233"/>
      <c r="S1599" s="233"/>
      <c r="T1599" s="508">
        <f t="shared" si="1207"/>
        <v>0</v>
      </c>
      <c r="U1599" s="225">
        <f>IF(NOT(ISNUMBER(G1599)), "", VLOOKUP(A1599,'Discount Lookup'!D:E,2,FALSE)*G1599)</f>
        <v>0</v>
      </c>
      <c r="V1599" s="225">
        <f>IF(NOT(ISNUMBER(G1599)), "", VLOOKUP(A1599,'Discount Lookup'!G:H,2,FALSE)*G1599)</f>
        <v>0</v>
      </c>
      <c r="W1599" s="508">
        <f t="shared" si="1208"/>
        <v>0</v>
      </c>
      <c r="X1599" s="508">
        <f t="shared" si="1209"/>
        <v>0</v>
      </c>
      <c r="Y1599" s="509" t="b">
        <f t="shared" si="1210"/>
        <v>0</v>
      </c>
      <c r="Z1599" s="510">
        <f t="shared" si="1211"/>
        <v>0</v>
      </c>
      <c r="AA1599" s="511"/>
      <c r="AB1599" s="511" t="str">
        <f t="shared" si="1212"/>
        <v/>
      </c>
      <c r="AC1599" s="698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698"/>
      <c r="AE1599" s="631" t="str">
        <f t="shared" si="1213"/>
        <v/>
      </c>
      <c r="AF1599" s="699" t="str">
        <f t="shared" si="1214"/>
        <v/>
      </c>
      <c r="AG1599" s="699"/>
      <c r="AH1599" s="699"/>
      <c r="AI1599" s="512">
        <f>IF(H1599="credit",0,IF(AE1599="free",0,IF(AE1599="me",0,IF(G1599&gt;0,(VLOOKUP(A1599,'Discount Lookup'!J:K,2)*G1599),0))))</f>
        <v>0</v>
      </c>
      <c r="AJ1599" s="513" t="str">
        <f t="shared" ca="1" si="1215"/>
        <v/>
      </c>
      <c r="AK1599" s="700" t="str">
        <f t="shared" si="1216"/>
        <v/>
      </c>
      <c r="AL1599" s="700"/>
      <c r="AM1599" s="505" t="str">
        <f t="shared" si="1217"/>
        <v/>
      </c>
      <c r="AN1599" s="506"/>
      <c r="AO1599" s="507"/>
      <c r="AP1599" s="507"/>
      <c r="AQ1599" s="507"/>
      <c r="AR1599" s="507"/>
      <c r="AS1599" s="507"/>
      <c r="AT1599" s="507"/>
      <c r="AU1599" s="507"/>
      <c r="AV1599" s="225"/>
      <c r="AW1599" s="508"/>
      <c r="AX1599" s="225"/>
      <c r="AY1599" s="225"/>
      <c r="AZ1599" s="225"/>
      <c r="BA1599" s="225"/>
      <c r="BB1599" s="225"/>
      <c r="BC1599" s="56"/>
      <c r="BD1599" s="56"/>
      <c r="BE1599" s="56"/>
      <c r="BF1599" s="107" t="str">
        <f t="shared" si="1218"/>
        <v>https://www.google.com/search?tbm=isch&amp;q=7%20G6</v>
      </c>
      <c r="BG1599" s="107" t="str">
        <f t="shared" si="1219"/>
        <v>G</v>
      </c>
      <c r="BH1599" s="254"/>
      <c r="BI1599" s="254"/>
    </row>
    <row r="1600" spans="1:61" customFormat="1" ht="15.75" x14ac:dyDescent="0.25">
      <c r="A1600" s="485">
        <v>15</v>
      </c>
      <c r="B1600" s="486" t="s">
        <v>291</v>
      </c>
      <c r="C1600" s="487" t="s">
        <v>2396</v>
      </c>
      <c r="D1600" s="488" t="s">
        <v>299</v>
      </c>
      <c r="E1600" s="489">
        <v>171.95</v>
      </c>
      <c r="F1600" s="516" t="s">
        <v>293</v>
      </c>
      <c r="G1600" s="232">
        <v>0</v>
      </c>
      <c r="H1600" s="658" t="str">
        <f t="shared" si="1239"/>
        <v/>
      </c>
      <c r="I1600" s="490">
        <f t="shared" si="1240"/>
        <v>0</v>
      </c>
      <c r="J1600" s="490">
        <f t="shared" si="1241"/>
        <v>0</v>
      </c>
      <c r="K1600" s="695">
        <f t="shared" ref="K1600" si="1248">I1600+J1600</f>
        <v>0</v>
      </c>
      <c r="L1600" s="695"/>
      <c r="M1600" s="659" t="str">
        <f t="shared" si="1243"/>
        <v/>
      </c>
      <c r="N1600" s="660"/>
      <c r="O1600" s="233"/>
      <c r="P1600" s="233"/>
      <c r="Q1600" s="233"/>
      <c r="R1600" s="233"/>
      <c r="S1600" s="233"/>
      <c r="T1600" s="508">
        <f t="shared" si="1207"/>
        <v>0</v>
      </c>
      <c r="U1600" s="225">
        <f>IF(NOT(ISNUMBER(G1600)), "", VLOOKUP(A1600,'Discount Lookup'!D:E,2,FALSE)*G1600)</f>
        <v>0</v>
      </c>
      <c r="V1600" s="225">
        <f>IF(NOT(ISNUMBER(G1600)), "", VLOOKUP(A1600,'Discount Lookup'!G:H,2,FALSE)*G1600)</f>
        <v>0</v>
      </c>
      <c r="W1600" s="508">
        <f t="shared" si="1208"/>
        <v>0</v>
      </c>
      <c r="X1600" s="508">
        <f t="shared" si="1209"/>
        <v>0</v>
      </c>
      <c r="Y1600" s="509" t="b">
        <f t="shared" si="1210"/>
        <v>0</v>
      </c>
      <c r="Z1600" s="510">
        <f t="shared" si="1211"/>
        <v>0</v>
      </c>
      <c r="AA1600" s="511"/>
      <c r="AB1600" s="511" t="str">
        <f t="shared" si="1212"/>
        <v/>
      </c>
      <c r="AC1600" s="698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698"/>
      <c r="AE1600" s="631" t="str">
        <f t="shared" si="1213"/>
        <v/>
      </c>
      <c r="AF1600" s="699" t="str">
        <f t="shared" si="1214"/>
        <v/>
      </c>
      <c r="AG1600" s="699"/>
      <c r="AH1600" s="699"/>
      <c r="AI1600" s="512">
        <f>IF(H1600="credit",0,IF(AE1600="free",0,IF(AE1600="me",0,IF(G1600&gt;0,(VLOOKUP(A1600,'Discount Lookup'!J:K,2)*G1600),0))))</f>
        <v>0</v>
      </c>
      <c r="AJ1600" s="513" t="str">
        <f t="shared" ca="1" si="1215"/>
        <v/>
      </c>
      <c r="AK1600" s="700" t="str">
        <f t="shared" si="1216"/>
        <v/>
      </c>
      <c r="AL1600" s="700"/>
      <c r="AM1600" s="505" t="str">
        <f t="shared" si="1217"/>
        <v/>
      </c>
      <c r="AN1600" s="506"/>
      <c r="AO1600" s="507"/>
      <c r="AP1600" s="507"/>
      <c r="AQ1600" s="507"/>
      <c r="AR1600" s="507"/>
      <c r="AS1600" s="507"/>
      <c r="AT1600" s="507"/>
      <c r="AU1600" s="507"/>
      <c r="AV1600" s="225"/>
      <c r="AW1600" s="508"/>
      <c r="AX1600" s="225"/>
      <c r="AY1600" s="225"/>
      <c r="AZ1600" s="225"/>
      <c r="BA1600" s="225"/>
      <c r="BB1600" s="225"/>
      <c r="BC1600" s="56"/>
      <c r="BD1600" s="56"/>
      <c r="BE1600" s="56"/>
      <c r="BF1600" s="107" t="str">
        <f t="shared" si="1218"/>
        <v>https://www.google.com/search?tbm=isch&amp;q=15%20G5</v>
      </c>
      <c r="BG1600" s="107" t="str">
        <f t="shared" si="1219"/>
        <v>G</v>
      </c>
      <c r="BH1600" s="254"/>
      <c r="BI1600" s="254"/>
    </row>
    <row r="1601" spans="1:61" customFormat="1" ht="15.75" x14ac:dyDescent="0.25">
      <c r="A1601" s="485">
        <v>15</v>
      </c>
      <c r="B1601" s="486" t="s">
        <v>291</v>
      </c>
      <c r="C1601" s="487" t="s">
        <v>4891</v>
      </c>
      <c r="D1601" s="488" t="s">
        <v>300</v>
      </c>
      <c r="E1601" s="489">
        <v>222.95</v>
      </c>
      <c r="F1601" s="516" t="s">
        <v>293</v>
      </c>
      <c r="G1601" s="232">
        <v>0</v>
      </c>
      <c r="H1601" s="658" t="str">
        <f t="shared" si="1239"/>
        <v/>
      </c>
      <c r="I1601" s="490">
        <f t="shared" si="1240"/>
        <v>0</v>
      </c>
      <c r="J1601" s="490">
        <f t="shared" si="1241"/>
        <v>0</v>
      </c>
      <c r="K1601" s="695">
        <f t="shared" ref="K1601" si="1249">I1601+J1601</f>
        <v>0</v>
      </c>
      <c r="L1601" s="695"/>
      <c r="M1601" s="659" t="str">
        <f t="shared" si="1243"/>
        <v/>
      </c>
      <c r="N1601" s="660"/>
      <c r="O1601" s="233"/>
      <c r="P1601" s="233"/>
      <c r="Q1601" s="233"/>
      <c r="R1601" s="233"/>
      <c r="S1601" s="233"/>
      <c r="T1601" s="508">
        <f t="shared" si="1207"/>
        <v>0</v>
      </c>
      <c r="U1601" s="225">
        <f>IF(NOT(ISNUMBER(G1601)), "", VLOOKUP(A1601,'Discount Lookup'!D:E,2,FALSE)*G1601)</f>
        <v>0</v>
      </c>
      <c r="V1601" s="225">
        <f>IF(NOT(ISNUMBER(G1601)), "", VLOOKUP(A1601,'Discount Lookup'!G:H,2,FALSE)*G1601)</f>
        <v>0</v>
      </c>
      <c r="W1601" s="508">
        <f t="shared" si="1208"/>
        <v>0</v>
      </c>
      <c r="X1601" s="508">
        <f t="shared" si="1209"/>
        <v>0</v>
      </c>
      <c r="Y1601" s="509" t="b">
        <f t="shared" si="1210"/>
        <v>0</v>
      </c>
      <c r="Z1601" s="510">
        <f t="shared" si="1211"/>
        <v>0</v>
      </c>
      <c r="AA1601" s="511"/>
      <c r="AB1601" s="511" t="str">
        <f t="shared" si="1212"/>
        <v/>
      </c>
      <c r="AC1601" s="698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698"/>
      <c r="AE1601" s="631" t="str">
        <f t="shared" si="1213"/>
        <v/>
      </c>
      <c r="AF1601" s="699" t="str">
        <f t="shared" si="1214"/>
        <v/>
      </c>
      <c r="AG1601" s="699"/>
      <c r="AH1601" s="699"/>
      <c r="AI1601" s="512">
        <f>IF(H1601="credit",0,IF(AE1601="free",0,IF(AE1601="me",0,IF(G1601&gt;0,(VLOOKUP(A1601,'Discount Lookup'!J:K,2)*G1601),0))))</f>
        <v>0</v>
      </c>
      <c r="AJ1601" s="513" t="str">
        <f t="shared" ca="1" si="1215"/>
        <v/>
      </c>
      <c r="AK1601" s="700" t="str">
        <f t="shared" si="1216"/>
        <v/>
      </c>
      <c r="AL1601" s="700"/>
      <c r="AM1601" s="505" t="str">
        <f t="shared" si="1217"/>
        <v/>
      </c>
      <c r="AN1601" s="506"/>
      <c r="AO1601" s="507"/>
      <c r="AP1601" s="507"/>
      <c r="AQ1601" s="507"/>
      <c r="AR1601" s="507"/>
      <c r="AS1601" s="507"/>
      <c r="AT1601" s="507"/>
      <c r="AU1601" s="507"/>
      <c r="AV1601" s="225"/>
      <c r="AW1601" s="508"/>
      <c r="AX1601" s="225"/>
      <c r="AY1601" s="225"/>
      <c r="AZ1601" s="225"/>
      <c r="BA1601" s="225"/>
      <c r="BB1601" s="225"/>
      <c r="BC1601" s="56"/>
      <c r="BD1601" s="56"/>
      <c r="BE1601" s="56"/>
      <c r="BF1601" s="107" t="str">
        <f t="shared" si="1218"/>
        <v>https://www.google.com/search?tbm=isch&amp;q=15%20G6</v>
      </c>
      <c r="BG1601" s="107" t="str">
        <f t="shared" si="1219"/>
        <v>G</v>
      </c>
      <c r="BH1601" s="254"/>
      <c r="BI1601" s="254"/>
    </row>
    <row r="1602" spans="1:61" customFormat="1" ht="17.25" thickBot="1" x14ac:dyDescent="0.3">
      <c r="A1602" s="522" t="s">
        <v>2539</v>
      </c>
      <c r="B1602" s="491"/>
      <c r="C1602" s="675"/>
      <c r="D1602" s="491"/>
      <c r="E1602" s="491"/>
      <c r="F1602" s="492"/>
      <c r="G1602" s="493"/>
      <c r="H1602" s="491"/>
      <c r="I1602" s="234"/>
      <c r="J1602" s="234"/>
      <c r="K1602" s="494"/>
      <c r="L1602" s="543"/>
      <c r="M1602" s="561"/>
      <c r="N1602" s="495"/>
      <c r="O1602" s="496"/>
      <c r="P1602" s="497"/>
      <c r="Q1602" s="495"/>
      <c r="R1602" s="495"/>
      <c r="S1602" s="667" t="s">
        <v>4984</v>
      </c>
      <c r="T1602" s="508">
        <f t="shared" si="1207"/>
        <v>0</v>
      </c>
      <c r="U1602" s="225" t="str">
        <f>IF(NOT(ISNUMBER(G1602)), "", VLOOKUP(A1602,'Discount Lookup'!D:E,2,FALSE)*G1602)</f>
        <v/>
      </c>
      <c r="V1602" s="225" t="str">
        <f>IF(NOT(ISNUMBER(G1602)), "", VLOOKUP(A1602,'Discount Lookup'!G:H,2,FALSE)*G1602)</f>
        <v/>
      </c>
      <c r="W1602" s="508">
        <f t="shared" si="1208"/>
        <v>0</v>
      </c>
      <c r="X1602" s="508">
        <f t="shared" si="1209"/>
        <v>0</v>
      </c>
      <c r="Y1602" s="509" t="b">
        <f t="shared" si="1210"/>
        <v>0</v>
      </c>
      <c r="Z1602" s="510">
        <f t="shared" si="1211"/>
        <v>0</v>
      </c>
      <c r="AA1602" s="511"/>
      <c r="AB1602" s="511" t="str">
        <f t="shared" si="1212"/>
        <v/>
      </c>
      <c r="AC1602" s="698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698"/>
      <c r="AE1602" s="631" t="str">
        <f t="shared" si="1213"/>
        <v/>
      </c>
      <c r="AF1602" s="699" t="str">
        <f t="shared" si="1214"/>
        <v/>
      </c>
      <c r="AG1602" s="699"/>
      <c r="AH1602" s="699"/>
      <c r="AI1602" s="512">
        <f>IF(H1602="credit",0,IF(AE1602="free",0,IF(AE1602="me",0,IF(G1602&gt;0,(VLOOKUP(A1602,'Discount Lookup'!J:K,2)*G1602),0))))</f>
        <v>0</v>
      </c>
      <c r="AJ1602" s="513" t="str">
        <f t="shared" ca="1" si="1215"/>
        <v/>
      </c>
      <c r="AK1602" s="700" t="str">
        <f t="shared" si="1216"/>
        <v/>
      </c>
      <c r="AL1602" s="700"/>
      <c r="AM1602" s="505" t="str">
        <f t="shared" si="1217"/>
        <v/>
      </c>
      <c r="AN1602" s="506"/>
      <c r="AO1602" s="507"/>
      <c r="AP1602" s="507"/>
      <c r="AQ1602" s="507"/>
      <c r="AR1602" s="507"/>
      <c r="AS1602" s="507"/>
      <c r="AT1602" s="507"/>
      <c r="AU1602" s="507"/>
      <c r="AV1602" s="225"/>
      <c r="AW1602" s="508"/>
      <c r="AX1602" s="225"/>
      <c r="AY1602" s="225"/>
      <c r="AZ1602" s="225"/>
      <c r="BA1602" s="225"/>
      <c r="BB1602" s="225"/>
      <c r="BC1602" s="56"/>
      <c r="BD1602" s="56"/>
      <c r="BE1602" s="56"/>
      <c r="BF1602" s="107" t="str">
        <f t="shared" si="1218"/>
        <v>https://www.google.com/search?tbm=isch&amp;q=Golden%20Hinoki%20is%20a%20dramatic%20mix%20of%20Yellow%20%26%20Green%20feathery%20foliage.%20optimal%20color%20in%20full%20sun.%20Slow%20grower%20</v>
      </c>
      <c r="BG1602" s="107" t="str">
        <f t="shared" si="1219"/>
        <v>G</v>
      </c>
      <c r="BH1602" s="254"/>
      <c r="BI1602" s="254"/>
    </row>
    <row r="1603" spans="1:61" customFormat="1" ht="18" x14ac:dyDescent="0.25">
      <c r="A1603" s="523" t="s">
        <v>1009</v>
      </c>
      <c r="B1603" s="235"/>
      <c r="C1603" s="676"/>
      <c r="D1603" s="255" t="s">
        <v>1010</v>
      </c>
      <c r="E1603" s="236"/>
      <c r="F1603" s="236"/>
      <c r="G1603" s="236"/>
      <c r="H1603" s="582" t="s">
        <v>324</v>
      </c>
      <c r="I1603" s="498" t="s">
        <v>2146</v>
      </c>
      <c r="J1603" s="237"/>
      <c r="K1603" s="237"/>
      <c r="L1603" s="274"/>
      <c r="M1603" s="668" t="s">
        <v>4962</v>
      </c>
      <c r="N1603" s="681" t="str">
        <f>IF(AND(ISTEXT($A1603), ISERROR($A1603+0)), HYPERLINK($BF1603, "Images"), "")</f>
        <v>Images</v>
      </c>
      <c r="O1603" s="663" t="s">
        <v>4967</v>
      </c>
      <c r="P1603" s="253"/>
      <c r="Q1603" s="238"/>
      <c r="R1603" s="239"/>
      <c r="S1603" s="275"/>
      <c r="T1603" s="508">
        <f t="shared" si="1207"/>
        <v>0</v>
      </c>
      <c r="U1603" s="225" t="str">
        <f>IF(NOT(ISNUMBER(G1603)), "", VLOOKUP(A1603,'Discount Lookup'!D:E,2,FALSE)*G1603)</f>
        <v/>
      </c>
      <c r="V1603" s="225" t="str">
        <f>IF(NOT(ISNUMBER(G1603)), "", VLOOKUP(A1603,'Discount Lookup'!G:H,2,FALSE)*G1603)</f>
        <v/>
      </c>
      <c r="W1603" s="508">
        <f t="shared" si="1208"/>
        <v>0</v>
      </c>
      <c r="X1603" s="508" t="str">
        <f t="shared" si="1209"/>
        <v>Bright Green needles</v>
      </c>
      <c r="Y1603" s="509" t="b">
        <f t="shared" si="1210"/>
        <v>0</v>
      </c>
      <c r="Z1603" s="510">
        <f t="shared" si="1211"/>
        <v>0</v>
      </c>
      <c r="AA1603" s="511"/>
      <c r="AB1603" s="511" t="str">
        <f t="shared" si="1212"/>
        <v/>
      </c>
      <c r="AC1603" s="698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698"/>
      <c r="AE1603" s="631" t="str">
        <f t="shared" si="1213"/>
        <v/>
      </c>
      <c r="AF1603" s="699" t="str">
        <f t="shared" si="1214"/>
        <v/>
      </c>
      <c r="AG1603" s="699"/>
      <c r="AH1603" s="699"/>
      <c r="AI1603" s="512">
        <f>IF(H1603="credit",0,IF(AE1603="free",0,IF(AE1603="me",0,IF(G1603&gt;0,(VLOOKUP(A1603,'Discount Lookup'!J:K,2)*G1603),0))))</f>
        <v>0</v>
      </c>
      <c r="AJ1603" s="513" t="str">
        <f t="shared" ca="1" si="1215"/>
        <v/>
      </c>
      <c r="AK1603" s="700" t="str">
        <f t="shared" si="1216"/>
        <v/>
      </c>
      <c r="AL1603" s="700"/>
      <c r="AM1603" s="505" t="str">
        <f t="shared" si="1217"/>
        <v/>
      </c>
      <c r="AN1603" s="506"/>
      <c r="AO1603" s="507"/>
      <c r="AP1603" s="507"/>
      <c r="AQ1603" s="507"/>
      <c r="AR1603" s="507"/>
      <c r="AS1603" s="507"/>
      <c r="AT1603" s="507"/>
      <c r="AU1603" s="507"/>
      <c r="AV1603" s="225"/>
      <c r="AW1603" s="508"/>
      <c r="AX1603" s="225"/>
      <c r="AY1603" s="225"/>
      <c r="AZ1603" s="225"/>
      <c r="BA1603" s="225"/>
      <c r="BB1603" s="225"/>
      <c r="BC1603" s="56"/>
      <c r="BD1603" s="56"/>
      <c r="BE1603" s="56"/>
      <c r="BF1603" s="107" t="str">
        <f t="shared" si="1218"/>
        <v>https://www.google.com/search?tbm=isch&amp;q=Golden%20Larch%20Pseudolarix%20amabilis</v>
      </c>
      <c r="BG1603" s="107" t="str">
        <f t="shared" si="1219"/>
        <v>G</v>
      </c>
      <c r="BH1603" s="254"/>
      <c r="BI1603" s="254"/>
    </row>
    <row r="1604" spans="1:61" customFormat="1" ht="15.75" x14ac:dyDescent="0.25">
      <c r="A1604" s="276">
        <v>10</v>
      </c>
      <c r="B1604" s="240" t="s">
        <v>291</v>
      </c>
      <c r="C1604" s="241" t="s">
        <v>3533</v>
      </c>
      <c r="D1604" s="242" t="s">
        <v>292</v>
      </c>
      <c r="E1604" s="243">
        <v>155.94999999999999</v>
      </c>
      <c r="F1604" s="517" t="s">
        <v>293</v>
      </c>
      <c r="G1604" s="232">
        <v>0</v>
      </c>
      <c r="H1604" s="661" t="str">
        <f>IF(G1604=0,"",IF(F1604="Buy",IF(G1604=1,"plant","plants"),IF(F1604&gt;0.01,"warranty","Error")))</f>
        <v/>
      </c>
      <c r="I1604" s="244">
        <f>IF(H1604="free",0,IF(H1604="credit",((E1604*(F1604))*G1604*-1),IF(F1604="Buy",(E1604*G1604),((E1604*(1-F1604))*G1604))))</f>
        <v>0</v>
      </c>
      <c r="J1604" s="244">
        <f>IF(H1604="warranty",0,(I1604*(_xlfn.SINGLE(SalesTaxPercentage))))</f>
        <v>0</v>
      </c>
      <c r="K1604" s="696">
        <f t="shared" ref="K1604" si="1250">I1604+J1604</f>
        <v>0</v>
      </c>
      <c r="L1604" s="696"/>
      <c r="M1604" s="659" t="str">
        <f>IF(AND(G1604&gt;0,E1604=0),"WARNING - no PRICE inserted",IF(H1604="free"," FREE ~ no charge this plant",IF(H1604="credit",CONCATENATE(" -$",ROUND(K1604*(1-T2GDiscount)*-1,2)," CREDIT after discount"),IF(T2GDiscount=0,"",IF(G1604=0,"",IF(F1604="Buy",CONCATENATE(" $",ROUND(K1604*(1-T2GDiscount),2)," with ",(T2GDiscount*100),"% discount"),CONCATENATE(" $",ROUND(K1604*(1-T2GDiscount),2)," with ",((T2GDiscount*100+F1604*100)-(T2GDiscount*100*F1604)),IF(F1604&gt;0,"% discounts",IF(NoWarrantyDiscount&gt;0,"% discounts","% discount")))))))))</f>
        <v/>
      </c>
      <c r="N1604" s="660"/>
      <c r="O1604" s="233"/>
      <c r="P1604" s="233"/>
      <c r="Q1604" s="233"/>
      <c r="R1604" s="233"/>
      <c r="S1604" s="233"/>
      <c r="T1604" s="508">
        <f t="shared" si="1207"/>
        <v>0</v>
      </c>
      <c r="U1604" s="225">
        <f>IF(NOT(ISNUMBER(G1604)), "", VLOOKUP(A1604,'Discount Lookup'!D:E,2,FALSE)*G1604)</f>
        <v>0</v>
      </c>
      <c r="V1604" s="225">
        <f>IF(NOT(ISNUMBER(G1604)), "", VLOOKUP(A1604,'Discount Lookup'!G:H,2,FALSE)*G1604)</f>
        <v>0</v>
      </c>
      <c r="W1604" s="508">
        <f t="shared" si="1208"/>
        <v>0</v>
      </c>
      <c r="X1604" s="508">
        <f t="shared" si="1209"/>
        <v>0</v>
      </c>
      <c r="Y1604" s="509" t="b">
        <f t="shared" si="1210"/>
        <v>0</v>
      </c>
      <c r="Z1604" s="510">
        <f t="shared" si="1211"/>
        <v>0</v>
      </c>
      <c r="AA1604" s="511"/>
      <c r="AB1604" s="511" t="str">
        <f t="shared" si="1212"/>
        <v/>
      </c>
      <c r="AC1604" s="698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698"/>
      <c r="AE1604" s="631" t="str">
        <f t="shared" si="1213"/>
        <v/>
      </c>
      <c r="AF1604" s="699" t="str">
        <f t="shared" si="1214"/>
        <v/>
      </c>
      <c r="AG1604" s="699"/>
      <c r="AH1604" s="699"/>
      <c r="AI1604" s="512">
        <f>IF(H1604="credit",0,IF(AE1604="free",0,IF(AE1604="me",0,IF(G1604&gt;0,(VLOOKUP(A1604,'Discount Lookup'!J:K,2)*G1604),0))))</f>
        <v>0</v>
      </c>
      <c r="AJ1604" s="513" t="str">
        <f t="shared" ca="1" si="1215"/>
        <v/>
      </c>
      <c r="AK1604" s="700" t="str">
        <f t="shared" si="1216"/>
        <v/>
      </c>
      <c r="AL1604" s="700"/>
      <c r="AM1604" s="505" t="str">
        <f t="shared" si="1217"/>
        <v/>
      </c>
      <c r="AN1604" s="506"/>
      <c r="AO1604" s="507"/>
      <c r="AP1604" s="507"/>
      <c r="AQ1604" s="507"/>
      <c r="AR1604" s="507"/>
      <c r="AS1604" s="507"/>
      <c r="AT1604" s="507"/>
      <c r="AU1604" s="507"/>
      <c r="AV1604" s="225"/>
      <c r="AW1604" s="508"/>
      <c r="AX1604" s="225"/>
      <c r="AY1604" s="225"/>
      <c r="AZ1604" s="225"/>
      <c r="BA1604" s="225"/>
      <c r="BB1604" s="225"/>
      <c r="BC1604" s="56"/>
      <c r="BD1604" s="56"/>
      <c r="BE1604" s="56"/>
      <c r="BF1604" s="107" t="str">
        <f t="shared" si="1218"/>
        <v>https://www.google.com/search?tbm=isch&amp;q=10%20G4</v>
      </c>
      <c r="BG1604" s="107" t="str">
        <f t="shared" si="1219"/>
        <v>G</v>
      </c>
      <c r="BH1604" s="254"/>
      <c r="BI1604" s="254"/>
    </row>
    <row r="1605" spans="1:61" customFormat="1" ht="15.75" x14ac:dyDescent="0.25">
      <c r="A1605" s="276">
        <v>15</v>
      </c>
      <c r="B1605" s="240" t="s">
        <v>291</v>
      </c>
      <c r="C1605" s="241" t="s">
        <v>3533</v>
      </c>
      <c r="D1605" s="242" t="s">
        <v>292</v>
      </c>
      <c r="E1605" s="243">
        <v>206.95</v>
      </c>
      <c r="F1605" s="517" t="s">
        <v>293</v>
      </c>
      <c r="G1605" s="232">
        <v>0</v>
      </c>
      <c r="H1605" s="661" t="str">
        <f>IF(G1605=0,"",IF(F1605="Buy",IF(G1605=1,"plant","plants"),IF(F1605&gt;0.01,"warranty","Error")))</f>
        <v/>
      </c>
      <c r="I1605" s="244">
        <f>IF(H1605="free",0,IF(H1605="credit",((E1605*(F1605))*G1605*-1),IF(F1605="Buy",(E1605*G1605),((E1605*(1-F1605))*G1605))))</f>
        <v>0</v>
      </c>
      <c r="J1605" s="244">
        <f>IF(H1605="warranty",0,(I1605*(_xlfn.SINGLE(SalesTaxPercentage))))</f>
        <v>0</v>
      </c>
      <c r="K1605" s="696">
        <f t="shared" ref="K1605" si="1251">I1605+J1605</f>
        <v>0</v>
      </c>
      <c r="L1605" s="696"/>
      <c r="M1605" s="659" t="str">
        <f>IF(AND(G1605&gt;0,E1605=0),"WARNING - no PRICE inserted",IF(H1605="free"," FREE ~ no charge this plant",IF(H1605="credit",CONCATENATE(" -$",ROUND(K1605*(1-T2GDiscount)*-1,2)," CREDIT after discount"),IF(T2GDiscount=0,"",IF(G1605=0,"",IF(F1605="Buy",CONCATENATE(" $",ROUND(K1605*(1-T2GDiscount),2)," with ",(T2GDiscount*100),"% discount"),CONCATENATE(" $",ROUND(K1605*(1-T2GDiscount),2)," with ",((T2GDiscount*100+F1605*100)-(T2GDiscount*100*F1605)),IF(F1605&gt;0,"% discounts",IF(NoWarrantyDiscount&gt;0,"% discounts","% discount")))))))))</f>
        <v/>
      </c>
      <c r="N1605" s="660"/>
      <c r="O1605" s="233"/>
      <c r="P1605" s="233"/>
      <c r="Q1605" s="233"/>
      <c r="R1605" s="233"/>
      <c r="S1605" s="233"/>
      <c r="T1605" s="508">
        <f t="shared" si="1207"/>
        <v>0</v>
      </c>
      <c r="U1605" s="225">
        <f>IF(NOT(ISNUMBER(G1605)), "", VLOOKUP(A1605,'Discount Lookup'!D:E,2,FALSE)*G1605)</f>
        <v>0</v>
      </c>
      <c r="V1605" s="225">
        <f>IF(NOT(ISNUMBER(G1605)), "", VLOOKUP(A1605,'Discount Lookup'!G:H,2,FALSE)*G1605)</f>
        <v>0</v>
      </c>
      <c r="W1605" s="508">
        <f t="shared" si="1208"/>
        <v>0</v>
      </c>
      <c r="X1605" s="508">
        <f t="shared" si="1209"/>
        <v>0</v>
      </c>
      <c r="Y1605" s="509" t="b">
        <f t="shared" si="1210"/>
        <v>0</v>
      </c>
      <c r="Z1605" s="510">
        <f t="shared" si="1211"/>
        <v>0</v>
      </c>
      <c r="AA1605" s="511"/>
      <c r="AB1605" s="511" t="str">
        <f t="shared" si="1212"/>
        <v/>
      </c>
      <c r="AC1605" s="698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698"/>
      <c r="AE1605" s="631" t="str">
        <f t="shared" si="1213"/>
        <v/>
      </c>
      <c r="AF1605" s="699" t="str">
        <f t="shared" si="1214"/>
        <v/>
      </c>
      <c r="AG1605" s="699"/>
      <c r="AH1605" s="699"/>
      <c r="AI1605" s="512">
        <f>IF(H1605="credit",0,IF(AE1605="free",0,IF(AE1605="me",0,IF(G1605&gt;0,(VLOOKUP(A1605,'Discount Lookup'!J:K,2)*G1605),0))))</f>
        <v>0</v>
      </c>
      <c r="AJ1605" s="513" t="str">
        <f t="shared" ca="1" si="1215"/>
        <v/>
      </c>
      <c r="AK1605" s="700" t="str">
        <f t="shared" si="1216"/>
        <v/>
      </c>
      <c r="AL1605" s="700"/>
      <c r="AM1605" s="505" t="str">
        <f t="shared" si="1217"/>
        <v/>
      </c>
      <c r="AN1605" s="506"/>
      <c r="AO1605" s="507"/>
      <c r="AP1605" s="507"/>
      <c r="AQ1605" s="507"/>
      <c r="AR1605" s="507"/>
      <c r="AS1605" s="507"/>
      <c r="AT1605" s="507"/>
      <c r="AU1605" s="507"/>
      <c r="AV1605" s="225"/>
      <c r="AW1605" s="508"/>
      <c r="AX1605" s="225"/>
      <c r="AY1605" s="225"/>
      <c r="AZ1605" s="225"/>
      <c r="BA1605" s="225"/>
      <c r="BB1605" s="225"/>
      <c r="BC1605" s="56"/>
      <c r="BD1605" s="56"/>
      <c r="BE1605" s="56"/>
      <c r="BF1605" s="107" t="str">
        <f t="shared" si="1218"/>
        <v>https://www.google.com/search?tbm=isch&amp;q=15%20G4</v>
      </c>
      <c r="BG1605" s="107" t="str">
        <f t="shared" si="1219"/>
        <v>G</v>
      </c>
      <c r="BH1605" s="254"/>
      <c r="BI1605" s="254"/>
    </row>
    <row r="1606" spans="1:61" customFormat="1" ht="15.75" x14ac:dyDescent="0.25">
      <c r="A1606" s="276">
        <v>65</v>
      </c>
      <c r="B1606" s="240" t="s">
        <v>291</v>
      </c>
      <c r="C1606" s="241" t="s">
        <v>3534</v>
      </c>
      <c r="D1606" s="242" t="s">
        <v>292</v>
      </c>
      <c r="E1606" s="243">
        <v>1004.95</v>
      </c>
      <c r="F1606" s="517" t="s">
        <v>293</v>
      </c>
      <c r="G1606" s="232">
        <v>0</v>
      </c>
      <c r="H1606" s="661" t="str">
        <f>IF(G1606=0,"",IF(F1606="Buy",IF(G1606=1,"plant","plants"),IF(F1606&gt;0.01,"warranty","Error")))</f>
        <v/>
      </c>
      <c r="I1606" s="244">
        <f>IF(H1606="free",0,IF(H1606="credit",((E1606*(F1606))*G1606*-1),IF(F1606="Buy",(E1606*G1606),((E1606*(1-F1606))*G1606))))</f>
        <v>0</v>
      </c>
      <c r="J1606" s="244">
        <f>IF(H1606="warranty",0,(I1606*(_xlfn.SINGLE(SalesTaxPercentage))))</f>
        <v>0</v>
      </c>
      <c r="K1606" s="696">
        <f t="shared" ref="K1606" si="1252">I1606+J1606</f>
        <v>0</v>
      </c>
      <c r="L1606" s="696"/>
      <c r="M1606" s="659" t="str">
        <f>IF(AND(G1606&gt;0,E1606=0),"WARNING - no PRICE inserted",IF(H1606="free"," FREE ~ no charge this plant",IF(H1606="credit",CONCATENATE(" -$",ROUND(K1606*(1-T2GDiscount)*-1,2)," CREDIT after discount"),IF(T2GDiscount=0,"",IF(G1606=0,"",IF(F1606="Buy",CONCATENATE(" $",ROUND(K1606*(1-T2GDiscount),2)," with ",(T2GDiscount*100),"% discount"),CONCATENATE(" $",ROUND(K1606*(1-T2GDiscount),2)," with ",((T2GDiscount*100+F1606*100)-(T2GDiscount*100*F1606)),IF(F1606&gt;0,"% discounts",IF(NoWarrantyDiscount&gt;0,"% discounts","% discount")))))))))</f>
        <v/>
      </c>
      <c r="N1606" s="660"/>
      <c r="O1606" s="233"/>
      <c r="P1606" s="233"/>
      <c r="Q1606" s="233"/>
      <c r="R1606" s="233"/>
      <c r="S1606" s="233"/>
      <c r="T1606" s="508">
        <f t="shared" si="1207"/>
        <v>0</v>
      </c>
      <c r="U1606" s="225">
        <f>IF(NOT(ISNUMBER(G1606)), "", VLOOKUP(A1606,'Discount Lookup'!D:E,2,FALSE)*G1606)</f>
        <v>0</v>
      </c>
      <c r="V1606" s="225">
        <f>IF(NOT(ISNUMBER(G1606)), "", VLOOKUP(A1606,'Discount Lookup'!G:H,2,FALSE)*G1606)</f>
        <v>0</v>
      </c>
      <c r="W1606" s="508">
        <f t="shared" si="1208"/>
        <v>0</v>
      </c>
      <c r="X1606" s="508">
        <f t="shared" si="1209"/>
        <v>0</v>
      </c>
      <c r="Y1606" s="509" t="b">
        <f t="shared" si="1210"/>
        <v>0</v>
      </c>
      <c r="Z1606" s="510">
        <f t="shared" si="1211"/>
        <v>0</v>
      </c>
      <c r="AA1606" s="511"/>
      <c r="AB1606" s="511" t="str">
        <f t="shared" si="1212"/>
        <v/>
      </c>
      <c r="AC1606" s="698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698"/>
      <c r="AE1606" s="631" t="str">
        <f t="shared" si="1213"/>
        <v/>
      </c>
      <c r="AF1606" s="699" t="str">
        <f t="shared" si="1214"/>
        <v/>
      </c>
      <c r="AG1606" s="699"/>
      <c r="AH1606" s="699"/>
      <c r="AI1606" s="512">
        <f>IF(H1606="credit",0,IF(AE1606="free",0,IF(AE1606="me",0,IF(G1606&gt;0,(VLOOKUP(A1606,'Discount Lookup'!J:K,2)*G1606),0))))</f>
        <v>0</v>
      </c>
      <c r="AJ1606" s="513" t="str">
        <f t="shared" ca="1" si="1215"/>
        <v/>
      </c>
      <c r="AK1606" s="700" t="str">
        <f t="shared" si="1216"/>
        <v/>
      </c>
      <c r="AL1606" s="700"/>
      <c r="AM1606" s="505" t="str">
        <f t="shared" si="1217"/>
        <v/>
      </c>
      <c r="AN1606" s="506"/>
      <c r="AO1606" s="507"/>
      <c r="AP1606" s="507"/>
      <c r="AQ1606" s="507"/>
      <c r="AR1606" s="507"/>
      <c r="AS1606" s="507"/>
      <c r="AT1606" s="507"/>
      <c r="AU1606" s="507"/>
      <c r="AV1606" s="225"/>
      <c r="AW1606" s="508"/>
      <c r="AX1606" s="225"/>
      <c r="AY1606" s="225"/>
      <c r="AZ1606" s="225"/>
      <c r="BA1606" s="225"/>
      <c r="BB1606" s="225"/>
      <c r="BC1606" s="56"/>
      <c r="BD1606" s="56"/>
      <c r="BE1606" s="56"/>
      <c r="BF1606" s="107" t="str">
        <f t="shared" si="1218"/>
        <v>https://www.google.com/search?tbm=isch&amp;q=65%20G4</v>
      </c>
      <c r="BG1606" s="107" t="str">
        <f t="shared" si="1219"/>
        <v>G</v>
      </c>
      <c r="BH1606" s="254"/>
      <c r="BI1606" s="254"/>
    </row>
    <row r="1607" spans="1:61" customFormat="1" ht="17.25" thickBot="1" x14ac:dyDescent="0.3">
      <c r="A1607" s="673" t="s">
        <v>5125</v>
      </c>
      <c r="B1607" s="245"/>
      <c r="C1607" s="677"/>
      <c r="D1607" s="499"/>
      <c r="E1607" s="499"/>
      <c r="F1607" s="500"/>
      <c r="G1607" s="501"/>
      <c r="H1607" s="502"/>
      <c r="I1607" s="246"/>
      <c r="J1607" s="247"/>
      <c r="K1607" s="503"/>
      <c r="L1607" s="544"/>
      <c r="M1607" s="544"/>
      <c r="N1607" s="500"/>
      <c r="O1607" s="500"/>
      <c r="P1607" s="500"/>
      <c r="Q1607" s="500"/>
      <c r="R1607" s="500"/>
      <c r="S1607" s="278"/>
      <c r="T1607" s="508">
        <f t="shared" si="1207"/>
        <v>0</v>
      </c>
      <c r="U1607" s="225" t="str">
        <f>IF(NOT(ISNUMBER(G1607)), "", VLOOKUP(A1607,'Discount Lookup'!D:E,2,FALSE)*G1607)</f>
        <v/>
      </c>
      <c r="V1607" s="225" t="str">
        <f>IF(NOT(ISNUMBER(G1607)), "", VLOOKUP(A1607,'Discount Lookup'!G:H,2,FALSE)*G1607)</f>
        <v/>
      </c>
      <c r="W1607" s="508">
        <f t="shared" si="1208"/>
        <v>0</v>
      </c>
      <c r="X1607" s="508">
        <f t="shared" si="1209"/>
        <v>0</v>
      </c>
      <c r="Y1607" s="509" t="b">
        <f t="shared" si="1210"/>
        <v>0</v>
      </c>
      <c r="Z1607" s="510">
        <f t="shared" si="1211"/>
        <v>0</v>
      </c>
      <c r="AA1607" s="511"/>
      <c r="AB1607" s="511" t="str">
        <f t="shared" si="1212"/>
        <v/>
      </c>
      <c r="AC1607" s="698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698"/>
      <c r="AE1607" s="631" t="str">
        <f t="shared" si="1213"/>
        <v/>
      </c>
      <c r="AF1607" s="699" t="str">
        <f t="shared" si="1214"/>
        <v/>
      </c>
      <c r="AG1607" s="699"/>
      <c r="AH1607" s="699"/>
      <c r="AI1607" s="512">
        <f>IF(H1607="credit",0,IF(AE1607="free",0,IF(AE1607="me",0,IF(G1607&gt;0,(VLOOKUP(A1607,'Discount Lookup'!J:K,2)*G1607),0))))</f>
        <v>0</v>
      </c>
      <c r="AJ1607" s="513" t="str">
        <f t="shared" ca="1" si="1215"/>
        <v/>
      </c>
      <c r="AK1607" s="700" t="str">
        <f t="shared" si="1216"/>
        <v/>
      </c>
      <c r="AL1607" s="700"/>
      <c r="AM1607" s="505" t="str">
        <f t="shared" si="1217"/>
        <v/>
      </c>
      <c r="AN1607" s="506"/>
      <c r="AO1607" s="507"/>
      <c r="AP1607" s="507"/>
      <c r="AQ1607" s="507"/>
      <c r="AR1607" s="507"/>
      <c r="AS1607" s="507"/>
      <c r="AT1607" s="507"/>
      <c r="AU1607" s="507"/>
      <c r="AV1607" s="225"/>
      <c r="AW1607" s="508"/>
      <c r="AX1607" s="225"/>
      <c r="AY1607" s="225"/>
      <c r="AZ1607" s="225"/>
      <c r="BA1607" s="225"/>
      <c r="BB1607" s="225"/>
      <c r="BC1607" s="56"/>
      <c r="BD1607" s="56"/>
      <c r="BE1607" s="56"/>
      <c r="BF1607" s="107" t="str">
        <f t="shared" si="1218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1607" s="107" t="str">
        <f t="shared" si="1219"/>
        <v>m</v>
      </c>
      <c r="BH1607" s="254"/>
      <c r="BI1607" s="254"/>
    </row>
    <row r="1608" spans="1:61" customFormat="1" ht="18" x14ac:dyDescent="0.25">
      <c r="A1608" s="521" t="s">
        <v>1011</v>
      </c>
      <c r="B1608" s="477"/>
      <c r="C1608" s="674"/>
      <c r="D1608" s="478" t="s">
        <v>1012</v>
      </c>
      <c r="E1608" s="479"/>
      <c r="F1608" s="479"/>
      <c r="G1608" s="479"/>
      <c r="H1608" s="582" t="s">
        <v>321</v>
      </c>
      <c r="I1608" s="480" t="s">
        <v>2893</v>
      </c>
      <c r="J1608" s="479"/>
      <c r="K1608" s="479"/>
      <c r="L1608" s="560"/>
      <c r="M1608" s="666" t="s">
        <v>4966</v>
      </c>
      <c r="N1608" s="680" t="str">
        <f>IF(AND(ISTEXT($A1608), ISERROR($A1608+0)), HYPERLINK($BF1608, "Images"), "")</f>
        <v>Images</v>
      </c>
      <c r="O1608" s="662" t="s">
        <v>4969</v>
      </c>
      <c r="P1608" s="482"/>
      <c r="Q1608" s="483"/>
      <c r="R1608" s="483"/>
      <c r="S1608" s="484"/>
      <c r="T1608" s="508">
        <f t="shared" si="1207"/>
        <v>0</v>
      </c>
      <c r="U1608" s="225" t="str">
        <f>IF(NOT(ISNUMBER(G1608)), "", VLOOKUP(A1608,'Discount Lookup'!D:E,2,FALSE)*G1608)</f>
        <v/>
      </c>
      <c r="V1608" s="225" t="str">
        <f>IF(NOT(ISNUMBER(G1608)), "", VLOOKUP(A1608,'Discount Lookup'!G:H,2,FALSE)*G1608)</f>
        <v/>
      </c>
      <c r="W1608" s="508">
        <f t="shared" si="1208"/>
        <v>0</v>
      </c>
      <c r="X1608" s="508" t="str">
        <f t="shared" si="1209"/>
        <v>Green-Yellow variegated</v>
      </c>
      <c r="Y1608" s="509" t="b">
        <f t="shared" si="1210"/>
        <v>0</v>
      </c>
      <c r="Z1608" s="510">
        <f t="shared" si="1211"/>
        <v>0</v>
      </c>
      <c r="AA1608" s="511"/>
      <c r="AB1608" s="511" t="str">
        <f t="shared" si="1212"/>
        <v/>
      </c>
      <c r="AC1608" s="698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698"/>
      <c r="AE1608" s="631" t="str">
        <f t="shared" si="1213"/>
        <v/>
      </c>
      <c r="AF1608" s="699" t="str">
        <f t="shared" si="1214"/>
        <v/>
      </c>
      <c r="AG1608" s="699"/>
      <c r="AH1608" s="699"/>
      <c r="AI1608" s="512">
        <f>IF(H1608="credit",0,IF(AE1608="free",0,IF(AE1608="me",0,IF(G1608&gt;0,(VLOOKUP(A1608,'Discount Lookup'!J:K,2)*G1608),0))))</f>
        <v>0</v>
      </c>
      <c r="AJ1608" s="513" t="str">
        <f t="shared" ca="1" si="1215"/>
        <v/>
      </c>
      <c r="AK1608" s="700" t="str">
        <f t="shared" si="1216"/>
        <v/>
      </c>
      <c r="AL1608" s="700"/>
      <c r="AM1608" s="505" t="str">
        <f t="shared" si="1217"/>
        <v/>
      </c>
      <c r="AN1608" s="506"/>
      <c r="AO1608" s="507"/>
      <c r="AP1608" s="507"/>
      <c r="AQ1608" s="507"/>
      <c r="AR1608" s="507"/>
      <c r="AS1608" s="507"/>
      <c r="AT1608" s="507"/>
      <c r="AU1608" s="507"/>
      <c r="AV1608" s="225"/>
      <c r="AW1608" s="508"/>
      <c r="AX1608" s="225"/>
      <c r="AY1608" s="225"/>
      <c r="AZ1608" s="225"/>
      <c r="BA1608" s="225"/>
      <c r="BB1608" s="225"/>
      <c r="BC1608" s="56"/>
      <c r="BD1608" s="56"/>
      <c r="BE1608" s="56"/>
      <c r="BF1608" s="107" t="str">
        <f t="shared" si="1218"/>
        <v>https://www.google.com/search?tbm=isch&amp;q=Golden%20Oakland%20Holly%20Ilex%20%27Magden%27%20PP%2330451</v>
      </c>
      <c r="BG1608" s="107" t="str">
        <f t="shared" si="1219"/>
        <v>G</v>
      </c>
      <c r="BH1608" s="254"/>
      <c r="BI1608" s="254"/>
    </row>
    <row r="1609" spans="1:61" customFormat="1" ht="15.75" x14ac:dyDescent="0.25">
      <c r="A1609" s="485">
        <v>7</v>
      </c>
      <c r="B1609" s="486" t="s">
        <v>291</v>
      </c>
      <c r="C1609" s="487" t="s">
        <v>3535</v>
      </c>
      <c r="D1609" s="488" t="s">
        <v>292</v>
      </c>
      <c r="E1609" s="489">
        <v>102.95</v>
      </c>
      <c r="F1609" s="516" t="s">
        <v>293</v>
      </c>
      <c r="G1609" s="232">
        <v>0</v>
      </c>
      <c r="H1609" s="658" t="str">
        <f>IF(G1609=0,"",IF(F1609="Buy",IF(G1609=1,"plant","plants"),IF(F1609&gt;0.01,"warranty","Error")))</f>
        <v/>
      </c>
      <c r="I1609" s="490">
        <f>IF(H1609="free",0,IF(H1609="credit",((E1609*(F1609))*G1609*-1),IF(F1609="Buy",(E1609*G1609),((E1609*(1-F1609))*G1609))))</f>
        <v>0</v>
      </c>
      <c r="J1609" s="490">
        <f>IF(H1609="warranty",0,(I1609*(_xlfn.SINGLE(SalesTaxPercentage))))</f>
        <v>0</v>
      </c>
      <c r="K1609" s="695">
        <f t="shared" ref="K1609" si="1253">I1609+J1609</f>
        <v>0</v>
      </c>
      <c r="L1609" s="695"/>
      <c r="M1609" s="659" t="str">
        <f>IF(AND(G1609&gt;0,E1609=0),"WARNING - no PRICE inserted",IF(H1609="free"," FREE ~ no charge this plant",IF(H1609="credit",CONCATENATE(" -$",ROUND(K1609*(1-T2GDiscount)*-1,2)," CREDIT after discount"),IF(T2GDiscount=0,"",IF(G1609=0,"",IF(F1609="Buy",CONCATENATE(" $",ROUND(K1609*(1-T2GDiscount),2)," with ",(T2GDiscount*100),"% discount"),CONCATENATE(" $",ROUND(K1609*(1-T2GDiscount),2)," with ",((T2GDiscount*100+F1609*100)-(T2GDiscount*100*F1609)),IF(F1609&gt;0,"% discounts",IF(NoWarrantyDiscount&gt;0,"% discounts","% discount")))))))))</f>
        <v/>
      </c>
      <c r="N1609" s="660"/>
      <c r="O1609" s="233"/>
      <c r="P1609" s="233"/>
      <c r="Q1609" s="233"/>
      <c r="R1609" s="233"/>
      <c r="S1609" s="233"/>
      <c r="T1609" s="508">
        <f t="shared" si="1207"/>
        <v>0</v>
      </c>
      <c r="U1609" s="225">
        <f>IF(NOT(ISNUMBER(G1609)), "", VLOOKUP(A1609,'Discount Lookup'!D:E,2,FALSE)*G1609)</f>
        <v>0</v>
      </c>
      <c r="V1609" s="225">
        <f>IF(NOT(ISNUMBER(G1609)), "", VLOOKUP(A1609,'Discount Lookup'!G:H,2,FALSE)*G1609)</f>
        <v>0</v>
      </c>
      <c r="W1609" s="508">
        <f t="shared" si="1208"/>
        <v>0</v>
      </c>
      <c r="X1609" s="508">
        <f t="shared" si="1209"/>
        <v>0</v>
      </c>
      <c r="Y1609" s="509" t="b">
        <f t="shared" si="1210"/>
        <v>0</v>
      </c>
      <c r="Z1609" s="510">
        <f t="shared" si="1211"/>
        <v>0</v>
      </c>
      <c r="AA1609" s="511"/>
      <c r="AB1609" s="511" t="str">
        <f t="shared" si="1212"/>
        <v/>
      </c>
      <c r="AC1609" s="698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698"/>
      <c r="AE1609" s="631" t="str">
        <f t="shared" si="1213"/>
        <v/>
      </c>
      <c r="AF1609" s="699" t="str">
        <f t="shared" si="1214"/>
        <v/>
      </c>
      <c r="AG1609" s="699"/>
      <c r="AH1609" s="699"/>
      <c r="AI1609" s="512">
        <f>IF(H1609="credit",0,IF(AE1609="free",0,IF(AE1609="me",0,IF(G1609&gt;0,(VLOOKUP(A1609,'Discount Lookup'!J:K,2)*G1609),0))))</f>
        <v>0</v>
      </c>
      <c r="AJ1609" s="513" t="str">
        <f t="shared" ca="1" si="1215"/>
        <v/>
      </c>
      <c r="AK1609" s="700" t="str">
        <f t="shared" si="1216"/>
        <v/>
      </c>
      <c r="AL1609" s="700"/>
      <c r="AM1609" s="505" t="str">
        <f t="shared" si="1217"/>
        <v/>
      </c>
      <c r="AN1609" s="506"/>
      <c r="AO1609" s="507"/>
      <c r="AP1609" s="507"/>
      <c r="AQ1609" s="507"/>
      <c r="AR1609" s="507"/>
      <c r="AS1609" s="507"/>
      <c r="AT1609" s="507"/>
      <c r="AU1609" s="507"/>
      <c r="AV1609" s="225"/>
      <c r="AW1609" s="508"/>
      <c r="AX1609" s="225"/>
      <c r="AY1609" s="225"/>
      <c r="AZ1609" s="225"/>
      <c r="BA1609" s="225"/>
      <c r="BB1609" s="225"/>
      <c r="BC1609" s="56"/>
      <c r="BD1609" s="56"/>
      <c r="BE1609" s="56"/>
      <c r="BF1609" s="107" t="str">
        <f t="shared" si="1218"/>
        <v>https://www.google.com/search?tbm=isch&amp;q=7%20G4</v>
      </c>
      <c r="BG1609" s="107" t="str">
        <f t="shared" si="1219"/>
        <v>G</v>
      </c>
      <c r="BH1609" s="254"/>
      <c r="BI1609" s="254"/>
    </row>
    <row r="1610" spans="1:61" customFormat="1" ht="15.75" x14ac:dyDescent="0.25">
      <c r="A1610" s="485">
        <v>15</v>
      </c>
      <c r="B1610" s="486" t="s">
        <v>291</v>
      </c>
      <c r="C1610" s="487" t="s">
        <v>4512</v>
      </c>
      <c r="D1610" s="488" t="s">
        <v>299</v>
      </c>
      <c r="E1610" s="489">
        <v>183.95</v>
      </c>
      <c r="F1610" s="516" t="s">
        <v>293</v>
      </c>
      <c r="G1610" s="232">
        <v>0</v>
      </c>
      <c r="H1610" s="658" t="str">
        <f>IF(G1610=0,"",IF(F1610="Buy",IF(G1610=1,"plant","plants"),IF(F1610&gt;0.01,"warranty","Error")))</f>
        <v/>
      </c>
      <c r="I1610" s="490">
        <f>IF(H1610="free",0,IF(H1610="credit",((E1610*(F1610))*G1610*-1),IF(F1610="Buy",(E1610*G1610),((E1610*(1-F1610))*G1610))))</f>
        <v>0</v>
      </c>
      <c r="J1610" s="490">
        <f>IF(H1610="warranty",0,(I1610*(_xlfn.SINGLE(SalesTaxPercentage))))</f>
        <v>0</v>
      </c>
      <c r="K1610" s="695">
        <f t="shared" ref="K1610" si="1254">I1610+J1610</f>
        <v>0</v>
      </c>
      <c r="L1610" s="695"/>
      <c r="M1610" s="659" t="str">
        <f>IF(AND(G1610&gt;0,E1610=0),"WARNING - no PRICE inserted",IF(H1610="free"," FREE ~ no charge this plant",IF(H1610="credit",CONCATENATE(" -$",ROUND(K1610*(1-T2GDiscount)*-1,2)," CREDIT after discount"),IF(T2GDiscount=0,"",IF(G1610=0,"",IF(F1610="Buy",CONCATENATE(" $",ROUND(K1610*(1-T2GDiscount),2)," with ",(T2GDiscount*100),"% discount"),CONCATENATE(" $",ROUND(K1610*(1-T2GDiscount),2)," with ",((T2GDiscount*100+F1610*100)-(T2GDiscount*100*F1610)),IF(F1610&gt;0,"% discounts",IF(NoWarrantyDiscount&gt;0,"% discounts","% discount")))))))))</f>
        <v/>
      </c>
      <c r="N1610" s="660"/>
      <c r="O1610" s="233"/>
      <c r="P1610" s="233"/>
      <c r="Q1610" s="233"/>
      <c r="R1610" s="233"/>
      <c r="S1610" s="233"/>
      <c r="T1610" s="508">
        <f t="shared" si="1207"/>
        <v>0</v>
      </c>
      <c r="U1610" s="225">
        <f>IF(NOT(ISNUMBER(G1610)), "", VLOOKUP(A1610,'Discount Lookup'!D:E,2,FALSE)*G1610)</f>
        <v>0</v>
      </c>
      <c r="V1610" s="225">
        <f>IF(NOT(ISNUMBER(G1610)), "", VLOOKUP(A1610,'Discount Lookup'!G:H,2,FALSE)*G1610)</f>
        <v>0</v>
      </c>
      <c r="W1610" s="508">
        <f t="shared" si="1208"/>
        <v>0</v>
      </c>
      <c r="X1610" s="508">
        <f t="shared" si="1209"/>
        <v>0</v>
      </c>
      <c r="Y1610" s="509" t="b">
        <f t="shared" si="1210"/>
        <v>0</v>
      </c>
      <c r="Z1610" s="510">
        <f t="shared" si="1211"/>
        <v>0</v>
      </c>
      <c r="AA1610" s="511"/>
      <c r="AB1610" s="511" t="str">
        <f t="shared" si="1212"/>
        <v/>
      </c>
      <c r="AC1610" s="698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698"/>
      <c r="AE1610" s="631" t="str">
        <f t="shared" si="1213"/>
        <v/>
      </c>
      <c r="AF1610" s="699" t="str">
        <f t="shared" si="1214"/>
        <v/>
      </c>
      <c r="AG1610" s="699"/>
      <c r="AH1610" s="699"/>
      <c r="AI1610" s="512">
        <f>IF(H1610="credit",0,IF(AE1610="free",0,IF(AE1610="me",0,IF(G1610&gt;0,(VLOOKUP(A1610,'Discount Lookup'!J:K,2)*G1610),0))))</f>
        <v>0</v>
      </c>
      <c r="AJ1610" s="513" t="str">
        <f t="shared" ca="1" si="1215"/>
        <v/>
      </c>
      <c r="AK1610" s="700" t="str">
        <f t="shared" si="1216"/>
        <v/>
      </c>
      <c r="AL1610" s="700"/>
      <c r="AM1610" s="505" t="str">
        <f t="shared" si="1217"/>
        <v/>
      </c>
      <c r="AN1610" s="506"/>
      <c r="AO1610" s="507"/>
      <c r="AP1610" s="507"/>
      <c r="AQ1610" s="507"/>
      <c r="AR1610" s="507"/>
      <c r="AS1610" s="507"/>
      <c r="AT1610" s="507"/>
      <c r="AU1610" s="507"/>
      <c r="AV1610" s="225"/>
      <c r="AW1610" s="508"/>
      <c r="AX1610" s="225"/>
      <c r="AY1610" s="225"/>
      <c r="AZ1610" s="225"/>
      <c r="BA1610" s="225"/>
      <c r="BB1610" s="225"/>
      <c r="BC1610" s="56"/>
      <c r="BD1610" s="56"/>
      <c r="BE1610" s="56"/>
      <c r="BF1610" s="107" t="str">
        <f t="shared" si="1218"/>
        <v>https://www.google.com/search?tbm=isch&amp;q=15%20G5</v>
      </c>
      <c r="BG1610" s="107" t="str">
        <f t="shared" si="1219"/>
        <v>G</v>
      </c>
      <c r="BH1610" s="254"/>
      <c r="BI1610" s="254"/>
    </row>
    <row r="1611" spans="1:61" customFormat="1" ht="27" x14ac:dyDescent="0.25">
      <c r="A1611" s="485">
        <v>15</v>
      </c>
      <c r="B1611" s="486" t="s">
        <v>291</v>
      </c>
      <c r="C1611" s="487" t="s">
        <v>3536</v>
      </c>
      <c r="D1611" s="488" t="s">
        <v>292</v>
      </c>
      <c r="E1611" s="489">
        <v>201.95</v>
      </c>
      <c r="F1611" s="516" t="s">
        <v>293</v>
      </c>
      <c r="G1611" s="232">
        <v>0</v>
      </c>
      <c r="H1611" s="658" t="str">
        <f>IF(G1611=0,"",IF(F1611="Buy",IF(G1611=1,"plant","plants"),IF(F1611&gt;0.01,"warranty","Error")))</f>
        <v/>
      </c>
      <c r="I1611" s="490">
        <f>IF(H1611="free",0,IF(H1611="credit",((E1611*(F1611))*G1611*-1),IF(F1611="Buy",(E1611*G1611),((E1611*(1-F1611))*G1611))))</f>
        <v>0</v>
      </c>
      <c r="J1611" s="490">
        <f>IF(H1611="warranty",0,(I1611*(_xlfn.SINGLE(SalesTaxPercentage))))</f>
        <v>0</v>
      </c>
      <c r="K1611" s="695">
        <f t="shared" ref="K1611" si="1255">I1611+J1611</f>
        <v>0</v>
      </c>
      <c r="L1611" s="695"/>
      <c r="M1611" s="659" t="str">
        <f>IF(AND(G1611&gt;0,E1611=0),"WARNING - no PRICE inserted",IF(H1611="free"," FREE ~ no charge this plant",IF(H1611="credit",CONCATENATE(" -$",ROUND(K1611*(1-T2GDiscount)*-1,2)," CREDIT after discount"),IF(T2GDiscount=0,"",IF(G1611=0,"",IF(F1611="Buy",CONCATENATE(" $",ROUND(K1611*(1-T2GDiscount),2)," with ",(T2GDiscount*100),"% discount"),CONCATENATE(" $",ROUND(K1611*(1-T2GDiscount),2)," with ",((T2GDiscount*100+F1611*100)-(T2GDiscount*100*F1611)),IF(F1611&gt;0,"% discounts",IF(NoWarrantyDiscount&gt;0,"% discounts","% discount")))))))))</f>
        <v/>
      </c>
      <c r="N1611" s="660"/>
      <c r="O1611" s="233"/>
      <c r="P1611" s="233"/>
      <c r="Q1611" s="233"/>
      <c r="R1611" s="233"/>
      <c r="S1611" s="233"/>
      <c r="T1611" s="508">
        <f t="shared" si="1207"/>
        <v>0</v>
      </c>
      <c r="U1611" s="225">
        <f>IF(NOT(ISNUMBER(G1611)), "", VLOOKUP(A1611,'Discount Lookup'!D:E,2,FALSE)*G1611)</f>
        <v>0</v>
      </c>
      <c r="V1611" s="225">
        <f>IF(NOT(ISNUMBER(G1611)), "", VLOOKUP(A1611,'Discount Lookup'!G:H,2,FALSE)*G1611)</f>
        <v>0</v>
      </c>
      <c r="W1611" s="508">
        <f t="shared" si="1208"/>
        <v>0</v>
      </c>
      <c r="X1611" s="508">
        <f t="shared" si="1209"/>
        <v>0</v>
      </c>
      <c r="Y1611" s="509" t="b">
        <f t="shared" si="1210"/>
        <v>0</v>
      </c>
      <c r="Z1611" s="510">
        <f t="shared" si="1211"/>
        <v>0</v>
      </c>
      <c r="AA1611" s="511"/>
      <c r="AB1611" s="511" t="str">
        <f t="shared" si="1212"/>
        <v/>
      </c>
      <c r="AC1611" s="698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698"/>
      <c r="AE1611" s="631" t="str">
        <f t="shared" si="1213"/>
        <v/>
      </c>
      <c r="AF1611" s="699" t="str">
        <f t="shared" si="1214"/>
        <v/>
      </c>
      <c r="AG1611" s="699"/>
      <c r="AH1611" s="699"/>
      <c r="AI1611" s="512">
        <f>IF(H1611="credit",0,IF(AE1611="free",0,IF(AE1611="me",0,IF(G1611&gt;0,(VLOOKUP(A1611,'Discount Lookup'!J:K,2)*G1611),0))))</f>
        <v>0</v>
      </c>
      <c r="AJ1611" s="513" t="str">
        <f t="shared" ca="1" si="1215"/>
        <v/>
      </c>
      <c r="AK1611" s="700" t="str">
        <f t="shared" si="1216"/>
        <v/>
      </c>
      <c r="AL1611" s="700"/>
      <c r="AM1611" s="505" t="str">
        <f t="shared" si="1217"/>
        <v/>
      </c>
      <c r="AN1611" s="506"/>
      <c r="AO1611" s="507"/>
      <c r="AP1611" s="507"/>
      <c r="AQ1611" s="507"/>
      <c r="AR1611" s="507"/>
      <c r="AS1611" s="507"/>
      <c r="AT1611" s="507"/>
      <c r="AU1611" s="507"/>
      <c r="AV1611" s="225"/>
      <c r="AW1611" s="508"/>
      <c r="AX1611" s="225"/>
      <c r="AY1611" s="225"/>
      <c r="AZ1611" s="225"/>
      <c r="BA1611" s="225"/>
      <c r="BB1611" s="225"/>
      <c r="BC1611" s="56"/>
      <c r="BD1611" s="56"/>
      <c r="BE1611" s="56"/>
      <c r="BF1611" s="107" t="str">
        <f t="shared" si="1218"/>
        <v>https://www.google.com/search?tbm=isch&amp;q=15%20G4</v>
      </c>
      <c r="BG1611" s="107" t="str">
        <f t="shared" si="1219"/>
        <v>G</v>
      </c>
      <c r="BH1611" s="254"/>
      <c r="BI1611" s="254"/>
    </row>
    <row r="1612" spans="1:61" customFormat="1" ht="17.25" thickBot="1" x14ac:dyDescent="0.3">
      <c r="A1612" s="522" t="s">
        <v>4095</v>
      </c>
      <c r="B1612" s="491"/>
      <c r="C1612" s="675"/>
      <c r="D1612" s="491"/>
      <c r="E1612" s="491"/>
      <c r="F1612" s="492"/>
      <c r="G1612" s="493"/>
      <c r="H1612" s="491"/>
      <c r="I1612" s="234"/>
      <c r="J1612" s="234"/>
      <c r="K1612" s="494"/>
      <c r="L1612" s="543"/>
      <c r="M1612" s="561"/>
      <c r="N1612" s="495"/>
      <c r="O1612" s="496"/>
      <c r="P1612" s="497"/>
      <c r="Q1612" s="495"/>
      <c r="R1612" s="495"/>
      <c r="S1612" s="667" t="s">
        <v>4984</v>
      </c>
      <c r="T1612" s="508">
        <f t="shared" si="1207"/>
        <v>0</v>
      </c>
      <c r="U1612" s="225" t="str">
        <f>IF(NOT(ISNUMBER(G1612)), "", VLOOKUP(A1612,'Discount Lookup'!D:E,2,FALSE)*G1612)</f>
        <v/>
      </c>
      <c r="V1612" s="225" t="str">
        <f>IF(NOT(ISNUMBER(G1612)), "", VLOOKUP(A1612,'Discount Lookup'!G:H,2,FALSE)*G1612)</f>
        <v/>
      </c>
      <c r="W1612" s="508">
        <f t="shared" si="1208"/>
        <v>0</v>
      </c>
      <c r="X1612" s="508">
        <f t="shared" si="1209"/>
        <v>0</v>
      </c>
      <c r="Y1612" s="509" t="b">
        <f t="shared" si="1210"/>
        <v>0</v>
      </c>
      <c r="Z1612" s="510">
        <f t="shared" si="1211"/>
        <v>0</v>
      </c>
      <c r="AA1612" s="511"/>
      <c r="AB1612" s="511" t="str">
        <f t="shared" si="1212"/>
        <v/>
      </c>
      <c r="AC1612" s="698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698"/>
      <c r="AE1612" s="631" t="str">
        <f t="shared" si="1213"/>
        <v/>
      </c>
      <c r="AF1612" s="699" t="str">
        <f t="shared" si="1214"/>
        <v/>
      </c>
      <c r="AG1612" s="699"/>
      <c r="AH1612" s="699"/>
      <c r="AI1612" s="512">
        <f>IF(H1612="credit",0,IF(AE1612="free",0,IF(AE1612="me",0,IF(G1612&gt;0,(VLOOKUP(A1612,'Discount Lookup'!J:K,2)*G1612),0))))</f>
        <v>0</v>
      </c>
      <c r="AJ1612" s="513" t="str">
        <f t="shared" ca="1" si="1215"/>
        <v/>
      </c>
      <c r="AK1612" s="700" t="str">
        <f t="shared" si="1216"/>
        <v/>
      </c>
      <c r="AL1612" s="700"/>
      <c r="AM1612" s="505" t="str">
        <f t="shared" si="1217"/>
        <v/>
      </c>
      <c r="AN1612" s="506"/>
      <c r="AO1612" s="507"/>
      <c r="AP1612" s="507"/>
      <c r="AQ1612" s="507"/>
      <c r="AR1612" s="507"/>
      <c r="AS1612" s="507"/>
      <c r="AT1612" s="507"/>
      <c r="AU1612" s="507"/>
      <c r="AV1612" s="225"/>
      <c r="AW1612" s="508"/>
      <c r="AX1612" s="225"/>
      <c r="AY1612" s="225"/>
      <c r="AZ1612" s="225"/>
      <c r="BA1612" s="225"/>
      <c r="BB1612" s="225"/>
      <c r="BC1612" s="56"/>
      <c r="BD1612" s="56"/>
      <c r="BE1612" s="56"/>
      <c r="BF1612" s="107" t="str">
        <f t="shared" si="1218"/>
        <v>https://www.google.com/search?tbm=isch&amp;q=Golden%20Oakland%20has%20striking%20Golden%20variegated%20foliage%20with%20oak-like%20leaves%2C%20offering%20bold%20year-round%20color%20</v>
      </c>
      <c r="BG1612" s="107" t="str">
        <f t="shared" si="1219"/>
        <v>G</v>
      </c>
      <c r="BH1612" s="254"/>
      <c r="BI1612" s="254"/>
    </row>
    <row r="1613" spans="1:61" customFormat="1" ht="18" x14ac:dyDescent="0.25">
      <c r="A1613" s="521" t="s">
        <v>1013</v>
      </c>
      <c r="B1613" s="477"/>
      <c r="C1613" s="674"/>
      <c r="D1613" s="478" t="s">
        <v>1014</v>
      </c>
      <c r="E1613" s="479"/>
      <c r="F1613" s="479"/>
      <c r="G1613" s="479"/>
      <c r="H1613" s="582" t="s">
        <v>2647</v>
      </c>
      <c r="I1613" s="480" t="s">
        <v>2293</v>
      </c>
      <c r="J1613" s="479"/>
      <c r="K1613" s="479"/>
      <c r="L1613" s="560"/>
      <c r="M1613" s="666" t="s">
        <v>4963</v>
      </c>
      <c r="N1613" s="680" t="str">
        <f>IF(AND(ISTEXT($A1613), ISERROR($A1613+0)), HYPERLINK($BF1613, "Images"), "")</f>
        <v>Images</v>
      </c>
      <c r="O1613" s="662" t="s">
        <v>4969</v>
      </c>
      <c r="P1613" s="482"/>
      <c r="Q1613" s="483"/>
      <c r="R1613" s="483"/>
      <c r="S1613" s="484"/>
      <c r="T1613" s="508">
        <f t="shared" si="1207"/>
        <v>0</v>
      </c>
      <c r="U1613" s="225" t="str">
        <f>IF(NOT(ISNUMBER(G1613)), "", VLOOKUP(A1613,'Discount Lookup'!D:E,2,FALSE)*G1613)</f>
        <v/>
      </c>
      <c r="V1613" s="225" t="str">
        <f>IF(NOT(ISNUMBER(G1613)), "", VLOOKUP(A1613,'Discount Lookup'!G:H,2,FALSE)*G1613)</f>
        <v/>
      </c>
      <c r="W1613" s="508">
        <f t="shared" si="1208"/>
        <v>0</v>
      </c>
      <c r="X1613" s="508" t="str">
        <f t="shared" si="1209"/>
        <v>Golden-Yellow foliage</v>
      </c>
      <c r="Y1613" s="509" t="b">
        <f t="shared" si="1210"/>
        <v>0</v>
      </c>
      <c r="Z1613" s="510">
        <f t="shared" si="1211"/>
        <v>0</v>
      </c>
      <c r="AA1613" s="511"/>
      <c r="AB1613" s="511" t="str">
        <f t="shared" si="1212"/>
        <v/>
      </c>
      <c r="AC1613" s="698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698"/>
      <c r="AE1613" s="631" t="str">
        <f t="shared" si="1213"/>
        <v/>
      </c>
      <c r="AF1613" s="699" t="str">
        <f t="shared" si="1214"/>
        <v/>
      </c>
      <c r="AG1613" s="699"/>
      <c r="AH1613" s="699"/>
      <c r="AI1613" s="512">
        <f>IF(H1613="credit",0,IF(AE1613="free",0,IF(AE1613="me",0,IF(G1613&gt;0,(VLOOKUP(A1613,'Discount Lookup'!J:K,2)*G1613),0))))</f>
        <v>0</v>
      </c>
      <c r="AJ1613" s="513" t="str">
        <f t="shared" ca="1" si="1215"/>
        <v/>
      </c>
      <c r="AK1613" s="700" t="str">
        <f t="shared" si="1216"/>
        <v/>
      </c>
      <c r="AL1613" s="700"/>
      <c r="AM1613" s="505" t="str">
        <f t="shared" si="1217"/>
        <v/>
      </c>
      <c r="AN1613" s="506"/>
      <c r="AO1613" s="507"/>
      <c r="AP1613" s="507"/>
      <c r="AQ1613" s="507"/>
      <c r="AR1613" s="507"/>
      <c r="AS1613" s="507"/>
      <c r="AT1613" s="507"/>
      <c r="AU1613" s="507"/>
      <c r="AV1613" s="225"/>
      <c r="AW1613" s="508"/>
      <c r="AX1613" s="225"/>
      <c r="AY1613" s="225"/>
      <c r="AZ1613" s="225"/>
      <c r="BA1613" s="225"/>
      <c r="BB1613" s="225"/>
      <c r="BC1613" s="56"/>
      <c r="BD1613" s="56"/>
      <c r="BE1613" s="56"/>
      <c r="BF1613" s="107" t="str">
        <f t="shared" si="1218"/>
        <v>https://www.google.com/search?tbm=isch&amp;q=Golden%20Pacific%20Juniper%20Juniperus%20conferta%20%27sPg-3-O16%27</v>
      </c>
      <c r="BG1613" s="107" t="str">
        <f t="shared" si="1219"/>
        <v>G</v>
      </c>
      <c r="BH1613" s="254"/>
      <c r="BI1613" s="254"/>
    </row>
    <row r="1614" spans="1:61" customFormat="1" ht="15.75" x14ac:dyDescent="0.25">
      <c r="A1614" s="485">
        <v>3</v>
      </c>
      <c r="B1614" s="486" t="s">
        <v>291</v>
      </c>
      <c r="C1614" s="487" t="s">
        <v>2204</v>
      </c>
      <c r="D1614" s="488" t="s">
        <v>300</v>
      </c>
      <c r="E1614" s="489">
        <v>40.950000000000003</v>
      </c>
      <c r="F1614" s="516" t="s">
        <v>293</v>
      </c>
      <c r="G1614" s="232">
        <v>0</v>
      </c>
      <c r="H1614" s="658" t="str">
        <f>IF(G1614=0,"",IF(F1614="Buy",IF(G1614=1,"plant","plants"),IF(F1614&gt;0.01,"warranty","Error")))</f>
        <v/>
      </c>
      <c r="I1614" s="490">
        <f>IF(H1614="free",0,IF(H1614="credit",((E1614*(F1614))*G1614*-1),IF(F1614="Buy",(E1614*G1614),((E1614*(1-F1614))*G1614))))</f>
        <v>0</v>
      </c>
      <c r="J1614" s="490">
        <f>IF(H1614="warranty",0,(I1614*(_xlfn.SINGLE(SalesTaxPercentage))))</f>
        <v>0</v>
      </c>
      <c r="K1614" s="695">
        <f t="shared" ref="K1614" si="1256">I1614+J1614</f>
        <v>0</v>
      </c>
      <c r="L1614" s="695"/>
      <c r="M1614" s="659" t="str">
        <f>IF(AND(G1614&gt;0,E1614=0),"WARNING - no PRICE inserted",IF(H1614="free"," FREE ~ no charge this plant",IF(H1614="credit",CONCATENATE(" -$",ROUND(K1614*(1-T2GDiscount)*-1,2)," CREDIT after discount"),IF(T2GDiscount=0,"",IF(G1614=0,"",IF(F1614="Buy",CONCATENATE(" $",ROUND(K1614*(1-T2GDiscount),2)," with ",(T2GDiscount*100),"% discount"),CONCATENATE(" $",ROUND(K1614*(1-T2GDiscount),2)," with ",((T2GDiscount*100+F1614*100)-(T2GDiscount*100*F1614)),IF(F1614&gt;0,"% discounts",IF(NoWarrantyDiscount&gt;0,"% discounts","% discount")))))))))</f>
        <v/>
      </c>
      <c r="N1614" s="660"/>
      <c r="O1614" s="233"/>
      <c r="P1614" s="233"/>
      <c r="Q1614" s="233"/>
      <c r="R1614" s="233"/>
      <c r="S1614" s="233"/>
      <c r="T1614" s="508">
        <f t="shared" ref="T1614:T1677" si="1257">E1614*G1614</f>
        <v>0</v>
      </c>
      <c r="U1614" s="225">
        <f>IF(NOT(ISNUMBER(G1614)), "", VLOOKUP(A1614,'Discount Lookup'!D:E,2,FALSE)*G1614)</f>
        <v>0</v>
      </c>
      <c r="V1614" s="225">
        <f>IF(NOT(ISNUMBER(G1614)), "", VLOOKUP(A1614,'Discount Lookup'!G:H,2,FALSE)*G1614)</f>
        <v>0</v>
      </c>
      <c r="W1614" s="508">
        <f t="shared" ref="W1614:W1677" si="1258">IF(H1614="credit",0,E1614*(SalesTaxPercentage)*G1614)</f>
        <v>0</v>
      </c>
      <c r="X1614" s="508">
        <f t="shared" ref="X1614:X1677" si="1259">I1614</f>
        <v>0</v>
      </c>
      <c r="Y1614" s="509" t="b">
        <f t="shared" ref="Y1614:Y1677" si="1260">IF(AE1614="T2G",0,IF(H1614="credit",0,IF(G1614&gt;0,IF(AE1614="me","",G1614))))</f>
        <v>0</v>
      </c>
      <c r="Z1614" s="510">
        <f t="shared" ref="Z1614:Z1677" si="1261">IF(H1614="credit",G1614,0)</f>
        <v>0</v>
      </c>
      <c r="AA1614" s="511"/>
      <c r="AB1614" s="511" t="str">
        <f t="shared" ref="AB1614:AB1677" si="1262">IF(AE1614="T2G","by Trees2Go",IF(H1614="credit","CREDIT only ~",IF(AND(K1614="",AE1614=OR(PlanterYesMe="No",PlanterYesMe="N",PlanterYesMe="me")),"not THIS line⇨",IF(AND(K1614="images",AE1614="me"),"not THIS line⇨",IF(H1614="credit","",IF(G1614=0,"",IF(AE1614="me","",IF(OR(PlanterYesMe="No",PlanterYesMe="N",PlanterYesMe="me"),"",IF(AE1614="free","warranty",IF(OR(PlanterYesMe="yes",PlanterYesMe="y"),"Edison install:","to install:"))))))))))</f>
        <v/>
      </c>
      <c r="AC1614" s="698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698"/>
      <c r="AE1614" s="631" t="str">
        <f t="shared" ref="AE1614:AE1677" si="1263">IF(H1614="credit","",IF(G1614=0,"",IF(OR(PlanterYesMe="No",PlanterYesMe="N",PlanterYesMe="me"),"me",IF(H1614="warranty","free",IF(OR(PlanterYesMe="yes",PlanterYesMe="y"),"ELP","")))))</f>
        <v/>
      </c>
      <c r="AF1614" s="699" t="str">
        <f t="shared" ref="AF1614:AF1677" si="1264">IF(OR(PlanterYesMe="No",PlanterYesMe="N",PlanterYesMe="me"),"",IF(H1614="credit","",IF(G1614&gt;0,(CONCATENATE((G1614)," quantity, ",(A1614)," ",B1614)),"")))</f>
        <v/>
      </c>
      <c r="AG1614" s="699"/>
      <c r="AH1614" s="699"/>
      <c r="AI1614" s="512">
        <f>IF(H1614="credit",0,IF(AE1614="free",0,IF(AE1614="me",0,IF(G1614&gt;0,(VLOOKUP(A1614,'Discount Lookup'!J:K,2)*G1614),0))))</f>
        <v>0</v>
      </c>
      <c r="AJ1614" s="513" t="str">
        <f t="shared" ref="AJ1614:AJ1677" ca="1" si="1265">IF(AND(ISREF(H1614),H1614="credit"),"",IF(AND(AND(OFFSET(G1614,0,0)=0,OFFSET(G1614,1,0)&gt;0,ISNUMBER(OFFSET(AC1614,1,0)),OFFSET(AC1614,1,0)&gt;0),OR(PlanterYesMe="yes",PlanterYesMe="y")),"T2G+ELP=",IF(AND(OFFSET(G1614,0,0)=0,OFFSET(G1614,1,0)&gt;0,ISNUMBER(OFFSET(AC1614,1,0)),OFFSET(AC1614,1,0)&gt;0),"if T2G+ELP=",IF(AND(OFFSET(G1614,0,0)=0,OFFSET(G1614,1,0)&gt;0),"T2G Subtotal",IF(H1614="credit","",IF(G1614=0,"",IF(AE1614="free",(K1614*(1-T2GDiscount)),IF(OR(PlanterYesMe="No",PlanterYesMe="N",PlanterYesMe="me"),(K1614*(1-T2GDiscount)),IF(OR(AE1614="me",AE1614="T2G"),(K1614*(1-T2GDiscount)),(K1614*(1-T2GDiscount))+AC1614)))))))))</f>
        <v/>
      </c>
      <c r="AK1614" s="700" t="str">
        <f t="shared" ref="AK1614:AK1677" si="1266">IF(H1614="credit","",IF(G1614=0,"",IF(OR(AE1614="me",AE1614="T2G"),"  delivery-only",IF(OR(PlanterYesMe="No",PlanterYesMe="N",PlanterYesMe="me"),"  delivery-only",CONCATENATE(" $",ROUND(AJ1614/G1614,2)," each")))))</f>
        <v/>
      </c>
      <c r="AL1614" s="700"/>
      <c r="AM1614" s="505" t="str">
        <f t="shared" ref="AM1614:AM1677" si="1267">IF(H1614="credit","",IF(AE1614="free","      ~ discounts included, no tax or planting fee applies ~",IF(G1614=0,"",IF(OR(PlanterYesMe="No",PlanterYesMe="N",PlanterYesMe="me"),CONCATENATE(" $",ROUND(AJ1614/G1614,2)," per plant, with tax &amp; discount"),IF(OR(AE1614="me",AE1614="T2G"),CONCATENATE(" $",ROUND(AJ1614/G1614,2)," per plant, with tax &amp; discount"),CONCATENATE("= $",ROUND((K1614*(1-T2GDiscount))/G1614,2)," per plant + $",AC1614/G1614,(" per planting      ~ includes tax &amp; discounts ~")))))))</f>
        <v/>
      </c>
      <c r="AN1614" s="506"/>
      <c r="AO1614" s="507"/>
      <c r="AP1614" s="507"/>
      <c r="AQ1614" s="507"/>
      <c r="AR1614" s="507"/>
      <c r="AS1614" s="507"/>
      <c r="AT1614" s="507"/>
      <c r="AU1614" s="507"/>
      <c r="AV1614" s="225"/>
      <c r="AW1614" s="508"/>
      <c r="AX1614" s="225"/>
      <c r="AY1614" s="225"/>
      <c r="AZ1614" s="225"/>
      <c r="BA1614" s="225"/>
      <c r="BB1614" s="225"/>
      <c r="BC1614" s="56"/>
      <c r="BD1614" s="56"/>
      <c r="BE1614" s="56"/>
      <c r="BF1614" s="107" t="str">
        <f t="shared" ref="BF1614:BF1677" si="1268">"https://www.google.com/search?tbm=isch&amp;q=" &amp; _xlfn.ENCODEURL($A1614 &amp; " " &amp; $D1614)</f>
        <v>https://www.google.com/search?tbm=isch&amp;q=3%20G6</v>
      </c>
      <c r="BG1614" s="107" t="str">
        <f t="shared" ref="BG1614:BG1677" si="1269">IF(ISTEXT(A1614),LEFT(A1614,1),BG1613)</f>
        <v>G</v>
      </c>
      <c r="BH1614" s="254"/>
      <c r="BI1614" s="254"/>
    </row>
    <row r="1615" spans="1:61" customFormat="1" ht="17.25" thickBot="1" x14ac:dyDescent="0.3">
      <c r="A1615" s="522" t="s">
        <v>2680</v>
      </c>
      <c r="B1615" s="491"/>
      <c r="C1615" s="675"/>
      <c r="D1615" s="491"/>
      <c r="E1615" s="491"/>
      <c r="F1615" s="492"/>
      <c r="G1615" s="493"/>
      <c r="H1615" s="491"/>
      <c r="I1615" s="234"/>
      <c r="J1615" s="234"/>
      <c r="K1615" s="494"/>
      <c r="L1615" s="543"/>
      <c r="M1615" s="561"/>
      <c r="N1615" s="495"/>
      <c r="O1615" s="496"/>
      <c r="P1615" s="497"/>
      <c r="Q1615" s="495"/>
      <c r="R1615" s="495"/>
      <c r="S1615" s="667" t="s">
        <v>4982</v>
      </c>
      <c r="T1615" s="508">
        <f t="shared" si="1257"/>
        <v>0</v>
      </c>
      <c r="U1615" s="225" t="str">
        <f>IF(NOT(ISNUMBER(G1615)), "", VLOOKUP(A1615,'Discount Lookup'!D:E,2,FALSE)*G1615)</f>
        <v/>
      </c>
      <c r="V1615" s="225" t="str">
        <f>IF(NOT(ISNUMBER(G1615)), "", VLOOKUP(A1615,'Discount Lookup'!G:H,2,FALSE)*G1615)</f>
        <v/>
      </c>
      <c r="W1615" s="508">
        <f t="shared" si="1258"/>
        <v>0</v>
      </c>
      <c r="X1615" s="508">
        <f t="shared" si="1259"/>
        <v>0</v>
      </c>
      <c r="Y1615" s="509" t="b">
        <f t="shared" si="1260"/>
        <v>0</v>
      </c>
      <c r="Z1615" s="510">
        <f t="shared" si="1261"/>
        <v>0</v>
      </c>
      <c r="AA1615" s="511"/>
      <c r="AB1615" s="511" t="str">
        <f t="shared" si="1262"/>
        <v/>
      </c>
      <c r="AC1615" s="698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698"/>
      <c r="AE1615" s="631" t="str">
        <f t="shared" si="1263"/>
        <v/>
      </c>
      <c r="AF1615" s="699" t="str">
        <f t="shared" si="1264"/>
        <v/>
      </c>
      <c r="AG1615" s="699"/>
      <c r="AH1615" s="699"/>
      <c r="AI1615" s="512">
        <f>IF(H1615="credit",0,IF(AE1615="free",0,IF(AE1615="me",0,IF(G1615&gt;0,(VLOOKUP(A1615,'Discount Lookup'!J:K,2)*G1615),0))))</f>
        <v>0</v>
      </c>
      <c r="AJ1615" s="513" t="str">
        <f t="shared" ca="1" si="1265"/>
        <v/>
      </c>
      <c r="AK1615" s="700" t="str">
        <f t="shared" si="1266"/>
        <v/>
      </c>
      <c r="AL1615" s="700"/>
      <c r="AM1615" s="505" t="str">
        <f t="shared" si="1267"/>
        <v/>
      </c>
      <c r="AN1615" s="506"/>
      <c r="AO1615" s="507"/>
      <c r="AP1615" s="507"/>
      <c r="AQ1615" s="507"/>
      <c r="AR1615" s="507"/>
      <c r="AS1615" s="507"/>
      <c r="AT1615" s="507"/>
      <c r="AU1615" s="507"/>
      <c r="AV1615" s="225"/>
      <c r="AW1615" s="508"/>
      <c r="AX1615" s="225"/>
      <c r="AY1615" s="225"/>
      <c r="AZ1615" s="225"/>
      <c r="BA1615" s="225"/>
      <c r="BB1615" s="225"/>
      <c r="BC1615" s="56"/>
      <c r="BD1615" s="56"/>
      <c r="BE1615" s="56"/>
      <c r="BF1615" s="107" t="str">
        <f t="shared" si="1268"/>
        <v>https://www.google.com/search?tbm=isch&amp;q=Golden%20Pacific%20Juniper%20is%20a%20vigorous%20%26%20low-spreading%20with%20a%20soft%2C%20vivid%20foliage%20that%20intensifies%20with%20sun.%20Sun%2Fheat%2Fdrought%20tolerant%20</v>
      </c>
      <c r="BG1615" s="107" t="str">
        <f t="shared" si="1269"/>
        <v>G</v>
      </c>
      <c r="BH1615" s="254"/>
      <c r="BI1615" s="254"/>
    </row>
    <row r="1616" spans="1:61" customFormat="1" ht="18" x14ac:dyDescent="0.25">
      <c r="A1616" s="521" t="s">
        <v>1015</v>
      </c>
      <c r="B1616" s="477"/>
      <c r="C1616" s="674"/>
      <c r="D1616" s="478" t="s">
        <v>1016</v>
      </c>
      <c r="E1616" s="479"/>
      <c r="F1616" s="479"/>
      <c r="G1616" s="479"/>
      <c r="H1616" s="582" t="s">
        <v>720</v>
      </c>
      <c r="I1616" s="480" t="s">
        <v>2854</v>
      </c>
      <c r="J1616" s="479"/>
      <c r="K1616" s="479"/>
      <c r="L1616" s="560"/>
      <c r="M1616" s="666" t="s">
        <v>4966</v>
      </c>
      <c r="N1616" s="680" t="str">
        <f>IF(AND(ISTEXT($A1616), ISERROR($A1616+0)), HYPERLINK($BF1616, "Images"), "")</f>
        <v>Images</v>
      </c>
      <c r="O1616" s="662" t="s">
        <v>5001</v>
      </c>
      <c r="P1616" s="482"/>
      <c r="Q1616" s="483"/>
      <c r="R1616" s="483"/>
      <c r="S1616" s="484"/>
      <c r="T1616" s="508">
        <f t="shared" si="1257"/>
        <v>0</v>
      </c>
      <c r="U1616" s="225" t="str">
        <f>IF(NOT(ISNUMBER(G1616)), "", VLOOKUP(A1616,'Discount Lookup'!D:E,2,FALSE)*G1616)</f>
        <v/>
      </c>
      <c r="V1616" s="225" t="str">
        <f>IF(NOT(ISNUMBER(G1616)), "", VLOOKUP(A1616,'Discount Lookup'!G:H,2,FALSE)*G1616)</f>
        <v/>
      </c>
      <c r="W1616" s="508">
        <f t="shared" si="1258"/>
        <v>0</v>
      </c>
      <c r="X1616" s="508" t="str">
        <f t="shared" si="1259"/>
        <v>Green, Yellow edges</v>
      </c>
      <c r="Y1616" s="509" t="b">
        <f t="shared" si="1260"/>
        <v>0</v>
      </c>
      <c r="Z1616" s="510">
        <f t="shared" si="1261"/>
        <v>0</v>
      </c>
      <c r="AA1616" s="511"/>
      <c r="AB1616" s="511" t="str">
        <f t="shared" si="1262"/>
        <v/>
      </c>
      <c r="AC1616" s="698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698"/>
      <c r="AE1616" s="631" t="str">
        <f t="shared" si="1263"/>
        <v/>
      </c>
      <c r="AF1616" s="699" t="str">
        <f t="shared" si="1264"/>
        <v/>
      </c>
      <c r="AG1616" s="699"/>
      <c r="AH1616" s="699"/>
      <c r="AI1616" s="512">
        <f>IF(H1616="credit",0,IF(AE1616="free",0,IF(AE1616="me",0,IF(G1616&gt;0,(VLOOKUP(A1616,'Discount Lookup'!J:K,2)*G1616),0))))</f>
        <v>0</v>
      </c>
      <c r="AJ1616" s="513" t="str">
        <f t="shared" ca="1" si="1265"/>
        <v/>
      </c>
      <c r="AK1616" s="700" t="str">
        <f t="shared" si="1266"/>
        <v/>
      </c>
      <c r="AL1616" s="700"/>
      <c r="AM1616" s="505" t="str">
        <f t="shared" si="1267"/>
        <v/>
      </c>
      <c r="AN1616" s="506"/>
      <c r="AO1616" s="507"/>
      <c r="AP1616" s="507"/>
      <c r="AQ1616" s="507"/>
      <c r="AR1616" s="507"/>
      <c r="AS1616" s="507"/>
      <c r="AT1616" s="507"/>
      <c r="AU1616" s="507"/>
      <c r="AV1616" s="225"/>
      <c r="AW1616" s="508"/>
      <c r="AX1616" s="225"/>
      <c r="AY1616" s="225"/>
      <c r="AZ1616" s="225"/>
      <c r="BA1616" s="225"/>
      <c r="BB1616" s="225"/>
      <c r="BC1616" s="56"/>
      <c r="BD1616" s="56"/>
      <c r="BE1616" s="56"/>
      <c r="BF1616" s="107" t="str">
        <f t="shared" si="1268"/>
        <v>https://www.google.com/search?tbm=isch&amp;q=Golden%20Soft%20Touch%20Holly%20Ilex%20crenata%20%27Golden%20Soft%20Touch%27</v>
      </c>
      <c r="BG1616" s="107" t="str">
        <f t="shared" si="1269"/>
        <v>G</v>
      </c>
      <c r="BH1616" s="254"/>
      <c r="BI1616" s="254"/>
    </row>
    <row r="1617" spans="1:61" customFormat="1" ht="15.75" x14ac:dyDescent="0.25">
      <c r="A1617" s="485">
        <v>3</v>
      </c>
      <c r="B1617" s="486" t="s">
        <v>291</v>
      </c>
      <c r="C1617" s="487"/>
      <c r="D1617" s="488" t="s">
        <v>298</v>
      </c>
      <c r="E1617" s="489">
        <v>27.95</v>
      </c>
      <c r="F1617" s="516" t="s">
        <v>293</v>
      </c>
      <c r="G1617" s="232">
        <v>0</v>
      </c>
      <c r="H1617" s="658" t="str">
        <f>IF(G1617=0,"",IF(F1617="Buy",IF(G1617=1,"plant","plants"),IF(F1617&gt;0.01,"warranty","Error")))</f>
        <v/>
      </c>
      <c r="I1617" s="490">
        <f>IF(H1617="free",0,IF(H1617="credit",((E1617*(F1617))*G1617*-1),IF(F1617="Buy",(E1617*G1617),((E1617*(1-F1617))*G1617))))</f>
        <v>0</v>
      </c>
      <c r="J1617" s="490">
        <f>IF(H1617="warranty",0,(I1617*(_xlfn.SINGLE(SalesTaxPercentage))))</f>
        <v>0</v>
      </c>
      <c r="K1617" s="695">
        <f t="shared" ref="K1617" si="1270">I1617+J1617</f>
        <v>0</v>
      </c>
      <c r="L1617" s="695"/>
      <c r="M1617" s="659" t="str">
        <f>IF(AND(G1617&gt;0,E1617=0),"WARNING - no PRICE inserted",IF(H1617="free"," FREE ~ no charge this plant",IF(H1617="credit",CONCATENATE(" -$",ROUND(K1617*(1-T2GDiscount)*-1,2)," CREDIT after discount"),IF(T2GDiscount=0,"",IF(G1617=0,"",IF(F1617="Buy",CONCATENATE(" $",ROUND(K1617*(1-T2GDiscount),2)," with ",(T2GDiscount*100),"% discount"),CONCATENATE(" $",ROUND(K1617*(1-T2GDiscount),2)," with ",((T2GDiscount*100+F1617*100)-(T2GDiscount*100*F1617)),IF(F1617&gt;0,"% discounts",IF(NoWarrantyDiscount&gt;0,"% discounts","% discount")))))))))</f>
        <v/>
      </c>
      <c r="N1617" s="660"/>
      <c r="O1617" s="233"/>
      <c r="P1617" s="233"/>
      <c r="Q1617" s="233"/>
      <c r="R1617" s="233"/>
      <c r="S1617" s="233"/>
      <c r="T1617" s="508">
        <f t="shared" si="1257"/>
        <v>0</v>
      </c>
      <c r="U1617" s="225">
        <f>IF(NOT(ISNUMBER(G1617)), "", VLOOKUP(A1617,'Discount Lookup'!D:E,2,FALSE)*G1617)</f>
        <v>0</v>
      </c>
      <c r="V1617" s="225">
        <f>IF(NOT(ISNUMBER(G1617)), "", VLOOKUP(A1617,'Discount Lookup'!G:H,2,FALSE)*G1617)</f>
        <v>0</v>
      </c>
      <c r="W1617" s="508">
        <f t="shared" si="1258"/>
        <v>0</v>
      </c>
      <c r="X1617" s="508">
        <f t="shared" si="1259"/>
        <v>0</v>
      </c>
      <c r="Y1617" s="509" t="b">
        <f t="shared" si="1260"/>
        <v>0</v>
      </c>
      <c r="Z1617" s="510">
        <f t="shared" si="1261"/>
        <v>0</v>
      </c>
      <c r="AA1617" s="511"/>
      <c r="AB1617" s="511" t="str">
        <f t="shared" si="1262"/>
        <v/>
      </c>
      <c r="AC1617" s="698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698"/>
      <c r="AE1617" s="631" t="str">
        <f t="shared" si="1263"/>
        <v/>
      </c>
      <c r="AF1617" s="699" t="str">
        <f t="shared" si="1264"/>
        <v/>
      </c>
      <c r="AG1617" s="699"/>
      <c r="AH1617" s="699"/>
      <c r="AI1617" s="512">
        <f>IF(H1617="credit",0,IF(AE1617="free",0,IF(AE1617="me",0,IF(G1617&gt;0,(VLOOKUP(A1617,'Discount Lookup'!J:K,2)*G1617),0))))</f>
        <v>0</v>
      </c>
      <c r="AJ1617" s="513" t="str">
        <f t="shared" ca="1" si="1265"/>
        <v/>
      </c>
      <c r="AK1617" s="700" t="str">
        <f t="shared" si="1266"/>
        <v/>
      </c>
      <c r="AL1617" s="700"/>
      <c r="AM1617" s="505" t="str">
        <f t="shared" si="1267"/>
        <v/>
      </c>
      <c r="AN1617" s="506"/>
      <c r="AO1617" s="507"/>
      <c r="AP1617" s="507"/>
      <c r="AQ1617" s="507"/>
      <c r="AR1617" s="507"/>
      <c r="AS1617" s="507"/>
      <c r="AT1617" s="507"/>
      <c r="AU1617" s="507"/>
      <c r="AV1617" s="225"/>
      <c r="AW1617" s="508"/>
      <c r="AX1617" s="225"/>
      <c r="AY1617" s="225"/>
      <c r="AZ1617" s="225"/>
      <c r="BA1617" s="225"/>
      <c r="BB1617" s="225"/>
      <c r="BC1617" s="56"/>
      <c r="BD1617" s="56"/>
      <c r="BE1617" s="56"/>
      <c r="BF1617" s="107" t="str">
        <f t="shared" si="1268"/>
        <v>https://www.google.com/search?tbm=isch&amp;q=3%20G1</v>
      </c>
      <c r="BG1617" s="107" t="str">
        <f t="shared" si="1269"/>
        <v>G</v>
      </c>
      <c r="BH1617" s="254"/>
      <c r="BI1617" s="254"/>
    </row>
    <row r="1618" spans="1:61" customFormat="1" ht="16.5" thickBot="1" x14ac:dyDescent="0.3">
      <c r="A1618" s="522" t="s">
        <v>2855</v>
      </c>
      <c r="B1618" s="491"/>
      <c r="C1618" s="675"/>
      <c r="D1618" s="491"/>
      <c r="E1618" s="491"/>
      <c r="F1618" s="492"/>
      <c r="G1618" s="493"/>
      <c r="H1618" s="491"/>
      <c r="I1618" s="234"/>
      <c r="J1618" s="234"/>
      <c r="K1618" s="494"/>
      <c r="L1618" s="543"/>
      <c r="M1618" s="561"/>
      <c r="N1618" s="495"/>
      <c r="O1618" s="496"/>
      <c r="P1618" s="497"/>
      <c r="Q1618" s="495"/>
      <c r="R1618" s="495"/>
      <c r="S1618" s="667" t="s">
        <v>4968</v>
      </c>
      <c r="T1618" s="508">
        <f t="shared" si="1257"/>
        <v>0</v>
      </c>
      <c r="U1618" s="225" t="str">
        <f>IF(NOT(ISNUMBER(G1618)), "", VLOOKUP(A1618,'Discount Lookup'!D:E,2,FALSE)*G1618)</f>
        <v/>
      </c>
      <c r="V1618" s="225" t="str">
        <f>IF(NOT(ISNUMBER(G1618)), "", VLOOKUP(A1618,'Discount Lookup'!G:H,2,FALSE)*G1618)</f>
        <v/>
      </c>
      <c r="W1618" s="508">
        <f t="shared" si="1258"/>
        <v>0</v>
      </c>
      <c r="X1618" s="508">
        <f t="shared" si="1259"/>
        <v>0</v>
      </c>
      <c r="Y1618" s="509" t="b">
        <f t="shared" si="1260"/>
        <v>0</v>
      </c>
      <c r="Z1618" s="510">
        <f t="shared" si="1261"/>
        <v>0</v>
      </c>
      <c r="AA1618" s="511"/>
      <c r="AB1618" s="511" t="str">
        <f t="shared" si="1262"/>
        <v/>
      </c>
      <c r="AC1618" s="698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698"/>
      <c r="AE1618" s="631" t="str">
        <f t="shared" si="1263"/>
        <v/>
      </c>
      <c r="AF1618" s="699" t="str">
        <f t="shared" si="1264"/>
        <v/>
      </c>
      <c r="AG1618" s="699"/>
      <c r="AH1618" s="699"/>
      <c r="AI1618" s="512">
        <f>IF(H1618="credit",0,IF(AE1618="free",0,IF(AE1618="me",0,IF(G1618&gt;0,(VLOOKUP(A1618,'Discount Lookup'!J:K,2)*G1618),0))))</f>
        <v>0</v>
      </c>
      <c r="AJ1618" s="513" t="str">
        <f t="shared" ca="1" si="1265"/>
        <v/>
      </c>
      <c r="AK1618" s="700" t="str">
        <f t="shared" si="1266"/>
        <v/>
      </c>
      <c r="AL1618" s="700"/>
      <c r="AM1618" s="505" t="str">
        <f t="shared" si="1267"/>
        <v/>
      </c>
      <c r="AN1618" s="506"/>
      <c r="AO1618" s="507"/>
      <c r="AP1618" s="507"/>
      <c r="AQ1618" s="507"/>
      <c r="AR1618" s="507"/>
      <c r="AS1618" s="507"/>
      <c r="AT1618" s="507"/>
      <c r="AU1618" s="507"/>
      <c r="AV1618" s="225"/>
      <c r="AW1618" s="508"/>
      <c r="AX1618" s="225"/>
      <c r="AY1618" s="225"/>
      <c r="AZ1618" s="225"/>
      <c r="BA1618" s="225"/>
      <c r="BB1618" s="225"/>
      <c r="BC1618" s="56"/>
      <c r="BD1618" s="56"/>
      <c r="BE1618" s="56"/>
      <c r="BF1618" s="107" t="str">
        <f t="shared" si="1268"/>
        <v>https://www.google.com/search?tbm=isch&amp;q=Golden%20Soft%20Touch%20foliage%20emerge%20Golden-Green.%20It%20is%20indeed%20soft%20to%20the%20touch.%20Not%20drought%20tolerant%20</v>
      </c>
      <c r="BG1618" s="107" t="str">
        <f t="shared" si="1269"/>
        <v>G</v>
      </c>
      <c r="BH1618" s="254"/>
      <c r="BI1618" s="254"/>
    </row>
    <row r="1619" spans="1:61" customFormat="1" ht="18" x14ac:dyDescent="0.25">
      <c r="A1619" s="523" t="s">
        <v>4328</v>
      </c>
      <c r="B1619" s="235"/>
      <c r="C1619" s="676"/>
      <c r="D1619" s="255" t="s">
        <v>1017</v>
      </c>
      <c r="E1619" s="236"/>
      <c r="F1619" s="236"/>
      <c r="G1619" s="236"/>
      <c r="H1619" s="582" t="s">
        <v>496</v>
      </c>
      <c r="I1619" s="498" t="s">
        <v>3920</v>
      </c>
      <c r="J1619" s="237"/>
      <c r="K1619" s="237"/>
      <c r="L1619" s="274"/>
      <c r="M1619" s="670" t="s">
        <v>4973</v>
      </c>
      <c r="N1619" s="681" t="str">
        <f>IF(AND(ISTEXT($A1619), ISERROR($A1619+0)), HYPERLINK($BF1619, "Images"), "")</f>
        <v>Images</v>
      </c>
      <c r="O1619" s="663" t="s">
        <v>4967</v>
      </c>
      <c r="P1619" s="253"/>
      <c r="Q1619" s="238"/>
      <c r="R1619" s="239"/>
      <c r="S1619" s="275"/>
      <c r="T1619" s="508">
        <f t="shared" si="1257"/>
        <v>0</v>
      </c>
      <c r="U1619" s="225" t="str">
        <f>IF(NOT(ISNUMBER(G1619)), "", VLOOKUP(A1619,'Discount Lookup'!D:E,2,FALSE)*G1619)</f>
        <v/>
      </c>
      <c r="V1619" s="225" t="str">
        <f>IF(NOT(ISNUMBER(G1619)), "", VLOOKUP(A1619,'Discount Lookup'!G:H,2,FALSE)*G1619)</f>
        <v/>
      </c>
      <c r="W1619" s="508">
        <f t="shared" si="1258"/>
        <v>0</v>
      </c>
      <c r="X1619" s="508" t="str">
        <f t="shared" si="1259"/>
        <v>Yellow to Chartreuse bloom</v>
      </c>
      <c r="Y1619" s="509" t="b">
        <f t="shared" si="1260"/>
        <v>0</v>
      </c>
      <c r="Z1619" s="510">
        <f t="shared" si="1261"/>
        <v>0</v>
      </c>
      <c r="AA1619" s="511"/>
      <c r="AB1619" s="511" t="str">
        <f t="shared" si="1262"/>
        <v/>
      </c>
      <c r="AC1619" s="698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698"/>
      <c r="AE1619" s="631" t="str">
        <f t="shared" si="1263"/>
        <v/>
      </c>
      <c r="AF1619" s="699" t="str">
        <f t="shared" si="1264"/>
        <v/>
      </c>
      <c r="AG1619" s="699"/>
      <c r="AH1619" s="699"/>
      <c r="AI1619" s="512">
        <f>IF(H1619="credit",0,IF(AE1619="free",0,IF(AE1619="me",0,IF(G1619&gt;0,(VLOOKUP(A1619,'Discount Lookup'!J:K,2)*G1619),0))))</f>
        <v>0</v>
      </c>
      <c r="AJ1619" s="513" t="str">
        <f t="shared" ca="1" si="1265"/>
        <v/>
      </c>
      <c r="AK1619" s="700" t="str">
        <f t="shared" si="1266"/>
        <v/>
      </c>
      <c r="AL1619" s="700"/>
      <c r="AM1619" s="505" t="str">
        <f t="shared" si="1267"/>
        <v/>
      </c>
      <c r="AN1619" s="506"/>
      <c r="AO1619" s="507"/>
      <c r="AP1619" s="507"/>
      <c r="AQ1619" s="507"/>
      <c r="AR1619" s="507"/>
      <c r="AS1619" s="507"/>
      <c r="AT1619" s="507"/>
      <c r="AU1619" s="507"/>
      <c r="AV1619" s="225"/>
      <c r="AW1619" s="508"/>
      <c r="AX1619" s="225"/>
      <c r="AY1619" s="225"/>
      <c r="AZ1619" s="225"/>
      <c r="BA1619" s="225"/>
      <c r="BB1619" s="225"/>
      <c r="BC1619" s="56"/>
      <c r="BD1619" s="56"/>
      <c r="BE1619" s="56"/>
      <c r="BF1619" s="107" t="str">
        <f t="shared" si="1268"/>
        <v>https://www.google.com/search?tbm=isch&amp;q=Golden%20Spring%20Winterhazel%20Corylopsis%20spicata%20%27Golden%20Spring%27%20PP%2313821</v>
      </c>
      <c r="BG1619" s="107" t="str">
        <f t="shared" si="1269"/>
        <v>G</v>
      </c>
      <c r="BH1619" s="254"/>
      <c r="BI1619" s="254"/>
    </row>
    <row r="1620" spans="1:61" customFormat="1" ht="27" x14ac:dyDescent="0.25">
      <c r="A1620" s="276">
        <v>7</v>
      </c>
      <c r="B1620" s="240" t="s">
        <v>291</v>
      </c>
      <c r="C1620" s="241" t="s">
        <v>3537</v>
      </c>
      <c r="D1620" s="242" t="s">
        <v>292</v>
      </c>
      <c r="E1620" s="243">
        <v>137.94999999999999</v>
      </c>
      <c r="F1620" s="517" t="s">
        <v>293</v>
      </c>
      <c r="G1620" s="232">
        <v>0</v>
      </c>
      <c r="H1620" s="661" t="str">
        <f>IF(G1620=0,"",IF(F1620="Buy",IF(G1620=1,"plant","plants"),IF(F1620&gt;0.01,"warranty","Error")))</f>
        <v/>
      </c>
      <c r="I1620" s="244">
        <f>IF(H1620="free",0,IF(H1620="credit",((E1620*(F1620))*G1620*-1),IF(F1620="Buy",(E1620*G1620),((E1620*(1-F1620))*G1620))))</f>
        <v>0</v>
      </c>
      <c r="J1620" s="244">
        <f>IF(H1620="warranty",0,(I1620*(_xlfn.SINGLE(SalesTaxPercentage))))</f>
        <v>0</v>
      </c>
      <c r="K1620" s="696">
        <f t="shared" ref="K1620" si="1271">I1620+J1620</f>
        <v>0</v>
      </c>
      <c r="L1620" s="696"/>
      <c r="M1620" s="659" t="str">
        <f>IF(AND(G1620&gt;0,E1620=0),"WARNING - no PRICE inserted",IF(H1620="free"," FREE ~ no charge this plant",IF(H1620="credit",CONCATENATE(" -$",ROUND(K1620*(1-T2GDiscount)*-1,2)," CREDIT after discount"),IF(T2GDiscount=0,"",IF(G1620=0,"",IF(F1620="Buy",CONCATENATE(" $",ROUND(K1620*(1-T2GDiscount),2)," with ",(T2GDiscount*100),"% discount"),CONCATENATE(" $",ROUND(K1620*(1-T2GDiscount),2)," with ",((T2GDiscount*100+F1620*100)-(T2GDiscount*100*F1620)),IF(F1620&gt;0,"% discounts",IF(NoWarrantyDiscount&gt;0,"% discounts","% discount")))))))))</f>
        <v/>
      </c>
      <c r="N1620" s="660"/>
      <c r="O1620" s="233"/>
      <c r="P1620" s="233"/>
      <c r="Q1620" s="233"/>
      <c r="R1620" s="233"/>
      <c r="S1620" s="233"/>
      <c r="T1620" s="508">
        <f t="shared" si="1257"/>
        <v>0</v>
      </c>
      <c r="U1620" s="225">
        <f>IF(NOT(ISNUMBER(G1620)), "", VLOOKUP(A1620,'Discount Lookup'!D:E,2,FALSE)*G1620)</f>
        <v>0</v>
      </c>
      <c r="V1620" s="225">
        <f>IF(NOT(ISNUMBER(G1620)), "", VLOOKUP(A1620,'Discount Lookup'!G:H,2,FALSE)*G1620)</f>
        <v>0</v>
      </c>
      <c r="W1620" s="508">
        <f t="shared" si="1258"/>
        <v>0</v>
      </c>
      <c r="X1620" s="508">
        <f t="shared" si="1259"/>
        <v>0</v>
      </c>
      <c r="Y1620" s="509" t="b">
        <f t="shared" si="1260"/>
        <v>0</v>
      </c>
      <c r="Z1620" s="510">
        <f t="shared" si="1261"/>
        <v>0</v>
      </c>
      <c r="AA1620" s="511"/>
      <c r="AB1620" s="511" t="str">
        <f t="shared" si="1262"/>
        <v/>
      </c>
      <c r="AC1620" s="698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698"/>
      <c r="AE1620" s="631" t="str">
        <f t="shared" si="1263"/>
        <v/>
      </c>
      <c r="AF1620" s="699" t="str">
        <f t="shared" si="1264"/>
        <v/>
      </c>
      <c r="AG1620" s="699"/>
      <c r="AH1620" s="699"/>
      <c r="AI1620" s="512">
        <f>IF(H1620="credit",0,IF(AE1620="free",0,IF(AE1620="me",0,IF(G1620&gt;0,(VLOOKUP(A1620,'Discount Lookup'!J:K,2)*G1620),0))))</f>
        <v>0</v>
      </c>
      <c r="AJ1620" s="513" t="str">
        <f t="shared" ca="1" si="1265"/>
        <v/>
      </c>
      <c r="AK1620" s="700" t="str">
        <f t="shared" si="1266"/>
        <v/>
      </c>
      <c r="AL1620" s="700"/>
      <c r="AM1620" s="505" t="str">
        <f t="shared" si="1267"/>
        <v/>
      </c>
      <c r="AN1620" s="506"/>
      <c r="AO1620" s="507"/>
      <c r="AP1620" s="507"/>
      <c r="AQ1620" s="507"/>
      <c r="AR1620" s="507"/>
      <c r="AS1620" s="507"/>
      <c r="AT1620" s="507"/>
      <c r="AU1620" s="507"/>
      <c r="AV1620" s="225"/>
      <c r="AW1620" s="508"/>
      <c r="AX1620" s="225"/>
      <c r="AY1620" s="225"/>
      <c r="AZ1620" s="225"/>
      <c r="BA1620" s="225"/>
      <c r="BB1620" s="225"/>
      <c r="BC1620" s="56"/>
      <c r="BD1620" s="56"/>
      <c r="BE1620" s="56"/>
      <c r="BF1620" s="107" t="str">
        <f t="shared" si="1268"/>
        <v>https://www.google.com/search?tbm=isch&amp;q=7%20G4</v>
      </c>
      <c r="BG1620" s="107" t="str">
        <f t="shared" si="1269"/>
        <v>G</v>
      </c>
      <c r="BH1620" s="254"/>
      <c r="BI1620" s="254"/>
    </row>
    <row r="1621" spans="1:61" customFormat="1" ht="17.25" thickBot="1" x14ac:dyDescent="0.3">
      <c r="A1621" s="524" t="s">
        <v>3921</v>
      </c>
      <c r="B1621" s="245"/>
      <c r="C1621" s="677"/>
      <c r="D1621" s="499"/>
      <c r="E1621" s="499"/>
      <c r="F1621" s="500"/>
      <c r="G1621" s="501"/>
      <c r="H1621" s="502"/>
      <c r="I1621" s="246"/>
      <c r="J1621" s="247"/>
      <c r="K1621" s="503"/>
      <c r="L1621" s="544"/>
      <c r="M1621" s="544"/>
      <c r="N1621" s="500"/>
      <c r="O1621" s="500"/>
      <c r="P1621" s="500"/>
      <c r="Q1621" s="500"/>
      <c r="R1621" s="500"/>
      <c r="S1621" s="278"/>
      <c r="T1621" s="508">
        <f t="shared" si="1257"/>
        <v>0</v>
      </c>
      <c r="U1621" s="225" t="str">
        <f>IF(NOT(ISNUMBER(G1621)), "", VLOOKUP(A1621,'Discount Lookup'!D:E,2,FALSE)*G1621)</f>
        <v/>
      </c>
      <c r="V1621" s="225" t="str">
        <f>IF(NOT(ISNUMBER(G1621)), "", VLOOKUP(A1621,'Discount Lookup'!G:H,2,FALSE)*G1621)</f>
        <v/>
      </c>
      <c r="W1621" s="508">
        <f t="shared" si="1258"/>
        <v>0</v>
      </c>
      <c r="X1621" s="508">
        <f t="shared" si="1259"/>
        <v>0</v>
      </c>
      <c r="Y1621" s="509" t="b">
        <f t="shared" si="1260"/>
        <v>0</v>
      </c>
      <c r="Z1621" s="510">
        <f t="shared" si="1261"/>
        <v>0</v>
      </c>
      <c r="AA1621" s="511"/>
      <c r="AB1621" s="511" t="str">
        <f t="shared" si="1262"/>
        <v/>
      </c>
      <c r="AC1621" s="698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698"/>
      <c r="AE1621" s="631" t="str">
        <f t="shared" si="1263"/>
        <v/>
      </c>
      <c r="AF1621" s="699" t="str">
        <f t="shared" si="1264"/>
        <v/>
      </c>
      <c r="AG1621" s="699"/>
      <c r="AH1621" s="699"/>
      <c r="AI1621" s="512">
        <f>IF(H1621="credit",0,IF(AE1621="free",0,IF(AE1621="me",0,IF(G1621&gt;0,(VLOOKUP(A1621,'Discount Lookup'!J:K,2)*G1621),0))))</f>
        <v>0</v>
      </c>
      <c r="AJ1621" s="513" t="str">
        <f t="shared" ca="1" si="1265"/>
        <v/>
      </c>
      <c r="AK1621" s="700" t="str">
        <f t="shared" si="1266"/>
        <v/>
      </c>
      <c r="AL1621" s="700"/>
      <c r="AM1621" s="505" t="str">
        <f t="shared" si="1267"/>
        <v/>
      </c>
      <c r="AN1621" s="506"/>
      <c r="AO1621" s="507"/>
      <c r="AP1621" s="507"/>
      <c r="AQ1621" s="507"/>
      <c r="AR1621" s="507"/>
      <c r="AS1621" s="507"/>
      <c r="AT1621" s="507"/>
      <c r="AU1621" s="507"/>
      <c r="AV1621" s="225"/>
      <c r="AW1621" s="508"/>
      <c r="AX1621" s="225"/>
      <c r="AY1621" s="225"/>
      <c r="AZ1621" s="225"/>
      <c r="BA1621" s="225"/>
      <c r="BB1621" s="225"/>
      <c r="BC1621" s="56"/>
      <c r="BD1621" s="56"/>
      <c r="BE1621" s="56"/>
      <c r="BF1621" s="107" t="str">
        <f t="shared" si="1268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621" s="107" t="str">
        <f t="shared" si="1269"/>
        <v>G</v>
      </c>
      <c r="BH1621" s="254"/>
      <c r="BI1621" s="254"/>
    </row>
    <row r="1622" spans="1:61" customFormat="1" ht="18" x14ac:dyDescent="0.25">
      <c r="A1622" s="523" t="s">
        <v>1018</v>
      </c>
      <c r="B1622" s="235"/>
      <c r="C1622" s="676"/>
      <c r="D1622" s="255" t="s">
        <v>1019</v>
      </c>
      <c r="E1622" s="236"/>
      <c r="F1622" s="236"/>
      <c r="G1622" s="236"/>
      <c r="H1622" s="582" t="s">
        <v>4096</v>
      </c>
      <c r="I1622" s="498" t="s">
        <v>671</v>
      </c>
      <c r="J1622" s="237"/>
      <c r="K1622" s="237"/>
      <c r="L1622" s="274"/>
      <c r="M1622" s="670" t="s">
        <v>4987</v>
      </c>
      <c r="N1622" s="681" t="str">
        <f>IF(AND(ISTEXT($A1622), ISERROR($A1622+0)), HYPERLINK($BF1622, "Images"), "")</f>
        <v>Images</v>
      </c>
      <c r="O1622" s="663" t="s">
        <v>4971</v>
      </c>
      <c r="P1622" s="253"/>
      <c r="Q1622" s="238"/>
      <c r="R1622" s="239"/>
      <c r="S1622" s="275"/>
      <c r="T1622" s="508">
        <f t="shared" si="1257"/>
        <v>0</v>
      </c>
      <c r="U1622" s="225" t="str">
        <f>IF(NOT(ISNUMBER(G1622)), "", VLOOKUP(A1622,'Discount Lookup'!D:E,2,FALSE)*G1622)</f>
        <v/>
      </c>
      <c r="V1622" s="225" t="str">
        <f>IF(NOT(ISNUMBER(G1622)), "", VLOOKUP(A1622,'Discount Lookup'!G:H,2,FALSE)*G1622)</f>
        <v/>
      </c>
      <c r="W1622" s="508">
        <f t="shared" si="1258"/>
        <v>0</v>
      </c>
      <c r="X1622" s="508" t="str">
        <f t="shared" si="1259"/>
        <v>Lavender-Purple bloom</v>
      </c>
      <c r="Y1622" s="509" t="b">
        <f t="shared" si="1260"/>
        <v>0</v>
      </c>
      <c r="Z1622" s="510">
        <f t="shared" si="1261"/>
        <v>0</v>
      </c>
      <c r="AA1622" s="511"/>
      <c r="AB1622" s="511" t="str">
        <f t="shared" si="1262"/>
        <v/>
      </c>
      <c r="AC1622" s="698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698"/>
      <c r="AE1622" s="631" t="str">
        <f t="shared" si="1263"/>
        <v/>
      </c>
      <c r="AF1622" s="699" t="str">
        <f t="shared" si="1264"/>
        <v/>
      </c>
      <c r="AG1622" s="699"/>
      <c r="AH1622" s="699"/>
      <c r="AI1622" s="512">
        <f>IF(H1622="credit",0,IF(AE1622="free",0,IF(AE1622="me",0,IF(G1622&gt;0,(VLOOKUP(A1622,'Discount Lookup'!J:K,2)*G1622),0))))</f>
        <v>0</v>
      </c>
      <c r="AJ1622" s="513" t="str">
        <f t="shared" ca="1" si="1265"/>
        <v/>
      </c>
      <c r="AK1622" s="700" t="str">
        <f t="shared" si="1266"/>
        <v/>
      </c>
      <c r="AL1622" s="700"/>
      <c r="AM1622" s="505" t="str">
        <f t="shared" si="1267"/>
        <v/>
      </c>
      <c r="AN1622" s="506"/>
      <c r="AO1622" s="507"/>
      <c r="AP1622" s="507"/>
      <c r="AQ1622" s="507"/>
      <c r="AR1622" s="507"/>
      <c r="AS1622" s="507"/>
      <c r="AT1622" s="507"/>
      <c r="AU1622" s="507"/>
      <c r="AV1622" s="225"/>
      <c r="AW1622" s="508"/>
      <c r="AX1622" s="225"/>
      <c r="AY1622" s="225"/>
      <c r="AZ1622" s="225"/>
      <c r="BA1622" s="225"/>
      <c r="BB1622" s="225"/>
      <c r="BC1622" s="56"/>
      <c r="BD1622" s="56"/>
      <c r="BE1622" s="56"/>
      <c r="BF1622" s="107" t="str">
        <f t="shared" si="1268"/>
        <v>https://www.google.com/search?tbm=isch&amp;q=Golden%20Tiara%20Hosta%20Hosta%20%27Golden%20Tiara%27</v>
      </c>
      <c r="BG1622" s="107" t="str">
        <f t="shared" si="1269"/>
        <v>G</v>
      </c>
      <c r="BH1622" s="254"/>
      <c r="BI1622" s="254"/>
    </row>
    <row r="1623" spans="1:61" customFormat="1" ht="15.75" x14ac:dyDescent="0.25">
      <c r="A1623" s="276">
        <v>1</v>
      </c>
      <c r="B1623" s="240" t="s">
        <v>291</v>
      </c>
      <c r="C1623" s="241" t="s">
        <v>1020</v>
      </c>
      <c r="D1623" s="242" t="s">
        <v>299</v>
      </c>
      <c r="E1623" s="243">
        <v>10.95</v>
      </c>
      <c r="F1623" s="517" t="s">
        <v>293</v>
      </c>
      <c r="G1623" s="232">
        <v>0</v>
      </c>
      <c r="H1623" s="661" t="str">
        <f>IF(G1623=0,"",IF(F1623="Buy",IF(G1623=1,"plant","plants"),IF(F1623&gt;0.01,"warranty","Error")))</f>
        <v/>
      </c>
      <c r="I1623" s="244">
        <f>IF(H1623="free",0,IF(H1623="credit",((E1623*(F1623))*G1623*-1),IF(F1623="Buy",(E1623*G1623),((E1623*(1-F1623))*G1623))))</f>
        <v>0</v>
      </c>
      <c r="J1623" s="244">
        <f>IF(H1623="warranty",0,(I1623*(_xlfn.SINGLE(SalesTaxPercentage))))</f>
        <v>0</v>
      </c>
      <c r="K1623" s="696">
        <f t="shared" ref="K1623" si="1272">I1623+J1623</f>
        <v>0</v>
      </c>
      <c r="L1623" s="696"/>
      <c r="M1623" s="659" t="str">
        <f>IF(AND(G1623&gt;0,E1623=0),"WARNING - no PRICE inserted",IF(H1623="free"," FREE ~ no charge this plant",IF(H1623="credit",CONCATENATE(" -$",ROUND(K1623*(1-T2GDiscount)*-1,2)," CREDIT after discount"),IF(T2GDiscount=0,"",IF(G1623=0,"",IF(F1623="Buy",CONCATENATE(" $",ROUND(K1623*(1-T2GDiscount),2)," with ",(T2GDiscount*100),"% discount"),CONCATENATE(" $",ROUND(K1623*(1-T2GDiscount),2)," with ",((T2GDiscount*100+F1623*100)-(T2GDiscount*100*F1623)),IF(F1623&gt;0,"% discounts",IF(NoWarrantyDiscount&gt;0,"% discounts","% discount")))))))))</f>
        <v/>
      </c>
      <c r="N1623" s="660"/>
      <c r="O1623" s="233"/>
      <c r="P1623" s="233"/>
      <c r="Q1623" s="233"/>
      <c r="R1623" s="233"/>
      <c r="S1623" s="233"/>
      <c r="T1623" s="508">
        <f t="shared" si="1257"/>
        <v>0</v>
      </c>
      <c r="U1623" s="225">
        <f>IF(NOT(ISNUMBER(G1623)), "", VLOOKUP(A1623,'Discount Lookup'!D:E,2,FALSE)*G1623)</f>
        <v>0</v>
      </c>
      <c r="V1623" s="225">
        <f>IF(NOT(ISNUMBER(G1623)), "", VLOOKUP(A1623,'Discount Lookup'!G:H,2,FALSE)*G1623)</f>
        <v>0</v>
      </c>
      <c r="W1623" s="508">
        <f t="shared" si="1258"/>
        <v>0</v>
      </c>
      <c r="X1623" s="508">
        <f t="shared" si="1259"/>
        <v>0</v>
      </c>
      <c r="Y1623" s="509" t="b">
        <f t="shared" si="1260"/>
        <v>0</v>
      </c>
      <c r="Z1623" s="510">
        <f t="shared" si="1261"/>
        <v>0</v>
      </c>
      <c r="AA1623" s="511"/>
      <c r="AB1623" s="511" t="str">
        <f t="shared" si="1262"/>
        <v/>
      </c>
      <c r="AC1623" s="698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698"/>
      <c r="AE1623" s="631" t="str">
        <f t="shared" si="1263"/>
        <v/>
      </c>
      <c r="AF1623" s="699" t="str">
        <f t="shared" si="1264"/>
        <v/>
      </c>
      <c r="AG1623" s="699"/>
      <c r="AH1623" s="699"/>
      <c r="AI1623" s="512">
        <f>IF(H1623="credit",0,IF(AE1623="free",0,IF(AE1623="me",0,IF(G1623&gt;0,(VLOOKUP(A1623,'Discount Lookup'!J:K,2)*G1623),0))))</f>
        <v>0</v>
      </c>
      <c r="AJ1623" s="513" t="str">
        <f t="shared" ca="1" si="1265"/>
        <v/>
      </c>
      <c r="AK1623" s="700" t="str">
        <f t="shared" si="1266"/>
        <v/>
      </c>
      <c r="AL1623" s="700"/>
      <c r="AM1623" s="505" t="str">
        <f t="shared" si="1267"/>
        <v/>
      </c>
      <c r="AN1623" s="506"/>
      <c r="AO1623" s="507"/>
      <c r="AP1623" s="507"/>
      <c r="AQ1623" s="507"/>
      <c r="AR1623" s="507"/>
      <c r="AS1623" s="507"/>
      <c r="AT1623" s="507"/>
      <c r="AU1623" s="507"/>
      <c r="AV1623" s="225"/>
      <c r="AW1623" s="508"/>
      <c r="AX1623" s="225"/>
      <c r="AY1623" s="225"/>
      <c r="AZ1623" s="225"/>
      <c r="BA1623" s="225"/>
      <c r="BB1623" s="225"/>
      <c r="BC1623" s="56"/>
      <c r="BD1623" s="56"/>
      <c r="BE1623" s="56"/>
      <c r="BF1623" s="107" t="str">
        <f t="shared" si="1268"/>
        <v>https://www.google.com/search?tbm=isch&amp;q=1%20G5</v>
      </c>
      <c r="BG1623" s="107" t="str">
        <f t="shared" si="1269"/>
        <v>G</v>
      </c>
      <c r="BH1623" s="254"/>
      <c r="BI1623" s="254"/>
    </row>
    <row r="1624" spans="1:61" customFormat="1" ht="15.75" x14ac:dyDescent="0.25">
      <c r="A1624" s="276">
        <v>4</v>
      </c>
      <c r="B1624" s="240" t="s">
        <v>340</v>
      </c>
      <c r="C1624" s="241"/>
      <c r="D1624" s="242" t="s">
        <v>312</v>
      </c>
      <c r="E1624" s="243">
        <v>14.95</v>
      </c>
      <c r="F1624" s="517" t="s">
        <v>293</v>
      </c>
      <c r="G1624" s="232">
        <v>0</v>
      </c>
      <c r="H1624" s="661" t="str">
        <f>IF(G1624=0,"",IF(F1624="Buy",IF(G1624=1,"plant","plants"),IF(F1624&gt;0.01,"warranty","Error")))</f>
        <v/>
      </c>
      <c r="I1624" s="244">
        <f>IF(H1624="free",0,IF(H1624="credit",((E1624*(F1624))*G1624*-1),IF(F1624="Buy",(E1624*G1624),((E1624*(1-F1624))*G1624))))</f>
        <v>0</v>
      </c>
      <c r="J1624" s="244">
        <f>IF(H1624="warranty",0,(I1624*(_xlfn.SINGLE(SalesTaxPercentage))))</f>
        <v>0</v>
      </c>
      <c r="K1624" s="696">
        <f t="shared" ref="K1624" si="1273">I1624+J1624</f>
        <v>0</v>
      </c>
      <c r="L1624" s="696"/>
      <c r="M1624" s="659" t="str">
        <f>IF(AND(G1624&gt;0,E1624=0),"WARNING - no PRICE inserted",IF(H1624="free"," FREE ~ no charge this plant",IF(H1624="credit",CONCATENATE(" -$",ROUND(K1624*(1-T2GDiscount)*-1,2)," CREDIT after discount"),IF(T2GDiscount=0,"",IF(G1624=0,"",IF(F1624="Buy",CONCATENATE(" $",ROUND(K1624*(1-T2GDiscount),2)," with ",(T2GDiscount*100),"% discount"),CONCATENATE(" $",ROUND(K1624*(1-T2GDiscount),2)," with ",((T2GDiscount*100+F1624*100)-(T2GDiscount*100*F1624)),IF(F1624&gt;0,"% discounts",IF(NoWarrantyDiscount&gt;0,"% discounts","% discount")))))))))</f>
        <v/>
      </c>
      <c r="N1624" s="660"/>
      <c r="O1624" s="233"/>
      <c r="P1624" s="233"/>
      <c r="Q1624" s="233"/>
      <c r="R1624" s="233"/>
      <c r="S1624" s="233"/>
      <c r="T1624" s="508">
        <f t="shared" si="1257"/>
        <v>0</v>
      </c>
      <c r="U1624" s="225">
        <f>IF(NOT(ISNUMBER(G1624)), "", VLOOKUP(A1624,'Discount Lookup'!D:E,2,FALSE)*G1624)</f>
        <v>0</v>
      </c>
      <c r="V1624" s="225">
        <f>IF(NOT(ISNUMBER(G1624)), "", VLOOKUP(A1624,'Discount Lookup'!G:H,2,FALSE)*G1624)</f>
        <v>0</v>
      </c>
      <c r="W1624" s="508">
        <f t="shared" si="1258"/>
        <v>0</v>
      </c>
      <c r="X1624" s="508">
        <f t="shared" si="1259"/>
        <v>0</v>
      </c>
      <c r="Y1624" s="509" t="b">
        <f t="shared" si="1260"/>
        <v>0</v>
      </c>
      <c r="Z1624" s="510">
        <f t="shared" si="1261"/>
        <v>0</v>
      </c>
      <c r="AA1624" s="511"/>
      <c r="AB1624" s="511" t="str">
        <f t="shared" si="1262"/>
        <v/>
      </c>
      <c r="AC1624" s="698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698"/>
      <c r="AE1624" s="631" t="str">
        <f t="shared" si="1263"/>
        <v/>
      </c>
      <c r="AF1624" s="699" t="str">
        <f t="shared" si="1264"/>
        <v/>
      </c>
      <c r="AG1624" s="699"/>
      <c r="AH1624" s="699"/>
      <c r="AI1624" s="512">
        <f>IF(H1624="credit",0,IF(AE1624="free",0,IF(AE1624="me",0,IF(G1624&gt;0,(VLOOKUP(A1624,'Discount Lookup'!J:K,2)*G1624),0))))</f>
        <v>0</v>
      </c>
      <c r="AJ1624" s="513" t="str">
        <f t="shared" ca="1" si="1265"/>
        <v/>
      </c>
      <c r="AK1624" s="700" t="str">
        <f t="shared" si="1266"/>
        <v/>
      </c>
      <c r="AL1624" s="700"/>
      <c r="AM1624" s="505" t="str">
        <f t="shared" si="1267"/>
        <v/>
      </c>
      <c r="AN1624" s="506"/>
      <c r="AO1624" s="507"/>
      <c r="AP1624" s="507"/>
      <c r="AQ1624" s="507"/>
      <c r="AR1624" s="507"/>
      <c r="AS1624" s="507"/>
      <c r="AT1624" s="507"/>
      <c r="AU1624" s="507"/>
      <c r="AV1624" s="225"/>
      <c r="AW1624" s="508"/>
      <c r="AX1624" s="225"/>
      <c r="AY1624" s="225"/>
      <c r="AZ1624" s="225"/>
      <c r="BA1624" s="225"/>
      <c r="BB1624" s="225"/>
      <c r="BC1624" s="56"/>
      <c r="BD1624" s="56"/>
      <c r="BE1624" s="56"/>
      <c r="BF1624" s="107" t="str">
        <f t="shared" si="1268"/>
        <v>https://www.google.com/search?tbm=isch&amp;q=4%20G2</v>
      </c>
      <c r="BG1624" s="107" t="str">
        <f t="shared" si="1269"/>
        <v>G</v>
      </c>
      <c r="BH1624" s="254"/>
      <c r="BI1624" s="254"/>
    </row>
    <row r="1625" spans="1:61" customFormat="1" ht="17.25" thickBot="1" x14ac:dyDescent="0.3">
      <c r="A1625" s="673" t="s">
        <v>5126</v>
      </c>
      <c r="B1625" s="245"/>
      <c r="C1625" s="677"/>
      <c r="D1625" s="499"/>
      <c r="E1625" s="499"/>
      <c r="F1625" s="500"/>
      <c r="G1625" s="501"/>
      <c r="H1625" s="502"/>
      <c r="I1625" s="246"/>
      <c r="J1625" s="247"/>
      <c r="K1625" s="503"/>
      <c r="L1625" s="544"/>
      <c r="M1625" s="544"/>
      <c r="N1625" s="500"/>
      <c r="O1625" s="500"/>
      <c r="P1625" s="500"/>
      <c r="Q1625" s="500"/>
      <c r="R1625" s="500"/>
      <c r="S1625" s="669" t="s">
        <v>4977</v>
      </c>
      <c r="T1625" s="508">
        <f t="shared" si="1257"/>
        <v>0</v>
      </c>
      <c r="U1625" s="225" t="str">
        <f>IF(NOT(ISNUMBER(G1625)), "", VLOOKUP(A1625,'Discount Lookup'!D:E,2,FALSE)*G1625)</f>
        <v/>
      </c>
      <c r="V1625" s="225" t="str">
        <f>IF(NOT(ISNUMBER(G1625)), "", VLOOKUP(A1625,'Discount Lookup'!G:H,2,FALSE)*G1625)</f>
        <v/>
      </c>
      <c r="W1625" s="508">
        <f t="shared" si="1258"/>
        <v>0</v>
      </c>
      <c r="X1625" s="508">
        <f t="shared" si="1259"/>
        <v>0</v>
      </c>
      <c r="Y1625" s="509" t="b">
        <f t="shared" si="1260"/>
        <v>0</v>
      </c>
      <c r="Z1625" s="510">
        <f t="shared" si="1261"/>
        <v>0</v>
      </c>
      <c r="AA1625" s="511"/>
      <c r="AB1625" s="511" t="str">
        <f t="shared" si="1262"/>
        <v/>
      </c>
      <c r="AC1625" s="698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698"/>
      <c r="AE1625" s="631" t="str">
        <f t="shared" si="1263"/>
        <v/>
      </c>
      <c r="AF1625" s="699" t="str">
        <f t="shared" si="1264"/>
        <v/>
      </c>
      <c r="AG1625" s="699"/>
      <c r="AH1625" s="699"/>
      <c r="AI1625" s="512">
        <f>IF(H1625="credit",0,IF(AE1625="free",0,IF(AE1625="me",0,IF(G1625&gt;0,(VLOOKUP(A1625,'Discount Lookup'!J:K,2)*G1625),0))))</f>
        <v>0</v>
      </c>
      <c r="AJ1625" s="513" t="str">
        <f t="shared" ca="1" si="1265"/>
        <v/>
      </c>
      <c r="AK1625" s="700" t="str">
        <f t="shared" si="1266"/>
        <v/>
      </c>
      <c r="AL1625" s="700"/>
      <c r="AM1625" s="505" t="str">
        <f t="shared" si="1267"/>
        <v/>
      </c>
      <c r="AN1625" s="506"/>
      <c r="AO1625" s="507"/>
      <c r="AP1625" s="507"/>
      <c r="AQ1625" s="507"/>
      <c r="AR1625" s="507"/>
      <c r="AS1625" s="507"/>
      <c r="AT1625" s="507"/>
      <c r="AU1625" s="507"/>
      <c r="AV1625" s="225"/>
      <c r="AW1625" s="508"/>
      <c r="AX1625" s="225"/>
      <c r="AY1625" s="225"/>
      <c r="AZ1625" s="225"/>
      <c r="BA1625" s="225"/>
      <c r="BB1625" s="225"/>
      <c r="BC1625" s="56"/>
      <c r="BD1625" s="56"/>
      <c r="BE1625" s="56"/>
      <c r="BF1625" s="107" t="str">
        <f t="shared" si="1268"/>
        <v>https://www.google.com/search?tbm=isch&amp;q=moist%20sites%F0%9F%92%A7OK%2C%20Golden%20Tiara%20Hosta%20has%20cheerful%2C%20heart-shaped%20leaves%20with%20a%20striking%20Golden-Yellow%20margin%20</v>
      </c>
      <c r="BG1625" s="107" t="str">
        <f t="shared" si="1269"/>
        <v>m</v>
      </c>
      <c r="BH1625" s="254"/>
      <c r="BI1625" s="254"/>
    </row>
    <row r="1626" spans="1:61" customFormat="1" ht="18" x14ac:dyDescent="0.25">
      <c r="A1626" s="521" t="s">
        <v>1021</v>
      </c>
      <c r="B1626" s="477"/>
      <c r="C1626" s="674"/>
      <c r="D1626" s="478" t="s">
        <v>1022</v>
      </c>
      <c r="E1626" s="479"/>
      <c r="F1626" s="479"/>
      <c r="G1626" s="479"/>
      <c r="H1626" s="582" t="s">
        <v>463</v>
      </c>
      <c r="I1626" s="480" t="s">
        <v>2293</v>
      </c>
      <c r="J1626" s="479"/>
      <c r="K1626" s="479"/>
      <c r="L1626" s="560"/>
      <c r="M1626" s="666" t="s">
        <v>4966</v>
      </c>
      <c r="N1626" s="680" t="str">
        <f>IF(AND(ISTEXT($A1626), ISERROR($A1626+0)), HYPERLINK($BF1626, "Images"), "")</f>
        <v>Images</v>
      </c>
      <c r="O1626" s="662" t="s">
        <v>4967</v>
      </c>
      <c r="P1626" s="482"/>
      <c r="Q1626" s="483"/>
      <c r="R1626" s="483"/>
      <c r="S1626" s="484"/>
      <c r="T1626" s="508">
        <f t="shared" si="1257"/>
        <v>0</v>
      </c>
      <c r="U1626" s="225" t="str">
        <f>IF(NOT(ISNUMBER(G1626)), "", VLOOKUP(A1626,'Discount Lookup'!D:E,2,FALSE)*G1626)</f>
        <v/>
      </c>
      <c r="V1626" s="225" t="str">
        <f>IF(NOT(ISNUMBER(G1626)), "", VLOOKUP(A1626,'Discount Lookup'!G:H,2,FALSE)*G1626)</f>
        <v/>
      </c>
      <c r="W1626" s="508">
        <f t="shared" si="1258"/>
        <v>0</v>
      </c>
      <c r="X1626" s="508" t="str">
        <f t="shared" si="1259"/>
        <v>Golden-Yellow foliage</v>
      </c>
      <c r="Y1626" s="509" t="b">
        <f t="shared" si="1260"/>
        <v>0</v>
      </c>
      <c r="Z1626" s="510">
        <f t="shared" si="1261"/>
        <v>0</v>
      </c>
      <c r="AA1626" s="511"/>
      <c r="AB1626" s="511" t="str">
        <f t="shared" si="1262"/>
        <v/>
      </c>
      <c r="AC1626" s="698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698"/>
      <c r="AE1626" s="631" t="str">
        <f t="shared" si="1263"/>
        <v/>
      </c>
      <c r="AF1626" s="699" t="str">
        <f t="shared" si="1264"/>
        <v/>
      </c>
      <c r="AG1626" s="699"/>
      <c r="AH1626" s="699"/>
      <c r="AI1626" s="512">
        <f>IF(H1626="credit",0,IF(AE1626="free",0,IF(AE1626="me",0,IF(G1626&gt;0,(VLOOKUP(A1626,'Discount Lookup'!J:K,2)*G1626),0))))</f>
        <v>0</v>
      </c>
      <c r="AJ1626" s="513" t="str">
        <f t="shared" ca="1" si="1265"/>
        <v/>
      </c>
      <c r="AK1626" s="700" t="str">
        <f t="shared" si="1266"/>
        <v/>
      </c>
      <c r="AL1626" s="700"/>
      <c r="AM1626" s="505" t="str">
        <f t="shared" si="1267"/>
        <v/>
      </c>
      <c r="AN1626" s="506"/>
      <c r="AO1626" s="507"/>
      <c r="AP1626" s="507"/>
      <c r="AQ1626" s="507"/>
      <c r="AR1626" s="507"/>
      <c r="AS1626" s="507"/>
      <c r="AT1626" s="507"/>
      <c r="AU1626" s="507"/>
      <c r="AV1626" s="225"/>
      <c r="AW1626" s="508"/>
      <c r="AX1626" s="225"/>
      <c r="AY1626" s="225"/>
      <c r="AZ1626" s="225"/>
      <c r="BA1626" s="225"/>
      <c r="BB1626" s="225"/>
      <c r="BC1626" s="56"/>
      <c r="BD1626" s="56"/>
      <c r="BE1626" s="56"/>
      <c r="BF1626" s="107" t="str">
        <f t="shared" si="1268"/>
        <v>https://www.google.com/search?tbm=isch&amp;q=Golden%20Variegated%20Sawara%20Cypress%20Chamaecyparis%20pisifera%20%27Filifera%20Aureovariegata%27</v>
      </c>
      <c r="BG1626" s="107" t="str">
        <f t="shared" si="1269"/>
        <v>G</v>
      </c>
      <c r="BH1626" s="254"/>
      <c r="BI1626" s="254"/>
    </row>
    <row r="1627" spans="1:61" customFormat="1" ht="27" x14ac:dyDescent="0.25">
      <c r="A1627" s="485">
        <v>45</v>
      </c>
      <c r="B1627" s="486" t="s">
        <v>291</v>
      </c>
      <c r="C1627" s="487" t="s">
        <v>3538</v>
      </c>
      <c r="D1627" s="488" t="s">
        <v>292</v>
      </c>
      <c r="E1627" s="489">
        <v>865.95</v>
      </c>
      <c r="F1627" s="516" t="s">
        <v>293</v>
      </c>
      <c r="G1627" s="232">
        <v>0</v>
      </c>
      <c r="H1627" s="658" t="str">
        <f>IF(G1627=0,"",IF(F1627="Buy",IF(G1627=1,"plant","plants"),IF(F1627&gt;0.01,"warranty","Error")))</f>
        <v/>
      </c>
      <c r="I1627" s="490">
        <f>IF(H1627="free",0,IF(H1627="credit",((E1627*(F1627))*G1627*-1),IF(F1627="Buy",(E1627*G1627),((E1627*(1-F1627))*G1627))))</f>
        <v>0</v>
      </c>
      <c r="J1627" s="490">
        <f>IF(H1627="warranty",0,(I1627*(_xlfn.SINGLE(SalesTaxPercentage))))</f>
        <v>0</v>
      </c>
      <c r="K1627" s="695">
        <f t="shared" ref="K1627" si="1274">I1627+J1627</f>
        <v>0</v>
      </c>
      <c r="L1627" s="695"/>
      <c r="M1627" s="659" t="str">
        <f>IF(AND(G1627&gt;0,E1627=0),"WARNING - no PRICE inserted",IF(H1627="free"," FREE ~ no charge this plant",IF(H1627="credit",CONCATENATE(" -$",ROUND(K1627*(1-T2GDiscount)*-1,2)," CREDIT after discount"),IF(T2GDiscount=0,"",IF(G1627=0,"",IF(F1627="Buy",CONCATENATE(" $",ROUND(K1627*(1-T2GDiscount),2)," with ",(T2GDiscount*100),"% discount"),CONCATENATE(" $",ROUND(K1627*(1-T2GDiscount),2)," with ",((T2GDiscount*100+F1627*100)-(T2GDiscount*100*F1627)),IF(F1627&gt;0,"% discounts",IF(NoWarrantyDiscount&gt;0,"% discounts","% discount")))))))))</f>
        <v/>
      </c>
      <c r="N1627" s="660"/>
      <c r="O1627" s="233"/>
      <c r="P1627" s="233"/>
      <c r="Q1627" s="233"/>
      <c r="R1627" s="233"/>
      <c r="S1627" s="233"/>
      <c r="T1627" s="508">
        <f t="shared" si="1257"/>
        <v>0</v>
      </c>
      <c r="U1627" s="225">
        <f>IF(NOT(ISNUMBER(G1627)), "", VLOOKUP(A1627,'Discount Lookup'!D:E,2,FALSE)*G1627)</f>
        <v>0</v>
      </c>
      <c r="V1627" s="225">
        <f>IF(NOT(ISNUMBER(G1627)), "", VLOOKUP(A1627,'Discount Lookup'!G:H,2,FALSE)*G1627)</f>
        <v>0</v>
      </c>
      <c r="W1627" s="508">
        <f t="shared" si="1258"/>
        <v>0</v>
      </c>
      <c r="X1627" s="508">
        <f t="shared" si="1259"/>
        <v>0</v>
      </c>
      <c r="Y1627" s="509" t="b">
        <f t="shared" si="1260"/>
        <v>0</v>
      </c>
      <c r="Z1627" s="510">
        <f t="shared" si="1261"/>
        <v>0</v>
      </c>
      <c r="AA1627" s="511"/>
      <c r="AB1627" s="511" t="str">
        <f t="shared" si="1262"/>
        <v/>
      </c>
      <c r="AC1627" s="698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698"/>
      <c r="AE1627" s="631" t="str">
        <f t="shared" si="1263"/>
        <v/>
      </c>
      <c r="AF1627" s="699" t="str">
        <f t="shared" si="1264"/>
        <v/>
      </c>
      <c r="AG1627" s="699"/>
      <c r="AH1627" s="699"/>
      <c r="AI1627" s="512">
        <f>IF(H1627="credit",0,IF(AE1627="free",0,IF(AE1627="me",0,IF(G1627&gt;0,(VLOOKUP(A1627,'Discount Lookup'!J:K,2)*G1627),0))))</f>
        <v>0</v>
      </c>
      <c r="AJ1627" s="513" t="str">
        <f t="shared" ca="1" si="1265"/>
        <v/>
      </c>
      <c r="AK1627" s="700" t="str">
        <f t="shared" si="1266"/>
        <v/>
      </c>
      <c r="AL1627" s="700"/>
      <c r="AM1627" s="505" t="str">
        <f t="shared" si="1267"/>
        <v/>
      </c>
      <c r="AN1627" s="506"/>
      <c r="AO1627" s="507"/>
      <c r="AP1627" s="507"/>
      <c r="AQ1627" s="507"/>
      <c r="AR1627" s="507"/>
      <c r="AS1627" s="507"/>
      <c r="AT1627" s="507"/>
      <c r="AU1627" s="507"/>
      <c r="AV1627" s="225"/>
      <c r="AW1627" s="508"/>
      <c r="AX1627" s="225"/>
      <c r="AY1627" s="225"/>
      <c r="AZ1627" s="225"/>
      <c r="BA1627" s="225"/>
      <c r="BB1627" s="225"/>
      <c r="BC1627" s="56"/>
      <c r="BD1627" s="56"/>
      <c r="BE1627" s="56"/>
      <c r="BF1627" s="107" t="str">
        <f t="shared" si="1268"/>
        <v>https://www.google.com/search?tbm=isch&amp;q=45%20G4</v>
      </c>
      <c r="BG1627" s="107" t="str">
        <f t="shared" si="1269"/>
        <v>G</v>
      </c>
      <c r="BH1627" s="254"/>
      <c r="BI1627" s="254"/>
    </row>
    <row r="1628" spans="1:61" customFormat="1" ht="17.25" thickBot="1" x14ac:dyDescent="0.3">
      <c r="A1628" s="672" t="s">
        <v>5127</v>
      </c>
      <c r="B1628" s="491"/>
      <c r="C1628" s="675"/>
      <c r="D1628" s="491"/>
      <c r="E1628" s="491"/>
      <c r="F1628" s="492"/>
      <c r="G1628" s="493"/>
      <c r="H1628" s="491"/>
      <c r="I1628" s="234"/>
      <c r="J1628" s="234"/>
      <c r="K1628" s="494"/>
      <c r="L1628" s="543"/>
      <c r="M1628" s="561"/>
      <c r="N1628" s="495"/>
      <c r="O1628" s="496"/>
      <c r="P1628" s="497"/>
      <c r="Q1628" s="495"/>
      <c r="R1628" s="495"/>
      <c r="S1628" s="667" t="s">
        <v>4984</v>
      </c>
      <c r="T1628" s="508">
        <f t="shared" si="1257"/>
        <v>0</v>
      </c>
      <c r="U1628" s="225" t="str">
        <f>IF(NOT(ISNUMBER(G1628)), "", VLOOKUP(A1628,'Discount Lookup'!D:E,2,FALSE)*G1628)</f>
        <v/>
      </c>
      <c r="V1628" s="225" t="str">
        <f>IF(NOT(ISNUMBER(G1628)), "", VLOOKUP(A1628,'Discount Lookup'!G:H,2,FALSE)*G1628)</f>
        <v/>
      </c>
      <c r="W1628" s="508">
        <f t="shared" si="1258"/>
        <v>0</v>
      </c>
      <c r="X1628" s="508">
        <f t="shared" si="1259"/>
        <v>0</v>
      </c>
      <c r="Y1628" s="509" t="b">
        <f t="shared" si="1260"/>
        <v>0</v>
      </c>
      <c r="Z1628" s="510">
        <f t="shared" si="1261"/>
        <v>0</v>
      </c>
      <c r="AA1628" s="511"/>
      <c r="AB1628" s="511" t="str">
        <f t="shared" si="1262"/>
        <v/>
      </c>
      <c r="AC1628" s="698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698"/>
      <c r="AE1628" s="631" t="str">
        <f t="shared" si="1263"/>
        <v/>
      </c>
      <c r="AF1628" s="699" t="str">
        <f t="shared" si="1264"/>
        <v/>
      </c>
      <c r="AG1628" s="699"/>
      <c r="AH1628" s="699"/>
      <c r="AI1628" s="512">
        <f>IF(H1628="credit",0,IF(AE1628="free",0,IF(AE1628="me",0,IF(G1628&gt;0,(VLOOKUP(A1628,'Discount Lookup'!J:K,2)*G1628),0))))</f>
        <v>0</v>
      </c>
      <c r="AJ1628" s="513" t="str">
        <f t="shared" ca="1" si="1265"/>
        <v/>
      </c>
      <c r="AK1628" s="700" t="str">
        <f t="shared" si="1266"/>
        <v/>
      </c>
      <c r="AL1628" s="700"/>
      <c r="AM1628" s="505" t="str">
        <f t="shared" si="1267"/>
        <v/>
      </c>
      <c r="AN1628" s="506"/>
      <c r="AO1628" s="507"/>
      <c r="AP1628" s="507"/>
      <c r="AQ1628" s="507"/>
      <c r="AR1628" s="507"/>
      <c r="AS1628" s="507"/>
      <c r="AT1628" s="507"/>
      <c r="AU1628" s="507"/>
      <c r="AV1628" s="225"/>
      <c r="AW1628" s="508"/>
      <c r="AX1628" s="225"/>
      <c r="AY1628" s="225"/>
      <c r="AZ1628" s="225"/>
      <c r="BA1628" s="225"/>
      <c r="BB1628" s="225"/>
      <c r="BC1628" s="56"/>
      <c r="BD1628" s="56"/>
      <c r="BE1628" s="56"/>
      <c r="BF1628" s="107" t="str">
        <f t="shared" si="1268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628" s="107" t="str">
        <f t="shared" si="1269"/>
        <v>m</v>
      </c>
      <c r="BH1628" s="254"/>
      <c r="BI1628" s="254"/>
    </row>
    <row r="1629" spans="1:61" customFormat="1" ht="18" x14ac:dyDescent="0.25">
      <c r="A1629" s="523" t="s">
        <v>1023</v>
      </c>
      <c r="B1629" s="235"/>
      <c r="C1629" s="676"/>
      <c r="D1629" s="255" t="s">
        <v>1024</v>
      </c>
      <c r="E1629" s="236"/>
      <c r="F1629" s="236"/>
      <c r="G1629" s="236"/>
      <c r="H1629" s="582" t="s">
        <v>1364</v>
      </c>
      <c r="I1629" s="498" t="s">
        <v>4040</v>
      </c>
      <c r="J1629" s="237"/>
      <c r="K1629" s="237"/>
      <c r="L1629" s="274"/>
      <c r="M1629" s="668" t="s">
        <v>4962</v>
      </c>
      <c r="N1629" s="681" t="str">
        <f>IF(AND(ISTEXT($A1629), ISERROR($A1629+0)), HYPERLINK($BF1629, "Images"), "")</f>
        <v>Images</v>
      </c>
      <c r="O1629" s="663" t="s">
        <v>4967</v>
      </c>
      <c r="P1629" s="253"/>
      <c r="Q1629" s="238"/>
      <c r="R1629" s="239"/>
      <c r="S1629" s="275" t="s">
        <v>305</v>
      </c>
      <c r="T1629" s="508">
        <f t="shared" si="1257"/>
        <v>0</v>
      </c>
      <c r="U1629" s="225" t="str">
        <f>IF(NOT(ISNUMBER(G1629)), "", VLOOKUP(A1629,'Discount Lookup'!D:E,2,FALSE)*G1629)</f>
        <v/>
      </c>
      <c r="V1629" s="225" t="str">
        <f>IF(NOT(ISNUMBER(G1629)), "", VLOOKUP(A1629,'Discount Lookup'!G:H,2,FALSE)*G1629)</f>
        <v/>
      </c>
      <c r="W1629" s="508">
        <f t="shared" si="1258"/>
        <v>0</v>
      </c>
      <c r="X1629" s="508" t="str">
        <f t="shared" si="1259"/>
        <v>Golden-Yellow ray, Dark eye</v>
      </c>
      <c r="Y1629" s="509" t="b">
        <f t="shared" si="1260"/>
        <v>0</v>
      </c>
      <c r="Z1629" s="510">
        <f t="shared" si="1261"/>
        <v>0</v>
      </c>
      <c r="AA1629" s="511"/>
      <c r="AB1629" s="511" t="str">
        <f t="shared" si="1262"/>
        <v/>
      </c>
      <c r="AC1629" s="698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698"/>
      <c r="AE1629" s="631" t="str">
        <f t="shared" si="1263"/>
        <v/>
      </c>
      <c r="AF1629" s="699" t="str">
        <f t="shared" si="1264"/>
        <v/>
      </c>
      <c r="AG1629" s="699"/>
      <c r="AH1629" s="699"/>
      <c r="AI1629" s="512">
        <f>IF(H1629="credit",0,IF(AE1629="free",0,IF(AE1629="me",0,IF(G1629&gt;0,(VLOOKUP(A1629,'Discount Lookup'!J:K,2)*G1629),0))))</f>
        <v>0</v>
      </c>
      <c r="AJ1629" s="513" t="str">
        <f t="shared" ca="1" si="1265"/>
        <v/>
      </c>
      <c r="AK1629" s="700" t="str">
        <f t="shared" si="1266"/>
        <v/>
      </c>
      <c r="AL1629" s="700"/>
      <c r="AM1629" s="505" t="str">
        <f t="shared" si="1267"/>
        <v/>
      </c>
      <c r="AN1629" s="506"/>
      <c r="AO1629" s="507"/>
      <c r="AP1629" s="507"/>
      <c r="AQ1629" s="507"/>
      <c r="AR1629" s="507"/>
      <c r="AS1629" s="507"/>
      <c r="AT1629" s="507"/>
      <c r="AU1629" s="507"/>
      <c r="AV1629" s="225"/>
      <c r="AW1629" s="508"/>
      <c r="AX1629" s="225"/>
      <c r="AY1629" s="225"/>
      <c r="AZ1629" s="225"/>
      <c r="BA1629" s="225"/>
      <c r="BB1629" s="225"/>
      <c r="BC1629" s="56"/>
      <c r="BD1629" s="56"/>
      <c r="BE1629" s="56"/>
      <c r="BF1629" s="107" t="str">
        <f t="shared" si="1268"/>
        <v>https://www.google.com/search?tbm=isch&amp;q=Goldsturm%20Black-Eyed%20Susan%20Rudbeckia%20fulgida%20var.sullivantii%20%27Goldsturm%27</v>
      </c>
      <c r="BG1629" s="107" t="str">
        <f t="shared" si="1269"/>
        <v>G</v>
      </c>
      <c r="BH1629" s="254"/>
      <c r="BI1629" s="254"/>
    </row>
    <row r="1630" spans="1:61" customFormat="1" ht="15.75" x14ac:dyDescent="0.25">
      <c r="A1630" s="276">
        <v>1</v>
      </c>
      <c r="B1630" s="240" t="s">
        <v>291</v>
      </c>
      <c r="C1630" s="241"/>
      <c r="D1630" s="242" t="s">
        <v>312</v>
      </c>
      <c r="E1630" s="243">
        <v>12.95</v>
      </c>
      <c r="F1630" s="517" t="s">
        <v>293</v>
      </c>
      <c r="G1630" s="232">
        <v>0</v>
      </c>
      <c r="H1630" s="661" t="str">
        <f>IF(G1630=0,"",IF(F1630="Buy",IF(G1630=1,"plant","plants"),IF(F1630&gt;0.01,"warranty","Error")))</f>
        <v/>
      </c>
      <c r="I1630" s="244">
        <f>IF(H1630="free",0,IF(H1630="credit",((E1630*(F1630))*G1630*-1),IF(F1630="Buy",(E1630*G1630),((E1630*(1-F1630))*G1630))))</f>
        <v>0</v>
      </c>
      <c r="J1630" s="244">
        <f>IF(H1630="warranty",0,(I1630*(_xlfn.SINGLE(SalesTaxPercentage))))</f>
        <v>0</v>
      </c>
      <c r="K1630" s="696">
        <f t="shared" ref="K1630" si="1275">I1630+J1630</f>
        <v>0</v>
      </c>
      <c r="L1630" s="696"/>
      <c r="M1630" s="659" t="str">
        <f>IF(AND(G1630&gt;0,E1630=0),"WARNING - no PRICE inserted",IF(H1630="free"," FREE ~ no charge this plant",IF(H1630="credit",CONCATENATE(" -$",ROUND(K1630*(1-T2GDiscount)*-1,2)," CREDIT after discount"),IF(T2GDiscount=0,"",IF(G1630=0,"",IF(F1630="Buy",CONCATENATE(" $",ROUND(K1630*(1-T2GDiscount),2)," with ",(T2GDiscount*100),"% discount"),CONCATENATE(" $",ROUND(K1630*(1-T2GDiscount),2)," with ",((T2GDiscount*100+F1630*100)-(T2GDiscount*100*F1630)),IF(F1630&gt;0,"% discounts",IF(NoWarrantyDiscount&gt;0,"% discounts","% discount")))))))))</f>
        <v/>
      </c>
      <c r="N1630" s="660"/>
      <c r="O1630" s="233"/>
      <c r="P1630" s="233"/>
      <c r="Q1630" s="233"/>
      <c r="R1630" s="233"/>
      <c r="S1630" s="233"/>
      <c r="T1630" s="508">
        <f t="shared" si="1257"/>
        <v>0</v>
      </c>
      <c r="U1630" s="225">
        <f>IF(NOT(ISNUMBER(G1630)), "", VLOOKUP(A1630,'Discount Lookup'!D:E,2,FALSE)*G1630)</f>
        <v>0</v>
      </c>
      <c r="V1630" s="225">
        <f>IF(NOT(ISNUMBER(G1630)), "", VLOOKUP(A1630,'Discount Lookup'!G:H,2,FALSE)*G1630)</f>
        <v>0</v>
      </c>
      <c r="W1630" s="508">
        <f t="shared" si="1258"/>
        <v>0</v>
      </c>
      <c r="X1630" s="508">
        <f t="shared" si="1259"/>
        <v>0</v>
      </c>
      <c r="Y1630" s="509" t="b">
        <f t="shared" si="1260"/>
        <v>0</v>
      </c>
      <c r="Z1630" s="510">
        <f t="shared" si="1261"/>
        <v>0</v>
      </c>
      <c r="AA1630" s="511"/>
      <c r="AB1630" s="511" t="str">
        <f t="shared" si="1262"/>
        <v/>
      </c>
      <c r="AC1630" s="698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698"/>
      <c r="AE1630" s="631" t="str">
        <f t="shared" si="1263"/>
        <v/>
      </c>
      <c r="AF1630" s="699" t="str">
        <f t="shared" si="1264"/>
        <v/>
      </c>
      <c r="AG1630" s="699"/>
      <c r="AH1630" s="699"/>
      <c r="AI1630" s="512">
        <f>IF(H1630="credit",0,IF(AE1630="free",0,IF(AE1630="me",0,IF(G1630&gt;0,(VLOOKUP(A1630,'Discount Lookup'!J:K,2)*G1630),0))))</f>
        <v>0</v>
      </c>
      <c r="AJ1630" s="513" t="str">
        <f t="shared" ca="1" si="1265"/>
        <v/>
      </c>
      <c r="AK1630" s="700" t="str">
        <f t="shared" si="1266"/>
        <v/>
      </c>
      <c r="AL1630" s="700"/>
      <c r="AM1630" s="505" t="str">
        <f t="shared" si="1267"/>
        <v/>
      </c>
      <c r="AN1630" s="506"/>
      <c r="AO1630" s="507"/>
      <c r="AP1630" s="507"/>
      <c r="AQ1630" s="507"/>
      <c r="AR1630" s="507"/>
      <c r="AS1630" s="507"/>
      <c r="AT1630" s="507"/>
      <c r="AU1630" s="507"/>
      <c r="AV1630" s="225"/>
      <c r="AW1630" s="508"/>
      <c r="AX1630" s="225"/>
      <c r="AY1630" s="225"/>
      <c r="AZ1630" s="225"/>
      <c r="BA1630" s="225"/>
      <c r="BB1630" s="225"/>
      <c r="BC1630" s="56"/>
      <c r="BD1630" s="56"/>
      <c r="BE1630" s="56"/>
      <c r="BF1630" s="107" t="str">
        <f t="shared" si="1268"/>
        <v>https://www.google.com/search?tbm=isch&amp;q=1%20G2</v>
      </c>
      <c r="BG1630" s="107" t="str">
        <f t="shared" si="1269"/>
        <v>G</v>
      </c>
      <c r="BH1630" s="254"/>
      <c r="BI1630" s="254"/>
    </row>
    <row r="1631" spans="1:61" customFormat="1" ht="15.75" x14ac:dyDescent="0.25">
      <c r="A1631" s="276">
        <v>2</v>
      </c>
      <c r="B1631" s="240" t="s">
        <v>291</v>
      </c>
      <c r="C1631" s="241"/>
      <c r="D1631" s="242" t="s">
        <v>300</v>
      </c>
      <c r="E1631" s="243">
        <v>28.95</v>
      </c>
      <c r="F1631" s="517" t="s">
        <v>293</v>
      </c>
      <c r="G1631" s="232">
        <v>0</v>
      </c>
      <c r="H1631" s="661" t="str">
        <f>IF(G1631=0,"",IF(F1631="Buy",IF(G1631=1,"plant","plants"),IF(F1631&gt;0.01,"warranty","Error")))</f>
        <v/>
      </c>
      <c r="I1631" s="244">
        <f>IF(H1631="free",0,IF(H1631="credit",((E1631*(F1631))*G1631*-1),IF(F1631="Buy",(E1631*G1631),((E1631*(1-F1631))*G1631))))</f>
        <v>0</v>
      </c>
      <c r="J1631" s="244">
        <f>IF(H1631="warranty",0,(I1631*(_xlfn.SINGLE(SalesTaxPercentage))))</f>
        <v>0</v>
      </c>
      <c r="K1631" s="696">
        <f t="shared" ref="K1631" si="1276">I1631+J1631</f>
        <v>0</v>
      </c>
      <c r="L1631" s="696"/>
      <c r="M1631" s="659" t="str">
        <f>IF(AND(G1631&gt;0,E1631=0),"WARNING - no PRICE inserted",IF(H1631="free"," FREE ~ no charge this plant",IF(H1631="credit",CONCATENATE(" -$",ROUND(K1631*(1-T2GDiscount)*-1,2)," CREDIT after discount"),IF(T2GDiscount=0,"",IF(G1631=0,"",IF(F1631="Buy",CONCATENATE(" $",ROUND(K1631*(1-T2GDiscount),2)," with ",(T2GDiscount*100),"% discount"),CONCATENATE(" $",ROUND(K1631*(1-T2GDiscount),2)," with ",((T2GDiscount*100+F1631*100)-(T2GDiscount*100*F1631)),IF(F1631&gt;0,"% discounts",IF(NoWarrantyDiscount&gt;0,"% discounts","% discount")))))))))</f>
        <v/>
      </c>
      <c r="N1631" s="660"/>
      <c r="O1631" s="233"/>
      <c r="P1631" s="233"/>
      <c r="Q1631" s="233"/>
      <c r="R1631" s="233"/>
      <c r="S1631" s="233"/>
      <c r="T1631" s="508">
        <f t="shared" si="1257"/>
        <v>0</v>
      </c>
      <c r="U1631" s="225">
        <f>IF(NOT(ISNUMBER(G1631)), "", VLOOKUP(A1631,'Discount Lookup'!D:E,2,FALSE)*G1631)</f>
        <v>0</v>
      </c>
      <c r="V1631" s="225">
        <f>IF(NOT(ISNUMBER(G1631)), "", VLOOKUP(A1631,'Discount Lookup'!G:H,2,FALSE)*G1631)</f>
        <v>0</v>
      </c>
      <c r="W1631" s="508">
        <f t="shared" si="1258"/>
        <v>0</v>
      </c>
      <c r="X1631" s="508">
        <f t="shared" si="1259"/>
        <v>0</v>
      </c>
      <c r="Y1631" s="509" t="b">
        <f t="shared" si="1260"/>
        <v>0</v>
      </c>
      <c r="Z1631" s="510">
        <f t="shared" si="1261"/>
        <v>0</v>
      </c>
      <c r="AA1631" s="511"/>
      <c r="AB1631" s="511" t="str">
        <f t="shared" si="1262"/>
        <v/>
      </c>
      <c r="AC1631" s="698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698"/>
      <c r="AE1631" s="631" t="str">
        <f t="shared" si="1263"/>
        <v/>
      </c>
      <c r="AF1631" s="699" t="str">
        <f t="shared" si="1264"/>
        <v/>
      </c>
      <c r="AG1631" s="699"/>
      <c r="AH1631" s="699"/>
      <c r="AI1631" s="512">
        <f>IF(H1631="credit",0,IF(AE1631="free",0,IF(AE1631="me",0,IF(G1631&gt;0,(VLOOKUP(A1631,'Discount Lookup'!J:K,2)*G1631),0))))</f>
        <v>0</v>
      </c>
      <c r="AJ1631" s="513" t="str">
        <f t="shared" ca="1" si="1265"/>
        <v/>
      </c>
      <c r="AK1631" s="700" t="str">
        <f t="shared" si="1266"/>
        <v/>
      </c>
      <c r="AL1631" s="700"/>
      <c r="AM1631" s="505" t="str">
        <f t="shared" si="1267"/>
        <v/>
      </c>
      <c r="AN1631" s="506"/>
      <c r="AO1631" s="507"/>
      <c r="AP1631" s="507"/>
      <c r="AQ1631" s="507"/>
      <c r="AR1631" s="507"/>
      <c r="AS1631" s="507"/>
      <c r="AT1631" s="507"/>
      <c r="AU1631" s="507"/>
      <c r="AV1631" s="225"/>
      <c r="AW1631" s="508"/>
      <c r="AX1631" s="225"/>
      <c r="AY1631" s="225"/>
      <c r="AZ1631" s="225"/>
      <c r="BA1631" s="225"/>
      <c r="BB1631" s="225"/>
      <c r="BC1631" s="56"/>
      <c r="BD1631" s="56"/>
      <c r="BE1631" s="56"/>
      <c r="BF1631" s="107" t="str">
        <f t="shared" si="1268"/>
        <v>https://www.google.com/search?tbm=isch&amp;q=2%20G6</v>
      </c>
      <c r="BG1631" s="107" t="str">
        <f t="shared" si="1269"/>
        <v>G</v>
      </c>
      <c r="BH1631" s="254"/>
      <c r="BI1631" s="254"/>
    </row>
    <row r="1632" spans="1:61" customFormat="1" ht="15.75" x14ac:dyDescent="0.25">
      <c r="A1632" s="276">
        <v>3</v>
      </c>
      <c r="B1632" s="240" t="s">
        <v>291</v>
      </c>
      <c r="C1632" s="241"/>
      <c r="D1632" s="242" t="s">
        <v>300</v>
      </c>
      <c r="E1632" s="243">
        <v>36.950000000000003</v>
      </c>
      <c r="F1632" s="517" t="s">
        <v>293</v>
      </c>
      <c r="G1632" s="232">
        <v>0</v>
      </c>
      <c r="H1632" s="661" t="str">
        <f>IF(G1632=0,"",IF(F1632="Buy",IF(G1632=1,"plant","plants"),IF(F1632&gt;0.01,"warranty","Error")))</f>
        <v/>
      </c>
      <c r="I1632" s="244">
        <f>IF(H1632="free",0,IF(H1632="credit",((E1632*(F1632))*G1632*-1),IF(F1632="Buy",(E1632*G1632),((E1632*(1-F1632))*G1632))))</f>
        <v>0</v>
      </c>
      <c r="J1632" s="244">
        <f>IF(H1632="warranty",0,(I1632*(_xlfn.SINGLE(SalesTaxPercentage))))</f>
        <v>0</v>
      </c>
      <c r="K1632" s="696">
        <f t="shared" ref="K1632" si="1277">I1632+J1632</f>
        <v>0</v>
      </c>
      <c r="L1632" s="696"/>
      <c r="M1632" s="659" t="str">
        <f>IF(AND(G1632&gt;0,E1632=0),"WARNING - no PRICE inserted",IF(H1632="free"," FREE ~ no charge this plant",IF(H1632="credit",CONCATENATE(" -$",ROUND(K1632*(1-T2GDiscount)*-1,2)," CREDIT after discount"),IF(T2GDiscount=0,"",IF(G1632=0,"",IF(F1632="Buy",CONCATENATE(" $",ROUND(K1632*(1-T2GDiscount),2)," with ",(T2GDiscount*100),"% discount"),CONCATENATE(" $",ROUND(K1632*(1-T2GDiscount),2)," with ",((T2GDiscount*100+F1632*100)-(T2GDiscount*100*F1632)),IF(F1632&gt;0,"% discounts",IF(NoWarrantyDiscount&gt;0,"% discounts","% discount")))))))))</f>
        <v/>
      </c>
      <c r="N1632" s="660"/>
      <c r="O1632" s="233"/>
      <c r="P1632" s="233"/>
      <c r="Q1632" s="233"/>
      <c r="R1632" s="233"/>
      <c r="S1632" s="233"/>
      <c r="T1632" s="508">
        <f t="shared" si="1257"/>
        <v>0</v>
      </c>
      <c r="U1632" s="225">
        <f>IF(NOT(ISNUMBER(G1632)), "", VLOOKUP(A1632,'Discount Lookup'!D:E,2,FALSE)*G1632)</f>
        <v>0</v>
      </c>
      <c r="V1632" s="225">
        <f>IF(NOT(ISNUMBER(G1632)), "", VLOOKUP(A1632,'Discount Lookup'!G:H,2,FALSE)*G1632)</f>
        <v>0</v>
      </c>
      <c r="W1632" s="508">
        <f t="shared" si="1258"/>
        <v>0</v>
      </c>
      <c r="X1632" s="508">
        <f t="shared" si="1259"/>
        <v>0</v>
      </c>
      <c r="Y1632" s="509" t="b">
        <f t="shared" si="1260"/>
        <v>0</v>
      </c>
      <c r="Z1632" s="510">
        <f t="shared" si="1261"/>
        <v>0</v>
      </c>
      <c r="AA1632" s="511"/>
      <c r="AB1632" s="511" t="str">
        <f t="shared" si="1262"/>
        <v/>
      </c>
      <c r="AC1632" s="698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698"/>
      <c r="AE1632" s="631" t="str">
        <f t="shared" si="1263"/>
        <v/>
      </c>
      <c r="AF1632" s="699" t="str">
        <f t="shared" si="1264"/>
        <v/>
      </c>
      <c r="AG1632" s="699"/>
      <c r="AH1632" s="699"/>
      <c r="AI1632" s="512">
        <f>IF(H1632="credit",0,IF(AE1632="free",0,IF(AE1632="me",0,IF(G1632&gt;0,(VLOOKUP(A1632,'Discount Lookup'!J:K,2)*G1632),0))))</f>
        <v>0</v>
      </c>
      <c r="AJ1632" s="513" t="str">
        <f t="shared" ca="1" si="1265"/>
        <v/>
      </c>
      <c r="AK1632" s="700" t="str">
        <f t="shared" si="1266"/>
        <v/>
      </c>
      <c r="AL1632" s="700"/>
      <c r="AM1632" s="505" t="str">
        <f t="shared" si="1267"/>
        <v/>
      </c>
      <c r="AN1632" s="506"/>
      <c r="AO1632" s="507"/>
      <c r="AP1632" s="507"/>
      <c r="AQ1632" s="507"/>
      <c r="AR1632" s="507"/>
      <c r="AS1632" s="507"/>
      <c r="AT1632" s="507"/>
      <c r="AU1632" s="507"/>
      <c r="AV1632" s="225"/>
      <c r="AW1632" s="508"/>
      <c r="AX1632" s="225"/>
      <c r="AY1632" s="225"/>
      <c r="AZ1632" s="225"/>
      <c r="BA1632" s="225"/>
      <c r="BB1632" s="225"/>
      <c r="BC1632" s="56"/>
      <c r="BD1632" s="56"/>
      <c r="BE1632" s="56"/>
      <c r="BF1632" s="107" t="str">
        <f t="shared" si="1268"/>
        <v>https://www.google.com/search?tbm=isch&amp;q=3%20G6</v>
      </c>
      <c r="BG1632" s="107" t="str">
        <f t="shared" si="1269"/>
        <v>G</v>
      </c>
      <c r="BH1632" s="254"/>
      <c r="BI1632" s="254"/>
    </row>
    <row r="1633" spans="1:61" customFormat="1" ht="17.25" thickBot="1" x14ac:dyDescent="0.3">
      <c r="A1633" s="524" t="s">
        <v>4097</v>
      </c>
      <c r="B1633" s="245"/>
      <c r="C1633" s="677"/>
      <c r="D1633" s="499"/>
      <c r="E1633" s="499"/>
      <c r="F1633" s="500"/>
      <c r="G1633" s="501"/>
      <c r="H1633" s="502"/>
      <c r="I1633" s="246"/>
      <c r="J1633" s="247"/>
      <c r="K1633" s="503"/>
      <c r="L1633" s="544"/>
      <c r="M1633" s="544"/>
      <c r="N1633" s="500"/>
      <c r="O1633" s="500"/>
      <c r="P1633" s="500"/>
      <c r="Q1633" s="500"/>
      <c r="R1633" s="500"/>
      <c r="S1633" s="669" t="s">
        <v>4979</v>
      </c>
      <c r="T1633" s="508">
        <f t="shared" si="1257"/>
        <v>0</v>
      </c>
      <c r="U1633" s="225" t="str">
        <f>IF(NOT(ISNUMBER(G1633)), "", VLOOKUP(A1633,'Discount Lookup'!D:E,2,FALSE)*G1633)</f>
        <v/>
      </c>
      <c r="V1633" s="225" t="str">
        <f>IF(NOT(ISNUMBER(G1633)), "", VLOOKUP(A1633,'Discount Lookup'!G:H,2,FALSE)*G1633)</f>
        <v/>
      </c>
      <c r="W1633" s="508">
        <f t="shared" si="1258"/>
        <v>0</v>
      </c>
      <c r="X1633" s="508">
        <f t="shared" si="1259"/>
        <v>0</v>
      </c>
      <c r="Y1633" s="509" t="b">
        <f t="shared" si="1260"/>
        <v>0</v>
      </c>
      <c r="Z1633" s="510">
        <f t="shared" si="1261"/>
        <v>0</v>
      </c>
      <c r="AA1633" s="511"/>
      <c r="AB1633" s="511" t="str">
        <f t="shared" si="1262"/>
        <v/>
      </c>
      <c r="AC1633" s="698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698"/>
      <c r="AE1633" s="631" t="str">
        <f t="shared" si="1263"/>
        <v/>
      </c>
      <c r="AF1633" s="699" t="str">
        <f t="shared" si="1264"/>
        <v/>
      </c>
      <c r="AG1633" s="699"/>
      <c r="AH1633" s="699"/>
      <c r="AI1633" s="512">
        <f>IF(H1633="credit",0,IF(AE1633="free",0,IF(AE1633="me",0,IF(G1633&gt;0,(VLOOKUP(A1633,'Discount Lookup'!J:K,2)*G1633),0))))</f>
        <v>0</v>
      </c>
      <c r="AJ1633" s="513" t="str">
        <f t="shared" ca="1" si="1265"/>
        <v/>
      </c>
      <c r="AK1633" s="700" t="str">
        <f t="shared" si="1266"/>
        <v/>
      </c>
      <c r="AL1633" s="700"/>
      <c r="AM1633" s="505" t="str">
        <f t="shared" si="1267"/>
        <v/>
      </c>
      <c r="AN1633" s="506"/>
      <c r="AO1633" s="507"/>
      <c r="AP1633" s="507"/>
      <c r="AQ1633" s="507"/>
      <c r="AR1633" s="507"/>
      <c r="AS1633" s="507"/>
      <c r="AT1633" s="507"/>
      <c r="AU1633" s="507"/>
      <c r="AV1633" s="225"/>
      <c r="AW1633" s="508"/>
      <c r="AX1633" s="225"/>
      <c r="AY1633" s="225"/>
      <c r="AZ1633" s="225"/>
      <c r="BA1633" s="225"/>
      <c r="BB1633" s="225"/>
      <c r="BC1633" s="56"/>
      <c r="BD1633" s="56"/>
      <c r="BE1633" s="56"/>
      <c r="BF1633" s="107" t="str">
        <f t="shared" si="1268"/>
        <v>https://www.google.com/search?tbm=isch&amp;q=Goldsturm%20has%20large%2C%20long-lasting%20flowers%20that%20create%20a%20%22gold%20storm%22%20of%20color%20from%20mid-summer%20through%20fall%20</v>
      </c>
      <c r="BG1633" s="107" t="str">
        <f t="shared" si="1269"/>
        <v>G</v>
      </c>
      <c r="BH1633" s="254"/>
      <c r="BI1633" s="254"/>
    </row>
    <row r="1634" spans="1:61" customFormat="1" ht="18" x14ac:dyDescent="0.25">
      <c r="A1634" s="521" t="s">
        <v>5418</v>
      </c>
      <c r="B1634" s="477"/>
      <c r="C1634" s="674"/>
      <c r="D1634" s="478" t="s">
        <v>3064</v>
      </c>
      <c r="E1634" s="479"/>
      <c r="F1634" s="479"/>
      <c r="G1634" s="479"/>
      <c r="H1634" s="582" t="s">
        <v>441</v>
      </c>
      <c r="I1634" s="480" t="s">
        <v>2971</v>
      </c>
      <c r="J1634" s="479"/>
      <c r="K1634" s="479"/>
      <c r="L1634" s="560"/>
      <c r="M1634" s="666" t="s">
        <v>4966</v>
      </c>
      <c r="N1634" s="680" t="str">
        <f>IF(AND(ISTEXT($A1634), ISERROR($A1634+0)), HYPERLINK($BF1634, "Images"), "")</f>
        <v>Images</v>
      </c>
      <c r="O1634" s="662" t="s">
        <v>4969</v>
      </c>
      <c r="P1634" s="482"/>
      <c r="Q1634" s="483"/>
      <c r="R1634" s="483"/>
      <c r="S1634" s="484"/>
      <c r="T1634" s="508">
        <f t="shared" si="1257"/>
        <v>0</v>
      </c>
      <c r="U1634" s="225" t="str">
        <f>IF(NOT(ISNUMBER(G1634)), "", VLOOKUP(A1634,'Discount Lookup'!D:E,2,FALSE)*G1634)</f>
        <v/>
      </c>
      <c r="V1634" s="225" t="str">
        <f>IF(NOT(ISNUMBER(G1634)), "", VLOOKUP(A1634,'Discount Lookup'!G:H,2,FALSE)*G1634)</f>
        <v/>
      </c>
      <c r="W1634" s="508">
        <f t="shared" si="1258"/>
        <v>0</v>
      </c>
      <c r="X1634" s="508" t="str">
        <f t="shared" si="1259"/>
        <v>Forest Green foliage</v>
      </c>
      <c r="Y1634" s="509" t="b">
        <f t="shared" si="1260"/>
        <v>0</v>
      </c>
      <c r="Z1634" s="510">
        <f t="shared" si="1261"/>
        <v>0</v>
      </c>
      <c r="AA1634" s="511"/>
      <c r="AB1634" s="511" t="str">
        <f t="shared" si="1262"/>
        <v/>
      </c>
      <c r="AC1634" s="698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698"/>
      <c r="AE1634" s="631" t="str">
        <f t="shared" si="1263"/>
        <v/>
      </c>
      <c r="AF1634" s="699" t="str">
        <f t="shared" si="1264"/>
        <v/>
      </c>
      <c r="AG1634" s="699"/>
      <c r="AH1634" s="699"/>
      <c r="AI1634" s="512">
        <f>IF(H1634="credit",0,IF(AE1634="free",0,IF(AE1634="me",0,IF(G1634&gt;0,(VLOOKUP(A1634,'Discount Lookup'!J:K,2)*G1634),0))))</f>
        <v>0</v>
      </c>
      <c r="AJ1634" s="513" t="str">
        <f t="shared" ca="1" si="1265"/>
        <v/>
      </c>
      <c r="AK1634" s="700" t="str">
        <f t="shared" si="1266"/>
        <v/>
      </c>
      <c r="AL1634" s="700"/>
      <c r="AM1634" s="505" t="str">
        <f t="shared" si="1267"/>
        <v/>
      </c>
      <c r="AN1634" s="506"/>
      <c r="AO1634" s="507"/>
      <c r="AP1634" s="507"/>
      <c r="AQ1634" s="507"/>
      <c r="AR1634" s="507"/>
      <c r="AS1634" s="507"/>
      <c r="AT1634" s="507"/>
      <c r="AU1634" s="507"/>
      <c r="AV1634" s="225"/>
      <c r="AW1634" s="508"/>
      <c r="AX1634" s="225"/>
      <c r="AY1634" s="225"/>
      <c r="AZ1634" s="225"/>
      <c r="BA1634" s="225"/>
      <c r="BB1634" s="225"/>
      <c r="BC1634" s="56"/>
      <c r="BD1634" s="56"/>
      <c r="BE1634" s="56"/>
      <c r="BF1634" s="107" t="str">
        <f t="shared" si="1268"/>
        <v>https://www.google.com/search?tbm=isch&amp;q=Gordo%E2%84%A2%20Big%20Leaf%20Boxwood%20Buxus%20x%20%27Conrowe%27%20PP%2319924</v>
      </c>
      <c r="BG1634" s="107" t="str">
        <f t="shared" si="1269"/>
        <v>G</v>
      </c>
      <c r="BH1634" s="254"/>
      <c r="BI1634" s="254"/>
    </row>
    <row r="1635" spans="1:61" customFormat="1" ht="15.75" x14ac:dyDescent="0.25">
      <c r="A1635" s="485">
        <v>7</v>
      </c>
      <c r="B1635" s="486" t="s">
        <v>291</v>
      </c>
      <c r="C1635" s="487" t="s">
        <v>3993</v>
      </c>
      <c r="D1635" s="488" t="s">
        <v>300</v>
      </c>
      <c r="E1635" s="489">
        <v>87.95</v>
      </c>
      <c r="F1635" s="516" t="s">
        <v>293</v>
      </c>
      <c r="G1635" s="232">
        <v>0</v>
      </c>
      <c r="H1635" s="658" t="str">
        <f>IF(G1635=0,"",IF(F1635="Buy",IF(G1635=1,"plant","plants"),IF(F1635&gt;0.01,"warranty","Error")))</f>
        <v/>
      </c>
      <c r="I1635" s="490">
        <f>IF(H1635="free",0,IF(H1635="credit",((E1635*(F1635))*G1635*-1),IF(F1635="Buy",(E1635*G1635),((E1635*(1-F1635))*G1635))))</f>
        <v>0</v>
      </c>
      <c r="J1635" s="490">
        <f>IF(H1635="warranty",0,(I1635*(_xlfn.SINGLE(SalesTaxPercentage))))</f>
        <v>0</v>
      </c>
      <c r="K1635" s="695">
        <f t="shared" ref="K1635" si="1278">I1635+J1635</f>
        <v>0</v>
      </c>
      <c r="L1635" s="695"/>
      <c r="M1635" s="659" t="str">
        <f>IF(AND(G1635&gt;0,E1635=0),"WARNING - no PRICE inserted",IF(H1635="free"," FREE ~ no charge this plant",IF(H1635="credit",CONCATENATE(" -$",ROUND(K1635*(1-T2GDiscount)*-1,2)," CREDIT after discount"),IF(T2GDiscount=0,"",IF(G1635=0,"",IF(F1635="Buy",CONCATENATE(" $",ROUND(K1635*(1-T2GDiscount),2)," with ",(T2GDiscount*100),"% discount"),CONCATENATE(" $",ROUND(K1635*(1-T2GDiscount),2)," with ",((T2GDiscount*100+F1635*100)-(T2GDiscount*100*F1635)),IF(F1635&gt;0,"% discounts",IF(NoWarrantyDiscount&gt;0,"% discounts","% discount")))))))))</f>
        <v/>
      </c>
      <c r="N1635" s="660"/>
      <c r="O1635" s="233"/>
      <c r="P1635" s="233"/>
      <c r="Q1635" s="233"/>
      <c r="R1635" s="233"/>
      <c r="S1635" s="233"/>
      <c r="T1635" s="508">
        <f t="shared" si="1257"/>
        <v>0</v>
      </c>
      <c r="U1635" s="225">
        <f>IF(NOT(ISNUMBER(G1635)), "", VLOOKUP(A1635,'Discount Lookup'!D:E,2,FALSE)*G1635)</f>
        <v>0</v>
      </c>
      <c r="V1635" s="225">
        <f>IF(NOT(ISNUMBER(G1635)), "", VLOOKUP(A1635,'Discount Lookup'!G:H,2,FALSE)*G1635)</f>
        <v>0</v>
      </c>
      <c r="W1635" s="508">
        <f t="shared" si="1258"/>
        <v>0</v>
      </c>
      <c r="X1635" s="508">
        <f t="shared" si="1259"/>
        <v>0</v>
      </c>
      <c r="Y1635" s="509" t="b">
        <f t="shared" si="1260"/>
        <v>0</v>
      </c>
      <c r="Z1635" s="510">
        <f t="shared" si="1261"/>
        <v>0</v>
      </c>
      <c r="AA1635" s="511"/>
      <c r="AB1635" s="511" t="str">
        <f t="shared" si="1262"/>
        <v/>
      </c>
      <c r="AC1635" s="698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698"/>
      <c r="AE1635" s="631" t="str">
        <f t="shared" si="1263"/>
        <v/>
      </c>
      <c r="AF1635" s="699" t="str">
        <f t="shared" si="1264"/>
        <v/>
      </c>
      <c r="AG1635" s="699"/>
      <c r="AH1635" s="699"/>
      <c r="AI1635" s="512">
        <f>IF(H1635="credit",0,IF(AE1635="free",0,IF(AE1635="me",0,IF(G1635&gt;0,(VLOOKUP(A1635,'Discount Lookup'!J:K,2)*G1635),0))))</f>
        <v>0</v>
      </c>
      <c r="AJ1635" s="513" t="str">
        <f t="shared" ca="1" si="1265"/>
        <v/>
      </c>
      <c r="AK1635" s="700" t="str">
        <f t="shared" si="1266"/>
        <v/>
      </c>
      <c r="AL1635" s="700"/>
      <c r="AM1635" s="505" t="str">
        <f t="shared" si="1267"/>
        <v/>
      </c>
      <c r="AN1635" s="506"/>
      <c r="AO1635" s="507"/>
      <c r="AP1635" s="507"/>
      <c r="AQ1635" s="507"/>
      <c r="AR1635" s="507"/>
      <c r="AS1635" s="507"/>
      <c r="AT1635" s="507"/>
      <c r="AU1635" s="507"/>
      <c r="AV1635" s="225"/>
      <c r="AW1635" s="508"/>
      <c r="AX1635" s="225"/>
      <c r="AY1635" s="225"/>
      <c r="AZ1635" s="225"/>
      <c r="BA1635" s="225"/>
      <c r="BB1635" s="225"/>
      <c r="BC1635" s="56"/>
      <c r="BD1635" s="56"/>
      <c r="BE1635" s="56"/>
      <c r="BF1635" s="107" t="str">
        <f t="shared" si="1268"/>
        <v>https://www.google.com/search?tbm=isch&amp;q=7%20G6</v>
      </c>
      <c r="BG1635" s="107" t="str">
        <f t="shared" si="1269"/>
        <v>G</v>
      </c>
      <c r="BH1635" s="254"/>
      <c r="BI1635" s="254"/>
    </row>
    <row r="1636" spans="1:61" customFormat="1" ht="16.5" thickBot="1" x14ac:dyDescent="0.3">
      <c r="A1636" s="522" t="s">
        <v>4203</v>
      </c>
      <c r="B1636" s="491"/>
      <c r="C1636" s="675"/>
      <c r="D1636" s="491"/>
      <c r="E1636" s="491"/>
      <c r="F1636" s="492"/>
      <c r="G1636" s="493"/>
      <c r="H1636" s="491"/>
      <c r="I1636" s="234"/>
      <c r="J1636" s="234"/>
      <c r="K1636" s="494"/>
      <c r="L1636" s="543"/>
      <c r="M1636" s="561"/>
      <c r="N1636" s="495"/>
      <c r="O1636" s="496"/>
      <c r="P1636" s="497"/>
      <c r="Q1636" s="495"/>
      <c r="R1636" s="495"/>
      <c r="S1636" s="667" t="s">
        <v>4968</v>
      </c>
      <c r="T1636" s="508">
        <f t="shared" si="1257"/>
        <v>0</v>
      </c>
      <c r="U1636" s="225" t="str">
        <f>IF(NOT(ISNUMBER(G1636)), "", VLOOKUP(A1636,'Discount Lookup'!D:E,2,FALSE)*G1636)</f>
        <v/>
      </c>
      <c r="V1636" s="225" t="str">
        <f>IF(NOT(ISNUMBER(G1636)), "", VLOOKUP(A1636,'Discount Lookup'!G:H,2,FALSE)*G1636)</f>
        <v/>
      </c>
      <c r="W1636" s="508">
        <f t="shared" si="1258"/>
        <v>0</v>
      </c>
      <c r="X1636" s="508">
        <f t="shared" si="1259"/>
        <v>0</v>
      </c>
      <c r="Y1636" s="509" t="b">
        <f t="shared" si="1260"/>
        <v>0</v>
      </c>
      <c r="Z1636" s="510">
        <f t="shared" si="1261"/>
        <v>0</v>
      </c>
      <c r="AA1636" s="511"/>
      <c r="AB1636" s="511" t="str">
        <f t="shared" si="1262"/>
        <v/>
      </c>
      <c r="AC1636" s="698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698"/>
      <c r="AE1636" s="631" t="str">
        <f t="shared" si="1263"/>
        <v/>
      </c>
      <c r="AF1636" s="699" t="str">
        <f t="shared" si="1264"/>
        <v/>
      </c>
      <c r="AG1636" s="699"/>
      <c r="AH1636" s="699"/>
      <c r="AI1636" s="512">
        <f>IF(H1636="credit",0,IF(AE1636="free",0,IF(AE1636="me",0,IF(G1636&gt;0,(VLOOKUP(A1636,'Discount Lookup'!J:K,2)*G1636),0))))</f>
        <v>0</v>
      </c>
      <c r="AJ1636" s="513" t="str">
        <f t="shared" ca="1" si="1265"/>
        <v/>
      </c>
      <c r="AK1636" s="700" t="str">
        <f t="shared" si="1266"/>
        <v/>
      </c>
      <c r="AL1636" s="700"/>
      <c r="AM1636" s="505" t="str">
        <f t="shared" si="1267"/>
        <v/>
      </c>
      <c r="AN1636" s="506"/>
      <c r="AO1636" s="507"/>
      <c r="AP1636" s="507"/>
      <c r="AQ1636" s="507"/>
      <c r="AR1636" s="507"/>
      <c r="AS1636" s="507"/>
      <c r="AT1636" s="507"/>
      <c r="AU1636" s="507"/>
      <c r="AV1636" s="225"/>
      <c r="AW1636" s="508"/>
      <c r="AX1636" s="225"/>
      <c r="AY1636" s="225"/>
      <c r="AZ1636" s="225"/>
      <c r="BA1636" s="225"/>
      <c r="BB1636" s="225"/>
      <c r="BC1636" s="56"/>
      <c r="BD1636" s="56"/>
      <c r="BE1636" s="56"/>
      <c r="BF1636" s="107" t="str">
        <f t="shared" si="1268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1636" s="107" t="str">
        <f t="shared" si="1269"/>
        <v>G</v>
      </c>
      <c r="BH1636" s="254"/>
      <c r="BI1636" s="254"/>
    </row>
    <row r="1637" spans="1:61" customFormat="1" ht="18" x14ac:dyDescent="0.25">
      <c r="A1637" s="521" t="s">
        <v>1025</v>
      </c>
      <c r="B1637" s="477"/>
      <c r="C1637" s="674"/>
      <c r="D1637" s="478" t="s">
        <v>1026</v>
      </c>
      <c r="E1637" s="479"/>
      <c r="F1637" s="479"/>
      <c r="G1637" s="479"/>
      <c r="H1637" s="582" t="s">
        <v>356</v>
      </c>
      <c r="I1637" s="480" t="s">
        <v>654</v>
      </c>
      <c r="J1637" s="479"/>
      <c r="K1637" s="479"/>
      <c r="L1637" s="560"/>
      <c r="M1637" s="666" t="s">
        <v>4966</v>
      </c>
      <c r="N1637" s="680" t="str">
        <f>IF(AND(ISTEXT($A1637), ISERROR($A1637+0)), HYPERLINK($BF1637, "Images"), "")</f>
        <v>Images</v>
      </c>
      <c r="O1637" s="662" t="s">
        <v>4967</v>
      </c>
      <c r="P1637" s="482"/>
      <c r="Q1637" s="483"/>
      <c r="R1637" s="483"/>
      <c r="S1637" s="484"/>
      <c r="T1637" s="508">
        <f t="shared" si="1257"/>
        <v>0</v>
      </c>
      <c r="U1637" s="225" t="str">
        <f>IF(NOT(ISNUMBER(G1637)), "", VLOOKUP(A1637,'Discount Lookup'!D:E,2,FALSE)*G1637)</f>
        <v/>
      </c>
      <c r="V1637" s="225" t="str">
        <f>IF(NOT(ISNUMBER(G1637)), "", VLOOKUP(A1637,'Discount Lookup'!G:H,2,FALSE)*G1637)</f>
        <v/>
      </c>
      <c r="W1637" s="508">
        <f t="shared" si="1258"/>
        <v>0</v>
      </c>
      <c r="X1637" s="508" t="str">
        <f t="shared" si="1259"/>
        <v>White bloom</v>
      </c>
      <c r="Y1637" s="509" t="b">
        <f t="shared" si="1260"/>
        <v>0</v>
      </c>
      <c r="Z1637" s="510">
        <f t="shared" si="1261"/>
        <v>0</v>
      </c>
      <c r="AA1637" s="511"/>
      <c r="AB1637" s="511" t="str">
        <f t="shared" si="1262"/>
        <v/>
      </c>
      <c r="AC1637" s="698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698"/>
      <c r="AE1637" s="631" t="str">
        <f t="shared" si="1263"/>
        <v/>
      </c>
      <c r="AF1637" s="699" t="str">
        <f t="shared" si="1264"/>
        <v/>
      </c>
      <c r="AG1637" s="699"/>
      <c r="AH1637" s="699"/>
      <c r="AI1637" s="512">
        <f>IF(H1637="credit",0,IF(AE1637="free",0,IF(AE1637="me",0,IF(G1637&gt;0,(VLOOKUP(A1637,'Discount Lookup'!J:K,2)*G1637),0))))</f>
        <v>0</v>
      </c>
      <c r="AJ1637" s="513" t="str">
        <f t="shared" ca="1" si="1265"/>
        <v/>
      </c>
      <c r="AK1637" s="700" t="str">
        <f t="shared" si="1266"/>
        <v/>
      </c>
      <c r="AL1637" s="700"/>
      <c r="AM1637" s="505" t="str">
        <f t="shared" si="1267"/>
        <v/>
      </c>
      <c r="AN1637" s="506"/>
      <c r="AO1637" s="507"/>
      <c r="AP1637" s="507"/>
      <c r="AQ1637" s="507"/>
      <c r="AR1637" s="507"/>
      <c r="AS1637" s="507"/>
      <c r="AT1637" s="507"/>
      <c r="AU1637" s="507"/>
      <c r="AV1637" s="225"/>
      <c r="AW1637" s="508"/>
      <c r="AX1637" s="225"/>
      <c r="AY1637" s="225"/>
      <c r="AZ1637" s="225"/>
      <c r="BA1637" s="225"/>
      <c r="BB1637" s="225"/>
      <c r="BC1637" s="56"/>
      <c r="BD1637" s="56"/>
      <c r="BE1637" s="56"/>
      <c r="BF1637" s="107" t="str">
        <f t="shared" si="1268"/>
        <v>https://www.google.com/search?tbm=isch&amp;q=Goshiki%20Osmanthus%20Osmanthus%20heterophyllus%20%27Goshiki%27</v>
      </c>
      <c r="BG1637" s="107" t="str">
        <f t="shared" si="1269"/>
        <v>G</v>
      </c>
      <c r="BH1637" s="254"/>
      <c r="BI1637" s="254"/>
    </row>
    <row r="1638" spans="1:61" customFormat="1" ht="15.75" x14ac:dyDescent="0.25">
      <c r="A1638" s="485">
        <v>3</v>
      </c>
      <c r="B1638" s="486" t="s">
        <v>291</v>
      </c>
      <c r="C1638" s="487"/>
      <c r="D1638" s="488" t="s">
        <v>298</v>
      </c>
      <c r="E1638" s="489">
        <v>31.95</v>
      </c>
      <c r="F1638" s="516" t="s">
        <v>293</v>
      </c>
      <c r="G1638" s="232">
        <v>0</v>
      </c>
      <c r="H1638" s="658" t="str">
        <f t="shared" ref="H1638:H1645" si="1279">IF(G1638=0,"",IF(F1638="Buy",IF(G1638=1,"plant","plants"),IF(F1638&gt;0.01,"warranty","Error")))</f>
        <v/>
      </c>
      <c r="I1638" s="490">
        <f t="shared" ref="I1638:I1645" si="1280">IF(H1638="free",0,IF(H1638="credit",((E1638*(F1638))*G1638*-1),IF(F1638="Buy",(E1638*G1638),((E1638*(1-F1638))*G1638))))</f>
        <v>0</v>
      </c>
      <c r="J1638" s="490">
        <f t="shared" ref="J1638:J1645" si="1281">IF(H1638="warranty",0,(I1638*(_xlfn.SINGLE(SalesTaxPercentage))))</f>
        <v>0</v>
      </c>
      <c r="K1638" s="695">
        <f t="shared" ref="K1638" si="1282">I1638+J1638</f>
        <v>0</v>
      </c>
      <c r="L1638" s="695"/>
      <c r="M1638" s="659" t="str">
        <f t="shared" ref="M1638:M1645" si="1283">IF(AND(G1638&gt;0,E1638=0),"WARNING - no PRICE inserted",IF(H1638="free"," FREE ~ no charge this plant",IF(H1638="credit",CONCATENATE(" -$",ROUND(K1638*(1-T2GDiscount)*-1,2)," CREDIT after discount"),IF(T2GDiscount=0,"",IF(G1638=0,"",IF(F1638="Buy",CONCATENATE(" $",ROUND(K1638*(1-T2GDiscount),2)," with ",(T2GDiscount*100),"% discount"),CONCATENATE(" $",ROUND(K1638*(1-T2GDiscount),2)," with ",((T2GDiscount*100+F1638*100)-(T2GDiscount*100*F1638)),IF(F1638&gt;0,"% discounts",IF(NoWarrantyDiscount&gt;0,"% discounts","% discount")))))))))</f>
        <v/>
      </c>
      <c r="N1638" s="660"/>
      <c r="O1638" s="233"/>
      <c r="P1638" s="233"/>
      <c r="Q1638" s="233"/>
      <c r="R1638" s="233"/>
      <c r="S1638" s="233"/>
      <c r="T1638" s="508">
        <f t="shared" si="1257"/>
        <v>0</v>
      </c>
      <c r="U1638" s="225">
        <f>IF(NOT(ISNUMBER(G1638)), "", VLOOKUP(A1638,'Discount Lookup'!D:E,2,FALSE)*G1638)</f>
        <v>0</v>
      </c>
      <c r="V1638" s="225">
        <f>IF(NOT(ISNUMBER(G1638)), "", VLOOKUP(A1638,'Discount Lookup'!G:H,2,FALSE)*G1638)</f>
        <v>0</v>
      </c>
      <c r="W1638" s="508">
        <f t="shared" si="1258"/>
        <v>0</v>
      </c>
      <c r="X1638" s="508">
        <f t="shared" si="1259"/>
        <v>0</v>
      </c>
      <c r="Y1638" s="509" t="b">
        <f t="shared" si="1260"/>
        <v>0</v>
      </c>
      <c r="Z1638" s="510">
        <f t="shared" si="1261"/>
        <v>0</v>
      </c>
      <c r="AA1638" s="511"/>
      <c r="AB1638" s="511" t="str">
        <f t="shared" si="1262"/>
        <v/>
      </c>
      <c r="AC1638" s="698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698"/>
      <c r="AE1638" s="631" t="str">
        <f t="shared" si="1263"/>
        <v/>
      </c>
      <c r="AF1638" s="699" t="str">
        <f t="shared" si="1264"/>
        <v/>
      </c>
      <c r="AG1638" s="699"/>
      <c r="AH1638" s="699"/>
      <c r="AI1638" s="512">
        <f>IF(H1638="credit",0,IF(AE1638="free",0,IF(AE1638="me",0,IF(G1638&gt;0,(VLOOKUP(A1638,'Discount Lookup'!J:K,2)*G1638),0))))</f>
        <v>0</v>
      </c>
      <c r="AJ1638" s="513" t="str">
        <f t="shared" ca="1" si="1265"/>
        <v/>
      </c>
      <c r="AK1638" s="700" t="str">
        <f t="shared" si="1266"/>
        <v/>
      </c>
      <c r="AL1638" s="700"/>
      <c r="AM1638" s="505" t="str">
        <f t="shared" si="1267"/>
        <v/>
      </c>
      <c r="AN1638" s="506"/>
      <c r="AO1638" s="507"/>
      <c r="AP1638" s="507"/>
      <c r="AQ1638" s="507"/>
      <c r="AR1638" s="507"/>
      <c r="AS1638" s="507"/>
      <c r="AT1638" s="507"/>
      <c r="AU1638" s="507"/>
      <c r="AV1638" s="225"/>
      <c r="AW1638" s="508"/>
      <c r="AX1638" s="225"/>
      <c r="AY1638" s="225"/>
      <c r="AZ1638" s="225"/>
      <c r="BA1638" s="225"/>
      <c r="BB1638" s="225"/>
      <c r="BC1638" s="56"/>
      <c r="BD1638" s="56"/>
      <c r="BE1638" s="56"/>
      <c r="BF1638" s="107" t="str">
        <f t="shared" si="1268"/>
        <v>https://www.google.com/search?tbm=isch&amp;q=3%20G1</v>
      </c>
      <c r="BG1638" s="107" t="str">
        <f t="shared" si="1269"/>
        <v>G</v>
      </c>
      <c r="BH1638" s="254"/>
      <c r="BI1638" s="254"/>
    </row>
    <row r="1639" spans="1:61" customFormat="1" ht="15.75" x14ac:dyDescent="0.25">
      <c r="A1639" s="485">
        <v>3</v>
      </c>
      <c r="B1639" s="486" t="s">
        <v>291</v>
      </c>
      <c r="C1639" s="487" t="s">
        <v>4762</v>
      </c>
      <c r="D1639" s="488" t="s">
        <v>292</v>
      </c>
      <c r="E1639" s="489">
        <v>38.950000000000003</v>
      </c>
      <c r="F1639" s="516" t="s">
        <v>293</v>
      </c>
      <c r="G1639" s="232">
        <v>0</v>
      </c>
      <c r="H1639" s="658" t="str">
        <f t="shared" si="1279"/>
        <v/>
      </c>
      <c r="I1639" s="490">
        <f t="shared" si="1280"/>
        <v>0</v>
      </c>
      <c r="J1639" s="490">
        <f t="shared" si="1281"/>
        <v>0</v>
      </c>
      <c r="K1639" s="695">
        <f t="shared" ref="K1639" si="1284">I1639+J1639</f>
        <v>0</v>
      </c>
      <c r="L1639" s="695"/>
      <c r="M1639" s="659" t="str">
        <f t="shared" si="1283"/>
        <v/>
      </c>
      <c r="N1639" s="660"/>
      <c r="O1639" s="233"/>
      <c r="P1639" s="233"/>
      <c r="Q1639" s="233"/>
      <c r="R1639" s="233"/>
      <c r="S1639" s="233"/>
      <c r="T1639" s="508">
        <f t="shared" si="1257"/>
        <v>0</v>
      </c>
      <c r="U1639" s="225">
        <f>IF(NOT(ISNUMBER(G1639)), "", VLOOKUP(A1639,'Discount Lookup'!D:E,2,FALSE)*G1639)</f>
        <v>0</v>
      </c>
      <c r="V1639" s="225">
        <f>IF(NOT(ISNUMBER(G1639)), "", VLOOKUP(A1639,'Discount Lookup'!G:H,2,FALSE)*G1639)</f>
        <v>0</v>
      </c>
      <c r="W1639" s="508">
        <f t="shared" si="1258"/>
        <v>0</v>
      </c>
      <c r="X1639" s="508">
        <f t="shared" si="1259"/>
        <v>0</v>
      </c>
      <c r="Y1639" s="509" t="b">
        <f t="shared" si="1260"/>
        <v>0</v>
      </c>
      <c r="Z1639" s="510">
        <f t="shared" si="1261"/>
        <v>0</v>
      </c>
      <c r="AA1639" s="511"/>
      <c r="AB1639" s="511" t="str">
        <f t="shared" si="1262"/>
        <v/>
      </c>
      <c r="AC1639" s="698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698"/>
      <c r="AE1639" s="631" t="str">
        <f t="shared" si="1263"/>
        <v/>
      </c>
      <c r="AF1639" s="699" t="str">
        <f t="shared" si="1264"/>
        <v/>
      </c>
      <c r="AG1639" s="699"/>
      <c r="AH1639" s="699"/>
      <c r="AI1639" s="512">
        <f>IF(H1639="credit",0,IF(AE1639="free",0,IF(AE1639="me",0,IF(G1639&gt;0,(VLOOKUP(A1639,'Discount Lookup'!J:K,2)*G1639),0))))</f>
        <v>0</v>
      </c>
      <c r="AJ1639" s="513" t="str">
        <f t="shared" ca="1" si="1265"/>
        <v/>
      </c>
      <c r="AK1639" s="700" t="str">
        <f t="shared" si="1266"/>
        <v/>
      </c>
      <c r="AL1639" s="700"/>
      <c r="AM1639" s="505" t="str">
        <f t="shared" si="1267"/>
        <v/>
      </c>
      <c r="AN1639" s="506"/>
      <c r="AO1639" s="507"/>
      <c r="AP1639" s="507"/>
      <c r="AQ1639" s="507"/>
      <c r="AR1639" s="507"/>
      <c r="AS1639" s="507"/>
      <c r="AT1639" s="507"/>
      <c r="AU1639" s="507"/>
      <c r="AV1639" s="225"/>
      <c r="AW1639" s="508"/>
      <c r="AX1639" s="225"/>
      <c r="AY1639" s="225"/>
      <c r="AZ1639" s="225"/>
      <c r="BA1639" s="225"/>
      <c r="BB1639" s="225"/>
      <c r="BC1639" s="56"/>
      <c r="BD1639" s="56"/>
      <c r="BE1639" s="56"/>
      <c r="BF1639" s="107" t="str">
        <f t="shared" si="1268"/>
        <v>https://www.google.com/search?tbm=isch&amp;q=3%20G4</v>
      </c>
      <c r="BG1639" s="107" t="str">
        <f t="shared" si="1269"/>
        <v>G</v>
      </c>
      <c r="BH1639" s="254"/>
      <c r="BI1639" s="254"/>
    </row>
    <row r="1640" spans="1:61" customFormat="1" ht="15.75" x14ac:dyDescent="0.25">
      <c r="A1640" s="485">
        <v>3</v>
      </c>
      <c r="B1640" s="486" t="s">
        <v>291</v>
      </c>
      <c r="C1640" s="487" t="s">
        <v>1027</v>
      </c>
      <c r="D1640" s="488" t="s">
        <v>299</v>
      </c>
      <c r="E1640" s="489">
        <v>40.950000000000003</v>
      </c>
      <c r="F1640" s="516" t="s">
        <v>293</v>
      </c>
      <c r="G1640" s="232">
        <v>0</v>
      </c>
      <c r="H1640" s="658" t="str">
        <f t="shared" si="1279"/>
        <v/>
      </c>
      <c r="I1640" s="490">
        <f t="shared" si="1280"/>
        <v>0</v>
      </c>
      <c r="J1640" s="490">
        <f t="shared" si="1281"/>
        <v>0</v>
      </c>
      <c r="K1640" s="695">
        <f t="shared" ref="K1640" si="1285">I1640+J1640</f>
        <v>0</v>
      </c>
      <c r="L1640" s="695"/>
      <c r="M1640" s="659" t="str">
        <f t="shared" si="1283"/>
        <v/>
      </c>
      <c r="N1640" s="660"/>
      <c r="O1640" s="233"/>
      <c r="P1640" s="233"/>
      <c r="Q1640" s="233"/>
      <c r="R1640" s="233"/>
      <c r="S1640" s="233"/>
      <c r="T1640" s="508">
        <f t="shared" si="1257"/>
        <v>0</v>
      </c>
      <c r="U1640" s="225">
        <f>IF(NOT(ISNUMBER(G1640)), "", VLOOKUP(A1640,'Discount Lookup'!D:E,2,FALSE)*G1640)</f>
        <v>0</v>
      </c>
      <c r="V1640" s="225">
        <f>IF(NOT(ISNUMBER(G1640)), "", VLOOKUP(A1640,'Discount Lookup'!G:H,2,FALSE)*G1640)</f>
        <v>0</v>
      </c>
      <c r="W1640" s="508">
        <f t="shared" si="1258"/>
        <v>0</v>
      </c>
      <c r="X1640" s="508">
        <f t="shared" si="1259"/>
        <v>0</v>
      </c>
      <c r="Y1640" s="509" t="b">
        <f t="shared" si="1260"/>
        <v>0</v>
      </c>
      <c r="Z1640" s="510">
        <f t="shared" si="1261"/>
        <v>0</v>
      </c>
      <c r="AA1640" s="511"/>
      <c r="AB1640" s="511" t="str">
        <f t="shared" si="1262"/>
        <v/>
      </c>
      <c r="AC1640" s="698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698"/>
      <c r="AE1640" s="631" t="str">
        <f t="shared" si="1263"/>
        <v/>
      </c>
      <c r="AF1640" s="699" t="str">
        <f t="shared" si="1264"/>
        <v/>
      </c>
      <c r="AG1640" s="699"/>
      <c r="AH1640" s="699"/>
      <c r="AI1640" s="512">
        <f>IF(H1640="credit",0,IF(AE1640="free",0,IF(AE1640="me",0,IF(G1640&gt;0,(VLOOKUP(A1640,'Discount Lookup'!J:K,2)*G1640),0))))</f>
        <v>0</v>
      </c>
      <c r="AJ1640" s="513" t="str">
        <f t="shared" ca="1" si="1265"/>
        <v/>
      </c>
      <c r="AK1640" s="700" t="str">
        <f t="shared" si="1266"/>
        <v/>
      </c>
      <c r="AL1640" s="700"/>
      <c r="AM1640" s="505" t="str">
        <f t="shared" si="1267"/>
        <v/>
      </c>
      <c r="AN1640" s="506"/>
      <c r="AO1640" s="507"/>
      <c r="AP1640" s="507"/>
      <c r="AQ1640" s="507"/>
      <c r="AR1640" s="507"/>
      <c r="AS1640" s="507"/>
      <c r="AT1640" s="507"/>
      <c r="AU1640" s="507"/>
      <c r="AV1640" s="225"/>
      <c r="AW1640" s="508"/>
      <c r="AX1640" s="225"/>
      <c r="AY1640" s="225"/>
      <c r="AZ1640" s="225"/>
      <c r="BA1640" s="225"/>
      <c r="BB1640" s="225"/>
      <c r="BC1640" s="56"/>
      <c r="BD1640" s="56"/>
      <c r="BE1640" s="56"/>
      <c r="BF1640" s="107" t="str">
        <f t="shared" si="1268"/>
        <v>https://www.google.com/search?tbm=isch&amp;q=3%20G5</v>
      </c>
      <c r="BG1640" s="107" t="str">
        <f t="shared" si="1269"/>
        <v>G</v>
      </c>
      <c r="BH1640" s="254"/>
      <c r="BI1640" s="254"/>
    </row>
    <row r="1641" spans="1:61" customFormat="1" ht="15.75" x14ac:dyDescent="0.25">
      <c r="A1641" s="485">
        <v>7</v>
      </c>
      <c r="B1641" s="486" t="s">
        <v>291</v>
      </c>
      <c r="C1641" s="487" t="s">
        <v>4411</v>
      </c>
      <c r="D1641" s="488" t="s">
        <v>292</v>
      </c>
      <c r="E1641" s="489">
        <v>116.95</v>
      </c>
      <c r="F1641" s="516" t="s">
        <v>293</v>
      </c>
      <c r="G1641" s="232">
        <v>0</v>
      </c>
      <c r="H1641" s="658" t="str">
        <f t="shared" si="1279"/>
        <v/>
      </c>
      <c r="I1641" s="490">
        <f t="shared" si="1280"/>
        <v>0</v>
      </c>
      <c r="J1641" s="490">
        <f t="shared" si="1281"/>
        <v>0</v>
      </c>
      <c r="K1641" s="695">
        <f t="shared" ref="K1641" si="1286">I1641+J1641</f>
        <v>0</v>
      </c>
      <c r="L1641" s="695"/>
      <c r="M1641" s="659" t="str">
        <f t="shared" si="1283"/>
        <v/>
      </c>
      <c r="N1641" s="660"/>
      <c r="O1641" s="233"/>
      <c r="P1641" s="233"/>
      <c r="Q1641" s="233"/>
      <c r="R1641" s="233"/>
      <c r="S1641" s="233"/>
      <c r="T1641" s="508">
        <f t="shared" si="1257"/>
        <v>0</v>
      </c>
      <c r="U1641" s="225">
        <f>IF(NOT(ISNUMBER(G1641)), "", VLOOKUP(A1641,'Discount Lookup'!D:E,2,FALSE)*G1641)</f>
        <v>0</v>
      </c>
      <c r="V1641" s="225">
        <f>IF(NOT(ISNUMBER(G1641)), "", VLOOKUP(A1641,'Discount Lookup'!G:H,2,FALSE)*G1641)</f>
        <v>0</v>
      </c>
      <c r="W1641" s="508">
        <f t="shared" si="1258"/>
        <v>0</v>
      </c>
      <c r="X1641" s="508">
        <f t="shared" si="1259"/>
        <v>0</v>
      </c>
      <c r="Y1641" s="509" t="b">
        <f t="shared" si="1260"/>
        <v>0</v>
      </c>
      <c r="Z1641" s="510">
        <f t="shared" si="1261"/>
        <v>0</v>
      </c>
      <c r="AA1641" s="511"/>
      <c r="AB1641" s="511" t="str">
        <f t="shared" si="1262"/>
        <v/>
      </c>
      <c r="AC1641" s="698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698"/>
      <c r="AE1641" s="631" t="str">
        <f t="shared" si="1263"/>
        <v/>
      </c>
      <c r="AF1641" s="699" t="str">
        <f t="shared" si="1264"/>
        <v/>
      </c>
      <c r="AG1641" s="699"/>
      <c r="AH1641" s="699"/>
      <c r="AI1641" s="512">
        <f>IF(H1641="credit",0,IF(AE1641="free",0,IF(AE1641="me",0,IF(G1641&gt;0,(VLOOKUP(A1641,'Discount Lookup'!J:K,2)*G1641),0))))</f>
        <v>0</v>
      </c>
      <c r="AJ1641" s="513" t="str">
        <f t="shared" ca="1" si="1265"/>
        <v/>
      </c>
      <c r="AK1641" s="700" t="str">
        <f t="shared" si="1266"/>
        <v/>
      </c>
      <c r="AL1641" s="700"/>
      <c r="AM1641" s="505" t="str">
        <f t="shared" si="1267"/>
        <v/>
      </c>
      <c r="AN1641" s="506"/>
      <c r="AO1641" s="507"/>
      <c r="AP1641" s="507"/>
      <c r="AQ1641" s="507"/>
      <c r="AR1641" s="507"/>
      <c r="AS1641" s="507"/>
      <c r="AT1641" s="507"/>
      <c r="AU1641" s="507"/>
      <c r="AV1641" s="225"/>
      <c r="AW1641" s="508"/>
      <c r="AX1641" s="225"/>
      <c r="AY1641" s="225"/>
      <c r="AZ1641" s="225"/>
      <c r="BA1641" s="225"/>
      <c r="BB1641" s="225"/>
      <c r="BC1641" s="56"/>
      <c r="BD1641" s="56"/>
      <c r="BE1641" s="56"/>
      <c r="BF1641" s="107" t="str">
        <f t="shared" si="1268"/>
        <v>https://www.google.com/search?tbm=isch&amp;q=7%20G4</v>
      </c>
      <c r="BG1641" s="107" t="str">
        <f t="shared" si="1269"/>
        <v>G</v>
      </c>
      <c r="BH1641" s="254"/>
      <c r="BI1641" s="254"/>
    </row>
    <row r="1642" spans="1:61" customFormat="1" ht="15.75" x14ac:dyDescent="0.25">
      <c r="A1642" s="485">
        <v>7</v>
      </c>
      <c r="B1642" s="486" t="s">
        <v>291</v>
      </c>
      <c r="C1642" s="487" t="s">
        <v>4892</v>
      </c>
      <c r="D1642" s="488" t="s">
        <v>300</v>
      </c>
      <c r="E1642" s="489">
        <v>132.94999999999999</v>
      </c>
      <c r="F1642" s="516" t="s">
        <v>293</v>
      </c>
      <c r="G1642" s="232">
        <v>0</v>
      </c>
      <c r="H1642" s="658" t="str">
        <f t="shared" si="1279"/>
        <v/>
      </c>
      <c r="I1642" s="490">
        <f t="shared" si="1280"/>
        <v>0</v>
      </c>
      <c r="J1642" s="490">
        <f t="shared" si="1281"/>
        <v>0</v>
      </c>
      <c r="K1642" s="695">
        <f t="shared" ref="K1642" si="1287">I1642+J1642</f>
        <v>0</v>
      </c>
      <c r="L1642" s="695"/>
      <c r="M1642" s="659" t="str">
        <f t="shared" si="1283"/>
        <v/>
      </c>
      <c r="N1642" s="660"/>
      <c r="O1642" s="233"/>
      <c r="P1642" s="233"/>
      <c r="Q1642" s="233"/>
      <c r="R1642" s="233"/>
      <c r="S1642" s="233"/>
      <c r="T1642" s="508">
        <f t="shared" si="1257"/>
        <v>0</v>
      </c>
      <c r="U1642" s="225">
        <f>IF(NOT(ISNUMBER(G1642)), "", VLOOKUP(A1642,'Discount Lookup'!D:E,2,FALSE)*G1642)</f>
        <v>0</v>
      </c>
      <c r="V1642" s="225">
        <f>IF(NOT(ISNUMBER(G1642)), "", VLOOKUP(A1642,'Discount Lookup'!G:H,2,FALSE)*G1642)</f>
        <v>0</v>
      </c>
      <c r="W1642" s="508">
        <f t="shared" si="1258"/>
        <v>0</v>
      </c>
      <c r="X1642" s="508">
        <f t="shared" si="1259"/>
        <v>0</v>
      </c>
      <c r="Y1642" s="509" t="b">
        <f t="shared" si="1260"/>
        <v>0</v>
      </c>
      <c r="Z1642" s="510">
        <f t="shared" si="1261"/>
        <v>0</v>
      </c>
      <c r="AA1642" s="511"/>
      <c r="AB1642" s="511" t="str">
        <f t="shared" si="1262"/>
        <v/>
      </c>
      <c r="AC1642" s="698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698"/>
      <c r="AE1642" s="631" t="str">
        <f t="shared" si="1263"/>
        <v/>
      </c>
      <c r="AF1642" s="699" t="str">
        <f t="shared" si="1264"/>
        <v/>
      </c>
      <c r="AG1642" s="699"/>
      <c r="AH1642" s="699"/>
      <c r="AI1642" s="512">
        <f>IF(H1642="credit",0,IF(AE1642="free",0,IF(AE1642="me",0,IF(G1642&gt;0,(VLOOKUP(A1642,'Discount Lookup'!J:K,2)*G1642),0))))</f>
        <v>0</v>
      </c>
      <c r="AJ1642" s="513" t="str">
        <f t="shared" ca="1" si="1265"/>
        <v/>
      </c>
      <c r="AK1642" s="700" t="str">
        <f t="shared" si="1266"/>
        <v/>
      </c>
      <c r="AL1642" s="700"/>
      <c r="AM1642" s="505" t="str">
        <f t="shared" si="1267"/>
        <v/>
      </c>
      <c r="AN1642" s="506"/>
      <c r="AO1642" s="507"/>
      <c r="AP1642" s="507"/>
      <c r="AQ1642" s="507"/>
      <c r="AR1642" s="507"/>
      <c r="AS1642" s="507"/>
      <c r="AT1642" s="507"/>
      <c r="AU1642" s="507"/>
      <c r="AV1642" s="225"/>
      <c r="AW1642" s="508"/>
      <c r="AX1642" s="225"/>
      <c r="AY1642" s="225"/>
      <c r="AZ1642" s="225"/>
      <c r="BA1642" s="225"/>
      <c r="BB1642" s="225"/>
      <c r="BC1642" s="56"/>
      <c r="BD1642" s="56"/>
      <c r="BE1642" s="56"/>
      <c r="BF1642" s="107" t="str">
        <f t="shared" si="1268"/>
        <v>https://www.google.com/search?tbm=isch&amp;q=7%20G6</v>
      </c>
      <c r="BG1642" s="107" t="str">
        <f t="shared" si="1269"/>
        <v>G</v>
      </c>
      <c r="BH1642" s="254"/>
      <c r="BI1642" s="254"/>
    </row>
    <row r="1643" spans="1:61" customFormat="1" ht="15.75" x14ac:dyDescent="0.25">
      <c r="A1643" s="485">
        <v>15</v>
      </c>
      <c r="B1643" s="486" t="s">
        <v>291</v>
      </c>
      <c r="C1643" s="487" t="s">
        <v>3481</v>
      </c>
      <c r="D1643" s="488" t="s">
        <v>292</v>
      </c>
      <c r="E1643" s="489">
        <v>201.95</v>
      </c>
      <c r="F1643" s="516" t="s">
        <v>293</v>
      </c>
      <c r="G1643" s="232">
        <v>0</v>
      </c>
      <c r="H1643" s="658" t="str">
        <f t="shared" si="1279"/>
        <v/>
      </c>
      <c r="I1643" s="490">
        <f t="shared" si="1280"/>
        <v>0</v>
      </c>
      <c r="J1643" s="490">
        <f t="shared" si="1281"/>
        <v>0</v>
      </c>
      <c r="K1643" s="695">
        <f t="shared" ref="K1643" si="1288">I1643+J1643</f>
        <v>0</v>
      </c>
      <c r="L1643" s="695"/>
      <c r="M1643" s="659" t="str">
        <f t="shared" si="1283"/>
        <v/>
      </c>
      <c r="N1643" s="660"/>
      <c r="O1643" s="233"/>
      <c r="P1643" s="233"/>
      <c r="Q1643" s="233"/>
      <c r="R1643" s="233"/>
      <c r="S1643" s="233"/>
      <c r="T1643" s="508">
        <f t="shared" si="1257"/>
        <v>0</v>
      </c>
      <c r="U1643" s="225">
        <f>IF(NOT(ISNUMBER(G1643)), "", VLOOKUP(A1643,'Discount Lookup'!D:E,2,FALSE)*G1643)</f>
        <v>0</v>
      </c>
      <c r="V1643" s="225">
        <f>IF(NOT(ISNUMBER(G1643)), "", VLOOKUP(A1643,'Discount Lookup'!G:H,2,FALSE)*G1643)</f>
        <v>0</v>
      </c>
      <c r="W1643" s="508">
        <f t="shared" si="1258"/>
        <v>0</v>
      </c>
      <c r="X1643" s="508">
        <f t="shared" si="1259"/>
        <v>0</v>
      </c>
      <c r="Y1643" s="509" t="b">
        <f t="shared" si="1260"/>
        <v>0</v>
      </c>
      <c r="Z1643" s="510">
        <f t="shared" si="1261"/>
        <v>0</v>
      </c>
      <c r="AA1643" s="511"/>
      <c r="AB1643" s="511" t="str">
        <f t="shared" si="1262"/>
        <v/>
      </c>
      <c r="AC1643" s="698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698"/>
      <c r="AE1643" s="631" t="str">
        <f t="shared" si="1263"/>
        <v/>
      </c>
      <c r="AF1643" s="699" t="str">
        <f t="shared" si="1264"/>
        <v/>
      </c>
      <c r="AG1643" s="699"/>
      <c r="AH1643" s="699"/>
      <c r="AI1643" s="512">
        <f>IF(H1643="credit",0,IF(AE1643="free",0,IF(AE1643="me",0,IF(G1643&gt;0,(VLOOKUP(A1643,'Discount Lookup'!J:K,2)*G1643),0))))</f>
        <v>0</v>
      </c>
      <c r="AJ1643" s="513" t="str">
        <f t="shared" ca="1" si="1265"/>
        <v/>
      </c>
      <c r="AK1643" s="700" t="str">
        <f t="shared" si="1266"/>
        <v/>
      </c>
      <c r="AL1643" s="700"/>
      <c r="AM1643" s="505" t="str">
        <f t="shared" si="1267"/>
        <v/>
      </c>
      <c r="AN1643" s="506"/>
      <c r="AO1643" s="507"/>
      <c r="AP1643" s="507"/>
      <c r="AQ1643" s="507"/>
      <c r="AR1643" s="507"/>
      <c r="AS1643" s="507"/>
      <c r="AT1643" s="507"/>
      <c r="AU1643" s="507"/>
      <c r="AV1643" s="225"/>
      <c r="AW1643" s="508"/>
      <c r="AX1643" s="225"/>
      <c r="AY1643" s="225"/>
      <c r="AZ1643" s="225"/>
      <c r="BA1643" s="225"/>
      <c r="BB1643" s="225"/>
      <c r="BC1643" s="56"/>
      <c r="BD1643" s="56"/>
      <c r="BE1643" s="56"/>
      <c r="BF1643" s="107" t="str">
        <f t="shared" si="1268"/>
        <v>https://www.google.com/search?tbm=isch&amp;q=15%20G4</v>
      </c>
      <c r="BG1643" s="107" t="str">
        <f t="shared" si="1269"/>
        <v>G</v>
      </c>
      <c r="BH1643" s="254"/>
      <c r="BI1643" s="254"/>
    </row>
    <row r="1644" spans="1:61" customFormat="1" ht="15.75" x14ac:dyDescent="0.25">
      <c r="A1644" s="485">
        <v>15</v>
      </c>
      <c r="B1644" s="486" t="s">
        <v>291</v>
      </c>
      <c r="C1644" s="487" t="s">
        <v>2213</v>
      </c>
      <c r="D1644" s="488" t="s">
        <v>300</v>
      </c>
      <c r="E1644" s="489">
        <v>377.95</v>
      </c>
      <c r="F1644" s="516" t="s">
        <v>293</v>
      </c>
      <c r="G1644" s="232">
        <v>0</v>
      </c>
      <c r="H1644" s="658" t="str">
        <f t="shared" si="1279"/>
        <v/>
      </c>
      <c r="I1644" s="490">
        <f t="shared" si="1280"/>
        <v>0</v>
      </c>
      <c r="J1644" s="490">
        <f t="shared" si="1281"/>
        <v>0</v>
      </c>
      <c r="K1644" s="695">
        <f t="shared" ref="K1644" si="1289">I1644+J1644</f>
        <v>0</v>
      </c>
      <c r="L1644" s="695"/>
      <c r="M1644" s="659" t="str">
        <f t="shared" si="1283"/>
        <v/>
      </c>
      <c r="N1644" s="660"/>
      <c r="O1644" s="233"/>
      <c r="P1644" s="233"/>
      <c r="Q1644" s="233"/>
      <c r="R1644" s="233"/>
      <c r="S1644" s="233"/>
      <c r="T1644" s="508">
        <f t="shared" si="1257"/>
        <v>0</v>
      </c>
      <c r="U1644" s="225">
        <f>IF(NOT(ISNUMBER(G1644)), "", VLOOKUP(A1644,'Discount Lookup'!D:E,2,FALSE)*G1644)</f>
        <v>0</v>
      </c>
      <c r="V1644" s="225">
        <f>IF(NOT(ISNUMBER(G1644)), "", VLOOKUP(A1644,'Discount Lookup'!G:H,2,FALSE)*G1644)</f>
        <v>0</v>
      </c>
      <c r="W1644" s="508">
        <f t="shared" si="1258"/>
        <v>0</v>
      </c>
      <c r="X1644" s="508">
        <f t="shared" si="1259"/>
        <v>0</v>
      </c>
      <c r="Y1644" s="509" t="b">
        <f t="shared" si="1260"/>
        <v>0</v>
      </c>
      <c r="Z1644" s="510">
        <f t="shared" si="1261"/>
        <v>0</v>
      </c>
      <c r="AA1644" s="511"/>
      <c r="AB1644" s="511" t="str">
        <f t="shared" si="1262"/>
        <v/>
      </c>
      <c r="AC1644" s="698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698"/>
      <c r="AE1644" s="631" t="str">
        <f t="shared" si="1263"/>
        <v/>
      </c>
      <c r="AF1644" s="699" t="str">
        <f t="shared" si="1264"/>
        <v/>
      </c>
      <c r="AG1644" s="699"/>
      <c r="AH1644" s="699"/>
      <c r="AI1644" s="512">
        <f>IF(H1644="credit",0,IF(AE1644="free",0,IF(AE1644="me",0,IF(G1644&gt;0,(VLOOKUP(A1644,'Discount Lookup'!J:K,2)*G1644),0))))</f>
        <v>0</v>
      </c>
      <c r="AJ1644" s="513" t="str">
        <f t="shared" ca="1" si="1265"/>
        <v/>
      </c>
      <c r="AK1644" s="700" t="str">
        <f t="shared" si="1266"/>
        <v/>
      </c>
      <c r="AL1644" s="700"/>
      <c r="AM1644" s="505" t="str">
        <f t="shared" si="1267"/>
        <v/>
      </c>
      <c r="AN1644" s="506"/>
      <c r="AO1644" s="507"/>
      <c r="AP1644" s="507"/>
      <c r="AQ1644" s="507"/>
      <c r="AR1644" s="507"/>
      <c r="AS1644" s="507"/>
      <c r="AT1644" s="507"/>
      <c r="AU1644" s="507"/>
      <c r="AV1644" s="225"/>
      <c r="AW1644" s="508"/>
      <c r="AX1644" s="225"/>
      <c r="AY1644" s="225"/>
      <c r="AZ1644" s="225"/>
      <c r="BA1644" s="225"/>
      <c r="BB1644" s="225"/>
      <c r="BC1644" s="56"/>
      <c r="BD1644" s="56"/>
      <c r="BE1644" s="56"/>
      <c r="BF1644" s="107" t="str">
        <f t="shared" si="1268"/>
        <v>https://www.google.com/search?tbm=isch&amp;q=15%20G6</v>
      </c>
      <c r="BG1644" s="107" t="str">
        <f t="shared" si="1269"/>
        <v>G</v>
      </c>
      <c r="BH1644" s="254"/>
      <c r="BI1644" s="254"/>
    </row>
    <row r="1645" spans="1:61" customFormat="1" ht="27" x14ac:dyDescent="0.25">
      <c r="A1645" s="485">
        <v>45</v>
      </c>
      <c r="B1645" s="486" t="s">
        <v>291</v>
      </c>
      <c r="C1645" s="487" t="s">
        <v>3539</v>
      </c>
      <c r="D1645" s="488" t="s">
        <v>292</v>
      </c>
      <c r="E1645" s="489">
        <v>679.95</v>
      </c>
      <c r="F1645" s="516" t="s">
        <v>293</v>
      </c>
      <c r="G1645" s="232">
        <v>0</v>
      </c>
      <c r="H1645" s="658" t="str">
        <f t="shared" si="1279"/>
        <v/>
      </c>
      <c r="I1645" s="490">
        <f t="shared" si="1280"/>
        <v>0</v>
      </c>
      <c r="J1645" s="490">
        <f t="shared" si="1281"/>
        <v>0</v>
      </c>
      <c r="K1645" s="695">
        <f t="shared" ref="K1645" si="1290">I1645+J1645</f>
        <v>0</v>
      </c>
      <c r="L1645" s="695"/>
      <c r="M1645" s="659" t="str">
        <f t="shared" si="1283"/>
        <v/>
      </c>
      <c r="N1645" s="660"/>
      <c r="O1645" s="233"/>
      <c r="P1645" s="233"/>
      <c r="Q1645" s="233"/>
      <c r="R1645" s="233"/>
      <c r="S1645" s="233"/>
      <c r="T1645" s="508">
        <f t="shared" si="1257"/>
        <v>0</v>
      </c>
      <c r="U1645" s="225">
        <f>IF(NOT(ISNUMBER(G1645)), "", VLOOKUP(A1645,'Discount Lookup'!D:E,2,FALSE)*G1645)</f>
        <v>0</v>
      </c>
      <c r="V1645" s="225">
        <f>IF(NOT(ISNUMBER(G1645)), "", VLOOKUP(A1645,'Discount Lookup'!G:H,2,FALSE)*G1645)</f>
        <v>0</v>
      </c>
      <c r="W1645" s="508">
        <f t="shared" si="1258"/>
        <v>0</v>
      </c>
      <c r="X1645" s="508">
        <f t="shared" si="1259"/>
        <v>0</v>
      </c>
      <c r="Y1645" s="509" t="b">
        <f t="shared" si="1260"/>
        <v>0</v>
      </c>
      <c r="Z1645" s="510">
        <f t="shared" si="1261"/>
        <v>0</v>
      </c>
      <c r="AA1645" s="511"/>
      <c r="AB1645" s="511" t="str">
        <f t="shared" si="1262"/>
        <v/>
      </c>
      <c r="AC1645" s="698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698"/>
      <c r="AE1645" s="631" t="str">
        <f t="shared" si="1263"/>
        <v/>
      </c>
      <c r="AF1645" s="699" t="str">
        <f t="shared" si="1264"/>
        <v/>
      </c>
      <c r="AG1645" s="699"/>
      <c r="AH1645" s="699"/>
      <c r="AI1645" s="512">
        <f>IF(H1645="credit",0,IF(AE1645="free",0,IF(AE1645="me",0,IF(G1645&gt;0,(VLOOKUP(A1645,'Discount Lookup'!J:K,2)*G1645),0))))</f>
        <v>0</v>
      </c>
      <c r="AJ1645" s="513" t="str">
        <f t="shared" ca="1" si="1265"/>
        <v/>
      </c>
      <c r="AK1645" s="700" t="str">
        <f t="shared" si="1266"/>
        <v/>
      </c>
      <c r="AL1645" s="700"/>
      <c r="AM1645" s="505" t="str">
        <f t="shared" si="1267"/>
        <v/>
      </c>
      <c r="AN1645" s="506"/>
      <c r="AO1645" s="507"/>
      <c r="AP1645" s="507"/>
      <c r="AQ1645" s="507"/>
      <c r="AR1645" s="507"/>
      <c r="AS1645" s="507"/>
      <c r="AT1645" s="507"/>
      <c r="AU1645" s="507"/>
      <c r="AV1645" s="225"/>
      <c r="AW1645" s="508"/>
      <c r="AX1645" s="225"/>
      <c r="AY1645" s="225"/>
      <c r="AZ1645" s="225"/>
      <c r="BA1645" s="225"/>
      <c r="BB1645" s="225"/>
      <c r="BC1645" s="56"/>
      <c r="BD1645" s="56"/>
      <c r="BE1645" s="56"/>
      <c r="BF1645" s="107" t="str">
        <f t="shared" si="1268"/>
        <v>https://www.google.com/search?tbm=isch&amp;q=45%20G4</v>
      </c>
      <c r="BG1645" s="107" t="str">
        <f t="shared" si="1269"/>
        <v>G</v>
      </c>
      <c r="BH1645" s="254"/>
      <c r="BI1645" s="254"/>
    </row>
    <row r="1646" spans="1:61" customFormat="1" ht="16.5" thickBot="1" x14ac:dyDescent="0.3">
      <c r="A1646" s="522" t="s">
        <v>2397</v>
      </c>
      <c r="B1646" s="491"/>
      <c r="C1646" s="675"/>
      <c r="D1646" s="491"/>
      <c r="E1646" s="491"/>
      <c r="F1646" s="492"/>
      <c r="G1646" s="493"/>
      <c r="H1646" s="491"/>
      <c r="I1646" s="234"/>
      <c r="J1646" s="234"/>
      <c r="K1646" s="494"/>
      <c r="L1646" s="543"/>
      <c r="M1646" s="561"/>
      <c r="N1646" s="495"/>
      <c r="O1646" s="496"/>
      <c r="P1646" s="497"/>
      <c r="Q1646" s="495"/>
      <c r="R1646" s="495"/>
      <c r="S1646" s="277"/>
      <c r="T1646" s="508">
        <f t="shared" si="1257"/>
        <v>0</v>
      </c>
      <c r="U1646" s="225" t="str">
        <f>IF(NOT(ISNUMBER(G1646)), "", VLOOKUP(A1646,'Discount Lookup'!D:E,2,FALSE)*G1646)</f>
        <v/>
      </c>
      <c r="V1646" s="225" t="str">
        <f>IF(NOT(ISNUMBER(G1646)), "", VLOOKUP(A1646,'Discount Lookup'!G:H,2,FALSE)*G1646)</f>
        <v/>
      </c>
      <c r="W1646" s="508">
        <f t="shared" si="1258"/>
        <v>0</v>
      </c>
      <c r="X1646" s="508">
        <f t="shared" si="1259"/>
        <v>0</v>
      </c>
      <c r="Y1646" s="509" t="b">
        <f t="shared" si="1260"/>
        <v>0</v>
      </c>
      <c r="Z1646" s="510">
        <f t="shared" si="1261"/>
        <v>0</v>
      </c>
      <c r="AA1646" s="511"/>
      <c r="AB1646" s="511" t="str">
        <f t="shared" si="1262"/>
        <v/>
      </c>
      <c r="AC1646" s="698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698"/>
      <c r="AE1646" s="631" t="str">
        <f t="shared" si="1263"/>
        <v/>
      </c>
      <c r="AF1646" s="699" t="str">
        <f t="shared" si="1264"/>
        <v/>
      </c>
      <c r="AG1646" s="699"/>
      <c r="AH1646" s="699"/>
      <c r="AI1646" s="512">
        <f>IF(H1646="credit",0,IF(AE1646="free",0,IF(AE1646="me",0,IF(G1646&gt;0,(VLOOKUP(A1646,'Discount Lookup'!J:K,2)*G1646),0))))</f>
        <v>0</v>
      </c>
      <c r="AJ1646" s="513" t="str">
        <f t="shared" ca="1" si="1265"/>
        <v/>
      </c>
      <c r="AK1646" s="700" t="str">
        <f t="shared" si="1266"/>
        <v/>
      </c>
      <c r="AL1646" s="700"/>
      <c r="AM1646" s="505" t="str">
        <f t="shared" si="1267"/>
        <v/>
      </c>
      <c r="AN1646" s="506"/>
      <c r="AO1646" s="507"/>
      <c r="AP1646" s="507"/>
      <c r="AQ1646" s="507"/>
      <c r="AR1646" s="507"/>
      <c r="AS1646" s="507"/>
      <c r="AT1646" s="507"/>
      <c r="AU1646" s="507"/>
      <c r="AV1646" s="225"/>
      <c r="AW1646" s="508"/>
      <c r="AX1646" s="225"/>
      <c r="AY1646" s="225"/>
      <c r="AZ1646" s="225"/>
      <c r="BA1646" s="225"/>
      <c r="BB1646" s="225"/>
      <c r="BC1646" s="56"/>
      <c r="BD1646" s="56"/>
      <c r="BE1646" s="56"/>
      <c r="BF1646" s="107" t="str">
        <f t="shared" si="1268"/>
        <v>https://www.google.com/search?tbm=isch&amp;q=Goshiki%20is%20Japanese%20for%20%275%20colors%27.%20Foliage%20emerges%20pink%2Fred%2C%20turns%20green%2C%20with%20white%2C%20gold%20and%20bronze%20variegation%20</v>
      </c>
      <c r="BG1646" s="107" t="str">
        <f t="shared" si="1269"/>
        <v>G</v>
      </c>
      <c r="BH1646" s="254"/>
      <c r="BI1646" s="254"/>
    </row>
    <row r="1647" spans="1:61" customFormat="1" ht="18" x14ac:dyDescent="0.25">
      <c r="A1647" s="521" t="s">
        <v>4616</v>
      </c>
      <c r="B1647" s="477"/>
      <c r="C1647" s="674"/>
      <c r="D1647" s="478" t="s">
        <v>805</v>
      </c>
      <c r="E1647" s="479"/>
      <c r="F1647" s="479"/>
      <c r="G1647" s="479"/>
      <c r="H1647" s="582" t="s">
        <v>359</v>
      </c>
      <c r="I1647" s="480" t="s">
        <v>2093</v>
      </c>
      <c r="J1647" s="479"/>
      <c r="K1647" s="479"/>
      <c r="L1647" s="560"/>
      <c r="M1647" s="666" t="s">
        <v>4966</v>
      </c>
      <c r="N1647" s="680" t="str">
        <f>IF(AND(ISTEXT($A1647), ISERROR($A1647+0)), HYPERLINK($BF1647, "Images"), "")</f>
        <v>Images</v>
      </c>
      <c r="O1647" s="662" t="s">
        <v>4967</v>
      </c>
      <c r="P1647" s="482"/>
      <c r="Q1647" s="483"/>
      <c r="R1647" s="483"/>
      <c r="S1647" s="484"/>
      <c r="T1647" s="508">
        <f t="shared" si="1257"/>
        <v>0</v>
      </c>
      <c r="U1647" s="225" t="str">
        <f>IF(NOT(ISNUMBER(G1647)), "", VLOOKUP(A1647,'Discount Lookup'!D:E,2,FALSE)*G1647)</f>
        <v/>
      </c>
      <c r="V1647" s="225" t="str">
        <f>IF(NOT(ISNUMBER(G1647)), "", VLOOKUP(A1647,'Discount Lookup'!G:H,2,FALSE)*G1647)</f>
        <v/>
      </c>
      <c r="W1647" s="508">
        <f t="shared" si="1258"/>
        <v>0</v>
      </c>
      <c r="X1647" s="508" t="str">
        <f t="shared" si="1259"/>
        <v>Dark Green foliage</v>
      </c>
      <c r="Y1647" s="509" t="b">
        <f t="shared" si="1260"/>
        <v>0</v>
      </c>
      <c r="Z1647" s="510">
        <f t="shared" si="1261"/>
        <v>0</v>
      </c>
      <c r="AA1647" s="511"/>
      <c r="AB1647" s="511" t="str">
        <f t="shared" si="1262"/>
        <v/>
      </c>
      <c r="AC1647" s="698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698"/>
      <c r="AE1647" s="631" t="str">
        <f t="shared" si="1263"/>
        <v/>
      </c>
      <c r="AF1647" s="699" t="str">
        <f t="shared" si="1264"/>
        <v/>
      </c>
      <c r="AG1647" s="699"/>
      <c r="AH1647" s="699"/>
      <c r="AI1647" s="512">
        <f>IF(H1647="credit",0,IF(AE1647="free",0,IF(AE1647="me",0,IF(G1647&gt;0,(VLOOKUP(A1647,'Discount Lookup'!J:K,2)*G1647),0))))</f>
        <v>0</v>
      </c>
      <c r="AJ1647" s="513" t="str">
        <f t="shared" ca="1" si="1265"/>
        <v/>
      </c>
      <c r="AK1647" s="700" t="str">
        <f t="shared" si="1266"/>
        <v/>
      </c>
      <c r="AL1647" s="700"/>
      <c r="AM1647" s="505" t="str">
        <f t="shared" si="1267"/>
        <v/>
      </c>
      <c r="AN1647" s="506"/>
      <c r="AO1647" s="507"/>
      <c r="AP1647" s="507"/>
      <c r="AQ1647" s="507"/>
      <c r="AR1647" s="507"/>
      <c r="AS1647" s="507"/>
      <c r="AT1647" s="507"/>
      <c r="AU1647" s="507"/>
      <c r="AV1647" s="225"/>
      <c r="AW1647" s="508"/>
      <c r="AX1647" s="225"/>
      <c r="AY1647" s="225"/>
      <c r="AZ1647" s="225"/>
      <c r="BA1647" s="225"/>
      <c r="BB1647" s="225"/>
      <c r="BC1647" s="56"/>
      <c r="BD1647" s="56"/>
      <c r="BE1647" s="56"/>
      <c r="BF1647" s="107" t="str">
        <f t="shared" si="1268"/>
        <v>https://www.google.com/search?tbm=isch&amp;q=Graceful%20Dwarf%20Hinoki%20Cypress%20Chamaecyparis%20obtusa%20%27Nana%20Gracilis%27</v>
      </c>
      <c r="BG1647" s="107" t="str">
        <f t="shared" si="1269"/>
        <v>G</v>
      </c>
      <c r="BH1647" s="254"/>
      <c r="BI1647" s="254"/>
    </row>
    <row r="1648" spans="1:61" customFormat="1" ht="15.75" x14ac:dyDescent="0.25">
      <c r="A1648" s="485">
        <v>3</v>
      </c>
      <c r="B1648" s="486" t="s">
        <v>291</v>
      </c>
      <c r="C1648" s="487" t="s">
        <v>4506</v>
      </c>
      <c r="D1648" s="488" t="s">
        <v>297</v>
      </c>
      <c r="E1648" s="489">
        <v>40.950000000000003</v>
      </c>
      <c r="F1648" s="516" t="s">
        <v>293</v>
      </c>
      <c r="G1648" s="232">
        <v>0</v>
      </c>
      <c r="H1648" s="658" t="str">
        <f>IF(G1648=0,"",IF(F1648="Buy",IF(G1648=1,"plant","plants"),IF(F1648&gt;0.01,"warranty","Error")))</f>
        <v/>
      </c>
      <c r="I1648" s="490">
        <f>IF(H1648="free",0,IF(H1648="credit",((E1648*(F1648))*G1648*-1),IF(F1648="Buy",(E1648*G1648),((E1648*(1-F1648))*G1648))))</f>
        <v>0</v>
      </c>
      <c r="J1648" s="490">
        <f>IF(H1648="warranty",0,(I1648*(_xlfn.SINGLE(SalesTaxPercentage))))</f>
        <v>0</v>
      </c>
      <c r="K1648" s="695">
        <f t="shared" ref="K1648" si="1291">I1648+J1648</f>
        <v>0</v>
      </c>
      <c r="L1648" s="695"/>
      <c r="M1648" s="659" t="str">
        <f>IF(AND(G1648&gt;0,E1648=0),"WARNING - no PRICE inserted",IF(H1648="free"," FREE ~ no charge this plant",IF(H1648="credit",CONCATENATE(" -$",ROUND(K1648*(1-T2GDiscount)*-1,2)," CREDIT after discount"),IF(T2GDiscount=0,"",IF(G1648=0,"",IF(F1648="Buy",CONCATENATE(" $",ROUND(K1648*(1-T2GDiscount),2)," with ",(T2GDiscount*100),"% discount"),CONCATENATE(" $",ROUND(K1648*(1-T2GDiscount),2)," with ",((T2GDiscount*100+F1648*100)-(T2GDiscount*100*F1648)),IF(F1648&gt;0,"% discounts",IF(NoWarrantyDiscount&gt;0,"% discounts","% discount")))))))))</f>
        <v/>
      </c>
      <c r="N1648" s="660"/>
      <c r="O1648" s="233"/>
      <c r="P1648" s="233"/>
      <c r="Q1648" s="233"/>
      <c r="R1648" s="233"/>
      <c r="S1648" s="233"/>
      <c r="T1648" s="508">
        <f t="shared" si="1257"/>
        <v>0</v>
      </c>
      <c r="U1648" s="225">
        <f>IF(NOT(ISNUMBER(G1648)), "", VLOOKUP(A1648,'Discount Lookup'!D:E,2,FALSE)*G1648)</f>
        <v>0</v>
      </c>
      <c r="V1648" s="225">
        <f>IF(NOT(ISNUMBER(G1648)), "", VLOOKUP(A1648,'Discount Lookup'!G:H,2,FALSE)*G1648)</f>
        <v>0</v>
      </c>
      <c r="W1648" s="508">
        <f t="shared" si="1258"/>
        <v>0</v>
      </c>
      <c r="X1648" s="508">
        <f t="shared" si="1259"/>
        <v>0</v>
      </c>
      <c r="Y1648" s="509" t="b">
        <f t="shared" si="1260"/>
        <v>0</v>
      </c>
      <c r="Z1648" s="510">
        <f t="shared" si="1261"/>
        <v>0</v>
      </c>
      <c r="AA1648" s="511"/>
      <c r="AB1648" s="511" t="str">
        <f t="shared" si="1262"/>
        <v/>
      </c>
      <c r="AC1648" s="698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698"/>
      <c r="AE1648" s="631" t="str">
        <f t="shared" si="1263"/>
        <v/>
      </c>
      <c r="AF1648" s="699" t="str">
        <f t="shared" si="1264"/>
        <v/>
      </c>
      <c r="AG1648" s="699"/>
      <c r="AH1648" s="699"/>
      <c r="AI1648" s="512">
        <f>IF(H1648="credit",0,IF(AE1648="free",0,IF(AE1648="me",0,IF(G1648&gt;0,(VLOOKUP(A1648,'Discount Lookup'!J:K,2)*G1648),0))))</f>
        <v>0</v>
      </c>
      <c r="AJ1648" s="513" t="str">
        <f t="shared" ca="1" si="1265"/>
        <v/>
      </c>
      <c r="AK1648" s="700" t="str">
        <f t="shared" si="1266"/>
        <v/>
      </c>
      <c r="AL1648" s="700"/>
      <c r="AM1648" s="505" t="str">
        <f t="shared" si="1267"/>
        <v/>
      </c>
      <c r="AN1648" s="506"/>
      <c r="AO1648" s="507"/>
      <c r="AP1648" s="507"/>
      <c r="AQ1648" s="507"/>
      <c r="AR1648" s="507"/>
      <c r="AS1648" s="507"/>
      <c r="AT1648" s="507"/>
      <c r="AU1648" s="507"/>
      <c r="AV1648" s="225"/>
      <c r="AW1648" s="508"/>
      <c r="AX1648" s="225"/>
      <c r="AY1648" s="225"/>
      <c r="AZ1648" s="225"/>
      <c r="BA1648" s="225"/>
      <c r="BB1648" s="225"/>
      <c r="BC1648" s="56"/>
      <c r="BD1648" s="56"/>
      <c r="BE1648" s="56"/>
      <c r="BF1648" s="107" t="str">
        <f t="shared" si="1268"/>
        <v>https://www.google.com/search?tbm=isch&amp;q=3%20G3</v>
      </c>
      <c r="BG1648" s="107" t="str">
        <f t="shared" si="1269"/>
        <v>G</v>
      </c>
      <c r="BH1648" s="254"/>
      <c r="BI1648" s="254"/>
    </row>
    <row r="1649" spans="1:61" customFormat="1" ht="15.75" x14ac:dyDescent="0.25">
      <c r="A1649" s="485">
        <v>3</v>
      </c>
      <c r="B1649" s="486" t="s">
        <v>291</v>
      </c>
      <c r="C1649" s="487" t="s">
        <v>3427</v>
      </c>
      <c r="D1649" s="488" t="s">
        <v>292</v>
      </c>
      <c r="E1649" s="489">
        <v>43.95</v>
      </c>
      <c r="F1649" s="516" t="s">
        <v>293</v>
      </c>
      <c r="G1649" s="232">
        <v>0</v>
      </c>
      <c r="H1649" s="658" t="str">
        <f>IF(G1649=0,"",IF(F1649="Buy",IF(G1649=1,"plant","plants"),IF(F1649&gt;0.01,"warranty","Error")))</f>
        <v/>
      </c>
      <c r="I1649" s="490">
        <f>IF(H1649="free",0,IF(H1649="credit",((E1649*(F1649))*G1649*-1),IF(F1649="Buy",(E1649*G1649),((E1649*(1-F1649))*G1649))))</f>
        <v>0</v>
      </c>
      <c r="J1649" s="490">
        <f>IF(H1649="warranty",0,(I1649*(_xlfn.SINGLE(SalesTaxPercentage))))</f>
        <v>0</v>
      </c>
      <c r="K1649" s="695">
        <f t="shared" ref="K1649" si="1292">I1649+J1649</f>
        <v>0</v>
      </c>
      <c r="L1649" s="695"/>
      <c r="M1649" s="659" t="str">
        <f>IF(AND(G1649&gt;0,E1649=0),"WARNING - no PRICE inserted",IF(H1649="free"," FREE ~ no charge this plant",IF(H1649="credit",CONCATENATE(" -$",ROUND(K1649*(1-T2GDiscount)*-1,2)," CREDIT after discount"),IF(T2GDiscount=0,"",IF(G1649=0,"",IF(F1649="Buy",CONCATENATE(" $",ROUND(K1649*(1-T2GDiscount),2)," with ",(T2GDiscount*100),"% discount"),CONCATENATE(" $",ROUND(K1649*(1-T2GDiscount),2)," with ",((T2GDiscount*100+F1649*100)-(T2GDiscount*100*F1649)),IF(F1649&gt;0,"% discounts",IF(NoWarrantyDiscount&gt;0,"% discounts","% discount")))))))))</f>
        <v/>
      </c>
      <c r="N1649" s="660"/>
      <c r="O1649" s="233"/>
      <c r="P1649" s="233"/>
      <c r="Q1649" s="233"/>
      <c r="R1649" s="233"/>
      <c r="S1649" s="233"/>
      <c r="T1649" s="508">
        <f t="shared" si="1257"/>
        <v>0</v>
      </c>
      <c r="U1649" s="225">
        <f>IF(NOT(ISNUMBER(G1649)), "", VLOOKUP(A1649,'Discount Lookup'!D:E,2,FALSE)*G1649)</f>
        <v>0</v>
      </c>
      <c r="V1649" s="225">
        <f>IF(NOT(ISNUMBER(G1649)), "", VLOOKUP(A1649,'Discount Lookup'!G:H,2,FALSE)*G1649)</f>
        <v>0</v>
      </c>
      <c r="W1649" s="508">
        <f t="shared" si="1258"/>
        <v>0</v>
      </c>
      <c r="X1649" s="508">
        <f t="shared" si="1259"/>
        <v>0</v>
      </c>
      <c r="Y1649" s="509" t="b">
        <f t="shared" si="1260"/>
        <v>0</v>
      </c>
      <c r="Z1649" s="510">
        <f t="shared" si="1261"/>
        <v>0</v>
      </c>
      <c r="AA1649" s="511"/>
      <c r="AB1649" s="511" t="str">
        <f t="shared" si="1262"/>
        <v/>
      </c>
      <c r="AC1649" s="698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698"/>
      <c r="AE1649" s="631" t="str">
        <f t="shared" si="1263"/>
        <v/>
      </c>
      <c r="AF1649" s="699" t="str">
        <f t="shared" si="1264"/>
        <v/>
      </c>
      <c r="AG1649" s="699"/>
      <c r="AH1649" s="699"/>
      <c r="AI1649" s="512">
        <f>IF(H1649="credit",0,IF(AE1649="free",0,IF(AE1649="me",0,IF(G1649&gt;0,(VLOOKUP(A1649,'Discount Lookup'!J:K,2)*G1649),0))))</f>
        <v>0</v>
      </c>
      <c r="AJ1649" s="513" t="str">
        <f t="shared" ca="1" si="1265"/>
        <v/>
      </c>
      <c r="AK1649" s="700" t="str">
        <f t="shared" si="1266"/>
        <v/>
      </c>
      <c r="AL1649" s="700"/>
      <c r="AM1649" s="505" t="str">
        <f t="shared" si="1267"/>
        <v/>
      </c>
      <c r="AN1649" s="506"/>
      <c r="AO1649" s="507"/>
      <c r="AP1649" s="507"/>
      <c r="AQ1649" s="507"/>
      <c r="AR1649" s="507"/>
      <c r="AS1649" s="507"/>
      <c r="AT1649" s="507"/>
      <c r="AU1649" s="507"/>
      <c r="AV1649" s="225"/>
      <c r="AW1649" s="508"/>
      <c r="AX1649" s="225"/>
      <c r="AY1649" s="225"/>
      <c r="AZ1649" s="225"/>
      <c r="BA1649" s="225"/>
      <c r="BB1649" s="225"/>
      <c r="BC1649" s="56"/>
      <c r="BD1649" s="56"/>
      <c r="BE1649" s="56"/>
      <c r="BF1649" s="107" t="str">
        <f t="shared" si="1268"/>
        <v>https://www.google.com/search?tbm=isch&amp;q=3%20G4</v>
      </c>
      <c r="BG1649" s="107" t="str">
        <f t="shared" si="1269"/>
        <v>G</v>
      </c>
      <c r="BH1649" s="254"/>
      <c r="BI1649" s="254"/>
    </row>
    <row r="1650" spans="1:61" customFormat="1" ht="15.75" x14ac:dyDescent="0.25">
      <c r="A1650" s="485">
        <v>7</v>
      </c>
      <c r="B1650" s="486" t="s">
        <v>291</v>
      </c>
      <c r="C1650" s="487" t="s">
        <v>3428</v>
      </c>
      <c r="D1650" s="488" t="s">
        <v>292</v>
      </c>
      <c r="E1650" s="489">
        <v>111.95</v>
      </c>
      <c r="F1650" s="516" t="s">
        <v>293</v>
      </c>
      <c r="G1650" s="232">
        <v>0</v>
      </c>
      <c r="H1650" s="658" t="str">
        <f>IF(G1650=0,"",IF(F1650="Buy",IF(G1650=1,"plant","plants"),IF(F1650&gt;0.01,"warranty","Error")))</f>
        <v/>
      </c>
      <c r="I1650" s="490">
        <f>IF(H1650="free",0,IF(H1650="credit",((E1650*(F1650))*G1650*-1),IF(F1650="Buy",(E1650*G1650),((E1650*(1-F1650))*G1650))))</f>
        <v>0</v>
      </c>
      <c r="J1650" s="490">
        <f>IF(H1650="warranty",0,(I1650*(_xlfn.SINGLE(SalesTaxPercentage))))</f>
        <v>0</v>
      </c>
      <c r="K1650" s="695">
        <f t="shared" ref="K1650" si="1293">I1650+J1650</f>
        <v>0</v>
      </c>
      <c r="L1650" s="695"/>
      <c r="M1650" s="659" t="str">
        <f>IF(AND(G1650&gt;0,E1650=0),"WARNING - no PRICE inserted",IF(H1650="free"," FREE ~ no charge this plant",IF(H1650="credit",CONCATENATE(" -$",ROUND(K1650*(1-T2GDiscount)*-1,2)," CREDIT after discount"),IF(T2GDiscount=0,"",IF(G1650=0,"",IF(F1650="Buy",CONCATENATE(" $",ROUND(K1650*(1-T2GDiscount),2)," with ",(T2GDiscount*100),"% discount"),CONCATENATE(" $",ROUND(K1650*(1-T2GDiscount),2)," with ",((T2GDiscount*100+F1650*100)-(T2GDiscount*100*F1650)),IF(F1650&gt;0,"% discounts",IF(NoWarrantyDiscount&gt;0,"% discounts","% discount")))))))))</f>
        <v/>
      </c>
      <c r="N1650" s="660"/>
      <c r="O1650" s="233"/>
      <c r="P1650" s="233"/>
      <c r="Q1650" s="233"/>
      <c r="R1650" s="233"/>
      <c r="S1650" s="233"/>
      <c r="T1650" s="508">
        <f t="shared" si="1257"/>
        <v>0</v>
      </c>
      <c r="U1650" s="225">
        <f>IF(NOT(ISNUMBER(G1650)), "", VLOOKUP(A1650,'Discount Lookup'!D:E,2,FALSE)*G1650)</f>
        <v>0</v>
      </c>
      <c r="V1650" s="225">
        <f>IF(NOT(ISNUMBER(G1650)), "", VLOOKUP(A1650,'Discount Lookup'!G:H,2,FALSE)*G1650)</f>
        <v>0</v>
      </c>
      <c r="W1650" s="508">
        <f t="shared" si="1258"/>
        <v>0</v>
      </c>
      <c r="X1650" s="508">
        <f t="shared" si="1259"/>
        <v>0</v>
      </c>
      <c r="Y1650" s="509" t="b">
        <f t="shared" si="1260"/>
        <v>0</v>
      </c>
      <c r="Z1650" s="510">
        <f t="shared" si="1261"/>
        <v>0</v>
      </c>
      <c r="AA1650" s="511"/>
      <c r="AB1650" s="511" t="str">
        <f t="shared" si="1262"/>
        <v/>
      </c>
      <c r="AC1650" s="698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698"/>
      <c r="AE1650" s="631" t="str">
        <f t="shared" si="1263"/>
        <v/>
      </c>
      <c r="AF1650" s="699" t="str">
        <f t="shared" si="1264"/>
        <v/>
      </c>
      <c r="AG1650" s="699"/>
      <c r="AH1650" s="699"/>
      <c r="AI1650" s="512">
        <f>IF(H1650="credit",0,IF(AE1650="free",0,IF(AE1650="me",0,IF(G1650&gt;0,(VLOOKUP(A1650,'Discount Lookup'!J:K,2)*G1650),0))))</f>
        <v>0</v>
      </c>
      <c r="AJ1650" s="513" t="str">
        <f t="shared" ca="1" si="1265"/>
        <v/>
      </c>
      <c r="AK1650" s="700" t="str">
        <f t="shared" si="1266"/>
        <v/>
      </c>
      <c r="AL1650" s="700"/>
      <c r="AM1650" s="505" t="str">
        <f t="shared" si="1267"/>
        <v/>
      </c>
      <c r="AN1650" s="506"/>
      <c r="AO1650" s="507"/>
      <c r="AP1650" s="507"/>
      <c r="AQ1650" s="507"/>
      <c r="AR1650" s="507"/>
      <c r="AS1650" s="507"/>
      <c r="AT1650" s="507"/>
      <c r="AU1650" s="507"/>
      <c r="AV1650" s="225"/>
      <c r="AW1650" s="508"/>
      <c r="AX1650" s="225"/>
      <c r="AY1650" s="225"/>
      <c r="AZ1650" s="225"/>
      <c r="BA1650" s="225"/>
      <c r="BB1650" s="225"/>
      <c r="BC1650" s="56"/>
      <c r="BD1650" s="56"/>
      <c r="BE1650" s="56"/>
      <c r="BF1650" s="107" t="str">
        <f t="shared" si="1268"/>
        <v>https://www.google.com/search?tbm=isch&amp;q=7%20G4</v>
      </c>
      <c r="BG1650" s="107" t="str">
        <f t="shared" si="1269"/>
        <v>G</v>
      </c>
      <c r="BH1650" s="254"/>
      <c r="BI1650" s="254"/>
    </row>
    <row r="1651" spans="1:61" customFormat="1" ht="27" x14ac:dyDescent="0.25">
      <c r="A1651" s="485">
        <v>15</v>
      </c>
      <c r="B1651" s="486" t="s">
        <v>291</v>
      </c>
      <c r="C1651" s="487" t="s">
        <v>3429</v>
      </c>
      <c r="D1651" s="488" t="s">
        <v>292</v>
      </c>
      <c r="E1651" s="489">
        <v>332.95</v>
      </c>
      <c r="F1651" s="516" t="s">
        <v>293</v>
      </c>
      <c r="G1651" s="232">
        <v>0</v>
      </c>
      <c r="H1651" s="658" t="str">
        <f>IF(G1651=0,"",IF(F1651="Buy",IF(G1651=1,"plant","plants"),IF(F1651&gt;0.01,"warranty","Error")))</f>
        <v/>
      </c>
      <c r="I1651" s="490">
        <f>IF(H1651="free",0,IF(H1651="credit",((E1651*(F1651))*G1651*-1),IF(F1651="Buy",(E1651*G1651),((E1651*(1-F1651))*G1651))))</f>
        <v>0</v>
      </c>
      <c r="J1651" s="490">
        <f>IF(H1651="warranty",0,(I1651*(_xlfn.SINGLE(SalesTaxPercentage))))</f>
        <v>0</v>
      </c>
      <c r="K1651" s="695">
        <f t="shared" ref="K1651" si="1294">I1651+J1651</f>
        <v>0</v>
      </c>
      <c r="L1651" s="695"/>
      <c r="M1651" s="659" t="str">
        <f>IF(AND(G1651&gt;0,E1651=0),"WARNING - no PRICE inserted",IF(H1651="free"," FREE ~ no charge this plant",IF(H1651="credit",CONCATENATE(" -$",ROUND(K1651*(1-T2GDiscount)*-1,2)," CREDIT after discount"),IF(T2GDiscount=0,"",IF(G1651=0,"",IF(F1651="Buy",CONCATENATE(" $",ROUND(K1651*(1-T2GDiscount),2)," with ",(T2GDiscount*100),"% discount"),CONCATENATE(" $",ROUND(K1651*(1-T2GDiscount),2)," with ",((T2GDiscount*100+F1651*100)-(T2GDiscount*100*F1651)),IF(F1651&gt;0,"% discounts",IF(NoWarrantyDiscount&gt;0,"% discounts","% discount")))))))))</f>
        <v/>
      </c>
      <c r="N1651" s="660"/>
      <c r="O1651" s="233"/>
      <c r="P1651" s="233"/>
      <c r="Q1651" s="233"/>
      <c r="R1651" s="233"/>
      <c r="S1651" s="233"/>
      <c r="T1651" s="508">
        <f t="shared" si="1257"/>
        <v>0</v>
      </c>
      <c r="U1651" s="225">
        <f>IF(NOT(ISNUMBER(G1651)), "", VLOOKUP(A1651,'Discount Lookup'!D:E,2,FALSE)*G1651)</f>
        <v>0</v>
      </c>
      <c r="V1651" s="225">
        <f>IF(NOT(ISNUMBER(G1651)), "", VLOOKUP(A1651,'Discount Lookup'!G:H,2,FALSE)*G1651)</f>
        <v>0</v>
      </c>
      <c r="W1651" s="508">
        <f t="shared" si="1258"/>
        <v>0</v>
      </c>
      <c r="X1651" s="508">
        <f t="shared" si="1259"/>
        <v>0</v>
      </c>
      <c r="Y1651" s="509" t="b">
        <f t="shared" si="1260"/>
        <v>0</v>
      </c>
      <c r="Z1651" s="510">
        <f t="shared" si="1261"/>
        <v>0</v>
      </c>
      <c r="AA1651" s="511"/>
      <c r="AB1651" s="511" t="str">
        <f t="shared" si="1262"/>
        <v/>
      </c>
      <c r="AC1651" s="698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698"/>
      <c r="AE1651" s="631" t="str">
        <f t="shared" si="1263"/>
        <v/>
      </c>
      <c r="AF1651" s="699" t="str">
        <f t="shared" si="1264"/>
        <v/>
      </c>
      <c r="AG1651" s="699"/>
      <c r="AH1651" s="699"/>
      <c r="AI1651" s="512">
        <f>IF(H1651="credit",0,IF(AE1651="free",0,IF(AE1651="me",0,IF(G1651&gt;0,(VLOOKUP(A1651,'Discount Lookup'!J:K,2)*G1651),0))))</f>
        <v>0</v>
      </c>
      <c r="AJ1651" s="513" t="str">
        <f t="shared" ca="1" si="1265"/>
        <v/>
      </c>
      <c r="AK1651" s="700" t="str">
        <f t="shared" si="1266"/>
        <v/>
      </c>
      <c r="AL1651" s="700"/>
      <c r="AM1651" s="505" t="str">
        <f t="shared" si="1267"/>
        <v/>
      </c>
      <c r="AN1651" s="506"/>
      <c r="AO1651" s="507"/>
      <c r="AP1651" s="507"/>
      <c r="AQ1651" s="507"/>
      <c r="AR1651" s="507"/>
      <c r="AS1651" s="507"/>
      <c r="AT1651" s="507"/>
      <c r="AU1651" s="507"/>
      <c r="AV1651" s="225"/>
      <c r="AW1651" s="508"/>
      <c r="AX1651" s="225"/>
      <c r="AY1651" s="225"/>
      <c r="AZ1651" s="225"/>
      <c r="BA1651" s="225"/>
      <c r="BB1651" s="225"/>
      <c r="BC1651" s="56"/>
      <c r="BD1651" s="56"/>
      <c r="BE1651" s="56"/>
      <c r="BF1651" s="107" t="str">
        <f t="shared" si="1268"/>
        <v>https://www.google.com/search?tbm=isch&amp;q=15%20G4</v>
      </c>
      <c r="BG1651" s="107" t="str">
        <f t="shared" si="1269"/>
        <v>G</v>
      </c>
      <c r="BH1651" s="254"/>
      <c r="BI1651" s="254"/>
    </row>
    <row r="1652" spans="1:61" customFormat="1" ht="16.5" thickBot="1" x14ac:dyDescent="0.3">
      <c r="A1652" s="522" t="s">
        <v>4617</v>
      </c>
      <c r="B1652" s="491"/>
      <c r="C1652" s="675"/>
      <c r="D1652" s="491"/>
      <c r="E1652" s="491"/>
      <c r="F1652" s="492"/>
      <c r="G1652" s="493"/>
      <c r="H1652" s="491"/>
      <c r="I1652" s="234"/>
      <c r="J1652" s="234"/>
      <c r="K1652" s="494"/>
      <c r="L1652" s="543"/>
      <c r="M1652" s="561"/>
      <c r="N1652" s="495"/>
      <c r="O1652" s="496"/>
      <c r="P1652" s="497"/>
      <c r="Q1652" s="495"/>
      <c r="R1652" s="495"/>
      <c r="S1652" s="277"/>
      <c r="T1652" s="508">
        <f t="shared" si="1257"/>
        <v>0</v>
      </c>
      <c r="U1652" s="225" t="str">
        <f>IF(NOT(ISNUMBER(G1652)), "", VLOOKUP(A1652,'Discount Lookup'!D:E,2,FALSE)*G1652)</f>
        <v/>
      </c>
      <c r="V1652" s="225" t="str">
        <f>IF(NOT(ISNUMBER(G1652)), "", VLOOKUP(A1652,'Discount Lookup'!G:H,2,FALSE)*G1652)</f>
        <v/>
      </c>
      <c r="W1652" s="508">
        <f t="shared" si="1258"/>
        <v>0</v>
      </c>
      <c r="X1652" s="508">
        <f t="shared" si="1259"/>
        <v>0</v>
      </c>
      <c r="Y1652" s="509" t="b">
        <f t="shared" si="1260"/>
        <v>0</v>
      </c>
      <c r="Z1652" s="510">
        <f t="shared" si="1261"/>
        <v>0</v>
      </c>
      <c r="AA1652" s="511"/>
      <c r="AB1652" s="511" t="str">
        <f t="shared" si="1262"/>
        <v/>
      </c>
      <c r="AC1652" s="698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698"/>
      <c r="AE1652" s="631" t="str">
        <f t="shared" si="1263"/>
        <v/>
      </c>
      <c r="AF1652" s="699" t="str">
        <f t="shared" si="1264"/>
        <v/>
      </c>
      <c r="AG1652" s="699"/>
      <c r="AH1652" s="699"/>
      <c r="AI1652" s="512">
        <f>IF(H1652="credit",0,IF(AE1652="free",0,IF(AE1652="me",0,IF(G1652&gt;0,(VLOOKUP(A1652,'Discount Lookup'!J:K,2)*G1652),0))))</f>
        <v>0</v>
      </c>
      <c r="AJ1652" s="513" t="str">
        <f t="shared" ca="1" si="1265"/>
        <v/>
      </c>
      <c r="AK1652" s="700" t="str">
        <f t="shared" si="1266"/>
        <v/>
      </c>
      <c r="AL1652" s="700"/>
      <c r="AM1652" s="505" t="str">
        <f t="shared" si="1267"/>
        <v/>
      </c>
      <c r="AN1652" s="506"/>
      <c r="AO1652" s="507"/>
      <c r="AP1652" s="507"/>
      <c r="AQ1652" s="507"/>
      <c r="AR1652" s="507"/>
      <c r="AS1652" s="507"/>
      <c r="AT1652" s="507"/>
      <c r="AU1652" s="507"/>
      <c r="AV1652" s="225"/>
      <c r="AW1652" s="508"/>
      <c r="AX1652" s="225"/>
      <c r="AY1652" s="225"/>
      <c r="AZ1652" s="225"/>
      <c r="BA1652" s="225"/>
      <c r="BB1652" s="225"/>
      <c r="BC1652" s="56"/>
      <c r="BD1652" s="56"/>
      <c r="BE1652" s="56"/>
      <c r="BF1652" s="107" t="str">
        <f t="shared" si="1268"/>
        <v>https://www.google.com/search?tbm=isch&amp;q=Graceful%20Dwarf%20Hinoki%20is%20a%20slow-grower%2C%20with%20unique%20shell-like%20sprays%20that%20create%20a%20graceful%2C%20layered%20texture%20</v>
      </c>
      <c r="BG1652" s="107" t="str">
        <f t="shared" si="1269"/>
        <v>G</v>
      </c>
      <c r="BH1652" s="254"/>
      <c r="BI1652" s="254"/>
    </row>
    <row r="1653" spans="1:61" customFormat="1" ht="18" x14ac:dyDescent="0.25">
      <c r="A1653" s="523" t="s">
        <v>1028</v>
      </c>
      <c r="B1653" s="235"/>
      <c r="C1653" s="676"/>
      <c r="D1653" s="255" t="s">
        <v>1029</v>
      </c>
      <c r="E1653" s="236"/>
      <c r="F1653" s="236"/>
      <c r="G1653" s="236"/>
      <c r="H1653" s="582" t="s">
        <v>1398</v>
      </c>
      <c r="I1653" s="498" t="s">
        <v>3022</v>
      </c>
      <c r="J1653" s="237"/>
      <c r="K1653" s="237"/>
      <c r="L1653" s="274"/>
      <c r="M1653" s="668" t="s">
        <v>4962</v>
      </c>
      <c r="N1653" s="681" t="str">
        <f>IF(AND(ISTEXT($A1653), ISERROR($A1653+0)), HYPERLINK($BF1653, "Images"), "")</f>
        <v>Images</v>
      </c>
      <c r="O1653" s="663" t="s">
        <v>4969</v>
      </c>
      <c r="P1653" s="253"/>
      <c r="Q1653" s="238"/>
      <c r="R1653" s="239"/>
      <c r="S1653" s="275"/>
      <c r="T1653" s="508">
        <f t="shared" si="1257"/>
        <v>0</v>
      </c>
      <c r="U1653" s="225" t="str">
        <f>IF(NOT(ISNUMBER(G1653)), "", VLOOKUP(A1653,'Discount Lookup'!D:E,2,FALSE)*G1653)</f>
        <v/>
      </c>
      <c r="V1653" s="225" t="str">
        <f>IF(NOT(ISNUMBER(G1653)), "", VLOOKUP(A1653,'Discount Lookup'!G:H,2,FALSE)*G1653)</f>
        <v/>
      </c>
      <c r="W1653" s="508">
        <f t="shared" si="1258"/>
        <v>0</v>
      </c>
      <c r="X1653" s="508" t="str">
        <f t="shared" si="1259"/>
        <v>Silvery-Green blades &amp; White midrib</v>
      </c>
      <c r="Y1653" s="509" t="b">
        <f t="shared" si="1260"/>
        <v>0</v>
      </c>
      <c r="Z1653" s="510">
        <f t="shared" si="1261"/>
        <v>0</v>
      </c>
      <c r="AA1653" s="511"/>
      <c r="AB1653" s="511" t="str">
        <f t="shared" si="1262"/>
        <v/>
      </c>
      <c r="AC1653" s="698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698"/>
      <c r="AE1653" s="631" t="str">
        <f t="shared" si="1263"/>
        <v/>
      </c>
      <c r="AF1653" s="699" t="str">
        <f t="shared" si="1264"/>
        <v/>
      </c>
      <c r="AG1653" s="699"/>
      <c r="AH1653" s="699"/>
      <c r="AI1653" s="512">
        <f>IF(H1653="credit",0,IF(AE1653="free",0,IF(AE1653="me",0,IF(G1653&gt;0,(VLOOKUP(A1653,'Discount Lookup'!J:K,2)*G1653),0))))</f>
        <v>0</v>
      </c>
      <c r="AJ1653" s="513" t="str">
        <f t="shared" ca="1" si="1265"/>
        <v/>
      </c>
      <c r="AK1653" s="700" t="str">
        <f t="shared" si="1266"/>
        <v/>
      </c>
      <c r="AL1653" s="700"/>
      <c r="AM1653" s="505" t="str">
        <f t="shared" si="1267"/>
        <v/>
      </c>
      <c r="AN1653" s="506"/>
      <c r="AO1653" s="507"/>
      <c r="AP1653" s="507"/>
      <c r="AQ1653" s="507"/>
      <c r="AR1653" s="507"/>
      <c r="AS1653" s="507"/>
      <c r="AT1653" s="507"/>
      <c r="AU1653" s="507"/>
      <c r="AV1653" s="225"/>
      <c r="AW1653" s="508"/>
      <c r="AX1653" s="225"/>
      <c r="AY1653" s="225"/>
      <c r="AZ1653" s="225"/>
      <c r="BA1653" s="225"/>
      <c r="BB1653" s="225"/>
      <c r="BC1653" s="56"/>
      <c r="BD1653" s="56"/>
      <c r="BE1653" s="56"/>
      <c r="BF1653" s="107" t="str">
        <f t="shared" si="1268"/>
        <v>https://www.google.com/search?tbm=isch&amp;q=Gracillimus%20Maiden%20Grass%20Miscanthus%20sinensis%20%27Gracillimus%27</v>
      </c>
      <c r="BG1653" s="107" t="str">
        <f t="shared" si="1269"/>
        <v>G</v>
      </c>
      <c r="BH1653" s="254"/>
      <c r="BI1653" s="254"/>
    </row>
    <row r="1654" spans="1:61" customFormat="1" ht="15.75" x14ac:dyDescent="0.25">
      <c r="A1654" s="276">
        <v>1</v>
      </c>
      <c r="B1654" s="240" t="s">
        <v>291</v>
      </c>
      <c r="C1654" s="241"/>
      <c r="D1654" s="242" t="s">
        <v>312</v>
      </c>
      <c r="E1654" s="243">
        <v>13.95</v>
      </c>
      <c r="F1654" s="517" t="s">
        <v>293</v>
      </c>
      <c r="G1654" s="232">
        <v>0</v>
      </c>
      <c r="H1654" s="661" t="str">
        <f>IF(G1654=0,"",IF(F1654="Buy",IF(G1654=1,"plant","plants"),IF(F1654&gt;0.01,"warranty","Error")))</f>
        <v/>
      </c>
      <c r="I1654" s="244">
        <f>IF(H1654="free",0,IF(H1654="credit",((E1654*(F1654))*G1654*-1),IF(F1654="Buy",(E1654*G1654),((E1654*(1-F1654))*G1654))))</f>
        <v>0</v>
      </c>
      <c r="J1654" s="244">
        <f>IF(H1654="warranty",0,(I1654*(_xlfn.SINGLE(SalesTaxPercentage))))</f>
        <v>0</v>
      </c>
      <c r="K1654" s="696">
        <f t="shared" ref="K1654" si="1295">I1654+J1654</f>
        <v>0</v>
      </c>
      <c r="L1654" s="696"/>
      <c r="M1654" s="659" t="str">
        <f>IF(AND(G1654&gt;0,E1654=0),"WARNING - no PRICE inserted",IF(H1654="free"," FREE ~ no charge this plant",IF(H1654="credit",CONCATENATE(" -$",ROUND(K1654*(1-T2GDiscount)*-1,2)," CREDIT after discount"),IF(T2GDiscount=0,"",IF(G1654=0,"",IF(F1654="Buy",CONCATENATE(" $",ROUND(K1654*(1-T2GDiscount),2)," with ",(T2GDiscount*100),"% discount"),CONCATENATE(" $",ROUND(K1654*(1-T2GDiscount),2)," with ",((T2GDiscount*100+F1654*100)-(T2GDiscount*100*F1654)),IF(F1654&gt;0,"% discounts",IF(NoWarrantyDiscount&gt;0,"% discounts","% discount")))))))))</f>
        <v/>
      </c>
      <c r="N1654" s="660"/>
      <c r="O1654" s="233"/>
      <c r="P1654" s="233"/>
      <c r="Q1654" s="233"/>
      <c r="R1654" s="233"/>
      <c r="S1654" s="233"/>
      <c r="T1654" s="508">
        <f t="shared" si="1257"/>
        <v>0</v>
      </c>
      <c r="U1654" s="225">
        <f>IF(NOT(ISNUMBER(G1654)), "", VLOOKUP(A1654,'Discount Lookup'!D:E,2,FALSE)*G1654)</f>
        <v>0</v>
      </c>
      <c r="V1654" s="225">
        <f>IF(NOT(ISNUMBER(G1654)), "", VLOOKUP(A1654,'Discount Lookup'!G:H,2,FALSE)*G1654)</f>
        <v>0</v>
      </c>
      <c r="W1654" s="508">
        <f t="shared" si="1258"/>
        <v>0</v>
      </c>
      <c r="X1654" s="508">
        <f t="shared" si="1259"/>
        <v>0</v>
      </c>
      <c r="Y1654" s="509" t="b">
        <f t="shared" si="1260"/>
        <v>0</v>
      </c>
      <c r="Z1654" s="510">
        <f t="shared" si="1261"/>
        <v>0</v>
      </c>
      <c r="AA1654" s="511"/>
      <c r="AB1654" s="511" t="str">
        <f t="shared" si="1262"/>
        <v/>
      </c>
      <c r="AC1654" s="698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698"/>
      <c r="AE1654" s="631" t="str">
        <f t="shared" si="1263"/>
        <v/>
      </c>
      <c r="AF1654" s="699" t="str">
        <f t="shared" si="1264"/>
        <v/>
      </c>
      <c r="AG1654" s="699"/>
      <c r="AH1654" s="699"/>
      <c r="AI1654" s="512">
        <f>IF(H1654="credit",0,IF(AE1654="free",0,IF(AE1654="me",0,IF(G1654&gt;0,(VLOOKUP(A1654,'Discount Lookup'!J:K,2)*G1654),0))))</f>
        <v>0</v>
      </c>
      <c r="AJ1654" s="513" t="str">
        <f t="shared" ca="1" si="1265"/>
        <v/>
      </c>
      <c r="AK1654" s="700" t="str">
        <f t="shared" si="1266"/>
        <v/>
      </c>
      <c r="AL1654" s="700"/>
      <c r="AM1654" s="505" t="str">
        <f t="shared" si="1267"/>
        <v/>
      </c>
      <c r="AN1654" s="506"/>
      <c r="AO1654" s="507"/>
      <c r="AP1654" s="507"/>
      <c r="AQ1654" s="507"/>
      <c r="AR1654" s="507"/>
      <c r="AS1654" s="507"/>
      <c r="AT1654" s="507"/>
      <c r="AU1654" s="507"/>
      <c r="AV1654" s="225"/>
      <c r="AW1654" s="508"/>
      <c r="AX1654" s="225"/>
      <c r="AY1654" s="225"/>
      <c r="AZ1654" s="225"/>
      <c r="BA1654" s="225"/>
      <c r="BB1654" s="225"/>
      <c r="BC1654" s="56"/>
      <c r="BD1654" s="56"/>
      <c r="BE1654" s="56"/>
      <c r="BF1654" s="107" t="str">
        <f t="shared" si="1268"/>
        <v>https://www.google.com/search?tbm=isch&amp;q=1%20G2</v>
      </c>
      <c r="BG1654" s="107" t="str">
        <f t="shared" si="1269"/>
        <v>G</v>
      </c>
      <c r="BH1654" s="254"/>
      <c r="BI1654" s="254"/>
    </row>
    <row r="1655" spans="1:61" customFormat="1" ht="15.75" x14ac:dyDescent="0.25">
      <c r="A1655" s="276">
        <v>3</v>
      </c>
      <c r="B1655" s="240" t="s">
        <v>291</v>
      </c>
      <c r="C1655" s="241"/>
      <c r="D1655" s="242" t="s">
        <v>312</v>
      </c>
      <c r="E1655" s="243">
        <v>25.95</v>
      </c>
      <c r="F1655" s="517" t="s">
        <v>293</v>
      </c>
      <c r="G1655" s="232">
        <v>0</v>
      </c>
      <c r="H1655" s="661" t="str">
        <f>IF(G1655=0,"",IF(F1655="Buy",IF(G1655=1,"plant","plants"),IF(F1655&gt;0.01,"warranty","Error")))</f>
        <v/>
      </c>
      <c r="I1655" s="244">
        <f>IF(H1655="free",0,IF(H1655="credit",((E1655*(F1655))*G1655*-1),IF(F1655="Buy",(E1655*G1655),((E1655*(1-F1655))*G1655))))</f>
        <v>0</v>
      </c>
      <c r="J1655" s="244">
        <f>IF(H1655="warranty",0,(I1655*(_xlfn.SINGLE(SalesTaxPercentage))))</f>
        <v>0</v>
      </c>
      <c r="K1655" s="696">
        <f t="shared" ref="K1655" si="1296">I1655+J1655</f>
        <v>0</v>
      </c>
      <c r="L1655" s="696"/>
      <c r="M1655" s="659" t="str">
        <f>IF(AND(G1655&gt;0,E1655=0),"WARNING - no PRICE inserted",IF(H1655="free"," FREE ~ no charge this plant",IF(H1655="credit",CONCATENATE(" -$",ROUND(K1655*(1-T2GDiscount)*-1,2)," CREDIT after discount"),IF(T2GDiscount=0,"",IF(G1655=0,"",IF(F1655="Buy",CONCATENATE(" $",ROUND(K1655*(1-T2GDiscount),2)," with ",(T2GDiscount*100),"% discount"),CONCATENATE(" $",ROUND(K1655*(1-T2GDiscount),2)," with ",((T2GDiscount*100+F1655*100)-(T2GDiscount*100*F1655)),IF(F1655&gt;0,"% discounts",IF(NoWarrantyDiscount&gt;0,"% discounts","% discount")))))))))</f>
        <v/>
      </c>
      <c r="N1655" s="660"/>
      <c r="O1655" s="233"/>
      <c r="P1655" s="233"/>
      <c r="Q1655" s="233"/>
      <c r="R1655" s="233"/>
      <c r="S1655" s="233"/>
      <c r="T1655" s="508">
        <f t="shared" si="1257"/>
        <v>0</v>
      </c>
      <c r="U1655" s="225">
        <f>IF(NOT(ISNUMBER(G1655)), "", VLOOKUP(A1655,'Discount Lookup'!D:E,2,FALSE)*G1655)</f>
        <v>0</v>
      </c>
      <c r="V1655" s="225">
        <f>IF(NOT(ISNUMBER(G1655)), "", VLOOKUP(A1655,'Discount Lookup'!G:H,2,FALSE)*G1655)</f>
        <v>0</v>
      </c>
      <c r="W1655" s="508">
        <f t="shared" si="1258"/>
        <v>0</v>
      </c>
      <c r="X1655" s="508">
        <f t="shared" si="1259"/>
        <v>0</v>
      </c>
      <c r="Y1655" s="509" t="b">
        <f t="shared" si="1260"/>
        <v>0</v>
      </c>
      <c r="Z1655" s="510">
        <f t="shared" si="1261"/>
        <v>0</v>
      </c>
      <c r="AA1655" s="511"/>
      <c r="AB1655" s="511" t="str">
        <f t="shared" si="1262"/>
        <v/>
      </c>
      <c r="AC1655" s="698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698"/>
      <c r="AE1655" s="631" t="str">
        <f t="shared" si="1263"/>
        <v/>
      </c>
      <c r="AF1655" s="699" t="str">
        <f t="shared" si="1264"/>
        <v/>
      </c>
      <c r="AG1655" s="699"/>
      <c r="AH1655" s="699"/>
      <c r="AI1655" s="512">
        <f>IF(H1655="credit",0,IF(AE1655="free",0,IF(AE1655="me",0,IF(G1655&gt;0,(VLOOKUP(A1655,'Discount Lookup'!J:K,2)*G1655),0))))</f>
        <v>0</v>
      </c>
      <c r="AJ1655" s="513" t="str">
        <f t="shared" ca="1" si="1265"/>
        <v/>
      </c>
      <c r="AK1655" s="700" t="str">
        <f t="shared" si="1266"/>
        <v/>
      </c>
      <c r="AL1655" s="700"/>
      <c r="AM1655" s="505" t="str">
        <f t="shared" si="1267"/>
        <v/>
      </c>
      <c r="AN1655" s="506"/>
      <c r="AO1655" s="507"/>
      <c r="AP1655" s="507"/>
      <c r="AQ1655" s="507"/>
      <c r="AR1655" s="507"/>
      <c r="AS1655" s="507"/>
      <c r="AT1655" s="507"/>
      <c r="AU1655" s="507"/>
      <c r="AV1655" s="225"/>
      <c r="AW1655" s="508"/>
      <c r="AX1655" s="225"/>
      <c r="AY1655" s="225"/>
      <c r="AZ1655" s="225"/>
      <c r="BA1655" s="225"/>
      <c r="BB1655" s="225"/>
      <c r="BC1655" s="56"/>
      <c r="BD1655" s="56"/>
      <c r="BE1655" s="56"/>
      <c r="BF1655" s="107" t="str">
        <f t="shared" si="1268"/>
        <v>https://www.google.com/search?tbm=isch&amp;q=3%20G2</v>
      </c>
      <c r="BG1655" s="107" t="str">
        <f t="shared" si="1269"/>
        <v>G</v>
      </c>
      <c r="BH1655" s="254"/>
      <c r="BI1655" s="254"/>
    </row>
    <row r="1656" spans="1:61" customFormat="1" ht="17.25" thickBot="1" x14ac:dyDescent="0.3">
      <c r="A1656" s="524" t="s">
        <v>3065</v>
      </c>
      <c r="B1656" s="245"/>
      <c r="C1656" s="677"/>
      <c r="D1656" s="499"/>
      <c r="E1656" s="499"/>
      <c r="F1656" s="500"/>
      <c r="G1656" s="501"/>
      <c r="H1656" s="502"/>
      <c r="I1656" s="246"/>
      <c r="J1656" s="247"/>
      <c r="K1656" s="503"/>
      <c r="L1656" s="544"/>
      <c r="M1656" s="544"/>
      <c r="N1656" s="500"/>
      <c r="O1656" s="500"/>
      <c r="P1656" s="500"/>
      <c r="Q1656" s="500"/>
      <c r="R1656" s="500"/>
      <c r="S1656" s="669" t="s">
        <v>4991</v>
      </c>
      <c r="T1656" s="508">
        <f t="shared" si="1257"/>
        <v>0</v>
      </c>
      <c r="U1656" s="225" t="str">
        <f>IF(NOT(ISNUMBER(G1656)), "", VLOOKUP(A1656,'Discount Lookup'!D:E,2,FALSE)*G1656)</f>
        <v/>
      </c>
      <c r="V1656" s="225" t="str">
        <f>IF(NOT(ISNUMBER(G1656)), "", VLOOKUP(A1656,'Discount Lookup'!G:H,2,FALSE)*G1656)</f>
        <v/>
      </c>
      <c r="W1656" s="508">
        <f t="shared" si="1258"/>
        <v>0</v>
      </c>
      <c r="X1656" s="508">
        <f t="shared" si="1259"/>
        <v>0</v>
      </c>
      <c r="Y1656" s="509" t="b">
        <f t="shared" si="1260"/>
        <v>0</v>
      </c>
      <c r="Z1656" s="510">
        <f t="shared" si="1261"/>
        <v>0</v>
      </c>
      <c r="AA1656" s="511"/>
      <c r="AB1656" s="511" t="str">
        <f t="shared" si="1262"/>
        <v/>
      </c>
      <c r="AC1656" s="698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698"/>
      <c r="AE1656" s="631" t="str">
        <f t="shared" si="1263"/>
        <v/>
      </c>
      <c r="AF1656" s="699" t="str">
        <f t="shared" si="1264"/>
        <v/>
      </c>
      <c r="AG1656" s="699"/>
      <c r="AH1656" s="699"/>
      <c r="AI1656" s="512">
        <f>IF(H1656="credit",0,IF(AE1656="free",0,IF(AE1656="me",0,IF(G1656&gt;0,(VLOOKUP(A1656,'Discount Lookup'!J:K,2)*G1656),0))))</f>
        <v>0</v>
      </c>
      <c r="AJ1656" s="513" t="str">
        <f t="shared" ca="1" si="1265"/>
        <v/>
      </c>
      <c r="AK1656" s="700" t="str">
        <f t="shared" si="1266"/>
        <v/>
      </c>
      <c r="AL1656" s="700"/>
      <c r="AM1656" s="505" t="str">
        <f t="shared" si="1267"/>
        <v/>
      </c>
      <c r="AN1656" s="506"/>
      <c r="AO1656" s="507"/>
      <c r="AP1656" s="507"/>
      <c r="AQ1656" s="507"/>
      <c r="AR1656" s="507"/>
      <c r="AS1656" s="507"/>
      <c r="AT1656" s="507"/>
      <c r="AU1656" s="507"/>
      <c r="AV1656" s="225"/>
      <c r="AW1656" s="508"/>
      <c r="AX1656" s="225"/>
      <c r="AY1656" s="225"/>
      <c r="AZ1656" s="225"/>
      <c r="BA1656" s="225"/>
      <c r="BB1656" s="225"/>
      <c r="BC1656" s="56"/>
      <c r="BD1656" s="56"/>
      <c r="BE1656" s="56"/>
      <c r="BF1656" s="107" t="str">
        <f t="shared" si="1268"/>
        <v>https://www.google.com/search?tbm=isch&amp;q=Gracillimus%27%20Coppery%20to%20Reddish-Bronze%20plumes%20appear%20late%20summer%2C%20then%20change%20to%20Silvery-Tan.%20Almost%20evergreen%20</v>
      </c>
      <c r="BG1656" s="107" t="str">
        <f t="shared" si="1269"/>
        <v>G</v>
      </c>
      <c r="BH1656" s="254"/>
      <c r="BI1656" s="254"/>
    </row>
    <row r="1657" spans="1:61" customFormat="1" ht="18" x14ac:dyDescent="0.25">
      <c r="A1657" s="521" t="s">
        <v>4618</v>
      </c>
      <c r="B1657" s="477"/>
      <c r="C1657" s="674"/>
      <c r="D1657" s="478" t="s">
        <v>4619</v>
      </c>
      <c r="E1657" s="479"/>
      <c r="F1657" s="479"/>
      <c r="G1657" s="479"/>
      <c r="H1657" s="582"/>
      <c r="I1657" s="480"/>
      <c r="J1657" s="479"/>
      <c r="K1657" s="479"/>
      <c r="L1657" s="560"/>
      <c r="M1657" s="481"/>
      <c r="N1657" s="680" t="str">
        <f>IF(AND(ISTEXT($A1657), ISERROR($A1657+0)), HYPERLINK($BF1657, "Images"), "")</f>
        <v>Images</v>
      </c>
      <c r="O1657" s="632"/>
      <c r="P1657" s="482"/>
      <c r="Q1657" s="483"/>
      <c r="R1657" s="483"/>
      <c r="S1657" s="484"/>
      <c r="T1657" s="508">
        <f t="shared" si="1257"/>
        <v>0</v>
      </c>
      <c r="U1657" s="225" t="str">
        <f>IF(NOT(ISNUMBER(G1657)), "", VLOOKUP(A1657,'Discount Lookup'!D:E,2,FALSE)*G1657)</f>
        <v/>
      </c>
      <c r="V1657" s="225" t="str">
        <f>IF(NOT(ISNUMBER(G1657)), "", VLOOKUP(A1657,'Discount Lookup'!G:H,2,FALSE)*G1657)</f>
        <v/>
      </c>
      <c r="W1657" s="508">
        <f t="shared" si="1258"/>
        <v>0</v>
      </c>
      <c r="X1657" s="508">
        <f t="shared" si="1259"/>
        <v>0</v>
      </c>
      <c r="Y1657" s="509" t="b">
        <f t="shared" si="1260"/>
        <v>0</v>
      </c>
      <c r="Z1657" s="510">
        <f t="shared" si="1261"/>
        <v>0</v>
      </c>
      <c r="AA1657" s="511"/>
      <c r="AB1657" s="511" t="str">
        <f t="shared" si="1262"/>
        <v/>
      </c>
      <c r="AC1657" s="698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698"/>
      <c r="AE1657" s="631" t="str">
        <f t="shared" si="1263"/>
        <v/>
      </c>
      <c r="AF1657" s="699" t="str">
        <f t="shared" si="1264"/>
        <v/>
      </c>
      <c r="AG1657" s="699"/>
      <c r="AH1657" s="699"/>
      <c r="AI1657" s="512">
        <f>IF(H1657="credit",0,IF(AE1657="free",0,IF(AE1657="me",0,IF(G1657&gt;0,(VLOOKUP(A1657,'Discount Lookup'!J:K,2)*G1657),0))))</f>
        <v>0</v>
      </c>
      <c r="AJ1657" s="513" t="str">
        <f t="shared" ca="1" si="1265"/>
        <v/>
      </c>
      <c r="AK1657" s="700" t="str">
        <f t="shared" si="1266"/>
        <v/>
      </c>
      <c r="AL1657" s="700"/>
      <c r="AM1657" s="505" t="str">
        <f t="shared" si="1267"/>
        <v/>
      </c>
      <c r="AN1657" s="506"/>
      <c r="AO1657" s="507"/>
      <c r="AP1657" s="507"/>
      <c r="AQ1657" s="507"/>
      <c r="AR1657" s="507"/>
      <c r="AS1657" s="507"/>
      <c r="AT1657" s="507"/>
      <c r="AU1657" s="507"/>
      <c r="AV1657" s="225"/>
      <c r="AW1657" s="508"/>
      <c r="AX1657" s="225"/>
      <c r="AY1657" s="225"/>
      <c r="AZ1657" s="225"/>
      <c r="BA1657" s="225"/>
      <c r="BB1657" s="225"/>
      <c r="BC1657" s="56"/>
      <c r="BD1657" s="56"/>
      <c r="BE1657" s="56"/>
      <c r="BF1657" s="107" t="str">
        <f t="shared" si="1268"/>
        <v>https://www.google.com/search?tbm=isch&amp;q=Grape%20Expectations%20Coral%20Bells%20Heuchera%20%27Grape%20Expectations%27%20PP%2326894</v>
      </c>
      <c r="BG1657" s="107" t="str">
        <f t="shared" si="1269"/>
        <v>G</v>
      </c>
      <c r="BH1657" s="254"/>
      <c r="BI1657" s="254"/>
    </row>
    <row r="1658" spans="1:61" customFormat="1" ht="16.5" thickBot="1" x14ac:dyDescent="0.3">
      <c r="A1658" s="485">
        <v>1</v>
      </c>
      <c r="B1658" s="486" t="s">
        <v>291</v>
      </c>
      <c r="C1658" s="487"/>
      <c r="D1658" s="488" t="s">
        <v>300</v>
      </c>
      <c r="E1658" s="489">
        <v>17.95</v>
      </c>
      <c r="F1658" s="516" t="s">
        <v>293</v>
      </c>
      <c r="G1658" s="232">
        <v>0</v>
      </c>
      <c r="H1658" s="658" t="str">
        <f>IF(G1658=0,"",IF(F1658="Buy",IF(G1658=1,"plant","plants"),IF(F1658&gt;0.01,"warranty","Error")))</f>
        <v/>
      </c>
      <c r="I1658" s="490">
        <f>IF(H1658="free",0,IF(H1658="credit",((E1658*(F1658))*G1658*-1),IF(F1658="Buy",(E1658*G1658),((E1658*(1-F1658))*G1658))))</f>
        <v>0</v>
      </c>
      <c r="J1658" s="490">
        <f>IF(H1658="warranty",0,(I1658*(_xlfn.SINGLE(SalesTaxPercentage))))</f>
        <v>0</v>
      </c>
      <c r="K1658" s="697">
        <f t="shared" ref="K1658" si="1297">I1658+J1658</f>
        <v>0</v>
      </c>
      <c r="L1658" s="697"/>
      <c r="M1658" s="659" t="str">
        <f>IF(AND(G1658&gt;0,E1658=0),"WARNING - no PRICE inserted",IF(H1658="free"," FREE ~ no charge this plant",IF(H1658="credit",CONCATENATE(" -$",ROUND(K1658*(1-T2GDiscount)*-1,2)," CREDIT after discount"),IF(T2GDiscount=0,"",IF(G1658=0,"",IF(F1658="Buy",CONCATENATE(" $",ROUND(K1658*(1-T2GDiscount),2)," with ",(T2GDiscount*100),"% discount"),CONCATENATE(" $",ROUND(K1658*(1-T2GDiscount),2)," with ",((T2GDiscount*100+F1658*100)-(T2GDiscount*100*F1658)),IF(F1658&gt;0,"% discounts",IF(NoWarrantyDiscount&gt;0,"% discounts","% discount")))))))))</f>
        <v/>
      </c>
      <c r="N1658" s="660"/>
      <c r="O1658" s="233"/>
      <c r="P1658" s="233"/>
      <c r="Q1658" s="233"/>
      <c r="R1658" s="233"/>
      <c r="S1658" s="233"/>
      <c r="T1658" s="508">
        <f t="shared" si="1257"/>
        <v>0</v>
      </c>
      <c r="U1658" s="225">
        <f>IF(NOT(ISNUMBER(G1658)), "", VLOOKUP(A1658,'Discount Lookup'!D:E,2,FALSE)*G1658)</f>
        <v>0</v>
      </c>
      <c r="V1658" s="225">
        <f>IF(NOT(ISNUMBER(G1658)), "", VLOOKUP(A1658,'Discount Lookup'!G:H,2,FALSE)*G1658)</f>
        <v>0</v>
      </c>
      <c r="W1658" s="508">
        <f t="shared" si="1258"/>
        <v>0</v>
      </c>
      <c r="X1658" s="508">
        <f t="shared" si="1259"/>
        <v>0</v>
      </c>
      <c r="Y1658" s="509" t="b">
        <f t="shared" si="1260"/>
        <v>0</v>
      </c>
      <c r="Z1658" s="510">
        <f t="shared" si="1261"/>
        <v>0</v>
      </c>
      <c r="AA1658" s="511"/>
      <c r="AB1658" s="511" t="str">
        <f t="shared" si="1262"/>
        <v/>
      </c>
      <c r="AC1658" s="698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698"/>
      <c r="AE1658" s="631" t="str">
        <f t="shared" si="1263"/>
        <v/>
      </c>
      <c r="AF1658" s="699" t="str">
        <f t="shared" si="1264"/>
        <v/>
      </c>
      <c r="AG1658" s="699"/>
      <c r="AH1658" s="699"/>
      <c r="AI1658" s="512">
        <f>IF(H1658="credit",0,IF(AE1658="free",0,IF(AE1658="me",0,IF(G1658&gt;0,(VLOOKUP(A1658,'Discount Lookup'!J:K,2)*G1658),0))))</f>
        <v>0</v>
      </c>
      <c r="AJ1658" s="513" t="str">
        <f t="shared" ca="1" si="1265"/>
        <v/>
      </c>
      <c r="AK1658" s="700" t="str">
        <f t="shared" si="1266"/>
        <v/>
      </c>
      <c r="AL1658" s="700"/>
      <c r="AM1658" s="505" t="str">
        <f t="shared" si="1267"/>
        <v/>
      </c>
      <c r="AN1658" s="506"/>
      <c r="AO1658" s="507"/>
      <c r="AP1658" s="507"/>
      <c r="AQ1658" s="507"/>
      <c r="AR1658" s="507"/>
      <c r="AS1658" s="507"/>
      <c r="AT1658" s="507"/>
      <c r="AU1658" s="507"/>
      <c r="AV1658" s="225"/>
      <c r="AW1658" s="508"/>
      <c r="AX1658" s="225"/>
      <c r="AY1658" s="225"/>
      <c r="AZ1658" s="225"/>
      <c r="BA1658" s="225"/>
      <c r="BB1658" s="225"/>
      <c r="BC1658" s="56"/>
      <c r="BD1658" s="56"/>
      <c r="BE1658" s="56"/>
      <c r="BF1658" s="107" t="str">
        <f t="shared" si="1268"/>
        <v>https://www.google.com/search?tbm=isch&amp;q=1%20G6</v>
      </c>
      <c r="BG1658" s="107" t="str">
        <f t="shared" si="1269"/>
        <v>G</v>
      </c>
      <c r="BH1658" s="254"/>
      <c r="BI1658" s="254"/>
    </row>
    <row r="1659" spans="1:61" customFormat="1" ht="18" x14ac:dyDescent="0.25">
      <c r="A1659" s="523" t="s">
        <v>5419</v>
      </c>
      <c r="B1659" s="235"/>
      <c r="C1659" s="676"/>
      <c r="D1659" s="255" t="s">
        <v>1030</v>
      </c>
      <c r="E1659" s="236"/>
      <c r="F1659" s="236"/>
      <c r="G1659" s="236"/>
      <c r="H1659" s="582" t="s">
        <v>1031</v>
      </c>
      <c r="I1659" s="498" t="s">
        <v>2093</v>
      </c>
      <c r="J1659" s="237"/>
      <c r="K1659" s="237"/>
      <c r="L1659" s="274"/>
      <c r="M1659" s="668" t="s">
        <v>4975</v>
      </c>
      <c r="N1659" s="681" t="str">
        <f>IF(AND(ISTEXT($A1659), ISERROR($A1659+0)), HYPERLINK($BF1659, "Images"), "")</f>
        <v>Images</v>
      </c>
      <c r="O1659" s="663" t="s">
        <v>4967</v>
      </c>
      <c r="P1659" s="253"/>
      <c r="Q1659" s="238"/>
      <c r="R1659" s="239"/>
      <c r="S1659" s="275" t="s">
        <v>305</v>
      </c>
      <c r="T1659" s="508">
        <f t="shared" si="1257"/>
        <v>0</v>
      </c>
      <c r="U1659" s="225" t="str">
        <f>IF(NOT(ISNUMBER(G1659)), "", VLOOKUP(A1659,'Discount Lookup'!D:E,2,FALSE)*G1659)</f>
        <v/>
      </c>
      <c r="V1659" s="225" t="str">
        <f>IF(NOT(ISNUMBER(G1659)), "", VLOOKUP(A1659,'Discount Lookup'!G:H,2,FALSE)*G1659)</f>
        <v/>
      </c>
      <c r="W1659" s="508">
        <f t="shared" si="1258"/>
        <v>0</v>
      </c>
      <c r="X1659" s="508" t="str">
        <f t="shared" si="1259"/>
        <v>Dark Green foliage</v>
      </c>
      <c r="Y1659" s="509" t="b">
        <f t="shared" si="1260"/>
        <v>0</v>
      </c>
      <c r="Z1659" s="510">
        <f t="shared" si="1261"/>
        <v>0</v>
      </c>
      <c r="AA1659" s="511"/>
      <c r="AB1659" s="511" t="str">
        <f t="shared" si="1262"/>
        <v/>
      </c>
      <c r="AC1659" s="698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698"/>
      <c r="AE1659" s="631" t="str">
        <f t="shared" si="1263"/>
        <v/>
      </c>
      <c r="AF1659" s="699" t="str">
        <f t="shared" si="1264"/>
        <v/>
      </c>
      <c r="AG1659" s="699"/>
      <c r="AH1659" s="699"/>
      <c r="AI1659" s="512">
        <f>IF(H1659="credit",0,IF(AE1659="free",0,IF(AE1659="me",0,IF(G1659&gt;0,(VLOOKUP(A1659,'Discount Lookup'!J:K,2)*G1659),0))))</f>
        <v>0</v>
      </c>
      <c r="AJ1659" s="513" t="str">
        <f t="shared" ca="1" si="1265"/>
        <v/>
      </c>
      <c r="AK1659" s="700" t="str">
        <f t="shared" si="1266"/>
        <v/>
      </c>
      <c r="AL1659" s="700"/>
      <c r="AM1659" s="505" t="str">
        <f t="shared" si="1267"/>
        <v/>
      </c>
      <c r="AN1659" s="506"/>
      <c r="AO1659" s="507"/>
      <c r="AP1659" s="507"/>
      <c r="AQ1659" s="507"/>
      <c r="AR1659" s="507"/>
      <c r="AS1659" s="507"/>
      <c r="AT1659" s="507"/>
      <c r="AU1659" s="507"/>
      <c r="AV1659" s="225"/>
      <c r="AW1659" s="508"/>
      <c r="AX1659" s="225"/>
      <c r="AY1659" s="225"/>
      <c r="AZ1659" s="225"/>
      <c r="BA1659" s="225"/>
      <c r="BB1659" s="225"/>
      <c r="BC1659" s="56"/>
      <c r="BD1659" s="56"/>
      <c r="BE1659" s="56"/>
      <c r="BF1659" s="107" t="str">
        <f t="shared" si="1268"/>
        <v>https://www.google.com/search?tbm=isch&amp;q=Green%20Gable%E2%84%A2%20Tupelo%20Nyssa%20sylvatica%20%27NSUHH%27%20PP%2322951</v>
      </c>
      <c r="BG1659" s="107" t="str">
        <f t="shared" si="1269"/>
        <v>G</v>
      </c>
      <c r="BH1659" s="254"/>
      <c r="BI1659" s="254"/>
    </row>
    <row r="1660" spans="1:61" customFormat="1" ht="15.75" x14ac:dyDescent="0.25">
      <c r="A1660" s="276">
        <v>7</v>
      </c>
      <c r="B1660" s="240" t="s">
        <v>291</v>
      </c>
      <c r="C1660" s="241" t="s">
        <v>3540</v>
      </c>
      <c r="D1660" s="242" t="s">
        <v>292</v>
      </c>
      <c r="E1660" s="243">
        <v>111.95</v>
      </c>
      <c r="F1660" s="517" t="s">
        <v>293</v>
      </c>
      <c r="G1660" s="232">
        <v>0</v>
      </c>
      <c r="H1660" s="661" t="str">
        <f>IF(G1660=0,"",IF(F1660="Buy",IF(G1660=1,"plant","plants"),IF(F1660&gt;0.01,"warranty","Error")))</f>
        <v/>
      </c>
      <c r="I1660" s="244">
        <f>IF(H1660="free",0,IF(H1660="credit",((E1660*(F1660))*G1660*-1),IF(F1660="Buy",(E1660*G1660),((E1660*(1-F1660))*G1660))))</f>
        <v>0</v>
      </c>
      <c r="J1660" s="244">
        <f>IF(H1660="warranty",0,(I1660*(_xlfn.SINGLE(SalesTaxPercentage))))</f>
        <v>0</v>
      </c>
      <c r="K1660" s="696">
        <f t="shared" ref="K1660" si="1298">I1660+J1660</f>
        <v>0</v>
      </c>
      <c r="L1660" s="696"/>
      <c r="M1660" s="659" t="str">
        <f>IF(AND(G1660&gt;0,E1660=0),"WARNING - no PRICE inserted",IF(H1660="free"," FREE ~ no charge this plant",IF(H1660="credit",CONCATENATE(" -$",ROUND(K1660*(1-T2GDiscount)*-1,2)," CREDIT after discount"),IF(T2GDiscount=0,"",IF(G1660=0,"",IF(F1660="Buy",CONCATENATE(" $",ROUND(K1660*(1-T2GDiscount),2)," with ",(T2GDiscount*100),"% discount"),CONCATENATE(" $",ROUND(K1660*(1-T2GDiscount),2)," with ",((T2GDiscount*100+F1660*100)-(T2GDiscount*100*F1660)),IF(F1660&gt;0,"% discounts",IF(NoWarrantyDiscount&gt;0,"% discounts","% discount")))))))))</f>
        <v/>
      </c>
      <c r="N1660" s="660"/>
      <c r="O1660" s="233"/>
      <c r="P1660" s="233"/>
      <c r="Q1660" s="233"/>
      <c r="R1660" s="233"/>
      <c r="S1660" s="233"/>
      <c r="T1660" s="508">
        <f t="shared" si="1257"/>
        <v>0</v>
      </c>
      <c r="U1660" s="225">
        <f>IF(NOT(ISNUMBER(G1660)), "", VLOOKUP(A1660,'Discount Lookup'!D:E,2,FALSE)*G1660)</f>
        <v>0</v>
      </c>
      <c r="V1660" s="225">
        <f>IF(NOT(ISNUMBER(G1660)), "", VLOOKUP(A1660,'Discount Lookup'!G:H,2,FALSE)*G1660)</f>
        <v>0</v>
      </c>
      <c r="W1660" s="508">
        <f t="shared" si="1258"/>
        <v>0</v>
      </c>
      <c r="X1660" s="508">
        <f t="shared" si="1259"/>
        <v>0</v>
      </c>
      <c r="Y1660" s="509" t="b">
        <f t="shared" si="1260"/>
        <v>0</v>
      </c>
      <c r="Z1660" s="510">
        <f t="shared" si="1261"/>
        <v>0</v>
      </c>
      <c r="AA1660" s="511"/>
      <c r="AB1660" s="511" t="str">
        <f t="shared" si="1262"/>
        <v/>
      </c>
      <c r="AC1660" s="698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698"/>
      <c r="AE1660" s="631" t="str">
        <f t="shared" si="1263"/>
        <v/>
      </c>
      <c r="AF1660" s="699" t="str">
        <f t="shared" si="1264"/>
        <v/>
      </c>
      <c r="AG1660" s="699"/>
      <c r="AH1660" s="699"/>
      <c r="AI1660" s="512">
        <f>IF(H1660="credit",0,IF(AE1660="free",0,IF(AE1660="me",0,IF(G1660&gt;0,(VLOOKUP(A1660,'Discount Lookup'!J:K,2)*G1660),0))))</f>
        <v>0</v>
      </c>
      <c r="AJ1660" s="513" t="str">
        <f t="shared" ca="1" si="1265"/>
        <v/>
      </c>
      <c r="AK1660" s="700" t="str">
        <f t="shared" si="1266"/>
        <v/>
      </c>
      <c r="AL1660" s="700"/>
      <c r="AM1660" s="505" t="str">
        <f t="shared" si="1267"/>
        <v/>
      </c>
      <c r="AN1660" s="506"/>
      <c r="AO1660" s="507"/>
      <c r="AP1660" s="507"/>
      <c r="AQ1660" s="507"/>
      <c r="AR1660" s="507"/>
      <c r="AS1660" s="507"/>
      <c r="AT1660" s="507"/>
      <c r="AU1660" s="507"/>
      <c r="AV1660" s="225"/>
      <c r="AW1660" s="508"/>
      <c r="AX1660" s="225"/>
      <c r="AY1660" s="225"/>
      <c r="AZ1660" s="225"/>
      <c r="BA1660" s="225"/>
      <c r="BB1660" s="225"/>
      <c r="BC1660" s="56"/>
      <c r="BD1660" s="56"/>
      <c r="BE1660" s="56"/>
      <c r="BF1660" s="107" t="str">
        <f t="shared" si="1268"/>
        <v>https://www.google.com/search?tbm=isch&amp;q=7%20G4</v>
      </c>
      <c r="BG1660" s="107" t="str">
        <f t="shared" si="1269"/>
        <v>G</v>
      </c>
      <c r="BH1660" s="254"/>
      <c r="BI1660" s="254"/>
    </row>
    <row r="1661" spans="1:61" customFormat="1" ht="15.75" x14ac:dyDescent="0.25">
      <c r="A1661" s="276">
        <v>15</v>
      </c>
      <c r="B1661" s="240" t="s">
        <v>291</v>
      </c>
      <c r="C1661" s="241" t="s">
        <v>3541</v>
      </c>
      <c r="D1661" s="242" t="s">
        <v>292</v>
      </c>
      <c r="E1661" s="243">
        <v>201.95</v>
      </c>
      <c r="F1661" s="517" t="s">
        <v>293</v>
      </c>
      <c r="G1661" s="232">
        <v>0</v>
      </c>
      <c r="H1661" s="661" t="str">
        <f>IF(G1661=0,"",IF(F1661="Buy",IF(G1661=1,"plant","plants"),IF(F1661&gt;0.01,"warranty","Error")))</f>
        <v/>
      </c>
      <c r="I1661" s="244">
        <f>IF(H1661="free",0,IF(H1661="credit",((E1661*(F1661))*G1661*-1),IF(F1661="Buy",(E1661*G1661),((E1661*(1-F1661))*G1661))))</f>
        <v>0</v>
      </c>
      <c r="J1661" s="244">
        <f>IF(H1661="warranty",0,(I1661*(_xlfn.SINGLE(SalesTaxPercentage))))</f>
        <v>0</v>
      </c>
      <c r="K1661" s="696">
        <f t="shared" ref="K1661" si="1299">I1661+J1661</f>
        <v>0</v>
      </c>
      <c r="L1661" s="696"/>
      <c r="M1661" s="659" t="str">
        <f>IF(AND(G1661&gt;0,E1661=0),"WARNING - no PRICE inserted",IF(H1661="free"," FREE ~ no charge this plant",IF(H1661="credit",CONCATENATE(" -$",ROUND(K1661*(1-T2GDiscount)*-1,2)," CREDIT after discount"),IF(T2GDiscount=0,"",IF(G1661=0,"",IF(F1661="Buy",CONCATENATE(" $",ROUND(K1661*(1-T2GDiscount),2)," with ",(T2GDiscount*100),"% discount"),CONCATENATE(" $",ROUND(K1661*(1-T2GDiscount),2)," with ",((T2GDiscount*100+F1661*100)-(T2GDiscount*100*F1661)),IF(F1661&gt;0,"% discounts",IF(NoWarrantyDiscount&gt;0,"% discounts","% discount")))))))))</f>
        <v/>
      </c>
      <c r="N1661" s="660"/>
      <c r="O1661" s="233"/>
      <c r="P1661" s="233"/>
      <c r="Q1661" s="233"/>
      <c r="R1661" s="233"/>
      <c r="S1661" s="233"/>
      <c r="T1661" s="508">
        <f t="shared" si="1257"/>
        <v>0</v>
      </c>
      <c r="U1661" s="225">
        <f>IF(NOT(ISNUMBER(G1661)), "", VLOOKUP(A1661,'Discount Lookup'!D:E,2,FALSE)*G1661)</f>
        <v>0</v>
      </c>
      <c r="V1661" s="225">
        <f>IF(NOT(ISNUMBER(G1661)), "", VLOOKUP(A1661,'Discount Lookup'!G:H,2,FALSE)*G1661)</f>
        <v>0</v>
      </c>
      <c r="W1661" s="508">
        <f t="shared" si="1258"/>
        <v>0</v>
      </c>
      <c r="X1661" s="508">
        <f t="shared" si="1259"/>
        <v>0</v>
      </c>
      <c r="Y1661" s="509" t="b">
        <f t="shared" si="1260"/>
        <v>0</v>
      </c>
      <c r="Z1661" s="510">
        <f t="shared" si="1261"/>
        <v>0</v>
      </c>
      <c r="AA1661" s="511"/>
      <c r="AB1661" s="511" t="str">
        <f t="shared" si="1262"/>
        <v/>
      </c>
      <c r="AC1661" s="698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698"/>
      <c r="AE1661" s="631" t="str">
        <f t="shared" si="1263"/>
        <v/>
      </c>
      <c r="AF1661" s="699" t="str">
        <f t="shared" si="1264"/>
        <v/>
      </c>
      <c r="AG1661" s="699"/>
      <c r="AH1661" s="699"/>
      <c r="AI1661" s="512">
        <f>IF(H1661="credit",0,IF(AE1661="free",0,IF(AE1661="me",0,IF(G1661&gt;0,(VLOOKUP(A1661,'Discount Lookup'!J:K,2)*G1661),0))))</f>
        <v>0</v>
      </c>
      <c r="AJ1661" s="513" t="str">
        <f t="shared" ca="1" si="1265"/>
        <v/>
      </c>
      <c r="AK1661" s="700" t="str">
        <f t="shared" si="1266"/>
        <v/>
      </c>
      <c r="AL1661" s="700"/>
      <c r="AM1661" s="505" t="str">
        <f t="shared" si="1267"/>
        <v/>
      </c>
      <c r="AN1661" s="506"/>
      <c r="AO1661" s="507"/>
      <c r="AP1661" s="507"/>
      <c r="AQ1661" s="507"/>
      <c r="AR1661" s="507"/>
      <c r="AS1661" s="507"/>
      <c r="AT1661" s="507"/>
      <c r="AU1661" s="507"/>
      <c r="AV1661" s="225"/>
      <c r="AW1661" s="508"/>
      <c r="AX1661" s="225"/>
      <c r="AY1661" s="225"/>
      <c r="AZ1661" s="225"/>
      <c r="BA1661" s="225"/>
      <c r="BB1661" s="225"/>
      <c r="BC1661" s="56"/>
      <c r="BD1661" s="56"/>
      <c r="BE1661" s="56"/>
      <c r="BF1661" s="107" t="str">
        <f t="shared" si="1268"/>
        <v>https://www.google.com/search?tbm=isch&amp;q=15%20G4</v>
      </c>
      <c r="BG1661" s="107" t="str">
        <f t="shared" si="1269"/>
        <v>G</v>
      </c>
      <c r="BH1661" s="254"/>
      <c r="BI1661" s="254"/>
    </row>
    <row r="1662" spans="1:61" customFormat="1" ht="15.75" x14ac:dyDescent="0.25">
      <c r="A1662" s="276">
        <v>25</v>
      </c>
      <c r="B1662" s="240" t="s">
        <v>291</v>
      </c>
      <c r="C1662" s="241" t="s">
        <v>1032</v>
      </c>
      <c r="D1662" s="242" t="s">
        <v>300</v>
      </c>
      <c r="E1662" s="243">
        <v>412.95</v>
      </c>
      <c r="F1662" s="517" t="s">
        <v>293</v>
      </c>
      <c r="G1662" s="232">
        <v>0</v>
      </c>
      <c r="H1662" s="661" t="str">
        <f>IF(G1662=0,"",IF(F1662="Buy",IF(G1662=1,"plant","plants"),IF(F1662&gt;0.01,"warranty","Error")))</f>
        <v/>
      </c>
      <c r="I1662" s="244">
        <f>IF(H1662="free",0,IF(H1662="credit",((E1662*(F1662))*G1662*-1),IF(F1662="Buy",(E1662*G1662),((E1662*(1-F1662))*G1662))))</f>
        <v>0</v>
      </c>
      <c r="J1662" s="244">
        <f>IF(H1662="warranty",0,(I1662*(_xlfn.SINGLE(SalesTaxPercentage))))</f>
        <v>0</v>
      </c>
      <c r="K1662" s="696">
        <f t="shared" ref="K1662" si="1300">I1662+J1662</f>
        <v>0</v>
      </c>
      <c r="L1662" s="696"/>
      <c r="M1662" s="659" t="str">
        <f>IF(AND(G1662&gt;0,E1662=0),"WARNING - no PRICE inserted",IF(H1662="free"," FREE ~ no charge this plant",IF(H1662="credit",CONCATENATE(" -$",ROUND(K1662*(1-T2GDiscount)*-1,2)," CREDIT after discount"),IF(T2GDiscount=0,"",IF(G1662=0,"",IF(F1662="Buy",CONCATENATE(" $",ROUND(K1662*(1-T2GDiscount),2)," with ",(T2GDiscount*100),"% discount"),CONCATENATE(" $",ROUND(K1662*(1-T2GDiscount),2)," with ",((T2GDiscount*100+F1662*100)-(T2GDiscount*100*F1662)),IF(F1662&gt;0,"% discounts",IF(NoWarrantyDiscount&gt;0,"% discounts","% discount")))))))))</f>
        <v/>
      </c>
      <c r="N1662" s="660"/>
      <c r="O1662" s="233"/>
      <c r="P1662" s="233"/>
      <c r="Q1662" s="233"/>
      <c r="R1662" s="233"/>
      <c r="S1662" s="233"/>
      <c r="T1662" s="508">
        <f t="shared" si="1257"/>
        <v>0</v>
      </c>
      <c r="U1662" s="225">
        <f>IF(NOT(ISNUMBER(G1662)), "", VLOOKUP(A1662,'Discount Lookup'!D:E,2,FALSE)*G1662)</f>
        <v>0</v>
      </c>
      <c r="V1662" s="225">
        <f>IF(NOT(ISNUMBER(G1662)), "", VLOOKUP(A1662,'Discount Lookup'!G:H,2,FALSE)*G1662)</f>
        <v>0</v>
      </c>
      <c r="W1662" s="508">
        <f t="shared" si="1258"/>
        <v>0</v>
      </c>
      <c r="X1662" s="508">
        <f t="shared" si="1259"/>
        <v>0</v>
      </c>
      <c r="Y1662" s="509" t="b">
        <f t="shared" si="1260"/>
        <v>0</v>
      </c>
      <c r="Z1662" s="510">
        <f t="shared" si="1261"/>
        <v>0</v>
      </c>
      <c r="AA1662" s="511"/>
      <c r="AB1662" s="511" t="str">
        <f t="shared" si="1262"/>
        <v/>
      </c>
      <c r="AC1662" s="698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698"/>
      <c r="AE1662" s="631" t="str">
        <f t="shared" si="1263"/>
        <v/>
      </c>
      <c r="AF1662" s="699" t="str">
        <f t="shared" si="1264"/>
        <v/>
      </c>
      <c r="AG1662" s="699"/>
      <c r="AH1662" s="699"/>
      <c r="AI1662" s="512">
        <f>IF(H1662="credit",0,IF(AE1662="free",0,IF(AE1662="me",0,IF(G1662&gt;0,(VLOOKUP(A1662,'Discount Lookup'!J:K,2)*G1662),0))))</f>
        <v>0</v>
      </c>
      <c r="AJ1662" s="513" t="str">
        <f t="shared" ca="1" si="1265"/>
        <v/>
      </c>
      <c r="AK1662" s="700" t="str">
        <f t="shared" si="1266"/>
        <v/>
      </c>
      <c r="AL1662" s="700"/>
      <c r="AM1662" s="505" t="str">
        <f t="shared" si="1267"/>
        <v/>
      </c>
      <c r="AN1662" s="506"/>
      <c r="AO1662" s="507"/>
      <c r="AP1662" s="507"/>
      <c r="AQ1662" s="507"/>
      <c r="AR1662" s="507"/>
      <c r="AS1662" s="507"/>
      <c r="AT1662" s="507"/>
      <c r="AU1662" s="507"/>
      <c r="AV1662" s="225"/>
      <c r="AW1662" s="508"/>
      <c r="AX1662" s="225"/>
      <c r="AY1662" s="225"/>
      <c r="AZ1662" s="225"/>
      <c r="BA1662" s="225"/>
      <c r="BB1662" s="225"/>
      <c r="BC1662" s="56"/>
      <c r="BD1662" s="56"/>
      <c r="BE1662" s="56"/>
      <c r="BF1662" s="107" t="str">
        <f t="shared" si="1268"/>
        <v>https://www.google.com/search?tbm=isch&amp;q=25%20G6</v>
      </c>
      <c r="BG1662" s="107" t="str">
        <f t="shared" si="1269"/>
        <v>G</v>
      </c>
      <c r="BH1662" s="254"/>
      <c r="BI1662" s="254"/>
    </row>
    <row r="1663" spans="1:61" customFormat="1" ht="17.25" thickBot="1" x14ac:dyDescent="0.3">
      <c r="A1663" s="673" t="s">
        <v>5128</v>
      </c>
      <c r="B1663" s="245"/>
      <c r="C1663" s="677"/>
      <c r="D1663" s="499"/>
      <c r="E1663" s="499"/>
      <c r="F1663" s="500"/>
      <c r="G1663" s="501"/>
      <c r="H1663" s="502"/>
      <c r="I1663" s="246"/>
      <c r="J1663" s="247"/>
      <c r="K1663" s="503"/>
      <c r="L1663" s="544"/>
      <c r="M1663" s="544"/>
      <c r="N1663" s="500"/>
      <c r="O1663" s="500"/>
      <c r="P1663" s="500"/>
      <c r="Q1663" s="500"/>
      <c r="R1663" s="500"/>
      <c r="S1663" s="669" t="s">
        <v>5012</v>
      </c>
      <c r="T1663" s="508">
        <f t="shared" si="1257"/>
        <v>0</v>
      </c>
      <c r="U1663" s="225" t="str">
        <f>IF(NOT(ISNUMBER(G1663)), "", VLOOKUP(A1663,'Discount Lookup'!D:E,2,FALSE)*G1663)</f>
        <v/>
      </c>
      <c r="V1663" s="225" t="str">
        <f>IF(NOT(ISNUMBER(G1663)), "", VLOOKUP(A1663,'Discount Lookup'!G:H,2,FALSE)*G1663)</f>
        <v/>
      </c>
      <c r="W1663" s="508">
        <f t="shared" si="1258"/>
        <v>0</v>
      </c>
      <c r="X1663" s="508">
        <f t="shared" si="1259"/>
        <v>0</v>
      </c>
      <c r="Y1663" s="509" t="b">
        <f t="shared" si="1260"/>
        <v>0</v>
      </c>
      <c r="Z1663" s="510">
        <f t="shared" si="1261"/>
        <v>0</v>
      </c>
      <c r="AA1663" s="511"/>
      <c r="AB1663" s="511" t="str">
        <f t="shared" si="1262"/>
        <v/>
      </c>
      <c r="AC1663" s="698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698"/>
      <c r="AE1663" s="631" t="str">
        <f t="shared" si="1263"/>
        <v/>
      </c>
      <c r="AF1663" s="699" t="str">
        <f t="shared" si="1264"/>
        <v/>
      </c>
      <c r="AG1663" s="699"/>
      <c r="AH1663" s="699"/>
      <c r="AI1663" s="512">
        <f>IF(H1663="credit",0,IF(AE1663="free",0,IF(AE1663="me",0,IF(G1663&gt;0,(VLOOKUP(A1663,'Discount Lookup'!J:K,2)*G1663),0))))</f>
        <v>0</v>
      </c>
      <c r="AJ1663" s="513" t="str">
        <f t="shared" ca="1" si="1265"/>
        <v/>
      </c>
      <c r="AK1663" s="700" t="str">
        <f t="shared" si="1266"/>
        <v/>
      </c>
      <c r="AL1663" s="700"/>
      <c r="AM1663" s="505" t="str">
        <f t="shared" si="1267"/>
        <v/>
      </c>
      <c r="AN1663" s="506"/>
      <c r="AO1663" s="507"/>
      <c r="AP1663" s="507"/>
      <c r="AQ1663" s="507"/>
      <c r="AR1663" s="507"/>
      <c r="AS1663" s="507"/>
      <c r="AT1663" s="507"/>
      <c r="AU1663" s="507"/>
      <c r="AV1663" s="225"/>
      <c r="AW1663" s="508"/>
      <c r="AX1663" s="225"/>
      <c r="AY1663" s="225"/>
      <c r="AZ1663" s="225"/>
      <c r="BA1663" s="225"/>
      <c r="BB1663" s="225"/>
      <c r="BC1663" s="56"/>
      <c r="BD1663" s="56"/>
      <c r="BE1663" s="56"/>
      <c r="BF1663" s="107" t="str">
        <f t="shared" si="1268"/>
        <v>https://www.google.com/search?tbm=isch&amp;q=wet%20sites%F0%9F%92%A7GOOD%2C%20Green%20Gable%20named%20for%20narrow%2C%20upright%2C%20habit.%20Small%2C%20Dark%20Blue-Black%20fruit%20%28drupes%29.%20Fiery%20Scarlet%20fall%20</v>
      </c>
      <c r="BG1663" s="107" t="str">
        <f t="shared" si="1269"/>
        <v>w</v>
      </c>
      <c r="BH1663" s="254"/>
      <c r="BI1663" s="254"/>
    </row>
    <row r="1664" spans="1:61" customFormat="1" ht="18" x14ac:dyDescent="0.25">
      <c r="A1664" s="521" t="s">
        <v>1033</v>
      </c>
      <c r="B1664" s="477"/>
      <c r="C1664" s="674"/>
      <c r="D1664" s="478" t="s">
        <v>1034</v>
      </c>
      <c r="E1664" s="479"/>
      <c r="F1664" s="479"/>
      <c r="G1664" s="479"/>
      <c r="H1664" s="582" t="s">
        <v>1035</v>
      </c>
      <c r="I1664" s="480" t="s">
        <v>2109</v>
      </c>
      <c r="J1664" s="479"/>
      <c r="K1664" s="479"/>
      <c r="L1664" s="560"/>
      <c r="M1664" s="666" t="s">
        <v>4963</v>
      </c>
      <c r="N1664" s="680" t="str">
        <f>IF(AND(ISTEXT($A1664), ISERROR($A1664+0)), HYPERLINK($BF1664, "Images"), "")</f>
        <v>Images</v>
      </c>
      <c r="O1664" s="662" t="s">
        <v>4974</v>
      </c>
      <c r="P1664" s="482"/>
      <c r="Q1664" s="483"/>
      <c r="R1664" s="483"/>
      <c r="S1664" s="484"/>
      <c r="T1664" s="508">
        <f t="shared" si="1257"/>
        <v>0</v>
      </c>
      <c r="U1664" s="225" t="str">
        <f>IF(NOT(ISNUMBER(G1664)), "", VLOOKUP(A1664,'Discount Lookup'!D:E,2,FALSE)*G1664)</f>
        <v/>
      </c>
      <c r="V1664" s="225" t="str">
        <f>IF(NOT(ISNUMBER(G1664)), "", VLOOKUP(A1664,'Discount Lookup'!G:H,2,FALSE)*G1664)</f>
        <v/>
      </c>
      <c r="W1664" s="508">
        <f t="shared" si="1258"/>
        <v>0</v>
      </c>
      <c r="X1664" s="508" t="str">
        <f t="shared" si="1259"/>
        <v>Green foliage</v>
      </c>
      <c r="Y1664" s="509" t="b">
        <f t="shared" si="1260"/>
        <v>0</v>
      </c>
      <c r="Z1664" s="510">
        <f t="shared" si="1261"/>
        <v>0</v>
      </c>
      <c r="AA1664" s="511"/>
      <c r="AB1664" s="511" t="str">
        <f t="shared" si="1262"/>
        <v/>
      </c>
      <c r="AC1664" s="698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698"/>
      <c r="AE1664" s="631" t="str">
        <f t="shared" si="1263"/>
        <v/>
      </c>
      <c r="AF1664" s="699" t="str">
        <f t="shared" si="1264"/>
        <v/>
      </c>
      <c r="AG1664" s="699"/>
      <c r="AH1664" s="699"/>
      <c r="AI1664" s="512">
        <f>IF(H1664="credit",0,IF(AE1664="free",0,IF(AE1664="me",0,IF(G1664&gt;0,(VLOOKUP(A1664,'Discount Lookup'!J:K,2)*G1664),0))))</f>
        <v>0</v>
      </c>
      <c r="AJ1664" s="513" t="str">
        <f t="shared" ca="1" si="1265"/>
        <v/>
      </c>
      <c r="AK1664" s="700" t="str">
        <f t="shared" si="1266"/>
        <v/>
      </c>
      <c r="AL1664" s="700"/>
      <c r="AM1664" s="505" t="str">
        <f t="shared" si="1267"/>
        <v/>
      </c>
      <c r="AN1664" s="506"/>
      <c r="AO1664" s="507"/>
      <c r="AP1664" s="507"/>
      <c r="AQ1664" s="507"/>
      <c r="AR1664" s="507"/>
      <c r="AS1664" s="507"/>
      <c r="AT1664" s="507"/>
      <c r="AU1664" s="507"/>
      <c r="AV1664" s="225"/>
      <c r="AW1664" s="508"/>
      <c r="AX1664" s="225"/>
      <c r="AY1664" s="225"/>
      <c r="AZ1664" s="225"/>
      <c r="BA1664" s="225"/>
      <c r="BB1664" s="225"/>
      <c r="BC1664" s="56"/>
      <c r="BD1664" s="56"/>
      <c r="BE1664" s="56"/>
      <c r="BF1664" s="107" t="str">
        <f t="shared" si="1268"/>
        <v>https://www.google.com/search?tbm=isch&amp;q=Green%20Giant%20Arborvitae%20Thuja%20plicata%20%27Green%20Giant%27</v>
      </c>
      <c r="BG1664" s="107" t="str">
        <f t="shared" si="1269"/>
        <v>G</v>
      </c>
      <c r="BH1664" s="254"/>
      <c r="BI1664" s="254"/>
    </row>
    <row r="1665" spans="1:61" customFormat="1" ht="15.75" x14ac:dyDescent="0.25">
      <c r="A1665" s="485">
        <v>1</v>
      </c>
      <c r="B1665" s="486" t="s">
        <v>291</v>
      </c>
      <c r="C1665" s="487"/>
      <c r="D1665" s="488" t="s">
        <v>298</v>
      </c>
      <c r="E1665" s="489">
        <v>7.95</v>
      </c>
      <c r="F1665" s="516" t="s">
        <v>293</v>
      </c>
      <c r="G1665" s="232">
        <v>0</v>
      </c>
      <c r="H1665" s="658" t="str">
        <f t="shared" ref="H1665:H1681" si="1301">IF(G1665=0,"",IF(F1665="Buy",IF(G1665=1,"plant","plants"),IF(F1665&gt;0.01,"warranty","Error")))</f>
        <v/>
      </c>
      <c r="I1665" s="490">
        <f t="shared" ref="I1665:I1681" si="1302">IF(H1665="free",0,IF(H1665="credit",((E1665*(F1665))*G1665*-1),IF(F1665="Buy",(E1665*G1665),((E1665*(1-F1665))*G1665))))</f>
        <v>0</v>
      </c>
      <c r="J1665" s="490">
        <f t="shared" ref="J1665:J1681" si="1303">IF(H1665="warranty",0,(I1665*(_xlfn.SINGLE(SalesTaxPercentage))))</f>
        <v>0</v>
      </c>
      <c r="K1665" s="695">
        <f t="shared" ref="K1665" si="1304">I1665+J1665</f>
        <v>0</v>
      </c>
      <c r="L1665" s="695"/>
      <c r="M1665" s="659" t="str">
        <f t="shared" ref="M1665:M1681" si="1305">IF(AND(G1665&gt;0,E1665=0),"WARNING - no PRICE inserted",IF(H1665="free"," FREE ~ no charge this plant",IF(H1665="credit",CONCATENATE(" -$",ROUND(K1665*(1-T2GDiscount)*-1,2)," CREDIT after discount"),IF(T2GDiscount=0,"",IF(G1665=0,"",IF(F1665="Buy",CONCATENATE(" $",ROUND(K1665*(1-T2GDiscount),2)," with ",(T2GDiscount*100),"% discount"),CONCATENATE(" $",ROUND(K1665*(1-T2GDiscount),2)," with ",((T2GDiscount*100+F1665*100)-(T2GDiscount*100*F1665)),IF(F1665&gt;0,"% discounts",IF(NoWarrantyDiscount&gt;0,"% discounts","% discount")))))))))</f>
        <v/>
      </c>
      <c r="N1665" s="660"/>
      <c r="O1665" s="233"/>
      <c r="P1665" s="233"/>
      <c r="Q1665" s="233"/>
      <c r="R1665" s="233"/>
      <c r="S1665" s="233"/>
      <c r="T1665" s="508">
        <f t="shared" si="1257"/>
        <v>0</v>
      </c>
      <c r="U1665" s="225">
        <f>IF(NOT(ISNUMBER(G1665)), "", VLOOKUP(A1665,'Discount Lookup'!D:E,2,FALSE)*G1665)</f>
        <v>0</v>
      </c>
      <c r="V1665" s="225">
        <f>IF(NOT(ISNUMBER(G1665)), "", VLOOKUP(A1665,'Discount Lookup'!G:H,2,FALSE)*G1665)</f>
        <v>0</v>
      </c>
      <c r="W1665" s="508">
        <f t="shared" si="1258"/>
        <v>0</v>
      </c>
      <c r="X1665" s="508">
        <f t="shared" si="1259"/>
        <v>0</v>
      </c>
      <c r="Y1665" s="509" t="b">
        <f t="shared" si="1260"/>
        <v>0</v>
      </c>
      <c r="Z1665" s="510">
        <f t="shared" si="1261"/>
        <v>0</v>
      </c>
      <c r="AA1665" s="511"/>
      <c r="AB1665" s="511" t="str">
        <f t="shared" si="1262"/>
        <v/>
      </c>
      <c r="AC1665" s="698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698"/>
      <c r="AE1665" s="631" t="str">
        <f t="shared" si="1263"/>
        <v/>
      </c>
      <c r="AF1665" s="699" t="str">
        <f t="shared" si="1264"/>
        <v/>
      </c>
      <c r="AG1665" s="699"/>
      <c r="AH1665" s="699"/>
      <c r="AI1665" s="512">
        <f>IF(H1665="credit",0,IF(AE1665="free",0,IF(AE1665="me",0,IF(G1665&gt;0,(VLOOKUP(A1665,'Discount Lookup'!J:K,2)*G1665),0))))</f>
        <v>0</v>
      </c>
      <c r="AJ1665" s="513" t="str">
        <f t="shared" ca="1" si="1265"/>
        <v/>
      </c>
      <c r="AK1665" s="700" t="str">
        <f t="shared" si="1266"/>
        <v/>
      </c>
      <c r="AL1665" s="700"/>
      <c r="AM1665" s="505" t="str">
        <f t="shared" si="1267"/>
        <v/>
      </c>
      <c r="AN1665" s="506"/>
      <c r="AO1665" s="507"/>
      <c r="AP1665" s="507"/>
      <c r="AQ1665" s="507"/>
      <c r="AR1665" s="507"/>
      <c r="AS1665" s="507"/>
      <c r="AT1665" s="507"/>
      <c r="AU1665" s="507"/>
      <c r="AV1665" s="225"/>
      <c r="AW1665" s="508"/>
      <c r="AX1665" s="225"/>
      <c r="AY1665" s="225"/>
      <c r="AZ1665" s="225"/>
      <c r="BA1665" s="225"/>
      <c r="BB1665" s="225"/>
      <c r="BC1665" s="56"/>
      <c r="BD1665" s="56"/>
      <c r="BE1665" s="56"/>
      <c r="BF1665" s="107" t="str">
        <f t="shared" si="1268"/>
        <v>https://www.google.com/search?tbm=isch&amp;q=1%20G1</v>
      </c>
      <c r="BG1665" s="107" t="str">
        <f t="shared" si="1269"/>
        <v>G</v>
      </c>
      <c r="BH1665" s="254"/>
      <c r="BI1665" s="254"/>
    </row>
    <row r="1666" spans="1:61" customFormat="1" ht="15.75" x14ac:dyDescent="0.25">
      <c r="A1666" s="485">
        <v>1</v>
      </c>
      <c r="B1666" s="486" t="s">
        <v>291</v>
      </c>
      <c r="C1666" s="487" t="s">
        <v>3260</v>
      </c>
      <c r="D1666" s="488" t="s">
        <v>299</v>
      </c>
      <c r="E1666" s="489">
        <v>9.9499999999999993</v>
      </c>
      <c r="F1666" s="516" t="s">
        <v>293</v>
      </c>
      <c r="G1666" s="232">
        <v>0</v>
      </c>
      <c r="H1666" s="658" t="str">
        <f t="shared" si="1301"/>
        <v/>
      </c>
      <c r="I1666" s="490">
        <f t="shared" si="1302"/>
        <v>0</v>
      </c>
      <c r="J1666" s="490">
        <f t="shared" si="1303"/>
        <v>0</v>
      </c>
      <c r="K1666" s="695">
        <f t="shared" ref="K1666" si="1306">I1666+J1666</f>
        <v>0</v>
      </c>
      <c r="L1666" s="695"/>
      <c r="M1666" s="659" t="str">
        <f t="shared" si="1305"/>
        <v/>
      </c>
      <c r="N1666" s="660"/>
      <c r="O1666" s="233"/>
      <c r="P1666" s="233"/>
      <c r="Q1666" s="233"/>
      <c r="R1666" s="233"/>
      <c r="S1666" s="233"/>
      <c r="T1666" s="508">
        <f t="shared" si="1257"/>
        <v>0</v>
      </c>
      <c r="U1666" s="225">
        <f>IF(NOT(ISNUMBER(G1666)), "", VLOOKUP(A1666,'Discount Lookup'!D:E,2,FALSE)*G1666)</f>
        <v>0</v>
      </c>
      <c r="V1666" s="225">
        <f>IF(NOT(ISNUMBER(G1666)), "", VLOOKUP(A1666,'Discount Lookup'!G:H,2,FALSE)*G1666)</f>
        <v>0</v>
      </c>
      <c r="W1666" s="508">
        <f t="shared" si="1258"/>
        <v>0</v>
      </c>
      <c r="X1666" s="508">
        <f t="shared" si="1259"/>
        <v>0</v>
      </c>
      <c r="Y1666" s="509" t="b">
        <f t="shared" si="1260"/>
        <v>0</v>
      </c>
      <c r="Z1666" s="510">
        <f t="shared" si="1261"/>
        <v>0</v>
      </c>
      <c r="AA1666" s="511"/>
      <c r="AB1666" s="511" t="str">
        <f t="shared" si="1262"/>
        <v/>
      </c>
      <c r="AC1666" s="698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698"/>
      <c r="AE1666" s="631" t="str">
        <f t="shared" si="1263"/>
        <v/>
      </c>
      <c r="AF1666" s="699" t="str">
        <f t="shared" si="1264"/>
        <v/>
      </c>
      <c r="AG1666" s="699"/>
      <c r="AH1666" s="699"/>
      <c r="AI1666" s="512">
        <f>IF(H1666="credit",0,IF(AE1666="free",0,IF(AE1666="me",0,IF(G1666&gt;0,(VLOOKUP(A1666,'Discount Lookup'!J:K,2)*G1666),0))))</f>
        <v>0</v>
      </c>
      <c r="AJ1666" s="513" t="str">
        <f t="shared" ca="1" si="1265"/>
        <v/>
      </c>
      <c r="AK1666" s="700" t="str">
        <f t="shared" si="1266"/>
        <v/>
      </c>
      <c r="AL1666" s="700"/>
      <c r="AM1666" s="505" t="str">
        <f t="shared" si="1267"/>
        <v/>
      </c>
      <c r="AN1666" s="506"/>
      <c r="AO1666" s="507"/>
      <c r="AP1666" s="507"/>
      <c r="AQ1666" s="507"/>
      <c r="AR1666" s="507"/>
      <c r="AS1666" s="507"/>
      <c r="AT1666" s="507"/>
      <c r="AU1666" s="507"/>
      <c r="AV1666" s="225"/>
      <c r="AW1666" s="508"/>
      <c r="AX1666" s="225"/>
      <c r="AY1666" s="225"/>
      <c r="AZ1666" s="225"/>
      <c r="BA1666" s="225"/>
      <c r="BB1666" s="225"/>
      <c r="BC1666" s="56"/>
      <c r="BD1666" s="56"/>
      <c r="BE1666" s="56"/>
      <c r="BF1666" s="107" t="str">
        <f t="shared" si="1268"/>
        <v>https://www.google.com/search?tbm=isch&amp;q=1%20G5</v>
      </c>
      <c r="BG1666" s="107" t="str">
        <f t="shared" si="1269"/>
        <v>G</v>
      </c>
      <c r="BH1666" s="254"/>
      <c r="BI1666" s="254"/>
    </row>
    <row r="1667" spans="1:61" customFormat="1" ht="15.75" x14ac:dyDescent="0.25">
      <c r="A1667" s="485">
        <v>3</v>
      </c>
      <c r="B1667" s="486" t="s">
        <v>291</v>
      </c>
      <c r="C1667" s="487" t="s">
        <v>2398</v>
      </c>
      <c r="D1667" s="488" t="s">
        <v>297</v>
      </c>
      <c r="E1667" s="489">
        <v>24.95</v>
      </c>
      <c r="F1667" s="516" t="s">
        <v>293</v>
      </c>
      <c r="G1667" s="232">
        <v>0</v>
      </c>
      <c r="H1667" s="658" t="str">
        <f t="shared" si="1301"/>
        <v/>
      </c>
      <c r="I1667" s="490">
        <f t="shared" si="1302"/>
        <v>0</v>
      </c>
      <c r="J1667" s="490">
        <f t="shared" si="1303"/>
        <v>0</v>
      </c>
      <c r="K1667" s="695">
        <f t="shared" ref="K1667" si="1307">I1667+J1667</f>
        <v>0</v>
      </c>
      <c r="L1667" s="695"/>
      <c r="M1667" s="659" t="str">
        <f t="shared" si="1305"/>
        <v/>
      </c>
      <c r="N1667" s="660"/>
      <c r="O1667" s="233"/>
      <c r="P1667" s="233"/>
      <c r="Q1667" s="233"/>
      <c r="R1667" s="233"/>
      <c r="S1667" s="233"/>
      <c r="T1667" s="508">
        <f t="shared" si="1257"/>
        <v>0</v>
      </c>
      <c r="U1667" s="225">
        <f>IF(NOT(ISNUMBER(G1667)), "", VLOOKUP(A1667,'Discount Lookup'!D:E,2,FALSE)*G1667)</f>
        <v>0</v>
      </c>
      <c r="V1667" s="225">
        <f>IF(NOT(ISNUMBER(G1667)), "", VLOOKUP(A1667,'Discount Lookup'!G:H,2,FALSE)*G1667)</f>
        <v>0</v>
      </c>
      <c r="W1667" s="508">
        <f t="shared" si="1258"/>
        <v>0</v>
      </c>
      <c r="X1667" s="508">
        <f t="shared" si="1259"/>
        <v>0</v>
      </c>
      <c r="Y1667" s="509" t="b">
        <f t="shared" si="1260"/>
        <v>0</v>
      </c>
      <c r="Z1667" s="510">
        <f t="shared" si="1261"/>
        <v>0</v>
      </c>
      <c r="AA1667" s="511"/>
      <c r="AB1667" s="511" t="str">
        <f t="shared" si="1262"/>
        <v/>
      </c>
      <c r="AC1667" s="698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698"/>
      <c r="AE1667" s="631" t="str">
        <f t="shared" si="1263"/>
        <v/>
      </c>
      <c r="AF1667" s="699" t="str">
        <f t="shared" si="1264"/>
        <v/>
      </c>
      <c r="AG1667" s="699"/>
      <c r="AH1667" s="699"/>
      <c r="AI1667" s="512">
        <f>IF(H1667="credit",0,IF(AE1667="free",0,IF(AE1667="me",0,IF(G1667&gt;0,(VLOOKUP(A1667,'Discount Lookup'!J:K,2)*G1667),0))))</f>
        <v>0</v>
      </c>
      <c r="AJ1667" s="513" t="str">
        <f t="shared" ca="1" si="1265"/>
        <v/>
      </c>
      <c r="AK1667" s="700" t="str">
        <f t="shared" si="1266"/>
        <v/>
      </c>
      <c r="AL1667" s="700"/>
      <c r="AM1667" s="505" t="str">
        <f t="shared" si="1267"/>
        <v/>
      </c>
      <c r="AN1667" s="506"/>
      <c r="AO1667" s="507"/>
      <c r="AP1667" s="507"/>
      <c r="AQ1667" s="507"/>
      <c r="AR1667" s="507"/>
      <c r="AS1667" s="507"/>
      <c r="AT1667" s="507"/>
      <c r="AU1667" s="507"/>
      <c r="AV1667" s="225"/>
      <c r="AW1667" s="508"/>
      <c r="AX1667" s="225"/>
      <c r="AY1667" s="225"/>
      <c r="AZ1667" s="225"/>
      <c r="BA1667" s="225"/>
      <c r="BB1667" s="225"/>
      <c r="BC1667" s="56"/>
      <c r="BD1667" s="56"/>
      <c r="BE1667" s="56"/>
      <c r="BF1667" s="107" t="str">
        <f t="shared" si="1268"/>
        <v>https://www.google.com/search?tbm=isch&amp;q=3%20G3</v>
      </c>
      <c r="BG1667" s="107" t="str">
        <f t="shared" si="1269"/>
        <v>G</v>
      </c>
      <c r="BH1667" s="254"/>
      <c r="BI1667" s="254"/>
    </row>
    <row r="1668" spans="1:61" customFormat="1" ht="15.75" x14ac:dyDescent="0.25">
      <c r="A1668" s="485">
        <v>3</v>
      </c>
      <c r="B1668" s="486" t="s">
        <v>291</v>
      </c>
      <c r="C1668" s="487" t="s">
        <v>327</v>
      </c>
      <c r="D1668" s="488" t="s">
        <v>298</v>
      </c>
      <c r="E1668" s="489">
        <v>25.95</v>
      </c>
      <c r="F1668" s="516" t="s">
        <v>293</v>
      </c>
      <c r="G1668" s="232">
        <v>0</v>
      </c>
      <c r="H1668" s="658" t="str">
        <f t="shared" si="1301"/>
        <v/>
      </c>
      <c r="I1668" s="490">
        <f t="shared" si="1302"/>
        <v>0</v>
      </c>
      <c r="J1668" s="490">
        <f t="shared" si="1303"/>
        <v>0</v>
      </c>
      <c r="K1668" s="695">
        <f t="shared" ref="K1668" si="1308">I1668+J1668</f>
        <v>0</v>
      </c>
      <c r="L1668" s="695"/>
      <c r="M1668" s="659" t="str">
        <f t="shared" si="1305"/>
        <v/>
      </c>
      <c r="N1668" s="660"/>
      <c r="O1668" s="233"/>
      <c r="P1668" s="233"/>
      <c r="Q1668" s="233"/>
      <c r="R1668" s="233"/>
      <c r="S1668" s="233"/>
      <c r="T1668" s="508">
        <f t="shared" si="1257"/>
        <v>0</v>
      </c>
      <c r="U1668" s="225">
        <f>IF(NOT(ISNUMBER(G1668)), "", VLOOKUP(A1668,'Discount Lookup'!D:E,2,FALSE)*G1668)</f>
        <v>0</v>
      </c>
      <c r="V1668" s="225">
        <f>IF(NOT(ISNUMBER(G1668)), "", VLOOKUP(A1668,'Discount Lookup'!G:H,2,FALSE)*G1668)</f>
        <v>0</v>
      </c>
      <c r="W1668" s="508">
        <f t="shared" si="1258"/>
        <v>0</v>
      </c>
      <c r="X1668" s="508">
        <f t="shared" si="1259"/>
        <v>0</v>
      </c>
      <c r="Y1668" s="509" t="b">
        <f t="shared" si="1260"/>
        <v>0</v>
      </c>
      <c r="Z1668" s="510">
        <f t="shared" si="1261"/>
        <v>0</v>
      </c>
      <c r="AA1668" s="511"/>
      <c r="AB1668" s="511" t="str">
        <f t="shared" si="1262"/>
        <v/>
      </c>
      <c r="AC1668" s="698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698"/>
      <c r="AE1668" s="631" t="str">
        <f t="shared" si="1263"/>
        <v/>
      </c>
      <c r="AF1668" s="699" t="str">
        <f t="shared" si="1264"/>
        <v/>
      </c>
      <c r="AG1668" s="699"/>
      <c r="AH1668" s="699"/>
      <c r="AI1668" s="512">
        <f>IF(H1668="credit",0,IF(AE1668="free",0,IF(AE1668="me",0,IF(G1668&gt;0,(VLOOKUP(A1668,'Discount Lookup'!J:K,2)*G1668),0))))</f>
        <v>0</v>
      </c>
      <c r="AJ1668" s="513" t="str">
        <f t="shared" ca="1" si="1265"/>
        <v/>
      </c>
      <c r="AK1668" s="700" t="str">
        <f t="shared" si="1266"/>
        <v/>
      </c>
      <c r="AL1668" s="700"/>
      <c r="AM1668" s="505" t="str">
        <f t="shared" si="1267"/>
        <v/>
      </c>
      <c r="AN1668" s="506"/>
      <c r="AO1668" s="507"/>
      <c r="AP1668" s="507"/>
      <c r="AQ1668" s="507"/>
      <c r="AR1668" s="507"/>
      <c r="AS1668" s="507"/>
      <c r="AT1668" s="507"/>
      <c r="AU1668" s="507"/>
      <c r="AV1668" s="225"/>
      <c r="AW1668" s="508"/>
      <c r="AX1668" s="225"/>
      <c r="AY1668" s="225"/>
      <c r="AZ1668" s="225"/>
      <c r="BA1668" s="225"/>
      <c r="BB1668" s="225"/>
      <c r="BC1668" s="56"/>
      <c r="BD1668" s="56"/>
      <c r="BE1668" s="56"/>
      <c r="BF1668" s="107" t="str">
        <f t="shared" si="1268"/>
        <v>https://www.google.com/search?tbm=isch&amp;q=3%20G1</v>
      </c>
      <c r="BG1668" s="107" t="str">
        <f t="shared" si="1269"/>
        <v>G</v>
      </c>
      <c r="BH1668" s="254"/>
      <c r="BI1668" s="254"/>
    </row>
    <row r="1669" spans="1:61" customFormat="1" ht="15.75" x14ac:dyDescent="0.25">
      <c r="A1669" s="485">
        <v>3</v>
      </c>
      <c r="B1669" s="486" t="s">
        <v>291</v>
      </c>
      <c r="C1669" s="487" t="s">
        <v>4676</v>
      </c>
      <c r="D1669" s="488" t="s">
        <v>299</v>
      </c>
      <c r="E1669" s="489">
        <v>33.950000000000003</v>
      </c>
      <c r="F1669" s="516" t="s">
        <v>293</v>
      </c>
      <c r="G1669" s="232">
        <v>0</v>
      </c>
      <c r="H1669" s="658" t="str">
        <f t="shared" si="1301"/>
        <v/>
      </c>
      <c r="I1669" s="490">
        <f t="shared" si="1302"/>
        <v>0</v>
      </c>
      <c r="J1669" s="490">
        <f t="shared" si="1303"/>
        <v>0</v>
      </c>
      <c r="K1669" s="695">
        <f t="shared" ref="K1669" si="1309">I1669+J1669</f>
        <v>0</v>
      </c>
      <c r="L1669" s="695"/>
      <c r="M1669" s="659" t="str">
        <f t="shared" si="1305"/>
        <v/>
      </c>
      <c r="N1669" s="660"/>
      <c r="O1669" s="233"/>
      <c r="P1669" s="233"/>
      <c r="Q1669" s="233"/>
      <c r="R1669" s="233"/>
      <c r="S1669" s="233"/>
      <c r="T1669" s="508">
        <f t="shared" si="1257"/>
        <v>0</v>
      </c>
      <c r="U1669" s="225">
        <f>IF(NOT(ISNUMBER(G1669)), "", VLOOKUP(A1669,'Discount Lookup'!D:E,2,FALSE)*G1669)</f>
        <v>0</v>
      </c>
      <c r="V1669" s="225">
        <f>IF(NOT(ISNUMBER(G1669)), "", VLOOKUP(A1669,'Discount Lookup'!G:H,2,FALSE)*G1669)</f>
        <v>0</v>
      </c>
      <c r="W1669" s="508">
        <f t="shared" si="1258"/>
        <v>0</v>
      </c>
      <c r="X1669" s="508">
        <f t="shared" si="1259"/>
        <v>0</v>
      </c>
      <c r="Y1669" s="509" t="b">
        <f t="shared" si="1260"/>
        <v>0</v>
      </c>
      <c r="Z1669" s="510">
        <f t="shared" si="1261"/>
        <v>0</v>
      </c>
      <c r="AA1669" s="511"/>
      <c r="AB1669" s="511" t="str">
        <f t="shared" si="1262"/>
        <v/>
      </c>
      <c r="AC1669" s="698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698"/>
      <c r="AE1669" s="631" t="str">
        <f t="shared" si="1263"/>
        <v/>
      </c>
      <c r="AF1669" s="699" t="str">
        <f t="shared" si="1264"/>
        <v/>
      </c>
      <c r="AG1669" s="699"/>
      <c r="AH1669" s="699"/>
      <c r="AI1669" s="512">
        <f>IF(H1669="credit",0,IF(AE1669="free",0,IF(AE1669="me",0,IF(G1669&gt;0,(VLOOKUP(A1669,'Discount Lookup'!J:K,2)*G1669),0))))</f>
        <v>0</v>
      </c>
      <c r="AJ1669" s="513" t="str">
        <f t="shared" ca="1" si="1265"/>
        <v/>
      </c>
      <c r="AK1669" s="700" t="str">
        <f t="shared" si="1266"/>
        <v/>
      </c>
      <c r="AL1669" s="700"/>
      <c r="AM1669" s="505" t="str">
        <f t="shared" si="1267"/>
        <v/>
      </c>
      <c r="AN1669" s="506"/>
      <c r="AO1669" s="507"/>
      <c r="AP1669" s="507"/>
      <c r="AQ1669" s="507"/>
      <c r="AR1669" s="507"/>
      <c r="AS1669" s="507"/>
      <c r="AT1669" s="507"/>
      <c r="AU1669" s="507"/>
      <c r="AV1669" s="225"/>
      <c r="AW1669" s="508"/>
      <c r="AX1669" s="225"/>
      <c r="AY1669" s="225"/>
      <c r="AZ1669" s="225"/>
      <c r="BA1669" s="225"/>
      <c r="BB1669" s="225"/>
      <c r="BC1669" s="56"/>
      <c r="BD1669" s="56"/>
      <c r="BE1669" s="56"/>
      <c r="BF1669" s="107" t="str">
        <f t="shared" si="1268"/>
        <v>https://www.google.com/search?tbm=isch&amp;q=3%20G5</v>
      </c>
      <c r="BG1669" s="107" t="str">
        <f t="shared" si="1269"/>
        <v>G</v>
      </c>
      <c r="BH1669" s="254"/>
      <c r="BI1669" s="254"/>
    </row>
    <row r="1670" spans="1:61" customFormat="1" ht="15.75" x14ac:dyDescent="0.25">
      <c r="A1670" s="485">
        <v>7</v>
      </c>
      <c r="B1670" s="486" t="s">
        <v>291</v>
      </c>
      <c r="C1670" s="487" t="s">
        <v>2129</v>
      </c>
      <c r="D1670" s="488" t="s">
        <v>299</v>
      </c>
      <c r="E1670" s="489">
        <v>56.95</v>
      </c>
      <c r="F1670" s="516" t="s">
        <v>293</v>
      </c>
      <c r="G1670" s="232">
        <v>0</v>
      </c>
      <c r="H1670" s="658" t="str">
        <f t="shared" si="1301"/>
        <v/>
      </c>
      <c r="I1670" s="490">
        <f t="shared" si="1302"/>
        <v>0</v>
      </c>
      <c r="J1670" s="490">
        <f t="shared" si="1303"/>
        <v>0</v>
      </c>
      <c r="K1670" s="695">
        <f t="shared" ref="K1670" si="1310">I1670+J1670</f>
        <v>0</v>
      </c>
      <c r="L1670" s="695"/>
      <c r="M1670" s="659" t="str">
        <f t="shared" si="1305"/>
        <v/>
      </c>
      <c r="N1670" s="660"/>
      <c r="O1670" s="233"/>
      <c r="P1670" s="233"/>
      <c r="Q1670" s="233"/>
      <c r="R1670" s="233"/>
      <c r="S1670" s="233"/>
      <c r="T1670" s="508">
        <f t="shared" si="1257"/>
        <v>0</v>
      </c>
      <c r="U1670" s="225">
        <f>IF(NOT(ISNUMBER(G1670)), "", VLOOKUP(A1670,'Discount Lookup'!D:E,2,FALSE)*G1670)</f>
        <v>0</v>
      </c>
      <c r="V1670" s="225">
        <f>IF(NOT(ISNUMBER(G1670)), "", VLOOKUP(A1670,'Discount Lookup'!G:H,2,FALSE)*G1670)</f>
        <v>0</v>
      </c>
      <c r="W1670" s="508">
        <f t="shared" si="1258"/>
        <v>0</v>
      </c>
      <c r="X1670" s="508">
        <f t="shared" si="1259"/>
        <v>0</v>
      </c>
      <c r="Y1670" s="509" t="b">
        <f t="shared" si="1260"/>
        <v>0</v>
      </c>
      <c r="Z1670" s="510">
        <f t="shared" si="1261"/>
        <v>0</v>
      </c>
      <c r="AA1670" s="511"/>
      <c r="AB1670" s="511" t="str">
        <f t="shared" si="1262"/>
        <v/>
      </c>
      <c r="AC1670" s="698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698"/>
      <c r="AE1670" s="631" t="str">
        <f t="shared" si="1263"/>
        <v/>
      </c>
      <c r="AF1670" s="699" t="str">
        <f t="shared" si="1264"/>
        <v/>
      </c>
      <c r="AG1670" s="699"/>
      <c r="AH1670" s="699"/>
      <c r="AI1670" s="512">
        <f>IF(H1670="credit",0,IF(AE1670="free",0,IF(AE1670="me",0,IF(G1670&gt;0,(VLOOKUP(A1670,'Discount Lookup'!J:K,2)*G1670),0))))</f>
        <v>0</v>
      </c>
      <c r="AJ1670" s="513" t="str">
        <f t="shared" ca="1" si="1265"/>
        <v/>
      </c>
      <c r="AK1670" s="700" t="str">
        <f t="shared" si="1266"/>
        <v/>
      </c>
      <c r="AL1670" s="700"/>
      <c r="AM1670" s="505" t="str">
        <f t="shared" si="1267"/>
        <v/>
      </c>
      <c r="AN1670" s="506"/>
      <c r="AO1670" s="507"/>
      <c r="AP1670" s="507"/>
      <c r="AQ1670" s="507"/>
      <c r="AR1670" s="507"/>
      <c r="AS1670" s="507"/>
      <c r="AT1670" s="507"/>
      <c r="AU1670" s="507"/>
      <c r="AV1670" s="225"/>
      <c r="AW1670" s="508"/>
      <c r="AX1670" s="225"/>
      <c r="AY1670" s="225"/>
      <c r="AZ1670" s="225"/>
      <c r="BA1670" s="225"/>
      <c r="BB1670" s="225"/>
      <c r="BC1670" s="56"/>
      <c r="BD1670" s="56"/>
      <c r="BE1670" s="56"/>
      <c r="BF1670" s="107" t="str">
        <f t="shared" si="1268"/>
        <v>https://www.google.com/search?tbm=isch&amp;q=7%20G5</v>
      </c>
      <c r="BG1670" s="107" t="str">
        <f t="shared" si="1269"/>
        <v>G</v>
      </c>
      <c r="BH1670" s="254"/>
      <c r="BI1670" s="254"/>
    </row>
    <row r="1671" spans="1:61" customFormat="1" ht="15.75" x14ac:dyDescent="0.25">
      <c r="A1671" s="485">
        <v>7</v>
      </c>
      <c r="B1671" s="486" t="s">
        <v>291</v>
      </c>
      <c r="C1671" s="487" t="s">
        <v>4412</v>
      </c>
      <c r="D1671" s="488" t="s">
        <v>292</v>
      </c>
      <c r="E1671" s="489">
        <v>79.95</v>
      </c>
      <c r="F1671" s="516" t="s">
        <v>293</v>
      </c>
      <c r="G1671" s="232">
        <v>0</v>
      </c>
      <c r="H1671" s="658" t="str">
        <f t="shared" si="1301"/>
        <v/>
      </c>
      <c r="I1671" s="490">
        <f t="shared" si="1302"/>
        <v>0</v>
      </c>
      <c r="J1671" s="490">
        <f t="shared" si="1303"/>
        <v>0</v>
      </c>
      <c r="K1671" s="695">
        <f t="shared" ref="K1671" si="1311">I1671+J1671</f>
        <v>0</v>
      </c>
      <c r="L1671" s="695"/>
      <c r="M1671" s="659" t="str">
        <f t="shared" si="1305"/>
        <v/>
      </c>
      <c r="N1671" s="660"/>
      <c r="O1671" s="233"/>
      <c r="P1671" s="233"/>
      <c r="Q1671" s="233"/>
      <c r="R1671" s="233"/>
      <c r="S1671" s="233"/>
      <c r="T1671" s="508">
        <f t="shared" si="1257"/>
        <v>0</v>
      </c>
      <c r="U1671" s="225">
        <f>IF(NOT(ISNUMBER(G1671)), "", VLOOKUP(A1671,'Discount Lookup'!D:E,2,FALSE)*G1671)</f>
        <v>0</v>
      </c>
      <c r="V1671" s="225">
        <f>IF(NOT(ISNUMBER(G1671)), "", VLOOKUP(A1671,'Discount Lookup'!G:H,2,FALSE)*G1671)</f>
        <v>0</v>
      </c>
      <c r="W1671" s="508">
        <f t="shared" si="1258"/>
        <v>0</v>
      </c>
      <c r="X1671" s="508">
        <f t="shared" si="1259"/>
        <v>0</v>
      </c>
      <c r="Y1671" s="509" t="b">
        <f t="shared" si="1260"/>
        <v>0</v>
      </c>
      <c r="Z1671" s="510">
        <f t="shared" si="1261"/>
        <v>0</v>
      </c>
      <c r="AA1671" s="511"/>
      <c r="AB1671" s="511" t="str">
        <f t="shared" si="1262"/>
        <v/>
      </c>
      <c r="AC1671" s="698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698"/>
      <c r="AE1671" s="631" t="str">
        <f t="shared" si="1263"/>
        <v/>
      </c>
      <c r="AF1671" s="699" t="str">
        <f t="shared" si="1264"/>
        <v/>
      </c>
      <c r="AG1671" s="699"/>
      <c r="AH1671" s="699"/>
      <c r="AI1671" s="512">
        <f>IF(H1671="credit",0,IF(AE1671="free",0,IF(AE1671="me",0,IF(G1671&gt;0,(VLOOKUP(A1671,'Discount Lookup'!J:K,2)*G1671),0))))</f>
        <v>0</v>
      </c>
      <c r="AJ1671" s="513" t="str">
        <f t="shared" ca="1" si="1265"/>
        <v/>
      </c>
      <c r="AK1671" s="700" t="str">
        <f t="shared" si="1266"/>
        <v/>
      </c>
      <c r="AL1671" s="700"/>
      <c r="AM1671" s="505" t="str">
        <f t="shared" si="1267"/>
        <v/>
      </c>
      <c r="AN1671" s="506"/>
      <c r="AO1671" s="507"/>
      <c r="AP1671" s="507"/>
      <c r="AQ1671" s="507"/>
      <c r="AR1671" s="507"/>
      <c r="AS1671" s="507"/>
      <c r="AT1671" s="507"/>
      <c r="AU1671" s="507"/>
      <c r="AV1671" s="225"/>
      <c r="AW1671" s="508"/>
      <c r="AX1671" s="225"/>
      <c r="AY1671" s="225"/>
      <c r="AZ1671" s="225"/>
      <c r="BA1671" s="225"/>
      <c r="BB1671" s="225"/>
      <c r="BC1671" s="56"/>
      <c r="BD1671" s="56"/>
      <c r="BE1671" s="56"/>
      <c r="BF1671" s="107" t="str">
        <f t="shared" si="1268"/>
        <v>https://www.google.com/search?tbm=isch&amp;q=7%20G4</v>
      </c>
      <c r="BG1671" s="107" t="str">
        <f t="shared" si="1269"/>
        <v>G</v>
      </c>
      <c r="BH1671" s="254"/>
      <c r="BI1671" s="254"/>
    </row>
    <row r="1672" spans="1:61" customFormat="1" ht="15.75" x14ac:dyDescent="0.25">
      <c r="A1672" s="485">
        <v>10</v>
      </c>
      <c r="B1672" s="486" t="s">
        <v>291</v>
      </c>
      <c r="C1672" s="487" t="s">
        <v>10</v>
      </c>
      <c r="D1672" s="488" t="s">
        <v>298</v>
      </c>
      <c r="E1672" s="489">
        <v>114.95</v>
      </c>
      <c r="F1672" s="516" t="s">
        <v>293</v>
      </c>
      <c r="G1672" s="232">
        <v>0</v>
      </c>
      <c r="H1672" s="658" t="str">
        <f t="shared" si="1301"/>
        <v/>
      </c>
      <c r="I1672" s="490">
        <f t="shared" si="1302"/>
        <v>0</v>
      </c>
      <c r="J1672" s="490">
        <f t="shared" si="1303"/>
        <v>0</v>
      </c>
      <c r="K1672" s="695">
        <f t="shared" ref="K1672" si="1312">I1672+J1672</f>
        <v>0</v>
      </c>
      <c r="L1672" s="695"/>
      <c r="M1672" s="659" t="str">
        <f t="shared" si="1305"/>
        <v/>
      </c>
      <c r="N1672" s="660"/>
      <c r="O1672" s="233"/>
      <c r="P1672" s="233"/>
      <c r="Q1672" s="233"/>
      <c r="R1672" s="233"/>
      <c r="S1672" s="233"/>
      <c r="T1672" s="508">
        <f t="shared" si="1257"/>
        <v>0</v>
      </c>
      <c r="U1672" s="225">
        <f>IF(NOT(ISNUMBER(G1672)), "", VLOOKUP(A1672,'Discount Lookup'!D:E,2,FALSE)*G1672)</f>
        <v>0</v>
      </c>
      <c r="V1672" s="225">
        <f>IF(NOT(ISNUMBER(G1672)), "", VLOOKUP(A1672,'Discount Lookup'!G:H,2,FALSE)*G1672)</f>
        <v>0</v>
      </c>
      <c r="W1672" s="508">
        <f t="shared" si="1258"/>
        <v>0</v>
      </c>
      <c r="X1672" s="508">
        <f t="shared" si="1259"/>
        <v>0</v>
      </c>
      <c r="Y1672" s="509" t="b">
        <f t="shared" si="1260"/>
        <v>0</v>
      </c>
      <c r="Z1672" s="510">
        <f t="shared" si="1261"/>
        <v>0</v>
      </c>
      <c r="AA1672" s="511"/>
      <c r="AB1672" s="511" t="str">
        <f t="shared" si="1262"/>
        <v/>
      </c>
      <c r="AC1672" s="698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698"/>
      <c r="AE1672" s="631" t="str">
        <f t="shared" si="1263"/>
        <v/>
      </c>
      <c r="AF1672" s="699" t="str">
        <f t="shared" si="1264"/>
        <v/>
      </c>
      <c r="AG1672" s="699"/>
      <c r="AH1672" s="699"/>
      <c r="AI1672" s="512">
        <f>IF(H1672="credit",0,IF(AE1672="free",0,IF(AE1672="me",0,IF(G1672&gt;0,(VLOOKUP(A1672,'Discount Lookup'!J:K,2)*G1672),0))))</f>
        <v>0</v>
      </c>
      <c r="AJ1672" s="513" t="str">
        <f t="shared" ca="1" si="1265"/>
        <v/>
      </c>
      <c r="AK1672" s="700" t="str">
        <f t="shared" si="1266"/>
        <v/>
      </c>
      <c r="AL1672" s="700"/>
      <c r="AM1672" s="505" t="str">
        <f t="shared" si="1267"/>
        <v/>
      </c>
      <c r="AN1672" s="506"/>
      <c r="AO1672" s="507"/>
      <c r="AP1672" s="507"/>
      <c r="AQ1672" s="507"/>
      <c r="AR1672" s="507"/>
      <c r="AS1672" s="507"/>
      <c r="AT1672" s="507"/>
      <c r="AU1672" s="507"/>
      <c r="AV1672" s="225"/>
      <c r="AW1672" s="508"/>
      <c r="AX1672" s="225"/>
      <c r="AY1672" s="225"/>
      <c r="AZ1672" s="225"/>
      <c r="BA1672" s="225"/>
      <c r="BB1672" s="225"/>
      <c r="BC1672" s="56"/>
      <c r="BD1672" s="56"/>
      <c r="BE1672" s="56"/>
      <c r="BF1672" s="107" t="str">
        <f t="shared" si="1268"/>
        <v>https://www.google.com/search?tbm=isch&amp;q=10%20G1</v>
      </c>
      <c r="BG1672" s="107" t="str">
        <f t="shared" si="1269"/>
        <v>G</v>
      </c>
      <c r="BH1672" s="254"/>
      <c r="BI1672" s="254"/>
    </row>
    <row r="1673" spans="1:61" customFormat="1" ht="15.75" x14ac:dyDescent="0.25">
      <c r="A1673" s="485">
        <v>15</v>
      </c>
      <c r="B1673" s="486" t="s">
        <v>291</v>
      </c>
      <c r="C1673" s="487" t="s">
        <v>1037</v>
      </c>
      <c r="D1673" s="488" t="s">
        <v>297</v>
      </c>
      <c r="E1673" s="489">
        <v>155.94999999999999</v>
      </c>
      <c r="F1673" s="516" t="s">
        <v>293</v>
      </c>
      <c r="G1673" s="232">
        <v>0</v>
      </c>
      <c r="H1673" s="658" t="str">
        <f t="shared" si="1301"/>
        <v/>
      </c>
      <c r="I1673" s="490">
        <f t="shared" si="1302"/>
        <v>0</v>
      </c>
      <c r="J1673" s="490">
        <f t="shared" si="1303"/>
        <v>0</v>
      </c>
      <c r="K1673" s="695">
        <f t="shared" ref="K1673" si="1313">I1673+J1673</f>
        <v>0</v>
      </c>
      <c r="L1673" s="695"/>
      <c r="M1673" s="659" t="str">
        <f t="shared" si="1305"/>
        <v/>
      </c>
      <c r="N1673" s="660"/>
      <c r="O1673" s="233"/>
      <c r="P1673" s="233"/>
      <c r="Q1673" s="233"/>
      <c r="R1673" s="233"/>
      <c r="S1673" s="233"/>
      <c r="T1673" s="508">
        <f t="shared" si="1257"/>
        <v>0</v>
      </c>
      <c r="U1673" s="225">
        <f>IF(NOT(ISNUMBER(G1673)), "", VLOOKUP(A1673,'Discount Lookup'!D:E,2,FALSE)*G1673)</f>
        <v>0</v>
      </c>
      <c r="V1673" s="225">
        <f>IF(NOT(ISNUMBER(G1673)), "", VLOOKUP(A1673,'Discount Lookup'!G:H,2,FALSE)*G1673)</f>
        <v>0</v>
      </c>
      <c r="W1673" s="508">
        <f t="shared" si="1258"/>
        <v>0</v>
      </c>
      <c r="X1673" s="508">
        <f t="shared" si="1259"/>
        <v>0</v>
      </c>
      <c r="Y1673" s="509" t="b">
        <f t="shared" si="1260"/>
        <v>0</v>
      </c>
      <c r="Z1673" s="510">
        <f t="shared" si="1261"/>
        <v>0</v>
      </c>
      <c r="AA1673" s="511"/>
      <c r="AB1673" s="511" t="str">
        <f t="shared" si="1262"/>
        <v/>
      </c>
      <c r="AC1673" s="698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698"/>
      <c r="AE1673" s="631" t="str">
        <f t="shared" si="1263"/>
        <v/>
      </c>
      <c r="AF1673" s="699" t="str">
        <f t="shared" si="1264"/>
        <v/>
      </c>
      <c r="AG1673" s="699"/>
      <c r="AH1673" s="699"/>
      <c r="AI1673" s="512">
        <f>IF(H1673="credit",0,IF(AE1673="free",0,IF(AE1673="me",0,IF(G1673&gt;0,(VLOOKUP(A1673,'Discount Lookup'!J:K,2)*G1673),0))))</f>
        <v>0</v>
      </c>
      <c r="AJ1673" s="513" t="str">
        <f t="shared" ca="1" si="1265"/>
        <v/>
      </c>
      <c r="AK1673" s="700" t="str">
        <f t="shared" si="1266"/>
        <v/>
      </c>
      <c r="AL1673" s="700"/>
      <c r="AM1673" s="505" t="str">
        <f t="shared" si="1267"/>
        <v/>
      </c>
      <c r="AN1673" s="506"/>
      <c r="AO1673" s="507"/>
      <c r="AP1673" s="507"/>
      <c r="AQ1673" s="507"/>
      <c r="AR1673" s="507"/>
      <c r="AS1673" s="507"/>
      <c r="AT1673" s="507"/>
      <c r="AU1673" s="507"/>
      <c r="AV1673" s="225"/>
      <c r="AW1673" s="508"/>
      <c r="AX1673" s="225"/>
      <c r="AY1673" s="225"/>
      <c r="AZ1673" s="225"/>
      <c r="BA1673" s="225"/>
      <c r="BB1673" s="225"/>
      <c r="BC1673" s="56"/>
      <c r="BD1673" s="56"/>
      <c r="BE1673" s="56"/>
      <c r="BF1673" s="107" t="str">
        <f t="shared" si="1268"/>
        <v>https://www.google.com/search?tbm=isch&amp;q=15%20G3</v>
      </c>
      <c r="BG1673" s="107" t="str">
        <f t="shared" si="1269"/>
        <v>G</v>
      </c>
      <c r="BH1673" s="254"/>
      <c r="BI1673" s="254"/>
    </row>
    <row r="1674" spans="1:61" customFormat="1" ht="15.75" x14ac:dyDescent="0.25">
      <c r="A1674" s="485">
        <v>15</v>
      </c>
      <c r="B1674" s="486" t="s">
        <v>291</v>
      </c>
      <c r="C1674" s="487" t="s">
        <v>4513</v>
      </c>
      <c r="D1674" s="488" t="s">
        <v>299</v>
      </c>
      <c r="E1674" s="489">
        <v>165.95</v>
      </c>
      <c r="F1674" s="516" t="s">
        <v>293</v>
      </c>
      <c r="G1674" s="232">
        <v>0</v>
      </c>
      <c r="H1674" s="658" t="str">
        <f t="shared" si="1301"/>
        <v/>
      </c>
      <c r="I1674" s="490">
        <f t="shared" si="1302"/>
        <v>0</v>
      </c>
      <c r="J1674" s="490">
        <f t="shared" si="1303"/>
        <v>0</v>
      </c>
      <c r="K1674" s="695">
        <f t="shared" ref="K1674" si="1314">I1674+J1674</f>
        <v>0</v>
      </c>
      <c r="L1674" s="695"/>
      <c r="M1674" s="659" t="str">
        <f t="shared" si="1305"/>
        <v/>
      </c>
      <c r="N1674" s="660"/>
      <c r="O1674" s="233"/>
      <c r="P1674" s="233"/>
      <c r="Q1674" s="233"/>
      <c r="R1674" s="233"/>
      <c r="S1674" s="233"/>
      <c r="T1674" s="508">
        <f t="shared" si="1257"/>
        <v>0</v>
      </c>
      <c r="U1674" s="225">
        <f>IF(NOT(ISNUMBER(G1674)), "", VLOOKUP(A1674,'Discount Lookup'!D:E,2,FALSE)*G1674)</f>
        <v>0</v>
      </c>
      <c r="V1674" s="225">
        <f>IF(NOT(ISNUMBER(G1674)), "", VLOOKUP(A1674,'Discount Lookup'!G:H,2,FALSE)*G1674)</f>
        <v>0</v>
      </c>
      <c r="W1674" s="508">
        <f t="shared" si="1258"/>
        <v>0</v>
      </c>
      <c r="X1674" s="508">
        <f t="shared" si="1259"/>
        <v>0</v>
      </c>
      <c r="Y1674" s="509" t="b">
        <f t="shared" si="1260"/>
        <v>0</v>
      </c>
      <c r="Z1674" s="510">
        <f t="shared" si="1261"/>
        <v>0</v>
      </c>
      <c r="AA1674" s="511"/>
      <c r="AB1674" s="511" t="str">
        <f t="shared" si="1262"/>
        <v/>
      </c>
      <c r="AC1674" s="698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698"/>
      <c r="AE1674" s="631" t="str">
        <f t="shared" si="1263"/>
        <v/>
      </c>
      <c r="AF1674" s="699" t="str">
        <f t="shared" si="1264"/>
        <v/>
      </c>
      <c r="AG1674" s="699"/>
      <c r="AH1674" s="699"/>
      <c r="AI1674" s="512">
        <f>IF(H1674="credit",0,IF(AE1674="free",0,IF(AE1674="me",0,IF(G1674&gt;0,(VLOOKUP(A1674,'Discount Lookup'!J:K,2)*G1674),0))))</f>
        <v>0</v>
      </c>
      <c r="AJ1674" s="513" t="str">
        <f t="shared" ca="1" si="1265"/>
        <v/>
      </c>
      <c r="AK1674" s="700" t="str">
        <f t="shared" si="1266"/>
        <v/>
      </c>
      <c r="AL1674" s="700"/>
      <c r="AM1674" s="505" t="str">
        <f t="shared" si="1267"/>
        <v/>
      </c>
      <c r="AN1674" s="506"/>
      <c r="AO1674" s="507"/>
      <c r="AP1674" s="507"/>
      <c r="AQ1674" s="507"/>
      <c r="AR1674" s="507"/>
      <c r="AS1674" s="507"/>
      <c r="AT1674" s="507"/>
      <c r="AU1674" s="507"/>
      <c r="AV1674" s="225"/>
      <c r="AW1674" s="508"/>
      <c r="AX1674" s="225"/>
      <c r="AY1674" s="225"/>
      <c r="AZ1674" s="225"/>
      <c r="BA1674" s="225"/>
      <c r="BB1674" s="225"/>
      <c r="BC1674" s="56"/>
      <c r="BD1674" s="56"/>
      <c r="BE1674" s="56"/>
      <c r="BF1674" s="107" t="str">
        <f t="shared" si="1268"/>
        <v>https://www.google.com/search?tbm=isch&amp;q=15%20G5</v>
      </c>
      <c r="BG1674" s="107" t="str">
        <f t="shared" si="1269"/>
        <v>G</v>
      </c>
      <c r="BH1674" s="254"/>
      <c r="BI1674" s="254"/>
    </row>
    <row r="1675" spans="1:61" customFormat="1" ht="15.75" x14ac:dyDescent="0.25">
      <c r="A1675" s="485">
        <v>15</v>
      </c>
      <c r="B1675" s="486" t="s">
        <v>291</v>
      </c>
      <c r="C1675" s="487" t="s">
        <v>3517</v>
      </c>
      <c r="D1675" s="488" t="s">
        <v>292</v>
      </c>
      <c r="E1675" s="489">
        <v>169.95</v>
      </c>
      <c r="F1675" s="516" t="s">
        <v>293</v>
      </c>
      <c r="G1675" s="232">
        <v>0</v>
      </c>
      <c r="H1675" s="658" t="str">
        <f t="shared" si="1301"/>
        <v/>
      </c>
      <c r="I1675" s="490">
        <f t="shared" si="1302"/>
        <v>0</v>
      </c>
      <c r="J1675" s="490">
        <f t="shared" si="1303"/>
        <v>0</v>
      </c>
      <c r="K1675" s="695">
        <f t="shared" ref="K1675" si="1315">I1675+J1675</f>
        <v>0</v>
      </c>
      <c r="L1675" s="695"/>
      <c r="M1675" s="659" t="str">
        <f t="shared" si="1305"/>
        <v/>
      </c>
      <c r="N1675" s="660"/>
      <c r="O1675" s="233"/>
      <c r="P1675" s="233"/>
      <c r="Q1675" s="233"/>
      <c r="R1675" s="233"/>
      <c r="S1675" s="233"/>
      <c r="T1675" s="508">
        <f t="shared" si="1257"/>
        <v>0</v>
      </c>
      <c r="U1675" s="225">
        <f>IF(NOT(ISNUMBER(G1675)), "", VLOOKUP(A1675,'Discount Lookup'!D:E,2,FALSE)*G1675)</f>
        <v>0</v>
      </c>
      <c r="V1675" s="225">
        <f>IF(NOT(ISNUMBER(G1675)), "", VLOOKUP(A1675,'Discount Lookup'!G:H,2,FALSE)*G1675)</f>
        <v>0</v>
      </c>
      <c r="W1675" s="508">
        <f t="shared" si="1258"/>
        <v>0</v>
      </c>
      <c r="X1675" s="508">
        <f t="shared" si="1259"/>
        <v>0</v>
      </c>
      <c r="Y1675" s="509" t="b">
        <f t="shared" si="1260"/>
        <v>0</v>
      </c>
      <c r="Z1675" s="510">
        <f t="shared" si="1261"/>
        <v>0</v>
      </c>
      <c r="AA1675" s="511"/>
      <c r="AB1675" s="511" t="str">
        <f t="shared" si="1262"/>
        <v/>
      </c>
      <c r="AC1675" s="698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698"/>
      <c r="AE1675" s="631" t="str">
        <f t="shared" si="1263"/>
        <v/>
      </c>
      <c r="AF1675" s="699" t="str">
        <f t="shared" si="1264"/>
        <v/>
      </c>
      <c r="AG1675" s="699"/>
      <c r="AH1675" s="699"/>
      <c r="AI1675" s="512">
        <f>IF(H1675="credit",0,IF(AE1675="free",0,IF(AE1675="me",0,IF(G1675&gt;0,(VLOOKUP(A1675,'Discount Lookup'!J:K,2)*G1675),0))))</f>
        <v>0</v>
      </c>
      <c r="AJ1675" s="513" t="str">
        <f t="shared" ca="1" si="1265"/>
        <v/>
      </c>
      <c r="AK1675" s="700" t="str">
        <f t="shared" si="1266"/>
        <v/>
      </c>
      <c r="AL1675" s="700"/>
      <c r="AM1675" s="505" t="str">
        <f t="shared" si="1267"/>
        <v/>
      </c>
      <c r="AN1675" s="506"/>
      <c r="AO1675" s="507"/>
      <c r="AP1675" s="507"/>
      <c r="AQ1675" s="507"/>
      <c r="AR1675" s="507"/>
      <c r="AS1675" s="507"/>
      <c r="AT1675" s="507"/>
      <c r="AU1675" s="507"/>
      <c r="AV1675" s="225"/>
      <c r="AW1675" s="508"/>
      <c r="AX1675" s="225"/>
      <c r="AY1675" s="225"/>
      <c r="AZ1675" s="225"/>
      <c r="BA1675" s="225"/>
      <c r="BB1675" s="225"/>
      <c r="BC1675" s="56"/>
      <c r="BD1675" s="56"/>
      <c r="BE1675" s="56"/>
      <c r="BF1675" s="107" t="str">
        <f t="shared" si="1268"/>
        <v>https://www.google.com/search?tbm=isch&amp;q=15%20G4</v>
      </c>
      <c r="BG1675" s="107" t="str">
        <f t="shared" si="1269"/>
        <v>G</v>
      </c>
      <c r="BH1675" s="254"/>
      <c r="BI1675" s="254"/>
    </row>
    <row r="1676" spans="1:61" customFormat="1" ht="15.75" x14ac:dyDescent="0.25">
      <c r="A1676" s="485">
        <v>25</v>
      </c>
      <c r="B1676" s="486" t="s">
        <v>291</v>
      </c>
      <c r="C1676" s="487" t="s">
        <v>1038</v>
      </c>
      <c r="D1676" s="488" t="s">
        <v>297</v>
      </c>
      <c r="E1676" s="489">
        <v>249.95</v>
      </c>
      <c r="F1676" s="516" t="s">
        <v>293</v>
      </c>
      <c r="G1676" s="232">
        <v>0</v>
      </c>
      <c r="H1676" s="658" t="str">
        <f t="shared" si="1301"/>
        <v/>
      </c>
      <c r="I1676" s="490">
        <f t="shared" si="1302"/>
        <v>0</v>
      </c>
      <c r="J1676" s="490">
        <f t="shared" si="1303"/>
        <v>0</v>
      </c>
      <c r="K1676" s="695">
        <f t="shared" ref="K1676" si="1316">I1676+J1676</f>
        <v>0</v>
      </c>
      <c r="L1676" s="695"/>
      <c r="M1676" s="659" t="str">
        <f t="shared" si="1305"/>
        <v/>
      </c>
      <c r="N1676" s="660"/>
      <c r="O1676" s="233"/>
      <c r="P1676" s="233"/>
      <c r="Q1676" s="233"/>
      <c r="R1676" s="233"/>
      <c r="S1676" s="233"/>
      <c r="T1676" s="508">
        <f t="shared" si="1257"/>
        <v>0</v>
      </c>
      <c r="U1676" s="225">
        <f>IF(NOT(ISNUMBER(G1676)), "", VLOOKUP(A1676,'Discount Lookup'!D:E,2,FALSE)*G1676)</f>
        <v>0</v>
      </c>
      <c r="V1676" s="225">
        <f>IF(NOT(ISNUMBER(G1676)), "", VLOOKUP(A1676,'Discount Lookup'!G:H,2,FALSE)*G1676)</f>
        <v>0</v>
      </c>
      <c r="W1676" s="508">
        <f t="shared" si="1258"/>
        <v>0</v>
      </c>
      <c r="X1676" s="508">
        <f t="shared" si="1259"/>
        <v>0</v>
      </c>
      <c r="Y1676" s="509" t="b">
        <f t="shared" si="1260"/>
        <v>0</v>
      </c>
      <c r="Z1676" s="510">
        <f t="shared" si="1261"/>
        <v>0</v>
      </c>
      <c r="AA1676" s="511"/>
      <c r="AB1676" s="511" t="str">
        <f t="shared" si="1262"/>
        <v/>
      </c>
      <c r="AC1676" s="698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698"/>
      <c r="AE1676" s="631" t="str">
        <f t="shared" si="1263"/>
        <v/>
      </c>
      <c r="AF1676" s="699" t="str">
        <f t="shared" si="1264"/>
        <v/>
      </c>
      <c r="AG1676" s="699"/>
      <c r="AH1676" s="699"/>
      <c r="AI1676" s="512">
        <f>IF(H1676="credit",0,IF(AE1676="free",0,IF(AE1676="me",0,IF(G1676&gt;0,(VLOOKUP(A1676,'Discount Lookup'!J:K,2)*G1676),0))))</f>
        <v>0</v>
      </c>
      <c r="AJ1676" s="513" t="str">
        <f t="shared" ca="1" si="1265"/>
        <v/>
      </c>
      <c r="AK1676" s="700" t="str">
        <f t="shared" si="1266"/>
        <v/>
      </c>
      <c r="AL1676" s="700"/>
      <c r="AM1676" s="505" t="str">
        <f t="shared" si="1267"/>
        <v/>
      </c>
      <c r="AN1676" s="506"/>
      <c r="AO1676" s="507"/>
      <c r="AP1676" s="507"/>
      <c r="AQ1676" s="507"/>
      <c r="AR1676" s="507"/>
      <c r="AS1676" s="507"/>
      <c r="AT1676" s="507"/>
      <c r="AU1676" s="507"/>
      <c r="AV1676" s="225"/>
      <c r="AW1676" s="508"/>
      <c r="AX1676" s="225"/>
      <c r="AY1676" s="225"/>
      <c r="AZ1676" s="225"/>
      <c r="BA1676" s="225"/>
      <c r="BB1676" s="225"/>
      <c r="BC1676" s="56"/>
      <c r="BD1676" s="56"/>
      <c r="BE1676" s="56"/>
      <c r="BF1676" s="107" t="str">
        <f t="shared" si="1268"/>
        <v>https://www.google.com/search?tbm=isch&amp;q=25%20G3</v>
      </c>
      <c r="BG1676" s="107" t="str">
        <f t="shared" si="1269"/>
        <v>G</v>
      </c>
      <c r="BH1676" s="254"/>
      <c r="BI1676" s="254"/>
    </row>
    <row r="1677" spans="1:61" customFormat="1" ht="15.75" x14ac:dyDescent="0.25">
      <c r="A1677" s="485">
        <v>25</v>
      </c>
      <c r="B1677" s="486" t="s">
        <v>291</v>
      </c>
      <c r="C1677" s="487" t="s">
        <v>3543</v>
      </c>
      <c r="D1677" s="488" t="s">
        <v>292</v>
      </c>
      <c r="E1677" s="489">
        <v>298.95</v>
      </c>
      <c r="F1677" s="516" t="s">
        <v>293</v>
      </c>
      <c r="G1677" s="232">
        <v>0</v>
      </c>
      <c r="H1677" s="658" t="str">
        <f t="shared" si="1301"/>
        <v/>
      </c>
      <c r="I1677" s="490">
        <f t="shared" si="1302"/>
        <v>0</v>
      </c>
      <c r="J1677" s="490">
        <f t="shared" si="1303"/>
        <v>0</v>
      </c>
      <c r="K1677" s="695">
        <f t="shared" ref="K1677" si="1317">I1677+J1677</f>
        <v>0</v>
      </c>
      <c r="L1677" s="695"/>
      <c r="M1677" s="659" t="str">
        <f t="shared" si="1305"/>
        <v/>
      </c>
      <c r="N1677" s="660"/>
      <c r="O1677" s="233"/>
      <c r="P1677" s="233"/>
      <c r="Q1677" s="233"/>
      <c r="R1677" s="233"/>
      <c r="S1677" s="233"/>
      <c r="T1677" s="508">
        <f t="shared" si="1257"/>
        <v>0</v>
      </c>
      <c r="U1677" s="225">
        <f>IF(NOT(ISNUMBER(G1677)), "", VLOOKUP(A1677,'Discount Lookup'!D:E,2,FALSE)*G1677)</f>
        <v>0</v>
      </c>
      <c r="V1677" s="225">
        <f>IF(NOT(ISNUMBER(G1677)), "", VLOOKUP(A1677,'Discount Lookup'!G:H,2,FALSE)*G1677)</f>
        <v>0</v>
      </c>
      <c r="W1677" s="508">
        <f t="shared" si="1258"/>
        <v>0</v>
      </c>
      <c r="X1677" s="508">
        <f t="shared" si="1259"/>
        <v>0</v>
      </c>
      <c r="Y1677" s="509" t="b">
        <f t="shared" si="1260"/>
        <v>0</v>
      </c>
      <c r="Z1677" s="510">
        <f t="shared" si="1261"/>
        <v>0</v>
      </c>
      <c r="AA1677" s="511"/>
      <c r="AB1677" s="511" t="str">
        <f t="shared" si="1262"/>
        <v/>
      </c>
      <c r="AC1677" s="698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698"/>
      <c r="AE1677" s="631" t="str">
        <f t="shared" si="1263"/>
        <v/>
      </c>
      <c r="AF1677" s="699" t="str">
        <f t="shared" si="1264"/>
        <v/>
      </c>
      <c r="AG1677" s="699"/>
      <c r="AH1677" s="699"/>
      <c r="AI1677" s="512">
        <f>IF(H1677="credit",0,IF(AE1677="free",0,IF(AE1677="me",0,IF(G1677&gt;0,(VLOOKUP(A1677,'Discount Lookup'!J:K,2)*G1677),0))))</f>
        <v>0</v>
      </c>
      <c r="AJ1677" s="513" t="str">
        <f t="shared" ca="1" si="1265"/>
        <v/>
      </c>
      <c r="AK1677" s="700" t="str">
        <f t="shared" si="1266"/>
        <v/>
      </c>
      <c r="AL1677" s="700"/>
      <c r="AM1677" s="505" t="str">
        <f t="shared" si="1267"/>
        <v/>
      </c>
      <c r="AN1677" s="506"/>
      <c r="AO1677" s="507"/>
      <c r="AP1677" s="507"/>
      <c r="AQ1677" s="507"/>
      <c r="AR1677" s="507"/>
      <c r="AS1677" s="507"/>
      <c r="AT1677" s="507"/>
      <c r="AU1677" s="507"/>
      <c r="AV1677" s="225"/>
      <c r="AW1677" s="508"/>
      <c r="AX1677" s="225"/>
      <c r="AY1677" s="225"/>
      <c r="AZ1677" s="225"/>
      <c r="BA1677" s="225"/>
      <c r="BB1677" s="225"/>
      <c r="BC1677" s="56"/>
      <c r="BD1677" s="56"/>
      <c r="BE1677" s="56"/>
      <c r="BF1677" s="107" t="str">
        <f t="shared" si="1268"/>
        <v>https://www.google.com/search?tbm=isch&amp;q=25%20G4</v>
      </c>
      <c r="BG1677" s="107" t="str">
        <f t="shared" si="1269"/>
        <v>G</v>
      </c>
      <c r="BH1677" s="254"/>
      <c r="BI1677" s="254"/>
    </row>
    <row r="1678" spans="1:61" customFormat="1" ht="15.75" x14ac:dyDescent="0.25">
      <c r="A1678" s="485">
        <v>25</v>
      </c>
      <c r="B1678" s="486" t="s">
        <v>291</v>
      </c>
      <c r="C1678" s="487" t="s">
        <v>3066</v>
      </c>
      <c r="D1678" s="488" t="s">
        <v>300</v>
      </c>
      <c r="E1678" s="489">
        <v>309.95</v>
      </c>
      <c r="F1678" s="516" t="s">
        <v>293</v>
      </c>
      <c r="G1678" s="232">
        <v>0</v>
      </c>
      <c r="H1678" s="658" t="str">
        <f t="shared" si="1301"/>
        <v/>
      </c>
      <c r="I1678" s="490">
        <f t="shared" si="1302"/>
        <v>0</v>
      </c>
      <c r="J1678" s="490">
        <f t="shared" si="1303"/>
        <v>0</v>
      </c>
      <c r="K1678" s="695">
        <f t="shared" ref="K1678" si="1318">I1678+J1678</f>
        <v>0</v>
      </c>
      <c r="L1678" s="695"/>
      <c r="M1678" s="659" t="str">
        <f t="shared" si="1305"/>
        <v/>
      </c>
      <c r="N1678" s="660"/>
      <c r="O1678" s="233"/>
      <c r="P1678" s="233"/>
      <c r="Q1678" s="233"/>
      <c r="R1678" s="233"/>
      <c r="S1678" s="233"/>
      <c r="T1678" s="508">
        <f t="shared" ref="T1678:T1741" si="1319">E1678*G1678</f>
        <v>0</v>
      </c>
      <c r="U1678" s="225">
        <f>IF(NOT(ISNUMBER(G1678)), "", VLOOKUP(A1678,'Discount Lookup'!D:E,2,FALSE)*G1678)</f>
        <v>0</v>
      </c>
      <c r="V1678" s="225">
        <f>IF(NOT(ISNUMBER(G1678)), "", VLOOKUP(A1678,'Discount Lookup'!G:H,2,FALSE)*G1678)</f>
        <v>0</v>
      </c>
      <c r="W1678" s="508">
        <f t="shared" ref="W1678:W1741" si="1320">IF(H1678="credit",0,E1678*(SalesTaxPercentage)*G1678)</f>
        <v>0</v>
      </c>
      <c r="X1678" s="508">
        <f t="shared" ref="X1678:X1741" si="1321">I1678</f>
        <v>0</v>
      </c>
      <c r="Y1678" s="509" t="b">
        <f t="shared" ref="Y1678:Y1741" si="1322">IF(AE1678="T2G",0,IF(H1678="credit",0,IF(G1678&gt;0,IF(AE1678="me","",G1678))))</f>
        <v>0</v>
      </c>
      <c r="Z1678" s="510">
        <f t="shared" ref="Z1678:Z1741" si="1323">IF(H1678="credit",G1678,0)</f>
        <v>0</v>
      </c>
      <c r="AA1678" s="511"/>
      <c r="AB1678" s="511" t="str">
        <f t="shared" ref="AB1678:AB1741" si="1324">IF(AE1678="T2G","by Trees2Go",IF(H1678="credit","CREDIT only ~",IF(AND(K1678="",AE1678=OR(PlanterYesMe="No",PlanterYesMe="N",PlanterYesMe="me")),"not THIS line⇨",IF(AND(K1678="images",AE1678="me"),"not THIS line⇨",IF(H1678="credit","",IF(G1678=0,"",IF(AE1678="me","",IF(OR(PlanterYesMe="No",PlanterYesMe="N",PlanterYesMe="me"),"",IF(AE1678="free","warranty",IF(OR(PlanterYesMe="yes",PlanterYesMe="y"),"Edison install:","to install:"))))))))))</f>
        <v/>
      </c>
      <c r="AC1678" s="698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698"/>
      <c r="AE1678" s="631" t="str">
        <f t="shared" ref="AE1678:AE1741" si="1325">IF(H1678="credit","",IF(G1678=0,"",IF(OR(PlanterYesMe="No",PlanterYesMe="N",PlanterYesMe="me"),"me",IF(H1678="warranty","free",IF(OR(PlanterYesMe="yes",PlanterYesMe="y"),"ELP","")))))</f>
        <v/>
      </c>
      <c r="AF1678" s="699" t="str">
        <f t="shared" ref="AF1678:AF1741" si="1326">IF(OR(PlanterYesMe="No",PlanterYesMe="N",PlanterYesMe="me"),"",IF(H1678="credit","",IF(G1678&gt;0,(CONCATENATE((G1678)," quantity, ",(A1678)," ",B1678)),"")))</f>
        <v/>
      </c>
      <c r="AG1678" s="699"/>
      <c r="AH1678" s="699"/>
      <c r="AI1678" s="512">
        <f>IF(H1678="credit",0,IF(AE1678="free",0,IF(AE1678="me",0,IF(G1678&gt;0,(VLOOKUP(A1678,'Discount Lookup'!J:K,2)*G1678),0))))</f>
        <v>0</v>
      </c>
      <c r="AJ1678" s="513" t="str">
        <f t="shared" ref="AJ1678:AJ1741" ca="1" si="1327">IF(AND(ISREF(H1678),H1678="credit"),"",IF(AND(AND(OFFSET(G1678,0,0)=0,OFFSET(G1678,1,0)&gt;0,ISNUMBER(OFFSET(AC1678,1,0)),OFFSET(AC1678,1,0)&gt;0),OR(PlanterYesMe="yes",PlanterYesMe="y")),"T2G+ELP=",IF(AND(OFFSET(G1678,0,0)=0,OFFSET(G1678,1,0)&gt;0,ISNUMBER(OFFSET(AC1678,1,0)),OFFSET(AC1678,1,0)&gt;0),"if T2G+ELP=",IF(AND(OFFSET(G1678,0,0)=0,OFFSET(G1678,1,0)&gt;0),"T2G Subtotal",IF(H1678="credit","",IF(G1678=0,"",IF(AE1678="free",(K1678*(1-T2GDiscount)),IF(OR(PlanterYesMe="No",PlanterYesMe="N",PlanterYesMe="me"),(K1678*(1-T2GDiscount)),IF(OR(AE1678="me",AE1678="T2G"),(K1678*(1-T2GDiscount)),(K1678*(1-T2GDiscount))+AC1678)))))))))</f>
        <v/>
      </c>
      <c r="AK1678" s="700" t="str">
        <f t="shared" ref="AK1678:AK1741" si="1328">IF(H1678="credit","",IF(G1678=0,"",IF(OR(AE1678="me",AE1678="T2G"),"  delivery-only",IF(OR(PlanterYesMe="No",PlanterYesMe="N",PlanterYesMe="me"),"  delivery-only",CONCATENATE(" $",ROUND(AJ1678/G1678,2)," each")))))</f>
        <v/>
      </c>
      <c r="AL1678" s="700"/>
      <c r="AM1678" s="505" t="str">
        <f t="shared" ref="AM1678:AM1741" si="1329">IF(H1678="credit","",IF(AE1678="free","      ~ discounts included, no tax or planting fee applies ~",IF(G1678=0,"",IF(OR(PlanterYesMe="No",PlanterYesMe="N",PlanterYesMe="me"),CONCATENATE(" $",ROUND(AJ1678/G1678,2)," per plant, with tax &amp; discount"),IF(OR(AE1678="me",AE1678="T2G"),CONCATENATE(" $",ROUND(AJ1678/G1678,2)," per plant, with tax &amp; discount"),CONCATENATE("= $",ROUND((K1678*(1-T2GDiscount))/G1678,2)," per plant + $",AC1678/G1678,(" per planting      ~ includes tax &amp; discounts ~")))))))</f>
        <v/>
      </c>
      <c r="AN1678" s="506"/>
      <c r="AO1678" s="507"/>
      <c r="AP1678" s="507"/>
      <c r="AQ1678" s="507"/>
      <c r="AR1678" s="507"/>
      <c r="AS1678" s="507"/>
      <c r="AT1678" s="507"/>
      <c r="AU1678" s="507"/>
      <c r="AV1678" s="225"/>
      <c r="AW1678" s="508"/>
      <c r="AX1678" s="225"/>
      <c r="AY1678" s="225"/>
      <c r="AZ1678" s="225"/>
      <c r="BA1678" s="225"/>
      <c r="BB1678" s="225"/>
      <c r="BC1678" s="56"/>
      <c r="BD1678" s="56"/>
      <c r="BE1678" s="56"/>
      <c r="BF1678" s="107" t="str">
        <f t="shared" ref="BF1678:BF1741" si="1330">"https://www.google.com/search?tbm=isch&amp;q=" &amp; _xlfn.ENCODEURL($A1678 &amp; " " &amp; $D1678)</f>
        <v>https://www.google.com/search?tbm=isch&amp;q=25%20G6</v>
      </c>
      <c r="BG1678" s="107" t="str">
        <f t="shared" ref="BG1678:BG1741" si="1331">IF(ISTEXT(A1678),LEFT(A1678,1),BG1677)</f>
        <v>G</v>
      </c>
      <c r="BH1678" s="254"/>
      <c r="BI1678" s="254"/>
    </row>
    <row r="1679" spans="1:61" customFormat="1" ht="15.75" x14ac:dyDescent="0.25">
      <c r="A1679" s="485">
        <v>30</v>
      </c>
      <c r="B1679" s="486" t="s">
        <v>291</v>
      </c>
      <c r="C1679" s="487" t="s">
        <v>2751</v>
      </c>
      <c r="D1679" s="488" t="s">
        <v>299</v>
      </c>
      <c r="E1679" s="489">
        <v>341.95</v>
      </c>
      <c r="F1679" s="516" t="s">
        <v>293</v>
      </c>
      <c r="G1679" s="232">
        <v>0</v>
      </c>
      <c r="H1679" s="658" t="str">
        <f t="shared" si="1301"/>
        <v/>
      </c>
      <c r="I1679" s="490">
        <f t="shared" si="1302"/>
        <v>0</v>
      </c>
      <c r="J1679" s="490">
        <f t="shared" si="1303"/>
        <v>0</v>
      </c>
      <c r="K1679" s="695">
        <f t="shared" ref="K1679" si="1332">I1679+J1679</f>
        <v>0</v>
      </c>
      <c r="L1679" s="695"/>
      <c r="M1679" s="659" t="str">
        <f t="shared" si="1305"/>
        <v/>
      </c>
      <c r="N1679" s="660"/>
      <c r="O1679" s="233"/>
      <c r="P1679" s="233"/>
      <c r="Q1679" s="233"/>
      <c r="R1679" s="233"/>
      <c r="S1679" s="233"/>
      <c r="T1679" s="508">
        <f t="shared" si="1319"/>
        <v>0</v>
      </c>
      <c r="U1679" s="225">
        <f>IF(NOT(ISNUMBER(G1679)), "", VLOOKUP(A1679,'Discount Lookup'!D:E,2,FALSE)*G1679)</f>
        <v>0</v>
      </c>
      <c r="V1679" s="225">
        <f>IF(NOT(ISNUMBER(G1679)), "", VLOOKUP(A1679,'Discount Lookup'!G:H,2,FALSE)*G1679)</f>
        <v>0</v>
      </c>
      <c r="W1679" s="508">
        <f t="shared" si="1320"/>
        <v>0</v>
      </c>
      <c r="X1679" s="508">
        <f t="shared" si="1321"/>
        <v>0</v>
      </c>
      <c r="Y1679" s="509" t="b">
        <f t="shared" si="1322"/>
        <v>0</v>
      </c>
      <c r="Z1679" s="510">
        <f t="shared" si="1323"/>
        <v>0</v>
      </c>
      <c r="AA1679" s="511"/>
      <c r="AB1679" s="511" t="str">
        <f t="shared" si="1324"/>
        <v/>
      </c>
      <c r="AC1679" s="698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698"/>
      <c r="AE1679" s="631" t="str">
        <f t="shared" si="1325"/>
        <v/>
      </c>
      <c r="AF1679" s="699" t="str">
        <f t="shared" si="1326"/>
        <v/>
      </c>
      <c r="AG1679" s="699"/>
      <c r="AH1679" s="699"/>
      <c r="AI1679" s="512">
        <f>IF(H1679="credit",0,IF(AE1679="free",0,IF(AE1679="me",0,IF(G1679&gt;0,(VLOOKUP(A1679,'Discount Lookup'!J:K,2)*G1679),0))))</f>
        <v>0</v>
      </c>
      <c r="AJ1679" s="513" t="str">
        <f t="shared" ca="1" si="1327"/>
        <v/>
      </c>
      <c r="AK1679" s="700" t="str">
        <f t="shared" si="1328"/>
        <v/>
      </c>
      <c r="AL1679" s="700"/>
      <c r="AM1679" s="505" t="str">
        <f t="shared" si="1329"/>
        <v/>
      </c>
      <c r="AN1679" s="506"/>
      <c r="AO1679" s="507"/>
      <c r="AP1679" s="507"/>
      <c r="AQ1679" s="507"/>
      <c r="AR1679" s="507"/>
      <c r="AS1679" s="507"/>
      <c r="AT1679" s="507"/>
      <c r="AU1679" s="507"/>
      <c r="AV1679" s="225"/>
      <c r="AW1679" s="508"/>
      <c r="AX1679" s="225"/>
      <c r="AY1679" s="225"/>
      <c r="AZ1679" s="225"/>
      <c r="BA1679" s="225"/>
      <c r="BB1679" s="225"/>
      <c r="BC1679" s="56"/>
      <c r="BD1679" s="56"/>
      <c r="BE1679" s="56"/>
      <c r="BF1679" s="107" t="str">
        <f t="shared" si="1330"/>
        <v>https://www.google.com/search?tbm=isch&amp;q=30%20G5</v>
      </c>
      <c r="BG1679" s="107" t="str">
        <f t="shared" si="1331"/>
        <v>G</v>
      </c>
      <c r="BH1679" s="254"/>
      <c r="BI1679" s="254"/>
    </row>
    <row r="1680" spans="1:61" customFormat="1" ht="15.75" x14ac:dyDescent="0.25">
      <c r="A1680" s="485">
        <v>45</v>
      </c>
      <c r="B1680" s="486" t="s">
        <v>291</v>
      </c>
      <c r="C1680" s="487" t="s">
        <v>4893</v>
      </c>
      <c r="D1680" s="488" t="s">
        <v>300</v>
      </c>
      <c r="E1680" s="489">
        <v>665.95</v>
      </c>
      <c r="F1680" s="516" t="s">
        <v>293</v>
      </c>
      <c r="G1680" s="232">
        <v>0</v>
      </c>
      <c r="H1680" s="658" t="str">
        <f t="shared" si="1301"/>
        <v/>
      </c>
      <c r="I1680" s="490">
        <f t="shared" si="1302"/>
        <v>0</v>
      </c>
      <c r="J1680" s="490">
        <f t="shared" si="1303"/>
        <v>0</v>
      </c>
      <c r="K1680" s="695">
        <f t="shared" ref="K1680" si="1333">I1680+J1680</f>
        <v>0</v>
      </c>
      <c r="L1680" s="695"/>
      <c r="M1680" s="659" t="str">
        <f t="shared" si="1305"/>
        <v/>
      </c>
      <c r="N1680" s="660"/>
      <c r="O1680" s="233"/>
      <c r="P1680" s="233"/>
      <c r="Q1680" s="233"/>
      <c r="R1680" s="233"/>
      <c r="S1680" s="233"/>
      <c r="T1680" s="508">
        <f t="shared" si="1319"/>
        <v>0</v>
      </c>
      <c r="U1680" s="225">
        <f>IF(NOT(ISNUMBER(G1680)), "", VLOOKUP(A1680,'Discount Lookup'!D:E,2,FALSE)*G1680)</f>
        <v>0</v>
      </c>
      <c r="V1680" s="225">
        <f>IF(NOT(ISNUMBER(G1680)), "", VLOOKUP(A1680,'Discount Lookup'!G:H,2,FALSE)*G1680)</f>
        <v>0</v>
      </c>
      <c r="W1680" s="508">
        <f t="shared" si="1320"/>
        <v>0</v>
      </c>
      <c r="X1680" s="508">
        <f t="shared" si="1321"/>
        <v>0</v>
      </c>
      <c r="Y1680" s="509" t="b">
        <f t="shared" si="1322"/>
        <v>0</v>
      </c>
      <c r="Z1680" s="510">
        <f t="shared" si="1323"/>
        <v>0</v>
      </c>
      <c r="AA1680" s="511"/>
      <c r="AB1680" s="511" t="str">
        <f t="shared" si="1324"/>
        <v/>
      </c>
      <c r="AC1680" s="698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698"/>
      <c r="AE1680" s="631" t="str">
        <f t="shared" si="1325"/>
        <v/>
      </c>
      <c r="AF1680" s="699" t="str">
        <f t="shared" si="1326"/>
        <v/>
      </c>
      <c r="AG1680" s="699"/>
      <c r="AH1680" s="699"/>
      <c r="AI1680" s="512">
        <f>IF(H1680="credit",0,IF(AE1680="free",0,IF(AE1680="me",0,IF(G1680&gt;0,(VLOOKUP(A1680,'Discount Lookup'!J:K,2)*G1680),0))))</f>
        <v>0</v>
      </c>
      <c r="AJ1680" s="513" t="str">
        <f t="shared" ca="1" si="1327"/>
        <v/>
      </c>
      <c r="AK1680" s="700" t="str">
        <f t="shared" si="1328"/>
        <v/>
      </c>
      <c r="AL1680" s="700"/>
      <c r="AM1680" s="505" t="str">
        <f t="shared" si="1329"/>
        <v/>
      </c>
      <c r="AN1680" s="506"/>
      <c r="AO1680" s="507"/>
      <c r="AP1680" s="507"/>
      <c r="AQ1680" s="507"/>
      <c r="AR1680" s="507"/>
      <c r="AS1680" s="507"/>
      <c r="AT1680" s="507"/>
      <c r="AU1680" s="507"/>
      <c r="AV1680" s="225"/>
      <c r="AW1680" s="508"/>
      <c r="AX1680" s="225"/>
      <c r="AY1680" s="225"/>
      <c r="AZ1680" s="225"/>
      <c r="BA1680" s="225"/>
      <c r="BB1680" s="225"/>
      <c r="BC1680" s="56"/>
      <c r="BD1680" s="56"/>
      <c r="BE1680" s="56"/>
      <c r="BF1680" s="107" t="str">
        <f t="shared" si="1330"/>
        <v>https://www.google.com/search?tbm=isch&amp;q=45%20G6</v>
      </c>
      <c r="BG1680" s="107" t="str">
        <f t="shared" si="1331"/>
        <v>G</v>
      </c>
      <c r="BH1680" s="254"/>
      <c r="BI1680" s="254"/>
    </row>
    <row r="1681" spans="1:61" customFormat="1" ht="27" x14ac:dyDescent="0.25">
      <c r="A1681" s="485">
        <v>65</v>
      </c>
      <c r="B1681" s="486" t="s">
        <v>291</v>
      </c>
      <c r="C1681" s="487" t="s">
        <v>3544</v>
      </c>
      <c r="D1681" s="488" t="s">
        <v>292</v>
      </c>
      <c r="E1681" s="489">
        <v>788.95</v>
      </c>
      <c r="F1681" s="516" t="s">
        <v>293</v>
      </c>
      <c r="G1681" s="232">
        <v>0</v>
      </c>
      <c r="H1681" s="658" t="str">
        <f t="shared" si="1301"/>
        <v/>
      </c>
      <c r="I1681" s="490">
        <f t="shared" si="1302"/>
        <v>0</v>
      </c>
      <c r="J1681" s="490">
        <f t="shared" si="1303"/>
        <v>0</v>
      </c>
      <c r="K1681" s="695">
        <f t="shared" ref="K1681" si="1334">I1681+J1681</f>
        <v>0</v>
      </c>
      <c r="L1681" s="695"/>
      <c r="M1681" s="659" t="str">
        <f t="shared" si="1305"/>
        <v/>
      </c>
      <c r="N1681" s="660"/>
      <c r="O1681" s="233"/>
      <c r="P1681" s="233"/>
      <c r="Q1681" s="233"/>
      <c r="R1681" s="233"/>
      <c r="S1681" s="233"/>
      <c r="T1681" s="508">
        <f t="shared" si="1319"/>
        <v>0</v>
      </c>
      <c r="U1681" s="225">
        <f>IF(NOT(ISNUMBER(G1681)), "", VLOOKUP(A1681,'Discount Lookup'!D:E,2,FALSE)*G1681)</f>
        <v>0</v>
      </c>
      <c r="V1681" s="225">
        <f>IF(NOT(ISNUMBER(G1681)), "", VLOOKUP(A1681,'Discount Lookup'!G:H,2,FALSE)*G1681)</f>
        <v>0</v>
      </c>
      <c r="W1681" s="508">
        <f t="shared" si="1320"/>
        <v>0</v>
      </c>
      <c r="X1681" s="508">
        <f t="shared" si="1321"/>
        <v>0</v>
      </c>
      <c r="Y1681" s="509" t="b">
        <f t="shared" si="1322"/>
        <v>0</v>
      </c>
      <c r="Z1681" s="510">
        <f t="shared" si="1323"/>
        <v>0</v>
      </c>
      <c r="AA1681" s="511"/>
      <c r="AB1681" s="511" t="str">
        <f t="shared" si="1324"/>
        <v/>
      </c>
      <c r="AC1681" s="698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698"/>
      <c r="AE1681" s="631" t="str">
        <f t="shared" si="1325"/>
        <v/>
      </c>
      <c r="AF1681" s="699" t="str">
        <f t="shared" si="1326"/>
        <v/>
      </c>
      <c r="AG1681" s="699"/>
      <c r="AH1681" s="699"/>
      <c r="AI1681" s="512">
        <f>IF(H1681="credit",0,IF(AE1681="free",0,IF(AE1681="me",0,IF(G1681&gt;0,(VLOOKUP(A1681,'Discount Lookup'!J:K,2)*G1681),0))))</f>
        <v>0</v>
      </c>
      <c r="AJ1681" s="513" t="str">
        <f t="shared" ca="1" si="1327"/>
        <v/>
      </c>
      <c r="AK1681" s="700" t="str">
        <f t="shared" si="1328"/>
        <v/>
      </c>
      <c r="AL1681" s="700"/>
      <c r="AM1681" s="505" t="str">
        <f t="shared" si="1329"/>
        <v/>
      </c>
      <c r="AN1681" s="506"/>
      <c r="AO1681" s="507"/>
      <c r="AP1681" s="507"/>
      <c r="AQ1681" s="507"/>
      <c r="AR1681" s="507"/>
      <c r="AS1681" s="507"/>
      <c r="AT1681" s="507"/>
      <c r="AU1681" s="507"/>
      <c r="AV1681" s="225"/>
      <c r="AW1681" s="508"/>
      <c r="AX1681" s="225"/>
      <c r="AY1681" s="225"/>
      <c r="AZ1681" s="225"/>
      <c r="BA1681" s="225"/>
      <c r="BB1681" s="225"/>
      <c r="BC1681" s="56"/>
      <c r="BD1681" s="56"/>
      <c r="BE1681" s="56"/>
      <c r="BF1681" s="107" t="str">
        <f t="shared" si="1330"/>
        <v>https://www.google.com/search?tbm=isch&amp;q=65%20G4</v>
      </c>
      <c r="BG1681" s="107" t="str">
        <f t="shared" si="1331"/>
        <v>G</v>
      </c>
      <c r="BH1681" s="254"/>
      <c r="BI1681" s="254"/>
    </row>
    <row r="1682" spans="1:61" customFormat="1" ht="16.5" thickBot="1" x14ac:dyDescent="0.3">
      <c r="A1682" s="522" t="s">
        <v>2940</v>
      </c>
      <c r="B1682" s="491"/>
      <c r="C1682" s="675"/>
      <c r="D1682" s="491"/>
      <c r="E1682" s="491"/>
      <c r="F1682" s="492"/>
      <c r="G1682" s="493"/>
      <c r="H1682" s="491"/>
      <c r="I1682" s="234"/>
      <c r="J1682" s="234"/>
      <c r="K1682" s="494"/>
      <c r="L1682" s="543"/>
      <c r="M1682" s="561"/>
      <c r="N1682" s="495"/>
      <c r="O1682" s="496"/>
      <c r="P1682" s="497"/>
      <c r="Q1682" s="495"/>
      <c r="R1682" s="495"/>
      <c r="S1682" s="277"/>
      <c r="T1682" s="508">
        <f t="shared" si="1319"/>
        <v>0</v>
      </c>
      <c r="U1682" s="225" t="str">
        <f>IF(NOT(ISNUMBER(G1682)), "", VLOOKUP(A1682,'Discount Lookup'!D:E,2,FALSE)*G1682)</f>
        <v/>
      </c>
      <c r="V1682" s="225" t="str">
        <f>IF(NOT(ISNUMBER(G1682)), "", VLOOKUP(A1682,'Discount Lookup'!G:H,2,FALSE)*G1682)</f>
        <v/>
      </c>
      <c r="W1682" s="508">
        <f t="shared" si="1320"/>
        <v>0</v>
      </c>
      <c r="X1682" s="508">
        <f t="shared" si="1321"/>
        <v>0</v>
      </c>
      <c r="Y1682" s="509" t="b">
        <f t="shared" si="1322"/>
        <v>0</v>
      </c>
      <c r="Z1682" s="510">
        <f t="shared" si="1323"/>
        <v>0</v>
      </c>
      <c r="AA1682" s="511"/>
      <c r="AB1682" s="511" t="str">
        <f t="shared" si="1324"/>
        <v/>
      </c>
      <c r="AC1682" s="698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698"/>
      <c r="AE1682" s="631" t="str">
        <f t="shared" si="1325"/>
        <v/>
      </c>
      <c r="AF1682" s="699" t="str">
        <f t="shared" si="1326"/>
        <v/>
      </c>
      <c r="AG1682" s="699"/>
      <c r="AH1682" s="699"/>
      <c r="AI1682" s="512">
        <f>IF(H1682="credit",0,IF(AE1682="free",0,IF(AE1682="me",0,IF(G1682&gt;0,(VLOOKUP(A1682,'Discount Lookup'!J:K,2)*G1682),0))))</f>
        <v>0</v>
      </c>
      <c r="AJ1682" s="513" t="str">
        <f t="shared" ca="1" si="1327"/>
        <v/>
      </c>
      <c r="AK1682" s="700" t="str">
        <f t="shared" si="1328"/>
        <v/>
      </c>
      <c r="AL1682" s="700"/>
      <c r="AM1682" s="505" t="str">
        <f t="shared" si="1329"/>
        <v/>
      </c>
      <c r="AN1682" s="506"/>
      <c r="AO1682" s="507"/>
      <c r="AP1682" s="507"/>
      <c r="AQ1682" s="507"/>
      <c r="AR1682" s="507"/>
      <c r="AS1682" s="507"/>
      <c r="AT1682" s="507"/>
      <c r="AU1682" s="507"/>
      <c r="AV1682" s="225"/>
      <c r="AW1682" s="508"/>
      <c r="AX1682" s="225"/>
      <c r="AY1682" s="225"/>
      <c r="AZ1682" s="225"/>
      <c r="BA1682" s="225"/>
      <c r="BB1682" s="225"/>
      <c r="BC1682" s="56"/>
      <c r="BD1682" s="56"/>
      <c r="BE1682" s="56"/>
      <c r="BF1682" s="107" t="str">
        <f t="shared" si="1330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1682" s="107" t="str">
        <f t="shared" si="1331"/>
        <v>G</v>
      </c>
      <c r="BH1682" s="254"/>
      <c r="BI1682" s="254"/>
    </row>
    <row r="1683" spans="1:61" customFormat="1" ht="18" x14ac:dyDescent="0.25">
      <c r="A1683" s="523" t="s">
        <v>4894</v>
      </c>
      <c r="B1683" s="235"/>
      <c r="C1683" s="676"/>
      <c r="D1683" s="255" t="s">
        <v>4895</v>
      </c>
      <c r="E1683" s="236"/>
      <c r="F1683" s="236"/>
      <c r="G1683" s="236"/>
      <c r="H1683" s="582" t="s">
        <v>467</v>
      </c>
      <c r="I1683" s="498" t="s">
        <v>2569</v>
      </c>
      <c r="J1683" s="237"/>
      <c r="K1683" s="237"/>
      <c r="L1683" s="274"/>
      <c r="M1683" s="668" t="s">
        <v>4975</v>
      </c>
      <c r="N1683" s="681" t="str">
        <f>IF(AND(ISTEXT($A1683), ISERROR($A1683+0)), HYPERLINK($BF1683, "Images"), "")</f>
        <v>Images</v>
      </c>
      <c r="O1683" s="663" t="s">
        <v>4967</v>
      </c>
      <c r="P1683" s="253"/>
      <c r="Q1683" s="238"/>
      <c r="R1683" s="239"/>
      <c r="S1683" s="275" t="s">
        <v>305</v>
      </c>
      <c r="T1683" s="508">
        <f t="shared" si="1319"/>
        <v>0</v>
      </c>
      <c r="U1683" s="225" t="str">
        <f>IF(NOT(ISNUMBER(G1683)), "", VLOOKUP(A1683,'Discount Lookup'!D:E,2,FALSE)*G1683)</f>
        <v/>
      </c>
      <c r="V1683" s="225" t="str">
        <f>IF(NOT(ISNUMBER(G1683)), "", VLOOKUP(A1683,'Discount Lookup'!G:H,2,FALSE)*G1683)</f>
        <v/>
      </c>
      <c r="W1683" s="508">
        <f t="shared" si="1320"/>
        <v>0</v>
      </c>
      <c r="X1683" s="508" t="str">
        <f t="shared" si="1321"/>
        <v>Soft Pink bloom</v>
      </c>
      <c r="Y1683" s="509" t="b">
        <f t="shared" si="1322"/>
        <v>0</v>
      </c>
      <c r="Z1683" s="510">
        <f t="shared" si="1323"/>
        <v>0</v>
      </c>
      <c r="AA1683" s="511"/>
      <c r="AB1683" s="511" t="str">
        <f t="shared" si="1324"/>
        <v/>
      </c>
      <c r="AC1683" s="698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698"/>
      <c r="AE1683" s="631" t="str">
        <f t="shared" si="1325"/>
        <v/>
      </c>
      <c r="AF1683" s="699" t="str">
        <f t="shared" si="1326"/>
        <v/>
      </c>
      <c r="AG1683" s="699"/>
      <c r="AH1683" s="699"/>
      <c r="AI1683" s="512">
        <f>IF(H1683="credit",0,IF(AE1683="free",0,IF(AE1683="me",0,IF(G1683&gt;0,(VLOOKUP(A1683,'Discount Lookup'!J:K,2)*G1683),0))))</f>
        <v>0</v>
      </c>
      <c r="AJ1683" s="513" t="str">
        <f t="shared" ca="1" si="1327"/>
        <v/>
      </c>
      <c r="AK1683" s="700" t="str">
        <f t="shared" si="1328"/>
        <v/>
      </c>
      <c r="AL1683" s="700"/>
      <c r="AM1683" s="505" t="str">
        <f t="shared" si="1329"/>
        <v/>
      </c>
      <c r="AN1683" s="506"/>
      <c r="AO1683" s="507"/>
      <c r="AP1683" s="507"/>
      <c r="AQ1683" s="507"/>
      <c r="AR1683" s="507"/>
      <c r="AS1683" s="507"/>
      <c r="AT1683" s="507"/>
      <c r="AU1683" s="507"/>
      <c r="AV1683" s="225"/>
      <c r="AW1683" s="508"/>
      <c r="AX1683" s="225"/>
      <c r="AY1683" s="225"/>
      <c r="AZ1683" s="225"/>
      <c r="BA1683" s="225"/>
      <c r="BB1683" s="225"/>
      <c r="BC1683" s="56"/>
      <c r="BD1683" s="56"/>
      <c r="BE1683" s="56"/>
      <c r="BF1683" s="107" t="str">
        <f t="shared" si="1330"/>
        <v>https://www.google.com/search?tbm=isch&amp;q=Green%20Machine%20Weeping%20Redbud%20Cercis%20canadensis%20%27Green%20Machine%27</v>
      </c>
      <c r="BG1683" s="107" t="str">
        <f t="shared" si="1331"/>
        <v>G</v>
      </c>
      <c r="BH1683" s="254"/>
      <c r="BI1683" s="254"/>
    </row>
    <row r="1684" spans="1:61" customFormat="1" ht="15.75" x14ac:dyDescent="0.25">
      <c r="A1684" s="276">
        <v>10</v>
      </c>
      <c r="B1684" s="240" t="s">
        <v>291</v>
      </c>
      <c r="C1684" s="241" t="s">
        <v>4896</v>
      </c>
      <c r="D1684" s="242" t="s">
        <v>292</v>
      </c>
      <c r="E1684" s="243">
        <v>155.94999999999999</v>
      </c>
      <c r="F1684" s="517" t="s">
        <v>293</v>
      </c>
      <c r="G1684" s="232">
        <v>0</v>
      </c>
      <c r="H1684" s="661" t="str">
        <f>IF(G1684=0,"",IF(F1684="Buy",IF(G1684=1,"plant","plants"),IF(F1684&gt;0.01,"warranty","Error")))</f>
        <v/>
      </c>
      <c r="I1684" s="244">
        <f>IF(H1684="free",0,IF(H1684="credit",((E1684*(F1684))*G1684*-1),IF(F1684="Buy",(E1684*G1684),((E1684*(1-F1684))*G1684))))</f>
        <v>0</v>
      </c>
      <c r="J1684" s="244">
        <f>IF(H1684="warranty",0,(I1684*(_xlfn.SINGLE(SalesTaxPercentage))))</f>
        <v>0</v>
      </c>
      <c r="K1684" s="696">
        <f t="shared" ref="K1684" si="1335">I1684+J1684</f>
        <v>0</v>
      </c>
      <c r="L1684" s="696"/>
      <c r="M1684" s="659" t="str">
        <f>IF(AND(G1684&gt;0,E1684=0),"WARNING - no PRICE inserted",IF(H1684="free"," FREE ~ no charge this plant",IF(H1684="credit",CONCATENATE(" -$",ROUND(K1684*(1-T2GDiscount)*-1,2)," CREDIT after discount"),IF(T2GDiscount=0,"",IF(G1684=0,"",IF(F1684="Buy",CONCATENATE(" $",ROUND(K1684*(1-T2GDiscount),2)," with ",(T2GDiscount*100),"% discount"),CONCATENATE(" $",ROUND(K1684*(1-T2GDiscount),2)," with ",((T2GDiscount*100+F1684*100)-(T2GDiscount*100*F1684)),IF(F1684&gt;0,"% discounts",IF(NoWarrantyDiscount&gt;0,"% discounts","% discount")))))))))</f>
        <v/>
      </c>
      <c r="N1684" s="660"/>
      <c r="O1684" s="233"/>
      <c r="P1684" s="233"/>
      <c r="Q1684" s="233"/>
      <c r="R1684" s="233"/>
      <c r="S1684" s="233"/>
      <c r="T1684" s="508">
        <f t="shared" si="1319"/>
        <v>0</v>
      </c>
      <c r="U1684" s="225">
        <f>IF(NOT(ISNUMBER(G1684)), "", VLOOKUP(A1684,'Discount Lookup'!D:E,2,FALSE)*G1684)</f>
        <v>0</v>
      </c>
      <c r="V1684" s="225">
        <f>IF(NOT(ISNUMBER(G1684)), "", VLOOKUP(A1684,'Discount Lookup'!G:H,2,FALSE)*G1684)</f>
        <v>0</v>
      </c>
      <c r="W1684" s="508">
        <f t="shared" si="1320"/>
        <v>0</v>
      </c>
      <c r="X1684" s="508">
        <f t="shared" si="1321"/>
        <v>0</v>
      </c>
      <c r="Y1684" s="509" t="b">
        <f t="shared" si="1322"/>
        <v>0</v>
      </c>
      <c r="Z1684" s="510">
        <f t="shared" si="1323"/>
        <v>0</v>
      </c>
      <c r="AA1684" s="511"/>
      <c r="AB1684" s="511" t="str">
        <f t="shared" si="1324"/>
        <v/>
      </c>
      <c r="AC1684" s="698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698"/>
      <c r="AE1684" s="631" t="str">
        <f t="shared" si="1325"/>
        <v/>
      </c>
      <c r="AF1684" s="699" t="str">
        <f t="shared" si="1326"/>
        <v/>
      </c>
      <c r="AG1684" s="699"/>
      <c r="AH1684" s="699"/>
      <c r="AI1684" s="512">
        <f>IF(H1684="credit",0,IF(AE1684="free",0,IF(AE1684="me",0,IF(G1684&gt;0,(VLOOKUP(A1684,'Discount Lookup'!J:K,2)*G1684),0))))</f>
        <v>0</v>
      </c>
      <c r="AJ1684" s="513" t="str">
        <f t="shared" ca="1" si="1327"/>
        <v/>
      </c>
      <c r="AK1684" s="700" t="str">
        <f t="shared" si="1328"/>
        <v/>
      </c>
      <c r="AL1684" s="700"/>
      <c r="AM1684" s="505" t="str">
        <f t="shared" si="1329"/>
        <v/>
      </c>
      <c r="AN1684" s="506"/>
      <c r="AO1684" s="507"/>
      <c r="AP1684" s="507"/>
      <c r="AQ1684" s="507"/>
      <c r="AR1684" s="507"/>
      <c r="AS1684" s="507"/>
      <c r="AT1684" s="507"/>
      <c r="AU1684" s="507"/>
      <c r="AV1684" s="225"/>
      <c r="AW1684" s="508"/>
      <c r="AX1684" s="225"/>
      <c r="AY1684" s="225"/>
      <c r="AZ1684" s="225"/>
      <c r="BA1684" s="225"/>
      <c r="BB1684" s="225"/>
      <c r="BC1684" s="56"/>
      <c r="BD1684" s="56"/>
      <c r="BE1684" s="56"/>
      <c r="BF1684" s="107" t="str">
        <f t="shared" si="1330"/>
        <v>https://www.google.com/search?tbm=isch&amp;q=10%20G4</v>
      </c>
      <c r="BG1684" s="107" t="str">
        <f t="shared" si="1331"/>
        <v>G</v>
      </c>
      <c r="BH1684" s="254"/>
      <c r="BI1684" s="254"/>
    </row>
    <row r="1685" spans="1:61" customFormat="1" ht="17.25" thickBot="1" x14ac:dyDescent="0.3">
      <c r="A1685" s="524" t="s">
        <v>4897</v>
      </c>
      <c r="B1685" s="245"/>
      <c r="C1685" s="677"/>
      <c r="D1685" s="499"/>
      <c r="E1685" s="499"/>
      <c r="F1685" s="500"/>
      <c r="G1685" s="501"/>
      <c r="H1685" s="502"/>
      <c r="I1685" s="246"/>
      <c r="J1685" s="247"/>
      <c r="K1685" s="503"/>
      <c r="L1685" s="544"/>
      <c r="M1685" s="544"/>
      <c r="N1685" s="500"/>
      <c r="O1685" s="500"/>
      <c r="P1685" s="500"/>
      <c r="Q1685" s="500"/>
      <c r="R1685" s="500"/>
      <c r="S1685" s="669" t="s">
        <v>4996</v>
      </c>
      <c r="T1685" s="508">
        <f t="shared" si="1319"/>
        <v>0</v>
      </c>
      <c r="U1685" s="225" t="str">
        <f>IF(NOT(ISNUMBER(G1685)), "", VLOOKUP(A1685,'Discount Lookup'!D:E,2,FALSE)*G1685)</f>
        <v/>
      </c>
      <c r="V1685" s="225" t="str">
        <f>IF(NOT(ISNUMBER(G1685)), "", VLOOKUP(A1685,'Discount Lookup'!G:H,2,FALSE)*G1685)</f>
        <v/>
      </c>
      <c r="W1685" s="508">
        <f t="shared" si="1320"/>
        <v>0</v>
      </c>
      <c r="X1685" s="508">
        <f t="shared" si="1321"/>
        <v>0</v>
      </c>
      <c r="Y1685" s="509" t="b">
        <f t="shared" si="1322"/>
        <v>0</v>
      </c>
      <c r="Z1685" s="510">
        <f t="shared" si="1323"/>
        <v>0</v>
      </c>
      <c r="AA1685" s="511"/>
      <c r="AB1685" s="511" t="str">
        <f t="shared" si="1324"/>
        <v/>
      </c>
      <c r="AC1685" s="698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698"/>
      <c r="AE1685" s="631" t="str">
        <f t="shared" si="1325"/>
        <v/>
      </c>
      <c r="AF1685" s="699" t="str">
        <f t="shared" si="1326"/>
        <v/>
      </c>
      <c r="AG1685" s="699"/>
      <c r="AH1685" s="699"/>
      <c r="AI1685" s="512">
        <f>IF(H1685="credit",0,IF(AE1685="free",0,IF(AE1685="me",0,IF(G1685&gt;0,(VLOOKUP(A1685,'Discount Lookup'!J:K,2)*G1685),0))))</f>
        <v>0</v>
      </c>
      <c r="AJ1685" s="513" t="str">
        <f t="shared" ca="1" si="1327"/>
        <v/>
      </c>
      <c r="AK1685" s="700" t="str">
        <f t="shared" si="1328"/>
        <v/>
      </c>
      <c r="AL1685" s="700"/>
      <c r="AM1685" s="505" t="str">
        <f t="shared" si="1329"/>
        <v/>
      </c>
      <c r="AN1685" s="506"/>
      <c r="AO1685" s="507"/>
      <c r="AP1685" s="507"/>
      <c r="AQ1685" s="507"/>
      <c r="AR1685" s="507"/>
      <c r="AS1685" s="507"/>
      <c r="AT1685" s="507"/>
      <c r="AU1685" s="507"/>
      <c r="AV1685" s="225"/>
      <c r="AW1685" s="508"/>
      <c r="AX1685" s="225"/>
      <c r="AY1685" s="225"/>
      <c r="AZ1685" s="225"/>
      <c r="BA1685" s="225"/>
      <c r="BB1685" s="225"/>
      <c r="BC1685" s="56"/>
      <c r="BD1685" s="56"/>
      <c r="BE1685" s="56"/>
      <c r="BF1685" s="107" t="str">
        <f t="shared" si="1330"/>
        <v>https://www.google.com/search?tbm=isch&amp;q=Green%20Machine%20has%20heart-shaped%20leaves%2C%20a%20cascading%20habit%2C%20and%20Bright%20Green%20foliage%2C%20turning%20Yellow%20in%20fall%20</v>
      </c>
      <c r="BG1685" s="107" t="str">
        <f t="shared" si="1331"/>
        <v>G</v>
      </c>
      <c r="BH1685" s="254"/>
      <c r="BI1685" s="254"/>
    </row>
    <row r="1686" spans="1:61" customFormat="1" ht="18" x14ac:dyDescent="0.25">
      <c r="A1686" s="521" t="s">
        <v>3067</v>
      </c>
      <c r="B1686" s="477"/>
      <c r="C1686" s="674"/>
      <c r="D1686" s="478" t="s">
        <v>3068</v>
      </c>
      <c r="E1686" s="479"/>
      <c r="F1686" s="479"/>
      <c r="G1686" s="479"/>
      <c r="H1686" s="582" t="s">
        <v>905</v>
      </c>
      <c r="I1686" s="480" t="s">
        <v>2109</v>
      </c>
      <c r="J1686" s="479"/>
      <c r="K1686" s="479"/>
      <c r="L1686" s="560"/>
      <c r="M1686" s="666" t="s">
        <v>4966</v>
      </c>
      <c r="N1686" s="680" t="str">
        <f>IF(AND(ISTEXT($A1686), ISERROR($A1686+0)), HYPERLINK($BF1686, "Images"), "")</f>
        <v>Images</v>
      </c>
      <c r="O1686" s="662" t="s">
        <v>4969</v>
      </c>
      <c r="P1686" s="482"/>
      <c r="Q1686" s="483"/>
      <c r="R1686" s="483"/>
      <c r="S1686" s="484"/>
      <c r="T1686" s="508">
        <f t="shared" si="1319"/>
        <v>0</v>
      </c>
      <c r="U1686" s="225" t="str">
        <f>IF(NOT(ISNUMBER(G1686)), "", VLOOKUP(A1686,'Discount Lookup'!D:E,2,FALSE)*G1686)</f>
        <v/>
      </c>
      <c r="V1686" s="225" t="str">
        <f>IF(NOT(ISNUMBER(G1686)), "", VLOOKUP(A1686,'Discount Lookup'!G:H,2,FALSE)*G1686)</f>
        <v/>
      </c>
      <c r="W1686" s="508">
        <f t="shared" si="1320"/>
        <v>0</v>
      </c>
      <c r="X1686" s="508" t="str">
        <f t="shared" si="1321"/>
        <v>Green foliage</v>
      </c>
      <c r="Y1686" s="509" t="b">
        <f t="shared" si="1322"/>
        <v>0</v>
      </c>
      <c r="Z1686" s="510">
        <f t="shared" si="1323"/>
        <v>0</v>
      </c>
      <c r="AA1686" s="511"/>
      <c r="AB1686" s="511" t="str">
        <f t="shared" si="1324"/>
        <v/>
      </c>
      <c r="AC1686" s="698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698"/>
      <c r="AE1686" s="631" t="str">
        <f t="shared" si="1325"/>
        <v/>
      </c>
      <c r="AF1686" s="699" t="str">
        <f t="shared" si="1326"/>
        <v/>
      </c>
      <c r="AG1686" s="699"/>
      <c r="AH1686" s="699"/>
      <c r="AI1686" s="512">
        <f>IF(H1686="credit",0,IF(AE1686="free",0,IF(AE1686="me",0,IF(G1686&gt;0,(VLOOKUP(A1686,'Discount Lookup'!J:K,2)*G1686),0))))</f>
        <v>0</v>
      </c>
      <c r="AJ1686" s="513" t="str">
        <f t="shared" ca="1" si="1327"/>
        <v/>
      </c>
      <c r="AK1686" s="700" t="str">
        <f t="shared" si="1328"/>
        <v/>
      </c>
      <c r="AL1686" s="700"/>
      <c r="AM1686" s="505" t="str">
        <f t="shared" si="1329"/>
        <v/>
      </c>
      <c r="AN1686" s="506"/>
      <c r="AO1686" s="507"/>
      <c r="AP1686" s="507"/>
      <c r="AQ1686" s="507"/>
      <c r="AR1686" s="507"/>
      <c r="AS1686" s="507"/>
      <c r="AT1686" s="507"/>
      <c r="AU1686" s="507"/>
      <c r="AV1686" s="225"/>
      <c r="AW1686" s="508"/>
      <c r="AX1686" s="225"/>
      <c r="AY1686" s="225"/>
      <c r="AZ1686" s="225"/>
      <c r="BA1686" s="225"/>
      <c r="BB1686" s="225"/>
      <c r="BC1686" s="56"/>
      <c r="BD1686" s="56"/>
      <c r="BE1686" s="56"/>
      <c r="BF1686" s="107" t="str">
        <f t="shared" si="1330"/>
        <v>https://www.google.com/search?tbm=isch&amp;q=Green%20Mountain%20Boxwood%20Buxus%20x%20%27Green%20Mountain%27</v>
      </c>
      <c r="BG1686" s="107" t="str">
        <f t="shared" si="1331"/>
        <v>G</v>
      </c>
      <c r="BH1686" s="254"/>
      <c r="BI1686" s="254"/>
    </row>
    <row r="1687" spans="1:61" customFormat="1" ht="15.75" x14ac:dyDescent="0.25">
      <c r="A1687" s="485">
        <v>7</v>
      </c>
      <c r="B1687" s="486" t="s">
        <v>291</v>
      </c>
      <c r="C1687" s="487"/>
      <c r="D1687" s="488" t="s">
        <v>298</v>
      </c>
      <c r="E1687" s="489">
        <v>68.95</v>
      </c>
      <c r="F1687" s="516" t="s">
        <v>293</v>
      </c>
      <c r="G1687" s="232">
        <v>0</v>
      </c>
      <c r="H1687" s="658" t="str">
        <f>IF(G1687=0,"",IF(F1687="Buy",IF(G1687=1,"plant","plants"),IF(F1687&gt;0.01,"warranty","Error")))</f>
        <v/>
      </c>
      <c r="I1687" s="490">
        <f>IF(H1687="free",0,IF(H1687="credit",((E1687*(F1687))*G1687*-1),IF(F1687="Buy",(E1687*G1687),((E1687*(1-F1687))*G1687))))</f>
        <v>0</v>
      </c>
      <c r="J1687" s="490">
        <f>IF(H1687="warranty",0,(I1687*(_xlfn.SINGLE(SalesTaxPercentage))))</f>
        <v>0</v>
      </c>
      <c r="K1687" s="695">
        <f t="shared" ref="K1687" si="1336">I1687+J1687</f>
        <v>0</v>
      </c>
      <c r="L1687" s="695"/>
      <c r="M1687" s="659" t="str">
        <f>IF(AND(G1687&gt;0,E1687=0),"WARNING - no PRICE inserted",IF(H1687="free"," FREE ~ no charge this plant",IF(H1687="credit",CONCATENATE(" -$",ROUND(K1687*(1-T2GDiscount)*-1,2)," CREDIT after discount"),IF(T2GDiscount=0,"",IF(G1687=0,"",IF(F1687="Buy",CONCATENATE(" $",ROUND(K1687*(1-T2GDiscount),2)," with ",(T2GDiscount*100),"% discount"),CONCATENATE(" $",ROUND(K1687*(1-T2GDiscount),2)," with ",((T2GDiscount*100+F1687*100)-(T2GDiscount*100*F1687)),IF(F1687&gt;0,"% discounts",IF(NoWarrantyDiscount&gt;0,"% discounts","% discount")))))))))</f>
        <v/>
      </c>
      <c r="N1687" s="660"/>
      <c r="O1687" s="233"/>
      <c r="P1687" s="233"/>
      <c r="Q1687" s="233"/>
      <c r="R1687" s="233"/>
      <c r="S1687" s="233"/>
      <c r="T1687" s="508">
        <f t="shared" si="1319"/>
        <v>0</v>
      </c>
      <c r="U1687" s="225">
        <f>IF(NOT(ISNUMBER(G1687)), "", VLOOKUP(A1687,'Discount Lookup'!D:E,2,FALSE)*G1687)</f>
        <v>0</v>
      </c>
      <c r="V1687" s="225">
        <f>IF(NOT(ISNUMBER(G1687)), "", VLOOKUP(A1687,'Discount Lookup'!G:H,2,FALSE)*G1687)</f>
        <v>0</v>
      </c>
      <c r="W1687" s="508">
        <f t="shared" si="1320"/>
        <v>0</v>
      </c>
      <c r="X1687" s="508">
        <f t="shared" si="1321"/>
        <v>0</v>
      </c>
      <c r="Y1687" s="509" t="b">
        <f t="shared" si="1322"/>
        <v>0</v>
      </c>
      <c r="Z1687" s="510">
        <f t="shared" si="1323"/>
        <v>0</v>
      </c>
      <c r="AA1687" s="511"/>
      <c r="AB1687" s="511" t="str">
        <f t="shared" si="1324"/>
        <v/>
      </c>
      <c r="AC1687" s="698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698"/>
      <c r="AE1687" s="631" t="str">
        <f t="shared" si="1325"/>
        <v/>
      </c>
      <c r="AF1687" s="699" t="str">
        <f t="shared" si="1326"/>
        <v/>
      </c>
      <c r="AG1687" s="699"/>
      <c r="AH1687" s="699"/>
      <c r="AI1687" s="512">
        <f>IF(H1687="credit",0,IF(AE1687="free",0,IF(AE1687="me",0,IF(G1687&gt;0,(VLOOKUP(A1687,'Discount Lookup'!J:K,2)*G1687),0))))</f>
        <v>0</v>
      </c>
      <c r="AJ1687" s="513" t="str">
        <f t="shared" ca="1" si="1327"/>
        <v/>
      </c>
      <c r="AK1687" s="700" t="str">
        <f t="shared" si="1328"/>
        <v/>
      </c>
      <c r="AL1687" s="700"/>
      <c r="AM1687" s="505" t="str">
        <f t="shared" si="1329"/>
        <v/>
      </c>
      <c r="AN1687" s="506"/>
      <c r="AO1687" s="507"/>
      <c r="AP1687" s="507"/>
      <c r="AQ1687" s="507"/>
      <c r="AR1687" s="507"/>
      <c r="AS1687" s="507"/>
      <c r="AT1687" s="507"/>
      <c r="AU1687" s="507"/>
      <c r="AV1687" s="225"/>
      <c r="AW1687" s="508"/>
      <c r="AX1687" s="225"/>
      <c r="AY1687" s="225"/>
      <c r="AZ1687" s="225"/>
      <c r="BA1687" s="225"/>
      <c r="BB1687" s="225"/>
      <c r="BC1687" s="56"/>
      <c r="BD1687" s="56"/>
      <c r="BE1687" s="56"/>
      <c r="BF1687" s="107" t="str">
        <f t="shared" si="1330"/>
        <v>https://www.google.com/search?tbm=isch&amp;q=7%20G1</v>
      </c>
      <c r="BG1687" s="107" t="str">
        <f t="shared" si="1331"/>
        <v>G</v>
      </c>
      <c r="BH1687" s="254"/>
      <c r="BI1687" s="254"/>
    </row>
    <row r="1688" spans="1:61" customFormat="1" ht="15.75" x14ac:dyDescent="0.25">
      <c r="A1688" s="485">
        <v>10</v>
      </c>
      <c r="B1688" s="486" t="s">
        <v>291</v>
      </c>
      <c r="C1688" s="487" t="s">
        <v>3545</v>
      </c>
      <c r="D1688" s="488" t="s">
        <v>292</v>
      </c>
      <c r="E1688" s="489">
        <v>339.95</v>
      </c>
      <c r="F1688" s="516" t="s">
        <v>293</v>
      </c>
      <c r="G1688" s="232">
        <v>0</v>
      </c>
      <c r="H1688" s="658" t="str">
        <f>IF(G1688=0,"",IF(F1688="Buy",IF(G1688=1,"plant","plants"),IF(F1688&gt;0.01,"warranty","Error")))</f>
        <v/>
      </c>
      <c r="I1688" s="490">
        <f>IF(H1688="free",0,IF(H1688="credit",((E1688*(F1688))*G1688*-1),IF(F1688="Buy",(E1688*G1688),((E1688*(1-F1688))*G1688))))</f>
        <v>0</v>
      </c>
      <c r="J1688" s="490">
        <f>IF(H1688="warranty",0,(I1688*(_xlfn.SINGLE(SalesTaxPercentage))))</f>
        <v>0</v>
      </c>
      <c r="K1688" s="695">
        <f t="shared" ref="K1688" si="1337">I1688+J1688</f>
        <v>0</v>
      </c>
      <c r="L1688" s="695"/>
      <c r="M1688" s="659" t="str">
        <f>IF(AND(G1688&gt;0,E1688=0),"WARNING - no PRICE inserted",IF(H1688="free"," FREE ~ no charge this plant",IF(H1688="credit",CONCATENATE(" -$",ROUND(K1688*(1-T2GDiscount)*-1,2)," CREDIT after discount"),IF(T2GDiscount=0,"",IF(G1688=0,"",IF(F1688="Buy",CONCATENATE(" $",ROUND(K1688*(1-T2GDiscount),2)," with ",(T2GDiscount*100),"% discount"),CONCATENATE(" $",ROUND(K1688*(1-T2GDiscount),2)," with ",((T2GDiscount*100+F1688*100)-(T2GDiscount*100*F1688)),IF(F1688&gt;0,"% discounts",IF(NoWarrantyDiscount&gt;0,"% discounts","% discount")))))))))</f>
        <v/>
      </c>
      <c r="N1688" s="660"/>
      <c r="O1688" s="233"/>
      <c r="P1688" s="233"/>
      <c r="Q1688" s="233"/>
      <c r="R1688" s="233"/>
      <c r="S1688" s="233"/>
      <c r="T1688" s="508">
        <f t="shared" si="1319"/>
        <v>0</v>
      </c>
      <c r="U1688" s="225">
        <f>IF(NOT(ISNUMBER(G1688)), "", VLOOKUP(A1688,'Discount Lookup'!D:E,2,FALSE)*G1688)</f>
        <v>0</v>
      </c>
      <c r="V1688" s="225">
        <f>IF(NOT(ISNUMBER(G1688)), "", VLOOKUP(A1688,'Discount Lookup'!G:H,2,FALSE)*G1688)</f>
        <v>0</v>
      </c>
      <c r="W1688" s="508">
        <f t="shared" si="1320"/>
        <v>0</v>
      </c>
      <c r="X1688" s="508">
        <f t="shared" si="1321"/>
        <v>0</v>
      </c>
      <c r="Y1688" s="509" t="b">
        <f t="shared" si="1322"/>
        <v>0</v>
      </c>
      <c r="Z1688" s="510">
        <f t="shared" si="1323"/>
        <v>0</v>
      </c>
      <c r="AA1688" s="511"/>
      <c r="AB1688" s="511" t="str">
        <f t="shared" si="1324"/>
        <v/>
      </c>
      <c r="AC1688" s="698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698"/>
      <c r="AE1688" s="631" t="str">
        <f t="shared" si="1325"/>
        <v/>
      </c>
      <c r="AF1688" s="699" t="str">
        <f t="shared" si="1326"/>
        <v/>
      </c>
      <c r="AG1688" s="699"/>
      <c r="AH1688" s="699"/>
      <c r="AI1688" s="512">
        <f>IF(H1688="credit",0,IF(AE1688="free",0,IF(AE1688="me",0,IF(G1688&gt;0,(VLOOKUP(A1688,'Discount Lookup'!J:K,2)*G1688),0))))</f>
        <v>0</v>
      </c>
      <c r="AJ1688" s="513" t="str">
        <f t="shared" ca="1" si="1327"/>
        <v/>
      </c>
      <c r="AK1688" s="700" t="str">
        <f t="shared" si="1328"/>
        <v/>
      </c>
      <c r="AL1688" s="700"/>
      <c r="AM1688" s="505" t="str">
        <f t="shared" si="1329"/>
        <v/>
      </c>
      <c r="AN1688" s="506"/>
      <c r="AO1688" s="507"/>
      <c r="AP1688" s="507"/>
      <c r="AQ1688" s="507"/>
      <c r="AR1688" s="507"/>
      <c r="AS1688" s="507"/>
      <c r="AT1688" s="507"/>
      <c r="AU1688" s="507"/>
      <c r="AV1688" s="225"/>
      <c r="AW1688" s="508"/>
      <c r="AX1688" s="225"/>
      <c r="AY1688" s="225"/>
      <c r="AZ1688" s="225"/>
      <c r="BA1688" s="225"/>
      <c r="BB1688" s="225"/>
      <c r="BC1688" s="56"/>
      <c r="BD1688" s="56"/>
      <c r="BE1688" s="56"/>
      <c r="BF1688" s="107" t="str">
        <f t="shared" si="1330"/>
        <v>https://www.google.com/search?tbm=isch&amp;q=10%20G4</v>
      </c>
      <c r="BG1688" s="107" t="str">
        <f t="shared" si="1331"/>
        <v>G</v>
      </c>
      <c r="BH1688" s="254"/>
      <c r="BI1688" s="254"/>
    </row>
    <row r="1689" spans="1:61" customFormat="1" ht="16.5" thickBot="1" x14ac:dyDescent="0.3">
      <c r="A1689" s="522" t="s">
        <v>3069</v>
      </c>
      <c r="B1689" s="491"/>
      <c r="C1689" s="675"/>
      <c r="D1689" s="491"/>
      <c r="E1689" s="491"/>
      <c r="F1689" s="492"/>
      <c r="G1689" s="493"/>
      <c r="H1689" s="491"/>
      <c r="I1689" s="234"/>
      <c r="J1689" s="234"/>
      <c r="K1689" s="494"/>
      <c r="L1689" s="543"/>
      <c r="M1689" s="561"/>
      <c r="N1689" s="495"/>
      <c r="O1689" s="496"/>
      <c r="P1689" s="497"/>
      <c r="Q1689" s="495"/>
      <c r="R1689" s="495"/>
      <c r="S1689" s="667" t="s">
        <v>4968</v>
      </c>
      <c r="T1689" s="508">
        <f t="shared" si="1319"/>
        <v>0</v>
      </c>
      <c r="U1689" s="225" t="str">
        <f>IF(NOT(ISNUMBER(G1689)), "", VLOOKUP(A1689,'Discount Lookup'!D:E,2,FALSE)*G1689)</f>
        <v/>
      </c>
      <c r="V1689" s="225" t="str">
        <f>IF(NOT(ISNUMBER(G1689)), "", VLOOKUP(A1689,'Discount Lookup'!G:H,2,FALSE)*G1689)</f>
        <v/>
      </c>
      <c r="W1689" s="508">
        <f t="shared" si="1320"/>
        <v>0</v>
      </c>
      <c r="X1689" s="508">
        <f t="shared" si="1321"/>
        <v>0</v>
      </c>
      <c r="Y1689" s="509" t="b">
        <f t="shared" si="1322"/>
        <v>0</v>
      </c>
      <c r="Z1689" s="510">
        <f t="shared" si="1323"/>
        <v>0</v>
      </c>
      <c r="AA1689" s="511"/>
      <c r="AB1689" s="511" t="str">
        <f t="shared" si="1324"/>
        <v/>
      </c>
      <c r="AC1689" s="698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698"/>
      <c r="AE1689" s="631" t="str">
        <f t="shared" si="1325"/>
        <v/>
      </c>
      <c r="AF1689" s="699" t="str">
        <f t="shared" si="1326"/>
        <v/>
      </c>
      <c r="AG1689" s="699"/>
      <c r="AH1689" s="699"/>
      <c r="AI1689" s="512">
        <f>IF(H1689="credit",0,IF(AE1689="free",0,IF(AE1689="me",0,IF(G1689&gt;0,(VLOOKUP(A1689,'Discount Lookup'!J:K,2)*G1689),0))))</f>
        <v>0</v>
      </c>
      <c r="AJ1689" s="513" t="str">
        <f t="shared" ca="1" si="1327"/>
        <v/>
      </c>
      <c r="AK1689" s="700" t="str">
        <f t="shared" si="1328"/>
        <v/>
      </c>
      <c r="AL1689" s="700"/>
      <c r="AM1689" s="505" t="str">
        <f t="shared" si="1329"/>
        <v/>
      </c>
      <c r="AN1689" s="506"/>
      <c r="AO1689" s="507"/>
      <c r="AP1689" s="507"/>
      <c r="AQ1689" s="507"/>
      <c r="AR1689" s="507"/>
      <c r="AS1689" s="507"/>
      <c r="AT1689" s="507"/>
      <c r="AU1689" s="507"/>
      <c r="AV1689" s="225"/>
      <c r="AW1689" s="508"/>
      <c r="AX1689" s="225"/>
      <c r="AY1689" s="225"/>
      <c r="AZ1689" s="225"/>
      <c r="BA1689" s="225"/>
      <c r="BB1689" s="225"/>
      <c r="BC1689" s="56"/>
      <c r="BD1689" s="56"/>
      <c r="BE1689" s="56"/>
      <c r="BF1689" s="107" t="str">
        <f t="shared" si="1330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1689" s="107" t="str">
        <f t="shared" si="1331"/>
        <v>G</v>
      </c>
      <c r="BH1689" s="254"/>
      <c r="BI1689" s="254"/>
    </row>
    <row r="1690" spans="1:61" customFormat="1" ht="18" x14ac:dyDescent="0.25">
      <c r="A1690" s="523" t="s">
        <v>2147</v>
      </c>
      <c r="B1690" s="235"/>
      <c r="C1690" s="676"/>
      <c r="D1690" s="255" t="s">
        <v>1039</v>
      </c>
      <c r="E1690" s="236"/>
      <c r="F1690" s="236"/>
      <c r="G1690" s="236"/>
      <c r="H1690" s="582" t="s">
        <v>366</v>
      </c>
      <c r="I1690" s="498" t="s">
        <v>2109</v>
      </c>
      <c r="J1690" s="237"/>
      <c r="K1690" s="237"/>
      <c r="L1690" s="274"/>
      <c r="M1690" s="670" t="s">
        <v>4973</v>
      </c>
      <c r="N1690" s="681" t="str">
        <f>IF(AND(ISTEXT($A1690), ISERROR($A1690+0)), HYPERLINK($BF1690, "Images"), "")</f>
        <v>Images</v>
      </c>
      <c r="O1690" s="663" t="s">
        <v>4967</v>
      </c>
      <c r="P1690" s="253"/>
      <c r="Q1690" s="238"/>
      <c r="R1690" s="239"/>
      <c r="S1690" s="275"/>
      <c r="T1690" s="508">
        <f t="shared" si="1319"/>
        <v>0</v>
      </c>
      <c r="U1690" s="225" t="str">
        <f>IF(NOT(ISNUMBER(G1690)), "", VLOOKUP(A1690,'Discount Lookup'!D:E,2,FALSE)*G1690)</f>
        <v/>
      </c>
      <c r="V1690" s="225" t="str">
        <f>IF(NOT(ISNUMBER(G1690)), "", VLOOKUP(A1690,'Discount Lookup'!G:H,2,FALSE)*G1690)</f>
        <v/>
      </c>
      <c r="W1690" s="508">
        <f t="shared" si="1320"/>
        <v>0</v>
      </c>
      <c r="X1690" s="508" t="str">
        <f t="shared" si="1321"/>
        <v>Green foliage</v>
      </c>
      <c r="Y1690" s="509" t="b">
        <f t="shared" si="1322"/>
        <v>0</v>
      </c>
      <c r="Z1690" s="510">
        <f t="shared" si="1323"/>
        <v>0</v>
      </c>
      <c r="AA1690" s="511"/>
      <c r="AB1690" s="511" t="str">
        <f t="shared" si="1324"/>
        <v/>
      </c>
      <c r="AC1690" s="698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698"/>
      <c r="AE1690" s="631" t="str">
        <f t="shared" si="1325"/>
        <v/>
      </c>
      <c r="AF1690" s="699" t="str">
        <f t="shared" si="1326"/>
        <v/>
      </c>
      <c r="AG1690" s="699"/>
      <c r="AH1690" s="699"/>
      <c r="AI1690" s="512">
        <f>IF(H1690="credit",0,IF(AE1690="free",0,IF(AE1690="me",0,IF(G1690&gt;0,(VLOOKUP(A1690,'Discount Lookup'!J:K,2)*G1690),0))))</f>
        <v>0</v>
      </c>
      <c r="AJ1690" s="513" t="str">
        <f t="shared" ca="1" si="1327"/>
        <v/>
      </c>
      <c r="AK1690" s="700" t="str">
        <f t="shared" si="1328"/>
        <v/>
      </c>
      <c r="AL1690" s="700"/>
      <c r="AM1690" s="505" t="str">
        <f t="shared" si="1329"/>
        <v/>
      </c>
      <c r="AN1690" s="506"/>
      <c r="AO1690" s="507"/>
      <c r="AP1690" s="507"/>
      <c r="AQ1690" s="507"/>
      <c r="AR1690" s="507"/>
      <c r="AS1690" s="507"/>
      <c r="AT1690" s="507"/>
      <c r="AU1690" s="507"/>
      <c r="AV1690" s="225"/>
      <c r="AW1690" s="508"/>
      <c r="AX1690" s="225"/>
      <c r="AY1690" s="225"/>
      <c r="AZ1690" s="225"/>
      <c r="BA1690" s="225"/>
      <c r="BB1690" s="225"/>
      <c r="BC1690" s="56"/>
      <c r="BD1690" s="56"/>
      <c r="BE1690" s="56"/>
      <c r="BF1690" s="107" t="str">
        <f t="shared" si="1330"/>
        <v>https://www.google.com/search?tbm=isch&amp;q=Green%20Seedling%20Japanese%20Maple%20Acer%20palmatum</v>
      </c>
      <c r="BG1690" s="107" t="str">
        <f t="shared" si="1331"/>
        <v>G</v>
      </c>
      <c r="BH1690" s="254"/>
      <c r="BI1690" s="254"/>
    </row>
    <row r="1691" spans="1:61" customFormat="1" ht="15.75" x14ac:dyDescent="0.25">
      <c r="A1691" s="276">
        <v>7</v>
      </c>
      <c r="B1691" s="240" t="s">
        <v>291</v>
      </c>
      <c r="C1691" s="241" t="s">
        <v>3546</v>
      </c>
      <c r="D1691" s="242" t="s">
        <v>292</v>
      </c>
      <c r="E1691" s="243">
        <v>132.94999999999999</v>
      </c>
      <c r="F1691" s="517" t="s">
        <v>293</v>
      </c>
      <c r="G1691" s="232">
        <v>0</v>
      </c>
      <c r="H1691" s="661" t="str">
        <f t="shared" ref="H1691:H1697" si="1338">IF(G1691=0,"",IF(F1691="Buy",IF(G1691=1,"plant","plants"),IF(F1691&gt;0.01,"warranty","Error")))</f>
        <v/>
      </c>
      <c r="I1691" s="244">
        <f t="shared" ref="I1691:I1697" si="1339">IF(H1691="free",0,IF(H1691="credit",((E1691*(F1691))*G1691*-1),IF(F1691="Buy",(E1691*G1691),((E1691*(1-F1691))*G1691))))</f>
        <v>0</v>
      </c>
      <c r="J1691" s="244">
        <f t="shared" ref="J1691:J1697" si="1340">IF(H1691="warranty",0,(I1691*(_xlfn.SINGLE(SalesTaxPercentage))))</f>
        <v>0</v>
      </c>
      <c r="K1691" s="696">
        <f t="shared" ref="K1691" si="1341">I1691+J1691</f>
        <v>0</v>
      </c>
      <c r="L1691" s="696"/>
      <c r="M1691" s="659" t="str">
        <f t="shared" ref="M1691:M1697" si="1342">IF(AND(G1691&gt;0,E1691=0),"WARNING - no PRICE inserted",IF(H1691="free"," FREE ~ no charge this plant",IF(H1691="credit",CONCATENATE(" -$",ROUND(K1691*(1-T2GDiscount)*-1,2)," CREDIT after discount"),IF(T2GDiscount=0,"",IF(G1691=0,"",IF(F1691="Buy",CONCATENATE(" $",ROUND(K1691*(1-T2GDiscount),2)," with ",(T2GDiscount*100),"% discount"),CONCATENATE(" $",ROUND(K1691*(1-T2GDiscount),2)," with ",((T2GDiscount*100+F1691*100)-(T2GDiscount*100*F1691)),IF(F1691&gt;0,"% discounts",IF(NoWarrantyDiscount&gt;0,"% discounts","% discount")))))))))</f>
        <v/>
      </c>
      <c r="N1691" s="660"/>
      <c r="O1691" s="233"/>
      <c r="P1691" s="233"/>
      <c r="Q1691" s="233"/>
      <c r="R1691" s="233"/>
      <c r="S1691" s="233"/>
      <c r="T1691" s="508">
        <f t="shared" si="1319"/>
        <v>0</v>
      </c>
      <c r="U1691" s="225">
        <f>IF(NOT(ISNUMBER(G1691)), "", VLOOKUP(A1691,'Discount Lookup'!D:E,2,FALSE)*G1691)</f>
        <v>0</v>
      </c>
      <c r="V1691" s="225">
        <f>IF(NOT(ISNUMBER(G1691)), "", VLOOKUP(A1691,'Discount Lookup'!G:H,2,FALSE)*G1691)</f>
        <v>0</v>
      </c>
      <c r="W1691" s="508">
        <f t="shared" si="1320"/>
        <v>0</v>
      </c>
      <c r="X1691" s="508">
        <f t="shared" si="1321"/>
        <v>0</v>
      </c>
      <c r="Y1691" s="509" t="b">
        <f t="shared" si="1322"/>
        <v>0</v>
      </c>
      <c r="Z1691" s="510">
        <f t="shared" si="1323"/>
        <v>0</v>
      </c>
      <c r="AA1691" s="511"/>
      <c r="AB1691" s="511" t="str">
        <f t="shared" si="1324"/>
        <v/>
      </c>
      <c r="AC1691" s="698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698"/>
      <c r="AE1691" s="631" t="str">
        <f t="shared" si="1325"/>
        <v/>
      </c>
      <c r="AF1691" s="699" t="str">
        <f t="shared" si="1326"/>
        <v/>
      </c>
      <c r="AG1691" s="699"/>
      <c r="AH1691" s="699"/>
      <c r="AI1691" s="512">
        <f>IF(H1691="credit",0,IF(AE1691="free",0,IF(AE1691="me",0,IF(G1691&gt;0,(VLOOKUP(A1691,'Discount Lookup'!J:K,2)*G1691),0))))</f>
        <v>0</v>
      </c>
      <c r="AJ1691" s="513" t="str">
        <f t="shared" ca="1" si="1327"/>
        <v/>
      </c>
      <c r="AK1691" s="700" t="str">
        <f t="shared" si="1328"/>
        <v/>
      </c>
      <c r="AL1691" s="700"/>
      <c r="AM1691" s="505" t="str">
        <f t="shared" si="1329"/>
        <v/>
      </c>
      <c r="AN1691" s="506"/>
      <c r="AO1691" s="507"/>
      <c r="AP1691" s="507"/>
      <c r="AQ1691" s="507"/>
      <c r="AR1691" s="507"/>
      <c r="AS1691" s="507"/>
      <c r="AT1691" s="507"/>
      <c r="AU1691" s="507"/>
      <c r="AV1691" s="225"/>
      <c r="AW1691" s="508"/>
      <c r="AX1691" s="225"/>
      <c r="AY1691" s="225"/>
      <c r="AZ1691" s="225"/>
      <c r="BA1691" s="225"/>
      <c r="BB1691" s="225"/>
      <c r="BC1691" s="56"/>
      <c r="BD1691" s="56"/>
      <c r="BE1691" s="56"/>
      <c r="BF1691" s="107" t="str">
        <f t="shared" si="1330"/>
        <v>https://www.google.com/search?tbm=isch&amp;q=7%20G4</v>
      </c>
      <c r="BG1691" s="107" t="str">
        <f t="shared" si="1331"/>
        <v>G</v>
      </c>
      <c r="BH1691" s="254"/>
      <c r="BI1691" s="254"/>
    </row>
    <row r="1692" spans="1:61" customFormat="1" ht="15.75" x14ac:dyDescent="0.25">
      <c r="A1692" s="276">
        <v>15</v>
      </c>
      <c r="B1692" s="240" t="s">
        <v>291</v>
      </c>
      <c r="C1692" s="241" t="s">
        <v>3547</v>
      </c>
      <c r="D1692" s="242" t="s">
        <v>292</v>
      </c>
      <c r="E1692" s="243">
        <v>293.95</v>
      </c>
      <c r="F1692" s="517" t="s">
        <v>293</v>
      </c>
      <c r="G1692" s="232">
        <v>0</v>
      </c>
      <c r="H1692" s="661" t="str">
        <f t="shared" si="1338"/>
        <v/>
      </c>
      <c r="I1692" s="244">
        <f t="shared" si="1339"/>
        <v>0</v>
      </c>
      <c r="J1692" s="244">
        <f t="shared" si="1340"/>
        <v>0</v>
      </c>
      <c r="K1692" s="696">
        <f t="shared" ref="K1692" si="1343">I1692+J1692</f>
        <v>0</v>
      </c>
      <c r="L1692" s="696"/>
      <c r="M1692" s="659" t="str">
        <f t="shared" si="1342"/>
        <v/>
      </c>
      <c r="N1692" s="660"/>
      <c r="O1692" s="233"/>
      <c r="P1692" s="233"/>
      <c r="Q1692" s="233"/>
      <c r="R1692" s="233"/>
      <c r="S1692" s="233"/>
      <c r="T1692" s="508">
        <f t="shared" si="1319"/>
        <v>0</v>
      </c>
      <c r="U1692" s="225">
        <f>IF(NOT(ISNUMBER(G1692)), "", VLOOKUP(A1692,'Discount Lookup'!D:E,2,FALSE)*G1692)</f>
        <v>0</v>
      </c>
      <c r="V1692" s="225">
        <f>IF(NOT(ISNUMBER(G1692)), "", VLOOKUP(A1692,'Discount Lookup'!G:H,2,FALSE)*G1692)</f>
        <v>0</v>
      </c>
      <c r="W1692" s="508">
        <f t="shared" si="1320"/>
        <v>0</v>
      </c>
      <c r="X1692" s="508">
        <f t="shared" si="1321"/>
        <v>0</v>
      </c>
      <c r="Y1692" s="509" t="b">
        <f t="shared" si="1322"/>
        <v>0</v>
      </c>
      <c r="Z1692" s="510">
        <f t="shared" si="1323"/>
        <v>0</v>
      </c>
      <c r="AA1692" s="511"/>
      <c r="AB1692" s="511" t="str">
        <f t="shared" si="1324"/>
        <v/>
      </c>
      <c r="AC1692" s="698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698"/>
      <c r="AE1692" s="631" t="str">
        <f t="shared" si="1325"/>
        <v/>
      </c>
      <c r="AF1692" s="699" t="str">
        <f t="shared" si="1326"/>
        <v/>
      </c>
      <c r="AG1692" s="699"/>
      <c r="AH1692" s="699"/>
      <c r="AI1692" s="512">
        <f>IF(H1692="credit",0,IF(AE1692="free",0,IF(AE1692="me",0,IF(G1692&gt;0,(VLOOKUP(A1692,'Discount Lookup'!J:K,2)*G1692),0))))</f>
        <v>0</v>
      </c>
      <c r="AJ1692" s="513" t="str">
        <f t="shared" ca="1" si="1327"/>
        <v/>
      </c>
      <c r="AK1692" s="700" t="str">
        <f t="shared" si="1328"/>
        <v/>
      </c>
      <c r="AL1692" s="700"/>
      <c r="AM1692" s="505" t="str">
        <f t="shared" si="1329"/>
        <v/>
      </c>
      <c r="AN1692" s="506"/>
      <c r="AO1692" s="507"/>
      <c r="AP1692" s="507"/>
      <c r="AQ1692" s="507"/>
      <c r="AR1692" s="507"/>
      <c r="AS1692" s="507"/>
      <c r="AT1692" s="507"/>
      <c r="AU1692" s="507"/>
      <c r="AV1692" s="225"/>
      <c r="AW1692" s="508"/>
      <c r="AX1692" s="225"/>
      <c r="AY1692" s="225"/>
      <c r="AZ1692" s="225"/>
      <c r="BA1692" s="225"/>
      <c r="BB1692" s="225"/>
      <c r="BC1692" s="56"/>
      <c r="BD1692" s="56"/>
      <c r="BE1692" s="56"/>
      <c r="BF1692" s="107" t="str">
        <f t="shared" si="1330"/>
        <v>https://www.google.com/search?tbm=isch&amp;q=15%20G4</v>
      </c>
      <c r="BG1692" s="107" t="str">
        <f t="shared" si="1331"/>
        <v>G</v>
      </c>
      <c r="BH1692" s="254"/>
      <c r="BI1692" s="254"/>
    </row>
    <row r="1693" spans="1:61" customFormat="1" ht="15.75" x14ac:dyDescent="0.25">
      <c r="A1693" s="276">
        <v>25</v>
      </c>
      <c r="B1693" s="240" t="s">
        <v>291</v>
      </c>
      <c r="C1693" s="241" t="s">
        <v>3548</v>
      </c>
      <c r="D1693" s="242" t="s">
        <v>292</v>
      </c>
      <c r="E1693" s="243">
        <v>559.95000000000005</v>
      </c>
      <c r="F1693" s="517" t="s">
        <v>293</v>
      </c>
      <c r="G1693" s="232">
        <v>0</v>
      </c>
      <c r="H1693" s="661" t="str">
        <f t="shared" si="1338"/>
        <v/>
      </c>
      <c r="I1693" s="244">
        <f t="shared" si="1339"/>
        <v>0</v>
      </c>
      <c r="J1693" s="244">
        <f t="shared" si="1340"/>
        <v>0</v>
      </c>
      <c r="K1693" s="696">
        <f t="shared" ref="K1693" si="1344">I1693+J1693</f>
        <v>0</v>
      </c>
      <c r="L1693" s="696"/>
      <c r="M1693" s="659" t="str">
        <f t="shared" si="1342"/>
        <v/>
      </c>
      <c r="N1693" s="660"/>
      <c r="O1693" s="233"/>
      <c r="P1693" s="233"/>
      <c r="Q1693" s="233"/>
      <c r="R1693" s="233"/>
      <c r="S1693" s="233"/>
      <c r="T1693" s="508">
        <f t="shared" si="1319"/>
        <v>0</v>
      </c>
      <c r="U1693" s="225">
        <f>IF(NOT(ISNUMBER(G1693)), "", VLOOKUP(A1693,'Discount Lookup'!D:E,2,FALSE)*G1693)</f>
        <v>0</v>
      </c>
      <c r="V1693" s="225">
        <f>IF(NOT(ISNUMBER(G1693)), "", VLOOKUP(A1693,'Discount Lookup'!G:H,2,FALSE)*G1693)</f>
        <v>0</v>
      </c>
      <c r="W1693" s="508">
        <f t="shared" si="1320"/>
        <v>0</v>
      </c>
      <c r="X1693" s="508">
        <f t="shared" si="1321"/>
        <v>0</v>
      </c>
      <c r="Y1693" s="509" t="b">
        <f t="shared" si="1322"/>
        <v>0</v>
      </c>
      <c r="Z1693" s="510">
        <f t="shared" si="1323"/>
        <v>0</v>
      </c>
      <c r="AA1693" s="511"/>
      <c r="AB1693" s="511" t="str">
        <f t="shared" si="1324"/>
        <v/>
      </c>
      <c r="AC1693" s="698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698"/>
      <c r="AE1693" s="631" t="str">
        <f t="shared" si="1325"/>
        <v/>
      </c>
      <c r="AF1693" s="699" t="str">
        <f t="shared" si="1326"/>
        <v/>
      </c>
      <c r="AG1693" s="699"/>
      <c r="AH1693" s="699"/>
      <c r="AI1693" s="512">
        <f>IF(H1693="credit",0,IF(AE1693="free",0,IF(AE1693="me",0,IF(G1693&gt;0,(VLOOKUP(A1693,'Discount Lookup'!J:K,2)*G1693),0))))</f>
        <v>0</v>
      </c>
      <c r="AJ1693" s="513" t="str">
        <f t="shared" ca="1" si="1327"/>
        <v/>
      </c>
      <c r="AK1693" s="700" t="str">
        <f t="shared" si="1328"/>
        <v/>
      </c>
      <c r="AL1693" s="700"/>
      <c r="AM1693" s="505" t="str">
        <f t="shared" si="1329"/>
        <v/>
      </c>
      <c r="AN1693" s="506"/>
      <c r="AO1693" s="507"/>
      <c r="AP1693" s="507"/>
      <c r="AQ1693" s="507"/>
      <c r="AR1693" s="507"/>
      <c r="AS1693" s="507"/>
      <c r="AT1693" s="507"/>
      <c r="AU1693" s="507"/>
      <c r="AV1693" s="225"/>
      <c r="AW1693" s="508"/>
      <c r="AX1693" s="225"/>
      <c r="AY1693" s="225"/>
      <c r="AZ1693" s="225"/>
      <c r="BA1693" s="225"/>
      <c r="BB1693" s="225"/>
      <c r="BC1693" s="56"/>
      <c r="BD1693" s="56"/>
      <c r="BE1693" s="56"/>
      <c r="BF1693" s="107" t="str">
        <f t="shared" si="1330"/>
        <v>https://www.google.com/search?tbm=isch&amp;q=25%20G4</v>
      </c>
      <c r="BG1693" s="107" t="str">
        <f t="shared" si="1331"/>
        <v>G</v>
      </c>
      <c r="BH1693" s="254"/>
      <c r="BI1693" s="254"/>
    </row>
    <row r="1694" spans="1:61" customFormat="1" ht="15.75" x14ac:dyDescent="0.25">
      <c r="A1694" s="276">
        <v>100</v>
      </c>
      <c r="B1694" s="240" t="s">
        <v>291</v>
      </c>
      <c r="C1694" s="241" t="s">
        <v>1040</v>
      </c>
      <c r="D1694" s="242" t="s">
        <v>299</v>
      </c>
      <c r="E1694" s="243">
        <v>919.95</v>
      </c>
      <c r="F1694" s="517" t="s">
        <v>293</v>
      </c>
      <c r="G1694" s="232">
        <v>0</v>
      </c>
      <c r="H1694" s="661" t="str">
        <f t="shared" si="1338"/>
        <v/>
      </c>
      <c r="I1694" s="244">
        <f t="shared" si="1339"/>
        <v>0</v>
      </c>
      <c r="J1694" s="244">
        <f t="shared" si="1340"/>
        <v>0</v>
      </c>
      <c r="K1694" s="696">
        <f t="shared" ref="K1694" si="1345">I1694+J1694</f>
        <v>0</v>
      </c>
      <c r="L1694" s="696"/>
      <c r="M1694" s="659" t="str">
        <f t="shared" si="1342"/>
        <v/>
      </c>
      <c r="N1694" s="660"/>
      <c r="O1694" s="233"/>
      <c r="P1694" s="233"/>
      <c r="Q1694" s="233"/>
      <c r="R1694" s="233"/>
      <c r="S1694" s="233"/>
      <c r="T1694" s="508">
        <f t="shared" si="1319"/>
        <v>0</v>
      </c>
      <c r="U1694" s="225">
        <f>IF(NOT(ISNUMBER(G1694)), "", VLOOKUP(A1694,'Discount Lookup'!D:E,2,FALSE)*G1694)</f>
        <v>0</v>
      </c>
      <c r="V1694" s="225">
        <f>IF(NOT(ISNUMBER(G1694)), "", VLOOKUP(A1694,'Discount Lookup'!G:H,2,FALSE)*G1694)</f>
        <v>0</v>
      </c>
      <c r="W1694" s="508">
        <f t="shared" si="1320"/>
        <v>0</v>
      </c>
      <c r="X1694" s="508">
        <f t="shared" si="1321"/>
        <v>0</v>
      </c>
      <c r="Y1694" s="509" t="b">
        <f t="shared" si="1322"/>
        <v>0</v>
      </c>
      <c r="Z1694" s="510">
        <f t="shared" si="1323"/>
        <v>0</v>
      </c>
      <c r="AA1694" s="511"/>
      <c r="AB1694" s="511" t="str">
        <f t="shared" si="1324"/>
        <v/>
      </c>
      <c r="AC1694" s="698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698"/>
      <c r="AE1694" s="631" t="str">
        <f t="shared" si="1325"/>
        <v/>
      </c>
      <c r="AF1694" s="699" t="str">
        <f t="shared" si="1326"/>
        <v/>
      </c>
      <c r="AG1694" s="699"/>
      <c r="AH1694" s="699"/>
      <c r="AI1694" s="512">
        <f>IF(H1694="credit",0,IF(AE1694="free",0,IF(AE1694="me",0,IF(G1694&gt;0,(VLOOKUP(A1694,'Discount Lookup'!J:K,2)*G1694),0))))</f>
        <v>0</v>
      </c>
      <c r="AJ1694" s="513" t="str">
        <f t="shared" ca="1" si="1327"/>
        <v/>
      </c>
      <c r="AK1694" s="700" t="str">
        <f t="shared" si="1328"/>
        <v/>
      </c>
      <c r="AL1694" s="700"/>
      <c r="AM1694" s="505" t="str">
        <f t="shared" si="1329"/>
        <v/>
      </c>
      <c r="AN1694" s="506"/>
      <c r="AO1694" s="507"/>
      <c r="AP1694" s="507"/>
      <c r="AQ1694" s="507"/>
      <c r="AR1694" s="507"/>
      <c r="AS1694" s="507"/>
      <c r="AT1694" s="507"/>
      <c r="AU1694" s="507"/>
      <c r="AV1694" s="225"/>
      <c r="AW1694" s="508"/>
      <c r="AX1694" s="225"/>
      <c r="AY1694" s="225"/>
      <c r="AZ1694" s="225"/>
      <c r="BA1694" s="225"/>
      <c r="BB1694" s="225"/>
      <c r="BC1694" s="56"/>
      <c r="BD1694" s="56"/>
      <c r="BE1694" s="56"/>
      <c r="BF1694" s="107" t="str">
        <f t="shared" si="1330"/>
        <v>https://www.google.com/search?tbm=isch&amp;q=100%20G5</v>
      </c>
      <c r="BG1694" s="107" t="str">
        <f t="shared" si="1331"/>
        <v>G</v>
      </c>
      <c r="BH1694" s="254"/>
      <c r="BI1694" s="254"/>
    </row>
    <row r="1695" spans="1:61" customFormat="1" ht="15.75" x14ac:dyDescent="0.25">
      <c r="A1695" s="276">
        <v>65</v>
      </c>
      <c r="B1695" s="240" t="s">
        <v>291</v>
      </c>
      <c r="C1695" s="241" t="s">
        <v>3549</v>
      </c>
      <c r="D1695" s="242" t="s">
        <v>292</v>
      </c>
      <c r="E1695" s="243">
        <v>937.95</v>
      </c>
      <c r="F1695" s="517" t="s">
        <v>293</v>
      </c>
      <c r="G1695" s="232">
        <v>0</v>
      </c>
      <c r="H1695" s="661" t="str">
        <f t="shared" si="1338"/>
        <v/>
      </c>
      <c r="I1695" s="244">
        <f t="shared" si="1339"/>
        <v>0</v>
      </c>
      <c r="J1695" s="244">
        <f t="shared" si="1340"/>
        <v>0</v>
      </c>
      <c r="K1695" s="696">
        <f t="shared" ref="K1695" si="1346">I1695+J1695</f>
        <v>0</v>
      </c>
      <c r="L1695" s="696"/>
      <c r="M1695" s="659" t="str">
        <f t="shared" si="1342"/>
        <v/>
      </c>
      <c r="N1695" s="660"/>
      <c r="O1695" s="233"/>
      <c r="P1695" s="233"/>
      <c r="Q1695" s="233"/>
      <c r="R1695" s="233"/>
      <c r="S1695" s="233"/>
      <c r="T1695" s="508">
        <f t="shared" si="1319"/>
        <v>0</v>
      </c>
      <c r="U1695" s="225">
        <f>IF(NOT(ISNUMBER(G1695)), "", VLOOKUP(A1695,'Discount Lookup'!D:E,2,FALSE)*G1695)</f>
        <v>0</v>
      </c>
      <c r="V1695" s="225">
        <f>IF(NOT(ISNUMBER(G1695)), "", VLOOKUP(A1695,'Discount Lookup'!G:H,2,FALSE)*G1695)</f>
        <v>0</v>
      </c>
      <c r="W1695" s="508">
        <f t="shared" si="1320"/>
        <v>0</v>
      </c>
      <c r="X1695" s="508">
        <f t="shared" si="1321"/>
        <v>0</v>
      </c>
      <c r="Y1695" s="509" t="b">
        <f t="shared" si="1322"/>
        <v>0</v>
      </c>
      <c r="Z1695" s="510">
        <f t="shared" si="1323"/>
        <v>0</v>
      </c>
      <c r="AA1695" s="511"/>
      <c r="AB1695" s="511" t="str">
        <f t="shared" si="1324"/>
        <v/>
      </c>
      <c r="AC1695" s="698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698"/>
      <c r="AE1695" s="631" t="str">
        <f t="shared" si="1325"/>
        <v/>
      </c>
      <c r="AF1695" s="699" t="str">
        <f t="shared" si="1326"/>
        <v/>
      </c>
      <c r="AG1695" s="699"/>
      <c r="AH1695" s="699"/>
      <c r="AI1695" s="512">
        <f>IF(H1695="credit",0,IF(AE1695="free",0,IF(AE1695="me",0,IF(G1695&gt;0,(VLOOKUP(A1695,'Discount Lookup'!J:K,2)*G1695),0))))</f>
        <v>0</v>
      </c>
      <c r="AJ1695" s="513" t="str">
        <f t="shared" ca="1" si="1327"/>
        <v/>
      </c>
      <c r="AK1695" s="700" t="str">
        <f t="shared" si="1328"/>
        <v/>
      </c>
      <c r="AL1695" s="700"/>
      <c r="AM1695" s="505" t="str">
        <f t="shared" si="1329"/>
        <v/>
      </c>
      <c r="AN1695" s="506"/>
      <c r="AO1695" s="507"/>
      <c r="AP1695" s="507"/>
      <c r="AQ1695" s="507"/>
      <c r="AR1695" s="507"/>
      <c r="AS1695" s="507"/>
      <c r="AT1695" s="507"/>
      <c r="AU1695" s="507"/>
      <c r="AV1695" s="225"/>
      <c r="AW1695" s="508"/>
      <c r="AX1695" s="225"/>
      <c r="AY1695" s="225"/>
      <c r="AZ1695" s="225"/>
      <c r="BA1695" s="225"/>
      <c r="BB1695" s="225"/>
      <c r="BC1695" s="56"/>
      <c r="BD1695" s="56"/>
      <c r="BE1695" s="56"/>
      <c r="BF1695" s="107" t="str">
        <f t="shared" si="1330"/>
        <v>https://www.google.com/search?tbm=isch&amp;q=65%20G4</v>
      </c>
      <c r="BG1695" s="107" t="str">
        <f t="shared" si="1331"/>
        <v>G</v>
      </c>
      <c r="BH1695" s="254"/>
      <c r="BI1695" s="254"/>
    </row>
    <row r="1696" spans="1:61" customFormat="1" ht="27" x14ac:dyDescent="0.25">
      <c r="A1696" s="276">
        <v>95</v>
      </c>
      <c r="B1696" s="240" t="s">
        <v>291</v>
      </c>
      <c r="C1696" s="241" t="s">
        <v>3550</v>
      </c>
      <c r="D1696" s="242" t="s">
        <v>292</v>
      </c>
      <c r="E1696" s="243">
        <v>1098.95</v>
      </c>
      <c r="F1696" s="517" t="s">
        <v>293</v>
      </c>
      <c r="G1696" s="232">
        <v>0</v>
      </c>
      <c r="H1696" s="661" t="str">
        <f t="shared" si="1338"/>
        <v/>
      </c>
      <c r="I1696" s="244">
        <f t="shared" si="1339"/>
        <v>0</v>
      </c>
      <c r="J1696" s="244">
        <f t="shared" si="1340"/>
        <v>0</v>
      </c>
      <c r="K1696" s="696">
        <f t="shared" ref="K1696" si="1347">I1696+J1696</f>
        <v>0</v>
      </c>
      <c r="L1696" s="696"/>
      <c r="M1696" s="659" t="str">
        <f t="shared" si="1342"/>
        <v/>
      </c>
      <c r="N1696" s="660"/>
      <c r="O1696" s="233"/>
      <c r="P1696" s="233"/>
      <c r="Q1696" s="233"/>
      <c r="R1696" s="233"/>
      <c r="S1696" s="233"/>
      <c r="T1696" s="508">
        <f t="shared" si="1319"/>
        <v>0</v>
      </c>
      <c r="U1696" s="225">
        <f>IF(NOT(ISNUMBER(G1696)), "", VLOOKUP(A1696,'Discount Lookup'!D:E,2,FALSE)*G1696)</f>
        <v>0</v>
      </c>
      <c r="V1696" s="225">
        <f>IF(NOT(ISNUMBER(G1696)), "", VLOOKUP(A1696,'Discount Lookup'!G:H,2,FALSE)*G1696)</f>
        <v>0</v>
      </c>
      <c r="W1696" s="508">
        <f t="shared" si="1320"/>
        <v>0</v>
      </c>
      <c r="X1696" s="508">
        <f t="shared" si="1321"/>
        <v>0</v>
      </c>
      <c r="Y1696" s="509" t="b">
        <f t="shared" si="1322"/>
        <v>0</v>
      </c>
      <c r="Z1696" s="510">
        <f t="shared" si="1323"/>
        <v>0</v>
      </c>
      <c r="AA1696" s="511"/>
      <c r="AB1696" s="511" t="str">
        <f t="shared" si="1324"/>
        <v/>
      </c>
      <c r="AC1696" s="698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698"/>
      <c r="AE1696" s="631" t="str">
        <f t="shared" si="1325"/>
        <v/>
      </c>
      <c r="AF1696" s="699" t="str">
        <f t="shared" si="1326"/>
        <v/>
      </c>
      <c r="AG1696" s="699"/>
      <c r="AH1696" s="699"/>
      <c r="AI1696" s="512">
        <f>IF(H1696="credit",0,IF(AE1696="free",0,IF(AE1696="me",0,IF(G1696&gt;0,(VLOOKUP(A1696,'Discount Lookup'!J:K,2)*G1696),0))))</f>
        <v>0</v>
      </c>
      <c r="AJ1696" s="513" t="str">
        <f t="shared" ca="1" si="1327"/>
        <v/>
      </c>
      <c r="AK1696" s="700" t="str">
        <f t="shared" si="1328"/>
        <v/>
      </c>
      <c r="AL1696" s="700"/>
      <c r="AM1696" s="505" t="str">
        <f t="shared" si="1329"/>
        <v/>
      </c>
      <c r="AN1696" s="506"/>
      <c r="AO1696" s="507"/>
      <c r="AP1696" s="507"/>
      <c r="AQ1696" s="507"/>
      <c r="AR1696" s="507"/>
      <c r="AS1696" s="507"/>
      <c r="AT1696" s="507"/>
      <c r="AU1696" s="507"/>
      <c r="AV1696" s="225"/>
      <c r="AW1696" s="508"/>
      <c r="AX1696" s="225"/>
      <c r="AY1696" s="225"/>
      <c r="AZ1696" s="225"/>
      <c r="BA1696" s="225"/>
      <c r="BB1696" s="225"/>
      <c r="BC1696" s="56"/>
      <c r="BD1696" s="56"/>
      <c r="BE1696" s="56"/>
      <c r="BF1696" s="107" t="str">
        <f t="shared" si="1330"/>
        <v>https://www.google.com/search?tbm=isch&amp;q=95%20G4</v>
      </c>
      <c r="BG1696" s="107" t="str">
        <f t="shared" si="1331"/>
        <v>G</v>
      </c>
      <c r="BH1696" s="254"/>
      <c r="BI1696" s="254"/>
    </row>
    <row r="1697" spans="1:61" customFormat="1" ht="27" x14ac:dyDescent="0.25">
      <c r="A1697" s="276">
        <v>65</v>
      </c>
      <c r="B1697" s="240" t="s">
        <v>291</v>
      </c>
      <c r="C1697" s="241" t="s">
        <v>3551</v>
      </c>
      <c r="D1697" s="242" t="s">
        <v>292</v>
      </c>
      <c r="E1697" s="243">
        <v>1147.95</v>
      </c>
      <c r="F1697" s="517" t="s">
        <v>293</v>
      </c>
      <c r="G1697" s="232">
        <v>0</v>
      </c>
      <c r="H1697" s="661" t="str">
        <f t="shared" si="1338"/>
        <v/>
      </c>
      <c r="I1697" s="244">
        <f t="shared" si="1339"/>
        <v>0</v>
      </c>
      <c r="J1697" s="244">
        <f t="shared" si="1340"/>
        <v>0</v>
      </c>
      <c r="K1697" s="696">
        <f t="shared" ref="K1697" si="1348">I1697+J1697</f>
        <v>0</v>
      </c>
      <c r="L1697" s="696"/>
      <c r="M1697" s="659" t="str">
        <f t="shared" si="1342"/>
        <v/>
      </c>
      <c r="N1697" s="660"/>
      <c r="O1697" s="233"/>
      <c r="P1697" s="233"/>
      <c r="Q1697" s="233"/>
      <c r="R1697" s="233"/>
      <c r="S1697" s="233"/>
      <c r="T1697" s="508">
        <f t="shared" si="1319"/>
        <v>0</v>
      </c>
      <c r="U1697" s="225">
        <f>IF(NOT(ISNUMBER(G1697)), "", VLOOKUP(A1697,'Discount Lookup'!D:E,2,FALSE)*G1697)</f>
        <v>0</v>
      </c>
      <c r="V1697" s="225">
        <f>IF(NOT(ISNUMBER(G1697)), "", VLOOKUP(A1697,'Discount Lookup'!G:H,2,FALSE)*G1697)</f>
        <v>0</v>
      </c>
      <c r="W1697" s="508">
        <f t="shared" si="1320"/>
        <v>0</v>
      </c>
      <c r="X1697" s="508">
        <f t="shared" si="1321"/>
        <v>0</v>
      </c>
      <c r="Y1697" s="509" t="b">
        <f t="shared" si="1322"/>
        <v>0</v>
      </c>
      <c r="Z1697" s="510">
        <f t="shared" si="1323"/>
        <v>0</v>
      </c>
      <c r="AA1697" s="511"/>
      <c r="AB1697" s="511" t="str">
        <f t="shared" si="1324"/>
        <v/>
      </c>
      <c r="AC1697" s="698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698"/>
      <c r="AE1697" s="631" t="str">
        <f t="shared" si="1325"/>
        <v/>
      </c>
      <c r="AF1697" s="699" t="str">
        <f t="shared" si="1326"/>
        <v/>
      </c>
      <c r="AG1697" s="699"/>
      <c r="AH1697" s="699"/>
      <c r="AI1697" s="512">
        <f>IF(H1697="credit",0,IF(AE1697="free",0,IF(AE1697="me",0,IF(G1697&gt;0,(VLOOKUP(A1697,'Discount Lookup'!J:K,2)*G1697),0))))</f>
        <v>0</v>
      </c>
      <c r="AJ1697" s="513" t="str">
        <f t="shared" ca="1" si="1327"/>
        <v/>
      </c>
      <c r="AK1697" s="700" t="str">
        <f t="shared" si="1328"/>
        <v/>
      </c>
      <c r="AL1697" s="700"/>
      <c r="AM1697" s="505" t="str">
        <f t="shared" si="1329"/>
        <v/>
      </c>
      <c r="AN1697" s="506"/>
      <c r="AO1697" s="507"/>
      <c r="AP1697" s="507"/>
      <c r="AQ1697" s="507"/>
      <c r="AR1697" s="507"/>
      <c r="AS1697" s="507"/>
      <c r="AT1697" s="507"/>
      <c r="AU1697" s="507"/>
      <c r="AV1697" s="225"/>
      <c r="AW1697" s="508"/>
      <c r="AX1697" s="225"/>
      <c r="AY1697" s="225"/>
      <c r="AZ1697" s="225"/>
      <c r="BA1697" s="225"/>
      <c r="BB1697" s="225"/>
      <c r="BC1697" s="56"/>
      <c r="BD1697" s="56"/>
      <c r="BE1697" s="56"/>
      <c r="BF1697" s="107" t="str">
        <f t="shared" si="1330"/>
        <v>https://www.google.com/search?tbm=isch&amp;q=65%20G4</v>
      </c>
      <c r="BG1697" s="107" t="str">
        <f t="shared" si="1331"/>
        <v>G</v>
      </c>
      <c r="BH1697" s="254"/>
      <c r="BI1697" s="254"/>
    </row>
    <row r="1698" spans="1:61" customFormat="1" ht="17.25" thickBot="1" x14ac:dyDescent="0.3">
      <c r="A1698" s="524" t="s">
        <v>2399</v>
      </c>
      <c r="B1698" s="245"/>
      <c r="C1698" s="677"/>
      <c r="D1698" s="499"/>
      <c r="E1698" s="499"/>
      <c r="F1698" s="500"/>
      <c r="G1698" s="501"/>
      <c r="H1698" s="502"/>
      <c r="I1698" s="246"/>
      <c r="J1698" s="247"/>
      <c r="K1698" s="503"/>
      <c r="L1698" s="544"/>
      <c r="M1698" s="544"/>
      <c r="N1698" s="500"/>
      <c r="O1698" s="500"/>
      <c r="P1698" s="500"/>
      <c r="Q1698" s="500"/>
      <c r="R1698" s="500"/>
      <c r="S1698" s="278"/>
      <c r="T1698" s="508">
        <f t="shared" si="1319"/>
        <v>0</v>
      </c>
      <c r="U1698" s="225" t="str">
        <f>IF(NOT(ISNUMBER(G1698)), "", VLOOKUP(A1698,'Discount Lookup'!D:E,2,FALSE)*G1698)</f>
        <v/>
      </c>
      <c r="V1698" s="225" t="str">
        <f>IF(NOT(ISNUMBER(G1698)), "", VLOOKUP(A1698,'Discount Lookup'!G:H,2,FALSE)*G1698)</f>
        <v/>
      </c>
      <c r="W1698" s="508">
        <f t="shared" si="1320"/>
        <v>0</v>
      </c>
      <c r="X1698" s="508">
        <f t="shared" si="1321"/>
        <v>0</v>
      </c>
      <c r="Y1698" s="509" t="b">
        <f t="shared" si="1322"/>
        <v>0</v>
      </c>
      <c r="Z1698" s="510">
        <f t="shared" si="1323"/>
        <v>0</v>
      </c>
      <c r="AA1698" s="511"/>
      <c r="AB1698" s="511" t="str">
        <f t="shared" si="1324"/>
        <v/>
      </c>
      <c r="AC1698" s="698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698"/>
      <c r="AE1698" s="631" t="str">
        <f t="shared" si="1325"/>
        <v/>
      </c>
      <c r="AF1698" s="699" t="str">
        <f t="shared" si="1326"/>
        <v/>
      </c>
      <c r="AG1698" s="699"/>
      <c r="AH1698" s="699"/>
      <c r="AI1698" s="512">
        <f>IF(H1698="credit",0,IF(AE1698="free",0,IF(AE1698="me",0,IF(G1698&gt;0,(VLOOKUP(A1698,'Discount Lookup'!J:K,2)*G1698),0))))</f>
        <v>0</v>
      </c>
      <c r="AJ1698" s="513" t="str">
        <f t="shared" ca="1" si="1327"/>
        <v/>
      </c>
      <c r="AK1698" s="700" t="str">
        <f t="shared" si="1328"/>
        <v/>
      </c>
      <c r="AL1698" s="700"/>
      <c r="AM1698" s="505" t="str">
        <f t="shared" si="1329"/>
        <v/>
      </c>
      <c r="AN1698" s="506"/>
      <c r="AO1698" s="507"/>
      <c r="AP1698" s="507"/>
      <c r="AQ1698" s="507"/>
      <c r="AR1698" s="507"/>
      <c r="AS1698" s="507"/>
      <c r="AT1698" s="507"/>
      <c r="AU1698" s="507"/>
      <c r="AV1698" s="225"/>
      <c r="AW1698" s="508"/>
      <c r="AX1698" s="225"/>
      <c r="AY1698" s="225"/>
      <c r="AZ1698" s="225"/>
      <c r="BA1698" s="225"/>
      <c r="BB1698" s="225"/>
      <c r="BC1698" s="56"/>
      <c r="BD1698" s="56"/>
      <c r="BE1698" s="56"/>
      <c r="BF1698" s="107" t="str">
        <f t="shared" si="1330"/>
        <v>https://www.google.com/search?tbm=isch&amp;q=Green%20Seedling%20are%20grown%20from%20seed%2C%20so%20Mature%20Height%2C%20Width%2C%20and%20other%20characteristics%20will%20vary%20widely.%20</v>
      </c>
      <c r="BG1698" s="107" t="str">
        <f t="shared" si="1331"/>
        <v>G</v>
      </c>
      <c r="BH1698" s="254"/>
      <c r="BI1698" s="254"/>
    </row>
    <row r="1699" spans="1:61" customFormat="1" ht="18" x14ac:dyDescent="0.25">
      <c r="A1699" s="523" t="s">
        <v>4329</v>
      </c>
      <c r="B1699" s="235"/>
      <c r="C1699" s="676"/>
      <c r="D1699" s="255" t="s">
        <v>4330</v>
      </c>
      <c r="E1699" s="236"/>
      <c r="F1699" s="236"/>
      <c r="G1699" s="236"/>
      <c r="H1699" s="582" t="s">
        <v>4331</v>
      </c>
      <c r="I1699" s="498" t="s">
        <v>827</v>
      </c>
      <c r="J1699" s="237"/>
      <c r="K1699" s="237"/>
      <c r="L1699" s="274"/>
      <c r="M1699" s="668" t="s">
        <v>4975</v>
      </c>
      <c r="N1699" s="681" t="str">
        <f>IF(AND(ISTEXT($A1699), ISERROR($A1699+0)), HYPERLINK($BF1699, "Images"), "")</f>
        <v>Images</v>
      </c>
      <c r="O1699" s="663" t="s">
        <v>4967</v>
      </c>
      <c r="P1699" s="253"/>
      <c r="Q1699" s="238"/>
      <c r="R1699" s="239"/>
      <c r="S1699" s="275" t="s">
        <v>305</v>
      </c>
      <c r="T1699" s="508">
        <f t="shared" si="1319"/>
        <v>0</v>
      </c>
      <c r="U1699" s="225" t="str">
        <f>IF(NOT(ISNUMBER(G1699)), "", VLOOKUP(A1699,'Discount Lookup'!D:E,2,FALSE)*G1699)</f>
        <v/>
      </c>
      <c r="V1699" s="225" t="str">
        <f>IF(NOT(ISNUMBER(G1699)), "", VLOOKUP(A1699,'Discount Lookup'!G:H,2,FALSE)*G1699)</f>
        <v/>
      </c>
      <c r="W1699" s="508">
        <f t="shared" si="1320"/>
        <v>0</v>
      </c>
      <c r="X1699" s="508" t="str">
        <f t="shared" si="1321"/>
        <v>Creamy White bloom</v>
      </c>
      <c r="Y1699" s="509" t="b">
        <f t="shared" si="1322"/>
        <v>0</v>
      </c>
      <c r="Z1699" s="510">
        <f t="shared" si="1323"/>
        <v>0</v>
      </c>
      <c r="AA1699" s="511"/>
      <c r="AB1699" s="511" t="str">
        <f t="shared" si="1324"/>
        <v/>
      </c>
      <c r="AC1699" s="698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698"/>
      <c r="AE1699" s="631" t="str">
        <f t="shared" si="1325"/>
        <v/>
      </c>
      <c r="AF1699" s="699" t="str">
        <f t="shared" si="1326"/>
        <v/>
      </c>
      <c r="AG1699" s="699"/>
      <c r="AH1699" s="699"/>
      <c r="AI1699" s="512">
        <f>IF(H1699="credit",0,IF(AE1699="free",0,IF(AE1699="me",0,IF(G1699&gt;0,(VLOOKUP(A1699,'Discount Lookup'!J:K,2)*G1699),0))))</f>
        <v>0</v>
      </c>
      <c r="AJ1699" s="513" t="str">
        <f t="shared" ca="1" si="1327"/>
        <v/>
      </c>
      <c r="AK1699" s="700" t="str">
        <f t="shared" si="1328"/>
        <v/>
      </c>
      <c r="AL1699" s="700"/>
      <c r="AM1699" s="505" t="str">
        <f t="shared" si="1329"/>
        <v/>
      </c>
      <c r="AN1699" s="506"/>
      <c r="AO1699" s="507"/>
      <c r="AP1699" s="507"/>
      <c r="AQ1699" s="507"/>
      <c r="AR1699" s="507"/>
      <c r="AS1699" s="507"/>
      <c r="AT1699" s="507"/>
      <c r="AU1699" s="507"/>
      <c r="AV1699" s="225"/>
      <c r="AW1699" s="508"/>
      <c r="AX1699" s="225"/>
      <c r="AY1699" s="225"/>
      <c r="AZ1699" s="225"/>
      <c r="BA1699" s="225"/>
      <c r="BB1699" s="225"/>
      <c r="BC1699" s="56"/>
      <c r="BD1699" s="56"/>
      <c r="BE1699" s="56"/>
      <c r="BF1699" s="107" t="str">
        <f t="shared" si="1330"/>
        <v>https://www.google.com/search?tbm=isch&amp;q=Green%20Shadow%20Magnolia%20Magnolia%20virginiana%20%27Green%20Shadow%27</v>
      </c>
      <c r="BG1699" s="107" t="str">
        <f t="shared" si="1331"/>
        <v>G</v>
      </c>
      <c r="BH1699" s="254"/>
      <c r="BI1699" s="254"/>
    </row>
    <row r="1700" spans="1:61" customFormat="1" ht="15.75" x14ac:dyDescent="0.25">
      <c r="A1700" s="276">
        <v>7</v>
      </c>
      <c r="B1700" s="240" t="s">
        <v>291</v>
      </c>
      <c r="C1700" s="241" t="s">
        <v>4332</v>
      </c>
      <c r="D1700" s="242" t="s">
        <v>292</v>
      </c>
      <c r="E1700" s="243">
        <v>109.95</v>
      </c>
      <c r="F1700" s="517" t="s">
        <v>293</v>
      </c>
      <c r="G1700" s="232">
        <v>0</v>
      </c>
      <c r="H1700" s="661" t="str">
        <f>IF(G1700=0,"",IF(F1700="Buy",IF(G1700=1,"plant","plants"),IF(F1700&gt;0.01,"warranty","Error")))</f>
        <v/>
      </c>
      <c r="I1700" s="244">
        <f>IF(H1700="free",0,IF(H1700="credit",((E1700*(F1700))*G1700*-1),IF(F1700="Buy",(E1700*G1700),((E1700*(1-F1700))*G1700))))</f>
        <v>0</v>
      </c>
      <c r="J1700" s="244">
        <f>IF(H1700="warranty",0,(I1700*(_xlfn.SINGLE(SalesTaxPercentage))))</f>
        <v>0</v>
      </c>
      <c r="K1700" s="696">
        <f t="shared" ref="K1700" si="1349">I1700+J1700</f>
        <v>0</v>
      </c>
      <c r="L1700" s="696"/>
      <c r="M1700" s="659" t="str">
        <f>IF(AND(G1700&gt;0,E1700=0),"WARNING - no PRICE inserted",IF(H1700="free"," FREE ~ no charge this plant",IF(H1700="credit",CONCATENATE(" -$",ROUND(K1700*(1-T2GDiscount)*-1,2)," CREDIT after discount"),IF(T2GDiscount=0,"",IF(G1700=0,"",IF(F1700="Buy",CONCATENATE(" $",ROUND(K1700*(1-T2GDiscount),2)," with ",(T2GDiscount*100),"% discount"),CONCATENATE(" $",ROUND(K1700*(1-T2GDiscount),2)," with ",((T2GDiscount*100+F1700*100)-(T2GDiscount*100*F1700)),IF(F1700&gt;0,"% discounts",IF(NoWarrantyDiscount&gt;0,"% discounts","% discount")))))))))</f>
        <v/>
      </c>
      <c r="N1700" s="660"/>
      <c r="O1700" s="233"/>
      <c r="P1700" s="233"/>
      <c r="Q1700" s="233"/>
      <c r="R1700" s="233"/>
      <c r="S1700" s="233"/>
      <c r="T1700" s="508">
        <f t="shared" si="1319"/>
        <v>0</v>
      </c>
      <c r="U1700" s="225">
        <f>IF(NOT(ISNUMBER(G1700)), "", VLOOKUP(A1700,'Discount Lookup'!D:E,2,FALSE)*G1700)</f>
        <v>0</v>
      </c>
      <c r="V1700" s="225">
        <f>IF(NOT(ISNUMBER(G1700)), "", VLOOKUP(A1700,'Discount Lookup'!G:H,2,FALSE)*G1700)</f>
        <v>0</v>
      </c>
      <c r="W1700" s="508">
        <f t="shared" si="1320"/>
        <v>0</v>
      </c>
      <c r="X1700" s="508">
        <f t="shared" si="1321"/>
        <v>0</v>
      </c>
      <c r="Y1700" s="509" t="b">
        <f t="shared" si="1322"/>
        <v>0</v>
      </c>
      <c r="Z1700" s="510">
        <f t="shared" si="1323"/>
        <v>0</v>
      </c>
      <c r="AA1700" s="511"/>
      <c r="AB1700" s="511" t="str">
        <f t="shared" si="1324"/>
        <v/>
      </c>
      <c r="AC1700" s="698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698"/>
      <c r="AE1700" s="631" t="str">
        <f t="shared" si="1325"/>
        <v/>
      </c>
      <c r="AF1700" s="699" t="str">
        <f t="shared" si="1326"/>
        <v/>
      </c>
      <c r="AG1700" s="699"/>
      <c r="AH1700" s="699"/>
      <c r="AI1700" s="512">
        <f>IF(H1700="credit",0,IF(AE1700="free",0,IF(AE1700="me",0,IF(G1700&gt;0,(VLOOKUP(A1700,'Discount Lookup'!J:K,2)*G1700),0))))</f>
        <v>0</v>
      </c>
      <c r="AJ1700" s="513" t="str">
        <f t="shared" ca="1" si="1327"/>
        <v/>
      </c>
      <c r="AK1700" s="700" t="str">
        <f t="shared" si="1328"/>
        <v/>
      </c>
      <c r="AL1700" s="700"/>
      <c r="AM1700" s="505" t="str">
        <f t="shared" si="1329"/>
        <v/>
      </c>
      <c r="AN1700" s="506"/>
      <c r="AO1700" s="507"/>
      <c r="AP1700" s="507"/>
      <c r="AQ1700" s="507"/>
      <c r="AR1700" s="507"/>
      <c r="AS1700" s="507"/>
      <c r="AT1700" s="507"/>
      <c r="AU1700" s="507"/>
      <c r="AV1700" s="225"/>
      <c r="AW1700" s="508"/>
      <c r="AX1700" s="225"/>
      <c r="AY1700" s="225"/>
      <c r="AZ1700" s="225"/>
      <c r="BA1700" s="225"/>
      <c r="BB1700" s="225"/>
      <c r="BC1700" s="56"/>
      <c r="BD1700" s="56"/>
      <c r="BE1700" s="56"/>
      <c r="BF1700" s="107" t="str">
        <f t="shared" si="1330"/>
        <v>https://www.google.com/search?tbm=isch&amp;q=7%20G4</v>
      </c>
      <c r="BG1700" s="107" t="str">
        <f t="shared" si="1331"/>
        <v>G</v>
      </c>
      <c r="BH1700" s="254"/>
      <c r="BI1700" s="254"/>
    </row>
    <row r="1701" spans="1:61" customFormat="1" ht="15.75" x14ac:dyDescent="0.25">
      <c r="A1701" s="276">
        <v>15</v>
      </c>
      <c r="B1701" s="240" t="s">
        <v>291</v>
      </c>
      <c r="C1701" s="241" t="s">
        <v>4514</v>
      </c>
      <c r="D1701" s="242" t="s">
        <v>299</v>
      </c>
      <c r="E1701" s="243">
        <v>171.95</v>
      </c>
      <c r="F1701" s="517" t="s">
        <v>293</v>
      </c>
      <c r="G1701" s="232">
        <v>0</v>
      </c>
      <c r="H1701" s="661" t="str">
        <f>IF(G1701=0,"",IF(F1701="Buy",IF(G1701=1,"plant","plants"),IF(F1701&gt;0.01,"warranty","Error")))</f>
        <v/>
      </c>
      <c r="I1701" s="244">
        <f>IF(H1701="free",0,IF(H1701="credit",((E1701*(F1701))*G1701*-1),IF(F1701="Buy",(E1701*G1701),((E1701*(1-F1701))*G1701))))</f>
        <v>0</v>
      </c>
      <c r="J1701" s="244">
        <f>IF(H1701="warranty",0,(I1701*(_xlfn.SINGLE(SalesTaxPercentage))))</f>
        <v>0</v>
      </c>
      <c r="K1701" s="696">
        <f t="shared" ref="K1701" si="1350">I1701+J1701</f>
        <v>0</v>
      </c>
      <c r="L1701" s="696"/>
      <c r="M1701" s="659" t="str">
        <f>IF(AND(G1701&gt;0,E1701=0),"WARNING - no PRICE inserted",IF(H1701="free"," FREE ~ no charge this plant",IF(H1701="credit",CONCATENATE(" -$",ROUND(K1701*(1-T2GDiscount)*-1,2)," CREDIT after discount"),IF(T2GDiscount=0,"",IF(G1701=0,"",IF(F1701="Buy",CONCATENATE(" $",ROUND(K1701*(1-T2GDiscount),2)," with ",(T2GDiscount*100),"% discount"),CONCATENATE(" $",ROUND(K1701*(1-T2GDiscount),2)," with ",((T2GDiscount*100+F1701*100)-(T2GDiscount*100*F1701)),IF(F1701&gt;0,"% discounts",IF(NoWarrantyDiscount&gt;0,"% discounts","% discount")))))))))</f>
        <v/>
      </c>
      <c r="N1701" s="660"/>
      <c r="O1701" s="233"/>
      <c r="P1701" s="233"/>
      <c r="Q1701" s="233"/>
      <c r="R1701" s="233"/>
      <c r="S1701" s="233"/>
      <c r="T1701" s="508">
        <f t="shared" si="1319"/>
        <v>0</v>
      </c>
      <c r="U1701" s="225">
        <f>IF(NOT(ISNUMBER(G1701)), "", VLOOKUP(A1701,'Discount Lookup'!D:E,2,FALSE)*G1701)</f>
        <v>0</v>
      </c>
      <c r="V1701" s="225">
        <f>IF(NOT(ISNUMBER(G1701)), "", VLOOKUP(A1701,'Discount Lookup'!G:H,2,FALSE)*G1701)</f>
        <v>0</v>
      </c>
      <c r="W1701" s="508">
        <f t="shared" si="1320"/>
        <v>0</v>
      </c>
      <c r="X1701" s="508">
        <f t="shared" si="1321"/>
        <v>0</v>
      </c>
      <c r="Y1701" s="509" t="b">
        <f t="shared" si="1322"/>
        <v>0</v>
      </c>
      <c r="Z1701" s="510">
        <f t="shared" si="1323"/>
        <v>0</v>
      </c>
      <c r="AA1701" s="511"/>
      <c r="AB1701" s="511" t="str">
        <f t="shared" si="1324"/>
        <v/>
      </c>
      <c r="AC1701" s="698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698"/>
      <c r="AE1701" s="631" t="str">
        <f t="shared" si="1325"/>
        <v/>
      </c>
      <c r="AF1701" s="699" t="str">
        <f t="shared" si="1326"/>
        <v/>
      </c>
      <c r="AG1701" s="699"/>
      <c r="AH1701" s="699"/>
      <c r="AI1701" s="512">
        <f>IF(H1701="credit",0,IF(AE1701="free",0,IF(AE1701="me",0,IF(G1701&gt;0,(VLOOKUP(A1701,'Discount Lookup'!J:K,2)*G1701),0))))</f>
        <v>0</v>
      </c>
      <c r="AJ1701" s="513" t="str">
        <f t="shared" ca="1" si="1327"/>
        <v/>
      </c>
      <c r="AK1701" s="700" t="str">
        <f t="shared" si="1328"/>
        <v/>
      </c>
      <c r="AL1701" s="700"/>
      <c r="AM1701" s="505" t="str">
        <f t="shared" si="1329"/>
        <v/>
      </c>
      <c r="AN1701" s="506"/>
      <c r="AO1701" s="507"/>
      <c r="AP1701" s="507"/>
      <c r="AQ1701" s="507"/>
      <c r="AR1701" s="507"/>
      <c r="AS1701" s="507"/>
      <c r="AT1701" s="507"/>
      <c r="AU1701" s="507"/>
      <c r="AV1701" s="225"/>
      <c r="AW1701" s="508"/>
      <c r="AX1701" s="225"/>
      <c r="AY1701" s="225"/>
      <c r="AZ1701" s="225"/>
      <c r="BA1701" s="225"/>
      <c r="BB1701" s="225"/>
      <c r="BC1701" s="56"/>
      <c r="BD1701" s="56"/>
      <c r="BE1701" s="56"/>
      <c r="BF1701" s="107" t="str">
        <f t="shared" si="1330"/>
        <v>https://www.google.com/search?tbm=isch&amp;q=15%20G5</v>
      </c>
      <c r="BG1701" s="107" t="str">
        <f t="shared" si="1331"/>
        <v>G</v>
      </c>
      <c r="BH1701" s="254"/>
      <c r="BI1701" s="254"/>
    </row>
    <row r="1702" spans="1:61" customFormat="1" ht="17.25" thickBot="1" x14ac:dyDescent="0.3">
      <c r="A1702" s="673" t="s">
        <v>5129</v>
      </c>
      <c r="B1702" s="245"/>
      <c r="C1702" s="677"/>
      <c r="D1702" s="499"/>
      <c r="E1702" s="499"/>
      <c r="F1702" s="500"/>
      <c r="G1702" s="501"/>
      <c r="H1702" s="502"/>
      <c r="I1702" s="246"/>
      <c r="J1702" s="247"/>
      <c r="K1702" s="503"/>
      <c r="L1702" s="544"/>
      <c r="M1702" s="544"/>
      <c r="N1702" s="500"/>
      <c r="O1702" s="500"/>
      <c r="P1702" s="500"/>
      <c r="Q1702" s="500"/>
      <c r="R1702" s="500"/>
      <c r="S1702" s="669" t="s">
        <v>5014</v>
      </c>
      <c r="T1702" s="508">
        <f t="shared" si="1319"/>
        <v>0</v>
      </c>
      <c r="U1702" s="225" t="str">
        <f>IF(NOT(ISNUMBER(G1702)), "", VLOOKUP(A1702,'Discount Lookup'!D:E,2,FALSE)*G1702)</f>
        <v/>
      </c>
      <c r="V1702" s="225" t="str">
        <f>IF(NOT(ISNUMBER(G1702)), "", VLOOKUP(A1702,'Discount Lookup'!G:H,2,FALSE)*G1702)</f>
        <v/>
      </c>
      <c r="W1702" s="508">
        <f t="shared" si="1320"/>
        <v>0</v>
      </c>
      <c r="X1702" s="508">
        <f t="shared" si="1321"/>
        <v>0</v>
      </c>
      <c r="Y1702" s="509" t="b">
        <f t="shared" si="1322"/>
        <v>0</v>
      </c>
      <c r="Z1702" s="510">
        <f t="shared" si="1323"/>
        <v>0</v>
      </c>
      <c r="AA1702" s="511"/>
      <c r="AB1702" s="511" t="str">
        <f t="shared" si="1324"/>
        <v/>
      </c>
      <c r="AC1702" s="698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698"/>
      <c r="AE1702" s="631" t="str">
        <f t="shared" si="1325"/>
        <v/>
      </c>
      <c r="AF1702" s="699" t="str">
        <f t="shared" si="1326"/>
        <v/>
      </c>
      <c r="AG1702" s="699"/>
      <c r="AH1702" s="699"/>
      <c r="AI1702" s="512">
        <f>IF(H1702="credit",0,IF(AE1702="free",0,IF(AE1702="me",0,IF(G1702&gt;0,(VLOOKUP(A1702,'Discount Lookup'!J:K,2)*G1702),0))))</f>
        <v>0</v>
      </c>
      <c r="AJ1702" s="513" t="str">
        <f t="shared" ca="1" si="1327"/>
        <v/>
      </c>
      <c r="AK1702" s="700" t="str">
        <f t="shared" si="1328"/>
        <v/>
      </c>
      <c r="AL1702" s="700"/>
      <c r="AM1702" s="505" t="str">
        <f t="shared" si="1329"/>
        <v/>
      </c>
      <c r="AN1702" s="506"/>
      <c r="AO1702" s="507"/>
      <c r="AP1702" s="507"/>
      <c r="AQ1702" s="507"/>
      <c r="AR1702" s="507"/>
      <c r="AS1702" s="507"/>
      <c r="AT1702" s="507"/>
      <c r="AU1702" s="507"/>
      <c r="AV1702" s="225"/>
      <c r="AW1702" s="508"/>
      <c r="AX1702" s="225"/>
      <c r="AY1702" s="225"/>
      <c r="AZ1702" s="225"/>
      <c r="BA1702" s="225"/>
      <c r="BB1702" s="225"/>
      <c r="BC1702" s="56"/>
      <c r="BD1702" s="56"/>
      <c r="BE1702" s="56"/>
      <c r="BF1702" s="107" t="str">
        <f t="shared" si="1330"/>
        <v>https://www.google.com/search?tbm=isch&amp;q=wet%20sites%F0%9F%92%A7GOOD%2C%20Green%20Shadow%20has%20lemon-scented%20blooms%2C%20glossy%20foliage%20with%20shimmering%20Silver%20undersides%2C%20and%20strong%20cold%20tolerance%20</v>
      </c>
      <c r="BG1702" s="107" t="str">
        <f t="shared" si="1331"/>
        <v>w</v>
      </c>
      <c r="BH1702" s="254"/>
      <c r="BI1702" s="254"/>
    </row>
    <row r="1703" spans="1:61" customFormat="1" ht="18" x14ac:dyDescent="0.25">
      <c r="A1703" s="523" t="s">
        <v>1042</v>
      </c>
      <c r="B1703" s="235"/>
      <c r="C1703" s="676"/>
      <c r="D1703" s="255" t="s">
        <v>1043</v>
      </c>
      <c r="E1703" s="236"/>
      <c r="F1703" s="236"/>
      <c r="G1703" s="236"/>
      <c r="H1703" s="582" t="s">
        <v>1044</v>
      </c>
      <c r="I1703" s="498" t="s">
        <v>2093</v>
      </c>
      <c r="J1703" s="237"/>
      <c r="K1703" s="237"/>
      <c r="L1703" s="274"/>
      <c r="M1703" s="668" t="s">
        <v>4962</v>
      </c>
      <c r="N1703" s="681" t="str">
        <f>IF(AND(ISTEXT($A1703), ISERROR($A1703+0)), HYPERLINK($BF1703, "Images"), "")</f>
        <v>Images</v>
      </c>
      <c r="O1703" s="663" t="s">
        <v>4969</v>
      </c>
      <c r="P1703" s="253"/>
      <c r="Q1703" s="238"/>
      <c r="R1703" s="239"/>
      <c r="S1703" s="275"/>
      <c r="T1703" s="508">
        <f t="shared" si="1319"/>
        <v>0</v>
      </c>
      <c r="U1703" s="225" t="str">
        <f>IF(NOT(ISNUMBER(G1703)), "", VLOOKUP(A1703,'Discount Lookup'!D:E,2,FALSE)*G1703)</f>
        <v/>
      </c>
      <c r="V1703" s="225" t="str">
        <f>IF(NOT(ISNUMBER(G1703)), "", VLOOKUP(A1703,'Discount Lookup'!G:H,2,FALSE)*G1703)</f>
        <v/>
      </c>
      <c r="W1703" s="508">
        <f t="shared" si="1320"/>
        <v>0</v>
      </c>
      <c r="X1703" s="508" t="str">
        <f t="shared" si="1321"/>
        <v>Dark Green foliage</v>
      </c>
      <c r="Y1703" s="509" t="b">
        <f t="shared" si="1322"/>
        <v>0</v>
      </c>
      <c r="Z1703" s="510">
        <f t="shared" si="1323"/>
        <v>0</v>
      </c>
      <c r="AA1703" s="511"/>
      <c r="AB1703" s="511" t="str">
        <f t="shared" si="1324"/>
        <v/>
      </c>
      <c r="AC1703" s="698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698"/>
      <c r="AE1703" s="631" t="str">
        <f t="shared" si="1325"/>
        <v/>
      </c>
      <c r="AF1703" s="699" t="str">
        <f t="shared" si="1326"/>
        <v/>
      </c>
      <c r="AG1703" s="699"/>
      <c r="AH1703" s="699"/>
      <c r="AI1703" s="512">
        <f>IF(H1703="credit",0,IF(AE1703="free",0,IF(AE1703="me",0,IF(G1703&gt;0,(VLOOKUP(A1703,'Discount Lookup'!J:K,2)*G1703),0))))</f>
        <v>0</v>
      </c>
      <c r="AJ1703" s="513" t="str">
        <f t="shared" ca="1" si="1327"/>
        <v/>
      </c>
      <c r="AK1703" s="700" t="str">
        <f t="shared" si="1328"/>
        <v/>
      </c>
      <c r="AL1703" s="700"/>
      <c r="AM1703" s="505" t="str">
        <f t="shared" si="1329"/>
        <v/>
      </c>
      <c r="AN1703" s="506"/>
      <c r="AO1703" s="507"/>
      <c r="AP1703" s="507"/>
      <c r="AQ1703" s="507"/>
      <c r="AR1703" s="507"/>
      <c r="AS1703" s="507"/>
      <c r="AT1703" s="507"/>
      <c r="AU1703" s="507"/>
      <c r="AV1703" s="225"/>
      <c r="AW1703" s="508"/>
      <c r="AX1703" s="225"/>
      <c r="AY1703" s="225"/>
      <c r="AZ1703" s="225"/>
      <c r="BA1703" s="225"/>
      <c r="BB1703" s="225"/>
      <c r="BC1703" s="56"/>
      <c r="BD1703" s="56"/>
      <c r="BE1703" s="56"/>
      <c r="BF1703" s="107" t="str">
        <f t="shared" si="1330"/>
        <v>https://www.google.com/search?tbm=isch&amp;q=Green%20Vase%20Zelkova%20Zelkova%20serrata%20%27Green%20Vase%27</v>
      </c>
      <c r="BG1703" s="107" t="str">
        <f t="shared" si="1331"/>
        <v>G</v>
      </c>
      <c r="BH1703" s="254"/>
      <c r="BI1703" s="254"/>
    </row>
    <row r="1704" spans="1:61" customFormat="1" ht="15.75" x14ac:dyDescent="0.25">
      <c r="A1704" s="276">
        <v>15</v>
      </c>
      <c r="B1704" s="240" t="s">
        <v>291</v>
      </c>
      <c r="C1704" s="241" t="s">
        <v>4898</v>
      </c>
      <c r="D1704" s="242" t="s">
        <v>292</v>
      </c>
      <c r="E1704" s="243">
        <v>169.95</v>
      </c>
      <c r="F1704" s="517" t="s">
        <v>293</v>
      </c>
      <c r="G1704" s="232">
        <v>0</v>
      </c>
      <c r="H1704" s="661" t="str">
        <f>IF(G1704=0,"",IF(F1704="Buy",IF(G1704=1,"plant","plants"),IF(F1704&gt;0.01,"warranty","Error")))</f>
        <v/>
      </c>
      <c r="I1704" s="244">
        <f>IF(H1704="free",0,IF(H1704="credit",((E1704*(F1704))*G1704*-1),IF(F1704="Buy",(E1704*G1704),((E1704*(1-F1704))*G1704))))</f>
        <v>0</v>
      </c>
      <c r="J1704" s="244">
        <f>IF(H1704="warranty",0,(I1704*(_xlfn.SINGLE(SalesTaxPercentage))))</f>
        <v>0</v>
      </c>
      <c r="K1704" s="696">
        <f t="shared" ref="K1704" si="1351">I1704+J1704</f>
        <v>0</v>
      </c>
      <c r="L1704" s="696"/>
      <c r="M1704" s="659" t="str">
        <f>IF(AND(G1704&gt;0,E1704=0),"WARNING - no PRICE inserted",IF(H1704="free"," FREE ~ no charge this plant",IF(H1704="credit",CONCATENATE(" -$",ROUND(K1704*(1-T2GDiscount)*-1,2)," CREDIT after discount"),IF(T2GDiscount=0,"",IF(G1704=0,"",IF(F1704="Buy",CONCATENATE(" $",ROUND(K1704*(1-T2GDiscount),2)," with ",(T2GDiscount*100),"% discount"),CONCATENATE(" $",ROUND(K1704*(1-T2GDiscount),2)," with ",((T2GDiscount*100+F1704*100)-(T2GDiscount*100*F1704)),IF(F1704&gt;0,"% discounts",IF(NoWarrantyDiscount&gt;0,"% discounts","% discount")))))))))</f>
        <v/>
      </c>
      <c r="N1704" s="660"/>
      <c r="O1704" s="233"/>
      <c r="P1704" s="233"/>
      <c r="Q1704" s="233"/>
      <c r="R1704" s="233"/>
      <c r="S1704" s="233"/>
      <c r="T1704" s="508">
        <f t="shared" si="1319"/>
        <v>0</v>
      </c>
      <c r="U1704" s="225">
        <f>IF(NOT(ISNUMBER(G1704)), "", VLOOKUP(A1704,'Discount Lookup'!D:E,2,FALSE)*G1704)</f>
        <v>0</v>
      </c>
      <c r="V1704" s="225">
        <f>IF(NOT(ISNUMBER(G1704)), "", VLOOKUP(A1704,'Discount Lookup'!G:H,2,FALSE)*G1704)</f>
        <v>0</v>
      </c>
      <c r="W1704" s="508">
        <f t="shared" si="1320"/>
        <v>0</v>
      </c>
      <c r="X1704" s="508">
        <f t="shared" si="1321"/>
        <v>0</v>
      </c>
      <c r="Y1704" s="509" t="b">
        <f t="shared" si="1322"/>
        <v>0</v>
      </c>
      <c r="Z1704" s="510">
        <f t="shared" si="1323"/>
        <v>0</v>
      </c>
      <c r="AA1704" s="511"/>
      <c r="AB1704" s="511" t="str">
        <f t="shared" si="1324"/>
        <v/>
      </c>
      <c r="AC1704" s="698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698"/>
      <c r="AE1704" s="631" t="str">
        <f t="shared" si="1325"/>
        <v/>
      </c>
      <c r="AF1704" s="699" t="str">
        <f t="shared" si="1326"/>
        <v/>
      </c>
      <c r="AG1704" s="699"/>
      <c r="AH1704" s="699"/>
      <c r="AI1704" s="512">
        <f>IF(H1704="credit",0,IF(AE1704="free",0,IF(AE1704="me",0,IF(G1704&gt;0,(VLOOKUP(A1704,'Discount Lookup'!J:K,2)*G1704),0))))</f>
        <v>0</v>
      </c>
      <c r="AJ1704" s="513" t="str">
        <f t="shared" ca="1" si="1327"/>
        <v/>
      </c>
      <c r="AK1704" s="700" t="str">
        <f t="shared" si="1328"/>
        <v/>
      </c>
      <c r="AL1704" s="700"/>
      <c r="AM1704" s="505" t="str">
        <f t="shared" si="1329"/>
        <v/>
      </c>
      <c r="AN1704" s="506"/>
      <c r="AO1704" s="507"/>
      <c r="AP1704" s="507"/>
      <c r="AQ1704" s="507"/>
      <c r="AR1704" s="507"/>
      <c r="AS1704" s="507"/>
      <c r="AT1704" s="507"/>
      <c r="AU1704" s="507"/>
      <c r="AV1704" s="225"/>
      <c r="AW1704" s="508"/>
      <c r="AX1704" s="225"/>
      <c r="AY1704" s="225"/>
      <c r="AZ1704" s="225"/>
      <c r="BA1704" s="225"/>
      <c r="BB1704" s="225"/>
      <c r="BC1704" s="56"/>
      <c r="BD1704" s="56"/>
      <c r="BE1704" s="56"/>
      <c r="BF1704" s="107" t="str">
        <f t="shared" si="1330"/>
        <v>https://www.google.com/search?tbm=isch&amp;q=15%20G4</v>
      </c>
      <c r="BG1704" s="107" t="str">
        <f t="shared" si="1331"/>
        <v>G</v>
      </c>
      <c r="BH1704" s="254"/>
      <c r="BI1704" s="254"/>
    </row>
    <row r="1705" spans="1:61" customFormat="1" ht="15.75" x14ac:dyDescent="0.25">
      <c r="A1705" s="276">
        <v>25</v>
      </c>
      <c r="B1705" s="240" t="s">
        <v>291</v>
      </c>
      <c r="C1705" s="241" t="s">
        <v>3070</v>
      </c>
      <c r="D1705" s="242" t="s">
        <v>300</v>
      </c>
      <c r="E1705" s="243">
        <v>377.95</v>
      </c>
      <c r="F1705" s="517" t="s">
        <v>293</v>
      </c>
      <c r="G1705" s="232">
        <v>0</v>
      </c>
      <c r="H1705" s="661" t="str">
        <f>IF(G1705=0,"",IF(F1705="Buy",IF(G1705=1,"plant","plants"),IF(F1705&gt;0.01,"warranty","Error")))</f>
        <v/>
      </c>
      <c r="I1705" s="244">
        <f>IF(H1705="free",0,IF(H1705="credit",((E1705*(F1705))*G1705*-1),IF(F1705="Buy",(E1705*G1705),((E1705*(1-F1705))*G1705))))</f>
        <v>0</v>
      </c>
      <c r="J1705" s="244">
        <f>IF(H1705="warranty",0,(I1705*(_xlfn.SINGLE(SalesTaxPercentage))))</f>
        <v>0</v>
      </c>
      <c r="K1705" s="696">
        <f t="shared" ref="K1705" si="1352">I1705+J1705</f>
        <v>0</v>
      </c>
      <c r="L1705" s="696"/>
      <c r="M1705" s="659" t="str">
        <f>IF(AND(G1705&gt;0,E1705=0),"WARNING - no PRICE inserted",IF(H1705="free"," FREE ~ no charge this plant",IF(H1705="credit",CONCATENATE(" -$",ROUND(K1705*(1-T2GDiscount)*-1,2)," CREDIT after discount"),IF(T2GDiscount=0,"",IF(G1705=0,"",IF(F1705="Buy",CONCATENATE(" $",ROUND(K1705*(1-T2GDiscount),2)," with ",(T2GDiscount*100),"% discount"),CONCATENATE(" $",ROUND(K1705*(1-T2GDiscount),2)," with ",((T2GDiscount*100+F1705*100)-(T2GDiscount*100*F1705)),IF(F1705&gt;0,"% discounts",IF(NoWarrantyDiscount&gt;0,"% discounts","% discount")))))))))</f>
        <v/>
      </c>
      <c r="N1705" s="660"/>
      <c r="O1705" s="233"/>
      <c r="P1705" s="233"/>
      <c r="Q1705" s="233"/>
      <c r="R1705" s="233"/>
      <c r="S1705" s="233"/>
      <c r="T1705" s="508">
        <f t="shared" si="1319"/>
        <v>0</v>
      </c>
      <c r="U1705" s="225">
        <f>IF(NOT(ISNUMBER(G1705)), "", VLOOKUP(A1705,'Discount Lookup'!D:E,2,FALSE)*G1705)</f>
        <v>0</v>
      </c>
      <c r="V1705" s="225">
        <f>IF(NOT(ISNUMBER(G1705)), "", VLOOKUP(A1705,'Discount Lookup'!G:H,2,FALSE)*G1705)</f>
        <v>0</v>
      </c>
      <c r="W1705" s="508">
        <f t="shared" si="1320"/>
        <v>0</v>
      </c>
      <c r="X1705" s="508">
        <f t="shared" si="1321"/>
        <v>0</v>
      </c>
      <c r="Y1705" s="509" t="b">
        <f t="shared" si="1322"/>
        <v>0</v>
      </c>
      <c r="Z1705" s="510">
        <f t="shared" si="1323"/>
        <v>0</v>
      </c>
      <c r="AA1705" s="511"/>
      <c r="AB1705" s="511" t="str">
        <f t="shared" si="1324"/>
        <v/>
      </c>
      <c r="AC1705" s="698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698"/>
      <c r="AE1705" s="631" t="str">
        <f t="shared" si="1325"/>
        <v/>
      </c>
      <c r="AF1705" s="699" t="str">
        <f t="shared" si="1326"/>
        <v/>
      </c>
      <c r="AG1705" s="699"/>
      <c r="AH1705" s="699"/>
      <c r="AI1705" s="512">
        <f>IF(H1705="credit",0,IF(AE1705="free",0,IF(AE1705="me",0,IF(G1705&gt;0,(VLOOKUP(A1705,'Discount Lookup'!J:K,2)*G1705),0))))</f>
        <v>0</v>
      </c>
      <c r="AJ1705" s="513" t="str">
        <f t="shared" ca="1" si="1327"/>
        <v/>
      </c>
      <c r="AK1705" s="700" t="str">
        <f t="shared" si="1328"/>
        <v/>
      </c>
      <c r="AL1705" s="700"/>
      <c r="AM1705" s="505" t="str">
        <f t="shared" si="1329"/>
        <v/>
      </c>
      <c r="AN1705" s="506"/>
      <c r="AO1705" s="507"/>
      <c r="AP1705" s="507"/>
      <c r="AQ1705" s="507"/>
      <c r="AR1705" s="507"/>
      <c r="AS1705" s="507"/>
      <c r="AT1705" s="507"/>
      <c r="AU1705" s="507"/>
      <c r="AV1705" s="225"/>
      <c r="AW1705" s="508"/>
      <c r="AX1705" s="225"/>
      <c r="AY1705" s="225"/>
      <c r="AZ1705" s="225"/>
      <c r="BA1705" s="225"/>
      <c r="BB1705" s="225"/>
      <c r="BC1705" s="56"/>
      <c r="BD1705" s="56"/>
      <c r="BE1705" s="56"/>
      <c r="BF1705" s="107" t="str">
        <f t="shared" si="1330"/>
        <v>https://www.google.com/search?tbm=isch&amp;q=25%20G6</v>
      </c>
      <c r="BG1705" s="107" t="str">
        <f t="shared" si="1331"/>
        <v>G</v>
      </c>
      <c r="BH1705" s="254"/>
      <c r="BI1705" s="254"/>
    </row>
    <row r="1706" spans="1:61" customFormat="1" ht="17.25" thickBot="1" x14ac:dyDescent="0.3">
      <c r="A1706" s="524" t="s">
        <v>2856</v>
      </c>
      <c r="B1706" s="245"/>
      <c r="C1706" s="677"/>
      <c r="D1706" s="499"/>
      <c r="E1706" s="499"/>
      <c r="F1706" s="500"/>
      <c r="G1706" s="501"/>
      <c r="H1706" s="502"/>
      <c r="I1706" s="246"/>
      <c r="J1706" s="247"/>
      <c r="K1706" s="503"/>
      <c r="L1706" s="544"/>
      <c r="M1706" s="544"/>
      <c r="N1706" s="500"/>
      <c r="O1706" s="500"/>
      <c r="P1706" s="500"/>
      <c r="Q1706" s="500"/>
      <c r="R1706" s="500"/>
      <c r="S1706" s="278"/>
      <c r="T1706" s="508">
        <f t="shared" si="1319"/>
        <v>0</v>
      </c>
      <c r="U1706" s="225" t="str">
        <f>IF(NOT(ISNUMBER(G1706)), "", VLOOKUP(A1706,'Discount Lookup'!D:E,2,FALSE)*G1706)</f>
        <v/>
      </c>
      <c r="V1706" s="225" t="str">
        <f>IF(NOT(ISNUMBER(G1706)), "", VLOOKUP(A1706,'Discount Lookup'!G:H,2,FALSE)*G1706)</f>
        <v/>
      </c>
      <c r="W1706" s="508">
        <f t="shared" si="1320"/>
        <v>0</v>
      </c>
      <c r="X1706" s="508">
        <f t="shared" si="1321"/>
        <v>0</v>
      </c>
      <c r="Y1706" s="509" t="b">
        <f t="shared" si="1322"/>
        <v>0</v>
      </c>
      <c r="Z1706" s="510">
        <f t="shared" si="1323"/>
        <v>0</v>
      </c>
      <c r="AA1706" s="511"/>
      <c r="AB1706" s="511" t="str">
        <f t="shared" si="1324"/>
        <v/>
      </c>
      <c r="AC1706" s="698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698"/>
      <c r="AE1706" s="631" t="str">
        <f t="shared" si="1325"/>
        <v/>
      </c>
      <c r="AF1706" s="699" t="str">
        <f t="shared" si="1326"/>
        <v/>
      </c>
      <c r="AG1706" s="699"/>
      <c r="AH1706" s="699"/>
      <c r="AI1706" s="512">
        <f>IF(H1706="credit",0,IF(AE1706="free",0,IF(AE1706="me",0,IF(G1706&gt;0,(VLOOKUP(A1706,'Discount Lookup'!J:K,2)*G1706),0))))</f>
        <v>0</v>
      </c>
      <c r="AJ1706" s="513" t="str">
        <f t="shared" ca="1" si="1327"/>
        <v/>
      </c>
      <c r="AK1706" s="700" t="str">
        <f t="shared" si="1328"/>
        <v/>
      </c>
      <c r="AL1706" s="700"/>
      <c r="AM1706" s="505" t="str">
        <f t="shared" si="1329"/>
        <v/>
      </c>
      <c r="AN1706" s="506"/>
      <c r="AO1706" s="507"/>
      <c r="AP1706" s="507"/>
      <c r="AQ1706" s="507"/>
      <c r="AR1706" s="507"/>
      <c r="AS1706" s="507"/>
      <c r="AT1706" s="507"/>
      <c r="AU1706" s="507"/>
      <c r="AV1706" s="225"/>
      <c r="AW1706" s="508"/>
      <c r="AX1706" s="225"/>
      <c r="AY1706" s="225"/>
      <c r="AZ1706" s="225"/>
      <c r="BA1706" s="225"/>
      <c r="BB1706" s="225"/>
      <c r="BC1706" s="56"/>
      <c r="BD1706" s="56"/>
      <c r="BE1706" s="56"/>
      <c r="BF1706" s="107" t="str">
        <f t="shared" si="1330"/>
        <v>https://www.google.com/search?tbm=isch&amp;q=Green%20Vase%20has%20a%20Narrow%20form%20and%20low%20maintenance%20%28some%20stick%20litter%29.%20Orange-Bronze%20to%20Coppery%20fall%20foliage.%20Bark%20exfoliates%20to%20Orange-Brown%20</v>
      </c>
      <c r="BG1706" s="107" t="str">
        <f t="shared" si="1331"/>
        <v>G</v>
      </c>
      <c r="BH1706" s="254"/>
      <c r="BI1706" s="254"/>
    </row>
    <row r="1707" spans="1:61" customFormat="1" ht="18" x14ac:dyDescent="0.25">
      <c r="A1707" s="521" t="s">
        <v>3071</v>
      </c>
      <c r="B1707" s="477"/>
      <c r="C1707" s="674"/>
      <c r="D1707" s="478" t="s">
        <v>3072</v>
      </c>
      <c r="E1707" s="479"/>
      <c r="F1707" s="479"/>
      <c r="G1707" s="479"/>
      <c r="H1707" s="582" t="s">
        <v>441</v>
      </c>
      <c r="I1707" s="480" t="s">
        <v>2284</v>
      </c>
      <c r="J1707" s="479"/>
      <c r="K1707" s="479"/>
      <c r="L1707" s="560"/>
      <c r="M1707" s="666" t="s">
        <v>4966</v>
      </c>
      <c r="N1707" s="680" t="str">
        <f>IF(AND(ISTEXT($A1707), ISERROR($A1707+0)), HYPERLINK($BF1707, "Images"), "")</f>
        <v>Images</v>
      </c>
      <c r="O1707" s="662" t="s">
        <v>4969</v>
      </c>
      <c r="P1707" s="482"/>
      <c r="Q1707" s="483"/>
      <c r="R1707" s="483"/>
      <c r="S1707" s="484"/>
      <c r="T1707" s="508">
        <f t="shared" si="1319"/>
        <v>0</v>
      </c>
      <c r="U1707" s="225" t="str">
        <f>IF(NOT(ISNUMBER(G1707)), "", VLOOKUP(A1707,'Discount Lookup'!D:E,2,FALSE)*G1707)</f>
        <v/>
      </c>
      <c r="V1707" s="225" t="str">
        <f>IF(NOT(ISNUMBER(G1707)), "", VLOOKUP(A1707,'Discount Lookup'!G:H,2,FALSE)*G1707)</f>
        <v/>
      </c>
      <c r="W1707" s="508">
        <f t="shared" si="1320"/>
        <v>0</v>
      </c>
      <c r="X1707" s="508" t="str">
        <f t="shared" si="1321"/>
        <v>Rich Green foliage</v>
      </c>
      <c r="Y1707" s="509" t="b">
        <f t="shared" si="1322"/>
        <v>0</v>
      </c>
      <c r="Z1707" s="510">
        <f t="shared" si="1323"/>
        <v>0</v>
      </c>
      <c r="AA1707" s="511"/>
      <c r="AB1707" s="511" t="str">
        <f t="shared" si="1324"/>
        <v/>
      </c>
      <c r="AC1707" s="698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698"/>
      <c r="AE1707" s="631" t="str">
        <f t="shared" si="1325"/>
        <v/>
      </c>
      <c r="AF1707" s="699" t="str">
        <f t="shared" si="1326"/>
        <v/>
      </c>
      <c r="AG1707" s="699"/>
      <c r="AH1707" s="699"/>
      <c r="AI1707" s="512">
        <f>IF(H1707="credit",0,IF(AE1707="free",0,IF(AE1707="me",0,IF(G1707&gt;0,(VLOOKUP(A1707,'Discount Lookup'!J:K,2)*G1707),0))))</f>
        <v>0</v>
      </c>
      <c r="AJ1707" s="513" t="str">
        <f t="shared" ca="1" si="1327"/>
        <v/>
      </c>
      <c r="AK1707" s="700" t="str">
        <f t="shared" si="1328"/>
        <v/>
      </c>
      <c r="AL1707" s="700"/>
      <c r="AM1707" s="505" t="str">
        <f t="shared" si="1329"/>
        <v/>
      </c>
      <c r="AN1707" s="506"/>
      <c r="AO1707" s="507"/>
      <c r="AP1707" s="507"/>
      <c r="AQ1707" s="507"/>
      <c r="AR1707" s="507"/>
      <c r="AS1707" s="507"/>
      <c r="AT1707" s="507"/>
      <c r="AU1707" s="507"/>
      <c r="AV1707" s="225"/>
      <c r="AW1707" s="508"/>
      <c r="AX1707" s="225"/>
      <c r="AY1707" s="225"/>
      <c r="AZ1707" s="225"/>
      <c r="BA1707" s="225"/>
      <c r="BB1707" s="225"/>
      <c r="BC1707" s="56"/>
      <c r="BD1707" s="56"/>
      <c r="BE1707" s="56"/>
      <c r="BF1707" s="107" t="str">
        <f t="shared" si="1330"/>
        <v>https://www.google.com/search?tbm=isch&amp;q=Green%20Velvet%20Boxwood%20Buxus%20x%20%27Green%20Velvet%27</v>
      </c>
      <c r="BG1707" s="107" t="str">
        <f t="shared" si="1331"/>
        <v>G</v>
      </c>
      <c r="BH1707" s="254"/>
      <c r="BI1707" s="254"/>
    </row>
    <row r="1708" spans="1:61" customFormat="1" ht="15.75" x14ac:dyDescent="0.25">
      <c r="A1708" s="485">
        <v>7</v>
      </c>
      <c r="B1708" s="486" t="s">
        <v>291</v>
      </c>
      <c r="C1708" s="487" t="s">
        <v>4763</v>
      </c>
      <c r="D1708" s="488" t="s">
        <v>292</v>
      </c>
      <c r="E1708" s="489">
        <v>127.95</v>
      </c>
      <c r="F1708" s="516" t="s">
        <v>293</v>
      </c>
      <c r="G1708" s="232">
        <v>0</v>
      </c>
      <c r="H1708" s="658" t="str">
        <f>IF(G1708=0,"",IF(F1708="Buy",IF(G1708=1,"plant","plants"),IF(F1708&gt;0.01,"warranty","Error")))</f>
        <v/>
      </c>
      <c r="I1708" s="490">
        <f>IF(H1708="free",0,IF(H1708="credit",((E1708*(F1708))*G1708*-1),IF(F1708="Buy",(E1708*G1708),((E1708*(1-F1708))*G1708))))</f>
        <v>0</v>
      </c>
      <c r="J1708" s="490">
        <f>IF(H1708="warranty",0,(I1708*(_xlfn.SINGLE(SalesTaxPercentage))))</f>
        <v>0</v>
      </c>
      <c r="K1708" s="695">
        <f t="shared" ref="K1708" si="1353">I1708+J1708</f>
        <v>0</v>
      </c>
      <c r="L1708" s="695"/>
      <c r="M1708" s="659" t="str">
        <f>IF(AND(G1708&gt;0,E1708=0),"WARNING - no PRICE inserted",IF(H1708="free"," FREE ~ no charge this plant",IF(H1708="credit",CONCATENATE(" -$",ROUND(K1708*(1-T2GDiscount)*-1,2)," CREDIT after discount"),IF(T2GDiscount=0,"",IF(G1708=0,"",IF(F1708="Buy",CONCATENATE(" $",ROUND(K1708*(1-T2GDiscount),2)," with ",(T2GDiscount*100),"% discount"),CONCATENATE(" $",ROUND(K1708*(1-T2GDiscount),2)," with ",((T2GDiscount*100+F1708*100)-(T2GDiscount*100*F1708)),IF(F1708&gt;0,"% discounts",IF(NoWarrantyDiscount&gt;0,"% discounts","% discount")))))))))</f>
        <v/>
      </c>
      <c r="N1708" s="660"/>
      <c r="O1708" s="233"/>
      <c r="P1708" s="233"/>
      <c r="Q1708" s="233"/>
      <c r="R1708" s="233"/>
      <c r="S1708" s="233"/>
      <c r="T1708" s="508">
        <f t="shared" si="1319"/>
        <v>0</v>
      </c>
      <c r="U1708" s="225">
        <f>IF(NOT(ISNUMBER(G1708)), "", VLOOKUP(A1708,'Discount Lookup'!D:E,2,FALSE)*G1708)</f>
        <v>0</v>
      </c>
      <c r="V1708" s="225">
        <f>IF(NOT(ISNUMBER(G1708)), "", VLOOKUP(A1708,'Discount Lookup'!G:H,2,FALSE)*G1708)</f>
        <v>0</v>
      </c>
      <c r="W1708" s="508">
        <f t="shared" si="1320"/>
        <v>0</v>
      </c>
      <c r="X1708" s="508">
        <f t="shared" si="1321"/>
        <v>0</v>
      </c>
      <c r="Y1708" s="509" t="b">
        <f t="shared" si="1322"/>
        <v>0</v>
      </c>
      <c r="Z1708" s="510">
        <f t="shared" si="1323"/>
        <v>0</v>
      </c>
      <c r="AA1708" s="511"/>
      <c r="AB1708" s="511" t="str">
        <f t="shared" si="1324"/>
        <v/>
      </c>
      <c r="AC1708" s="698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698"/>
      <c r="AE1708" s="631" t="str">
        <f t="shared" si="1325"/>
        <v/>
      </c>
      <c r="AF1708" s="699" t="str">
        <f t="shared" si="1326"/>
        <v/>
      </c>
      <c r="AG1708" s="699"/>
      <c r="AH1708" s="699"/>
      <c r="AI1708" s="512">
        <f>IF(H1708="credit",0,IF(AE1708="free",0,IF(AE1708="me",0,IF(G1708&gt;0,(VLOOKUP(A1708,'Discount Lookup'!J:K,2)*G1708),0))))</f>
        <v>0</v>
      </c>
      <c r="AJ1708" s="513" t="str">
        <f t="shared" ca="1" si="1327"/>
        <v/>
      </c>
      <c r="AK1708" s="700" t="str">
        <f t="shared" si="1328"/>
        <v/>
      </c>
      <c r="AL1708" s="700"/>
      <c r="AM1708" s="505" t="str">
        <f t="shared" si="1329"/>
        <v/>
      </c>
      <c r="AN1708" s="506"/>
      <c r="AO1708" s="507"/>
      <c r="AP1708" s="507"/>
      <c r="AQ1708" s="507"/>
      <c r="AR1708" s="507"/>
      <c r="AS1708" s="507"/>
      <c r="AT1708" s="507"/>
      <c r="AU1708" s="507"/>
      <c r="AV1708" s="225"/>
      <c r="AW1708" s="508"/>
      <c r="AX1708" s="225"/>
      <c r="AY1708" s="225"/>
      <c r="AZ1708" s="225"/>
      <c r="BA1708" s="225"/>
      <c r="BB1708" s="225"/>
      <c r="BC1708" s="56"/>
      <c r="BD1708" s="56"/>
      <c r="BE1708" s="56"/>
      <c r="BF1708" s="107" t="str">
        <f t="shared" si="1330"/>
        <v>https://www.google.com/search?tbm=isch&amp;q=7%20G4</v>
      </c>
      <c r="BG1708" s="107" t="str">
        <f t="shared" si="1331"/>
        <v>G</v>
      </c>
      <c r="BH1708" s="254"/>
      <c r="BI1708" s="254"/>
    </row>
    <row r="1709" spans="1:61" customFormat="1" ht="16.5" thickBot="1" x14ac:dyDescent="0.3">
      <c r="A1709" s="522" t="s">
        <v>3073</v>
      </c>
      <c r="B1709" s="491"/>
      <c r="C1709" s="675"/>
      <c r="D1709" s="491"/>
      <c r="E1709" s="491"/>
      <c r="F1709" s="492"/>
      <c r="G1709" s="493"/>
      <c r="H1709" s="491"/>
      <c r="I1709" s="234"/>
      <c r="J1709" s="234"/>
      <c r="K1709" s="494"/>
      <c r="L1709" s="543"/>
      <c r="M1709" s="561"/>
      <c r="N1709" s="495"/>
      <c r="O1709" s="496"/>
      <c r="P1709" s="497"/>
      <c r="Q1709" s="495"/>
      <c r="R1709" s="495"/>
      <c r="S1709" s="667" t="s">
        <v>4968</v>
      </c>
      <c r="T1709" s="508">
        <f t="shared" si="1319"/>
        <v>0</v>
      </c>
      <c r="U1709" s="225" t="str">
        <f>IF(NOT(ISNUMBER(G1709)), "", VLOOKUP(A1709,'Discount Lookup'!D:E,2,FALSE)*G1709)</f>
        <v/>
      </c>
      <c r="V1709" s="225" t="str">
        <f>IF(NOT(ISNUMBER(G1709)), "", VLOOKUP(A1709,'Discount Lookup'!G:H,2,FALSE)*G1709)</f>
        <v/>
      </c>
      <c r="W1709" s="508">
        <f t="shared" si="1320"/>
        <v>0</v>
      </c>
      <c r="X1709" s="508">
        <f t="shared" si="1321"/>
        <v>0</v>
      </c>
      <c r="Y1709" s="509" t="b">
        <f t="shared" si="1322"/>
        <v>0</v>
      </c>
      <c r="Z1709" s="510">
        <f t="shared" si="1323"/>
        <v>0</v>
      </c>
      <c r="AA1709" s="511"/>
      <c r="AB1709" s="511" t="str">
        <f t="shared" si="1324"/>
        <v/>
      </c>
      <c r="AC1709" s="698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698"/>
      <c r="AE1709" s="631" t="str">
        <f t="shared" si="1325"/>
        <v/>
      </c>
      <c r="AF1709" s="699" t="str">
        <f t="shared" si="1326"/>
        <v/>
      </c>
      <c r="AG1709" s="699"/>
      <c r="AH1709" s="699"/>
      <c r="AI1709" s="512">
        <f>IF(H1709="credit",0,IF(AE1709="free",0,IF(AE1709="me",0,IF(G1709&gt;0,(VLOOKUP(A1709,'Discount Lookup'!J:K,2)*G1709),0))))</f>
        <v>0</v>
      </c>
      <c r="AJ1709" s="513" t="str">
        <f t="shared" ca="1" si="1327"/>
        <v/>
      </c>
      <c r="AK1709" s="700" t="str">
        <f t="shared" si="1328"/>
        <v/>
      </c>
      <c r="AL1709" s="700"/>
      <c r="AM1709" s="505" t="str">
        <f t="shared" si="1329"/>
        <v/>
      </c>
      <c r="AN1709" s="506"/>
      <c r="AO1709" s="507"/>
      <c r="AP1709" s="507"/>
      <c r="AQ1709" s="507"/>
      <c r="AR1709" s="507"/>
      <c r="AS1709" s="507"/>
      <c r="AT1709" s="507"/>
      <c r="AU1709" s="507"/>
      <c r="AV1709" s="225"/>
      <c r="AW1709" s="508"/>
      <c r="AX1709" s="225"/>
      <c r="AY1709" s="225"/>
      <c r="AZ1709" s="225"/>
      <c r="BA1709" s="225"/>
      <c r="BB1709" s="225"/>
      <c r="BC1709" s="56"/>
      <c r="BD1709" s="56"/>
      <c r="BE1709" s="56"/>
      <c r="BF1709" s="107" t="str">
        <f t="shared" si="1330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1709" s="107" t="str">
        <f t="shared" si="1331"/>
        <v>G</v>
      </c>
      <c r="BH1709" s="254"/>
      <c r="BI1709" s="254"/>
    </row>
    <row r="1710" spans="1:61" customFormat="1" ht="18" x14ac:dyDescent="0.25">
      <c r="A1710" s="521" t="s">
        <v>4515</v>
      </c>
      <c r="B1710" s="477"/>
      <c r="C1710" s="674"/>
      <c r="D1710" s="478" t="s">
        <v>4516</v>
      </c>
      <c r="E1710" s="479"/>
      <c r="F1710" s="479"/>
      <c r="G1710" s="479"/>
      <c r="H1710" s="582" t="s">
        <v>1045</v>
      </c>
      <c r="I1710" s="480" t="s">
        <v>2109</v>
      </c>
      <c r="J1710" s="479"/>
      <c r="K1710" s="479"/>
      <c r="L1710" s="560"/>
      <c r="M1710" s="666" t="s">
        <v>4965</v>
      </c>
      <c r="N1710" s="680" t="str">
        <f>IF(AND(ISTEXT($A1710), ISERROR($A1710+0)), HYPERLINK($BF1710, "Images"), "")</f>
        <v>Images</v>
      </c>
      <c r="O1710" s="662" t="s">
        <v>4969</v>
      </c>
      <c r="P1710" s="482"/>
      <c r="Q1710" s="483"/>
      <c r="R1710" s="483"/>
      <c r="S1710" s="484" t="s">
        <v>305</v>
      </c>
      <c r="T1710" s="508">
        <f t="shared" si="1319"/>
        <v>0</v>
      </c>
      <c r="U1710" s="225" t="str">
        <f>IF(NOT(ISNUMBER(G1710)), "", VLOOKUP(A1710,'Discount Lookup'!D:E,2,FALSE)*G1710)</f>
        <v/>
      </c>
      <c r="V1710" s="225" t="str">
        <f>IF(NOT(ISNUMBER(G1710)), "", VLOOKUP(A1710,'Discount Lookup'!G:H,2,FALSE)*G1710)</f>
        <v/>
      </c>
      <c r="W1710" s="508">
        <f t="shared" si="1320"/>
        <v>0</v>
      </c>
      <c r="X1710" s="508" t="str">
        <f t="shared" si="1321"/>
        <v>Green foliage</v>
      </c>
      <c r="Y1710" s="509" t="b">
        <f t="shared" si="1322"/>
        <v>0</v>
      </c>
      <c r="Z1710" s="510">
        <f t="shared" si="1323"/>
        <v>0</v>
      </c>
      <c r="AA1710" s="511"/>
      <c r="AB1710" s="511" t="str">
        <f t="shared" si="1324"/>
        <v/>
      </c>
      <c r="AC1710" s="698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698"/>
      <c r="AE1710" s="631" t="str">
        <f t="shared" si="1325"/>
        <v/>
      </c>
      <c r="AF1710" s="699" t="str">
        <f t="shared" si="1326"/>
        <v/>
      </c>
      <c r="AG1710" s="699"/>
      <c r="AH1710" s="699"/>
      <c r="AI1710" s="512">
        <f>IF(H1710="credit",0,IF(AE1710="free",0,IF(AE1710="me",0,IF(G1710&gt;0,(VLOOKUP(A1710,'Discount Lookup'!J:K,2)*G1710),0))))</f>
        <v>0</v>
      </c>
      <c r="AJ1710" s="513" t="str">
        <f t="shared" ca="1" si="1327"/>
        <v/>
      </c>
      <c r="AK1710" s="700" t="str">
        <f t="shared" si="1328"/>
        <v/>
      </c>
      <c r="AL1710" s="700"/>
      <c r="AM1710" s="505" t="str">
        <f t="shared" si="1329"/>
        <v/>
      </c>
      <c r="AN1710" s="506"/>
      <c r="AO1710" s="507"/>
      <c r="AP1710" s="507"/>
      <c r="AQ1710" s="507"/>
      <c r="AR1710" s="507"/>
      <c r="AS1710" s="507"/>
      <c r="AT1710" s="507"/>
      <c r="AU1710" s="507"/>
      <c r="AV1710" s="225"/>
      <c r="AW1710" s="508"/>
      <c r="AX1710" s="225"/>
      <c r="AY1710" s="225"/>
      <c r="AZ1710" s="225"/>
      <c r="BA1710" s="225"/>
      <c r="BB1710" s="225"/>
      <c r="BC1710" s="56"/>
      <c r="BD1710" s="56"/>
      <c r="BE1710" s="56"/>
      <c r="BF1710" s="107" t="str">
        <f t="shared" si="1330"/>
        <v>https://www.google.com/search?tbm=isch&amp;q=Greenleaf%20American%20Holly%20Ilex%20opaca%20%27Greenleaf%27</v>
      </c>
      <c r="BG1710" s="107" t="str">
        <f t="shared" si="1331"/>
        <v>G</v>
      </c>
      <c r="BH1710" s="254"/>
      <c r="BI1710" s="254"/>
    </row>
    <row r="1711" spans="1:61" customFormat="1" ht="15.75" x14ac:dyDescent="0.25">
      <c r="A1711" s="485">
        <v>7</v>
      </c>
      <c r="B1711" s="486" t="s">
        <v>291</v>
      </c>
      <c r="C1711" s="487" t="s">
        <v>4517</v>
      </c>
      <c r="D1711" s="488" t="s">
        <v>297</v>
      </c>
      <c r="E1711" s="489">
        <v>83.95</v>
      </c>
      <c r="F1711" s="516" t="s">
        <v>293</v>
      </c>
      <c r="G1711" s="232">
        <v>0</v>
      </c>
      <c r="H1711" s="658" t="str">
        <f>IF(G1711=0,"",IF(F1711="Buy",IF(G1711=1,"plant","plants"),IF(F1711&gt;0.01,"warranty","Error")))</f>
        <v/>
      </c>
      <c r="I1711" s="490">
        <f>IF(H1711="free",0,IF(H1711="credit",((E1711*(F1711))*G1711*-1),IF(F1711="Buy",(E1711*G1711),((E1711*(1-F1711))*G1711))))</f>
        <v>0</v>
      </c>
      <c r="J1711" s="490">
        <f>IF(H1711="warranty",0,(I1711*(_xlfn.SINGLE(SalesTaxPercentage))))</f>
        <v>0</v>
      </c>
      <c r="K1711" s="695">
        <f t="shared" ref="K1711" si="1354">I1711+J1711</f>
        <v>0</v>
      </c>
      <c r="L1711" s="695"/>
      <c r="M1711" s="659" t="str">
        <f>IF(AND(G1711&gt;0,E1711=0),"WARNING - no PRICE inserted",IF(H1711="free"," FREE ~ no charge this plant",IF(H1711="credit",CONCATENATE(" -$",ROUND(K1711*(1-T2GDiscount)*-1,2)," CREDIT after discount"),IF(T2GDiscount=0,"",IF(G1711=0,"",IF(F1711="Buy",CONCATENATE(" $",ROUND(K1711*(1-T2GDiscount),2)," with ",(T2GDiscount*100),"% discount"),CONCATENATE(" $",ROUND(K1711*(1-T2GDiscount),2)," with ",((T2GDiscount*100+F1711*100)-(T2GDiscount*100*F1711)),IF(F1711&gt;0,"% discounts",IF(NoWarrantyDiscount&gt;0,"% discounts","% discount")))))))))</f>
        <v/>
      </c>
      <c r="N1711" s="660"/>
      <c r="O1711" s="233"/>
      <c r="P1711" s="233"/>
      <c r="Q1711" s="233"/>
      <c r="R1711" s="233"/>
      <c r="S1711" s="233"/>
      <c r="T1711" s="508">
        <f t="shared" si="1319"/>
        <v>0</v>
      </c>
      <c r="U1711" s="225">
        <f>IF(NOT(ISNUMBER(G1711)), "", VLOOKUP(A1711,'Discount Lookup'!D:E,2,FALSE)*G1711)</f>
        <v>0</v>
      </c>
      <c r="V1711" s="225">
        <f>IF(NOT(ISNUMBER(G1711)), "", VLOOKUP(A1711,'Discount Lookup'!G:H,2,FALSE)*G1711)</f>
        <v>0</v>
      </c>
      <c r="W1711" s="508">
        <f t="shared" si="1320"/>
        <v>0</v>
      </c>
      <c r="X1711" s="508">
        <f t="shared" si="1321"/>
        <v>0</v>
      </c>
      <c r="Y1711" s="509" t="b">
        <f t="shared" si="1322"/>
        <v>0</v>
      </c>
      <c r="Z1711" s="510">
        <f t="shared" si="1323"/>
        <v>0</v>
      </c>
      <c r="AA1711" s="511"/>
      <c r="AB1711" s="511" t="str">
        <f t="shared" si="1324"/>
        <v/>
      </c>
      <c r="AC1711" s="698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698"/>
      <c r="AE1711" s="631" t="str">
        <f t="shared" si="1325"/>
        <v/>
      </c>
      <c r="AF1711" s="699" t="str">
        <f t="shared" si="1326"/>
        <v/>
      </c>
      <c r="AG1711" s="699"/>
      <c r="AH1711" s="699"/>
      <c r="AI1711" s="512">
        <f>IF(H1711="credit",0,IF(AE1711="free",0,IF(AE1711="me",0,IF(G1711&gt;0,(VLOOKUP(A1711,'Discount Lookup'!J:K,2)*G1711),0))))</f>
        <v>0</v>
      </c>
      <c r="AJ1711" s="513" t="str">
        <f t="shared" ca="1" si="1327"/>
        <v/>
      </c>
      <c r="AK1711" s="700" t="str">
        <f t="shared" si="1328"/>
        <v/>
      </c>
      <c r="AL1711" s="700"/>
      <c r="AM1711" s="505" t="str">
        <f t="shared" si="1329"/>
        <v/>
      </c>
      <c r="AN1711" s="506"/>
      <c r="AO1711" s="507"/>
      <c r="AP1711" s="507"/>
      <c r="AQ1711" s="507"/>
      <c r="AR1711" s="507"/>
      <c r="AS1711" s="507"/>
      <c r="AT1711" s="507"/>
      <c r="AU1711" s="507"/>
      <c r="AV1711" s="225"/>
      <c r="AW1711" s="508"/>
      <c r="AX1711" s="225"/>
      <c r="AY1711" s="225"/>
      <c r="AZ1711" s="225"/>
      <c r="BA1711" s="225"/>
      <c r="BB1711" s="225"/>
      <c r="BC1711" s="56"/>
      <c r="BD1711" s="56"/>
      <c r="BE1711" s="56"/>
      <c r="BF1711" s="107" t="str">
        <f t="shared" si="1330"/>
        <v>https://www.google.com/search?tbm=isch&amp;q=7%20G3</v>
      </c>
      <c r="BG1711" s="107" t="str">
        <f t="shared" si="1331"/>
        <v>G</v>
      </c>
      <c r="BH1711" s="254"/>
      <c r="BI1711" s="254"/>
    </row>
    <row r="1712" spans="1:61" customFormat="1" ht="17.25" thickBot="1" x14ac:dyDescent="0.3">
      <c r="A1712" s="522" t="s">
        <v>4518</v>
      </c>
      <c r="B1712" s="491"/>
      <c r="C1712" s="675"/>
      <c r="D1712" s="491"/>
      <c r="E1712" s="491"/>
      <c r="F1712" s="492"/>
      <c r="G1712" s="493"/>
      <c r="H1712" s="491"/>
      <c r="I1712" s="234"/>
      <c r="J1712" s="234"/>
      <c r="K1712" s="494"/>
      <c r="L1712" s="543"/>
      <c r="M1712" s="561"/>
      <c r="N1712" s="495"/>
      <c r="O1712" s="496"/>
      <c r="P1712" s="497"/>
      <c r="Q1712" s="495"/>
      <c r="R1712" s="495"/>
      <c r="S1712" s="667" t="s">
        <v>5004</v>
      </c>
      <c r="T1712" s="508">
        <f t="shared" si="1319"/>
        <v>0</v>
      </c>
      <c r="U1712" s="225" t="str">
        <f>IF(NOT(ISNUMBER(G1712)), "", VLOOKUP(A1712,'Discount Lookup'!D:E,2,FALSE)*G1712)</f>
        <v/>
      </c>
      <c r="V1712" s="225" t="str">
        <f>IF(NOT(ISNUMBER(G1712)), "", VLOOKUP(A1712,'Discount Lookup'!G:H,2,FALSE)*G1712)</f>
        <v/>
      </c>
      <c r="W1712" s="508">
        <f t="shared" si="1320"/>
        <v>0</v>
      </c>
      <c r="X1712" s="508">
        <f t="shared" si="1321"/>
        <v>0</v>
      </c>
      <c r="Y1712" s="509" t="b">
        <f t="shared" si="1322"/>
        <v>0</v>
      </c>
      <c r="Z1712" s="510">
        <f t="shared" si="1323"/>
        <v>0</v>
      </c>
      <c r="AA1712" s="511"/>
      <c r="AB1712" s="511" t="str">
        <f t="shared" si="1324"/>
        <v/>
      </c>
      <c r="AC1712" s="698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698"/>
      <c r="AE1712" s="631" t="str">
        <f t="shared" si="1325"/>
        <v/>
      </c>
      <c r="AF1712" s="699" t="str">
        <f t="shared" si="1326"/>
        <v/>
      </c>
      <c r="AG1712" s="699"/>
      <c r="AH1712" s="699"/>
      <c r="AI1712" s="512">
        <f>IF(H1712="credit",0,IF(AE1712="free",0,IF(AE1712="me",0,IF(G1712&gt;0,(VLOOKUP(A1712,'Discount Lookup'!J:K,2)*G1712),0))))</f>
        <v>0</v>
      </c>
      <c r="AJ1712" s="513" t="str">
        <f t="shared" ca="1" si="1327"/>
        <v/>
      </c>
      <c r="AK1712" s="700" t="str">
        <f t="shared" si="1328"/>
        <v/>
      </c>
      <c r="AL1712" s="700"/>
      <c r="AM1712" s="505" t="str">
        <f t="shared" si="1329"/>
        <v/>
      </c>
      <c r="AN1712" s="506"/>
      <c r="AO1712" s="507"/>
      <c r="AP1712" s="507"/>
      <c r="AQ1712" s="507"/>
      <c r="AR1712" s="507"/>
      <c r="AS1712" s="507"/>
      <c r="AT1712" s="507"/>
      <c r="AU1712" s="507"/>
      <c r="AV1712" s="225"/>
      <c r="AW1712" s="508"/>
      <c r="AX1712" s="225"/>
      <c r="AY1712" s="225"/>
      <c r="AZ1712" s="225"/>
      <c r="BA1712" s="225"/>
      <c r="BB1712" s="225"/>
      <c r="BC1712" s="56"/>
      <c r="BD1712" s="56"/>
      <c r="BE1712" s="56"/>
      <c r="BF1712" s="107" t="str">
        <f t="shared" si="1330"/>
        <v>https://www.google.com/search?tbm=isch&amp;q=Greenleaf%20are%20all%20femaie%2C%20with%20abundant%20berries.%20An%20American%20Holly%2C%20it%20is%20better%20in%20shade%20than%20other%20Holly%20</v>
      </c>
      <c r="BG1712" s="107" t="str">
        <f t="shared" si="1331"/>
        <v>G</v>
      </c>
      <c r="BH1712" s="254"/>
      <c r="BI1712" s="254"/>
    </row>
    <row r="1713" spans="1:61" customFormat="1" ht="18" x14ac:dyDescent="0.25">
      <c r="A1713" s="521" t="s">
        <v>1046</v>
      </c>
      <c r="B1713" s="477"/>
      <c r="C1713" s="674"/>
      <c r="D1713" s="478" t="s">
        <v>1047</v>
      </c>
      <c r="E1713" s="479"/>
      <c r="F1713" s="479"/>
      <c r="G1713" s="479"/>
      <c r="H1713" s="582" t="s">
        <v>1521</v>
      </c>
      <c r="I1713" s="480" t="s">
        <v>4413</v>
      </c>
      <c r="J1713" s="479"/>
      <c r="K1713" s="479"/>
      <c r="L1713" s="560"/>
      <c r="M1713" s="671" t="s">
        <v>4985</v>
      </c>
      <c r="N1713" s="680" t="str">
        <f>IF(AND(ISTEXT($A1713), ISERROR($A1713+0)), HYPERLINK($BF1713, "Images"), "")</f>
        <v>Images</v>
      </c>
      <c r="O1713" s="662" t="s">
        <v>4967</v>
      </c>
      <c r="P1713" s="482"/>
      <c r="Q1713" s="483"/>
      <c r="R1713" s="483"/>
      <c r="S1713" s="484"/>
      <c r="T1713" s="508">
        <f t="shared" si="1319"/>
        <v>0</v>
      </c>
      <c r="U1713" s="225" t="str">
        <f>IF(NOT(ISNUMBER(G1713)), "", VLOOKUP(A1713,'Discount Lookup'!D:E,2,FALSE)*G1713)</f>
        <v/>
      </c>
      <c r="V1713" s="225" t="str">
        <f>IF(NOT(ISNUMBER(G1713)), "", VLOOKUP(A1713,'Discount Lookup'!G:H,2,FALSE)*G1713)</f>
        <v/>
      </c>
      <c r="W1713" s="508">
        <f t="shared" si="1320"/>
        <v>0</v>
      </c>
      <c r="X1713" s="508" t="str">
        <f t="shared" si="1321"/>
        <v>Bright Red bloom</v>
      </c>
      <c r="Y1713" s="509" t="b">
        <f t="shared" si="1322"/>
        <v>0</v>
      </c>
      <c r="Z1713" s="510">
        <f t="shared" si="1323"/>
        <v>0</v>
      </c>
      <c r="AA1713" s="511"/>
      <c r="AB1713" s="511" t="str">
        <f t="shared" si="1324"/>
        <v/>
      </c>
      <c r="AC1713" s="698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698"/>
      <c r="AE1713" s="631" t="str">
        <f t="shared" si="1325"/>
        <v/>
      </c>
      <c r="AF1713" s="699" t="str">
        <f t="shared" si="1326"/>
        <v/>
      </c>
      <c r="AG1713" s="699"/>
      <c r="AH1713" s="699"/>
      <c r="AI1713" s="512">
        <f>IF(H1713="credit",0,IF(AE1713="free",0,IF(AE1713="me",0,IF(G1713&gt;0,(VLOOKUP(A1713,'Discount Lookup'!J:K,2)*G1713),0))))</f>
        <v>0</v>
      </c>
      <c r="AJ1713" s="513" t="str">
        <f t="shared" ca="1" si="1327"/>
        <v/>
      </c>
      <c r="AK1713" s="700" t="str">
        <f t="shared" si="1328"/>
        <v/>
      </c>
      <c r="AL1713" s="700"/>
      <c r="AM1713" s="505" t="str">
        <f t="shared" si="1329"/>
        <v/>
      </c>
      <c r="AN1713" s="506"/>
      <c r="AO1713" s="507"/>
      <c r="AP1713" s="507"/>
      <c r="AQ1713" s="507"/>
      <c r="AR1713" s="507"/>
      <c r="AS1713" s="507"/>
      <c r="AT1713" s="507"/>
      <c r="AU1713" s="507"/>
      <c r="AV1713" s="225"/>
      <c r="AW1713" s="508"/>
      <c r="AX1713" s="225"/>
      <c r="AY1713" s="225"/>
      <c r="AZ1713" s="225"/>
      <c r="BA1713" s="225"/>
      <c r="BB1713" s="225"/>
      <c r="BC1713" s="56"/>
      <c r="BD1713" s="56"/>
      <c r="BE1713" s="56"/>
      <c r="BF1713" s="107" t="str">
        <f t="shared" si="1330"/>
        <v>https://www.google.com/search?tbm=isch&amp;q=Greensboro%20Red%20Camellia%20Camellia%20japonica%20%27Greensboro%20Red%27</v>
      </c>
      <c r="BG1713" s="107" t="str">
        <f t="shared" si="1331"/>
        <v>G</v>
      </c>
      <c r="BH1713" s="254"/>
      <c r="BI1713" s="254"/>
    </row>
    <row r="1714" spans="1:61" customFormat="1" ht="15.75" x14ac:dyDescent="0.25">
      <c r="A1714" s="485">
        <v>3</v>
      </c>
      <c r="B1714" s="486" t="s">
        <v>291</v>
      </c>
      <c r="C1714" s="487" t="s">
        <v>2400</v>
      </c>
      <c r="D1714" s="488" t="s">
        <v>297</v>
      </c>
      <c r="E1714" s="489">
        <v>33.950000000000003</v>
      </c>
      <c r="F1714" s="516" t="s">
        <v>293</v>
      </c>
      <c r="G1714" s="232">
        <v>0</v>
      </c>
      <c r="H1714" s="658" t="str">
        <f>IF(G1714=0,"",IF(F1714="Buy",IF(G1714=1,"plant","plants"),IF(F1714&gt;0.01,"warranty","Error")))</f>
        <v/>
      </c>
      <c r="I1714" s="490">
        <f>IF(H1714="free",0,IF(H1714="credit",((E1714*(F1714))*G1714*-1),IF(F1714="Buy",(E1714*G1714),((E1714*(1-F1714))*G1714))))</f>
        <v>0</v>
      </c>
      <c r="J1714" s="490">
        <f>IF(H1714="warranty",0,(I1714*(_xlfn.SINGLE(SalesTaxPercentage))))</f>
        <v>0</v>
      </c>
      <c r="K1714" s="695">
        <f t="shared" ref="K1714" si="1355">I1714+J1714</f>
        <v>0</v>
      </c>
      <c r="L1714" s="695"/>
      <c r="M1714" s="659" t="str">
        <f>IF(AND(G1714&gt;0,E1714=0),"WARNING - no PRICE inserted",IF(H1714="free"," FREE ~ no charge this plant",IF(H1714="credit",CONCATENATE(" -$",ROUND(K1714*(1-T2GDiscount)*-1,2)," CREDIT after discount"),IF(T2GDiscount=0,"",IF(G1714=0,"",IF(F1714="Buy",CONCATENATE(" $",ROUND(K1714*(1-T2GDiscount),2)," with ",(T2GDiscount*100),"% discount"),CONCATENATE(" $",ROUND(K1714*(1-T2GDiscount),2)," with ",((T2GDiscount*100+F1714*100)-(T2GDiscount*100*F1714)),IF(F1714&gt;0,"% discounts",IF(NoWarrantyDiscount&gt;0,"% discounts","% discount")))))))))</f>
        <v/>
      </c>
      <c r="N1714" s="660"/>
      <c r="O1714" s="233"/>
      <c r="P1714" s="233"/>
      <c r="Q1714" s="233"/>
      <c r="R1714" s="233"/>
      <c r="S1714" s="233"/>
      <c r="T1714" s="508">
        <f t="shared" si="1319"/>
        <v>0</v>
      </c>
      <c r="U1714" s="225">
        <f>IF(NOT(ISNUMBER(G1714)), "", VLOOKUP(A1714,'Discount Lookup'!D:E,2,FALSE)*G1714)</f>
        <v>0</v>
      </c>
      <c r="V1714" s="225">
        <f>IF(NOT(ISNUMBER(G1714)), "", VLOOKUP(A1714,'Discount Lookup'!G:H,2,FALSE)*G1714)</f>
        <v>0</v>
      </c>
      <c r="W1714" s="508">
        <f t="shared" si="1320"/>
        <v>0</v>
      </c>
      <c r="X1714" s="508">
        <f t="shared" si="1321"/>
        <v>0</v>
      </c>
      <c r="Y1714" s="509" t="b">
        <f t="shared" si="1322"/>
        <v>0</v>
      </c>
      <c r="Z1714" s="510">
        <f t="shared" si="1323"/>
        <v>0</v>
      </c>
      <c r="AA1714" s="511"/>
      <c r="AB1714" s="511" t="str">
        <f t="shared" si="1324"/>
        <v/>
      </c>
      <c r="AC1714" s="698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698"/>
      <c r="AE1714" s="631" t="str">
        <f t="shared" si="1325"/>
        <v/>
      </c>
      <c r="AF1714" s="699" t="str">
        <f t="shared" si="1326"/>
        <v/>
      </c>
      <c r="AG1714" s="699"/>
      <c r="AH1714" s="699"/>
      <c r="AI1714" s="512">
        <f>IF(H1714="credit",0,IF(AE1714="free",0,IF(AE1714="me",0,IF(G1714&gt;0,(VLOOKUP(A1714,'Discount Lookup'!J:K,2)*G1714),0))))</f>
        <v>0</v>
      </c>
      <c r="AJ1714" s="513" t="str">
        <f t="shared" ca="1" si="1327"/>
        <v/>
      </c>
      <c r="AK1714" s="700" t="str">
        <f t="shared" si="1328"/>
        <v/>
      </c>
      <c r="AL1714" s="700"/>
      <c r="AM1714" s="505" t="str">
        <f t="shared" si="1329"/>
        <v/>
      </c>
      <c r="AN1714" s="506"/>
      <c r="AO1714" s="507"/>
      <c r="AP1714" s="507"/>
      <c r="AQ1714" s="507"/>
      <c r="AR1714" s="507"/>
      <c r="AS1714" s="507"/>
      <c r="AT1714" s="507"/>
      <c r="AU1714" s="507"/>
      <c r="AV1714" s="225"/>
      <c r="AW1714" s="508"/>
      <c r="AX1714" s="225"/>
      <c r="AY1714" s="225"/>
      <c r="AZ1714" s="225"/>
      <c r="BA1714" s="225"/>
      <c r="BB1714" s="225"/>
      <c r="BC1714" s="56"/>
      <c r="BD1714" s="56"/>
      <c r="BE1714" s="56"/>
      <c r="BF1714" s="107" t="str">
        <f t="shared" si="1330"/>
        <v>https://www.google.com/search?tbm=isch&amp;q=3%20G3</v>
      </c>
      <c r="BG1714" s="107" t="str">
        <f t="shared" si="1331"/>
        <v>G</v>
      </c>
      <c r="BH1714" s="254"/>
      <c r="BI1714" s="254"/>
    </row>
    <row r="1715" spans="1:61" customFormat="1" ht="15.75" x14ac:dyDescent="0.25">
      <c r="A1715" s="485">
        <v>7</v>
      </c>
      <c r="B1715" s="486" t="s">
        <v>291</v>
      </c>
      <c r="C1715" s="487" t="s">
        <v>4519</v>
      </c>
      <c r="D1715" s="488" t="s">
        <v>297</v>
      </c>
      <c r="E1715" s="489">
        <v>83.95</v>
      </c>
      <c r="F1715" s="516" t="s">
        <v>293</v>
      </c>
      <c r="G1715" s="232">
        <v>0</v>
      </c>
      <c r="H1715" s="658" t="str">
        <f>IF(G1715=0,"",IF(F1715="Buy",IF(G1715=1,"plant","plants"),IF(F1715&gt;0.01,"warranty","Error")))</f>
        <v/>
      </c>
      <c r="I1715" s="490">
        <f>IF(H1715="free",0,IF(H1715="credit",((E1715*(F1715))*G1715*-1),IF(F1715="Buy",(E1715*G1715),((E1715*(1-F1715))*G1715))))</f>
        <v>0</v>
      </c>
      <c r="J1715" s="490">
        <f>IF(H1715="warranty",0,(I1715*(_xlfn.SINGLE(SalesTaxPercentage))))</f>
        <v>0</v>
      </c>
      <c r="K1715" s="695">
        <f t="shared" ref="K1715" si="1356">I1715+J1715</f>
        <v>0</v>
      </c>
      <c r="L1715" s="695"/>
      <c r="M1715" s="659" t="str">
        <f>IF(AND(G1715&gt;0,E1715=0),"WARNING - no PRICE inserted",IF(H1715="free"," FREE ~ no charge this plant",IF(H1715="credit",CONCATENATE(" -$",ROUND(K1715*(1-T2GDiscount)*-1,2)," CREDIT after discount"),IF(T2GDiscount=0,"",IF(G1715=0,"",IF(F1715="Buy",CONCATENATE(" $",ROUND(K1715*(1-T2GDiscount),2)," with ",(T2GDiscount*100),"% discount"),CONCATENATE(" $",ROUND(K1715*(1-T2GDiscount),2)," with ",((T2GDiscount*100+F1715*100)-(T2GDiscount*100*F1715)),IF(F1715&gt;0,"% discounts",IF(NoWarrantyDiscount&gt;0,"% discounts","% discount")))))))))</f>
        <v/>
      </c>
      <c r="N1715" s="660"/>
      <c r="O1715" s="233"/>
      <c r="P1715" s="233"/>
      <c r="Q1715" s="233"/>
      <c r="R1715" s="233"/>
      <c r="S1715" s="233"/>
      <c r="T1715" s="508">
        <f t="shared" si="1319"/>
        <v>0</v>
      </c>
      <c r="U1715" s="225">
        <f>IF(NOT(ISNUMBER(G1715)), "", VLOOKUP(A1715,'Discount Lookup'!D:E,2,FALSE)*G1715)</f>
        <v>0</v>
      </c>
      <c r="V1715" s="225">
        <f>IF(NOT(ISNUMBER(G1715)), "", VLOOKUP(A1715,'Discount Lookup'!G:H,2,FALSE)*G1715)</f>
        <v>0</v>
      </c>
      <c r="W1715" s="508">
        <f t="shared" si="1320"/>
        <v>0</v>
      </c>
      <c r="X1715" s="508">
        <f t="shared" si="1321"/>
        <v>0</v>
      </c>
      <c r="Y1715" s="509" t="b">
        <f t="shared" si="1322"/>
        <v>0</v>
      </c>
      <c r="Z1715" s="510">
        <f t="shared" si="1323"/>
        <v>0</v>
      </c>
      <c r="AA1715" s="511"/>
      <c r="AB1715" s="511" t="str">
        <f t="shared" si="1324"/>
        <v/>
      </c>
      <c r="AC1715" s="698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698"/>
      <c r="AE1715" s="631" t="str">
        <f t="shared" si="1325"/>
        <v/>
      </c>
      <c r="AF1715" s="699" t="str">
        <f t="shared" si="1326"/>
        <v/>
      </c>
      <c r="AG1715" s="699"/>
      <c r="AH1715" s="699"/>
      <c r="AI1715" s="512">
        <f>IF(H1715="credit",0,IF(AE1715="free",0,IF(AE1715="me",0,IF(G1715&gt;0,(VLOOKUP(A1715,'Discount Lookup'!J:K,2)*G1715),0))))</f>
        <v>0</v>
      </c>
      <c r="AJ1715" s="513" t="str">
        <f t="shared" ca="1" si="1327"/>
        <v/>
      </c>
      <c r="AK1715" s="700" t="str">
        <f t="shared" si="1328"/>
        <v/>
      </c>
      <c r="AL1715" s="700"/>
      <c r="AM1715" s="505" t="str">
        <f t="shared" si="1329"/>
        <v/>
      </c>
      <c r="AN1715" s="506"/>
      <c r="AO1715" s="507"/>
      <c r="AP1715" s="507"/>
      <c r="AQ1715" s="507"/>
      <c r="AR1715" s="507"/>
      <c r="AS1715" s="507"/>
      <c r="AT1715" s="507"/>
      <c r="AU1715" s="507"/>
      <c r="AV1715" s="225"/>
      <c r="AW1715" s="508"/>
      <c r="AX1715" s="225"/>
      <c r="AY1715" s="225"/>
      <c r="AZ1715" s="225"/>
      <c r="BA1715" s="225"/>
      <c r="BB1715" s="225"/>
      <c r="BC1715" s="56"/>
      <c r="BD1715" s="56"/>
      <c r="BE1715" s="56"/>
      <c r="BF1715" s="107" t="str">
        <f t="shared" si="1330"/>
        <v>https://www.google.com/search?tbm=isch&amp;q=7%20G3</v>
      </c>
      <c r="BG1715" s="107" t="str">
        <f t="shared" si="1331"/>
        <v>G</v>
      </c>
      <c r="BH1715" s="254"/>
      <c r="BI1715" s="254"/>
    </row>
    <row r="1716" spans="1:61" customFormat="1" ht="15.75" x14ac:dyDescent="0.25">
      <c r="A1716" s="485">
        <v>7</v>
      </c>
      <c r="B1716" s="486" t="s">
        <v>291</v>
      </c>
      <c r="C1716" s="487" t="s">
        <v>4764</v>
      </c>
      <c r="D1716" s="488" t="s">
        <v>292</v>
      </c>
      <c r="E1716" s="489">
        <v>104.95</v>
      </c>
      <c r="F1716" s="516" t="s">
        <v>293</v>
      </c>
      <c r="G1716" s="232">
        <v>0</v>
      </c>
      <c r="H1716" s="658" t="str">
        <f>IF(G1716=0,"",IF(F1716="Buy",IF(G1716=1,"plant","plants"),IF(F1716&gt;0.01,"warranty","Error")))</f>
        <v/>
      </c>
      <c r="I1716" s="490">
        <f>IF(H1716="free",0,IF(H1716="credit",((E1716*(F1716))*G1716*-1),IF(F1716="Buy",(E1716*G1716),((E1716*(1-F1716))*G1716))))</f>
        <v>0</v>
      </c>
      <c r="J1716" s="490">
        <f>IF(H1716="warranty",0,(I1716*(_xlfn.SINGLE(SalesTaxPercentage))))</f>
        <v>0</v>
      </c>
      <c r="K1716" s="695">
        <f t="shared" ref="K1716" si="1357">I1716+J1716</f>
        <v>0</v>
      </c>
      <c r="L1716" s="695"/>
      <c r="M1716" s="659" t="str">
        <f>IF(AND(G1716&gt;0,E1716=0),"WARNING - no PRICE inserted",IF(H1716="free"," FREE ~ no charge this plant",IF(H1716="credit",CONCATENATE(" -$",ROUND(K1716*(1-T2GDiscount)*-1,2)," CREDIT after discount"),IF(T2GDiscount=0,"",IF(G1716=0,"",IF(F1716="Buy",CONCATENATE(" $",ROUND(K1716*(1-T2GDiscount),2)," with ",(T2GDiscount*100),"% discount"),CONCATENATE(" $",ROUND(K1716*(1-T2GDiscount),2)," with ",((T2GDiscount*100+F1716*100)-(T2GDiscount*100*F1716)),IF(F1716&gt;0,"% discounts",IF(NoWarrantyDiscount&gt;0,"% discounts","% discount")))))))))</f>
        <v/>
      </c>
      <c r="N1716" s="660"/>
      <c r="O1716" s="233"/>
      <c r="P1716" s="233"/>
      <c r="Q1716" s="233"/>
      <c r="R1716" s="233"/>
      <c r="S1716" s="233"/>
      <c r="T1716" s="508">
        <f t="shared" si="1319"/>
        <v>0</v>
      </c>
      <c r="U1716" s="225">
        <f>IF(NOT(ISNUMBER(G1716)), "", VLOOKUP(A1716,'Discount Lookup'!D:E,2,FALSE)*G1716)</f>
        <v>0</v>
      </c>
      <c r="V1716" s="225">
        <f>IF(NOT(ISNUMBER(G1716)), "", VLOOKUP(A1716,'Discount Lookup'!G:H,2,FALSE)*G1716)</f>
        <v>0</v>
      </c>
      <c r="W1716" s="508">
        <f t="shared" si="1320"/>
        <v>0</v>
      </c>
      <c r="X1716" s="508">
        <f t="shared" si="1321"/>
        <v>0</v>
      </c>
      <c r="Y1716" s="509" t="b">
        <f t="shared" si="1322"/>
        <v>0</v>
      </c>
      <c r="Z1716" s="510">
        <f t="shared" si="1323"/>
        <v>0</v>
      </c>
      <c r="AA1716" s="511"/>
      <c r="AB1716" s="511" t="str">
        <f t="shared" si="1324"/>
        <v/>
      </c>
      <c r="AC1716" s="698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698"/>
      <c r="AE1716" s="631" t="str">
        <f t="shared" si="1325"/>
        <v/>
      </c>
      <c r="AF1716" s="699" t="str">
        <f t="shared" si="1326"/>
        <v/>
      </c>
      <c r="AG1716" s="699"/>
      <c r="AH1716" s="699"/>
      <c r="AI1716" s="512">
        <f>IF(H1716="credit",0,IF(AE1716="free",0,IF(AE1716="me",0,IF(G1716&gt;0,(VLOOKUP(A1716,'Discount Lookup'!J:K,2)*G1716),0))))</f>
        <v>0</v>
      </c>
      <c r="AJ1716" s="513" t="str">
        <f t="shared" ca="1" si="1327"/>
        <v/>
      </c>
      <c r="AK1716" s="700" t="str">
        <f t="shared" si="1328"/>
        <v/>
      </c>
      <c r="AL1716" s="700"/>
      <c r="AM1716" s="505" t="str">
        <f t="shared" si="1329"/>
        <v/>
      </c>
      <c r="AN1716" s="506"/>
      <c r="AO1716" s="507"/>
      <c r="AP1716" s="507"/>
      <c r="AQ1716" s="507"/>
      <c r="AR1716" s="507"/>
      <c r="AS1716" s="507"/>
      <c r="AT1716" s="507"/>
      <c r="AU1716" s="507"/>
      <c r="AV1716" s="225"/>
      <c r="AW1716" s="508"/>
      <c r="AX1716" s="225"/>
      <c r="AY1716" s="225"/>
      <c r="AZ1716" s="225"/>
      <c r="BA1716" s="225"/>
      <c r="BB1716" s="225"/>
      <c r="BC1716" s="56"/>
      <c r="BD1716" s="56"/>
      <c r="BE1716" s="56"/>
      <c r="BF1716" s="107" t="str">
        <f t="shared" si="1330"/>
        <v>https://www.google.com/search?tbm=isch&amp;q=7%20G4</v>
      </c>
      <c r="BG1716" s="107" t="str">
        <f t="shared" si="1331"/>
        <v>G</v>
      </c>
      <c r="BH1716" s="254"/>
      <c r="BI1716" s="254"/>
    </row>
    <row r="1717" spans="1:61" customFormat="1" ht="15.75" x14ac:dyDescent="0.25">
      <c r="A1717" s="485">
        <v>15</v>
      </c>
      <c r="B1717" s="486" t="s">
        <v>291</v>
      </c>
      <c r="C1717" s="487" t="s">
        <v>4414</v>
      </c>
      <c r="D1717" s="488" t="s">
        <v>292</v>
      </c>
      <c r="E1717" s="489">
        <v>332.95</v>
      </c>
      <c r="F1717" s="516" t="s">
        <v>293</v>
      </c>
      <c r="G1717" s="232">
        <v>0</v>
      </c>
      <c r="H1717" s="658" t="str">
        <f>IF(G1717=0,"",IF(F1717="Buy",IF(G1717=1,"plant","plants"),IF(F1717&gt;0.01,"warranty","Error")))</f>
        <v/>
      </c>
      <c r="I1717" s="490">
        <f>IF(H1717="free",0,IF(H1717="credit",((E1717*(F1717))*G1717*-1),IF(F1717="Buy",(E1717*G1717),((E1717*(1-F1717))*G1717))))</f>
        <v>0</v>
      </c>
      <c r="J1717" s="490">
        <f>IF(H1717="warranty",0,(I1717*(_xlfn.SINGLE(SalesTaxPercentage))))</f>
        <v>0</v>
      </c>
      <c r="K1717" s="695">
        <f t="shared" ref="K1717" si="1358">I1717+J1717</f>
        <v>0</v>
      </c>
      <c r="L1717" s="695"/>
      <c r="M1717" s="659" t="str">
        <f>IF(AND(G1717&gt;0,E1717=0),"WARNING - no PRICE inserted",IF(H1717="free"," FREE ~ no charge this plant",IF(H1717="credit",CONCATENATE(" -$",ROUND(K1717*(1-T2GDiscount)*-1,2)," CREDIT after discount"),IF(T2GDiscount=0,"",IF(G1717=0,"",IF(F1717="Buy",CONCATENATE(" $",ROUND(K1717*(1-T2GDiscount),2)," with ",(T2GDiscount*100),"% discount"),CONCATENATE(" $",ROUND(K1717*(1-T2GDiscount),2)," with ",((T2GDiscount*100+F1717*100)-(T2GDiscount*100*F1717)),IF(F1717&gt;0,"% discounts",IF(NoWarrantyDiscount&gt;0,"% discounts","% discount")))))))))</f>
        <v/>
      </c>
      <c r="N1717" s="660"/>
      <c r="O1717" s="233"/>
      <c r="P1717" s="233"/>
      <c r="Q1717" s="233"/>
      <c r="R1717" s="233"/>
      <c r="S1717" s="233"/>
      <c r="T1717" s="508">
        <f t="shared" si="1319"/>
        <v>0</v>
      </c>
      <c r="U1717" s="225">
        <f>IF(NOT(ISNUMBER(G1717)), "", VLOOKUP(A1717,'Discount Lookup'!D:E,2,FALSE)*G1717)</f>
        <v>0</v>
      </c>
      <c r="V1717" s="225">
        <f>IF(NOT(ISNUMBER(G1717)), "", VLOOKUP(A1717,'Discount Lookup'!G:H,2,FALSE)*G1717)</f>
        <v>0</v>
      </c>
      <c r="W1717" s="508">
        <f t="shared" si="1320"/>
        <v>0</v>
      </c>
      <c r="X1717" s="508">
        <f t="shared" si="1321"/>
        <v>0</v>
      </c>
      <c r="Y1717" s="509" t="b">
        <f t="shared" si="1322"/>
        <v>0</v>
      </c>
      <c r="Z1717" s="510">
        <f t="shared" si="1323"/>
        <v>0</v>
      </c>
      <c r="AA1717" s="511"/>
      <c r="AB1717" s="511" t="str">
        <f t="shared" si="1324"/>
        <v/>
      </c>
      <c r="AC1717" s="698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698"/>
      <c r="AE1717" s="631" t="str">
        <f t="shared" si="1325"/>
        <v/>
      </c>
      <c r="AF1717" s="699" t="str">
        <f t="shared" si="1326"/>
        <v/>
      </c>
      <c r="AG1717" s="699"/>
      <c r="AH1717" s="699"/>
      <c r="AI1717" s="512">
        <f>IF(H1717="credit",0,IF(AE1717="free",0,IF(AE1717="me",0,IF(G1717&gt;0,(VLOOKUP(A1717,'Discount Lookup'!J:K,2)*G1717),0))))</f>
        <v>0</v>
      </c>
      <c r="AJ1717" s="513" t="str">
        <f t="shared" ca="1" si="1327"/>
        <v/>
      </c>
      <c r="AK1717" s="700" t="str">
        <f t="shared" si="1328"/>
        <v/>
      </c>
      <c r="AL1717" s="700"/>
      <c r="AM1717" s="505" t="str">
        <f t="shared" si="1329"/>
        <v/>
      </c>
      <c r="AN1717" s="506"/>
      <c r="AO1717" s="507"/>
      <c r="AP1717" s="507"/>
      <c r="AQ1717" s="507"/>
      <c r="AR1717" s="507"/>
      <c r="AS1717" s="507"/>
      <c r="AT1717" s="507"/>
      <c r="AU1717" s="507"/>
      <c r="AV1717" s="225"/>
      <c r="AW1717" s="508"/>
      <c r="AX1717" s="225"/>
      <c r="AY1717" s="225"/>
      <c r="AZ1717" s="225"/>
      <c r="BA1717" s="225"/>
      <c r="BB1717" s="225"/>
      <c r="BC1717" s="56"/>
      <c r="BD1717" s="56"/>
      <c r="BE1717" s="56"/>
      <c r="BF1717" s="107" t="str">
        <f t="shared" si="1330"/>
        <v>https://www.google.com/search?tbm=isch&amp;q=15%20G4</v>
      </c>
      <c r="BG1717" s="107" t="str">
        <f t="shared" si="1331"/>
        <v>G</v>
      </c>
      <c r="BH1717" s="254"/>
      <c r="BI1717" s="254"/>
    </row>
    <row r="1718" spans="1:61" customFormat="1" ht="17.25" thickBot="1" x14ac:dyDescent="0.3">
      <c r="A1718" s="522" t="s">
        <v>4415</v>
      </c>
      <c r="B1718" s="491"/>
      <c r="C1718" s="675"/>
      <c r="D1718" s="491"/>
      <c r="E1718" s="491"/>
      <c r="F1718" s="492"/>
      <c r="G1718" s="493"/>
      <c r="H1718" s="491"/>
      <c r="I1718" s="234"/>
      <c r="J1718" s="234"/>
      <c r="K1718" s="494"/>
      <c r="L1718" s="543"/>
      <c r="M1718" s="561"/>
      <c r="N1718" s="495"/>
      <c r="O1718" s="496"/>
      <c r="P1718" s="497"/>
      <c r="Q1718" s="495"/>
      <c r="R1718" s="495"/>
      <c r="S1718" s="667" t="s">
        <v>4986</v>
      </c>
      <c r="T1718" s="508">
        <f t="shared" si="1319"/>
        <v>0</v>
      </c>
      <c r="U1718" s="225" t="str">
        <f>IF(NOT(ISNUMBER(G1718)), "", VLOOKUP(A1718,'Discount Lookup'!D:E,2,FALSE)*G1718)</f>
        <v/>
      </c>
      <c r="V1718" s="225" t="str">
        <f>IF(NOT(ISNUMBER(G1718)), "", VLOOKUP(A1718,'Discount Lookup'!G:H,2,FALSE)*G1718)</f>
        <v/>
      </c>
      <c r="W1718" s="508">
        <f t="shared" si="1320"/>
        <v>0</v>
      </c>
      <c r="X1718" s="508">
        <f t="shared" si="1321"/>
        <v>0</v>
      </c>
      <c r="Y1718" s="509" t="b">
        <f t="shared" si="1322"/>
        <v>0</v>
      </c>
      <c r="Z1718" s="510">
        <f t="shared" si="1323"/>
        <v>0</v>
      </c>
      <c r="AA1718" s="511"/>
      <c r="AB1718" s="511" t="str">
        <f t="shared" si="1324"/>
        <v/>
      </c>
      <c r="AC1718" s="698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698"/>
      <c r="AE1718" s="631" t="str">
        <f t="shared" si="1325"/>
        <v/>
      </c>
      <c r="AF1718" s="699" t="str">
        <f t="shared" si="1326"/>
        <v/>
      </c>
      <c r="AG1718" s="699"/>
      <c r="AH1718" s="699"/>
      <c r="AI1718" s="512">
        <f>IF(H1718="credit",0,IF(AE1718="free",0,IF(AE1718="me",0,IF(G1718&gt;0,(VLOOKUP(A1718,'Discount Lookup'!J:K,2)*G1718),0))))</f>
        <v>0</v>
      </c>
      <c r="AJ1718" s="513" t="str">
        <f t="shared" ca="1" si="1327"/>
        <v/>
      </c>
      <c r="AK1718" s="700" t="str">
        <f t="shared" si="1328"/>
        <v/>
      </c>
      <c r="AL1718" s="700"/>
      <c r="AM1718" s="505" t="str">
        <f t="shared" si="1329"/>
        <v/>
      </c>
      <c r="AN1718" s="506"/>
      <c r="AO1718" s="507"/>
      <c r="AP1718" s="507"/>
      <c r="AQ1718" s="507"/>
      <c r="AR1718" s="507"/>
      <c r="AS1718" s="507"/>
      <c r="AT1718" s="507"/>
      <c r="AU1718" s="507"/>
      <c r="AV1718" s="225"/>
      <c r="AW1718" s="508"/>
      <c r="AX1718" s="225"/>
      <c r="AY1718" s="225"/>
      <c r="AZ1718" s="225"/>
      <c r="BA1718" s="225"/>
      <c r="BB1718" s="225"/>
      <c r="BC1718" s="56"/>
      <c r="BD1718" s="56"/>
      <c r="BE1718" s="56"/>
      <c r="BF1718" s="107" t="str">
        <f t="shared" si="1330"/>
        <v>https://www.google.com/search?tbm=isch&amp;q=Greensboro%20Red%20boasts%20striking%2C%20semi-double%20blooms%20adorning%20glossy%20evergreen%20foliage.%20Mid%20to%20late%20spring%20bloom%20</v>
      </c>
      <c r="BG1718" s="107" t="str">
        <f t="shared" si="1331"/>
        <v>G</v>
      </c>
      <c r="BH1718" s="254"/>
      <c r="BI1718" s="254"/>
    </row>
    <row r="1719" spans="1:61" customFormat="1" ht="18" x14ac:dyDescent="0.25">
      <c r="A1719" s="523" t="s">
        <v>1048</v>
      </c>
      <c r="B1719" s="235"/>
      <c r="C1719" s="676"/>
      <c r="D1719" s="255" t="s">
        <v>1049</v>
      </c>
      <c r="E1719" s="236"/>
      <c r="F1719" s="236"/>
      <c r="G1719" s="236"/>
      <c r="H1719" s="582" t="s">
        <v>326</v>
      </c>
      <c r="I1719" s="498" t="s">
        <v>2401</v>
      </c>
      <c r="J1719" s="237"/>
      <c r="K1719" s="237"/>
      <c r="L1719" s="274"/>
      <c r="M1719" s="668" t="s">
        <v>4975</v>
      </c>
      <c r="N1719" s="681" t="str">
        <f>IF(AND(ISTEXT($A1719), ISERROR($A1719+0)), HYPERLINK($BF1719, "Images"), "")</f>
        <v>Images</v>
      </c>
      <c r="O1719" s="663" t="s">
        <v>4967</v>
      </c>
      <c r="P1719" s="253"/>
      <c r="Q1719" s="238"/>
      <c r="R1719" s="239"/>
      <c r="S1719" s="275"/>
      <c r="T1719" s="508">
        <f t="shared" si="1319"/>
        <v>0</v>
      </c>
      <c r="U1719" s="225" t="str">
        <f>IF(NOT(ISNUMBER(G1719)), "", VLOOKUP(A1719,'Discount Lookup'!D:E,2,FALSE)*G1719)</f>
        <v/>
      </c>
      <c r="V1719" s="225" t="str">
        <f>IF(NOT(ISNUMBER(G1719)), "", VLOOKUP(A1719,'Discount Lookup'!G:H,2,FALSE)*G1719)</f>
        <v/>
      </c>
      <c r="W1719" s="508">
        <f t="shared" si="1320"/>
        <v>0</v>
      </c>
      <c r="X1719" s="508" t="str">
        <f t="shared" si="1321"/>
        <v>Green morphs to White</v>
      </c>
      <c r="Y1719" s="509" t="b">
        <f t="shared" si="1322"/>
        <v>0</v>
      </c>
      <c r="Z1719" s="510">
        <f t="shared" si="1323"/>
        <v>0</v>
      </c>
      <c r="AA1719" s="511"/>
      <c r="AB1719" s="511" t="str">
        <f t="shared" si="1324"/>
        <v/>
      </c>
      <c r="AC1719" s="698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698"/>
      <c r="AE1719" s="631" t="str">
        <f t="shared" si="1325"/>
        <v/>
      </c>
      <c r="AF1719" s="699" t="str">
        <f t="shared" si="1326"/>
        <v/>
      </c>
      <c r="AG1719" s="699"/>
      <c r="AH1719" s="699"/>
      <c r="AI1719" s="512">
        <f>IF(H1719="credit",0,IF(AE1719="free",0,IF(AE1719="me",0,IF(G1719&gt;0,(VLOOKUP(A1719,'Discount Lookup'!J:K,2)*G1719),0))))</f>
        <v>0</v>
      </c>
      <c r="AJ1719" s="513" t="str">
        <f t="shared" ca="1" si="1327"/>
        <v/>
      </c>
      <c r="AK1719" s="700" t="str">
        <f t="shared" si="1328"/>
        <v/>
      </c>
      <c r="AL1719" s="700"/>
      <c r="AM1719" s="505" t="str">
        <f t="shared" si="1329"/>
        <v/>
      </c>
      <c r="AN1719" s="506"/>
      <c r="AO1719" s="507"/>
      <c r="AP1719" s="507"/>
      <c r="AQ1719" s="507"/>
      <c r="AR1719" s="507"/>
      <c r="AS1719" s="507"/>
      <c r="AT1719" s="507"/>
      <c r="AU1719" s="507"/>
      <c r="AV1719" s="225"/>
      <c r="AW1719" s="508"/>
      <c r="AX1719" s="225"/>
      <c r="AY1719" s="225"/>
      <c r="AZ1719" s="225"/>
      <c r="BA1719" s="225"/>
      <c r="BB1719" s="225"/>
      <c r="BC1719" s="56"/>
      <c r="BD1719" s="56"/>
      <c r="BE1719" s="56"/>
      <c r="BF1719" s="107" t="str">
        <f t="shared" si="1330"/>
        <v>https://www.google.com/search?tbm=isch&amp;q=Greensleeves%20Kousa%20Dogwood%20Cornus%20kousa%20%27Greensleeves%27</v>
      </c>
      <c r="BG1719" s="107" t="str">
        <f t="shared" si="1331"/>
        <v>G</v>
      </c>
      <c r="BH1719" s="254"/>
      <c r="BI1719" s="254"/>
    </row>
    <row r="1720" spans="1:61" customFormat="1" ht="15.75" x14ac:dyDescent="0.25">
      <c r="A1720" s="276">
        <v>7</v>
      </c>
      <c r="B1720" s="240" t="s">
        <v>291</v>
      </c>
      <c r="C1720" s="241" t="s">
        <v>3994</v>
      </c>
      <c r="D1720" s="242" t="s">
        <v>292</v>
      </c>
      <c r="E1720" s="243">
        <v>102.95</v>
      </c>
      <c r="F1720" s="517" t="s">
        <v>293</v>
      </c>
      <c r="G1720" s="232">
        <v>0</v>
      </c>
      <c r="H1720" s="661" t="str">
        <f>IF(G1720=0,"",IF(F1720="Buy",IF(G1720=1,"plant","plants"),IF(F1720&gt;0.01,"warranty","Error")))</f>
        <v/>
      </c>
      <c r="I1720" s="244">
        <f>IF(H1720="free",0,IF(H1720="credit",((E1720*(F1720))*G1720*-1),IF(F1720="Buy",(E1720*G1720),((E1720*(1-F1720))*G1720))))</f>
        <v>0</v>
      </c>
      <c r="J1720" s="244">
        <f>IF(H1720="warranty",0,(I1720*(_xlfn.SINGLE(SalesTaxPercentage))))</f>
        <v>0</v>
      </c>
      <c r="K1720" s="696">
        <f t="shared" ref="K1720" si="1359">I1720+J1720</f>
        <v>0</v>
      </c>
      <c r="L1720" s="696"/>
      <c r="M1720" s="659" t="str">
        <f>IF(AND(G1720&gt;0,E1720=0),"WARNING - no PRICE inserted",IF(H1720="free"," FREE ~ no charge this plant",IF(H1720="credit",CONCATENATE(" -$",ROUND(K1720*(1-T2GDiscount)*-1,2)," CREDIT after discount"),IF(T2GDiscount=0,"",IF(G1720=0,"",IF(F1720="Buy",CONCATENATE(" $",ROUND(K1720*(1-T2GDiscount),2)," with ",(T2GDiscount*100),"% discount"),CONCATENATE(" $",ROUND(K1720*(1-T2GDiscount),2)," with ",((T2GDiscount*100+F1720*100)-(T2GDiscount*100*F1720)),IF(F1720&gt;0,"% discounts",IF(NoWarrantyDiscount&gt;0,"% discounts","% discount")))))))))</f>
        <v/>
      </c>
      <c r="N1720" s="660"/>
      <c r="O1720" s="233"/>
      <c r="P1720" s="233"/>
      <c r="Q1720" s="233"/>
      <c r="R1720" s="233"/>
      <c r="S1720" s="233"/>
      <c r="T1720" s="508">
        <f t="shared" si="1319"/>
        <v>0</v>
      </c>
      <c r="U1720" s="225">
        <f>IF(NOT(ISNUMBER(G1720)), "", VLOOKUP(A1720,'Discount Lookup'!D:E,2,FALSE)*G1720)</f>
        <v>0</v>
      </c>
      <c r="V1720" s="225">
        <f>IF(NOT(ISNUMBER(G1720)), "", VLOOKUP(A1720,'Discount Lookup'!G:H,2,FALSE)*G1720)</f>
        <v>0</v>
      </c>
      <c r="W1720" s="508">
        <f t="shared" si="1320"/>
        <v>0</v>
      </c>
      <c r="X1720" s="508">
        <f t="shared" si="1321"/>
        <v>0</v>
      </c>
      <c r="Y1720" s="509" t="b">
        <f t="shared" si="1322"/>
        <v>0</v>
      </c>
      <c r="Z1720" s="510">
        <f t="shared" si="1323"/>
        <v>0</v>
      </c>
      <c r="AA1720" s="511"/>
      <c r="AB1720" s="511" t="str">
        <f t="shared" si="1324"/>
        <v/>
      </c>
      <c r="AC1720" s="698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698"/>
      <c r="AE1720" s="631" t="str">
        <f t="shared" si="1325"/>
        <v/>
      </c>
      <c r="AF1720" s="699" t="str">
        <f t="shared" si="1326"/>
        <v/>
      </c>
      <c r="AG1720" s="699"/>
      <c r="AH1720" s="699"/>
      <c r="AI1720" s="512">
        <f>IF(H1720="credit",0,IF(AE1720="free",0,IF(AE1720="me",0,IF(G1720&gt;0,(VLOOKUP(A1720,'Discount Lookup'!J:K,2)*G1720),0))))</f>
        <v>0</v>
      </c>
      <c r="AJ1720" s="513" t="str">
        <f t="shared" ca="1" si="1327"/>
        <v/>
      </c>
      <c r="AK1720" s="700" t="str">
        <f t="shared" si="1328"/>
        <v/>
      </c>
      <c r="AL1720" s="700"/>
      <c r="AM1720" s="505" t="str">
        <f t="shared" si="1329"/>
        <v/>
      </c>
      <c r="AN1720" s="506"/>
      <c r="AO1720" s="507"/>
      <c r="AP1720" s="507"/>
      <c r="AQ1720" s="507"/>
      <c r="AR1720" s="507"/>
      <c r="AS1720" s="507"/>
      <c r="AT1720" s="507"/>
      <c r="AU1720" s="507"/>
      <c r="AV1720" s="225"/>
      <c r="AW1720" s="508"/>
      <c r="AX1720" s="225"/>
      <c r="AY1720" s="225"/>
      <c r="AZ1720" s="225"/>
      <c r="BA1720" s="225"/>
      <c r="BB1720" s="225"/>
      <c r="BC1720" s="56"/>
      <c r="BD1720" s="56"/>
      <c r="BE1720" s="56"/>
      <c r="BF1720" s="107" t="str">
        <f t="shared" si="1330"/>
        <v>https://www.google.com/search?tbm=isch&amp;q=7%20G4</v>
      </c>
      <c r="BG1720" s="107" t="str">
        <f t="shared" si="1331"/>
        <v>G</v>
      </c>
      <c r="BH1720" s="254"/>
      <c r="BI1720" s="254"/>
    </row>
    <row r="1721" spans="1:61" customFormat="1" ht="15.75" x14ac:dyDescent="0.25">
      <c r="A1721" s="276">
        <v>15</v>
      </c>
      <c r="B1721" s="240" t="s">
        <v>291</v>
      </c>
      <c r="C1721" s="241" t="s">
        <v>3261</v>
      </c>
      <c r="D1721" s="242" t="s">
        <v>299</v>
      </c>
      <c r="E1721" s="243">
        <v>183.95</v>
      </c>
      <c r="F1721" s="517" t="s">
        <v>293</v>
      </c>
      <c r="G1721" s="232">
        <v>0</v>
      </c>
      <c r="H1721" s="661" t="str">
        <f>IF(G1721=0,"",IF(F1721="Buy",IF(G1721=1,"plant","plants"),IF(F1721&gt;0.01,"warranty","Error")))</f>
        <v/>
      </c>
      <c r="I1721" s="244">
        <f>IF(H1721="free",0,IF(H1721="credit",((E1721*(F1721))*G1721*-1),IF(F1721="Buy",(E1721*G1721),((E1721*(1-F1721))*G1721))))</f>
        <v>0</v>
      </c>
      <c r="J1721" s="244">
        <f>IF(H1721="warranty",0,(I1721*(_xlfn.SINGLE(SalesTaxPercentage))))</f>
        <v>0</v>
      </c>
      <c r="K1721" s="696">
        <f t="shared" ref="K1721" si="1360">I1721+J1721</f>
        <v>0</v>
      </c>
      <c r="L1721" s="696"/>
      <c r="M1721" s="659" t="str">
        <f>IF(AND(G1721&gt;0,E1721=0),"WARNING - no PRICE inserted",IF(H1721="free"," FREE ~ no charge this plant",IF(H1721="credit",CONCATENATE(" -$",ROUND(K1721*(1-T2GDiscount)*-1,2)," CREDIT after discount"),IF(T2GDiscount=0,"",IF(G1721=0,"",IF(F1721="Buy",CONCATENATE(" $",ROUND(K1721*(1-T2GDiscount),2)," with ",(T2GDiscount*100),"% discount"),CONCATENATE(" $",ROUND(K1721*(1-T2GDiscount),2)," with ",((T2GDiscount*100+F1721*100)-(T2GDiscount*100*F1721)),IF(F1721&gt;0,"% discounts",IF(NoWarrantyDiscount&gt;0,"% discounts","% discount")))))))))</f>
        <v/>
      </c>
      <c r="N1721" s="660"/>
      <c r="O1721" s="233"/>
      <c r="P1721" s="233"/>
      <c r="Q1721" s="233"/>
      <c r="R1721" s="233"/>
      <c r="S1721" s="233"/>
      <c r="T1721" s="508">
        <f t="shared" si="1319"/>
        <v>0</v>
      </c>
      <c r="U1721" s="225">
        <f>IF(NOT(ISNUMBER(G1721)), "", VLOOKUP(A1721,'Discount Lookup'!D:E,2,FALSE)*G1721)</f>
        <v>0</v>
      </c>
      <c r="V1721" s="225">
        <f>IF(NOT(ISNUMBER(G1721)), "", VLOOKUP(A1721,'Discount Lookup'!G:H,2,FALSE)*G1721)</f>
        <v>0</v>
      </c>
      <c r="W1721" s="508">
        <f t="shared" si="1320"/>
        <v>0</v>
      </c>
      <c r="X1721" s="508">
        <f t="shared" si="1321"/>
        <v>0</v>
      </c>
      <c r="Y1721" s="509" t="b">
        <f t="shared" si="1322"/>
        <v>0</v>
      </c>
      <c r="Z1721" s="510">
        <f t="shared" si="1323"/>
        <v>0</v>
      </c>
      <c r="AA1721" s="511"/>
      <c r="AB1721" s="511" t="str">
        <f t="shared" si="1324"/>
        <v/>
      </c>
      <c r="AC1721" s="698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698"/>
      <c r="AE1721" s="631" t="str">
        <f t="shared" si="1325"/>
        <v/>
      </c>
      <c r="AF1721" s="699" t="str">
        <f t="shared" si="1326"/>
        <v/>
      </c>
      <c r="AG1721" s="699"/>
      <c r="AH1721" s="699"/>
      <c r="AI1721" s="512">
        <f>IF(H1721="credit",0,IF(AE1721="free",0,IF(AE1721="me",0,IF(G1721&gt;0,(VLOOKUP(A1721,'Discount Lookup'!J:K,2)*G1721),0))))</f>
        <v>0</v>
      </c>
      <c r="AJ1721" s="513" t="str">
        <f t="shared" ca="1" si="1327"/>
        <v/>
      </c>
      <c r="AK1721" s="700" t="str">
        <f t="shared" si="1328"/>
        <v/>
      </c>
      <c r="AL1721" s="700"/>
      <c r="AM1721" s="505" t="str">
        <f t="shared" si="1329"/>
        <v/>
      </c>
      <c r="AN1721" s="506"/>
      <c r="AO1721" s="507"/>
      <c r="AP1721" s="507"/>
      <c r="AQ1721" s="507"/>
      <c r="AR1721" s="507"/>
      <c r="AS1721" s="507"/>
      <c r="AT1721" s="507"/>
      <c r="AU1721" s="507"/>
      <c r="AV1721" s="225"/>
      <c r="AW1721" s="508"/>
      <c r="AX1721" s="225"/>
      <c r="AY1721" s="225"/>
      <c r="AZ1721" s="225"/>
      <c r="BA1721" s="225"/>
      <c r="BB1721" s="225"/>
      <c r="BC1721" s="56"/>
      <c r="BD1721" s="56"/>
      <c r="BE1721" s="56"/>
      <c r="BF1721" s="107" t="str">
        <f t="shared" si="1330"/>
        <v>https://www.google.com/search?tbm=isch&amp;q=15%20G5</v>
      </c>
      <c r="BG1721" s="107" t="str">
        <f t="shared" si="1331"/>
        <v>G</v>
      </c>
      <c r="BH1721" s="254"/>
      <c r="BI1721" s="254"/>
    </row>
    <row r="1722" spans="1:61" customFormat="1" ht="15.75" x14ac:dyDescent="0.25">
      <c r="A1722" s="276">
        <v>15</v>
      </c>
      <c r="B1722" s="240" t="s">
        <v>291</v>
      </c>
      <c r="C1722" s="241" t="s">
        <v>3486</v>
      </c>
      <c r="D1722" s="242" t="s">
        <v>292</v>
      </c>
      <c r="E1722" s="243">
        <v>192.95</v>
      </c>
      <c r="F1722" s="517" t="s">
        <v>293</v>
      </c>
      <c r="G1722" s="232">
        <v>0</v>
      </c>
      <c r="H1722" s="661" t="str">
        <f>IF(G1722=0,"",IF(F1722="Buy",IF(G1722=1,"plant","plants"),IF(F1722&gt;0.01,"warranty","Error")))</f>
        <v/>
      </c>
      <c r="I1722" s="244">
        <f>IF(H1722="free",0,IF(H1722="credit",((E1722*(F1722))*G1722*-1),IF(F1722="Buy",(E1722*G1722),((E1722*(1-F1722))*G1722))))</f>
        <v>0</v>
      </c>
      <c r="J1722" s="244">
        <f>IF(H1722="warranty",0,(I1722*(_xlfn.SINGLE(SalesTaxPercentage))))</f>
        <v>0</v>
      </c>
      <c r="K1722" s="696">
        <f t="shared" ref="K1722" si="1361">I1722+J1722</f>
        <v>0</v>
      </c>
      <c r="L1722" s="696"/>
      <c r="M1722" s="659" t="str">
        <f>IF(AND(G1722&gt;0,E1722=0),"WARNING - no PRICE inserted",IF(H1722="free"," FREE ~ no charge this plant",IF(H1722="credit",CONCATENATE(" -$",ROUND(K1722*(1-T2GDiscount)*-1,2)," CREDIT after discount"),IF(T2GDiscount=0,"",IF(G1722=0,"",IF(F1722="Buy",CONCATENATE(" $",ROUND(K1722*(1-T2GDiscount),2)," with ",(T2GDiscount*100),"% discount"),CONCATENATE(" $",ROUND(K1722*(1-T2GDiscount),2)," with ",((T2GDiscount*100+F1722*100)-(T2GDiscount*100*F1722)),IF(F1722&gt;0,"% discounts",IF(NoWarrantyDiscount&gt;0,"% discounts","% discount")))))))))</f>
        <v/>
      </c>
      <c r="N1722" s="660"/>
      <c r="O1722" s="233"/>
      <c r="P1722" s="233"/>
      <c r="Q1722" s="233"/>
      <c r="R1722" s="233"/>
      <c r="S1722" s="233"/>
      <c r="T1722" s="508">
        <f t="shared" si="1319"/>
        <v>0</v>
      </c>
      <c r="U1722" s="225">
        <f>IF(NOT(ISNUMBER(G1722)), "", VLOOKUP(A1722,'Discount Lookup'!D:E,2,FALSE)*G1722)</f>
        <v>0</v>
      </c>
      <c r="V1722" s="225">
        <f>IF(NOT(ISNUMBER(G1722)), "", VLOOKUP(A1722,'Discount Lookup'!G:H,2,FALSE)*G1722)</f>
        <v>0</v>
      </c>
      <c r="W1722" s="508">
        <f t="shared" si="1320"/>
        <v>0</v>
      </c>
      <c r="X1722" s="508">
        <f t="shared" si="1321"/>
        <v>0</v>
      </c>
      <c r="Y1722" s="509" t="b">
        <f t="shared" si="1322"/>
        <v>0</v>
      </c>
      <c r="Z1722" s="510">
        <f t="shared" si="1323"/>
        <v>0</v>
      </c>
      <c r="AA1722" s="511"/>
      <c r="AB1722" s="511" t="str">
        <f t="shared" si="1324"/>
        <v/>
      </c>
      <c r="AC1722" s="698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698"/>
      <c r="AE1722" s="631" t="str">
        <f t="shared" si="1325"/>
        <v/>
      </c>
      <c r="AF1722" s="699" t="str">
        <f t="shared" si="1326"/>
        <v/>
      </c>
      <c r="AG1722" s="699"/>
      <c r="AH1722" s="699"/>
      <c r="AI1722" s="512">
        <f>IF(H1722="credit",0,IF(AE1722="free",0,IF(AE1722="me",0,IF(G1722&gt;0,(VLOOKUP(A1722,'Discount Lookup'!J:K,2)*G1722),0))))</f>
        <v>0</v>
      </c>
      <c r="AJ1722" s="513" t="str">
        <f t="shared" ca="1" si="1327"/>
        <v/>
      </c>
      <c r="AK1722" s="700" t="str">
        <f t="shared" si="1328"/>
        <v/>
      </c>
      <c r="AL1722" s="700"/>
      <c r="AM1722" s="505" t="str">
        <f t="shared" si="1329"/>
        <v/>
      </c>
      <c r="AN1722" s="506"/>
      <c r="AO1722" s="507"/>
      <c r="AP1722" s="507"/>
      <c r="AQ1722" s="507"/>
      <c r="AR1722" s="507"/>
      <c r="AS1722" s="507"/>
      <c r="AT1722" s="507"/>
      <c r="AU1722" s="507"/>
      <c r="AV1722" s="225"/>
      <c r="AW1722" s="508"/>
      <c r="AX1722" s="225"/>
      <c r="AY1722" s="225"/>
      <c r="AZ1722" s="225"/>
      <c r="BA1722" s="225"/>
      <c r="BB1722" s="225"/>
      <c r="BC1722" s="56"/>
      <c r="BD1722" s="56"/>
      <c r="BE1722" s="56"/>
      <c r="BF1722" s="107" t="str">
        <f t="shared" si="1330"/>
        <v>https://www.google.com/search?tbm=isch&amp;q=15%20G4</v>
      </c>
      <c r="BG1722" s="107" t="str">
        <f t="shared" si="1331"/>
        <v>G</v>
      </c>
      <c r="BH1722" s="254"/>
      <c r="BI1722" s="254"/>
    </row>
    <row r="1723" spans="1:61" customFormat="1" ht="17.25" thickBot="1" x14ac:dyDescent="0.3">
      <c r="A1723" s="524" t="s">
        <v>2294</v>
      </c>
      <c r="B1723" s="245"/>
      <c r="C1723" s="677"/>
      <c r="D1723" s="499"/>
      <c r="E1723" s="499"/>
      <c r="F1723" s="500"/>
      <c r="G1723" s="501"/>
      <c r="H1723" s="502"/>
      <c r="I1723" s="246"/>
      <c r="J1723" s="247"/>
      <c r="K1723" s="503"/>
      <c r="L1723" s="544"/>
      <c r="M1723" s="544"/>
      <c r="N1723" s="500"/>
      <c r="O1723" s="500"/>
      <c r="P1723" s="500"/>
      <c r="Q1723" s="500"/>
      <c r="R1723" s="500"/>
      <c r="S1723" s="669" t="s">
        <v>4996</v>
      </c>
      <c r="T1723" s="508">
        <f t="shared" si="1319"/>
        <v>0</v>
      </c>
      <c r="U1723" s="225" t="str">
        <f>IF(NOT(ISNUMBER(G1723)), "", VLOOKUP(A1723,'Discount Lookup'!D:E,2,FALSE)*G1723)</f>
        <v/>
      </c>
      <c r="V1723" s="225" t="str">
        <f>IF(NOT(ISNUMBER(G1723)), "", VLOOKUP(A1723,'Discount Lookup'!G:H,2,FALSE)*G1723)</f>
        <v/>
      </c>
      <c r="W1723" s="508">
        <f t="shared" si="1320"/>
        <v>0</v>
      </c>
      <c r="X1723" s="508">
        <f t="shared" si="1321"/>
        <v>0</v>
      </c>
      <c r="Y1723" s="509" t="b">
        <f t="shared" si="1322"/>
        <v>0</v>
      </c>
      <c r="Z1723" s="510">
        <f t="shared" si="1323"/>
        <v>0</v>
      </c>
      <c r="AA1723" s="511"/>
      <c r="AB1723" s="511" t="str">
        <f t="shared" si="1324"/>
        <v/>
      </c>
      <c r="AC1723" s="698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698"/>
      <c r="AE1723" s="631" t="str">
        <f t="shared" si="1325"/>
        <v/>
      </c>
      <c r="AF1723" s="699" t="str">
        <f t="shared" si="1326"/>
        <v/>
      </c>
      <c r="AG1723" s="699"/>
      <c r="AH1723" s="699"/>
      <c r="AI1723" s="512">
        <f>IF(H1723="credit",0,IF(AE1723="free",0,IF(AE1723="me",0,IF(G1723&gt;0,(VLOOKUP(A1723,'Discount Lookup'!J:K,2)*G1723),0))))</f>
        <v>0</v>
      </c>
      <c r="AJ1723" s="513" t="str">
        <f t="shared" ca="1" si="1327"/>
        <v/>
      </c>
      <c r="AK1723" s="700" t="str">
        <f t="shared" si="1328"/>
        <v/>
      </c>
      <c r="AL1723" s="700"/>
      <c r="AM1723" s="505" t="str">
        <f t="shared" si="1329"/>
        <v/>
      </c>
      <c r="AN1723" s="506"/>
      <c r="AO1723" s="507"/>
      <c r="AP1723" s="507"/>
      <c r="AQ1723" s="507"/>
      <c r="AR1723" s="507"/>
      <c r="AS1723" s="507"/>
      <c r="AT1723" s="507"/>
      <c r="AU1723" s="507"/>
      <c r="AV1723" s="225"/>
      <c r="AW1723" s="508"/>
      <c r="AX1723" s="225"/>
      <c r="AY1723" s="225"/>
      <c r="AZ1723" s="225"/>
      <c r="BA1723" s="225"/>
      <c r="BB1723" s="225"/>
      <c r="BC1723" s="56"/>
      <c r="BD1723" s="56"/>
      <c r="BE1723" s="56"/>
      <c r="BF1723" s="107" t="str">
        <f t="shared" si="1330"/>
        <v>https://www.google.com/search?tbm=isch&amp;q=Greensleeves%20is%20an%20improved%20Kousa%20type%20that%20grows%20faster%20%26%20fuller.%20Dark%20green%20foliage%20turns%20Reddish-Purple%20in%20fall%20</v>
      </c>
      <c r="BG1723" s="107" t="str">
        <f t="shared" si="1331"/>
        <v>G</v>
      </c>
      <c r="BH1723" s="254"/>
      <c r="BI1723" s="254"/>
    </row>
    <row r="1724" spans="1:61" customFormat="1" ht="18" x14ac:dyDescent="0.25">
      <c r="A1724" s="521" t="s">
        <v>1050</v>
      </c>
      <c r="B1724" s="477"/>
      <c r="C1724" s="674"/>
      <c r="D1724" s="478" t="s">
        <v>1051</v>
      </c>
      <c r="E1724" s="479"/>
      <c r="F1724" s="479"/>
      <c r="G1724" s="479"/>
      <c r="H1724" s="582" t="s">
        <v>839</v>
      </c>
      <c r="I1724" s="480" t="s">
        <v>2093</v>
      </c>
      <c r="J1724" s="479"/>
      <c r="K1724" s="479"/>
      <c r="L1724" s="560"/>
      <c r="M1724" s="666" t="s">
        <v>4966</v>
      </c>
      <c r="N1724" s="680" t="str">
        <f>IF(AND(ISTEXT($A1724), ISERROR($A1724+0)), HYPERLINK($BF1724, "Images"), "")</f>
        <v>Images</v>
      </c>
      <c r="O1724" s="662" t="s">
        <v>4974</v>
      </c>
      <c r="P1724" s="482"/>
      <c r="Q1724" s="483"/>
      <c r="R1724" s="483"/>
      <c r="S1724" s="484"/>
      <c r="T1724" s="508">
        <f t="shared" si="1319"/>
        <v>0</v>
      </c>
      <c r="U1724" s="225" t="str">
        <f>IF(NOT(ISNUMBER(G1724)), "", VLOOKUP(A1724,'Discount Lookup'!D:E,2,FALSE)*G1724)</f>
        <v/>
      </c>
      <c r="V1724" s="225" t="str">
        <f>IF(NOT(ISNUMBER(G1724)), "", VLOOKUP(A1724,'Discount Lookup'!G:H,2,FALSE)*G1724)</f>
        <v/>
      </c>
      <c r="W1724" s="508">
        <f t="shared" si="1320"/>
        <v>0</v>
      </c>
      <c r="X1724" s="508" t="str">
        <f t="shared" si="1321"/>
        <v>Dark Green foliage</v>
      </c>
      <c r="Y1724" s="509" t="b">
        <f t="shared" si="1322"/>
        <v>0</v>
      </c>
      <c r="Z1724" s="510">
        <f t="shared" si="1323"/>
        <v>0</v>
      </c>
      <c r="AA1724" s="511"/>
      <c r="AB1724" s="511" t="str">
        <f t="shared" si="1324"/>
        <v/>
      </c>
      <c r="AC1724" s="698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698"/>
      <c r="AE1724" s="631" t="str">
        <f t="shared" si="1325"/>
        <v/>
      </c>
      <c r="AF1724" s="699" t="str">
        <f t="shared" si="1326"/>
        <v/>
      </c>
      <c r="AG1724" s="699"/>
      <c r="AH1724" s="699"/>
      <c r="AI1724" s="512">
        <f>IF(H1724="credit",0,IF(AE1724="free",0,IF(AE1724="me",0,IF(G1724&gt;0,(VLOOKUP(A1724,'Discount Lookup'!J:K,2)*G1724),0))))</f>
        <v>0</v>
      </c>
      <c r="AJ1724" s="513" t="str">
        <f t="shared" ca="1" si="1327"/>
        <v/>
      </c>
      <c r="AK1724" s="700" t="str">
        <f t="shared" si="1328"/>
        <v/>
      </c>
      <c r="AL1724" s="700"/>
      <c r="AM1724" s="505" t="str">
        <f t="shared" si="1329"/>
        <v/>
      </c>
      <c r="AN1724" s="506"/>
      <c r="AO1724" s="507"/>
      <c r="AP1724" s="507"/>
      <c r="AQ1724" s="507"/>
      <c r="AR1724" s="507"/>
      <c r="AS1724" s="507"/>
      <c r="AT1724" s="507"/>
      <c r="AU1724" s="507"/>
      <c r="AV1724" s="225"/>
      <c r="AW1724" s="508"/>
      <c r="AX1724" s="225"/>
      <c r="AY1724" s="225"/>
      <c r="AZ1724" s="225"/>
      <c r="BA1724" s="225"/>
      <c r="BB1724" s="225"/>
      <c r="BC1724" s="56"/>
      <c r="BD1724" s="56"/>
      <c r="BE1724" s="56"/>
      <c r="BF1724" s="107" t="str">
        <f t="shared" si="1330"/>
        <v>https://www.google.com/search?tbm=isch&amp;q=Greenspire%20Euonymus%20Euonymus%20japonicus%20%27Green%20Spire%27</v>
      </c>
      <c r="BG1724" s="107" t="str">
        <f t="shared" si="1331"/>
        <v>G</v>
      </c>
      <c r="BH1724" s="254"/>
      <c r="BI1724" s="254"/>
    </row>
    <row r="1725" spans="1:61" customFormat="1" ht="15.75" x14ac:dyDescent="0.25">
      <c r="A1725" s="485">
        <v>7</v>
      </c>
      <c r="B1725" s="486" t="s">
        <v>291</v>
      </c>
      <c r="C1725" s="487" t="s">
        <v>3552</v>
      </c>
      <c r="D1725" s="488" t="s">
        <v>292</v>
      </c>
      <c r="E1725" s="489">
        <v>86.95</v>
      </c>
      <c r="F1725" s="516" t="s">
        <v>293</v>
      </c>
      <c r="G1725" s="232">
        <v>0</v>
      </c>
      <c r="H1725" s="658" t="str">
        <f>IF(G1725=0,"",IF(F1725="Buy",IF(G1725=1,"plant","plants"),IF(F1725&gt;0.01,"warranty","Error")))</f>
        <v/>
      </c>
      <c r="I1725" s="490">
        <f>IF(H1725="free",0,IF(H1725="credit",((E1725*(F1725))*G1725*-1),IF(F1725="Buy",(E1725*G1725),((E1725*(1-F1725))*G1725))))</f>
        <v>0</v>
      </c>
      <c r="J1725" s="490">
        <f>IF(H1725="warranty",0,(I1725*(_xlfn.SINGLE(SalesTaxPercentage))))</f>
        <v>0</v>
      </c>
      <c r="K1725" s="695">
        <f t="shared" ref="K1725" si="1362">I1725+J1725</f>
        <v>0</v>
      </c>
      <c r="L1725" s="695"/>
      <c r="M1725" s="659" t="str">
        <f>IF(AND(G1725&gt;0,E1725=0),"WARNING - no PRICE inserted",IF(H1725="free"," FREE ~ no charge this plant",IF(H1725="credit",CONCATENATE(" -$",ROUND(K1725*(1-T2GDiscount)*-1,2)," CREDIT after discount"),IF(T2GDiscount=0,"",IF(G1725=0,"",IF(F1725="Buy",CONCATENATE(" $",ROUND(K1725*(1-T2GDiscount),2)," with ",(T2GDiscount*100),"% discount"),CONCATENATE(" $",ROUND(K1725*(1-T2GDiscount),2)," with ",((T2GDiscount*100+F1725*100)-(T2GDiscount*100*F1725)),IF(F1725&gt;0,"% discounts",IF(NoWarrantyDiscount&gt;0,"% discounts","% discount")))))))))</f>
        <v/>
      </c>
      <c r="N1725" s="660"/>
      <c r="O1725" s="233"/>
      <c r="P1725" s="233"/>
      <c r="Q1725" s="233"/>
      <c r="R1725" s="233"/>
      <c r="S1725" s="233"/>
      <c r="T1725" s="508">
        <f t="shared" si="1319"/>
        <v>0</v>
      </c>
      <c r="U1725" s="225">
        <f>IF(NOT(ISNUMBER(G1725)), "", VLOOKUP(A1725,'Discount Lookup'!D:E,2,FALSE)*G1725)</f>
        <v>0</v>
      </c>
      <c r="V1725" s="225">
        <f>IF(NOT(ISNUMBER(G1725)), "", VLOOKUP(A1725,'Discount Lookup'!G:H,2,FALSE)*G1725)</f>
        <v>0</v>
      </c>
      <c r="W1725" s="508">
        <f t="shared" si="1320"/>
        <v>0</v>
      </c>
      <c r="X1725" s="508">
        <f t="shared" si="1321"/>
        <v>0</v>
      </c>
      <c r="Y1725" s="509" t="b">
        <f t="shared" si="1322"/>
        <v>0</v>
      </c>
      <c r="Z1725" s="510">
        <f t="shared" si="1323"/>
        <v>0</v>
      </c>
      <c r="AA1725" s="511"/>
      <c r="AB1725" s="511" t="str">
        <f t="shared" si="1324"/>
        <v/>
      </c>
      <c r="AC1725" s="698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698"/>
      <c r="AE1725" s="631" t="str">
        <f t="shared" si="1325"/>
        <v/>
      </c>
      <c r="AF1725" s="699" t="str">
        <f t="shared" si="1326"/>
        <v/>
      </c>
      <c r="AG1725" s="699"/>
      <c r="AH1725" s="699"/>
      <c r="AI1725" s="512">
        <f>IF(H1725="credit",0,IF(AE1725="free",0,IF(AE1725="me",0,IF(G1725&gt;0,(VLOOKUP(A1725,'Discount Lookup'!J:K,2)*G1725),0))))</f>
        <v>0</v>
      </c>
      <c r="AJ1725" s="513" t="str">
        <f t="shared" ca="1" si="1327"/>
        <v/>
      </c>
      <c r="AK1725" s="700" t="str">
        <f t="shared" si="1328"/>
        <v/>
      </c>
      <c r="AL1725" s="700"/>
      <c r="AM1725" s="505" t="str">
        <f t="shared" si="1329"/>
        <v/>
      </c>
      <c r="AN1725" s="506"/>
      <c r="AO1725" s="507"/>
      <c r="AP1725" s="507"/>
      <c r="AQ1725" s="507"/>
      <c r="AR1725" s="507"/>
      <c r="AS1725" s="507"/>
      <c r="AT1725" s="507"/>
      <c r="AU1725" s="507"/>
      <c r="AV1725" s="225"/>
      <c r="AW1725" s="508"/>
      <c r="AX1725" s="225"/>
      <c r="AY1725" s="225"/>
      <c r="AZ1725" s="225"/>
      <c r="BA1725" s="225"/>
      <c r="BB1725" s="225"/>
      <c r="BC1725" s="56"/>
      <c r="BD1725" s="56"/>
      <c r="BE1725" s="56"/>
      <c r="BF1725" s="107" t="str">
        <f t="shared" si="1330"/>
        <v>https://www.google.com/search?tbm=isch&amp;q=7%20G4</v>
      </c>
      <c r="BG1725" s="107" t="str">
        <f t="shared" si="1331"/>
        <v>G</v>
      </c>
      <c r="BH1725" s="254"/>
      <c r="BI1725" s="254"/>
    </row>
    <row r="1726" spans="1:61" customFormat="1" ht="15.75" x14ac:dyDescent="0.25">
      <c r="A1726" s="485">
        <v>10</v>
      </c>
      <c r="B1726" s="486" t="s">
        <v>291</v>
      </c>
      <c r="C1726" s="487" t="s">
        <v>3553</v>
      </c>
      <c r="D1726" s="488" t="s">
        <v>292</v>
      </c>
      <c r="E1726" s="489">
        <v>137.94999999999999</v>
      </c>
      <c r="F1726" s="516" t="s">
        <v>293</v>
      </c>
      <c r="G1726" s="232">
        <v>0</v>
      </c>
      <c r="H1726" s="658" t="str">
        <f>IF(G1726=0,"",IF(F1726="Buy",IF(G1726=1,"plant","plants"),IF(F1726&gt;0.01,"warranty","Error")))</f>
        <v/>
      </c>
      <c r="I1726" s="490">
        <f>IF(H1726="free",0,IF(H1726="credit",((E1726*(F1726))*G1726*-1),IF(F1726="Buy",(E1726*G1726),((E1726*(1-F1726))*G1726))))</f>
        <v>0</v>
      </c>
      <c r="J1726" s="490">
        <f>IF(H1726="warranty",0,(I1726*(_xlfn.SINGLE(SalesTaxPercentage))))</f>
        <v>0</v>
      </c>
      <c r="K1726" s="695">
        <f t="shared" ref="K1726" si="1363">I1726+J1726</f>
        <v>0</v>
      </c>
      <c r="L1726" s="695"/>
      <c r="M1726" s="659" t="str">
        <f>IF(AND(G1726&gt;0,E1726=0),"WARNING - no PRICE inserted",IF(H1726="free"," FREE ~ no charge this plant",IF(H1726="credit",CONCATENATE(" -$",ROUND(K1726*(1-T2GDiscount)*-1,2)," CREDIT after discount"),IF(T2GDiscount=0,"",IF(G1726=0,"",IF(F1726="Buy",CONCATENATE(" $",ROUND(K1726*(1-T2GDiscount),2)," with ",(T2GDiscount*100),"% discount"),CONCATENATE(" $",ROUND(K1726*(1-T2GDiscount),2)," with ",((T2GDiscount*100+F1726*100)-(T2GDiscount*100*F1726)),IF(F1726&gt;0,"% discounts",IF(NoWarrantyDiscount&gt;0,"% discounts","% discount")))))))))</f>
        <v/>
      </c>
      <c r="N1726" s="660"/>
      <c r="O1726" s="233"/>
      <c r="P1726" s="233"/>
      <c r="Q1726" s="233"/>
      <c r="R1726" s="233"/>
      <c r="S1726" s="233"/>
      <c r="T1726" s="508">
        <f t="shared" si="1319"/>
        <v>0</v>
      </c>
      <c r="U1726" s="225">
        <f>IF(NOT(ISNUMBER(G1726)), "", VLOOKUP(A1726,'Discount Lookup'!D:E,2,FALSE)*G1726)</f>
        <v>0</v>
      </c>
      <c r="V1726" s="225">
        <f>IF(NOT(ISNUMBER(G1726)), "", VLOOKUP(A1726,'Discount Lookup'!G:H,2,FALSE)*G1726)</f>
        <v>0</v>
      </c>
      <c r="W1726" s="508">
        <f t="shared" si="1320"/>
        <v>0</v>
      </c>
      <c r="X1726" s="508">
        <f t="shared" si="1321"/>
        <v>0</v>
      </c>
      <c r="Y1726" s="509" t="b">
        <f t="shared" si="1322"/>
        <v>0</v>
      </c>
      <c r="Z1726" s="510">
        <f t="shared" si="1323"/>
        <v>0</v>
      </c>
      <c r="AA1726" s="511"/>
      <c r="AB1726" s="511" t="str">
        <f t="shared" si="1324"/>
        <v/>
      </c>
      <c r="AC1726" s="698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698"/>
      <c r="AE1726" s="631" t="str">
        <f t="shared" si="1325"/>
        <v/>
      </c>
      <c r="AF1726" s="699" t="str">
        <f t="shared" si="1326"/>
        <v/>
      </c>
      <c r="AG1726" s="699"/>
      <c r="AH1726" s="699"/>
      <c r="AI1726" s="512">
        <f>IF(H1726="credit",0,IF(AE1726="free",0,IF(AE1726="me",0,IF(G1726&gt;0,(VLOOKUP(A1726,'Discount Lookup'!J:K,2)*G1726),0))))</f>
        <v>0</v>
      </c>
      <c r="AJ1726" s="513" t="str">
        <f t="shared" ca="1" si="1327"/>
        <v/>
      </c>
      <c r="AK1726" s="700" t="str">
        <f t="shared" si="1328"/>
        <v/>
      </c>
      <c r="AL1726" s="700"/>
      <c r="AM1726" s="505" t="str">
        <f t="shared" si="1329"/>
        <v/>
      </c>
      <c r="AN1726" s="506"/>
      <c r="AO1726" s="507"/>
      <c r="AP1726" s="507"/>
      <c r="AQ1726" s="507"/>
      <c r="AR1726" s="507"/>
      <c r="AS1726" s="507"/>
      <c r="AT1726" s="507"/>
      <c r="AU1726" s="507"/>
      <c r="AV1726" s="225"/>
      <c r="AW1726" s="508"/>
      <c r="AX1726" s="225"/>
      <c r="AY1726" s="225"/>
      <c r="AZ1726" s="225"/>
      <c r="BA1726" s="225"/>
      <c r="BB1726" s="225"/>
      <c r="BC1726" s="56"/>
      <c r="BD1726" s="56"/>
      <c r="BE1726" s="56"/>
      <c r="BF1726" s="107" t="str">
        <f t="shared" si="1330"/>
        <v>https://www.google.com/search?tbm=isch&amp;q=10%20G4</v>
      </c>
      <c r="BG1726" s="107" t="str">
        <f t="shared" si="1331"/>
        <v>G</v>
      </c>
      <c r="BH1726" s="254"/>
      <c r="BI1726" s="254"/>
    </row>
    <row r="1727" spans="1:61" customFormat="1" ht="17.25" thickBot="1" x14ac:dyDescent="0.3">
      <c r="A1727" s="522" t="s">
        <v>2941</v>
      </c>
      <c r="B1727" s="491"/>
      <c r="C1727" s="675"/>
      <c r="D1727" s="491"/>
      <c r="E1727" s="491"/>
      <c r="F1727" s="492"/>
      <c r="G1727" s="493"/>
      <c r="H1727" s="491"/>
      <c r="I1727" s="234"/>
      <c r="J1727" s="234"/>
      <c r="K1727" s="494"/>
      <c r="L1727" s="543"/>
      <c r="M1727" s="561"/>
      <c r="N1727" s="495"/>
      <c r="O1727" s="496"/>
      <c r="P1727" s="497"/>
      <c r="Q1727" s="495"/>
      <c r="R1727" s="495"/>
      <c r="S1727" s="667" t="s">
        <v>4984</v>
      </c>
      <c r="T1727" s="508">
        <f t="shared" si="1319"/>
        <v>0</v>
      </c>
      <c r="U1727" s="225" t="str">
        <f>IF(NOT(ISNUMBER(G1727)), "", VLOOKUP(A1727,'Discount Lookup'!D:E,2,FALSE)*G1727)</f>
        <v/>
      </c>
      <c r="V1727" s="225" t="str">
        <f>IF(NOT(ISNUMBER(G1727)), "", VLOOKUP(A1727,'Discount Lookup'!G:H,2,FALSE)*G1727)</f>
        <v/>
      </c>
      <c r="W1727" s="508">
        <f t="shared" si="1320"/>
        <v>0</v>
      </c>
      <c r="X1727" s="508">
        <f t="shared" si="1321"/>
        <v>0</v>
      </c>
      <c r="Y1727" s="509" t="b">
        <f t="shared" si="1322"/>
        <v>0</v>
      </c>
      <c r="Z1727" s="510">
        <f t="shared" si="1323"/>
        <v>0</v>
      </c>
      <c r="AA1727" s="511"/>
      <c r="AB1727" s="511" t="str">
        <f t="shared" si="1324"/>
        <v/>
      </c>
      <c r="AC1727" s="698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698"/>
      <c r="AE1727" s="631" t="str">
        <f t="shared" si="1325"/>
        <v/>
      </c>
      <c r="AF1727" s="699" t="str">
        <f t="shared" si="1326"/>
        <v/>
      </c>
      <c r="AG1727" s="699"/>
      <c r="AH1727" s="699"/>
      <c r="AI1727" s="512">
        <f>IF(H1727="credit",0,IF(AE1727="free",0,IF(AE1727="me",0,IF(G1727&gt;0,(VLOOKUP(A1727,'Discount Lookup'!J:K,2)*G1727),0))))</f>
        <v>0</v>
      </c>
      <c r="AJ1727" s="513" t="str">
        <f t="shared" ca="1" si="1327"/>
        <v/>
      </c>
      <c r="AK1727" s="700" t="str">
        <f t="shared" si="1328"/>
        <v/>
      </c>
      <c r="AL1727" s="700"/>
      <c r="AM1727" s="505" t="str">
        <f t="shared" si="1329"/>
        <v/>
      </c>
      <c r="AN1727" s="506"/>
      <c r="AO1727" s="507"/>
      <c r="AP1727" s="507"/>
      <c r="AQ1727" s="507"/>
      <c r="AR1727" s="507"/>
      <c r="AS1727" s="507"/>
      <c r="AT1727" s="507"/>
      <c r="AU1727" s="507"/>
      <c r="AV1727" s="225"/>
      <c r="AW1727" s="508"/>
      <c r="AX1727" s="225"/>
      <c r="AY1727" s="225"/>
      <c r="AZ1727" s="225"/>
      <c r="BA1727" s="225"/>
      <c r="BB1727" s="225"/>
      <c r="BC1727" s="56"/>
      <c r="BD1727" s="56"/>
      <c r="BE1727" s="56"/>
      <c r="BF1727" s="107" t="str">
        <f t="shared" si="1330"/>
        <v>https://www.google.com/search?tbm=isch&amp;q=Greenspire%20grows%20dense%20and%20irregular.%20Can%20be%20hedged.%20Small%20Greenish-White%20sping%20blooms.%20</v>
      </c>
      <c r="BG1727" s="107" t="str">
        <f t="shared" si="1331"/>
        <v>G</v>
      </c>
      <c r="BH1727" s="254"/>
      <c r="BI1727" s="254"/>
    </row>
    <row r="1728" spans="1:61" customFormat="1" ht="18" x14ac:dyDescent="0.25">
      <c r="A1728" s="521" t="s">
        <v>1052</v>
      </c>
      <c r="B1728" s="477"/>
      <c r="C1728" s="674"/>
      <c r="D1728" s="478" t="s">
        <v>1053</v>
      </c>
      <c r="E1728" s="479"/>
      <c r="F1728" s="479"/>
      <c r="G1728" s="479"/>
      <c r="H1728" s="582" t="s">
        <v>2038</v>
      </c>
      <c r="I1728" s="480" t="s">
        <v>2648</v>
      </c>
      <c r="J1728" s="479"/>
      <c r="K1728" s="479"/>
      <c r="L1728" s="560"/>
      <c r="M1728" s="666" t="s">
        <v>4963</v>
      </c>
      <c r="N1728" s="680" t="str">
        <f>IF(AND(ISTEXT($A1728), ISERROR($A1728+0)), HYPERLINK($BF1728, "Images"), "")</f>
        <v>Images</v>
      </c>
      <c r="O1728" s="662" t="s">
        <v>4969</v>
      </c>
      <c r="P1728" s="482"/>
      <c r="Q1728" s="483"/>
      <c r="R1728" s="483"/>
      <c r="S1728" s="484"/>
      <c r="T1728" s="508">
        <f t="shared" si="1319"/>
        <v>0</v>
      </c>
      <c r="U1728" s="225" t="str">
        <f>IF(NOT(ISNUMBER(G1728)), "", VLOOKUP(A1728,'Discount Lookup'!D:E,2,FALSE)*G1728)</f>
        <v/>
      </c>
      <c r="V1728" s="225" t="str">
        <f>IF(NOT(ISNUMBER(G1728)), "", VLOOKUP(A1728,'Discount Lookup'!G:H,2,FALSE)*G1728)</f>
        <v/>
      </c>
      <c r="W1728" s="508">
        <f t="shared" si="1320"/>
        <v>0</v>
      </c>
      <c r="X1728" s="508" t="str">
        <f t="shared" si="1321"/>
        <v>Silvery-Gray foliage</v>
      </c>
      <c r="Y1728" s="509" t="b">
        <f t="shared" si="1322"/>
        <v>0</v>
      </c>
      <c r="Z1728" s="510">
        <f t="shared" si="1323"/>
        <v>0</v>
      </c>
      <c r="AA1728" s="511"/>
      <c r="AB1728" s="511" t="str">
        <f t="shared" si="1324"/>
        <v/>
      </c>
      <c r="AC1728" s="698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698"/>
      <c r="AE1728" s="631" t="str">
        <f t="shared" si="1325"/>
        <v/>
      </c>
      <c r="AF1728" s="699" t="str">
        <f t="shared" si="1326"/>
        <v/>
      </c>
      <c r="AG1728" s="699"/>
      <c r="AH1728" s="699"/>
      <c r="AI1728" s="512">
        <f>IF(H1728="credit",0,IF(AE1728="free",0,IF(AE1728="me",0,IF(G1728&gt;0,(VLOOKUP(A1728,'Discount Lookup'!J:K,2)*G1728),0))))</f>
        <v>0</v>
      </c>
      <c r="AJ1728" s="513" t="str">
        <f t="shared" ca="1" si="1327"/>
        <v/>
      </c>
      <c r="AK1728" s="700" t="str">
        <f t="shared" si="1328"/>
        <v/>
      </c>
      <c r="AL1728" s="700"/>
      <c r="AM1728" s="505" t="str">
        <f t="shared" si="1329"/>
        <v/>
      </c>
      <c r="AN1728" s="506"/>
      <c r="AO1728" s="507"/>
      <c r="AP1728" s="507"/>
      <c r="AQ1728" s="507"/>
      <c r="AR1728" s="507"/>
      <c r="AS1728" s="507"/>
      <c r="AT1728" s="507"/>
      <c r="AU1728" s="507"/>
      <c r="AV1728" s="225"/>
      <c r="AW1728" s="508"/>
      <c r="AX1728" s="225"/>
      <c r="AY1728" s="225"/>
      <c r="AZ1728" s="225"/>
      <c r="BA1728" s="225"/>
      <c r="BB1728" s="225"/>
      <c r="BC1728" s="56"/>
      <c r="BD1728" s="56"/>
      <c r="BE1728" s="56"/>
      <c r="BF1728" s="107" t="str">
        <f t="shared" si="1330"/>
        <v>https://www.google.com/search?tbm=isch&amp;q=Grey%20Owl%20Juniper%20Juniperus%20virginiana%20%27Grey%20Owl%27</v>
      </c>
      <c r="BG1728" s="107" t="str">
        <f t="shared" si="1331"/>
        <v>G</v>
      </c>
      <c r="BH1728" s="254"/>
      <c r="BI1728" s="254"/>
    </row>
    <row r="1729" spans="1:61" customFormat="1" ht="15.75" x14ac:dyDescent="0.25">
      <c r="A1729" s="485">
        <v>3</v>
      </c>
      <c r="B1729" s="486" t="s">
        <v>291</v>
      </c>
      <c r="C1729" s="487" t="s">
        <v>9</v>
      </c>
      <c r="D1729" s="488" t="s">
        <v>298</v>
      </c>
      <c r="E1729" s="489">
        <v>25.95</v>
      </c>
      <c r="F1729" s="516" t="s">
        <v>293</v>
      </c>
      <c r="G1729" s="232">
        <v>0</v>
      </c>
      <c r="H1729" s="658" t="str">
        <f>IF(G1729=0,"",IF(F1729="Buy",IF(G1729=1,"plant","plants"),IF(F1729&gt;0.01,"warranty","Error")))</f>
        <v/>
      </c>
      <c r="I1729" s="490">
        <f>IF(H1729="free",0,IF(H1729="credit",((E1729*(F1729))*G1729*-1),IF(F1729="Buy",(E1729*G1729),((E1729*(1-F1729))*G1729))))</f>
        <v>0</v>
      </c>
      <c r="J1729" s="490">
        <f>IF(H1729="warranty",0,(I1729*(_xlfn.SINGLE(SalesTaxPercentage))))</f>
        <v>0</v>
      </c>
      <c r="K1729" s="695">
        <f t="shared" ref="K1729" si="1364">I1729+J1729</f>
        <v>0</v>
      </c>
      <c r="L1729" s="695"/>
      <c r="M1729" s="659" t="str">
        <f>IF(AND(G1729&gt;0,E1729=0),"WARNING - no PRICE inserted",IF(H1729="free"," FREE ~ no charge this plant",IF(H1729="credit",CONCATENATE(" -$",ROUND(K1729*(1-T2GDiscount)*-1,2)," CREDIT after discount"),IF(T2GDiscount=0,"",IF(G1729=0,"",IF(F1729="Buy",CONCATENATE(" $",ROUND(K1729*(1-T2GDiscount),2)," with ",(T2GDiscount*100),"% discount"),CONCATENATE(" $",ROUND(K1729*(1-T2GDiscount),2)," with ",((T2GDiscount*100+F1729*100)-(T2GDiscount*100*F1729)),IF(F1729&gt;0,"% discounts",IF(NoWarrantyDiscount&gt;0,"% discounts","% discount")))))))))</f>
        <v/>
      </c>
      <c r="N1729" s="660"/>
      <c r="O1729" s="233"/>
      <c r="P1729" s="233"/>
      <c r="Q1729" s="233"/>
      <c r="R1729" s="233"/>
      <c r="S1729" s="233"/>
      <c r="T1729" s="508">
        <f t="shared" si="1319"/>
        <v>0</v>
      </c>
      <c r="U1729" s="225">
        <f>IF(NOT(ISNUMBER(G1729)), "", VLOOKUP(A1729,'Discount Lookup'!D:E,2,FALSE)*G1729)</f>
        <v>0</v>
      </c>
      <c r="V1729" s="225">
        <f>IF(NOT(ISNUMBER(G1729)), "", VLOOKUP(A1729,'Discount Lookup'!G:H,2,FALSE)*G1729)</f>
        <v>0</v>
      </c>
      <c r="W1729" s="508">
        <f t="shared" si="1320"/>
        <v>0</v>
      </c>
      <c r="X1729" s="508">
        <f t="shared" si="1321"/>
        <v>0</v>
      </c>
      <c r="Y1729" s="509" t="b">
        <f t="shared" si="1322"/>
        <v>0</v>
      </c>
      <c r="Z1729" s="510">
        <f t="shared" si="1323"/>
        <v>0</v>
      </c>
      <c r="AA1729" s="511"/>
      <c r="AB1729" s="511" t="str">
        <f t="shared" si="1324"/>
        <v/>
      </c>
      <c r="AC1729" s="698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698"/>
      <c r="AE1729" s="631" t="str">
        <f t="shared" si="1325"/>
        <v/>
      </c>
      <c r="AF1729" s="699" t="str">
        <f t="shared" si="1326"/>
        <v/>
      </c>
      <c r="AG1729" s="699"/>
      <c r="AH1729" s="699"/>
      <c r="AI1729" s="512">
        <f>IF(H1729="credit",0,IF(AE1729="free",0,IF(AE1729="me",0,IF(G1729&gt;0,(VLOOKUP(A1729,'Discount Lookup'!J:K,2)*G1729),0))))</f>
        <v>0</v>
      </c>
      <c r="AJ1729" s="513" t="str">
        <f t="shared" ca="1" si="1327"/>
        <v/>
      </c>
      <c r="AK1729" s="700" t="str">
        <f t="shared" si="1328"/>
        <v/>
      </c>
      <c r="AL1729" s="700"/>
      <c r="AM1729" s="505" t="str">
        <f t="shared" si="1329"/>
        <v/>
      </c>
      <c r="AN1729" s="506"/>
      <c r="AO1729" s="507"/>
      <c r="AP1729" s="507"/>
      <c r="AQ1729" s="507"/>
      <c r="AR1729" s="507"/>
      <c r="AS1729" s="507"/>
      <c r="AT1729" s="507"/>
      <c r="AU1729" s="507"/>
      <c r="AV1729" s="225"/>
      <c r="AW1729" s="508"/>
      <c r="AX1729" s="225"/>
      <c r="AY1729" s="225"/>
      <c r="AZ1729" s="225"/>
      <c r="BA1729" s="225"/>
      <c r="BB1729" s="225"/>
      <c r="BC1729" s="56"/>
      <c r="BD1729" s="56"/>
      <c r="BE1729" s="56"/>
      <c r="BF1729" s="107" t="str">
        <f t="shared" si="1330"/>
        <v>https://www.google.com/search?tbm=isch&amp;q=3%20G1</v>
      </c>
      <c r="BG1729" s="107" t="str">
        <f t="shared" si="1331"/>
        <v>G</v>
      </c>
      <c r="BH1729" s="254"/>
      <c r="BI1729" s="254"/>
    </row>
    <row r="1730" spans="1:61" customFormat="1" ht="15.75" x14ac:dyDescent="0.25">
      <c r="A1730" s="485">
        <v>3</v>
      </c>
      <c r="B1730" s="486" t="s">
        <v>291</v>
      </c>
      <c r="C1730" s="487" t="s">
        <v>2352</v>
      </c>
      <c r="D1730" s="488" t="s">
        <v>312</v>
      </c>
      <c r="E1730" s="489">
        <v>27.95</v>
      </c>
      <c r="F1730" s="516" t="s">
        <v>293</v>
      </c>
      <c r="G1730" s="232">
        <v>0</v>
      </c>
      <c r="H1730" s="658" t="str">
        <f>IF(G1730=0,"",IF(F1730="Buy",IF(G1730=1,"plant","plants"),IF(F1730&gt;0.01,"warranty","Error")))</f>
        <v/>
      </c>
      <c r="I1730" s="490">
        <f>IF(H1730="free",0,IF(H1730="credit",((E1730*(F1730))*G1730*-1),IF(F1730="Buy",(E1730*G1730),((E1730*(1-F1730))*G1730))))</f>
        <v>0</v>
      </c>
      <c r="J1730" s="490">
        <f>IF(H1730="warranty",0,(I1730*(_xlfn.SINGLE(SalesTaxPercentage))))</f>
        <v>0</v>
      </c>
      <c r="K1730" s="695">
        <f t="shared" ref="K1730" si="1365">I1730+J1730</f>
        <v>0</v>
      </c>
      <c r="L1730" s="695"/>
      <c r="M1730" s="659" t="str">
        <f>IF(AND(G1730&gt;0,E1730=0),"WARNING - no PRICE inserted",IF(H1730="free"," FREE ~ no charge this plant",IF(H1730="credit",CONCATENATE(" -$",ROUND(K1730*(1-T2GDiscount)*-1,2)," CREDIT after discount"),IF(T2GDiscount=0,"",IF(G1730=0,"",IF(F1730="Buy",CONCATENATE(" $",ROUND(K1730*(1-T2GDiscount),2)," with ",(T2GDiscount*100),"% discount"),CONCATENATE(" $",ROUND(K1730*(1-T2GDiscount),2)," with ",((T2GDiscount*100+F1730*100)-(T2GDiscount*100*F1730)),IF(F1730&gt;0,"% discounts",IF(NoWarrantyDiscount&gt;0,"% discounts","% discount")))))))))</f>
        <v/>
      </c>
      <c r="N1730" s="660"/>
      <c r="O1730" s="233"/>
      <c r="P1730" s="233"/>
      <c r="Q1730" s="233"/>
      <c r="R1730" s="233"/>
      <c r="S1730" s="233"/>
      <c r="T1730" s="508">
        <f t="shared" si="1319"/>
        <v>0</v>
      </c>
      <c r="U1730" s="225">
        <f>IF(NOT(ISNUMBER(G1730)), "", VLOOKUP(A1730,'Discount Lookup'!D:E,2,FALSE)*G1730)</f>
        <v>0</v>
      </c>
      <c r="V1730" s="225">
        <f>IF(NOT(ISNUMBER(G1730)), "", VLOOKUP(A1730,'Discount Lookup'!G:H,2,FALSE)*G1730)</f>
        <v>0</v>
      </c>
      <c r="W1730" s="508">
        <f t="shared" si="1320"/>
        <v>0</v>
      </c>
      <c r="X1730" s="508">
        <f t="shared" si="1321"/>
        <v>0</v>
      </c>
      <c r="Y1730" s="509" t="b">
        <f t="shared" si="1322"/>
        <v>0</v>
      </c>
      <c r="Z1730" s="510">
        <f t="shared" si="1323"/>
        <v>0</v>
      </c>
      <c r="AA1730" s="511"/>
      <c r="AB1730" s="511" t="str">
        <f t="shared" si="1324"/>
        <v/>
      </c>
      <c r="AC1730" s="698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698"/>
      <c r="AE1730" s="631" t="str">
        <f t="shared" si="1325"/>
        <v/>
      </c>
      <c r="AF1730" s="699" t="str">
        <f t="shared" si="1326"/>
        <v/>
      </c>
      <c r="AG1730" s="699"/>
      <c r="AH1730" s="699"/>
      <c r="AI1730" s="512">
        <f>IF(H1730="credit",0,IF(AE1730="free",0,IF(AE1730="me",0,IF(G1730&gt;0,(VLOOKUP(A1730,'Discount Lookup'!J:K,2)*G1730),0))))</f>
        <v>0</v>
      </c>
      <c r="AJ1730" s="513" t="str">
        <f t="shared" ca="1" si="1327"/>
        <v/>
      </c>
      <c r="AK1730" s="700" t="str">
        <f t="shared" si="1328"/>
        <v/>
      </c>
      <c r="AL1730" s="700"/>
      <c r="AM1730" s="505" t="str">
        <f t="shared" si="1329"/>
        <v/>
      </c>
      <c r="AN1730" s="506"/>
      <c r="AO1730" s="507"/>
      <c r="AP1730" s="507"/>
      <c r="AQ1730" s="507"/>
      <c r="AR1730" s="507"/>
      <c r="AS1730" s="507"/>
      <c r="AT1730" s="507"/>
      <c r="AU1730" s="507"/>
      <c r="AV1730" s="225"/>
      <c r="AW1730" s="508"/>
      <c r="AX1730" s="225"/>
      <c r="AY1730" s="225"/>
      <c r="AZ1730" s="225"/>
      <c r="BA1730" s="225"/>
      <c r="BB1730" s="225"/>
      <c r="BC1730" s="56"/>
      <c r="BD1730" s="56"/>
      <c r="BE1730" s="56"/>
      <c r="BF1730" s="107" t="str">
        <f t="shared" si="1330"/>
        <v>https://www.google.com/search?tbm=isch&amp;q=3%20G2</v>
      </c>
      <c r="BG1730" s="107" t="str">
        <f t="shared" si="1331"/>
        <v>G</v>
      </c>
      <c r="BH1730" s="254"/>
      <c r="BI1730" s="254"/>
    </row>
    <row r="1731" spans="1:61" customFormat="1" ht="15.75" x14ac:dyDescent="0.25">
      <c r="A1731" s="485">
        <v>3</v>
      </c>
      <c r="B1731" s="486" t="s">
        <v>291</v>
      </c>
      <c r="C1731" s="487"/>
      <c r="D1731" s="488" t="s">
        <v>312</v>
      </c>
      <c r="E1731" s="489">
        <v>27.95</v>
      </c>
      <c r="F1731" s="516" t="s">
        <v>293</v>
      </c>
      <c r="G1731" s="232">
        <v>0</v>
      </c>
      <c r="H1731" s="658" t="str">
        <f>IF(G1731=0,"",IF(F1731="Buy",IF(G1731=1,"plant","plants"),IF(F1731&gt;0.01,"warranty","Error")))</f>
        <v/>
      </c>
      <c r="I1731" s="490">
        <f>IF(H1731="free",0,IF(H1731="credit",((E1731*(F1731))*G1731*-1),IF(F1731="Buy",(E1731*G1731),((E1731*(1-F1731))*G1731))))</f>
        <v>0</v>
      </c>
      <c r="J1731" s="490">
        <f>IF(H1731="warranty",0,(I1731*(_xlfn.SINGLE(SalesTaxPercentage))))</f>
        <v>0</v>
      </c>
      <c r="K1731" s="695">
        <f t="shared" ref="K1731" si="1366">I1731+J1731</f>
        <v>0</v>
      </c>
      <c r="L1731" s="695"/>
      <c r="M1731" s="659" t="str">
        <f>IF(AND(G1731&gt;0,E1731=0),"WARNING - no PRICE inserted",IF(H1731="free"," FREE ~ no charge this plant",IF(H1731="credit",CONCATENATE(" -$",ROUND(K1731*(1-T2GDiscount)*-1,2)," CREDIT after discount"),IF(T2GDiscount=0,"",IF(G1731=0,"",IF(F1731="Buy",CONCATENATE(" $",ROUND(K1731*(1-T2GDiscount),2)," with ",(T2GDiscount*100),"% discount"),CONCATENATE(" $",ROUND(K1731*(1-T2GDiscount),2)," with ",((T2GDiscount*100+F1731*100)-(T2GDiscount*100*F1731)),IF(F1731&gt;0,"% discounts",IF(NoWarrantyDiscount&gt;0,"% discounts","% discount")))))))))</f>
        <v/>
      </c>
      <c r="N1731" s="660"/>
      <c r="O1731" s="233"/>
      <c r="P1731" s="233"/>
      <c r="Q1731" s="233"/>
      <c r="R1731" s="233"/>
      <c r="S1731" s="233"/>
      <c r="T1731" s="508">
        <f t="shared" si="1319"/>
        <v>0</v>
      </c>
      <c r="U1731" s="225">
        <f>IF(NOT(ISNUMBER(G1731)), "", VLOOKUP(A1731,'Discount Lookup'!D:E,2,FALSE)*G1731)</f>
        <v>0</v>
      </c>
      <c r="V1731" s="225">
        <f>IF(NOT(ISNUMBER(G1731)), "", VLOOKUP(A1731,'Discount Lookup'!G:H,2,FALSE)*G1731)</f>
        <v>0</v>
      </c>
      <c r="W1731" s="508">
        <f t="shared" si="1320"/>
        <v>0</v>
      </c>
      <c r="X1731" s="508">
        <f t="shared" si="1321"/>
        <v>0</v>
      </c>
      <c r="Y1731" s="509" t="b">
        <f t="shared" si="1322"/>
        <v>0</v>
      </c>
      <c r="Z1731" s="510">
        <f t="shared" si="1323"/>
        <v>0</v>
      </c>
      <c r="AA1731" s="511"/>
      <c r="AB1731" s="511" t="str">
        <f t="shared" si="1324"/>
        <v/>
      </c>
      <c r="AC1731" s="698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698"/>
      <c r="AE1731" s="631" t="str">
        <f t="shared" si="1325"/>
        <v/>
      </c>
      <c r="AF1731" s="699" t="str">
        <f t="shared" si="1326"/>
        <v/>
      </c>
      <c r="AG1731" s="699"/>
      <c r="AH1731" s="699"/>
      <c r="AI1731" s="512">
        <f>IF(H1731="credit",0,IF(AE1731="free",0,IF(AE1731="me",0,IF(G1731&gt;0,(VLOOKUP(A1731,'Discount Lookup'!J:K,2)*G1731),0))))</f>
        <v>0</v>
      </c>
      <c r="AJ1731" s="513" t="str">
        <f t="shared" ca="1" si="1327"/>
        <v/>
      </c>
      <c r="AK1731" s="700" t="str">
        <f t="shared" si="1328"/>
        <v/>
      </c>
      <c r="AL1731" s="700"/>
      <c r="AM1731" s="505" t="str">
        <f t="shared" si="1329"/>
        <v/>
      </c>
      <c r="AN1731" s="506"/>
      <c r="AO1731" s="507"/>
      <c r="AP1731" s="507"/>
      <c r="AQ1731" s="507"/>
      <c r="AR1731" s="507"/>
      <c r="AS1731" s="507"/>
      <c r="AT1731" s="507"/>
      <c r="AU1731" s="507"/>
      <c r="AV1731" s="225"/>
      <c r="AW1731" s="508"/>
      <c r="AX1731" s="225"/>
      <c r="AY1731" s="225"/>
      <c r="AZ1731" s="225"/>
      <c r="BA1731" s="225"/>
      <c r="BB1731" s="225"/>
      <c r="BC1731" s="56"/>
      <c r="BD1731" s="56"/>
      <c r="BE1731" s="56"/>
      <c r="BF1731" s="107" t="str">
        <f t="shared" si="1330"/>
        <v>https://www.google.com/search?tbm=isch&amp;q=3%20G2</v>
      </c>
      <c r="BG1731" s="107" t="str">
        <f t="shared" si="1331"/>
        <v>G</v>
      </c>
      <c r="BH1731" s="254"/>
      <c r="BI1731" s="254"/>
    </row>
    <row r="1732" spans="1:61" customFormat="1" ht="17.25" thickBot="1" x14ac:dyDescent="0.3">
      <c r="A1732" s="522" t="s">
        <v>2681</v>
      </c>
      <c r="B1732" s="491"/>
      <c r="C1732" s="675"/>
      <c r="D1732" s="491"/>
      <c r="E1732" s="491"/>
      <c r="F1732" s="492"/>
      <c r="G1732" s="493"/>
      <c r="H1732" s="491"/>
      <c r="I1732" s="234"/>
      <c r="J1732" s="234"/>
      <c r="K1732" s="494"/>
      <c r="L1732" s="543"/>
      <c r="M1732" s="561"/>
      <c r="N1732" s="495"/>
      <c r="O1732" s="496"/>
      <c r="P1732" s="497"/>
      <c r="Q1732" s="495"/>
      <c r="R1732" s="495"/>
      <c r="S1732" s="667" t="s">
        <v>4982</v>
      </c>
      <c r="T1732" s="508">
        <f t="shared" si="1319"/>
        <v>0</v>
      </c>
      <c r="U1732" s="225" t="str">
        <f>IF(NOT(ISNUMBER(G1732)), "", VLOOKUP(A1732,'Discount Lookup'!D:E,2,FALSE)*G1732)</f>
        <v/>
      </c>
      <c r="V1732" s="225" t="str">
        <f>IF(NOT(ISNUMBER(G1732)), "", VLOOKUP(A1732,'Discount Lookup'!G:H,2,FALSE)*G1732)</f>
        <v/>
      </c>
      <c r="W1732" s="508">
        <f t="shared" si="1320"/>
        <v>0</v>
      </c>
      <c r="X1732" s="508">
        <f t="shared" si="1321"/>
        <v>0</v>
      </c>
      <c r="Y1732" s="509" t="b">
        <f t="shared" si="1322"/>
        <v>0</v>
      </c>
      <c r="Z1732" s="510">
        <f t="shared" si="1323"/>
        <v>0</v>
      </c>
      <c r="AA1732" s="511"/>
      <c r="AB1732" s="511" t="str">
        <f t="shared" si="1324"/>
        <v/>
      </c>
      <c r="AC1732" s="698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698"/>
      <c r="AE1732" s="631" t="str">
        <f t="shared" si="1325"/>
        <v/>
      </c>
      <c r="AF1732" s="699" t="str">
        <f t="shared" si="1326"/>
        <v/>
      </c>
      <c r="AG1732" s="699"/>
      <c r="AH1732" s="699"/>
      <c r="AI1732" s="512">
        <f>IF(H1732="credit",0,IF(AE1732="free",0,IF(AE1732="me",0,IF(G1732&gt;0,(VLOOKUP(A1732,'Discount Lookup'!J:K,2)*G1732),0))))</f>
        <v>0</v>
      </c>
      <c r="AJ1732" s="513" t="str">
        <f t="shared" ca="1" si="1327"/>
        <v/>
      </c>
      <c r="AK1732" s="700" t="str">
        <f t="shared" si="1328"/>
        <v/>
      </c>
      <c r="AL1732" s="700"/>
      <c r="AM1732" s="505" t="str">
        <f t="shared" si="1329"/>
        <v/>
      </c>
      <c r="AN1732" s="506"/>
      <c r="AO1732" s="507"/>
      <c r="AP1732" s="507"/>
      <c r="AQ1732" s="507"/>
      <c r="AR1732" s="507"/>
      <c r="AS1732" s="507"/>
      <c r="AT1732" s="507"/>
      <c r="AU1732" s="507"/>
      <c r="AV1732" s="225"/>
      <c r="AW1732" s="508"/>
      <c r="AX1732" s="225"/>
      <c r="AY1732" s="225"/>
      <c r="AZ1732" s="225"/>
      <c r="BA1732" s="225"/>
      <c r="BB1732" s="225"/>
      <c r="BC1732" s="56"/>
      <c r="BD1732" s="56"/>
      <c r="BE1732" s="56"/>
      <c r="BF1732" s="107" t="str">
        <f t="shared" si="1330"/>
        <v>https://www.google.com/search?tbm=isch&amp;q=Grey%20Owl%20is%20a%20female%2C%20producing%20blue%20berry-like%20cones.%20Arching%20branches%20of%20Silver-Gray%20foliage.%20Sun%2Fheat%2Fdrought%20tolerant%20</v>
      </c>
      <c r="BG1732" s="107" t="str">
        <f t="shared" si="1331"/>
        <v>G</v>
      </c>
      <c r="BH1732" s="254"/>
      <c r="BI1732" s="254"/>
    </row>
    <row r="1733" spans="1:61" customFormat="1" ht="18" x14ac:dyDescent="0.25">
      <c r="A1733" s="523" t="s">
        <v>5420</v>
      </c>
      <c r="B1733" s="235"/>
      <c r="C1733" s="676"/>
      <c r="D1733" s="255" t="s">
        <v>1054</v>
      </c>
      <c r="E1733" s="236"/>
      <c r="F1733" s="236"/>
      <c r="G1733" s="236"/>
      <c r="H1733" s="582" t="s">
        <v>443</v>
      </c>
      <c r="I1733" s="498" t="s">
        <v>3105</v>
      </c>
      <c r="J1733" s="237"/>
      <c r="K1733" s="237"/>
      <c r="L1733" s="274"/>
      <c r="M1733" s="670" t="s">
        <v>4973</v>
      </c>
      <c r="N1733" s="681" t="str">
        <f>IF(AND(ISTEXT($A1733), ISERROR($A1733+0)), HYPERLINK($BF1733, "Images"), "")</f>
        <v>Images</v>
      </c>
      <c r="O1733" s="663" t="s">
        <v>4974</v>
      </c>
      <c r="P1733" s="253"/>
      <c r="Q1733" s="238"/>
      <c r="R1733" s="239"/>
      <c r="S1733" s="275"/>
      <c r="T1733" s="508">
        <f t="shared" si="1319"/>
        <v>0</v>
      </c>
      <c r="U1733" s="225" t="str">
        <f>IF(NOT(ISNUMBER(G1733)), "", VLOOKUP(A1733,'Discount Lookup'!D:E,2,FALSE)*G1733)</f>
        <v/>
      </c>
      <c r="V1733" s="225" t="str">
        <f>IF(NOT(ISNUMBER(G1733)), "", VLOOKUP(A1733,'Discount Lookup'!G:H,2,FALSE)*G1733)</f>
        <v/>
      </c>
      <c r="W1733" s="508">
        <f t="shared" si="1320"/>
        <v>0</v>
      </c>
      <c r="X1733" s="508" t="str">
        <f t="shared" si="1321"/>
        <v>Lime-Green bloom ages to White</v>
      </c>
      <c r="Y1733" s="509" t="b">
        <f t="shared" si="1322"/>
        <v>0</v>
      </c>
      <c r="Z1733" s="510">
        <f t="shared" si="1323"/>
        <v>0</v>
      </c>
      <c r="AA1733" s="511"/>
      <c r="AB1733" s="511" t="str">
        <f t="shared" si="1324"/>
        <v/>
      </c>
      <c r="AC1733" s="698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698"/>
      <c r="AE1733" s="631" t="str">
        <f t="shared" si="1325"/>
        <v/>
      </c>
      <c r="AF1733" s="699" t="str">
        <f t="shared" si="1326"/>
        <v/>
      </c>
      <c r="AG1733" s="699"/>
      <c r="AH1733" s="699"/>
      <c r="AI1733" s="512">
        <f>IF(H1733="credit",0,IF(AE1733="free",0,IF(AE1733="me",0,IF(G1733&gt;0,(VLOOKUP(A1733,'Discount Lookup'!J:K,2)*G1733),0))))</f>
        <v>0</v>
      </c>
      <c r="AJ1733" s="513" t="str">
        <f t="shared" ca="1" si="1327"/>
        <v/>
      </c>
      <c r="AK1733" s="700" t="str">
        <f t="shared" si="1328"/>
        <v/>
      </c>
      <c r="AL1733" s="700"/>
      <c r="AM1733" s="505" t="str">
        <f t="shared" si="1329"/>
        <v/>
      </c>
      <c r="AN1733" s="506"/>
      <c r="AO1733" s="507"/>
      <c r="AP1733" s="507"/>
      <c r="AQ1733" s="507"/>
      <c r="AR1733" s="507"/>
      <c r="AS1733" s="507"/>
      <c r="AT1733" s="507"/>
      <c r="AU1733" s="507"/>
      <c r="AV1733" s="225"/>
      <c r="AW1733" s="508"/>
      <c r="AX1733" s="225"/>
      <c r="AY1733" s="225"/>
      <c r="AZ1733" s="225"/>
      <c r="BA1733" s="225"/>
      <c r="BB1733" s="225"/>
      <c r="BC1733" s="56"/>
      <c r="BD1733" s="56"/>
      <c r="BE1733" s="56"/>
      <c r="BF1733" s="107" t="str">
        <f t="shared" si="1330"/>
        <v>https://www.google.com/search?tbm=isch&amp;q=Grin%20%26%20Tonic%E2%84%A2%20Bigleaf%20Hydrangea%20Hyd.%20macrophylla%20%27Hokomagrito%27%20PP%2335207</v>
      </c>
      <c r="BG1733" s="107" t="str">
        <f t="shared" si="1331"/>
        <v>G</v>
      </c>
      <c r="BH1733" s="254"/>
      <c r="BI1733" s="254"/>
    </row>
    <row r="1734" spans="1:61" customFormat="1" ht="15.75" x14ac:dyDescent="0.25">
      <c r="A1734" s="276">
        <v>3</v>
      </c>
      <c r="B1734" s="240" t="s">
        <v>291</v>
      </c>
      <c r="C1734" s="241" t="s">
        <v>2402</v>
      </c>
      <c r="D1734" s="242" t="s">
        <v>312</v>
      </c>
      <c r="E1734" s="243">
        <v>33.950000000000003</v>
      </c>
      <c r="F1734" s="517" t="s">
        <v>293</v>
      </c>
      <c r="G1734" s="232">
        <v>0</v>
      </c>
      <c r="H1734" s="661" t="str">
        <f>IF(G1734=0,"",IF(F1734="Buy",IF(G1734=1,"plant","plants"),IF(F1734&gt;0.01,"warranty","Error")))</f>
        <v/>
      </c>
      <c r="I1734" s="244">
        <f>IF(H1734="free",0,IF(H1734="credit",((E1734*(F1734))*G1734*-1),IF(F1734="Buy",(E1734*G1734),((E1734*(1-F1734))*G1734))))</f>
        <v>0</v>
      </c>
      <c r="J1734" s="244">
        <f>IF(H1734="warranty",0,(I1734*(_xlfn.SINGLE(SalesTaxPercentage))))</f>
        <v>0</v>
      </c>
      <c r="K1734" s="696">
        <f t="shared" ref="K1734" si="1367">I1734+J1734</f>
        <v>0</v>
      </c>
      <c r="L1734" s="696"/>
      <c r="M1734" s="659" t="str">
        <f>IF(AND(G1734&gt;0,E1734=0),"WARNING - no PRICE inserted",IF(H1734="free"," FREE ~ no charge this plant",IF(H1734="credit",CONCATENATE(" -$",ROUND(K1734*(1-T2GDiscount)*-1,2)," CREDIT after discount"),IF(T2GDiscount=0,"",IF(G1734=0,"",IF(F1734="Buy",CONCATENATE(" $",ROUND(K1734*(1-T2GDiscount),2)," with ",(T2GDiscount*100),"% discount"),CONCATENATE(" $",ROUND(K1734*(1-T2GDiscount),2)," with ",((T2GDiscount*100+F1734*100)-(T2GDiscount*100*F1734)),IF(F1734&gt;0,"% discounts",IF(NoWarrantyDiscount&gt;0,"% discounts","% discount")))))))))</f>
        <v/>
      </c>
      <c r="N1734" s="660"/>
      <c r="O1734" s="233"/>
      <c r="P1734" s="233"/>
      <c r="Q1734" s="233"/>
      <c r="R1734" s="233"/>
      <c r="S1734" s="233"/>
      <c r="T1734" s="508">
        <f t="shared" si="1319"/>
        <v>0</v>
      </c>
      <c r="U1734" s="225">
        <f>IF(NOT(ISNUMBER(G1734)), "", VLOOKUP(A1734,'Discount Lookup'!D:E,2,FALSE)*G1734)</f>
        <v>0</v>
      </c>
      <c r="V1734" s="225">
        <f>IF(NOT(ISNUMBER(G1734)), "", VLOOKUP(A1734,'Discount Lookup'!G:H,2,FALSE)*G1734)</f>
        <v>0</v>
      </c>
      <c r="W1734" s="508">
        <f t="shared" si="1320"/>
        <v>0</v>
      </c>
      <c r="X1734" s="508">
        <f t="shared" si="1321"/>
        <v>0</v>
      </c>
      <c r="Y1734" s="509" t="b">
        <f t="shared" si="1322"/>
        <v>0</v>
      </c>
      <c r="Z1734" s="510">
        <f t="shared" si="1323"/>
        <v>0</v>
      </c>
      <c r="AA1734" s="511"/>
      <c r="AB1734" s="511" t="str">
        <f t="shared" si="1324"/>
        <v/>
      </c>
      <c r="AC1734" s="698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698"/>
      <c r="AE1734" s="631" t="str">
        <f t="shared" si="1325"/>
        <v/>
      </c>
      <c r="AF1734" s="699" t="str">
        <f t="shared" si="1326"/>
        <v/>
      </c>
      <c r="AG1734" s="699"/>
      <c r="AH1734" s="699"/>
      <c r="AI1734" s="512">
        <f>IF(H1734="credit",0,IF(AE1734="free",0,IF(AE1734="me",0,IF(G1734&gt;0,(VLOOKUP(A1734,'Discount Lookup'!J:K,2)*G1734),0))))</f>
        <v>0</v>
      </c>
      <c r="AJ1734" s="513" t="str">
        <f t="shared" ca="1" si="1327"/>
        <v/>
      </c>
      <c r="AK1734" s="700" t="str">
        <f t="shared" si="1328"/>
        <v/>
      </c>
      <c r="AL1734" s="700"/>
      <c r="AM1734" s="505" t="str">
        <f t="shared" si="1329"/>
        <v/>
      </c>
      <c r="AN1734" s="506"/>
      <c r="AO1734" s="507"/>
      <c r="AP1734" s="507"/>
      <c r="AQ1734" s="507"/>
      <c r="AR1734" s="507"/>
      <c r="AS1734" s="507"/>
      <c r="AT1734" s="507"/>
      <c r="AU1734" s="507"/>
      <c r="AV1734" s="225"/>
      <c r="AW1734" s="508"/>
      <c r="AX1734" s="225"/>
      <c r="AY1734" s="225"/>
      <c r="AZ1734" s="225"/>
      <c r="BA1734" s="225"/>
      <c r="BB1734" s="225"/>
      <c r="BC1734" s="56"/>
      <c r="BD1734" s="56"/>
      <c r="BE1734" s="56"/>
      <c r="BF1734" s="107" t="str">
        <f t="shared" si="1330"/>
        <v>https://www.google.com/search?tbm=isch&amp;q=3%20G2</v>
      </c>
      <c r="BG1734" s="107" t="str">
        <f t="shared" si="1331"/>
        <v>G</v>
      </c>
      <c r="BH1734" s="254"/>
      <c r="BI1734" s="254"/>
    </row>
    <row r="1735" spans="1:61" customFormat="1" ht="17.25" thickBot="1" x14ac:dyDescent="0.3">
      <c r="A1735" s="673" t="s">
        <v>5130</v>
      </c>
      <c r="B1735" s="245"/>
      <c r="C1735" s="677"/>
      <c r="D1735" s="499"/>
      <c r="E1735" s="499"/>
      <c r="F1735" s="500"/>
      <c r="G1735" s="501"/>
      <c r="H1735" s="502"/>
      <c r="I1735" s="246"/>
      <c r="J1735" s="247"/>
      <c r="K1735" s="503"/>
      <c r="L1735" s="544"/>
      <c r="M1735" s="544"/>
      <c r="N1735" s="500"/>
      <c r="O1735" s="500"/>
      <c r="P1735" s="500"/>
      <c r="Q1735" s="500"/>
      <c r="R1735" s="500"/>
      <c r="S1735" s="278"/>
      <c r="T1735" s="508">
        <f t="shared" si="1319"/>
        <v>0</v>
      </c>
      <c r="U1735" s="225" t="str">
        <f>IF(NOT(ISNUMBER(G1735)), "", VLOOKUP(A1735,'Discount Lookup'!D:E,2,FALSE)*G1735)</f>
        <v/>
      </c>
      <c r="V1735" s="225" t="str">
        <f>IF(NOT(ISNUMBER(G1735)), "", VLOOKUP(A1735,'Discount Lookup'!G:H,2,FALSE)*G1735)</f>
        <v/>
      </c>
      <c r="W1735" s="508">
        <f t="shared" si="1320"/>
        <v>0</v>
      </c>
      <c r="X1735" s="508">
        <f t="shared" si="1321"/>
        <v>0</v>
      </c>
      <c r="Y1735" s="509" t="b">
        <f t="shared" si="1322"/>
        <v>0</v>
      </c>
      <c r="Z1735" s="510">
        <f t="shared" si="1323"/>
        <v>0</v>
      </c>
      <c r="AA1735" s="511"/>
      <c r="AB1735" s="511" t="str">
        <f t="shared" si="1324"/>
        <v/>
      </c>
      <c r="AC1735" s="698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698"/>
      <c r="AE1735" s="631" t="str">
        <f t="shared" si="1325"/>
        <v/>
      </c>
      <c r="AF1735" s="699" t="str">
        <f t="shared" si="1326"/>
        <v/>
      </c>
      <c r="AG1735" s="699"/>
      <c r="AH1735" s="699"/>
      <c r="AI1735" s="512">
        <f>IF(H1735="credit",0,IF(AE1735="free",0,IF(AE1735="me",0,IF(G1735&gt;0,(VLOOKUP(A1735,'Discount Lookup'!J:K,2)*G1735),0))))</f>
        <v>0</v>
      </c>
      <c r="AJ1735" s="513" t="str">
        <f t="shared" ca="1" si="1327"/>
        <v/>
      </c>
      <c r="AK1735" s="700" t="str">
        <f t="shared" si="1328"/>
        <v/>
      </c>
      <c r="AL1735" s="700"/>
      <c r="AM1735" s="505" t="str">
        <f t="shared" si="1329"/>
        <v/>
      </c>
      <c r="AN1735" s="506"/>
      <c r="AO1735" s="507"/>
      <c r="AP1735" s="507"/>
      <c r="AQ1735" s="507"/>
      <c r="AR1735" s="507"/>
      <c r="AS1735" s="507"/>
      <c r="AT1735" s="507"/>
      <c r="AU1735" s="507"/>
      <c r="AV1735" s="225"/>
      <c r="AW1735" s="508"/>
      <c r="AX1735" s="225"/>
      <c r="AY1735" s="225"/>
      <c r="AZ1735" s="225"/>
      <c r="BA1735" s="225"/>
      <c r="BB1735" s="225"/>
      <c r="BC1735" s="56"/>
      <c r="BD1735" s="56"/>
      <c r="BE1735" s="56"/>
      <c r="BF1735" s="107" t="str">
        <f t="shared" si="1330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735" s="107" t="str">
        <f t="shared" si="1331"/>
        <v>m</v>
      </c>
      <c r="BH1735" s="254"/>
      <c r="BI1735" s="254"/>
    </row>
    <row r="1736" spans="1:61" customFormat="1" ht="18" x14ac:dyDescent="0.25">
      <c r="A1736" s="521" t="s">
        <v>1055</v>
      </c>
      <c r="B1736" s="477"/>
      <c r="C1736" s="674"/>
      <c r="D1736" s="478" t="s">
        <v>1056</v>
      </c>
      <c r="E1736" s="479"/>
      <c r="F1736" s="479"/>
      <c r="G1736" s="479"/>
      <c r="H1736" s="582" t="s">
        <v>359</v>
      </c>
      <c r="I1736" s="480" t="s">
        <v>2093</v>
      </c>
      <c r="J1736" s="479"/>
      <c r="K1736" s="479"/>
      <c r="L1736" s="560"/>
      <c r="M1736" s="671" t="s">
        <v>4985</v>
      </c>
      <c r="N1736" s="680" t="str">
        <f>IF(AND(ISTEXT($A1736), ISERROR($A1736+0)), HYPERLINK($BF1736, "Images"), "")</f>
        <v>Images</v>
      </c>
      <c r="O1736" s="662" t="s">
        <v>4969</v>
      </c>
      <c r="P1736" s="482"/>
      <c r="Q1736" s="483"/>
      <c r="R1736" s="483"/>
      <c r="S1736" s="484"/>
      <c r="T1736" s="508">
        <f t="shared" si="1319"/>
        <v>0</v>
      </c>
      <c r="U1736" s="225" t="str">
        <f>IF(NOT(ISNUMBER(G1736)), "", VLOOKUP(A1736,'Discount Lookup'!D:E,2,FALSE)*G1736)</f>
        <v/>
      </c>
      <c r="V1736" s="225" t="str">
        <f>IF(NOT(ISNUMBER(G1736)), "", VLOOKUP(A1736,'Discount Lookup'!G:H,2,FALSE)*G1736)</f>
        <v/>
      </c>
      <c r="W1736" s="508">
        <f t="shared" si="1320"/>
        <v>0</v>
      </c>
      <c r="X1736" s="508" t="str">
        <f t="shared" si="1321"/>
        <v>Dark Green foliage</v>
      </c>
      <c r="Y1736" s="509" t="b">
        <f t="shared" si="1322"/>
        <v>0</v>
      </c>
      <c r="Z1736" s="510">
        <f t="shared" si="1323"/>
        <v>0</v>
      </c>
      <c r="AA1736" s="511"/>
      <c r="AB1736" s="511" t="str">
        <f t="shared" si="1324"/>
        <v/>
      </c>
      <c r="AC1736" s="698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698"/>
      <c r="AE1736" s="631" t="str">
        <f t="shared" si="1325"/>
        <v/>
      </c>
      <c r="AF1736" s="699" t="str">
        <f t="shared" si="1326"/>
        <v/>
      </c>
      <c r="AG1736" s="699"/>
      <c r="AH1736" s="699"/>
      <c r="AI1736" s="512">
        <f>IF(H1736="credit",0,IF(AE1736="free",0,IF(AE1736="me",0,IF(G1736&gt;0,(VLOOKUP(A1736,'Discount Lookup'!J:K,2)*G1736),0))))</f>
        <v>0</v>
      </c>
      <c r="AJ1736" s="513" t="str">
        <f t="shared" ca="1" si="1327"/>
        <v/>
      </c>
      <c r="AK1736" s="700" t="str">
        <f t="shared" si="1328"/>
        <v/>
      </c>
      <c r="AL1736" s="700"/>
      <c r="AM1736" s="505" t="str">
        <f t="shared" si="1329"/>
        <v/>
      </c>
      <c r="AN1736" s="506"/>
      <c r="AO1736" s="507"/>
      <c r="AP1736" s="507"/>
      <c r="AQ1736" s="507"/>
      <c r="AR1736" s="507"/>
      <c r="AS1736" s="507"/>
      <c r="AT1736" s="507"/>
      <c r="AU1736" s="507"/>
      <c r="AV1736" s="225"/>
      <c r="AW1736" s="508"/>
      <c r="AX1736" s="225"/>
      <c r="AY1736" s="225"/>
      <c r="AZ1736" s="225"/>
      <c r="BA1736" s="225"/>
      <c r="BB1736" s="225"/>
      <c r="BC1736" s="56"/>
      <c r="BD1736" s="56"/>
      <c r="BE1736" s="56"/>
      <c r="BF1736" s="107" t="str">
        <f t="shared" si="1330"/>
        <v>https://www.google.com/search?tbm=isch&amp;q=Groovy%20Glow%20Mahonia%20Mahonia%20hybrid%20%27NCMH2%27%20PP%2334443</v>
      </c>
      <c r="BG1736" s="107" t="str">
        <f t="shared" si="1331"/>
        <v>G</v>
      </c>
      <c r="BH1736" s="254"/>
      <c r="BI1736" s="254"/>
    </row>
    <row r="1737" spans="1:61" customFormat="1" ht="15.75" x14ac:dyDescent="0.25">
      <c r="A1737" s="485">
        <v>3</v>
      </c>
      <c r="B1737" s="486" t="s">
        <v>291</v>
      </c>
      <c r="C1737" s="487" t="s">
        <v>3262</v>
      </c>
      <c r="D1737" s="488" t="s">
        <v>297</v>
      </c>
      <c r="E1737" s="489">
        <v>35.950000000000003</v>
      </c>
      <c r="F1737" s="516" t="s">
        <v>293</v>
      </c>
      <c r="G1737" s="232">
        <v>0</v>
      </c>
      <c r="H1737" s="658" t="str">
        <f>IF(G1737=0,"",IF(F1737="Buy",IF(G1737=1,"plant","plants"),IF(F1737&gt;0.01,"warranty","Error")))</f>
        <v/>
      </c>
      <c r="I1737" s="490">
        <f>IF(H1737="free",0,IF(H1737="credit",((E1737*(F1737))*G1737*-1),IF(F1737="Buy",(E1737*G1737),((E1737*(1-F1737))*G1737))))</f>
        <v>0</v>
      </c>
      <c r="J1737" s="490">
        <f>IF(H1737="warranty",0,(I1737*(_xlfn.SINGLE(SalesTaxPercentage))))</f>
        <v>0</v>
      </c>
      <c r="K1737" s="695">
        <f t="shared" ref="K1737" si="1368">I1737+J1737</f>
        <v>0</v>
      </c>
      <c r="L1737" s="695"/>
      <c r="M1737" s="659" t="str">
        <f>IF(AND(G1737&gt;0,E1737=0),"WARNING - no PRICE inserted",IF(H1737="free"," FREE ~ no charge this plant",IF(H1737="credit",CONCATENATE(" -$",ROUND(K1737*(1-T2GDiscount)*-1,2)," CREDIT after discount"),IF(T2GDiscount=0,"",IF(G1737=0,"",IF(F1737="Buy",CONCATENATE(" $",ROUND(K1737*(1-T2GDiscount),2)," with ",(T2GDiscount*100),"% discount"),CONCATENATE(" $",ROUND(K1737*(1-T2GDiscount),2)," with ",((T2GDiscount*100+F1737*100)-(T2GDiscount*100*F1737)),IF(F1737&gt;0,"% discounts",IF(NoWarrantyDiscount&gt;0,"% discounts","% discount")))))))))</f>
        <v/>
      </c>
      <c r="N1737" s="660"/>
      <c r="O1737" s="233"/>
      <c r="P1737" s="233"/>
      <c r="Q1737" s="233"/>
      <c r="R1737" s="233"/>
      <c r="S1737" s="233"/>
      <c r="T1737" s="508">
        <f t="shared" si="1319"/>
        <v>0</v>
      </c>
      <c r="U1737" s="225">
        <f>IF(NOT(ISNUMBER(G1737)), "", VLOOKUP(A1737,'Discount Lookup'!D:E,2,FALSE)*G1737)</f>
        <v>0</v>
      </c>
      <c r="V1737" s="225">
        <f>IF(NOT(ISNUMBER(G1737)), "", VLOOKUP(A1737,'Discount Lookup'!G:H,2,FALSE)*G1737)</f>
        <v>0</v>
      </c>
      <c r="W1737" s="508">
        <f t="shared" si="1320"/>
        <v>0</v>
      </c>
      <c r="X1737" s="508">
        <f t="shared" si="1321"/>
        <v>0</v>
      </c>
      <c r="Y1737" s="509" t="b">
        <f t="shared" si="1322"/>
        <v>0</v>
      </c>
      <c r="Z1737" s="510">
        <f t="shared" si="1323"/>
        <v>0</v>
      </c>
      <c r="AA1737" s="511"/>
      <c r="AB1737" s="511" t="str">
        <f t="shared" si="1324"/>
        <v/>
      </c>
      <c r="AC1737" s="698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698"/>
      <c r="AE1737" s="631" t="str">
        <f t="shared" si="1325"/>
        <v/>
      </c>
      <c r="AF1737" s="699" t="str">
        <f t="shared" si="1326"/>
        <v/>
      </c>
      <c r="AG1737" s="699"/>
      <c r="AH1737" s="699"/>
      <c r="AI1737" s="512">
        <f>IF(H1737="credit",0,IF(AE1737="free",0,IF(AE1737="me",0,IF(G1737&gt;0,(VLOOKUP(A1737,'Discount Lookup'!J:K,2)*G1737),0))))</f>
        <v>0</v>
      </c>
      <c r="AJ1737" s="513" t="str">
        <f t="shared" ca="1" si="1327"/>
        <v/>
      </c>
      <c r="AK1737" s="700" t="str">
        <f t="shared" si="1328"/>
        <v/>
      </c>
      <c r="AL1737" s="700"/>
      <c r="AM1737" s="505" t="str">
        <f t="shared" si="1329"/>
        <v/>
      </c>
      <c r="AN1737" s="506"/>
      <c r="AO1737" s="507"/>
      <c r="AP1737" s="507"/>
      <c r="AQ1737" s="507"/>
      <c r="AR1737" s="507"/>
      <c r="AS1737" s="507"/>
      <c r="AT1737" s="507"/>
      <c r="AU1737" s="507"/>
      <c r="AV1737" s="225"/>
      <c r="AW1737" s="508"/>
      <c r="AX1737" s="225"/>
      <c r="AY1737" s="225"/>
      <c r="AZ1737" s="225"/>
      <c r="BA1737" s="225"/>
      <c r="BB1737" s="225"/>
      <c r="BC1737" s="56"/>
      <c r="BD1737" s="56"/>
      <c r="BE1737" s="56"/>
      <c r="BF1737" s="107" t="str">
        <f t="shared" si="1330"/>
        <v>https://www.google.com/search?tbm=isch&amp;q=3%20G3</v>
      </c>
      <c r="BG1737" s="107" t="str">
        <f t="shared" si="1331"/>
        <v>G</v>
      </c>
      <c r="BH1737" s="254"/>
      <c r="BI1737" s="254"/>
    </row>
    <row r="1738" spans="1:61" customFormat="1" ht="17.25" thickBot="1" x14ac:dyDescent="0.3">
      <c r="A1738" s="522" t="s">
        <v>4098</v>
      </c>
      <c r="B1738" s="491"/>
      <c r="C1738" s="675"/>
      <c r="D1738" s="491"/>
      <c r="E1738" s="491"/>
      <c r="F1738" s="492"/>
      <c r="G1738" s="493"/>
      <c r="H1738" s="491"/>
      <c r="I1738" s="234"/>
      <c r="J1738" s="234"/>
      <c r="K1738" s="494"/>
      <c r="L1738" s="543"/>
      <c r="M1738" s="561"/>
      <c r="N1738" s="495"/>
      <c r="O1738" s="496"/>
      <c r="P1738" s="497"/>
      <c r="Q1738" s="495"/>
      <c r="R1738" s="495"/>
      <c r="S1738" s="667" t="s">
        <v>4982</v>
      </c>
      <c r="T1738" s="508">
        <f t="shared" si="1319"/>
        <v>0</v>
      </c>
      <c r="U1738" s="225" t="str">
        <f>IF(NOT(ISNUMBER(G1738)), "", VLOOKUP(A1738,'Discount Lookup'!D:E,2,FALSE)*G1738)</f>
        <v/>
      </c>
      <c r="V1738" s="225" t="str">
        <f>IF(NOT(ISNUMBER(G1738)), "", VLOOKUP(A1738,'Discount Lookup'!G:H,2,FALSE)*G1738)</f>
        <v/>
      </c>
      <c r="W1738" s="508">
        <f t="shared" si="1320"/>
        <v>0</v>
      </c>
      <c r="X1738" s="508">
        <f t="shared" si="1321"/>
        <v>0</v>
      </c>
      <c r="Y1738" s="509" t="b">
        <f t="shared" si="1322"/>
        <v>0</v>
      </c>
      <c r="Z1738" s="510">
        <f t="shared" si="1323"/>
        <v>0</v>
      </c>
      <c r="AA1738" s="511"/>
      <c r="AB1738" s="511" t="str">
        <f t="shared" si="1324"/>
        <v/>
      </c>
      <c r="AC1738" s="698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698"/>
      <c r="AE1738" s="631" t="str">
        <f t="shared" si="1325"/>
        <v/>
      </c>
      <c r="AF1738" s="699" t="str">
        <f t="shared" si="1326"/>
        <v/>
      </c>
      <c r="AG1738" s="699"/>
      <c r="AH1738" s="699"/>
      <c r="AI1738" s="512">
        <f>IF(H1738="credit",0,IF(AE1738="free",0,IF(AE1738="me",0,IF(G1738&gt;0,(VLOOKUP(A1738,'Discount Lookup'!J:K,2)*G1738),0))))</f>
        <v>0</v>
      </c>
      <c r="AJ1738" s="513" t="str">
        <f t="shared" ca="1" si="1327"/>
        <v/>
      </c>
      <c r="AK1738" s="700" t="str">
        <f t="shared" si="1328"/>
        <v/>
      </c>
      <c r="AL1738" s="700"/>
      <c r="AM1738" s="505" t="str">
        <f t="shared" si="1329"/>
        <v/>
      </c>
      <c r="AN1738" s="506"/>
      <c r="AO1738" s="507"/>
      <c r="AP1738" s="507"/>
      <c r="AQ1738" s="507"/>
      <c r="AR1738" s="507"/>
      <c r="AS1738" s="507"/>
      <c r="AT1738" s="507"/>
      <c r="AU1738" s="507"/>
      <c r="AV1738" s="225"/>
      <c r="AW1738" s="508"/>
      <c r="AX1738" s="225"/>
      <c r="AY1738" s="225"/>
      <c r="AZ1738" s="225"/>
      <c r="BA1738" s="225"/>
      <c r="BB1738" s="225"/>
      <c r="BC1738" s="56"/>
      <c r="BD1738" s="56"/>
      <c r="BE1738" s="56"/>
      <c r="BF1738" s="107" t="str">
        <f t="shared" si="1330"/>
        <v>https://www.google.com/search?tbm=isch&amp;q=Groovy%20Glow%20named%20for%20Burgundy%20to%20Purple%20winter%20hues%20and%20Orange-Yellow%20winter%20blooms.%20Burgundy%20spring%20foliage%20</v>
      </c>
      <c r="BG1738" s="107" t="str">
        <f t="shared" si="1331"/>
        <v>G</v>
      </c>
      <c r="BH1738" s="254"/>
      <c r="BI1738" s="254"/>
    </row>
    <row r="1739" spans="1:61" customFormat="1" ht="18" x14ac:dyDescent="0.25">
      <c r="A1739" s="523" t="s">
        <v>5421</v>
      </c>
      <c r="B1739" s="235"/>
      <c r="C1739" s="676"/>
      <c r="D1739" s="255" t="s">
        <v>4520</v>
      </c>
      <c r="E1739" s="236"/>
      <c r="F1739" s="236"/>
      <c r="G1739" s="236"/>
      <c r="H1739" s="582" t="s">
        <v>4521</v>
      </c>
      <c r="I1739" s="498" t="s">
        <v>654</v>
      </c>
      <c r="J1739" s="237"/>
      <c r="K1739" s="237"/>
      <c r="L1739" s="274"/>
      <c r="M1739" s="668" t="s">
        <v>4975</v>
      </c>
      <c r="N1739" s="681" t="str">
        <f>IF(AND(ISTEXT($A1739), ISERROR($A1739+0)), HYPERLINK($BF1739, "Images"), "")</f>
        <v>Images</v>
      </c>
      <c r="O1739" s="663" t="s">
        <v>4967</v>
      </c>
      <c r="P1739" s="253"/>
      <c r="Q1739" s="238"/>
      <c r="R1739" s="239"/>
      <c r="S1739" s="275" t="s">
        <v>305</v>
      </c>
      <c r="T1739" s="508">
        <f t="shared" si="1319"/>
        <v>0</v>
      </c>
      <c r="U1739" s="225" t="str">
        <f>IF(NOT(ISNUMBER(G1739)), "", VLOOKUP(A1739,'Discount Lookup'!D:E,2,FALSE)*G1739)</f>
        <v/>
      </c>
      <c r="V1739" s="225" t="str">
        <f>IF(NOT(ISNUMBER(G1739)), "", VLOOKUP(A1739,'Discount Lookup'!G:H,2,FALSE)*G1739)</f>
        <v/>
      </c>
      <c r="W1739" s="508">
        <f t="shared" si="1320"/>
        <v>0</v>
      </c>
      <c r="X1739" s="508" t="str">
        <f t="shared" si="1321"/>
        <v>White bloom</v>
      </c>
      <c r="Y1739" s="509" t="b">
        <f t="shared" si="1322"/>
        <v>0</v>
      </c>
      <c r="Z1739" s="510">
        <f t="shared" si="1323"/>
        <v>0</v>
      </c>
      <c r="AA1739" s="511"/>
      <c r="AB1739" s="511" t="str">
        <f t="shared" si="1324"/>
        <v/>
      </c>
      <c r="AC1739" s="698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698"/>
      <c r="AE1739" s="631" t="str">
        <f t="shared" si="1325"/>
        <v/>
      </c>
      <c r="AF1739" s="699" t="str">
        <f t="shared" si="1326"/>
        <v/>
      </c>
      <c r="AG1739" s="699"/>
      <c r="AH1739" s="699"/>
      <c r="AI1739" s="512">
        <f>IF(H1739="credit",0,IF(AE1739="free",0,IF(AE1739="me",0,IF(G1739&gt;0,(VLOOKUP(A1739,'Discount Lookup'!J:K,2)*G1739),0))))</f>
        <v>0</v>
      </c>
      <c r="AJ1739" s="513" t="str">
        <f t="shared" ca="1" si="1327"/>
        <v/>
      </c>
      <c r="AK1739" s="700" t="str">
        <f t="shared" si="1328"/>
        <v/>
      </c>
      <c r="AL1739" s="700"/>
      <c r="AM1739" s="505" t="str">
        <f t="shared" si="1329"/>
        <v/>
      </c>
      <c r="AN1739" s="506"/>
      <c r="AO1739" s="507"/>
      <c r="AP1739" s="507"/>
      <c r="AQ1739" s="507"/>
      <c r="AR1739" s="507"/>
      <c r="AS1739" s="507"/>
      <c r="AT1739" s="507"/>
      <c r="AU1739" s="507"/>
      <c r="AV1739" s="225"/>
      <c r="AW1739" s="508"/>
      <c r="AX1739" s="225"/>
      <c r="AY1739" s="225"/>
      <c r="AZ1739" s="225"/>
      <c r="BA1739" s="225"/>
      <c r="BB1739" s="225"/>
      <c r="BC1739" s="56"/>
      <c r="BD1739" s="56"/>
      <c r="BE1739" s="56"/>
      <c r="BF1739" s="107" t="str">
        <f t="shared" si="1330"/>
        <v>https://www.google.com/search?tbm=isch&amp;q=Ground%20Hug%C2%AE%20Chokeberry%20Aronia%20melanocarpa%20%27Ground%20Hug%27%20PP%2331821</v>
      </c>
      <c r="BG1739" s="107" t="str">
        <f t="shared" si="1331"/>
        <v>G</v>
      </c>
      <c r="BH1739" s="254"/>
      <c r="BI1739" s="254"/>
    </row>
    <row r="1740" spans="1:61" customFormat="1" ht="15.75" x14ac:dyDescent="0.25">
      <c r="A1740" s="276">
        <v>1</v>
      </c>
      <c r="B1740" s="240" t="s">
        <v>291</v>
      </c>
      <c r="C1740" s="241" t="s">
        <v>4765</v>
      </c>
      <c r="D1740" s="242" t="s">
        <v>312</v>
      </c>
      <c r="E1740" s="243">
        <v>32.950000000000003</v>
      </c>
      <c r="F1740" s="517" t="s">
        <v>293</v>
      </c>
      <c r="G1740" s="232">
        <v>0</v>
      </c>
      <c r="H1740" s="661" t="str">
        <f>IF(G1740=0,"",IF(F1740="Buy",IF(G1740=1,"plant","plants"),IF(F1740&gt;0.01,"warranty","Error")))</f>
        <v/>
      </c>
      <c r="I1740" s="244">
        <f>IF(H1740="free",0,IF(H1740="credit",((E1740*(F1740))*G1740*-1),IF(F1740="Buy",(E1740*G1740),((E1740*(1-F1740))*G1740))))</f>
        <v>0</v>
      </c>
      <c r="J1740" s="244">
        <f>IF(H1740="warranty",0,(I1740*(_xlfn.SINGLE(SalesTaxPercentage))))</f>
        <v>0</v>
      </c>
      <c r="K1740" s="696">
        <f t="shared" ref="K1740" si="1369">I1740+J1740</f>
        <v>0</v>
      </c>
      <c r="L1740" s="696"/>
      <c r="M1740" s="659" t="str">
        <f>IF(AND(G1740&gt;0,E1740=0),"WARNING - no PRICE inserted",IF(H1740="free"," FREE ~ no charge this plant",IF(H1740="credit",CONCATENATE(" -$",ROUND(K1740*(1-T2GDiscount)*-1,2)," CREDIT after discount"),IF(T2GDiscount=0,"",IF(G1740=0,"",IF(F1740="Buy",CONCATENATE(" $",ROUND(K1740*(1-T2GDiscount),2)," with ",(T2GDiscount*100),"% discount"),CONCATENATE(" $",ROUND(K1740*(1-T2GDiscount),2)," with ",((T2GDiscount*100+F1740*100)-(T2GDiscount*100*F1740)),IF(F1740&gt;0,"% discounts",IF(NoWarrantyDiscount&gt;0,"% discounts","% discount")))))))))</f>
        <v/>
      </c>
      <c r="N1740" s="660"/>
      <c r="O1740" s="233"/>
      <c r="P1740" s="233"/>
      <c r="Q1740" s="233"/>
      <c r="R1740" s="233"/>
      <c r="S1740" s="233"/>
      <c r="T1740" s="508">
        <f t="shared" si="1319"/>
        <v>0</v>
      </c>
      <c r="U1740" s="225">
        <f>IF(NOT(ISNUMBER(G1740)), "", VLOOKUP(A1740,'Discount Lookup'!D:E,2,FALSE)*G1740)</f>
        <v>0</v>
      </c>
      <c r="V1740" s="225">
        <f>IF(NOT(ISNUMBER(G1740)), "", VLOOKUP(A1740,'Discount Lookup'!G:H,2,FALSE)*G1740)</f>
        <v>0</v>
      </c>
      <c r="W1740" s="508">
        <f t="shared" si="1320"/>
        <v>0</v>
      </c>
      <c r="X1740" s="508">
        <f t="shared" si="1321"/>
        <v>0</v>
      </c>
      <c r="Y1740" s="509" t="b">
        <f t="shared" si="1322"/>
        <v>0</v>
      </c>
      <c r="Z1740" s="510">
        <f t="shared" si="1323"/>
        <v>0</v>
      </c>
      <c r="AA1740" s="511"/>
      <c r="AB1740" s="511" t="str">
        <f t="shared" si="1324"/>
        <v/>
      </c>
      <c r="AC1740" s="698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698"/>
      <c r="AE1740" s="631" t="str">
        <f t="shared" si="1325"/>
        <v/>
      </c>
      <c r="AF1740" s="699" t="str">
        <f t="shared" si="1326"/>
        <v/>
      </c>
      <c r="AG1740" s="699"/>
      <c r="AH1740" s="699"/>
      <c r="AI1740" s="512">
        <f>IF(H1740="credit",0,IF(AE1740="free",0,IF(AE1740="me",0,IF(G1740&gt;0,(VLOOKUP(A1740,'Discount Lookup'!J:K,2)*G1740),0))))</f>
        <v>0</v>
      </c>
      <c r="AJ1740" s="513" t="str">
        <f t="shared" ca="1" si="1327"/>
        <v/>
      </c>
      <c r="AK1740" s="700" t="str">
        <f t="shared" si="1328"/>
        <v/>
      </c>
      <c r="AL1740" s="700"/>
      <c r="AM1740" s="505" t="str">
        <f t="shared" si="1329"/>
        <v/>
      </c>
      <c r="AN1740" s="506"/>
      <c r="AO1740" s="507"/>
      <c r="AP1740" s="507"/>
      <c r="AQ1740" s="507"/>
      <c r="AR1740" s="507"/>
      <c r="AS1740" s="507"/>
      <c r="AT1740" s="507"/>
      <c r="AU1740" s="507"/>
      <c r="AV1740" s="225"/>
      <c r="AW1740" s="508"/>
      <c r="AX1740" s="225"/>
      <c r="AY1740" s="225"/>
      <c r="AZ1740" s="225"/>
      <c r="BA1740" s="225"/>
      <c r="BB1740" s="225"/>
      <c r="BC1740" s="56"/>
      <c r="BD1740" s="56"/>
      <c r="BE1740" s="56"/>
      <c r="BF1740" s="107" t="str">
        <f t="shared" si="1330"/>
        <v>https://www.google.com/search?tbm=isch&amp;q=1%20G2</v>
      </c>
      <c r="BG1740" s="107" t="str">
        <f t="shared" si="1331"/>
        <v>G</v>
      </c>
      <c r="BH1740" s="254"/>
      <c r="BI1740" s="254"/>
    </row>
    <row r="1741" spans="1:61" customFormat="1" ht="17.25" thickBot="1" x14ac:dyDescent="0.3">
      <c r="A1741" s="673" t="s">
        <v>5131</v>
      </c>
      <c r="B1741" s="245"/>
      <c r="C1741" s="677"/>
      <c r="D1741" s="499"/>
      <c r="E1741" s="499"/>
      <c r="F1741" s="500"/>
      <c r="G1741" s="501"/>
      <c r="H1741" s="502"/>
      <c r="I1741" s="246"/>
      <c r="J1741" s="247"/>
      <c r="K1741" s="503"/>
      <c r="L1741" s="544"/>
      <c r="M1741" s="544"/>
      <c r="N1741" s="500"/>
      <c r="O1741" s="500"/>
      <c r="P1741" s="500"/>
      <c r="Q1741" s="500"/>
      <c r="R1741" s="500"/>
      <c r="S1741" s="669" t="s">
        <v>4972</v>
      </c>
      <c r="T1741" s="508">
        <f t="shared" si="1319"/>
        <v>0</v>
      </c>
      <c r="U1741" s="225" t="str">
        <f>IF(NOT(ISNUMBER(G1741)), "", VLOOKUP(A1741,'Discount Lookup'!D:E,2,FALSE)*G1741)</f>
        <v/>
      </c>
      <c r="V1741" s="225" t="str">
        <f>IF(NOT(ISNUMBER(G1741)), "", VLOOKUP(A1741,'Discount Lookup'!G:H,2,FALSE)*G1741)</f>
        <v/>
      </c>
      <c r="W1741" s="508">
        <f t="shared" si="1320"/>
        <v>0</v>
      </c>
      <c r="X1741" s="508">
        <f t="shared" si="1321"/>
        <v>0</v>
      </c>
      <c r="Y1741" s="509" t="b">
        <f t="shared" si="1322"/>
        <v>0</v>
      </c>
      <c r="Z1741" s="510">
        <f t="shared" si="1323"/>
        <v>0</v>
      </c>
      <c r="AA1741" s="511"/>
      <c r="AB1741" s="511" t="str">
        <f t="shared" si="1324"/>
        <v/>
      </c>
      <c r="AC1741" s="698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698"/>
      <c r="AE1741" s="631" t="str">
        <f t="shared" si="1325"/>
        <v/>
      </c>
      <c r="AF1741" s="699" t="str">
        <f t="shared" si="1326"/>
        <v/>
      </c>
      <c r="AG1741" s="699"/>
      <c r="AH1741" s="699"/>
      <c r="AI1741" s="512">
        <f>IF(H1741="credit",0,IF(AE1741="free",0,IF(AE1741="me",0,IF(G1741&gt;0,(VLOOKUP(A1741,'Discount Lookup'!J:K,2)*G1741),0))))</f>
        <v>0</v>
      </c>
      <c r="AJ1741" s="513" t="str">
        <f t="shared" ca="1" si="1327"/>
        <v/>
      </c>
      <c r="AK1741" s="700" t="str">
        <f t="shared" si="1328"/>
        <v/>
      </c>
      <c r="AL1741" s="700"/>
      <c r="AM1741" s="505" t="str">
        <f t="shared" si="1329"/>
        <v/>
      </c>
      <c r="AN1741" s="506"/>
      <c r="AO1741" s="507"/>
      <c r="AP1741" s="507"/>
      <c r="AQ1741" s="507"/>
      <c r="AR1741" s="507"/>
      <c r="AS1741" s="507"/>
      <c r="AT1741" s="507"/>
      <c r="AU1741" s="507"/>
      <c r="AV1741" s="225"/>
      <c r="AW1741" s="508"/>
      <c r="AX1741" s="225"/>
      <c r="AY1741" s="225"/>
      <c r="AZ1741" s="225"/>
      <c r="BA1741" s="225"/>
      <c r="BB1741" s="225"/>
      <c r="BC1741" s="56"/>
      <c r="BD1741" s="56"/>
      <c r="BE1741" s="56"/>
      <c r="BF1741" s="107" t="str">
        <f t="shared" si="1330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1741" s="107" t="str">
        <f t="shared" si="1331"/>
        <v>m</v>
      </c>
      <c r="BH1741" s="254"/>
      <c r="BI1741" s="254"/>
    </row>
    <row r="1742" spans="1:61" customFormat="1" ht="18" x14ac:dyDescent="0.25">
      <c r="A1742" s="523" t="s">
        <v>1057</v>
      </c>
      <c r="B1742" s="235"/>
      <c r="C1742" s="676"/>
      <c r="D1742" s="255" t="s">
        <v>1058</v>
      </c>
      <c r="E1742" s="236"/>
      <c r="F1742" s="236"/>
      <c r="G1742" s="236"/>
      <c r="H1742" s="582" t="s">
        <v>4043</v>
      </c>
      <c r="I1742" s="498" t="s">
        <v>1059</v>
      </c>
      <c r="J1742" s="237"/>
      <c r="K1742" s="237"/>
      <c r="L1742" s="274"/>
      <c r="M1742" s="670" t="s">
        <v>4987</v>
      </c>
      <c r="N1742" s="681" t="str">
        <f>IF(AND(ISTEXT($A1742), ISERROR($A1742+0)), HYPERLINK($BF1742, "Images"), "")</f>
        <v>Images</v>
      </c>
      <c r="O1742" s="663" t="s">
        <v>4971</v>
      </c>
      <c r="P1742" s="253"/>
      <c r="Q1742" s="238"/>
      <c r="R1742" s="239"/>
      <c r="S1742" s="275"/>
      <c r="T1742" s="508">
        <f t="shared" ref="T1742:T1805" si="1370">E1742*G1742</f>
        <v>0</v>
      </c>
      <c r="U1742" s="225" t="str">
        <f>IF(NOT(ISNUMBER(G1742)), "", VLOOKUP(A1742,'Discount Lookup'!D:E,2,FALSE)*G1742)</f>
        <v/>
      </c>
      <c r="V1742" s="225" t="str">
        <f>IF(NOT(ISNUMBER(G1742)), "", VLOOKUP(A1742,'Discount Lookup'!G:H,2,FALSE)*G1742)</f>
        <v/>
      </c>
      <c r="W1742" s="508">
        <f t="shared" ref="W1742:W1805" si="1371">IF(H1742="credit",0,E1742*(SalesTaxPercentage)*G1742)</f>
        <v>0</v>
      </c>
      <c r="X1742" s="508" t="str">
        <f t="shared" ref="X1742:X1805" si="1372">I1742</f>
        <v>White-Lavender bloom</v>
      </c>
      <c r="Y1742" s="509" t="b">
        <f t="shared" ref="Y1742:Y1805" si="1373">IF(AE1742="T2G",0,IF(H1742="credit",0,IF(G1742&gt;0,IF(AE1742="me","",G1742))))</f>
        <v>0</v>
      </c>
      <c r="Z1742" s="510">
        <f t="shared" ref="Z1742:Z1805" si="1374">IF(H1742="credit",G1742,0)</f>
        <v>0</v>
      </c>
      <c r="AA1742" s="511"/>
      <c r="AB1742" s="511" t="str">
        <f t="shared" ref="AB1742:AB1805" si="1375">IF(AE1742="T2G","by Trees2Go",IF(H1742="credit","CREDIT only ~",IF(AND(K1742="",AE1742=OR(PlanterYesMe="No",PlanterYesMe="N",PlanterYesMe="me")),"not THIS line⇨",IF(AND(K1742="images",AE1742="me"),"not THIS line⇨",IF(H1742="credit","",IF(G1742=0,"",IF(AE1742="me","",IF(OR(PlanterYesMe="No",PlanterYesMe="N",PlanterYesMe="me"),"",IF(AE1742="free","warranty",IF(OR(PlanterYesMe="yes",PlanterYesMe="y"),"Edison install:","to install:"))))))))))</f>
        <v/>
      </c>
      <c r="AC1742" s="698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698"/>
      <c r="AE1742" s="631" t="str">
        <f t="shared" ref="AE1742:AE1805" si="1376">IF(H1742="credit","",IF(G1742=0,"",IF(OR(PlanterYesMe="No",PlanterYesMe="N",PlanterYesMe="me"),"me",IF(H1742="warranty","free",IF(OR(PlanterYesMe="yes",PlanterYesMe="y"),"ELP","")))))</f>
        <v/>
      </c>
      <c r="AF1742" s="699" t="str">
        <f t="shared" ref="AF1742:AF1805" si="1377">IF(OR(PlanterYesMe="No",PlanterYesMe="N",PlanterYesMe="me"),"",IF(H1742="credit","",IF(G1742&gt;0,(CONCATENATE((G1742)," quantity, ",(A1742)," ",B1742)),"")))</f>
        <v/>
      </c>
      <c r="AG1742" s="699"/>
      <c r="AH1742" s="699"/>
      <c r="AI1742" s="512">
        <f>IF(H1742="credit",0,IF(AE1742="free",0,IF(AE1742="me",0,IF(G1742&gt;0,(VLOOKUP(A1742,'Discount Lookup'!J:K,2)*G1742),0))))</f>
        <v>0</v>
      </c>
      <c r="AJ1742" s="513" t="str">
        <f t="shared" ref="AJ1742:AJ1805" ca="1" si="1378">IF(AND(ISREF(H1742),H1742="credit"),"",IF(AND(AND(OFFSET(G1742,0,0)=0,OFFSET(G1742,1,0)&gt;0,ISNUMBER(OFFSET(AC1742,1,0)),OFFSET(AC1742,1,0)&gt;0),OR(PlanterYesMe="yes",PlanterYesMe="y")),"T2G+ELP=",IF(AND(OFFSET(G1742,0,0)=0,OFFSET(G1742,1,0)&gt;0,ISNUMBER(OFFSET(AC1742,1,0)),OFFSET(AC1742,1,0)&gt;0),"if T2G+ELP=",IF(AND(OFFSET(G1742,0,0)=0,OFFSET(G1742,1,0)&gt;0),"T2G Subtotal",IF(H1742="credit","",IF(G1742=0,"",IF(AE1742="free",(K1742*(1-T2GDiscount)),IF(OR(PlanterYesMe="No",PlanterYesMe="N",PlanterYesMe="me"),(K1742*(1-T2GDiscount)),IF(OR(AE1742="me",AE1742="T2G"),(K1742*(1-T2GDiscount)),(K1742*(1-T2GDiscount))+AC1742)))))))))</f>
        <v/>
      </c>
      <c r="AK1742" s="700" t="str">
        <f t="shared" ref="AK1742:AK1805" si="1379">IF(H1742="credit","",IF(G1742=0,"",IF(OR(AE1742="me",AE1742="T2G"),"  delivery-only",IF(OR(PlanterYesMe="No",PlanterYesMe="N",PlanterYesMe="me"),"  delivery-only",CONCATENATE(" $",ROUND(AJ1742/G1742,2)," each")))))</f>
        <v/>
      </c>
      <c r="AL1742" s="700"/>
      <c r="AM1742" s="505" t="str">
        <f t="shared" ref="AM1742:AM1805" si="1380">IF(H1742="credit","",IF(AE1742="free","      ~ discounts included, no tax or planting fee applies ~",IF(G1742=0,"",IF(OR(PlanterYesMe="No",PlanterYesMe="N",PlanterYesMe="me"),CONCATENATE(" $",ROUND(AJ1742/G1742,2)," per plant, with tax &amp; discount"),IF(OR(AE1742="me",AE1742="T2G"),CONCATENATE(" $",ROUND(AJ1742/G1742,2)," per plant, with tax &amp; discount"),CONCATENATE("= $",ROUND((K1742*(1-T2GDiscount))/G1742,2)," per plant + $",AC1742/G1742,(" per planting      ~ includes tax &amp; discounts ~")))))))</f>
        <v/>
      </c>
      <c r="AN1742" s="506"/>
      <c r="AO1742" s="507"/>
      <c r="AP1742" s="507"/>
      <c r="AQ1742" s="507"/>
      <c r="AR1742" s="507"/>
      <c r="AS1742" s="507"/>
      <c r="AT1742" s="507"/>
      <c r="AU1742" s="507"/>
      <c r="AV1742" s="225"/>
      <c r="AW1742" s="508"/>
      <c r="AX1742" s="225"/>
      <c r="AY1742" s="225"/>
      <c r="AZ1742" s="225"/>
      <c r="BA1742" s="225"/>
      <c r="BB1742" s="225"/>
      <c r="BC1742" s="56"/>
      <c r="BD1742" s="56"/>
      <c r="BE1742" s="56"/>
      <c r="BF1742" s="107" t="str">
        <f t="shared" ref="BF1742:BF1805" si="1381">"https://www.google.com/search?tbm=isch&amp;q=" &amp; _xlfn.ENCODEURL($A1742 &amp; " " &amp; $D1742)</f>
        <v>https://www.google.com/search?tbm=isch&amp;q=Guacamole%20Hosta%20Hosta%20%27Guacamole%27</v>
      </c>
      <c r="BG1742" s="107" t="str">
        <f t="shared" ref="BG1742:BG1805" si="1382">IF(ISTEXT(A1742),LEFT(A1742,1),BG1741)</f>
        <v>G</v>
      </c>
      <c r="BH1742" s="254"/>
      <c r="BI1742" s="254"/>
    </row>
    <row r="1743" spans="1:61" customFormat="1" ht="15.75" x14ac:dyDescent="0.25">
      <c r="A1743" s="276">
        <v>4</v>
      </c>
      <c r="B1743" s="240" t="s">
        <v>340</v>
      </c>
      <c r="C1743" s="241"/>
      <c r="D1743" s="242" t="s">
        <v>312</v>
      </c>
      <c r="E1743" s="243">
        <v>14.95</v>
      </c>
      <c r="F1743" s="517" t="s">
        <v>293</v>
      </c>
      <c r="G1743" s="232">
        <v>0</v>
      </c>
      <c r="H1743" s="661" t="str">
        <f>IF(G1743=0,"",IF(F1743="Buy",IF(G1743=1,"plant","plants"),IF(F1743&gt;0.01,"warranty","Error")))</f>
        <v/>
      </c>
      <c r="I1743" s="244">
        <f>IF(H1743="free",0,IF(H1743="credit",((E1743*(F1743))*G1743*-1),IF(F1743="Buy",(E1743*G1743),((E1743*(1-F1743))*G1743))))</f>
        <v>0</v>
      </c>
      <c r="J1743" s="244">
        <f>IF(H1743="warranty",0,(I1743*(_xlfn.SINGLE(SalesTaxPercentage))))</f>
        <v>0</v>
      </c>
      <c r="K1743" s="696">
        <f t="shared" ref="K1743" si="1383">I1743+J1743</f>
        <v>0</v>
      </c>
      <c r="L1743" s="696"/>
      <c r="M1743" s="659" t="str">
        <f>IF(AND(G1743&gt;0,E1743=0),"WARNING - no PRICE inserted",IF(H1743="free"," FREE ~ no charge this plant",IF(H1743="credit",CONCATENATE(" -$",ROUND(K1743*(1-T2GDiscount)*-1,2)," CREDIT after discount"),IF(T2GDiscount=0,"",IF(G1743=0,"",IF(F1743="Buy",CONCATENATE(" $",ROUND(K1743*(1-T2GDiscount),2)," with ",(T2GDiscount*100),"% discount"),CONCATENATE(" $",ROUND(K1743*(1-T2GDiscount),2)," with ",((T2GDiscount*100+F1743*100)-(T2GDiscount*100*F1743)),IF(F1743&gt;0,"% discounts",IF(NoWarrantyDiscount&gt;0,"% discounts","% discount")))))))))</f>
        <v/>
      </c>
      <c r="N1743" s="660"/>
      <c r="O1743" s="233"/>
      <c r="P1743" s="233"/>
      <c r="Q1743" s="233"/>
      <c r="R1743" s="233"/>
      <c r="S1743" s="233"/>
      <c r="T1743" s="508">
        <f t="shared" si="1370"/>
        <v>0</v>
      </c>
      <c r="U1743" s="225">
        <f>IF(NOT(ISNUMBER(G1743)), "", VLOOKUP(A1743,'Discount Lookup'!D:E,2,FALSE)*G1743)</f>
        <v>0</v>
      </c>
      <c r="V1743" s="225">
        <f>IF(NOT(ISNUMBER(G1743)), "", VLOOKUP(A1743,'Discount Lookup'!G:H,2,FALSE)*G1743)</f>
        <v>0</v>
      </c>
      <c r="W1743" s="508">
        <f t="shared" si="1371"/>
        <v>0</v>
      </c>
      <c r="X1743" s="508">
        <f t="shared" si="1372"/>
        <v>0</v>
      </c>
      <c r="Y1743" s="509" t="b">
        <f t="shared" si="1373"/>
        <v>0</v>
      </c>
      <c r="Z1743" s="510">
        <f t="shared" si="1374"/>
        <v>0</v>
      </c>
      <c r="AA1743" s="511"/>
      <c r="AB1743" s="511" t="str">
        <f t="shared" si="1375"/>
        <v/>
      </c>
      <c r="AC1743" s="698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698"/>
      <c r="AE1743" s="631" t="str">
        <f t="shared" si="1376"/>
        <v/>
      </c>
      <c r="AF1743" s="699" t="str">
        <f t="shared" si="1377"/>
        <v/>
      </c>
      <c r="AG1743" s="699"/>
      <c r="AH1743" s="699"/>
      <c r="AI1743" s="512">
        <f>IF(H1743="credit",0,IF(AE1743="free",0,IF(AE1743="me",0,IF(G1743&gt;0,(VLOOKUP(A1743,'Discount Lookup'!J:K,2)*G1743),0))))</f>
        <v>0</v>
      </c>
      <c r="AJ1743" s="513" t="str">
        <f t="shared" ca="1" si="1378"/>
        <v/>
      </c>
      <c r="AK1743" s="700" t="str">
        <f t="shared" si="1379"/>
        <v/>
      </c>
      <c r="AL1743" s="700"/>
      <c r="AM1743" s="505" t="str">
        <f t="shared" si="1380"/>
        <v/>
      </c>
      <c r="AN1743" s="506"/>
      <c r="AO1743" s="507"/>
      <c r="AP1743" s="507"/>
      <c r="AQ1743" s="507"/>
      <c r="AR1743" s="507"/>
      <c r="AS1743" s="507"/>
      <c r="AT1743" s="507"/>
      <c r="AU1743" s="507"/>
      <c r="AV1743" s="225"/>
      <c r="AW1743" s="508"/>
      <c r="AX1743" s="225"/>
      <c r="AY1743" s="225"/>
      <c r="AZ1743" s="225"/>
      <c r="BA1743" s="225"/>
      <c r="BB1743" s="225"/>
      <c r="BC1743" s="56"/>
      <c r="BD1743" s="56"/>
      <c r="BE1743" s="56"/>
      <c r="BF1743" s="107" t="str">
        <f t="shared" si="1381"/>
        <v>https://www.google.com/search?tbm=isch&amp;q=4%20G2</v>
      </c>
      <c r="BG1743" s="107" t="str">
        <f t="shared" si="1382"/>
        <v>G</v>
      </c>
      <c r="BH1743" s="254"/>
      <c r="BI1743" s="254"/>
    </row>
    <row r="1744" spans="1:61" customFormat="1" ht="15.75" x14ac:dyDescent="0.25">
      <c r="A1744" s="276">
        <v>1</v>
      </c>
      <c r="B1744" s="240" t="s">
        <v>291</v>
      </c>
      <c r="C1744" s="241"/>
      <c r="D1744" s="242" t="s">
        <v>300</v>
      </c>
      <c r="E1744" s="243">
        <v>17.95</v>
      </c>
      <c r="F1744" s="517" t="s">
        <v>293</v>
      </c>
      <c r="G1744" s="232">
        <v>0</v>
      </c>
      <c r="H1744" s="661" t="str">
        <f>IF(G1744=0,"",IF(F1744="Buy",IF(G1744=1,"plant","plants"),IF(F1744&gt;0.01,"warranty","Error")))</f>
        <v/>
      </c>
      <c r="I1744" s="244">
        <f>IF(H1744="free",0,IF(H1744="credit",((E1744*(F1744))*G1744*-1),IF(F1744="Buy",(E1744*G1744),((E1744*(1-F1744))*G1744))))</f>
        <v>0</v>
      </c>
      <c r="J1744" s="244">
        <f>IF(H1744="warranty",0,(I1744*(_xlfn.SINGLE(SalesTaxPercentage))))</f>
        <v>0</v>
      </c>
      <c r="K1744" s="696">
        <f t="shared" ref="K1744" si="1384">I1744+J1744</f>
        <v>0</v>
      </c>
      <c r="L1744" s="696"/>
      <c r="M1744" s="659" t="str">
        <f>IF(AND(G1744&gt;0,E1744=0),"WARNING - no PRICE inserted",IF(H1744="free"," FREE ~ no charge this plant",IF(H1744="credit",CONCATENATE(" -$",ROUND(K1744*(1-T2GDiscount)*-1,2)," CREDIT after discount"),IF(T2GDiscount=0,"",IF(G1744=0,"",IF(F1744="Buy",CONCATENATE(" $",ROUND(K1744*(1-T2GDiscount),2)," with ",(T2GDiscount*100),"% discount"),CONCATENATE(" $",ROUND(K1744*(1-T2GDiscount),2)," with ",((T2GDiscount*100+F1744*100)-(T2GDiscount*100*F1744)),IF(F1744&gt;0,"% discounts",IF(NoWarrantyDiscount&gt;0,"% discounts","% discount")))))))))</f>
        <v/>
      </c>
      <c r="N1744" s="660"/>
      <c r="O1744" s="233"/>
      <c r="P1744" s="233"/>
      <c r="Q1744" s="233"/>
      <c r="R1744" s="233"/>
      <c r="S1744" s="233"/>
      <c r="T1744" s="508">
        <f t="shared" si="1370"/>
        <v>0</v>
      </c>
      <c r="U1744" s="225">
        <f>IF(NOT(ISNUMBER(G1744)), "", VLOOKUP(A1744,'Discount Lookup'!D:E,2,FALSE)*G1744)</f>
        <v>0</v>
      </c>
      <c r="V1744" s="225">
        <f>IF(NOT(ISNUMBER(G1744)), "", VLOOKUP(A1744,'Discount Lookup'!G:H,2,FALSE)*G1744)</f>
        <v>0</v>
      </c>
      <c r="W1744" s="508">
        <f t="shared" si="1371"/>
        <v>0</v>
      </c>
      <c r="X1744" s="508">
        <f t="shared" si="1372"/>
        <v>0</v>
      </c>
      <c r="Y1744" s="509" t="b">
        <f t="shared" si="1373"/>
        <v>0</v>
      </c>
      <c r="Z1744" s="510">
        <f t="shared" si="1374"/>
        <v>0</v>
      </c>
      <c r="AA1744" s="511"/>
      <c r="AB1744" s="511" t="str">
        <f t="shared" si="1375"/>
        <v/>
      </c>
      <c r="AC1744" s="698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698"/>
      <c r="AE1744" s="631" t="str">
        <f t="shared" si="1376"/>
        <v/>
      </c>
      <c r="AF1744" s="699" t="str">
        <f t="shared" si="1377"/>
        <v/>
      </c>
      <c r="AG1744" s="699"/>
      <c r="AH1744" s="699"/>
      <c r="AI1744" s="512">
        <f>IF(H1744="credit",0,IF(AE1744="free",0,IF(AE1744="me",0,IF(G1744&gt;0,(VLOOKUP(A1744,'Discount Lookup'!J:K,2)*G1744),0))))</f>
        <v>0</v>
      </c>
      <c r="AJ1744" s="513" t="str">
        <f t="shared" ca="1" si="1378"/>
        <v/>
      </c>
      <c r="AK1744" s="700" t="str">
        <f t="shared" si="1379"/>
        <v/>
      </c>
      <c r="AL1744" s="700"/>
      <c r="AM1744" s="505" t="str">
        <f t="shared" si="1380"/>
        <v/>
      </c>
      <c r="AN1744" s="506"/>
      <c r="AO1744" s="507"/>
      <c r="AP1744" s="507"/>
      <c r="AQ1744" s="507"/>
      <c r="AR1744" s="507"/>
      <c r="AS1744" s="507"/>
      <c r="AT1744" s="507"/>
      <c r="AU1744" s="507"/>
      <c r="AV1744" s="225"/>
      <c r="AW1744" s="508"/>
      <c r="AX1744" s="225"/>
      <c r="AY1744" s="225"/>
      <c r="AZ1744" s="225"/>
      <c r="BA1744" s="225"/>
      <c r="BB1744" s="225"/>
      <c r="BC1744" s="56"/>
      <c r="BD1744" s="56"/>
      <c r="BE1744" s="56"/>
      <c r="BF1744" s="107" t="str">
        <f t="shared" si="1381"/>
        <v>https://www.google.com/search?tbm=isch&amp;q=1%20G6</v>
      </c>
      <c r="BG1744" s="107" t="str">
        <f t="shared" si="1382"/>
        <v>G</v>
      </c>
      <c r="BH1744" s="254"/>
      <c r="BI1744" s="254"/>
    </row>
    <row r="1745" spans="1:61" customFormat="1" ht="17.25" thickBot="1" x14ac:dyDescent="0.3">
      <c r="A1745" s="673" t="s">
        <v>5132</v>
      </c>
      <c r="B1745" s="245"/>
      <c r="C1745" s="677"/>
      <c r="D1745" s="499"/>
      <c r="E1745" s="499"/>
      <c r="F1745" s="500"/>
      <c r="G1745" s="501"/>
      <c r="H1745" s="502"/>
      <c r="I1745" s="246"/>
      <c r="J1745" s="247"/>
      <c r="K1745" s="503"/>
      <c r="L1745" s="544"/>
      <c r="M1745" s="544"/>
      <c r="N1745" s="500"/>
      <c r="O1745" s="500"/>
      <c r="P1745" s="500"/>
      <c r="Q1745" s="500"/>
      <c r="R1745" s="500"/>
      <c r="S1745" s="669" t="s">
        <v>4977</v>
      </c>
      <c r="T1745" s="508">
        <f t="shared" si="1370"/>
        <v>0</v>
      </c>
      <c r="U1745" s="225" t="str">
        <f>IF(NOT(ISNUMBER(G1745)), "", VLOOKUP(A1745,'Discount Lookup'!D:E,2,FALSE)*G1745)</f>
        <v/>
      </c>
      <c r="V1745" s="225" t="str">
        <f>IF(NOT(ISNUMBER(G1745)), "", VLOOKUP(A1745,'Discount Lookup'!G:H,2,FALSE)*G1745)</f>
        <v/>
      </c>
      <c r="W1745" s="508">
        <f t="shared" si="1371"/>
        <v>0</v>
      </c>
      <c r="X1745" s="508">
        <f t="shared" si="1372"/>
        <v>0</v>
      </c>
      <c r="Y1745" s="509" t="b">
        <f t="shared" si="1373"/>
        <v>0</v>
      </c>
      <c r="Z1745" s="510">
        <f t="shared" si="1374"/>
        <v>0</v>
      </c>
      <c r="AA1745" s="511"/>
      <c r="AB1745" s="511" t="str">
        <f t="shared" si="1375"/>
        <v/>
      </c>
      <c r="AC1745" s="698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698"/>
      <c r="AE1745" s="631" t="str">
        <f t="shared" si="1376"/>
        <v/>
      </c>
      <c r="AF1745" s="699" t="str">
        <f t="shared" si="1377"/>
        <v/>
      </c>
      <c r="AG1745" s="699"/>
      <c r="AH1745" s="699"/>
      <c r="AI1745" s="512">
        <f>IF(H1745="credit",0,IF(AE1745="free",0,IF(AE1745="me",0,IF(G1745&gt;0,(VLOOKUP(A1745,'Discount Lookup'!J:K,2)*G1745),0))))</f>
        <v>0</v>
      </c>
      <c r="AJ1745" s="513" t="str">
        <f t="shared" ca="1" si="1378"/>
        <v/>
      </c>
      <c r="AK1745" s="700" t="str">
        <f t="shared" si="1379"/>
        <v/>
      </c>
      <c r="AL1745" s="700"/>
      <c r="AM1745" s="505" t="str">
        <f t="shared" si="1380"/>
        <v/>
      </c>
      <c r="AN1745" s="506"/>
      <c r="AO1745" s="507"/>
      <c r="AP1745" s="507"/>
      <c r="AQ1745" s="507"/>
      <c r="AR1745" s="507"/>
      <c r="AS1745" s="507"/>
      <c r="AT1745" s="507"/>
      <c r="AU1745" s="507"/>
      <c r="AV1745" s="225"/>
      <c r="AW1745" s="508"/>
      <c r="AX1745" s="225"/>
      <c r="AY1745" s="225"/>
      <c r="AZ1745" s="225"/>
      <c r="BA1745" s="225"/>
      <c r="BB1745" s="225"/>
      <c r="BC1745" s="56"/>
      <c r="BD1745" s="56"/>
      <c r="BE1745" s="56"/>
      <c r="BF1745" s="107" t="str">
        <f t="shared" si="1381"/>
        <v>https://www.google.com/search?tbm=isch&amp;q=moist%20sites%F0%9F%92%A7OK%2C%20Guacamole%20has%20large%2C%20glossy%2C%20leaves%20with%20Avacado%20foliage%20%26%20darker%20Green%20margin.%20Higly%20fragrant%20</v>
      </c>
      <c r="BG1745" s="107" t="str">
        <f t="shared" si="1382"/>
        <v>m</v>
      </c>
      <c r="BH1745" s="254"/>
      <c r="BI1745" s="254"/>
    </row>
    <row r="1746" spans="1:61" customFormat="1" ht="18" x14ac:dyDescent="0.25">
      <c r="A1746" s="523" t="s">
        <v>1060</v>
      </c>
      <c r="B1746" s="235"/>
      <c r="C1746" s="676"/>
      <c r="D1746" s="255" t="s">
        <v>1061</v>
      </c>
      <c r="E1746" s="236"/>
      <c r="F1746" s="236"/>
      <c r="G1746" s="236"/>
      <c r="H1746" s="582" t="s">
        <v>4099</v>
      </c>
      <c r="I1746" s="498" t="s">
        <v>1059</v>
      </c>
      <c r="J1746" s="237"/>
      <c r="K1746" s="237"/>
      <c r="L1746" s="274"/>
      <c r="M1746" s="670" t="s">
        <v>4987</v>
      </c>
      <c r="N1746" s="681" t="str">
        <f>IF(AND(ISTEXT($A1746), ISERROR($A1746+0)), HYPERLINK($BF1746, "Images"), "")</f>
        <v>Images</v>
      </c>
      <c r="O1746" s="663" t="s">
        <v>4971</v>
      </c>
      <c r="P1746" s="253"/>
      <c r="Q1746" s="238"/>
      <c r="R1746" s="239"/>
      <c r="S1746" s="275"/>
      <c r="T1746" s="508">
        <f t="shared" si="1370"/>
        <v>0</v>
      </c>
      <c r="U1746" s="225" t="str">
        <f>IF(NOT(ISNUMBER(G1746)), "", VLOOKUP(A1746,'Discount Lookup'!D:E,2,FALSE)*G1746)</f>
        <v/>
      </c>
      <c r="V1746" s="225" t="str">
        <f>IF(NOT(ISNUMBER(G1746)), "", VLOOKUP(A1746,'Discount Lookup'!G:H,2,FALSE)*G1746)</f>
        <v/>
      </c>
      <c r="W1746" s="508">
        <f t="shared" si="1371"/>
        <v>0</v>
      </c>
      <c r="X1746" s="508" t="str">
        <f t="shared" si="1372"/>
        <v>White-Lavender bloom</v>
      </c>
      <c r="Y1746" s="509" t="b">
        <f t="shared" si="1373"/>
        <v>0</v>
      </c>
      <c r="Z1746" s="510">
        <f t="shared" si="1374"/>
        <v>0</v>
      </c>
      <c r="AA1746" s="511"/>
      <c r="AB1746" s="511" t="str">
        <f t="shared" si="1375"/>
        <v/>
      </c>
      <c r="AC1746" s="698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698"/>
      <c r="AE1746" s="631" t="str">
        <f t="shared" si="1376"/>
        <v/>
      </c>
      <c r="AF1746" s="699" t="str">
        <f t="shared" si="1377"/>
        <v/>
      </c>
      <c r="AG1746" s="699"/>
      <c r="AH1746" s="699"/>
      <c r="AI1746" s="512">
        <f>IF(H1746="credit",0,IF(AE1746="free",0,IF(AE1746="me",0,IF(G1746&gt;0,(VLOOKUP(A1746,'Discount Lookup'!J:K,2)*G1746),0))))</f>
        <v>0</v>
      </c>
      <c r="AJ1746" s="513" t="str">
        <f t="shared" ca="1" si="1378"/>
        <v/>
      </c>
      <c r="AK1746" s="700" t="str">
        <f t="shared" si="1379"/>
        <v/>
      </c>
      <c r="AL1746" s="700"/>
      <c r="AM1746" s="505" t="str">
        <f t="shared" si="1380"/>
        <v/>
      </c>
      <c r="AN1746" s="506"/>
      <c r="AO1746" s="507"/>
      <c r="AP1746" s="507"/>
      <c r="AQ1746" s="507"/>
      <c r="AR1746" s="507"/>
      <c r="AS1746" s="507"/>
      <c r="AT1746" s="507"/>
      <c r="AU1746" s="507"/>
      <c r="AV1746" s="225"/>
      <c r="AW1746" s="508"/>
      <c r="AX1746" s="225"/>
      <c r="AY1746" s="225"/>
      <c r="AZ1746" s="225"/>
      <c r="BA1746" s="225"/>
      <c r="BB1746" s="225"/>
      <c r="BC1746" s="56"/>
      <c r="BD1746" s="56"/>
      <c r="BE1746" s="56"/>
      <c r="BF1746" s="107" t="str">
        <f t="shared" si="1381"/>
        <v>https://www.google.com/search?tbm=isch&amp;q=Guardian%20Angel%20Hosta%20Hosta%20%27Guardian%20Angel%27</v>
      </c>
      <c r="BG1746" s="107" t="str">
        <f t="shared" si="1382"/>
        <v>G</v>
      </c>
      <c r="BH1746" s="254"/>
      <c r="BI1746" s="254"/>
    </row>
    <row r="1747" spans="1:61" customFormat="1" ht="15.75" x14ac:dyDescent="0.25">
      <c r="A1747" s="276">
        <v>4</v>
      </c>
      <c r="B1747" s="240" t="s">
        <v>340</v>
      </c>
      <c r="C1747" s="241"/>
      <c r="D1747" s="242" t="s">
        <v>312</v>
      </c>
      <c r="E1747" s="243">
        <v>14.95</v>
      </c>
      <c r="F1747" s="517" t="s">
        <v>293</v>
      </c>
      <c r="G1747" s="232">
        <v>0</v>
      </c>
      <c r="H1747" s="661" t="str">
        <f>IF(G1747=0,"",IF(F1747="Buy",IF(G1747=1,"plant","plants"),IF(F1747&gt;0.01,"warranty","Error")))</f>
        <v/>
      </c>
      <c r="I1747" s="244">
        <f>IF(H1747="free",0,IF(H1747="credit",((E1747*(F1747))*G1747*-1),IF(F1747="Buy",(E1747*G1747),((E1747*(1-F1747))*G1747))))</f>
        <v>0</v>
      </c>
      <c r="J1747" s="244">
        <f>IF(H1747="warranty",0,(I1747*(_xlfn.SINGLE(SalesTaxPercentage))))</f>
        <v>0</v>
      </c>
      <c r="K1747" s="696">
        <f t="shared" ref="K1747" si="1385">I1747+J1747</f>
        <v>0</v>
      </c>
      <c r="L1747" s="696"/>
      <c r="M1747" s="659" t="str">
        <f>IF(AND(G1747&gt;0,E1747=0),"WARNING - no PRICE inserted",IF(H1747="free"," FREE ~ no charge this plant",IF(H1747="credit",CONCATENATE(" -$",ROUND(K1747*(1-T2GDiscount)*-1,2)," CREDIT after discount"),IF(T2GDiscount=0,"",IF(G1747=0,"",IF(F1747="Buy",CONCATENATE(" $",ROUND(K1747*(1-T2GDiscount),2)," with ",(T2GDiscount*100),"% discount"),CONCATENATE(" $",ROUND(K1747*(1-T2GDiscount),2)," with ",((T2GDiscount*100+F1747*100)-(T2GDiscount*100*F1747)),IF(F1747&gt;0,"% discounts",IF(NoWarrantyDiscount&gt;0,"% discounts","% discount")))))))))</f>
        <v/>
      </c>
      <c r="N1747" s="660"/>
      <c r="O1747" s="233"/>
      <c r="P1747" s="233"/>
      <c r="Q1747" s="233"/>
      <c r="R1747" s="233"/>
      <c r="S1747" s="233"/>
      <c r="T1747" s="508">
        <f t="shared" si="1370"/>
        <v>0</v>
      </c>
      <c r="U1747" s="225">
        <f>IF(NOT(ISNUMBER(G1747)), "", VLOOKUP(A1747,'Discount Lookup'!D:E,2,FALSE)*G1747)</f>
        <v>0</v>
      </c>
      <c r="V1747" s="225">
        <f>IF(NOT(ISNUMBER(G1747)), "", VLOOKUP(A1747,'Discount Lookup'!G:H,2,FALSE)*G1747)</f>
        <v>0</v>
      </c>
      <c r="W1747" s="508">
        <f t="shared" si="1371"/>
        <v>0</v>
      </c>
      <c r="X1747" s="508">
        <f t="shared" si="1372"/>
        <v>0</v>
      </c>
      <c r="Y1747" s="509" t="b">
        <f t="shared" si="1373"/>
        <v>0</v>
      </c>
      <c r="Z1747" s="510">
        <f t="shared" si="1374"/>
        <v>0</v>
      </c>
      <c r="AA1747" s="511"/>
      <c r="AB1747" s="511" t="str">
        <f t="shared" si="1375"/>
        <v/>
      </c>
      <c r="AC1747" s="698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698"/>
      <c r="AE1747" s="631" t="str">
        <f t="shared" si="1376"/>
        <v/>
      </c>
      <c r="AF1747" s="699" t="str">
        <f t="shared" si="1377"/>
        <v/>
      </c>
      <c r="AG1747" s="699"/>
      <c r="AH1747" s="699"/>
      <c r="AI1747" s="512">
        <f>IF(H1747="credit",0,IF(AE1747="free",0,IF(AE1747="me",0,IF(G1747&gt;0,(VLOOKUP(A1747,'Discount Lookup'!J:K,2)*G1747),0))))</f>
        <v>0</v>
      </c>
      <c r="AJ1747" s="513" t="str">
        <f t="shared" ca="1" si="1378"/>
        <v/>
      </c>
      <c r="AK1747" s="700" t="str">
        <f t="shared" si="1379"/>
        <v/>
      </c>
      <c r="AL1747" s="700"/>
      <c r="AM1747" s="505" t="str">
        <f t="shared" si="1380"/>
        <v/>
      </c>
      <c r="AN1747" s="506"/>
      <c r="AO1747" s="507"/>
      <c r="AP1747" s="507"/>
      <c r="AQ1747" s="507"/>
      <c r="AR1747" s="507"/>
      <c r="AS1747" s="507"/>
      <c r="AT1747" s="507"/>
      <c r="AU1747" s="507"/>
      <c r="AV1747" s="225"/>
      <c r="AW1747" s="508"/>
      <c r="AX1747" s="225"/>
      <c r="AY1747" s="225"/>
      <c r="AZ1747" s="225"/>
      <c r="BA1747" s="225"/>
      <c r="BB1747" s="225"/>
      <c r="BC1747" s="56"/>
      <c r="BD1747" s="56"/>
      <c r="BE1747" s="56"/>
      <c r="BF1747" s="107" t="str">
        <f t="shared" si="1381"/>
        <v>https://www.google.com/search?tbm=isch&amp;q=4%20G2</v>
      </c>
      <c r="BG1747" s="107" t="str">
        <f t="shared" si="1382"/>
        <v>G</v>
      </c>
      <c r="BH1747" s="254"/>
      <c r="BI1747" s="254"/>
    </row>
    <row r="1748" spans="1:61" customFormat="1" ht="17.25" thickBot="1" x14ac:dyDescent="0.3">
      <c r="A1748" s="673" t="s">
        <v>5133</v>
      </c>
      <c r="B1748" s="245"/>
      <c r="C1748" s="677"/>
      <c r="D1748" s="499"/>
      <c r="E1748" s="499"/>
      <c r="F1748" s="500"/>
      <c r="G1748" s="501"/>
      <c r="H1748" s="502"/>
      <c r="I1748" s="246"/>
      <c r="J1748" s="247"/>
      <c r="K1748" s="503"/>
      <c r="L1748" s="544"/>
      <c r="M1748" s="544"/>
      <c r="N1748" s="500"/>
      <c r="O1748" s="500"/>
      <c r="P1748" s="500"/>
      <c r="Q1748" s="500"/>
      <c r="R1748" s="500"/>
      <c r="S1748" s="669" t="s">
        <v>4977</v>
      </c>
      <c r="T1748" s="508">
        <f t="shared" si="1370"/>
        <v>0</v>
      </c>
      <c r="U1748" s="225" t="str">
        <f>IF(NOT(ISNUMBER(G1748)), "", VLOOKUP(A1748,'Discount Lookup'!D:E,2,FALSE)*G1748)</f>
        <v/>
      </c>
      <c r="V1748" s="225" t="str">
        <f>IF(NOT(ISNUMBER(G1748)), "", VLOOKUP(A1748,'Discount Lookup'!G:H,2,FALSE)*G1748)</f>
        <v/>
      </c>
      <c r="W1748" s="508">
        <f t="shared" si="1371"/>
        <v>0</v>
      </c>
      <c r="X1748" s="508">
        <f t="shared" si="1372"/>
        <v>0</v>
      </c>
      <c r="Y1748" s="509" t="b">
        <f t="shared" si="1373"/>
        <v>0</v>
      </c>
      <c r="Z1748" s="510">
        <f t="shared" si="1374"/>
        <v>0</v>
      </c>
      <c r="AA1748" s="511"/>
      <c r="AB1748" s="511" t="str">
        <f t="shared" si="1375"/>
        <v/>
      </c>
      <c r="AC1748" s="698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698"/>
      <c r="AE1748" s="631" t="str">
        <f t="shared" si="1376"/>
        <v/>
      </c>
      <c r="AF1748" s="699" t="str">
        <f t="shared" si="1377"/>
        <v/>
      </c>
      <c r="AG1748" s="699"/>
      <c r="AH1748" s="699"/>
      <c r="AI1748" s="512">
        <f>IF(H1748="credit",0,IF(AE1748="free",0,IF(AE1748="me",0,IF(G1748&gt;0,(VLOOKUP(A1748,'Discount Lookup'!J:K,2)*G1748),0))))</f>
        <v>0</v>
      </c>
      <c r="AJ1748" s="513" t="str">
        <f t="shared" ca="1" si="1378"/>
        <v/>
      </c>
      <c r="AK1748" s="700" t="str">
        <f t="shared" si="1379"/>
        <v/>
      </c>
      <c r="AL1748" s="700"/>
      <c r="AM1748" s="505" t="str">
        <f t="shared" si="1380"/>
        <v/>
      </c>
      <c r="AN1748" s="506"/>
      <c r="AO1748" s="507"/>
      <c r="AP1748" s="507"/>
      <c r="AQ1748" s="507"/>
      <c r="AR1748" s="507"/>
      <c r="AS1748" s="507"/>
      <c r="AT1748" s="507"/>
      <c r="AU1748" s="507"/>
      <c r="AV1748" s="225"/>
      <c r="AW1748" s="508"/>
      <c r="AX1748" s="225"/>
      <c r="AY1748" s="225"/>
      <c r="AZ1748" s="225"/>
      <c r="BA1748" s="225"/>
      <c r="BB1748" s="225"/>
      <c r="BC1748" s="56"/>
      <c r="BD1748" s="56"/>
      <c r="BE1748" s="56"/>
      <c r="BF1748" s="107" t="str">
        <f t="shared" si="1381"/>
        <v>https://www.google.com/search?tbm=isch&amp;q=moist%20sites%F0%9F%92%A7OK%2C%20Guardian%20Angel%20leaves%20shift%20from%20misty%20Blue-Green%20to%20Creamy-centered%20variegation%20through%20the%20season%20</v>
      </c>
      <c r="BG1748" s="107" t="str">
        <f t="shared" si="1382"/>
        <v>m</v>
      </c>
      <c r="BH1748" s="254"/>
      <c r="BI1748" s="254"/>
    </row>
    <row r="1749" spans="1:61" customFormat="1" ht="18" x14ac:dyDescent="0.25">
      <c r="A1749" s="523" t="s">
        <v>5422</v>
      </c>
      <c r="B1749" s="235"/>
      <c r="C1749" s="676"/>
      <c r="D1749" s="255" t="s">
        <v>1062</v>
      </c>
      <c r="E1749" s="236"/>
      <c r="F1749" s="236"/>
      <c r="G1749" s="236"/>
      <c r="H1749" s="582" t="s">
        <v>4246</v>
      </c>
      <c r="I1749" s="498" t="s">
        <v>1776</v>
      </c>
      <c r="J1749" s="237"/>
      <c r="K1749" s="237"/>
      <c r="L1749" s="274"/>
      <c r="M1749" s="668" t="s">
        <v>4962</v>
      </c>
      <c r="N1749" s="681" t="str">
        <f>IF(AND(ISTEXT($A1749), ISERROR($A1749+0)), HYPERLINK($BF1749, "Images"), "")</f>
        <v>Images</v>
      </c>
      <c r="O1749" s="663" t="s">
        <v>4967</v>
      </c>
      <c r="P1749" s="253"/>
      <c r="Q1749" s="238"/>
      <c r="R1749" s="239"/>
      <c r="S1749" s="275" t="s">
        <v>305</v>
      </c>
      <c r="T1749" s="508">
        <f t="shared" si="1370"/>
        <v>0</v>
      </c>
      <c r="U1749" s="225" t="str">
        <f>IF(NOT(ISNUMBER(G1749)), "", VLOOKUP(A1749,'Discount Lookup'!D:E,2,FALSE)*G1749)</f>
        <v/>
      </c>
      <c r="V1749" s="225" t="str">
        <f>IF(NOT(ISNUMBER(G1749)), "", VLOOKUP(A1749,'Discount Lookup'!G:H,2,FALSE)*G1749)</f>
        <v/>
      </c>
      <c r="W1749" s="508">
        <f t="shared" si="1371"/>
        <v>0</v>
      </c>
      <c r="X1749" s="508" t="str">
        <f t="shared" si="1372"/>
        <v>Golden-Yellow bloom</v>
      </c>
      <c r="Y1749" s="509" t="b">
        <f t="shared" si="1373"/>
        <v>0</v>
      </c>
      <c r="Z1749" s="510">
        <f t="shared" si="1374"/>
        <v>0</v>
      </c>
      <c r="AA1749" s="511"/>
      <c r="AB1749" s="511" t="str">
        <f t="shared" si="1375"/>
        <v/>
      </c>
      <c r="AC1749" s="698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698"/>
      <c r="AE1749" s="631" t="str">
        <f t="shared" si="1376"/>
        <v/>
      </c>
      <c r="AF1749" s="699" t="str">
        <f t="shared" si="1377"/>
        <v/>
      </c>
      <c r="AG1749" s="699"/>
      <c r="AH1749" s="699"/>
      <c r="AI1749" s="512">
        <f>IF(H1749="credit",0,IF(AE1749="free",0,IF(AE1749="me",0,IF(G1749&gt;0,(VLOOKUP(A1749,'Discount Lookup'!J:K,2)*G1749),0))))</f>
        <v>0</v>
      </c>
      <c r="AJ1749" s="513" t="str">
        <f t="shared" ca="1" si="1378"/>
        <v/>
      </c>
      <c r="AK1749" s="700" t="str">
        <f t="shared" si="1379"/>
        <v/>
      </c>
      <c r="AL1749" s="700"/>
      <c r="AM1749" s="505" t="str">
        <f t="shared" si="1380"/>
        <v/>
      </c>
      <c r="AN1749" s="506"/>
      <c r="AO1749" s="507"/>
      <c r="AP1749" s="507"/>
      <c r="AQ1749" s="507"/>
      <c r="AR1749" s="507"/>
      <c r="AS1749" s="507"/>
      <c r="AT1749" s="507"/>
      <c r="AU1749" s="507"/>
      <c r="AV1749" s="225"/>
      <c r="AW1749" s="508"/>
      <c r="AX1749" s="225"/>
      <c r="AY1749" s="225"/>
      <c r="AZ1749" s="225"/>
      <c r="BA1749" s="225"/>
      <c r="BB1749" s="225"/>
      <c r="BC1749" s="56"/>
      <c r="BD1749" s="56"/>
      <c r="BE1749" s="56"/>
      <c r="BF1749" s="107" t="str">
        <f t="shared" si="1381"/>
        <v>https://www.google.com/search?tbm=isch&amp;q=Guatemala%20Gold%E2%84%A2%20Coneflower%20Echinacea%20purpurea%20%27Gold%27%20PP%2335322</v>
      </c>
      <c r="BG1749" s="107" t="str">
        <f t="shared" si="1382"/>
        <v>G</v>
      </c>
      <c r="BH1749" s="254"/>
      <c r="BI1749" s="254"/>
    </row>
    <row r="1750" spans="1:61" customFormat="1" ht="15.75" x14ac:dyDescent="0.25">
      <c r="A1750" s="276">
        <v>1</v>
      </c>
      <c r="B1750" s="240" t="s">
        <v>291</v>
      </c>
      <c r="C1750" s="241"/>
      <c r="D1750" s="242" t="s">
        <v>312</v>
      </c>
      <c r="E1750" s="243">
        <v>13.95</v>
      </c>
      <c r="F1750" s="517" t="s">
        <v>293</v>
      </c>
      <c r="G1750" s="232">
        <v>0</v>
      </c>
      <c r="H1750" s="661" t="str">
        <f>IF(G1750=0,"",IF(F1750="Buy",IF(G1750=1,"plant","plants"),IF(F1750&gt;0.01,"warranty","Error")))</f>
        <v/>
      </c>
      <c r="I1750" s="244">
        <f>IF(H1750="free",0,IF(H1750="credit",((E1750*(F1750))*G1750*-1),IF(F1750="Buy",(E1750*G1750),((E1750*(1-F1750))*G1750))))</f>
        <v>0</v>
      </c>
      <c r="J1750" s="244">
        <f>IF(H1750="warranty",0,(I1750*(_xlfn.SINGLE(SalesTaxPercentage))))</f>
        <v>0</v>
      </c>
      <c r="K1750" s="696">
        <f t="shared" ref="K1750" si="1386">I1750+J1750</f>
        <v>0</v>
      </c>
      <c r="L1750" s="696"/>
      <c r="M1750" s="659" t="str">
        <f>IF(AND(G1750&gt;0,E1750=0),"WARNING - no PRICE inserted",IF(H1750="free"," FREE ~ no charge this plant",IF(H1750="credit",CONCATENATE(" -$",ROUND(K1750*(1-T2GDiscount)*-1,2)," CREDIT after discount"),IF(T2GDiscount=0,"",IF(G1750=0,"",IF(F1750="Buy",CONCATENATE(" $",ROUND(K1750*(1-T2GDiscount),2)," with ",(T2GDiscount*100),"% discount"),CONCATENATE(" $",ROUND(K1750*(1-T2GDiscount),2)," with ",((T2GDiscount*100+F1750*100)-(T2GDiscount*100*F1750)),IF(F1750&gt;0,"% discounts",IF(NoWarrantyDiscount&gt;0,"% discounts","% discount")))))))))</f>
        <v/>
      </c>
      <c r="N1750" s="660"/>
      <c r="O1750" s="233"/>
      <c r="P1750" s="233"/>
      <c r="Q1750" s="233"/>
      <c r="R1750" s="233"/>
      <c r="S1750" s="233"/>
      <c r="T1750" s="508">
        <f t="shared" si="1370"/>
        <v>0</v>
      </c>
      <c r="U1750" s="225">
        <f>IF(NOT(ISNUMBER(G1750)), "", VLOOKUP(A1750,'Discount Lookup'!D:E,2,FALSE)*G1750)</f>
        <v>0</v>
      </c>
      <c r="V1750" s="225">
        <f>IF(NOT(ISNUMBER(G1750)), "", VLOOKUP(A1750,'Discount Lookup'!G:H,2,FALSE)*G1750)</f>
        <v>0</v>
      </c>
      <c r="W1750" s="508">
        <f t="shared" si="1371"/>
        <v>0</v>
      </c>
      <c r="X1750" s="508">
        <f t="shared" si="1372"/>
        <v>0</v>
      </c>
      <c r="Y1750" s="509" t="b">
        <f t="shared" si="1373"/>
        <v>0</v>
      </c>
      <c r="Z1750" s="510">
        <f t="shared" si="1374"/>
        <v>0</v>
      </c>
      <c r="AA1750" s="511"/>
      <c r="AB1750" s="511" t="str">
        <f t="shared" si="1375"/>
        <v/>
      </c>
      <c r="AC1750" s="698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698"/>
      <c r="AE1750" s="631" t="str">
        <f t="shared" si="1376"/>
        <v/>
      </c>
      <c r="AF1750" s="699" t="str">
        <f t="shared" si="1377"/>
        <v/>
      </c>
      <c r="AG1750" s="699"/>
      <c r="AH1750" s="699"/>
      <c r="AI1750" s="512">
        <f>IF(H1750="credit",0,IF(AE1750="free",0,IF(AE1750="me",0,IF(G1750&gt;0,(VLOOKUP(A1750,'Discount Lookup'!J:K,2)*G1750),0))))</f>
        <v>0</v>
      </c>
      <c r="AJ1750" s="513" t="str">
        <f t="shared" ca="1" si="1378"/>
        <v/>
      </c>
      <c r="AK1750" s="700" t="str">
        <f t="shared" si="1379"/>
        <v/>
      </c>
      <c r="AL1750" s="700"/>
      <c r="AM1750" s="505" t="str">
        <f t="shared" si="1380"/>
        <v/>
      </c>
      <c r="AN1750" s="506"/>
      <c r="AO1750" s="507"/>
      <c r="AP1750" s="507"/>
      <c r="AQ1750" s="507"/>
      <c r="AR1750" s="507"/>
      <c r="AS1750" s="507"/>
      <c r="AT1750" s="507"/>
      <c r="AU1750" s="507"/>
      <c r="AV1750" s="225"/>
      <c r="AW1750" s="508"/>
      <c r="AX1750" s="225"/>
      <c r="AY1750" s="225"/>
      <c r="AZ1750" s="225"/>
      <c r="BA1750" s="225"/>
      <c r="BB1750" s="225"/>
      <c r="BC1750" s="56"/>
      <c r="BD1750" s="56"/>
      <c r="BE1750" s="56"/>
      <c r="BF1750" s="107" t="str">
        <f t="shared" si="1381"/>
        <v>https://www.google.com/search?tbm=isch&amp;q=1%20G2</v>
      </c>
      <c r="BG1750" s="107" t="str">
        <f t="shared" si="1382"/>
        <v>G</v>
      </c>
      <c r="BH1750" s="254"/>
      <c r="BI1750" s="254"/>
    </row>
    <row r="1751" spans="1:61" customFormat="1" ht="17.25" thickBot="1" x14ac:dyDescent="0.3">
      <c r="A1751" s="524" t="s">
        <v>4261</v>
      </c>
      <c r="B1751" s="245"/>
      <c r="C1751" s="677"/>
      <c r="D1751" s="499"/>
      <c r="E1751" s="499"/>
      <c r="F1751" s="500"/>
      <c r="G1751" s="501"/>
      <c r="H1751" s="502"/>
      <c r="I1751" s="246"/>
      <c r="J1751" s="247"/>
      <c r="K1751" s="503"/>
      <c r="L1751" s="544"/>
      <c r="M1751" s="544"/>
      <c r="N1751" s="500"/>
      <c r="O1751" s="500"/>
      <c r="P1751" s="500"/>
      <c r="Q1751" s="500"/>
      <c r="R1751" s="500"/>
      <c r="S1751" s="669" t="s">
        <v>4979</v>
      </c>
      <c r="T1751" s="508">
        <f t="shared" si="1370"/>
        <v>0</v>
      </c>
      <c r="U1751" s="225" t="str">
        <f>IF(NOT(ISNUMBER(G1751)), "", VLOOKUP(A1751,'Discount Lookup'!D:E,2,FALSE)*G1751)</f>
        <v/>
      </c>
      <c r="V1751" s="225" t="str">
        <f>IF(NOT(ISNUMBER(G1751)), "", VLOOKUP(A1751,'Discount Lookup'!G:H,2,FALSE)*G1751)</f>
        <v/>
      </c>
      <c r="W1751" s="508">
        <f t="shared" si="1371"/>
        <v>0</v>
      </c>
      <c r="X1751" s="508">
        <f t="shared" si="1372"/>
        <v>0</v>
      </c>
      <c r="Y1751" s="509" t="b">
        <f t="shared" si="1373"/>
        <v>0</v>
      </c>
      <c r="Z1751" s="510">
        <f t="shared" si="1374"/>
        <v>0</v>
      </c>
      <c r="AA1751" s="511"/>
      <c r="AB1751" s="511" t="str">
        <f t="shared" si="1375"/>
        <v/>
      </c>
      <c r="AC1751" s="698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698"/>
      <c r="AE1751" s="631" t="str">
        <f t="shared" si="1376"/>
        <v/>
      </c>
      <c r="AF1751" s="699" t="str">
        <f t="shared" si="1377"/>
        <v/>
      </c>
      <c r="AG1751" s="699"/>
      <c r="AH1751" s="699"/>
      <c r="AI1751" s="512">
        <f>IF(H1751="credit",0,IF(AE1751="free",0,IF(AE1751="me",0,IF(G1751&gt;0,(VLOOKUP(A1751,'Discount Lookup'!J:K,2)*G1751),0))))</f>
        <v>0</v>
      </c>
      <c r="AJ1751" s="513" t="str">
        <f t="shared" ca="1" si="1378"/>
        <v/>
      </c>
      <c r="AK1751" s="700" t="str">
        <f t="shared" si="1379"/>
        <v/>
      </c>
      <c r="AL1751" s="700"/>
      <c r="AM1751" s="505" t="str">
        <f t="shared" si="1380"/>
        <v/>
      </c>
      <c r="AN1751" s="506"/>
      <c r="AO1751" s="507"/>
      <c r="AP1751" s="507"/>
      <c r="AQ1751" s="507"/>
      <c r="AR1751" s="507"/>
      <c r="AS1751" s="507"/>
      <c r="AT1751" s="507"/>
      <c r="AU1751" s="507"/>
      <c r="AV1751" s="225"/>
      <c r="AW1751" s="508"/>
      <c r="AX1751" s="225"/>
      <c r="AY1751" s="225"/>
      <c r="AZ1751" s="225"/>
      <c r="BA1751" s="225"/>
      <c r="BB1751" s="225"/>
      <c r="BC1751" s="56"/>
      <c r="BD1751" s="56"/>
      <c r="BE1751" s="56"/>
      <c r="BF1751" s="107" t="str">
        <f t="shared" si="1381"/>
        <v>https://www.google.com/search?tbm=isch&amp;q=Guatemala%20Gold%20is%20notable%20for%20its%20vibrant%20blooms%20that%20do%20not%20fade%2C%20providing%20a%20long%20season%20of%20brilliant%20color%20</v>
      </c>
      <c r="BG1751" s="107" t="str">
        <f t="shared" si="1382"/>
        <v>G</v>
      </c>
      <c r="BH1751" s="254"/>
      <c r="BI1751" s="254"/>
    </row>
    <row r="1752" spans="1:61" customFormat="1" ht="18" x14ac:dyDescent="0.25">
      <c r="A1752" s="521" t="s">
        <v>1063</v>
      </c>
      <c r="B1752" s="477"/>
      <c r="C1752" s="674"/>
      <c r="D1752" s="478" t="s">
        <v>1064</v>
      </c>
      <c r="E1752" s="479"/>
      <c r="F1752" s="479"/>
      <c r="G1752" s="479"/>
      <c r="H1752" s="582" t="s">
        <v>441</v>
      </c>
      <c r="I1752" s="480" t="s">
        <v>2907</v>
      </c>
      <c r="J1752" s="479"/>
      <c r="K1752" s="479"/>
      <c r="L1752" s="560"/>
      <c r="M1752" s="666" t="s">
        <v>4966</v>
      </c>
      <c r="N1752" s="680" t="str">
        <f>IF(AND(ISTEXT($A1752), ISERROR($A1752+0)), HYPERLINK($BF1752, "Images"), "")</f>
        <v>Images</v>
      </c>
      <c r="O1752" s="662" t="s">
        <v>4967</v>
      </c>
      <c r="P1752" s="482"/>
      <c r="Q1752" s="483"/>
      <c r="R1752" s="483"/>
      <c r="S1752" s="484"/>
      <c r="T1752" s="508">
        <f t="shared" si="1370"/>
        <v>0</v>
      </c>
      <c r="U1752" s="225" t="str">
        <f>IF(NOT(ISNUMBER(G1752)), "", VLOOKUP(A1752,'Discount Lookup'!D:E,2,FALSE)*G1752)</f>
        <v/>
      </c>
      <c r="V1752" s="225" t="str">
        <f>IF(NOT(ISNUMBER(G1752)), "", VLOOKUP(A1752,'Discount Lookup'!G:H,2,FALSE)*G1752)</f>
        <v/>
      </c>
      <c r="W1752" s="508">
        <f t="shared" si="1371"/>
        <v>0</v>
      </c>
      <c r="X1752" s="508" t="str">
        <f t="shared" si="1372"/>
        <v>Bluish-Green foliage</v>
      </c>
      <c r="Y1752" s="509" t="b">
        <f t="shared" si="1373"/>
        <v>0</v>
      </c>
      <c r="Z1752" s="510">
        <f t="shared" si="1374"/>
        <v>0</v>
      </c>
      <c r="AA1752" s="511"/>
      <c r="AB1752" s="511" t="str">
        <f t="shared" si="1375"/>
        <v/>
      </c>
      <c r="AC1752" s="698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698"/>
      <c r="AE1752" s="631" t="str">
        <f t="shared" si="1376"/>
        <v/>
      </c>
      <c r="AF1752" s="699" t="str">
        <f t="shared" si="1377"/>
        <v/>
      </c>
      <c r="AG1752" s="699"/>
      <c r="AH1752" s="699"/>
      <c r="AI1752" s="512">
        <f>IF(H1752="credit",0,IF(AE1752="free",0,IF(AE1752="me",0,IF(G1752&gt;0,(VLOOKUP(A1752,'Discount Lookup'!J:K,2)*G1752),0))))</f>
        <v>0</v>
      </c>
      <c r="AJ1752" s="513" t="str">
        <f t="shared" ca="1" si="1378"/>
        <v/>
      </c>
      <c r="AK1752" s="700" t="str">
        <f t="shared" si="1379"/>
        <v/>
      </c>
      <c r="AL1752" s="700"/>
      <c r="AM1752" s="505" t="str">
        <f t="shared" si="1380"/>
        <v/>
      </c>
      <c r="AN1752" s="506"/>
      <c r="AO1752" s="507"/>
      <c r="AP1752" s="507"/>
      <c r="AQ1752" s="507"/>
      <c r="AR1752" s="507"/>
      <c r="AS1752" s="507"/>
      <c r="AT1752" s="507"/>
      <c r="AU1752" s="507"/>
      <c r="AV1752" s="225"/>
      <c r="AW1752" s="508"/>
      <c r="AX1752" s="225"/>
      <c r="AY1752" s="225"/>
      <c r="AZ1752" s="225"/>
      <c r="BA1752" s="225"/>
      <c r="BB1752" s="225"/>
      <c r="BC1752" s="56"/>
      <c r="BD1752" s="56"/>
      <c r="BE1752" s="56"/>
      <c r="BF1752" s="107" t="str">
        <f t="shared" si="1381"/>
        <v>https://www.google.com/search?tbm=isch&amp;q=Gulf%20Stream%20Nandina%20Nandina%20domestica%20%27Gulf%20Stream%27%20PP%235656Exp.</v>
      </c>
      <c r="BG1752" s="107" t="str">
        <f t="shared" si="1382"/>
        <v>G</v>
      </c>
      <c r="BH1752" s="254"/>
      <c r="BI1752" s="254"/>
    </row>
    <row r="1753" spans="1:61" customFormat="1" ht="15.75" x14ac:dyDescent="0.25">
      <c r="A1753" s="485">
        <v>2</v>
      </c>
      <c r="B1753" s="486" t="s">
        <v>291</v>
      </c>
      <c r="C1753" s="487" t="s">
        <v>2752</v>
      </c>
      <c r="D1753" s="488" t="s">
        <v>297</v>
      </c>
      <c r="E1753" s="489">
        <v>19.95</v>
      </c>
      <c r="F1753" s="516" t="s">
        <v>293</v>
      </c>
      <c r="G1753" s="232">
        <v>0</v>
      </c>
      <c r="H1753" s="658" t="str">
        <f>IF(G1753=0,"",IF(F1753="Buy",IF(G1753=1,"plant","plants"),IF(F1753&gt;0.01,"warranty","Error")))</f>
        <v/>
      </c>
      <c r="I1753" s="490">
        <f>IF(H1753="free",0,IF(H1753="credit",((E1753*(F1753))*G1753*-1),IF(F1753="Buy",(E1753*G1753),((E1753*(1-F1753))*G1753))))</f>
        <v>0</v>
      </c>
      <c r="J1753" s="490">
        <f>IF(H1753="warranty",0,(I1753*(_xlfn.SINGLE(SalesTaxPercentage))))</f>
        <v>0</v>
      </c>
      <c r="K1753" s="695">
        <f t="shared" ref="K1753" si="1387">I1753+J1753</f>
        <v>0</v>
      </c>
      <c r="L1753" s="695"/>
      <c r="M1753" s="659" t="str">
        <f>IF(AND(G1753&gt;0,E1753=0),"WARNING - no PRICE inserted",IF(H1753="free"," FREE ~ no charge this plant",IF(H1753="credit",CONCATENATE(" -$",ROUND(K1753*(1-T2GDiscount)*-1,2)," CREDIT after discount"),IF(T2GDiscount=0,"",IF(G1753=0,"",IF(F1753="Buy",CONCATENATE(" $",ROUND(K1753*(1-T2GDiscount),2)," with ",(T2GDiscount*100),"% discount"),CONCATENATE(" $",ROUND(K1753*(1-T2GDiscount),2)," with ",((T2GDiscount*100+F1753*100)-(T2GDiscount*100*F1753)),IF(F1753&gt;0,"% discounts",IF(NoWarrantyDiscount&gt;0,"% discounts","% discount")))))))))</f>
        <v/>
      </c>
      <c r="N1753" s="660"/>
      <c r="O1753" s="233"/>
      <c r="P1753" s="233"/>
      <c r="Q1753" s="233"/>
      <c r="R1753" s="233"/>
      <c r="S1753" s="233"/>
      <c r="T1753" s="508">
        <f t="shared" si="1370"/>
        <v>0</v>
      </c>
      <c r="U1753" s="225">
        <f>IF(NOT(ISNUMBER(G1753)), "", VLOOKUP(A1753,'Discount Lookup'!D:E,2,FALSE)*G1753)</f>
        <v>0</v>
      </c>
      <c r="V1753" s="225">
        <f>IF(NOT(ISNUMBER(G1753)), "", VLOOKUP(A1753,'Discount Lookup'!G:H,2,FALSE)*G1753)</f>
        <v>0</v>
      </c>
      <c r="W1753" s="508">
        <f t="shared" si="1371"/>
        <v>0</v>
      </c>
      <c r="X1753" s="508">
        <f t="shared" si="1372"/>
        <v>0</v>
      </c>
      <c r="Y1753" s="509" t="b">
        <f t="shared" si="1373"/>
        <v>0</v>
      </c>
      <c r="Z1753" s="510">
        <f t="shared" si="1374"/>
        <v>0</v>
      </c>
      <c r="AA1753" s="511"/>
      <c r="AB1753" s="511" t="str">
        <f t="shared" si="1375"/>
        <v/>
      </c>
      <c r="AC1753" s="698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698"/>
      <c r="AE1753" s="631" t="str">
        <f t="shared" si="1376"/>
        <v/>
      </c>
      <c r="AF1753" s="699" t="str">
        <f t="shared" si="1377"/>
        <v/>
      </c>
      <c r="AG1753" s="699"/>
      <c r="AH1753" s="699"/>
      <c r="AI1753" s="512">
        <f>IF(H1753="credit",0,IF(AE1753="free",0,IF(AE1753="me",0,IF(G1753&gt;0,(VLOOKUP(A1753,'Discount Lookup'!J:K,2)*G1753),0))))</f>
        <v>0</v>
      </c>
      <c r="AJ1753" s="513" t="str">
        <f t="shared" ca="1" si="1378"/>
        <v/>
      </c>
      <c r="AK1753" s="700" t="str">
        <f t="shared" si="1379"/>
        <v/>
      </c>
      <c r="AL1753" s="700"/>
      <c r="AM1753" s="505" t="str">
        <f t="shared" si="1380"/>
        <v/>
      </c>
      <c r="AN1753" s="506"/>
      <c r="AO1753" s="507"/>
      <c r="AP1753" s="507"/>
      <c r="AQ1753" s="507"/>
      <c r="AR1753" s="507"/>
      <c r="AS1753" s="507"/>
      <c r="AT1753" s="507"/>
      <c r="AU1753" s="507"/>
      <c r="AV1753" s="225"/>
      <c r="AW1753" s="508"/>
      <c r="AX1753" s="225"/>
      <c r="AY1753" s="225"/>
      <c r="AZ1753" s="225"/>
      <c r="BA1753" s="225"/>
      <c r="BB1753" s="225"/>
      <c r="BC1753" s="56"/>
      <c r="BD1753" s="56"/>
      <c r="BE1753" s="56"/>
      <c r="BF1753" s="107" t="str">
        <f t="shared" si="1381"/>
        <v>https://www.google.com/search?tbm=isch&amp;q=2%20G3</v>
      </c>
      <c r="BG1753" s="107" t="str">
        <f t="shared" si="1382"/>
        <v>G</v>
      </c>
      <c r="BH1753" s="254"/>
      <c r="BI1753" s="254"/>
    </row>
    <row r="1754" spans="1:61" customFormat="1" ht="15.75" x14ac:dyDescent="0.25">
      <c r="A1754" s="485">
        <v>3</v>
      </c>
      <c r="B1754" s="486" t="s">
        <v>291</v>
      </c>
      <c r="C1754" s="487" t="s">
        <v>445</v>
      </c>
      <c r="D1754" s="488" t="s">
        <v>298</v>
      </c>
      <c r="E1754" s="489">
        <v>26.95</v>
      </c>
      <c r="F1754" s="516" t="s">
        <v>293</v>
      </c>
      <c r="G1754" s="232">
        <v>0</v>
      </c>
      <c r="H1754" s="658" t="str">
        <f>IF(G1754=0,"",IF(F1754="Buy",IF(G1754=1,"plant","plants"),IF(F1754&gt;0.01,"warranty","Error")))</f>
        <v/>
      </c>
      <c r="I1754" s="490">
        <f>IF(H1754="free",0,IF(H1754="credit",((E1754*(F1754))*G1754*-1),IF(F1754="Buy",(E1754*G1754),((E1754*(1-F1754))*G1754))))</f>
        <v>0</v>
      </c>
      <c r="J1754" s="490">
        <f>IF(H1754="warranty",0,(I1754*(_xlfn.SINGLE(SalesTaxPercentage))))</f>
        <v>0</v>
      </c>
      <c r="K1754" s="695">
        <f t="shared" ref="K1754" si="1388">I1754+J1754</f>
        <v>0</v>
      </c>
      <c r="L1754" s="695"/>
      <c r="M1754" s="659" t="str">
        <f>IF(AND(G1754&gt;0,E1754=0),"WARNING - no PRICE inserted",IF(H1754="free"," FREE ~ no charge this plant",IF(H1754="credit",CONCATENATE(" -$",ROUND(K1754*(1-T2GDiscount)*-1,2)," CREDIT after discount"),IF(T2GDiscount=0,"",IF(G1754=0,"",IF(F1754="Buy",CONCATENATE(" $",ROUND(K1754*(1-T2GDiscount),2)," with ",(T2GDiscount*100),"% discount"),CONCATENATE(" $",ROUND(K1754*(1-T2GDiscount),2)," with ",((T2GDiscount*100+F1754*100)-(T2GDiscount*100*F1754)),IF(F1754&gt;0,"% discounts",IF(NoWarrantyDiscount&gt;0,"% discounts","% discount")))))))))</f>
        <v/>
      </c>
      <c r="N1754" s="660"/>
      <c r="O1754" s="233"/>
      <c r="P1754" s="233"/>
      <c r="Q1754" s="233"/>
      <c r="R1754" s="233"/>
      <c r="S1754" s="233"/>
      <c r="T1754" s="508">
        <f t="shared" si="1370"/>
        <v>0</v>
      </c>
      <c r="U1754" s="225">
        <f>IF(NOT(ISNUMBER(G1754)), "", VLOOKUP(A1754,'Discount Lookup'!D:E,2,FALSE)*G1754)</f>
        <v>0</v>
      </c>
      <c r="V1754" s="225">
        <f>IF(NOT(ISNUMBER(G1754)), "", VLOOKUP(A1754,'Discount Lookup'!G:H,2,FALSE)*G1754)</f>
        <v>0</v>
      </c>
      <c r="W1754" s="508">
        <f t="shared" si="1371"/>
        <v>0</v>
      </c>
      <c r="X1754" s="508">
        <f t="shared" si="1372"/>
        <v>0</v>
      </c>
      <c r="Y1754" s="509" t="b">
        <f t="shared" si="1373"/>
        <v>0</v>
      </c>
      <c r="Z1754" s="510">
        <f t="shared" si="1374"/>
        <v>0</v>
      </c>
      <c r="AA1754" s="511"/>
      <c r="AB1754" s="511" t="str">
        <f t="shared" si="1375"/>
        <v/>
      </c>
      <c r="AC1754" s="698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698"/>
      <c r="AE1754" s="631" t="str">
        <f t="shared" si="1376"/>
        <v/>
      </c>
      <c r="AF1754" s="699" t="str">
        <f t="shared" si="1377"/>
        <v/>
      </c>
      <c r="AG1754" s="699"/>
      <c r="AH1754" s="699"/>
      <c r="AI1754" s="512">
        <f>IF(H1754="credit",0,IF(AE1754="free",0,IF(AE1754="me",0,IF(G1754&gt;0,(VLOOKUP(A1754,'Discount Lookup'!J:K,2)*G1754),0))))</f>
        <v>0</v>
      </c>
      <c r="AJ1754" s="513" t="str">
        <f t="shared" ca="1" si="1378"/>
        <v/>
      </c>
      <c r="AK1754" s="700" t="str">
        <f t="shared" si="1379"/>
        <v/>
      </c>
      <c r="AL1754" s="700"/>
      <c r="AM1754" s="505" t="str">
        <f t="shared" si="1380"/>
        <v/>
      </c>
      <c r="AN1754" s="506"/>
      <c r="AO1754" s="507"/>
      <c r="AP1754" s="507"/>
      <c r="AQ1754" s="507"/>
      <c r="AR1754" s="507"/>
      <c r="AS1754" s="507"/>
      <c r="AT1754" s="507"/>
      <c r="AU1754" s="507"/>
      <c r="AV1754" s="225"/>
      <c r="AW1754" s="508"/>
      <c r="AX1754" s="225"/>
      <c r="AY1754" s="225"/>
      <c r="AZ1754" s="225"/>
      <c r="BA1754" s="225"/>
      <c r="BB1754" s="225"/>
      <c r="BC1754" s="56"/>
      <c r="BD1754" s="56"/>
      <c r="BE1754" s="56"/>
      <c r="BF1754" s="107" t="str">
        <f t="shared" si="1381"/>
        <v>https://www.google.com/search?tbm=isch&amp;q=3%20G1</v>
      </c>
      <c r="BG1754" s="107" t="str">
        <f t="shared" si="1382"/>
        <v>G</v>
      </c>
      <c r="BH1754" s="254"/>
      <c r="BI1754" s="254"/>
    </row>
    <row r="1755" spans="1:61" customFormat="1" ht="15.75" x14ac:dyDescent="0.25">
      <c r="A1755" s="485">
        <v>3</v>
      </c>
      <c r="B1755" s="486" t="s">
        <v>291</v>
      </c>
      <c r="C1755" s="487"/>
      <c r="D1755" s="488" t="s">
        <v>312</v>
      </c>
      <c r="E1755" s="489">
        <v>28.95</v>
      </c>
      <c r="F1755" s="516" t="s">
        <v>293</v>
      </c>
      <c r="G1755" s="232">
        <v>0</v>
      </c>
      <c r="H1755" s="658" t="str">
        <f>IF(G1755=0,"",IF(F1755="Buy",IF(G1755=1,"plant","plants"),IF(F1755&gt;0.01,"warranty","Error")))</f>
        <v/>
      </c>
      <c r="I1755" s="490">
        <f>IF(H1755="free",0,IF(H1755="credit",((E1755*(F1755))*G1755*-1),IF(F1755="Buy",(E1755*G1755),((E1755*(1-F1755))*G1755))))</f>
        <v>0</v>
      </c>
      <c r="J1755" s="490">
        <f>IF(H1755="warranty",0,(I1755*(_xlfn.SINGLE(SalesTaxPercentage))))</f>
        <v>0</v>
      </c>
      <c r="K1755" s="695">
        <f t="shared" ref="K1755" si="1389">I1755+J1755</f>
        <v>0</v>
      </c>
      <c r="L1755" s="695"/>
      <c r="M1755" s="659" t="str">
        <f>IF(AND(G1755&gt;0,E1755=0),"WARNING - no PRICE inserted",IF(H1755="free"," FREE ~ no charge this plant",IF(H1755="credit",CONCATENATE(" -$",ROUND(K1755*(1-T2GDiscount)*-1,2)," CREDIT after discount"),IF(T2GDiscount=0,"",IF(G1755=0,"",IF(F1755="Buy",CONCATENATE(" $",ROUND(K1755*(1-T2GDiscount),2)," with ",(T2GDiscount*100),"% discount"),CONCATENATE(" $",ROUND(K1755*(1-T2GDiscount),2)," with ",((T2GDiscount*100+F1755*100)-(T2GDiscount*100*F1755)),IF(F1755&gt;0,"% discounts",IF(NoWarrantyDiscount&gt;0,"% discounts","% discount")))))))))</f>
        <v/>
      </c>
      <c r="N1755" s="660"/>
      <c r="O1755" s="233"/>
      <c r="P1755" s="233"/>
      <c r="Q1755" s="233"/>
      <c r="R1755" s="233"/>
      <c r="S1755" s="233"/>
      <c r="T1755" s="508">
        <f t="shared" si="1370"/>
        <v>0</v>
      </c>
      <c r="U1755" s="225">
        <f>IF(NOT(ISNUMBER(G1755)), "", VLOOKUP(A1755,'Discount Lookup'!D:E,2,FALSE)*G1755)</f>
        <v>0</v>
      </c>
      <c r="V1755" s="225">
        <f>IF(NOT(ISNUMBER(G1755)), "", VLOOKUP(A1755,'Discount Lookup'!G:H,2,FALSE)*G1755)</f>
        <v>0</v>
      </c>
      <c r="W1755" s="508">
        <f t="shared" si="1371"/>
        <v>0</v>
      </c>
      <c r="X1755" s="508">
        <f t="shared" si="1372"/>
        <v>0</v>
      </c>
      <c r="Y1755" s="509" t="b">
        <f t="shared" si="1373"/>
        <v>0</v>
      </c>
      <c r="Z1755" s="510">
        <f t="shared" si="1374"/>
        <v>0</v>
      </c>
      <c r="AA1755" s="511"/>
      <c r="AB1755" s="511" t="str">
        <f t="shared" si="1375"/>
        <v/>
      </c>
      <c r="AC1755" s="698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698"/>
      <c r="AE1755" s="631" t="str">
        <f t="shared" si="1376"/>
        <v/>
      </c>
      <c r="AF1755" s="699" t="str">
        <f t="shared" si="1377"/>
        <v/>
      </c>
      <c r="AG1755" s="699"/>
      <c r="AH1755" s="699"/>
      <c r="AI1755" s="512">
        <f>IF(H1755="credit",0,IF(AE1755="free",0,IF(AE1755="me",0,IF(G1755&gt;0,(VLOOKUP(A1755,'Discount Lookup'!J:K,2)*G1755),0))))</f>
        <v>0</v>
      </c>
      <c r="AJ1755" s="513" t="str">
        <f t="shared" ca="1" si="1378"/>
        <v/>
      </c>
      <c r="AK1755" s="700" t="str">
        <f t="shared" si="1379"/>
        <v/>
      </c>
      <c r="AL1755" s="700"/>
      <c r="AM1755" s="505" t="str">
        <f t="shared" si="1380"/>
        <v/>
      </c>
      <c r="AN1755" s="506"/>
      <c r="AO1755" s="507"/>
      <c r="AP1755" s="507"/>
      <c r="AQ1755" s="507"/>
      <c r="AR1755" s="507"/>
      <c r="AS1755" s="507"/>
      <c r="AT1755" s="507"/>
      <c r="AU1755" s="507"/>
      <c r="AV1755" s="225"/>
      <c r="AW1755" s="508"/>
      <c r="AX1755" s="225"/>
      <c r="AY1755" s="225"/>
      <c r="AZ1755" s="225"/>
      <c r="BA1755" s="225"/>
      <c r="BB1755" s="225"/>
      <c r="BC1755" s="56"/>
      <c r="BD1755" s="56"/>
      <c r="BE1755" s="56"/>
      <c r="BF1755" s="107" t="str">
        <f t="shared" si="1381"/>
        <v>https://www.google.com/search?tbm=isch&amp;q=3%20G2</v>
      </c>
      <c r="BG1755" s="107" t="str">
        <f t="shared" si="1382"/>
        <v>G</v>
      </c>
      <c r="BH1755" s="254"/>
      <c r="BI1755" s="254"/>
    </row>
    <row r="1756" spans="1:61" customFormat="1" ht="15.75" x14ac:dyDescent="0.25">
      <c r="A1756" s="485">
        <v>3</v>
      </c>
      <c r="B1756" s="486" t="s">
        <v>291</v>
      </c>
      <c r="C1756" s="487" t="s">
        <v>2753</v>
      </c>
      <c r="D1756" s="488" t="s">
        <v>299</v>
      </c>
      <c r="E1756" s="489">
        <v>33.950000000000003</v>
      </c>
      <c r="F1756" s="516" t="s">
        <v>293</v>
      </c>
      <c r="G1756" s="232">
        <v>0</v>
      </c>
      <c r="H1756" s="658" t="str">
        <f>IF(G1756=0,"",IF(F1756="Buy",IF(G1756=1,"plant","plants"),IF(F1756&gt;0.01,"warranty","Error")))</f>
        <v/>
      </c>
      <c r="I1756" s="490">
        <f>IF(H1756="free",0,IF(H1756="credit",((E1756*(F1756))*G1756*-1),IF(F1756="Buy",(E1756*G1756),((E1756*(1-F1756))*G1756))))</f>
        <v>0</v>
      </c>
      <c r="J1756" s="490">
        <f>IF(H1756="warranty",0,(I1756*(_xlfn.SINGLE(SalesTaxPercentage))))</f>
        <v>0</v>
      </c>
      <c r="K1756" s="695">
        <f t="shared" ref="K1756" si="1390">I1756+J1756</f>
        <v>0</v>
      </c>
      <c r="L1756" s="695"/>
      <c r="M1756" s="659" t="str">
        <f>IF(AND(G1756&gt;0,E1756=0),"WARNING - no PRICE inserted",IF(H1756="free"," FREE ~ no charge this plant",IF(H1756="credit",CONCATENATE(" -$",ROUND(K1756*(1-T2GDiscount)*-1,2)," CREDIT after discount"),IF(T2GDiscount=0,"",IF(G1756=0,"",IF(F1756="Buy",CONCATENATE(" $",ROUND(K1756*(1-T2GDiscount),2)," with ",(T2GDiscount*100),"% discount"),CONCATENATE(" $",ROUND(K1756*(1-T2GDiscount),2)," with ",((T2GDiscount*100+F1756*100)-(T2GDiscount*100*F1756)),IF(F1756&gt;0,"% discounts",IF(NoWarrantyDiscount&gt;0,"% discounts","% discount")))))))))</f>
        <v/>
      </c>
      <c r="N1756" s="660"/>
      <c r="O1756" s="233"/>
      <c r="P1756" s="233"/>
      <c r="Q1756" s="233"/>
      <c r="R1756" s="233"/>
      <c r="S1756" s="233"/>
      <c r="T1756" s="508">
        <f t="shared" si="1370"/>
        <v>0</v>
      </c>
      <c r="U1756" s="225">
        <f>IF(NOT(ISNUMBER(G1756)), "", VLOOKUP(A1756,'Discount Lookup'!D:E,2,FALSE)*G1756)</f>
        <v>0</v>
      </c>
      <c r="V1756" s="225">
        <f>IF(NOT(ISNUMBER(G1756)), "", VLOOKUP(A1756,'Discount Lookup'!G:H,2,FALSE)*G1756)</f>
        <v>0</v>
      </c>
      <c r="W1756" s="508">
        <f t="shared" si="1371"/>
        <v>0</v>
      </c>
      <c r="X1756" s="508">
        <f t="shared" si="1372"/>
        <v>0</v>
      </c>
      <c r="Y1756" s="509" t="b">
        <f t="shared" si="1373"/>
        <v>0</v>
      </c>
      <c r="Z1756" s="510">
        <f t="shared" si="1374"/>
        <v>0</v>
      </c>
      <c r="AA1756" s="511"/>
      <c r="AB1756" s="511" t="str">
        <f t="shared" si="1375"/>
        <v/>
      </c>
      <c r="AC1756" s="698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698"/>
      <c r="AE1756" s="631" t="str">
        <f t="shared" si="1376"/>
        <v/>
      </c>
      <c r="AF1756" s="699" t="str">
        <f t="shared" si="1377"/>
        <v/>
      </c>
      <c r="AG1756" s="699"/>
      <c r="AH1756" s="699"/>
      <c r="AI1756" s="512">
        <f>IF(H1756="credit",0,IF(AE1756="free",0,IF(AE1756="me",0,IF(G1756&gt;0,(VLOOKUP(A1756,'Discount Lookup'!J:K,2)*G1756),0))))</f>
        <v>0</v>
      </c>
      <c r="AJ1756" s="513" t="str">
        <f t="shared" ca="1" si="1378"/>
        <v/>
      </c>
      <c r="AK1756" s="700" t="str">
        <f t="shared" si="1379"/>
        <v/>
      </c>
      <c r="AL1756" s="700"/>
      <c r="AM1756" s="505" t="str">
        <f t="shared" si="1380"/>
        <v/>
      </c>
      <c r="AN1756" s="506"/>
      <c r="AO1756" s="507"/>
      <c r="AP1756" s="507"/>
      <c r="AQ1756" s="507"/>
      <c r="AR1756" s="507"/>
      <c r="AS1756" s="507"/>
      <c r="AT1756" s="507"/>
      <c r="AU1756" s="507"/>
      <c r="AV1756" s="225"/>
      <c r="AW1756" s="508"/>
      <c r="AX1756" s="225"/>
      <c r="AY1756" s="225"/>
      <c r="AZ1756" s="225"/>
      <c r="BA1756" s="225"/>
      <c r="BB1756" s="225"/>
      <c r="BC1756" s="56"/>
      <c r="BD1756" s="56"/>
      <c r="BE1756" s="56"/>
      <c r="BF1756" s="107" t="str">
        <f t="shared" si="1381"/>
        <v>https://www.google.com/search?tbm=isch&amp;q=3%20G5</v>
      </c>
      <c r="BG1756" s="107" t="str">
        <f t="shared" si="1382"/>
        <v>G</v>
      </c>
      <c r="BH1756" s="254"/>
      <c r="BI1756" s="254"/>
    </row>
    <row r="1757" spans="1:61" customFormat="1" ht="15.75" x14ac:dyDescent="0.25">
      <c r="A1757" s="485">
        <v>3</v>
      </c>
      <c r="B1757" s="486" t="s">
        <v>291</v>
      </c>
      <c r="C1757" s="487" t="s">
        <v>4522</v>
      </c>
      <c r="D1757" s="488" t="s">
        <v>300</v>
      </c>
      <c r="E1757" s="489">
        <v>46.95</v>
      </c>
      <c r="F1757" s="516" t="s">
        <v>293</v>
      </c>
      <c r="G1757" s="232">
        <v>0</v>
      </c>
      <c r="H1757" s="658" t="str">
        <f>IF(G1757=0,"",IF(F1757="Buy",IF(G1757=1,"plant","plants"),IF(F1757&gt;0.01,"warranty","Error")))</f>
        <v/>
      </c>
      <c r="I1757" s="490">
        <f>IF(H1757="free",0,IF(H1757="credit",((E1757*(F1757))*G1757*-1),IF(F1757="Buy",(E1757*G1757),((E1757*(1-F1757))*G1757))))</f>
        <v>0</v>
      </c>
      <c r="J1757" s="490">
        <f>IF(H1757="warranty",0,(I1757*(_xlfn.SINGLE(SalesTaxPercentage))))</f>
        <v>0</v>
      </c>
      <c r="K1757" s="695">
        <f t="shared" ref="K1757" si="1391">I1757+J1757</f>
        <v>0</v>
      </c>
      <c r="L1757" s="695"/>
      <c r="M1757" s="659" t="str">
        <f>IF(AND(G1757&gt;0,E1757=0),"WARNING - no PRICE inserted",IF(H1757="free"," FREE ~ no charge this plant",IF(H1757="credit",CONCATENATE(" -$",ROUND(K1757*(1-T2GDiscount)*-1,2)," CREDIT after discount"),IF(T2GDiscount=0,"",IF(G1757=0,"",IF(F1757="Buy",CONCATENATE(" $",ROUND(K1757*(1-T2GDiscount),2)," with ",(T2GDiscount*100),"% discount"),CONCATENATE(" $",ROUND(K1757*(1-T2GDiscount),2)," with ",((T2GDiscount*100+F1757*100)-(T2GDiscount*100*F1757)),IF(F1757&gt;0,"% discounts",IF(NoWarrantyDiscount&gt;0,"% discounts","% discount")))))))))</f>
        <v/>
      </c>
      <c r="N1757" s="660"/>
      <c r="O1757" s="233"/>
      <c r="P1757" s="233"/>
      <c r="Q1757" s="233"/>
      <c r="R1757" s="233"/>
      <c r="S1757" s="233"/>
      <c r="T1757" s="508">
        <f t="shared" si="1370"/>
        <v>0</v>
      </c>
      <c r="U1757" s="225">
        <f>IF(NOT(ISNUMBER(G1757)), "", VLOOKUP(A1757,'Discount Lookup'!D:E,2,FALSE)*G1757)</f>
        <v>0</v>
      </c>
      <c r="V1757" s="225">
        <f>IF(NOT(ISNUMBER(G1757)), "", VLOOKUP(A1757,'Discount Lookup'!G:H,2,FALSE)*G1757)</f>
        <v>0</v>
      </c>
      <c r="W1757" s="508">
        <f t="shared" si="1371"/>
        <v>0</v>
      </c>
      <c r="X1757" s="508">
        <f t="shared" si="1372"/>
        <v>0</v>
      </c>
      <c r="Y1757" s="509" t="b">
        <f t="shared" si="1373"/>
        <v>0</v>
      </c>
      <c r="Z1757" s="510">
        <f t="shared" si="1374"/>
        <v>0</v>
      </c>
      <c r="AA1757" s="511"/>
      <c r="AB1757" s="511" t="str">
        <f t="shared" si="1375"/>
        <v/>
      </c>
      <c r="AC1757" s="698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698"/>
      <c r="AE1757" s="631" t="str">
        <f t="shared" si="1376"/>
        <v/>
      </c>
      <c r="AF1757" s="699" t="str">
        <f t="shared" si="1377"/>
        <v/>
      </c>
      <c r="AG1757" s="699"/>
      <c r="AH1757" s="699"/>
      <c r="AI1757" s="512">
        <f>IF(H1757="credit",0,IF(AE1757="free",0,IF(AE1757="me",0,IF(G1757&gt;0,(VLOOKUP(A1757,'Discount Lookup'!J:K,2)*G1757),0))))</f>
        <v>0</v>
      </c>
      <c r="AJ1757" s="513" t="str">
        <f t="shared" ca="1" si="1378"/>
        <v/>
      </c>
      <c r="AK1757" s="700" t="str">
        <f t="shared" si="1379"/>
        <v/>
      </c>
      <c r="AL1757" s="700"/>
      <c r="AM1757" s="505" t="str">
        <f t="shared" si="1380"/>
        <v/>
      </c>
      <c r="AN1757" s="506"/>
      <c r="AO1757" s="507"/>
      <c r="AP1757" s="507"/>
      <c r="AQ1757" s="507"/>
      <c r="AR1757" s="507"/>
      <c r="AS1757" s="507"/>
      <c r="AT1757" s="507"/>
      <c r="AU1757" s="507"/>
      <c r="AV1757" s="225"/>
      <c r="AW1757" s="508"/>
      <c r="AX1757" s="225"/>
      <c r="AY1757" s="225"/>
      <c r="AZ1757" s="225"/>
      <c r="BA1757" s="225"/>
      <c r="BB1757" s="225"/>
      <c r="BC1757" s="56"/>
      <c r="BD1757" s="56"/>
      <c r="BE1757" s="56"/>
      <c r="BF1757" s="107" t="str">
        <f t="shared" si="1381"/>
        <v>https://www.google.com/search?tbm=isch&amp;q=3%20G6</v>
      </c>
      <c r="BG1757" s="107" t="str">
        <f t="shared" si="1382"/>
        <v>G</v>
      </c>
      <c r="BH1757" s="254"/>
      <c r="BI1757" s="254"/>
    </row>
    <row r="1758" spans="1:61" customFormat="1" ht="16.5" thickBot="1" x14ac:dyDescent="0.3">
      <c r="A1758" s="522" t="s">
        <v>2942</v>
      </c>
      <c r="B1758" s="491"/>
      <c r="C1758" s="675"/>
      <c r="D1758" s="491"/>
      <c r="E1758" s="491"/>
      <c r="F1758" s="492"/>
      <c r="G1758" s="493"/>
      <c r="H1758" s="491"/>
      <c r="I1758" s="234"/>
      <c r="J1758" s="234"/>
      <c r="K1758" s="494"/>
      <c r="L1758" s="543"/>
      <c r="M1758" s="561"/>
      <c r="N1758" s="495"/>
      <c r="O1758" s="496"/>
      <c r="P1758" s="497"/>
      <c r="Q1758" s="495"/>
      <c r="R1758" s="495"/>
      <c r="S1758" s="277"/>
      <c r="T1758" s="508">
        <f t="shared" si="1370"/>
        <v>0</v>
      </c>
      <c r="U1758" s="225" t="str">
        <f>IF(NOT(ISNUMBER(G1758)), "", VLOOKUP(A1758,'Discount Lookup'!D:E,2,FALSE)*G1758)</f>
        <v/>
      </c>
      <c r="V1758" s="225" t="str">
        <f>IF(NOT(ISNUMBER(G1758)), "", VLOOKUP(A1758,'Discount Lookup'!G:H,2,FALSE)*G1758)</f>
        <v/>
      </c>
      <c r="W1758" s="508">
        <f t="shared" si="1371"/>
        <v>0</v>
      </c>
      <c r="X1758" s="508">
        <f t="shared" si="1372"/>
        <v>0</v>
      </c>
      <c r="Y1758" s="509" t="b">
        <f t="shared" si="1373"/>
        <v>0</v>
      </c>
      <c r="Z1758" s="510">
        <f t="shared" si="1374"/>
        <v>0</v>
      </c>
      <c r="AA1758" s="511"/>
      <c r="AB1758" s="511" t="str">
        <f t="shared" si="1375"/>
        <v/>
      </c>
      <c r="AC1758" s="698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698"/>
      <c r="AE1758" s="631" t="str">
        <f t="shared" si="1376"/>
        <v/>
      </c>
      <c r="AF1758" s="699" t="str">
        <f t="shared" si="1377"/>
        <v/>
      </c>
      <c r="AG1758" s="699"/>
      <c r="AH1758" s="699"/>
      <c r="AI1758" s="512">
        <f>IF(H1758="credit",0,IF(AE1758="free",0,IF(AE1758="me",0,IF(G1758&gt;0,(VLOOKUP(A1758,'Discount Lookup'!J:K,2)*G1758),0))))</f>
        <v>0</v>
      </c>
      <c r="AJ1758" s="513" t="str">
        <f t="shared" ca="1" si="1378"/>
        <v/>
      </c>
      <c r="AK1758" s="700" t="str">
        <f t="shared" si="1379"/>
        <v/>
      </c>
      <c r="AL1758" s="700"/>
      <c r="AM1758" s="505" t="str">
        <f t="shared" si="1380"/>
        <v/>
      </c>
      <c r="AN1758" s="506"/>
      <c r="AO1758" s="507"/>
      <c r="AP1758" s="507"/>
      <c r="AQ1758" s="507"/>
      <c r="AR1758" s="507"/>
      <c r="AS1758" s="507"/>
      <c r="AT1758" s="507"/>
      <c r="AU1758" s="507"/>
      <c r="AV1758" s="225"/>
      <c r="AW1758" s="508"/>
      <c r="AX1758" s="225"/>
      <c r="AY1758" s="225"/>
      <c r="AZ1758" s="225"/>
      <c r="BA1758" s="225"/>
      <c r="BB1758" s="225"/>
      <c r="BC1758" s="56"/>
      <c r="BD1758" s="56"/>
      <c r="BE1758" s="56"/>
      <c r="BF1758" s="107" t="str">
        <f t="shared" si="1381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1758" s="107" t="str">
        <f t="shared" si="1382"/>
        <v>G</v>
      </c>
      <c r="BH1758" s="254"/>
      <c r="BI1758" s="254"/>
    </row>
    <row r="1759" spans="1:61" customFormat="1" ht="18" x14ac:dyDescent="0.25">
      <c r="A1759" s="521" t="s">
        <v>1065</v>
      </c>
      <c r="B1759" s="477"/>
      <c r="C1759" s="674"/>
      <c r="D1759" s="478" t="s">
        <v>1066</v>
      </c>
      <c r="E1759" s="479"/>
      <c r="F1759" s="479"/>
      <c r="G1759" s="479"/>
      <c r="H1759" s="582" t="s">
        <v>317</v>
      </c>
      <c r="I1759" s="480" t="s">
        <v>654</v>
      </c>
      <c r="J1759" s="479"/>
      <c r="K1759" s="479"/>
      <c r="L1759" s="560"/>
      <c r="M1759" s="666" t="s">
        <v>4966</v>
      </c>
      <c r="N1759" s="680" t="str">
        <f>IF(AND(ISTEXT($A1759), ISERROR($A1759+0)), HYPERLINK($BF1759, "Images"), "")</f>
        <v>Images</v>
      </c>
      <c r="O1759" s="662" t="s">
        <v>4969</v>
      </c>
      <c r="P1759" s="482"/>
      <c r="Q1759" s="483"/>
      <c r="R1759" s="483"/>
      <c r="S1759" s="484"/>
      <c r="T1759" s="508">
        <f t="shared" si="1370"/>
        <v>0</v>
      </c>
      <c r="U1759" s="225" t="str">
        <f>IF(NOT(ISNUMBER(G1759)), "", VLOOKUP(A1759,'Discount Lookup'!D:E,2,FALSE)*G1759)</f>
        <v/>
      </c>
      <c r="V1759" s="225" t="str">
        <f>IF(NOT(ISNUMBER(G1759)), "", VLOOKUP(A1759,'Discount Lookup'!G:H,2,FALSE)*G1759)</f>
        <v/>
      </c>
      <c r="W1759" s="508">
        <f t="shared" si="1371"/>
        <v>0</v>
      </c>
      <c r="X1759" s="508" t="str">
        <f t="shared" si="1372"/>
        <v>White bloom</v>
      </c>
      <c r="Y1759" s="509" t="b">
        <f t="shared" si="1373"/>
        <v>0</v>
      </c>
      <c r="Z1759" s="510">
        <f t="shared" si="1374"/>
        <v>0</v>
      </c>
      <c r="AA1759" s="511"/>
      <c r="AB1759" s="511" t="str">
        <f t="shared" si="1375"/>
        <v/>
      </c>
      <c r="AC1759" s="698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698"/>
      <c r="AE1759" s="631" t="str">
        <f t="shared" si="1376"/>
        <v/>
      </c>
      <c r="AF1759" s="699" t="str">
        <f t="shared" si="1377"/>
        <v/>
      </c>
      <c r="AG1759" s="699"/>
      <c r="AH1759" s="699"/>
      <c r="AI1759" s="512">
        <f>IF(H1759="credit",0,IF(AE1759="free",0,IF(AE1759="me",0,IF(G1759&gt;0,(VLOOKUP(A1759,'Discount Lookup'!J:K,2)*G1759),0))))</f>
        <v>0</v>
      </c>
      <c r="AJ1759" s="513" t="str">
        <f t="shared" ca="1" si="1378"/>
        <v/>
      </c>
      <c r="AK1759" s="700" t="str">
        <f t="shared" si="1379"/>
        <v/>
      </c>
      <c r="AL1759" s="700"/>
      <c r="AM1759" s="505" t="str">
        <f t="shared" si="1380"/>
        <v/>
      </c>
      <c r="AN1759" s="506"/>
      <c r="AO1759" s="507"/>
      <c r="AP1759" s="507"/>
      <c r="AQ1759" s="507"/>
      <c r="AR1759" s="507"/>
      <c r="AS1759" s="507"/>
      <c r="AT1759" s="507"/>
      <c r="AU1759" s="507"/>
      <c r="AV1759" s="225"/>
      <c r="AW1759" s="508"/>
      <c r="AX1759" s="225"/>
      <c r="AY1759" s="225"/>
      <c r="AZ1759" s="225"/>
      <c r="BA1759" s="225"/>
      <c r="BB1759" s="225"/>
      <c r="BC1759" s="56"/>
      <c r="BD1759" s="56"/>
      <c r="BE1759" s="56"/>
      <c r="BF1759" s="107" t="str">
        <f t="shared" si="1381"/>
        <v>https://www.google.com/search?tbm=isch&amp;q=Gulftide%20Osmanthus%20Osmanthus%20heterophyllus%20%27Gulftide%27</v>
      </c>
      <c r="BG1759" s="107" t="str">
        <f t="shared" si="1382"/>
        <v>G</v>
      </c>
      <c r="BH1759" s="254"/>
      <c r="BI1759" s="254"/>
    </row>
    <row r="1760" spans="1:61" customFormat="1" ht="15.75" x14ac:dyDescent="0.25">
      <c r="A1760" s="485">
        <v>15</v>
      </c>
      <c r="B1760" s="486" t="s">
        <v>291</v>
      </c>
      <c r="C1760" s="487" t="s">
        <v>1067</v>
      </c>
      <c r="D1760" s="488" t="s">
        <v>300</v>
      </c>
      <c r="E1760" s="489">
        <v>238.95</v>
      </c>
      <c r="F1760" s="516" t="s">
        <v>293</v>
      </c>
      <c r="G1760" s="232">
        <v>0</v>
      </c>
      <c r="H1760" s="658" t="str">
        <f>IF(G1760=0,"",IF(F1760="Buy",IF(G1760=1,"plant","plants"),IF(F1760&gt;0.01,"warranty","Error")))</f>
        <v/>
      </c>
      <c r="I1760" s="490">
        <f>IF(H1760="free",0,IF(H1760="credit",((E1760*(F1760))*G1760*-1),IF(F1760="Buy",(E1760*G1760),((E1760*(1-F1760))*G1760))))</f>
        <v>0</v>
      </c>
      <c r="J1760" s="490">
        <f>IF(H1760="warranty",0,(I1760*(_xlfn.SINGLE(SalesTaxPercentage))))</f>
        <v>0</v>
      </c>
      <c r="K1760" s="695">
        <f t="shared" ref="K1760" si="1392">I1760+J1760</f>
        <v>0</v>
      </c>
      <c r="L1760" s="695"/>
      <c r="M1760" s="659" t="str">
        <f>IF(AND(G1760&gt;0,E1760=0),"WARNING - no PRICE inserted",IF(H1760="free"," FREE ~ no charge this plant",IF(H1760="credit",CONCATENATE(" -$",ROUND(K1760*(1-T2GDiscount)*-1,2)," CREDIT after discount"),IF(T2GDiscount=0,"",IF(G1760=0,"",IF(F1760="Buy",CONCATENATE(" $",ROUND(K1760*(1-T2GDiscount),2)," with ",(T2GDiscount*100),"% discount"),CONCATENATE(" $",ROUND(K1760*(1-T2GDiscount),2)," with ",((T2GDiscount*100+F1760*100)-(T2GDiscount*100*F1760)),IF(F1760&gt;0,"% discounts",IF(NoWarrantyDiscount&gt;0,"% discounts","% discount")))))))))</f>
        <v/>
      </c>
      <c r="N1760" s="660"/>
      <c r="O1760" s="233"/>
      <c r="P1760" s="233"/>
      <c r="Q1760" s="233"/>
      <c r="R1760" s="233"/>
      <c r="S1760" s="233"/>
      <c r="T1760" s="508">
        <f t="shared" si="1370"/>
        <v>0</v>
      </c>
      <c r="U1760" s="225">
        <f>IF(NOT(ISNUMBER(G1760)), "", VLOOKUP(A1760,'Discount Lookup'!D:E,2,FALSE)*G1760)</f>
        <v>0</v>
      </c>
      <c r="V1760" s="225">
        <f>IF(NOT(ISNUMBER(G1760)), "", VLOOKUP(A1760,'Discount Lookup'!G:H,2,FALSE)*G1760)</f>
        <v>0</v>
      </c>
      <c r="W1760" s="508">
        <f t="shared" si="1371"/>
        <v>0</v>
      </c>
      <c r="X1760" s="508">
        <f t="shared" si="1372"/>
        <v>0</v>
      </c>
      <c r="Y1760" s="509" t="b">
        <f t="shared" si="1373"/>
        <v>0</v>
      </c>
      <c r="Z1760" s="510">
        <f t="shared" si="1374"/>
        <v>0</v>
      </c>
      <c r="AA1760" s="511"/>
      <c r="AB1760" s="511" t="str">
        <f t="shared" si="1375"/>
        <v/>
      </c>
      <c r="AC1760" s="698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698"/>
      <c r="AE1760" s="631" t="str">
        <f t="shared" si="1376"/>
        <v/>
      </c>
      <c r="AF1760" s="699" t="str">
        <f t="shared" si="1377"/>
        <v/>
      </c>
      <c r="AG1760" s="699"/>
      <c r="AH1760" s="699"/>
      <c r="AI1760" s="512">
        <f>IF(H1760="credit",0,IF(AE1760="free",0,IF(AE1760="me",0,IF(G1760&gt;0,(VLOOKUP(A1760,'Discount Lookup'!J:K,2)*G1760),0))))</f>
        <v>0</v>
      </c>
      <c r="AJ1760" s="513" t="str">
        <f t="shared" ca="1" si="1378"/>
        <v/>
      </c>
      <c r="AK1760" s="700" t="str">
        <f t="shared" si="1379"/>
        <v/>
      </c>
      <c r="AL1760" s="700"/>
      <c r="AM1760" s="505" t="str">
        <f t="shared" si="1380"/>
        <v/>
      </c>
      <c r="AN1760" s="506"/>
      <c r="AO1760" s="507"/>
      <c r="AP1760" s="507"/>
      <c r="AQ1760" s="507"/>
      <c r="AR1760" s="507"/>
      <c r="AS1760" s="507"/>
      <c r="AT1760" s="507"/>
      <c r="AU1760" s="507"/>
      <c r="AV1760" s="225"/>
      <c r="AW1760" s="508"/>
      <c r="AX1760" s="225"/>
      <c r="AY1760" s="225"/>
      <c r="AZ1760" s="225"/>
      <c r="BA1760" s="225"/>
      <c r="BB1760" s="225"/>
      <c r="BC1760" s="56"/>
      <c r="BD1760" s="56"/>
      <c r="BE1760" s="56"/>
      <c r="BF1760" s="107" t="str">
        <f t="shared" si="1381"/>
        <v>https://www.google.com/search?tbm=isch&amp;q=15%20G6</v>
      </c>
      <c r="BG1760" s="107" t="str">
        <f t="shared" si="1382"/>
        <v>G</v>
      </c>
      <c r="BH1760" s="254"/>
      <c r="BI1760" s="254"/>
    </row>
    <row r="1761" spans="1:61" customFormat="1" ht="15.75" x14ac:dyDescent="0.25">
      <c r="A1761" s="485">
        <v>25</v>
      </c>
      <c r="B1761" s="486" t="s">
        <v>291</v>
      </c>
      <c r="C1761" s="487" t="s">
        <v>4899</v>
      </c>
      <c r="D1761" s="488" t="s">
        <v>300</v>
      </c>
      <c r="E1761" s="489">
        <v>428.95</v>
      </c>
      <c r="F1761" s="516" t="s">
        <v>293</v>
      </c>
      <c r="G1761" s="232">
        <v>0</v>
      </c>
      <c r="H1761" s="658" t="str">
        <f>IF(G1761=0,"",IF(F1761="Buy",IF(G1761=1,"plant","plants"),IF(F1761&gt;0.01,"warranty","Error")))</f>
        <v/>
      </c>
      <c r="I1761" s="490">
        <f>IF(H1761="free",0,IF(H1761="credit",((E1761*(F1761))*G1761*-1),IF(F1761="Buy",(E1761*G1761),((E1761*(1-F1761))*G1761))))</f>
        <v>0</v>
      </c>
      <c r="J1761" s="490">
        <f>IF(H1761="warranty",0,(I1761*(_xlfn.SINGLE(SalesTaxPercentage))))</f>
        <v>0</v>
      </c>
      <c r="K1761" s="695">
        <f t="shared" ref="K1761" si="1393">I1761+J1761</f>
        <v>0</v>
      </c>
      <c r="L1761" s="695"/>
      <c r="M1761" s="659" t="str">
        <f>IF(AND(G1761&gt;0,E1761=0),"WARNING - no PRICE inserted",IF(H1761="free"," FREE ~ no charge this plant",IF(H1761="credit",CONCATENATE(" -$",ROUND(K1761*(1-T2GDiscount)*-1,2)," CREDIT after discount"),IF(T2GDiscount=0,"",IF(G1761=0,"",IF(F1761="Buy",CONCATENATE(" $",ROUND(K1761*(1-T2GDiscount),2)," with ",(T2GDiscount*100),"% discount"),CONCATENATE(" $",ROUND(K1761*(1-T2GDiscount),2)," with ",((T2GDiscount*100+F1761*100)-(T2GDiscount*100*F1761)),IF(F1761&gt;0,"% discounts",IF(NoWarrantyDiscount&gt;0,"% discounts","% discount")))))))))</f>
        <v/>
      </c>
      <c r="N1761" s="660"/>
      <c r="O1761" s="233"/>
      <c r="P1761" s="233"/>
      <c r="Q1761" s="233"/>
      <c r="R1761" s="233"/>
      <c r="S1761" s="233"/>
      <c r="T1761" s="508">
        <f t="shared" si="1370"/>
        <v>0</v>
      </c>
      <c r="U1761" s="225">
        <f>IF(NOT(ISNUMBER(G1761)), "", VLOOKUP(A1761,'Discount Lookup'!D:E,2,FALSE)*G1761)</f>
        <v>0</v>
      </c>
      <c r="V1761" s="225">
        <f>IF(NOT(ISNUMBER(G1761)), "", VLOOKUP(A1761,'Discount Lookup'!G:H,2,FALSE)*G1761)</f>
        <v>0</v>
      </c>
      <c r="W1761" s="508">
        <f t="shared" si="1371"/>
        <v>0</v>
      </c>
      <c r="X1761" s="508">
        <f t="shared" si="1372"/>
        <v>0</v>
      </c>
      <c r="Y1761" s="509" t="b">
        <f t="shared" si="1373"/>
        <v>0</v>
      </c>
      <c r="Z1761" s="510">
        <f t="shared" si="1374"/>
        <v>0</v>
      </c>
      <c r="AA1761" s="511"/>
      <c r="AB1761" s="511" t="str">
        <f t="shared" si="1375"/>
        <v/>
      </c>
      <c r="AC1761" s="698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698"/>
      <c r="AE1761" s="631" t="str">
        <f t="shared" si="1376"/>
        <v/>
      </c>
      <c r="AF1761" s="699" t="str">
        <f t="shared" si="1377"/>
        <v/>
      </c>
      <c r="AG1761" s="699"/>
      <c r="AH1761" s="699"/>
      <c r="AI1761" s="512">
        <f>IF(H1761="credit",0,IF(AE1761="free",0,IF(AE1761="me",0,IF(G1761&gt;0,(VLOOKUP(A1761,'Discount Lookup'!J:K,2)*G1761),0))))</f>
        <v>0</v>
      </c>
      <c r="AJ1761" s="513" t="str">
        <f t="shared" ca="1" si="1378"/>
        <v/>
      </c>
      <c r="AK1761" s="700" t="str">
        <f t="shared" si="1379"/>
        <v/>
      </c>
      <c r="AL1761" s="700"/>
      <c r="AM1761" s="505" t="str">
        <f t="shared" si="1380"/>
        <v/>
      </c>
      <c r="AN1761" s="506"/>
      <c r="AO1761" s="507"/>
      <c r="AP1761" s="507"/>
      <c r="AQ1761" s="507"/>
      <c r="AR1761" s="507"/>
      <c r="AS1761" s="507"/>
      <c r="AT1761" s="507"/>
      <c r="AU1761" s="507"/>
      <c r="AV1761" s="225"/>
      <c r="AW1761" s="508"/>
      <c r="AX1761" s="225"/>
      <c r="AY1761" s="225"/>
      <c r="AZ1761" s="225"/>
      <c r="BA1761" s="225"/>
      <c r="BB1761" s="225"/>
      <c r="BC1761" s="56"/>
      <c r="BD1761" s="56"/>
      <c r="BE1761" s="56"/>
      <c r="BF1761" s="107" t="str">
        <f t="shared" si="1381"/>
        <v>https://www.google.com/search?tbm=isch&amp;q=25%20G6</v>
      </c>
      <c r="BG1761" s="107" t="str">
        <f t="shared" si="1382"/>
        <v>G</v>
      </c>
      <c r="BH1761" s="254"/>
      <c r="BI1761" s="254"/>
    </row>
    <row r="1762" spans="1:61" customFormat="1" ht="16.5" thickBot="1" x14ac:dyDescent="0.3">
      <c r="A1762" s="522" t="s">
        <v>2403</v>
      </c>
      <c r="B1762" s="491"/>
      <c r="C1762" s="675"/>
      <c r="D1762" s="491"/>
      <c r="E1762" s="491"/>
      <c r="F1762" s="492"/>
      <c r="G1762" s="493"/>
      <c r="H1762" s="491"/>
      <c r="I1762" s="234"/>
      <c r="J1762" s="234"/>
      <c r="K1762" s="494"/>
      <c r="L1762" s="543"/>
      <c r="M1762" s="561"/>
      <c r="N1762" s="495"/>
      <c r="O1762" s="496"/>
      <c r="P1762" s="497"/>
      <c r="Q1762" s="495"/>
      <c r="R1762" s="495"/>
      <c r="S1762" s="277"/>
      <c r="T1762" s="508">
        <f t="shared" si="1370"/>
        <v>0</v>
      </c>
      <c r="U1762" s="225" t="str">
        <f>IF(NOT(ISNUMBER(G1762)), "", VLOOKUP(A1762,'Discount Lookup'!D:E,2,FALSE)*G1762)</f>
        <v/>
      </c>
      <c r="V1762" s="225" t="str">
        <f>IF(NOT(ISNUMBER(G1762)), "", VLOOKUP(A1762,'Discount Lookup'!G:H,2,FALSE)*G1762)</f>
        <v/>
      </c>
      <c r="W1762" s="508">
        <f t="shared" si="1371"/>
        <v>0</v>
      </c>
      <c r="X1762" s="508">
        <f t="shared" si="1372"/>
        <v>0</v>
      </c>
      <c r="Y1762" s="509" t="b">
        <f t="shared" si="1373"/>
        <v>0</v>
      </c>
      <c r="Z1762" s="510">
        <f t="shared" si="1374"/>
        <v>0</v>
      </c>
      <c r="AA1762" s="511"/>
      <c r="AB1762" s="511" t="str">
        <f t="shared" si="1375"/>
        <v/>
      </c>
      <c r="AC1762" s="698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698"/>
      <c r="AE1762" s="631" t="str">
        <f t="shared" si="1376"/>
        <v/>
      </c>
      <c r="AF1762" s="699" t="str">
        <f t="shared" si="1377"/>
        <v/>
      </c>
      <c r="AG1762" s="699"/>
      <c r="AH1762" s="699"/>
      <c r="AI1762" s="512">
        <f>IF(H1762="credit",0,IF(AE1762="free",0,IF(AE1762="me",0,IF(G1762&gt;0,(VLOOKUP(A1762,'Discount Lookup'!J:K,2)*G1762),0))))</f>
        <v>0</v>
      </c>
      <c r="AJ1762" s="513" t="str">
        <f t="shared" ca="1" si="1378"/>
        <v/>
      </c>
      <c r="AK1762" s="700" t="str">
        <f t="shared" si="1379"/>
        <v/>
      </c>
      <c r="AL1762" s="700"/>
      <c r="AM1762" s="505" t="str">
        <f t="shared" si="1380"/>
        <v/>
      </c>
      <c r="AN1762" s="506"/>
      <c r="AO1762" s="507"/>
      <c r="AP1762" s="507"/>
      <c r="AQ1762" s="507"/>
      <c r="AR1762" s="507"/>
      <c r="AS1762" s="507"/>
      <c r="AT1762" s="507"/>
      <c r="AU1762" s="507"/>
      <c r="AV1762" s="225"/>
      <c r="AW1762" s="508"/>
      <c r="AX1762" s="225"/>
      <c r="AY1762" s="225"/>
      <c r="AZ1762" s="225"/>
      <c r="BA1762" s="225"/>
      <c r="BB1762" s="225"/>
      <c r="BC1762" s="56"/>
      <c r="BD1762" s="56"/>
      <c r="BE1762" s="56"/>
      <c r="BF1762" s="107" t="str">
        <f t="shared" si="1381"/>
        <v>https://www.google.com/search?tbm=isch&amp;q=Gulftide%20has%20dense%2C%20spiney%20foliage%20that%20screens%20well.%20Small%20flowers%20are%20hard%20to%20see%20in%20fall%2C%20but%20rather%20fragrant%20</v>
      </c>
      <c r="BG1762" s="107" t="str">
        <f t="shared" si="1382"/>
        <v>G</v>
      </c>
      <c r="BH1762" s="254"/>
      <c r="BI1762" s="254"/>
    </row>
    <row r="1763" spans="1:61" customFormat="1" ht="18" x14ac:dyDescent="0.25">
      <c r="A1763" s="521" t="s">
        <v>1068</v>
      </c>
      <c r="B1763" s="477"/>
      <c r="C1763" s="674"/>
      <c r="D1763" s="478" t="s">
        <v>1069</v>
      </c>
      <c r="E1763" s="479"/>
      <c r="F1763" s="479"/>
      <c r="G1763" s="479"/>
      <c r="H1763" s="582" t="s">
        <v>303</v>
      </c>
      <c r="I1763" s="480" t="s">
        <v>2284</v>
      </c>
      <c r="J1763" s="479"/>
      <c r="K1763" s="479"/>
      <c r="L1763" s="560"/>
      <c r="M1763" s="666" t="s">
        <v>4963</v>
      </c>
      <c r="N1763" s="680" t="str">
        <f>IF(AND(ISTEXT($A1763), ISERROR($A1763+0)), HYPERLINK($BF1763, "Images"), "")</f>
        <v>Images</v>
      </c>
      <c r="O1763" s="662" t="s">
        <v>4967</v>
      </c>
      <c r="P1763" s="482"/>
      <c r="Q1763" s="483"/>
      <c r="R1763" s="483"/>
      <c r="S1763" s="484"/>
      <c r="T1763" s="508">
        <f t="shared" si="1370"/>
        <v>0</v>
      </c>
      <c r="U1763" s="225" t="str">
        <f>IF(NOT(ISNUMBER(G1763)), "", VLOOKUP(A1763,'Discount Lookup'!D:E,2,FALSE)*G1763)</f>
        <v/>
      </c>
      <c r="V1763" s="225" t="str">
        <f>IF(NOT(ISNUMBER(G1763)), "", VLOOKUP(A1763,'Discount Lookup'!G:H,2,FALSE)*G1763)</f>
        <v/>
      </c>
      <c r="W1763" s="508">
        <f t="shared" si="1371"/>
        <v>0</v>
      </c>
      <c r="X1763" s="508" t="str">
        <f t="shared" si="1372"/>
        <v>Rich Green foliage</v>
      </c>
      <c r="Y1763" s="509" t="b">
        <f t="shared" si="1373"/>
        <v>0</v>
      </c>
      <c r="Z1763" s="510">
        <f t="shared" si="1374"/>
        <v>0</v>
      </c>
      <c r="AA1763" s="511"/>
      <c r="AB1763" s="511" t="str">
        <f t="shared" si="1375"/>
        <v/>
      </c>
      <c r="AC1763" s="698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698"/>
      <c r="AE1763" s="631" t="str">
        <f t="shared" si="1376"/>
        <v/>
      </c>
      <c r="AF1763" s="699" t="str">
        <f t="shared" si="1377"/>
        <v/>
      </c>
      <c r="AG1763" s="699"/>
      <c r="AH1763" s="699"/>
      <c r="AI1763" s="512">
        <f>IF(H1763="credit",0,IF(AE1763="free",0,IF(AE1763="me",0,IF(G1763&gt;0,(VLOOKUP(A1763,'Discount Lookup'!J:K,2)*G1763),0))))</f>
        <v>0</v>
      </c>
      <c r="AJ1763" s="513" t="str">
        <f t="shared" ca="1" si="1378"/>
        <v/>
      </c>
      <c r="AK1763" s="700" t="str">
        <f t="shared" si="1379"/>
        <v/>
      </c>
      <c r="AL1763" s="700"/>
      <c r="AM1763" s="505" t="str">
        <f t="shared" si="1380"/>
        <v/>
      </c>
      <c r="AN1763" s="506"/>
      <c r="AO1763" s="507"/>
      <c r="AP1763" s="507"/>
      <c r="AQ1763" s="507"/>
      <c r="AR1763" s="507"/>
      <c r="AS1763" s="507"/>
      <c r="AT1763" s="507"/>
      <c r="AU1763" s="507"/>
      <c r="AV1763" s="225"/>
      <c r="AW1763" s="508"/>
      <c r="AX1763" s="225"/>
      <c r="AY1763" s="225"/>
      <c r="AZ1763" s="225"/>
      <c r="BA1763" s="225"/>
      <c r="BB1763" s="225"/>
      <c r="BC1763" s="56"/>
      <c r="BD1763" s="56"/>
      <c r="BE1763" s="56"/>
      <c r="BF1763" s="107" t="str">
        <f t="shared" si="1381"/>
        <v>https://www.google.com/search?tbm=isch&amp;q=Gyokuryu%20Japanese%20Cedar%20Cryptomeria%20japonica%20%27Gyokuryu%27</v>
      </c>
      <c r="BG1763" s="107" t="str">
        <f t="shared" si="1382"/>
        <v>G</v>
      </c>
      <c r="BH1763" s="254"/>
      <c r="BI1763" s="254"/>
    </row>
    <row r="1764" spans="1:61" customFormat="1" ht="15.75" x14ac:dyDescent="0.25">
      <c r="A1764" s="485">
        <v>3</v>
      </c>
      <c r="B1764" s="486" t="s">
        <v>291</v>
      </c>
      <c r="C1764" s="487" t="s">
        <v>4620</v>
      </c>
      <c r="D1764" s="488" t="s">
        <v>299</v>
      </c>
      <c r="E1764" s="489">
        <v>36.950000000000003</v>
      </c>
      <c r="F1764" s="516" t="s">
        <v>293</v>
      </c>
      <c r="G1764" s="232">
        <v>0</v>
      </c>
      <c r="H1764" s="658" t="str">
        <f>IF(G1764=0,"",IF(F1764="Buy",IF(G1764=1,"plant","plants"),IF(F1764&gt;0.01,"warranty","Error")))</f>
        <v/>
      </c>
      <c r="I1764" s="490">
        <f>IF(H1764="free",0,IF(H1764="credit",((E1764*(F1764))*G1764*-1),IF(F1764="Buy",(E1764*G1764),((E1764*(1-F1764))*G1764))))</f>
        <v>0</v>
      </c>
      <c r="J1764" s="490">
        <f>IF(H1764="warranty",0,(I1764*(_xlfn.SINGLE(SalesTaxPercentage))))</f>
        <v>0</v>
      </c>
      <c r="K1764" s="695">
        <f t="shared" ref="K1764" si="1394">I1764+J1764</f>
        <v>0</v>
      </c>
      <c r="L1764" s="695"/>
      <c r="M1764" s="659" t="str">
        <f>IF(AND(G1764&gt;0,E1764=0),"WARNING - no PRICE inserted",IF(H1764="free"," FREE ~ no charge this plant",IF(H1764="credit",CONCATENATE(" -$",ROUND(K1764*(1-T2GDiscount)*-1,2)," CREDIT after discount"),IF(T2GDiscount=0,"",IF(G1764=0,"",IF(F1764="Buy",CONCATENATE(" $",ROUND(K1764*(1-T2GDiscount),2)," with ",(T2GDiscount*100),"% discount"),CONCATENATE(" $",ROUND(K1764*(1-T2GDiscount),2)," with ",((T2GDiscount*100+F1764*100)-(T2GDiscount*100*F1764)),IF(F1764&gt;0,"% discounts",IF(NoWarrantyDiscount&gt;0,"% discounts","% discount")))))))))</f>
        <v/>
      </c>
      <c r="N1764" s="660"/>
      <c r="O1764" s="233"/>
      <c r="P1764" s="233"/>
      <c r="Q1764" s="233"/>
      <c r="R1764" s="233"/>
      <c r="S1764" s="233"/>
      <c r="T1764" s="508">
        <f t="shared" si="1370"/>
        <v>0</v>
      </c>
      <c r="U1764" s="225">
        <f>IF(NOT(ISNUMBER(G1764)), "", VLOOKUP(A1764,'Discount Lookup'!D:E,2,FALSE)*G1764)</f>
        <v>0</v>
      </c>
      <c r="V1764" s="225">
        <f>IF(NOT(ISNUMBER(G1764)), "", VLOOKUP(A1764,'Discount Lookup'!G:H,2,FALSE)*G1764)</f>
        <v>0</v>
      </c>
      <c r="W1764" s="508">
        <f t="shared" si="1371"/>
        <v>0</v>
      </c>
      <c r="X1764" s="508">
        <f t="shared" si="1372"/>
        <v>0</v>
      </c>
      <c r="Y1764" s="509" t="b">
        <f t="shared" si="1373"/>
        <v>0</v>
      </c>
      <c r="Z1764" s="510">
        <f t="shared" si="1374"/>
        <v>0</v>
      </c>
      <c r="AA1764" s="511"/>
      <c r="AB1764" s="511" t="str">
        <f t="shared" si="1375"/>
        <v/>
      </c>
      <c r="AC1764" s="698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698"/>
      <c r="AE1764" s="631" t="str">
        <f t="shared" si="1376"/>
        <v/>
      </c>
      <c r="AF1764" s="699" t="str">
        <f t="shared" si="1377"/>
        <v/>
      </c>
      <c r="AG1764" s="699"/>
      <c r="AH1764" s="699"/>
      <c r="AI1764" s="512">
        <f>IF(H1764="credit",0,IF(AE1764="free",0,IF(AE1764="me",0,IF(G1764&gt;0,(VLOOKUP(A1764,'Discount Lookup'!J:K,2)*G1764),0))))</f>
        <v>0</v>
      </c>
      <c r="AJ1764" s="513" t="str">
        <f t="shared" ca="1" si="1378"/>
        <v/>
      </c>
      <c r="AK1764" s="700" t="str">
        <f t="shared" si="1379"/>
        <v/>
      </c>
      <c r="AL1764" s="700"/>
      <c r="AM1764" s="505" t="str">
        <f t="shared" si="1380"/>
        <v/>
      </c>
      <c r="AN1764" s="506"/>
      <c r="AO1764" s="507"/>
      <c r="AP1764" s="507"/>
      <c r="AQ1764" s="507"/>
      <c r="AR1764" s="507"/>
      <c r="AS1764" s="507"/>
      <c r="AT1764" s="507"/>
      <c r="AU1764" s="507"/>
      <c r="AV1764" s="225"/>
      <c r="AW1764" s="508"/>
      <c r="AX1764" s="225"/>
      <c r="AY1764" s="225"/>
      <c r="AZ1764" s="225"/>
      <c r="BA1764" s="225"/>
      <c r="BB1764" s="225"/>
      <c r="BC1764" s="56"/>
      <c r="BD1764" s="56"/>
      <c r="BE1764" s="56"/>
      <c r="BF1764" s="107" t="str">
        <f t="shared" si="1381"/>
        <v>https://www.google.com/search?tbm=isch&amp;q=3%20G5</v>
      </c>
      <c r="BG1764" s="107" t="str">
        <f t="shared" si="1382"/>
        <v>G</v>
      </c>
      <c r="BH1764" s="254"/>
      <c r="BI1764" s="254"/>
    </row>
    <row r="1765" spans="1:61" customFormat="1" ht="15.75" x14ac:dyDescent="0.25">
      <c r="A1765" s="485">
        <v>15</v>
      </c>
      <c r="B1765" s="486" t="s">
        <v>291</v>
      </c>
      <c r="C1765" s="487" t="s">
        <v>2754</v>
      </c>
      <c r="D1765" s="488" t="s">
        <v>299</v>
      </c>
      <c r="E1765" s="489">
        <v>137.94999999999999</v>
      </c>
      <c r="F1765" s="516" t="s">
        <v>293</v>
      </c>
      <c r="G1765" s="232">
        <v>0</v>
      </c>
      <c r="H1765" s="658" t="str">
        <f>IF(G1765=0,"",IF(F1765="Buy",IF(G1765=1,"plant","plants"),IF(F1765&gt;0.01,"warranty","Error")))</f>
        <v/>
      </c>
      <c r="I1765" s="490">
        <f>IF(H1765="free",0,IF(H1765="credit",((E1765*(F1765))*G1765*-1),IF(F1765="Buy",(E1765*G1765),((E1765*(1-F1765))*G1765))))</f>
        <v>0</v>
      </c>
      <c r="J1765" s="490">
        <f>IF(H1765="warranty",0,(I1765*(_xlfn.SINGLE(SalesTaxPercentage))))</f>
        <v>0</v>
      </c>
      <c r="K1765" s="695">
        <f t="shared" ref="K1765" si="1395">I1765+J1765</f>
        <v>0</v>
      </c>
      <c r="L1765" s="695"/>
      <c r="M1765" s="659" t="str">
        <f>IF(AND(G1765&gt;0,E1765=0),"WARNING - no PRICE inserted",IF(H1765="free"," FREE ~ no charge this plant",IF(H1765="credit",CONCATENATE(" -$",ROUND(K1765*(1-T2GDiscount)*-1,2)," CREDIT after discount"),IF(T2GDiscount=0,"",IF(G1765=0,"",IF(F1765="Buy",CONCATENATE(" $",ROUND(K1765*(1-T2GDiscount),2)," with ",(T2GDiscount*100),"% discount"),CONCATENATE(" $",ROUND(K1765*(1-T2GDiscount),2)," with ",((T2GDiscount*100+F1765*100)-(T2GDiscount*100*F1765)),IF(F1765&gt;0,"% discounts",IF(NoWarrantyDiscount&gt;0,"% discounts","% discount")))))))))</f>
        <v/>
      </c>
      <c r="N1765" s="660"/>
      <c r="O1765" s="233"/>
      <c r="P1765" s="233"/>
      <c r="Q1765" s="233"/>
      <c r="R1765" s="233"/>
      <c r="S1765" s="233"/>
      <c r="T1765" s="508">
        <f t="shared" si="1370"/>
        <v>0</v>
      </c>
      <c r="U1765" s="225">
        <f>IF(NOT(ISNUMBER(G1765)), "", VLOOKUP(A1765,'Discount Lookup'!D:E,2,FALSE)*G1765)</f>
        <v>0</v>
      </c>
      <c r="V1765" s="225">
        <f>IF(NOT(ISNUMBER(G1765)), "", VLOOKUP(A1765,'Discount Lookup'!G:H,2,FALSE)*G1765)</f>
        <v>0</v>
      </c>
      <c r="W1765" s="508">
        <f t="shared" si="1371"/>
        <v>0</v>
      </c>
      <c r="X1765" s="508">
        <f t="shared" si="1372"/>
        <v>0</v>
      </c>
      <c r="Y1765" s="509" t="b">
        <f t="shared" si="1373"/>
        <v>0</v>
      </c>
      <c r="Z1765" s="510">
        <f t="shared" si="1374"/>
        <v>0</v>
      </c>
      <c r="AA1765" s="511"/>
      <c r="AB1765" s="511" t="str">
        <f t="shared" si="1375"/>
        <v/>
      </c>
      <c r="AC1765" s="698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698"/>
      <c r="AE1765" s="631" t="str">
        <f t="shared" si="1376"/>
        <v/>
      </c>
      <c r="AF1765" s="699" t="str">
        <f t="shared" si="1377"/>
        <v/>
      </c>
      <c r="AG1765" s="699"/>
      <c r="AH1765" s="699"/>
      <c r="AI1765" s="512">
        <f>IF(H1765="credit",0,IF(AE1765="free",0,IF(AE1765="me",0,IF(G1765&gt;0,(VLOOKUP(A1765,'Discount Lookup'!J:K,2)*G1765),0))))</f>
        <v>0</v>
      </c>
      <c r="AJ1765" s="513" t="str">
        <f t="shared" ca="1" si="1378"/>
        <v/>
      </c>
      <c r="AK1765" s="700" t="str">
        <f t="shared" si="1379"/>
        <v/>
      </c>
      <c r="AL1765" s="700"/>
      <c r="AM1765" s="505" t="str">
        <f t="shared" si="1380"/>
        <v/>
      </c>
      <c r="AN1765" s="506"/>
      <c r="AO1765" s="507"/>
      <c r="AP1765" s="507"/>
      <c r="AQ1765" s="507"/>
      <c r="AR1765" s="507"/>
      <c r="AS1765" s="507"/>
      <c r="AT1765" s="507"/>
      <c r="AU1765" s="507"/>
      <c r="AV1765" s="225"/>
      <c r="AW1765" s="508"/>
      <c r="AX1765" s="225"/>
      <c r="AY1765" s="225"/>
      <c r="AZ1765" s="225"/>
      <c r="BA1765" s="225"/>
      <c r="BB1765" s="225"/>
      <c r="BC1765" s="56"/>
      <c r="BD1765" s="56"/>
      <c r="BE1765" s="56"/>
      <c r="BF1765" s="107" t="str">
        <f t="shared" si="1381"/>
        <v>https://www.google.com/search?tbm=isch&amp;q=15%20G5</v>
      </c>
      <c r="BG1765" s="107" t="str">
        <f t="shared" si="1382"/>
        <v>G</v>
      </c>
      <c r="BH1765" s="254"/>
      <c r="BI1765" s="254"/>
    </row>
    <row r="1766" spans="1:61" customFormat="1" ht="15.75" x14ac:dyDescent="0.25">
      <c r="A1766" s="485">
        <v>15</v>
      </c>
      <c r="B1766" s="486" t="s">
        <v>291</v>
      </c>
      <c r="C1766" s="487" t="s">
        <v>3554</v>
      </c>
      <c r="D1766" s="488" t="s">
        <v>292</v>
      </c>
      <c r="E1766" s="489">
        <v>201.95</v>
      </c>
      <c r="F1766" s="516" t="s">
        <v>293</v>
      </c>
      <c r="G1766" s="232">
        <v>0</v>
      </c>
      <c r="H1766" s="658" t="str">
        <f>IF(G1766=0,"",IF(F1766="Buy",IF(G1766=1,"plant","plants"),IF(F1766&gt;0.01,"warranty","Error")))</f>
        <v/>
      </c>
      <c r="I1766" s="490">
        <f>IF(H1766="free",0,IF(H1766="credit",((E1766*(F1766))*G1766*-1),IF(F1766="Buy",(E1766*G1766),((E1766*(1-F1766))*G1766))))</f>
        <v>0</v>
      </c>
      <c r="J1766" s="490">
        <f>IF(H1766="warranty",0,(I1766*(_xlfn.SINGLE(SalesTaxPercentage))))</f>
        <v>0</v>
      </c>
      <c r="K1766" s="695">
        <f t="shared" ref="K1766" si="1396">I1766+J1766</f>
        <v>0</v>
      </c>
      <c r="L1766" s="695"/>
      <c r="M1766" s="659" t="str">
        <f>IF(AND(G1766&gt;0,E1766=0),"WARNING - no PRICE inserted",IF(H1766="free"," FREE ~ no charge this plant",IF(H1766="credit",CONCATENATE(" -$",ROUND(K1766*(1-T2GDiscount)*-1,2)," CREDIT after discount"),IF(T2GDiscount=0,"",IF(G1766=0,"",IF(F1766="Buy",CONCATENATE(" $",ROUND(K1766*(1-T2GDiscount),2)," with ",(T2GDiscount*100),"% discount"),CONCATENATE(" $",ROUND(K1766*(1-T2GDiscount),2)," with ",((T2GDiscount*100+F1766*100)-(T2GDiscount*100*F1766)),IF(F1766&gt;0,"% discounts",IF(NoWarrantyDiscount&gt;0,"% discounts","% discount")))))))))</f>
        <v/>
      </c>
      <c r="N1766" s="660"/>
      <c r="O1766" s="233"/>
      <c r="P1766" s="233"/>
      <c r="Q1766" s="233"/>
      <c r="R1766" s="233"/>
      <c r="S1766" s="233"/>
      <c r="T1766" s="508">
        <f t="shared" si="1370"/>
        <v>0</v>
      </c>
      <c r="U1766" s="225">
        <f>IF(NOT(ISNUMBER(G1766)), "", VLOOKUP(A1766,'Discount Lookup'!D:E,2,FALSE)*G1766)</f>
        <v>0</v>
      </c>
      <c r="V1766" s="225">
        <f>IF(NOT(ISNUMBER(G1766)), "", VLOOKUP(A1766,'Discount Lookup'!G:H,2,FALSE)*G1766)</f>
        <v>0</v>
      </c>
      <c r="W1766" s="508">
        <f t="shared" si="1371"/>
        <v>0</v>
      </c>
      <c r="X1766" s="508">
        <f t="shared" si="1372"/>
        <v>0</v>
      </c>
      <c r="Y1766" s="509" t="b">
        <f t="shared" si="1373"/>
        <v>0</v>
      </c>
      <c r="Z1766" s="510">
        <f t="shared" si="1374"/>
        <v>0</v>
      </c>
      <c r="AA1766" s="511"/>
      <c r="AB1766" s="511" t="str">
        <f t="shared" si="1375"/>
        <v/>
      </c>
      <c r="AC1766" s="698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698"/>
      <c r="AE1766" s="631" t="str">
        <f t="shared" si="1376"/>
        <v/>
      </c>
      <c r="AF1766" s="699" t="str">
        <f t="shared" si="1377"/>
        <v/>
      </c>
      <c r="AG1766" s="699"/>
      <c r="AH1766" s="699"/>
      <c r="AI1766" s="512">
        <f>IF(H1766="credit",0,IF(AE1766="free",0,IF(AE1766="me",0,IF(G1766&gt;0,(VLOOKUP(A1766,'Discount Lookup'!J:K,2)*G1766),0))))</f>
        <v>0</v>
      </c>
      <c r="AJ1766" s="513" t="str">
        <f t="shared" ca="1" si="1378"/>
        <v/>
      </c>
      <c r="AK1766" s="700" t="str">
        <f t="shared" si="1379"/>
        <v/>
      </c>
      <c r="AL1766" s="700"/>
      <c r="AM1766" s="505" t="str">
        <f t="shared" si="1380"/>
        <v/>
      </c>
      <c r="AN1766" s="506"/>
      <c r="AO1766" s="507"/>
      <c r="AP1766" s="507"/>
      <c r="AQ1766" s="507"/>
      <c r="AR1766" s="507"/>
      <c r="AS1766" s="507"/>
      <c r="AT1766" s="507"/>
      <c r="AU1766" s="507"/>
      <c r="AV1766" s="225"/>
      <c r="AW1766" s="508"/>
      <c r="AX1766" s="225"/>
      <c r="AY1766" s="225"/>
      <c r="AZ1766" s="225"/>
      <c r="BA1766" s="225"/>
      <c r="BB1766" s="225"/>
      <c r="BC1766" s="56"/>
      <c r="BD1766" s="56"/>
      <c r="BE1766" s="56"/>
      <c r="BF1766" s="107" t="str">
        <f t="shared" si="1381"/>
        <v>https://www.google.com/search?tbm=isch&amp;q=15%20G4</v>
      </c>
      <c r="BG1766" s="107" t="str">
        <f t="shared" si="1382"/>
        <v>G</v>
      </c>
      <c r="BH1766" s="254"/>
      <c r="BI1766" s="254"/>
    </row>
    <row r="1767" spans="1:61" customFormat="1" ht="15.75" x14ac:dyDescent="0.25">
      <c r="A1767" s="522" t="s">
        <v>2404</v>
      </c>
      <c r="B1767" s="491"/>
      <c r="C1767" s="675"/>
      <c r="D1767" s="491"/>
      <c r="E1767" s="491"/>
      <c r="F1767" s="492"/>
      <c r="G1767" s="493"/>
      <c r="H1767" s="491"/>
      <c r="I1767" s="234"/>
      <c r="J1767" s="234"/>
      <c r="K1767" s="494"/>
      <c r="L1767" s="543"/>
      <c r="M1767" s="561"/>
      <c r="N1767" s="495"/>
      <c r="O1767" s="496"/>
      <c r="P1767" s="497"/>
      <c r="Q1767" s="495"/>
      <c r="R1767" s="495"/>
      <c r="S1767" s="277"/>
      <c r="T1767" s="508">
        <f t="shared" si="1370"/>
        <v>0</v>
      </c>
      <c r="U1767" s="225" t="str">
        <f>IF(NOT(ISNUMBER(G1767)), "", VLOOKUP(A1767,'Discount Lookup'!D:E,2,FALSE)*G1767)</f>
        <v/>
      </c>
      <c r="V1767" s="225" t="str">
        <f>IF(NOT(ISNUMBER(G1767)), "", VLOOKUP(A1767,'Discount Lookup'!G:H,2,FALSE)*G1767)</f>
        <v/>
      </c>
      <c r="W1767" s="508">
        <f t="shared" si="1371"/>
        <v>0</v>
      </c>
      <c r="X1767" s="508">
        <f t="shared" si="1372"/>
        <v>0</v>
      </c>
      <c r="Y1767" s="509" t="b">
        <f t="shared" si="1373"/>
        <v>0</v>
      </c>
      <c r="Z1767" s="510">
        <f t="shared" si="1374"/>
        <v>0</v>
      </c>
      <c r="AA1767" s="511"/>
      <c r="AB1767" s="511" t="str">
        <f t="shared" si="1375"/>
        <v/>
      </c>
      <c r="AC1767" s="698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698"/>
      <c r="AE1767" s="631" t="str">
        <f t="shared" si="1376"/>
        <v/>
      </c>
      <c r="AF1767" s="699" t="str">
        <f t="shared" si="1377"/>
        <v/>
      </c>
      <c r="AG1767" s="699"/>
      <c r="AH1767" s="699"/>
      <c r="AI1767" s="512">
        <f>IF(H1767="credit",0,IF(AE1767="free",0,IF(AE1767="me",0,IF(G1767&gt;0,(VLOOKUP(A1767,'Discount Lookup'!J:K,2)*G1767),0))))</f>
        <v>0</v>
      </c>
      <c r="AJ1767" s="513" t="str">
        <f t="shared" ca="1" si="1378"/>
        <v/>
      </c>
      <c r="AK1767" s="700" t="str">
        <f t="shared" si="1379"/>
        <v/>
      </c>
      <c r="AL1767" s="700"/>
      <c r="AM1767" s="505" t="str">
        <f t="shared" si="1380"/>
        <v/>
      </c>
      <c r="AN1767" s="506"/>
      <c r="AO1767" s="507"/>
      <c r="AP1767" s="507"/>
      <c r="AQ1767" s="507"/>
      <c r="AR1767" s="507"/>
      <c r="AS1767" s="507"/>
      <c r="AT1767" s="507"/>
      <c r="AU1767" s="507"/>
      <c r="AV1767" s="225"/>
      <c r="AW1767" s="508"/>
      <c r="AX1767" s="225"/>
      <c r="AY1767" s="225"/>
      <c r="AZ1767" s="225"/>
      <c r="BA1767" s="225"/>
      <c r="BB1767" s="225"/>
      <c r="BC1767" s="56"/>
      <c r="BD1767" s="56"/>
      <c r="BE1767" s="56"/>
      <c r="BF1767" s="107" t="str">
        <f t="shared" si="1381"/>
        <v>https://www.google.com/search?tbm=isch&amp;q=Gyokuryu%20prized%20for%20its%20dense%2C%20naturally%20broad%20form%20and%20its%20excellent%20ability%20to%20maintain%20good%20color%20right%20through%20cold%20winters%20</v>
      </c>
      <c r="BG1767" s="107" t="str">
        <f t="shared" si="1382"/>
        <v>G</v>
      </c>
      <c r="BH1767" s="254"/>
      <c r="BI1767" s="254"/>
    </row>
    <row r="1768" spans="1:61" customFormat="1" ht="45.75" thickBot="1" x14ac:dyDescent="0.35">
      <c r="A1768" s="525" t="s">
        <v>1070</v>
      </c>
      <c r="B1768" s="248"/>
      <c r="C1768" s="678" t="s">
        <v>673</v>
      </c>
      <c r="D1768" s="249"/>
      <c r="E1768" s="249"/>
      <c r="F1768" s="249"/>
      <c r="G1768" s="249"/>
      <c r="H1768" s="250"/>
      <c r="I1768" s="249"/>
      <c r="J1768" s="249"/>
      <c r="K1768" s="526" t="s">
        <v>2840</v>
      </c>
      <c r="L1768" s="279"/>
      <c r="M1768" s="251"/>
      <c r="S1768" s="504" t="s">
        <v>2841</v>
      </c>
      <c r="T1768" s="508">
        <f t="shared" si="1370"/>
        <v>0</v>
      </c>
      <c r="U1768" s="225" t="str">
        <f>IF(NOT(ISNUMBER(G1768)), "", VLOOKUP(A1768,'Discount Lookup'!D:E,2,FALSE)*G1768)</f>
        <v/>
      </c>
      <c r="V1768" s="225" t="str">
        <f>IF(NOT(ISNUMBER(G1768)), "", VLOOKUP(A1768,'Discount Lookup'!G:H,2,FALSE)*G1768)</f>
        <v/>
      </c>
      <c r="W1768" s="508">
        <f t="shared" si="1371"/>
        <v>0</v>
      </c>
      <c r="X1768" s="508">
        <f t="shared" si="1372"/>
        <v>0</v>
      </c>
      <c r="Y1768" s="509" t="b">
        <f t="shared" si="1373"/>
        <v>0</v>
      </c>
      <c r="Z1768" s="510">
        <f t="shared" si="1374"/>
        <v>0</v>
      </c>
      <c r="AA1768" s="511"/>
      <c r="AB1768" s="511" t="str">
        <f t="shared" si="1375"/>
        <v/>
      </c>
      <c r="AC1768" s="698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698"/>
      <c r="AE1768" s="631" t="str">
        <f t="shared" si="1376"/>
        <v/>
      </c>
      <c r="AF1768" s="699" t="str">
        <f t="shared" si="1377"/>
        <v/>
      </c>
      <c r="AG1768" s="699"/>
      <c r="AH1768" s="699"/>
      <c r="AI1768" s="512">
        <f>IF(H1768="credit",0,IF(AE1768="free",0,IF(AE1768="me",0,IF(G1768&gt;0,(VLOOKUP(A1768,'Discount Lookup'!J:K,2)*G1768),0))))</f>
        <v>0</v>
      </c>
      <c r="AJ1768" s="513" t="str">
        <f t="shared" ca="1" si="1378"/>
        <v/>
      </c>
      <c r="AK1768" s="700" t="str">
        <f t="shared" si="1379"/>
        <v/>
      </c>
      <c r="AL1768" s="700"/>
      <c r="AM1768" s="505" t="str">
        <f t="shared" si="1380"/>
        <v/>
      </c>
      <c r="AN1768" s="506"/>
      <c r="AO1768" s="507"/>
      <c r="AP1768" s="507"/>
      <c r="AQ1768" s="507"/>
      <c r="AR1768" s="507"/>
      <c r="AS1768" s="507"/>
      <c r="AT1768" s="507"/>
      <c r="AU1768" s="507"/>
      <c r="AV1768" s="225"/>
      <c r="AW1768" s="508"/>
      <c r="AX1768" s="225"/>
      <c r="AY1768" s="225"/>
      <c r="AZ1768" s="225"/>
      <c r="BA1768" s="225"/>
      <c r="BB1768" s="225"/>
      <c r="BC1768" s="56"/>
      <c r="BD1768" s="56"/>
      <c r="BE1768" s="56"/>
      <c r="BF1768" s="107" t="str">
        <f t="shared" si="1381"/>
        <v>https://www.google.com/search?tbm=isch&amp;q=H%20</v>
      </c>
      <c r="BG1768" s="107" t="str">
        <f t="shared" si="1382"/>
        <v>H</v>
      </c>
      <c r="BH1768" s="254"/>
      <c r="BI1768" s="254"/>
    </row>
    <row r="1769" spans="1:61" customFormat="1" ht="18" x14ac:dyDescent="0.25">
      <c r="A1769" s="521" t="s">
        <v>1071</v>
      </c>
      <c r="B1769" s="477"/>
      <c r="C1769" s="674"/>
      <c r="D1769" s="478" t="s">
        <v>1072</v>
      </c>
      <c r="E1769" s="479"/>
      <c r="F1769" s="479"/>
      <c r="G1769" s="479"/>
      <c r="H1769" s="582" t="s">
        <v>463</v>
      </c>
      <c r="I1769" s="480" t="s">
        <v>2565</v>
      </c>
      <c r="J1769" s="479"/>
      <c r="K1769" s="479"/>
      <c r="L1769" s="560"/>
      <c r="M1769" s="671" t="s">
        <v>4990</v>
      </c>
      <c r="N1769" s="680" t="str">
        <f>IF(AND(ISTEXT($A1769), ISERROR($A1769+0)), HYPERLINK($BF1769, "Images"), "")</f>
        <v>Images</v>
      </c>
      <c r="O1769" s="662" t="s">
        <v>4967</v>
      </c>
      <c r="P1769" s="482"/>
      <c r="Q1769" s="483"/>
      <c r="R1769" s="483"/>
      <c r="S1769" s="484"/>
      <c r="T1769" s="508">
        <f t="shared" si="1370"/>
        <v>0</v>
      </c>
      <c r="U1769" s="225" t="str">
        <f>IF(NOT(ISNUMBER(G1769)), "", VLOOKUP(A1769,'Discount Lookup'!D:E,2,FALSE)*G1769)</f>
        <v/>
      </c>
      <c r="V1769" s="225" t="str">
        <f>IF(NOT(ISNUMBER(G1769)), "", VLOOKUP(A1769,'Discount Lookup'!G:H,2,FALSE)*G1769)</f>
        <v/>
      </c>
      <c r="W1769" s="508">
        <f t="shared" si="1371"/>
        <v>0</v>
      </c>
      <c r="X1769" s="508" t="str">
        <f t="shared" si="1372"/>
        <v>White bloom, Pink margins</v>
      </c>
      <c r="Y1769" s="509" t="b">
        <f t="shared" si="1373"/>
        <v>0</v>
      </c>
      <c r="Z1769" s="510">
        <f t="shared" si="1374"/>
        <v>0</v>
      </c>
      <c r="AA1769" s="511"/>
      <c r="AB1769" s="511" t="str">
        <f t="shared" si="1375"/>
        <v/>
      </c>
      <c r="AC1769" s="698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698"/>
      <c r="AE1769" s="631" t="str">
        <f t="shared" si="1376"/>
        <v/>
      </c>
      <c r="AF1769" s="699" t="str">
        <f t="shared" si="1377"/>
        <v/>
      </c>
      <c r="AG1769" s="699"/>
      <c r="AH1769" s="699"/>
      <c r="AI1769" s="512">
        <f>IF(H1769="credit",0,IF(AE1769="free",0,IF(AE1769="me",0,IF(G1769&gt;0,(VLOOKUP(A1769,'Discount Lookup'!J:K,2)*G1769),0))))</f>
        <v>0</v>
      </c>
      <c r="AJ1769" s="513" t="str">
        <f t="shared" ca="1" si="1378"/>
        <v/>
      </c>
      <c r="AK1769" s="700" t="str">
        <f t="shared" si="1379"/>
        <v/>
      </c>
      <c r="AL1769" s="700"/>
      <c r="AM1769" s="505" t="str">
        <f t="shared" si="1380"/>
        <v/>
      </c>
      <c r="AN1769" s="506"/>
      <c r="AO1769" s="507"/>
      <c r="AP1769" s="507"/>
      <c r="AQ1769" s="507"/>
      <c r="AR1769" s="507"/>
      <c r="AS1769" s="507"/>
      <c r="AT1769" s="507"/>
      <c r="AU1769" s="507"/>
      <c r="AV1769" s="225"/>
      <c r="AW1769" s="508"/>
      <c r="AX1769" s="225"/>
      <c r="AY1769" s="225"/>
      <c r="AZ1769" s="225"/>
      <c r="BA1769" s="225"/>
      <c r="BB1769" s="225"/>
      <c r="BC1769" s="56"/>
      <c r="BD1769" s="56"/>
      <c r="BE1769" s="56"/>
      <c r="BF1769" s="107" t="str">
        <f t="shared" si="1381"/>
        <v>https://www.google.com/search?tbm=isch&amp;q=Hana%20Jiman%20Camellia%20Camellia%20sasanqua%20%27Hana%20Jiman%27</v>
      </c>
      <c r="BG1769" s="107" t="str">
        <f t="shared" si="1382"/>
        <v>H</v>
      </c>
      <c r="BH1769" s="254"/>
      <c r="BI1769" s="254"/>
    </row>
    <row r="1770" spans="1:61" customFormat="1" ht="15.75" x14ac:dyDescent="0.25">
      <c r="A1770" s="485">
        <v>7</v>
      </c>
      <c r="B1770" s="486" t="s">
        <v>291</v>
      </c>
      <c r="C1770" s="487" t="s">
        <v>1073</v>
      </c>
      <c r="D1770" s="488" t="s">
        <v>297</v>
      </c>
      <c r="E1770" s="489">
        <v>83.95</v>
      </c>
      <c r="F1770" s="516" t="s">
        <v>293</v>
      </c>
      <c r="G1770" s="232">
        <v>0</v>
      </c>
      <c r="H1770" s="658" t="str">
        <f>IF(G1770=0,"",IF(F1770="Buy",IF(G1770=1,"plant","plants"),IF(F1770&gt;0.01,"warranty","Error")))</f>
        <v/>
      </c>
      <c r="I1770" s="490">
        <f>IF(H1770="free",0,IF(H1770="credit",((E1770*(F1770))*G1770*-1),IF(F1770="Buy",(E1770*G1770),((E1770*(1-F1770))*G1770))))</f>
        <v>0</v>
      </c>
      <c r="J1770" s="490">
        <f>IF(H1770="warranty",0,(I1770*(_xlfn.SINGLE(SalesTaxPercentage))))</f>
        <v>0</v>
      </c>
      <c r="K1770" s="695">
        <f t="shared" ref="K1770" si="1397">I1770+J1770</f>
        <v>0</v>
      </c>
      <c r="L1770" s="695"/>
      <c r="M1770" s="659" t="str">
        <f>IF(AND(G1770&gt;0,E1770=0),"WARNING - no PRICE inserted",IF(H1770="free"," FREE ~ no charge this plant",IF(H1770="credit",CONCATENATE(" -$",ROUND(K1770*(1-T2GDiscount)*-1,2)," CREDIT after discount"),IF(T2GDiscount=0,"",IF(G1770=0,"",IF(F1770="Buy",CONCATENATE(" $",ROUND(K1770*(1-T2GDiscount),2)," with ",(T2GDiscount*100),"% discount"),CONCATENATE(" $",ROUND(K1770*(1-T2GDiscount),2)," with ",((T2GDiscount*100+F1770*100)-(T2GDiscount*100*F1770)),IF(F1770&gt;0,"% discounts",IF(NoWarrantyDiscount&gt;0,"% discounts","% discount")))))))))</f>
        <v/>
      </c>
      <c r="N1770" s="660"/>
      <c r="O1770" s="233"/>
      <c r="P1770" s="233"/>
      <c r="Q1770" s="233"/>
      <c r="R1770" s="233"/>
      <c r="S1770" s="233"/>
      <c r="T1770" s="508">
        <f t="shared" si="1370"/>
        <v>0</v>
      </c>
      <c r="U1770" s="225">
        <f>IF(NOT(ISNUMBER(G1770)), "", VLOOKUP(A1770,'Discount Lookup'!D:E,2,FALSE)*G1770)</f>
        <v>0</v>
      </c>
      <c r="V1770" s="225">
        <f>IF(NOT(ISNUMBER(G1770)), "", VLOOKUP(A1770,'Discount Lookup'!G:H,2,FALSE)*G1770)</f>
        <v>0</v>
      </c>
      <c r="W1770" s="508">
        <f t="shared" si="1371"/>
        <v>0</v>
      </c>
      <c r="X1770" s="508">
        <f t="shared" si="1372"/>
        <v>0</v>
      </c>
      <c r="Y1770" s="509" t="b">
        <f t="shared" si="1373"/>
        <v>0</v>
      </c>
      <c r="Z1770" s="510">
        <f t="shared" si="1374"/>
        <v>0</v>
      </c>
      <c r="AA1770" s="511"/>
      <c r="AB1770" s="511" t="str">
        <f t="shared" si="1375"/>
        <v/>
      </c>
      <c r="AC1770" s="698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698"/>
      <c r="AE1770" s="631" t="str">
        <f t="shared" si="1376"/>
        <v/>
      </c>
      <c r="AF1770" s="699" t="str">
        <f t="shared" si="1377"/>
        <v/>
      </c>
      <c r="AG1770" s="699"/>
      <c r="AH1770" s="699"/>
      <c r="AI1770" s="512">
        <f>IF(H1770="credit",0,IF(AE1770="free",0,IF(AE1770="me",0,IF(G1770&gt;0,(VLOOKUP(A1770,'Discount Lookup'!J:K,2)*G1770),0))))</f>
        <v>0</v>
      </c>
      <c r="AJ1770" s="513" t="str">
        <f t="shared" ca="1" si="1378"/>
        <v/>
      </c>
      <c r="AK1770" s="700" t="str">
        <f t="shared" si="1379"/>
        <v/>
      </c>
      <c r="AL1770" s="700"/>
      <c r="AM1770" s="505" t="str">
        <f t="shared" si="1380"/>
        <v/>
      </c>
      <c r="AN1770" s="506"/>
      <c r="AO1770" s="507"/>
      <c r="AP1770" s="507"/>
      <c r="AQ1770" s="507"/>
      <c r="AR1770" s="507"/>
      <c r="AS1770" s="507"/>
      <c r="AT1770" s="507"/>
      <c r="AU1770" s="507"/>
      <c r="AV1770" s="225"/>
      <c r="AW1770" s="508"/>
      <c r="AX1770" s="225"/>
      <c r="AY1770" s="225"/>
      <c r="AZ1770" s="225"/>
      <c r="BA1770" s="225"/>
      <c r="BB1770" s="225"/>
      <c r="BC1770" s="56"/>
      <c r="BD1770" s="56"/>
      <c r="BE1770" s="56"/>
      <c r="BF1770" s="107" t="str">
        <f t="shared" si="1381"/>
        <v>https://www.google.com/search?tbm=isch&amp;q=7%20G3</v>
      </c>
      <c r="BG1770" s="107" t="str">
        <f t="shared" si="1382"/>
        <v>H</v>
      </c>
      <c r="BH1770" s="254"/>
      <c r="BI1770" s="254"/>
    </row>
    <row r="1771" spans="1:61" customFormat="1" ht="17.25" thickBot="1" x14ac:dyDescent="0.3">
      <c r="A1771" s="522" t="s">
        <v>2566</v>
      </c>
      <c r="B1771" s="491"/>
      <c r="C1771" s="675"/>
      <c r="D1771" s="491"/>
      <c r="E1771" s="491"/>
      <c r="F1771" s="492"/>
      <c r="G1771" s="493"/>
      <c r="H1771" s="491"/>
      <c r="I1771" s="234"/>
      <c r="J1771" s="234"/>
      <c r="K1771" s="494"/>
      <c r="L1771" s="543"/>
      <c r="M1771" s="561"/>
      <c r="N1771" s="495"/>
      <c r="O1771" s="496"/>
      <c r="P1771" s="497"/>
      <c r="Q1771" s="495"/>
      <c r="R1771" s="495"/>
      <c r="S1771" s="667" t="s">
        <v>4986</v>
      </c>
      <c r="T1771" s="508">
        <f t="shared" si="1370"/>
        <v>0</v>
      </c>
      <c r="U1771" s="225" t="str">
        <f>IF(NOT(ISNUMBER(G1771)), "", VLOOKUP(A1771,'Discount Lookup'!D:E,2,FALSE)*G1771)</f>
        <v/>
      </c>
      <c r="V1771" s="225" t="str">
        <f>IF(NOT(ISNUMBER(G1771)), "", VLOOKUP(A1771,'Discount Lookup'!G:H,2,FALSE)*G1771)</f>
        <v/>
      </c>
      <c r="W1771" s="508">
        <f t="shared" si="1371"/>
        <v>0</v>
      </c>
      <c r="X1771" s="508">
        <f t="shared" si="1372"/>
        <v>0</v>
      </c>
      <c r="Y1771" s="509" t="b">
        <f t="shared" si="1373"/>
        <v>0</v>
      </c>
      <c r="Z1771" s="510">
        <f t="shared" si="1374"/>
        <v>0</v>
      </c>
      <c r="AA1771" s="511"/>
      <c r="AB1771" s="511" t="str">
        <f t="shared" si="1375"/>
        <v/>
      </c>
      <c r="AC1771" s="698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698"/>
      <c r="AE1771" s="631" t="str">
        <f t="shared" si="1376"/>
        <v/>
      </c>
      <c r="AF1771" s="699" t="str">
        <f t="shared" si="1377"/>
        <v/>
      </c>
      <c r="AG1771" s="699"/>
      <c r="AH1771" s="699"/>
      <c r="AI1771" s="512">
        <f>IF(H1771="credit",0,IF(AE1771="free",0,IF(AE1771="me",0,IF(G1771&gt;0,(VLOOKUP(A1771,'Discount Lookup'!J:K,2)*G1771),0))))</f>
        <v>0</v>
      </c>
      <c r="AJ1771" s="513" t="str">
        <f t="shared" ca="1" si="1378"/>
        <v/>
      </c>
      <c r="AK1771" s="700" t="str">
        <f t="shared" si="1379"/>
        <v/>
      </c>
      <c r="AL1771" s="700"/>
      <c r="AM1771" s="505" t="str">
        <f t="shared" si="1380"/>
        <v/>
      </c>
      <c r="AN1771" s="506"/>
      <c r="AO1771" s="507"/>
      <c r="AP1771" s="507"/>
      <c r="AQ1771" s="507"/>
      <c r="AR1771" s="507"/>
      <c r="AS1771" s="507"/>
      <c r="AT1771" s="507"/>
      <c r="AU1771" s="507"/>
      <c r="AV1771" s="225"/>
      <c r="AW1771" s="508"/>
      <c r="AX1771" s="225"/>
      <c r="AY1771" s="225"/>
      <c r="AZ1771" s="225"/>
      <c r="BA1771" s="225"/>
      <c r="BB1771" s="225"/>
      <c r="BC1771" s="56"/>
      <c r="BD1771" s="56"/>
      <c r="BE1771" s="56"/>
      <c r="BF1771" s="107" t="str">
        <f t="shared" si="1381"/>
        <v>https://www.google.com/search?tbm=isch&amp;q=Hana%20Jiman%20offers%20stunning%20semi-double%20flowers%20from%20late%20fall%20into%20winter.%20Glossy%2C%20dark%20green%20foliage%20</v>
      </c>
      <c r="BG1771" s="107" t="str">
        <f t="shared" si="1382"/>
        <v>H</v>
      </c>
      <c r="BH1771" s="254"/>
      <c r="BI1771" s="254"/>
    </row>
    <row r="1772" spans="1:61" customFormat="1" ht="18" x14ac:dyDescent="0.25">
      <c r="A1772" s="521" t="s">
        <v>1074</v>
      </c>
      <c r="B1772" s="477"/>
      <c r="C1772" s="674"/>
      <c r="D1772" s="478" t="s">
        <v>1075</v>
      </c>
      <c r="E1772" s="479"/>
      <c r="F1772" s="479"/>
      <c r="G1772" s="479"/>
      <c r="H1772" s="582" t="s">
        <v>308</v>
      </c>
      <c r="I1772" s="480" t="s">
        <v>2093</v>
      </c>
      <c r="J1772" s="479"/>
      <c r="K1772" s="479"/>
      <c r="L1772" s="560"/>
      <c r="M1772" s="666" t="s">
        <v>4966</v>
      </c>
      <c r="N1772" s="680" t="str">
        <f>IF(AND(ISTEXT($A1772), ISERROR($A1772+0)), HYPERLINK($BF1772, "Images"), "")</f>
        <v>Images</v>
      </c>
      <c r="O1772" s="662" t="s">
        <v>4974</v>
      </c>
      <c r="P1772" s="482"/>
      <c r="Q1772" s="483"/>
      <c r="R1772" s="483"/>
      <c r="S1772" s="484" t="s">
        <v>305</v>
      </c>
      <c r="T1772" s="508">
        <f t="shared" si="1370"/>
        <v>0</v>
      </c>
      <c r="U1772" s="225" t="str">
        <f>IF(NOT(ISNUMBER(G1772)), "", VLOOKUP(A1772,'Discount Lookup'!D:E,2,FALSE)*G1772)</f>
        <v/>
      </c>
      <c r="V1772" s="225" t="str">
        <f>IF(NOT(ISNUMBER(G1772)), "", VLOOKUP(A1772,'Discount Lookup'!G:H,2,FALSE)*G1772)</f>
        <v/>
      </c>
      <c r="W1772" s="508">
        <f t="shared" si="1371"/>
        <v>0</v>
      </c>
      <c r="X1772" s="508" t="str">
        <f t="shared" si="1372"/>
        <v>Dark Green foliage</v>
      </c>
      <c r="Y1772" s="509" t="b">
        <f t="shared" si="1373"/>
        <v>0</v>
      </c>
      <c r="Z1772" s="510">
        <f t="shared" si="1374"/>
        <v>0</v>
      </c>
      <c r="AA1772" s="511"/>
      <c r="AB1772" s="511" t="str">
        <f t="shared" si="1375"/>
        <v/>
      </c>
      <c r="AC1772" s="698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698"/>
      <c r="AE1772" s="631" t="str">
        <f t="shared" si="1376"/>
        <v/>
      </c>
      <c r="AF1772" s="699" t="str">
        <f t="shared" si="1377"/>
        <v/>
      </c>
      <c r="AG1772" s="699"/>
      <c r="AH1772" s="699"/>
      <c r="AI1772" s="512">
        <f>IF(H1772="credit",0,IF(AE1772="free",0,IF(AE1772="me",0,IF(G1772&gt;0,(VLOOKUP(A1772,'Discount Lookup'!J:K,2)*G1772),0))))</f>
        <v>0</v>
      </c>
      <c r="AJ1772" s="513" t="str">
        <f t="shared" ca="1" si="1378"/>
        <v/>
      </c>
      <c r="AK1772" s="700" t="str">
        <f t="shared" si="1379"/>
        <v/>
      </c>
      <c r="AL1772" s="700"/>
      <c r="AM1772" s="505" t="str">
        <f t="shared" si="1380"/>
        <v/>
      </c>
      <c r="AN1772" s="506"/>
      <c r="AO1772" s="507"/>
      <c r="AP1772" s="507"/>
      <c r="AQ1772" s="507"/>
      <c r="AR1772" s="507"/>
      <c r="AS1772" s="507"/>
      <c r="AT1772" s="507"/>
      <c r="AU1772" s="507"/>
      <c r="AV1772" s="225"/>
      <c r="AW1772" s="508"/>
      <c r="AX1772" s="225"/>
      <c r="AY1772" s="225"/>
      <c r="AZ1772" s="225"/>
      <c r="BA1772" s="225"/>
      <c r="BB1772" s="225"/>
      <c r="BC1772" s="56"/>
      <c r="BD1772" s="56"/>
      <c r="BE1772" s="56"/>
      <c r="BF1772" s="107" t="str">
        <f t="shared" si="1381"/>
        <v>https://www.google.com/search?tbm=isch&amp;q=Hannah%20Creek%20Swamp%20Bay%20Tree%20Persea%20palustris%20%27Hannah%20Creek%27</v>
      </c>
      <c r="BG1772" s="107" t="str">
        <f t="shared" si="1382"/>
        <v>H</v>
      </c>
      <c r="BH1772" s="254"/>
      <c r="BI1772" s="254"/>
    </row>
    <row r="1773" spans="1:61" customFormat="1" ht="27" x14ac:dyDescent="0.25">
      <c r="A1773" s="485">
        <v>7</v>
      </c>
      <c r="B1773" s="486" t="s">
        <v>291</v>
      </c>
      <c r="C1773" s="487" t="s">
        <v>3555</v>
      </c>
      <c r="D1773" s="488" t="s">
        <v>292</v>
      </c>
      <c r="E1773" s="489">
        <v>109.95</v>
      </c>
      <c r="F1773" s="516" t="s">
        <v>293</v>
      </c>
      <c r="G1773" s="232">
        <v>0</v>
      </c>
      <c r="H1773" s="658" t="str">
        <f>IF(G1773=0,"",IF(F1773="Buy",IF(G1773=1,"plant","plants"),IF(F1773&gt;0.01,"warranty","Error")))</f>
        <v/>
      </c>
      <c r="I1773" s="490">
        <f>IF(H1773="free",0,IF(H1773="credit",((E1773*(F1773))*G1773*-1),IF(F1773="Buy",(E1773*G1773),((E1773*(1-F1773))*G1773))))</f>
        <v>0</v>
      </c>
      <c r="J1773" s="490">
        <f>IF(H1773="warranty",0,(I1773*(_xlfn.SINGLE(SalesTaxPercentage))))</f>
        <v>0</v>
      </c>
      <c r="K1773" s="695">
        <f t="shared" ref="K1773" si="1398">I1773+J1773</f>
        <v>0</v>
      </c>
      <c r="L1773" s="695"/>
      <c r="M1773" s="659" t="str">
        <f>IF(AND(G1773&gt;0,E1773=0),"WARNING - no PRICE inserted",IF(H1773="free"," FREE ~ no charge this plant",IF(H1773="credit",CONCATENATE(" -$",ROUND(K1773*(1-T2GDiscount)*-1,2)," CREDIT after discount"),IF(T2GDiscount=0,"",IF(G1773=0,"",IF(F1773="Buy",CONCATENATE(" $",ROUND(K1773*(1-T2GDiscount),2)," with ",(T2GDiscount*100),"% discount"),CONCATENATE(" $",ROUND(K1773*(1-T2GDiscount),2)," with ",((T2GDiscount*100+F1773*100)-(T2GDiscount*100*F1773)),IF(F1773&gt;0,"% discounts",IF(NoWarrantyDiscount&gt;0,"% discounts","% discount")))))))))</f>
        <v/>
      </c>
      <c r="N1773" s="660"/>
      <c r="O1773" s="233"/>
      <c r="P1773" s="233"/>
      <c r="Q1773" s="233"/>
      <c r="R1773" s="233"/>
      <c r="S1773" s="233"/>
      <c r="T1773" s="508">
        <f t="shared" si="1370"/>
        <v>0</v>
      </c>
      <c r="U1773" s="225">
        <f>IF(NOT(ISNUMBER(G1773)), "", VLOOKUP(A1773,'Discount Lookup'!D:E,2,FALSE)*G1773)</f>
        <v>0</v>
      </c>
      <c r="V1773" s="225">
        <f>IF(NOT(ISNUMBER(G1773)), "", VLOOKUP(A1773,'Discount Lookup'!G:H,2,FALSE)*G1773)</f>
        <v>0</v>
      </c>
      <c r="W1773" s="508">
        <f t="shared" si="1371"/>
        <v>0</v>
      </c>
      <c r="X1773" s="508">
        <f t="shared" si="1372"/>
        <v>0</v>
      </c>
      <c r="Y1773" s="509" t="b">
        <f t="shared" si="1373"/>
        <v>0</v>
      </c>
      <c r="Z1773" s="510">
        <f t="shared" si="1374"/>
        <v>0</v>
      </c>
      <c r="AA1773" s="511"/>
      <c r="AB1773" s="511" t="str">
        <f t="shared" si="1375"/>
        <v/>
      </c>
      <c r="AC1773" s="698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698"/>
      <c r="AE1773" s="631" t="str">
        <f t="shared" si="1376"/>
        <v/>
      </c>
      <c r="AF1773" s="699" t="str">
        <f t="shared" si="1377"/>
        <v/>
      </c>
      <c r="AG1773" s="699"/>
      <c r="AH1773" s="699"/>
      <c r="AI1773" s="512">
        <f>IF(H1773="credit",0,IF(AE1773="free",0,IF(AE1773="me",0,IF(G1773&gt;0,(VLOOKUP(A1773,'Discount Lookup'!J:K,2)*G1773),0))))</f>
        <v>0</v>
      </c>
      <c r="AJ1773" s="513" t="str">
        <f t="shared" ca="1" si="1378"/>
        <v/>
      </c>
      <c r="AK1773" s="700" t="str">
        <f t="shared" si="1379"/>
        <v/>
      </c>
      <c r="AL1773" s="700"/>
      <c r="AM1773" s="505" t="str">
        <f t="shared" si="1380"/>
        <v/>
      </c>
      <c r="AN1773" s="506"/>
      <c r="AO1773" s="507"/>
      <c r="AP1773" s="507"/>
      <c r="AQ1773" s="507"/>
      <c r="AR1773" s="507"/>
      <c r="AS1773" s="507"/>
      <c r="AT1773" s="507"/>
      <c r="AU1773" s="507"/>
      <c r="AV1773" s="225"/>
      <c r="AW1773" s="508"/>
      <c r="AX1773" s="225"/>
      <c r="AY1773" s="225"/>
      <c r="AZ1773" s="225"/>
      <c r="BA1773" s="225"/>
      <c r="BB1773" s="225"/>
      <c r="BC1773" s="56"/>
      <c r="BD1773" s="56"/>
      <c r="BE1773" s="56"/>
      <c r="BF1773" s="107" t="str">
        <f t="shared" si="1381"/>
        <v>https://www.google.com/search?tbm=isch&amp;q=7%20G4</v>
      </c>
      <c r="BG1773" s="107" t="str">
        <f t="shared" si="1382"/>
        <v>H</v>
      </c>
      <c r="BH1773" s="254"/>
      <c r="BI1773" s="254"/>
    </row>
    <row r="1774" spans="1:61" customFormat="1" ht="17.25" thickBot="1" x14ac:dyDescent="0.3">
      <c r="A1774" s="672" t="s">
        <v>5134</v>
      </c>
      <c r="B1774" s="491"/>
      <c r="C1774" s="675"/>
      <c r="D1774" s="491"/>
      <c r="E1774" s="491"/>
      <c r="F1774" s="492"/>
      <c r="G1774" s="493"/>
      <c r="H1774" s="491"/>
      <c r="I1774" s="234"/>
      <c r="J1774" s="234"/>
      <c r="K1774" s="494"/>
      <c r="L1774" s="543"/>
      <c r="M1774" s="561"/>
      <c r="N1774" s="495"/>
      <c r="O1774" s="496"/>
      <c r="P1774" s="497"/>
      <c r="Q1774" s="495"/>
      <c r="R1774" s="495"/>
      <c r="S1774" s="667" t="s">
        <v>5015</v>
      </c>
      <c r="T1774" s="508">
        <f t="shared" si="1370"/>
        <v>0</v>
      </c>
      <c r="U1774" s="225" t="str">
        <f>IF(NOT(ISNUMBER(G1774)), "", VLOOKUP(A1774,'Discount Lookup'!D:E,2,FALSE)*G1774)</f>
        <v/>
      </c>
      <c r="V1774" s="225" t="str">
        <f>IF(NOT(ISNUMBER(G1774)), "", VLOOKUP(A1774,'Discount Lookup'!G:H,2,FALSE)*G1774)</f>
        <v/>
      </c>
      <c r="W1774" s="508">
        <f t="shared" si="1371"/>
        <v>0</v>
      </c>
      <c r="X1774" s="508">
        <f t="shared" si="1372"/>
        <v>0</v>
      </c>
      <c r="Y1774" s="509" t="b">
        <f t="shared" si="1373"/>
        <v>0</v>
      </c>
      <c r="Z1774" s="510">
        <f t="shared" si="1374"/>
        <v>0</v>
      </c>
      <c r="AA1774" s="511"/>
      <c r="AB1774" s="511" t="str">
        <f t="shared" si="1375"/>
        <v/>
      </c>
      <c r="AC1774" s="698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698"/>
      <c r="AE1774" s="631" t="str">
        <f t="shared" si="1376"/>
        <v/>
      </c>
      <c r="AF1774" s="699" t="str">
        <f t="shared" si="1377"/>
        <v/>
      </c>
      <c r="AG1774" s="699"/>
      <c r="AH1774" s="699"/>
      <c r="AI1774" s="512">
        <f>IF(H1774="credit",0,IF(AE1774="free",0,IF(AE1774="me",0,IF(G1774&gt;0,(VLOOKUP(A1774,'Discount Lookup'!J:K,2)*G1774),0))))</f>
        <v>0</v>
      </c>
      <c r="AJ1774" s="513" t="str">
        <f t="shared" ca="1" si="1378"/>
        <v/>
      </c>
      <c r="AK1774" s="700" t="str">
        <f t="shared" si="1379"/>
        <v/>
      </c>
      <c r="AL1774" s="700"/>
      <c r="AM1774" s="505" t="str">
        <f t="shared" si="1380"/>
        <v/>
      </c>
      <c r="AN1774" s="506"/>
      <c r="AO1774" s="507"/>
      <c r="AP1774" s="507"/>
      <c r="AQ1774" s="507"/>
      <c r="AR1774" s="507"/>
      <c r="AS1774" s="507"/>
      <c r="AT1774" s="507"/>
      <c r="AU1774" s="507"/>
      <c r="AV1774" s="225"/>
      <c r="AW1774" s="508"/>
      <c r="AX1774" s="225"/>
      <c r="AY1774" s="225"/>
      <c r="AZ1774" s="225"/>
      <c r="BA1774" s="225"/>
      <c r="BB1774" s="225"/>
      <c r="BC1774" s="56"/>
      <c r="BD1774" s="56"/>
      <c r="BE1774" s="56"/>
      <c r="BF1774" s="107" t="str">
        <f t="shared" si="1381"/>
        <v>https://www.google.com/search?tbm=isch&amp;q=wet%20sites%F0%9F%92%A7BEST%2C%20Hannah%20Creek%20aromatic%20foliage%20can%20substitute%20for%20bay%20leaf%20in%20cooking.%20Interesting%2C%20thick%2C%20furrowed%20bark%20</v>
      </c>
      <c r="BG1774" s="107" t="str">
        <f t="shared" si="1382"/>
        <v>w</v>
      </c>
      <c r="BH1774" s="254"/>
      <c r="BI1774" s="254"/>
    </row>
    <row r="1775" spans="1:61" customFormat="1" ht="18" x14ac:dyDescent="0.25">
      <c r="A1775" s="523" t="s">
        <v>1076</v>
      </c>
      <c r="B1775" s="235"/>
      <c r="C1775" s="676"/>
      <c r="D1775" s="255" t="s">
        <v>1077</v>
      </c>
      <c r="E1775" s="236"/>
      <c r="F1775" s="236"/>
      <c r="G1775" s="236"/>
      <c r="H1775" s="582" t="s">
        <v>2947</v>
      </c>
      <c r="I1775" s="498" t="s">
        <v>1078</v>
      </c>
      <c r="J1775" s="237"/>
      <c r="K1775" s="237"/>
      <c r="L1775" s="274"/>
      <c r="M1775" s="668" t="s">
        <v>4975</v>
      </c>
      <c r="N1775" s="681" t="str">
        <f>IF(AND(ISTEXT($A1775), ISERROR($A1775+0)), HYPERLINK($BF1775, "Images"), "")</f>
        <v>Images</v>
      </c>
      <c r="O1775" s="663" t="s">
        <v>4974</v>
      </c>
      <c r="P1775" s="253"/>
      <c r="Q1775" s="238"/>
      <c r="R1775" s="239"/>
      <c r="S1775" s="275"/>
      <c r="T1775" s="508">
        <f t="shared" si="1370"/>
        <v>0</v>
      </c>
      <c r="U1775" s="225" t="str">
        <f>IF(NOT(ISNUMBER(G1775)), "", VLOOKUP(A1775,'Discount Lookup'!D:E,2,FALSE)*G1775)</f>
        <v/>
      </c>
      <c r="V1775" s="225" t="str">
        <f>IF(NOT(ISNUMBER(G1775)), "", VLOOKUP(A1775,'Discount Lookup'!G:H,2,FALSE)*G1775)</f>
        <v/>
      </c>
      <c r="W1775" s="508">
        <f t="shared" si="1371"/>
        <v>0</v>
      </c>
      <c r="X1775" s="508" t="str">
        <f t="shared" si="1372"/>
        <v>Lemon Yellow bloom</v>
      </c>
      <c r="Y1775" s="509" t="b">
        <f t="shared" si="1373"/>
        <v>0</v>
      </c>
      <c r="Z1775" s="510">
        <f t="shared" si="1374"/>
        <v>0</v>
      </c>
      <c r="AA1775" s="511"/>
      <c r="AB1775" s="511" t="str">
        <f t="shared" si="1375"/>
        <v/>
      </c>
      <c r="AC1775" s="698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698"/>
      <c r="AE1775" s="631" t="str">
        <f t="shared" si="1376"/>
        <v/>
      </c>
      <c r="AF1775" s="699" t="str">
        <f t="shared" si="1377"/>
        <v/>
      </c>
      <c r="AG1775" s="699"/>
      <c r="AH1775" s="699"/>
      <c r="AI1775" s="512">
        <f>IF(H1775="credit",0,IF(AE1775="free",0,IF(AE1775="me",0,IF(G1775&gt;0,(VLOOKUP(A1775,'Discount Lookup'!J:K,2)*G1775),0))))</f>
        <v>0</v>
      </c>
      <c r="AJ1775" s="513" t="str">
        <f t="shared" ca="1" si="1378"/>
        <v/>
      </c>
      <c r="AK1775" s="700" t="str">
        <f t="shared" si="1379"/>
        <v/>
      </c>
      <c r="AL1775" s="700"/>
      <c r="AM1775" s="505" t="str">
        <f t="shared" si="1380"/>
        <v/>
      </c>
      <c r="AN1775" s="506"/>
      <c r="AO1775" s="507"/>
      <c r="AP1775" s="507"/>
      <c r="AQ1775" s="507"/>
      <c r="AR1775" s="507"/>
      <c r="AS1775" s="507"/>
      <c r="AT1775" s="507"/>
      <c r="AU1775" s="507"/>
      <c r="AV1775" s="225"/>
      <c r="AW1775" s="508"/>
      <c r="AX1775" s="225"/>
      <c r="AY1775" s="225"/>
      <c r="AZ1775" s="225"/>
      <c r="BA1775" s="225"/>
      <c r="BB1775" s="225"/>
      <c r="BC1775" s="56"/>
      <c r="BD1775" s="56"/>
      <c r="BE1775" s="56"/>
      <c r="BF1775" s="107" t="str">
        <f t="shared" si="1381"/>
        <v>https://www.google.com/search?tbm=isch&amp;q=Happy%20Returns%20Daylily%20Hemerocallis%20%27Happy%20Returns%27</v>
      </c>
      <c r="BG1775" s="107" t="str">
        <f t="shared" si="1382"/>
        <v>H</v>
      </c>
      <c r="BH1775" s="254"/>
      <c r="BI1775" s="254"/>
    </row>
    <row r="1776" spans="1:61" customFormat="1" ht="15.75" x14ac:dyDescent="0.25">
      <c r="A1776" s="276">
        <v>1</v>
      </c>
      <c r="B1776" s="240" t="s">
        <v>291</v>
      </c>
      <c r="C1776" s="241"/>
      <c r="D1776" s="242" t="s">
        <v>298</v>
      </c>
      <c r="E1776" s="243">
        <v>8.9499999999999993</v>
      </c>
      <c r="F1776" s="517" t="s">
        <v>293</v>
      </c>
      <c r="G1776" s="232">
        <v>0</v>
      </c>
      <c r="H1776" s="661" t="str">
        <f>IF(G1776=0,"",IF(F1776="Buy",IF(G1776=1,"plant","plants"),IF(F1776&gt;0.01,"warranty","Error")))</f>
        <v/>
      </c>
      <c r="I1776" s="244">
        <f>IF(H1776="free",0,IF(H1776="credit",((E1776*(F1776))*G1776*-1),IF(F1776="Buy",(E1776*G1776),((E1776*(1-F1776))*G1776))))</f>
        <v>0</v>
      </c>
      <c r="J1776" s="244">
        <f>IF(H1776="warranty",0,(I1776*(_xlfn.SINGLE(SalesTaxPercentage))))</f>
        <v>0</v>
      </c>
      <c r="K1776" s="696">
        <f t="shared" ref="K1776" si="1399">I1776+J1776</f>
        <v>0</v>
      </c>
      <c r="L1776" s="696"/>
      <c r="M1776" s="659" t="str">
        <f>IF(AND(G1776&gt;0,E1776=0),"WARNING - no PRICE inserted",IF(H1776="free"," FREE ~ no charge this plant",IF(H1776="credit",CONCATENATE(" -$",ROUND(K1776*(1-T2GDiscount)*-1,2)," CREDIT after discount"),IF(T2GDiscount=0,"",IF(G1776=0,"",IF(F1776="Buy",CONCATENATE(" $",ROUND(K1776*(1-T2GDiscount),2)," with ",(T2GDiscount*100),"% discount"),CONCATENATE(" $",ROUND(K1776*(1-T2GDiscount),2)," with ",((T2GDiscount*100+F1776*100)-(T2GDiscount*100*F1776)),IF(F1776&gt;0,"% discounts",IF(NoWarrantyDiscount&gt;0,"% discounts","% discount")))))))))</f>
        <v/>
      </c>
      <c r="N1776" s="660"/>
      <c r="O1776" s="233"/>
      <c r="P1776" s="233"/>
      <c r="Q1776" s="233"/>
      <c r="R1776" s="233"/>
      <c r="S1776" s="233"/>
      <c r="T1776" s="508">
        <f t="shared" si="1370"/>
        <v>0</v>
      </c>
      <c r="U1776" s="225">
        <f>IF(NOT(ISNUMBER(G1776)), "", VLOOKUP(A1776,'Discount Lookup'!D:E,2,FALSE)*G1776)</f>
        <v>0</v>
      </c>
      <c r="V1776" s="225">
        <f>IF(NOT(ISNUMBER(G1776)), "", VLOOKUP(A1776,'Discount Lookup'!G:H,2,FALSE)*G1776)</f>
        <v>0</v>
      </c>
      <c r="W1776" s="508">
        <f t="shared" si="1371"/>
        <v>0</v>
      </c>
      <c r="X1776" s="508">
        <f t="shared" si="1372"/>
        <v>0</v>
      </c>
      <c r="Y1776" s="509" t="b">
        <f t="shared" si="1373"/>
        <v>0</v>
      </c>
      <c r="Z1776" s="510">
        <f t="shared" si="1374"/>
        <v>0</v>
      </c>
      <c r="AA1776" s="511"/>
      <c r="AB1776" s="511" t="str">
        <f t="shared" si="1375"/>
        <v/>
      </c>
      <c r="AC1776" s="698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698"/>
      <c r="AE1776" s="631" t="str">
        <f t="shared" si="1376"/>
        <v/>
      </c>
      <c r="AF1776" s="699" t="str">
        <f t="shared" si="1377"/>
        <v/>
      </c>
      <c r="AG1776" s="699"/>
      <c r="AH1776" s="699"/>
      <c r="AI1776" s="512">
        <f>IF(H1776="credit",0,IF(AE1776="free",0,IF(AE1776="me",0,IF(G1776&gt;0,(VLOOKUP(A1776,'Discount Lookup'!J:K,2)*G1776),0))))</f>
        <v>0</v>
      </c>
      <c r="AJ1776" s="513" t="str">
        <f t="shared" ca="1" si="1378"/>
        <v/>
      </c>
      <c r="AK1776" s="700" t="str">
        <f t="shared" si="1379"/>
        <v/>
      </c>
      <c r="AL1776" s="700"/>
      <c r="AM1776" s="505" t="str">
        <f t="shared" si="1380"/>
        <v/>
      </c>
      <c r="AN1776" s="506"/>
      <c r="AO1776" s="507"/>
      <c r="AP1776" s="507"/>
      <c r="AQ1776" s="507"/>
      <c r="AR1776" s="507"/>
      <c r="AS1776" s="507"/>
      <c r="AT1776" s="507"/>
      <c r="AU1776" s="507"/>
      <c r="AV1776" s="225"/>
      <c r="AW1776" s="508"/>
      <c r="AX1776" s="225"/>
      <c r="AY1776" s="225"/>
      <c r="AZ1776" s="225"/>
      <c r="BA1776" s="225"/>
      <c r="BB1776" s="225"/>
      <c r="BC1776" s="56"/>
      <c r="BD1776" s="56"/>
      <c r="BE1776" s="56"/>
      <c r="BF1776" s="107" t="str">
        <f t="shared" si="1381"/>
        <v>https://www.google.com/search?tbm=isch&amp;q=1%20G1</v>
      </c>
      <c r="BG1776" s="107" t="str">
        <f t="shared" si="1382"/>
        <v>H</v>
      </c>
      <c r="BH1776" s="254"/>
      <c r="BI1776" s="254"/>
    </row>
    <row r="1777" spans="1:61" customFormat="1" ht="15.75" x14ac:dyDescent="0.25">
      <c r="A1777" s="276">
        <v>1</v>
      </c>
      <c r="B1777" s="240" t="s">
        <v>291</v>
      </c>
      <c r="C1777" s="241" t="s">
        <v>3263</v>
      </c>
      <c r="D1777" s="242" t="s">
        <v>297</v>
      </c>
      <c r="E1777" s="243">
        <v>8.9499999999999993</v>
      </c>
      <c r="F1777" s="517" t="s">
        <v>293</v>
      </c>
      <c r="G1777" s="232">
        <v>0</v>
      </c>
      <c r="H1777" s="661" t="str">
        <f>IF(G1777=0,"",IF(F1777="Buy",IF(G1777=1,"plant","plants"),IF(F1777&gt;0.01,"warranty","Error")))</f>
        <v/>
      </c>
      <c r="I1777" s="244">
        <f>IF(H1777="free",0,IF(H1777="credit",((E1777*(F1777))*G1777*-1),IF(F1777="Buy",(E1777*G1777),((E1777*(1-F1777))*G1777))))</f>
        <v>0</v>
      </c>
      <c r="J1777" s="244">
        <f>IF(H1777="warranty",0,(I1777*(_xlfn.SINGLE(SalesTaxPercentage))))</f>
        <v>0</v>
      </c>
      <c r="K1777" s="696">
        <f t="shared" ref="K1777" si="1400">I1777+J1777</f>
        <v>0</v>
      </c>
      <c r="L1777" s="696"/>
      <c r="M1777" s="659" t="str">
        <f>IF(AND(G1777&gt;0,E1777=0),"WARNING - no PRICE inserted",IF(H1777="free"," FREE ~ no charge this plant",IF(H1777="credit",CONCATENATE(" -$",ROUND(K1777*(1-T2GDiscount)*-1,2)," CREDIT after discount"),IF(T2GDiscount=0,"",IF(G1777=0,"",IF(F1777="Buy",CONCATENATE(" $",ROUND(K1777*(1-T2GDiscount),2)," with ",(T2GDiscount*100),"% discount"),CONCATENATE(" $",ROUND(K1777*(1-T2GDiscount),2)," with ",((T2GDiscount*100+F1777*100)-(T2GDiscount*100*F1777)),IF(F1777&gt;0,"% discounts",IF(NoWarrantyDiscount&gt;0,"% discounts","% discount")))))))))</f>
        <v/>
      </c>
      <c r="N1777" s="660"/>
      <c r="O1777" s="233"/>
      <c r="P1777" s="233"/>
      <c r="Q1777" s="233"/>
      <c r="R1777" s="233"/>
      <c r="S1777" s="233"/>
      <c r="T1777" s="508">
        <f t="shared" si="1370"/>
        <v>0</v>
      </c>
      <c r="U1777" s="225">
        <f>IF(NOT(ISNUMBER(G1777)), "", VLOOKUP(A1777,'Discount Lookup'!D:E,2,FALSE)*G1777)</f>
        <v>0</v>
      </c>
      <c r="V1777" s="225">
        <f>IF(NOT(ISNUMBER(G1777)), "", VLOOKUP(A1777,'Discount Lookup'!G:H,2,FALSE)*G1777)</f>
        <v>0</v>
      </c>
      <c r="W1777" s="508">
        <f t="shared" si="1371"/>
        <v>0</v>
      </c>
      <c r="X1777" s="508">
        <f t="shared" si="1372"/>
        <v>0</v>
      </c>
      <c r="Y1777" s="509" t="b">
        <f t="shared" si="1373"/>
        <v>0</v>
      </c>
      <c r="Z1777" s="510">
        <f t="shared" si="1374"/>
        <v>0</v>
      </c>
      <c r="AA1777" s="511"/>
      <c r="AB1777" s="511" t="str">
        <f t="shared" si="1375"/>
        <v/>
      </c>
      <c r="AC1777" s="698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698"/>
      <c r="AE1777" s="631" t="str">
        <f t="shared" si="1376"/>
        <v/>
      </c>
      <c r="AF1777" s="699" t="str">
        <f t="shared" si="1377"/>
        <v/>
      </c>
      <c r="AG1777" s="699"/>
      <c r="AH1777" s="699"/>
      <c r="AI1777" s="512">
        <f>IF(H1777="credit",0,IF(AE1777="free",0,IF(AE1777="me",0,IF(G1777&gt;0,(VLOOKUP(A1777,'Discount Lookup'!J:K,2)*G1777),0))))</f>
        <v>0</v>
      </c>
      <c r="AJ1777" s="513" t="str">
        <f t="shared" ca="1" si="1378"/>
        <v/>
      </c>
      <c r="AK1777" s="700" t="str">
        <f t="shared" si="1379"/>
        <v/>
      </c>
      <c r="AL1777" s="700"/>
      <c r="AM1777" s="505" t="str">
        <f t="shared" si="1380"/>
        <v/>
      </c>
      <c r="AN1777" s="506"/>
      <c r="AO1777" s="507"/>
      <c r="AP1777" s="507"/>
      <c r="AQ1777" s="507"/>
      <c r="AR1777" s="507"/>
      <c r="AS1777" s="507"/>
      <c r="AT1777" s="507"/>
      <c r="AU1777" s="507"/>
      <c r="AV1777" s="225"/>
      <c r="AW1777" s="508"/>
      <c r="AX1777" s="225"/>
      <c r="AY1777" s="225"/>
      <c r="AZ1777" s="225"/>
      <c r="BA1777" s="225"/>
      <c r="BB1777" s="225"/>
      <c r="BC1777" s="56"/>
      <c r="BD1777" s="56"/>
      <c r="BE1777" s="56"/>
      <c r="BF1777" s="107" t="str">
        <f t="shared" si="1381"/>
        <v>https://www.google.com/search?tbm=isch&amp;q=1%20G3</v>
      </c>
      <c r="BG1777" s="107" t="str">
        <f t="shared" si="1382"/>
        <v>H</v>
      </c>
      <c r="BH1777" s="254"/>
      <c r="BI1777" s="254"/>
    </row>
    <row r="1778" spans="1:61" customFormat="1" ht="15.75" x14ac:dyDescent="0.25">
      <c r="A1778" s="276">
        <v>1</v>
      </c>
      <c r="B1778" s="240" t="s">
        <v>291</v>
      </c>
      <c r="C1778" s="241" t="s">
        <v>2214</v>
      </c>
      <c r="D1778" s="242" t="s">
        <v>300</v>
      </c>
      <c r="E1778" s="243">
        <v>9.9499999999999993</v>
      </c>
      <c r="F1778" s="517" t="s">
        <v>293</v>
      </c>
      <c r="G1778" s="232">
        <v>0</v>
      </c>
      <c r="H1778" s="661" t="str">
        <f>IF(G1778=0,"",IF(F1778="Buy",IF(G1778=1,"plant","plants"),IF(F1778&gt;0.01,"warranty","Error")))</f>
        <v/>
      </c>
      <c r="I1778" s="244">
        <f>IF(H1778="free",0,IF(H1778="credit",((E1778*(F1778))*G1778*-1),IF(F1778="Buy",(E1778*G1778),((E1778*(1-F1778))*G1778))))</f>
        <v>0</v>
      </c>
      <c r="J1778" s="244">
        <f>IF(H1778="warranty",0,(I1778*(_xlfn.SINGLE(SalesTaxPercentage))))</f>
        <v>0</v>
      </c>
      <c r="K1778" s="696">
        <f t="shared" ref="K1778" si="1401">I1778+J1778</f>
        <v>0</v>
      </c>
      <c r="L1778" s="696"/>
      <c r="M1778" s="659" t="str">
        <f>IF(AND(G1778&gt;0,E1778=0),"WARNING - no PRICE inserted",IF(H1778="free"," FREE ~ no charge this plant",IF(H1778="credit",CONCATENATE(" -$",ROUND(K1778*(1-T2GDiscount)*-1,2)," CREDIT after discount"),IF(T2GDiscount=0,"",IF(G1778=0,"",IF(F1778="Buy",CONCATENATE(" $",ROUND(K1778*(1-T2GDiscount),2)," with ",(T2GDiscount*100),"% discount"),CONCATENATE(" $",ROUND(K1778*(1-T2GDiscount),2)," with ",((T2GDiscount*100+F1778*100)-(T2GDiscount*100*F1778)),IF(F1778&gt;0,"% discounts",IF(NoWarrantyDiscount&gt;0,"% discounts","% discount")))))))))</f>
        <v/>
      </c>
      <c r="N1778" s="660"/>
      <c r="O1778" s="233"/>
      <c r="P1778" s="233"/>
      <c r="Q1778" s="233"/>
      <c r="R1778" s="233"/>
      <c r="S1778" s="233"/>
      <c r="T1778" s="508">
        <f t="shared" si="1370"/>
        <v>0</v>
      </c>
      <c r="U1778" s="225">
        <f>IF(NOT(ISNUMBER(G1778)), "", VLOOKUP(A1778,'Discount Lookup'!D:E,2,FALSE)*G1778)</f>
        <v>0</v>
      </c>
      <c r="V1778" s="225">
        <f>IF(NOT(ISNUMBER(G1778)), "", VLOOKUP(A1778,'Discount Lookup'!G:H,2,FALSE)*G1778)</f>
        <v>0</v>
      </c>
      <c r="W1778" s="508">
        <f t="shared" si="1371"/>
        <v>0</v>
      </c>
      <c r="X1778" s="508">
        <f t="shared" si="1372"/>
        <v>0</v>
      </c>
      <c r="Y1778" s="509" t="b">
        <f t="shared" si="1373"/>
        <v>0</v>
      </c>
      <c r="Z1778" s="510">
        <f t="shared" si="1374"/>
        <v>0</v>
      </c>
      <c r="AA1778" s="511"/>
      <c r="AB1778" s="511" t="str">
        <f t="shared" si="1375"/>
        <v/>
      </c>
      <c r="AC1778" s="698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698"/>
      <c r="AE1778" s="631" t="str">
        <f t="shared" si="1376"/>
        <v/>
      </c>
      <c r="AF1778" s="699" t="str">
        <f t="shared" si="1377"/>
        <v/>
      </c>
      <c r="AG1778" s="699"/>
      <c r="AH1778" s="699"/>
      <c r="AI1778" s="512">
        <f>IF(H1778="credit",0,IF(AE1778="free",0,IF(AE1778="me",0,IF(G1778&gt;0,(VLOOKUP(A1778,'Discount Lookup'!J:K,2)*G1778),0))))</f>
        <v>0</v>
      </c>
      <c r="AJ1778" s="513" t="str">
        <f t="shared" ca="1" si="1378"/>
        <v/>
      </c>
      <c r="AK1778" s="700" t="str">
        <f t="shared" si="1379"/>
        <v/>
      </c>
      <c r="AL1778" s="700"/>
      <c r="AM1778" s="505" t="str">
        <f t="shared" si="1380"/>
        <v/>
      </c>
      <c r="AN1778" s="506"/>
      <c r="AO1778" s="507"/>
      <c r="AP1778" s="507"/>
      <c r="AQ1778" s="507"/>
      <c r="AR1778" s="507"/>
      <c r="AS1778" s="507"/>
      <c r="AT1778" s="507"/>
      <c r="AU1778" s="507"/>
      <c r="AV1778" s="225"/>
      <c r="AW1778" s="508"/>
      <c r="AX1778" s="225"/>
      <c r="AY1778" s="225"/>
      <c r="AZ1778" s="225"/>
      <c r="BA1778" s="225"/>
      <c r="BB1778" s="225"/>
      <c r="BC1778" s="56"/>
      <c r="BD1778" s="56"/>
      <c r="BE1778" s="56"/>
      <c r="BF1778" s="107" t="str">
        <f t="shared" si="1381"/>
        <v>https://www.google.com/search?tbm=isch&amp;q=1%20G6</v>
      </c>
      <c r="BG1778" s="107" t="str">
        <f t="shared" si="1382"/>
        <v>H</v>
      </c>
      <c r="BH1778" s="254"/>
      <c r="BI1778" s="254"/>
    </row>
    <row r="1779" spans="1:61" customFormat="1" ht="15.75" x14ac:dyDescent="0.25">
      <c r="A1779" s="276">
        <v>1</v>
      </c>
      <c r="B1779" s="240" t="s">
        <v>291</v>
      </c>
      <c r="C1779" s="241"/>
      <c r="D1779" s="242" t="s">
        <v>312</v>
      </c>
      <c r="E1779" s="243">
        <v>10.95</v>
      </c>
      <c r="F1779" s="517" t="s">
        <v>293</v>
      </c>
      <c r="G1779" s="232">
        <v>0</v>
      </c>
      <c r="H1779" s="661" t="str">
        <f>IF(G1779=0,"",IF(F1779="Buy",IF(G1779=1,"plant","plants"),IF(F1779&gt;0.01,"warranty","Error")))</f>
        <v/>
      </c>
      <c r="I1779" s="244">
        <f>IF(H1779="free",0,IF(H1779="credit",((E1779*(F1779))*G1779*-1),IF(F1779="Buy",(E1779*G1779),((E1779*(1-F1779))*G1779))))</f>
        <v>0</v>
      </c>
      <c r="J1779" s="244">
        <f>IF(H1779="warranty",0,(I1779*(_xlfn.SINGLE(SalesTaxPercentage))))</f>
        <v>0</v>
      </c>
      <c r="K1779" s="696">
        <f t="shared" ref="K1779" si="1402">I1779+J1779</f>
        <v>0</v>
      </c>
      <c r="L1779" s="696"/>
      <c r="M1779" s="659" t="str">
        <f>IF(AND(G1779&gt;0,E1779=0),"WARNING - no PRICE inserted",IF(H1779="free"," FREE ~ no charge this plant",IF(H1779="credit",CONCATENATE(" -$",ROUND(K1779*(1-T2GDiscount)*-1,2)," CREDIT after discount"),IF(T2GDiscount=0,"",IF(G1779=0,"",IF(F1779="Buy",CONCATENATE(" $",ROUND(K1779*(1-T2GDiscount),2)," with ",(T2GDiscount*100),"% discount"),CONCATENATE(" $",ROUND(K1779*(1-T2GDiscount),2)," with ",((T2GDiscount*100+F1779*100)-(T2GDiscount*100*F1779)),IF(F1779&gt;0,"% discounts",IF(NoWarrantyDiscount&gt;0,"% discounts","% discount")))))))))</f>
        <v/>
      </c>
      <c r="N1779" s="660"/>
      <c r="O1779" s="233"/>
      <c r="P1779" s="233"/>
      <c r="Q1779" s="233"/>
      <c r="R1779" s="233"/>
      <c r="S1779" s="233"/>
      <c r="T1779" s="508">
        <f t="shared" si="1370"/>
        <v>0</v>
      </c>
      <c r="U1779" s="225">
        <f>IF(NOT(ISNUMBER(G1779)), "", VLOOKUP(A1779,'Discount Lookup'!D:E,2,FALSE)*G1779)</f>
        <v>0</v>
      </c>
      <c r="V1779" s="225">
        <f>IF(NOT(ISNUMBER(G1779)), "", VLOOKUP(A1779,'Discount Lookup'!G:H,2,FALSE)*G1779)</f>
        <v>0</v>
      </c>
      <c r="W1779" s="508">
        <f t="shared" si="1371"/>
        <v>0</v>
      </c>
      <c r="X1779" s="508">
        <f t="shared" si="1372"/>
        <v>0</v>
      </c>
      <c r="Y1779" s="509" t="b">
        <f t="shared" si="1373"/>
        <v>0</v>
      </c>
      <c r="Z1779" s="510">
        <f t="shared" si="1374"/>
        <v>0</v>
      </c>
      <c r="AA1779" s="511"/>
      <c r="AB1779" s="511" t="str">
        <f t="shared" si="1375"/>
        <v/>
      </c>
      <c r="AC1779" s="698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698"/>
      <c r="AE1779" s="631" t="str">
        <f t="shared" si="1376"/>
        <v/>
      </c>
      <c r="AF1779" s="699" t="str">
        <f t="shared" si="1377"/>
        <v/>
      </c>
      <c r="AG1779" s="699"/>
      <c r="AH1779" s="699"/>
      <c r="AI1779" s="512">
        <f>IF(H1779="credit",0,IF(AE1779="free",0,IF(AE1779="me",0,IF(G1779&gt;0,(VLOOKUP(A1779,'Discount Lookup'!J:K,2)*G1779),0))))</f>
        <v>0</v>
      </c>
      <c r="AJ1779" s="513" t="str">
        <f t="shared" ca="1" si="1378"/>
        <v/>
      </c>
      <c r="AK1779" s="700" t="str">
        <f t="shared" si="1379"/>
        <v/>
      </c>
      <c r="AL1779" s="700"/>
      <c r="AM1779" s="505" t="str">
        <f t="shared" si="1380"/>
        <v/>
      </c>
      <c r="AN1779" s="506"/>
      <c r="AO1779" s="507"/>
      <c r="AP1779" s="507"/>
      <c r="AQ1779" s="507"/>
      <c r="AR1779" s="507"/>
      <c r="AS1779" s="507"/>
      <c r="AT1779" s="507"/>
      <c r="AU1779" s="507"/>
      <c r="AV1779" s="225"/>
      <c r="AW1779" s="508"/>
      <c r="AX1779" s="225"/>
      <c r="AY1779" s="225"/>
      <c r="AZ1779" s="225"/>
      <c r="BA1779" s="225"/>
      <c r="BB1779" s="225"/>
      <c r="BC1779" s="56"/>
      <c r="BD1779" s="56"/>
      <c r="BE1779" s="56"/>
      <c r="BF1779" s="107" t="str">
        <f t="shared" si="1381"/>
        <v>https://www.google.com/search?tbm=isch&amp;q=1%20G2</v>
      </c>
      <c r="BG1779" s="107" t="str">
        <f t="shared" si="1382"/>
        <v>H</v>
      </c>
      <c r="BH1779" s="254"/>
      <c r="BI1779" s="254"/>
    </row>
    <row r="1780" spans="1:61" customFormat="1" ht="17.25" thickBot="1" x14ac:dyDescent="0.3">
      <c r="A1780" s="673" t="s">
        <v>5135</v>
      </c>
      <c r="B1780" s="245"/>
      <c r="C1780" s="677"/>
      <c r="D1780" s="499"/>
      <c r="E1780" s="499"/>
      <c r="F1780" s="500"/>
      <c r="G1780" s="501"/>
      <c r="H1780" s="502"/>
      <c r="I1780" s="246"/>
      <c r="J1780" s="247"/>
      <c r="K1780" s="503"/>
      <c r="L1780" s="544"/>
      <c r="M1780" s="544"/>
      <c r="N1780" s="500"/>
      <c r="O1780" s="500"/>
      <c r="P1780" s="500"/>
      <c r="Q1780" s="500"/>
      <c r="R1780" s="500"/>
      <c r="S1780" s="669" t="s">
        <v>4980</v>
      </c>
      <c r="T1780" s="508">
        <f t="shared" si="1370"/>
        <v>0</v>
      </c>
      <c r="U1780" s="225" t="str">
        <f>IF(NOT(ISNUMBER(G1780)), "", VLOOKUP(A1780,'Discount Lookup'!D:E,2,FALSE)*G1780)</f>
        <v/>
      </c>
      <c r="V1780" s="225" t="str">
        <f>IF(NOT(ISNUMBER(G1780)), "", VLOOKUP(A1780,'Discount Lookup'!G:H,2,FALSE)*G1780)</f>
        <v/>
      </c>
      <c r="W1780" s="508">
        <f t="shared" si="1371"/>
        <v>0</v>
      </c>
      <c r="X1780" s="508">
        <f t="shared" si="1372"/>
        <v>0</v>
      </c>
      <c r="Y1780" s="509" t="b">
        <f t="shared" si="1373"/>
        <v>0</v>
      </c>
      <c r="Z1780" s="510">
        <f t="shared" si="1374"/>
        <v>0</v>
      </c>
      <c r="AA1780" s="511"/>
      <c r="AB1780" s="511" t="str">
        <f t="shared" si="1375"/>
        <v/>
      </c>
      <c r="AC1780" s="698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698"/>
      <c r="AE1780" s="631" t="str">
        <f t="shared" si="1376"/>
        <v/>
      </c>
      <c r="AF1780" s="699" t="str">
        <f t="shared" si="1377"/>
        <v/>
      </c>
      <c r="AG1780" s="699"/>
      <c r="AH1780" s="699"/>
      <c r="AI1780" s="512">
        <f>IF(H1780="credit",0,IF(AE1780="free",0,IF(AE1780="me",0,IF(G1780&gt;0,(VLOOKUP(A1780,'Discount Lookup'!J:K,2)*G1780),0))))</f>
        <v>0</v>
      </c>
      <c r="AJ1780" s="513" t="str">
        <f t="shared" ca="1" si="1378"/>
        <v/>
      </c>
      <c r="AK1780" s="700" t="str">
        <f t="shared" si="1379"/>
        <v/>
      </c>
      <c r="AL1780" s="700"/>
      <c r="AM1780" s="505" t="str">
        <f t="shared" si="1380"/>
        <v/>
      </c>
      <c r="AN1780" s="506"/>
      <c r="AO1780" s="507"/>
      <c r="AP1780" s="507"/>
      <c r="AQ1780" s="507"/>
      <c r="AR1780" s="507"/>
      <c r="AS1780" s="507"/>
      <c r="AT1780" s="507"/>
      <c r="AU1780" s="507"/>
      <c r="AV1780" s="225"/>
      <c r="AW1780" s="508"/>
      <c r="AX1780" s="225"/>
      <c r="AY1780" s="225"/>
      <c r="AZ1780" s="225"/>
      <c r="BA1780" s="225"/>
      <c r="BB1780" s="225"/>
      <c r="BC1780" s="56"/>
      <c r="BD1780" s="56"/>
      <c r="BE1780" s="56"/>
      <c r="BF1780" s="107" t="str">
        <f t="shared" si="1381"/>
        <v>https://www.google.com/search?tbm=isch&amp;q=wet%20sites%F0%9F%92%A7OK%2C%20Happy%20Returns%20is%20a%20cutivar%20of%20Stella%20d%27Oro%2C%20for%20brighter%20blooms.%20Slightly%20fragrant.%20</v>
      </c>
      <c r="BG1780" s="107" t="str">
        <f t="shared" si="1382"/>
        <v>w</v>
      </c>
      <c r="BH1780" s="254"/>
      <c r="BI1780" s="254"/>
    </row>
    <row r="1781" spans="1:61" customFormat="1" ht="18" x14ac:dyDescent="0.25">
      <c r="A1781" s="521" t="s">
        <v>1079</v>
      </c>
      <c r="B1781" s="477"/>
      <c r="C1781" s="674"/>
      <c r="D1781" s="478" t="s">
        <v>1080</v>
      </c>
      <c r="E1781" s="479"/>
      <c r="F1781" s="479"/>
      <c r="G1781" s="479"/>
      <c r="H1781" s="582" t="s">
        <v>508</v>
      </c>
      <c r="I1781" s="480" t="s">
        <v>2907</v>
      </c>
      <c r="J1781" s="479"/>
      <c r="K1781" s="479"/>
      <c r="L1781" s="560"/>
      <c r="M1781" s="666" t="s">
        <v>4966</v>
      </c>
      <c r="N1781" s="680" t="str">
        <f>IF(AND(ISTEXT($A1781), ISERROR($A1781+0)), HYPERLINK($BF1781, "Images"), "")</f>
        <v>Images</v>
      </c>
      <c r="O1781" s="662" t="s">
        <v>4967</v>
      </c>
      <c r="P1781" s="482"/>
      <c r="Q1781" s="483"/>
      <c r="R1781" s="483"/>
      <c r="S1781" s="484"/>
      <c r="T1781" s="508">
        <f t="shared" si="1370"/>
        <v>0</v>
      </c>
      <c r="U1781" s="225" t="str">
        <f>IF(NOT(ISNUMBER(G1781)), "", VLOOKUP(A1781,'Discount Lookup'!D:E,2,FALSE)*G1781)</f>
        <v/>
      </c>
      <c r="V1781" s="225" t="str">
        <f>IF(NOT(ISNUMBER(G1781)), "", VLOOKUP(A1781,'Discount Lookup'!G:H,2,FALSE)*G1781)</f>
        <v/>
      </c>
      <c r="W1781" s="508">
        <f t="shared" si="1371"/>
        <v>0</v>
      </c>
      <c r="X1781" s="508" t="str">
        <f t="shared" si="1372"/>
        <v>Bluish-Green foliage</v>
      </c>
      <c r="Y1781" s="509" t="b">
        <f t="shared" si="1373"/>
        <v>0</v>
      </c>
      <c r="Z1781" s="510">
        <f t="shared" si="1374"/>
        <v>0</v>
      </c>
      <c r="AA1781" s="511"/>
      <c r="AB1781" s="511" t="str">
        <f t="shared" si="1375"/>
        <v/>
      </c>
      <c r="AC1781" s="698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698"/>
      <c r="AE1781" s="631" t="str">
        <f t="shared" si="1376"/>
        <v/>
      </c>
      <c r="AF1781" s="699" t="str">
        <f t="shared" si="1377"/>
        <v/>
      </c>
      <c r="AG1781" s="699"/>
      <c r="AH1781" s="699"/>
      <c r="AI1781" s="512">
        <f>IF(H1781="credit",0,IF(AE1781="free",0,IF(AE1781="me",0,IF(G1781&gt;0,(VLOOKUP(A1781,'Discount Lookup'!J:K,2)*G1781),0))))</f>
        <v>0</v>
      </c>
      <c r="AJ1781" s="513" t="str">
        <f t="shared" ca="1" si="1378"/>
        <v/>
      </c>
      <c r="AK1781" s="700" t="str">
        <f t="shared" si="1379"/>
        <v/>
      </c>
      <c r="AL1781" s="700"/>
      <c r="AM1781" s="505" t="str">
        <f t="shared" si="1380"/>
        <v/>
      </c>
      <c r="AN1781" s="506"/>
      <c r="AO1781" s="507"/>
      <c r="AP1781" s="507"/>
      <c r="AQ1781" s="507"/>
      <c r="AR1781" s="507"/>
      <c r="AS1781" s="507"/>
      <c r="AT1781" s="507"/>
      <c r="AU1781" s="507"/>
      <c r="AV1781" s="225"/>
      <c r="AW1781" s="508"/>
      <c r="AX1781" s="225"/>
      <c r="AY1781" s="225"/>
      <c r="AZ1781" s="225"/>
      <c r="BA1781" s="225"/>
      <c r="BB1781" s="225"/>
      <c r="BC1781" s="56"/>
      <c r="BD1781" s="56"/>
      <c r="BE1781" s="56"/>
      <c r="BF1781" s="107" t="str">
        <f t="shared" si="1381"/>
        <v>https://www.google.com/search?tbm=isch&amp;q=Harbour%20Dwarf%20Nandina%20Nandina%20domestica%20%27Harbour%20Dwarf%27</v>
      </c>
      <c r="BG1781" s="107" t="str">
        <f t="shared" si="1382"/>
        <v>H</v>
      </c>
      <c r="BH1781" s="254"/>
      <c r="BI1781" s="254"/>
    </row>
    <row r="1782" spans="1:61" customFormat="1" ht="15.75" x14ac:dyDescent="0.25">
      <c r="A1782" s="485">
        <v>2</v>
      </c>
      <c r="B1782" s="486" t="s">
        <v>291</v>
      </c>
      <c r="C1782" s="487" t="s">
        <v>1081</v>
      </c>
      <c r="D1782" s="488" t="s">
        <v>297</v>
      </c>
      <c r="E1782" s="489">
        <v>18.95</v>
      </c>
      <c r="F1782" s="516" t="s">
        <v>293</v>
      </c>
      <c r="G1782" s="232">
        <v>0</v>
      </c>
      <c r="H1782" s="658" t="str">
        <f>IF(G1782=0,"",IF(F1782="Buy",IF(G1782=1,"plant","plants"),IF(F1782&gt;0.01,"warranty","Error")))</f>
        <v/>
      </c>
      <c r="I1782" s="490">
        <f>IF(H1782="free",0,IF(H1782="credit",((E1782*(F1782))*G1782*-1),IF(F1782="Buy",(E1782*G1782),((E1782*(1-F1782))*G1782))))</f>
        <v>0</v>
      </c>
      <c r="J1782" s="490">
        <f>IF(H1782="warranty",0,(I1782*(_xlfn.SINGLE(SalesTaxPercentage))))</f>
        <v>0</v>
      </c>
      <c r="K1782" s="695">
        <f t="shared" ref="K1782" si="1403">I1782+J1782</f>
        <v>0</v>
      </c>
      <c r="L1782" s="695"/>
      <c r="M1782" s="659" t="str">
        <f>IF(AND(G1782&gt;0,E1782=0),"WARNING - no PRICE inserted",IF(H1782="free"," FREE ~ no charge this plant",IF(H1782="credit",CONCATENATE(" -$",ROUND(K1782*(1-T2GDiscount)*-1,2)," CREDIT after discount"),IF(T2GDiscount=0,"",IF(G1782=0,"",IF(F1782="Buy",CONCATENATE(" $",ROUND(K1782*(1-T2GDiscount),2)," with ",(T2GDiscount*100),"% discount"),CONCATENATE(" $",ROUND(K1782*(1-T2GDiscount),2)," with ",((T2GDiscount*100+F1782*100)-(T2GDiscount*100*F1782)),IF(F1782&gt;0,"% discounts",IF(NoWarrantyDiscount&gt;0,"% discounts","% discount")))))))))</f>
        <v/>
      </c>
      <c r="N1782" s="660"/>
      <c r="O1782" s="233"/>
      <c r="P1782" s="233"/>
      <c r="Q1782" s="233"/>
      <c r="R1782" s="233"/>
      <c r="S1782" s="233"/>
      <c r="T1782" s="508">
        <f t="shared" si="1370"/>
        <v>0</v>
      </c>
      <c r="U1782" s="225">
        <f>IF(NOT(ISNUMBER(G1782)), "", VLOOKUP(A1782,'Discount Lookup'!D:E,2,FALSE)*G1782)</f>
        <v>0</v>
      </c>
      <c r="V1782" s="225">
        <f>IF(NOT(ISNUMBER(G1782)), "", VLOOKUP(A1782,'Discount Lookup'!G:H,2,FALSE)*G1782)</f>
        <v>0</v>
      </c>
      <c r="W1782" s="508">
        <f t="shared" si="1371"/>
        <v>0</v>
      </c>
      <c r="X1782" s="508">
        <f t="shared" si="1372"/>
        <v>0</v>
      </c>
      <c r="Y1782" s="509" t="b">
        <f t="shared" si="1373"/>
        <v>0</v>
      </c>
      <c r="Z1782" s="510">
        <f t="shared" si="1374"/>
        <v>0</v>
      </c>
      <c r="AA1782" s="511"/>
      <c r="AB1782" s="511" t="str">
        <f t="shared" si="1375"/>
        <v/>
      </c>
      <c r="AC1782" s="698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698"/>
      <c r="AE1782" s="631" t="str">
        <f t="shared" si="1376"/>
        <v/>
      </c>
      <c r="AF1782" s="699" t="str">
        <f t="shared" si="1377"/>
        <v/>
      </c>
      <c r="AG1782" s="699"/>
      <c r="AH1782" s="699"/>
      <c r="AI1782" s="512">
        <f>IF(H1782="credit",0,IF(AE1782="free",0,IF(AE1782="me",0,IF(G1782&gt;0,(VLOOKUP(A1782,'Discount Lookup'!J:K,2)*G1782),0))))</f>
        <v>0</v>
      </c>
      <c r="AJ1782" s="513" t="str">
        <f t="shared" ca="1" si="1378"/>
        <v/>
      </c>
      <c r="AK1782" s="700" t="str">
        <f t="shared" si="1379"/>
        <v/>
      </c>
      <c r="AL1782" s="700"/>
      <c r="AM1782" s="505" t="str">
        <f t="shared" si="1380"/>
        <v/>
      </c>
      <c r="AN1782" s="506"/>
      <c r="AO1782" s="507"/>
      <c r="AP1782" s="507"/>
      <c r="AQ1782" s="507"/>
      <c r="AR1782" s="507"/>
      <c r="AS1782" s="507"/>
      <c r="AT1782" s="507"/>
      <c r="AU1782" s="507"/>
      <c r="AV1782" s="225"/>
      <c r="AW1782" s="508"/>
      <c r="AX1782" s="225"/>
      <c r="AY1782" s="225"/>
      <c r="AZ1782" s="225"/>
      <c r="BA1782" s="225"/>
      <c r="BB1782" s="225"/>
      <c r="BC1782" s="56"/>
      <c r="BD1782" s="56"/>
      <c r="BE1782" s="56"/>
      <c r="BF1782" s="107" t="str">
        <f t="shared" si="1381"/>
        <v>https://www.google.com/search?tbm=isch&amp;q=2%20G3</v>
      </c>
      <c r="BG1782" s="107" t="str">
        <f t="shared" si="1382"/>
        <v>H</v>
      </c>
      <c r="BH1782" s="254"/>
      <c r="BI1782" s="254"/>
    </row>
    <row r="1783" spans="1:61" customFormat="1" ht="15.75" x14ac:dyDescent="0.25">
      <c r="A1783" s="485">
        <v>3</v>
      </c>
      <c r="B1783" s="486" t="s">
        <v>291</v>
      </c>
      <c r="C1783" s="487" t="s">
        <v>3074</v>
      </c>
      <c r="D1783" s="488" t="s">
        <v>312</v>
      </c>
      <c r="E1783" s="489">
        <v>26.95</v>
      </c>
      <c r="F1783" s="516" t="s">
        <v>293</v>
      </c>
      <c r="G1783" s="232">
        <v>0</v>
      </c>
      <c r="H1783" s="658" t="str">
        <f>IF(G1783=0,"",IF(F1783="Buy",IF(G1783=1,"plant","plants"),IF(F1783&gt;0.01,"warranty","Error")))</f>
        <v/>
      </c>
      <c r="I1783" s="490">
        <f>IF(H1783="free",0,IF(H1783="credit",((E1783*(F1783))*G1783*-1),IF(F1783="Buy",(E1783*G1783),((E1783*(1-F1783))*G1783))))</f>
        <v>0</v>
      </c>
      <c r="J1783" s="490">
        <f>IF(H1783="warranty",0,(I1783*(_xlfn.SINGLE(SalesTaxPercentage))))</f>
        <v>0</v>
      </c>
      <c r="K1783" s="695">
        <f t="shared" ref="K1783" si="1404">I1783+J1783</f>
        <v>0</v>
      </c>
      <c r="L1783" s="695"/>
      <c r="M1783" s="659" t="str">
        <f>IF(AND(G1783&gt;0,E1783=0),"WARNING - no PRICE inserted",IF(H1783="free"," FREE ~ no charge this plant",IF(H1783="credit",CONCATENATE(" -$",ROUND(K1783*(1-T2GDiscount)*-1,2)," CREDIT after discount"),IF(T2GDiscount=0,"",IF(G1783=0,"",IF(F1783="Buy",CONCATENATE(" $",ROUND(K1783*(1-T2GDiscount),2)," with ",(T2GDiscount*100),"% discount"),CONCATENATE(" $",ROUND(K1783*(1-T2GDiscount),2)," with ",((T2GDiscount*100+F1783*100)-(T2GDiscount*100*F1783)),IF(F1783&gt;0,"% discounts",IF(NoWarrantyDiscount&gt;0,"% discounts","% discount")))))))))</f>
        <v/>
      </c>
      <c r="N1783" s="660"/>
      <c r="O1783" s="233"/>
      <c r="P1783" s="233"/>
      <c r="Q1783" s="233"/>
      <c r="R1783" s="233"/>
      <c r="S1783" s="233"/>
      <c r="T1783" s="508">
        <f t="shared" si="1370"/>
        <v>0</v>
      </c>
      <c r="U1783" s="225">
        <f>IF(NOT(ISNUMBER(G1783)), "", VLOOKUP(A1783,'Discount Lookup'!D:E,2,FALSE)*G1783)</f>
        <v>0</v>
      </c>
      <c r="V1783" s="225">
        <f>IF(NOT(ISNUMBER(G1783)), "", VLOOKUP(A1783,'Discount Lookup'!G:H,2,FALSE)*G1783)</f>
        <v>0</v>
      </c>
      <c r="W1783" s="508">
        <f t="shared" si="1371"/>
        <v>0</v>
      </c>
      <c r="X1783" s="508">
        <f t="shared" si="1372"/>
        <v>0</v>
      </c>
      <c r="Y1783" s="509" t="b">
        <f t="shared" si="1373"/>
        <v>0</v>
      </c>
      <c r="Z1783" s="510">
        <f t="shared" si="1374"/>
        <v>0</v>
      </c>
      <c r="AA1783" s="511"/>
      <c r="AB1783" s="511" t="str">
        <f t="shared" si="1375"/>
        <v/>
      </c>
      <c r="AC1783" s="698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698"/>
      <c r="AE1783" s="631" t="str">
        <f t="shared" si="1376"/>
        <v/>
      </c>
      <c r="AF1783" s="699" t="str">
        <f t="shared" si="1377"/>
        <v/>
      </c>
      <c r="AG1783" s="699"/>
      <c r="AH1783" s="699"/>
      <c r="AI1783" s="512">
        <f>IF(H1783="credit",0,IF(AE1783="free",0,IF(AE1783="me",0,IF(G1783&gt;0,(VLOOKUP(A1783,'Discount Lookup'!J:K,2)*G1783),0))))</f>
        <v>0</v>
      </c>
      <c r="AJ1783" s="513" t="str">
        <f t="shared" ca="1" si="1378"/>
        <v/>
      </c>
      <c r="AK1783" s="700" t="str">
        <f t="shared" si="1379"/>
        <v/>
      </c>
      <c r="AL1783" s="700"/>
      <c r="AM1783" s="505" t="str">
        <f t="shared" si="1380"/>
        <v/>
      </c>
      <c r="AN1783" s="506"/>
      <c r="AO1783" s="507"/>
      <c r="AP1783" s="507"/>
      <c r="AQ1783" s="507"/>
      <c r="AR1783" s="507"/>
      <c r="AS1783" s="507"/>
      <c r="AT1783" s="507"/>
      <c r="AU1783" s="507"/>
      <c r="AV1783" s="225"/>
      <c r="AW1783" s="508"/>
      <c r="AX1783" s="225"/>
      <c r="AY1783" s="225"/>
      <c r="AZ1783" s="225"/>
      <c r="BA1783" s="225"/>
      <c r="BB1783" s="225"/>
      <c r="BC1783" s="56"/>
      <c r="BD1783" s="56"/>
      <c r="BE1783" s="56"/>
      <c r="BF1783" s="107" t="str">
        <f t="shared" si="1381"/>
        <v>https://www.google.com/search?tbm=isch&amp;q=3%20G2</v>
      </c>
      <c r="BG1783" s="107" t="str">
        <f t="shared" si="1382"/>
        <v>H</v>
      </c>
      <c r="BH1783" s="254"/>
      <c r="BI1783" s="254"/>
    </row>
    <row r="1784" spans="1:61" customFormat="1" ht="15.75" x14ac:dyDescent="0.25">
      <c r="A1784" s="485">
        <v>7</v>
      </c>
      <c r="B1784" s="486" t="s">
        <v>291</v>
      </c>
      <c r="C1784" s="487" t="s">
        <v>3556</v>
      </c>
      <c r="D1784" s="488" t="s">
        <v>292</v>
      </c>
      <c r="E1784" s="489">
        <v>72.95</v>
      </c>
      <c r="F1784" s="516" t="s">
        <v>293</v>
      </c>
      <c r="G1784" s="232">
        <v>0</v>
      </c>
      <c r="H1784" s="658" t="str">
        <f>IF(G1784=0,"",IF(F1784="Buy",IF(G1784=1,"plant","plants"),IF(F1784&gt;0.01,"warranty","Error")))</f>
        <v/>
      </c>
      <c r="I1784" s="490">
        <f>IF(H1784="free",0,IF(H1784="credit",((E1784*(F1784))*G1784*-1),IF(F1784="Buy",(E1784*G1784),((E1784*(1-F1784))*G1784))))</f>
        <v>0</v>
      </c>
      <c r="J1784" s="490">
        <f>IF(H1784="warranty",0,(I1784*(_xlfn.SINGLE(SalesTaxPercentage))))</f>
        <v>0</v>
      </c>
      <c r="K1784" s="695">
        <f t="shared" ref="K1784" si="1405">I1784+J1784</f>
        <v>0</v>
      </c>
      <c r="L1784" s="695"/>
      <c r="M1784" s="659" t="str">
        <f>IF(AND(G1784&gt;0,E1784=0),"WARNING - no PRICE inserted",IF(H1784="free"," FREE ~ no charge this plant",IF(H1784="credit",CONCATENATE(" -$",ROUND(K1784*(1-T2GDiscount)*-1,2)," CREDIT after discount"),IF(T2GDiscount=0,"",IF(G1784=0,"",IF(F1784="Buy",CONCATENATE(" $",ROUND(K1784*(1-T2GDiscount),2)," with ",(T2GDiscount*100),"% discount"),CONCATENATE(" $",ROUND(K1784*(1-T2GDiscount),2)," with ",((T2GDiscount*100+F1784*100)-(T2GDiscount*100*F1784)),IF(F1784&gt;0,"% discounts",IF(NoWarrantyDiscount&gt;0,"% discounts","% discount")))))))))</f>
        <v/>
      </c>
      <c r="N1784" s="660"/>
      <c r="O1784" s="233"/>
      <c r="P1784" s="233"/>
      <c r="Q1784" s="233"/>
      <c r="R1784" s="233"/>
      <c r="S1784" s="233"/>
      <c r="T1784" s="508">
        <f t="shared" si="1370"/>
        <v>0</v>
      </c>
      <c r="U1784" s="225">
        <f>IF(NOT(ISNUMBER(G1784)), "", VLOOKUP(A1784,'Discount Lookup'!D:E,2,FALSE)*G1784)</f>
        <v>0</v>
      </c>
      <c r="V1784" s="225">
        <f>IF(NOT(ISNUMBER(G1784)), "", VLOOKUP(A1784,'Discount Lookup'!G:H,2,FALSE)*G1784)</f>
        <v>0</v>
      </c>
      <c r="W1784" s="508">
        <f t="shared" si="1371"/>
        <v>0</v>
      </c>
      <c r="X1784" s="508">
        <f t="shared" si="1372"/>
        <v>0</v>
      </c>
      <c r="Y1784" s="509" t="b">
        <f t="shared" si="1373"/>
        <v>0</v>
      </c>
      <c r="Z1784" s="510">
        <f t="shared" si="1374"/>
        <v>0</v>
      </c>
      <c r="AA1784" s="511"/>
      <c r="AB1784" s="511" t="str">
        <f t="shared" si="1375"/>
        <v/>
      </c>
      <c r="AC1784" s="698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698"/>
      <c r="AE1784" s="631" t="str">
        <f t="shared" si="1376"/>
        <v/>
      </c>
      <c r="AF1784" s="699" t="str">
        <f t="shared" si="1377"/>
        <v/>
      </c>
      <c r="AG1784" s="699"/>
      <c r="AH1784" s="699"/>
      <c r="AI1784" s="512">
        <f>IF(H1784="credit",0,IF(AE1784="free",0,IF(AE1784="me",0,IF(G1784&gt;0,(VLOOKUP(A1784,'Discount Lookup'!J:K,2)*G1784),0))))</f>
        <v>0</v>
      </c>
      <c r="AJ1784" s="513" t="str">
        <f t="shared" ca="1" si="1378"/>
        <v/>
      </c>
      <c r="AK1784" s="700" t="str">
        <f t="shared" si="1379"/>
        <v/>
      </c>
      <c r="AL1784" s="700"/>
      <c r="AM1784" s="505" t="str">
        <f t="shared" si="1380"/>
        <v/>
      </c>
      <c r="AN1784" s="506"/>
      <c r="AO1784" s="507"/>
      <c r="AP1784" s="507"/>
      <c r="AQ1784" s="507"/>
      <c r="AR1784" s="507"/>
      <c r="AS1784" s="507"/>
      <c r="AT1784" s="507"/>
      <c r="AU1784" s="507"/>
      <c r="AV1784" s="225"/>
      <c r="AW1784" s="508"/>
      <c r="AX1784" s="225"/>
      <c r="AY1784" s="225"/>
      <c r="AZ1784" s="225"/>
      <c r="BA1784" s="225"/>
      <c r="BB1784" s="225"/>
      <c r="BC1784" s="56"/>
      <c r="BD1784" s="56"/>
      <c r="BE1784" s="56"/>
      <c r="BF1784" s="107" t="str">
        <f t="shared" si="1381"/>
        <v>https://www.google.com/search?tbm=isch&amp;q=7%20G4</v>
      </c>
      <c r="BG1784" s="107" t="str">
        <f t="shared" si="1382"/>
        <v>H</v>
      </c>
      <c r="BH1784" s="254"/>
      <c r="BI1784" s="254"/>
    </row>
    <row r="1785" spans="1:61" customFormat="1" ht="16.5" thickBot="1" x14ac:dyDescent="0.3">
      <c r="A1785" s="522" t="s">
        <v>2943</v>
      </c>
      <c r="B1785" s="491"/>
      <c r="C1785" s="675"/>
      <c r="D1785" s="491"/>
      <c r="E1785" s="491"/>
      <c r="F1785" s="492"/>
      <c r="G1785" s="493"/>
      <c r="H1785" s="491"/>
      <c r="I1785" s="234"/>
      <c r="J1785" s="234"/>
      <c r="K1785" s="494"/>
      <c r="L1785" s="543"/>
      <c r="M1785" s="561"/>
      <c r="N1785" s="495"/>
      <c r="O1785" s="496"/>
      <c r="P1785" s="497"/>
      <c r="Q1785" s="495"/>
      <c r="R1785" s="495"/>
      <c r="S1785" s="277"/>
      <c r="T1785" s="508">
        <f t="shared" si="1370"/>
        <v>0</v>
      </c>
      <c r="U1785" s="225" t="str">
        <f>IF(NOT(ISNUMBER(G1785)), "", VLOOKUP(A1785,'Discount Lookup'!D:E,2,FALSE)*G1785)</f>
        <v/>
      </c>
      <c r="V1785" s="225" t="str">
        <f>IF(NOT(ISNUMBER(G1785)), "", VLOOKUP(A1785,'Discount Lookup'!G:H,2,FALSE)*G1785)</f>
        <v/>
      </c>
      <c r="W1785" s="508">
        <f t="shared" si="1371"/>
        <v>0</v>
      </c>
      <c r="X1785" s="508">
        <f t="shared" si="1372"/>
        <v>0</v>
      </c>
      <c r="Y1785" s="509" t="b">
        <f t="shared" si="1373"/>
        <v>0</v>
      </c>
      <c r="Z1785" s="510">
        <f t="shared" si="1374"/>
        <v>0</v>
      </c>
      <c r="AA1785" s="511"/>
      <c r="AB1785" s="511" t="str">
        <f t="shared" si="1375"/>
        <v/>
      </c>
      <c r="AC1785" s="698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698"/>
      <c r="AE1785" s="631" t="str">
        <f t="shared" si="1376"/>
        <v/>
      </c>
      <c r="AF1785" s="699" t="str">
        <f t="shared" si="1377"/>
        <v/>
      </c>
      <c r="AG1785" s="699"/>
      <c r="AH1785" s="699"/>
      <c r="AI1785" s="512">
        <f>IF(H1785="credit",0,IF(AE1785="free",0,IF(AE1785="me",0,IF(G1785&gt;0,(VLOOKUP(A1785,'Discount Lookup'!J:K,2)*G1785),0))))</f>
        <v>0</v>
      </c>
      <c r="AJ1785" s="513" t="str">
        <f t="shared" ca="1" si="1378"/>
        <v/>
      </c>
      <c r="AK1785" s="700" t="str">
        <f t="shared" si="1379"/>
        <v/>
      </c>
      <c r="AL1785" s="700"/>
      <c r="AM1785" s="505" t="str">
        <f t="shared" si="1380"/>
        <v/>
      </c>
      <c r="AN1785" s="506"/>
      <c r="AO1785" s="507"/>
      <c r="AP1785" s="507"/>
      <c r="AQ1785" s="507"/>
      <c r="AR1785" s="507"/>
      <c r="AS1785" s="507"/>
      <c r="AT1785" s="507"/>
      <c r="AU1785" s="507"/>
      <c r="AV1785" s="225"/>
      <c r="AW1785" s="508"/>
      <c r="AX1785" s="225"/>
      <c r="AY1785" s="225"/>
      <c r="AZ1785" s="225"/>
      <c r="BA1785" s="225"/>
      <c r="BB1785" s="225"/>
      <c r="BC1785" s="56"/>
      <c r="BD1785" s="56"/>
      <c r="BE1785" s="56"/>
      <c r="BF1785" s="107" t="str">
        <f t="shared" si="1381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1785" s="107" t="str">
        <f t="shared" si="1382"/>
        <v>H</v>
      </c>
      <c r="BH1785" s="254"/>
      <c r="BI1785" s="254"/>
    </row>
    <row r="1786" spans="1:61" customFormat="1" ht="18" x14ac:dyDescent="0.25">
      <c r="A1786" s="521" t="s">
        <v>1082</v>
      </c>
      <c r="B1786" s="477"/>
      <c r="C1786" s="674"/>
      <c r="D1786" s="478" t="s">
        <v>1083</v>
      </c>
      <c r="E1786" s="479"/>
      <c r="F1786" s="479"/>
      <c r="G1786" s="479"/>
      <c r="H1786" s="582" t="s">
        <v>317</v>
      </c>
      <c r="I1786" s="480" t="s">
        <v>2314</v>
      </c>
      <c r="J1786" s="479"/>
      <c r="K1786" s="479"/>
      <c r="L1786" s="560"/>
      <c r="M1786" s="666" t="s">
        <v>4966</v>
      </c>
      <c r="N1786" s="680" t="str">
        <f>IF(AND(ISTEXT($A1786), ISERROR($A1786+0)), HYPERLINK($BF1786, "Images"), "")</f>
        <v>Images</v>
      </c>
      <c r="O1786" s="662" t="s">
        <v>4969</v>
      </c>
      <c r="P1786" s="482"/>
      <c r="Q1786" s="483"/>
      <c r="R1786" s="483"/>
      <c r="S1786" s="484" t="s">
        <v>305</v>
      </c>
      <c r="T1786" s="508">
        <f t="shared" si="1370"/>
        <v>0</v>
      </c>
      <c r="U1786" s="225" t="str">
        <f>IF(NOT(ISNUMBER(G1786)), "", VLOOKUP(A1786,'Discount Lookup'!D:E,2,FALSE)*G1786)</f>
        <v/>
      </c>
      <c r="V1786" s="225" t="str">
        <f>IF(NOT(ISNUMBER(G1786)), "", VLOOKUP(A1786,'Discount Lookup'!G:H,2,FALSE)*G1786)</f>
        <v/>
      </c>
      <c r="W1786" s="508">
        <f t="shared" si="1371"/>
        <v>0</v>
      </c>
      <c r="X1786" s="508" t="str">
        <f t="shared" si="1372"/>
        <v>Olive-Green foliage</v>
      </c>
      <c r="Y1786" s="509" t="b">
        <f t="shared" si="1373"/>
        <v>0</v>
      </c>
      <c r="Z1786" s="510">
        <f t="shared" si="1374"/>
        <v>0</v>
      </c>
      <c r="AA1786" s="511"/>
      <c r="AB1786" s="511" t="str">
        <f t="shared" si="1375"/>
        <v/>
      </c>
      <c r="AC1786" s="698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698"/>
      <c r="AE1786" s="631" t="str">
        <f t="shared" si="1376"/>
        <v/>
      </c>
      <c r="AF1786" s="699" t="str">
        <f t="shared" si="1377"/>
        <v/>
      </c>
      <c r="AG1786" s="699"/>
      <c r="AH1786" s="699"/>
      <c r="AI1786" s="512">
        <f>IF(H1786="credit",0,IF(AE1786="free",0,IF(AE1786="me",0,IF(G1786&gt;0,(VLOOKUP(A1786,'Discount Lookup'!J:K,2)*G1786),0))))</f>
        <v>0</v>
      </c>
      <c r="AJ1786" s="513" t="str">
        <f t="shared" ca="1" si="1378"/>
        <v/>
      </c>
      <c r="AK1786" s="700" t="str">
        <f t="shared" si="1379"/>
        <v/>
      </c>
      <c r="AL1786" s="700"/>
      <c r="AM1786" s="505" t="str">
        <f t="shared" si="1380"/>
        <v/>
      </c>
      <c r="AN1786" s="506"/>
      <c r="AO1786" s="507"/>
      <c r="AP1786" s="507"/>
      <c r="AQ1786" s="507"/>
      <c r="AR1786" s="507"/>
      <c r="AS1786" s="507"/>
      <c r="AT1786" s="507"/>
      <c r="AU1786" s="507"/>
      <c r="AV1786" s="225"/>
      <c r="AW1786" s="508"/>
      <c r="AX1786" s="225"/>
      <c r="AY1786" s="225"/>
      <c r="AZ1786" s="225"/>
      <c r="BA1786" s="225"/>
      <c r="BB1786" s="225"/>
      <c r="BC1786" s="56"/>
      <c r="BD1786" s="56"/>
      <c r="BE1786" s="56"/>
      <c r="BF1786" s="107" t="str">
        <f t="shared" si="1381"/>
        <v>https://www.google.com/search?tbm=isch&amp;q=Hardy%20Anise%20Tree%20Illicium%20parviflorum</v>
      </c>
      <c r="BG1786" s="107" t="str">
        <f t="shared" si="1382"/>
        <v>H</v>
      </c>
      <c r="BH1786" s="254"/>
      <c r="BI1786" s="254"/>
    </row>
    <row r="1787" spans="1:61" customFormat="1" ht="15.75" x14ac:dyDescent="0.25">
      <c r="A1787" s="485">
        <v>3</v>
      </c>
      <c r="B1787" s="486" t="s">
        <v>291</v>
      </c>
      <c r="C1787" s="487" t="s">
        <v>1084</v>
      </c>
      <c r="D1787" s="488" t="s">
        <v>298</v>
      </c>
      <c r="E1787" s="489">
        <v>25.95</v>
      </c>
      <c r="F1787" s="516" t="s">
        <v>293</v>
      </c>
      <c r="G1787" s="232">
        <v>0</v>
      </c>
      <c r="H1787" s="658" t="str">
        <f>IF(G1787=0,"",IF(F1787="Buy",IF(G1787=1,"plant","plants"),IF(F1787&gt;0.01,"warranty","Error")))</f>
        <v/>
      </c>
      <c r="I1787" s="490">
        <f>IF(H1787="free",0,IF(H1787="credit",((E1787*(F1787))*G1787*-1),IF(F1787="Buy",(E1787*G1787),((E1787*(1-F1787))*G1787))))</f>
        <v>0</v>
      </c>
      <c r="J1787" s="490">
        <f>IF(H1787="warranty",0,(I1787*(_xlfn.SINGLE(SalesTaxPercentage))))</f>
        <v>0</v>
      </c>
      <c r="K1787" s="695">
        <f t="shared" ref="K1787" si="1406">I1787+J1787</f>
        <v>0</v>
      </c>
      <c r="L1787" s="695"/>
      <c r="M1787" s="659" t="str">
        <f>IF(AND(G1787&gt;0,E1787=0),"WARNING - no PRICE inserted",IF(H1787="free"," FREE ~ no charge this plant",IF(H1787="credit",CONCATENATE(" -$",ROUND(K1787*(1-T2GDiscount)*-1,2)," CREDIT after discount"),IF(T2GDiscount=0,"",IF(G1787=0,"",IF(F1787="Buy",CONCATENATE(" $",ROUND(K1787*(1-T2GDiscount),2)," with ",(T2GDiscount*100),"% discount"),CONCATENATE(" $",ROUND(K1787*(1-T2GDiscount),2)," with ",((T2GDiscount*100+F1787*100)-(T2GDiscount*100*F1787)),IF(F1787&gt;0,"% discounts",IF(NoWarrantyDiscount&gt;0,"% discounts","% discount")))))))))</f>
        <v/>
      </c>
      <c r="N1787" s="660"/>
      <c r="O1787" s="233"/>
      <c r="P1787" s="233"/>
      <c r="Q1787" s="233"/>
      <c r="R1787" s="233"/>
      <c r="S1787" s="233"/>
      <c r="T1787" s="508">
        <f t="shared" si="1370"/>
        <v>0</v>
      </c>
      <c r="U1787" s="225">
        <f>IF(NOT(ISNUMBER(G1787)), "", VLOOKUP(A1787,'Discount Lookup'!D:E,2,FALSE)*G1787)</f>
        <v>0</v>
      </c>
      <c r="V1787" s="225">
        <f>IF(NOT(ISNUMBER(G1787)), "", VLOOKUP(A1787,'Discount Lookup'!G:H,2,FALSE)*G1787)</f>
        <v>0</v>
      </c>
      <c r="W1787" s="508">
        <f t="shared" si="1371"/>
        <v>0</v>
      </c>
      <c r="X1787" s="508">
        <f t="shared" si="1372"/>
        <v>0</v>
      </c>
      <c r="Y1787" s="509" t="b">
        <f t="shared" si="1373"/>
        <v>0</v>
      </c>
      <c r="Z1787" s="510">
        <f t="shared" si="1374"/>
        <v>0</v>
      </c>
      <c r="AA1787" s="511"/>
      <c r="AB1787" s="511" t="str">
        <f t="shared" si="1375"/>
        <v/>
      </c>
      <c r="AC1787" s="698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698"/>
      <c r="AE1787" s="631" t="str">
        <f t="shared" si="1376"/>
        <v/>
      </c>
      <c r="AF1787" s="699" t="str">
        <f t="shared" si="1377"/>
        <v/>
      </c>
      <c r="AG1787" s="699"/>
      <c r="AH1787" s="699"/>
      <c r="AI1787" s="512">
        <f>IF(H1787="credit",0,IF(AE1787="free",0,IF(AE1787="me",0,IF(G1787&gt;0,(VLOOKUP(A1787,'Discount Lookup'!J:K,2)*G1787),0))))</f>
        <v>0</v>
      </c>
      <c r="AJ1787" s="513" t="str">
        <f t="shared" ca="1" si="1378"/>
        <v/>
      </c>
      <c r="AK1787" s="700" t="str">
        <f t="shared" si="1379"/>
        <v/>
      </c>
      <c r="AL1787" s="700"/>
      <c r="AM1787" s="505" t="str">
        <f t="shared" si="1380"/>
        <v/>
      </c>
      <c r="AN1787" s="506"/>
      <c r="AO1787" s="507"/>
      <c r="AP1787" s="507"/>
      <c r="AQ1787" s="507"/>
      <c r="AR1787" s="507"/>
      <c r="AS1787" s="507"/>
      <c r="AT1787" s="507"/>
      <c r="AU1787" s="507"/>
      <c r="AV1787" s="225"/>
      <c r="AW1787" s="508"/>
      <c r="AX1787" s="225"/>
      <c r="AY1787" s="225"/>
      <c r="AZ1787" s="225"/>
      <c r="BA1787" s="225"/>
      <c r="BB1787" s="225"/>
      <c r="BC1787" s="56"/>
      <c r="BD1787" s="56"/>
      <c r="BE1787" s="56"/>
      <c r="BF1787" s="107" t="str">
        <f t="shared" si="1381"/>
        <v>https://www.google.com/search?tbm=isch&amp;q=3%20G1</v>
      </c>
      <c r="BG1787" s="107" t="str">
        <f t="shared" si="1382"/>
        <v>H</v>
      </c>
      <c r="BH1787" s="254"/>
      <c r="BI1787" s="254"/>
    </row>
    <row r="1788" spans="1:61" customFormat="1" ht="15.75" x14ac:dyDescent="0.25">
      <c r="A1788" s="485">
        <v>7</v>
      </c>
      <c r="B1788" s="486" t="s">
        <v>291</v>
      </c>
      <c r="C1788" s="487" t="s">
        <v>2405</v>
      </c>
      <c r="D1788" s="488" t="s">
        <v>297</v>
      </c>
      <c r="E1788" s="489">
        <v>56.95</v>
      </c>
      <c r="F1788" s="516" t="s">
        <v>293</v>
      </c>
      <c r="G1788" s="232">
        <v>0</v>
      </c>
      <c r="H1788" s="658" t="str">
        <f>IF(G1788=0,"",IF(F1788="Buy",IF(G1788=1,"plant","plants"),IF(F1788&gt;0.01,"warranty","Error")))</f>
        <v/>
      </c>
      <c r="I1788" s="490">
        <f>IF(H1788="free",0,IF(H1788="credit",((E1788*(F1788))*G1788*-1),IF(F1788="Buy",(E1788*G1788),((E1788*(1-F1788))*G1788))))</f>
        <v>0</v>
      </c>
      <c r="J1788" s="490">
        <f>IF(H1788="warranty",0,(I1788*(_xlfn.SINGLE(SalesTaxPercentage))))</f>
        <v>0</v>
      </c>
      <c r="K1788" s="695">
        <f t="shared" ref="K1788" si="1407">I1788+J1788</f>
        <v>0</v>
      </c>
      <c r="L1788" s="695"/>
      <c r="M1788" s="659" t="str">
        <f>IF(AND(G1788&gt;0,E1788=0),"WARNING - no PRICE inserted",IF(H1788="free"," FREE ~ no charge this plant",IF(H1788="credit",CONCATENATE(" -$",ROUND(K1788*(1-T2GDiscount)*-1,2)," CREDIT after discount"),IF(T2GDiscount=0,"",IF(G1788=0,"",IF(F1788="Buy",CONCATENATE(" $",ROUND(K1788*(1-T2GDiscount),2)," with ",(T2GDiscount*100),"% discount"),CONCATENATE(" $",ROUND(K1788*(1-T2GDiscount),2)," with ",((T2GDiscount*100+F1788*100)-(T2GDiscount*100*F1788)),IF(F1788&gt;0,"% discounts",IF(NoWarrantyDiscount&gt;0,"% discounts","% discount")))))))))</f>
        <v/>
      </c>
      <c r="N1788" s="660"/>
      <c r="O1788" s="233"/>
      <c r="P1788" s="233"/>
      <c r="Q1788" s="233"/>
      <c r="R1788" s="233"/>
      <c r="S1788" s="233"/>
      <c r="T1788" s="508">
        <f t="shared" si="1370"/>
        <v>0</v>
      </c>
      <c r="U1788" s="225">
        <f>IF(NOT(ISNUMBER(G1788)), "", VLOOKUP(A1788,'Discount Lookup'!D:E,2,FALSE)*G1788)</f>
        <v>0</v>
      </c>
      <c r="V1788" s="225">
        <f>IF(NOT(ISNUMBER(G1788)), "", VLOOKUP(A1788,'Discount Lookup'!G:H,2,FALSE)*G1788)</f>
        <v>0</v>
      </c>
      <c r="W1788" s="508">
        <f t="shared" si="1371"/>
        <v>0</v>
      </c>
      <c r="X1788" s="508">
        <f t="shared" si="1372"/>
        <v>0</v>
      </c>
      <c r="Y1788" s="509" t="b">
        <f t="shared" si="1373"/>
        <v>0</v>
      </c>
      <c r="Z1788" s="510">
        <f t="shared" si="1374"/>
        <v>0</v>
      </c>
      <c r="AA1788" s="511"/>
      <c r="AB1788" s="511" t="str">
        <f t="shared" si="1375"/>
        <v/>
      </c>
      <c r="AC1788" s="698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698"/>
      <c r="AE1788" s="631" t="str">
        <f t="shared" si="1376"/>
        <v/>
      </c>
      <c r="AF1788" s="699" t="str">
        <f t="shared" si="1377"/>
        <v/>
      </c>
      <c r="AG1788" s="699"/>
      <c r="AH1788" s="699"/>
      <c r="AI1788" s="512">
        <f>IF(H1788="credit",0,IF(AE1788="free",0,IF(AE1788="me",0,IF(G1788&gt;0,(VLOOKUP(A1788,'Discount Lookup'!J:K,2)*G1788),0))))</f>
        <v>0</v>
      </c>
      <c r="AJ1788" s="513" t="str">
        <f t="shared" ca="1" si="1378"/>
        <v/>
      </c>
      <c r="AK1788" s="700" t="str">
        <f t="shared" si="1379"/>
        <v/>
      </c>
      <c r="AL1788" s="700"/>
      <c r="AM1788" s="505" t="str">
        <f t="shared" si="1380"/>
        <v/>
      </c>
      <c r="AN1788" s="506"/>
      <c r="AO1788" s="507"/>
      <c r="AP1788" s="507"/>
      <c r="AQ1788" s="507"/>
      <c r="AR1788" s="507"/>
      <c r="AS1788" s="507"/>
      <c r="AT1788" s="507"/>
      <c r="AU1788" s="507"/>
      <c r="AV1788" s="225"/>
      <c r="AW1788" s="508"/>
      <c r="AX1788" s="225"/>
      <c r="AY1788" s="225"/>
      <c r="AZ1788" s="225"/>
      <c r="BA1788" s="225"/>
      <c r="BB1788" s="225"/>
      <c r="BC1788" s="56"/>
      <c r="BD1788" s="56"/>
      <c r="BE1788" s="56"/>
      <c r="BF1788" s="107" t="str">
        <f t="shared" si="1381"/>
        <v>https://www.google.com/search?tbm=isch&amp;q=7%20G3</v>
      </c>
      <c r="BG1788" s="107" t="str">
        <f t="shared" si="1382"/>
        <v>H</v>
      </c>
      <c r="BH1788" s="254"/>
      <c r="BI1788" s="254"/>
    </row>
    <row r="1789" spans="1:61" customFormat="1" ht="15.75" x14ac:dyDescent="0.25">
      <c r="A1789" s="485">
        <v>10</v>
      </c>
      <c r="B1789" s="486" t="s">
        <v>291</v>
      </c>
      <c r="C1789" s="487" t="s">
        <v>4900</v>
      </c>
      <c r="D1789" s="488" t="s">
        <v>300</v>
      </c>
      <c r="E1789" s="489">
        <v>104.95</v>
      </c>
      <c r="F1789" s="516" t="s">
        <v>293</v>
      </c>
      <c r="G1789" s="232">
        <v>0</v>
      </c>
      <c r="H1789" s="658" t="str">
        <f>IF(G1789=0,"",IF(F1789="Buy",IF(G1789=1,"plant","plants"),IF(F1789&gt;0.01,"warranty","Error")))</f>
        <v/>
      </c>
      <c r="I1789" s="490">
        <f>IF(H1789="free",0,IF(H1789="credit",((E1789*(F1789))*G1789*-1),IF(F1789="Buy",(E1789*G1789),((E1789*(1-F1789))*G1789))))</f>
        <v>0</v>
      </c>
      <c r="J1789" s="490">
        <f>IF(H1789="warranty",0,(I1789*(_xlfn.SINGLE(SalesTaxPercentage))))</f>
        <v>0</v>
      </c>
      <c r="K1789" s="695">
        <f t="shared" ref="K1789" si="1408">I1789+J1789</f>
        <v>0</v>
      </c>
      <c r="L1789" s="695"/>
      <c r="M1789" s="659" t="str">
        <f>IF(AND(G1789&gt;0,E1789=0),"WARNING - no PRICE inserted",IF(H1789="free"," FREE ~ no charge this plant",IF(H1789="credit",CONCATENATE(" -$",ROUND(K1789*(1-T2GDiscount)*-1,2)," CREDIT after discount"),IF(T2GDiscount=0,"",IF(G1789=0,"",IF(F1789="Buy",CONCATENATE(" $",ROUND(K1789*(1-T2GDiscount),2)," with ",(T2GDiscount*100),"% discount"),CONCATENATE(" $",ROUND(K1789*(1-T2GDiscount),2)," with ",((T2GDiscount*100+F1789*100)-(T2GDiscount*100*F1789)),IF(F1789&gt;0,"% discounts",IF(NoWarrantyDiscount&gt;0,"% discounts","% discount")))))))))</f>
        <v/>
      </c>
      <c r="N1789" s="660"/>
      <c r="O1789" s="233"/>
      <c r="P1789" s="233"/>
      <c r="Q1789" s="233"/>
      <c r="R1789" s="233"/>
      <c r="S1789" s="233"/>
      <c r="T1789" s="508">
        <f t="shared" si="1370"/>
        <v>0</v>
      </c>
      <c r="U1789" s="225">
        <f>IF(NOT(ISNUMBER(G1789)), "", VLOOKUP(A1789,'Discount Lookup'!D:E,2,FALSE)*G1789)</f>
        <v>0</v>
      </c>
      <c r="V1789" s="225">
        <f>IF(NOT(ISNUMBER(G1789)), "", VLOOKUP(A1789,'Discount Lookup'!G:H,2,FALSE)*G1789)</f>
        <v>0</v>
      </c>
      <c r="W1789" s="508">
        <f t="shared" si="1371"/>
        <v>0</v>
      </c>
      <c r="X1789" s="508">
        <f t="shared" si="1372"/>
        <v>0</v>
      </c>
      <c r="Y1789" s="509" t="b">
        <f t="shared" si="1373"/>
        <v>0</v>
      </c>
      <c r="Z1789" s="510">
        <f t="shared" si="1374"/>
        <v>0</v>
      </c>
      <c r="AA1789" s="511"/>
      <c r="AB1789" s="511" t="str">
        <f t="shared" si="1375"/>
        <v/>
      </c>
      <c r="AC1789" s="698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698"/>
      <c r="AE1789" s="631" t="str">
        <f t="shared" si="1376"/>
        <v/>
      </c>
      <c r="AF1789" s="699" t="str">
        <f t="shared" si="1377"/>
        <v/>
      </c>
      <c r="AG1789" s="699"/>
      <c r="AH1789" s="699"/>
      <c r="AI1789" s="512">
        <f>IF(H1789="credit",0,IF(AE1789="free",0,IF(AE1789="me",0,IF(G1789&gt;0,(VLOOKUP(A1789,'Discount Lookup'!J:K,2)*G1789),0))))</f>
        <v>0</v>
      </c>
      <c r="AJ1789" s="513" t="str">
        <f t="shared" ca="1" si="1378"/>
        <v/>
      </c>
      <c r="AK1789" s="700" t="str">
        <f t="shared" si="1379"/>
        <v/>
      </c>
      <c r="AL1789" s="700"/>
      <c r="AM1789" s="505" t="str">
        <f t="shared" si="1380"/>
        <v/>
      </c>
      <c r="AN1789" s="506"/>
      <c r="AO1789" s="507"/>
      <c r="AP1789" s="507"/>
      <c r="AQ1789" s="507"/>
      <c r="AR1789" s="507"/>
      <c r="AS1789" s="507"/>
      <c r="AT1789" s="507"/>
      <c r="AU1789" s="507"/>
      <c r="AV1789" s="225"/>
      <c r="AW1789" s="508"/>
      <c r="AX1789" s="225"/>
      <c r="AY1789" s="225"/>
      <c r="AZ1789" s="225"/>
      <c r="BA1789" s="225"/>
      <c r="BB1789" s="225"/>
      <c r="BC1789" s="56"/>
      <c r="BD1789" s="56"/>
      <c r="BE1789" s="56"/>
      <c r="BF1789" s="107" t="str">
        <f t="shared" si="1381"/>
        <v>https://www.google.com/search?tbm=isch&amp;q=10%20G6</v>
      </c>
      <c r="BG1789" s="107" t="str">
        <f t="shared" si="1382"/>
        <v>H</v>
      </c>
      <c r="BH1789" s="254"/>
      <c r="BI1789" s="254"/>
    </row>
    <row r="1790" spans="1:61" customFormat="1" ht="16.5" thickBot="1" x14ac:dyDescent="0.3">
      <c r="A1790" s="672" t="s">
        <v>5136</v>
      </c>
      <c r="B1790" s="491"/>
      <c r="C1790" s="675"/>
      <c r="D1790" s="491"/>
      <c r="E1790" s="491"/>
      <c r="F1790" s="492"/>
      <c r="G1790" s="493"/>
      <c r="H1790" s="491"/>
      <c r="I1790" s="234"/>
      <c r="J1790" s="234"/>
      <c r="K1790" s="494"/>
      <c r="L1790" s="543"/>
      <c r="M1790" s="561"/>
      <c r="N1790" s="495"/>
      <c r="O1790" s="496"/>
      <c r="P1790" s="497"/>
      <c r="Q1790" s="495"/>
      <c r="R1790" s="495"/>
      <c r="S1790" s="667" t="s">
        <v>4968</v>
      </c>
      <c r="T1790" s="508">
        <f t="shared" si="1370"/>
        <v>0</v>
      </c>
      <c r="U1790" s="225" t="str">
        <f>IF(NOT(ISNUMBER(G1790)), "", VLOOKUP(A1790,'Discount Lookup'!D:E,2,FALSE)*G1790)</f>
        <v/>
      </c>
      <c r="V1790" s="225" t="str">
        <f>IF(NOT(ISNUMBER(G1790)), "", VLOOKUP(A1790,'Discount Lookup'!G:H,2,FALSE)*G1790)</f>
        <v/>
      </c>
      <c r="W1790" s="508">
        <f t="shared" si="1371"/>
        <v>0</v>
      </c>
      <c r="X1790" s="508">
        <f t="shared" si="1372"/>
        <v>0</v>
      </c>
      <c r="Y1790" s="509" t="b">
        <f t="shared" si="1373"/>
        <v>0</v>
      </c>
      <c r="Z1790" s="510">
        <f t="shared" si="1374"/>
        <v>0</v>
      </c>
      <c r="AA1790" s="511"/>
      <c r="AB1790" s="511" t="str">
        <f t="shared" si="1375"/>
        <v/>
      </c>
      <c r="AC1790" s="698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698"/>
      <c r="AE1790" s="631" t="str">
        <f t="shared" si="1376"/>
        <v/>
      </c>
      <c r="AF1790" s="699" t="str">
        <f t="shared" si="1377"/>
        <v/>
      </c>
      <c r="AG1790" s="699"/>
      <c r="AH1790" s="699"/>
      <c r="AI1790" s="512">
        <f>IF(H1790="credit",0,IF(AE1790="free",0,IF(AE1790="me",0,IF(G1790&gt;0,(VLOOKUP(A1790,'Discount Lookup'!J:K,2)*G1790),0))))</f>
        <v>0</v>
      </c>
      <c r="AJ1790" s="513" t="str">
        <f t="shared" ca="1" si="1378"/>
        <v/>
      </c>
      <c r="AK1790" s="700" t="str">
        <f t="shared" si="1379"/>
        <v/>
      </c>
      <c r="AL1790" s="700"/>
      <c r="AM1790" s="505" t="str">
        <f t="shared" si="1380"/>
        <v/>
      </c>
      <c r="AN1790" s="506"/>
      <c r="AO1790" s="507"/>
      <c r="AP1790" s="507"/>
      <c r="AQ1790" s="507"/>
      <c r="AR1790" s="507"/>
      <c r="AS1790" s="507"/>
      <c r="AT1790" s="507"/>
      <c r="AU1790" s="507"/>
      <c r="AV1790" s="225"/>
      <c r="AW1790" s="508"/>
      <c r="AX1790" s="225"/>
      <c r="AY1790" s="225"/>
      <c r="AZ1790" s="225"/>
      <c r="BA1790" s="225"/>
      <c r="BB1790" s="225"/>
      <c r="BC1790" s="56"/>
      <c r="BD1790" s="56"/>
      <c r="BE1790" s="56"/>
      <c r="BF1790" s="107" t="str">
        <f t="shared" si="1381"/>
        <v>https://www.google.com/search?tbm=isch&amp;q=wet%20sites%F0%9F%92%A7GOOD%2C%20Hardy%20Anise%20provides%20a%20consistent%20backdrop%20of%20rich%20Green%20color%20year-round.%20Licorice%20scent%20is%20offensive%20to%20deer%20</v>
      </c>
      <c r="BG1790" s="107" t="str">
        <f t="shared" si="1382"/>
        <v>w</v>
      </c>
      <c r="BH1790" s="254"/>
      <c r="BI1790" s="254"/>
    </row>
    <row r="1791" spans="1:61" customFormat="1" ht="18" x14ac:dyDescent="0.25">
      <c r="A1791" s="521" t="s">
        <v>1085</v>
      </c>
      <c r="B1791" s="477"/>
      <c r="C1791" s="674"/>
      <c r="D1791" s="478" t="s">
        <v>1086</v>
      </c>
      <c r="E1791" s="479"/>
      <c r="F1791" s="479"/>
      <c r="G1791" s="479"/>
      <c r="H1791" s="582" t="s">
        <v>443</v>
      </c>
      <c r="I1791" s="480" t="s">
        <v>2608</v>
      </c>
      <c r="J1791" s="479"/>
      <c r="K1791" s="479"/>
      <c r="L1791" s="560"/>
      <c r="M1791" s="671" t="s">
        <v>4990</v>
      </c>
      <c r="N1791" s="680" t="str">
        <f>IF(AND(ISTEXT($A1791), ISERROR($A1791+0)), HYPERLINK($BF1791, "Images"), "")</f>
        <v>Images</v>
      </c>
      <c r="O1791" s="662" t="s">
        <v>4974</v>
      </c>
      <c r="P1791" s="482"/>
      <c r="Q1791" s="483"/>
      <c r="R1791" s="483"/>
      <c r="S1791" s="484"/>
      <c r="T1791" s="508">
        <f t="shared" si="1370"/>
        <v>0</v>
      </c>
      <c r="U1791" s="225" t="str">
        <f>IF(NOT(ISNUMBER(G1791)), "", VLOOKUP(A1791,'Discount Lookup'!D:E,2,FALSE)*G1791)</f>
        <v/>
      </c>
      <c r="V1791" s="225" t="str">
        <f>IF(NOT(ISNUMBER(G1791)), "", VLOOKUP(A1791,'Discount Lookup'!G:H,2,FALSE)*G1791)</f>
        <v/>
      </c>
      <c r="W1791" s="508">
        <f t="shared" si="1371"/>
        <v>0</v>
      </c>
      <c r="X1791" s="508" t="str">
        <f t="shared" si="1372"/>
        <v>Pure White, Chartreuse freckles</v>
      </c>
      <c r="Y1791" s="509" t="b">
        <f t="shared" si="1373"/>
        <v>0</v>
      </c>
      <c r="Z1791" s="510">
        <f t="shared" si="1374"/>
        <v>0</v>
      </c>
      <c r="AA1791" s="511"/>
      <c r="AB1791" s="511" t="str">
        <f t="shared" si="1375"/>
        <v/>
      </c>
      <c r="AC1791" s="698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698"/>
      <c r="AE1791" s="631" t="str">
        <f t="shared" si="1376"/>
        <v/>
      </c>
      <c r="AF1791" s="699" t="str">
        <f t="shared" si="1377"/>
        <v/>
      </c>
      <c r="AG1791" s="699"/>
      <c r="AH1791" s="699"/>
      <c r="AI1791" s="512">
        <f>IF(H1791="credit",0,IF(AE1791="free",0,IF(AE1791="me",0,IF(G1791&gt;0,(VLOOKUP(A1791,'Discount Lookup'!J:K,2)*G1791),0))))</f>
        <v>0</v>
      </c>
      <c r="AJ1791" s="513" t="str">
        <f t="shared" ca="1" si="1378"/>
        <v/>
      </c>
      <c r="AK1791" s="700" t="str">
        <f t="shared" si="1379"/>
        <v/>
      </c>
      <c r="AL1791" s="700"/>
      <c r="AM1791" s="505" t="str">
        <f t="shared" si="1380"/>
        <v/>
      </c>
      <c r="AN1791" s="506"/>
      <c r="AO1791" s="507"/>
      <c r="AP1791" s="507"/>
      <c r="AQ1791" s="507"/>
      <c r="AR1791" s="507"/>
      <c r="AS1791" s="507"/>
      <c r="AT1791" s="507"/>
      <c r="AU1791" s="507"/>
      <c r="AV1791" s="225"/>
      <c r="AW1791" s="508"/>
      <c r="AX1791" s="225"/>
      <c r="AY1791" s="225"/>
      <c r="AZ1791" s="225"/>
      <c r="BA1791" s="225"/>
      <c r="BB1791" s="225"/>
      <c r="BC1791" s="56"/>
      <c r="BD1791" s="56"/>
      <c r="BE1791" s="56"/>
      <c r="BF1791" s="107" t="str">
        <f t="shared" si="1381"/>
        <v>https://www.google.com/search?tbm=isch&amp;q=Hardy%20Gardenia%20Azalea%20Rhod.%20%27Hardy%20Gardenia%27</v>
      </c>
      <c r="BG1791" s="107" t="str">
        <f t="shared" si="1382"/>
        <v>H</v>
      </c>
      <c r="BH1791" s="254"/>
      <c r="BI1791" s="254"/>
    </row>
    <row r="1792" spans="1:61" customFormat="1" ht="15.75" x14ac:dyDescent="0.25">
      <c r="A1792" s="485">
        <v>3</v>
      </c>
      <c r="B1792" s="486" t="s">
        <v>291</v>
      </c>
      <c r="C1792" s="487" t="s">
        <v>14</v>
      </c>
      <c r="D1792" s="488" t="s">
        <v>312</v>
      </c>
      <c r="E1792" s="489">
        <v>24.95</v>
      </c>
      <c r="F1792" s="516" t="s">
        <v>293</v>
      </c>
      <c r="G1792" s="232">
        <v>0</v>
      </c>
      <c r="H1792" s="658" t="str">
        <f>IF(G1792=0,"",IF(F1792="Buy",IF(G1792=1,"plant","plants"),IF(F1792&gt;0.01,"warranty","Error")))</f>
        <v/>
      </c>
      <c r="I1792" s="490">
        <f>IF(H1792="free",0,IF(H1792="credit",((E1792*(F1792))*G1792*-1),IF(F1792="Buy",(E1792*G1792),((E1792*(1-F1792))*G1792))))</f>
        <v>0</v>
      </c>
      <c r="J1792" s="490">
        <f>IF(H1792="warranty",0,(I1792*(_xlfn.SINGLE(SalesTaxPercentage))))</f>
        <v>0</v>
      </c>
      <c r="K1792" s="695">
        <f t="shared" ref="K1792" si="1409">I1792+J1792</f>
        <v>0</v>
      </c>
      <c r="L1792" s="695"/>
      <c r="M1792" s="659" t="str">
        <f>IF(AND(G1792&gt;0,E1792=0),"WARNING - no PRICE inserted",IF(H1792="free"," FREE ~ no charge this plant",IF(H1792="credit",CONCATENATE(" -$",ROUND(K1792*(1-T2GDiscount)*-1,2)," CREDIT after discount"),IF(T2GDiscount=0,"",IF(G1792=0,"",IF(F1792="Buy",CONCATENATE(" $",ROUND(K1792*(1-T2GDiscount),2)," with ",(T2GDiscount*100),"% discount"),CONCATENATE(" $",ROUND(K1792*(1-T2GDiscount),2)," with ",((T2GDiscount*100+F1792*100)-(T2GDiscount*100*F1792)),IF(F1792&gt;0,"% discounts",IF(NoWarrantyDiscount&gt;0,"% discounts","% discount")))))))))</f>
        <v/>
      </c>
      <c r="N1792" s="660"/>
      <c r="O1792" s="233"/>
      <c r="P1792" s="233"/>
      <c r="Q1792" s="233"/>
      <c r="R1792" s="233"/>
      <c r="S1792" s="233"/>
      <c r="T1792" s="508">
        <f t="shared" si="1370"/>
        <v>0</v>
      </c>
      <c r="U1792" s="225">
        <f>IF(NOT(ISNUMBER(G1792)), "", VLOOKUP(A1792,'Discount Lookup'!D:E,2,FALSE)*G1792)</f>
        <v>0</v>
      </c>
      <c r="V1792" s="225">
        <f>IF(NOT(ISNUMBER(G1792)), "", VLOOKUP(A1792,'Discount Lookup'!G:H,2,FALSE)*G1792)</f>
        <v>0</v>
      </c>
      <c r="W1792" s="508">
        <f t="shared" si="1371"/>
        <v>0</v>
      </c>
      <c r="X1792" s="508">
        <f t="shared" si="1372"/>
        <v>0</v>
      </c>
      <c r="Y1792" s="509" t="b">
        <f t="shared" si="1373"/>
        <v>0</v>
      </c>
      <c r="Z1792" s="510">
        <f t="shared" si="1374"/>
        <v>0</v>
      </c>
      <c r="AA1792" s="511"/>
      <c r="AB1792" s="511" t="str">
        <f t="shared" si="1375"/>
        <v/>
      </c>
      <c r="AC1792" s="698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698"/>
      <c r="AE1792" s="631" t="str">
        <f t="shared" si="1376"/>
        <v/>
      </c>
      <c r="AF1792" s="699" t="str">
        <f t="shared" si="1377"/>
        <v/>
      </c>
      <c r="AG1792" s="699"/>
      <c r="AH1792" s="699"/>
      <c r="AI1792" s="512">
        <f>IF(H1792="credit",0,IF(AE1792="free",0,IF(AE1792="me",0,IF(G1792&gt;0,(VLOOKUP(A1792,'Discount Lookup'!J:K,2)*G1792),0))))</f>
        <v>0</v>
      </c>
      <c r="AJ1792" s="513" t="str">
        <f t="shared" ca="1" si="1378"/>
        <v/>
      </c>
      <c r="AK1792" s="700" t="str">
        <f t="shared" si="1379"/>
        <v/>
      </c>
      <c r="AL1792" s="700"/>
      <c r="AM1792" s="505" t="str">
        <f t="shared" si="1380"/>
        <v/>
      </c>
      <c r="AN1792" s="506"/>
      <c r="AO1792" s="507"/>
      <c r="AP1792" s="507"/>
      <c r="AQ1792" s="507"/>
      <c r="AR1792" s="507"/>
      <c r="AS1792" s="507"/>
      <c r="AT1792" s="507"/>
      <c r="AU1792" s="507"/>
      <c r="AV1792" s="225"/>
      <c r="AW1792" s="508"/>
      <c r="AX1792" s="225"/>
      <c r="AY1792" s="225"/>
      <c r="AZ1792" s="225"/>
      <c r="BA1792" s="225"/>
      <c r="BB1792" s="225"/>
      <c r="BC1792" s="56"/>
      <c r="BD1792" s="56"/>
      <c r="BE1792" s="56"/>
      <c r="BF1792" s="107" t="str">
        <f t="shared" si="1381"/>
        <v>https://www.google.com/search?tbm=isch&amp;q=3%20G2</v>
      </c>
      <c r="BG1792" s="107" t="str">
        <f t="shared" si="1382"/>
        <v>H</v>
      </c>
      <c r="BH1792" s="254"/>
      <c r="BI1792" s="254"/>
    </row>
    <row r="1793" spans="1:61" customFormat="1" ht="15.75" x14ac:dyDescent="0.25">
      <c r="A1793" s="485">
        <v>3</v>
      </c>
      <c r="B1793" s="486" t="s">
        <v>291</v>
      </c>
      <c r="C1793" s="487" t="s">
        <v>2755</v>
      </c>
      <c r="D1793" s="488" t="s">
        <v>299</v>
      </c>
      <c r="E1793" s="489">
        <v>33.950000000000003</v>
      </c>
      <c r="F1793" s="516" t="s">
        <v>293</v>
      </c>
      <c r="G1793" s="232">
        <v>0</v>
      </c>
      <c r="H1793" s="658" t="str">
        <f>IF(G1793=0,"",IF(F1793="Buy",IF(G1793=1,"plant","plants"),IF(F1793&gt;0.01,"warranty","Error")))</f>
        <v/>
      </c>
      <c r="I1793" s="490">
        <f>IF(H1793="free",0,IF(H1793="credit",((E1793*(F1793))*G1793*-1),IF(F1793="Buy",(E1793*G1793),((E1793*(1-F1793))*G1793))))</f>
        <v>0</v>
      </c>
      <c r="J1793" s="490">
        <f>IF(H1793="warranty",0,(I1793*(_xlfn.SINGLE(SalesTaxPercentage))))</f>
        <v>0</v>
      </c>
      <c r="K1793" s="695">
        <f t="shared" ref="K1793" si="1410">I1793+J1793</f>
        <v>0</v>
      </c>
      <c r="L1793" s="695"/>
      <c r="M1793" s="659" t="str">
        <f>IF(AND(G1793&gt;0,E1793=0),"WARNING - no PRICE inserted",IF(H1793="free"," FREE ~ no charge this plant",IF(H1793="credit",CONCATENATE(" -$",ROUND(K1793*(1-T2GDiscount)*-1,2)," CREDIT after discount"),IF(T2GDiscount=0,"",IF(G1793=0,"",IF(F1793="Buy",CONCATENATE(" $",ROUND(K1793*(1-T2GDiscount),2)," with ",(T2GDiscount*100),"% discount"),CONCATENATE(" $",ROUND(K1793*(1-T2GDiscount),2)," with ",((T2GDiscount*100+F1793*100)-(T2GDiscount*100*F1793)),IF(F1793&gt;0,"% discounts",IF(NoWarrantyDiscount&gt;0,"% discounts","% discount")))))))))</f>
        <v/>
      </c>
      <c r="N1793" s="660"/>
      <c r="O1793" s="233"/>
      <c r="P1793" s="233"/>
      <c r="Q1793" s="233"/>
      <c r="R1793" s="233"/>
      <c r="S1793" s="233"/>
      <c r="T1793" s="508">
        <f t="shared" si="1370"/>
        <v>0</v>
      </c>
      <c r="U1793" s="225">
        <f>IF(NOT(ISNUMBER(G1793)), "", VLOOKUP(A1793,'Discount Lookup'!D:E,2,FALSE)*G1793)</f>
        <v>0</v>
      </c>
      <c r="V1793" s="225">
        <f>IF(NOT(ISNUMBER(G1793)), "", VLOOKUP(A1793,'Discount Lookup'!G:H,2,FALSE)*G1793)</f>
        <v>0</v>
      </c>
      <c r="W1793" s="508">
        <f t="shared" si="1371"/>
        <v>0</v>
      </c>
      <c r="X1793" s="508">
        <f t="shared" si="1372"/>
        <v>0</v>
      </c>
      <c r="Y1793" s="509" t="b">
        <f t="shared" si="1373"/>
        <v>0</v>
      </c>
      <c r="Z1793" s="510">
        <f t="shared" si="1374"/>
        <v>0</v>
      </c>
      <c r="AA1793" s="511"/>
      <c r="AB1793" s="511" t="str">
        <f t="shared" si="1375"/>
        <v/>
      </c>
      <c r="AC1793" s="698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698"/>
      <c r="AE1793" s="631" t="str">
        <f t="shared" si="1376"/>
        <v/>
      </c>
      <c r="AF1793" s="699" t="str">
        <f t="shared" si="1377"/>
        <v/>
      </c>
      <c r="AG1793" s="699"/>
      <c r="AH1793" s="699"/>
      <c r="AI1793" s="512">
        <f>IF(H1793="credit",0,IF(AE1793="free",0,IF(AE1793="me",0,IF(G1793&gt;0,(VLOOKUP(A1793,'Discount Lookup'!J:K,2)*G1793),0))))</f>
        <v>0</v>
      </c>
      <c r="AJ1793" s="513" t="str">
        <f t="shared" ca="1" si="1378"/>
        <v/>
      </c>
      <c r="AK1793" s="700" t="str">
        <f t="shared" si="1379"/>
        <v/>
      </c>
      <c r="AL1793" s="700"/>
      <c r="AM1793" s="505" t="str">
        <f t="shared" si="1380"/>
        <v/>
      </c>
      <c r="AN1793" s="506"/>
      <c r="AO1793" s="507"/>
      <c r="AP1793" s="507"/>
      <c r="AQ1793" s="507"/>
      <c r="AR1793" s="507"/>
      <c r="AS1793" s="507"/>
      <c r="AT1793" s="507"/>
      <c r="AU1793" s="507"/>
      <c r="AV1793" s="225"/>
      <c r="AW1793" s="508"/>
      <c r="AX1793" s="225"/>
      <c r="AY1793" s="225"/>
      <c r="AZ1793" s="225"/>
      <c r="BA1793" s="225"/>
      <c r="BB1793" s="225"/>
      <c r="BC1793" s="56"/>
      <c r="BD1793" s="56"/>
      <c r="BE1793" s="56"/>
      <c r="BF1793" s="107" t="str">
        <f t="shared" si="1381"/>
        <v>https://www.google.com/search?tbm=isch&amp;q=3%20G5</v>
      </c>
      <c r="BG1793" s="107" t="str">
        <f t="shared" si="1382"/>
        <v>H</v>
      </c>
      <c r="BH1793" s="254"/>
      <c r="BI1793" s="254"/>
    </row>
    <row r="1794" spans="1:61" customFormat="1" ht="17.25" thickBot="1" x14ac:dyDescent="0.3">
      <c r="A1794" s="522" t="s">
        <v>2894</v>
      </c>
      <c r="B1794" s="491"/>
      <c r="C1794" s="675"/>
      <c r="D1794" s="491"/>
      <c r="E1794" s="491"/>
      <c r="F1794" s="492"/>
      <c r="G1794" s="493"/>
      <c r="H1794" s="491"/>
      <c r="I1794" s="234"/>
      <c r="J1794" s="234"/>
      <c r="K1794" s="494"/>
      <c r="L1794" s="543"/>
      <c r="M1794" s="561"/>
      <c r="N1794" s="495"/>
      <c r="O1794" s="496"/>
      <c r="P1794" s="497"/>
      <c r="Q1794" s="495"/>
      <c r="R1794" s="495"/>
      <c r="S1794" s="667" t="s">
        <v>4988</v>
      </c>
      <c r="T1794" s="508">
        <f t="shared" si="1370"/>
        <v>0</v>
      </c>
      <c r="U1794" s="225" t="str">
        <f>IF(NOT(ISNUMBER(G1794)), "", VLOOKUP(A1794,'Discount Lookup'!D:E,2,FALSE)*G1794)</f>
        <v/>
      </c>
      <c r="V1794" s="225" t="str">
        <f>IF(NOT(ISNUMBER(G1794)), "", VLOOKUP(A1794,'Discount Lookup'!G:H,2,FALSE)*G1794)</f>
        <v/>
      </c>
      <c r="W1794" s="508">
        <f t="shared" si="1371"/>
        <v>0</v>
      </c>
      <c r="X1794" s="508">
        <f t="shared" si="1372"/>
        <v>0</v>
      </c>
      <c r="Y1794" s="509" t="b">
        <f t="shared" si="1373"/>
        <v>0</v>
      </c>
      <c r="Z1794" s="510">
        <f t="shared" si="1374"/>
        <v>0</v>
      </c>
      <c r="AA1794" s="511"/>
      <c r="AB1794" s="511" t="str">
        <f t="shared" si="1375"/>
        <v/>
      </c>
      <c r="AC1794" s="698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698"/>
      <c r="AE1794" s="631" t="str">
        <f t="shared" si="1376"/>
        <v/>
      </c>
      <c r="AF1794" s="699" t="str">
        <f t="shared" si="1377"/>
        <v/>
      </c>
      <c r="AG1794" s="699"/>
      <c r="AH1794" s="699"/>
      <c r="AI1794" s="512">
        <f>IF(H1794="credit",0,IF(AE1794="free",0,IF(AE1794="me",0,IF(G1794&gt;0,(VLOOKUP(A1794,'Discount Lookup'!J:K,2)*G1794),0))))</f>
        <v>0</v>
      </c>
      <c r="AJ1794" s="513" t="str">
        <f t="shared" ca="1" si="1378"/>
        <v/>
      </c>
      <c r="AK1794" s="700" t="str">
        <f t="shared" si="1379"/>
        <v/>
      </c>
      <c r="AL1794" s="700"/>
      <c r="AM1794" s="505" t="str">
        <f t="shared" si="1380"/>
        <v/>
      </c>
      <c r="AN1794" s="506"/>
      <c r="AO1794" s="507"/>
      <c r="AP1794" s="507"/>
      <c r="AQ1794" s="507"/>
      <c r="AR1794" s="507"/>
      <c r="AS1794" s="507"/>
      <c r="AT1794" s="507"/>
      <c r="AU1794" s="507"/>
      <c r="AV1794" s="225"/>
      <c r="AW1794" s="508"/>
      <c r="AX1794" s="225"/>
      <c r="AY1794" s="225"/>
      <c r="AZ1794" s="225"/>
      <c r="BA1794" s="225"/>
      <c r="BB1794" s="225"/>
      <c r="BC1794" s="56"/>
      <c r="BD1794" s="56"/>
      <c r="BE1794" s="56"/>
      <c r="BF1794" s="107" t="str">
        <f t="shared" si="1381"/>
        <v>https://www.google.com/search?tbm=isch&amp;q=Hardy%20Gardenia%20named%20for%20fragrant%20semi-double%20White%20flowers%20that%20mimic%20true%20gardenias.%20Cold-hardy.%20Minimal%20pruning%20</v>
      </c>
      <c r="BG1794" s="107" t="str">
        <f t="shared" si="1382"/>
        <v>H</v>
      </c>
      <c r="BH1794" s="254"/>
      <c r="BI1794" s="254"/>
    </row>
    <row r="1795" spans="1:61" customFormat="1" ht="18" x14ac:dyDescent="0.25">
      <c r="A1795" s="523" t="s">
        <v>4333</v>
      </c>
      <c r="B1795" s="235"/>
      <c r="C1795" s="676"/>
      <c r="D1795" s="255" t="s">
        <v>4334</v>
      </c>
      <c r="E1795" s="236"/>
      <c r="F1795" s="236"/>
      <c r="G1795" s="236"/>
      <c r="H1795" s="582" t="s">
        <v>387</v>
      </c>
      <c r="I1795" s="498" t="s">
        <v>2109</v>
      </c>
      <c r="J1795" s="237"/>
      <c r="K1795" s="237"/>
      <c r="L1795" s="274"/>
      <c r="M1795" s="668" t="s">
        <v>4975</v>
      </c>
      <c r="N1795" s="681" t="str">
        <f>IF(AND(ISTEXT($A1795), ISERROR($A1795+0)), HYPERLINK($BF1795, "Images"), "")</f>
        <v>Images</v>
      </c>
      <c r="O1795" s="663" t="s">
        <v>4974</v>
      </c>
      <c r="P1795" s="253"/>
      <c r="Q1795" s="238"/>
      <c r="R1795" s="239"/>
      <c r="S1795" s="275"/>
      <c r="T1795" s="508">
        <f t="shared" si="1370"/>
        <v>0</v>
      </c>
      <c r="U1795" s="225" t="str">
        <f>IF(NOT(ISNUMBER(G1795)), "", VLOOKUP(A1795,'Discount Lookup'!D:E,2,FALSE)*G1795)</f>
        <v/>
      </c>
      <c r="V1795" s="225" t="str">
        <f>IF(NOT(ISNUMBER(G1795)), "", VLOOKUP(A1795,'Discount Lookup'!G:H,2,FALSE)*G1795)</f>
        <v/>
      </c>
      <c r="W1795" s="508">
        <f t="shared" si="1371"/>
        <v>0</v>
      </c>
      <c r="X1795" s="508" t="str">
        <f t="shared" si="1372"/>
        <v>Green foliage</v>
      </c>
      <c r="Y1795" s="509" t="b">
        <f t="shared" si="1373"/>
        <v>0</v>
      </c>
      <c r="Z1795" s="510">
        <f t="shared" si="1374"/>
        <v>0</v>
      </c>
      <c r="AA1795" s="511"/>
      <c r="AB1795" s="511" t="str">
        <f t="shared" si="1375"/>
        <v/>
      </c>
      <c r="AC1795" s="698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698"/>
      <c r="AE1795" s="631" t="str">
        <f t="shared" si="1376"/>
        <v/>
      </c>
      <c r="AF1795" s="699" t="str">
        <f t="shared" si="1377"/>
        <v/>
      </c>
      <c r="AG1795" s="699"/>
      <c r="AH1795" s="699"/>
      <c r="AI1795" s="512">
        <f>IF(H1795="credit",0,IF(AE1795="free",0,IF(AE1795="me",0,IF(G1795&gt;0,(VLOOKUP(A1795,'Discount Lookup'!J:K,2)*G1795),0))))</f>
        <v>0</v>
      </c>
      <c r="AJ1795" s="513" t="str">
        <f t="shared" ca="1" si="1378"/>
        <v/>
      </c>
      <c r="AK1795" s="700" t="str">
        <f t="shared" si="1379"/>
        <v/>
      </c>
      <c r="AL1795" s="700"/>
      <c r="AM1795" s="505" t="str">
        <f t="shared" si="1380"/>
        <v/>
      </c>
      <c r="AN1795" s="506"/>
      <c r="AO1795" s="507"/>
      <c r="AP1795" s="507"/>
      <c r="AQ1795" s="507"/>
      <c r="AR1795" s="507"/>
      <c r="AS1795" s="507"/>
      <c r="AT1795" s="507"/>
      <c r="AU1795" s="507"/>
      <c r="AV1795" s="225"/>
      <c r="AW1795" s="508"/>
      <c r="AX1795" s="225"/>
      <c r="AY1795" s="225"/>
      <c r="AZ1795" s="225"/>
      <c r="BA1795" s="225"/>
      <c r="BB1795" s="225"/>
      <c r="BC1795" s="56"/>
      <c r="BD1795" s="56"/>
      <c r="BE1795" s="56"/>
      <c r="BF1795" s="107" t="str">
        <f t="shared" si="1381"/>
        <v>https://www.google.com/search?tbm=isch&amp;q=Harry%20Lauder%E2%80%99s%20Walking%20Stick%20Corylus%20avellana%20%27Contorta%27</v>
      </c>
      <c r="BG1795" s="107" t="str">
        <f t="shared" si="1382"/>
        <v>H</v>
      </c>
      <c r="BH1795" s="254"/>
      <c r="BI1795" s="254"/>
    </row>
    <row r="1796" spans="1:61" customFormat="1" ht="15.75" x14ac:dyDescent="0.25">
      <c r="A1796" s="276">
        <v>7</v>
      </c>
      <c r="B1796" s="240" t="s">
        <v>291</v>
      </c>
      <c r="C1796" s="241" t="s">
        <v>4335</v>
      </c>
      <c r="D1796" s="242" t="s">
        <v>292</v>
      </c>
      <c r="E1796" s="243">
        <v>146.94999999999999</v>
      </c>
      <c r="F1796" s="517" t="s">
        <v>293</v>
      </c>
      <c r="G1796" s="232">
        <v>0</v>
      </c>
      <c r="H1796" s="661" t="str">
        <f>IF(G1796=0,"",IF(F1796="Buy",IF(G1796=1,"plant","plants"),IF(F1796&gt;0.01,"warranty","Error")))</f>
        <v/>
      </c>
      <c r="I1796" s="244">
        <f>IF(H1796="free",0,IF(H1796="credit",((E1796*(F1796))*G1796*-1),IF(F1796="Buy",(E1796*G1796),((E1796*(1-F1796))*G1796))))</f>
        <v>0</v>
      </c>
      <c r="J1796" s="244">
        <f>IF(H1796="warranty",0,(I1796*(_xlfn.SINGLE(SalesTaxPercentage))))</f>
        <v>0</v>
      </c>
      <c r="K1796" s="696">
        <f t="shared" ref="K1796" si="1411">I1796+J1796</f>
        <v>0</v>
      </c>
      <c r="L1796" s="696"/>
      <c r="M1796" s="659" t="str">
        <f>IF(AND(G1796&gt;0,E1796=0),"WARNING - no PRICE inserted",IF(H1796="free"," FREE ~ no charge this plant",IF(H1796="credit",CONCATENATE(" -$",ROUND(K1796*(1-T2GDiscount)*-1,2)," CREDIT after discount"),IF(T2GDiscount=0,"",IF(G1796=0,"",IF(F1796="Buy",CONCATENATE(" $",ROUND(K1796*(1-T2GDiscount),2)," with ",(T2GDiscount*100),"% discount"),CONCATENATE(" $",ROUND(K1796*(1-T2GDiscount),2)," with ",((T2GDiscount*100+F1796*100)-(T2GDiscount*100*F1796)),IF(F1796&gt;0,"% discounts",IF(NoWarrantyDiscount&gt;0,"% discounts","% discount")))))))))</f>
        <v/>
      </c>
      <c r="N1796" s="660"/>
      <c r="O1796" s="233"/>
      <c r="P1796" s="233"/>
      <c r="Q1796" s="233"/>
      <c r="R1796" s="233"/>
      <c r="S1796" s="233"/>
      <c r="T1796" s="508">
        <f t="shared" si="1370"/>
        <v>0</v>
      </c>
      <c r="U1796" s="225">
        <f>IF(NOT(ISNUMBER(G1796)), "", VLOOKUP(A1796,'Discount Lookup'!D:E,2,FALSE)*G1796)</f>
        <v>0</v>
      </c>
      <c r="V1796" s="225">
        <f>IF(NOT(ISNUMBER(G1796)), "", VLOOKUP(A1796,'Discount Lookup'!G:H,2,FALSE)*G1796)</f>
        <v>0</v>
      </c>
      <c r="W1796" s="508">
        <f t="shared" si="1371"/>
        <v>0</v>
      </c>
      <c r="X1796" s="508">
        <f t="shared" si="1372"/>
        <v>0</v>
      </c>
      <c r="Y1796" s="509" t="b">
        <f t="shared" si="1373"/>
        <v>0</v>
      </c>
      <c r="Z1796" s="510">
        <f t="shared" si="1374"/>
        <v>0</v>
      </c>
      <c r="AA1796" s="511"/>
      <c r="AB1796" s="511" t="str">
        <f t="shared" si="1375"/>
        <v/>
      </c>
      <c r="AC1796" s="698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698"/>
      <c r="AE1796" s="631" t="str">
        <f t="shared" si="1376"/>
        <v/>
      </c>
      <c r="AF1796" s="699" t="str">
        <f t="shared" si="1377"/>
        <v/>
      </c>
      <c r="AG1796" s="699"/>
      <c r="AH1796" s="699"/>
      <c r="AI1796" s="512">
        <f>IF(H1796="credit",0,IF(AE1796="free",0,IF(AE1796="me",0,IF(G1796&gt;0,(VLOOKUP(A1796,'Discount Lookup'!J:K,2)*G1796),0))))</f>
        <v>0</v>
      </c>
      <c r="AJ1796" s="513" t="str">
        <f t="shared" ca="1" si="1378"/>
        <v/>
      </c>
      <c r="AK1796" s="700" t="str">
        <f t="shared" si="1379"/>
        <v/>
      </c>
      <c r="AL1796" s="700"/>
      <c r="AM1796" s="505" t="str">
        <f t="shared" si="1380"/>
        <v/>
      </c>
      <c r="AN1796" s="506"/>
      <c r="AO1796" s="507"/>
      <c r="AP1796" s="507"/>
      <c r="AQ1796" s="507"/>
      <c r="AR1796" s="507"/>
      <c r="AS1796" s="507"/>
      <c r="AT1796" s="507"/>
      <c r="AU1796" s="507"/>
      <c r="AV1796" s="225"/>
      <c r="AW1796" s="508"/>
      <c r="AX1796" s="225"/>
      <c r="AY1796" s="225"/>
      <c r="AZ1796" s="225"/>
      <c r="BA1796" s="225"/>
      <c r="BB1796" s="225"/>
      <c r="BC1796" s="56"/>
      <c r="BD1796" s="56"/>
      <c r="BE1796" s="56"/>
      <c r="BF1796" s="107" t="str">
        <f t="shared" si="1381"/>
        <v>https://www.google.com/search?tbm=isch&amp;q=7%20G4</v>
      </c>
      <c r="BG1796" s="107" t="str">
        <f t="shared" si="1382"/>
        <v>H</v>
      </c>
      <c r="BH1796" s="254"/>
      <c r="BI1796" s="254"/>
    </row>
    <row r="1797" spans="1:61" customFormat="1" ht="17.25" thickBot="1" x14ac:dyDescent="0.3">
      <c r="A1797" s="524" t="s">
        <v>4336</v>
      </c>
      <c r="B1797" s="245"/>
      <c r="C1797" s="677"/>
      <c r="D1797" s="499"/>
      <c r="E1797" s="499"/>
      <c r="F1797" s="500"/>
      <c r="G1797" s="501"/>
      <c r="H1797" s="502"/>
      <c r="I1797" s="246"/>
      <c r="J1797" s="247"/>
      <c r="K1797" s="503"/>
      <c r="L1797" s="544"/>
      <c r="M1797" s="544"/>
      <c r="N1797" s="500"/>
      <c r="O1797" s="500"/>
      <c r="P1797" s="500"/>
      <c r="Q1797" s="500"/>
      <c r="R1797" s="500"/>
      <c r="S1797" s="669" t="s">
        <v>5016</v>
      </c>
      <c r="T1797" s="508">
        <f t="shared" si="1370"/>
        <v>0</v>
      </c>
      <c r="U1797" s="225" t="str">
        <f>IF(NOT(ISNUMBER(G1797)), "", VLOOKUP(A1797,'Discount Lookup'!D:E,2,FALSE)*G1797)</f>
        <v/>
      </c>
      <c r="V1797" s="225" t="str">
        <f>IF(NOT(ISNUMBER(G1797)), "", VLOOKUP(A1797,'Discount Lookup'!G:H,2,FALSE)*G1797)</f>
        <v/>
      </c>
      <c r="W1797" s="508">
        <f t="shared" si="1371"/>
        <v>0</v>
      </c>
      <c r="X1797" s="508">
        <f t="shared" si="1372"/>
        <v>0</v>
      </c>
      <c r="Y1797" s="509" t="b">
        <f t="shared" si="1373"/>
        <v>0</v>
      </c>
      <c r="Z1797" s="510">
        <f t="shared" si="1374"/>
        <v>0</v>
      </c>
      <c r="AA1797" s="511"/>
      <c r="AB1797" s="511" t="str">
        <f t="shared" si="1375"/>
        <v/>
      </c>
      <c r="AC1797" s="698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698"/>
      <c r="AE1797" s="631" t="str">
        <f t="shared" si="1376"/>
        <v/>
      </c>
      <c r="AF1797" s="699" t="str">
        <f t="shared" si="1377"/>
        <v/>
      </c>
      <c r="AG1797" s="699"/>
      <c r="AH1797" s="699"/>
      <c r="AI1797" s="512">
        <f>IF(H1797="credit",0,IF(AE1797="free",0,IF(AE1797="me",0,IF(G1797&gt;0,(VLOOKUP(A1797,'Discount Lookup'!J:K,2)*G1797),0))))</f>
        <v>0</v>
      </c>
      <c r="AJ1797" s="513" t="str">
        <f t="shared" ca="1" si="1378"/>
        <v/>
      </c>
      <c r="AK1797" s="700" t="str">
        <f t="shared" si="1379"/>
        <v/>
      </c>
      <c r="AL1797" s="700"/>
      <c r="AM1797" s="505" t="str">
        <f t="shared" si="1380"/>
        <v/>
      </c>
      <c r="AN1797" s="506"/>
      <c r="AO1797" s="507"/>
      <c r="AP1797" s="507"/>
      <c r="AQ1797" s="507"/>
      <c r="AR1797" s="507"/>
      <c r="AS1797" s="507"/>
      <c r="AT1797" s="507"/>
      <c r="AU1797" s="507"/>
      <c r="AV1797" s="225"/>
      <c r="AW1797" s="508"/>
      <c r="AX1797" s="225"/>
      <c r="AY1797" s="225"/>
      <c r="AZ1797" s="225"/>
      <c r="BA1797" s="225"/>
      <c r="BB1797" s="225"/>
      <c r="BC1797" s="56"/>
      <c r="BD1797" s="56"/>
      <c r="BE1797" s="56"/>
      <c r="BF1797" s="107" t="str">
        <f t="shared" si="1381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797" s="107" t="str">
        <f t="shared" si="1382"/>
        <v>H</v>
      </c>
      <c r="BH1797" s="254"/>
      <c r="BI1797" s="254"/>
    </row>
    <row r="1798" spans="1:61" customFormat="1" ht="18" x14ac:dyDescent="0.25">
      <c r="A1798" s="523" t="s">
        <v>5423</v>
      </c>
      <c r="B1798" s="235"/>
      <c r="C1798" s="676"/>
      <c r="D1798" s="255" t="s">
        <v>1087</v>
      </c>
      <c r="E1798" s="236"/>
      <c r="F1798" s="236"/>
      <c r="G1798" s="236"/>
      <c r="H1798" s="582" t="s">
        <v>443</v>
      </c>
      <c r="I1798" s="498" t="s">
        <v>3106</v>
      </c>
      <c r="J1798" s="237"/>
      <c r="K1798" s="237"/>
      <c r="L1798" s="274"/>
      <c r="M1798" s="670" t="s">
        <v>4973</v>
      </c>
      <c r="N1798" s="681" t="str">
        <f>IF(AND(ISTEXT($A1798), ISERROR($A1798+0)), HYPERLINK($BF1798, "Images"), "")</f>
        <v>Images</v>
      </c>
      <c r="O1798" s="663" t="s">
        <v>4974</v>
      </c>
      <c r="P1798" s="253"/>
      <c r="Q1798" s="238"/>
      <c r="R1798" s="239"/>
      <c r="S1798" s="275"/>
      <c r="T1798" s="508">
        <f t="shared" si="1370"/>
        <v>0</v>
      </c>
      <c r="U1798" s="225" t="str">
        <f>IF(NOT(ISNUMBER(G1798)), "", VLOOKUP(A1798,'Discount Lookup'!D:E,2,FALSE)*G1798)</f>
        <v/>
      </c>
      <c r="V1798" s="225" t="str">
        <f>IF(NOT(ISNUMBER(G1798)), "", VLOOKUP(A1798,'Discount Lookup'!G:H,2,FALSE)*G1798)</f>
        <v/>
      </c>
      <c r="W1798" s="508">
        <f t="shared" si="1371"/>
        <v>0</v>
      </c>
      <c r="X1798" s="508" t="str">
        <f t="shared" si="1372"/>
        <v>Dark Cherry-Red bloom</v>
      </c>
      <c r="Y1798" s="509" t="b">
        <f t="shared" si="1373"/>
        <v>0</v>
      </c>
      <c r="Z1798" s="510">
        <f t="shared" si="1374"/>
        <v>0</v>
      </c>
      <c r="AA1798" s="511"/>
      <c r="AB1798" s="511" t="str">
        <f t="shared" si="1375"/>
        <v/>
      </c>
      <c r="AC1798" s="698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698"/>
      <c r="AE1798" s="631" t="str">
        <f t="shared" si="1376"/>
        <v/>
      </c>
      <c r="AF1798" s="699" t="str">
        <f t="shared" si="1377"/>
        <v/>
      </c>
      <c r="AG1798" s="699"/>
      <c r="AH1798" s="699"/>
      <c r="AI1798" s="512">
        <f>IF(H1798="credit",0,IF(AE1798="free",0,IF(AE1798="me",0,IF(G1798&gt;0,(VLOOKUP(A1798,'Discount Lookup'!J:K,2)*G1798),0))))</f>
        <v>0</v>
      </c>
      <c r="AJ1798" s="513" t="str">
        <f t="shared" ca="1" si="1378"/>
        <v/>
      </c>
      <c r="AK1798" s="700" t="str">
        <f t="shared" si="1379"/>
        <v/>
      </c>
      <c r="AL1798" s="700"/>
      <c r="AM1798" s="505" t="str">
        <f t="shared" si="1380"/>
        <v/>
      </c>
      <c r="AN1798" s="506"/>
      <c r="AO1798" s="507"/>
      <c r="AP1798" s="507"/>
      <c r="AQ1798" s="507"/>
      <c r="AR1798" s="507"/>
      <c r="AS1798" s="507"/>
      <c r="AT1798" s="507"/>
      <c r="AU1798" s="507"/>
      <c r="AV1798" s="225"/>
      <c r="AW1798" s="508"/>
      <c r="AX1798" s="225"/>
      <c r="AY1798" s="225"/>
      <c r="AZ1798" s="225"/>
      <c r="BA1798" s="225"/>
      <c r="BB1798" s="225"/>
      <c r="BC1798" s="56"/>
      <c r="BD1798" s="56"/>
      <c r="BE1798" s="56"/>
      <c r="BF1798" s="107" t="str">
        <f t="shared" si="1381"/>
        <v>https://www.google.com/search?tbm=isch&amp;q=Heart%20Throb%C2%AE%20Hydrangea%20Hyd.%20macrophylla%20%27Hortmagitri%27%20PP%2330044</v>
      </c>
      <c r="BG1798" s="107" t="str">
        <f t="shared" si="1382"/>
        <v>H</v>
      </c>
      <c r="BH1798" s="254"/>
      <c r="BI1798" s="254"/>
    </row>
    <row r="1799" spans="1:61" customFormat="1" ht="15.75" x14ac:dyDescent="0.25">
      <c r="A1799" s="276">
        <v>3</v>
      </c>
      <c r="B1799" s="240" t="s">
        <v>291</v>
      </c>
      <c r="C1799" s="241" t="s">
        <v>4758</v>
      </c>
      <c r="D1799" s="242" t="s">
        <v>312</v>
      </c>
      <c r="E1799" s="243">
        <v>32.950000000000003</v>
      </c>
      <c r="F1799" s="517" t="s">
        <v>293</v>
      </c>
      <c r="G1799" s="232">
        <v>0</v>
      </c>
      <c r="H1799" s="661" t="str">
        <f>IF(G1799=0,"",IF(F1799="Buy",IF(G1799=1,"plant","plants"),IF(F1799&gt;0.01,"warranty","Error")))</f>
        <v/>
      </c>
      <c r="I1799" s="244">
        <f>IF(H1799="free",0,IF(H1799="credit",((E1799*(F1799))*G1799*-1),IF(F1799="Buy",(E1799*G1799),((E1799*(1-F1799))*G1799))))</f>
        <v>0</v>
      </c>
      <c r="J1799" s="244">
        <f>IF(H1799="warranty",0,(I1799*(_xlfn.SINGLE(SalesTaxPercentage))))</f>
        <v>0</v>
      </c>
      <c r="K1799" s="696">
        <f t="shared" ref="K1799" si="1412">I1799+J1799</f>
        <v>0</v>
      </c>
      <c r="L1799" s="696"/>
      <c r="M1799" s="659" t="str">
        <f>IF(AND(G1799&gt;0,E1799=0),"WARNING - no PRICE inserted",IF(H1799="free"," FREE ~ no charge this plant",IF(H1799="credit",CONCATENATE(" -$",ROUND(K1799*(1-T2GDiscount)*-1,2)," CREDIT after discount"),IF(T2GDiscount=0,"",IF(G1799=0,"",IF(F1799="Buy",CONCATENATE(" $",ROUND(K1799*(1-T2GDiscount),2)," with ",(T2GDiscount*100),"% discount"),CONCATENATE(" $",ROUND(K1799*(1-T2GDiscount),2)," with ",((T2GDiscount*100+F1799*100)-(T2GDiscount*100*F1799)),IF(F1799&gt;0,"% discounts",IF(NoWarrantyDiscount&gt;0,"% discounts","% discount")))))))))</f>
        <v/>
      </c>
      <c r="N1799" s="660"/>
      <c r="O1799" s="233"/>
      <c r="P1799" s="233"/>
      <c r="Q1799" s="233"/>
      <c r="R1799" s="233"/>
      <c r="S1799" s="233"/>
      <c r="T1799" s="508">
        <f t="shared" si="1370"/>
        <v>0</v>
      </c>
      <c r="U1799" s="225">
        <f>IF(NOT(ISNUMBER(G1799)), "", VLOOKUP(A1799,'Discount Lookup'!D:E,2,FALSE)*G1799)</f>
        <v>0</v>
      </c>
      <c r="V1799" s="225">
        <f>IF(NOT(ISNUMBER(G1799)), "", VLOOKUP(A1799,'Discount Lookup'!G:H,2,FALSE)*G1799)</f>
        <v>0</v>
      </c>
      <c r="W1799" s="508">
        <f t="shared" si="1371"/>
        <v>0</v>
      </c>
      <c r="X1799" s="508">
        <f t="shared" si="1372"/>
        <v>0</v>
      </c>
      <c r="Y1799" s="509" t="b">
        <f t="shared" si="1373"/>
        <v>0</v>
      </c>
      <c r="Z1799" s="510">
        <f t="shared" si="1374"/>
        <v>0</v>
      </c>
      <c r="AA1799" s="511"/>
      <c r="AB1799" s="511" t="str">
        <f t="shared" si="1375"/>
        <v/>
      </c>
      <c r="AC1799" s="698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698"/>
      <c r="AE1799" s="631" t="str">
        <f t="shared" si="1376"/>
        <v/>
      </c>
      <c r="AF1799" s="699" t="str">
        <f t="shared" si="1377"/>
        <v/>
      </c>
      <c r="AG1799" s="699"/>
      <c r="AH1799" s="699"/>
      <c r="AI1799" s="512">
        <f>IF(H1799="credit",0,IF(AE1799="free",0,IF(AE1799="me",0,IF(G1799&gt;0,(VLOOKUP(A1799,'Discount Lookup'!J:K,2)*G1799),0))))</f>
        <v>0</v>
      </c>
      <c r="AJ1799" s="513" t="str">
        <f t="shared" ca="1" si="1378"/>
        <v/>
      </c>
      <c r="AK1799" s="700" t="str">
        <f t="shared" si="1379"/>
        <v/>
      </c>
      <c r="AL1799" s="700"/>
      <c r="AM1799" s="505" t="str">
        <f t="shared" si="1380"/>
        <v/>
      </c>
      <c r="AN1799" s="506"/>
      <c r="AO1799" s="507"/>
      <c r="AP1799" s="507"/>
      <c r="AQ1799" s="507"/>
      <c r="AR1799" s="507"/>
      <c r="AS1799" s="507"/>
      <c r="AT1799" s="507"/>
      <c r="AU1799" s="507"/>
      <c r="AV1799" s="225"/>
      <c r="AW1799" s="508"/>
      <c r="AX1799" s="225"/>
      <c r="AY1799" s="225"/>
      <c r="AZ1799" s="225"/>
      <c r="BA1799" s="225"/>
      <c r="BB1799" s="225"/>
      <c r="BC1799" s="56"/>
      <c r="BD1799" s="56"/>
      <c r="BE1799" s="56"/>
      <c r="BF1799" s="107" t="str">
        <f t="shared" si="1381"/>
        <v>https://www.google.com/search?tbm=isch&amp;q=3%20G2</v>
      </c>
      <c r="BG1799" s="107" t="str">
        <f t="shared" si="1382"/>
        <v>H</v>
      </c>
      <c r="BH1799" s="254"/>
      <c r="BI1799" s="254"/>
    </row>
    <row r="1800" spans="1:61" customFormat="1" ht="17.25" thickBot="1" x14ac:dyDescent="0.3">
      <c r="A1800" s="673" t="s">
        <v>5137</v>
      </c>
      <c r="B1800" s="245"/>
      <c r="C1800" s="677"/>
      <c r="D1800" s="499"/>
      <c r="E1800" s="499"/>
      <c r="F1800" s="500"/>
      <c r="G1800" s="501"/>
      <c r="H1800" s="502"/>
      <c r="I1800" s="246"/>
      <c r="J1800" s="247"/>
      <c r="K1800" s="503"/>
      <c r="L1800" s="544"/>
      <c r="M1800" s="544"/>
      <c r="N1800" s="500"/>
      <c r="O1800" s="500"/>
      <c r="P1800" s="500"/>
      <c r="Q1800" s="500"/>
      <c r="R1800" s="500"/>
      <c r="S1800" s="278"/>
      <c r="T1800" s="508">
        <f t="shared" si="1370"/>
        <v>0</v>
      </c>
      <c r="U1800" s="225" t="str">
        <f>IF(NOT(ISNUMBER(G1800)), "", VLOOKUP(A1800,'Discount Lookup'!D:E,2,FALSE)*G1800)</f>
        <v/>
      </c>
      <c r="V1800" s="225" t="str">
        <f>IF(NOT(ISNUMBER(G1800)), "", VLOOKUP(A1800,'Discount Lookup'!G:H,2,FALSE)*G1800)</f>
        <v/>
      </c>
      <c r="W1800" s="508">
        <f t="shared" si="1371"/>
        <v>0</v>
      </c>
      <c r="X1800" s="508">
        <f t="shared" si="1372"/>
        <v>0</v>
      </c>
      <c r="Y1800" s="509" t="b">
        <f t="shared" si="1373"/>
        <v>0</v>
      </c>
      <c r="Z1800" s="510">
        <f t="shared" si="1374"/>
        <v>0</v>
      </c>
      <c r="AA1800" s="511"/>
      <c r="AB1800" s="511" t="str">
        <f t="shared" si="1375"/>
        <v/>
      </c>
      <c r="AC1800" s="698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698"/>
      <c r="AE1800" s="631" t="str">
        <f t="shared" si="1376"/>
        <v/>
      </c>
      <c r="AF1800" s="699" t="str">
        <f t="shared" si="1377"/>
        <v/>
      </c>
      <c r="AG1800" s="699"/>
      <c r="AH1800" s="699"/>
      <c r="AI1800" s="512">
        <f>IF(H1800="credit",0,IF(AE1800="free",0,IF(AE1800="me",0,IF(G1800&gt;0,(VLOOKUP(A1800,'Discount Lookup'!J:K,2)*G1800),0))))</f>
        <v>0</v>
      </c>
      <c r="AJ1800" s="513" t="str">
        <f t="shared" ca="1" si="1378"/>
        <v/>
      </c>
      <c r="AK1800" s="700" t="str">
        <f t="shared" si="1379"/>
        <v/>
      </c>
      <c r="AL1800" s="700"/>
      <c r="AM1800" s="505" t="str">
        <f t="shared" si="1380"/>
        <v/>
      </c>
      <c r="AN1800" s="506"/>
      <c r="AO1800" s="507"/>
      <c r="AP1800" s="507"/>
      <c r="AQ1800" s="507"/>
      <c r="AR1800" s="507"/>
      <c r="AS1800" s="507"/>
      <c r="AT1800" s="507"/>
      <c r="AU1800" s="507"/>
      <c r="AV1800" s="225"/>
      <c r="AW1800" s="508"/>
      <c r="AX1800" s="225"/>
      <c r="AY1800" s="225"/>
      <c r="AZ1800" s="225"/>
      <c r="BA1800" s="225"/>
      <c r="BB1800" s="225"/>
      <c r="BC1800" s="56"/>
      <c r="BD1800" s="56"/>
      <c r="BE1800" s="56"/>
      <c r="BF1800" s="107" t="str">
        <f t="shared" si="1381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800" s="107" t="str">
        <f t="shared" si="1382"/>
        <v>m</v>
      </c>
      <c r="BH1800" s="254"/>
      <c r="BI1800" s="254"/>
    </row>
    <row r="1801" spans="1:61" customFormat="1" ht="18" x14ac:dyDescent="0.25">
      <c r="A1801" s="523" t="s">
        <v>5424</v>
      </c>
      <c r="B1801" s="235"/>
      <c r="C1801" s="676"/>
      <c r="D1801" s="255" t="s">
        <v>2756</v>
      </c>
      <c r="E1801" s="236"/>
      <c r="F1801" s="236"/>
      <c r="G1801" s="236"/>
      <c r="H1801" s="582" t="s">
        <v>326</v>
      </c>
      <c r="I1801" s="498" t="s">
        <v>1140</v>
      </c>
      <c r="J1801" s="237"/>
      <c r="K1801" s="237"/>
      <c r="L1801" s="274"/>
      <c r="M1801" s="668" t="s">
        <v>4975</v>
      </c>
      <c r="N1801" s="681" t="str">
        <f>IF(AND(ISTEXT($A1801), ISERROR($A1801+0)), HYPERLINK($BF1801, "Images"), "")</f>
        <v>Images</v>
      </c>
      <c r="O1801" s="663" t="s">
        <v>4974</v>
      </c>
      <c r="P1801" s="253"/>
      <c r="Q1801" s="238"/>
      <c r="R1801" s="239"/>
      <c r="S1801" s="275" t="s">
        <v>305</v>
      </c>
      <c r="T1801" s="508">
        <f t="shared" si="1370"/>
        <v>0</v>
      </c>
      <c r="U1801" s="225" t="str">
        <f>IF(NOT(ISNUMBER(G1801)), "", VLOOKUP(A1801,'Discount Lookup'!D:E,2,FALSE)*G1801)</f>
        <v/>
      </c>
      <c r="V1801" s="225" t="str">
        <f>IF(NOT(ISNUMBER(G1801)), "", VLOOKUP(A1801,'Discount Lookup'!G:H,2,FALSE)*G1801)</f>
        <v/>
      </c>
      <c r="W1801" s="508">
        <f t="shared" si="1371"/>
        <v>0</v>
      </c>
      <c r="X1801" s="508" t="str">
        <f t="shared" si="1372"/>
        <v>Magenta-Pink bloom</v>
      </c>
      <c r="Y1801" s="509" t="b">
        <f t="shared" si="1373"/>
        <v>0</v>
      </c>
      <c r="Z1801" s="510">
        <f t="shared" si="1374"/>
        <v>0</v>
      </c>
      <c r="AA1801" s="511"/>
      <c r="AB1801" s="511" t="str">
        <f t="shared" si="1375"/>
        <v/>
      </c>
      <c r="AC1801" s="698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698"/>
      <c r="AE1801" s="631" t="str">
        <f t="shared" si="1376"/>
        <v/>
      </c>
      <c r="AF1801" s="699" t="str">
        <f t="shared" si="1377"/>
        <v/>
      </c>
      <c r="AG1801" s="699"/>
      <c r="AH1801" s="699"/>
      <c r="AI1801" s="512">
        <f>IF(H1801="credit",0,IF(AE1801="free",0,IF(AE1801="me",0,IF(G1801&gt;0,(VLOOKUP(A1801,'Discount Lookup'!J:K,2)*G1801),0))))</f>
        <v>0</v>
      </c>
      <c r="AJ1801" s="513" t="str">
        <f t="shared" ca="1" si="1378"/>
        <v/>
      </c>
      <c r="AK1801" s="700" t="str">
        <f t="shared" si="1379"/>
        <v/>
      </c>
      <c r="AL1801" s="700"/>
      <c r="AM1801" s="505" t="str">
        <f t="shared" si="1380"/>
        <v/>
      </c>
      <c r="AN1801" s="506"/>
      <c r="AO1801" s="507"/>
      <c r="AP1801" s="507"/>
      <c r="AQ1801" s="507"/>
      <c r="AR1801" s="507"/>
      <c r="AS1801" s="507"/>
      <c r="AT1801" s="507"/>
      <c r="AU1801" s="507"/>
      <c r="AV1801" s="225"/>
      <c r="AW1801" s="508"/>
      <c r="AX1801" s="225"/>
      <c r="AY1801" s="225"/>
      <c r="AZ1801" s="225"/>
      <c r="BA1801" s="225"/>
      <c r="BB1801" s="225"/>
      <c r="BC1801" s="56"/>
      <c r="BD1801" s="56"/>
      <c r="BE1801" s="56"/>
      <c r="BF1801" s="107" t="str">
        <f t="shared" si="1381"/>
        <v>https://www.google.com/search?tbm=isch&amp;q=Hearts%20A%27fire%E2%84%A2%20Redbud%20Cercis%20canadensis%20%27JN100%27</v>
      </c>
      <c r="BG1801" s="107" t="str">
        <f t="shared" si="1382"/>
        <v>H</v>
      </c>
      <c r="BH1801" s="254"/>
      <c r="BI1801" s="254"/>
    </row>
    <row r="1802" spans="1:61" customFormat="1" ht="15.75" x14ac:dyDescent="0.25">
      <c r="A1802" s="276">
        <v>7</v>
      </c>
      <c r="B1802" s="240" t="s">
        <v>291</v>
      </c>
      <c r="C1802" s="241" t="s">
        <v>3307</v>
      </c>
      <c r="D1802" s="242" t="s">
        <v>292</v>
      </c>
      <c r="E1802" s="243">
        <v>125.95</v>
      </c>
      <c r="F1802" s="517" t="s">
        <v>293</v>
      </c>
      <c r="G1802" s="232">
        <v>0</v>
      </c>
      <c r="H1802" s="661" t="str">
        <f>IF(G1802=0,"",IF(F1802="Buy",IF(G1802=1,"plant","plants"),IF(F1802&gt;0.01,"warranty","Error")))</f>
        <v/>
      </c>
      <c r="I1802" s="244">
        <f>IF(H1802="free",0,IF(H1802="credit",((E1802*(F1802))*G1802*-1),IF(F1802="Buy",(E1802*G1802),((E1802*(1-F1802))*G1802))))</f>
        <v>0</v>
      </c>
      <c r="J1802" s="244">
        <f>IF(H1802="warranty",0,(I1802*(_xlfn.SINGLE(SalesTaxPercentage))))</f>
        <v>0</v>
      </c>
      <c r="K1802" s="696">
        <f t="shared" ref="K1802" si="1413">I1802+J1802</f>
        <v>0</v>
      </c>
      <c r="L1802" s="696"/>
      <c r="M1802" s="659" t="str">
        <f>IF(AND(G1802&gt;0,E1802=0),"WARNING - no PRICE inserted",IF(H1802="free"," FREE ~ no charge this plant",IF(H1802="credit",CONCATENATE(" -$",ROUND(K1802*(1-T2GDiscount)*-1,2)," CREDIT after discount"),IF(T2GDiscount=0,"",IF(G1802=0,"",IF(F1802="Buy",CONCATENATE(" $",ROUND(K1802*(1-T2GDiscount),2)," with ",(T2GDiscount*100),"% discount"),CONCATENATE(" $",ROUND(K1802*(1-T2GDiscount),2)," with ",((T2GDiscount*100+F1802*100)-(T2GDiscount*100*F1802)),IF(F1802&gt;0,"% discounts",IF(NoWarrantyDiscount&gt;0,"% discounts","% discount")))))))))</f>
        <v/>
      </c>
      <c r="N1802" s="660"/>
      <c r="O1802" s="233"/>
      <c r="P1802" s="233"/>
      <c r="Q1802" s="233"/>
      <c r="R1802" s="233"/>
      <c r="S1802" s="233"/>
      <c r="T1802" s="508">
        <f t="shared" si="1370"/>
        <v>0</v>
      </c>
      <c r="U1802" s="225">
        <f>IF(NOT(ISNUMBER(G1802)), "", VLOOKUP(A1802,'Discount Lookup'!D:E,2,FALSE)*G1802)</f>
        <v>0</v>
      </c>
      <c r="V1802" s="225">
        <f>IF(NOT(ISNUMBER(G1802)), "", VLOOKUP(A1802,'Discount Lookup'!G:H,2,FALSE)*G1802)</f>
        <v>0</v>
      </c>
      <c r="W1802" s="508">
        <f t="shared" si="1371"/>
        <v>0</v>
      </c>
      <c r="X1802" s="508">
        <f t="shared" si="1372"/>
        <v>0</v>
      </c>
      <c r="Y1802" s="509" t="b">
        <f t="shared" si="1373"/>
        <v>0</v>
      </c>
      <c r="Z1802" s="510">
        <f t="shared" si="1374"/>
        <v>0</v>
      </c>
      <c r="AA1802" s="511"/>
      <c r="AB1802" s="511" t="str">
        <f t="shared" si="1375"/>
        <v/>
      </c>
      <c r="AC1802" s="698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698"/>
      <c r="AE1802" s="631" t="str">
        <f t="shared" si="1376"/>
        <v/>
      </c>
      <c r="AF1802" s="699" t="str">
        <f t="shared" si="1377"/>
        <v/>
      </c>
      <c r="AG1802" s="699"/>
      <c r="AH1802" s="699"/>
      <c r="AI1802" s="512">
        <f>IF(H1802="credit",0,IF(AE1802="free",0,IF(AE1802="me",0,IF(G1802&gt;0,(VLOOKUP(A1802,'Discount Lookup'!J:K,2)*G1802),0))))</f>
        <v>0</v>
      </c>
      <c r="AJ1802" s="513" t="str">
        <f t="shared" ca="1" si="1378"/>
        <v/>
      </c>
      <c r="AK1802" s="700" t="str">
        <f t="shared" si="1379"/>
        <v/>
      </c>
      <c r="AL1802" s="700"/>
      <c r="AM1802" s="505" t="str">
        <f t="shared" si="1380"/>
        <v/>
      </c>
      <c r="AN1802" s="506"/>
      <c r="AO1802" s="507"/>
      <c r="AP1802" s="507"/>
      <c r="AQ1802" s="507"/>
      <c r="AR1802" s="507"/>
      <c r="AS1802" s="507"/>
      <c r="AT1802" s="507"/>
      <c r="AU1802" s="507"/>
      <c r="AV1802" s="225"/>
      <c r="AW1802" s="508"/>
      <c r="AX1802" s="225"/>
      <c r="AY1802" s="225"/>
      <c r="AZ1802" s="225"/>
      <c r="BA1802" s="225"/>
      <c r="BB1802" s="225"/>
      <c r="BC1802" s="56"/>
      <c r="BD1802" s="56"/>
      <c r="BE1802" s="56"/>
      <c r="BF1802" s="107" t="str">
        <f t="shared" si="1381"/>
        <v>https://www.google.com/search?tbm=isch&amp;q=7%20G4</v>
      </c>
      <c r="BG1802" s="107" t="str">
        <f t="shared" si="1382"/>
        <v>H</v>
      </c>
      <c r="BH1802" s="254"/>
      <c r="BI1802" s="254"/>
    </row>
    <row r="1803" spans="1:61" customFormat="1" ht="15.75" x14ac:dyDescent="0.25">
      <c r="A1803" s="276">
        <v>10</v>
      </c>
      <c r="B1803" s="240" t="s">
        <v>291</v>
      </c>
      <c r="C1803" s="241" t="s">
        <v>3557</v>
      </c>
      <c r="D1803" s="242" t="s">
        <v>292</v>
      </c>
      <c r="E1803" s="243">
        <v>155.94999999999999</v>
      </c>
      <c r="F1803" s="517" t="s">
        <v>293</v>
      </c>
      <c r="G1803" s="232">
        <v>0</v>
      </c>
      <c r="H1803" s="661" t="str">
        <f>IF(G1803=0,"",IF(F1803="Buy",IF(G1803=1,"plant","plants"),IF(F1803&gt;0.01,"warranty","Error")))</f>
        <v/>
      </c>
      <c r="I1803" s="244">
        <f>IF(H1803="free",0,IF(H1803="credit",((E1803*(F1803))*G1803*-1),IF(F1803="Buy",(E1803*G1803),((E1803*(1-F1803))*G1803))))</f>
        <v>0</v>
      </c>
      <c r="J1803" s="244">
        <f>IF(H1803="warranty",0,(I1803*(_xlfn.SINGLE(SalesTaxPercentage))))</f>
        <v>0</v>
      </c>
      <c r="K1803" s="696">
        <f t="shared" ref="K1803" si="1414">I1803+J1803</f>
        <v>0</v>
      </c>
      <c r="L1803" s="696"/>
      <c r="M1803" s="659" t="str">
        <f>IF(AND(G1803&gt;0,E1803=0),"WARNING - no PRICE inserted",IF(H1803="free"," FREE ~ no charge this plant",IF(H1803="credit",CONCATENATE(" -$",ROUND(K1803*(1-T2GDiscount)*-1,2)," CREDIT after discount"),IF(T2GDiscount=0,"",IF(G1803=0,"",IF(F1803="Buy",CONCATENATE(" $",ROUND(K1803*(1-T2GDiscount),2)," with ",(T2GDiscount*100),"% discount"),CONCATENATE(" $",ROUND(K1803*(1-T2GDiscount),2)," with ",((T2GDiscount*100+F1803*100)-(T2GDiscount*100*F1803)),IF(F1803&gt;0,"% discounts",IF(NoWarrantyDiscount&gt;0,"% discounts","% discount")))))))))</f>
        <v/>
      </c>
      <c r="N1803" s="660"/>
      <c r="O1803" s="233"/>
      <c r="P1803" s="233"/>
      <c r="Q1803" s="233"/>
      <c r="R1803" s="233"/>
      <c r="S1803" s="233"/>
      <c r="T1803" s="508">
        <f t="shared" si="1370"/>
        <v>0</v>
      </c>
      <c r="U1803" s="225">
        <f>IF(NOT(ISNUMBER(G1803)), "", VLOOKUP(A1803,'Discount Lookup'!D:E,2,FALSE)*G1803)</f>
        <v>0</v>
      </c>
      <c r="V1803" s="225">
        <f>IF(NOT(ISNUMBER(G1803)), "", VLOOKUP(A1803,'Discount Lookup'!G:H,2,FALSE)*G1803)</f>
        <v>0</v>
      </c>
      <c r="W1803" s="508">
        <f t="shared" si="1371"/>
        <v>0</v>
      </c>
      <c r="X1803" s="508">
        <f t="shared" si="1372"/>
        <v>0</v>
      </c>
      <c r="Y1803" s="509" t="b">
        <f t="shared" si="1373"/>
        <v>0</v>
      </c>
      <c r="Z1803" s="510">
        <f t="shared" si="1374"/>
        <v>0</v>
      </c>
      <c r="AA1803" s="511"/>
      <c r="AB1803" s="511" t="str">
        <f t="shared" si="1375"/>
        <v/>
      </c>
      <c r="AC1803" s="698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698"/>
      <c r="AE1803" s="631" t="str">
        <f t="shared" si="1376"/>
        <v/>
      </c>
      <c r="AF1803" s="699" t="str">
        <f t="shared" si="1377"/>
        <v/>
      </c>
      <c r="AG1803" s="699"/>
      <c r="AH1803" s="699"/>
      <c r="AI1803" s="512">
        <f>IF(H1803="credit",0,IF(AE1803="free",0,IF(AE1803="me",0,IF(G1803&gt;0,(VLOOKUP(A1803,'Discount Lookup'!J:K,2)*G1803),0))))</f>
        <v>0</v>
      </c>
      <c r="AJ1803" s="513" t="str">
        <f t="shared" ca="1" si="1378"/>
        <v/>
      </c>
      <c r="AK1803" s="700" t="str">
        <f t="shared" si="1379"/>
        <v/>
      </c>
      <c r="AL1803" s="700"/>
      <c r="AM1803" s="505" t="str">
        <f t="shared" si="1380"/>
        <v/>
      </c>
      <c r="AN1803" s="506"/>
      <c r="AO1803" s="507"/>
      <c r="AP1803" s="507"/>
      <c r="AQ1803" s="507"/>
      <c r="AR1803" s="507"/>
      <c r="AS1803" s="507"/>
      <c r="AT1803" s="507"/>
      <c r="AU1803" s="507"/>
      <c r="AV1803" s="225"/>
      <c r="AW1803" s="508"/>
      <c r="AX1803" s="225"/>
      <c r="AY1803" s="225"/>
      <c r="AZ1803" s="225"/>
      <c r="BA1803" s="225"/>
      <c r="BB1803" s="225"/>
      <c r="BC1803" s="56"/>
      <c r="BD1803" s="56"/>
      <c r="BE1803" s="56"/>
      <c r="BF1803" s="107" t="str">
        <f t="shared" si="1381"/>
        <v>https://www.google.com/search?tbm=isch&amp;q=10%20G4</v>
      </c>
      <c r="BG1803" s="107" t="str">
        <f t="shared" si="1382"/>
        <v>H</v>
      </c>
      <c r="BH1803" s="254"/>
      <c r="BI1803" s="254"/>
    </row>
    <row r="1804" spans="1:61" customFormat="1" ht="15.75" x14ac:dyDescent="0.25">
      <c r="A1804" s="276">
        <v>15</v>
      </c>
      <c r="B1804" s="240" t="s">
        <v>291</v>
      </c>
      <c r="C1804" s="241" t="s">
        <v>3558</v>
      </c>
      <c r="D1804" s="242" t="s">
        <v>292</v>
      </c>
      <c r="E1804" s="243">
        <v>196.95</v>
      </c>
      <c r="F1804" s="517" t="s">
        <v>293</v>
      </c>
      <c r="G1804" s="232">
        <v>0</v>
      </c>
      <c r="H1804" s="661" t="str">
        <f>IF(G1804=0,"",IF(F1804="Buy",IF(G1804=1,"plant","plants"),IF(F1804&gt;0.01,"warranty","Error")))</f>
        <v/>
      </c>
      <c r="I1804" s="244">
        <f>IF(H1804="free",0,IF(H1804="credit",((E1804*(F1804))*G1804*-1),IF(F1804="Buy",(E1804*G1804),((E1804*(1-F1804))*G1804))))</f>
        <v>0</v>
      </c>
      <c r="J1804" s="244">
        <f>IF(H1804="warranty",0,(I1804*(_xlfn.SINGLE(SalesTaxPercentage))))</f>
        <v>0</v>
      </c>
      <c r="K1804" s="696">
        <f t="shared" ref="K1804" si="1415">I1804+J1804</f>
        <v>0</v>
      </c>
      <c r="L1804" s="696"/>
      <c r="M1804" s="659" t="str">
        <f>IF(AND(G1804&gt;0,E1804=0),"WARNING - no PRICE inserted",IF(H1804="free"," FREE ~ no charge this plant",IF(H1804="credit",CONCATENATE(" -$",ROUND(K1804*(1-T2GDiscount)*-1,2)," CREDIT after discount"),IF(T2GDiscount=0,"",IF(G1804=0,"",IF(F1804="Buy",CONCATENATE(" $",ROUND(K1804*(1-T2GDiscount),2)," with ",(T2GDiscount*100),"% discount"),CONCATENATE(" $",ROUND(K1804*(1-T2GDiscount),2)," with ",((T2GDiscount*100+F1804*100)-(T2GDiscount*100*F1804)),IF(F1804&gt;0,"% discounts",IF(NoWarrantyDiscount&gt;0,"% discounts","% discount")))))))))</f>
        <v/>
      </c>
      <c r="N1804" s="660"/>
      <c r="O1804" s="233"/>
      <c r="P1804" s="233"/>
      <c r="Q1804" s="233"/>
      <c r="R1804" s="233"/>
      <c r="S1804" s="233"/>
      <c r="T1804" s="508">
        <f t="shared" si="1370"/>
        <v>0</v>
      </c>
      <c r="U1804" s="225">
        <f>IF(NOT(ISNUMBER(G1804)), "", VLOOKUP(A1804,'Discount Lookup'!D:E,2,FALSE)*G1804)</f>
        <v>0</v>
      </c>
      <c r="V1804" s="225">
        <f>IF(NOT(ISNUMBER(G1804)), "", VLOOKUP(A1804,'Discount Lookup'!G:H,2,FALSE)*G1804)</f>
        <v>0</v>
      </c>
      <c r="W1804" s="508">
        <f t="shared" si="1371"/>
        <v>0</v>
      </c>
      <c r="X1804" s="508">
        <f t="shared" si="1372"/>
        <v>0</v>
      </c>
      <c r="Y1804" s="509" t="b">
        <f t="shared" si="1373"/>
        <v>0</v>
      </c>
      <c r="Z1804" s="510">
        <f t="shared" si="1374"/>
        <v>0</v>
      </c>
      <c r="AA1804" s="511"/>
      <c r="AB1804" s="511" t="str">
        <f t="shared" si="1375"/>
        <v/>
      </c>
      <c r="AC1804" s="698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698"/>
      <c r="AE1804" s="631" t="str">
        <f t="shared" si="1376"/>
        <v/>
      </c>
      <c r="AF1804" s="699" t="str">
        <f t="shared" si="1377"/>
        <v/>
      </c>
      <c r="AG1804" s="699"/>
      <c r="AH1804" s="699"/>
      <c r="AI1804" s="512">
        <f>IF(H1804="credit",0,IF(AE1804="free",0,IF(AE1804="me",0,IF(G1804&gt;0,(VLOOKUP(A1804,'Discount Lookup'!J:K,2)*G1804),0))))</f>
        <v>0</v>
      </c>
      <c r="AJ1804" s="513" t="str">
        <f t="shared" ca="1" si="1378"/>
        <v/>
      </c>
      <c r="AK1804" s="700" t="str">
        <f t="shared" si="1379"/>
        <v/>
      </c>
      <c r="AL1804" s="700"/>
      <c r="AM1804" s="505" t="str">
        <f t="shared" si="1380"/>
        <v/>
      </c>
      <c r="AN1804" s="506"/>
      <c r="AO1804" s="507"/>
      <c r="AP1804" s="507"/>
      <c r="AQ1804" s="507"/>
      <c r="AR1804" s="507"/>
      <c r="AS1804" s="507"/>
      <c r="AT1804" s="507"/>
      <c r="AU1804" s="507"/>
      <c r="AV1804" s="225"/>
      <c r="AW1804" s="508"/>
      <c r="AX1804" s="225"/>
      <c r="AY1804" s="225"/>
      <c r="AZ1804" s="225"/>
      <c r="BA1804" s="225"/>
      <c r="BB1804" s="225"/>
      <c r="BC1804" s="56"/>
      <c r="BD1804" s="56"/>
      <c r="BE1804" s="56"/>
      <c r="BF1804" s="107" t="str">
        <f t="shared" si="1381"/>
        <v>https://www.google.com/search?tbm=isch&amp;q=15%20G4</v>
      </c>
      <c r="BG1804" s="107" t="str">
        <f t="shared" si="1382"/>
        <v>H</v>
      </c>
      <c r="BH1804" s="254"/>
      <c r="BI1804" s="254"/>
    </row>
    <row r="1805" spans="1:61" customFormat="1" ht="17.25" thickBot="1" x14ac:dyDescent="0.3">
      <c r="A1805" s="524" t="s">
        <v>4100</v>
      </c>
      <c r="B1805" s="245"/>
      <c r="C1805" s="677"/>
      <c r="D1805" s="499"/>
      <c r="E1805" s="499"/>
      <c r="F1805" s="500"/>
      <c r="G1805" s="501"/>
      <c r="H1805" s="502"/>
      <c r="I1805" s="246"/>
      <c r="J1805" s="247"/>
      <c r="K1805" s="503"/>
      <c r="L1805" s="544"/>
      <c r="M1805" s="544"/>
      <c r="N1805" s="500"/>
      <c r="O1805" s="500"/>
      <c r="P1805" s="500"/>
      <c r="Q1805" s="500"/>
      <c r="R1805" s="500"/>
      <c r="S1805" s="669" t="s">
        <v>4976</v>
      </c>
      <c r="T1805" s="508">
        <f t="shared" si="1370"/>
        <v>0</v>
      </c>
      <c r="U1805" s="225" t="str">
        <f>IF(NOT(ISNUMBER(G1805)), "", VLOOKUP(A1805,'Discount Lookup'!D:E,2,FALSE)*G1805)</f>
        <v/>
      </c>
      <c r="V1805" s="225" t="str">
        <f>IF(NOT(ISNUMBER(G1805)), "", VLOOKUP(A1805,'Discount Lookup'!G:H,2,FALSE)*G1805)</f>
        <v/>
      </c>
      <c r="W1805" s="508">
        <f t="shared" si="1371"/>
        <v>0</v>
      </c>
      <c r="X1805" s="508">
        <f t="shared" si="1372"/>
        <v>0</v>
      </c>
      <c r="Y1805" s="509" t="b">
        <f t="shared" si="1373"/>
        <v>0</v>
      </c>
      <c r="Z1805" s="510">
        <f t="shared" si="1374"/>
        <v>0</v>
      </c>
      <c r="AA1805" s="511"/>
      <c r="AB1805" s="511" t="str">
        <f t="shared" si="1375"/>
        <v/>
      </c>
      <c r="AC1805" s="698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698"/>
      <c r="AE1805" s="631" t="str">
        <f t="shared" si="1376"/>
        <v/>
      </c>
      <c r="AF1805" s="699" t="str">
        <f t="shared" si="1377"/>
        <v/>
      </c>
      <c r="AG1805" s="699"/>
      <c r="AH1805" s="699"/>
      <c r="AI1805" s="512">
        <f>IF(H1805="credit",0,IF(AE1805="free",0,IF(AE1805="me",0,IF(G1805&gt;0,(VLOOKUP(A1805,'Discount Lookup'!J:K,2)*G1805),0))))</f>
        <v>0</v>
      </c>
      <c r="AJ1805" s="513" t="str">
        <f t="shared" ca="1" si="1378"/>
        <v/>
      </c>
      <c r="AK1805" s="700" t="str">
        <f t="shared" si="1379"/>
        <v/>
      </c>
      <c r="AL1805" s="700"/>
      <c r="AM1805" s="505" t="str">
        <f t="shared" si="1380"/>
        <v/>
      </c>
      <c r="AN1805" s="506"/>
      <c r="AO1805" s="507"/>
      <c r="AP1805" s="507"/>
      <c r="AQ1805" s="507"/>
      <c r="AR1805" s="507"/>
      <c r="AS1805" s="507"/>
      <c r="AT1805" s="507"/>
      <c r="AU1805" s="507"/>
      <c r="AV1805" s="225"/>
      <c r="AW1805" s="508"/>
      <c r="AX1805" s="225"/>
      <c r="AY1805" s="225"/>
      <c r="AZ1805" s="225"/>
      <c r="BA1805" s="225"/>
      <c r="BB1805" s="225"/>
      <c r="BC1805" s="56"/>
      <c r="BD1805" s="56"/>
      <c r="BE1805" s="56"/>
      <c r="BF1805" s="107" t="str">
        <f t="shared" si="1381"/>
        <v>https://www.google.com/search?tbm=isch&amp;q=Hearts%20A%27fire%20Redbud%20foliage%20that%20emerges%20a%20Deep%20Red%20and%20retains%20its%20vibrant%20color%20throughout%20the%20summer%20</v>
      </c>
      <c r="BG1805" s="107" t="str">
        <f t="shared" si="1382"/>
        <v>H</v>
      </c>
      <c r="BH1805" s="254"/>
      <c r="BI1805" s="254"/>
    </row>
    <row r="1806" spans="1:61" customFormat="1" ht="18" x14ac:dyDescent="0.25">
      <c r="A1806" s="523" t="s">
        <v>3222</v>
      </c>
      <c r="B1806" s="235"/>
      <c r="C1806" s="676"/>
      <c r="D1806" s="255" t="s">
        <v>3223</v>
      </c>
      <c r="E1806" s="236"/>
      <c r="F1806" s="236"/>
      <c r="G1806" s="236"/>
      <c r="H1806" s="582" t="s">
        <v>326</v>
      </c>
      <c r="I1806" s="498" t="s">
        <v>1522</v>
      </c>
      <c r="J1806" s="237"/>
      <c r="K1806" s="237"/>
      <c r="L1806" s="274"/>
      <c r="M1806" s="668" t="s">
        <v>4975</v>
      </c>
      <c r="N1806" s="681" t="str">
        <f>IF(AND(ISTEXT($A1806), ISERROR($A1806+0)), HYPERLINK($BF1806, "Images"), "")</f>
        <v>Images</v>
      </c>
      <c r="O1806" s="663" t="s">
        <v>4967</v>
      </c>
      <c r="P1806" s="253"/>
      <c r="Q1806" s="238"/>
      <c r="R1806" s="239"/>
      <c r="S1806" s="275" t="s">
        <v>305</v>
      </c>
      <c r="T1806" s="508">
        <f t="shared" ref="T1806:T1869" si="1416">E1806*G1806</f>
        <v>0</v>
      </c>
      <c r="U1806" s="225" t="str">
        <f>IF(NOT(ISNUMBER(G1806)), "", VLOOKUP(A1806,'Discount Lookup'!D:E,2,FALSE)*G1806)</f>
        <v/>
      </c>
      <c r="V1806" s="225" t="str">
        <f>IF(NOT(ISNUMBER(G1806)), "", VLOOKUP(A1806,'Discount Lookup'!G:H,2,FALSE)*G1806)</f>
        <v/>
      </c>
      <c r="W1806" s="508">
        <f t="shared" ref="W1806:W1869" si="1417">IF(H1806="credit",0,E1806*(SalesTaxPercentage)*G1806)</f>
        <v>0</v>
      </c>
      <c r="X1806" s="508" t="str">
        <f t="shared" ref="X1806:X1869" si="1418">I1806</f>
        <v>Lavender-Pink bloom</v>
      </c>
      <c r="Y1806" s="509" t="b">
        <f t="shared" ref="Y1806:Y1869" si="1419">IF(AE1806="T2G",0,IF(H1806="credit",0,IF(G1806&gt;0,IF(AE1806="me","",G1806))))</f>
        <v>0</v>
      </c>
      <c r="Z1806" s="510">
        <f t="shared" ref="Z1806:Z1869" si="1420">IF(H1806="credit",G1806,0)</f>
        <v>0</v>
      </c>
      <c r="AA1806" s="511"/>
      <c r="AB1806" s="511" t="str">
        <f t="shared" ref="AB1806:AB1869" si="1421">IF(AE1806="T2G","by Trees2Go",IF(H1806="credit","CREDIT only ~",IF(AND(K1806="",AE1806=OR(PlanterYesMe="No",PlanterYesMe="N",PlanterYesMe="me")),"not THIS line⇨",IF(AND(K1806="images",AE1806="me"),"not THIS line⇨",IF(H1806="credit","",IF(G1806=0,"",IF(AE1806="me","",IF(OR(PlanterYesMe="No",PlanterYesMe="N",PlanterYesMe="me"),"",IF(AE1806="free","warranty",IF(OR(PlanterYesMe="yes",PlanterYesMe="y"),"Edison install:","to install:"))))))))))</f>
        <v/>
      </c>
      <c r="AC1806" s="698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698"/>
      <c r="AE1806" s="631" t="str">
        <f t="shared" ref="AE1806:AE1869" si="1422">IF(H1806="credit","",IF(G1806=0,"",IF(OR(PlanterYesMe="No",PlanterYesMe="N",PlanterYesMe="me"),"me",IF(H1806="warranty","free",IF(OR(PlanterYesMe="yes",PlanterYesMe="y"),"ELP","")))))</f>
        <v/>
      </c>
      <c r="AF1806" s="699" t="str">
        <f t="shared" ref="AF1806:AF1869" si="1423">IF(OR(PlanterYesMe="No",PlanterYesMe="N",PlanterYesMe="me"),"",IF(H1806="credit","",IF(G1806&gt;0,(CONCATENATE((G1806)," quantity, ",(A1806)," ",B1806)),"")))</f>
        <v/>
      </c>
      <c r="AG1806" s="699"/>
      <c r="AH1806" s="699"/>
      <c r="AI1806" s="512">
        <f>IF(H1806="credit",0,IF(AE1806="free",0,IF(AE1806="me",0,IF(G1806&gt;0,(VLOOKUP(A1806,'Discount Lookup'!J:K,2)*G1806),0))))</f>
        <v>0</v>
      </c>
      <c r="AJ1806" s="513" t="str">
        <f t="shared" ref="AJ1806:AJ1869" ca="1" si="1424">IF(AND(ISREF(H1806),H1806="credit"),"",IF(AND(AND(OFFSET(G1806,0,0)=0,OFFSET(G1806,1,0)&gt;0,ISNUMBER(OFFSET(AC1806,1,0)),OFFSET(AC1806,1,0)&gt;0),OR(PlanterYesMe="yes",PlanterYesMe="y")),"T2G+ELP=",IF(AND(OFFSET(G1806,0,0)=0,OFFSET(G1806,1,0)&gt;0,ISNUMBER(OFFSET(AC1806,1,0)),OFFSET(AC1806,1,0)&gt;0),"if T2G+ELP=",IF(AND(OFFSET(G1806,0,0)=0,OFFSET(G1806,1,0)&gt;0),"T2G Subtotal",IF(H1806="credit","",IF(G1806=0,"",IF(AE1806="free",(K1806*(1-T2GDiscount)),IF(OR(PlanterYesMe="No",PlanterYesMe="N",PlanterYesMe="me"),(K1806*(1-T2GDiscount)),IF(OR(AE1806="me",AE1806="T2G"),(K1806*(1-T2GDiscount)),(K1806*(1-T2GDiscount))+AC1806)))))))))</f>
        <v/>
      </c>
      <c r="AK1806" s="700" t="str">
        <f t="shared" ref="AK1806:AK1869" si="1425">IF(H1806="credit","",IF(G1806=0,"",IF(OR(AE1806="me",AE1806="T2G"),"  delivery-only",IF(OR(PlanterYesMe="No",PlanterYesMe="N",PlanterYesMe="me"),"  delivery-only",CONCATENATE(" $",ROUND(AJ1806/G1806,2)," each")))))</f>
        <v/>
      </c>
      <c r="AL1806" s="700"/>
      <c r="AM1806" s="505" t="str">
        <f t="shared" ref="AM1806:AM1869" si="1426">IF(H1806="credit","",IF(AE1806="free","      ~ discounts included, no tax or planting fee applies ~",IF(G1806=0,"",IF(OR(PlanterYesMe="No",PlanterYesMe="N",PlanterYesMe="me"),CONCATENATE(" $",ROUND(AJ1806/G1806,2)," per plant, with tax &amp; discount"),IF(OR(AE1806="me",AE1806="T2G"),CONCATENATE(" $",ROUND(AJ1806/G1806,2)," per plant, with tax &amp; discount"),CONCATENATE("= $",ROUND((K1806*(1-T2GDiscount))/G1806,2)," per plant + $",AC1806/G1806,(" per planting      ~ includes tax &amp; discounts ~")))))))</f>
        <v/>
      </c>
      <c r="AN1806" s="506"/>
      <c r="AO1806" s="507"/>
      <c r="AP1806" s="507"/>
      <c r="AQ1806" s="507"/>
      <c r="AR1806" s="507"/>
      <c r="AS1806" s="507"/>
      <c r="AT1806" s="507"/>
      <c r="AU1806" s="507"/>
      <c r="AV1806" s="225"/>
      <c r="AW1806" s="508"/>
      <c r="AX1806" s="225"/>
      <c r="AY1806" s="225"/>
      <c r="AZ1806" s="225"/>
      <c r="BA1806" s="225"/>
      <c r="BB1806" s="225"/>
      <c r="BC1806" s="56"/>
      <c r="BD1806" s="56"/>
      <c r="BE1806" s="56"/>
      <c r="BF1806" s="107" t="str">
        <f t="shared" ref="BF1806:BF1869" si="1427">"https://www.google.com/search?tbm=isch&amp;q=" &amp; _xlfn.ENCODEURL($A1806 &amp; " " &amp; $D1806)</f>
        <v>https://www.google.com/search?tbm=isch&amp;q=Hearts%20of%20Gold%20Eastern%20Redbud%20Cercis%20canadensis%20%27Hearts%20of%20Gold%27%20PP%2317740</v>
      </c>
      <c r="BG1806" s="107" t="str">
        <f t="shared" ref="BG1806:BG1869" si="1428">IF(ISTEXT(A1806),LEFT(A1806,1),BG1805)</f>
        <v>H</v>
      </c>
      <c r="BH1806" s="254"/>
      <c r="BI1806" s="254"/>
    </row>
    <row r="1807" spans="1:61" customFormat="1" ht="15.75" x14ac:dyDescent="0.25">
      <c r="A1807" s="276">
        <v>7</v>
      </c>
      <c r="B1807" s="240" t="s">
        <v>291</v>
      </c>
      <c r="C1807" s="241" t="s">
        <v>3559</v>
      </c>
      <c r="D1807" s="242" t="s">
        <v>292</v>
      </c>
      <c r="E1807" s="243">
        <v>104.95</v>
      </c>
      <c r="F1807" s="517" t="s">
        <v>293</v>
      </c>
      <c r="G1807" s="232">
        <v>0</v>
      </c>
      <c r="H1807" s="661" t="str">
        <f>IF(G1807=0,"",IF(F1807="Buy",IF(G1807=1,"plant","plants"),IF(F1807&gt;0.01,"warranty","Error")))</f>
        <v/>
      </c>
      <c r="I1807" s="244">
        <f>IF(H1807="free",0,IF(H1807="credit",((E1807*(F1807))*G1807*-1),IF(F1807="Buy",(E1807*G1807),((E1807*(1-F1807))*G1807))))</f>
        <v>0</v>
      </c>
      <c r="J1807" s="244">
        <f>IF(H1807="warranty",0,(I1807*(_xlfn.SINGLE(SalesTaxPercentage))))</f>
        <v>0</v>
      </c>
      <c r="K1807" s="696">
        <f t="shared" ref="K1807" si="1429">I1807+J1807</f>
        <v>0</v>
      </c>
      <c r="L1807" s="696"/>
      <c r="M1807" s="659" t="str">
        <f>IF(AND(G1807&gt;0,E1807=0),"WARNING - no PRICE inserted",IF(H1807="free"," FREE ~ no charge this plant",IF(H1807="credit",CONCATENATE(" -$",ROUND(K1807*(1-T2GDiscount)*-1,2)," CREDIT after discount"),IF(T2GDiscount=0,"",IF(G1807=0,"",IF(F1807="Buy",CONCATENATE(" $",ROUND(K1807*(1-T2GDiscount),2)," with ",(T2GDiscount*100),"% discount"),CONCATENATE(" $",ROUND(K1807*(1-T2GDiscount),2)," with ",((T2GDiscount*100+F1807*100)-(T2GDiscount*100*F1807)),IF(F1807&gt;0,"% discounts",IF(NoWarrantyDiscount&gt;0,"% discounts","% discount")))))))))</f>
        <v/>
      </c>
      <c r="N1807" s="660"/>
      <c r="O1807" s="233"/>
      <c r="P1807" s="233"/>
      <c r="Q1807" s="233"/>
      <c r="R1807" s="233"/>
      <c r="S1807" s="233"/>
      <c r="T1807" s="508">
        <f t="shared" si="1416"/>
        <v>0</v>
      </c>
      <c r="U1807" s="225">
        <f>IF(NOT(ISNUMBER(G1807)), "", VLOOKUP(A1807,'Discount Lookup'!D:E,2,FALSE)*G1807)</f>
        <v>0</v>
      </c>
      <c r="V1807" s="225">
        <f>IF(NOT(ISNUMBER(G1807)), "", VLOOKUP(A1807,'Discount Lookup'!G:H,2,FALSE)*G1807)</f>
        <v>0</v>
      </c>
      <c r="W1807" s="508">
        <f t="shared" si="1417"/>
        <v>0</v>
      </c>
      <c r="X1807" s="508">
        <f t="shared" si="1418"/>
        <v>0</v>
      </c>
      <c r="Y1807" s="509" t="b">
        <f t="shared" si="1419"/>
        <v>0</v>
      </c>
      <c r="Z1807" s="510">
        <f t="shared" si="1420"/>
        <v>0</v>
      </c>
      <c r="AA1807" s="511"/>
      <c r="AB1807" s="511" t="str">
        <f t="shared" si="1421"/>
        <v/>
      </c>
      <c r="AC1807" s="698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698"/>
      <c r="AE1807" s="631" t="str">
        <f t="shared" si="1422"/>
        <v/>
      </c>
      <c r="AF1807" s="699" t="str">
        <f t="shared" si="1423"/>
        <v/>
      </c>
      <c r="AG1807" s="699"/>
      <c r="AH1807" s="699"/>
      <c r="AI1807" s="512">
        <f>IF(H1807="credit",0,IF(AE1807="free",0,IF(AE1807="me",0,IF(G1807&gt;0,(VLOOKUP(A1807,'Discount Lookup'!J:K,2)*G1807),0))))</f>
        <v>0</v>
      </c>
      <c r="AJ1807" s="513" t="str">
        <f t="shared" ca="1" si="1424"/>
        <v/>
      </c>
      <c r="AK1807" s="700" t="str">
        <f t="shared" si="1425"/>
        <v/>
      </c>
      <c r="AL1807" s="700"/>
      <c r="AM1807" s="505" t="str">
        <f t="shared" si="1426"/>
        <v/>
      </c>
      <c r="AN1807" s="506"/>
      <c r="AO1807" s="507"/>
      <c r="AP1807" s="507"/>
      <c r="AQ1807" s="507"/>
      <c r="AR1807" s="507"/>
      <c r="AS1807" s="507"/>
      <c r="AT1807" s="507"/>
      <c r="AU1807" s="507"/>
      <c r="AV1807" s="225"/>
      <c r="AW1807" s="508"/>
      <c r="AX1807" s="225"/>
      <c r="AY1807" s="225"/>
      <c r="AZ1807" s="225"/>
      <c r="BA1807" s="225"/>
      <c r="BB1807" s="225"/>
      <c r="BC1807" s="56"/>
      <c r="BD1807" s="56"/>
      <c r="BE1807" s="56"/>
      <c r="BF1807" s="107" t="str">
        <f t="shared" si="1427"/>
        <v>https://www.google.com/search?tbm=isch&amp;q=7%20G4</v>
      </c>
      <c r="BG1807" s="107" t="str">
        <f t="shared" si="1428"/>
        <v>H</v>
      </c>
      <c r="BH1807" s="254"/>
      <c r="BI1807" s="254"/>
    </row>
    <row r="1808" spans="1:61" customFormat="1" ht="17.25" thickBot="1" x14ac:dyDescent="0.3">
      <c r="A1808" s="524" t="s">
        <v>3264</v>
      </c>
      <c r="B1808" s="245"/>
      <c r="C1808" s="677"/>
      <c r="D1808" s="499"/>
      <c r="E1808" s="499"/>
      <c r="F1808" s="500"/>
      <c r="G1808" s="501"/>
      <c r="H1808" s="502"/>
      <c r="I1808" s="246"/>
      <c r="J1808" s="247"/>
      <c r="K1808" s="503"/>
      <c r="L1808" s="544"/>
      <c r="M1808" s="544"/>
      <c r="N1808" s="500"/>
      <c r="O1808" s="500"/>
      <c r="P1808" s="500"/>
      <c r="Q1808" s="500"/>
      <c r="R1808" s="500"/>
      <c r="S1808" s="669" t="s">
        <v>4996</v>
      </c>
      <c r="T1808" s="508">
        <f t="shared" si="1416"/>
        <v>0</v>
      </c>
      <c r="U1808" s="225" t="str">
        <f>IF(NOT(ISNUMBER(G1808)), "", VLOOKUP(A1808,'Discount Lookup'!D:E,2,FALSE)*G1808)</f>
        <v/>
      </c>
      <c r="V1808" s="225" t="str">
        <f>IF(NOT(ISNUMBER(G1808)), "", VLOOKUP(A1808,'Discount Lookup'!G:H,2,FALSE)*G1808)</f>
        <v/>
      </c>
      <c r="W1808" s="508">
        <f t="shared" si="1417"/>
        <v>0</v>
      </c>
      <c r="X1808" s="508">
        <f t="shared" si="1418"/>
        <v>0</v>
      </c>
      <c r="Y1808" s="509" t="b">
        <f t="shared" si="1419"/>
        <v>0</v>
      </c>
      <c r="Z1808" s="510">
        <f t="shared" si="1420"/>
        <v>0</v>
      </c>
      <c r="AA1808" s="511"/>
      <c r="AB1808" s="511" t="str">
        <f t="shared" si="1421"/>
        <v/>
      </c>
      <c r="AC1808" s="698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698"/>
      <c r="AE1808" s="631" t="str">
        <f t="shared" si="1422"/>
        <v/>
      </c>
      <c r="AF1808" s="699" t="str">
        <f t="shared" si="1423"/>
        <v/>
      </c>
      <c r="AG1808" s="699"/>
      <c r="AH1808" s="699"/>
      <c r="AI1808" s="512">
        <f>IF(H1808="credit",0,IF(AE1808="free",0,IF(AE1808="me",0,IF(G1808&gt;0,(VLOOKUP(A1808,'Discount Lookup'!J:K,2)*G1808),0))))</f>
        <v>0</v>
      </c>
      <c r="AJ1808" s="513" t="str">
        <f t="shared" ca="1" si="1424"/>
        <v/>
      </c>
      <c r="AK1808" s="700" t="str">
        <f t="shared" si="1425"/>
        <v/>
      </c>
      <c r="AL1808" s="700"/>
      <c r="AM1808" s="505" t="str">
        <f t="shared" si="1426"/>
        <v/>
      </c>
      <c r="AN1808" s="506"/>
      <c r="AO1808" s="507"/>
      <c r="AP1808" s="507"/>
      <c r="AQ1808" s="507"/>
      <c r="AR1808" s="507"/>
      <c r="AS1808" s="507"/>
      <c r="AT1808" s="507"/>
      <c r="AU1808" s="507"/>
      <c r="AV1808" s="225"/>
      <c r="AW1808" s="508"/>
      <c r="AX1808" s="225"/>
      <c r="AY1808" s="225"/>
      <c r="AZ1808" s="225"/>
      <c r="BA1808" s="225"/>
      <c r="BB1808" s="225"/>
      <c r="BC1808" s="56"/>
      <c r="BD1808" s="56"/>
      <c r="BE1808" s="56"/>
      <c r="BF1808" s="107" t="str">
        <f t="shared" si="1427"/>
        <v>https://www.google.com/search?tbm=isch&amp;q=Hearts%20of%20Gold%20has%20heart-shaped%2C%20Chartreuse-Gold%20leaves%20that%20hold%20their%20color%20all%20summer.%20New%20foliage%20that%20has%20an%20Orange-Red%20tint%20</v>
      </c>
      <c r="BG1808" s="107" t="str">
        <f t="shared" si="1428"/>
        <v>H</v>
      </c>
      <c r="BH1808" s="254"/>
      <c r="BI1808" s="254"/>
    </row>
    <row r="1809" spans="1:61" customFormat="1" ht="18" x14ac:dyDescent="0.25">
      <c r="A1809" s="523" t="s">
        <v>1088</v>
      </c>
      <c r="B1809" s="235"/>
      <c r="C1809" s="676"/>
      <c r="D1809" s="255" t="s">
        <v>1089</v>
      </c>
      <c r="E1809" s="236"/>
      <c r="F1809" s="236"/>
      <c r="G1809" s="236"/>
      <c r="H1809" s="582" t="s">
        <v>905</v>
      </c>
      <c r="I1809" s="498" t="s">
        <v>3024</v>
      </c>
      <c r="J1809" s="237"/>
      <c r="K1809" s="237"/>
      <c r="L1809" s="274"/>
      <c r="M1809" s="668" t="s">
        <v>4962</v>
      </c>
      <c r="N1809" s="681" t="str">
        <f>IF(AND(ISTEXT($A1809), ISERROR($A1809+0)), HYPERLINK($BF1809, "Images"), "")</f>
        <v>Images</v>
      </c>
      <c r="O1809" s="663" t="s">
        <v>4969</v>
      </c>
      <c r="P1809" s="253"/>
      <c r="Q1809" s="238"/>
      <c r="R1809" s="239"/>
      <c r="S1809" s="275" t="s">
        <v>305</v>
      </c>
      <c r="T1809" s="508">
        <f t="shared" si="1416"/>
        <v>0</v>
      </c>
      <c r="U1809" s="225" t="str">
        <f>IF(NOT(ISNUMBER(G1809)), "", VLOOKUP(A1809,'Discount Lookup'!D:E,2,FALSE)*G1809)</f>
        <v/>
      </c>
      <c r="V1809" s="225" t="str">
        <f>IF(NOT(ISNUMBER(G1809)), "", VLOOKUP(A1809,'Discount Lookup'!G:H,2,FALSE)*G1809)</f>
        <v/>
      </c>
      <c r="W1809" s="508">
        <f t="shared" si="1417"/>
        <v>0</v>
      </c>
      <c r="X1809" s="508" t="str">
        <f t="shared" si="1418"/>
        <v>Metallic Blue-Green blades</v>
      </c>
      <c r="Y1809" s="509" t="b">
        <f t="shared" si="1419"/>
        <v>0</v>
      </c>
      <c r="Z1809" s="510">
        <f t="shared" si="1420"/>
        <v>0</v>
      </c>
      <c r="AA1809" s="511"/>
      <c r="AB1809" s="511" t="str">
        <f t="shared" si="1421"/>
        <v/>
      </c>
      <c r="AC1809" s="698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698"/>
      <c r="AE1809" s="631" t="str">
        <f t="shared" si="1422"/>
        <v/>
      </c>
      <c r="AF1809" s="699" t="str">
        <f t="shared" si="1423"/>
        <v/>
      </c>
      <c r="AG1809" s="699"/>
      <c r="AH1809" s="699"/>
      <c r="AI1809" s="512">
        <f>IF(H1809="credit",0,IF(AE1809="free",0,IF(AE1809="me",0,IF(G1809&gt;0,(VLOOKUP(A1809,'Discount Lookup'!J:K,2)*G1809),0))))</f>
        <v>0</v>
      </c>
      <c r="AJ1809" s="513" t="str">
        <f t="shared" ca="1" si="1424"/>
        <v/>
      </c>
      <c r="AK1809" s="700" t="str">
        <f t="shared" si="1425"/>
        <v/>
      </c>
      <c r="AL1809" s="700"/>
      <c r="AM1809" s="505" t="str">
        <f t="shared" si="1426"/>
        <v/>
      </c>
      <c r="AN1809" s="506"/>
      <c r="AO1809" s="507"/>
      <c r="AP1809" s="507"/>
      <c r="AQ1809" s="507"/>
      <c r="AR1809" s="507"/>
      <c r="AS1809" s="507"/>
      <c r="AT1809" s="507"/>
      <c r="AU1809" s="507"/>
      <c r="AV1809" s="225"/>
      <c r="AW1809" s="508"/>
      <c r="AX1809" s="225"/>
      <c r="AY1809" s="225"/>
      <c r="AZ1809" s="225"/>
      <c r="BA1809" s="225"/>
      <c r="BB1809" s="225"/>
      <c r="BC1809" s="56"/>
      <c r="BD1809" s="56"/>
      <c r="BE1809" s="56"/>
      <c r="BF1809" s="107" t="str">
        <f t="shared" si="1427"/>
        <v>https://www.google.com/search?tbm=isch&amp;q=Heavy%20Metal%20Switchgrass%20Panicum%20virgatum%20%27Heavy%20Metal%27</v>
      </c>
      <c r="BG1809" s="107" t="str">
        <f t="shared" si="1428"/>
        <v>H</v>
      </c>
      <c r="BH1809" s="254"/>
      <c r="BI1809" s="254"/>
    </row>
    <row r="1810" spans="1:61" customFormat="1" ht="15.75" x14ac:dyDescent="0.25">
      <c r="A1810" s="276">
        <v>3</v>
      </c>
      <c r="B1810" s="240" t="s">
        <v>291</v>
      </c>
      <c r="C1810" s="241"/>
      <c r="D1810" s="242" t="s">
        <v>298</v>
      </c>
      <c r="E1810" s="243">
        <v>25.95</v>
      </c>
      <c r="F1810" s="517" t="s">
        <v>293</v>
      </c>
      <c r="G1810" s="232">
        <v>0</v>
      </c>
      <c r="H1810" s="661" t="str">
        <f>IF(G1810=0,"",IF(F1810="Buy",IF(G1810=1,"plant","plants"),IF(F1810&gt;0.01,"warranty","Error")))</f>
        <v/>
      </c>
      <c r="I1810" s="244">
        <f>IF(H1810="free",0,IF(H1810="credit",((E1810*(F1810))*G1810*-1),IF(F1810="Buy",(E1810*G1810),((E1810*(1-F1810))*G1810))))</f>
        <v>0</v>
      </c>
      <c r="J1810" s="244">
        <f>IF(H1810="warranty",0,(I1810*(_xlfn.SINGLE(SalesTaxPercentage))))</f>
        <v>0</v>
      </c>
      <c r="K1810" s="696">
        <f t="shared" ref="K1810" si="1430">I1810+J1810</f>
        <v>0</v>
      </c>
      <c r="L1810" s="696"/>
      <c r="M1810" s="659" t="str">
        <f>IF(AND(G1810&gt;0,E1810=0),"WARNING - no PRICE inserted",IF(H1810="free"," FREE ~ no charge this plant",IF(H1810="credit",CONCATENATE(" -$",ROUND(K1810*(1-T2GDiscount)*-1,2)," CREDIT after discount"),IF(T2GDiscount=0,"",IF(G1810=0,"",IF(F1810="Buy",CONCATENATE(" $",ROUND(K1810*(1-T2GDiscount),2)," with ",(T2GDiscount*100),"% discount"),CONCATENATE(" $",ROUND(K1810*(1-T2GDiscount),2)," with ",((T2GDiscount*100+F1810*100)-(T2GDiscount*100*F1810)),IF(F1810&gt;0,"% discounts",IF(NoWarrantyDiscount&gt;0,"% discounts","% discount")))))))))</f>
        <v/>
      </c>
      <c r="N1810" s="660"/>
      <c r="O1810" s="233"/>
      <c r="P1810" s="233"/>
      <c r="Q1810" s="233"/>
      <c r="R1810" s="233"/>
      <c r="S1810" s="233"/>
      <c r="T1810" s="508">
        <f t="shared" si="1416"/>
        <v>0</v>
      </c>
      <c r="U1810" s="225">
        <f>IF(NOT(ISNUMBER(G1810)), "", VLOOKUP(A1810,'Discount Lookup'!D:E,2,FALSE)*G1810)</f>
        <v>0</v>
      </c>
      <c r="V1810" s="225">
        <f>IF(NOT(ISNUMBER(G1810)), "", VLOOKUP(A1810,'Discount Lookup'!G:H,2,FALSE)*G1810)</f>
        <v>0</v>
      </c>
      <c r="W1810" s="508">
        <f t="shared" si="1417"/>
        <v>0</v>
      </c>
      <c r="X1810" s="508">
        <f t="shared" si="1418"/>
        <v>0</v>
      </c>
      <c r="Y1810" s="509" t="b">
        <f t="shared" si="1419"/>
        <v>0</v>
      </c>
      <c r="Z1810" s="510">
        <f t="shared" si="1420"/>
        <v>0</v>
      </c>
      <c r="AA1810" s="511"/>
      <c r="AB1810" s="511" t="str">
        <f t="shared" si="1421"/>
        <v/>
      </c>
      <c r="AC1810" s="698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698"/>
      <c r="AE1810" s="631" t="str">
        <f t="shared" si="1422"/>
        <v/>
      </c>
      <c r="AF1810" s="699" t="str">
        <f t="shared" si="1423"/>
        <v/>
      </c>
      <c r="AG1810" s="699"/>
      <c r="AH1810" s="699"/>
      <c r="AI1810" s="512">
        <f>IF(H1810="credit",0,IF(AE1810="free",0,IF(AE1810="me",0,IF(G1810&gt;0,(VLOOKUP(A1810,'Discount Lookup'!J:K,2)*G1810),0))))</f>
        <v>0</v>
      </c>
      <c r="AJ1810" s="513" t="str">
        <f t="shared" ca="1" si="1424"/>
        <v/>
      </c>
      <c r="AK1810" s="700" t="str">
        <f t="shared" si="1425"/>
        <v/>
      </c>
      <c r="AL1810" s="700"/>
      <c r="AM1810" s="505" t="str">
        <f t="shared" si="1426"/>
        <v/>
      </c>
      <c r="AN1810" s="506"/>
      <c r="AO1810" s="507"/>
      <c r="AP1810" s="507"/>
      <c r="AQ1810" s="507"/>
      <c r="AR1810" s="507"/>
      <c r="AS1810" s="507"/>
      <c r="AT1810" s="507"/>
      <c r="AU1810" s="507"/>
      <c r="AV1810" s="225"/>
      <c r="AW1810" s="508"/>
      <c r="AX1810" s="225"/>
      <c r="AY1810" s="225"/>
      <c r="AZ1810" s="225"/>
      <c r="BA1810" s="225"/>
      <c r="BB1810" s="225"/>
      <c r="BC1810" s="56"/>
      <c r="BD1810" s="56"/>
      <c r="BE1810" s="56"/>
      <c r="BF1810" s="107" t="str">
        <f t="shared" si="1427"/>
        <v>https://www.google.com/search?tbm=isch&amp;q=3%20G1</v>
      </c>
      <c r="BG1810" s="107" t="str">
        <f t="shared" si="1428"/>
        <v>H</v>
      </c>
      <c r="BH1810" s="254"/>
      <c r="BI1810" s="254"/>
    </row>
    <row r="1811" spans="1:61" customFormat="1" ht="17.25" thickBot="1" x14ac:dyDescent="0.3">
      <c r="A1811" s="673" t="s">
        <v>5138</v>
      </c>
      <c r="B1811" s="245"/>
      <c r="C1811" s="677"/>
      <c r="D1811" s="499"/>
      <c r="E1811" s="499"/>
      <c r="F1811" s="500"/>
      <c r="G1811" s="501"/>
      <c r="H1811" s="502"/>
      <c r="I1811" s="246"/>
      <c r="J1811" s="247"/>
      <c r="K1811" s="503"/>
      <c r="L1811" s="544"/>
      <c r="M1811" s="544"/>
      <c r="N1811" s="500"/>
      <c r="O1811" s="500"/>
      <c r="P1811" s="500"/>
      <c r="Q1811" s="500"/>
      <c r="R1811" s="500"/>
      <c r="S1811" s="669" t="s">
        <v>4991</v>
      </c>
      <c r="T1811" s="508">
        <f t="shared" si="1416"/>
        <v>0</v>
      </c>
      <c r="U1811" s="225" t="str">
        <f>IF(NOT(ISNUMBER(G1811)), "", VLOOKUP(A1811,'Discount Lookup'!D:E,2,FALSE)*G1811)</f>
        <v/>
      </c>
      <c r="V1811" s="225" t="str">
        <f>IF(NOT(ISNUMBER(G1811)), "", VLOOKUP(A1811,'Discount Lookup'!G:H,2,FALSE)*G1811)</f>
        <v/>
      </c>
      <c r="W1811" s="508">
        <f t="shared" si="1417"/>
        <v>0</v>
      </c>
      <c r="X1811" s="508">
        <f t="shared" si="1418"/>
        <v>0</v>
      </c>
      <c r="Y1811" s="509" t="b">
        <f t="shared" si="1419"/>
        <v>0</v>
      </c>
      <c r="Z1811" s="510">
        <f t="shared" si="1420"/>
        <v>0</v>
      </c>
      <c r="AA1811" s="511"/>
      <c r="AB1811" s="511" t="str">
        <f t="shared" si="1421"/>
        <v/>
      </c>
      <c r="AC1811" s="698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698"/>
      <c r="AE1811" s="631" t="str">
        <f t="shared" si="1422"/>
        <v/>
      </c>
      <c r="AF1811" s="699" t="str">
        <f t="shared" si="1423"/>
        <v/>
      </c>
      <c r="AG1811" s="699"/>
      <c r="AH1811" s="699"/>
      <c r="AI1811" s="512">
        <f>IF(H1811="credit",0,IF(AE1811="free",0,IF(AE1811="me",0,IF(G1811&gt;0,(VLOOKUP(A1811,'Discount Lookup'!J:K,2)*G1811),0))))</f>
        <v>0</v>
      </c>
      <c r="AJ1811" s="513" t="str">
        <f t="shared" ca="1" si="1424"/>
        <v/>
      </c>
      <c r="AK1811" s="700" t="str">
        <f t="shared" si="1425"/>
        <v/>
      </c>
      <c r="AL1811" s="700"/>
      <c r="AM1811" s="505" t="str">
        <f t="shared" si="1426"/>
        <v/>
      </c>
      <c r="AN1811" s="506"/>
      <c r="AO1811" s="507"/>
      <c r="AP1811" s="507"/>
      <c r="AQ1811" s="507"/>
      <c r="AR1811" s="507"/>
      <c r="AS1811" s="507"/>
      <c r="AT1811" s="507"/>
      <c r="AU1811" s="507"/>
      <c r="AV1811" s="225"/>
      <c r="AW1811" s="508"/>
      <c r="AX1811" s="225"/>
      <c r="AY1811" s="225"/>
      <c r="AZ1811" s="225"/>
      <c r="BA1811" s="225"/>
      <c r="BB1811" s="225"/>
      <c r="BC1811" s="56"/>
      <c r="BD1811" s="56"/>
      <c r="BE1811" s="56"/>
      <c r="BF1811" s="107" t="str">
        <f t="shared" si="1427"/>
        <v>https://www.google.com/search?tbm=isch&amp;q=moist%20sites%F0%9F%92%A7GOOD%2C%20Heavy%20Metal%20has%20Pink-tinged%20panicles%20aging%20to%20beige.%20Blades%20turn%20Orange-Yellow%20in%20fall%2C%20then%20Tan-Beige%20</v>
      </c>
      <c r="BG1811" s="107" t="str">
        <f t="shared" si="1428"/>
        <v>m</v>
      </c>
      <c r="BH1811" s="254"/>
      <c r="BI1811" s="254"/>
    </row>
    <row r="1812" spans="1:61" customFormat="1" ht="18" x14ac:dyDescent="0.25">
      <c r="A1812" s="521" t="s">
        <v>2895</v>
      </c>
      <c r="B1812" s="477"/>
      <c r="C1812" s="674"/>
      <c r="D1812" s="478" t="s">
        <v>1090</v>
      </c>
      <c r="E1812" s="479"/>
      <c r="F1812" s="479"/>
      <c r="G1812" s="479"/>
      <c r="H1812" s="582" t="s">
        <v>720</v>
      </c>
      <c r="I1812" s="480" t="s">
        <v>2896</v>
      </c>
      <c r="J1812" s="479"/>
      <c r="K1812" s="479"/>
      <c r="L1812" s="560"/>
      <c r="M1812" s="671" t="s">
        <v>4990</v>
      </c>
      <c r="N1812" s="680" t="str">
        <f>IF(AND(ISTEXT($A1812), ISERROR($A1812+0)), HYPERLINK($BF1812, "Images"), "")</f>
        <v>Images</v>
      </c>
      <c r="O1812" s="662" t="s">
        <v>4969</v>
      </c>
      <c r="P1812" s="482"/>
      <c r="Q1812" s="483"/>
      <c r="R1812" s="483"/>
      <c r="S1812" s="484"/>
      <c r="T1812" s="508">
        <f t="shared" si="1416"/>
        <v>0</v>
      </c>
      <c r="U1812" s="225" t="str">
        <f>IF(NOT(ISNUMBER(G1812)), "", VLOOKUP(A1812,'Discount Lookup'!D:E,2,FALSE)*G1812)</f>
        <v/>
      </c>
      <c r="V1812" s="225" t="str">
        <f>IF(NOT(ISNUMBER(G1812)), "", VLOOKUP(A1812,'Discount Lookup'!G:H,2,FALSE)*G1812)</f>
        <v/>
      </c>
      <c r="W1812" s="508">
        <f t="shared" si="1417"/>
        <v>0</v>
      </c>
      <c r="X1812" s="508" t="str">
        <f t="shared" si="1418"/>
        <v>Lime Green &amp; Green foliage</v>
      </c>
      <c r="Y1812" s="509" t="b">
        <f t="shared" si="1419"/>
        <v>0</v>
      </c>
      <c r="Z1812" s="510">
        <f t="shared" si="1420"/>
        <v>0</v>
      </c>
      <c r="AA1812" s="511"/>
      <c r="AB1812" s="511" t="str">
        <f t="shared" si="1421"/>
        <v/>
      </c>
      <c r="AC1812" s="698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698"/>
      <c r="AE1812" s="631" t="str">
        <f t="shared" si="1422"/>
        <v/>
      </c>
      <c r="AF1812" s="699" t="str">
        <f t="shared" si="1423"/>
        <v/>
      </c>
      <c r="AG1812" s="699"/>
      <c r="AH1812" s="699"/>
      <c r="AI1812" s="512">
        <f>IF(H1812="credit",0,IF(AE1812="free",0,IF(AE1812="me",0,IF(G1812&gt;0,(VLOOKUP(A1812,'Discount Lookup'!J:K,2)*G1812),0))))</f>
        <v>0</v>
      </c>
      <c r="AJ1812" s="513" t="str">
        <f t="shared" ca="1" si="1424"/>
        <v/>
      </c>
      <c r="AK1812" s="700" t="str">
        <f t="shared" si="1425"/>
        <v/>
      </c>
      <c r="AL1812" s="700"/>
      <c r="AM1812" s="505" t="str">
        <f t="shared" si="1426"/>
        <v/>
      </c>
      <c r="AN1812" s="506"/>
      <c r="AO1812" s="507"/>
      <c r="AP1812" s="507"/>
      <c r="AQ1812" s="507"/>
      <c r="AR1812" s="507"/>
      <c r="AS1812" s="507"/>
      <c r="AT1812" s="507"/>
      <c r="AU1812" s="507"/>
      <c r="AV1812" s="225"/>
      <c r="AW1812" s="508"/>
      <c r="AX1812" s="225"/>
      <c r="AY1812" s="225"/>
      <c r="AZ1812" s="225"/>
      <c r="BA1812" s="225"/>
      <c r="BB1812" s="225"/>
      <c r="BC1812" s="56"/>
      <c r="BD1812" s="56"/>
      <c r="BE1812" s="56"/>
      <c r="BF1812" s="107" t="str">
        <f t="shared" si="1427"/>
        <v>https://www.google.com/search?tbm=isch&amp;q=Hedgehog%20Plum%20Yew%20Cephalotaxus%20harringtonia%20%27Hedgehog%27</v>
      </c>
      <c r="BG1812" s="107" t="str">
        <f t="shared" si="1428"/>
        <v>H</v>
      </c>
      <c r="BH1812" s="254"/>
      <c r="BI1812" s="254"/>
    </row>
    <row r="1813" spans="1:61" customFormat="1" ht="15.75" x14ac:dyDescent="0.25">
      <c r="A1813" s="485">
        <v>3</v>
      </c>
      <c r="B1813" s="486" t="s">
        <v>291</v>
      </c>
      <c r="C1813" s="487" t="s">
        <v>2757</v>
      </c>
      <c r="D1813" s="488" t="s">
        <v>299</v>
      </c>
      <c r="E1813" s="489">
        <v>40.950000000000003</v>
      </c>
      <c r="F1813" s="516" t="s">
        <v>293</v>
      </c>
      <c r="G1813" s="232">
        <v>0</v>
      </c>
      <c r="H1813" s="658" t="str">
        <f>IF(G1813=0,"",IF(F1813="Buy",IF(G1813=1,"plant","plants"),IF(F1813&gt;0.01,"warranty","Error")))</f>
        <v/>
      </c>
      <c r="I1813" s="490">
        <f>IF(H1813="free",0,IF(H1813="credit",((E1813*(F1813))*G1813*-1),IF(F1813="Buy",(E1813*G1813),((E1813*(1-F1813))*G1813))))</f>
        <v>0</v>
      </c>
      <c r="J1813" s="490">
        <f>IF(H1813="warranty",0,(I1813*(_xlfn.SINGLE(SalesTaxPercentage))))</f>
        <v>0</v>
      </c>
      <c r="K1813" s="695">
        <f t="shared" ref="K1813" si="1431">I1813+J1813</f>
        <v>0</v>
      </c>
      <c r="L1813" s="695"/>
      <c r="M1813" s="659" t="str">
        <f>IF(AND(G1813&gt;0,E1813=0),"WARNING - no PRICE inserted",IF(H1813="free"," FREE ~ no charge this plant",IF(H1813="credit",CONCATENATE(" -$",ROUND(K1813*(1-T2GDiscount)*-1,2)," CREDIT after discount"),IF(T2GDiscount=0,"",IF(G1813=0,"",IF(F1813="Buy",CONCATENATE(" $",ROUND(K1813*(1-T2GDiscount),2)," with ",(T2GDiscount*100),"% discount"),CONCATENATE(" $",ROUND(K1813*(1-T2GDiscount),2)," with ",((T2GDiscount*100+F1813*100)-(T2GDiscount*100*F1813)),IF(F1813&gt;0,"% discounts",IF(NoWarrantyDiscount&gt;0,"% discounts","% discount")))))))))</f>
        <v/>
      </c>
      <c r="N1813" s="660"/>
      <c r="O1813" s="233"/>
      <c r="P1813" s="233"/>
      <c r="Q1813" s="233"/>
      <c r="R1813" s="233"/>
      <c r="S1813" s="233"/>
      <c r="T1813" s="508">
        <f t="shared" si="1416"/>
        <v>0</v>
      </c>
      <c r="U1813" s="225">
        <f>IF(NOT(ISNUMBER(G1813)), "", VLOOKUP(A1813,'Discount Lookup'!D:E,2,FALSE)*G1813)</f>
        <v>0</v>
      </c>
      <c r="V1813" s="225">
        <f>IF(NOT(ISNUMBER(G1813)), "", VLOOKUP(A1813,'Discount Lookup'!G:H,2,FALSE)*G1813)</f>
        <v>0</v>
      </c>
      <c r="W1813" s="508">
        <f t="shared" si="1417"/>
        <v>0</v>
      </c>
      <c r="X1813" s="508">
        <f t="shared" si="1418"/>
        <v>0</v>
      </c>
      <c r="Y1813" s="509" t="b">
        <f t="shared" si="1419"/>
        <v>0</v>
      </c>
      <c r="Z1813" s="510">
        <f t="shared" si="1420"/>
        <v>0</v>
      </c>
      <c r="AA1813" s="511"/>
      <c r="AB1813" s="511" t="str">
        <f t="shared" si="1421"/>
        <v/>
      </c>
      <c r="AC1813" s="698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698"/>
      <c r="AE1813" s="631" t="str">
        <f t="shared" si="1422"/>
        <v/>
      </c>
      <c r="AF1813" s="699" t="str">
        <f t="shared" si="1423"/>
        <v/>
      </c>
      <c r="AG1813" s="699"/>
      <c r="AH1813" s="699"/>
      <c r="AI1813" s="512">
        <f>IF(H1813="credit",0,IF(AE1813="free",0,IF(AE1813="me",0,IF(G1813&gt;0,(VLOOKUP(A1813,'Discount Lookup'!J:K,2)*G1813),0))))</f>
        <v>0</v>
      </c>
      <c r="AJ1813" s="513" t="str">
        <f t="shared" ca="1" si="1424"/>
        <v/>
      </c>
      <c r="AK1813" s="700" t="str">
        <f t="shared" si="1425"/>
        <v/>
      </c>
      <c r="AL1813" s="700"/>
      <c r="AM1813" s="505" t="str">
        <f t="shared" si="1426"/>
        <v/>
      </c>
      <c r="AN1813" s="506"/>
      <c r="AO1813" s="507"/>
      <c r="AP1813" s="507"/>
      <c r="AQ1813" s="507"/>
      <c r="AR1813" s="507"/>
      <c r="AS1813" s="507"/>
      <c r="AT1813" s="507"/>
      <c r="AU1813" s="507"/>
      <c r="AV1813" s="225"/>
      <c r="AW1813" s="508"/>
      <c r="AX1813" s="225"/>
      <c r="AY1813" s="225"/>
      <c r="AZ1813" s="225"/>
      <c r="BA1813" s="225"/>
      <c r="BB1813" s="225"/>
      <c r="BC1813" s="56"/>
      <c r="BD1813" s="56"/>
      <c r="BE1813" s="56"/>
      <c r="BF1813" s="107" t="str">
        <f t="shared" si="1427"/>
        <v>https://www.google.com/search?tbm=isch&amp;q=3%20G5</v>
      </c>
      <c r="BG1813" s="107" t="str">
        <f t="shared" si="1428"/>
        <v>H</v>
      </c>
      <c r="BH1813" s="254"/>
      <c r="BI1813" s="254"/>
    </row>
    <row r="1814" spans="1:61" customFormat="1" ht="27" x14ac:dyDescent="0.25">
      <c r="A1814" s="485">
        <v>5</v>
      </c>
      <c r="B1814" s="486" t="s">
        <v>291</v>
      </c>
      <c r="C1814" s="487" t="s">
        <v>3560</v>
      </c>
      <c r="D1814" s="488" t="s">
        <v>292</v>
      </c>
      <c r="E1814" s="489">
        <v>104.95</v>
      </c>
      <c r="F1814" s="516" t="s">
        <v>293</v>
      </c>
      <c r="G1814" s="232">
        <v>0</v>
      </c>
      <c r="H1814" s="658" t="str">
        <f>IF(G1814=0,"",IF(F1814="Buy",IF(G1814=1,"plant","plants"),IF(F1814&gt;0.01,"warranty","Error")))</f>
        <v/>
      </c>
      <c r="I1814" s="490">
        <f>IF(H1814="free",0,IF(H1814="credit",((E1814*(F1814))*G1814*-1),IF(F1814="Buy",(E1814*G1814),((E1814*(1-F1814))*G1814))))</f>
        <v>0</v>
      </c>
      <c r="J1814" s="490">
        <f>IF(H1814="warranty",0,(I1814*(_xlfn.SINGLE(SalesTaxPercentage))))</f>
        <v>0</v>
      </c>
      <c r="K1814" s="695">
        <f t="shared" ref="K1814" si="1432">I1814+J1814</f>
        <v>0</v>
      </c>
      <c r="L1814" s="695"/>
      <c r="M1814" s="659" t="str">
        <f>IF(AND(G1814&gt;0,E1814=0),"WARNING - no PRICE inserted",IF(H1814="free"," FREE ~ no charge this plant",IF(H1814="credit",CONCATENATE(" -$",ROUND(K1814*(1-T2GDiscount)*-1,2)," CREDIT after discount"),IF(T2GDiscount=0,"",IF(G1814=0,"",IF(F1814="Buy",CONCATENATE(" $",ROUND(K1814*(1-T2GDiscount),2)," with ",(T2GDiscount*100),"% discount"),CONCATENATE(" $",ROUND(K1814*(1-T2GDiscount),2)," with ",((T2GDiscount*100+F1814*100)-(T2GDiscount*100*F1814)),IF(F1814&gt;0,"% discounts",IF(NoWarrantyDiscount&gt;0,"% discounts","% discount")))))))))</f>
        <v/>
      </c>
      <c r="N1814" s="660"/>
      <c r="O1814" s="233"/>
      <c r="P1814" s="233"/>
      <c r="Q1814" s="233"/>
      <c r="R1814" s="233"/>
      <c r="S1814" s="233"/>
      <c r="T1814" s="508">
        <f t="shared" si="1416"/>
        <v>0</v>
      </c>
      <c r="U1814" s="225">
        <f>IF(NOT(ISNUMBER(G1814)), "", VLOOKUP(A1814,'Discount Lookup'!D:E,2,FALSE)*G1814)</f>
        <v>0</v>
      </c>
      <c r="V1814" s="225">
        <f>IF(NOT(ISNUMBER(G1814)), "", VLOOKUP(A1814,'Discount Lookup'!G:H,2,FALSE)*G1814)</f>
        <v>0</v>
      </c>
      <c r="W1814" s="508">
        <f t="shared" si="1417"/>
        <v>0</v>
      </c>
      <c r="X1814" s="508">
        <f t="shared" si="1418"/>
        <v>0</v>
      </c>
      <c r="Y1814" s="509" t="b">
        <f t="shared" si="1419"/>
        <v>0</v>
      </c>
      <c r="Z1814" s="510">
        <f t="shared" si="1420"/>
        <v>0</v>
      </c>
      <c r="AA1814" s="511"/>
      <c r="AB1814" s="511" t="str">
        <f t="shared" si="1421"/>
        <v/>
      </c>
      <c r="AC1814" s="698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698"/>
      <c r="AE1814" s="631" t="str">
        <f t="shared" si="1422"/>
        <v/>
      </c>
      <c r="AF1814" s="699" t="str">
        <f t="shared" si="1423"/>
        <v/>
      </c>
      <c r="AG1814" s="699"/>
      <c r="AH1814" s="699"/>
      <c r="AI1814" s="512">
        <f>IF(H1814="credit",0,IF(AE1814="free",0,IF(AE1814="me",0,IF(G1814&gt;0,(VLOOKUP(A1814,'Discount Lookup'!J:K,2)*G1814),0))))</f>
        <v>0</v>
      </c>
      <c r="AJ1814" s="513" t="str">
        <f t="shared" ca="1" si="1424"/>
        <v/>
      </c>
      <c r="AK1814" s="700" t="str">
        <f t="shared" si="1425"/>
        <v/>
      </c>
      <c r="AL1814" s="700"/>
      <c r="AM1814" s="505" t="str">
        <f t="shared" si="1426"/>
        <v/>
      </c>
      <c r="AN1814" s="506"/>
      <c r="AO1814" s="507"/>
      <c r="AP1814" s="507"/>
      <c r="AQ1814" s="507"/>
      <c r="AR1814" s="507"/>
      <c r="AS1814" s="507"/>
      <c r="AT1814" s="507"/>
      <c r="AU1814" s="507"/>
      <c r="AV1814" s="225"/>
      <c r="AW1814" s="508"/>
      <c r="AX1814" s="225"/>
      <c r="AY1814" s="225"/>
      <c r="AZ1814" s="225"/>
      <c r="BA1814" s="225"/>
      <c r="BB1814" s="225"/>
      <c r="BC1814" s="56"/>
      <c r="BD1814" s="56"/>
      <c r="BE1814" s="56"/>
      <c r="BF1814" s="107" t="str">
        <f t="shared" si="1427"/>
        <v>https://www.google.com/search?tbm=isch&amp;q=5%20G4</v>
      </c>
      <c r="BG1814" s="107" t="str">
        <f t="shared" si="1428"/>
        <v>H</v>
      </c>
      <c r="BH1814" s="254"/>
      <c r="BI1814" s="254"/>
    </row>
    <row r="1815" spans="1:61" customFormat="1" ht="27" x14ac:dyDescent="0.25">
      <c r="A1815" s="485">
        <v>7</v>
      </c>
      <c r="B1815" s="486" t="s">
        <v>291</v>
      </c>
      <c r="C1815" s="487" t="s">
        <v>3561</v>
      </c>
      <c r="D1815" s="488" t="s">
        <v>292</v>
      </c>
      <c r="E1815" s="489">
        <v>146.94999999999999</v>
      </c>
      <c r="F1815" s="516" t="s">
        <v>293</v>
      </c>
      <c r="G1815" s="232">
        <v>0</v>
      </c>
      <c r="H1815" s="658" t="str">
        <f>IF(G1815=0,"",IF(F1815="Buy",IF(G1815=1,"plant","plants"),IF(F1815&gt;0.01,"warranty","Error")))</f>
        <v/>
      </c>
      <c r="I1815" s="490">
        <f>IF(H1815="free",0,IF(H1815="credit",((E1815*(F1815))*G1815*-1),IF(F1815="Buy",(E1815*G1815),((E1815*(1-F1815))*G1815))))</f>
        <v>0</v>
      </c>
      <c r="J1815" s="490">
        <f>IF(H1815="warranty",0,(I1815*(_xlfn.SINGLE(SalesTaxPercentage))))</f>
        <v>0</v>
      </c>
      <c r="K1815" s="695">
        <f t="shared" ref="K1815" si="1433">I1815+J1815</f>
        <v>0</v>
      </c>
      <c r="L1815" s="695"/>
      <c r="M1815" s="659" t="str">
        <f>IF(AND(G1815&gt;0,E1815=0),"WARNING - no PRICE inserted",IF(H1815="free"," FREE ~ no charge this plant",IF(H1815="credit",CONCATENATE(" -$",ROUND(K1815*(1-T2GDiscount)*-1,2)," CREDIT after discount"),IF(T2GDiscount=0,"",IF(G1815=0,"",IF(F1815="Buy",CONCATENATE(" $",ROUND(K1815*(1-T2GDiscount),2)," with ",(T2GDiscount*100),"% discount"),CONCATENATE(" $",ROUND(K1815*(1-T2GDiscount),2)," with ",((T2GDiscount*100+F1815*100)-(T2GDiscount*100*F1815)),IF(F1815&gt;0,"% discounts",IF(NoWarrantyDiscount&gt;0,"% discounts","% discount")))))))))</f>
        <v/>
      </c>
      <c r="N1815" s="660"/>
      <c r="O1815" s="233"/>
      <c r="P1815" s="233"/>
      <c r="Q1815" s="233"/>
      <c r="R1815" s="233"/>
      <c r="S1815" s="233"/>
      <c r="T1815" s="508">
        <f t="shared" si="1416"/>
        <v>0</v>
      </c>
      <c r="U1815" s="225">
        <f>IF(NOT(ISNUMBER(G1815)), "", VLOOKUP(A1815,'Discount Lookup'!D:E,2,FALSE)*G1815)</f>
        <v>0</v>
      </c>
      <c r="V1815" s="225">
        <f>IF(NOT(ISNUMBER(G1815)), "", VLOOKUP(A1815,'Discount Lookup'!G:H,2,FALSE)*G1815)</f>
        <v>0</v>
      </c>
      <c r="W1815" s="508">
        <f t="shared" si="1417"/>
        <v>0</v>
      </c>
      <c r="X1815" s="508">
        <f t="shared" si="1418"/>
        <v>0</v>
      </c>
      <c r="Y1815" s="509" t="b">
        <f t="shared" si="1419"/>
        <v>0</v>
      </c>
      <c r="Z1815" s="510">
        <f t="shared" si="1420"/>
        <v>0</v>
      </c>
      <c r="AA1815" s="511"/>
      <c r="AB1815" s="511" t="str">
        <f t="shared" si="1421"/>
        <v/>
      </c>
      <c r="AC1815" s="698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698"/>
      <c r="AE1815" s="631" t="str">
        <f t="shared" si="1422"/>
        <v/>
      </c>
      <c r="AF1815" s="699" t="str">
        <f t="shared" si="1423"/>
        <v/>
      </c>
      <c r="AG1815" s="699"/>
      <c r="AH1815" s="699"/>
      <c r="AI1815" s="512">
        <f>IF(H1815="credit",0,IF(AE1815="free",0,IF(AE1815="me",0,IF(G1815&gt;0,(VLOOKUP(A1815,'Discount Lookup'!J:K,2)*G1815),0))))</f>
        <v>0</v>
      </c>
      <c r="AJ1815" s="513" t="str">
        <f t="shared" ca="1" si="1424"/>
        <v/>
      </c>
      <c r="AK1815" s="700" t="str">
        <f t="shared" si="1425"/>
        <v/>
      </c>
      <c r="AL1815" s="700"/>
      <c r="AM1815" s="505" t="str">
        <f t="shared" si="1426"/>
        <v/>
      </c>
      <c r="AN1815" s="506"/>
      <c r="AO1815" s="507"/>
      <c r="AP1815" s="507"/>
      <c r="AQ1815" s="507"/>
      <c r="AR1815" s="507"/>
      <c r="AS1815" s="507"/>
      <c r="AT1815" s="507"/>
      <c r="AU1815" s="507"/>
      <c r="AV1815" s="225"/>
      <c r="AW1815" s="508"/>
      <c r="AX1815" s="225"/>
      <c r="AY1815" s="225"/>
      <c r="AZ1815" s="225"/>
      <c r="BA1815" s="225"/>
      <c r="BB1815" s="225"/>
      <c r="BC1815" s="56"/>
      <c r="BD1815" s="56"/>
      <c r="BE1815" s="56"/>
      <c r="BF1815" s="107" t="str">
        <f t="shared" si="1427"/>
        <v>https://www.google.com/search?tbm=isch&amp;q=7%20G4</v>
      </c>
      <c r="BG1815" s="107" t="str">
        <f t="shared" si="1428"/>
        <v>H</v>
      </c>
      <c r="BH1815" s="254"/>
      <c r="BI1815" s="254"/>
    </row>
    <row r="1816" spans="1:61" customFormat="1" ht="15.75" x14ac:dyDescent="0.25">
      <c r="A1816" s="485">
        <v>15</v>
      </c>
      <c r="B1816" s="486" t="s">
        <v>291</v>
      </c>
      <c r="C1816" s="487" t="s">
        <v>3562</v>
      </c>
      <c r="D1816" s="488" t="s">
        <v>292</v>
      </c>
      <c r="E1816" s="489">
        <v>270.95</v>
      </c>
      <c r="F1816" s="516" t="s">
        <v>293</v>
      </c>
      <c r="G1816" s="232">
        <v>0</v>
      </c>
      <c r="H1816" s="658" t="str">
        <f>IF(G1816=0,"",IF(F1816="Buy",IF(G1816=1,"plant","plants"),IF(F1816&gt;0.01,"warranty","Error")))</f>
        <v/>
      </c>
      <c r="I1816" s="490">
        <f>IF(H1816="free",0,IF(H1816="credit",((E1816*(F1816))*G1816*-1),IF(F1816="Buy",(E1816*G1816),((E1816*(1-F1816))*G1816))))</f>
        <v>0</v>
      </c>
      <c r="J1816" s="490">
        <f>IF(H1816="warranty",0,(I1816*(_xlfn.SINGLE(SalesTaxPercentage))))</f>
        <v>0</v>
      </c>
      <c r="K1816" s="695">
        <f t="shared" ref="K1816" si="1434">I1816+J1816</f>
        <v>0</v>
      </c>
      <c r="L1816" s="695"/>
      <c r="M1816" s="659" t="str">
        <f>IF(AND(G1816&gt;0,E1816=0),"WARNING - no PRICE inserted",IF(H1816="free"," FREE ~ no charge this plant",IF(H1816="credit",CONCATENATE(" -$",ROUND(K1816*(1-T2GDiscount)*-1,2)," CREDIT after discount"),IF(T2GDiscount=0,"",IF(G1816=0,"",IF(F1816="Buy",CONCATENATE(" $",ROUND(K1816*(1-T2GDiscount),2)," with ",(T2GDiscount*100),"% discount"),CONCATENATE(" $",ROUND(K1816*(1-T2GDiscount),2)," with ",((T2GDiscount*100+F1816*100)-(T2GDiscount*100*F1816)),IF(F1816&gt;0,"% discounts",IF(NoWarrantyDiscount&gt;0,"% discounts","% discount")))))))))</f>
        <v/>
      </c>
      <c r="N1816" s="660"/>
      <c r="O1816" s="233"/>
      <c r="P1816" s="233"/>
      <c r="Q1816" s="233"/>
      <c r="R1816" s="233"/>
      <c r="S1816" s="233"/>
      <c r="T1816" s="508">
        <f t="shared" si="1416"/>
        <v>0</v>
      </c>
      <c r="U1816" s="225">
        <f>IF(NOT(ISNUMBER(G1816)), "", VLOOKUP(A1816,'Discount Lookup'!D:E,2,FALSE)*G1816)</f>
        <v>0</v>
      </c>
      <c r="V1816" s="225">
        <f>IF(NOT(ISNUMBER(G1816)), "", VLOOKUP(A1816,'Discount Lookup'!G:H,2,FALSE)*G1816)</f>
        <v>0</v>
      </c>
      <c r="W1816" s="508">
        <f t="shared" si="1417"/>
        <v>0</v>
      </c>
      <c r="X1816" s="508">
        <f t="shared" si="1418"/>
        <v>0</v>
      </c>
      <c r="Y1816" s="509" t="b">
        <f t="shared" si="1419"/>
        <v>0</v>
      </c>
      <c r="Z1816" s="510">
        <f t="shared" si="1420"/>
        <v>0</v>
      </c>
      <c r="AA1816" s="511"/>
      <c r="AB1816" s="511" t="str">
        <f t="shared" si="1421"/>
        <v/>
      </c>
      <c r="AC1816" s="698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698"/>
      <c r="AE1816" s="631" t="str">
        <f t="shared" si="1422"/>
        <v/>
      </c>
      <c r="AF1816" s="699" t="str">
        <f t="shared" si="1423"/>
        <v/>
      </c>
      <c r="AG1816" s="699"/>
      <c r="AH1816" s="699"/>
      <c r="AI1816" s="512">
        <f>IF(H1816="credit",0,IF(AE1816="free",0,IF(AE1816="me",0,IF(G1816&gt;0,(VLOOKUP(A1816,'Discount Lookup'!J:K,2)*G1816),0))))</f>
        <v>0</v>
      </c>
      <c r="AJ1816" s="513" t="str">
        <f t="shared" ca="1" si="1424"/>
        <v/>
      </c>
      <c r="AK1816" s="700" t="str">
        <f t="shared" si="1425"/>
        <v/>
      </c>
      <c r="AL1816" s="700"/>
      <c r="AM1816" s="505" t="str">
        <f t="shared" si="1426"/>
        <v/>
      </c>
      <c r="AN1816" s="506"/>
      <c r="AO1816" s="507"/>
      <c r="AP1816" s="507"/>
      <c r="AQ1816" s="507"/>
      <c r="AR1816" s="507"/>
      <c r="AS1816" s="507"/>
      <c r="AT1816" s="507"/>
      <c r="AU1816" s="507"/>
      <c r="AV1816" s="225"/>
      <c r="AW1816" s="508"/>
      <c r="AX1816" s="225"/>
      <c r="AY1816" s="225"/>
      <c r="AZ1816" s="225"/>
      <c r="BA1816" s="225"/>
      <c r="BB1816" s="225"/>
      <c r="BC1816" s="56"/>
      <c r="BD1816" s="56"/>
      <c r="BE1816" s="56"/>
      <c r="BF1816" s="107" t="str">
        <f t="shared" si="1427"/>
        <v>https://www.google.com/search?tbm=isch&amp;q=15%20G4</v>
      </c>
      <c r="BG1816" s="107" t="str">
        <f t="shared" si="1428"/>
        <v>H</v>
      </c>
      <c r="BH1816" s="254"/>
      <c r="BI1816" s="254"/>
    </row>
    <row r="1817" spans="1:61" customFormat="1" ht="17.25" thickBot="1" x14ac:dyDescent="0.3">
      <c r="A1817" s="522" t="s">
        <v>2876</v>
      </c>
      <c r="B1817" s="491"/>
      <c r="C1817" s="675"/>
      <c r="D1817" s="491"/>
      <c r="E1817" s="491"/>
      <c r="F1817" s="492"/>
      <c r="G1817" s="493"/>
      <c r="H1817" s="491"/>
      <c r="I1817" s="234"/>
      <c r="J1817" s="234"/>
      <c r="K1817" s="494"/>
      <c r="L1817" s="543"/>
      <c r="M1817" s="561"/>
      <c r="N1817" s="495"/>
      <c r="O1817" s="496"/>
      <c r="P1817" s="497"/>
      <c r="Q1817" s="495"/>
      <c r="R1817" s="495"/>
      <c r="S1817" s="667" t="s">
        <v>5009</v>
      </c>
      <c r="T1817" s="508">
        <f t="shared" si="1416"/>
        <v>0</v>
      </c>
      <c r="U1817" s="225" t="str">
        <f>IF(NOT(ISNUMBER(G1817)), "", VLOOKUP(A1817,'Discount Lookup'!D:E,2,FALSE)*G1817)</f>
        <v/>
      </c>
      <c r="V1817" s="225" t="str">
        <f>IF(NOT(ISNUMBER(G1817)), "", VLOOKUP(A1817,'Discount Lookup'!G:H,2,FALSE)*G1817)</f>
        <v/>
      </c>
      <c r="W1817" s="508">
        <f t="shared" si="1417"/>
        <v>0</v>
      </c>
      <c r="X1817" s="508">
        <f t="shared" si="1418"/>
        <v>0</v>
      </c>
      <c r="Y1817" s="509" t="b">
        <f t="shared" si="1419"/>
        <v>0</v>
      </c>
      <c r="Z1817" s="510">
        <f t="shared" si="1420"/>
        <v>0</v>
      </c>
      <c r="AA1817" s="511"/>
      <c r="AB1817" s="511" t="str">
        <f t="shared" si="1421"/>
        <v/>
      </c>
      <c r="AC1817" s="698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698"/>
      <c r="AE1817" s="631" t="str">
        <f t="shared" si="1422"/>
        <v/>
      </c>
      <c r="AF1817" s="699" t="str">
        <f t="shared" si="1423"/>
        <v/>
      </c>
      <c r="AG1817" s="699"/>
      <c r="AH1817" s="699"/>
      <c r="AI1817" s="512">
        <f>IF(H1817="credit",0,IF(AE1817="free",0,IF(AE1817="me",0,IF(G1817&gt;0,(VLOOKUP(A1817,'Discount Lookup'!J:K,2)*G1817),0))))</f>
        <v>0</v>
      </c>
      <c r="AJ1817" s="513" t="str">
        <f t="shared" ca="1" si="1424"/>
        <v/>
      </c>
      <c r="AK1817" s="700" t="str">
        <f t="shared" si="1425"/>
        <v/>
      </c>
      <c r="AL1817" s="700"/>
      <c r="AM1817" s="505" t="str">
        <f t="shared" si="1426"/>
        <v/>
      </c>
      <c r="AN1817" s="506"/>
      <c r="AO1817" s="507"/>
      <c r="AP1817" s="507"/>
      <c r="AQ1817" s="507"/>
      <c r="AR1817" s="507"/>
      <c r="AS1817" s="507"/>
      <c r="AT1817" s="507"/>
      <c r="AU1817" s="507"/>
      <c r="AV1817" s="225"/>
      <c r="AW1817" s="508"/>
      <c r="AX1817" s="225"/>
      <c r="AY1817" s="225"/>
      <c r="AZ1817" s="225"/>
      <c r="BA1817" s="225"/>
      <c r="BB1817" s="225"/>
      <c r="BC1817" s="56"/>
      <c r="BD1817" s="56"/>
      <c r="BE1817" s="56"/>
      <c r="BF1817" s="107" t="str">
        <f t="shared" si="1427"/>
        <v>https://www.google.com/search?tbm=isch&amp;q=All%20Plum%20Yews%20have%20fine-textured%20foliage%20with%20brown%2C%20scaly%20bark.%20Slow%20growing%2C%20heat%20and%20shade%20tolerant%20</v>
      </c>
      <c r="BG1817" s="107" t="str">
        <f t="shared" si="1428"/>
        <v>A</v>
      </c>
      <c r="BH1817" s="254"/>
      <c r="BI1817" s="254"/>
    </row>
    <row r="1818" spans="1:61" customFormat="1" ht="18" x14ac:dyDescent="0.25">
      <c r="A1818" s="521" t="s">
        <v>1091</v>
      </c>
      <c r="B1818" s="477"/>
      <c r="C1818" s="674"/>
      <c r="D1818" s="478" t="s">
        <v>1092</v>
      </c>
      <c r="E1818" s="479"/>
      <c r="F1818" s="479"/>
      <c r="G1818" s="479"/>
      <c r="H1818" s="582" t="s">
        <v>483</v>
      </c>
      <c r="I1818" s="480" t="s">
        <v>2093</v>
      </c>
      <c r="J1818" s="479"/>
      <c r="K1818" s="479"/>
      <c r="L1818" s="560"/>
      <c r="M1818" s="666" t="s">
        <v>4966</v>
      </c>
      <c r="N1818" s="680" t="str">
        <f>IF(AND(ISTEXT($A1818), ISERROR($A1818+0)), HYPERLINK($BF1818, "Images"), "")</f>
        <v>Images</v>
      </c>
      <c r="O1818" s="662" t="s">
        <v>4967</v>
      </c>
      <c r="P1818" s="482"/>
      <c r="Q1818" s="483"/>
      <c r="R1818" s="483"/>
      <c r="S1818" s="484"/>
      <c r="T1818" s="508">
        <f t="shared" si="1416"/>
        <v>0</v>
      </c>
      <c r="U1818" s="225" t="str">
        <f>IF(NOT(ISNUMBER(G1818)), "", VLOOKUP(A1818,'Discount Lookup'!D:E,2,FALSE)*G1818)</f>
        <v/>
      </c>
      <c r="V1818" s="225" t="str">
        <f>IF(NOT(ISNUMBER(G1818)), "", VLOOKUP(A1818,'Discount Lookup'!G:H,2,FALSE)*G1818)</f>
        <v/>
      </c>
      <c r="W1818" s="508">
        <f t="shared" si="1417"/>
        <v>0</v>
      </c>
      <c r="X1818" s="508" t="str">
        <f t="shared" si="1418"/>
        <v>Dark Green foliage</v>
      </c>
      <c r="Y1818" s="509" t="b">
        <f t="shared" si="1419"/>
        <v>0</v>
      </c>
      <c r="Z1818" s="510">
        <f t="shared" si="1420"/>
        <v>0</v>
      </c>
      <c r="AA1818" s="511"/>
      <c r="AB1818" s="511" t="str">
        <f t="shared" si="1421"/>
        <v/>
      </c>
      <c r="AC1818" s="698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698"/>
      <c r="AE1818" s="631" t="str">
        <f t="shared" si="1422"/>
        <v/>
      </c>
      <c r="AF1818" s="699" t="str">
        <f t="shared" si="1423"/>
        <v/>
      </c>
      <c r="AG1818" s="699"/>
      <c r="AH1818" s="699"/>
      <c r="AI1818" s="512">
        <f>IF(H1818="credit",0,IF(AE1818="free",0,IF(AE1818="me",0,IF(G1818&gt;0,(VLOOKUP(A1818,'Discount Lookup'!J:K,2)*G1818),0))))</f>
        <v>0</v>
      </c>
      <c r="AJ1818" s="513" t="str">
        <f t="shared" ca="1" si="1424"/>
        <v/>
      </c>
      <c r="AK1818" s="700" t="str">
        <f t="shared" si="1425"/>
        <v/>
      </c>
      <c r="AL1818" s="700"/>
      <c r="AM1818" s="505" t="str">
        <f t="shared" si="1426"/>
        <v/>
      </c>
      <c r="AN1818" s="506"/>
      <c r="AO1818" s="507"/>
      <c r="AP1818" s="507"/>
      <c r="AQ1818" s="507"/>
      <c r="AR1818" s="507"/>
      <c r="AS1818" s="507"/>
      <c r="AT1818" s="507"/>
      <c r="AU1818" s="507"/>
      <c r="AV1818" s="225"/>
      <c r="AW1818" s="508"/>
      <c r="AX1818" s="225"/>
      <c r="AY1818" s="225"/>
      <c r="AZ1818" s="225"/>
      <c r="BA1818" s="225"/>
      <c r="BB1818" s="225"/>
      <c r="BC1818" s="56"/>
      <c r="BD1818" s="56"/>
      <c r="BE1818" s="56"/>
      <c r="BF1818" s="107" t="str">
        <f t="shared" si="1427"/>
        <v>https://www.google.com/search?tbm=isch&amp;q=Helleri%20Holly%20Ilex%20crenata%20%27Helleri%27</v>
      </c>
      <c r="BG1818" s="107" t="str">
        <f t="shared" si="1428"/>
        <v>H</v>
      </c>
      <c r="BH1818" s="254"/>
      <c r="BI1818" s="254"/>
    </row>
    <row r="1819" spans="1:61" customFormat="1" ht="15.75" x14ac:dyDescent="0.25">
      <c r="A1819" s="485">
        <v>3</v>
      </c>
      <c r="B1819" s="486" t="s">
        <v>291</v>
      </c>
      <c r="C1819" s="487" t="s">
        <v>4901</v>
      </c>
      <c r="D1819" s="488" t="s">
        <v>312</v>
      </c>
      <c r="E1819" s="489">
        <v>24.95</v>
      </c>
      <c r="F1819" s="516" t="s">
        <v>293</v>
      </c>
      <c r="G1819" s="232">
        <v>0</v>
      </c>
      <c r="H1819" s="658" t="str">
        <f>IF(G1819=0,"",IF(F1819="Buy",IF(G1819=1,"plant","plants"),IF(F1819&gt;0.01,"warranty","Error")))</f>
        <v/>
      </c>
      <c r="I1819" s="490">
        <f>IF(H1819="free",0,IF(H1819="credit",((E1819*(F1819))*G1819*-1),IF(F1819="Buy",(E1819*G1819),((E1819*(1-F1819))*G1819))))</f>
        <v>0</v>
      </c>
      <c r="J1819" s="490">
        <f>IF(H1819="warranty",0,(I1819*(_xlfn.SINGLE(SalesTaxPercentage))))</f>
        <v>0</v>
      </c>
      <c r="K1819" s="695">
        <f t="shared" ref="K1819" si="1435">I1819+J1819</f>
        <v>0</v>
      </c>
      <c r="L1819" s="695"/>
      <c r="M1819" s="659" t="str">
        <f>IF(AND(G1819&gt;0,E1819=0),"WARNING - no PRICE inserted",IF(H1819="free"," FREE ~ no charge this plant",IF(H1819="credit",CONCATENATE(" -$",ROUND(K1819*(1-T2GDiscount)*-1,2)," CREDIT after discount"),IF(T2GDiscount=0,"",IF(G1819=0,"",IF(F1819="Buy",CONCATENATE(" $",ROUND(K1819*(1-T2GDiscount),2)," with ",(T2GDiscount*100),"% discount"),CONCATENATE(" $",ROUND(K1819*(1-T2GDiscount),2)," with ",((T2GDiscount*100+F1819*100)-(T2GDiscount*100*F1819)),IF(F1819&gt;0,"% discounts",IF(NoWarrantyDiscount&gt;0,"% discounts","% discount")))))))))</f>
        <v/>
      </c>
      <c r="N1819" s="660"/>
      <c r="O1819" s="233"/>
      <c r="P1819" s="233"/>
      <c r="Q1819" s="233"/>
      <c r="R1819" s="233"/>
      <c r="S1819" s="233"/>
      <c r="T1819" s="508">
        <f t="shared" si="1416"/>
        <v>0</v>
      </c>
      <c r="U1819" s="225">
        <f>IF(NOT(ISNUMBER(G1819)), "", VLOOKUP(A1819,'Discount Lookup'!D:E,2,FALSE)*G1819)</f>
        <v>0</v>
      </c>
      <c r="V1819" s="225">
        <f>IF(NOT(ISNUMBER(G1819)), "", VLOOKUP(A1819,'Discount Lookup'!G:H,2,FALSE)*G1819)</f>
        <v>0</v>
      </c>
      <c r="W1819" s="508">
        <f t="shared" si="1417"/>
        <v>0</v>
      </c>
      <c r="X1819" s="508">
        <f t="shared" si="1418"/>
        <v>0</v>
      </c>
      <c r="Y1819" s="509" t="b">
        <f t="shared" si="1419"/>
        <v>0</v>
      </c>
      <c r="Z1819" s="510">
        <f t="shared" si="1420"/>
        <v>0</v>
      </c>
      <c r="AA1819" s="511"/>
      <c r="AB1819" s="511" t="str">
        <f t="shared" si="1421"/>
        <v/>
      </c>
      <c r="AC1819" s="698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698"/>
      <c r="AE1819" s="631" t="str">
        <f t="shared" si="1422"/>
        <v/>
      </c>
      <c r="AF1819" s="699" t="str">
        <f t="shared" si="1423"/>
        <v/>
      </c>
      <c r="AG1819" s="699"/>
      <c r="AH1819" s="699"/>
      <c r="AI1819" s="512">
        <f>IF(H1819="credit",0,IF(AE1819="free",0,IF(AE1819="me",0,IF(G1819&gt;0,(VLOOKUP(A1819,'Discount Lookup'!J:K,2)*G1819),0))))</f>
        <v>0</v>
      </c>
      <c r="AJ1819" s="513" t="str">
        <f t="shared" ca="1" si="1424"/>
        <v/>
      </c>
      <c r="AK1819" s="700" t="str">
        <f t="shared" si="1425"/>
        <v/>
      </c>
      <c r="AL1819" s="700"/>
      <c r="AM1819" s="505" t="str">
        <f t="shared" si="1426"/>
        <v/>
      </c>
      <c r="AN1819" s="506"/>
      <c r="AO1819" s="507"/>
      <c r="AP1819" s="507"/>
      <c r="AQ1819" s="507"/>
      <c r="AR1819" s="507"/>
      <c r="AS1819" s="507"/>
      <c r="AT1819" s="507"/>
      <c r="AU1819" s="507"/>
      <c r="AV1819" s="225"/>
      <c r="AW1819" s="508"/>
      <c r="AX1819" s="225"/>
      <c r="AY1819" s="225"/>
      <c r="AZ1819" s="225"/>
      <c r="BA1819" s="225"/>
      <c r="BB1819" s="225"/>
      <c r="BC1819" s="56"/>
      <c r="BD1819" s="56"/>
      <c r="BE1819" s="56"/>
      <c r="BF1819" s="107" t="str">
        <f t="shared" si="1427"/>
        <v>https://www.google.com/search?tbm=isch&amp;q=3%20G2</v>
      </c>
      <c r="BG1819" s="107" t="str">
        <f t="shared" si="1428"/>
        <v>H</v>
      </c>
      <c r="BH1819" s="254"/>
      <c r="BI1819" s="254"/>
    </row>
    <row r="1820" spans="1:61" customFormat="1" ht="15.75" x14ac:dyDescent="0.25">
      <c r="A1820" s="485">
        <v>3</v>
      </c>
      <c r="B1820" s="486" t="s">
        <v>291</v>
      </c>
      <c r="C1820" s="487"/>
      <c r="D1820" s="488" t="s">
        <v>298</v>
      </c>
      <c r="E1820" s="489">
        <v>25.95</v>
      </c>
      <c r="F1820" s="516" t="s">
        <v>293</v>
      </c>
      <c r="G1820" s="232">
        <v>0</v>
      </c>
      <c r="H1820" s="658" t="str">
        <f>IF(G1820=0,"",IF(F1820="Buy",IF(G1820=1,"plant","plants"),IF(F1820&gt;0.01,"warranty","Error")))</f>
        <v/>
      </c>
      <c r="I1820" s="490">
        <f>IF(H1820="free",0,IF(H1820="credit",((E1820*(F1820))*G1820*-1),IF(F1820="Buy",(E1820*G1820),((E1820*(1-F1820))*G1820))))</f>
        <v>0</v>
      </c>
      <c r="J1820" s="490">
        <f>IF(H1820="warranty",0,(I1820*(_xlfn.SINGLE(SalesTaxPercentage))))</f>
        <v>0</v>
      </c>
      <c r="K1820" s="695">
        <f t="shared" ref="K1820" si="1436">I1820+J1820</f>
        <v>0</v>
      </c>
      <c r="L1820" s="695"/>
      <c r="M1820" s="659" t="str">
        <f>IF(AND(G1820&gt;0,E1820=0),"WARNING - no PRICE inserted",IF(H1820="free"," FREE ~ no charge this plant",IF(H1820="credit",CONCATENATE(" -$",ROUND(K1820*(1-T2GDiscount)*-1,2)," CREDIT after discount"),IF(T2GDiscount=0,"",IF(G1820=0,"",IF(F1820="Buy",CONCATENATE(" $",ROUND(K1820*(1-T2GDiscount),2)," with ",(T2GDiscount*100),"% discount"),CONCATENATE(" $",ROUND(K1820*(1-T2GDiscount),2)," with ",((T2GDiscount*100+F1820*100)-(T2GDiscount*100*F1820)),IF(F1820&gt;0,"% discounts",IF(NoWarrantyDiscount&gt;0,"% discounts","% discount")))))))))</f>
        <v/>
      </c>
      <c r="N1820" s="660"/>
      <c r="O1820" s="233"/>
      <c r="P1820" s="233"/>
      <c r="Q1820" s="233"/>
      <c r="R1820" s="233"/>
      <c r="S1820" s="233"/>
      <c r="T1820" s="508">
        <f t="shared" si="1416"/>
        <v>0</v>
      </c>
      <c r="U1820" s="225">
        <f>IF(NOT(ISNUMBER(G1820)), "", VLOOKUP(A1820,'Discount Lookup'!D:E,2,FALSE)*G1820)</f>
        <v>0</v>
      </c>
      <c r="V1820" s="225">
        <f>IF(NOT(ISNUMBER(G1820)), "", VLOOKUP(A1820,'Discount Lookup'!G:H,2,FALSE)*G1820)</f>
        <v>0</v>
      </c>
      <c r="W1820" s="508">
        <f t="shared" si="1417"/>
        <v>0</v>
      </c>
      <c r="X1820" s="508">
        <f t="shared" si="1418"/>
        <v>0</v>
      </c>
      <c r="Y1820" s="509" t="b">
        <f t="shared" si="1419"/>
        <v>0</v>
      </c>
      <c r="Z1820" s="510">
        <f t="shared" si="1420"/>
        <v>0</v>
      </c>
      <c r="AA1820" s="511"/>
      <c r="AB1820" s="511" t="str">
        <f t="shared" si="1421"/>
        <v/>
      </c>
      <c r="AC1820" s="698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698"/>
      <c r="AE1820" s="631" t="str">
        <f t="shared" si="1422"/>
        <v/>
      </c>
      <c r="AF1820" s="699" t="str">
        <f t="shared" si="1423"/>
        <v/>
      </c>
      <c r="AG1820" s="699"/>
      <c r="AH1820" s="699"/>
      <c r="AI1820" s="512">
        <f>IF(H1820="credit",0,IF(AE1820="free",0,IF(AE1820="me",0,IF(G1820&gt;0,(VLOOKUP(A1820,'Discount Lookup'!J:K,2)*G1820),0))))</f>
        <v>0</v>
      </c>
      <c r="AJ1820" s="513" t="str">
        <f t="shared" ca="1" si="1424"/>
        <v/>
      </c>
      <c r="AK1820" s="700" t="str">
        <f t="shared" si="1425"/>
        <v/>
      </c>
      <c r="AL1820" s="700"/>
      <c r="AM1820" s="505" t="str">
        <f t="shared" si="1426"/>
        <v/>
      </c>
      <c r="AN1820" s="506"/>
      <c r="AO1820" s="507"/>
      <c r="AP1820" s="507"/>
      <c r="AQ1820" s="507"/>
      <c r="AR1820" s="507"/>
      <c r="AS1820" s="507"/>
      <c r="AT1820" s="507"/>
      <c r="AU1820" s="507"/>
      <c r="AV1820" s="225"/>
      <c r="AW1820" s="508"/>
      <c r="AX1820" s="225"/>
      <c r="AY1820" s="225"/>
      <c r="AZ1820" s="225"/>
      <c r="BA1820" s="225"/>
      <c r="BB1820" s="225"/>
      <c r="BC1820" s="56"/>
      <c r="BD1820" s="56"/>
      <c r="BE1820" s="56"/>
      <c r="BF1820" s="107" t="str">
        <f t="shared" si="1427"/>
        <v>https://www.google.com/search?tbm=isch&amp;q=3%20G1</v>
      </c>
      <c r="BG1820" s="107" t="str">
        <f t="shared" si="1428"/>
        <v>H</v>
      </c>
      <c r="BH1820" s="254"/>
      <c r="BI1820" s="254"/>
    </row>
    <row r="1821" spans="1:61" customFormat="1" ht="15.75" x14ac:dyDescent="0.25">
      <c r="A1821" s="485">
        <v>3</v>
      </c>
      <c r="B1821" s="486" t="s">
        <v>291</v>
      </c>
      <c r="C1821" s="487" t="s">
        <v>2758</v>
      </c>
      <c r="D1821" s="488" t="s">
        <v>299</v>
      </c>
      <c r="E1821" s="489">
        <v>27.95</v>
      </c>
      <c r="F1821" s="516" t="s">
        <v>293</v>
      </c>
      <c r="G1821" s="232">
        <v>0</v>
      </c>
      <c r="H1821" s="658" t="str">
        <f>IF(G1821=0,"",IF(F1821="Buy",IF(G1821=1,"plant","plants"),IF(F1821&gt;0.01,"warranty","Error")))</f>
        <v/>
      </c>
      <c r="I1821" s="490">
        <f>IF(H1821="free",0,IF(H1821="credit",((E1821*(F1821))*G1821*-1),IF(F1821="Buy",(E1821*G1821),((E1821*(1-F1821))*G1821))))</f>
        <v>0</v>
      </c>
      <c r="J1821" s="490">
        <f>IF(H1821="warranty",0,(I1821*(_xlfn.SINGLE(SalesTaxPercentage))))</f>
        <v>0</v>
      </c>
      <c r="K1821" s="695">
        <f t="shared" ref="K1821" si="1437">I1821+J1821</f>
        <v>0</v>
      </c>
      <c r="L1821" s="695"/>
      <c r="M1821" s="659" t="str">
        <f>IF(AND(G1821&gt;0,E1821=0),"WARNING - no PRICE inserted",IF(H1821="free"," FREE ~ no charge this plant",IF(H1821="credit",CONCATENATE(" -$",ROUND(K1821*(1-T2GDiscount)*-1,2)," CREDIT after discount"),IF(T2GDiscount=0,"",IF(G1821=0,"",IF(F1821="Buy",CONCATENATE(" $",ROUND(K1821*(1-T2GDiscount),2)," with ",(T2GDiscount*100),"% discount"),CONCATENATE(" $",ROUND(K1821*(1-T2GDiscount),2)," with ",((T2GDiscount*100+F1821*100)-(T2GDiscount*100*F1821)),IF(F1821&gt;0,"% discounts",IF(NoWarrantyDiscount&gt;0,"% discounts","% discount")))))))))</f>
        <v/>
      </c>
      <c r="N1821" s="660"/>
      <c r="O1821" s="233"/>
      <c r="P1821" s="233"/>
      <c r="Q1821" s="233"/>
      <c r="R1821" s="233"/>
      <c r="S1821" s="233"/>
      <c r="T1821" s="508">
        <f t="shared" si="1416"/>
        <v>0</v>
      </c>
      <c r="U1821" s="225">
        <f>IF(NOT(ISNUMBER(G1821)), "", VLOOKUP(A1821,'Discount Lookup'!D:E,2,FALSE)*G1821)</f>
        <v>0</v>
      </c>
      <c r="V1821" s="225">
        <f>IF(NOT(ISNUMBER(G1821)), "", VLOOKUP(A1821,'Discount Lookup'!G:H,2,FALSE)*G1821)</f>
        <v>0</v>
      </c>
      <c r="W1821" s="508">
        <f t="shared" si="1417"/>
        <v>0</v>
      </c>
      <c r="X1821" s="508">
        <f t="shared" si="1418"/>
        <v>0</v>
      </c>
      <c r="Y1821" s="509" t="b">
        <f t="shared" si="1419"/>
        <v>0</v>
      </c>
      <c r="Z1821" s="510">
        <f t="shared" si="1420"/>
        <v>0</v>
      </c>
      <c r="AA1821" s="511"/>
      <c r="AB1821" s="511" t="str">
        <f t="shared" si="1421"/>
        <v/>
      </c>
      <c r="AC1821" s="698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698"/>
      <c r="AE1821" s="631" t="str">
        <f t="shared" si="1422"/>
        <v/>
      </c>
      <c r="AF1821" s="699" t="str">
        <f t="shared" si="1423"/>
        <v/>
      </c>
      <c r="AG1821" s="699"/>
      <c r="AH1821" s="699"/>
      <c r="AI1821" s="512">
        <f>IF(H1821="credit",0,IF(AE1821="free",0,IF(AE1821="me",0,IF(G1821&gt;0,(VLOOKUP(A1821,'Discount Lookup'!J:K,2)*G1821),0))))</f>
        <v>0</v>
      </c>
      <c r="AJ1821" s="513" t="str">
        <f t="shared" ca="1" si="1424"/>
        <v/>
      </c>
      <c r="AK1821" s="700" t="str">
        <f t="shared" si="1425"/>
        <v/>
      </c>
      <c r="AL1821" s="700"/>
      <c r="AM1821" s="505" t="str">
        <f t="shared" si="1426"/>
        <v/>
      </c>
      <c r="AN1821" s="506"/>
      <c r="AO1821" s="507"/>
      <c r="AP1821" s="507"/>
      <c r="AQ1821" s="507"/>
      <c r="AR1821" s="507"/>
      <c r="AS1821" s="507"/>
      <c r="AT1821" s="507"/>
      <c r="AU1821" s="507"/>
      <c r="AV1821" s="225"/>
      <c r="AW1821" s="508"/>
      <c r="AX1821" s="225"/>
      <c r="AY1821" s="225"/>
      <c r="AZ1821" s="225"/>
      <c r="BA1821" s="225"/>
      <c r="BB1821" s="225"/>
      <c r="BC1821" s="56"/>
      <c r="BD1821" s="56"/>
      <c r="BE1821" s="56"/>
      <c r="BF1821" s="107" t="str">
        <f t="shared" si="1427"/>
        <v>https://www.google.com/search?tbm=isch&amp;q=3%20G5</v>
      </c>
      <c r="BG1821" s="107" t="str">
        <f t="shared" si="1428"/>
        <v>H</v>
      </c>
      <c r="BH1821" s="254"/>
      <c r="BI1821" s="254"/>
    </row>
    <row r="1822" spans="1:61" customFormat="1" ht="17.25" thickBot="1" x14ac:dyDescent="0.3">
      <c r="A1822" s="522" t="s">
        <v>2857</v>
      </c>
      <c r="B1822" s="491"/>
      <c r="C1822" s="675"/>
      <c r="D1822" s="491"/>
      <c r="E1822" s="491"/>
      <c r="F1822" s="492"/>
      <c r="G1822" s="493"/>
      <c r="H1822" s="491"/>
      <c r="I1822" s="234"/>
      <c r="J1822" s="234"/>
      <c r="K1822" s="494"/>
      <c r="L1822" s="543"/>
      <c r="M1822" s="561"/>
      <c r="N1822" s="495"/>
      <c r="O1822" s="496"/>
      <c r="P1822" s="497"/>
      <c r="Q1822" s="495"/>
      <c r="R1822" s="495"/>
      <c r="S1822" s="667" t="s">
        <v>5000</v>
      </c>
      <c r="T1822" s="508">
        <f t="shared" si="1416"/>
        <v>0</v>
      </c>
      <c r="U1822" s="225" t="str">
        <f>IF(NOT(ISNUMBER(G1822)), "", VLOOKUP(A1822,'Discount Lookup'!D:E,2,FALSE)*G1822)</f>
        <v/>
      </c>
      <c r="V1822" s="225" t="str">
        <f>IF(NOT(ISNUMBER(G1822)), "", VLOOKUP(A1822,'Discount Lookup'!G:H,2,FALSE)*G1822)</f>
        <v/>
      </c>
      <c r="W1822" s="508">
        <f t="shared" si="1417"/>
        <v>0</v>
      </c>
      <c r="X1822" s="508">
        <f t="shared" si="1418"/>
        <v>0</v>
      </c>
      <c r="Y1822" s="509" t="b">
        <f t="shared" si="1419"/>
        <v>0</v>
      </c>
      <c r="Z1822" s="510">
        <f t="shared" si="1420"/>
        <v>0</v>
      </c>
      <c r="AA1822" s="511"/>
      <c r="AB1822" s="511" t="str">
        <f t="shared" si="1421"/>
        <v/>
      </c>
      <c r="AC1822" s="698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698"/>
      <c r="AE1822" s="631" t="str">
        <f t="shared" si="1422"/>
        <v/>
      </c>
      <c r="AF1822" s="699" t="str">
        <f t="shared" si="1423"/>
        <v/>
      </c>
      <c r="AG1822" s="699"/>
      <c r="AH1822" s="699"/>
      <c r="AI1822" s="512">
        <f>IF(H1822="credit",0,IF(AE1822="free",0,IF(AE1822="me",0,IF(G1822&gt;0,(VLOOKUP(A1822,'Discount Lookup'!J:K,2)*G1822),0))))</f>
        <v>0</v>
      </c>
      <c r="AJ1822" s="513" t="str">
        <f t="shared" ca="1" si="1424"/>
        <v/>
      </c>
      <c r="AK1822" s="700" t="str">
        <f t="shared" si="1425"/>
        <v/>
      </c>
      <c r="AL1822" s="700"/>
      <c r="AM1822" s="505" t="str">
        <f t="shared" si="1426"/>
        <v/>
      </c>
      <c r="AN1822" s="506"/>
      <c r="AO1822" s="507"/>
      <c r="AP1822" s="507"/>
      <c r="AQ1822" s="507"/>
      <c r="AR1822" s="507"/>
      <c r="AS1822" s="507"/>
      <c r="AT1822" s="507"/>
      <c r="AU1822" s="507"/>
      <c r="AV1822" s="225"/>
      <c r="AW1822" s="508"/>
      <c r="AX1822" s="225"/>
      <c r="AY1822" s="225"/>
      <c r="AZ1822" s="225"/>
      <c r="BA1822" s="225"/>
      <c r="BB1822" s="225"/>
      <c r="BC1822" s="56"/>
      <c r="BD1822" s="56"/>
      <c r="BE1822" s="56"/>
      <c r="BF1822" s="107" t="str">
        <f t="shared" si="1427"/>
        <v>https://www.google.com/search?tbm=isch&amp;q=Helleri%20is%20naturally%20a%20nice%20shape%2C%20with%20no%20pruning.%20All%20female%20%7E%20requires%20a%20male%20for%20better%20blooms%20%26%20Black%20berries%20</v>
      </c>
      <c r="BG1822" s="107" t="str">
        <f t="shared" si="1428"/>
        <v>H</v>
      </c>
      <c r="BH1822" s="254"/>
      <c r="BI1822" s="254"/>
    </row>
    <row r="1823" spans="1:61" customFormat="1" ht="18" x14ac:dyDescent="0.25">
      <c r="A1823" s="523" t="s">
        <v>4262</v>
      </c>
      <c r="B1823" s="235"/>
      <c r="C1823" s="676"/>
      <c r="D1823" s="255" t="s">
        <v>1094</v>
      </c>
      <c r="E1823" s="236"/>
      <c r="F1823" s="236"/>
      <c r="G1823" s="236"/>
      <c r="H1823" s="582" t="s">
        <v>1095</v>
      </c>
      <c r="I1823" s="498" t="s">
        <v>654</v>
      </c>
      <c r="J1823" s="237"/>
      <c r="K1823" s="237"/>
      <c r="L1823" s="274"/>
      <c r="M1823" s="668" t="s">
        <v>4975</v>
      </c>
      <c r="N1823" s="681" t="str">
        <f>IF(AND(ISTEXT($A1823), ISERROR($A1823+0)), HYPERLINK($BF1823, "Images"), "")</f>
        <v>Images</v>
      </c>
      <c r="O1823" s="663" t="s">
        <v>4974</v>
      </c>
      <c r="P1823" s="253"/>
      <c r="Q1823" s="238"/>
      <c r="R1823" s="239"/>
      <c r="S1823" s="275"/>
      <c r="T1823" s="508">
        <f t="shared" si="1416"/>
        <v>0</v>
      </c>
      <c r="U1823" s="225" t="str">
        <f>IF(NOT(ISNUMBER(G1823)), "", VLOOKUP(A1823,'Discount Lookup'!D:E,2,FALSE)*G1823)</f>
        <v/>
      </c>
      <c r="V1823" s="225" t="str">
        <f>IF(NOT(ISNUMBER(G1823)), "", VLOOKUP(A1823,'Discount Lookup'!G:H,2,FALSE)*G1823)</f>
        <v/>
      </c>
      <c r="W1823" s="508">
        <f t="shared" si="1417"/>
        <v>0</v>
      </c>
      <c r="X1823" s="508" t="str">
        <f t="shared" si="1418"/>
        <v>White bloom</v>
      </c>
      <c r="Y1823" s="509" t="b">
        <f t="shared" si="1419"/>
        <v>0</v>
      </c>
      <c r="Z1823" s="510">
        <f t="shared" si="1420"/>
        <v>0</v>
      </c>
      <c r="AA1823" s="511"/>
      <c r="AB1823" s="511" t="str">
        <f t="shared" si="1421"/>
        <v/>
      </c>
      <c r="AC1823" s="698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698"/>
      <c r="AE1823" s="631" t="str">
        <f t="shared" si="1422"/>
        <v/>
      </c>
      <c r="AF1823" s="699" t="str">
        <f t="shared" si="1423"/>
        <v/>
      </c>
      <c r="AG1823" s="699"/>
      <c r="AH1823" s="699"/>
      <c r="AI1823" s="512">
        <f>IF(H1823="credit",0,IF(AE1823="free",0,IF(AE1823="me",0,IF(G1823&gt;0,(VLOOKUP(A1823,'Discount Lookup'!J:K,2)*G1823),0))))</f>
        <v>0</v>
      </c>
      <c r="AJ1823" s="513" t="str">
        <f t="shared" ca="1" si="1424"/>
        <v/>
      </c>
      <c r="AK1823" s="700" t="str">
        <f t="shared" si="1425"/>
        <v/>
      </c>
      <c r="AL1823" s="700"/>
      <c r="AM1823" s="505" t="str">
        <f t="shared" si="1426"/>
        <v/>
      </c>
      <c r="AN1823" s="506"/>
      <c r="AO1823" s="507"/>
      <c r="AP1823" s="507"/>
      <c r="AQ1823" s="507"/>
      <c r="AR1823" s="507"/>
      <c r="AS1823" s="507"/>
      <c r="AT1823" s="507"/>
      <c r="AU1823" s="507"/>
      <c r="AV1823" s="225"/>
      <c r="AW1823" s="508"/>
      <c r="AX1823" s="225"/>
      <c r="AY1823" s="225"/>
      <c r="AZ1823" s="225"/>
      <c r="BA1823" s="225"/>
      <c r="BB1823" s="225"/>
      <c r="BC1823" s="56"/>
      <c r="BD1823" s="56"/>
      <c r="BE1823" s="56"/>
      <c r="BF1823" s="107" t="str">
        <f t="shared" si="1427"/>
        <v>https://www.google.com/search?tbm=isch&amp;q=Henryi%20Clematis%20Vine%20Clematis%20%27Henryi%27</v>
      </c>
      <c r="BG1823" s="107" t="str">
        <f t="shared" si="1428"/>
        <v>H</v>
      </c>
      <c r="BH1823" s="254"/>
      <c r="BI1823" s="254"/>
    </row>
    <row r="1824" spans="1:61" customFormat="1" ht="15.75" x14ac:dyDescent="0.25">
      <c r="A1824" s="276">
        <v>4</v>
      </c>
      <c r="B1824" s="240" t="s">
        <v>340</v>
      </c>
      <c r="C1824" s="241"/>
      <c r="D1824" s="242" t="s">
        <v>312</v>
      </c>
      <c r="E1824" s="243">
        <v>16.95</v>
      </c>
      <c r="F1824" s="517" t="s">
        <v>293</v>
      </c>
      <c r="G1824" s="232">
        <v>0</v>
      </c>
      <c r="H1824" s="661" t="str">
        <f>IF(G1824=0,"",IF(F1824="Buy",IF(G1824=1,"plant","plants"),IF(F1824&gt;0.01,"warranty","Error")))</f>
        <v/>
      </c>
      <c r="I1824" s="244">
        <f>IF(H1824="free",0,IF(H1824="credit",((E1824*(F1824))*G1824*-1),IF(F1824="Buy",(E1824*G1824),((E1824*(1-F1824))*G1824))))</f>
        <v>0</v>
      </c>
      <c r="J1824" s="244">
        <f>IF(H1824="warranty",0,(I1824*(_xlfn.SINGLE(SalesTaxPercentage))))</f>
        <v>0</v>
      </c>
      <c r="K1824" s="696">
        <f t="shared" ref="K1824" si="1438">I1824+J1824</f>
        <v>0</v>
      </c>
      <c r="L1824" s="696"/>
      <c r="M1824" s="659" t="str">
        <f>IF(AND(G1824&gt;0,E1824=0),"WARNING - no PRICE inserted",IF(H1824="free"," FREE ~ no charge this plant",IF(H1824="credit",CONCATENATE(" -$",ROUND(K1824*(1-T2GDiscount)*-1,2)," CREDIT after discount"),IF(T2GDiscount=0,"",IF(G1824=0,"",IF(F1824="Buy",CONCATENATE(" $",ROUND(K1824*(1-T2GDiscount),2)," with ",(T2GDiscount*100),"% discount"),CONCATENATE(" $",ROUND(K1824*(1-T2GDiscount),2)," with ",((T2GDiscount*100+F1824*100)-(T2GDiscount*100*F1824)),IF(F1824&gt;0,"% discounts",IF(NoWarrantyDiscount&gt;0,"% discounts","% discount")))))))))</f>
        <v/>
      </c>
      <c r="N1824" s="660"/>
      <c r="O1824" s="233"/>
      <c r="P1824" s="233"/>
      <c r="Q1824" s="233"/>
      <c r="R1824" s="233"/>
      <c r="S1824" s="233"/>
      <c r="T1824" s="508">
        <f t="shared" si="1416"/>
        <v>0</v>
      </c>
      <c r="U1824" s="225">
        <f>IF(NOT(ISNUMBER(G1824)), "", VLOOKUP(A1824,'Discount Lookup'!D:E,2,FALSE)*G1824)</f>
        <v>0</v>
      </c>
      <c r="V1824" s="225">
        <f>IF(NOT(ISNUMBER(G1824)), "", VLOOKUP(A1824,'Discount Lookup'!G:H,2,FALSE)*G1824)</f>
        <v>0</v>
      </c>
      <c r="W1824" s="508">
        <f t="shared" si="1417"/>
        <v>0</v>
      </c>
      <c r="X1824" s="508">
        <f t="shared" si="1418"/>
        <v>0</v>
      </c>
      <c r="Y1824" s="509" t="b">
        <f t="shared" si="1419"/>
        <v>0</v>
      </c>
      <c r="Z1824" s="510">
        <f t="shared" si="1420"/>
        <v>0</v>
      </c>
      <c r="AA1824" s="511"/>
      <c r="AB1824" s="511" t="str">
        <f t="shared" si="1421"/>
        <v/>
      </c>
      <c r="AC1824" s="698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698"/>
      <c r="AE1824" s="631" t="str">
        <f t="shared" si="1422"/>
        <v/>
      </c>
      <c r="AF1824" s="699" t="str">
        <f t="shared" si="1423"/>
        <v/>
      </c>
      <c r="AG1824" s="699"/>
      <c r="AH1824" s="699"/>
      <c r="AI1824" s="512">
        <f>IF(H1824="credit",0,IF(AE1824="free",0,IF(AE1824="me",0,IF(G1824&gt;0,(VLOOKUP(A1824,'Discount Lookup'!J:K,2)*G1824),0))))</f>
        <v>0</v>
      </c>
      <c r="AJ1824" s="513" t="str">
        <f t="shared" ca="1" si="1424"/>
        <v/>
      </c>
      <c r="AK1824" s="700" t="str">
        <f t="shared" si="1425"/>
        <v/>
      </c>
      <c r="AL1824" s="700"/>
      <c r="AM1824" s="505" t="str">
        <f t="shared" si="1426"/>
        <v/>
      </c>
      <c r="AN1824" s="506"/>
      <c r="AO1824" s="507"/>
      <c r="AP1824" s="507"/>
      <c r="AQ1824" s="507"/>
      <c r="AR1824" s="507"/>
      <c r="AS1824" s="507"/>
      <c r="AT1824" s="507"/>
      <c r="AU1824" s="507"/>
      <c r="AV1824" s="225"/>
      <c r="AW1824" s="508"/>
      <c r="AX1824" s="225"/>
      <c r="AY1824" s="225"/>
      <c r="AZ1824" s="225"/>
      <c r="BA1824" s="225"/>
      <c r="BB1824" s="225"/>
      <c r="BC1824" s="56"/>
      <c r="BD1824" s="56"/>
      <c r="BE1824" s="56"/>
      <c r="BF1824" s="107" t="str">
        <f t="shared" si="1427"/>
        <v>https://www.google.com/search?tbm=isch&amp;q=4%20G2</v>
      </c>
      <c r="BG1824" s="107" t="str">
        <f t="shared" si="1428"/>
        <v>H</v>
      </c>
      <c r="BH1824" s="254"/>
      <c r="BI1824" s="254"/>
    </row>
    <row r="1825" spans="1:61" customFormat="1" ht="17.25" thickBot="1" x14ac:dyDescent="0.3">
      <c r="A1825" s="524" t="s">
        <v>4263</v>
      </c>
      <c r="B1825" s="245"/>
      <c r="C1825" s="677"/>
      <c r="D1825" s="499"/>
      <c r="E1825" s="499"/>
      <c r="F1825" s="500"/>
      <c r="G1825" s="501"/>
      <c r="H1825" s="502"/>
      <c r="I1825" s="246"/>
      <c r="J1825" s="247"/>
      <c r="K1825" s="503"/>
      <c r="L1825" s="544"/>
      <c r="M1825" s="544"/>
      <c r="N1825" s="500"/>
      <c r="O1825" s="500"/>
      <c r="P1825" s="500"/>
      <c r="Q1825" s="500"/>
      <c r="R1825" s="500"/>
      <c r="S1825" s="669" t="s">
        <v>4976</v>
      </c>
      <c r="T1825" s="508">
        <f t="shared" si="1416"/>
        <v>0</v>
      </c>
      <c r="U1825" s="225" t="str">
        <f>IF(NOT(ISNUMBER(G1825)), "", VLOOKUP(A1825,'Discount Lookup'!D:E,2,FALSE)*G1825)</f>
        <v/>
      </c>
      <c r="V1825" s="225" t="str">
        <f>IF(NOT(ISNUMBER(G1825)), "", VLOOKUP(A1825,'Discount Lookup'!G:H,2,FALSE)*G1825)</f>
        <v/>
      </c>
      <c r="W1825" s="508">
        <f t="shared" si="1417"/>
        <v>0</v>
      </c>
      <c r="X1825" s="508">
        <f t="shared" si="1418"/>
        <v>0</v>
      </c>
      <c r="Y1825" s="509" t="b">
        <f t="shared" si="1419"/>
        <v>0</v>
      </c>
      <c r="Z1825" s="510">
        <f t="shared" si="1420"/>
        <v>0</v>
      </c>
      <c r="AA1825" s="511"/>
      <c r="AB1825" s="511" t="str">
        <f t="shared" si="1421"/>
        <v/>
      </c>
      <c r="AC1825" s="698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698"/>
      <c r="AE1825" s="631" t="str">
        <f t="shared" si="1422"/>
        <v/>
      </c>
      <c r="AF1825" s="699" t="str">
        <f t="shared" si="1423"/>
        <v/>
      </c>
      <c r="AG1825" s="699"/>
      <c r="AH1825" s="699"/>
      <c r="AI1825" s="512">
        <f>IF(H1825="credit",0,IF(AE1825="free",0,IF(AE1825="me",0,IF(G1825&gt;0,(VLOOKUP(A1825,'Discount Lookup'!J:K,2)*G1825),0))))</f>
        <v>0</v>
      </c>
      <c r="AJ1825" s="513" t="str">
        <f t="shared" ca="1" si="1424"/>
        <v/>
      </c>
      <c r="AK1825" s="700" t="str">
        <f t="shared" si="1425"/>
        <v/>
      </c>
      <c r="AL1825" s="700"/>
      <c r="AM1825" s="505" t="str">
        <f t="shared" si="1426"/>
        <v/>
      </c>
      <c r="AN1825" s="506"/>
      <c r="AO1825" s="507"/>
      <c r="AP1825" s="507"/>
      <c r="AQ1825" s="507"/>
      <c r="AR1825" s="507"/>
      <c r="AS1825" s="507"/>
      <c r="AT1825" s="507"/>
      <c r="AU1825" s="507"/>
      <c r="AV1825" s="225"/>
      <c r="AW1825" s="508"/>
      <c r="AX1825" s="225"/>
      <c r="AY1825" s="225"/>
      <c r="AZ1825" s="225"/>
      <c r="BA1825" s="225"/>
      <c r="BB1825" s="225"/>
      <c r="BC1825" s="56"/>
      <c r="BD1825" s="56"/>
      <c r="BE1825" s="56"/>
      <c r="BF1825" s="107" t="str">
        <f t="shared" si="1427"/>
        <v>https://www.google.com/search?tbm=isch&amp;q=Henryi%20is%20known%20as%20the%20largest%20of%20the%20white%20clematis.%20Prune%20Clematis%20often%20for%20optimal%20flower%20set%20</v>
      </c>
      <c r="BG1825" s="107" t="str">
        <f t="shared" si="1428"/>
        <v>H</v>
      </c>
      <c r="BH1825" s="254"/>
      <c r="BI1825" s="254"/>
    </row>
    <row r="1826" spans="1:61" customFormat="1" ht="18" x14ac:dyDescent="0.25">
      <c r="A1826" s="523" t="s">
        <v>1096</v>
      </c>
      <c r="B1826" s="235"/>
      <c r="C1826" s="676"/>
      <c r="D1826" s="255" t="s">
        <v>1097</v>
      </c>
      <c r="E1826" s="236"/>
      <c r="F1826" s="236"/>
      <c r="G1826" s="236"/>
      <c r="H1826" s="582" t="s">
        <v>1098</v>
      </c>
      <c r="I1826" s="498" t="s">
        <v>654</v>
      </c>
      <c r="J1826" s="237"/>
      <c r="K1826" s="237"/>
      <c r="L1826" s="274"/>
      <c r="M1826" s="668" t="s">
        <v>4964</v>
      </c>
      <c r="N1826" s="681" t="str">
        <f>IF(AND(ISTEXT($A1826), ISERROR($A1826+0)), HYPERLINK($BF1826, "Images"), "")</f>
        <v>Images</v>
      </c>
      <c r="O1826" s="663" t="s">
        <v>4967</v>
      </c>
      <c r="P1826" s="253"/>
      <c r="Q1826" s="238"/>
      <c r="R1826" s="239"/>
      <c r="S1826" s="275" t="s">
        <v>305</v>
      </c>
      <c r="T1826" s="508">
        <f t="shared" si="1416"/>
        <v>0</v>
      </c>
      <c r="U1826" s="225" t="str">
        <f>IF(NOT(ISNUMBER(G1826)), "", VLOOKUP(A1826,'Discount Lookup'!D:E,2,FALSE)*G1826)</f>
        <v/>
      </c>
      <c r="V1826" s="225" t="str">
        <f>IF(NOT(ISNUMBER(G1826)), "", VLOOKUP(A1826,'Discount Lookup'!G:H,2,FALSE)*G1826)</f>
        <v/>
      </c>
      <c r="W1826" s="508">
        <f t="shared" si="1417"/>
        <v>0</v>
      </c>
      <c r="X1826" s="508" t="str">
        <f t="shared" si="1418"/>
        <v>White bloom</v>
      </c>
      <c r="Y1826" s="509" t="b">
        <f t="shared" si="1419"/>
        <v>0</v>
      </c>
      <c r="Z1826" s="510">
        <f t="shared" si="1420"/>
        <v>0</v>
      </c>
      <c r="AA1826" s="511"/>
      <c r="AB1826" s="511" t="str">
        <f t="shared" si="1421"/>
        <v/>
      </c>
      <c r="AC1826" s="698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698"/>
      <c r="AE1826" s="631" t="str">
        <f t="shared" si="1422"/>
        <v/>
      </c>
      <c r="AF1826" s="699" t="str">
        <f t="shared" si="1423"/>
        <v/>
      </c>
      <c r="AG1826" s="699"/>
      <c r="AH1826" s="699"/>
      <c r="AI1826" s="512">
        <f>IF(H1826="credit",0,IF(AE1826="free",0,IF(AE1826="me",0,IF(G1826&gt;0,(VLOOKUP(A1826,'Discount Lookup'!J:K,2)*G1826),0))))</f>
        <v>0</v>
      </c>
      <c r="AJ1826" s="513" t="str">
        <f t="shared" ca="1" si="1424"/>
        <v/>
      </c>
      <c r="AK1826" s="700" t="str">
        <f t="shared" si="1425"/>
        <v/>
      </c>
      <c r="AL1826" s="700"/>
      <c r="AM1826" s="505" t="str">
        <f t="shared" si="1426"/>
        <v/>
      </c>
      <c r="AN1826" s="506"/>
      <c r="AO1826" s="507"/>
      <c r="AP1826" s="507"/>
      <c r="AQ1826" s="507"/>
      <c r="AR1826" s="507"/>
      <c r="AS1826" s="507"/>
      <c r="AT1826" s="507"/>
      <c r="AU1826" s="507"/>
      <c r="AV1826" s="225"/>
      <c r="AW1826" s="508"/>
      <c r="AX1826" s="225"/>
      <c r="AY1826" s="225"/>
      <c r="AZ1826" s="225"/>
      <c r="BA1826" s="225"/>
      <c r="BB1826" s="225"/>
      <c r="BC1826" s="56"/>
      <c r="BD1826" s="56"/>
      <c r="BE1826" s="56"/>
      <c r="BF1826" s="107" t="str">
        <f t="shared" si="1427"/>
        <v>https://www.google.com/search?tbm=isch&amp;q=Henry%27s%20Garnet%20Virginia%20Sweetspire%20Itea%20virginica%20%27Henry%27s%20Garnet%27</v>
      </c>
      <c r="BG1826" s="107" t="str">
        <f t="shared" si="1428"/>
        <v>H</v>
      </c>
      <c r="BH1826" s="254"/>
      <c r="BI1826" s="254"/>
    </row>
    <row r="1827" spans="1:61" customFormat="1" ht="15.75" x14ac:dyDescent="0.25">
      <c r="A1827" s="276">
        <v>1</v>
      </c>
      <c r="B1827" s="240" t="s">
        <v>291</v>
      </c>
      <c r="C1827" s="241"/>
      <c r="D1827" s="242" t="s">
        <v>298</v>
      </c>
      <c r="E1827" s="243">
        <v>7.95</v>
      </c>
      <c r="F1827" s="517" t="s">
        <v>293</v>
      </c>
      <c r="G1827" s="232">
        <v>0</v>
      </c>
      <c r="H1827" s="661" t="str">
        <f>IF(G1827=0,"",IF(F1827="Buy",IF(G1827=1,"plant","plants"),IF(F1827&gt;0.01,"warranty","Error")))</f>
        <v/>
      </c>
      <c r="I1827" s="244">
        <f>IF(H1827="free",0,IF(H1827="credit",((E1827*(F1827))*G1827*-1),IF(F1827="Buy",(E1827*G1827),((E1827*(1-F1827))*G1827))))</f>
        <v>0</v>
      </c>
      <c r="J1827" s="244">
        <f>IF(H1827="warranty",0,(I1827*(_xlfn.SINGLE(SalesTaxPercentage))))</f>
        <v>0</v>
      </c>
      <c r="K1827" s="696">
        <f t="shared" ref="K1827" si="1439">I1827+J1827</f>
        <v>0</v>
      </c>
      <c r="L1827" s="696"/>
      <c r="M1827" s="659" t="str">
        <f>IF(AND(G1827&gt;0,E1827=0),"WARNING - no PRICE inserted",IF(H1827="free"," FREE ~ no charge this plant",IF(H1827="credit",CONCATENATE(" -$",ROUND(K1827*(1-T2GDiscount)*-1,2)," CREDIT after discount"),IF(T2GDiscount=0,"",IF(G1827=0,"",IF(F1827="Buy",CONCATENATE(" $",ROUND(K1827*(1-T2GDiscount),2)," with ",(T2GDiscount*100),"% discount"),CONCATENATE(" $",ROUND(K1827*(1-T2GDiscount),2)," with ",((T2GDiscount*100+F1827*100)-(T2GDiscount*100*F1827)),IF(F1827&gt;0,"% discounts",IF(NoWarrantyDiscount&gt;0,"% discounts","% discount")))))))))</f>
        <v/>
      </c>
      <c r="N1827" s="660"/>
      <c r="O1827" s="233"/>
      <c r="P1827" s="233"/>
      <c r="Q1827" s="233"/>
      <c r="R1827" s="233"/>
      <c r="S1827" s="233"/>
      <c r="T1827" s="508">
        <f t="shared" si="1416"/>
        <v>0</v>
      </c>
      <c r="U1827" s="225">
        <f>IF(NOT(ISNUMBER(G1827)), "", VLOOKUP(A1827,'Discount Lookup'!D:E,2,FALSE)*G1827)</f>
        <v>0</v>
      </c>
      <c r="V1827" s="225">
        <f>IF(NOT(ISNUMBER(G1827)), "", VLOOKUP(A1827,'Discount Lookup'!G:H,2,FALSE)*G1827)</f>
        <v>0</v>
      </c>
      <c r="W1827" s="508">
        <f t="shared" si="1417"/>
        <v>0</v>
      </c>
      <c r="X1827" s="508">
        <f t="shared" si="1418"/>
        <v>0</v>
      </c>
      <c r="Y1827" s="509" t="b">
        <f t="shared" si="1419"/>
        <v>0</v>
      </c>
      <c r="Z1827" s="510">
        <f t="shared" si="1420"/>
        <v>0</v>
      </c>
      <c r="AA1827" s="511"/>
      <c r="AB1827" s="511" t="str">
        <f t="shared" si="1421"/>
        <v/>
      </c>
      <c r="AC1827" s="698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698"/>
      <c r="AE1827" s="631" t="str">
        <f t="shared" si="1422"/>
        <v/>
      </c>
      <c r="AF1827" s="699" t="str">
        <f t="shared" si="1423"/>
        <v/>
      </c>
      <c r="AG1827" s="699"/>
      <c r="AH1827" s="699"/>
      <c r="AI1827" s="512">
        <f>IF(H1827="credit",0,IF(AE1827="free",0,IF(AE1827="me",0,IF(G1827&gt;0,(VLOOKUP(A1827,'Discount Lookup'!J:K,2)*G1827),0))))</f>
        <v>0</v>
      </c>
      <c r="AJ1827" s="513" t="str">
        <f t="shared" ca="1" si="1424"/>
        <v/>
      </c>
      <c r="AK1827" s="700" t="str">
        <f t="shared" si="1425"/>
        <v/>
      </c>
      <c r="AL1827" s="700"/>
      <c r="AM1827" s="505" t="str">
        <f t="shared" si="1426"/>
        <v/>
      </c>
      <c r="AN1827" s="506"/>
      <c r="AO1827" s="507"/>
      <c r="AP1827" s="507"/>
      <c r="AQ1827" s="507"/>
      <c r="AR1827" s="507"/>
      <c r="AS1827" s="507"/>
      <c r="AT1827" s="507"/>
      <c r="AU1827" s="507"/>
      <c r="AV1827" s="225"/>
      <c r="AW1827" s="508"/>
      <c r="AX1827" s="225"/>
      <c r="AY1827" s="225"/>
      <c r="AZ1827" s="225"/>
      <c r="BA1827" s="225"/>
      <c r="BB1827" s="225"/>
      <c r="BC1827" s="56"/>
      <c r="BD1827" s="56"/>
      <c r="BE1827" s="56"/>
      <c r="BF1827" s="107" t="str">
        <f t="shared" si="1427"/>
        <v>https://www.google.com/search?tbm=isch&amp;q=1%20G1</v>
      </c>
      <c r="BG1827" s="107" t="str">
        <f t="shared" si="1428"/>
        <v>H</v>
      </c>
      <c r="BH1827" s="254"/>
      <c r="BI1827" s="254"/>
    </row>
    <row r="1828" spans="1:61" customFormat="1" ht="15.75" x14ac:dyDescent="0.25">
      <c r="A1828" s="276">
        <v>3</v>
      </c>
      <c r="B1828" s="240" t="s">
        <v>291</v>
      </c>
      <c r="C1828" s="241" t="s">
        <v>4523</v>
      </c>
      <c r="D1828" s="242" t="s">
        <v>297</v>
      </c>
      <c r="E1828" s="243">
        <v>22.95</v>
      </c>
      <c r="F1828" s="517" t="s">
        <v>293</v>
      </c>
      <c r="G1828" s="232">
        <v>0</v>
      </c>
      <c r="H1828" s="661" t="str">
        <f>IF(G1828=0,"",IF(F1828="Buy",IF(G1828=1,"plant","plants"),IF(F1828&gt;0.01,"warranty","Error")))</f>
        <v/>
      </c>
      <c r="I1828" s="244">
        <f>IF(H1828="free",0,IF(H1828="credit",((E1828*(F1828))*G1828*-1),IF(F1828="Buy",(E1828*G1828),((E1828*(1-F1828))*G1828))))</f>
        <v>0</v>
      </c>
      <c r="J1828" s="244">
        <f>IF(H1828="warranty",0,(I1828*(_xlfn.SINGLE(SalesTaxPercentage))))</f>
        <v>0</v>
      </c>
      <c r="K1828" s="696">
        <f t="shared" ref="K1828" si="1440">I1828+J1828</f>
        <v>0</v>
      </c>
      <c r="L1828" s="696"/>
      <c r="M1828" s="659" t="str">
        <f>IF(AND(G1828&gt;0,E1828=0),"WARNING - no PRICE inserted",IF(H1828="free"," FREE ~ no charge this plant",IF(H1828="credit",CONCATENATE(" -$",ROUND(K1828*(1-T2GDiscount)*-1,2)," CREDIT after discount"),IF(T2GDiscount=0,"",IF(G1828=0,"",IF(F1828="Buy",CONCATENATE(" $",ROUND(K1828*(1-T2GDiscount),2)," with ",(T2GDiscount*100),"% discount"),CONCATENATE(" $",ROUND(K1828*(1-T2GDiscount),2)," with ",((T2GDiscount*100+F1828*100)-(T2GDiscount*100*F1828)),IF(F1828&gt;0,"% discounts",IF(NoWarrantyDiscount&gt;0,"% discounts","% discount")))))))))</f>
        <v/>
      </c>
      <c r="N1828" s="660"/>
      <c r="O1828" s="233"/>
      <c r="P1828" s="233"/>
      <c r="Q1828" s="233"/>
      <c r="R1828" s="233"/>
      <c r="S1828" s="233"/>
      <c r="T1828" s="508">
        <f t="shared" si="1416"/>
        <v>0</v>
      </c>
      <c r="U1828" s="225">
        <f>IF(NOT(ISNUMBER(G1828)), "", VLOOKUP(A1828,'Discount Lookup'!D:E,2,FALSE)*G1828)</f>
        <v>0</v>
      </c>
      <c r="V1828" s="225">
        <f>IF(NOT(ISNUMBER(G1828)), "", VLOOKUP(A1828,'Discount Lookup'!G:H,2,FALSE)*G1828)</f>
        <v>0</v>
      </c>
      <c r="W1828" s="508">
        <f t="shared" si="1417"/>
        <v>0</v>
      </c>
      <c r="X1828" s="508">
        <f t="shared" si="1418"/>
        <v>0</v>
      </c>
      <c r="Y1828" s="509" t="b">
        <f t="shared" si="1419"/>
        <v>0</v>
      </c>
      <c r="Z1828" s="510">
        <f t="shared" si="1420"/>
        <v>0</v>
      </c>
      <c r="AA1828" s="511"/>
      <c r="AB1828" s="511" t="str">
        <f t="shared" si="1421"/>
        <v/>
      </c>
      <c r="AC1828" s="698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698"/>
      <c r="AE1828" s="631" t="str">
        <f t="shared" si="1422"/>
        <v/>
      </c>
      <c r="AF1828" s="699" t="str">
        <f t="shared" si="1423"/>
        <v/>
      </c>
      <c r="AG1828" s="699"/>
      <c r="AH1828" s="699"/>
      <c r="AI1828" s="512">
        <f>IF(H1828="credit",0,IF(AE1828="free",0,IF(AE1828="me",0,IF(G1828&gt;0,(VLOOKUP(A1828,'Discount Lookup'!J:K,2)*G1828),0))))</f>
        <v>0</v>
      </c>
      <c r="AJ1828" s="513" t="str">
        <f t="shared" ca="1" si="1424"/>
        <v/>
      </c>
      <c r="AK1828" s="700" t="str">
        <f t="shared" si="1425"/>
        <v/>
      </c>
      <c r="AL1828" s="700"/>
      <c r="AM1828" s="505" t="str">
        <f t="shared" si="1426"/>
        <v/>
      </c>
      <c r="AN1828" s="506"/>
      <c r="AO1828" s="507"/>
      <c r="AP1828" s="507"/>
      <c r="AQ1828" s="507"/>
      <c r="AR1828" s="507"/>
      <c r="AS1828" s="507"/>
      <c r="AT1828" s="507"/>
      <c r="AU1828" s="507"/>
      <c r="AV1828" s="225"/>
      <c r="AW1828" s="508"/>
      <c r="AX1828" s="225"/>
      <c r="AY1828" s="225"/>
      <c r="AZ1828" s="225"/>
      <c r="BA1828" s="225"/>
      <c r="BB1828" s="225"/>
      <c r="BC1828" s="56"/>
      <c r="BD1828" s="56"/>
      <c r="BE1828" s="56"/>
      <c r="BF1828" s="107" t="str">
        <f t="shared" si="1427"/>
        <v>https://www.google.com/search?tbm=isch&amp;q=3%20G3</v>
      </c>
      <c r="BG1828" s="107" t="str">
        <f t="shared" si="1428"/>
        <v>H</v>
      </c>
      <c r="BH1828" s="254"/>
      <c r="BI1828" s="254"/>
    </row>
    <row r="1829" spans="1:61" customFormat="1" ht="15.75" x14ac:dyDescent="0.25">
      <c r="A1829" s="276">
        <v>3</v>
      </c>
      <c r="B1829" s="240" t="s">
        <v>291</v>
      </c>
      <c r="C1829" s="241" t="s">
        <v>834</v>
      </c>
      <c r="D1829" s="242" t="s">
        <v>298</v>
      </c>
      <c r="E1829" s="243">
        <v>25.95</v>
      </c>
      <c r="F1829" s="517" t="s">
        <v>293</v>
      </c>
      <c r="G1829" s="232">
        <v>0</v>
      </c>
      <c r="H1829" s="661" t="str">
        <f>IF(G1829=0,"",IF(F1829="Buy",IF(G1829=1,"plant","plants"),IF(F1829&gt;0.01,"warranty","Error")))</f>
        <v/>
      </c>
      <c r="I1829" s="244">
        <f>IF(H1829="free",0,IF(H1829="credit",((E1829*(F1829))*G1829*-1),IF(F1829="Buy",(E1829*G1829),((E1829*(1-F1829))*G1829))))</f>
        <v>0</v>
      </c>
      <c r="J1829" s="244">
        <f>IF(H1829="warranty",0,(I1829*(_xlfn.SINGLE(SalesTaxPercentage))))</f>
        <v>0</v>
      </c>
      <c r="K1829" s="696">
        <f t="shared" ref="K1829" si="1441">I1829+J1829</f>
        <v>0</v>
      </c>
      <c r="L1829" s="696"/>
      <c r="M1829" s="659" t="str">
        <f>IF(AND(G1829&gt;0,E1829=0),"WARNING - no PRICE inserted",IF(H1829="free"," FREE ~ no charge this plant",IF(H1829="credit",CONCATENATE(" -$",ROUND(K1829*(1-T2GDiscount)*-1,2)," CREDIT after discount"),IF(T2GDiscount=0,"",IF(G1829=0,"",IF(F1829="Buy",CONCATENATE(" $",ROUND(K1829*(1-T2GDiscount),2)," with ",(T2GDiscount*100),"% discount"),CONCATENATE(" $",ROUND(K1829*(1-T2GDiscount),2)," with ",((T2GDiscount*100+F1829*100)-(T2GDiscount*100*F1829)),IF(F1829&gt;0,"% discounts",IF(NoWarrantyDiscount&gt;0,"% discounts","% discount")))))))))</f>
        <v/>
      </c>
      <c r="N1829" s="660"/>
      <c r="O1829" s="233"/>
      <c r="P1829" s="233"/>
      <c r="Q1829" s="233"/>
      <c r="R1829" s="233"/>
      <c r="S1829" s="233"/>
      <c r="T1829" s="508">
        <f t="shared" si="1416"/>
        <v>0</v>
      </c>
      <c r="U1829" s="225">
        <f>IF(NOT(ISNUMBER(G1829)), "", VLOOKUP(A1829,'Discount Lookup'!D:E,2,FALSE)*G1829)</f>
        <v>0</v>
      </c>
      <c r="V1829" s="225">
        <f>IF(NOT(ISNUMBER(G1829)), "", VLOOKUP(A1829,'Discount Lookup'!G:H,2,FALSE)*G1829)</f>
        <v>0</v>
      </c>
      <c r="W1829" s="508">
        <f t="shared" si="1417"/>
        <v>0</v>
      </c>
      <c r="X1829" s="508">
        <f t="shared" si="1418"/>
        <v>0</v>
      </c>
      <c r="Y1829" s="509" t="b">
        <f t="shared" si="1419"/>
        <v>0</v>
      </c>
      <c r="Z1829" s="510">
        <f t="shared" si="1420"/>
        <v>0</v>
      </c>
      <c r="AA1829" s="511"/>
      <c r="AB1829" s="511" t="str">
        <f t="shared" si="1421"/>
        <v/>
      </c>
      <c r="AC1829" s="698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698"/>
      <c r="AE1829" s="631" t="str">
        <f t="shared" si="1422"/>
        <v/>
      </c>
      <c r="AF1829" s="699" t="str">
        <f t="shared" si="1423"/>
        <v/>
      </c>
      <c r="AG1829" s="699"/>
      <c r="AH1829" s="699"/>
      <c r="AI1829" s="512">
        <f>IF(H1829="credit",0,IF(AE1829="free",0,IF(AE1829="me",0,IF(G1829&gt;0,(VLOOKUP(A1829,'Discount Lookup'!J:K,2)*G1829),0))))</f>
        <v>0</v>
      </c>
      <c r="AJ1829" s="513" t="str">
        <f t="shared" ca="1" si="1424"/>
        <v/>
      </c>
      <c r="AK1829" s="700" t="str">
        <f t="shared" si="1425"/>
        <v/>
      </c>
      <c r="AL1829" s="700"/>
      <c r="AM1829" s="505" t="str">
        <f t="shared" si="1426"/>
        <v/>
      </c>
      <c r="AN1829" s="506"/>
      <c r="AO1829" s="507"/>
      <c r="AP1829" s="507"/>
      <c r="AQ1829" s="507"/>
      <c r="AR1829" s="507"/>
      <c r="AS1829" s="507"/>
      <c r="AT1829" s="507"/>
      <c r="AU1829" s="507"/>
      <c r="AV1829" s="225"/>
      <c r="AW1829" s="508"/>
      <c r="AX1829" s="225"/>
      <c r="AY1829" s="225"/>
      <c r="AZ1829" s="225"/>
      <c r="BA1829" s="225"/>
      <c r="BB1829" s="225"/>
      <c r="BC1829" s="56"/>
      <c r="BD1829" s="56"/>
      <c r="BE1829" s="56"/>
      <c r="BF1829" s="107" t="str">
        <f t="shared" si="1427"/>
        <v>https://www.google.com/search?tbm=isch&amp;q=3%20G1</v>
      </c>
      <c r="BG1829" s="107" t="str">
        <f t="shared" si="1428"/>
        <v>H</v>
      </c>
      <c r="BH1829" s="254"/>
      <c r="BI1829" s="254"/>
    </row>
    <row r="1830" spans="1:61" customFormat="1" ht="15.75" x14ac:dyDescent="0.25">
      <c r="A1830" s="276">
        <v>3</v>
      </c>
      <c r="B1830" s="240" t="s">
        <v>291</v>
      </c>
      <c r="C1830" s="241" t="s">
        <v>1099</v>
      </c>
      <c r="D1830" s="242" t="s">
        <v>300</v>
      </c>
      <c r="E1830" s="243">
        <v>26.95</v>
      </c>
      <c r="F1830" s="517" t="s">
        <v>293</v>
      </c>
      <c r="G1830" s="232">
        <v>0</v>
      </c>
      <c r="H1830" s="661" t="str">
        <f>IF(G1830=0,"",IF(F1830="Buy",IF(G1830=1,"plant","plants"),IF(F1830&gt;0.01,"warranty","Error")))</f>
        <v/>
      </c>
      <c r="I1830" s="244">
        <f>IF(H1830="free",0,IF(H1830="credit",((E1830*(F1830))*G1830*-1),IF(F1830="Buy",(E1830*G1830),((E1830*(1-F1830))*G1830))))</f>
        <v>0</v>
      </c>
      <c r="J1830" s="244">
        <f>IF(H1830="warranty",0,(I1830*(_xlfn.SINGLE(SalesTaxPercentage))))</f>
        <v>0</v>
      </c>
      <c r="K1830" s="696">
        <f t="shared" ref="K1830" si="1442">I1830+J1830</f>
        <v>0</v>
      </c>
      <c r="L1830" s="696"/>
      <c r="M1830" s="659" t="str">
        <f>IF(AND(G1830&gt;0,E1830=0),"WARNING - no PRICE inserted",IF(H1830="free"," FREE ~ no charge this plant",IF(H1830="credit",CONCATENATE(" -$",ROUND(K1830*(1-T2GDiscount)*-1,2)," CREDIT after discount"),IF(T2GDiscount=0,"",IF(G1830=0,"",IF(F1830="Buy",CONCATENATE(" $",ROUND(K1830*(1-T2GDiscount),2)," with ",(T2GDiscount*100),"% discount"),CONCATENATE(" $",ROUND(K1830*(1-T2GDiscount),2)," with ",((T2GDiscount*100+F1830*100)-(T2GDiscount*100*F1830)),IF(F1830&gt;0,"% discounts",IF(NoWarrantyDiscount&gt;0,"% discounts","% discount")))))))))</f>
        <v/>
      </c>
      <c r="N1830" s="660"/>
      <c r="O1830" s="233"/>
      <c r="P1830" s="233"/>
      <c r="Q1830" s="233"/>
      <c r="R1830" s="233"/>
      <c r="S1830" s="233"/>
      <c r="T1830" s="508">
        <f t="shared" si="1416"/>
        <v>0</v>
      </c>
      <c r="U1830" s="225">
        <f>IF(NOT(ISNUMBER(G1830)), "", VLOOKUP(A1830,'Discount Lookup'!D:E,2,FALSE)*G1830)</f>
        <v>0</v>
      </c>
      <c r="V1830" s="225">
        <f>IF(NOT(ISNUMBER(G1830)), "", VLOOKUP(A1830,'Discount Lookup'!G:H,2,FALSE)*G1830)</f>
        <v>0</v>
      </c>
      <c r="W1830" s="508">
        <f t="shared" si="1417"/>
        <v>0</v>
      </c>
      <c r="X1830" s="508">
        <f t="shared" si="1418"/>
        <v>0</v>
      </c>
      <c r="Y1830" s="509" t="b">
        <f t="shared" si="1419"/>
        <v>0</v>
      </c>
      <c r="Z1830" s="510">
        <f t="shared" si="1420"/>
        <v>0</v>
      </c>
      <c r="AA1830" s="511"/>
      <c r="AB1830" s="511" t="str">
        <f t="shared" si="1421"/>
        <v/>
      </c>
      <c r="AC1830" s="698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698"/>
      <c r="AE1830" s="631" t="str">
        <f t="shared" si="1422"/>
        <v/>
      </c>
      <c r="AF1830" s="699" t="str">
        <f t="shared" si="1423"/>
        <v/>
      </c>
      <c r="AG1830" s="699"/>
      <c r="AH1830" s="699"/>
      <c r="AI1830" s="512">
        <f>IF(H1830="credit",0,IF(AE1830="free",0,IF(AE1830="me",0,IF(G1830&gt;0,(VLOOKUP(A1830,'Discount Lookup'!J:K,2)*G1830),0))))</f>
        <v>0</v>
      </c>
      <c r="AJ1830" s="513" t="str">
        <f t="shared" ca="1" si="1424"/>
        <v/>
      </c>
      <c r="AK1830" s="700" t="str">
        <f t="shared" si="1425"/>
        <v/>
      </c>
      <c r="AL1830" s="700"/>
      <c r="AM1830" s="505" t="str">
        <f t="shared" si="1426"/>
        <v/>
      </c>
      <c r="AN1830" s="506"/>
      <c r="AO1830" s="507"/>
      <c r="AP1830" s="507"/>
      <c r="AQ1830" s="507"/>
      <c r="AR1830" s="507"/>
      <c r="AS1830" s="507"/>
      <c r="AT1830" s="507"/>
      <c r="AU1830" s="507"/>
      <c r="AV1830" s="225"/>
      <c r="AW1830" s="508"/>
      <c r="AX1830" s="225"/>
      <c r="AY1830" s="225"/>
      <c r="AZ1830" s="225"/>
      <c r="BA1830" s="225"/>
      <c r="BB1830" s="225"/>
      <c r="BC1830" s="56"/>
      <c r="BD1830" s="56"/>
      <c r="BE1830" s="56"/>
      <c r="BF1830" s="107" t="str">
        <f t="shared" si="1427"/>
        <v>https://www.google.com/search?tbm=isch&amp;q=3%20G6</v>
      </c>
      <c r="BG1830" s="107" t="str">
        <f t="shared" si="1428"/>
        <v>H</v>
      </c>
      <c r="BH1830" s="254"/>
      <c r="BI1830" s="254"/>
    </row>
    <row r="1831" spans="1:61" customFormat="1" ht="15.75" x14ac:dyDescent="0.25">
      <c r="A1831" s="276">
        <v>3</v>
      </c>
      <c r="B1831" s="240" t="s">
        <v>291</v>
      </c>
      <c r="C1831" s="241" t="s">
        <v>329</v>
      </c>
      <c r="D1831" s="242" t="s">
        <v>312</v>
      </c>
      <c r="E1831" s="243">
        <v>29.95</v>
      </c>
      <c r="F1831" s="517" t="s">
        <v>293</v>
      </c>
      <c r="G1831" s="232">
        <v>0</v>
      </c>
      <c r="H1831" s="661" t="str">
        <f>IF(G1831=0,"",IF(F1831="Buy",IF(G1831=1,"plant","plants"),IF(F1831&gt;0.01,"warranty","Error")))</f>
        <v/>
      </c>
      <c r="I1831" s="244">
        <f>IF(H1831="free",0,IF(H1831="credit",((E1831*(F1831))*G1831*-1),IF(F1831="Buy",(E1831*G1831),((E1831*(1-F1831))*G1831))))</f>
        <v>0</v>
      </c>
      <c r="J1831" s="244">
        <f>IF(H1831="warranty",0,(I1831*(_xlfn.SINGLE(SalesTaxPercentage))))</f>
        <v>0</v>
      </c>
      <c r="K1831" s="696">
        <f t="shared" ref="K1831" si="1443">I1831+J1831</f>
        <v>0</v>
      </c>
      <c r="L1831" s="696"/>
      <c r="M1831" s="659" t="str">
        <f>IF(AND(G1831&gt;0,E1831=0),"WARNING - no PRICE inserted",IF(H1831="free"," FREE ~ no charge this plant",IF(H1831="credit",CONCATENATE(" -$",ROUND(K1831*(1-T2GDiscount)*-1,2)," CREDIT after discount"),IF(T2GDiscount=0,"",IF(G1831=0,"",IF(F1831="Buy",CONCATENATE(" $",ROUND(K1831*(1-T2GDiscount),2)," with ",(T2GDiscount*100),"% discount"),CONCATENATE(" $",ROUND(K1831*(1-T2GDiscount),2)," with ",((T2GDiscount*100+F1831*100)-(T2GDiscount*100*F1831)),IF(F1831&gt;0,"% discounts",IF(NoWarrantyDiscount&gt;0,"% discounts","% discount")))))))))</f>
        <v/>
      </c>
      <c r="N1831" s="660"/>
      <c r="O1831" s="233"/>
      <c r="P1831" s="233"/>
      <c r="Q1831" s="233"/>
      <c r="R1831" s="233"/>
      <c r="S1831" s="233"/>
      <c r="T1831" s="508">
        <f t="shared" si="1416"/>
        <v>0</v>
      </c>
      <c r="U1831" s="225">
        <f>IF(NOT(ISNUMBER(G1831)), "", VLOOKUP(A1831,'Discount Lookup'!D:E,2,FALSE)*G1831)</f>
        <v>0</v>
      </c>
      <c r="V1831" s="225">
        <f>IF(NOT(ISNUMBER(G1831)), "", VLOOKUP(A1831,'Discount Lookup'!G:H,2,FALSE)*G1831)</f>
        <v>0</v>
      </c>
      <c r="W1831" s="508">
        <f t="shared" si="1417"/>
        <v>0</v>
      </c>
      <c r="X1831" s="508">
        <f t="shared" si="1418"/>
        <v>0</v>
      </c>
      <c r="Y1831" s="509" t="b">
        <f t="shared" si="1419"/>
        <v>0</v>
      </c>
      <c r="Z1831" s="510">
        <f t="shared" si="1420"/>
        <v>0</v>
      </c>
      <c r="AA1831" s="511"/>
      <c r="AB1831" s="511" t="str">
        <f t="shared" si="1421"/>
        <v/>
      </c>
      <c r="AC1831" s="698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698"/>
      <c r="AE1831" s="631" t="str">
        <f t="shared" si="1422"/>
        <v/>
      </c>
      <c r="AF1831" s="699" t="str">
        <f t="shared" si="1423"/>
        <v/>
      </c>
      <c r="AG1831" s="699"/>
      <c r="AH1831" s="699"/>
      <c r="AI1831" s="512">
        <f>IF(H1831="credit",0,IF(AE1831="free",0,IF(AE1831="me",0,IF(G1831&gt;0,(VLOOKUP(A1831,'Discount Lookup'!J:K,2)*G1831),0))))</f>
        <v>0</v>
      </c>
      <c r="AJ1831" s="513" t="str">
        <f t="shared" ca="1" si="1424"/>
        <v/>
      </c>
      <c r="AK1831" s="700" t="str">
        <f t="shared" si="1425"/>
        <v/>
      </c>
      <c r="AL1831" s="700"/>
      <c r="AM1831" s="505" t="str">
        <f t="shared" si="1426"/>
        <v/>
      </c>
      <c r="AN1831" s="506"/>
      <c r="AO1831" s="507"/>
      <c r="AP1831" s="507"/>
      <c r="AQ1831" s="507"/>
      <c r="AR1831" s="507"/>
      <c r="AS1831" s="507"/>
      <c r="AT1831" s="507"/>
      <c r="AU1831" s="507"/>
      <c r="AV1831" s="225"/>
      <c r="AW1831" s="508"/>
      <c r="AX1831" s="225"/>
      <c r="AY1831" s="225"/>
      <c r="AZ1831" s="225"/>
      <c r="BA1831" s="225"/>
      <c r="BB1831" s="225"/>
      <c r="BC1831" s="56"/>
      <c r="BD1831" s="56"/>
      <c r="BE1831" s="56"/>
      <c r="BF1831" s="107" t="str">
        <f t="shared" si="1427"/>
        <v>https://www.google.com/search?tbm=isch&amp;q=3%20G2</v>
      </c>
      <c r="BG1831" s="107" t="str">
        <f t="shared" si="1428"/>
        <v>H</v>
      </c>
      <c r="BH1831" s="254"/>
      <c r="BI1831" s="254"/>
    </row>
    <row r="1832" spans="1:61" customFormat="1" ht="17.25" thickBot="1" x14ac:dyDescent="0.3">
      <c r="A1832" s="673" t="s">
        <v>5139</v>
      </c>
      <c r="B1832" s="245"/>
      <c r="C1832" s="677"/>
      <c r="D1832" s="499"/>
      <c r="E1832" s="499"/>
      <c r="F1832" s="500"/>
      <c r="G1832" s="501"/>
      <c r="H1832" s="502"/>
      <c r="I1832" s="246"/>
      <c r="J1832" s="247"/>
      <c r="K1832" s="503"/>
      <c r="L1832" s="544"/>
      <c r="M1832" s="544"/>
      <c r="N1832" s="500"/>
      <c r="O1832" s="500"/>
      <c r="P1832" s="500"/>
      <c r="Q1832" s="500"/>
      <c r="R1832" s="500"/>
      <c r="S1832" s="669" t="s">
        <v>4996</v>
      </c>
      <c r="T1832" s="508">
        <f t="shared" si="1416"/>
        <v>0</v>
      </c>
      <c r="U1832" s="225" t="str">
        <f>IF(NOT(ISNUMBER(G1832)), "", VLOOKUP(A1832,'Discount Lookup'!D:E,2,FALSE)*G1832)</f>
        <v/>
      </c>
      <c r="V1832" s="225" t="str">
        <f>IF(NOT(ISNUMBER(G1832)), "", VLOOKUP(A1832,'Discount Lookup'!G:H,2,FALSE)*G1832)</f>
        <v/>
      </c>
      <c r="W1832" s="508">
        <f t="shared" si="1417"/>
        <v>0</v>
      </c>
      <c r="X1832" s="508">
        <f t="shared" si="1418"/>
        <v>0</v>
      </c>
      <c r="Y1832" s="509" t="b">
        <f t="shared" si="1419"/>
        <v>0</v>
      </c>
      <c r="Z1832" s="510">
        <f t="shared" si="1420"/>
        <v>0</v>
      </c>
      <c r="AA1832" s="511"/>
      <c r="AB1832" s="511" t="str">
        <f t="shared" si="1421"/>
        <v/>
      </c>
      <c r="AC1832" s="698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698"/>
      <c r="AE1832" s="631" t="str">
        <f t="shared" si="1422"/>
        <v/>
      </c>
      <c r="AF1832" s="699" t="str">
        <f t="shared" si="1423"/>
        <v/>
      </c>
      <c r="AG1832" s="699"/>
      <c r="AH1832" s="699"/>
      <c r="AI1832" s="512">
        <f>IF(H1832="credit",0,IF(AE1832="free",0,IF(AE1832="me",0,IF(G1832&gt;0,(VLOOKUP(A1832,'Discount Lookup'!J:K,2)*G1832),0))))</f>
        <v>0</v>
      </c>
      <c r="AJ1832" s="513" t="str">
        <f t="shared" ca="1" si="1424"/>
        <v/>
      </c>
      <c r="AK1832" s="700" t="str">
        <f t="shared" si="1425"/>
        <v/>
      </c>
      <c r="AL1832" s="700"/>
      <c r="AM1832" s="505" t="str">
        <f t="shared" si="1426"/>
        <v/>
      </c>
      <c r="AN1832" s="506"/>
      <c r="AO1832" s="507"/>
      <c r="AP1832" s="507"/>
      <c r="AQ1832" s="507"/>
      <c r="AR1832" s="507"/>
      <c r="AS1832" s="507"/>
      <c r="AT1832" s="507"/>
      <c r="AU1832" s="507"/>
      <c r="AV1832" s="225"/>
      <c r="AW1832" s="508"/>
      <c r="AX1832" s="225"/>
      <c r="AY1832" s="225"/>
      <c r="AZ1832" s="225"/>
      <c r="BA1832" s="225"/>
      <c r="BB1832" s="225"/>
      <c r="BC1832" s="56"/>
      <c r="BD1832" s="56"/>
      <c r="BE1832" s="56"/>
      <c r="BF1832" s="107" t="str">
        <f t="shared" si="1427"/>
        <v>https://www.google.com/search?tbm=isch&amp;q=moist%20sites%F0%9F%92%A7GOOD%2C%20Henry%27s%20has%20large%20bottlebrushr%20flowers%20and%20better%20fall%20color%20than%20other%20Sweetspire.%20Fragrant%20blooms%20spring%20to%20summer%20</v>
      </c>
      <c r="BG1832" s="107" t="str">
        <f t="shared" si="1428"/>
        <v>m</v>
      </c>
      <c r="BH1832" s="254"/>
      <c r="BI1832" s="254"/>
    </row>
    <row r="1833" spans="1:61" customFormat="1" ht="18" x14ac:dyDescent="0.25">
      <c r="A1833" s="521" t="s">
        <v>1100</v>
      </c>
      <c r="B1833" s="477"/>
      <c r="C1833" s="674"/>
      <c r="D1833" s="478" t="s">
        <v>1101</v>
      </c>
      <c r="E1833" s="479"/>
      <c r="F1833" s="479"/>
      <c r="G1833" s="479"/>
      <c r="H1833" s="582" t="s">
        <v>441</v>
      </c>
      <c r="I1833" s="480" t="s">
        <v>2109</v>
      </c>
      <c r="J1833" s="479"/>
      <c r="K1833" s="479"/>
      <c r="L1833" s="560"/>
      <c r="M1833" s="666" t="s">
        <v>4966</v>
      </c>
      <c r="N1833" s="680" t="str">
        <f>IF(AND(ISTEXT($A1833), ISERROR($A1833+0)), HYPERLINK($BF1833, "Images"), "")</f>
        <v>Images</v>
      </c>
      <c r="O1833" s="662" t="s">
        <v>4971</v>
      </c>
      <c r="P1833" s="482"/>
      <c r="Q1833" s="483"/>
      <c r="R1833" s="483"/>
      <c r="S1833" s="484" t="s">
        <v>305</v>
      </c>
      <c r="T1833" s="508">
        <f t="shared" si="1416"/>
        <v>0</v>
      </c>
      <c r="U1833" s="225" t="str">
        <f>IF(NOT(ISNUMBER(G1833)), "", VLOOKUP(A1833,'Discount Lookup'!D:E,2,FALSE)*G1833)</f>
        <v/>
      </c>
      <c r="V1833" s="225" t="str">
        <f>IF(NOT(ISNUMBER(G1833)), "", VLOOKUP(A1833,'Discount Lookup'!G:H,2,FALSE)*G1833)</f>
        <v/>
      </c>
      <c r="W1833" s="508">
        <f t="shared" si="1417"/>
        <v>0</v>
      </c>
      <c r="X1833" s="508" t="str">
        <f t="shared" si="1418"/>
        <v>Green foliage</v>
      </c>
      <c r="Y1833" s="509" t="b">
        <f t="shared" si="1419"/>
        <v>0</v>
      </c>
      <c r="Z1833" s="510">
        <f t="shared" si="1420"/>
        <v>0</v>
      </c>
      <c r="AA1833" s="511"/>
      <c r="AB1833" s="511" t="str">
        <f t="shared" si="1421"/>
        <v/>
      </c>
      <c r="AC1833" s="698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698"/>
      <c r="AE1833" s="631" t="str">
        <f t="shared" si="1422"/>
        <v/>
      </c>
      <c r="AF1833" s="699" t="str">
        <f t="shared" si="1423"/>
        <v/>
      </c>
      <c r="AG1833" s="699"/>
      <c r="AH1833" s="699"/>
      <c r="AI1833" s="512">
        <f>IF(H1833="credit",0,IF(AE1833="free",0,IF(AE1833="me",0,IF(G1833&gt;0,(VLOOKUP(A1833,'Discount Lookup'!J:K,2)*G1833),0))))</f>
        <v>0</v>
      </c>
      <c r="AJ1833" s="513" t="str">
        <f t="shared" ca="1" si="1424"/>
        <v/>
      </c>
      <c r="AK1833" s="700" t="str">
        <f t="shared" si="1425"/>
        <v/>
      </c>
      <c r="AL1833" s="700"/>
      <c r="AM1833" s="505" t="str">
        <f t="shared" si="1426"/>
        <v/>
      </c>
      <c r="AN1833" s="506"/>
      <c r="AO1833" s="507"/>
      <c r="AP1833" s="507"/>
      <c r="AQ1833" s="507"/>
      <c r="AR1833" s="507"/>
      <c r="AS1833" s="507"/>
      <c r="AT1833" s="507"/>
      <c r="AU1833" s="507"/>
      <c r="AV1833" s="225"/>
      <c r="AW1833" s="508"/>
      <c r="AX1833" s="225"/>
      <c r="AY1833" s="225"/>
      <c r="AZ1833" s="225"/>
      <c r="BA1833" s="225"/>
      <c r="BB1833" s="225"/>
      <c r="BC1833" s="56"/>
      <c r="BD1833" s="56"/>
      <c r="BE1833" s="56"/>
      <c r="BF1833" s="107" t="str">
        <f t="shared" si="1427"/>
        <v>https://www.google.com/search?tbm=isch&amp;q=Hetz%20Midget%20Arborvitae%20Thuja%20occidentalis%20%27Hetz%20Midget%27</v>
      </c>
      <c r="BG1833" s="107" t="str">
        <f t="shared" si="1428"/>
        <v>H</v>
      </c>
      <c r="BH1833" s="254"/>
      <c r="BI1833" s="254"/>
    </row>
    <row r="1834" spans="1:61" customFormat="1" ht="15.75" x14ac:dyDescent="0.25">
      <c r="A1834" s="485">
        <v>3</v>
      </c>
      <c r="B1834" s="486" t="s">
        <v>291</v>
      </c>
      <c r="C1834" s="487" t="s">
        <v>1102</v>
      </c>
      <c r="D1834" s="488" t="s">
        <v>297</v>
      </c>
      <c r="E1834" s="489">
        <v>24.95</v>
      </c>
      <c r="F1834" s="516" t="s">
        <v>293</v>
      </c>
      <c r="G1834" s="232">
        <v>0</v>
      </c>
      <c r="H1834" s="658" t="str">
        <f>IF(G1834=0,"",IF(F1834="Buy",IF(G1834=1,"plant","plants"),IF(F1834&gt;0.01,"warranty","Error")))</f>
        <v/>
      </c>
      <c r="I1834" s="490">
        <f>IF(H1834="free",0,IF(H1834="credit",((E1834*(F1834))*G1834*-1),IF(F1834="Buy",(E1834*G1834),((E1834*(1-F1834))*G1834))))</f>
        <v>0</v>
      </c>
      <c r="J1834" s="490">
        <f>IF(H1834="warranty",0,(I1834*(_xlfn.SINGLE(SalesTaxPercentage))))</f>
        <v>0</v>
      </c>
      <c r="K1834" s="695">
        <f t="shared" ref="K1834" si="1444">I1834+J1834</f>
        <v>0</v>
      </c>
      <c r="L1834" s="695"/>
      <c r="M1834" s="659" t="str">
        <f>IF(AND(G1834&gt;0,E1834=0),"WARNING - no PRICE inserted",IF(H1834="free"," FREE ~ no charge this plant",IF(H1834="credit",CONCATENATE(" -$",ROUND(K1834*(1-T2GDiscount)*-1,2)," CREDIT after discount"),IF(T2GDiscount=0,"",IF(G1834=0,"",IF(F1834="Buy",CONCATENATE(" $",ROUND(K1834*(1-T2GDiscount),2)," with ",(T2GDiscount*100),"% discount"),CONCATENATE(" $",ROUND(K1834*(1-T2GDiscount),2)," with ",((T2GDiscount*100+F1834*100)-(T2GDiscount*100*F1834)),IF(F1834&gt;0,"% discounts",IF(NoWarrantyDiscount&gt;0,"% discounts","% discount")))))))))</f>
        <v/>
      </c>
      <c r="N1834" s="660"/>
      <c r="O1834" s="233"/>
      <c r="P1834" s="233"/>
      <c r="Q1834" s="233"/>
      <c r="R1834" s="233"/>
      <c r="S1834" s="233"/>
      <c r="T1834" s="508">
        <f t="shared" si="1416"/>
        <v>0</v>
      </c>
      <c r="U1834" s="225">
        <f>IF(NOT(ISNUMBER(G1834)), "", VLOOKUP(A1834,'Discount Lookup'!D:E,2,FALSE)*G1834)</f>
        <v>0</v>
      </c>
      <c r="V1834" s="225">
        <f>IF(NOT(ISNUMBER(G1834)), "", VLOOKUP(A1834,'Discount Lookup'!G:H,2,FALSE)*G1834)</f>
        <v>0</v>
      </c>
      <c r="W1834" s="508">
        <f t="shared" si="1417"/>
        <v>0</v>
      </c>
      <c r="X1834" s="508">
        <f t="shared" si="1418"/>
        <v>0</v>
      </c>
      <c r="Y1834" s="509" t="b">
        <f t="shared" si="1419"/>
        <v>0</v>
      </c>
      <c r="Z1834" s="510">
        <f t="shared" si="1420"/>
        <v>0</v>
      </c>
      <c r="AA1834" s="511"/>
      <c r="AB1834" s="511" t="str">
        <f t="shared" si="1421"/>
        <v/>
      </c>
      <c r="AC1834" s="698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698"/>
      <c r="AE1834" s="631" t="str">
        <f t="shared" si="1422"/>
        <v/>
      </c>
      <c r="AF1834" s="699" t="str">
        <f t="shared" si="1423"/>
        <v/>
      </c>
      <c r="AG1834" s="699"/>
      <c r="AH1834" s="699"/>
      <c r="AI1834" s="512">
        <f>IF(H1834="credit",0,IF(AE1834="free",0,IF(AE1834="me",0,IF(G1834&gt;0,(VLOOKUP(A1834,'Discount Lookup'!J:K,2)*G1834),0))))</f>
        <v>0</v>
      </c>
      <c r="AJ1834" s="513" t="str">
        <f t="shared" ca="1" si="1424"/>
        <v/>
      </c>
      <c r="AK1834" s="700" t="str">
        <f t="shared" si="1425"/>
        <v/>
      </c>
      <c r="AL1834" s="700"/>
      <c r="AM1834" s="505" t="str">
        <f t="shared" si="1426"/>
        <v/>
      </c>
      <c r="AN1834" s="506"/>
      <c r="AO1834" s="507"/>
      <c r="AP1834" s="507"/>
      <c r="AQ1834" s="507"/>
      <c r="AR1834" s="507"/>
      <c r="AS1834" s="507"/>
      <c r="AT1834" s="507"/>
      <c r="AU1834" s="507"/>
      <c r="AV1834" s="225"/>
      <c r="AW1834" s="508"/>
      <c r="AX1834" s="225"/>
      <c r="AY1834" s="225"/>
      <c r="AZ1834" s="225"/>
      <c r="BA1834" s="225"/>
      <c r="BB1834" s="225"/>
      <c r="BC1834" s="56"/>
      <c r="BD1834" s="56"/>
      <c r="BE1834" s="56"/>
      <c r="BF1834" s="107" t="str">
        <f t="shared" si="1427"/>
        <v>https://www.google.com/search?tbm=isch&amp;q=3%20G3</v>
      </c>
      <c r="BG1834" s="107" t="str">
        <f t="shared" si="1428"/>
        <v>H</v>
      </c>
      <c r="BH1834" s="254"/>
      <c r="BI1834" s="254"/>
    </row>
    <row r="1835" spans="1:61" customFormat="1" ht="15.75" x14ac:dyDescent="0.25">
      <c r="A1835" s="485">
        <v>3</v>
      </c>
      <c r="B1835" s="486" t="s">
        <v>291</v>
      </c>
      <c r="C1835" s="487"/>
      <c r="D1835" s="488" t="s">
        <v>298</v>
      </c>
      <c r="E1835" s="489">
        <v>25.95</v>
      </c>
      <c r="F1835" s="516" t="s">
        <v>293</v>
      </c>
      <c r="G1835" s="232">
        <v>0</v>
      </c>
      <c r="H1835" s="658" t="str">
        <f>IF(G1835=0,"",IF(F1835="Buy",IF(G1835=1,"plant","plants"),IF(F1835&gt;0.01,"warranty","Error")))</f>
        <v/>
      </c>
      <c r="I1835" s="490">
        <f>IF(H1835="free",0,IF(H1835="credit",((E1835*(F1835))*G1835*-1),IF(F1835="Buy",(E1835*G1835),((E1835*(1-F1835))*G1835))))</f>
        <v>0</v>
      </c>
      <c r="J1835" s="490">
        <f>IF(H1835="warranty",0,(I1835*(_xlfn.SINGLE(SalesTaxPercentage))))</f>
        <v>0</v>
      </c>
      <c r="K1835" s="695">
        <f t="shared" ref="K1835" si="1445">I1835+J1835</f>
        <v>0</v>
      </c>
      <c r="L1835" s="695"/>
      <c r="M1835" s="659" t="str">
        <f>IF(AND(G1835&gt;0,E1835=0),"WARNING - no PRICE inserted",IF(H1835="free"," FREE ~ no charge this plant",IF(H1835="credit",CONCATENATE(" -$",ROUND(K1835*(1-T2GDiscount)*-1,2)," CREDIT after discount"),IF(T2GDiscount=0,"",IF(G1835=0,"",IF(F1835="Buy",CONCATENATE(" $",ROUND(K1835*(1-T2GDiscount),2)," with ",(T2GDiscount*100),"% discount"),CONCATENATE(" $",ROUND(K1835*(1-T2GDiscount),2)," with ",((T2GDiscount*100+F1835*100)-(T2GDiscount*100*F1835)),IF(F1835&gt;0,"% discounts",IF(NoWarrantyDiscount&gt;0,"% discounts","% discount")))))))))</f>
        <v/>
      </c>
      <c r="N1835" s="660"/>
      <c r="O1835" s="233"/>
      <c r="P1835" s="233"/>
      <c r="Q1835" s="233"/>
      <c r="R1835" s="233"/>
      <c r="S1835" s="233"/>
      <c r="T1835" s="508">
        <f t="shared" si="1416"/>
        <v>0</v>
      </c>
      <c r="U1835" s="225">
        <f>IF(NOT(ISNUMBER(G1835)), "", VLOOKUP(A1835,'Discount Lookup'!D:E,2,FALSE)*G1835)</f>
        <v>0</v>
      </c>
      <c r="V1835" s="225">
        <f>IF(NOT(ISNUMBER(G1835)), "", VLOOKUP(A1835,'Discount Lookup'!G:H,2,FALSE)*G1835)</f>
        <v>0</v>
      </c>
      <c r="W1835" s="508">
        <f t="shared" si="1417"/>
        <v>0</v>
      </c>
      <c r="X1835" s="508">
        <f t="shared" si="1418"/>
        <v>0</v>
      </c>
      <c r="Y1835" s="509" t="b">
        <f t="shared" si="1419"/>
        <v>0</v>
      </c>
      <c r="Z1835" s="510">
        <f t="shared" si="1420"/>
        <v>0</v>
      </c>
      <c r="AA1835" s="511"/>
      <c r="AB1835" s="511" t="str">
        <f t="shared" si="1421"/>
        <v/>
      </c>
      <c r="AC1835" s="698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698"/>
      <c r="AE1835" s="631" t="str">
        <f t="shared" si="1422"/>
        <v/>
      </c>
      <c r="AF1835" s="699" t="str">
        <f t="shared" si="1423"/>
        <v/>
      </c>
      <c r="AG1835" s="699"/>
      <c r="AH1835" s="699"/>
      <c r="AI1835" s="512">
        <f>IF(H1835="credit",0,IF(AE1835="free",0,IF(AE1835="me",0,IF(G1835&gt;0,(VLOOKUP(A1835,'Discount Lookup'!J:K,2)*G1835),0))))</f>
        <v>0</v>
      </c>
      <c r="AJ1835" s="513" t="str">
        <f t="shared" ca="1" si="1424"/>
        <v/>
      </c>
      <c r="AK1835" s="700" t="str">
        <f t="shared" si="1425"/>
        <v/>
      </c>
      <c r="AL1835" s="700"/>
      <c r="AM1835" s="505" t="str">
        <f t="shared" si="1426"/>
        <v/>
      </c>
      <c r="AN1835" s="506"/>
      <c r="AO1835" s="507"/>
      <c r="AP1835" s="507"/>
      <c r="AQ1835" s="507"/>
      <c r="AR1835" s="507"/>
      <c r="AS1835" s="507"/>
      <c r="AT1835" s="507"/>
      <c r="AU1835" s="507"/>
      <c r="AV1835" s="225"/>
      <c r="AW1835" s="508"/>
      <c r="AX1835" s="225"/>
      <c r="AY1835" s="225"/>
      <c r="AZ1835" s="225"/>
      <c r="BA1835" s="225"/>
      <c r="BB1835" s="225"/>
      <c r="BC1835" s="56"/>
      <c r="BD1835" s="56"/>
      <c r="BE1835" s="56"/>
      <c r="BF1835" s="107" t="str">
        <f t="shared" si="1427"/>
        <v>https://www.google.com/search?tbm=isch&amp;q=3%20G1</v>
      </c>
      <c r="BG1835" s="107" t="str">
        <f t="shared" si="1428"/>
        <v>H</v>
      </c>
      <c r="BH1835" s="254"/>
      <c r="BI1835" s="254"/>
    </row>
    <row r="1836" spans="1:61" customFormat="1" ht="15.75" x14ac:dyDescent="0.25">
      <c r="A1836" s="485">
        <v>5</v>
      </c>
      <c r="B1836" s="486" t="s">
        <v>291</v>
      </c>
      <c r="C1836" s="487" t="s">
        <v>1103</v>
      </c>
      <c r="D1836" s="488" t="s">
        <v>297</v>
      </c>
      <c r="E1836" s="489">
        <v>49.95</v>
      </c>
      <c r="F1836" s="516" t="s">
        <v>293</v>
      </c>
      <c r="G1836" s="232">
        <v>0</v>
      </c>
      <c r="H1836" s="658" t="str">
        <f>IF(G1836=0,"",IF(F1836="Buy",IF(G1836=1,"plant","plants"),IF(F1836&gt;0.01,"warranty","Error")))</f>
        <v/>
      </c>
      <c r="I1836" s="490">
        <f>IF(H1836="free",0,IF(H1836="credit",((E1836*(F1836))*G1836*-1),IF(F1836="Buy",(E1836*G1836),((E1836*(1-F1836))*G1836))))</f>
        <v>0</v>
      </c>
      <c r="J1836" s="490">
        <f>IF(H1836="warranty",0,(I1836*(_xlfn.SINGLE(SalesTaxPercentage))))</f>
        <v>0</v>
      </c>
      <c r="K1836" s="695">
        <f t="shared" ref="K1836" si="1446">I1836+J1836</f>
        <v>0</v>
      </c>
      <c r="L1836" s="695"/>
      <c r="M1836" s="659" t="str">
        <f>IF(AND(G1836&gt;0,E1836=0),"WARNING - no PRICE inserted",IF(H1836="free"," FREE ~ no charge this plant",IF(H1836="credit",CONCATENATE(" -$",ROUND(K1836*(1-T2GDiscount)*-1,2)," CREDIT after discount"),IF(T2GDiscount=0,"",IF(G1836=0,"",IF(F1836="Buy",CONCATENATE(" $",ROUND(K1836*(1-T2GDiscount),2)," with ",(T2GDiscount*100),"% discount"),CONCATENATE(" $",ROUND(K1836*(1-T2GDiscount),2)," with ",((T2GDiscount*100+F1836*100)-(T2GDiscount*100*F1836)),IF(F1836&gt;0,"% discounts",IF(NoWarrantyDiscount&gt;0,"% discounts","% discount")))))))))</f>
        <v/>
      </c>
      <c r="N1836" s="660"/>
      <c r="O1836" s="233"/>
      <c r="P1836" s="233"/>
      <c r="Q1836" s="233"/>
      <c r="R1836" s="233"/>
      <c r="S1836" s="233"/>
      <c r="T1836" s="508">
        <f t="shared" si="1416"/>
        <v>0</v>
      </c>
      <c r="U1836" s="225">
        <f>IF(NOT(ISNUMBER(G1836)), "", VLOOKUP(A1836,'Discount Lookup'!D:E,2,FALSE)*G1836)</f>
        <v>0</v>
      </c>
      <c r="V1836" s="225">
        <f>IF(NOT(ISNUMBER(G1836)), "", VLOOKUP(A1836,'Discount Lookup'!G:H,2,FALSE)*G1836)</f>
        <v>0</v>
      </c>
      <c r="W1836" s="508">
        <f t="shared" si="1417"/>
        <v>0</v>
      </c>
      <c r="X1836" s="508">
        <f t="shared" si="1418"/>
        <v>0</v>
      </c>
      <c r="Y1836" s="509" t="b">
        <f t="shared" si="1419"/>
        <v>0</v>
      </c>
      <c r="Z1836" s="510">
        <f t="shared" si="1420"/>
        <v>0</v>
      </c>
      <c r="AA1836" s="511"/>
      <c r="AB1836" s="511" t="str">
        <f t="shared" si="1421"/>
        <v/>
      </c>
      <c r="AC1836" s="698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698"/>
      <c r="AE1836" s="631" t="str">
        <f t="shared" si="1422"/>
        <v/>
      </c>
      <c r="AF1836" s="699" t="str">
        <f t="shared" si="1423"/>
        <v/>
      </c>
      <c r="AG1836" s="699"/>
      <c r="AH1836" s="699"/>
      <c r="AI1836" s="512">
        <f>IF(H1836="credit",0,IF(AE1836="free",0,IF(AE1836="me",0,IF(G1836&gt;0,(VLOOKUP(A1836,'Discount Lookup'!J:K,2)*G1836),0))))</f>
        <v>0</v>
      </c>
      <c r="AJ1836" s="513" t="str">
        <f t="shared" ca="1" si="1424"/>
        <v/>
      </c>
      <c r="AK1836" s="700" t="str">
        <f t="shared" si="1425"/>
        <v/>
      </c>
      <c r="AL1836" s="700"/>
      <c r="AM1836" s="505" t="str">
        <f t="shared" si="1426"/>
        <v/>
      </c>
      <c r="AN1836" s="506"/>
      <c r="AO1836" s="507"/>
      <c r="AP1836" s="507"/>
      <c r="AQ1836" s="507"/>
      <c r="AR1836" s="507"/>
      <c r="AS1836" s="507"/>
      <c r="AT1836" s="507"/>
      <c r="AU1836" s="507"/>
      <c r="AV1836" s="225"/>
      <c r="AW1836" s="508"/>
      <c r="AX1836" s="225"/>
      <c r="AY1836" s="225"/>
      <c r="AZ1836" s="225"/>
      <c r="BA1836" s="225"/>
      <c r="BB1836" s="225"/>
      <c r="BC1836" s="56"/>
      <c r="BD1836" s="56"/>
      <c r="BE1836" s="56"/>
      <c r="BF1836" s="107" t="str">
        <f t="shared" si="1427"/>
        <v>https://www.google.com/search?tbm=isch&amp;q=5%20G3</v>
      </c>
      <c r="BG1836" s="107" t="str">
        <f t="shared" si="1428"/>
        <v>H</v>
      </c>
      <c r="BH1836" s="254"/>
      <c r="BI1836" s="254"/>
    </row>
    <row r="1837" spans="1:61" customFormat="1" ht="15.75" x14ac:dyDescent="0.25">
      <c r="A1837" s="485">
        <v>7</v>
      </c>
      <c r="B1837" s="486" t="s">
        <v>291</v>
      </c>
      <c r="C1837" s="487" t="s">
        <v>4295</v>
      </c>
      <c r="D1837" s="488" t="s">
        <v>299</v>
      </c>
      <c r="E1837" s="489">
        <v>68.95</v>
      </c>
      <c r="F1837" s="516" t="s">
        <v>293</v>
      </c>
      <c r="G1837" s="232">
        <v>0</v>
      </c>
      <c r="H1837" s="658" t="str">
        <f>IF(G1837=0,"",IF(F1837="Buy",IF(G1837=1,"plant","plants"),IF(F1837&gt;0.01,"warranty","Error")))</f>
        <v/>
      </c>
      <c r="I1837" s="490">
        <f>IF(H1837="free",0,IF(H1837="credit",((E1837*(F1837))*G1837*-1),IF(F1837="Buy",(E1837*G1837),((E1837*(1-F1837))*G1837))))</f>
        <v>0</v>
      </c>
      <c r="J1837" s="490">
        <f>IF(H1837="warranty",0,(I1837*(_xlfn.SINGLE(SalesTaxPercentage))))</f>
        <v>0</v>
      </c>
      <c r="K1837" s="695">
        <f t="shared" ref="K1837" si="1447">I1837+J1837</f>
        <v>0</v>
      </c>
      <c r="L1837" s="695"/>
      <c r="M1837" s="659" t="str">
        <f>IF(AND(G1837&gt;0,E1837=0),"WARNING - no PRICE inserted",IF(H1837="free"," FREE ~ no charge this plant",IF(H1837="credit",CONCATENATE(" -$",ROUND(K1837*(1-T2GDiscount)*-1,2)," CREDIT after discount"),IF(T2GDiscount=0,"",IF(G1837=0,"",IF(F1837="Buy",CONCATENATE(" $",ROUND(K1837*(1-T2GDiscount),2)," with ",(T2GDiscount*100),"% discount"),CONCATENATE(" $",ROUND(K1837*(1-T2GDiscount),2)," with ",((T2GDiscount*100+F1837*100)-(T2GDiscount*100*F1837)),IF(F1837&gt;0,"% discounts",IF(NoWarrantyDiscount&gt;0,"% discounts","% discount")))))))))</f>
        <v/>
      </c>
      <c r="N1837" s="660"/>
      <c r="O1837" s="233"/>
      <c r="P1837" s="233"/>
      <c r="Q1837" s="233"/>
      <c r="R1837" s="233"/>
      <c r="S1837" s="233"/>
      <c r="T1837" s="508">
        <f t="shared" si="1416"/>
        <v>0</v>
      </c>
      <c r="U1837" s="225">
        <f>IF(NOT(ISNUMBER(G1837)), "", VLOOKUP(A1837,'Discount Lookup'!D:E,2,FALSE)*G1837)</f>
        <v>0</v>
      </c>
      <c r="V1837" s="225">
        <f>IF(NOT(ISNUMBER(G1837)), "", VLOOKUP(A1837,'Discount Lookup'!G:H,2,FALSE)*G1837)</f>
        <v>0</v>
      </c>
      <c r="W1837" s="508">
        <f t="shared" si="1417"/>
        <v>0</v>
      </c>
      <c r="X1837" s="508">
        <f t="shared" si="1418"/>
        <v>0</v>
      </c>
      <c r="Y1837" s="509" t="b">
        <f t="shared" si="1419"/>
        <v>0</v>
      </c>
      <c r="Z1837" s="510">
        <f t="shared" si="1420"/>
        <v>0</v>
      </c>
      <c r="AA1837" s="511"/>
      <c r="AB1837" s="511" t="str">
        <f t="shared" si="1421"/>
        <v/>
      </c>
      <c r="AC1837" s="698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698"/>
      <c r="AE1837" s="631" t="str">
        <f t="shared" si="1422"/>
        <v/>
      </c>
      <c r="AF1837" s="699" t="str">
        <f t="shared" si="1423"/>
        <v/>
      </c>
      <c r="AG1837" s="699"/>
      <c r="AH1837" s="699"/>
      <c r="AI1837" s="512">
        <f>IF(H1837="credit",0,IF(AE1837="free",0,IF(AE1837="me",0,IF(G1837&gt;0,(VLOOKUP(A1837,'Discount Lookup'!J:K,2)*G1837),0))))</f>
        <v>0</v>
      </c>
      <c r="AJ1837" s="513" t="str">
        <f t="shared" ca="1" si="1424"/>
        <v/>
      </c>
      <c r="AK1837" s="700" t="str">
        <f t="shared" si="1425"/>
        <v/>
      </c>
      <c r="AL1837" s="700"/>
      <c r="AM1837" s="505" t="str">
        <f t="shared" si="1426"/>
        <v/>
      </c>
      <c r="AN1837" s="506"/>
      <c r="AO1837" s="507"/>
      <c r="AP1837" s="507"/>
      <c r="AQ1837" s="507"/>
      <c r="AR1837" s="507"/>
      <c r="AS1837" s="507"/>
      <c r="AT1837" s="507"/>
      <c r="AU1837" s="507"/>
      <c r="AV1837" s="225"/>
      <c r="AW1837" s="508"/>
      <c r="AX1837" s="225"/>
      <c r="AY1837" s="225"/>
      <c r="AZ1837" s="225"/>
      <c r="BA1837" s="225"/>
      <c r="BB1837" s="225"/>
      <c r="BC1837" s="56"/>
      <c r="BD1837" s="56"/>
      <c r="BE1837" s="56"/>
      <c r="BF1837" s="107" t="str">
        <f t="shared" si="1427"/>
        <v>https://www.google.com/search?tbm=isch&amp;q=7%20G5</v>
      </c>
      <c r="BG1837" s="107" t="str">
        <f t="shared" si="1428"/>
        <v>H</v>
      </c>
      <c r="BH1837" s="254"/>
      <c r="BI1837" s="254"/>
    </row>
    <row r="1838" spans="1:61" customFormat="1" ht="16.5" thickBot="1" x14ac:dyDescent="0.3">
      <c r="A1838" s="522" t="s">
        <v>2897</v>
      </c>
      <c r="B1838" s="491"/>
      <c r="C1838" s="675"/>
      <c r="D1838" s="491"/>
      <c r="E1838" s="491"/>
      <c r="F1838" s="492"/>
      <c r="G1838" s="493"/>
      <c r="H1838" s="491"/>
      <c r="I1838" s="234"/>
      <c r="J1838" s="234"/>
      <c r="K1838" s="494"/>
      <c r="L1838" s="543"/>
      <c r="M1838" s="561"/>
      <c r="N1838" s="495"/>
      <c r="O1838" s="496"/>
      <c r="P1838" s="497"/>
      <c r="Q1838" s="495"/>
      <c r="R1838" s="495"/>
      <c r="S1838" s="277"/>
      <c r="T1838" s="508">
        <f t="shared" si="1416"/>
        <v>0</v>
      </c>
      <c r="U1838" s="225" t="str">
        <f>IF(NOT(ISNUMBER(G1838)), "", VLOOKUP(A1838,'Discount Lookup'!D:E,2,FALSE)*G1838)</f>
        <v/>
      </c>
      <c r="V1838" s="225" t="str">
        <f>IF(NOT(ISNUMBER(G1838)), "", VLOOKUP(A1838,'Discount Lookup'!G:H,2,FALSE)*G1838)</f>
        <v/>
      </c>
      <c r="W1838" s="508">
        <f t="shared" si="1417"/>
        <v>0</v>
      </c>
      <c r="X1838" s="508">
        <f t="shared" si="1418"/>
        <v>0</v>
      </c>
      <c r="Y1838" s="509" t="b">
        <f t="shared" si="1419"/>
        <v>0</v>
      </c>
      <c r="Z1838" s="510">
        <f t="shared" si="1420"/>
        <v>0</v>
      </c>
      <c r="AA1838" s="511"/>
      <c r="AB1838" s="511" t="str">
        <f t="shared" si="1421"/>
        <v/>
      </c>
      <c r="AC1838" s="698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698"/>
      <c r="AE1838" s="631" t="str">
        <f t="shared" si="1422"/>
        <v/>
      </c>
      <c r="AF1838" s="699" t="str">
        <f t="shared" si="1423"/>
        <v/>
      </c>
      <c r="AG1838" s="699"/>
      <c r="AH1838" s="699"/>
      <c r="AI1838" s="512">
        <f>IF(H1838="credit",0,IF(AE1838="free",0,IF(AE1838="me",0,IF(G1838&gt;0,(VLOOKUP(A1838,'Discount Lookup'!J:K,2)*G1838),0))))</f>
        <v>0</v>
      </c>
      <c r="AJ1838" s="513" t="str">
        <f t="shared" ca="1" si="1424"/>
        <v/>
      </c>
      <c r="AK1838" s="700" t="str">
        <f t="shared" si="1425"/>
        <v/>
      </c>
      <c r="AL1838" s="700"/>
      <c r="AM1838" s="505" t="str">
        <f t="shared" si="1426"/>
        <v/>
      </c>
      <c r="AN1838" s="506"/>
      <c r="AO1838" s="507"/>
      <c r="AP1838" s="507"/>
      <c r="AQ1838" s="507"/>
      <c r="AR1838" s="507"/>
      <c r="AS1838" s="507"/>
      <c r="AT1838" s="507"/>
      <c r="AU1838" s="507"/>
      <c r="AV1838" s="225"/>
      <c r="AW1838" s="508"/>
      <c r="AX1838" s="225"/>
      <c r="AY1838" s="225"/>
      <c r="AZ1838" s="225"/>
      <c r="BA1838" s="225"/>
      <c r="BB1838" s="225"/>
      <c r="BC1838" s="56"/>
      <c r="BD1838" s="56"/>
      <c r="BE1838" s="56"/>
      <c r="BF1838" s="107" t="str">
        <f t="shared" si="1427"/>
        <v>https://www.google.com/search?tbm=isch&amp;q=Hetz%20Midget%20globe-shaped%20shrub%20with%20fine-textured%20foliage%20and%20a%20naturally%20rounded%20form%20that%20requires%20little%20to%20no%20shearing%20</v>
      </c>
      <c r="BG1838" s="107" t="str">
        <f t="shared" si="1428"/>
        <v>H</v>
      </c>
      <c r="BH1838" s="254"/>
      <c r="BI1838" s="254"/>
    </row>
    <row r="1839" spans="1:61" customFormat="1" ht="18" x14ac:dyDescent="0.25">
      <c r="A1839" s="521" t="s">
        <v>5425</v>
      </c>
      <c r="B1839" s="477"/>
      <c r="C1839" s="674"/>
      <c r="D1839" s="478" t="s">
        <v>1104</v>
      </c>
      <c r="E1839" s="479"/>
      <c r="F1839" s="479"/>
      <c r="G1839" s="479"/>
      <c r="H1839" s="582" t="s">
        <v>1164</v>
      </c>
      <c r="I1839" s="480" t="s">
        <v>2944</v>
      </c>
      <c r="J1839" s="479"/>
      <c r="K1839" s="479"/>
      <c r="L1839" s="560"/>
      <c r="M1839" s="671" t="s">
        <v>4985</v>
      </c>
      <c r="N1839" s="680" t="str">
        <f>IF(AND(ISTEXT($A1839), ISERROR($A1839+0)), HYPERLINK($BF1839, "Images"), "")</f>
        <v>Images</v>
      </c>
      <c r="O1839" s="662" t="s">
        <v>4969</v>
      </c>
      <c r="P1839" s="482"/>
      <c r="Q1839" s="483"/>
      <c r="R1839" s="483"/>
      <c r="S1839" s="484"/>
      <c r="T1839" s="508">
        <f t="shared" si="1416"/>
        <v>0</v>
      </c>
      <c r="U1839" s="225" t="str">
        <f>IF(NOT(ISNUMBER(G1839)), "", VLOOKUP(A1839,'Discount Lookup'!D:E,2,FALSE)*G1839)</f>
        <v/>
      </c>
      <c r="V1839" s="225" t="str">
        <f>IF(NOT(ISNUMBER(G1839)), "", VLOOKUP(A1839,'Discount Lookup'!G:H,2,FALSE)*G1839)</f>
        <v/>
      </c>
      <c r="W1839" s="508">
        <f t="shared" si="1417"/>
        <v>0</v>
      </c>
      <c r="X1839" s="508" t="str">
        <f t="shared" si="1418"/>
        <v>White bloom, Pink backs</v>
      </c>
      <c r="Y1839" s="509" t="b">
        <f t="shared" si="1419"/>
        <v>0</v>
      </c>
      <c r="Z1839" s="510">
        <f t="shared" si="1420"/>
        <v>0</v>
      </c>
      <c r="AA1839" s="511"/>
      <c r="AB1839" s="511" t="str">
        <f t="shared" si="1421"/>
        <v/>
      </c>
      <c r="AC1839" s="698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698"/>
      <c r="AE1839" s="631" t="str">
        <f t="shared" si="1422"/>
        <v/>
      </c>
      <c r="AF1839" s="699" t="str">
        <f t="shared" si="1423"/>
        <v/>
      </c>
      <c r="AG1839" s="699"/>
      <c r="AH1839" s="699"/>
      <c r="AI1839" s="512">
        <f>IF(H1839="credit",0,IF(AE1839="free",0,IF(AE1839="me",0,IF(G1839&gt;0,(VLOOKUP(A1839,'Discount Lookup'!J:K,2)*G1839),0))))</f>
        <v>0</v>
      </c>
      <c r="AJ1839" s="513" t="str">
        <f t="shared" ca="1" si="1424"/>
        <v/>
      </c>
      <c r="AK1839" s="700" t="str">
        <f t="shared" si="1425"/>
        <v/>
      </c>
      <c r="AL1839" s="700"/>
      <c r="AM1839" s="505" t="str">
        <f t="shared" si="1426"/>
        <v/>
      </c>
      <c r="AN1839" s="506"/>
      <c r="AO1839" s="507"/>
      <c r="AP1839" s="507"/>
      <c r="AQ1839" s="507"/>
      <c r="AR1839" s="507"/>
      <c r="AS1839" s="507"/>
      <c r="AT1839" s="507"/>
      <c r="AU1839" s="507"/>
      <c r="AV1839" s="225"/>
      <c r="AW1839" s="508"/>
      <c r="AX1839" s="225"/>
      <c r="AY1839" s="225"/>
      <c r="AZ1839" s="225"/>
      <c r="BA1839" s="225"/>
      <c r="BB1839" s="225"/>
      <c r="BC1839" s="56"/>
      <c r="BD1839" s="56"/>
      <c r="BE1839" s="56"/>
      <c r="BF1839" s="107" t="str">
        <f t="shared" si="1427"/>
        <v>https://www.google.com/search?tbm=isch&amp;q=HGC%C2%AE%20Champion%20Lenten%20Rose%20Helleborus%20x%20ericsmithii%20%27COSEH%20730%27</v>
      </c>
      <c r="BG1839" s="107" t="str">
        <f t="shared" si="1428"/>
        <v>H</v>
      </c>
      <c r="BH1839" s="254"/>
      <c r="BI1839" s="254"/>
    </row>
    <row r="1840" spans="1:61" customFormat="1" ht="15.75" x14ac:dyDescent="0.25">
      <c r="A1840" s="485">
        <v>3</v>
      </c>
      <c r="B1840" s="486" t="s">
        <v>291</v>
      </c>
      <c r="C1840" s="487" t="s">
        <v>603</v>
      </c>
      <c r="D1840" s="488" t="s">
        <v>299</v>
      </c>
      <c r="E1840" s="489">
        <v>49.95</v>
      </c>
      <c r="F1840" s="516" t="s">
        <v>293</v>
      </c>
      <c r="G1840" s="232">
        <v>0</v>
      </c>
      <c r="H1840" s="658" t="str">
        <f>IF(G1840=0,"",IF(F1840="Buy",IF(G1840=1,"plant","plants"),IF(F1840&gt;0.01,"warranty","Error")))</f>
        <v/>
      </c>
      <c r="I1840" s="490">
        <f>IF(H1840="free",0,IF(H1840="credit",((E1840*(F1840))*G1840*-1),IF(F1840="Buy",(E1840*G1840),((E1840*(1-F1840))*G1840))))</f>
        <v>0</v>
      </c>
      <c r="J1840" s="490">
        <f>IF(H1840="warranty",0,(I1840*(_xlfn.SINGLE(SalesTaxPercentage))))</f>
        <v>0</v>
      </c>
      <c r="K1840" s="695">
        <f t="shared" ref="K1840" si="1448">I1840+J1840</f>
        <v>0</v>
      </c>
      <c r="L1840" s="695"/>
      <c r="M1840" s="659" t="str">
        <f>IF(AND(G1840&gt;0,E1840=0),"WARNING - no PRICE inserted",IF(H1840="free"," FREE ~ no charge this plant",IF(H1840="credit",CONCATENATE(" -$",ROUND(K1840*(1-T2GDiscount)*-1,2)," CREDIT after discount"),IF(T2GDiscount=0,"",IF(G1840=0,"",IF(F1840="Buy",CONCATENATE(" $",ROUND(K1840*(1-T2GDiscount),2)," with ",(T2GDiscount*100),"% discount"),CONCATENATE(" $",ROUND(K1840*(1-T2GDiscount),2)," with ",((T2GDiscount*100+F1840*100)-(T2GDiscount*100*F1840)),IF(F1840&gt;0,"% discounts",IF(NoWarrantyDiscount&gt;0,"% discounts","% discount")))))))))</f>
        <v/>
      </c>
      <c r="N1840" s="660"/>
      <c r="O1840" s="233"/>
      <c r="P1840" s="233"/>
      <c r="Q1840" s="233"/>
      <c r="R1840" s="233"/>
      <c r="S1840" s="233"/>
      <c r="T1840" s="508">
        <f t="shared" si="1416"/>
        <v>0</v>
      </c>
      <c r="U1840" s="225">
        <f>IF(NOT(ISNUMBER(G1840)), "", VLOOKUP(A1840,'Discount Lookup'!D:E,2,FALSE)*G1840)</f>
        <v>0</v>
      </c>
      <c r="V1840" s="225">
        <f>IF(NOT(ISNUMBER(G1840)), "", VLOOKUP(A1840,'Discount Lookup'!G:H,2,FALSE)*G1840)</f>
        <v>0</v>
      </c>
      <c r="W1840" s="508">
        <f t="shared" si="1417"/>
        <v>0</v>
      </c>
      <c r="X1840" s="508">
        <f t="shared" si="1418"/>
        <v>0</v>
      </c>
      <c r="Y1840" s="509" t="b">
        <f t="shared" si="1419"/>
        <v>0</v>
      </c>
      <c r="Z1840" s="510">
        <f t="shared" si="1420"/>
        <v>0</v>
      </c>
      <c r="AA1840" s="511"/>
      <c r="AB1840" s="511" t="str">
        <f t="shared" si="1421"/>
        <v/>
      </c>
      <c r="AC1840" s="698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698"/>
      <c r="AE1840" s="631" t="str">
        <f t="shared" si="1422"/>
        <v/>
      </c>
      <c r="AF1840" s="699" t="str">
        <f t="shared" si="1423"/>
        <v/>
      </c>
      <c r="AG1840" s="699"/>
      <c r="AH1840" s="699"/>
      <c r="AI1840" s="512">
        <f>IF(H1840="credit",0,IF(AE1840="free",0,IF(AE1840="me",0,IF(G1840&gt;0,(VLOOKUP(A1840,'Discount Lookup'!J:K,2)*G1840),0))))</f>
        <v>0</v>
      </c>
      <c r="AJ1840" s="513" t="str">
        <f t="shared" ca="1" si="1424"/>
        <v/>
      </c>
      <c r="AK1840" s="700" t="str">
        <f t="shared" si="1425"/>
        <v/>
      </c>
      <c r="AL1840" s="700"/>
      <c r="AM1840" s="505" t="str">
        <f t="shared" si="1426"/>
        <v/>
      </c>
      <c r="AN1840" s="506"/>
      <c r="AO1840" s="507"/>
      <c r="AP1840" s="507"/>
      <c r="AQ1840" s="507"/>
      <c r="AR1840" s="507"/>
      <c r="AS1840" s="507"/>
      <c r="AT1840" s="507"/>
      <c r="AU1840" s="507"/>
      <c r="AV1840" s="225"/>
      <c r="AW1840" s="508"/>
      <c r="AX1840" s="225"/>
      <c r="AY1840" s="225"/>
      <c r="AZ1840" s="225"/>
      <c r="BA1840" s="225"/>
      <c r="BB1840" s="225"/>
      <c r="BC1840" s="56"/>
      <c r="BD1840" s="56"/>
      <c r="BE1840" s="56"/>
      <c r="BF1840" s="107" t="str">
        <f t="shared" si="1427"/>
        <v>https://www.google.com/search?tbm=isch&amp;q=3%20G5</v>
      </c>
      <c r="BG1840" s="107" t="str">
        <f t="shared" si="1428"/>
        <v>H</v>
      </c>
      <c r="BH1840" s="254"/>
      <c r="BI1840" s="254"/>
    </row>
    <row r="1841" spans="1:61" customFormat="1" ht="16.5" thickBot="1" x14ac:dyDescent="0.3">
      <c r="A1841" s="522" t="s">
        <v>2945</v>
      </c>
      <c r="B1841" s="491"/>
      <c r="C1841" s="675"/>
      <c r="D1841" s="491"/>
      <c r="E1841" s="491"/>
      <c r="F1841" s="492"/>
      <c r="G1841" s="493"/>
      <c r="H1841" s="491"/>
      <c r="I1841" s="234"/>
      <c r="J1841" s="234"/>
      <c r="K1841" s="494"/>
      <c r="L1841" s="543"/>
      <c r="M1841" s="561"/>
      <c r="N1841" s="495"/>
      <c r="O1841" s="496"/>
      <c r="P1841" s="497"/>
      <c r="Q1841" s="495"/>
      <c r="R1841" s="495"/>
      <c r="S1841" s="667" t="s">
        <v>4968</v>
      </c>
      <c r="T1841" s="508">
        <f t="shared" si="1416"/>
        <v>0</v>
      </c>
      <c r="U1841" s="225" t="str">
        <f>IF(NOT(ISNUMBER(G1841)), "", VLOOKUP(A1841,'Discount Lookup'!D:E,2,FALSE)*G1841)</f>
        <v/>
      </c>
      <c r="V1841" s="225" t="str">
        <f>IF(NOT(ISNUMBER(G1841)), "", VLOOKUP(A1841,'Discount Lookup'!G:H,2,FALSE)*G1841)</f>
        <v/>
      </c>
      <c r="W1841" s="508">
        <f t="shared" si="1417"/>
        <v>0</v>
      </c>
      <c r="X1841" s="508">
        <f t="shared" si="1418"/>
        <v>0</v>
      </c>
      <c r="Y1841" s="509" t="b">
        <f t="shared" si="1419"/>
        <v>0</v>
      </c>
      <c r="Z1841" s="510">
        <f t="shared" si="1420"/>
        <v>0</v>
      </c>
      <c r="AA1841" s="511"/>
      <c r="AB1841" s="511" t="str">
        <f t="shared" si="1421"/>
        <v/>
      </c>
      <c r="AC1841" s="698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698"/>
      <c r="AE1841" s="631" t="str">
        <f t="shared" si="1422"/>
        <v/>
      </c>
      <c r="AF1841" s="699" t="str">
        <f t="shared" si="1423"/>
        <v/>
      </c>
      <c r="AG1841" s="699"/>
      <c r="AH1841" s="699"/>
      <c r="AI1841" s="512">
        <f>IF(H1841="credit",0,IF(AE1841="free",0,IF(AE1841="me",0,IF(G1841&gt;0,(VLOOKUP(A1841,'Discount Lookup'!J:K,2)*G1841),0))))</f>
        <v>0</v>
      </c>
      <c r="AJ1841" s="513" t="str">
        <f t="shared" ca="1" si="1424"/>
        <v/>
      </c>
      <c r="AK1841" s="700" t="str">
        <f t="shared" si="1425"/>
        <v/>
      </c>
      <c r="AL1841" s="700"/>
      <c r="AM1841" s="505" t="str">
        <f t="shared" si="1426"/>
        <v/>
      </c>
      <c r="AN1841" s="506"/>
      <c r="AO1841" s="507"/>
      <c r="AP1841" s="507"/>
      <c r="AQ1841" s="507"/>
      <c r="AR1841" s="507"/>
      <c r="AS1841" s="507"/>
      <c r="AT1841" s="507"/>
      <c r="AU1841" s="507"/>
      <c r="AV1841" s="225"/>
      <c r="AW1841" s="508"/>
      <c r="AX1841" s="225"/>
      <c r="AY1841" s="225"/>
      <c r="AZ1841" s="225"/>
      <c r="BA1841" s="225"/>
      <c r="BB1841" s="225"/>
      <c r="BC1841" s="56"/>
      <c r="BD1841" s="56"/>
      <c r="BE1841" s="56"/>
      <c r="BF1841" s="107" t="str">
        <f t="shared" si="1427"/>
        <v>https://www.google.com/search?tbm=isch&amp;q=All%20Hellebores%20are%20clump-forming%20perennials%20with%20leathery%20foliage.%20They%20are%20long-lived%2C%20cold%2Fshade%20tolerant%2C%20and%20bloom%20late%20winter%20to%20spring%20</v>
      </c>
      <c r="BG1841" s="107" t="str">
        <f t="shared" si="1428"/>
        <v>A</v>
      </c>
      <c r="BH1841" s="254"/>
      <c r="BI1841" s="254"/>
    </row>
    <row r="1842" spans="1:61" customFormat="1" ht="18" x14ac:dyDescent="0.25">
      <c r="A1842" s="521" t="s">
        <v>5426</v>
      </c>
      <c r="B1842" s="477"/>
      <c r="C1842" s="674"/>
      <c r="D1842" s="478" t="s">
        <v>1105</v>
      </c>
      <c r="E1842" s="479"/>
      <c r="F1842" s="479"/>
      <c r="G1842" s="479"/>
      <c r="H1842" s="582" t="s">
        <v>1164</v>
      </c>
      <c r="I1842" s="480" t="s">
        <v>2946</v>
      </c>
      <c r="J1842" s="479"/>
      <c r="K1842" s="479"/>
      <c r="L1842" s="560"/>
      <c r="M1842" s="671" t="s">
        <v>4985</v>
      </c>
      <c r="N1842" s="680" t="str">
        <f>IF(AND(ISTEXT($A1842), ISERROR($A1842+0)), HYPERLINK($BF1842, "Images"), "")</f>
        <v>Images</v>
      </c>
      <c r="O1842" s="662" t="s">
        <v>4969</v>
      </c>
      <c r="P1842" s="482"/>
      <c r="Q1842" s="483"/>
      <c r="R1842" s="483"/>
      <c r="S1842" s="484"/>
      <c r="T1842" s="508">
        <f t="shared" si="1416"/>
        <v>0</v>
      </c>
      <c r="U1842" s="225" t="str">
        <f>IF(NOT(ISNUMBER(G1842)), "", VLOOKUP(A1842,'Discount Lookup'!D:E,2,FALSE)*G1842)</f>
        <v/>
      </c>
      <c r="V1842" s="225" t="str">
        <f>IF(NOT(ISNUMBER(G1842)), "", VLOOKUP(A1842,'Discount Lookup'!G:H,2,FALSE)*G1842)</f>
        <v/>
      </c>
      <c r="W1842" s="508">
        <f t="shared" si="1417"/>
        <v>0</v>
      </c>
      <c r="X1842" s="508" t="str">
        <f t="shared" si="1418"/>
        <v>Soft Pink, Rose with age</v>
      </c>
      <c r="Y1842" s="509" t="b">
        <f t="shared" si="1419"/>
        <v>0</v>
      </c>
      <c r="Z1842" s="510">
        <f t="shared" si="1420"/>
        <v>0</v>
      </c>
      <c r="AA1842" s="511"/>
      <c r="AB1842" s="511" t="str">
        <f t="shared" si="1421"/>
        <v/>
      </c>
      <c r="AC1842" s="698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698"/>
      <c r="AE1842" s="631" t="str">
        <f t="shared" si="1422"/>
        <v/>
      </c>
      <c r="AF1842" s="699" t="str">
        <f t="shared" si="1423"/>
        <v/>
      </c>
      <c r="AG1842" s="699"/>
      <c r="AH1842" s="699"/>
      <c r="AI1842" s="512">
        <f>IF(H1842="credit",0,IF(AE1842="free",0,IF(AE1842="me",0,IF(G1842&gt;0,(VLOOKUP(A1842,'Discount Lookup'!J:K,2)*G1842),0))))</f>
        <v>0</v>
      </c>
      <c r="AJ1842" s="513" t="str">
        <f t="shared" ca="1" si="1424"/>
        <v/>
      </c>
      <c r="AK1842" s="700" t="str">
        <f t="shared" si="1425"/>
        <v/>
      </c>
      <c r="AL1842" s="700"/>
      <c r="AM1842" s="505" t="str">
        <f t="shared" si="1426"/>
        <v/>
      </c>
      <c r="AN1842" s="506"/>
      <c r="AO1842" s="507"/>
      <c r="AP1842" s="507"/>
      <c r="AQ1842" s="507"/>
      <c r="AR1842" s="507"/>
      <c r="AS1842" s="507"/>
      <c r="AT1842" s="507"/>
      <c r="AU1842" s="507"/>
      <c r="AV1842" s="225"/>
      <c r="AW1842" s="508"/>
      <c r="AX1842" s="225"/>
      <c r="AY1842" s="225"/>
      <c r="AZ1842" s="225"/>
      <c r="BA1842" s="225"/>
      <c r="BB1842" s="225"/>
      <c r="BC1842" s="56"/>
      <c r="BD1842" s="56"/>
      <c r="BE1842" s="56"/>
      <c r="BF1842" s="107" t="str">
        <f t="shared" si="1427"/>
        <v>https://www.google.com/search?tbm=isch&amp;q=HGC%C2%AE%20Pink%20Frost%20Lenten%20Rose%20Helleborus%20x%20ballardiae%20%27Coseb%20710%27%20PP%2321063</v>
      </c>
      <c r="BG1842" s="107" t="str">
        <f t="shared" si="1428"/>
        <v>H</v>
      </c>
      <c r="BH1842" s="254"/>
      <c r="BI1842" s="254"/>
    </row>
    <row r="1843" spans="1:61" customFormat="1" ht="15.75" x14ac:dyDescent="0.25">
      <c r="A1843" s="485">
        <v>3</v>
      </c>
      <c r="B1843" s="486" t="s">
        <v>291</v>
      </c>
      <c r="C1843" s="487" t="s">
        <v>603</v>
      </c>
      <c r="D1843" s="488" t="s">
        <v>299</v>
      </c>
      <c r="E1843" s="489">
        <v>49.95</v>
      </c>
      <c r="F1843" s="516" t="s">
        <v>293</v>
      </c>
      <c r="G1843" s="232">
        <v>0</v>
      </c>
      <c r="H1843" s="658" t="str">
        <f>IF(G1843=0,"",IF(F1843="Buy",IF(G1843=1,"plant","plants"),IF(F1843&gt;0.01,"warranty","Error")))</f>
        <v/>
      </c>
      <c r="I1843" s="490">
        <f>IF(H1843="free",0,IF(H1843="credit",((E1843*(F1843))*G1843*-1),IF(F1843="Buy",(E1843*G1843),((E1843*(1-F1843))*G1843))))</f>
        <v>0</v>
      </c>
      <c r="J1843" s="490">
        <f>IF(H1843="warranty",0,(I1843*(_xlfn.SINGLE(SalesTaxPercentage))))</f>
        <v>0</v>
      </c>
      <c r="K1843" s="695">
        <f t="shared" ref="K1843" si="1449">I1843+J1843</f>
        <v>0</v>
      </c>
      <c r="L1843" s="695"/>
      <c r="M1843" s="659" t="str">
        <f>IF(AND(G1843&gt;0,E1843=0),"WARNING - no PRICE inserted",IF(H1843="free"," FREE ~ no charge this plant",IF(H1843="credit",CONCATENATE(" -$",ROUND(K1843*(1-T2GDiscount)*-1,2)," CREDIT after discount"),IF(T2GDiscount=0,"",IF(G1843=0,"",IF(F1843="Buy",CONCATENATE(" $",ROUND(K1843*(1-T2GDiscount),2)," with ",(T2GDiscount*100),"% discount"),CONCATENATE(" $",ROUND(K1843*(1-T2GDiscount),2)," with ",((T2GDiscount*100+F1843*100)-(T2GDiscount*100*F1843)),IF(F1843&gt;0,"% discounts",IF(NoWarrantyDiscount&gt;0,"% discounts","% discount")))))))))</f>
        <v/>
      </c>
      <c r="N1843" s="660"/>
      <c r="O1843" s="233"/>
      <c r="P1843" s="233"/>
      <c r="Q1843" s="233"/>
      <c r="R1843" s="233"/>
      <c r="S1843" s="233"/>
      <c r="T1843" s="508">
        <f t="shared" si="1416"/>
        <v>0</v>
      </c>
      <c r="U1843" s="225">
        <f>IF(NOT(ISNUMBER(G1843)), "", VLOOKUP(A1843,'Discount Lookup'!D:E,2,FALSE)*G1843)</f>
        <v>0</v>
      </c>
      <c r="V1843" s="225">
        <f>IF(NOT(ISNUMBER(G1843)), "", VLOOKUP(A1843,'Discount Lookup'!G:H,2,FALSE)*G1843)</f>
        <v>0</v>
      </c>
      <c r="W1843" s="508">
        <f t="shared" si="1417"/>
        <v>0</v>
      </c>
      <c r="X1843" s="508">
        <f t="shared" si="1418"/>
        <v>0</v>
      </c>
      <c r="Y1843" s="509" t="b">
        <f t="shared" si="1419"/>
        <v>0</v>
      </c>
      <c r="Z1843" s="510">
        <f t="shared" si="1420"/>
        <v>0</v>
      </c>
      <c r="AA1843" s="511"/>
      <c r="AB1843" s="511" t="str">
        <f t="shared" si="1421"/>
        <v/>
      </c>
      <c r="AC1843" s="698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698"/>
      <c r="AE1843" s="631" t="str">
        <f t="shared" si="1422"/>
        <v/>
      </c>
      <c r="AF1843" s="699" t="str">
        <f t="shared" si="1423"/>
        <v/>
      </c>
      <c r="AG1843" s="699"/>
      <c r="AH1843" s="699"/>
      <c r="AI1843" s="512">
        <f>IF(H1843="credit",0,IF(AE1843="free",0,IF(AE1843="me",0,IF(G1843&gt;0,(VLOOKUP(A1843,'Discount Lookup'!J:K,2)*G1843),0))))</f>
        <v>0</v>
      </c>
      <c r="AJ1843" s="513" t="str">
        <f t="shared" ca="1" si="1424"/>
        <v/>
      </c>
      <c r="AK1843" s="700" t="str">
        <f t="shared" si="1425"/>
        <v/>
      </c>
      <c r="AL1843" s="700"/>
      <c r="AM1843" s="505" t="str">
        <f t="shared" si="1426"/>
        <v/>
      </c>
      <c r="AN1843" s="506"/>
      <c r="AO1843" s="507"/>
      <c r="AP1843" s="507"/>
      <c r="AQ1843" s="507"/>
      <c r="AR1843" s="507"/>
      <c r="AS1843" s="507"/>
      <c r="AT1843" s="507"/>
      <c r="AU1843" s="507"/>
      <c r="AV1843" s="225"/>
      <c r="AW1843" s="508"/>
      <c r="AX1843" s="225"/>
      <c r="AY1843" s="225"/>
      <c r="AZ1843" s="225"/>
      <c r="BA1843" s="225"/>
      <c r="BB1843" s="225"/>
      <c r="BC1843" s="56"/>
      <c r="BD1843" s="56"/>
      <c r="BE1843" s="56"/>
      <c r="BF1843" s="107" t="str">
        <f t="shared" si="1427"/>
        <v>https://www.google.com/search?tbm=isch&amp;q=3%20G5</v>
      </c>
      <c r="BG1843" s="107" t="str">
        <f t="shared" si="1428"/>
        <v>H</v>
      </c>
      <c r="BH1843" s="254"/>
      <c r="BI1843" s="254"/>
    </row>
    <row r="1844" spans="1:61" customFormat="1" ht="16.5" thickBot="1" x14ac:dyDescent="0.3">
      <c r="A1844" s="522" t="s">
        <v>2945</v>
      </c>
      <c r="B1844" s="491"/>
      <c r="C1844" s="675"/>
      <c r="D1844" s="491"/>
      <c r="E1844" s="491"/>
      <c r="F1844" s="492"/>
      <c r="G1844" s="493"/>
      <c r="H1844" s="491"/>
      <c r="I1844" s="234"/>
      <c r="J1844" s="234"/>
      <c r="K1844" s="494"/>
      <c r="L1844" s="543"/>
      <c r="M1844" s="561"/>
      <c r="N1844" s="495"/>
      <c r="O1844" s="496"/>
      <c r="P1844" s="497"/>
      <c r="Q1844" s="495"/>
      <c r="R1844" s="495"/>
      <c r="S1844" s="667" t="s">
        <v>4968</v>
      </c>
      <c r="T1844" s="508">
        <f t="shared" si="1416"/>
        <v>0</v>
      </c>
      <c r="U1844" s="225" t="str">
        <f>IF(NOT(ISNUMBER(G1844)), "", VLOOKUP(A1844,'Discount Lookup'!D:E,2,FALSE)*G1844)</f>
        <v/>
      </c>
      <c r="V1844" s="225" t="str">
        <f>IF(NOT(ISNUMBER(G1844)), "", VLOOKUP(A1844,'Discount Lookup'!G:H,2,FALSE)*G1844)</f>
        <v/>
      </c>
      <c r="W1844" s="508">
        <f t="shared" si="1417"/>
        <v>0</v>
      </c>
      <c r="X1844" s="508">
        <f t="shared" si="1418"/>
        <v>0</v>
      </c>
      <c r="Y1844" s="509" t="b">
        <f t="shared" si="1419"/>
        <v>0</v>
      </c>
      <c r="Z1844" s="510">
        <f t="shared" si="1420"/>
        <v>0</v>
      </c>
      <c r="AA1844" s="511"/>
      <c r="AB1844" s="511" t="str">
        <f t="shared" si="1421"/>
        <v/>
      </c>
      <c r="AC1844" s="698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698"/>
      <c r="AE1844" s="631" t="str">
        <f t="shared" si="1422"/>
        <v/>
      </c>
      <c r="AF1844" s="699" t="str">
        <f t="shared" si="1423"/>
        <v/>
      </c>
      <c r="AG1844" s="699"/>
      <c r="AH1844" s="699"/>
      <c r="AI1844" s="512">
        <f>IF(H1844="credit",0,IF(AE1844="free",0,IF(AE1844="me",0,IF(G1844&gt;0,(VLOOKUP(A1844,'Discount Lookup'!J:K,2)*G1844),0))))</f>
        <v>0</v>
      </c>
      <c r="AJ1844" s="513" t="str">
        <f t="shared" ca="1" si="1424"/>
        <v/>
      </c>
      <c r="AK1844" s="700" t="str">
        <f t="shared" si="1425"/>
        <v/>
      </c>
      <c r="AL1844" s="700"/>
      <c r="AM1844" s="505" t="str">
        <f t="shared" si="1426"/>
        <v/>
      </c>
      <c r="AN1844" s="506"/>
      <c r="AO1844" s="507"/>
      <c r="AP1844" s="507"/>
      <c r="AQ1844" s="507"/>
      <c r="AR1844" s="507"/>
      <c r="AS1844" s="507"/>
      <c r="AT1844" s="507"/>
      <c r="AU1844" s="507"/>
      <c r="AV1844" s="225"/>
      <c r="AW1844" s="508"/>
      <c r="AX1844" s="225"/>
      <c r="AY1844" s="225"/>
      <c r="AZ1844" s="225"/>
      <c r="BA1844" s="225"/>
      <c r="BB1844" s="225"/>
      <c r="BC1844" s="56"/>
      <c r="BD1844" s="56"/>
      <c r="BE1844" s="56"/>
      <c r="BF1844" s="107" t="str">
        <f t="shared" si="1427"/>
        <v>https://www.google.com/search?tbm=isch&amp;q=All%20Hellebores%20are%20clump-forming%20perennials%20with%20leathery%20foliage.%20They%20are%20long-lived%2C%20cold%2Fshade%20tolerant%2C%20and%20bloom%20late%20winter%20to%20spring%20</v>
      </c>
      <c r="BG1844" s="107" t="str">
        <f t="shared" si="1428"/>
        <v>A</v>
      </c>
      <c r="BH1844" s="254"/>
      <c r="BI1844" s="254"/>
    </row>
    <row r="1845" spans="1:61" customFormat="1" ht="18" x14ac:dyDescent="0.25">
      <c r="A1845" s="521" t="s">
        <v>1106</v>
      </c>
      <c r="B1845" s="477"/>
      <c r="C1845" s="674"/>
      <c r="D1845" s="478" t="s">
        <v>1107</v>
      </c>
      <c r="E1845" s="479"/>
      <c r="F1845" s="479"/>
      <c r="G1845" s="479"/>
      <c r="H1845" s="582" t="s">
        <v>715</v>
      </c>
      <c r="I1845" s="480" t="s">
        <v>3953</v>
      </c>
      <c r="J1845" s="479"/>
      <c r="K1845" s="479"/>
      <c r="L1845" s="560"/>
      <c r="M1845" s="671" t="s">
        <v>4985</v>
      </c>
      <c r="N1845" s="680" t="str">
        <f>IF(AND(ISTEXT($A1845), ISERROR($A1845+0)), HYPERLINK($BF1845, "Images"), "")</f>
        <v>Images</v>
      </c>
      <c r="O1845" s="662" t="s">
        <v>4969</v>
      </c>
      <c r="P1845" s="482"/>
      <c r="Q1845" s="483"/>
      <c r="R1845" s="483"/>
      <c r="S1845" s="484"/>
      <c r="T1845" s="508">
        <f t="shared" si="1416"/>
        <v>0</v>
      </c>
      <c r="U1845" s="225" t="str">
        <f>IF(NOT(ISNUMBER(G1845)), "", VLOOKUP(A1845,'Discount Lookup'!D:E,2,FALSE)*G1845)</f>
        <v/>
      </c>
      <c r="V1845" s="225" t="str">
        <f>IF(NOT(ISNUMBER(G1845)), "", VLOOKUP(A1845,'Discount Lookup'!G:H,2,FALSE)*G1845)</f>
        <v/>
      </c>
      <c r="W1845" s="508">
        <f t="shared" si="1417"/>
        <v>0</v>
      </c>
      <c r="X1845" s="508" t="str">
        <f t="shared" si="1418"/>
        <v>White bloom, Pink tinge</v>
      </c>
      <c r="Y1845" s="509" t="b">
        <f t="shared" si="1419"/>
        <v>0</v>
      </c>
      <c r="Z1845" s="510">
        <f t="shared" si="1420"/>
        <v>0</v>
      </c>
      <c r="AA1845" s="511"/>
      <c r="AB1845" s="511" t="str">
        <f t="shared" si="1421"/>
        <v/>
      </c>
      <c r="AC1845" s="698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698"/>
      <c r="AE1845" s="631" t="str">
        <f t="shared" si="1422"/>
        <v/>
      </c>
      <c r="AF1845" s="699" t="str">
        <f t="shared" si="1423"/>
        <v/>
      </c>
      <c r="AG1845" s="699"/>
      <c r="AH1845" s="699"/>
      <c r="AI1845" s="512">
        <f>IF(H1845="credit",0,IF(AE1845="free",0,IF(AE1845="me",0,IF(G1845&gt;0,(VLOOKUP(A1845,'Discount Lookup'!J:K,2)*G1845),0))))</f>
        <v>0</v>
      </c>
      <c r="AJ1845" s="513" t="str">
        <f t="shared" ca="1" si="1424"/>
        <v/>
      </c>
      <c r="AK1845" s="700" t="str">
        <f t="shared" si="1425"/>
        <v/>
      </c>
      <c r="AL1845" s="700"/>
      <c r="AM1845" s="505" t="str">
        <f t="shared" si="1426"/>
        <v/>
      </c>
      <c r="AN1845" s="506"/>
      <c r="AO1845" s="507"/>
      <c r="AP1845" s="507"/>
      <c r="AQ1845" s="507"/>
      <c r="AR1845" s="507"/>
      <c r="AS1845" s="507"/>
      <c r="AT1845" s="507"/>
      <c r="AU1845" s="507"/>
      <c r="AV1845" s="225"/>
      <c r="AW1845" s="508"/>
      <c r="AX1845" s="225"/>
      <c r="AY1845" s="225"/>
      <c r="AZ1845" s="225"/>
      <c r="BA1845" s="225"/>
      <c r="BB1845" s="225"/>
      <c r="BC1845" s="56"/>
      <c r="BD1845" s="56"/>
      <c r="BE1845" s="56"/>
      <c r="BF1845" s="107" t="str">
        <f t="shared" si="1427"/>
        <v>https://www.google.com/search?tbm=isch&amp;q=Himalayan%20Sweet%20Box%20Sarcococca%20hookeriana</v>
      </c>
      <c r="BG1845" s="107" t="str">
        <f t="shared" si="1428"/>
        <v>H</v>
      </c>
      <c r="BH1845" s="254"/>
      <c r="BI1845" s="254"/>
    </row>
    <row r="1846" spans="1:61" customFormat="1" ht="15.75" x14ac:dyDescent="0.25">
      <c r="A1846" s="485">
        <v>3</v>
      </c>
      <c r="B1846" s="486" t="s">
        <v>291</v>
      </c>
      <c r="C1846" s="487" t="s">
        <v>3075</v>
      </c>
      <c r="D1846" s="488" t="s">
        <v>312</v>
      </c>
      <c r="E1846" s="489">
        <v>35.950000000000003</v>
      </c>
      <c r="F1846" s="516" t="s">
        <v>293</v>
      </c>
      <c r="G1846" s="232">
        <v>0</v>
      </c>
      <c r="H1846" s="658" t="str">
        <f>IF(G1846=0,"",IF(F1846="Buy",IF(G1846=1,"plant","plants"),IF(F1846&gt;0.01,"warranty","Error")))</f>
        <v/>
      </c>
      <c r="I1846" s="490">
        <f>IF(H1846="free",0,IF(H1846="credit",((E1846*(F1846))*G1846*-1),IF(F1846="Buy",(E1846*G1846),((E1846*(1-F1846))*G1846))))</f>
        <v>0</v>
      </c>
      <c r="J1846" s="490">
        <f>IF(H1846="warranty",0,(I1846*(_xlfn.SINGLE(SalesTaxPercentage))))</f>
        <v>0</v>
      </c>
      <c r="K1846" s="695">
        <f t="shared" ref="K1846" si="1450">I1846+J1846</f>
        <v>0</v>
      </c>
      <c r="L1846" s="695"/>
      <c r="M1846" s="659" t="str">
        <f>IF(AND(G1846&gt;0,E1846=0),"WARNING - no PRICE inserted",IF(H1846="free"," FREE ~ no charge this plant",IF(H1846="credit",CONCATENATE(" -$",ROUND(K1846*(1-T2GDiscount)*-1,2)," CREDIT after discount"),IF(T2GDiscount=0,"",IF(G1846=0,"",IF(F1846="Buy",CONCATENATE(" $",ROUND(K1846*(1-T2GDiscount),2)," with ",(T2GDiscount*100),"% discount"),CONCATENATE(" $",ROUND(K1846*(1-T2GDiscount),2)," with ",((T2GDiscount*100+F1846*100)-(T2GDiscount*100*F1846)),IF(F1846&gt;0,"% discounts",IF(NoWarrantyDiscount&gt;0,"% discounts","% discount")))))))))</f>
        <v/>
      </c>
      <c r="N1846" s="660"/>
      <c r="O1846" s="233"/>
      <c r="P1846" s="233"/>
      <c r="Q1846" s="233"/>
      <c r="R1846" s="233"/>
      <c r="S1846" s="233"/>
      <c r="T1846" s="508">
        <f t="shared" si="1416"/>
        <v>0</v>
      </c>
      <c r="U1846" s="225">
        <f>IF(NOT(ISNUMBER(G1846)), "", VLOOKUP(A1846,'Discount Lookup'!D:E,2,FALSE)*G1846)</f>
        <v>0</v>
      </c>
      <c r="V1846" s="225">
        <f>IF(NOT(ISNUMBER(G1846)), "", VLOOKUP(A1846,'Discount Lookup'!G:H,2,FALSE)*G1846)</f>
        <v>0</v>
      </c>
      <c r="W1846" s="508">
        <f t="shared" si="1417"/>
        <v>0</v>
      </c>
      <c r="X1846" s="508">
        <f t="shared" si="1418"/>
        <v>0</v>
      </c>
      <c r="Y1846" s="509" t="b">
        <f t="shared" si="1419"/>
        <v>0</v>
      </c>
      <c r="Z1846" s="510">
        <f t="shared" si="1420"/>
        <v>0</v>
      </c>
      <c r="AA1846" s="511"/>
      <c r="AB1846" s="511" t="str">
        <f t="shared" si="1421"/>
        <v/>
      </c>
      <c r="AC1846" s="698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698"/>
      <c r="AE1846" s="631" t="str">
        <f t="shared" si="1422"/>
        <v/>
      </c>
      <c r="AF1846" s="699" t="str">
        <f t="shared" si="1423"/>
        <v/>
      </c>
      <c r="AG1846" s="699"/>
      <c r="AH1846" s="699"/>
      <c r="AI1846" s="512">
        <f>IF(H1846="credit",0,IF(AE1846="free",0,IF(AE1846="me",0,IF(G1846&gt;0,(VLOOKUP(A1846,'Discount Lookup'!J:K,2)*G1846),0))))</f>
        <v>0</v>
      </c>
      <c r="AJ1846" s="513" t="str">
        <f t="shared" ca="1" si="1424"/>
        <v/>
      </c>
      <c r="AK1846" s="700" t="str">
        <f t="shared" si="1425"/>
        <v/>
      </c>
      <c r="AL1846" s="700"/>
      <c r="AM1846" s="505" t="str">
        <f t="shared" si="1426"/>
        <v/>
      </c>
      <c r="AN1846" s="506"/>
      <c r="AO1846" s="507"/>
      <c r="AP1846" s="507"/>
      <c r="AQ1846" s="507"/>
      <c r="AR1846" s="507"/>
      <c r="AS1846" s="507"/>
      <c r="AT1846" s="507"/>
      <c r="AU1846" s="507"/>
      <c r="AV1846" s="225"/>
      <c r="AW1846" s="508"/>
      <c r="AX1846" s="225"/>
      <c r="AY1846" s="225"/>
      <c r="AZ1846" s="225"/>
      <c r="BA1846" s="225"/>
      <c r="BB1846" s="225"/>
      <c r="BC1846" s="56"/>
      <c r="BD1846" s="56"/>
      <c r="BE1846" s="56"/>
      <c r="BF1846" s="107" t="str">
        <f t="shared" si="1427"/>
        <v>https://www.google.com/search?tbm=isch&amp;q=3%20G2</v>
      </c>
      <c r="BG1846" s="107" t="str">
        <f t="shared" si="1428"/>
        <v>H</v>
      </c>
      <c r="BH1846" s="254"/>
      <c r="BI1846" s="254"/>
    </row>
    <row r="1847" spans="1:61" customFormat="1" ht="17.25" thickBot="1" x14ac:dyDescent="0.3">
      <c r="A1847" s="522" t="s">
        <v>3954</v>
      </c>
      <c r="B1847" s="491"/>
      <c r="C1847" s="675"/>
      <c r="D1847" s="491"/>
      <c r="E1847" s="491"/>
      <c r="F1847" s="492"/>
      <c r="G1847" s="493"/>
      <c r="H1847" s="491"/>
      <c r="I1847" s="234"/>
      <c r="J1847" s="234"/>
      <c r="K1847" s="494"/>
      <c r="L1847" s="543"/>
      <c r="M1847" s="561"/>
      <c r="N1847" s="495"/>
      <c r="O1847" s="496"/>
      <c r="P1847" s="497"/>
      <c r="Q1847" s="495"/>
      <c r="R1847" s="495"/>
      <c r="S1847" s="667" t="s">
        <v>4982</v>
      </c>
      <c r="T1847" s="508">
        <f t="shared" si="1416"/>
        <v>0</v>
      </c>
      <c r="U1847" s="225" t="str">
        <f>IF(NOT(ISNUMBER(G1847)), "", VLOOKUP(A1847,'Discount Lookup'!D:E,2,FALSE)*G1847)</f>
        <v/>
      </c>
      <c r="V1847" s="225" t="str">
        <f>IF(NOT(ISNUMBER(G1847)), "", VLOOKUP(A1847,'Discount Lookup'!G:H,2,FALSE)*G1847)</f>
        <v/>
      </c>
      <c r="W1847" s="508">
        <f t="shared" si="1417"/>
        <v>0</v>
      </c>
      <c r="X1847" s="508">
        <f t="shared" si="1418"/>
        <v>0</v>
      </c>
      <c r="Y1847" s="509" t="b">
        <f t="shared" si="1419"/>
        <v>0</v>
      </c>
      <c r="Z1847" s="510">
        <f t="shared" si="1420"/>
        <v>0</v>
      </c>
      <c r="AA1847" s="511"/>
      <c r="AB1847" s="511" t="str">
        <f t="shared" si="1421"/>
        <v/>
      </c>
      <c r="AC1847" s="698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698"/>
      <c r="AE1847" s="631" t="str">
        <f t="shared" si="1422"/>
        <v/>
      </c>
      <c r="AF1847" s="699" t="str">
        <f t="shared" si="1423"/>
        <v/>
      </c>
      <c r="AG1847" s="699"/>
      <c r="AH1847" s="699"/>
      <c r="AI1847" s="512">
        <f>IF(H1847="credit",0,IF(AE1847="free",0,IF(AE1847="me",0,IF(G1847&gt;0,(VLOOKUP(A1847,'Discount Lookup'!J:K,2)*G1847),0))))</f>
        <v>0</v>
      </c>
      <c r="AJ1847" s="513" t="str">
        <f t="shared" ca="1" si="1424"/>
        <v/>
      </c>
      <c r="AK1847" s="700" t="str">
        <f t="shared" si="1425"/>
        <v/>
      </c>
      <c r="AL1847" s="700"/>
      <c r="AM1847" s="505" t="str">
        <f t="shared" si="1426"/>
        <v/>
      </c>
      <c r="AN1847" s="506"/>
      <c r="AO1847" s="507"/>
      <c r="AP1847" s="507"/>
      <c r="AQ1847" s="507"/>
      <c r="AR1847" s="507"/>
      <c r="AS1847" s="507"/>
      <c r="AT1847" s="507"/>
      <c r="AU1847" s="507"/>
      <c r="AV1847" s="225"/>
      <c r="AW1847" s="508"/>
      <c r="AX1847" s="225"/>
      <c r="AY1847" s="225"/>
      <c r="AZ1847" s="225"/>
      <c r="BA1847" s="225"/>
      <c r="BB1847" s="225"/>
      <c r="BC1847" s="56"/>
      <c r="BD1847" s="56"/>
      <c r="BE1847" s="56"/>
      <c r="BF1847" s="107" t="str">
        <f t="shared" si="1427"/>
        <v>https://www.google.com/search?tbm=isch&amp;q=Himalayan%20perfumes%20shady%20winter%20gardens%20with%20intensely%20fragrant%20spidery%20blooms%2C%20then%20sets%20Blue-Black%20berries.%20Green%20foliage%20</v>
      </c>
      <c r="BG1847" s="107" t="str">
        <f t="shared" si="1428"/>
        <v>H</v>
      </c>
      <c r="BH1847" s="254"/>
      <c r="BI1847" s="254"/>
    </row>
    <row r="1848" spans="1:61" customFormat="1" ht="18" x14ac:dyDescent="0.25">
      <c r="A1848" s="521" t="s">
        <v>1108</v>
      </c>
      <c r="B1848" s="477"/>
      <c r="C1848" s="674"/>
      <c r="D1848" s="478" t="s">
        <v>1109</v>
      </c>
      <c r="E1848" s="479"/>
      <c r="F1848" s="479"/>
      <c r="G1848" s="479"/>
      <c r="H1848" s="582" t="s">
        <v>1244</v>
      </c>
      <c r="I1848" s="480" t="s">
        <v>2093</v>
      </c>
      <c r="J1848" s="479"/>
      <c r="K1848" s="479"/>
      <c r="L1848" s="560"/>
      <c r="M1848" s="666" t="s">
        <v>4966</v>
      </c>
      <c r="N1848" s="680" t="str">
        <f>IF(AND(ISTEXT($A1848), ISERROR($A1848+0)), HYPERLINK($BF1848, "Images"), "")</f>
        <v>Images</v>
      </c>
      <c r="O1848" s="662" t="s">
        <v>4967</v>
      </c>
      <c r="P1848" s="482"/>
      <c r="Q1848" s="483"/>
      <c r="R1848" s="483"/>
      <c r="S1848" s="484"/>
      <c r="T1848" s="508">
        <f t="shared" si="1416"/>
        <v>0</v>
      </c>
      <c r="U1848" s="225" t="str">
        <f>IF(NOT(ISNUMBER(G1848)), "", VLOOKUP(A1848,'Discount Lookup'!D:E,2,FALSE)*G1848)</f>
        <v/>
      </c>
      <c r="V1848" s="225" t="str">
        <f>IF(NOT(ISNUMBER(G1848)), "", VLOOKUP(A1848,'Discount Lookup'!G:H,2,FALSE)*G1848)</f>
        <v/>
      </c>
      <c r="W1848" s="508">
        <f t="shared" si="1417"/>
        <v>0</v>
      </c>
      <c r="X1848" s="508" t="str">
        <f t="shared" si="1418"/>
        <v>Dark Green foliage</v>
      </c>
      <c r="Y1848" s="509" t="b">
        <f t="shared" si="1419"/>
        <v>0</v>
      </c>
      <c r="Z1848" s="510">
        <f t="shared" si="1420"/>
        <v>0</v>
      </c>
      <c r="AA1848" s="511"/>
      <c r="AB1848" s="511" t="str">
        <f t="shared" si="1421"/>
        <v/>
      </c>
      <c r="AC1848" s="698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698"/>
      <c r="AE1848" s="631" t="str">
        <f t="shared" si="1422"/>
        <v/>
      </c>
      <c r="AF1848" s="699" t="str">
        <f t="shared" si="1423"/>
        <v/>
      </c>
      <c r="AG1848" s="699"/>
      <c r="AH1848" s="699"/>
      <c r="AI1848" s="512">
        <f>IF(H1848="credit",0,IF(AE1848="free",0,IF(AE1848="me",0,IF(G1848&gt;0,(VLOOKUP(A1848,'Discount Lookup'!J:K,2)*G1848),0))))</f>
        <v>0</v>
      </c>
      <c r="AJ1848" s="513" t="str">
        <f t="shared" ca="1" si="1424"/>
        <v/>
      </c>
      <c r="AK1848" s="700" t="str">
        <f t="shared" si="1425"/>
        <v/>
      </c>
      <c r="AL1848" s="700"/>
      <c r="AM1848" s="505" t="str">
        <f t="shared" si="1426"/>
        <v/>
      </c>
      <c r="AN1848" s="506"/>
      <c r="AO1848" s="507"/>
      <c r="AP1848" s="507"/>
      <c r="AQ1848" s="507"/>
      <c r="AR1848" s="507"/>
      <c r="AS1848" s="507"/>
      <c r="AT1848" s="507"/>
      <c r="AU1848" s="507"/>
      <c r="AV1848" s="225"/>
      <c r="AW1848" s="508"/>
      <c r="AX1848" s="225"/>
      <c r="AY1848" s="225"/>
      <c r="AZ1848" s="225"/>
      <c r="BA1848" s="225"/>
      <c r="BB1848" s="225"/>
      <c r="BC1848" s="56"/>
      <c r="BD1848" s="56"/>
      <c r="BE1848" s="56"/>
      <c r="BF1848" s="107" t="str">
        <f t="shared" si="1427"/>
        <v>https://www.google.com/search?tbm=isch&amp;q=Holly%20Oak%20Quercus%20ilex</v>
      </c>
      <c r="BG1848" s="107" t="str">
        <f t="shared" si="1428"/>
        <v>H</v>
      </c>
      <c r="BH1848" s="254"/>
      <c r="BI1848" s="254"/>
    </row>
    <row r="1849" spans="1:61" customFormat="1" ht="15.75" x14ac:dyDescent="0.25">
      <c r="A1849" s="485">
        <v>10</v>
      </c>
      <c r="B1849" s="486" t="s">
        <v>291</v>
      </c>
      <c r="C1849" s="487" t="s">
        <v>3563</v>
      </c>
      <c r="D1849" s="488" t="s">
        <v>292</v>
      </c>
      <c r="E1849" s="489">
        <v>148.94999999999999</v>
      </c>
      <c r="F1849" s="516" t="s">
        <v>293</v>
      </c>
      <c r="G1849" s="232">
        <v>0</v>
      </c>
      <c r="H1849" s="658" t="str">
        <f>IF(G1849=0,"",IF(F1849="Buy",IF(G1849=1,"plant","plants"),IF(F1849&gt;0.01,"warranty","Error")))</f>
        <v/>
      </c>
      <c r="I1849" s="490">
        <f>IF(H1849="free",0,IF(H1849="credit",((E1849*(F1849))*G1849*-1),IF(F1849="Buy",(E1849*G1849),((E1849*(1-F1849))*G1849))))</f>
        <v>0</v>
      </c>
      <c r="J1849" s="490">
        <f>IF(H1849="warranty",0,(I1849*(_xlfn.SINGLE(SalesTaxPercentage))))</f>
        <v>0</v>
      </c>
      <c r="K1849" s="695">
        <f t="shared" ref="K1849" si="1451">I1849+J1849</f>
        <v>0</v>
      </c>
      <c r="L1849" s="695"/>
      <c r="M1849" s="659" t="str">
        <f>IF(AND(G1849&gt;0,E1849=0),"WARNING - no PRICE inserted",IF(H1849="free"," FREE ~ no charge this plant",IF(H1849="credit",CONCATENATE(" -$",ROUND(K1849*(1-T2GDiscount)*-1,2)," CREDIT after discount"),IF(T2GDiscount=0,"",IF(G1849=0,"",IF(F1849="Buy",CONCATENATE(" $",ROUND(K1849*(1-T2GDiscount),2)," with ",(T2GDiscount*100),"% discount"),CONCATENATE(" $",ROUND(K1849*(1-T2GDiscount),2)," with ",((T2GDiscount*100+F1849*100)-(T2GDiscount*100*F1849)),IF(F1849&gt;0,"% discounts",IF(NoWarrantyDiscount&gt;0,"% discounts","% discount")))))))))</f>
        <v/>
      </c>
      <c r="N1849" s="660"/>
      <c r="O1849" s="233"/>
      <c r="P1849" s="233"/>
      <c r="Q1849" s="233"/>
      <c r="R1849" s="233"/>
      <c r="S1849" s="233"/>
      <c r="T1849" s="508">
        <f t="shared" si="1416"/>
        <v>0</v>
      </c>
      <c r="U1849" s="225">
        <f>IF(NOT(ISNUMBER(G1849)), "", VLOOKUP(A1849,'Discount Lookup'!D:E,2,FALSE)*G1849)</f>
        <v>0</v>
      </c>
      <c r="V1849" s="225">
        <f>IF(NOT(ISNUMBER(G1849)), "", VLOOKUP(A1849,'Discount Lookup'!G:H,2,FALSE)*G1849)</f>
        <v>0</v>
      </c>
      <c r="W1849" s="508">
        <f t="shared" si="1417"/>
        <v>0</v>
      </c>
      <c r="X1849" s="508">
        <f t="shared" si="1418"/>
        <v>0</v>
      </c>
      <c r="Y1849" s="509" t="b">
        <f t="shared" si="1419"/>
        <v>0</v>
      </c>
      <c r="Z1849" s="510">
        <f t="shared" si="1420"/>
        <v>0</v>
      </c>
      <c r="AA1849" s="511"/>
      <c r="AB1849" s="511" t="str">
        <f t="shared" si="1421"/>
        <v/>
      </c>
      <c r="AC1849" s="698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698"/>
      <c r="AE1849" s="631" t="str">
        <f t="shared" si="1422"/>
        <v/>
      </c>
      <c r="AF1849" s="699" t="str">
        <f t="shared" si="1423"/>
        <v/>
      </c>
      <c r="AG1849" s="699"/>
      <c r="AH1849" s="699"/>
      <c r="AI1849" s="512">
        <f>IF(H1849="credit",0,IF(AE1849="free",0,IF(AE1849="me",0,IF(G1849&gt;0,(VLOOKUP(A1849,'Discount Lookup'!J:K,2)*G1849),0))))</f>
        <v>0</v>
      </c>
      <c r="AJ1849" s="513" t="str">
        <f t="shared" ca="1" si="1424"/>
        <v/>
      </c>
      <c r="AK1849" s="700" t="str">
        <f t="shared" si="1425"/>
        <v/>
      </c>
      <c r="AL1849" s="700"/>
      <c r="AM1849" s="505" t="str">
        <f t="shared" si="1426"/>
        <v/>
      </c>
      <c r="AN1849" s="506"/>
      <c r="AO1849" s="507"/>
      <c r="AP1849" s="507"/>
      <c r="AQ1849" s="507"/>
      <c r="AR1849" s="507"/>
      <c r="AS1849" s="507"/>
      <c r="AT1849" s="507"/>
      <c r="AU1849" s="507"/>
      <c r="AV1849" s="225"/>
      <c r="AW1849" s="508"/>
      <c r="AX1849" s="225"/>
      <c r="AY1849" s="225"/>
      <c r="AZ1849" s="225"/>
      <c r="BA1849" s="225"/>
      <c r="BB1849" s="225"/>
      <c r="BC1849" s="56"/>
      <c r="BD1849" s="56"/>
      <c r="BE1849" s="56"/>
      <c r="BF1849" s="107" t="str">
        <f t="shared" si="1427"/>
        <v>https://www.google.com/search?tbm=isch&amp;q=10%20G4</v>
      </c>
      <c r="BG1849" s="107" t="str">
        <f t="shared" si="1428"/>
        <v>H</v>
      </c>
      <c r="BH1849" s="254"/>
      <c r="BI1849" s="254"/>
    </row>
    <row r="1850" spans="1:61" customFormat="1" ht="17.25" thickBot="1" x14ac:dyDescent="0.3">
      <c r="A1850" s="522" t="s">
        <v>2148</v>
      </c>
      <c r="B1850" s="491"/>
      <c r="C1850" s="675"/>
      <c r="D1850" s="491"/>
      <c r="E1850" s="491"/>
      <c r="F1850" s="492"/>
      <c r="G1850" s="493"/>
      <c r="H1850" s="491"/>
      <c r="I1850" s="234"/>
      <c r="J1850" s="234"/>
      <c r="K1850" s="494"/>
      <c r="L1850" s="543"/>
      <c r="M1850" s="561"/>
      <c r="N1850" s="495"/>
      <c r="O1850" s="496"/>
      <c r="P1850" s="497"/>
      <c r="Q1850" s="495"/>
      <c r="R1850" s="495"/>
      <c r="S1850" s="667" t="s">
        <v>5000</v>
      </c>
      <c r="T1850" s="508">
        <f t="shared" si="1416"/>
        <v>0</v>
      </c>
      <c r="U1850" s="225" t="str">
        <f>IF(NOT(ISNUMBER(G1850)), "", VLOOKUP(A1850,'Discount Lookup'!D:E,2,FALSE)*G1850)</f>
        <v/>
      </c>
      <c r="V1850" s="225" t="str">
        <f>IF(NOT(ISNUMBER(G1850)), "", VLOOKUP(A1850,'Discount Lookup'!G:H,2,FALSE)*G1850)</f>
        <v/>
      </c>
      <c r="W1850" s="508">
        <f t="shared" si="1417"/>
        <v>0</v>
      </c>
      <c r="X1850" s="508">
        <f t="shared" si="1418"/>
        <v>0</v>
      </c>
      <c r="Y1850" s="509" t="b">
        <f t="shared" si="1419"/>
        <v>0</v>
      </c>
      <c r="Z1850" s="510">
        <f t="shared" si="1420"/>
        <v>0</v>
      </c>
      <c r="AA1850" s="511"/>
      <c r="AB1850" s="511" t="str">
        <f t="shared" si="1421"/>
        <v/>
      </c>
      <c r="AC1850" s="698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698"/>
      <c r="AE1850" s="631" t="str">
        <f t="shared" si="1422"/>
        <v/>
      </c>
      <c r="AF1850" s="699" t="str">
        <f t="shared" si="1423"/>
        <v/>
      </c>
      <c r="AG1850" s="699"/>
      <c r="AH1850" s="699"/>
      <c r="AI1850" s="512">
        <f>IF(H1850="credit",0,IF(AE1850="free",0,IF(AE1850="me",0,IF(G1850&gt;0,(VLOOKUP(A1850,'Discount Lookup'!J:K,2)*G1850),0))))</f>
        <v>0</v>
      </c>
      <c r="AJ1850" s="513" t="str">
        <f t="shared" ca="1" si="1424"/>
        <v/>
      </c>
      <c r="AK1850" s="700" t="str">
        <f t="shared" si="1425"/>
        <v/>
      </c>
      <c r="AL1850" s="700"/>
      <c r="AM1850" s="505" t="str">
        <f t="shared" si="1426"/>
        <v/>
      </c>
      <c r="AN1850" s="506"/>
      <c r="AO1850" s="507"/>
      <c r="AP1850" s="507"/>
      <c r="AQ1850" s="507"/>
      <c r="AR1850" s="507"/>
      <c r="AS1850" s="507"/>
      <c r="AT1850" s="507"/>
      <c r="AU1850" s="507"/>
      <c r="AV1850" s="225"/>
      <c r="AW1850" s="508"/>
      <c r="AX1850" s="225"/>
      <c r="AY1850" s="225"/>
      <c r="AZ1850" s="225"/>
      <c r="BA1850" s="225"/>
      <c r="BB1850" s="225"/>
      <c r="BC1850" s="56"/>
      <c r="BD1850" s="56"/>
      <c r="BE1850" s="56"/>
      <c r="BF1850" s="107" t="str">
        <f t="shared" si="1427"/>
        <v>https://www.google.com/search?tbm=isch&amp;q=Holly%20Oak%20named%20for%20foliage%20resembling%20Holly.%20Highly%20tolerant%20of%20poor%20growing%20conditions.%20Very%20long%20lived%20</v>
      </c>
      <c r="BG1850" s="107" t="str">
        <f t="shared" si="1428"/>
        <v>H</v>
      </c>
      <c r="BH1850" s="254"/>
      <c r="BI1850" s="254"/>
    </row>
    <row r="1851" spans="1:61" customFormat="1" ht="18" x14ac:dyDescent="0.25">
      <c r="A1851" s="521" t="s">
        <v>1110</v>
      </c>
      <c r="B1851" s="477"/>
      <c r="C1851" s="674"/>
      <c r="D1851" s="478" t="s">
        <v>1111</v>
      </c>
      <c r="E1851" s="479"/>
      <c r="F1851" s="479"/>
      <c r="G1851" s="479"/>
      <c r="H1851" s="582" t="s">
        <v>311</v>
      </c>
      <c r="I1851" s="480" t="s">
        <v>2093</v>
      </c>
      <c r="J1851" s="479"/>
      <c r="K1851" s="479"/>
      <c r="L1851" s="560"/>
      <c r="M1851" s="666" t="s">
        <v>4963</v>
      </c>
      <c r="N1851" s="680" t="str">
        <f>IF(AND(ISTEXT($A1851), ISERROR($A1851+0)), HYPERLINK($BF1851, "Images"), "")</f>
        <v>Images</v>
      </c>
      <c r="O1851" s="662" t="s">
        <v>4969</v>
      </c>
      <c r="P1851" s="482"/>
      <c r="Q1851" s="483"/>
      <c r="R1851" s="483"/>
      <c r="S1851" s="484"/>
      <c r="T1851" s="508">
        <f t="shared" si="1416"/>
        <v>0</v>
      </c>
      <c r="U1851" s="225" t="str">
        <f>IF(NOT(ISNUMBER(G1851)), "", VLOOKUP(A1851,'Discount Lookup'!D:E,2,FALSE)*G1851)</f>
        <v/>
      </c>
      <c r="V1851" s="225" t="str">
        <f>IF(NOT(ISNUMBER(G1851)), "", VLOOKUP(A1851,'Discount Lookup'!G:H,2,FALSE)*G1851)</f>
        <v/>
      </c>
      <c r="W1851" s="508">
        <f t="shared" si="1417"/>
        <v>0</v>
      </c>
      <c r="X1851" s="508" t="str">
        <f t="shared" si="1418"/>
        <v>Dark Green foliage</v>
      </c>
      <c r="Y1851" s="509" t="b">
        <f t="shared" si="1419"/>
        <v>0</v>
      </c>
      <c r="Z1851" s="510">
        <f t="shared" si="1420"/>
        <v>0</v>
      </c>
      <c r="AA1851" s="511"/>
      <c r="AB1851" s="511" t="str">
        <f t="shared" si="1421"/>
        <v/>
      </c>
      <c r="AC1851" s="698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698"/>
      <c r="AE1851" s="631" t="str">
        <f t="shared" si="1422"/>
        <v/>
      </c>
      <c r="AF1851" s="699" t="str">
        <f t="shared" si="1423"/>
        <v/>
      </c>
      <c r="AG1851" s="699"/>
      <c r="AH1851" s="699"/>
      <c r="AI1851" s="512">
        <f>IF(H1851="credit",0,IF(AE1851="free",0,IF(AE1851="me",0,IF(G1851&gt;0,(VLOOKUP(A1851,'Discount Lookup'!J:K,2)*G1851),0))))</f>
        <v>0</v>
      </c>
      <c r="AJ1851" s="513" t="str">
        <f t="shared" ca="1" si="1424"/>
        <v/>
      </c>
      <c r="AK1851" s="700" t="str">
        <f t="shared" si="1425"/>
        <v/>
      </c>
      <c r="AL1851" s="700"/>
      <c r="AM1851" s="505" t="str">
        <f t="shared" si="1426"/>
        <v/>
      </c>
      <c r="AN1851" s="506"/>
      <c r="AO1851" s="507"/>
      <c r="AP1851" s="507"/>
      <c r="AQ1851" s="507"/>
      <c r="AR1851" s="507"/>
      <c r="AS1851" s="507"/>
      <c r="AT1851" s="507"/>
      <c r="AU1851" s="507"/>
      <c r="AV1851" s="225"/>
      <c r="AW1851" s="508"/>
      <c r="AX1851" s="225"/>
      <c r="AY1851" s="225"/>
      <c r="AZ1851" s="225"/>
      <c r="BA1851" s="225"/>
      <c r="BB1851" s="225"/>
      <c r="BC1851" s="56"/>
      <c r="BD1851" s="56"/>
      <c r="BE1851" s="56"/>
      <c r="BF1851" s="107" t="str">
        <f t="shared" si="1427"/>
        <v>https://www.google.com/search?tbm=isch&amp;q=Hollywood%20Juniper%20Juniperus%20chinensis%20%27Torulosa%27</v>
      </c>
      <c r="BG1851" s="107" t="str">
        <f t="shared" si="1428"/>
        <v>H</v>
      </c>
      <c r="BH1851" s="254"/>
      <c r="BI1851" s="254"/>
    </row>
    <row r="1852" spans="1:61" customFormat="1" ht="15.75" x14ac:dyDescent="0.25">
      <c r="A1852" s="485">
        <v>7</v>
      </c>
      <c r="B1852" s="486" t="s">
        <v>291</v>
      </c>
      <c r="C1852" s="487" t="s">
        <v>3564</v>
      </c>
      <c r="D1852" s="488" t="s">
        <v>292</v>
      </c>
      <c r="E1852" s="489">
        <v>95.95</v>
      </c>
      <c r="F1852" s="516" t="s">
        <v>293</v>
      </c>
      <c r="G1852" s="232">
        <v>0</v>
      </c>
      <c r="H1852" s="658" t="str">
        <f>IF(G1852=0,"",IF(F1852="Buy",IF(G1852=1,"plant","plants"),IF(F1852&gt;0.01,"warranty","Error")))</f>
        <v/>
      </c>
      <c r="I1852" s="490">
        <f>IF(H1852="free",0,IF(H1852="credit",((E1852*(F1852))*G1852*-1),IF(F1852="Buy",(E1852*G1852),((E1852*(1-F1852))*G1852))))</f>
        <v>0</v>
      </c>
      <c r="J1852" s="490">
        <f>IF(H1852="warranty",0,(I1852*(_xlfn.SINGLE(SalesTaxPercentage))))</f>
        <v>0</v>
      </c>
      <c r="K1852" s="695">
        <f t="shared" ref="K1852" si="1452">I1852+J1852</f>
        <v>0</v>
      </c>
      <c r="L1852" s="695"/>
      <c r="M1852" s="659" t="str">
        <f>IF(AND(G1852&gt;0,E1852=0),"WARNING - no PRICE inserted",IF(H1852="free"," FREE ~ no charge this plant",IF(H1852="credit",CONCATENATE(" -$",ROUND(K1852*(1-T2GDiscount)*-1,2)," CREDIT after discount"),IF(T2GDiscount=0,"",IF(G1852=0,"",IF(F1852="Buy",CONCATENATE(" $",ROUND(K1852*(1-T2GDiscount),2)," with ",(T2GDiscount*100),"% discount"),CONCATENATE(" $",ROUND(K1852*(1-T2GDiscount),2)," with ",((T2GDiscount*100+F1852*100)-(T2GDiscount*100*F1852)),IF(F1852&gt;0,"% discounts",IF(NoWarrantyDiscount&gt;0,"% discounts","% discount")))))))))</f>
        <v/>
      </c>
      <c r="N1852" s="660"/>
      <c r="O1852" s="233"/>
      <c r="P1852" s="233"/>
      <c r="Q1852" s="233"/>
      <c r="R1852" s="233"/>
      <c r="S1852" s="233"/>
      <c r="T1852" s="508">
        <f t="shared" si="1416"/>
        <v>0</v>
      </c>
      <c r="U1852" s="225">
        <f>IF(NOT(ISNUMBER(G1852)), "", VLOOKUP(A1852,'Discount Lookup'!D:E,2,FALSE)*G1852)</f>
        <v>0</v>
      </c>
      <c r="V1852" s="225">
        <f>IF(NOT(ISNUMBER(G1852)), "", VLOOKUP(A1852,'Discount Lookup'!G:H,2,FALSE)*G1852)</f>
        <v>0</v>
      </c>
      <c r="W1852" s="508">
        <f t="shared" si="1417"/>
        <v>0</v>
      </c>
      <c r="X1852" s="508">
        <f t="shared" si="1418"/>
        <v>0</v>
      </c>
      <c r="Y1852" s="509" t="b">
        <f t="shared" si="1419"/>
        <v>0</v>
      </c>
      <c r="Z1852" s="510">
        <f t="shared" si="1420"/>
        <v>0</v>
      </c>
      <c r="AA1852" s="511"/>
      <c r="AB1852" s="511" t="str">
        <f t="shared" si="1421"/>
        <v/>
      </c>
      <c r="AC1852" s="698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698"/>
      <c r="AE1852" s="631" t="str">
        <f t="shared" si="1422"/>
        <v/>
      </c>
      <c r="AF1852" s="699" t="str">
        <f t="shared" si="1423"/>
        <v/>
      </c>
      <c r="AG1852" s="699"/>
      <c r="AH1852" s="699"/>
      <c r="AI1852" s="512">
        <f>IF(H1852="credit",0,IF(AE1852="free",0,IF(AE1852="me",0,IF(G1852&gt;0,(VLOOKUP(A1852,'Discount Lookup'!J:K,2)*G1852),0))))</f>
        <v>0</v>
      </c>
      <c r="AJ1852" s="513" t="str">
        <f t="shared" ca="1" si="1424"/>
        <v/>
      </c>
      <c r="AK1852" s="700" t="str">
        <f t="shared" si="1425"/>
        <v/>
      </c>
      <c r="AL1852" s="700"/>
      <c r="AM1852" s="505" t="str">
        <f t="shared" si="1426"/>
        <v/>
      </c>
      <c r="AN1852" s="506"/>
      <c r="AO1852" s="507"/>
      <c r="AP1852" s="507"/>
      <c r="AQ1852" s="507"/>
      <c r="AR1852" s="507"/>
      <c r="AS1852" s="507"/>
      <c r="AT1852" s="507"/>
      <c r="AU1852" s="507"/>
      <c r="AV1852" s="225"/>
      <c r="AW1852" s="508"/>
      <c r="AX1852" s="225"/>
      <c r="AY1852" s="225"/>
      <c r="AZ1852" s="225"/>
      <c r="BA1852" s="225"/>
      <c r="BB1852" s="225"/>
      <c r="BC1852" s="56"/>
      <c r="BD1852" s="56"/>
      <c r="BE1852" s="56"/>
      <c r="BF1852" s="107" t="str">
        <f t="shared" si="1427"/>
        <v>https://www.google.com/search?tbm=isch&amp;q=7%20G4</v>
      </c>
      <c r="BG1852" s="107" t="str">
        <f t="shared" si="1428"/>
        <v>H</v>
      </c>
      <c r="BH1852" s="254"/>
      <c r="BI1852" s="254"/>
    </row>
    <row r="1853" spans="1:61" customFormat="1" ht="15.75" x14ac:dyDescent="0.25">
      <c r="A1853" s="485">
        <v>15</v>
      </c>
      <c r="B1853" s="486" t="s">
        <v>291</v>
      </c>
      <c r="C1853" s="487" t="s">
        <v>3337</v>
      </c>
      <c r="D1853" s="488" t="s">
        <v>292</v>
      </c>
      <c r="E1853" s="489">
        <v>183.95</v>
      </c>
      <c r="F1853" s="516" t="s">
        <v>293</v>
      </c>
      <c r="G1853" s="232">
        <v>0</v>
      </c>
      <c r="H1853" s="658" t="str">
        <f>IF(G1853=0,"",IF(F1853="Buy",IF(G1853=1,"plant","plants"),IF(F1853&gt;0.01,"warranty","Error")))</f>
        <v/>
      </c>
      <c r="I1853" s="490">
        <f>IF(H1853="free",0,IF(H1853="credit",((E1853*(F1853))*G1853*-1),IF(F1853="Buy",(E1853*G1853),((E1853*(1-F1853))*G1853))))</f>
        <v>0</v>
      </c>
      <c r="J1853" s="490">
        <f>IF(H1853="warranty",0,(I1853*(_xlfn.SINGLE(SalesTaxPercentage))))</f>
        <v>0</v>
      </c>
      <c r="K1853" s="695">
        <f t="shared" ref="K1853" si="1453">I1853+J1853</f>
        <v>0</v>
      </c>
      <c r="L1853" s="695"/>
      <c r="M1853" s="659" t="str">
        <f>IF(AND(G1853&gt;0,E1853=0),"WARNING - no PRICE inserted",IF(H1853="free"," FREE ~ no charge this plant",IF(H1853="credit",CONCATENATE(" -$",ROUND(K1853*(1-T2GDiscount)*-1,2)," CREDIT after discount"),IF(T2GDiscount=0,"",IF(G1853=0,"",IF(F1853="Buy",CONCATENATE(" $",ROUND(K1853*(1-T2GDiscount),2)," with ",(T2GDiscount*100),"% discount"),CONCATENATE(" $",ROUND(K1853*(1-T2GDiscount),2)," with ",((T2GDiscount*100+F1853*100)-(T2GDiscount*100*F1853)),IF(F1853&gt;0,"% discounts",IF(NoWarrantyDiscount&gt;0,"% discounts","% discount")))))))))</f>
        <v/>
      </c>
      <c r="N1853" s="660"/>
      <c r="O1853" s="233"/>
      <c r="P1853" s="233"/>
      <c r="Q1853" s="233"/>
      <c r="R1853" s="233"/>
      <c r="S1853" s="233"/>
      <c r="T1853" s="508">
        <f t="shared" si="1416"/>
        <v>0</v>
      </c>
      <c r="U1853" s="225">
        <f>IF(NOT(ISNUMBER(G1853)), "", VLOOKUP(A1853,'Discount Lookup'!D:E,2,FALSE)*G1853)</f>
        <v>0</v>
      </c>
      <c r="V1853" s="225">
        <f>IF(NOT(ISNUMBER(G1853)), "", VLOOKUP(A1853,'Discount Lookup'!G:H,2,FALSE)*G1853)</f>
        <v>0</v>
      </c>
      <c r="W1853" s="508">
        <f t="shared" si="1417"/>
        <v>0</v>
      </c>
      <c r="X1853" s="508">
        <f t="shared" si="1418"/>
        <v>0</v>
      </c>
      <c r="Y1853" s="509" t="b">
        <f t="shared" si="1419"/>
        <v>0</v>
      </c>
      <c r="Z1853" s="510">
        <f t="shared" si="1420"/>
        <v>0</v>
      </c>
      <c r="AA1853" s="511"/>
      <c r="AB1853" s="511" t="str">
        <f t="shared" si="1421"/>
        <v/>
      </c>
      <c r="AC1853" s="698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698"/>
      <c r="AE1853" s="631" t="str">
        <f t="shared" si="1422"/>
        <v/>
      </c>
      <c r="AF1853" s="699" t="str">
        <f t="shared" si="1423"/>
        <v/>
      </c>
      <c r="AG1853" s="699"/>
      <c r="AH1853" s="699"/>
      <c r="AI1853" s="512">
        <f>IF(H1853="credit",0,IF(AE1853="free",0,IF(AE1853="me",0,IF(G1853&gt;0,(VLOOKUP(A1853,'Discount Lookup'!J:K,2)*G1853),0))))</f>
        <v>0</v>
      </c>
      <c r="AJ1853" s="513" t="str">
        <f t="shared" ca="1" si="1424"/>
        <v/>
      </c>
      <c r="AK1853" s="700" t="str">
        <f t="shared" si="1425"/>
        <v/>
      </c>
      <c r="AL1853" s="700"/>
      <c r="AM1853" s="505" t="str">
        <f t="shared" si="1426"/>
        <v/>
      </c>
      <c r="AN1853" s="506"/>
      <c r="AO1853" s="507"/>
      <c r="AP1853" s="507"/>
      <c r="AQ1853" s="507"/>
      <c r="AR1853" s="507"/>
      <c r="AS1853" s="507"/>
      <c r="AT1853" s="507"/>
      <c r="AU1853" s="507"/>
      <c r="AV1853" s="225"/>
      <c r="AW1853" s="508"/>
      <c r="AX1853" s="225"/>
      <c r="AY1853" s="225"/>
      <c r="AZ1853" s="225"/>
      <c r="BA1853" s="225"/>
      <c r="BB1853" s="225"/>
      <c r="BC1853" s="56"/>
      <c r="BD1853" s="56"/>
      <c r="BE1853" s="56"/>
      <c r="BF1853" s="107" t="str">
        <f t="shared" si="1427"/>
        <v>https://www.google.com/search?tbm=isch&amp;q=15%20G4</v>
      </c>
      <c r="BG1853" s="107" t="str">
        <f t="shared" si="1428"/>
        <v>H</v>
      </c>
      <c r="BH1853" s="254"/>
      <c r="BI1853" s="254"/>
    </row>
    <row r="1854" spans="1:61" customFormat="1" ht="27" x14ac:dyDescent="0.25">
      <c r="A1854" s="485">
        <v>25</v>
      </c>
      <c r="B1854" s="486" t="s">
        <v>291</v>
      </c>
      <c r="C1854" s="487" t="s">
        <v>3565</v>
      </c>
      <c r="D1854" s="488" t="s">
        <v>292</v>
      </c>
      <c r="E1854" s="489">
        <v>891.95</v>
      </c>
      <c r="F1854" s="516" t="s">
        <v>293</v>
      </c>
      <c r="G1854" s="232">
        <v>0</v>
      </c>
      <c r="H1854" s="658" t="str">
        <f>IF(G1854=0,"",IF(F1854="Buy",IF(G1854=1,"plant","plants"),IF(F1854&gt;0.01,"warranty","Error")))</f>
        <v/>
      </c>
      <c r="I1854" s="490">
        <f>IF(H1854="free",0,IF(H1854="credit",((E1854*(F1854))*G1854*-1),IF(F1854="Buy",(E1854*G1854),((E1854*(1-F1854))*G1854))))</f>
        <v>0</v>
      </c>
      <c r="J1854" s="490">
        <f>IF(H1854="warranty",0,(I1854*(_xlfn.SINGLE(SalesTaxPercentage))))</f>
        <v>0</v>
      </c>
      <c r="K1854" s="695">
        <f t="shared" ref="K1854" si="1454">I1854+J1854</f>
        <v>0</v>
      </c>
      <c r="L1854" s="695"/>
      <c r="M1854" s="659" t="str">
        <f>IF(AND(G1854&gt;0,E1854=0),"WARNING - no PRICE inserted",IF(H1854="free"," FREE ~ no charge this plant",IF(H1854="credit",CONCATENATE(" -$",ROUND(K1854*(1-T2GDiscount)*-1,2)," CREDIT after discount"),IF(T2GDiscount=0,"",IF(G1854=0,"",IF(F1854="Buy",CONCATENATE(" $",ROUND(K1854*(1-T2GDiscount),2)," with ",(T2GDiscount*100),"% discount"),CONCATENATE(" $",ROUND(K1854*(1-T2GDiscount),2)," with ",((T2GDiscount*100+F1854*100)-(T2GDiscount*100*F1854)),IF(F1854&gt;0,"% discounts",IF(NoWarrantyDiscount&gt;0,"% discounts","% discount")))))))))</f>
        <v/>
      </c>
      <c r="N1854" s="660"/>
      <c r="O1854" s="233"/>
      <c r="P1854" s="233"/>
      <c r="Q1854" s="233"/>
      <c r="R1854" s="233"/>
      <c r="S1854" s="233"/>
      <c r="T1854" s="508">
        <f t="shared" si="1416"/>
        <v>0</v>
      </c>
      <c r="U1854" s="225">
        <f>IF(NOT(ISNUMBER(G1854)), "", VLOOKUP(A1854,'Discount Lookup'!D:E,2,FALSE)*G1854)</f>
        <v>0</v>
      </c>
      <c r="V1854" s="225">
        <f>IF(NOT(ISNUMBER(G1854)), "", VLOOKUP(A1854,'Discount Lookup'!G:H,2,FALSE)*G1854)</f>
        <v>0</v>
      </c>
      <c r="W1854" s="508">
        <f t="shared" si="1417"/>
        <v>0</v>
      </c>
      <c r="X1854" s="508">
        <f t="shared" si="1418"/>
        <v>0</v>
      </c>
      <c r="Y1854" s="509" t="b">
        <f t="shared" si="1419"/>
        <v>0</v>
      </c>
      <c r="Z1854" s="510">
        <f t="shared" si="1420"/>
        <v>0</v>
      </c>
      <c r="AA1854" s="511"/>
      <c r="AB1854" s="511" t="str">
        <f t="shared" si="1421"/>
        <v/>
      </c>
      <c r="AC1854" s="698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698"/>
      <c r="AE1854" s="631" t="str">
        <f t="shared" si="1422"/>
        <v/>
      </c>
      <c r="AF1854" s="699" t="str">
        <f t="shared" si="1423"/>
        <v/>
      </c>
      <c r="AG1854" s="699"/>
      <c r="AH1854" s="699"/>
      <c r="AI1854" s="512">
        <f>IF(H1854="credit",0,IF(AE1854="free",0,IF(AE1854="me",0,IF(G1854&gt;0,(VLOOKUP(A1854,'Discount Lookup'!J:K,2)*G1854),0))))</f>
        <v>0</v>
      </c>
      <c r="AJ1854" s="513" t="str">
        <f t="shared" ca="1" si="1424"/>
        <v/>
      </c>
      <c r="AK1854" s="700" t="str">
        <f t="shared" si="1425"/>
        <v/>
      </c>
      <c r="AL1854" s="700"/>
      <c r="AM1854" s="505" t="str">
        <f t="shared" si="1426"/>
        <v/>
      </c>
      <c r="AN1854" s="506"/>
      <c r="AO1854" s="507"/>
      <c r="AP1854" s="507"/>
      <c r="AQ1854" s="507"/>
      <c r="AR1854" s="507"/>
      <c r="AS1854" s="507"/>
      <c r="AT1854" s="507"/>
      <c r="AU1854" s="507"/>
      <c r="AV1854" s="225"/>
      <c r="AW1854" s="508"/>
      <c r="AX1854" s="225"/>
      <c r="AY1854" s="225"/>
      <c r="AZ1854" s="225"/>
      <c r="BA1854" s="225"/>
      <c r="BB1854" s="225"/>
      <c r="BC1854" s="56"/>
      <c r="BD1854" s="56"/>
      <c r="BE1854" s="56"/>
      <c r="BF1854" s="107" t="str">
        <f t="shared" si="1427"/>
        <v>https://www.google.com/search?tbm=isch&amp;q=25%20G4</v>
      </c>
      <c r="BG1854" s="107" t="str">
        <f t="shared" si="1428"/>
        <v>H</v>
      </c>
      <c r="BH1854" s="254"/>
      <c r="BI1854" s="254"/>
    </row>
    <row r="1855" spans="1:61" customFormat="1" ht="16.5" thickBot="1" x14ac:dyDescent="0.3">
      <c r="A1855" s="522" t="s">
        <v>2682</v>
      </c>
      <c r="B1855" s="491"/>
      <c r="C1855" s="675"/>
      <c r="D1855" s="491"/>
      <c r="E1855" s="491"/>
      <c r="F1855" s="492"/>
      <c r="G1855" s="493"/>
      <c r="H1855" s="491"/>
      <c r="I1855" s="234"/>
      <c r="J1855" s="234"/>
      <c r="K1855" s="494"/>
      <c r="L1855" s="543"/>
      <c r="M1855" s="561"/>
      <c r="N1855" s="495"/>
      <c r="O1855" s="496"/>
      <c r="P1855" s="497"/>
      <c r="Q1855" s="495"/>
      <c r="R1855" s="495"/>
      <c r="S1855" s="667" t="s">
        <v>4968</v>
      </c>
      <c r="T1855" s="508">
        <f t="shared" si="1416"/>
        <v>0</v>
      </c>
      <c r="U1855" s="225" t="str">
        <f>IF(NOT(ISNUMBER(G1855)), "", VLOOKUP(A1855,'Discount Lookup'!D:E,2,FALSE)*G1855)</f>
        <v/>
      </c>
      <c r="V1855" s="225" t="str">
        <f>IF(NOT(ISNUMBER(G1855)), "", VLOOKUP(A1855,'Discount Lookup'!G:H,2,FALSE)*G1855)</f>
        <v/>
      </c>
      <c r="W1855" s="508">
        <f t="shared" si="1417"/>
        <v>0</v>
      </c>
      <c r="X1855" s="508">
        <f t="shared" si="1418"/>
        <v>0</v>
      </c>
      <c r="Y1855" s="509" t="b">
        <f t="shared" si="1419"/>
        <v>0</v>
      </c>
      <c r="Z1855" s="510">
        <f t="shared" si="1420"/>
        <v>0</v>
      </c>
      <c r="AA1855" s="511"/>
      <c r="AB1855" s="511" t="str">
        <f t="shared" si="1421"/>
        <v/>
      </c>
      <c r="AC1855" s="698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698"/>
      <c r="AE1855" s="631" t="str">
        <f t="shared" si="1422"/>
        <v/>
      </c>
      <c r="AF1855" s="699" t="str">
        <f t="shared" si="1423"/>
        <v/>
      </c>
      <c r="AG1855" s="699"/>
      <c r="AH1855" s="699"/>
      <c r="AI1855" s="512">
        <f>IF(H1855="credit",0,IF(AE1855="free",0,IF(AE1855="me",0,IF(G1855&gt;0,(VLOOKUP(A1855,'Discount Lookup'!J:K,2)*G1855),0))))</f>
        <v>0</v>
      </c>
      <c r="AJ1855" s="513" t="str">
        <f t="shared" ca="1" si="1424"/>
        <v/>
      </c>
      <c r="AK1855" s="700" t="str">
        <f t="shared" si="1425"/>
        <v/>
      </c>
      <c r="AL1855" s="700"/>
      <c r="AM1855" s="505" t="str">
        <f t="shared" si="1426"/>
        <v/>
      </c>
      <c r="AN1855" s="506"/>
      <c r="AO1855" s="507"/>
      <c r="AP1855" s="507"/>
      <c r="AQ1855" s="507"/>
      <c r="AR1855" s="507"/>
      <c r="AS1855" s="507"/>
      <c r="AT1855" s="507"/>
      <c r="AU1855" s="507"/>
      <c r="AV1855" s="225"/>
      <c r="AW1855" s="508"/>
      <c r="AX1855" s="225"/>
      <c r="AY1855" s="225"/>
      <c r="AZ1855" s="225"/>
      <c r="BA1855" s="225"/>
      <c r="BB1855" s="225"/>
      <c r="BC1855" s="56"/>
      <c r="BD1855" s="56"/>
      <c r="BE1855" s="56"/>
      <c r="BF1855" s="107" t="str">
        <f t="shared" si="1427"/>
        <v>https://www.google.com/search?tbm=isch&amp;q=Hollywood%20offers%20windswept%20look%20with%20twisted%2C%20sculptural%20branches.%20Native%20to%20Japan%2C%20but%20named%20due%20to%20heavy%20planting%20in%20Los%20Angeles%20area%20</v>
      </c>
      <c r="BG1855" s="107" t="str">
        <f t="shared" si="1428"/>
        <v>H</v>
      </c>
      <c r="BH1855" s="254"/>
      <c r="BI1855" s="254"/>
    </row>
    <row r="1856" spans="1:61" customFormat="1" ht="18" x14ac:dyDescent="0.25">
      <c r="A1856" s="523" t="s">
        <v>5598</v>
      </c>
      <c r="B1856" s="235"/>
      <c r="C1856" s="676"/>
      <c r="D1856" s="255" t="s">
        <v>4524</v>
      </c>
      <c r="E1856" s="236"/>
      <c r="F1856" s="236"/>
      <c r="G1856" s="236"/>
      <c r="H1856" s="582" t="s">
        <v>474</v>
      </c>
      <c r="I1856" s="498" t="s">
        <v>4045</v>
      </c>
      <c r="J1856" s="237"/>
      <c r="K1856" s="237"/>
      <c r="L1856" s="274"/>
      <c r="M1856" s="668" t="s">
        <v>4962</v>
      </c>
      <c r="N1856" s="681" t="str">
        <f>IF(AND(ISTEXT($A1856), ISERROR($A1856+0)), HYPERLINK($BF1856, "Images"), "")</f>
        <v>Images</v>
      </c>
      <c r="O1856" s="663" t="s">
        <v>4974</v>
      </c>
      <c r="P1856" s="253"/>
      <c r="Q1856" s="238"/>
      <c r="R1856" s="239"/>
      <c r="S1856" s="275"/>
      <c r="T1856" s="508">
        <f t="shared" si="1416"/>
        <v>0</v>
      </c>
      <c r="U1856" s="225" t="str">
        <f>IF(NOT(ISNUMBER(G1856)), "", VLOOKUP(A1856,'Discount Lookup'!D:E,2,FALSE)*G1856)</f>
        <v/>
      </c>
      <c r="V1856" s="225" t="str">
        <f>IF(NOT(ISNUMBER(G1856)), "", VLOOKUP(A1856,'Discount Lookup'!G:H,2,FALSE)*G1856)</f>
        <v/>
      </c>
      <c r="W1856" s="508">
        <f t="shared" si="1417"/>
        <v>0</v>
      </c>
      <c r="X1856" s="508" t="str">
        <f t="shared" si="1418"/>
        <v>Scarlet-Red bloom</v>
      </c>
      <c r="Y1856" s="509" t="b">
        <f t="shared" si="1419"/>
        <v>0</v>
      </c>
      <c r="Z1856" s="510">
        <f t="shared" si="1420"/>
        <v>0</v>
      </c>
      <c r="AA1856" s="511"/>
      <c r="AB1856" s="511" t="str">
        <f t="shared" si="1421"/>
        <v/>
      </c>
      <c r="AC1856" s="698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698"/>
      <c r="AE1856" s="631" t="str">
        <f t="shared" si="1422"/>
        <v/>
      </c>
      <c r="AF1856" s="699" t="str">
        <f t="shared" si="1423"/>
        <v/>
      </c>
      <c r="AG1856" s="699"/>
      <c r="AH1856" s="699"/>
      <c r="AI1856" s="512">
        <f>IF(H1856="credit",0,IF(AE1856="free",0,IF(AE1856="me",0,IF(G1856&gt;0,(VLOOKUP(A1856,'Discount Lookup'!J:K,2)*G1856),0))))</f>
        <v>0</v>
      </c>
      <c r="AJ1856" s="513" t="str">
        <f t="shared" ca="1" si="1424"/>
        <v/>
      </c>
      <c r="AK1856" s="700" t="str">
        <f t="shared" si="1425"/>
        <v/>
      </c>
      <c r="AL1856" s="700"/>
      <c r="AM1856" s="505" t="str">
        <f t="shared" si="1426"/>
        <v/>
      </c>
      <c r="AN1856" s="506"/>
      <c r="AO1856" s="507"/>
      <c r="AP1856" s="507"/>
      <c r="AQ1856" s="507"/>
      <c r="AR1856" s="507"/>
      <c r="AS1856" s="507"/>
      <c r="AT1856" s="507"/>
      <c r="AU1856" s="507"/>
      <c r="AV1856" s="225"/>
      <c r="AW1856" s="508"/>
      <c r="AX1856" s="225"/>
      <c r="AY1856" s="225"/>
      <c r="AZ1856" s="225"/>
      <c r="BA1856" s="225"/>
      <c r="BB1856" s="225"/>
      <c r="BC1856" s="56"/>
      <c r="BD1856" s="56"/>
      <c r="BE1856" s="56"/>
      <c r="BF1856" s="107" t="str">
        <f t="shared" si="1427"/>
        <v>https://www.google.com/search?tbm=isch&amp;q=Holy%20Grail%20Hardy%20Hibiscus%20%28Summerific%C2%AE%29%20Hibiscus%20%27Holy%20Grail%27%20PP%2331478</v>
      </c>
      <c r="BG1856" s="107" t="str">
        <f t="shared" si="1428"/>
        <v>H</v>
      </c>
      <c r="BH1856" s="254"/>
      <c r="BI1856" s="254"/>
    </row>
    <row r="1857" spans="1:61" customFormat="1" ht="27" x14ac:dyDescent="0.25">
      <c r="A1857" s="276">
        <v>7</v>
      </c>
      <c r="B1857" s="240" t="s">
        <v>291</v>
      </c>
      <c r="C1857" s="241" t="s">
        <v>4766</v>
      </c>
      <c r="D1857" s="242" t="s">
        <v>292</v>
      </c>
      <c r="E1857" s="243">
        <v>77.95</v>
      </c>
      <c r="F1857" s="517" t="s">
        <v>293</v>
      </c>
      <c r="G1857" s="232">
        <v>0</v>
      </c>
      <c r="H1857" s="661" t="str">
        <f>IF(G1857=0,"",IF(F1857="Buy",IF(G1857=1,"plant","plants"),IF(F1857&gt;0.01,"warranty","Error")))</f>
        <v/>
      </c>
      <c r="I1857" s="244">
        <f>IF(H1857="free",0,IF(H1857="credit",((E1857*(F1857))*G1857*-1),IF(F1857="Buy",(E1857*G1857),((E1857*(1-F1857))*G1857))))</f>
        <v>0</v>
      </c>
      <c r="J1857" s="244">
        <f>IF(H1857="warranty",0,(I1857*(_xlfn.SINGLE(SalesTaxPercentage))))</f>
        <v>0</v>
      </c>
      <c r="K1857" s="696">
        <f t="shared" ref="K1857" si="1455">I1857+J1857</f>
        <v>0</v>
      </c>
      <c r="L1857" s="696"/>
      <c r="M1857" s="659" t="str">
        <f>IF(AND(G1857&gt;0,E1857=0),"WARNING - no PRICE inserted",IF(H1857="free"," FREE ~ no charge this plant",IF(H1857="credit",CONCATENATE(" -$",ROUND(K1857*(1-T2GDiscount)*-1,2)," CREDIT after discount"),IF(T2GDiscount=0,"",IF(G1857=0,"",IF(F1857="Buy",CONCATENATE(" $",ROUND(K1857*(1-T2GDiscount),2)," with ",(T2GDiscount*100),"% discount"),CONCATENATE(" $",ROUND(K1857*(1-T2GDiscount),2)," with ",((T2GDiscount*100+F1857*100)-(T2GDiscount*100*F1857)),IF(F1857&gt;0,"% discounts",IF(NoWarrantyDiscount&gt;0,"% discounts","% discount")))))))))</f>
        <v/>
      </c>
      <c r="N1857" s="660"/>
      <c r="O1857" s="233"/>
      <c r="P1857" s="233"/>
      <c r="Q1857" s="233"/>
      <c r="R1857" s="233"/>
      <c r="S1857" s="233"/>
      <c r="T1857" s="508">
        <f t="shared" si="1416"/>
        <v>0</v>
      </c>
      <c r="U1857" s="225">
        <f>IF(NOT(ISNUMBER(G1857)), "", VLOOKUP(A1857,'Discount Lookup'!D:E,2,FALSE)*G1857)</f>
        <v>0</v>
      </c>
      <c r="V1857" s="225">
        <f>IF(NOT(ISNUMBER(G1857)), "", VLOOKUP(A1857,'Discount Lookup'!G:H,2,FALSE)*G1857)</f>
        <v>0</v>
      </c>
      <c r="W1857" s="508">
        <f t="shared" si="1417"/>
        <v>0</v>
      </c>
      <c r="X1857" s="508">
        <f t="shared" si="1418"/>
        <v>0</v>
      </c>
      <c r="Y1857" s="509" t="b">
        <f t="shared" si="1419"/>
        <v>0</v>
      </c>
      <c r="Z1857" s="510">
        <f t="shared" si="1420"/>
        <v>0</v>
      </c>
      <c r="AA1857" s="511"/>
      <c r="AB1857" s="511" t="str">
        <f t="shared" si="1421"/>
        <v/>
      </c>
      <c r="AC1857" s="698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698"/>
      <c r="AE1857" s="631" t="str">
        <f t="shared" si="1422"/>
        <v/>
      </c>
      <c r="AF1857" s="699" t="str">
        <f t="shared" si="1423"/>
        <v/>
      </c>
      <c r="AG1857" s="699"/>
      <c r="AH1857" s="699"/>
      <c r="AI1857" s="512">
        <f>IF(H1857="credit",0,IF(AE1857="free",0,IF(AE1857="me",0,IF(G1857&gt;0,(VLOOKUP(A1857,'Discount Lookup'!J:K,2)*G1857),0))))</f>
        <v>0</v>
      </c>
      <c r="AJ1857" s="513" t="str">
        <f t="shared" ca="1" si="1424"/>
        <v/>
      </c>
      <c r="AK1857" s="700" t="str">
        <f t="shared" si="1425"/>
        <v/>
      </c>
      <c r="AL1857" s="700"/>
      <c r="AM1857" s="505" t="str">
        <f t="shared" si="1426"/>
        <v/>
      </c>
      <c r="AN1857" s="506"/>
      <c r="AO1857" s="507"/>
      <c r="AP1857" s="507"/>
      <c r="AQ1857" s="507"/>
      <c r="AR1857" s="507"/>
      <c r="AS1857" s="507"/>
      <c r="AT1857" s="507"/>
      <c r="AU1857" s="507"/>
      <c r="AV1857" s="225"/>
      <c r="AW1857" s="508"/>
      <c r="AX1857" s="225"/>
      <c r="AY1857" s="225"/>
      <c r="AZ1857" s="225"/>
      <c r="BA1857" s="225"/>
      <c r="BB1857" s="225"/>
      <c r="BC1857" s="56"/>
      <c r="BD1857" s="56"/>
      <c r="BE1857" s="56"/>
      <c r="BF1857" s="107" t="str">
        <f t="shared" si="1427"/>
        <v>https://www.google.com/search?tbm=isch&amp;q=7%20G4</v>
      </c>
      <c r="BG1857" s="107" t="str">
        <f t="shared" si="1428"/>
        <v>H</v>
      </c>
      <c r="BH1857" s="254"/>
      <c r="BI1857" s="254"/>
    </row>
    <row r="1858" spans="1:61" customFormat="1" ht="17.25" thickBot="1" x14ac:dyDescent="0.3">
      <c r="A1858" s="673" t="s">
        <v>5140</v>
      </c>
      <c r="B1858" s="245"/>
      <c r="C1858" s="677"/>
      <c r="D1858" s="499"/>
      <c r="E1858" s="499"/>
      <c r="F1858" s="500"/>
      <c r="G1858" s="501"/>
      <c r="H1858" s="502"/>
      <c r="I1858" s="246"/>
      <c r="J1858" s="247"/>
      <c r="K1858" s="503"/>
      <c r="L1858" s="544"/>
      <c r="M1858" s="544"/>
      <c r="N1858" s="500"/>
      <c r="O1858" s="500"/>
      <c r="P1858" s="500"/>
      <c r="Q1858" s="500"/>
      <c r="R1858" s="500"/>
      <c r="S1858" s="669" t="s">
        <v>4976</v>
      </c>
      <c r="T1858" s="508">
        <f t="shared" si="1416"/>
        <v>0</v>
      </c>
      <c r="U1858" s="225" t="str">
        <f>IF(NOT(ISNUMBER(G1858)), "", VLOOKUP(A1858,'Discount Lookup'!D:E,2,FALSE)*G1858)</f>
        <v/>
      </c>
      <c r="V1858" s="225" t="str">
        <f>IF(NOT(ISNUMBER(G1858)), "", VLOOKUP(A1858,'Discount Lookup'!G:H,2,FALSE)*G1858)</f>
        <v/>
      </c>
      <c r="W1858" s="508">
        <f t="shared" si="1417"/>
        <v>0</v>
      </c>
      <c r="X1858" s="508">
        <f t="shared" si="1418"/>
        <v>0</v>
      </c>
      <c r="Y1858" s="509" t="b">
        <f t="shared" si="1419"/>
        <v>0</v>
      </c>
      <c r="Z1858" s="510">
        <f t="shared" si="1420"/>
        <v>0</v>
      </c>
      <c r="AA1858" s="511"/>
      <c r="AB1858" s="511" t="str">
        <f t="shared" si="1421"/>
        <v/>
      </c>
      <c r="AC1858" s="698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698"/>
      <c r="AE1858" s="631" t="str">
        <f t="shared" si="1422"/>
        <v/>
      </c>
      <c r="AF1858" s="699" t="str">
        <f t="shared" si="1423"/>
        <v/>
      </c>
      <c r="AG1858" s="699"/>
      <c r="AH1858" s="699"/>
      <c r="AI1858" s="512">
        <f>IF(H1858="credit",0,IF(AE1858="free",0,IF(AE1858="me",0,IF(G1858&gt;0,(VLOOKUP(A1858,'Discount Lookup'!J:K,2)*G1858),0))))</f>
        <v>0</v>
      </c>
      <c r="AJ1858" s="513" t="str">
        <f t="shared" ca="1" si="1424"/>
        <v/>
      </c>
      <c r="AK1858" s="700" t="str">
        <f t="shared" si="1425"/>
        <v/>
      </c>
      <c r="AL1858" s="700"/>
      <c r="AM1858" s="505" t="str">
        <f t="shared" si="1426"/>
        <v/>
      </c>
      <c r="AN1858" s="506"/>
      <c r="AO1858" s="507"/>
      <c r="AP1858" s="507"/>
      <c r="AQ1858" s="507"/>
      <c r="AR1858" s="507"/>
      <c r="AS1858" s="507"/>
      <c r="AT1858" s="507"/>
      <c r="AU1858" s="507"/>
      <c r="AV1858" s="225"/>
      <c r="AW1858" s="508"/>
      <c r="AX1858" s="225"/>
      <c r="AY1858" s="225"/>
      <c r="AZ1858" s="225"/>
      <c r="BA1858" s="225"/>
      <c r="BB1858" s="225"/>
      <c r="BC1858" s="56"/>
      <c r="BD1858" s="56"/>
      <c r="BE1858" s="56"/>
      <c r="BF1858" s="107" t="str">
        <f t="shared" si="1427"/>
        <v>https://www.google.com/search?tbm=isch&amp;q=moist%20sites%F0%9F%92%A7GOOD%2C%20Holy%20Grail%20has%20Deep%20Burgundy%2C%20near-Black%20foliage.%20%22Hardy%22%20Hibiscus%20have%20giant%20tropical%20blooms%20%28up%20to%2012%22%29%20</v>
      </c>
      <c r="BG1858" s="107" t="str">
        <f t="shared" si="1428"/>
        <v>m</v>
      </c>
      <c r="BH1858" s="254"/>
      <c r="BI1858" s="254"/>
    </row>
    <row r="1859" spans="1:61" customFormat="1" ht="18" x14ac:dyDescent="0.25">
      <c r="A1859" s="521" t="s">
        <v>3184</v>
      </c>
      <c r="B1859" s="477"/>
      <c r="C1859" s="674"/>
      <c r="D1859" s="478" t="s">
        <v>3185</v>
      </c>
      <c r="E1859" s="479"/>
      <c r="F1859" s="479"/>
      <c r="G1859" s="479"/>
      <c r="H1859" s="582" t="s">
        <v>4243</v>
      </c>
      <c r="I1859" s="480" t="s">
        <v>656</v>
      </c>
      <c r="J1859" s="479"/>
      <c r="K1859" s="479"/>
      <c r="L1859" s="560"/>
      <c r="M1859" s="666" t="s">
        <v>4966</v>
      </c>
      <c r="N1859" s="680" t="str">
        <f>IF(AND(ISTEXT($A1859), ISERROR($A1859+0)), HYPERLINK($BF1859, "Images"), "")</f>
        <v>Images</v>
      </c>
      <c r="O1859" s="662" t="s">
        <v>4967</v>
      </c>
      <c r="P1859" s="482"/>
      <c r="Q1859" s="483"/>
      <c r="R1859" s="483"/>
      <c r="S1859" s="484" t="s">
        <v>305</v>
      </c>
      <c r="T1859" s="508">
        <f t="shared" si="1416"/>
        <v>0</v>
      </c>
      <c r="U1859" s="225" t="str">
        <f>IF(NOT(ISNUMBER(G1859)), "", VLOOKUP(A1859,'Discount Lookup'!D:E,2,FALSE)*G1859)</f>
        <v/>
      </c>
      <c r="V1859" s="225" t="str">
        <f>IF(NOT(ISNUMBER(G1859)), "", VLOOKUP(A1859,'Discount Lookup'!G:H,2,FALSE)*G1859)</f>
        <v/>
      </c>
      <c r="W1859" s="508">
        <f t="shared" si="1417"/>
        <v>0</v>
      </c>
      <c r="X1859" s="508" t="str">
        <f t="shared" si="1418"/>
        <v>Pink bloom</v>
      </c>
      <c r="Y1859" s="509" t="b">
        <f t="shared" si="1419"/>
        <v>0</v>
      </c>
      <c r="Z1859" s="510">
        <f t="shared" si="1420"/>
        <v>0</v>
      </c>
      <c r="AA1859" s="511"/>
      <c r="AB1859" s="511" t="str">
        <f t="shared" si="1421"/>
        <v/>
      </c>
      <c r="AC1859" s="698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698"/>
      <c r="AE1859" s="631" t="str">
        <f t="shared" si="1422"/>
        <v/>
      </c>
      <c r="AF1859" s="699" t="str">
        <f t="shared" si="1423"/>
        <v/>
      </c>
      <c r="AG1859" s="699"/>
      <c r="AH1859" s="699"/>
      <c r="AI1859" s="512">
        <f>IF(H1859="credit",0,IF(AE1859="free",0,IF(AE1859="me",0,IF(G1859&gt;0,(VLOOKUP(A1859,'Discount Lookup'!J:K,2)*G1859),0))))</f>
        <v>0</v>
      </c>
      <c r="AJ1859" s="513" t="str">
        <f t="shared" ca="1" si="1424"/>
        <v/>
      </c>
      <c r="AK1859" s="700" t="str">
        <f t="shared" si="1425"/>
        <v/>
      </c>
      <c r="AL1859" s="700"/>
      <c r="AM1859" s="505" t="str">
        <f t="shared" si="1426"/>
        <v/>
      </c>
      <c r="AN1859" s="506"/>
      <c r="AO1859" s="507"/>
      <c r="AP1859" s="507"/>
      <c r="AQ1859" s="507"/>
      <c r="AR1859" s="507"/>
      <c r="AS1859" s="507"/>
      <c r="AT1859" s="507"/>
      <c r="AU1859" s="507"/>
      <c r="AV1859" s="225"/>
      <c r="AW1859" s="508"/>
      <c r="AX1859" s="225"/>
      <c r="AY1859" s="225"/>
      <c r="AZ1859" s="225"/>
      <c r="BA1859" s="225"/>
      <c r="BB1859" s="225"/>
      <c r="BC1859" s="56"/>
      <c r="BD1859" s="56"/>
      <c r="BE1859" s="56"/>
      <c r="BF1859" s="107" t="str">
        <f t="shared" si="1427"/>
        <v>https://www.google.com/search?tbm=isch&amp;q=Homestead%20Hot%20Pink%20Verbena%20Verbena%20canadensis%20%27Homestead%20Hot%20Pink%27%20PP%2334360</v>
      </c>
      <c r="BG1859" s="107" t="str">
        <f t="shared" si="1428"/>
        <v>H</v>
      </c>
      <c r="BH1859" s="254"/>
      <c r="BI1859" s="254"/>
    </row>
    <row r="1860" spans="1:61" customFormat="1" ht="15.75" x14ac:dyDescent="0.25">
      <c r="A1860" s="485">
        <v>2</v>
      </c>
      <c r="B1860" s="486" t="s">
        <v>291</v>
      </c>
      <c r="C1860" s="487"/>
      <c r="D1860" s="488" t="s">
        <v>300</v>
      </c>
      <c r="E1860" s="489">
        <v>28.95</v>
      </c>
      <c r="F1860" s="516" t="s">
        <v>293</v>
      </c>
      <c r="G1860" s="232">
        <v>0</v>
      </c>
      <c r="H1860" s="658" t="str">
        <f>IF(G1860=0,"",IF(F1860="Buy",IF(G1860=1,"plant","plants"),IF(F1860&gt;0.01,"warranty","Error")))</f>
        <v/>
      </c>
      <c r="I1860" s="490">
        <f>IF(H1860="free",0,IF(H1860="credit",((E1860*(F1860))*G1860*-1),IF(F1860="Buy",(E1860*G1860),((E1860*(1-F1860))*G1860))))</f>
        <v>0</v>
      </c>
      <c r="J1860" s="490">
        <f>IF(H1860="warranty",0,(I1860*(_xlfn.SINGLE(SalesTaxPercentage))))</f>
        <v>0</v>
      </c>
      <c r="K1860" s="695">
        <f t="shared" ref="K1860" si="1456">I1860+J1860</f>
        <v>0</v>
      </c>
      <c r="L1860" s="695"/>
      <c r="M1860" s="659" t="str">
        <f>IF(AND(G1860&gt;0,E1860=0),"WARNING - no PRICE inserted",IF(H1860="free"," FREE ~ no charge this plant",IF(H1860="credit",CONCATENATE(" -$",ROUND(K1860*(1-T2GDiscount)*-1,2)," CREDIT after discount"),IF(T2GDiscount=0,"",IF(G1860=0,"",IF(F1860="Buy",CONCATENATE(" $",ROUND(K1860*(1-T2GDiscount),2)," with ",(T2GDiscount*100),"% discount"),CONCATENATE(" $",ROUND(K1860*(1-T2GDiscount),2)," with ",((T2GDiscount*100+F1860*100)-(T2GDiscount*100*F1860)),IF(F1860&gt;0,"% discounts",IF(NoWarrantyDiscount&gt;0,"% discounts","% discount")))))))))</f>
        <v/>
      </c>
      <c r="N1860" s="660"/>
      <c r="O1860" s="233"/>
      <c r="P1860" s="233"/>
      <c r="Q1860" s="233"/>
      <c r="R1860" s="233"/>
      <c r="S1860" s="233"/>
      <c r="T1860" s="508">
        <f t="shared" si="1416"/>
        <v>0</v>
      </c>
      <c r="U1860" s="225">
        <f>IF(NOT(ISNUMBER(G1860)), "", VLOOKUP(A1860,'Discount Lookup'!D:E,2,FALSE)*G1860)</f>
        <v>0</v>
      </c>
      <c r="V1860" s="225">
        <f>IF(NOT(ISNUMBER(G1860)), "", VLOOKUP(A1860,'Discount Lookup'!G:H,2,FALSE)*G1860)</f>
        <v>0</v>
      </c>
      <c r="W1860" s="508">
        <f t="shared" si="1417"/>
        <v>0</v>
      </c>
      <c r="X1860" s="508">
        <f t="shared" si="1418"/>
        <v>0</v>
      </c>
      <c r="Y1860" s="509" t="b">
        <f t="shared" si="1419"/>
        <v>0</v>
      </c>
      <c r="Z1860" s="510">
        <f t="shared" si="1420"/>
        <v>0</v>
      </c>
      <c r="AA1860" s="511"/>
      <c r="AB1860" s="511" t="str">
        <f t="shared" si="1421"/>
        <v/>
      </c>
      <c r="AC1860" s="698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698"/>
      <c r="AE1860" s="631" t="str">
        <f t="shared" si="1422"/>
        <v/>
      </c>
      <c r="AF1860" s="699" t="str">
        <f t="shared" si="1423"/>
        <v/>
      </c>
      <c r="AG1860" s="699"/>
      <c r="AH1860" s="699"/>
      <c r="AI1860" s="512">
        <f>IF(H1860="credit",0,IF(AE1860="free",0,IF(AE1860="me",0,IF(G1860&gt;0,(VLOOKUP(A1860,'Discount Lookup'!J:K,2)*G1860),0))))</f>
        <v>0</v>
      </c>
      <c r="AJ1860" s="513" t="str">
        <f t="shared" ca="1" si="1424"/>
        <v/>
      </c>
      <c r="AK1860" s="700" t="str">
        <f t="shared" si="1425"/>
        <v/>
      </c>
      <c r="AL1860" s="700"/>
      <c r="AM1860" s="505" t="str">
        <f t="shared" si="1426"/>
        <v/>
      </c>
      <c r="AN1860" s="506"/>
      <c r="AO1860" s="507"/>
      <c r="AP1860" s="507"/>
      <c r="AQ1860" s="507"/>
      <c r="AR1860" s="507"/>
      <c r="AS1860" s="507"/>
      <c r="AT1860" s="507"/>
      <c r="AU1860" s="507"/>
      <c r="AV1860" s="225"/>
      <c r="AW1860" s="508"/>
      <c r="AX1860" s="225"/>
      <c r="AY1860" s="225"/>
      <c r="AZ1860" s="225"/>
      <c r="BA1860" s="225"/>
      <c r="BB1860" s="225"/>
      <c r="BC1860" s="56"/>
      <c r="BD1860" s="56"/>
      <c r="BE1860" s="56"/>
      <c r="BF1860" s="107" t="str">
        <f t="shared" si="1427"/>
        <v>https://www.google.com/search?tbm=isch&amp;q=2%20G6</v>
      </c>
      <c r="BG1860" s="107" t="str">
        <f t="shared" si="1428"/>
        <v>H</v>
      </c>
      <c r="BH1860" s="254"/>
      <c r="BI1860" s="254"/>
    </row>
    <row r="1861" spans="1:61" customFormat="1" ht="17.25" thickBot="1" x14ac:dyDescent="0.3">
      <c r="A1861" s="522" t="s">
        <v>3186</v>
      </c>
      <c r="B1861" s="491"/>
      <c r="C1861" s="675"/>
      <c r="D1861" s="491"/>
      <c r="E1861" s="491"/>
      <c r="F1861" s="492"/>
      <c r="G1861" s="493"/>
      <c r="H1861" s="491"/>
      <c r="I1861" s="234"/>
      <c r="J1861" s="234"/>
      <c r="K1861" s="494"/>
      <c r="L1861" s="543"/>
      <c r="M1861" s="561"/>
      <c r="N1861" s="495"/>
      <c r="O1861" s="496"/>
      <c r="P1861" s="497"/>
      <c r="Q1861" s="495"/>
      <c r="R1861" s="495"/>
      <c r="S1861" s="667" t="s">
        <v>4988</v>
      </c>
      <c r="T1861" s="508">
        <f t="shared" si="1416"/>
        <v>0</v>
      </c>
      <c r="U1861" s="225" t="str">
        <f>IF(NOT(ISNUMBER(G1861)), "", VLOOKUP(A1861,'Discount Lookup'!D:E,2,FALSE)*G1861)</f>
        <v/>
      </c>
      <c r="V1861" s="225" t="str">
        <f>IF(NOT(ISNUMBER(G1861)), "", VLOOKUP(A1861,'Discount Lookup'!G:H,2,FALSE)*G1861)</f>
        <v/>
      </c>
      <c r="W1861" s="508">
        <f t="shared" si="1417"/>
        <v>0</v>
      </c>
      <c r="X1861" s="508">
        <f t="shared" si="1418"/>
        <v>0</v>
      </c>
      <c r="Y1861" s="509" t="b">
        <f t="shared" si="1419"/>
        <v>0</v>
      </c>
      <c r="Z1861" s="510">
        <f t="shared" si="1420"/>
        <v>0</v>
      </c>
      <c r="AA1861" s="511"/>
      <c r="AB1861" s="511" t="str">
        <f t="shared" si="1421"/>
        <v/>
      </c>
      <c r="AC1861" s="698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698"/>
      <c r="AE1861" s="631" t="str">
        <f t="shared" si="1422"/>
        <v/>
      </c>
      <c r="AF1861" s="699" t="str">
        <f t="shared" si="1423"/>
        <v/>
      </c>
      <c r="AG1861" s="699"/>
      <c r="AH1861" s="699"/>
      <c r="AI1861" s="512">
        <f>IF(H1861="credit",0,IF(AE1861="free",0,IF(AE1861="me",0,IF(G1861&gt;0,(VLOOKUP(A1861,'Discount Lookup'!J:K,2)*G1861),0))))</f>
        <v>0</v>
      </c>
      <c r="AJ1861" s="513" t="str">
        <f t="shared" ca="1" si="1424"/>
        <v/>
      </c>
      <c r="AK1861" s="700" t="str">
        <f t="shared" si="1425"/>
        <v/>
      </c>
      <c r="AL1861" s="700"/>
      <c r="AM1861" s="505" t="str">
        <f t="shared" si="1426"/>
        <v/>
      </c>
      <c r="AN1861" s="506"/>
      <c r="AO1861" s="507"/>
      <c r="AP1861" s="507"/>
      <c r="AQ1861" s="507"/>
      <c r="AR1861" s="507"/>
      <c r="AS1861" s="507"/>
      <c r="AT1861" s="507"/>
      <c r="AU1861" s="507"/>
      <c r="AV1861" s="225"/>
      <c r="AW1861" s="508"/>
      <c r="AX1861" s="225"/>
      <c r="AY1861" s="225"/>
      <c r="AZ1861" s="225"/>
      <c r="BA1861" s="225"/>
      <c r="BB1861" s="225"/>
      <c r="BC1861" s="56"/>
      <c r="BD1861" s="56"/>
      <c r="BE1861" s="56"/>
      <c r="BF1861" s="107" t="str">
        <f t="shared" si="1427"/>
        <v>https://www.google.com/search?tbm=isch&amp;q=Homestead%27%20Hot%20Pink%20bloom%2C%20like%20other%20Verbena%2C%20has%20star-shaped%20flowers%20that%20bloom%20May%20through%20frost.%20</v>
      </c>
      <c r="BG1861" s="107" t="str">
        <f t="shared" si="1428"/>
        <v>H</v>
      </c>
      <c r="BH1861" s="254"/>
      <c r="BI1861" s="254"/>
    </row>
    <row r="1862" spans="1:61" customFormat="1" ht="18" x14ac:dyDescent="0.25">
      <c r="A1862" s="521" t="s">
        <v>1112</v>
      </c>
      <c r="B1862" s="477"/>
      <c r="C1862" s="674"/>
      <c r="D1862" s="478" t="s">
        <v>1113</v>
      </c>
      <c r="E1862" s="479"/>
      <c r="F1862" s="479"/>
      <c r="G1862" s="479"/>
      <c r="H1862" s="582" t="s">
        <v>4243</v>
      </c>
      <c r="I1862" s="480" t="s">
        <v>657</v>
      </c>
      <c r="J1862" s="479"/>
      <c r="K1862" s="479"/>
      <c r="L1862" s="560"/>
      <c r="M1862" s="666" t="s">
        <v>4966</v>
      </c>
      <c r="N1862" s="680" t="str">
        <f>IF(AND(ISTEXT($A1862), ISERROR($A1862+0)), HYPERLINK($BF1862, "Images"), "")</f>
        <v>Images</v>
      </c>
      <c r="O1862" s="662" t="s">
        <v>4967</v>
      </c>
      <c r="P1862" s="482"/>
      <c r="Q1862" s="483"/>
      <c r="R1862" s="483"/>
      <c r="S1862" s="484" t="s">
        <v>305</v>
      </c>
      <c r="T1862" s="508">
        <f t="shared" si="1416"/>
        <v>0</v>
      </c>
      <c r="U1862" s="225" t="str">
        <f>IF(NOT(ISNUMBER(G1862)), "", VLOOKUP(A1862,'Discount Lookup'!D:E,2,FALSE)*G1862)</f>
        <v/>
      </c>
      <c r="V1862" s="225" t="str">
        <f>IF(NOT(ISNUMBER(G1862)), "", VLOOKUP(A1862,'Discount Lookup'!G:H,2,FALSE)*G1862)</f>
        <v/>
      </c>
      <c r="W1862" s="508">
        <f t="shared" si="1417"/>
        <v>0</v>
      </c>
      <c r="X1862" s="508" t="str">
        <f t="shared" si="1418"/>
        <v>Purple bloom</v>
      </c>
      <c r="Y1862" s="509" t="b">
        <f t="shared" si="1419"/>
        <v>0</v>
      </c>
      <c r="Z1862" s="510">
        <f t="shared" si="1420"/>
        <v>0</v>
      </c>
      <c r="AA1862" s="511"/>
      <c r="AB1862" s="511" t="str">
        <f t="shared" si="1421"/>
        <v/>
      </c>
      <c r="AC1862" s="698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698"/>
      <c r="AE1862" s="631" t="str">
        <f t="shared" si="1422"/>
        <v/>
      </c>
      <c r="AF1862" s="699" t="str">
        <f t="shared" si="1423"/>
        <v/>
      </c>
      <c r="AG1862" s="699"/>
      <c r="AH1862" s="699"/>
      <c r="AI1862" s="512">
        <f>IF(H1862="credit",0,IF(AE1862="free",0,IF(AE1862="me",0,IF(G1862&gt;0,(VLOOKUP(A1862,'Discount Lookup'!J:K,2)*G1862),0))))</f>
        <v>0</v>
      </c>
      <c r="AJ1862" s="513" t="str">
        <f t="shared" ca="1" si="1424"/>
        <v/>
      </c>
      <c r="AK1862" s="700" t="str">
        <f t="shared" si="1425"/>
        <v/>
      </c>
      <c r="AL1862" s="700"/>
      <c r="AM1862" s="505" t="str">
        <f t="shared" si="1426"/>
        <v/>
      </c>
      <c r="AN1862" s="506"/>
      <c r="AO1862" s="507"/>
      <c r="AP1862" s="507"/>
      <c r="AQ1862" s="507"/>
      <c r="AR1862" s="507"/>
      <c r="AS1862" s="507"/>
      <c r="AT1862" s="507"/>
      <c r="AU1862" s="507"/>
      <c r="AV1862" s="225"/>
      <c r="AW1862" s="508"/>
      <c r="AX1862" s="225"/>
      <c r="AY1862" s="225"/>
      <c r="AZ1862" s="225"/>
      <c r="BA1862" s="225"/>
      <c r="BB1862" s="225"/>
      <c r="BC1862" s="56"/>
      <c r="BD1862" s="56"/>
      <c r="BE1862" s="56"/>
      <c r="BF1862" s="107" t="str">
        <f t="shared" si="1427"/>
        <v>https://www.google.com/search?tbm=isch&amp;q=Homestead%20Purple%20Verbena%20Verbena%20canadensis%20%27Homestead%20Purple%27</v>
      </c>
      <c r="BG1862" s="107" t="str">
        <f t="shared" si="1428"/>
        <v>H</v>
      </c>
      <c r="BH1862" s="254"/>
      <c r="BI1862" s="254"/>
    </row>
    <row r="1863" spans="1:61" customFormat="1" ht="15.75" x14ac:dyDescent="0.25">
      <c r="A1863" s="485">
        <v>2</v>
      </c>
      <c r="B1863" s="486" t="s">
        <v>291</v>
      </c>
      <c r="C1863" s="487"/>
      <c r="D1863" s="488" t="s">
        <v>300</v>
      </c>
      <c r="E1863" s="489">
        <v>28.95</v>
      </c>
      <c r="F1863" s="516" t="s">
        <v>293</v>
      </c>
      <c r="G1863" s="232">
        <v>0</v>
      </c>
      <c r="H1863" s="658" t="str">
        <f>IF(G1863=0,"",IF(F1863="Buy",IF(G1863=1,"plant","plants"),IF(F1863&gt;0.01,"warranty","Error")))</f>
        <v/>
      </c>
      <c r="I1863" s="490">
        <f>IF(H1863="free",0,IF(H1863="credit",((E1863*(F1863))*G1863*-1),IF(F1863="Buy",(E1863*G1863),((E1863*(1-F1863))*G1863))))</f>
        <v>0</v>
      </c>
      <c r="J1863" s="490">
        <f>IF(H1863="warranty",0,(I1863*(_xlfn.SINGLE(SalesTaxPercentage))))</f>
        <v>0</v>
      </c>
      <c r="K1863" s="695">
        <f t="shared" ref="K1863" si="1457">I1863+J1863</f>
        <v>0</v>
      </c>
      <c r="L1863" s="695"/>
      <c r="M1863" s="659" t="str">
        <f>IF(AND(G1863&gt;0,E1863=0),"WARNING - no PRICE inserted",IF(H1863="free"," FREE ~ no charge this plant",IF(H1863="credit",CONCATENATE(" -$",ROUND(K1863*(1-T2GDiscount)*-1,2)," CREDIT after discount"),IF(T2GDiscount=0,"",IF(G1863=0,"",IF(F1863="Buy",CONCATENATE(" $",ROUND(K1863*(1-T2GDiscount),2)," with ",(T2GDiscount*100),"% discount"),CONCATENATE(" $",ROUND(K1863*(1-T2GDiscount),2)," with ",((T2GDiscount*100+F1863*100)-(T2GDiscount*100*F1863)),IF(F1863&gt;0,"% discounts",IF(NoWarrantyDiscount&gt;0,"% discounts","% discount")))))))))</f>
        <v/>
      </c>
      <c r="N1863" s="660"/>
      <c r="O1863" s="233"/>
      <c r="P1863" s="233"/>
      <c r="Q1863" s="233"/>
      <c r="R1863" s="233"/>
      <c r="S1863" s="233"/>
      <c r="T1863" s="508">
        <f t="shared" si="1416"/>
        <v>0</v>
      </c>
      <c r="U1863" s="225">
        <f>IF(NOT(ISNUMBER(G1863)), "", VLOOKUP(A1863,'Discount Lookup'!D:E,2,FALSE)*G1863)</f>
        <v>0</v>
      </c>
      <c r="V1863" s="225">
        <f>IF(NOT(ISNUMBER(G1863)), "", VLOOKUP(A1863,'Discount Lookup'!G:H,2,FALSE)*G1863)</f>
        <v>0</v>
      </c>
      <c r="W1863" s="508">
        <f t="shared" si="1417"/>
        <v>0</v>
      </c>
      <c r="X1863" s="508">
        <f t="shared" si="1418"/>
        <v>0</v>
      </c>
      <c r="Y1863" s="509" t="b">
        <f t="shared" si="1419"/>
        <v>0</v>
      </c>
      <c r="Z1863" s="510">
        <f t="shared" si="1420"/>
        <v>0</v>
      </c>
      <c r="AA1863" s="511"/>
      <c r="AB1863" s="511" t="str">
        <f t="shared" si="1421"/>
        <v/>
      </c>
      <c r="AC1863" s="698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698"/>
      <c r="AE1863" s="631" t="str">
        <f t="shared" si="1422"/>
        <v/>
      </c>
      <c r="AF1863" s="699" t="str">
        <f t="shared" si="1423"/>
        <v/>
      </c>
      <c r="AG1863" s="699"/>
      <c r="AH1863" s="699"/>
      <c r="AI1863" s="512">
        <f>IF(H1863="credit",0,IF(AE1863="free",0,IF(AE1863="me",0,IF(G1863&gt;0,(VLOOKUP(A1863,'Discount Lookup'!J:K,2)*G1863),0))))</f>
        <v>0</v>
      </c>
      <c r="AJ1863" s="513" t="str">
        <f t="shared" ca="1" si="1424"/>
        <v/>
      </c>
      <c r="AK1863" s="700" t="str">
        <f t="shared" si="1425"/>
        <v/>
      </c>
      <c r="AL1863" s="700"/>
      <c r="AM1863" s="505" t="str">
        <f t="shared" si="1426"/>
        <v/>
      </c>
      <c r="AN1863" s="506"/>
      <c r="AO1863" s="507"/>
      <c r="AP1863" s="507"/>
      <c r="AQ1863" s="507"/>
      <c r="AR1863" s="507"/>
      <c r="AS1863" s="507"/>
      <c r="AT1863" s="507"/>
      <c r="AU1863" s="507"/>
      <c r="AV1863" s="225"/>
      <c r="AW1863" s="508"/>
      <c r="AX1863" s="225"/>
      <c r="AY1863" s="225"/>
      <c r="AZ1863" s="225"/>
      <c r="BA1863" s="225"/>
      <c r="BB1863" s="225"/>
      <c r="BC1863" s="56"/>
      <c r="BD1863" s="56"/>
      <c r="BE1863" s="56"/>
      <c r="BF1863" s="107" t="str">
        <f t="shared" si="1427"/>
        <v>https://www.google.com/search?tbm=isch&amp;q=2%20G6</v>
      </c>
      <c r="BG1863" s="107" t="str">
        <f t="shared" si="1428"/>
        <v>H</v>
      </c>
      <c r="BH1863" s="254"/>
      <c r="BI1863" s="254"/>
    </row>
    <row r="1864" spans="1:61" customFormat="1" ht="17.25" thickBot="1" x14ac:dyDescent="0.3">
      <c r="A1864" s="522" t="s">
        <v>2406</v>
      </c>
      <c r="B1864" s="491"/>
      <c r="C1864" s="675"/>
      <c r="D1864" s="491"/>
      <c r="E1864" s="491"/>
      <c r="F1864" s="492"/>
      <c r="G1864" s="493"/>
      <c r="H1864" s="491"/>
      <c r="I1864" s="234"/>
      <c r="J1864" s="234"/>
      <c r="K1864" s="494"/>
      <c r="L1864" s="543"/>
      <c r="M1864" s="561"/>
      <c r="N1864" s="495"/>
      <c r="O1864" s="496"/>
      <c r="P1864" s="497"/>
      <c r="Q1864" s="495"/>
      <c r="R1864" s="495"/>
      <c r="S1864" s="667" t="s">
        <v>4988</v>
      </c>
      <c r="T1864" s="508">
        <f t="shared" si="1416"/>
        <v>0</v>
      </c>
      <c r="U1864" s="225" t="str">
        <f>IF(NOT(ISNUMBER(G1864)), "", VLOOKUP(A1864,'Discount Lookup'!D:E,2,FALSE)*G1864)</f>
        <v/>
      </c>
      <c r="V1864" s="225" t="str">
        <f>IF(NOT(ISNUMBER(G1864)), "", VLOOKUP(A1864,'Discount Lookup'!G:H,2,FALSE)*G1864)</f>
        <v/>
      </c>
      <c r="W1864" s="508">
        <f t="shared" si="1417"/>
        <v>0</v>
      </c>
      <c r="X1864" s="508">
        <f t="shared" si="1418"/>
        <v>0</v>
      </c>
      <c r="Y1864" s="509" t="b">
        <f t="shared" si="1419"/>
        <v>0</v>
      </c>
      <c r="Z1864" s="510">
        <f t="shared" si="1420"/>
        <v>0</v>
      </c>
      <c r="AA1864" s="511"/>
      <c r="AB1864" s="511" t="str">
        <f t="shared" si="1421"/>
        <v/>
      </c>
      <c r="AC1864" s="698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698"/>
      <c r="AE1864" s="631" t="str">
        <f t="shared" si="1422"/>
        <v/>
      </c>
      <c r="AF1864" s="699" t="str">
        <f t="shared" si="1423"/>
        <v/>
      </c>
      <c r="AG1864" s="699"/>
      <c r="AH1864" s="699"/>
      <c r="AI1864" s="512">
        <f>IF(H1864="credit",0,IF(AE1864="free",0,IF(AE1864="me",0,IF(G1864&gt;0,(VLOOKUP(A1864,'Discount Lookup'!J:K,2)*G1864),0))))</f>
        <v>0</v>
      </c>
      <c r="AJ1864" s="513" t="str">
        <f t="shared" ca="1" si="1424"/>
        <v/>
      </c>
      <c r="AK1864" s="700" t="str">
        <f t="shared" si="1425"/>
        <v/>
      </c>
      <c r="AL1864" s="700"/>
      <c r="AM1864" s="505" t="str">
        <f t="shared" si="1426"/>
        <v/>
      </c>
      <c r="AN1864" s="506"/>
      <c r="AO1864" s="507"/>
      <c r="AP1864" s="507"/>
      <c r="AQ1864" s="507"/>
      <c r="AR1864" s="507"/>
      <c r="AS1864" s="507"/>
      <c r="AT1864" s="507"/>
      <c r="AU1864" s="507"/>
      <c r="AV1864" s="225"/>
      <c r="AW1864" s="508"/>
      <c r="AX1864" s="225"/>
      <c r="AY1864" s="225"/>
      <c r="AZ1864" s="225"/>
      <c r="BA1864" s="225"/>
      <c r="BB1864" s="225"/>
      <c r="BC1864" s="56"/>
      <c r="BD1864" s="56"/>
      <c r="BE1864" s="56"/>
      <c r="BF1864" s="107" t="str">
        <f t="shared" si="1427"/>
        <v>https://www.google.com/search?tbm=isch&amp;q=Homestead%20Purple%2C%20like%20other%20Verbena%2C%20wil%20spill%20over%20an%20edge.%20Inconspicuous%20fruit.%20</v>
      </c>
      <c r="BG1864" s="107" t="str">
        <f t="shared" si="1428"/>
        <v>H</v>
      </c>
      <c r="BH1864" s="254"/>
      <c r="BI1864" s="254"/>
    </row>
    <row r="1865" spans="1:61" customFormat="1" ht="18" x14ac:dyDescent="0.25">
      <c r="A1865" s="523" t="s">
        <v>1115</v>
      </c>
      <c r="B1865" s="235"/>
      <c r="C1865" s="676"/>
      <c r="D1865" s="255" t="s">
        <v>1116</v>
      </c>
      <c r="E1865" s="236"/>
      <c r="F1865" s="236"/>
      <c r="G1865" s="236"/>
      <c r="H1865" s="582" t="s">
        <v>1398</v>
      </c>
      <c r="I1865" s="498" t="s">
        <v>3147</v>
      </c>
      <c r="J1865" s="237"/>
      <c r="K1865" s="237"/>
      <c r="L1865" s="274"/>
      <c r="M1865" s="668" t="s">
        <v>4962</v>
      </c>
      <c r="N1865" s="681" t="str">
        <f>IF(AND(ISTEXT($A1865), ISERROR($A1865+0)), HYPERLINK($BF1865, "Images"), "")</f>
        <v>Images</v>
      </c>
      <c r="O1865" s="663" t="s">
        <v>4969</v>
      </c>
      <c r="P1865" s="253"/>
      <c r="Q1865" s="238"/>
      <c r="R1865" s="239"/>
      <c r="S1865" s="275"/>
      <c r="T1865" s="508">
        <f t="shared" si="1416"/>
        <v>0</v>
      </c>
      <c r="U1865" s="225" t="str">
        <f>IF(NOT(ISNUMBER(G1865)), "", VLOOKUP(A1865,'Discount Lookup'!D:E,2,FALSE)*G1865)</f>
        <v/>
      </c>
      <c r="V1865" s="225" t="str">
        <f>IF(NOT(ISNUMBER(G1865)), "", VLOOKUP(A1865,'Discount Lookup'!G:H,2,FALSE)*G1865)</f>
        <v/>
      </c>
      <c r="W1865" s="508">
        <f t="shared" si="1417"/>
        <v>0</v>
      </c>
      <c r="X1865" s="508" t="str">
        <f t="shared" si="1418"/>
        <v>Golden-Yellow bloom, Orange eye</v>
      </c>
      <c r="Y1865" s="509" t="b">
        <f t="shared" si="1419"/>
        <v>0</v>
      </c>
      <c r="Z1865" s="510">
        <f t="shared" si="1420"/>
        <v>0</v>
      </c>
      <c r="AA1865" s="511"/>
      <c r="AB1865" s="511" t="str">
        <f t="shared" si="1421"/>
        <v/>
      </c>
      <c r="AC1865" s="698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698"/>
      <c r="AE1865" s="631" t="str">
        <f t="shared" si="1422"/>
        <v/>
      </c>
      <c r="AF1865" s="699" t="str">
        <f t="shared" si="1423"/>
        <v/>
      </c>
      <c r="AG1865" s="699"/>
      <c r="AH1865" s="699"/>
      <c r="AI1865" s="512">
        <f>IF(H1865="credit",0,IF(AE1865="free",0,IF(AE1865="me",0,IF(G1865&gt;0,(VLOOKUP(A1865,'Discount Lookup'!J:K,2)*G1865),0))))</f>
        <v>0</v>
      </c>
      <c r="AJ1865" s="513" t="str">
        <f t="shared" ca="1" si="1424"/>
        <v/>
      </c>
      <c r="AK1865" s="700" t="str">
        <f t="shared" si="1425"/>
        <v/>
      </c>
      <c r="AL1865" s="700"/>
      <c r="AM1865" s="505" t="str">
        <f t="shared" si="1426"/>
        <v/>
      </c>
      <c r="AN1865" s="506"/>
      <c r="AO1865" s="507"/>
      <c r="AP1865" s="507"/>
      <c r="AQ1865" s="507"/>
      <c r="AR1865" s="507"/>
      <c r="AS1865" s="507"/>
      <c r="AT1865" s="507"/>
      <c r="AU1865" s="507"/>
      <c r="AV1865" s="225"/>
      <c r="AW1865" s="508"/>
      <c r="AX1865" s="225"/>
      <c r="AY1865" s="225"/>
      <c r="AZ1865" s="225"/>
      <c r="BA1865" s="225"/>
      <c r="BB1865" s="225"/>
      <c r="BC1865" s="56"/>
      <c r="BD1865" s="56"/>
      <c r="BE1865" s="56"/>
      <c r="BF1865" s="107" t="str">
        <f t="shared" si="1427"/>
        <v>https://www.google.com/search?tbm=isch&amp;q=Honeycomb%20Butterfly%20Bush%20Buddleia%20x%20weyeriana%20%27Honeycomb%27</v>
      </c>
      <c r="BG1865" s="107" t="str">
        <f t="shared" si="1428"/>
        <v>H</v>
      </c>
      <c r="BH1865" s="254"/>
      <c r="BI1865" s="254"/>
    </row>
    <row r="1866" spans="1:61" customFormat="1" ht="15.75" x14ac:dyDescent="0.25">
      <c r="A1866" s="276">
        <v>3</v>
      </c>
      <c r="B1866" s="240" t="s">
        <v>291</v>
      </c>
      <c r="C1866" s="241" t="s">
        <v>789</v>
      </c>
      <c r="D1866" s="242" t="s">
        <v>300</v>
      </c>
      <c r="E1866" s="243">
        <v>40.950000000000003</v>
      </c>
      <c r="F1866" s="517" t="s">
        <v>293</v>
      </c>
      <c r="G1866" s="232">
        <v>0</v>
      </c>
      <c r="H1866" s="661" t="str">
        <f>IF(G1866=0,"",IF(F1866="Buy",IF(G1866=1,"plant","plants"),IF(F1866&gt;0.01,"warranty","Error")))</f>
        <v/>
      </c>
      <c r="I1866" s="244">
        <f>IF(H1866="free",0,IF(H1866="credit",((E1866*(F1866))*G1866*-1),IF(F1866="Buy",(E1866*G1866),((E1866*(1-F1866))*G1866))))</f>
        <v>0</v>
      </c>
      <c r="J1866" s="244">
        <f>IF(H1866="warranty",0,(I1866*(_xlfn.SINGLE(SalesTaxPercentage))))</f>
        <v>0</v>
      </c>
      <c r="K1866" s="696">
        <f t="shared" ref="K1866" si="1458">I1866+J1866</f>
        <v>0</v>
      </c>
      <c r="L1866" s="696"/>
      <c r="M1866" s="659" t="str">
        <f>IF(AND(G1866&gt;0,E1866=0),"WARNING - no PRICE inserted",IF(H1866="free"," FREE ~ no charge this plant",IF(H1866="credit",CONCATENATE(" -$",ROUND(K1866*(1-T2GDiscount)*-1,2)," CREDIT after discount"),IF(T2GDiscount=0,"",IF(G1866=0,"",IF(F1866="Buy",CONCATENATE(" $",ROUND(K1866*(1-T2GDiscount),2)," with ",(T2GDiscount*100),"% discount"),CONCATENATE(" $",ROUND(K1866*(1-T2GDiscount),2)," with ",((T2GDiscount*100+F1866*100)-(T2GDiscount*100*F1866)),IF(F1866&gt;0,"% discounts",IF(NoWarrantyDiscount&gt;0,"% discounts","% discount")))))))))</f>
        <v/>
      </c>
      <c r="N1866" s="660"/>
      <c r="O1866" s="233"/>
      <c r="P1866" s="233"/>
      <c r="Q1866" s="233"/>
      <c r="R1866" s="233"/>
      <c r="S1866" s="233"/>
      <c r="T1866" s="508">
        <f t="shared" si="1416"/>
        <v>0</v>
      </c>
      <c r="U1866" s="225">
        <f>IF(NOT(ISNUMBER(G1866)), "", VLOOKUP(A1866,'Discount Lookup'!D:E,2,FALSE)*G1866)</f>
        <v>0</v>
      </c>
      <c r="V1866" s="225">
        <f>IF(NOT(ISNUMBER(G1866)), "", VLOOKUP(A1866,'Discount Lookup'!G:H,2,FALSE)*G1866)</f>
        <v>0</v>
      </c>
      <c r="W1866" s="508">
        <f t="shared" si="1417"/>
        <v>0</v>
      </c>
      <c r="X1866" s="508">
        <f t="shared" si="1418"/>
        <v>0</v>
      </c>
      <c r="Y1866" s="509" t="b">
        <f t="shared" si="1419"/>
        <v>0</v>
      </c>
      <c r="Z1866" s="510">
        <f t="shared" si="1420"/>
        <v>0</v>
      </c>
      <c r="AA1866" s="511"/>
      <c r="AB1866" s="511" t="str">
        <f t="shared" si="1421"/>
        <v/>
      </c>
      <c r="AC1866" s="698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698"/>
      <c r="AE1866" s="631" t="str">
        <f t="shared" si="1422"/>
        <v/>
      </c>
      <c r="AF1866" s="699" t="str">
        <f t="shared" si="1423"/>
        <v/>
      </c>
      <c r="AG1866" s="699"/>
      <c r="AH1866" s="699"/>
      <c r="AI1866" s="512">
        <f>IF(H1866="credit",0,IF(AE1866="free",0,IF(AE1866="me",0,IF(G1866&gt;0,(VLOOKUP(A1866,'Discount Lookup'!J:K,2)*G1866),0))))</f>
        <v>0</v>
      </c>
      <c r="AJ1866" s="513" t="str">
        <f t="shared" ca="1" si="1424"/>
        <v/>
      </c>
      <c r="AK1866" s="700" t="str">
        <f t="shared" si="1425"/>
        <v/>
      </c>
      <c r="AL1866" s="700"/>
      <c r="AM1866" s="505" t="str">
        <f t="shared" si="1426"/>
        <v/>
      </c>
      <c r="AN1866" s="506"/>
      <c r="AO1866" s="507"/>
      <c r="AP1866" s="507"/>
      <c r="AQ1866" s="507"/>
      <c r="AR1866" s="507"/>
      <c r="AS1866" s="507"/>
      <c r="AT1866" s="507"/>
      <c r="AU1866" s="507"/>
      <c r="AV1866" s="225"/>
      <c r="AW1866" s="508"/>
      <c r="AX1866" s="225"/>
      <c r="AY1866" s="225"/>
      <c r="AZ1866" s="225"/>
      <c r="BA1866" s="225"/>
      <c r="BB1866" s="225"/>
      <c r="BC1866" s="56"/>
      <c r="BD1866" s="56"/>
      <c r="BE1866" s="56"/>
      <c r="BF1866" s="107" t="str">
        <f t="shared" si="1427"/>
        <v>https://www.google.com/search?tbm=isch&amp;q=3%20G6</v>
      </c>
      <c r="BG1866" s="107" t="str">
        <f t="shared" si="1428"/>
        <v>H</v>
      </c>
      <c r="BH1866" s="254"/>
      <c r="BI1866" s="254"/>
    </row>
    <row r="1867" spans="1:61" customFormat="1" ht="17.25" thickBot="1" x14ac:dyDescent="0.3">
      <c r="A1867" s="524" t="s">
        <v>3148</v>
      </c>
      <c r="B1867" s="245"/>
      <c r="C1867" s="677"/>
      <c r="D1867" s="499"/>
      <c r="E1867" s="499"/>
      <c r="F1867" s="500"/>
      <c r="G1867" s="501"/>
      <c r="H1867" s="502"/>
      <c r="I1867" s="246"/>
      <c r="J1867" s="247"/>
      <c r="K1867" s="503"/>
      <c r="L1867" s="544"/>
      <c r="M1867" s="544"/>
      <c r="N1867" s="500"/>
      <c r="O1867" s="500"/>
      <c r="P1867" s="500"/>
      <c r="Q1867" s="500"/>
      <c r="R1867" s="500"/>
      <c r="S1867" s="669" t="s">
        <v>4999</v>
      </c>
      <c r="T1867" s="508">
        <f t="shared" si="1416"/>
        <v>0</v>
      </c>
      <c r="U1867" s="225" t="str">
        <f>IF(NOT(ISNUMBER(G1867)), "", VLOOKUP(A1867,'Discount Lookup'!D:E,2,FALSE)*G1867)</f>
        <v/>
      </c>
      <c r="V1867" s="225" t="str">
        <f>IF(NOT(ISNUMBER(G1867)), "", VLOOKUP(A1867,'Discount Lookup'!G:H,2,FALSE)*G1867)</f>
        <v/>
      </c>
      <c r="W1867" s="508">
        <f t="shared" si="1417"/>
        <v>0</v>
      </c>
      <c r="X1867" s="508">
        <f t="shared" si="1418"/>
        <v>0</v>
      </c>
      <c r="Y1867" s="509" t="b">
        <f t="shared" si="1419"/>
        <v>0</v>
      </c>
      <c r="Z1867" s="510">
        <f t="shared" si="1420"/>
        <v>0</v>
      </c>
      <c r="AA1867" s="511"/>
      <c r="AB1867" s="511" t="str">
        <f t="shared" si="1421"/>
        <v/>
      </c>
      <c r="AC1867" s="698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698"/>
      <c r="AE1867" s="631" t="str">
        <f t="shared" si="1422"/>
        <v/>
      </c>
      <c r="AF1867" s="699" t="str">
        <f t="shared" si="1423"/>
        <v/>
      </c>
      <c r="AG1867" s="699"/>
      <c r="AH1867" s="699"/>
      <c r="AI1867" s="512">
        <f>IF(H1867="credit",0,IF(AE1867="free",0,IF(AE1867="me",0,IF(G1867&gt;0,(VLOOKUP(A1867,'Discount Lookup'!J:K,2)*G1867),0))))</f>
        <v>0</v>
      </c>
      <c r="AJ1867" s="513" t="str">
        <f t="shared" ca="1" si="1424"/>
        <v/>
      </c>
      <c r="AK1867" s="700" t="str">
        <f t="shared" si="1425"/>
        <v/>
      </c>
      <c r="AL1867" s="700"/>
      <c r="AM1867" s="505" t="str">
        <f t="shared" si="1426"/>
        <v/>
      </c>
      <c r="AN1867" s="506"/>
      <c r="AO1867" s="507"/>
      <c r="AP1867" s="507"/>
      <c r="AQ1867" s="507"/>
      <c r="AR1867" s="507"/>
      <c r="AS1867" s="507"/>
      <c r="AT1867" s="507"/>
      <c r="AU1867" s="507"/>
      <c r="AV1867" s="225"/>
      <c r="AW1867" s="508"/>
      <c r="AX1867" s="225"/>
      <c r="AY1867" s="225"/>
      <c r="AZ1867" s="225"/>
      <c r="BA1867" s="225"/>
      <c r="BB1867" s="225"/>
      <c r="BC1867" s="56"/>
      <c r="BD1867" s="56"/>
      <c r="BE1867" s="56"/>
      <c r="BF1867" s="107" t="str">
        <f t="shared" si="1427"/>
        <v>https://www.google.com/search?tbm=isch&amp;q=Honeycomb%20has%20Green%20foliage%20and%20a%20fragrance.%20All%20BB%20bloom%20summer%20to%20frost%2C%20on%20new%20wood%2C%20so%20cut%20back%20hard%20late%20winter%20</v>
      </c>
      <c r="BG1867" s="107" t="str">
        <f t="shared" si="1428"/>
        <v>H</v>
      </c>
      <c r="BH1867" s="254"/>
      <c r="BI1867" s="254"/>
    </row>
    <row r="1868" spans="1:61" customFormat="1" ht="18" x14ac:dyDescent="0.25">
      <c r="A1868" s="521" t="s">
        <v>5427</v>
      </c>
      <c r="B1868" s="477"/>
      <c r="C1868" s="674"/>
      <c r="D1868" s="478" t="s">
        <v>1117</v>
      </c>
      <c r="E1868" s="479"/>
      <c r="F1868" s="479"/>
      <c r="G1868" s="479"/>
      <c r="H1868" s="582" t="s">
        <v>2947</v>
      </c>
      <c r="I1868" s="480" t="s">
        <v>2948</v>
      </c>
      <c r="J1868" s="479"/>
      <c r="K1868" s="479"/>
      <c r="L1868" s="560"/>
      <c r="M1868" s="671" t="s">
        <v>4985</v>
      </c>
      <c r="N1868" s="680" t="str">
        <f>IF(AND(ISTEXT($A1868), ISERROR($A1868+0)), HYPERLINK($BF1868, "Images"), "")</f>
        <v>Images</v>
      </c>
      <c r="O1868" s="662" t="s">
        <v>4969</v>
      </c>
      <c r="P1868" s="482"/>
      <c r="Q1868" s="483"/>
      <c r="R1868" s="483"/>
      <c r="S1868" s="484"/>
      <c r="T1868" s="508">
        <f t="shared" si="1416"/>
        <v>0</v>
      </c>
      <c r="U1868" s="225" t="str">
        <f>IF(NOT(ISNUMBER(G1868)), "", VLOOKUP(A1868,'Discount Lookup'!D:E,2,FALSE)*G1868)</f>
        <v/>
      </c>
      <c r="V1868" s="225" t="str">
        <f>IF(NOT(ISNUMBER(G1868)), "", VLOOKUP(A1868,'Discount Lookup'!G:H,2,FALSE)*G1868)</f>
        <v/>
      </c>
      <c r="W1868" s="508">
        <f t="shared" si="1417"/>
        <v>0</v>
      </c>
      <c r="X1868" s="508" t="str">
        <f t="shared" si="1418"/>
        <v>White bloom, Pink accents</v>
      </c>
      <c r="Y1868" s="509" t="b">
        <f t="shared" si="1419"/>
        <v>0</v>
      </c>
      <c r="Z1868" s="510">
        <f t="shared" si="1420"/>
        <v>0</v>
      </c>
      <c r="AA1868" s="511"/>
      <c r="AB1868" s="511" t="str">
        <f t="shared" si="1421"/>
        <v/>
      </c>
      <c r="AC1868" s="698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698"/>
      <c r="AE1868" s="631" t="str">
        <f t="shared" si="1422"/>
        <v/>
      </c>
      <c r="AF1868" s="699" t="str">
        <f t="shared" si="1423"/>
        <v/>
      </c>
      <c r="AG1868" s="699"/>
      <c r="AH1868" s="699"/>
      <c r="AI1868" s="512">
        <f>IF(H1868="credit",0,IF(AE1868="free",0,IF(AE1868="me",0,IF(G1868&gt;0,(VLOOKUP(A1868,'Discount Lookup'!J:K,2)*G1868),0))))</f>
        <v>0</v>
      </c>
      <c r="AJ1868" s="513" t="str">
        <f t="shared" ca="1" si="1424"/>
        <v/>
      </c>
      <c r="AK1868" s="700" t="str">
        <f t="shared" si="1425"/>
        <v/>
      </c>
      <c r="AL1868" s="700"/>
      <c r="AM1868" s="505" t="str">
        <f t="shared" si="1426"/>
        <v/>
      </c>
      <c r="AN1868" s="506"/>
      <c r="AO1868" s="507"/>
      <c r="AP1868" s="507"/>
      <c r="AQ1868" s="507"/>
      <c r="AR1868" s="507"/>
      <c r="AS1868" s="507"/>
      <c r="AT1868" s="507"/>
      <c r="AU1868" s="507"/>
      <c r="AV1868" s="225"/>
      <c r="AW1868" s="508"/>
      <c r="AX1868" s="225"/>
      <c r="AY1868" s="225"/>
      <c r="AZ1868" s="225"/>
      <c r="BA1868" s="225"/>
      <c r="BB1868" s="225"/>
      <c r="BC1868" s="56"/>
      <c r="BD1868" s="56"/>
      <c r="BE1868" s="56"/>
      <c r="BF1868" s="107" t="str">
        <f t="shared" si="1427"/>
        <v>https://www.google.com/search?tbm=isch&amp;q=Honeymoon%C2%AE%20French%20Kiss%20Lenten%20Rose%20Helleborus%20%27French%20Kiss%27</v>
      </c>
      <c r="BG1868" s="107" t="str">
        <f t="shared" si="1428"/>
        <v>H</v>
      </c>
      <c r="BH1868" s="254"/>
      <c r="BI1868" s="254"/>
    </row>
    <row r="1869" spans="1:61" customFormat="1" ht="15.75" x14ac:dyDescent="0.25">
      <c r="A1869" s="485">
        <v>2</v>
      </c>
      <c r="B1869" s="486" t="s">
        <v>291</v>
      </c>
      <c r="C1869" s="487"/>
      <c r="D1869" s="488" t="s">
        <v>300</v>
      </c>
      <c r="E1869" s="489">
        <v>65.95</v>
      </c>
      <c r="F1869" s="516" t="s">
        <v>293</v>
      </c>
      <c r="G1869" s="232">
        <v>0</v>
      </c>
      <c r="H1869" s="658" t="str">
        <f>IF(G1869=0,"",IF(F1869="Buy",IF(G1869=1,"plant","plants"),IF(F1869&gt;0.01,"warranty","Error")))</f>
        <v/>
      </c>
      <c r="I1869" s="490">
        <f>IF(H1869="free",0,IF(H1869="credit",((E1869*(F1869))*G1869*-1),IF(F1869="Buy",(E1869*G1869),((E1869*(1-F1869))*G1869))))</f>
        <v>0</v>
      </c>
      <c r="J1869" s="490">
        <f>IF(H1869="warranty",0,(I1869*(_xlfn.SINGLE(SalesTaxPercentage))))</f>
        <v>0</v>
      </c>
      <c r="K1869" s="695">
        <f t="shared" ref="K1869" si="1459">I1869+J1869</f>
        <v>0</v>
      </c>
      <c r="L1869" s="695"/>
      <c r="M1869" s="659" t="str">
        <f>IF(AND(G1869&gt;0,E1869=0),"WARNING - no PRICE inserted",IF(H1869="free"," FREE ~ no charge this plant",IF(H1869="credit",CONCATENATE(" -$",ROUND(K1869*(1-T2GDiscount)*-1,2)," CREDIT after discount"),IF(T2GDiscount=0,"",IF(G1869=0,"",IF(F1869="Buy",CONCATENATE(" $",ROUND(K1869*(1-T2GDiscount),2)," with ",(T2GDiscount*100),"% discount"),CONCATENATE(" $",ROUND(K1869*(1-T2GDiscount),2)," with ",((T2GDiscount*100+F1869*100)-(T2GDiscount*100*F1869)),IF(F1869&gt;0,"% discounts",IF(NoWarrantyDiscount&gt;0,"% discounts","% discount")))))))))</f>
        <v/>
      </c>
      <c r="N1869" s="660"/>
      <c r="O1869" s="233"/>
      <c r="P1869" s="233"/>
      <c r="Q1869" s="233"/>
      <c r="R1869" s="233"/>
      <c r="S1869" s="233"/>
      <c r="T1869" s="508">
        <f t="shared" si="1416"/>
        <v>0</v>
      </c>
      <c r="U1869" s="225">
        <f>IF(NOT(ISNUMBER(G1869)), "", VLOOKUP(A1869,'Discount Lookup'!D:E,2,FALSE)*G1869)</f>
        <v>0</v>
      </c>
      <c r="V1869" s="225">
        <f>IF(NOT(ISNUMBER(G1869)), "", VLOOKUP(A1869,'Discount Lookup'!G:H,2,FALSE)*G1869)</f>
        <v>0</v>
      </c>
      <c r="W1869" s="508">
        <f t="shared" si="1417"/>
        <v>0</v>
      </c>
      <c r="X1869" s="508">
        <f t="shared" si="1418"/>
        <v>0</v>
      </c>
      <c r="Y1869" s="509" t="b">
        <f t="shared" si="1419"/>
        <v>0</v>
      </c>
      <c r="Z1869" s="510">
        <f t="shared" si="1420"/>
        <v>0</v>
      </c>
      <c r="AA1869" s="511"/>
      <c r="AB1869" s="511" t="str">
        <f t="shared" si="1421"/>
        <v/>
      </c>
      <c r="AC1869" s="698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698"/>
      <c r="AE1869" s="631" t="str">
        <f t="shared" si="1422"/>
        <v/>
      </c>
      <c r="AF1869" s="699" t="str">
        <f t="shared" si="1423"/>
        <v/>
      </c>
      <c r="AG1869" s="699"/>
      <c r="AH1869" s="699"/>
      <c r="AI1869" s="512">
        <f>IF(H1869="credit",0,IF(AE1869="free",0,IF(AE1869="me",0,IF(G1869&gt;0,(VLOOKUP(A1869,'Discount Lookup'!J:K,2)*G1869),0))))</f>
        <v>0</v>
      </c>
      <c r="AJ1869" s="513" t="str">
        <f t="shared" ca="1" si="1424"/>
        <v/>
      </c>
      <c r="AK1869" s="700" t="str">
        <f t="shared" si="1425"/>
        <v/>
      </c>
      <c r="AL1869" s="700"/>
      <c r="AM1869" s="505" t="str">
        <f t="shared" si="1426"/>
        <v/>
      </c>
      <c r="AN1869" s="506"/>
      <c r="AO1869" s="507"/>
      <c r="AP1869" s="507"/>
      <c r="AQ1869" s="507"/>
      <c r="AR1869" s="507"/>
      <c r="AS1869" s="507"/>
      <c r="AT1869" s="507"/>
      <c r="AU1869" s="507"/>
      <c r="AV1869" s="225"/>
      <c r="AW1869" s="508"/>
      <c r="AX1869" s="225"/>
      <c r="AY1869" s="225"/>
      <c r="AZ1869" s="225"/>
      <c r="BA1869" s="225"/>
      <c r="BB1869" s="225"/>
      <c r="BC1869" s="56"/>
      <c r="BD1869" s="56"/>
      <c r="BE1869" s="56"/>
      <c r="BF1869" s="107" t="str">
        <f t="shared" si="1427"/>
        <v>https://www.google.com/search?tbm=isch&amp;q=2%20G6</v>
      </c>
      <c r="BG1869" s="107" t="str">
        <f t="shared" si="1428"/>
        <v>H</v>
      </c>
      <c r="BH1869" s="254"/>
      <c r="BI1869" s="254"/>
    </row>
    <row r="1870" spans="1:61" customFormat="1" ht="16.5" thickBot="1" x14ac:dyDescent="0.3">
      <c r="A1870" s="522" t="s">
        <v>2945</v>
      </c>
      <c r="B1870" s="491"/>
      <c r="C1870" s="675"/>
      <c r="D1870" s="491"/>
      <c r="E1870" s="491"/>
      <c r="F1870" s="492"/>
      <c r="G1870" s="493"/>
      <c r="H1870" s="491"/>
      <c r="I1870" s="234"/>
      <c r="J1870" s="234"/>
      <c r="K1870" s="494"/>
      <c r="L1870" s="543"/>
      <c r="M1870" s="561"/>
      <c r="N1870" s="495"/>
      <c r="O1870" s="496"/>
      <c r="P1870" s="497"/>
      <c r="Q1870" s="495"/>
      <c r="R1870" s="495"/>
      <c r="S1870" s="667" t="s">
        <v>4968</v>
      </c>
      <c r="T1870" s="508">
        <f t="shared" ref="T1870:T1933" si="1460">E1870*G1870</f>
        <v>0</v>
      </c>
      <c r="U1870" s="225" t="str">
        <f>IF(NOT(ISNUMBER(G1870)), "", VLOOKUP(A1870,'Discount Lookup'!D:E,2,FALSE)*G1870)</f>
        <v/>
      </c>
      <c r="V1870" s="225" t="str">
        <f>IF(NOT(ISNUMBER(G1870)), "", VLOOKUP(A1870,'Discount Lookup'!G:H,2,FALSE)*G1870)</f>
        <v/>
      </c>
      <c r="W1870" s="508">
        <f t="shared" ref="W1870:W1933" si="1461">IF(H1870="credit",0,E1870*(SalesTaxPercentage)*G1870)</f>
        <v>0</v>
      </c>
      <c r="X1870" s="508">
        <f t="shared" ref="X1870:X1933" si="1462">I1870</f>
        <v>0</v>
      </c>
      <c r="Y1870" s="509" t="b">
        <f t="shared" ref="Y1870:Y1933" si="1463">IF(AE1870="T2G",0,IF(H1870="credit",0,IF(G1870&gt;0,IF(AE1870="me","",G1870))))</f>
        <v>0</v>
      </c>
      <c r="Z1870" s="510">
        <f t="shared" ref="Z1870:Z1933" si="1464">IF(H1870="credit",G1870,0)</f>
        <v>0</v>
      </c>
      <c r="AA1870" s="511"/>
      <c r="AB1870" s="511" t="str">
        <f t="shared" ref="AB1870:AB1933" si="1465">IF(AE1870="T2G","by Trees2Go",IF(H1870="credit","CREDIT only ~",IF(AND(K1870="",AE1870=OR(PlanterYesMe="No",PlanterYesMe="N",PlanterYesMe="me")),"not THIS line⇨",IF(AND(K1870="images",AE1870="me"),"not THIS line⇨",IF(H1870="credit","",IF(G1870=0,"",IF(AE1870="me","",IF(OR(PlanterYesMe="No",PlanterYesMe="N",PlanterYesMe="me"),"",IF(AE1870="free","warranty",IF(OR(PlanterYesMe="yes",PlanterYesMe="y"),"Edison install:","to install:"))))))))))</f>
        <v/>
      </c>
      <c r="AC1870" s="698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698"/>
      <c r="AE1870" s="631" t="str">
        <f t="shared" ref="AE1870:AE1933" si="1466">IF(H1870="credit","",IF(G1870=0,"",IF(OR(PlanterYesMe="No",PlanterYesMe="N",PlanterYesMe="me"),"me",IF(H1870="warranty","free",IF(OR(PlanterYesMe="yes",PlanterYesMe="y"),"ELP","")))))</f>
        <v/>
      </c>
      <c r="AF1870" s="699" t="str">
        <f t="shared" ref="AF1870:AF1933" si="1467">IF(OR(PlanterYesMe="No",PlanterYesMe="N",PlanterYesMe="me"),"",IF(H1870="credit","",IF(G1870&gt;0,(CONCATENATE((G1870)," quantity, ",(A1870)," ",B1870)),"")))</f>
        <v/>
      </c>
      <c r="AG1870" s="699"/>
      <c r="AH1870" s="699"/>
      <c r="AI1870" s="512">
        <f>IF(H1870="credit",0,IF(AE1870="free",0,IF(AE1870="me",0,IF(G1870&gt;0,(VLOOKUP(A1870,'Discount Lookup'!J:K,2)*G1870),0))))</f>
        <v>0</v>
      </c>
      <c r="AJ1870" s="513" t="str">
        <f t="shared" ref="AJ1870:AJ1933" ca="1" si="1468">IF(AND(ISREF(H1870),H1870="credit"),"",IF(AND(AND(OFFSET(G1870,0,0)=0,OFFSET(G1870,1,0)&gt;0,ISNUMBER(OFFSET(AC1870,1,0)),OFFSET(AC1870,1,0)&gt;0),OR(PlanterYesMe="yes",PlanterYesMe="y")),"T2G+ELP=",IF(AND(OFFSET(G1870,0,0)=0,OFFSET(G1870,1,0)&gt;0,ISNUMBER(OFFSET(AC1870,1,0)),OFFSET(AC1870,1,0)&gt;0),"if T2G+ELP=",IF(AND(OFFSET(G1870,0,0)=0,OFFSET(G1870,1,0)&gt;0),"T2G Subtotal",IF(H1870="credit","",IF(G1870=0,"",IF(AE1870="free",(K1870*(1-T2GDiscount)),IF(OR(PlanterYesMe="No",PlanterYesMe="N",PlanterYesMe="me"),(K1870*(1-T2GDiscount)),IF(OR(AE1870="me",AE1870="T2G"),(K1870*(1-T2GDiscount)),(K1870*(1-T2GDiscount))+AC1870)))))))))</f>
        <v/>
      </c>
      <c r="AK1870" s="700" t="str">
        <f t="shared" ref="AK1870:AK1933" si="1469">IF(H1870="credit","",IF(G1870=0,"",IF(OR(AE1870="me",AE1870="T2G"),"  delivery-only",IF(OR(PlanterYesMe="No",PlanterYesMe="N",PlanterYesMe="me"),"  delivery-only",CONCATENATE(" $",ROUND(AJ1870/G1870,2)," each")))))</f>
        <v/>
      </c>
      <c r="AL1870" s="700"/>
      <c r="AM1870" s="505" t="str">
        <f t="shared" ref="AM1870:AM1933" si="1470">IF(H1870="credit","",IF(AE1870="free","      ~ discounts included, no tax or planting fee applies ~",IF(G1870=0,"",IF(OR(PlanterYesMe="No",PlanterYesMe="N",PlanterYesMe="me"),CONCATENATE(" $",ROUND(AJ1870/G1870,2)," per plant, with tax &amp; discount"),IF(OR(AE1870="me",AE1870="T2G"),CONCATENATE(" $",ROUND(AJ1870/G1870,2)," per plant, with tax &amp; discount"),CONCATENATE("= $",ROUND((K1870*(1-T2GDiscount))/G1870,2)," per plant + $",AC1870/G1870,(" per planting      ~ includes tax &amp; discounts ~")))))))</f>
        <v/>
      </c>
      <c r="AN1870" s="506"/>
      <c r="AO1870" s="507"/>
      <c r="AP1870" s="507"/>
      <c r="AQ1870" s="507"/>
      <c r="AR1870" s="507"/>
      <c r="AS1870" s="507"/>
      <c r="AT1870" s="507"/>
      <c r="AU1870" s="507"/>
      <c r="AV1870" s="225"/>
      <c r="AW1870" s="508"/>
      <c r="AX1870" s="225"/>
      <c r="AY1870" s="225"/>
      <c r="AZ1870" s="225"/>
      <c r="BA1870" s="225"/>
      <c r="BB1870" s="225"/>
      <c r="BC1870" s="56"/>
      <c r="BD1870" s="56"/>
      <c r="BE1870" s="56"/>
      <c r="BF1870" s="107" t="str">
        <f t="shared" ref="BF1870:BF1933" si="1471">"https://www.google.com/search?tbm=isch&amp;q=" &amp; _xlfn.ENCODEURL($A1870 &amp; " " &amp; $D1870)</f>
        <v>https://www.google.com/search?tbm=isch&amp;q=All%20Hellebores%20are%20clump-forming%20perennials%20with%20leathery%20foliage.%20They%20are%20long-lived%2C%20cold%2Fshade%20tolerant%2C%20and%20bloom%20late%20winter%20to%20spring%20</v>
      </c>
      <c r="BG1870" s="107" t="str">
        <f t="shared" ref="BG1870:BG1933" si="1472">IF(ISTEXT(A1870),LEFT(A1870,1),BG1869)</f>
        <v>A</v>
      </c>
      <c r="BH1870" s="254"/>
      <c r="BI1870" s="254"/>
    </row>
    <row r="1871" spans="1:61" customFormat="1" ht="18" x14ac:dyDescent="0.25">
      <c r="A1871" s="521" t="s">
        <v>5428</v>
      </c>
      <c r="B1871" s="477"/>
      <c r="C1871" s="674"/>
      <c r="D1871" s="478" t="s">
        <v>1118</v>
      </c>
      <c r="E1871" s="479"/>
      <c r="F1871" s="479"/>
      <c r="G1871" s="479"/>
      <c r="H1871" s="582" t="s">
        <v>2947</v>
      </c>
      <c r="I1871" s="480" t="s">
        <v>2569</v>
      </c>
      <c r="J1871" s="479"/>
      <c r="K1871" s="479"/>
      <c r="L1871" s="560"/>
      <c r="M1871" s="671" t="s">
        <v>4985</v>
      </c>
      <c r="N1871" s="680" t="str">
        <f>IF(AND(ISTEXT($A1871), ISERROR($A1871+0)), HYPERLINK($BF1871, "Images"), "")</f>
        <v>Images</v>
      </c>
      <c r="O1871" s="662" t="s">
        <v>4969</v>
      </c>
      <c r="P1871" s="482"/>
      <c r="Q1871" s="483"/>
      <c r="R1871" s="483"/>
      <c r="S1871" s="484"/>
      <c r="T1871" s="508">
        <f t="shared" si="1460"/>
        <v>0</v>
      </c>
      <c r="U1871" s="225" t="str">
        <f>IF(NOT(ISNUMBER(G1871)), "", VLOOKUP(A1871,'Discount Lookup'!D:E,2,FALSE)*G1871)</f>
        <v/>
      </c>
      <c r="V1871" s="225" t="str">
        <f>IF(NOT(ISNUMBER(G1871)), "", VLOOKUP(A1871,'Discount Lookup'!G:H,2,FALSE)*G1871)</f>
        <v/>
      </c>
      <c r="W1871" s="508">
        <f t="shared" si="1461"/>
        <v>0</v>
      </c>
      <c r="X1871" s="508" t="str">
        <f t="shared" si="1462"/>
        <v>Soft Pink bloom</v>
      </c>
      <c r="Y1871" s="509" t="b">
        <f t="shared" si="1463"/>
        <v>0</v>
      </c>
      <c r="Z1871" s="510">
        <f t="shared" si="1464"/>
        <v>0</v>
      </c>
      <c r="AA1871" s="511"/>
      <c r="AB1871" s="511" t="str">
        <f t="shared" si="1465"/>
        <v/>
      </c>
      <c r="AC1871" s="698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698"/>
      <c r="AE1871" s="631" t="str">
        <f t="shared" si="1466"/>
        <v/>
      </c>
      <c r="AF1871" s="699" t="str">
        <f t="shared" si="1467"/>
        <v/>
      </c>
      <c r="AG1871" s="699"/>
      <c r="AH1871" s="699"/>
      <c r="AI1871" s="512">
        <f>IF(H1871="credit",0,IF(AE1871="free",0,IF(AE1871="me",0,IF(G1871&gt;0,(VLOOKUP(A1871,'Discount Lookup'!J:K,2)*G1871),0))))</f>
        <v>0</v>
      </c>
      <c r="AJ1871" s="513" t="str">
        <f t="shared" ca="1" si="1468"/>
        <v/>
      </c>
      <c r="AK1871" s="700" t="str">
        <f t="shared" si="1469"/>
        <v/>
      </c>
      <c r="AL1871" s="700"/>
      <c r="AM1871" s="505" t="str">
        <f t="shared" si="1470"/>
        <v/>
      </c>
      <c r="AN1871" s="506"/>
      <c r="AO1871" s="507"/>
      <c r="AP1871" s="507"/>
      <c r="AQ1871" s="507"/>
      <c r="AR1871" s="507"/>
      <c r="AS1871" s="507"/>
      <c r="AT1871" s="507"/>
      <c r="AU1871" s="507"/>
      <c r="AV1871" s="225"/>
      <c r="AW1871" s="508"/>
      <c r="AX1871" s="225"/>
      <c r="AY1871" s="225"/>
      <c r="AZ1871" s="225"/>
      <c r="BA1871" s="225"/>
      <c r="BB1871" s="225"/>
      <c r="BC1871" s="56"/>
      <c r="BD1871" s="56"/>
      <c r="BE1871" s="56"/>
      <c r="BF1871" s="107" t="str">
        <f t="shared" si="1471"/>
        <v>https://www.google.com/search?tbm=isch&amp;q=Honeymoon%C2%AE%20Paris%20in%20Pink%20Lenten%20Rose%20Helleborus%20%27Paris%20in%20Pink%27</v>
      </c>
      <c r="BG1871" s="107" t="str">
        <f t="shared" si="1472"/>
        <v>H</v>
      </c>
      <c r="BH1871" s="254"/>
      <c r="BI1871" s="254"/>
    </row>
    <row r="1872" spans="1:61" customFormat="1" ht="15.75" x14ac:dyDescent="0.25">
      <c r="A1872" s="485">
        <v>2</v>
      </c>
      <c r="B1872" s="486" t="s">
        <v>291</v>
      </c>
      <c r="C1872" s="487"/>
      <c r="D1872" s="488" t="s">
        <v>300</v>
      </c>
      <c r="E1872" s="489">
        <v>65.95</v>
      </c>
      <c r="F1872" s="516" t="s">
        <v>293</v>
      </c>
      <c r="G1872" s="232">
        <v>0</v>
      </c>
      <c r="H1872" s="658" t="str">
        <f>IF(G1872=0,"",IF(F1872="Buy",IF(G1872=1,"plant","plants"),IF(F1872&gt;0.01,"warranty","Error")))</f>
        <v/>
      </c>
      <c r="I1872" s="490">
        <f>IF(H1872="free",0,IF(H1872="credit",((E1872*(F1872))*G1872*-1),IF(F1872="Buy",(E1872*G1872),((E1872*(1-F1872))*G1872))))</f>
        <v>0</v>
      </c>
      <c r="J1872" s="490">
        <f>IF(H1872="warranty",0,(I1872*(_xlfn.SINGLE(SalesTaxPercentage))))</f>
        <v>0</v>
      </c>
      <c r="K1872" s="695">
        <f t="shared" ref="K1872" si="1473">I1872+J1872</f>
        <v>0</v>
      </c>
      <c r="L1872" s="695"/>
      <c r="M1872" s="659" t="str">
        <f>IF(AND(G1872&gt;0,E1872=0),"WARNING - no PRICE inserted",IF(H1872="free"," FREE ~ no charge this plant",IF(H1872="credit",CONCATENATE(" -$",ROUND(K1872*(1-T2GDiscount)*-1,2)," CREDIT after discount"),IF(T2GDiscount=0,"",IF(G1872=0,"",IF(F1872="Buy",CONCATENATE(" $",ROUND(K1872*(1-T2GDiscount),2)," with ",(T2GDiscount*100),"% discount"),CONCATENATE(" $",ROUND(K1872*(1-T2GDiscount),2)," with ",((T2GDiscount*100+F1872*100)-(T2GDiscount*100*F1872)),IF(F1872&gt;0,"% discounts",IF(NoWarrantyDiscount&gt;0,"% discounts","% discount")))))))))</f>
        <v/>
      </c>
      <c r="N1872" s="660"/>
      <c r="O1872" s="233"/>
      <c r="P1872" s="233"/>
      <c r="Q1872" s="233"/>
      <c r="R1872" s="233"/>
      <c r="S1872" s="233"/>
      <c r="T1872" s="508">
        <f t="shared" si="1460"/>
        <v>0</v>
      </c>
      <c r="U1872" s="225">
        <f>IF(NOT(ISNUMBER(G1872)), "", VLOOKUP(A1872,'Discount Lookup'!D:E,2,FALSE)*G1872)</f>
        <v>0</v>
      </c>
      <c r="V1872" s="225">
        <f>IF(NOT(ISNUMBER(G1872)), "", VLOOKUP(A1872,'Discount Lookup'!G:H,2,FALSE)*G1872)</f>
        <v>0</v>
      </c>
      <c r="W1872" s="508">
        <f t="shared" si="1461"/>
        <v>0</v>
      </c>
      <c r="X1872" s="508">
        <f t="shared" si="1462"/>
        <v>0</v>
      </c>
      <c r="Y1872" s="509" t="b">
        <f t="shared" si="1463"/>
        <v>0</v>
      </c>
      <c r="Z1872" s="510">
        <f t="shared" si="1464"/>
        <v>0</v>
      </c>
      <c r="AA1872" s="511"/>
      <c r="AB1872" s="511" t="str">
        <f t="shared" si="1465"/>
        <v/>
      </c>
      <c r="AC1872" s="698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698"/>
      <c r="AE1872" s="631" t="str">
        <f t="shared" si="1466"/>
        <v/>
      </c>
      <c r="AF1872" s="699" t="str">
        <f t="shared" si="1467"/>
        <v/>
      </c>
      <c r="AG1872" s="699"/>
      <c r="AH1872" s="699"/>
      <c r="AI1872" s="512">
        <f>IF(H1872="credit",0,IF(AE1872="free",0,IF(AE1872="me",0,IF(G1872&gt;0,(VLOOKUP(A1872,'Discount Lookup'!J:K,2)*G1872),0))))</f>
        <v>0</v>
      </c>
      <c r="AJ1872" s="513" t="str">
        <f t="shared" ca="1" si="1468"/>
        <v/>
      </c>
      <c r="AK1872" s="700" t="str">
        <f t="shared" si="1469"/>
        <v/>
      </c>
      <c r="AL1872" s="700"/>
      <c r="AM1872" s="505" t="str">
        <f t="shared" si="1470"/>
        <v/>
      </c>
      <c r="AN1872" s="506"/>
      <c r="AO1872" s="507"/>
      <c r="AP1872" s="507"/>
      <c r="AQ1872" s="507"/>
      <c r="AR1872" s="507"/>
      <c r="AS1872" s="507"/>
      <c r="AT1872" s="507"/>
      <c r="AU1872" s="507"/>
      <c r="AV1872" s="225"/>
      <c r="AW1872" s="508"/>
      <c r="AX1872" s="225"/>
      <c r="AY1872" s="225"/>
      <c r="AZ1872" s="225"/>
      <c r="BA1872" s="225"/>
      <c r="BB1872" s="225"/>
      <c r="BC1872" s="56"/>
      <c r="BD1872" s="56"/>
      <c r="BE1872" s="56"/>
      <c r="BF1872" s="107" t="str">
        <f t="shared" si="1471"/>
        <v>https://www.google.com/search?tbm=isch&amp;q=2%20G6</v>
      </c>
      <c r="BG1872" s="107" t="str">
        <f t="shared" si="1472"/>
        <v>H</v>
      </c>
      <c r="BH1872" s="254"/>
      <c r="BI1872" s="254"/>
    </row>
    <row r="1873" spans="1:61" customFormat="1" ht="16.5" thickBot="1" x14ac:dyDescent="0.3">
      <c r="A1873" s="522" t="s">
        <v>2945</v>
      </c>
      <c r="B1873" s="491"/>
      <c r="C1873" s="675"/>
      <c r="D1873" s="491"/>
      <c r="E1873" s="491"/>
      <c r="F1873" s="492"/>
      <c r="G1873" s="493"/>
      <c r="H1873" s="491"/>
      <c r="I1873" s="234"/>
      <c r="J1873" s="234"/>
      <c r="K1873" s="494"/>
      <c r="L1873" s="543"/>
      <c r="M1873" s="561"/>
      <c r="N1873" s="495"/>
      <c r="O1873" s="496"/>
      <c r="P1873" s="497"/>
      <c r="Q1873" s="495"/>
      <c r="R1873" s="495"/>
      <c r="S1873" s="667" t="s">
        <v>4968</v>
      </c>
      <c r="T1873" s="508">
        <f t="shared" si="1460"/>
        <v>0</v>
      </c>
      <c r="U1873" s="225" t="str">
        <f>IF(NOT(ISNUMBER(G1873)), "", VLOOKUP(A1873,'Discount Lookup'!D:E,2,FALSE)*G1873)</f>
        <v/>
      </c>
      <c r="V1873" s="225" t="str">
        <f>IF(NOT(ISNUMBER(G1873)), "", VLOOKUP(A1873,'Discount Lookup'!G:H,2,FALSE)*G1873)</f>
        <v/>
      </c>
      <c r="W1873" s="508">
        <f t="shared" si="1461"/>
        <v>0</v>
      </c>
      <c r="X1873" s="508">
        <f t="shared" si="1462"/>
        <v>0</v>
      </c>
      <c r="Y1873" s="509" t="b">
        <f t="shared" si="1463"/>
        <v>0</v>
      </c>
      <c r="Z1873" s="510">
        <f t="shared" si="1464"/>
        <v>0</v>
      </c>
      <c r="AA1873" s="511"/>
      <c r="AB1873" s="511" t="str">
        <f t="shared" si="1465"/>
        <v/>
      </c>
      <c r="AC1873" s="698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698"/>
      <c r="AE1873" s="631" t="str">
        <f t="shared" si="1466"/>
        <v/>
      </c>
      <c r="AF1873" s="699" t="str">
        <f t="shared" si="1467"/>
        <v/>
      </c>
      <c r="AG1873" s="699"/>
      <c r="AH1873" s="699"/>
      <c r="AI1873" s="512">
        <f>IF(H1873="credit",0,IF(AE1873="free",0,IF(AE1873="me",0,IF(G1873&gt;0,(VLOOKUP(A1873,'Discount Lookup'!J:K,2)*G1873),0))))</f>
        <v>0</v>
      </c>
      <c r="AJ1873" s="513" t="str">
        <f t="shared" ca="1" si="1468"/>
        <v/>
      </c>
      <c r="AK1873" s="700" t="str">
        <f t="shared" si="1469"/>
        <v/>
      </c>
      <c r="AL1873" s="700"/>
      <c r="AM1873" s="505" t="str">
        <f t="shared" si="1470"/>
        <v/>
      </c>
      <c r="AN1873" s="506"/>
      <c r="AO1873" s="507"/>
      <c r="AP1873" s="507"/>
      <c r="AQ1873" s="507"/>
      <c r="AR1873" s="507"/>
      <c r="AS1873" s="507"/>
      <c r="AT1873" s="507"/>
      <c r="AU1873" s="507"/>
      <c r="AV1873" s="225"/>
      <c r="AW1873" s="508"/>
      <c r="AX1873" s="225"/>
      <c r="AY1873" s="225"/>
      <c r="AZ1873" s="225"/>
      <c r="BA1873" s="225"/>
      <c r="BB1873" s="225"/>
      <c r="BC1873" s="56"/>
      <c r="BD1873" s="56"/>
      <c r="BE1873" s="56"/>
      <c r="BF1873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873" s="107" t="str">
        <f t="shared" si="1472"/>
        <v>A</v>
      </c>
      <c r="BH1873" s="254"/>
      <c r="BI1873" s="254"/>
    </row>
    <row r="1874" spans="1:61" customFormat="1" ht="18" x14ac:dyDescent="0.25">
      <c r="A1874" s="521" t="s">
        <v>5429</v>
      </c>
      <c r="B1874" s="477"/>
      <c r="C1874" s="674"/>
      <c r="D1874" s="478" t="s">
        <v>1119</v>
      </c>
      <c r="E1874" s="479"/>
      <c r="F1874" s="479"/>
      <c r="G1874" s="479"/>
      <c r="H1874" s="582" t="s">
        <v>2947</v>
      </c>
      <c r="I1874" s="480" t="s">
        <v>2949</v>
      </c>
      <c r="J1874" s="479"/>
      <c r="K1874" s="479"/>
      <c r="L1874" s="560"/>
      <c r="M1874" s="671" t="s">
        <v>4985</v>
      </c>
      <c r="N1874" s="680" t="str">
        <f>IF(AND(ISTEXT($A1874), ISERROR($A1874+0)), HYPERLINK($BF1874, "Images"), "")</f>
        <v>Images</v>
      </c>
      <c r="O1874" s="662" t="s">
        <v>4969</v>
      </c>
      <c r="P1874" s="482"/>
      <c r="Q1874" s="483"/>
      <c r="R1874" s="483"/>
      <c r="S1874" s="484"/>
      <c r="T1874" s="508">
        <f t="shared" si="1460"/>
        <v>0</v>
      </c>
      <c r="U1874" s="225" t="str">
        <f>IF(NOT(ISNUMBER(G1874)), "", VLOOKUP(A1874,'Discount Lookup'!D:E,2,FALSE)*G1874)</f>
        <v/>
      </c>
      <c r="V1874" s="225" t="str">
        <f>IF(NOT(ISNUMBER(G1874)), "", VLOOKUP(A1874,'Discount Lookup'!G:H,2,FALSE)*G1874)</f>
        <v/>
      </c>
      <c r="W1874" s="508">
        <f t="shared" si="1461"/>
        <v>0</v>
      </c>
      <c r="X1874" s="508" t="str">
        <f t="shared" si="1462"/>
        <v>White-Pale Pink bloom</v>
      </c>
      <c r="Y1874" s="509" t="b">
        <f t="shared" si="1463"/>
        <v>0</v>
      </c>
      <c r="Z1874" s="510">
        <f t="shared" si="1464"/>
        <v>0</v>
      </c>
      <c r="AA1874" s="511"/>
      <c r="AB1874" s="511" t="str">
        <f t="shared" si="1465"/>
        <v/>
      </c>
      <c r="AC1874" s="698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698"/>
      <c r="AE1874" s="631" t="str">
        <f t="shared" si="1466"/>
        <v/>
      </c>
      <c r="AF1874" s="699" t="str">
        <f t="shared" si="1467"/>
        <v/>
      </c>
      <c r="AG1874" s="699"/>
      <c r="AH1874" s="699"/>
      <c r="AI1874" s="512">
        <f>IF(H1874="credit",0,IF(AE1874="free",0,IF(AE1874="me",0,IF(G1874&gt;0,(VLOOKUP(A1874,'Discount Lookup'!J:K,2)*G1874),0))))</f>
        <v>0</v>
      </c>
      <c r="AJ1874" s="513" t="str">
        <f t="shared" ca="1" si="1468"/>
        <v/>
      </c>
      <c r="AK1874" s="700" t="str">
        <f t="shared" si="1469"/>
        <v/>
      </c>
      <c r="AL1874" s="700"/>
      <c r="AM1874" s="505" t="str">
        <f t="shared" si="1470"/>
        <v/>
      </c>
      <c r="AN1874" s="506"/>
      <c r="AO1874" s="507"/>
      <c r="AP1874" s="507"/>
      <c r="AQ1874" s="507"/>
      <c r="AR1874" s="507"/>
      <c r="AS1874" s="507"/>
      <c r="AT1874" s="507"/>
      <c r="AU1874" s="507"/>
      <c r="AV1874" s="225"/>
      <c r="AW1874" s="508"/>
      <c r="AX1874" s="225"/>
      <c r="AY1874" s="225"/>
      <c r="AZ1874" s="225"/>
      <c r="BA1874" s="225"/>
      <c r="BB1874" s="225"/>
      <c r="BC1874" s="56"/>
      <c r="BD1874" s="56"/>
      <c r="BE1874" s="56"/>
      <c r="BF1874" s="107" t="str">
        <f t="shared" si="1471"/>
        <v>https://www.google.com/search?tbm=isch&amp;q=Honeymoon%C2%AE%20Romantic%20Getaway%20Lenten%20Rose%20Helleborus%20%27Romantic%20Getaway%27</v>
      </c>
      <c r="BG1874" s="107" t="str">
        <f t="shared" si="1472"/>
        <v>H</v>
      </c>
      <c r="BH1874" s="254"/>
      <c r="BI1874" s="254"/>
    </row>
    <row r="1875" spans="1:61" customFormat="1" ht="15.75" x14ac:dyDescent="0.25">
      <c r="A1875" s="485">
        <v>2</v>
      </c>
      <c r="B1875" s="486" t="s">
        <v>291</v>
      </c>
      <c r="C1875" s="487"/>
      <c r="D1875" s="488" t="s">
        <v>300</v>
      </c>
      <c r="E1875" s="489">
        <v>65.95</v>
      </c>
      <c r="F1875" s="516" t="s">
        <v>293</v>
      </c>
      <c r="G1875" s="232">
        <v>0</v>
      </c>
      <c r="H1875" s="658" t="str">
        <f>IF(G1875=0,"",IF(F1875="Buy",IF(G1875=1,"plant","plants"),IF(F1875&gt;0.01,"warranty","Error")))</f>
        <v/>
      </c>
      <c r="I1875" s="490">
        <f>IF(H1875="free",0,IF(H1875="credit",((E1875*(F1875))*G1875*-1),IF(F1875="Buy",(E1875*G1875),((E1875*(1-F1875))*G1875))))</f>
        <v>0</v>
      </c>
      <c r="J1875" s="490">
        <f>IF(H1875="warranty",0,(I1875*(_xlfn.SINGLE(SalesTaxPercentage))))</f>
        <v>0</v>
      </c>
      <c r="K1875" s="695">
        <f t="shared" ref="K1875" si="1474">I1875+J1875</f>
        <v>0</v>
      </c>
      <c r="L1875" s="695"/>
      <c r="M1875" s="659" t="str">
        <f>IF(AND(G1875&gt;0,E1875=0),"WARNING - no PRICE inserted",IF(H1875="free"," FREE ~ no charge this plant",IF(H1875="credit",CONCATENATE(" -$",ROUND(K1875*(1-T2GDiscount)*-1,2)," CREDIT after discount"),IF(T2GDiscount=0,"",IF(G1875=0,"",IF(F1875="Buy",CONCATENATE(" $",ROUND(K1875*(1-T2GDiscount),2)," with ",(T2GDiscount*100),"% discount"),CONCATENATE(" $",ROUND(K1875*(1-T2GDiscount),2)," with ",((T2GDiscount*100+F1875*100)-(T2GDiscount*100*F1875)),IF(F1875&gt;0,"% discounts",IF(NoWarrantyDiscount&gt;0,"% discounts","% discount")))))))))</f>
        <v/>
      </c>
      <c r="N1875" s="660"/>
      <c r="O1875" s="233"/>
      <c r="P1875" s="233"/>
      <c r="Q1875" s="233"/>
      <c r="R1875" s="233"/>
      <c r="S1875" s="233"/>
      <c r="T1875" s="508">
        <f t="shared" si="1460"/>
        <v>0</v>
      </c>
      <c r="U1875" s="225">
        <f>IF(NOT(ISNUMBER(G1875)), "", VLOOKUP(A1875,'Discount Lookup'!D:E,2,FALSE)*G1875)</f>
        <v>0</v>
      </c>
      <c r="V1875" s="225">
        <f>IF(NOT(ISNUMBER(G1875)), "", VLOOKUP(A1875,'Discount Lookup'!G:H,2,FALSE)*G1875)</f>
        <v>0</v>
      </c>
      <c r="W1875" s="508">
        <f t="shared" si="1461"/>
        <v>0</v>
      </c>
      <c r="X1875" s="508">
        <f t="shared" si="1462"/>
        <v>0</v>
      </c>
      <c r="Y1875" s="509" t="b">
        <f t="shared" si="1463"/>
        <v>0</v>
      </c>
      <c r="Z1875" s="510">
        <f t="shared" si="1464"/>
        <v>0</v>
      </c>
      <c r="AA1875" s="511"/>
      <c r="AB1875" s="511" t="str">
        <f t="shared" si="1465"/>
        <v/>
      </c>
      <c r="AC1875" s="698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698"/>
      <c r="AE1875" s="631" t="str">
        <f t="shared" si="1466"/>
        <v/>
      </c>
      <c r="AF1875" s="699" t="str">
        <f t="shared" si="1467"/>
        <v/>
      </c>
      <c r="AG1875" s="699"/>
      <c r="AH1875" s="699"/>
      <c r="AI1875" s="512">
        <f>IF(H1875="credit",0,IF(AE1875="free",0,IF(AE1875="me",0,IF(G1875&gt;0,(VLOOKUP(A1875,'Discount Lookup'!J:K,2)*G1875),0))))</f>
        <v>0</v>
      </c>
      <c r="AJ1875" s="513" t="str">
        <f t="shared" ca="1" si="1468"/>
        <v/>
      </c>
      <c r="AK1875" s="700" t="str">
        <f t="shared" si="1469"/>
        <v/>
      </c>
      <c r="AL1875" s="700"/>
      <c r="AM1875" s="505" t="str">
        <f t="shared" si="1470"/>
        <v/>
      </c>
      <c r="AN1875" s="506"/>
      <c r="AO1875" s="507"/>
      <c r="AP1875" s="507"/>
      <c r="AQ1875" s="507"/>
      <c r="AR1875" s="507"/>
      <c r="AS1875" s="507"/>
      <c r="AT1875" s="507"/>
      <c r="AU1875" s="507"/>
      <c r="AV1875" s="225"/>
      <c r="AW1875" s="508"/>
      <c r="AX1875" s="225"/>
      <c r="AY1875" s="225"/>
      <c r="AZ1875" s="225"/>
      <c r="BA1875" s="225"/>
      <c r="BB1875" s="225"/>
      <c r="BC1875" s="56"/>
      <c r="BD1875" s="56"/>
      <c r="BE1875" s="56"/>
      <c r="BF1875" s="107" t="str">
        <f t="shared" si="1471"/>
        <v>https://www.google.com/search?tbm=isch&amp;q=2%20G6</v>
      </c>
      <c r="BG1875" s="107" t="str">
        <f t="shared" si="1472"/>
        <v>H</v>
      </c>
      <c r="BH1875" s="254"/>
      <c r="BI1875" s="254"/>
    </row>
    <row r="1876" spans="1:61" customFormat="1" ht="16.5" thickBot="1" x14ac:dyDescent="0.3">
      <c r="A1876" s="522" t="s">
        <v>2945</v>
      </c>
      <c r="B1876" s="491"/>
      <c r="C1876" s="675"/>
      <c r="D1876" s="491"/>
      <c r="E1876" s="491"/>
      <c r="F1876" s="492"/>
      <c r="G1876" s="493"/>
      <c r="H1876" s="491"/>
      <c r="I1876" s="234"/>
      <c r="J1876" s="234"/>
      <c r="K1876" s="494"/>
      <c r="L1876" s="543"/>
      <c r="M1876" s="561"/>
      <c r="N1876" s="495"/>
      <c r="O1876" s="496"/>
      <c r="P1876" s="497"/>
      <c r="Q1876" s="495"/>
      <c r="R1876" s="495"/>
      <c r="S1876" s="667" t="s">
        <v>4968</v>
      </c>
      <c r="T1876" s="508">
        <f t="shared" si="1460"/>
        <v>0</v>
      </c>
      <c r="U1876" s="225" t="str">
        <f>IF(NOT(ISNUMBER(G1876)), "", VLOOKUP(A1876,'Discount Lookup'!D:E,2,FALSE)*G1876)</f>
        <v/>
      </c>
      <c r="V1876" s="225" t="str">
        <f>IF(NOT(ISNUMBER(G1876)), "", VLOOKUP(A1876,'Discount Lookup'!G:H,2,FALSE)*G1876)</f>
        <v/>
      </c>
      <c r="W1876" s="508">
        <f t="shared" si="1461"/>
        <v>0</v>
      </c>
      <c r="X1876" s="508">
        <f t="shared" si="1462"/>
        <v>0</v>
      </c>
      <c r="Y1876" s="509" t="b">
        <f t="shared" si="1463"/>
        <v>0</v>
      </c>
      <c r="Z1876" s="510">
        <f t="shared" si="1464"/>
        <v>0</v>
      </c>
      <c r="AA1876" s="511"/>
      <c r="AB1876" s="511" t="str">
        <f t="shared" si="1465"/>
        <v/>
      </c>
      <c r="AC1876" s="698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698"/>
      <c r="AE1876" s="631" t="str">
        <f t="shared" si="1466"/>
        <v/>
      </c>
      <c r="AF1876" s="699" t="str">
        <f t="shared" si="1467"/>
        <v/>
      </c>
      <c r="AG1876" s="699"/>
      <c r="AH1876" s="699"/>
      <c r="AI1876" s="512">
        <f>IF(H1876="credit",0,IF(AE1876="free",0,IF(AE1876="me",0,IF(G1876&gt;0,(VLOOKUP(A1876,'Discount Lookup'!J:K,2)*G1876),0))))</f>
        <v>0</v>
      </c>
      <c r="AJ1876" s="513" t="str">
        <f t="shared" ca="1" si="1468"/>
        <v/>
      </c>
      <c r="AK1876" s="700" t="str">
        <f t="shared" si="1469"/>
        <v/>
      </c>
      <c r="AL1876" s="700"/>
      <c r="AM1876" s="505" t="str">
        <f t="shared" si="1470"/>
        <v/>
      </c>
      <c r="AN1876" s="506"/>
      <c r="AO1876" s="507"/>
      <c r="AP1876" s="507"/>
      <c r="AQ1876" s="507"/>
      <c r="AR1876" s="507"/>
      <c r="AS1876" s="507"/>
      <c r="AT1876" s="507"/>
      <c r="AU1876" s="507"/>
      <c r="AV1876" s="225"/>
      <c r="AW1876" s="508"/>
      <c r="AX1876" s="225"/>
      <c r="AY1876" s="225"/>
      <c r="AZ1876" s="225"/>
      <c r="BA1876" s="225"/>
      <c r="BB1876" s="225"/>
      <c r="BC1876" s="56"/>
      <c r="BD1876" s="56"/>
      <c r="BE1876" s="56"/>
      <c r="BF1876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876" s="107" t="str">
        <f t="shared" si="1472"/>
        <v>A</v>
      </c>
      <c r="BH1876" s="254"/>
      <c r="BI1876" s="254"/>
    </row>
    <row r="1877" spans="1:61" customFormat="1" ht="18" x14ac:dyDescent="0.25">
      <c r="A1877" s="521" t="s">
        <v>2858</v>
      </c>
      <c r="B1877" s="477"/>
      <c r="C1877" s="674"/>
      <c r="D1877" s="478" t="s">
        <v>2859</v>
      </c>
      <c r="E1877" s="479"/>
      <c r="F1877" s="479"/>
      <c r="G1877" s="479"/>
      <c r="H1877" s="582" t="s">
        <v>438</v>
      </c>
      <c r="I1877" s="480" t="s">
        <v>2093</v>
      </c>
      <c r="J1877" s="479"/>
      <c r="K1877" s="479"/>
      <c r="L1877" s="560"/>
      <c r="M1877" s="666" t="s">
        <v>4966</v>
      </c>
      <c r="N1877" s="680" t="str">
        <f>IF(AND(ISTEXT($A1877), ISERROR($A1877+0)), HYPERLINK($BF1877, "Images"), "")</f>
        <v>Images</v>
      </c>
      <c r="O1877" s="662" t="s">
        <v>4969</v>
      </c>
      <c r="P1877" s="482"/>
      <c r="Q1877" s="483"/>
      <c r="R1877" s="483"/>
      <c r="S1877" s="484"/>
      <c r="T1877" s="508">
        <f t="shared" si="1460"/>
        <v>0</v>
      </c>
      <c r="U1877" s="225" t="str">
        <f>IF(NOT(ISNUMBER(G1877)), "", VLOOKUP(A1877,'Discount Lookup'!D:E,2,FALSE)*G1877)</f>
        <v/>
      </c>
      <c r="V1877" s="225" t="str">
        <f>IF(NOT(ISNUMBER(G1877)), "", VLOOKUP(A1877,'Discount Lookup'!G:H,2,FALSE)*G1877)</f>
        <v/>
      </c>
      <c r="W1877" s="508">
        <f t="shared" si="1461"/>
        <v>0</v>
      </c>
      <c r="X1877" s="508" t="str">
        <f t="shared" si="1462"/>
        <v>Dark Green foliage</v>
      </c>
      <c r="Y1877" s="509" t="b">
        <f t="shared" si="1463"/>
        <v>0</v>
      </c>
      <c r="Z1877" s="510">
        <f t="shared" si="1464"/>
        <v>0</v>
      </c>
      <c r="AA1877" s="511"/>
      <c r="AB1877" s="511" t="str">
        <f t="shared" si="1465"/>
        <v/>
      </c>
      <c r="AC1877" s="698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698"/>
      <c r="AE1877" s="631" t="str">
        <f t="shared" si="1466"/>
        <v/>
      </c>
      <c r="AF1877" s="699" t="str">
        <f t="shared" si="1467"/>
        <v/>
      </c>
      <c r="AG1877" s="699"/>
      <c r="AH1877" s="699"/>
      <c r="AI1877" s="512">
        <f>IF(H1877="credit",0,IF(AE1877="free",0,IF(AE1877="me",0,IF(G1877&gt;0,(VLOOKUP(A1877,'Discount Lookup'!J:K,2)*G1877),0))))</f>
        <v>0</v>
      </c>
      <c r="AJ1877" s="513" t="str">
        <f t="shared" ca="1" si="1468"/>
        <v/>
      </c>
      <c r="AK1877" s="700" t="str">
        <f t="shared" si="1469"/>
        <v/>
      </c>
      <c r="AL1877" s="700"/>
      <c r="AM1877" s="505" t="str">
        <f t="shared" si="1470"/>
        <v/>
      </c>
      <c r="AN1877" s="506"/>
      <c r="AO1877" s="507"/>
      <c r="AP1877" s="507"/>
      <c r="AQ1877" s="507"/>
      <c r="AR1877" s="507"/>
      <c r="AS1877" s="507"/>
      <c r="AT1877" s="507"/>
      <c r="AU1877" s="507"/>
      <c r="AV1877" s="225"/>
      <c r="AW1877" s="508"/>
      <c r="AX1877" s="225"/>
      <c r="AY1877" s="225"/>
      <c r="AZ1877" s="225"/>
      <c r="BA1877" s="225"/>
      <c r="BB1877" s="225"/>
      <c r="BC1877" s="56"/>
      <c r="BD1877" s="56"/>
      <c r="BE1877" s="56"/>
      <c r="BF1877" s="107" t="str">
        <f t="shared" si="1471"/>
        <v>https://www.google.com/search?tbm=isch&amp;q=Hoogendorn%20Holly%20Ilex%20crenata%20%27Hoogendorn%27</v>
      </c>
      <c r="BG1877" s="107" t="str">
        <f t="shared" si="1472"/>
        <v>H</v>
      </c>
      <c r="BH1877" s="254"/>
      <c r="BI1877" s="254"/>
    </row>
    <row r="1878" spans="1:61" customFormat="1" ht="15.75" x14ac:dyDescent="0.25">
      <c r="A1878" s="485">
        <v>3</v>
      </c>
      <c r="B1878" s="486" t="s">
        <v>291</v>
      </c>
      <c r="C1878" s="487" t="s">
        <v>4621</v>
      </c>
      <c r="D1878" s="488" t="s">
        <v>297</v>
      </c>
      <c r="E1878" s="489">
        <v>22.95</v>
      </c>
      <c r="F1878" s="516" t="s">
        <v>293</v>
      </c>
      <c r="G1878" s="232">
        <v>0</v>
      </c>
      <c r="H1878" s="658" t="str">
        <f t="shared" ref="H1878:H1883" si="1475">IF(G1878=0,"",IF(F1878="Buy",IF(G1878=1,"plant","plants"),IF(F1878&gt;0.01,"warranty","Error")))</f>
        <v/>
      </c>
      <c r="I1878" s="490">
        <f t="shared" ref="I1878:I1883" si="1476">IF(H1878="free",0,IF(H1878="credit",((E1878*(F1878))*G1878*-1),IF(F1878="Buy",(E1878*G1878),((E1878*(1-F1878))*G1878))))</f>
        <v>0</v>
      </c>
      <c r="J1878" s="490">
        <f t="shared" ref="J1878:J1883" si="1477">IF(H1878="warranty",0,(I1878*(_xlfn.SINGLE(SalesTaxPercentage))))</f>
        <v>0</v>
      </c>
      <c r="K1878" s="695">
        <f t="shared" ref="K1878" si="1478">I1878+J1878</f>
        <v>0</v>
      </c>
      <c r="L1878" s="695"/>
      <c r="M1878" s="659" t="str">
        <f t="shared" ref="M1878:M1883" si="1479">IF(AND(G1878&gt;0,E1878=0),"WARNING - no PRICE inserted",IF(H1878="free"," FREE ~ no charge this plant",IF(H1878="credit",CONCATENATE(" -$",ROUND(K1878*(1-T2GDiscount)*-1,2)," CREDIT after discount"),IF(T2GDiscount=0,"",IF(G1878=0,"",IF(F1878="Buy",CONCATENATE(" $",ROUND(K1878*(1-T2GDiscount),2)," with ",(T2GDiscount*100),"% discount"),CONCATENATE(" $",ROUND(K1878*(1-T2GDiscount),2)," with ",((T2GDiscount*100+F1878*100)-(T2GDiscount*100*F1878)),IF(F1878&gt;0,"% discounts",IF(NoWarrantyDiscount&gt;0,"% discounts","% discount")))))))))</f>
        <v/>
      </c>
      <c r="N1878" s="660"/>
      <c r="O1878" s="233"/>
      <c r="P1878" s="233"/>
      <c r="Q1878" s="233"/>
      <c r="R1878" s="233"/>
      <c r="S1878" s="233"/>
      <c r="T1878" s="508">
        <f t="shared" si="1460"/>
        <v>0</v>
      </c>
      <c r="U1878" s="225">
        <f>IF(NOT(ISNUMBER(G1878)), "", VLOOKUP(A1878,'Discount Lookup'!D:E,2,FALSE)*G1878)</f>
        <v>0</v>
      </c>
      <c r="V1878" s="225">
        <f>IF(NOT(ISNUMBER(G1878)), "", VLOOKUP(A1878,'Discount Lookup'!G:H,2,FALSE)*G1878)</f>
        <v>0</v>
      </c>
      <c r="W1878" s="508">
        <f t="shared" si="1461"/>
        <v>0</v>
      </c>
      <c r="X1878" s="508">
        <f t="shared" si="1462"/>
        <v>0</v>
      </c>
      <c r="Y1878" s="509" t="b">
        <f t="shared" si="1463"/>
        <v>0</v>
      </c>
      <c r="Z1878" s="510">
        <f t="shared" si="1464"/>
        <v>0</v>
      </c>
      <c r="AA1878" s="511"/>
      <c r="AB1878" s="511" t="str">
        <f t="shared" si="1465"/>
        <v/>
      </c>
      <c r="AC1878" s="698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698"/>
      <c r="AE1878" s="631" t="str">
        <f t="shared" si="1466"/>
        <v/>
      </c>
      <c r="AF1878" s="699" t="str">
        <f t="shared" si="1467"/>
        <v/>
      </c>
      <c r="AG1878" s="699"/>
      <c r="AH1878" s="699"/>
      <c r="AI1878" s="512">
        <f>IF(H1878="credit",0,IF(AE1878="free",0,IF(AE1878="me",0,IF(G1878&gt;0,(VLOOKUP(A1878,'Discount Lookup'!J:K,2)*G1878),0))))</f>
        <v>0</v>
      </c>
      <c r="AJ1878" s="513" t="str">
        <f t="shared" ca="1" si="1468"/>
        <v/>
      </c>
      <c r="AK1878" s="700" t="str">
        <f t="shared" si="1469"/>
        <v/>
      </c>
      <c r="AL1878" s="700"/>
      <c r="AM1878" s="505" t="str">
        <f t="shared" si="1470"/>
        <v/>
      </c>
      <c r="AN1878" s="506"/>
      <c r="AO1878" s="507"/>
      <c r="AP1878" s="507"/>
      <c r="AQ1878" s="507"/>
      <c r="AR1878" s="507"/>
      <c r="AS1878" s="507"/>
      <c r="AT1878" s="507"/>
      <c r="AU1878" s="507"/>
      <c r="AV1878" s="225"/>
      <c r="AW1878" s="508"/>
      <c r="AX1878" s="225"/>
      <c r="AY1878" s="225"/>
      <c r="AZ1878" s="225"/>
      <c r="BA1878" s="225"/>
      <c r="BB1878" s="225"/>
      <c r="BC1878" s="56"/>
      <c r="BD1878" s="56"/>
      <c r="BE1878" s="56"/>
      <c r="BF1878" s="107" t="str">
        <f t="shared" si="1471"/>
        <v>https://www.google.com/search?tbm=isch&amp;q=3%20G3</v>
      </c>
      <c r="BG1878" s="107" t="str">
        <f t="shared" si="1472"/>
        <v>H</v>
      </c>
      <c r="BH1878" s="254"/>
      <c r="BI1878" s="254"/>
    </row>
    <row r="1879" spans="1:61" customFormat="1" ht="15.75" x14ac:dyDescent="0.25">
      <c r="A1879" s="485">
        <v>3</v>
      </c>
      <c r="B1879" s="486" t="s">
        <v>291</v>
      </c>
      <c r="C1879" s="487" t="s">
        <v>4852</v>
      </c>
      <c r="D1879" s="488" t="s">
        <v>312</v>
      </c>
      <c r="E1879" s="489">
        <v>24.95</v>
      </c>
      <c r="F1879" s="516" t="s">
        <v>293</v>
      </c>
      <c r="G1879" s="232">
        <v>0</v>
      </c>
      <c r="H1879" s="658" t="str">
        <f t="shared" si="1475"/>
        <v/>
      </c>
      <c r="I1879" s="490">
        <f t="shared" si="1476"/>
        <v>0</v>
      </c>
      <c r="J1879" s="490">
        <f t="shared" si="1477"/>
        <v>0</v>
      </c>
      <c r="K1879" s="695">
        <f t="shared" ref="K1879" si="1480">I1879+J1879</f>
        <v>0</v>
      </c>
      <c r="L1879" s="695"/>
      <c r="M1879" s="659" t="str">
        <f t="shared" si="1479"/>
        <v/>
      </c>
      <c r="N1879" s="660"/>
      <c r="O1879" s="233"/>
      <c r="P1879" s="233"/>
      <c r="Q1879" s="233"/>
      <c r="R1879" s="233"/>
      <c r="S1879" s="233"/>
      <c r="T1879" s="508">
        <f t="shared" si="1460"/>
        <v>0</v>
      </c>
      <c r="U1879" s="225">
        <f>IF(NOT(ISNUMBER(G1879)), "", VLOOKUP(A1879,'Discount Lookup'!D:E,2,FALSE)*G1879)</f>
        <v>0</v>
      </c>
      <c r="V1879" s="225">
        <f>IF(NOT(ISNUMBER(G1879)), "", VLOOKUP(A1879,'Discount Lookup'!G:H,2,FALSE)*G1879)</f>
        <v>0</v>
      </c>
      <c r="W1879" s="508">
        <f t="shared" si="1461"/>
        <v>0</v>
      </c>
      <c r="X1879" s="508">
        <f t="shared" si="1462"/>
        <v>0</v>
      </c>
      <c r="Y1879" s="509" t="b">
        <f t="shared" si="1463"/>
        <v>0</v>
      </c>
      <c r="Z1879" s="510">
        <f t="shared" si="1464"/>
        <v>0</v>
      </c>
      <c r="AA1879" s="511"/>
      <c r="AB1879" s="511" t="str">
        <f t="shared" si="1465"/>
        <v/>
      </c>
      <c r="AC1879" s="698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698"/>
      <c r="AE1879" s="631" t="str">
        <f t="shared" si="1466"/>
        <v/>
      </c>
      <c r="AF1879" s="699" t="str">
        <f t="shared" si="1467"/>
        <v/>
      </c>
      <c r="AG1879" s="699"/>
      <c r="AH1879" s="699"/>
      <c r="AI1879" s="512">
        <f>IF(H1879="credit",0,IF(AE1879="free",0,IF(AE1879="me",0,IF(G1879&gt;0,(VLOOKUP(A1879,'Discount Lookup'!J:K,2)*G1879),0))))</f>
        <v>0</v>
      </c>
      <c r="AJ1879" s="513" t="str">
        <f t="shared" ca="1" si="1468"/>
        <v/>
      </c>
      <c r="AK1879" s="700" t="str">
        <f t="shared" si="1469"/>
        <v/>
      </c>
      <c r="AL1879" s="700"/>
      <c r="AM1879" s="505" t="str">
        <f t="shared" si="1470"/>
        <v/>
      </c>
      <c r="AN1879" s="506"/>
      <c r="AO1879" s="507"/>
      <c r="AP1879" s="507"/>
      <c r="AQ1879" s="507"/>
      <c r="AR1879" s="507"/>
      <c r="AS1879" s="507"/>
      <c r="AT1879" s="507"/>
      <c r="AU1879" s="507"/>
      <c r="AV1879" s="225"/>
      <c r="AW1879" s="508"/>
      <c r="AX1879" s="225"/>
      <c r="AY1879" s="225"/>
      <c r="AZ1879" s="225"/>
      <c r="BA1879" s="225"/>
      <c r="BB1879" s="225"/>
      <c r="BC1879" s="56"/>
      <c r="BD1879" s="56"/>
      <c r="BE1879" s="56"/>
      <c r="BF1879" s="107" t="str">
        <f t="shared" si="1471"/>
        <v>https://www.google.com/search?tbm=isch&amp;q=3%20G2</v>
      </c>
      <c r="BG1879" s="107" t="str">
        <f t="shared" si="1472"/>
        <v>H</v>
      </c>
      <c r="BH1879" s="254"/>
      <c r="BI1879" s="254"/>
    </row>
    <row r="1880" spans="1:61" customFormat="1" ht="15.75" x14ac:dyDescent="0.25">
      <c r="A1880" s="485">
        <v>3</v>
      </c>
      <c r="B1880" s="486" t="s">
        <v>291</v>
      </c>
      <c r="C1880" s="487" t="s">
        <v>329</v>
      </c>
      <c r="D1880" s="488" t="s">
        <v>298</v>
      </c>
      <c r="E1880" s="489">
        <v>25.95</v>
      </c>
      <c r="F1880" s="516" t="s">
        <v>293</v>
      </c>
      <c r="G1880" s="232">
        <v>0</v>
      </c>
      <c r="H1880" s="658" t="str">
        <f t="shared" si="1475"/>
        <v/>
      </c>
      <c r="I1880" s="490">
        <f t="shared" si="1476"/>
        <v>0</v>
      </c>
      <c r="J1880" s="490">
        <f t="shared" si="1477"/>
        <v>0</v>
      </c>
      <c r="K1880" s="695">
        <f t="shared" ref="K1880" si="1481">I1880+J1880</f>
        <v>0</v>
      </c>
      <c r="L1880" s="695"/>
      <c r="M1880" s="659" t="str">
        <f t="shared" si="1479"/>
        <v/>
      </c>
      <c r="N1880" s="660"/>
      <c r="O1880" s="233"/>
      <c r="P1880" s="233"/>
      <c r="Q1880" s="233"/>
      <c r="R1880" s="233"/>
      <c r="S1880" s="233"/>
      <c r="T1880" s="508">
        <f t="shared" si="1460"/>
        <v>0</v>
      </c>
      <c r="U1880" s="225">
        <f>IF(NOT(ISNUMBER(G1880)), "", VLOOKUP(A1880,'Discount Lookup'!D:E,2,FALSE)*G1880)</f>
        <v>0</v>
      </c>
      <c r="V1880" s="225">
        <f>IF(NOT(ISNUMBER(G1880)), "", VLOOKUP(A1880,'Discount Lookup'!G:H,2,FALSE)*G1880)</f>
        <v>0</v>
      </c>
      <c r="W1880" s="508">
        <f t="shared" si="1461"/>
        <v>0</v>
      </c>
      <c r="X1880" s="508">
        <f t="shared" si="1462"/>
        <v>0</v>
      </c>
      <c r="Y1880" s="509" t="b">
        <f t="shared" si="1463"/>
        <v>0</v>
      </c>
      <c r="Z1880" s="510">
        <f t="shared" si="1464"/>
        <v>0</v>
      </c>
      <c r="AA1880" s="511"/>
      <c r="AB1880" s="511" t="str">
        <f t="shared" si="1465"/>
        <v/>
      </c>
      <c r="AC1880" s="698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698"/>
      <c r="AE1880" s="631" t="str">
        <f t="shared" si="1466"/>
        <v/>
      </c>
      <c r="AF1880" s="699" t="str">
        <f t="shared" si="1467"/>
        <v/>
      </c>
      <c r="AG1880" s="699"/>
      <c r="AH1880" s="699"/>
      <c r="AI1880" s="512">
        <f>IF(H1880="credit",0,IF(AE1880="free",0,IF(AE1880="me",0,IF(G1880&gt;0,(VLOOKUP(A1880,'Discount Lookup'!J:K,2)*G1880),0))))</f>
        <v>0</v>
      </c>
      <c r="AJ1880" s="513" t="str">
        <f t="shared" ca="1" si="1468"/>
        <v/>
      </c>
      <c r="AK1880" s="700" t="str">
        <f t="shared" si="1469"/>
        <v/>
      </c>
      <c r="AL1880" s="700"/>
      <c r="AM1880" s="505" t="str">
        <f t="shared" si="1470"/>
        <v/>
      </c>
      <c r="AN1880" s="506"/>
      <c r="AO1880" s="507"/>
      <c r="AP1880" s="507"/>
      <c r="AQ1880" s="507"/>
      <c r="AR1880" s="507"/>
      <c r="AS1880" s="507"/>
      <c r="AT1880" s="507"/>
      <c r="AU1880" s="507"/>
      <c r="AV1880" s="225"/>
      <c r="AW1880" s="508"/>
      <c r="AX1880" s="225"/>
      <c r="AY1880" s="225"/>
      <c r="AZ1880" s="225"/>
      <c r="BA1880" s="225"/>
      <c r="BB1880" s="225"/>
      <c r="BC1880" s="56"/>
      <c r="BD1880" s="56"/>
      <c r="BE1880" s="56"/>
      <c r="BF1880" s="107" t="str">
        <f t="shared" si="1471"/>
        <v>https://www.google.com/search?tbm=isch&amp;q=3%20G1</v>
      </c>
      <c r="BG1880" s="107" t="str">
        <f t="shared" si="1472"/>
        <v>H</v>
      </c>
      <c r="BH1880" s="254"/>
      <c r="BI1880" s="254"/>
    </row>
    <row r="1881" spans="1:61" customFormat="1" ht="15.75" x14ac:dyDescent="0.25">
      <c r="A1881" s="485">
        <v>3</v>
      </c>
      <c r="B1881" s="486" t="s">
        <v>291</v>
      </c>
      <c r="C1881" s="487" t="s">
        <v>4525</v>
      </c>
      <c r="D1881" s="488" t="s">
        <v>299</v>
      </c>
      <c r="E1881" s="489">
        <v>30.95</v>
      </c>
      <c r="F1881" s="516" t="s">
        <v>293</v>
      </c>
      <c r="G1881" s="232">
        <v>0</v>
      </c>
      <c r="H1881" s="658" t="str">
        <f t="shared" si="1475"/>
        <v/>
      </c>
      <c r="I1881" s="490">
        <f t="shared" si="1476"/>
        <v>0</v>
      </c>
      <c r="J1881" s="490">
        <f t="shared" si="1477"/>
        <v>0</v>
      </c>
      <c r="K1881" s="695">
        <f t="shared" ref="K1881" si="1482">I1881+J1881</f>
        <v>0</v>
      </c>
      <c r="L1881" s="695"/>
      <c r="M1881" s="659" t="str">
        <f t="shared" si="1479"/>
        <v/>
      </c>
      <c r="N1881" s="660"/>
      <c r="O1881" s="233"/>
      <c r="P1881" s="233"/>
      <c r="Q1881" s="233"/>
      <c r="R1881" s="233"/>
      <c r="S1881" s="233"/>
      <c r="T1881" s="508">
        <f t="shared" si="1460"/>
        <v>0</v>
      </c>
      <c r="U1881" s="225">
        <f>IF(NOT(ISNUMBER(G1881)), "", VLOOKUP(A1881,'Discount Lookup'!D:E,2,FALSE)*G1881)</f>
        <v>0</v>
      </c>
      <c r="V1881" s="225">
        <f>IF(NOT(ISNUMBER(G1881)), "", VLOOKUP(A1881,'Discount Lookup'!G:H,2,FALSE)*G1881)</f>
        <v>0</v>
      </c>
      <c r="W1881" s="508">
        <f t="shared" si="1461"/>
        <v>0</v>
      </c>
      <c r="X1881" s="508">
        <f t="shared" si="1462"/>
        <v>0</v>
      </c>
      <c r="Y1881" s="509" t="b">
        <f t="shared" si="1463"/>
        <v>0</v>
      </c>
      <c r="Z1881" s="510">
        <f t="shared" si="1464"/>
        <v>0</v>
      </c>
      <c r="AA1881" s="511"/>
      <c r="AB1881" s="511" t="str">
        <f t="shared" si="1465"/>
        <v/>
      </c>
      <c r="AC1881" s="698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698"/>
      <c r="AE1881" s="631" t="str">
        <f t="shared" si="1466"/>
        <v/>
      </c>
      <c r="AF1881" s="699" t="str">
        <f t="shared" si="1467"/>
        <v/>
      </c>
      <c r="AG1881" s="699"/>
      <c r="AH1881" s="699"/>
      <c r="AI1881" s="512">
        <f>IF(H1881="credit",0,IF(AE1881="free",0,IF(AE1881="me",0,IF(G1881&gt;0,(VLOOKUP(A1881,'Discount Lookup'!J:K,2)*G1881),0))))</f>
        <v>0</v>
      </c>
      <c r="AJ1881" s="513" t="str">
        <f t="shared" ca="1" si="1468"/>
        <v/>
      </c>
      <c r="AK1881" s="700" t="str">
        <f t="shared" si="1469"/>
        <v/>
      </c>
      <c r="AL1881" s="700"/>
      <c r="AM1881" s="505" t="str">
        <f t="shared" si="1470"/>
        <v/>
      </c>
      <c r="AN1881" s="506"/>
      <c r="AO1881" s="507"/>
      <c r="AP1881" s="507"/>
      <c r="AQ1881" s="507"/>
      <c r="AR1881" s="507"/>
      <c r="AS1881" s="507"/>
      <c r="AT1881" s="507"/>
      <c r="AU1881" s="507"/>
      <c r="AV1881" s="225"/>
      <c r="AW1881" s="508"/>
      <c r="AX1881" s="225"/>
      <c r="AY1881" s="225"/>
      <c r="AZ1881" s="225"/>
      <c r="BA1881" s="225"/>
      <c r="BB1881" s="225"/>
      <c r="BC1881" s="56"/>
      <c r="BD1881" s="56"/>
      <c r="BE1881" s="56"/>
      <c r="BF1881" s="107" t="str">
        <f t="shared" si="1471"/>
        <v>https://www.google.com/search?tbm=isch&amp;q=3%20G5</v>
      </c>
      <c r="BG1881" s="107" t="str">
        <f t="shared" si="1472"/>
        <v>H</v>
      </c>
      <c r="BH1881" s="254"/>
      <c r="BI1881" s="254"/>
    </row>
    <row r="1882" spans="1:61" customFormat="1" ht="15.75" x14ac:dyDescent="0.25">
      <c r="A1882" s="485">
        <v>5</v>
      </c>
      <c r="B1882" s="486" t="s">
        <v>291</v>
      </c>
      <c r="C1882" s="487"/>
      <c r="D1882" s="488" t="s">
        <v>298</v>
      </c>
      <c r="E1882" s="489">
        <v>41.95</v>
      </c>
      <c r="F1882" s="516" t="s">
        <v>293</v>
      </c>
      <c r="G1882" s="232">
        <v>0</v>
      </c>
      <c r="H1882" s="658" t="str">
        <f t="shared" si="1475"/>
        <v/>
      </c>
      <c r="I1882" s="490">
        <f t="shared" si="1476"/>
        <v>0</v>
      </c>
      <c r="J1882" s="490">
        <f t="shared" si="1477"/>
        <v>0</v>
      </c>
      <c r="K1882" s="695">
        <f t="shared" ref="K1882" si="1483">I1882+J1882</f>
        <v>0</v>
      </c>
      <c r="L1882" s="695"/>
      <c r="M1882" s="659" t="str">
        <f t="shared" si="1479"/>
        <v/>
      </c>
      <c r="N1882" s="660"/>
      <c r="O1882" s="233"/>
      <c r="P1882" s="233"/>
      <c r="Q1882" s="233"/>
      <c r="R1882" s="233"/>
      <c r="S1882" s="233"/>
      <c r="T1882" s="508">
        <f t="shared" si="1460"/>
        <v>0</v>
      </c>
      <c r="U1882" s="225">
        <f>IF(NOT(ISNUMBER(G1882)), "", VLOOKUP(A1882,'Discount Lookup'!D:E,2,FALSE)*G1882)</f>
        <v>0</v>
      </c>
      <c r="V1882" s="225">
        <f>IF(NOT(ISNUMBER(G1882)), "", VLOOKUP(A1882,'Discount Lookup'!G:H,2,FALSE)*G1882)</f>
        <v>0</v>
      </c>
      <c r="W1882" s="508">
        <f t="shared" si="1461"/>
        <v>0</v>
      </c>
      <c r="X1882" s="508">
        <f t="shared" si="1462"/>
        <v>0</v>
      </c>
      <c r="Y1882" s="509" t="b">
        <f t="shared" si="1463"/>
        <v>0</v>
      </c>
      <c r="Z1882" s="510">
        <f t="shared" si="1464"/>
        <v>0</v>
      </c>
      <c r="AA1882" s="511"/>
      <c r="AB1882" s="511" t="str">
        <f t="shared" si="1465"/>
        <v/>
      </c>
      <c r="AC1882" s="698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698"/>
      <c r="AE1882" s="631" t="str">
        <f t="shared" si="1466"/>
        <v/>
      </c>
      <c r="AF1882" s="699" t="str">
        <f t="shared" si="1467"/>
        <v/>
      </c>
      <c r="AG1882" s="699"/>
      <c r="AH1882" s="699"/>
      <c r="AI1882" s="512">
        <f>IF(H1882="credit",0,IF(AE1882="free",0,IF(AE1882="me",0,IF(G1882&gt;0,(VLOOKUP(A1882,'Discount Lookup'!J:K,2)*G1882),0))))</f>
        <v>0</v>
      </c>
      <c r="AJ1882" s="513" t="str">
        <f t="shared" ca="1" si="1468"/>
        <v/>
      </c>
      <c r="AK1882" s="700" t="str">
        <f t="shared" si="1469"/>
        <v/>
      </c>
      <c r="AL1882" s="700"/>
      <c r="AM1882" s="505" t="str">
        <f t="shared" si="1470"/>
        <v/>
      </c>
      <c r="AN1882" s="506"/>
      <c r="AO1882" s="507"/>
      <c r="AP1882" s="507"/>
      <c r="AQ1882" s="507"/>
      <c r="AR1882" s="507"/>
      <c r="AS1882" s="507"/>
      <c r="AT1882" s="507"/>
      <c r="AU1882" s="507"/>
      <c r="AV1882" s="225"/>
      <c r="AW1882" s="508"/>
      <c r="AX1882" s="225"/>
      <c r="AY1882" s="225"/>
      <c r="AZ1882" s="225"/>
      <c r="BA1882" s="225"/>
      <c r="BB1882" s="225"/>
      <c r="BC1882" s="56"/>
      <c r="BD1882" s="56"/>
      <c r="BE1882" s="56"/>
      <c r="BF1882" s="107" t="str">
        <f t="shared" si="1471"/>
        <v>https://www.google.com/search?tbm=isch&amp;q=5%20G1</v>
      </c>
      <c r="BG1882" s="107" t="str">
        <f t="shared" si="1472"/>
        <v>H</v>
      </c>
      <c r="BH1882" s="254"/>
      <c r="BI1882" s="254"/>
    </row>
    <row r="1883" spans="1:61" customFormat="1" ht="15.75" x14ac:dyDescent="0.25">
      <c r="A1883" s="485">
        <v>5</v>
      </c>
      <c r="B1883" s="486" t="s">
        <v>291</v>
      </c>
      <c r="C1883" s="487" t="s">
        <v>4767</v>
      </c>
      <c r="D1883" s="488" t="s">
        <v>297</v>
      </c>
      <c r="E1883" s="489">
        <v>41.95</v>
      </c>
      <c r="F1883" s="516" t="s">
        <v>293</v>
      </c>
      <c r="G1883" s="232">
        <v>0</v>
      </c>
      <c r="H1883" s="658" t="str">
        <f t="shared" si="1475"/>
        <v/>
      </c>
      <c r="I1883" s="490">
        <f t="shared" si="1476"/>
        <v>0</v>
      </c>
      <c r="J1883" s="490">
        <f t="shared" si="1477"/>
        <v>0</v>
      </c>
      <c r="K1883" s="695">
        <f t="shared" ref="K1883" si="1484">I1883+J1883</f>
        <v>0</v>
      </c>
      <c r="L1883" s="695"/>
      <c r="M1883" s="659" t="str">
        <f t="shared" si="1479"/>
        <v/>
      </c>
      <c r="N1883" s="660"/>
      <c r="O1883" s="233"/>
      <c r="P1883" s="233"/>
      <c r="Q1883" s="233"/>
      <c r="R1883" s="233"/>
      <c r="S1883" s="233"/>
      <c r="T1883" s="508">
        <f t="shared" si="1460"/>
        <v>0</v>
      </c>
      <c r="U1883" s="225">
        <f>IF(NOT(ISNUMBER(G1883)), "", VLOOKUP(A1883,'Discount Lookup'!D:E,2,FALSE)*G1883)</f>
        <v>0</v>
      </c>
      <c r="V1883" s="225">
        <f>IF(NOT(ISNUMBER(G1883)), "", VLOOKUP(A1883,'Discount Lookup'!G:H,2,FALSE)*G1883)</f>
        <v>0</v>
      </c>
      <c r="W1883" s="508">
        <f t="shared" si="1461"/>
        <v>0</v>
      </c>
      <c r="X1883" s="508">
        <f t="shared" si="1462"/>
        <v>0</v>
      </c>
      <c r="Y1883" s="509" t="b">
        <f t="shared" si="1463"/>
        <v>0</v>
      </c>
      <c r="Z1883" s="510">
        <f t="shared" si="1464"/>
        <v>0</v>
      </c>
      <c r="AA1883" s="511"/>
      <c r="AB1883" s="511" t="str">
        <f t="shared" si="1465"/>
        <v/>
      </c>
      <c r="AC1883" s="698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698"/>
      <c r="AE1883" s="631" t="str">
        <f t="shared" si="1466"/>
        <v/>
      </c>
      <c r="AF1883" s="699" t="str">
        <f t="shared" si="1467"/>
        <v/>
      </c>
      <c r="AG1883" s="699"/>
      <c r="AH1883" s="699"/>
      <c r="AI1883" s="512">
        <f>IF(H1883="credit",0,IF(AE1883="free",0,IF(AE1883="me",0,IF(G1883&gt;0,(VLOOKUP(A1883,'Discount Lookup'!J:K,2)*G1883),0))))</f>
        <v>0</v>
      </c>
      <c r="AJ1883" s="513" t="str">
        <f t="shared" ca="1" si="1468"/>
        <v/>
      </c>
      <c r="AK1883" s="700" t="str">
        <f t="shared" si="1469"/>
        <v/>
      </c>
      <c r="AL1883" s="700"/>
      <c r="AM1883" s="505" t="str">
        <f t="shared" si="1470"/>
        <v/>
      </c>
      <c r="AN1883" s="506"/>
      <c r="AO1883" s="507"/>
      <c r="AP1883" s="507"/>
      <c r="AQ1883" s="507"/>
      <c r="AR1883" s="507"/>
      <c r="AS1883" s="507"/>
      <c r="AT1883" s="507"/>
      <c r="AU1883" s="507"/>
      <c r="AV1883" s="225"/>
      <c r="AW1883" s="508"/>
      <c r="AX1883" s="225"/>
      <c r="AY1883" s="225"/>
      <c r="AZ1883" s="225"/>
      <c r="BA1883" s="225"/>
      <c r="BB1883" s="225"/>
      <c r="BC1883" s="56"/>
      <c r="BD1883" s="56"/>
      <c r="BE1883" s="56"/>
      <c r="BF1883" s="107" t="str">
        <f t="shared" si="1471"/>
        <v>https://www.google.com/search?tbm=isch&amp;q=5%20G3</v>
      </c>
      <c r="BG1883" s="107" t="str">
        <f t="shared" si="1472"/>
        <v>H</v>
      </c>
      <c r="BH1883" s="254"/>
      <c r="BI1883" s="254"/>
    </row>
    <row r="1884" spans="1:61" customFormat="1" ht="17.25" thickBot="1" x14ac:dyDescent="0.3">
      <c r="A1884" s="522" t="s">
        <v>2860</v>
      </c>
      <c r="B1884" s="491"/>
      <c r="C1884" s="675"/>
      <c r="D1884" s="491"/>
      <c r="E1884" s="491"/>
      <c r="F1884" s="492"/>
      <c r="G1884" s="493"/>
      <c r="H1884" s="491"/>
      <c r="I1884" s="234"/>
      <c r="J1884" s="234"/>
      <c r="K1884" s="494"/>
      <c r="L1884" s="543"/>
      <c r="M1884" s="561"/>
      <c r="N1884" s="495"/>
      <c r="O1884" s="496"/>
      <c r="P1884" s="497"/>
      <c r="Q1884" s="495"/>
      <c r="R1884" s="495"/>
      <c r="S1884" s="667" t="s">
        <v>5000</v>
      </c>
      <c r="T1884" s="508">
        <f t="shared" si="1460"/>
        <v>0</v>
      </c>
      <c r="U1884" s="225" t="str">
        <f>IF(NOT(ISNUMBER(G1884)), "", VLOOKUP(A1884,'Discount Lookup'!D:E,2,FALSE)*G1884)</f>
        <v/>
      </c>
      <c r="V1884" s="225" t="str">
        <f>IF(NOT(ISNUMBER(G1884)), "", VLOOKUP(A1884,'Discount Lookup'!G:H,2,FALSE)*G1884)</f>
        <v/>
      </c>
      <c r="W1884" s="508">
        <f t="shared" si="1461"/>
        <v>0</v>
      </c>
      <c r="X1884" s="508">
        <f t="shared" si="1462"/>
        <v>0</v>
      </c>
      <c r="Y1884" s="509" t="b">
        <f t="shared" si="1463"/>
        <v>0</v>
      </c>
      <c r="Z1884" s="510">
        <f t="shared" si="1464"/>
        <v>0</v>
      </c>
      <c r="AA1884" s="511"/>
      <c r="AB1884" s="511" t="str">
        <f t="shared" si="1465"/>
        <v/>
      </c>
      <c r="AC1884" s="698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698"/>
      <c r="AE1884" s="631" t="str">
        <f t="shared" si="1466"/>
        <v/>
      </c>
      <c r="AF1884" s="699" t="str">
        <f t="shared" si="1467"/>
        <v/>
      </c>
      <c r="AG1884" s="699"/>
      <c r="AH1884" s="699"/>
      <c r="AI1884" s="512">
        <f>IF(H1884="credit",0,IF(AE1884="free",0,IF(AE1884="me",0,IF(G1884&gt;0,(VLOOKUP(A1884,'Discount Lookup'!J:K,2)*G1884),0))))</f>
        <v>0</v>
      </c>
      <c r="AJ1884" s="513" t="str">
        <f t="shared" ca="1" si="1468"/>
        <v/>
      </c>
      <c r="AK1884" s="700" t="str">
        <f t="shared" si="1469"/>
        <v/>
      </c>
      <c r="AL1884" s="700"/>
      <c r="AM1884" s="505" t="str">
        <f t="shared" si="1470"/>
        <v/>
      </c>
      <c r="AN1884" s="506"/>
      <c r="AO1884" s="507"/>
      <c r="AP1884" s="507"/>
      <c r="AQ1884" s="507"/>
      <c r="AR1884" s="507"/>
      <c r="AS1884" s="507"/>
      <c r="AT1884" s="507"/>
      <c r="AU1884" s="507"/>
      <c r="AV1884" s="225"/>
      <c r="AW1884" s="508"/>
      <c r="AX1884" s="225"/>
      <c r="AY1884" s="225"/>
      <c r="AZ1884" s="225"/>
      <c r="BA1884" s="225"/>
      <c r="BB1884" s="225"/>
      <c r="BC1884" s="56"/>
      <c r="BD1884" s="56"/>
      <c r="BE1884" s="56"/>
      <c r="BF1884" s="107" t="str">
        <f t="shared" si="1471"/>
        <v>https://www.google.com/search?tbm=isch&amp;q=Hoogendorn%20is%20a%20cold-hardy%2C%20fine-textured%20evergreen%20with%20graceful%20spreading%20form%20and%20glossy%20foliage%20</v>
      </c>
      <c r="BG1884" s="107" t="str">
        <f t="shared" si="1472"/>
        <v>H</v>
      </c>
      <c r="BH1884" s="254"/>
      <c r="BI1884" s="254"/>
    </row>
    <row r="1885" spans="1:61" customFormat="1" ht="18" x14ac:dyDescent="0.25">
      <c r="A1885" s="521" t="s">
        <v>2149</v>
      </c>
      <c r="B1885" s="477"/>
      <c r="C1885" s="674"/>
      <c r="D1885" s="478" t="s">
        <v>2150</v>
      </c>
      <c r="E1885" s="479"/>
      <c r="F1885" s="479"/>
      <c r="G1885" s="479"/>
      <c r="H1885" s="582" t="s">
        <v>1698</v>
      </c>
      <c r="I1885" s="480" t="s">
        <v>2511</v>
      </c>
      <c r="J1885" s="479"/>
      <c r="K1885" s="479"/>
      <c r="L1885" s="560"/>
      <c r="M1885" s="666" t="s">
        <v>4963</v>
      </c>
      <c r="N1885" s="680" t="str">
        <f>IF(AND(ISTEXT($A1885), ISERROR($A1885+0)), HYPERLINK($BF1885, "Images"), "")</f>
        <v>Images</v>
      </c>
      <c r="O1885" s="662" t="s">
        <v>4974</v>
      </c>
      <c r="P1885" s="482"/>
      <c r="Q1885" s="483"/>
      <c r="R1885" s="483"/>
      <c r="S1885" s="484"/>
      <c r="T1885" s="508">
        <f t="shared" si="1460"/>
        <v>0</v>
      </c>
      <c r="U1885" s="225" t="str">
        <f>IF(NOT(ISNUMBER(G1885)), "", VLOOKUP(A1885,'Discount Lookup'!D:E,2,FALSE)*G1885)</f>
        <v/>
      </c>
      <c r="V1885" s="225" t="str">
        <f>IF(NOT(ISNUMBER(G1885)), "", VLOOKUP(A1885,'Discount Lookup'!G:H,2,FALSE)*G1885)</f>
        <v/>
      </c>
      <c r="W1885" s="508">
        <f t="shared" si="1461"/>
        <v>0</v>
      </c>
      <c r="X1885" s="508" t="str">
        <f t="shared" si="1462"/>
        <v>Steel Blue needles</v>
      </c>
      <c r="Y1885" s="509" t="b">
        <f t="shared" si="1463"/>
        <v>0</v>
      </c>
      <c r="Z1885" s="510">
        <f t="shared" si="1464"/>
        <v>0</v>
      </c>
      <c r="AA1885" s="511"/>
      <c r="AB1885" s="511" t="str">
        <f t="shared" si="1465"/>
        <v/>
      </c>
      <c r="AC1885" s="698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698"/>
      <c r="AE1885" s="631" t="str">
        <f t="shared" si="1466"/>
        <v/>
      </c>
      <c r="AF1885" s="699" t="str">
        <f t="shared" si="1467"/>
        <v/>
      </c>
      <c r="AG1885" s="699"/>
      <c r="AH1885" s="699"/>
      <c r="AI1885" s="512">
        <f>IF(H1885="credit",0,IF(AE1885="free",0,IF(AE1885="me",0,IF(G1885&gt;0,(VLOOKUP(A1885,'Discount Lookup'!J:K,2)*G1885),0))))</f>
        <v>0</v>
      </c>
      <c r="AJ1885" s="513" t="str">
        <f t="shared" ca="1" si="1468"/>
        <v/>
      </c>
      <c r="AK1885" s="700" t="str">
        <f t="shared" si="1469"/>
        <v/>
      </c>
      <c r="AL1885" s="700"/>
      <c r="AM1885" s="505" t="str">
        <f t="shared" si="1470"/>
        <v/>
      </c>
      <c r="AN1885" s="506"/>
      <c r="AO1885" s="507"/>
      <c r="AP1885" s="507"/>
      <c r="AQ1885" s="507"/>
      <c r="AR1885" s="507"/>
      <c r="AS1885" s="507"/>
      <c r="AT1885" s="507"/>
      <c r="AU1885" s="507"/>
      <c r="AV1885" s="225"/>
      <c r="AW1885" s="508"/>
      <c r="AX1885" s="225"/>
      <c r="AY1885" s="225"/>
      <c r="AZ1885" s="225"/>
      <c r="BA1885" s="225"/>
      <c r="BB1885" s="225"/>
      <c r="BC1885" s="56"/>
      <c r="BD1885" s="56"/>
      <c r="BE1885" s="56"/>
      <c r="BF1885" s="107" t="str">
        <f t="shared" si="1471"/>
        <v>https://www.google.com/search?tbm=isch&amp;q=Horstmann%20Blue%20Atlas%20Cedar%20Cedrus%20atlantica%20%27Horstmann%27</v>
      </c>
      <c r="BG1885" s="107" t="str">
        <f t="shared" si="1472"/>
        <v>H</v>
      </c>
      <c r="BH1885" s="254"/>
      <c r="BI1885" s="254"/>
    </row>
    <row r="1886" spans="1:61" customFormat="1" ht="27" x14ac:dyDescent="0.25">
      <c r="A1886" s="485">
        <v>7</v>
      </c>
      <c r="B1886" s="486" t="s">
        <v>291</v>
      </c>
      <c r="C1886" s="487" t="s">
        <v>3566</v>
      </c>
      <c r="D1886" s="488" t="s">
        <v>292</v>
      </c>
      <c r="E1886" s="489">
        <v>210.95</v>
      </c>
      <c r="F1886" s="516" t="s">
        <v>293</v>
      </c>
      <c r="G1886" s="232">
        <v>0</v>
      </c>
      <c r="H1886" s="658" t="str">
        <f>IF(G1886=0,"",IF(F1886="Buy",IF(G1886=1,"plant","plants"),IF(F1886&gt;0.01,"warranty","Error")))</f>
        <v/>
      </c>
      <c r="I1886" s="490">
        <f>IF(H1886="free",0,IF(H1886="credit",((E1886*(F1886))*G1886*-1),IF(F1886="Buy",(E1886*G1886),((E1886*(1-F1886))*G1886))))</f>
        <v>0</v>
      </c>
      <c r="J1886" s="490">
        <f>IF(H1886="warranty",0,(I1886*(_xlfn.SINGLE(SalesTaxPercentage))))</f>
        <v>0</v>
      </c>
      <c r="K1886" s="695">
        <f t="shared" ref="K1886" si="1485">I1886+J1886</f>
        <v>0</v>
      </c>
      <c r="L1886" s="695"/>
      <c r="M1886" s="659" t="str">
        <f>IF(AND(G1886&gt;0,E1886=0),"WARNING - no PRICE inserted",IF(H1886="free"," FREE ~ no charge this plant",IF(H1886="credit",CONCATENATE(" -$",ROUND(K1886*(1-T2GDiscount)*-1,2)," CREDIT after discount"),IF(T2GDiscount=0,"",IF(G1886=0,"",IF(F1886="Buy",CONCATENATE(" $",ROUND(K1886*(1-T2GDiscount),2)," with ",(T2GDiscount*100),"% discount"),CONCATENATE(" $",ROUND(K1886*(1-T2GDiscount),2)," with ",((T2GDiscount*100+F1886*100)-(T2GDiscount*100*F1886)),IF(F1886&gt;0,"% discounts",IF(NoWarrantyDiscount&gt;0,"% discounts","% discount")))))))))</f>
        <v/>
      </c>
      <c r="N1886" s="660"/>
      <c r="O1886" s="233"/>
      <c r="P1886" s="233"/>
      <c r="Q1886" s="233"/>
      <c r="R1886" s="233"/>
      <c r="S1886" s="233"/>
      <c r="T1886" s="508">
        <f t="shared" si="1460"/>
        <v>0</v>
      </c>
      <c r="U1886" s="225">
        <f>IF(NOT(ISNUMBER(G1886)), "", VLOOKUP(A1886,'Discount Lookup'!D:E,2,FALSE)*G1886)</f>
        <v>0</v>
      </c>
      <c r="V1886" s="225">
        <f>IF(NOT(ISNUMBER(G1886)), "", VLOOKUP(A1886,'Discount Lookup'!G:H,2,FALSE)*G1886)</f>
        <v>0</v>
      </c>
      <c r="W1886" s="508">
        <f t="shared" si="1461"/>
        <v>0</v>
      </c>
      <c r="X1886" s="508">
        <f t="shared" si="1462"/>
        <v>0</v>
      </c>
      <c r="Y1886" s="509" t="b">
        <f t="shared" si="1463"/>
        <v>0</v>
      </c>
      <c r="Z1886" s="510">
        <f t="shared" si="1464"/>
        <v>0</v>
      </c>
      <c r="AA1886" s="511"/>
      <c r="AB1886" s="511" t="str">
        <f t="shared" si="1465"/>
        <v/>
      </c>
      <c r="AC1886" s="698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698"/>
      <c r="AE1886" s="631" t="str">
        <f t="shared" si="1466"/>
        <v/>
      </c>
      <c r="AF1886" s="699" t="str">
        <f t="shared" si="1467"/>
        <v/>
      </c>
      <c r="AG1886" s="699"/>
      <c r="AH1886" s="699"/>
      <c r="AI1886" s="512">
        <f>IF(H1886="credit",0,IF(AE1886="free",0,IF(AE1886="me",0,IF(G1886&gt;0,(VLOOKUP(A1886,'Discount Lookup'!J:K,2)*G1886),0))))</f>
        <v>0</v>
      </c>
      <c r="AJ1886" s="513" t="str">
        <f t="shared" ca="1" si="1468"/>
        <v/>
      </c>
      <c r="AK1886" s="700" t="str">
        <f t="shared" si="1469"/>
        <v/>
      </c>
      <c r="AL1886" s="700"/>
      <c r="AM1886" s="505" t="str">
        <f t="shared" si="1470"/>
        <v/>
      </c>
      <c r="AN1886" s="506"/>
      <c r="AO1886" s="507"/>
      <c r="AP1886" s="507"/>
      <c r="AQ1886" s="507"/>
      <c r="AR1886" s="507"/>
      <c r="AS1886" s="507"/>
      <c r="AT1886" s="507"/>
      <c r="AU1886" s="507"/>
      <c r="AV1886" s="225"/>
      <c r="AW1886" s="508"/>
      <c r="AX1886" s="225"/>
      <c r="AY1886" s="225"/>
      <c r="AZ1886" s="225"/>
      <c r="BA1886" s="225"/>
      <c r="BB1886" s="225"/>
      <c r="BC1886" s="56"/>
      <c r="BD1886" s="56"/>
      <c r="BE1886" s="56"/>
      <c r="BF1886" s="107" t="str">
        <f t="shared" si="1471"/>
        <v>https://www.google.com/search?tbm=isch&amp;q=7%20G4</v>
      </c>
      <c r="BG1886" s="107" t="str">
        <f t="shared" si="1472"/>
        <v>H</v>
      </c>
      <c r="BH1886" s="254"/>
      <c r="BI1886" s="254"/>
    </row>
    <row r="1887" spans="1:61" customFormat="1" ht="27" x14ac:dyDescent="0.25">
      <c r="A1887" s="485">
        <v>15</v>
      </c>
      <c r="B1887" s="486" t="s">
        <v>291</v>
      </c>
      <c r="C1887" s="487" t="s">
        <v>3567</v>
      </c>
      <c r="D1887" s="488" t="s">
        <v>292</v>
      </c>
      <c r="E1887" s="489">
        <v>339.95</v>
      </c>
      <c r="F1887" s="516" t="s">
        <v>293</v>
      </c>
      <c r="G1887" s="232">
        <v>0</v>
      </c>
      <c r="H1887" s="658" t="str">
        <f>IF(G1887=0,"",IF(F1887="Buy",IF(G1887=1,"plant","plants"),IF(F1887&gt;0.01,"warranty","Error")))</f>
        <v/>
      </c>
      <c r="I1887" s="490">
        <f>IF(H1887="free",0,IF(H1887="credit",((E1887*(F1887))*G1887*-1),IF(F1887="Buy",(E1887*G1887),((E1887*(1-F1887))*G1887))))</f>
        <v>0</v>
      </c>
      <c r="J1887" s="490">
        <f>IF(H1887="warranty",0,(I1887*(_xlfn.SINGLE(SalesTaxPercentage))))</f>
        <v>0</v>
      </c>
      <c r="K1887" s="695">
        <f t="shared" ref="K1887" si="1486">I1887+J1887</f>
        <v>0</v>
      </c>
      <c r="L1887" s="695"/>
      <c r="M1887" s="659" t="str">
        <f>IF(AND(G1887&gt;0,E1887=0),"WARNING - no PRICE inserted",IF(H1887="free"," FREE ~ no charge this plant",IF(H1887="credit",CONCATENATE(" -$",ROUND(K1887*(1-T2GDiscount)*-1,2)," CREDIT after discount"),IF(T2GDiscount=0,"",IF(G1887=0,"",IF(F1887="Buy",CONCATENATE(" $",ROUND(K1887*(1-T2GDiscount),2)," with ",(T2GDiscount*100),"% discount"),CONCATENATE(" $",ROUND(K1887*(1-T2GDiscount),2)," with ",((T2GDiscount*100+F1887*100)-(T2GDiscount*100*F1887)),IF(F1887&gt;0,"% discounts",IF(NoWarrantyDiscount&gt;0,"% discounts","% discount")))))))))</f>
        <v/>
      </c>
      <c r="N1887" s="660"/>
      <c r="O1887" s="233"/>
      <c r="P1887" s="233"/>
      <c r="Q1887" s="233"/>
      <c r="R1887" s="233"/>
      <c r="S1887" s="233"/>
      <c r="T1887" s="508">
        <f t="shared" si="1460"/>
        <v>0</v>
      </c>
      <c r="U1887" s="225">
        <f>IF(NOT(ISNUMBER(G1887)), "", VLOOKUP(A1887,'Discount Lookup'!D:E,2,FALSE)*G1887)</f>
        <v>0</v>
      </c>
      <c r="V1887" s="225">
        <f>IF(NOT(ISNUMBER(G1887)), "", VLOOKUP(A1887,'Discount Lookup'!G:H,2,FALSE)*G1887)</f>
        <v>0</v>
      </c>
      <c r="W1887" s="508">
        <f t="shared" si="1461"/>
        <v>0</v>
      </c>
      <c r="X1887" s="508">
        <f t="shared" si="1462"/>
        <v>0</v>
      </c>
      <c r="Y1887" s="509" t="b">
        <f t="shared" si="1463"/>
        <v>0</v>
      </c>
      <c r="Z1887" s="510">
        <f t="shared" si="1464"/>
        <v>0</v>
      </c>
      <c r="AA1887" s="511"/>
      <c r="AB1887" s="511" t="str">
        <f t="shared" si="1465"/>
        <v/>
      </c>
      <c r="AC1887" s="698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698"/>
      <c r="AE1887" s="631" t="str">
        <f t="shared" si="1466"/>
        <v/>
      </c>
      <c r="AF1887" s="699" t="str">
        <f t="shared" si="1467"/>
        <v/>
      </c>
      <c r="AG1887" s="699"/>
      <c r="AH1887" s="699"/>
      <c r="AI1887" s="512">
        <f>IF(H1887="credit",0,IF(AE1887="free",0,IF(AE1887="me",0,IF(G1887&gt;0,(VLOOKUP(A1887,'Discount Lookup'!J:K,2)*G1887),0))))</f>
        <v>0</v>
      </c>
      <c r="AJ1887" s="513" t="str">
        <f t="shared" ca="1" si="1468"/>
        <v/>
      </c>
      <c r="AK1887" s="700" t="str">
        <f t="shared" si="1469"/>
        <v/>
      </c>
      <c r="AL1887" s="700"/>
      <c r="AM1887" s="505" t="str">
        <f t="shared" si="1470"/>
        <v/>
      </c>
      <c r="AN1887" s="506"/>
      <c r="AO1887" s="507"/>
      <c r="AP1887" s="507"/>
      <c r="AQ1887" s="507"/>
      <c r="AR1887" s="507"/>
      <c r="AS1887" s="507"/>
      <c r="AT1887" s="507"/>
      <c r="AU1887" s="507"/>
      <c r="AV1887" s="225"/>
      <c r="AW1887" s="508"/>
      <c r="AX1887" s="225"/>
      <c r="AY1887" s="225"/>
      <c r="AZ1887" s="225"/>
      <c r="BA1887" s="225"/>
      <c r="BB1887" s="225"/>
      <c r="BC1887" s="56"/>
      <c r="BD1887" s="56"/>
      <c r="BE1887" s="56"/>
      <c r="BF1887" s="107" t="str">
        <f t="shared" si="1471"/>
        <v>https://www.google.com/search?tbm=isch&amp;q=15%20G4</v>
      </c>
      <c r="BG1887" s="107" t="str">
        <f t="shared" si="1472"/>
        <v>H</v>
      </c>
      <c r="BH1887" s="254"/>
      <c r="BI1887" s="254"/>
    </row>
    <row r="1888" spans="1:61" customFormat="1" ht="15.75" x14ac:dyDescent="0.25">
      <c r="A1888" s="485">
        <v>45</v>
      </c>
      <c r="B1888" s="486" t="s">
        <v>291</v>
      </c>
      <c r="C1888" s="487" t="s">
        <v>3568</v>
      </c>
      <c r="D1888" s="488" t="s">
        <v>292</v>
      </c>
      <c r="E1888" s="489">
        <v>607.95000000000005</v>
      </c>
      <c r="F1888" s="516" t="s">
        <v>293</v>
      </c>
      <c r="G1888" s="232">
        <v>0</v>
      </c>
      <c r="H1888" s="658" t="str">
        <f>IF(G1888=0,"",IF(F1888="Buy",IF(G1888=1,"plant","plants"),IF(F1888&gt;0.01,"warranty","Error")))</f>
        <v/>
      </c>
      <c r="I1888" s="490">
        <f>IF(H1888="free",0,IF(H1888="credit",((E1888*(F1888))*G1888*-1),IF(F1888="Buy",(E1888*G1888),((E1888*(1-F1888))*G1888))))</f>
        <v>0</v>
      </c>
      <c r="J1888" s="490">
        <f>IF(H1888="warranty",0,(I1888*(_xlfn.SINGLE(SalesTaxPercentage))))</f>
        <v>0</v>
      </c>
      <c r="K1888" s="695">
        <f t="shared" ref="K1888" si="1487">I1888+J1888</f>
        <v>0</v>
      </c>
      <c r="L1888" s="695"/>
      <c r="M1888" s="659" t="str">
        <f>IF(AND(G1888&gt;0,E1888=0),"WARNING - no PRICE inserted",IF(H1888="free"," FREE ~ no charge this plant",IF(H1888="credit",CONCATENATE(" -$",ROUND(K1888*(1-T2GDiscount)*-1,2)," CREDIT after discount"),IF(T2GDiscount=0,"",IF(G1888=0,"",IF(F1888="Buy",CONCATENATE(" $",ROUND(K1888*(1-T2GDiscount),2)," with ",(T2GDiscount*100),"% discount"),CONCATENATE(" $",ROUND(K1888*(1-T2GDiscount),2)," with ",((T2GDiscount*100+F1888*100)-(T2GDiscount*100*F1888)),IF(F1888&gt;0,"% discounts",IF(NoWarrantyDiscount&gt;0,"% discounts","% discount")))))))))</f>
        <v/>
      </c>
      <c r="N1888" s="660"/>
      <c r="O1888" s="233"/>
      <c r="P1888" s="233"/>
      <c r="Q1888" s="233"/>
      <c r="R1888" s="233"/>
      <c r="S1888" s="233"/>
      <c r="T1888" s="508">
        <f t="shared" si="1460"/>
        <v>0</v>
      </c>
      <c r="U1888" s="225">
        <f>IF(NOT(ISNUMBER(G1888)), "", VLOOKUP(A1888,'Discount Lookup'!D:E,2,FALSE)*G1888)</f>
        <v>0</v>
      </c>
      <c r="V1888" s="225">
        <f>IF(NOT(ISNUMBER(G1888)), "", VLOOKUP(A1888,'Discount Lookup'!G:H,2,FALSE)*G1888)</f>
        <v>0</v>
      </c>
      <c r="W1888" s="508">
        <f t="shared" si="1461"/>
        <v>0</v>
      </c>
      <c r="X1888" s="508">
        <f t="shared" si="1462"/>
        <v>0</v>
      </c>
      <c r="Y1888" s="509" t="b">
        <f t="shared" si="1463"/>
        <v>0</v>
      </c>
      <c r="Z1888" s="510">
        <f t="shared" si="1464"/>
        <v>0</v>
      </c>
      <c r="AA1888" s="511"/>
      <c r="AB1888" s="511" t="str">
        <f t="shared" si="1465"/>
        <v/>
      </c>
      <c r="AC1888" s="698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698"/>
      <c r="AE1888" s="631" t="str">
        <f t="shared" si="1466"/>
        <v/>
      </c>
      <c r="AF1888" s="699" t="str">
        <f t="shared" si="1467"/>
        <v/>
      </c>
      <c r="AG1888" s="699"/>
      <c r="AH1888" s="699"/>
      <c r="AI1888" s="512">
        <f>IF(H1888="credit",0,IF(AE1888="free",0,IF(AE1888="me",0,IF(G1888&gt;0,(VLOOKUP(A1888,'Discount Lookup'!J:K,2)*G1888),0))))</f>
        <v>0</v>
      </c>
      <c r="AJ1888" s="513" t="str">
        <f t="shared" ca="1" si="1468"/>
        <v/>
      </c>
      <c r="AK1888" s="700" t="str">
        <f t="shared" si="1469"/>
        <v/>
      </c>
      <c r="AL1888" s="700"/>
      <c r="AM1888" s="505" t="str">
        <f t="shared" si="1470"/>
        <v/>
      </c>
      <c r="AN1888" s="506"/>
      <c r="AO1888" s="507"/>
      <c r="AP1888" s="507"/>
      <c r="AQ1888" s="507"/>
      <c r="AR1888" s="507"/>
      <c r="AS1888" s="507"/>
      <c r="AT1888" s="507"/>
      <c r="AU1888" s="507"/>
      <c r="AV1888" s="225"/>
      <c r="AW1888" s="508"/>
      <c r="AX1888" s="225"/>
      <c r="AY1888" s="225"/>
      <c r="AZ1888" s="225"/>
      <c r="BA1888" s="225"/>
      <c r="BB1888" s="225"/>
      <c r="BC1888" s="56"/>
      <c r="BD1888" s="56"/>
      <c r="BE1888" s="56"/>
      <c r="BF1888" s="107" t="str">
        <f t="shared" si="1471"/>
        <v>https://www.google.com/search?tbm=isch&amp;q=45%20G4</v>
      </c>
      <c r="BG1888" s="107" t="str">
        <f t="shared" si="1472"/>
        <v>H</v>
      </c>
      <c r="BH1888" s="254"/>
      <c r="BI1888" s="254"/>
    </row>
    <row r="1889" spans="1:61" customFormat="1" ht="17.25" thickBot="1" x14ac:dyDescent="0.3">
      <c r="A1889" s="522" t="s">
        <v>2151</v>
      </c>
      <c r="B1889" s="491"/>
      <c r="C1889" s="675"/>
      <c r="D1889" s="491"/>
      <c r="E1889" s="491"/>
      <c r="F1889" s="492"/>
      <c r="G1889" s="493"/>
      <c r="H1889" s="491"/>
      <c r="I1889" s="234"/>
      <c r="J1889" s="234"/>
      <c r="K1889" s="494"/>
      <c r="L1889" s="543"/>
      <c r="M1889" s="561"/>
      <c r="N1889" s="495"/>
      <c r="O1889" s="496"/>
      <c r="P1889" s="497"/>
      <c r="Q1889" s="495"/>
      <c r="R1889" s="495"/>
      <c r="S1889" s="667" t="s">
        <v>4984</v>
      </c>
      <c r="T1889" s="508">
        <f t="shared" si="1460"/>
        <v>0</v>
      </c>
      <c r="U1889" s="225" t="str">
        <f>IF(NOT(ISNUMBER(G1889)), "", VLOOKUP(A1889,'Discount Lookup'!D:E,2,FALSE)*G1889)</f>
        <v/>
      </c>
      <c r="V1889" s="225" t="str">
        <f>IF(NOT(ISNUMBER(G1889)), "", VLOOKUP(A1889,'Discount Lookup'!G:H,2,FALSE)*G1889)</f>
        <v/>
      </c>
      <c r="W1889" s="508">
        <f t="shared" si="1461"/>
        <v>0</v>
      </c>
      <c r="X1889" s="508">
        <f t="shared" si="1462"/>
        <v>0</v>
      </c>
      <c r="Y1889" s="509" t="b">
        <f t="shared" si="1463"/>
        <v>0</v>
      </c>
      <c r="Z1889" s="510">
        <f t="shared" si="1464"/>
        <v>0</v>
      </c>
      <c r="AA1889" s="511"/>
      <c r="AB1889" s="511" t="str">
        <f t="shared" si="1465"/>
        <v/>
      </c>
      <c r="AC1889" s="698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698"/>
      <c r="AE1889" s="631" t="str">
        <f t="shared" si="1466"/>
        <v/>
      </c>
      <c r="AF1889" s="699" t="str">
        <f t="shared" si="1467"/>
        <v/>
      </c>
      <c r="AG1889" s="699"/>
      <c r="AH1889" s="699"/>
      <c r="AI1889" s="512">
        <f>IF(H1889="credit",0,IF(AE1889="free",0,IF(AE1889="me",0,IF(G1889&gt;0,(VLOOKUP(A1889,'Discount Lookup'!J:K,2)*G1889),0))))</f>
        <v>0</v>
      </c>
      <c r="AJ1889" s="513" t="str">
        <f t="shared" ca="1" si="1468"/>
        <v/>
      </c>
      <c r="AK1889" s="700" t="str">
        <f t="shared" si="1469"/>
        <v/>
      </c>
      <c r="AL1889" s="700"/>
      <c r="AM1889" s="505" t="str">
        <f t="shared" si="1470"/>
        <v/>
      </c>
      <c r="AN1889" s="506"/>
      <c r="AO1889" s="507"/>
      <c r="AP1889" s="507"/>
      <c r="AQ1889" s="507"/>
      <c r="AR1889" s="507"/>
      <c r="AS1889" s="507"/>
      <c r="AT1889" s="507"/>
      <c r="AU1889" s="507"/>
      <c r="AV1889" s="225"/>
      <c r="AW1889" s="508"/>
      <c r="AX1889" s="225"/>
      <c r="AY1889" s="225"/>
      <c r="AZ1889" s="225"/>
      <c r="BA1889" s="225"/>
      <c r="BB1889" s="225"/>
      <c r="BC1889" s="56"/>
      <c r="BD1889" s="56"/>
      <c r="BE1889" s="56"/>
      <c r="BF1889" s="107" t="str">
        <f t="shared" si="1471"/>
        <v>https://www.google.com/search?tbm=isch&amp;q=Horstmann%20makes%20a%20fine%20architectural%20specimen.%20Minimal%20pruning%20and%20year-round%20color%20</v>
      </c>
      <c r="BG1889" s="107" t="str">
        <f t="shared" si="1472"/>
        <v>H</v>
      </c>
      <c r="BH1889" s="254"/>
      <c r="BI1889" s="254"/>
    </row>
    <row r="1890" spans="1:61" customFormat="1" ht="18" x14ac:dyDescent="0.25">
      <c r="A1890" s="521" t="s">
        <v>1120</v>
      </c>
      <c r="B1890" s="477"/>
      <c r="C1890" s="674"/>
      <c r="D1890" s="478" t="s">
        <v>1121</v>
      </c>
      <c r="E1890" s="479"/>
      <c r="F1890" s="479"/>
      <c r="G1890" s="479"/>
      <c r="H1890" s="582" t="s">
        <v>1858</v>
      </c>
      <c r="I1890" s="480" t="s">
        <v>2936</v>
      </c>
      <c r="J1890" s="479"/>
      <c r="K1890" s="479"/>
      <c r="L1890" s="560"/>
      <c r="M1890" s="671" t="s">
        <v>4985</v>
      </c>
      <c r="N1890" s="680" t="str">
        <f>IF(AND(ISTEXT($A1890), ISERROR($A1890+0)), HYPERLINK($BF1890, "Images"), "")</f>
        <v>Images</v>
      </c>
      <c r="O1890" s="662" t="s">
        <v>4969</v>
      </c>
      <c r="P1890" s="482"/>
      <c r="Q1890" s="483"/>
      <c r="R1890" s="483"/>
      <c r="S1890" s="484"/>
      <c r="T1890" s="508">
        <f t="shared" si="1460"/>
        <v>0</v>
      </c>
      <c r="U1890" s="225" t="str">
        <f>IF(NOT(ISNUMBER(G1890)), "", VLOOKUP(A1890,'Discount Lookup'!D:E,2,FALSE)*G1890)</f>
        <v/>
      </c>
      <c r="V1890" s="225" t="str">
        <f>IF(NOT(ISNUMBER(G1890)), "", VLOOKUP(A1890,'Discount Lookup'!G:H,2,FALSE)*G1890)</f>
        <v/>
      </c>
      <c r="W1890" s="508">
        <f t="shared" si="1461"/>
        <v>0</v>
      </c>
      <c r="X1890" s="508" t="str">
        <f t="shared" si="1462"/>
        <v>Green &amp; Gold foliage</v>
      </c>
      <c r="Y1890" s="509" t="b">
        <f t="shared" si="1463"/>
        <v>0</v>
      </c>
      <c r="Z1890" s="510">
        <f t="shared" si="1464"/>
        <v>0</v>
      </c>
      <c r="AA1890" s="511"/>
      <c r="AB1890" s="511" t="str">
        <f t="shared" si="1465"/>
        <v/>
      </c>
      <c r="AC1890" s="698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698"/>
      <c r="AE1890" s="631" t="str">
        <f t="shared" si="1466"/>
        <v/>
      </c>
      <c r="AF1890" s="699" t="str">
        <f t="shared" si="1467"/>
        <v/>
      </c>
      <c r="AG1890" s="699"/>
      <c r="AH1890" s="699"/>
      <c r="AI1890" s="512">
        <f>IF(H1890="credit",0,IF(AE1890="free",0,IF(AE1890="me",0,IF(G1890&gt;0,(VLOOKUP(A1890,'Discount Lookup'!J:K,2)*G1890),0))))</f>
        <v>0</v>
      </c>
      <c r="AJ1890" s="513" t="str">
        <f t="shared" ca="1" si="1468"/>
        <v/>
      </c>
      <c r="AK1890" s="700" t="str">
        <f t="shared" si="1469"/>
        <v/>
      </c>
      <c r="AL1890" s="700"/>
      <c r="AM1890" s="505" t="str">
        <f t="shared" si="1470"/>
        <v/>
      </c>
      <c r="AN1890" s="506"/>
      <c r="AO1890" s="507"/>
      <c r="AP1890" s="507"/>
      <c r="AQ1890" s="507"/>
      <c r="AR1890" s="507"/>
      <c r="AS1890" s="507"/>
      <c r="AT1890" s="507"/>
      <c r="AU1890" s="507"/>
      <c r="AV1890" s="225"/>
      <c r="AW1890" s="508"/>
      <c r="AX1890" s="225"/>
      <c r="AY1890" s="225"/>
      <c r="AZ1890" s="225"/>
      <c r="BA1890" s="225"/>
      <c r="BB1890" s="225"/>
      <c r="BC1890" s="56"/>
      <c r="BD1890" s="56"/>
      <c r="BE1890" s="56"/>
      <c r="BF1890" s="107" t="str">
        <f t="shared" si="1471"/>
        <v>https://www.google.com/search?tbm=isch&amp;q=Hosoba%20Hoshifu%20Aucuba%20Aucuba%20japonica%20%27Hosoba%20Hoshifu%27</v>
      </c>
      <c r="BG1890" s="107" t="str">
        <f t="shared" si="1472"/>
        <v>H</v>
      </c>
      <c r="BH1890" s="254"/>
      <c r="BI1890" s="254"/>
    </row>
    <row r="1891" spans="1:61" customFormat="1" ht="15.75" x14ac:dyDescent="0.25">
      <c r="A1891" s="485">
        <v>3</v>
      </c>
      <c r="B1891" s="486" t="s">
        <v>291</v>
      </c>
      <c r="C1891" s="487" t="s">
        <v>2402</v>
      </c>
      <c r="D1891" s="488" t="s">
        <v>312</v>
      </c>
      <c r="E1891" s="489">
        <v>32.950000000000003</v>
      </c>
      <c r="F1891" s="516" t="s">
        <v>293</v>
      </c>
      <c r="G1891" s="232">
        <v>0</v>
      </c>
      <c r="H1891" s="658" t="str">
        <f>IF(G1891=0,"",IF(F1891="Buy",IF(G1891=1,"plant","plants"),IF(F1891&gt;0.01,"warranty","Error")))</f>
        <v/>
      </c>
      <c r="I1891" s="490">
        <f>IF(H1891="free",0,IF(H1891="credit",((E1891*(F1891))*G1891*-1),IF(F1891="Buy",(E1891*G1891),((E1891*(1-F1891))*G1891))))</f>
        <v>0</v>
      </c>
      <c r="J1891" s="490">
        <f>IF(H1891="warranty",0,(I1891*(_xlfn.SINGLE(SalesTaxPercentage))))</f>
        <v>0</v>
      </c>
      <c r="K1891" s="695">
        <f t="shared" ref="K1891" si="1488">I1891+J1891</f>
        <v>0</v>
      </c>
      <c r="L1891" s="695"/>
      <c r="M1891" s="659" t="str">
        <f>IF(AND(G1891&gt;0,E1891=0),"WARNING - no PRICE inserted",IF(H1891="free"," FREE ~ no charge this plant",IF(H1891="credit",CONCATENATE(" -$",ROUND(K1891*(1-T2GDiscount)*-1,2)," CREDIT after discount"),IF(T2GDiscount=0,"",IF(G1891=0,"",IF(F1891="Buy",CONCATENATE(" $",ROUND(K1891*(1-T2GDiscount),2)," with ",(T2GDiscount*100),"% discount"),CONCATENATE(" $",ROUND(K1891*(1-T2GDiscount),2)," with ",((T2GDiscount*100+F1891*100)-(T2GDiscount*100*F1891)),IF(F1891&gt;0,"% discounts",IF(NoWarrantyDiscount&gt;0,"% discounts","% discount")))))))))</f>
        <v/>
      </c>
      <c r="N1891" s="660"/>
      <c r="O1891" s="233"/>
      <c r="P1891" s="233"/>
      <c r="Q1891" s="233"/>
      <c r="R1891" s="233"/>
      <c r="S1891" s="233"/>
      <c r="T1891" s="508">
        <f t="shared" si="1460"/>
        <v>0</v>
      </c>
      <c r="U1891" s="225">
        <f>IF(NOT(ISNUMBER(G1891)), "", VLOOKUP(A1891,'Discount Lookup'!D:E,2,FALSE)*G1891)</f>
        <v>0</v>
      </c>
      <c r="V1891" s="225">
        <f>IF(NOT(ISNUMBER(G1891)), "", VLOOKUP(A1891,'Discount Lookup'!G:H,2,FALSE)*G1891)</f>
        <v>0</v>
      </c>
      <c r="W1891" s="508">
        <f t="shared" si="1461"/>
        <v>0</v>
      </c>
      <c r="X1891" s="508">
        <f t="shared" si="1462"/>
        <v>0</v>
      </c>
      <c r="Y1891" s="509" t="b">
        <f t="shared" si="1463"/>
        <v>0</v>
      </c>
      <c r="Z1891" s="510">
        <f t="shared" si="1464"/>
        <v>0</v>
      </c>
      <c r="AA1891" s="511"/>
      <c r="AB1891" s="511" t="str">
        <f t="shared" si="1465"/>
        <v/>
      </c>
      <c r="AC1891" s="698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698"/>
      <c r="AE1891" s="631" t="str">
        <f t="shared" si="1466"/>
        <v/>
      </c>
      <c r="AF1891" s="699" t="str">
        <f t="shared" si="1467"/>
        <v/>
      </c>
      <c r="AG1891" s="699"/>
      <c r="AH1891" s="699"/>
      <c r="AI1891" s="512">
        <f>IF(H1891="credit",0,IF(AE1891="free",0,IF(AE1891="me",0,IF(G1891&gt;0,(VLOOKUP(A1891,'Discount Lookup'!J:K,2)*G1891),0))))</f>
        <v>0</v>
      </c>
      <c r="AJ1891" s="513" t="str">
        <f t="shared" ca="1" si="1468"/>
        <v/>
      </c>
      <c r="AK1891" s="700" t="str">
        <f t="shared" si="1469"/>
        <v/>
      </c>
      <c r="AL1891" s="700"/>
      <c r="AM1891" s="505" t="str">
        <f t="shared" si="1470"/>
        <v/>
      </c>
      <c r="AN1891" s="506"/>
      <c r="AO1891" s="507"/>
      <c r="AP1891" s="507"/>
      <c r="AQ1891" s="507"/>
      <c r="AR1891" s="507"/>
      <c r="AS1891" s="507"/>
      <c r="AT1891" s="507"/>
      <c r="AU1891" s="507"/>
      <c r="AV1891" s="225"/>
      <c r="AW1891" s="508"/>
      <c r="AX1891" s="225"/>
      <c r="AY1891" s="225"/>
      <c r="AZ1891" s="225"/>
      <c r="BA1891" s="225"/>
      <c r="BB1891" s="225"/>
      <c r="BC1891" s="56"/>
      <c r="BD1891" s="56"/>
      <c r="BE1891" s="56"/>
      <c r="BF1891" s="107" t="str">
        <f t="shared" si="1471"/>
        <v>https://www.google.com/search?tbm=isch&amp;q=3%20G2</v>
      </c>
      <c r="BG1891" s="107" t="str">
        <f t="shared" si="1472"/>
        <v>H</v>
      </c>
      <c r="BH1891" s="254"/>
      <c r="BI1891" s="254"/>
    </row>
    <row r="1892" spans="1:61" customFormat="1" ht="16.5" thickBot="1" x14ac:dyDescent="0.3">
      <c r="A1892" s="522" t="s">
        <v>2984</v>
      </c>
      <c r="B1892" s="491"/>
      <c r="C1892" s="675"/>
      <c r="D1892" s="491"/>
      <c r="E1892" s="491"/>
      <c r="F1892" s="492"/>
      <c r="G1892" s="493"/>
      <c r="H1892" s="491"/>
      <c r="I1892" s="234"/>
      <c r="J1892" s="234"/>
      <c r="K1892" s="494"/>
      <c r="L1892" s="543"/>
      <c r="M1892" s="561"/>
      <c r="N1892" s="495"/>
      <c r="O1892" s="496"/>
      <c r="P1892" s="497"/>
      <c r="Q1892" s="495"/>
      <c r="R1892" s="495"/>
      <c r="S1892" s="277"/>
      <c r="T1892" s="508">
        <f t="shared" si="1460"/>
        <v>0</v>
      </c>
      <c r="U1892" s="225" t="str">
        <f>IF(NOT(ISNUMBER(G1892)), "", VLOOKUP(A1892,'Discount Lookup'!D:E,2,FALSE)*G1892)</f>
        <v/>
      </c>
      <c r="V1892" s="225" t="str">
        <f>IF(NOT(ISNUMBER(G1892)), "", VLOOKUP(A1892,'Discount Lookup'!G:H,2,FALSE)*G1892)</f>
        <v/>
      </c>
      <c r="W1892" s="508">
        <f t="shared" si="1461"/>
        <v>0</v>
      </c>
      <c r="X1892" s="508">
        <f t="shared" si="1462"/>
        <v>0</v>
      </c>
      <c r="Y1892" s="509" t="b">
        <f t="shared" si="1463"/>
        <v>0</v>
      </c>
      <c r="Z1892" s="510">
        <f t="shared" si="1464"/>
        <v>0</v>
      </c>
      <c r="AA1892" s="511"/>
      <c r="AB1892" s="511" t="str">
        <f t="shared" si="1465"/>
        <v/>
      </c>
      <c r="AC1892" s="698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698"/>
      <c r="AE1892" s="631" t="str">
        <f t="shared" si="1466"/>
        <v/>
      </c>
      <c r="AF1892" s="699" t="str">
        <f t="shared" si="1467"/>
        <v/>
      </c>
      <c r="AG1892" s="699"/>
      <c r="AH1892" s="699"/>
      <c r="AI1892" s="512">
        <f>IF(H1892="credit",0,IF(AE1892="free",0,IF(AE1892="me",0,IF(G1892&gt;0,(VLOOKUP(A1892,'Discount Lookup'!J:K,2)*G1892),0))))</f>
        <v>0</v>
      </c>
      <c r="AJ1892" s="513" t="str">
        <f t="shared" ca="1" si="1468"/>
        <v/>
      </c>
      <c r="AK1892" s="700" t="str">
        <f t="shared" si="1469"/>
        <v/>
      </c>
      <c r="AL1892" s="700"/>
      <c r="AM1892" s="505" t="str">
        <f t="shared" si="1470"/>
        <v/>
      </c>
      <c r="AN1892" s="506"/>
      <c r="AO1892" s="507"/>
      <c r="AP1892" s="507"/>
      <c r="AQ1892" s="507"/>
      <c r="AR1892" s="507"/>
      <c r="AS1892" s="507"/>
      <c r="AT1892" s="507"/>
      <c r="AU1892" s="507"/>
      <c r="AV1892" s="225"/>
      <c r="AW1892" s="508"/>
      <c r="AX1892" s="225"/>
      <c r="AY1892" s="225"/>
      <c r="AZ1892" s="225"/>
      <c r="BA1892" s="225"/>
      <c r="BB1892" s="225"/>
      <c r="BC1892" s="56"/>
      <c r="BD1892" s="56"/>
      <c r="BE1892" s="56"/>
      <c r="BF1892" s="107" t="str">
        <f t="shared" si="1471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892" s="107" t="str">
        <f t="shared" si="1472"/>
        <v>H</v>
      </c>
      <c r="BH1892" s="254"/>
      <c r="BI1892" s="254"/>
    </row>
    <row r="1893" spans="1:61" customFormat="1" ht="18" x14ac:dyDescent="0.25">
      <c r="A1893" s="523" t="s">
        <v>1122</v>
      </c>
      <c r="B1893" s="235"/>
      <c r="C1893" s="676"/>
      <c r="D1893" s="255" t="s">
        <v>1123</v>
      </c>
      <c r="E1893" s="236"/>
      <c r="F1893" s="236"/>
      <c r="G1893" s="236"/>
      <c r="H1893" s="582" t="s">
        <v>4101</v>
      </c>
      <c r="I1893" s="498" t="s">
        <v>4102</v>
      </c>
      <c r="J1893" s="237"/>
      <c r="K1893" s="237"/>
      <c r="L1893" s="274"/>
      <c r="M1893" s="668" t="s">
        <v>4962</v>
      </c>
      <c r="N1893" s="681" t="str">
        <f>IF(AND(ISTEXT($A1893), ISERROR($A1893+0)), HYPERLINK($BF1893, "Images"), "")</f>
        <v>Images</v>
      </c>
      <c r="O1893" s="663" t="s">
        <v>4967</v>
      </c>
      <c r="P1893" s="253"/>
      <c r="Q1893" s="238"/>
      <c r="R1893" s="239"/>
      <c r="S1893" s="275"/>
      <c r="T1893" s="508">
        <f t="shared" si="1460"/>
        <v>0</v>
      </c>
      <c r="U1893" s="225" t="str">
        <f>IF(NOT(ISNUMBER(G1893)), "", VLOOKUP(A1893,'Discount Lookup'!D:E,2,FALSE)*G1893)</f>
        <v/>
      </c>
      <c r="V1893" s="225" t="str">
        <f>IF(NOT(ISNUMBER(G1893)), "", VLOOKUP(A1893,'Discount Lookup'!G:H,2,FALSE)*G1893)</f>
        <v/>
      </c>
      <c r="W1893" s="508">
        <f t="shared" si="1461"/>
        <v>0</v>
      </c>
      <c r="X1893" s="508" t="str">
        <f t="shared" si="1462"/>
        <v>Red &amp; White flower</v>
      </c>
      <c r="Y1893" s="509" t="b">
        <f t="shared" si="1463"/>
        <v>0</v>
      </c>
      <c r="Z1893" s="510">
        <f t="shared" si="1464"/>
        <v>0</v>
      </c>
      <c r="AA1893" s="511"/>
      <c r="AB1893" s="511" t="str">
        <f t="shared" si="1465"/>
        <v/>
      </c>
      <c r="AC1893" s="698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698"/>
      <c r="AE1893" s="631" t="str">
        <f t="shared" si="1466"/>
        <v/>
      </c>
      <c r="AF1893" s="699" t="str">
        <f t="shared" si="1467"/>
        <v/>
      </c>
      <c r="AG1893" s="699"/>
      <c r="AH1893" s="699"/>
      <c r="AI1893" s="512">
        <f>IF(H1893="credit",0,IF(AE1893="free",0,IF(AE1893="me",0,IF(G1893&gt;0,(VLOOKUP(A1893,'Discount Lookup'!J:K,2)*G1893),0))))</f>
        <v>0</v>
      </c>
      <c r="AJ1893" s="513" t="str">
        <f t="shared" ca="1" si="1468"/>
        <v/>
      </c>
      <c r="AK1893" s="700" t="str">
        <f t="shared" si="1469"/>
        <v/>
      </c>
      <c r="AL1893" s="700"/>
      <c r="AM1893" s="505" t="str">
        <f t="shared" si="1470"/>
        <v/>
      </c>
      <c r="AN1893" s="506"/>
      <c r="AO1893" s="507"/>
      <c r="AP1893" s="507"/>
      <c r="AQ1893" s="507"/>
      <c r="AR1893" s="507"/>
      <c r="AS1893" s="507"/>
      <c r="AT1893" s="507"/>
      <c r="AU1893" s="507"/>
      <c r="AV1893" s="225"/>
      <c r="AW1893" s="508"/>
      <c r="AX1893" s="225"/>
      <c r="AY1893" s="225"/>
      <c r="AZ1893" s="225"/>
      <c r="BA1893" s="225"/>
      <c r="BB1893" s="225"/>
      <c r="BC1893" s="56"/>
      <c r="BD1893" s="56"/>
      <c r="BE1893" s="56"/>
      <c r="BF1893" s="107" t="str">
        <f t="shared" si="1471"/>
        <v>https://www.google.com/search?tbm=isch&amp;q=Hot%20Lips%20Salvia%20Salvia%20microphylla%20%27Hot%20Lips%27</v>
      </c>
      <c r="BG1893" s="107" t="str">
        <f t="shared" si="1472"/>
        <v>H</v>
      </c>
      <c r="BH1893" s="254"/>
      <c r="BI1893" s="254"/>
    </row>
    <row r="1894" spans="1:61" customFormat="1" ht="15.75" x14ac:dyDescent="0.25">
      <c r="A1894" s="276">
        <v>2</v>
      </c>
      <c r="B1894" s="240" t="s">
        <v>291</v>
      </c>
      <c r="C1894" s="241"/>
      <c r="D1894" s="242" t="s">
        <v>300</v>
      </c>
      <c r="E1894" s="243">
        <v>31.95</v>
      </c>
      <c r="F1894" s="517" t="s">
        <v>293</v>
      </c>
      <c r="G1894" s="232">
        <v>0</v>
      </c>
      <c r="H1894" s="661" t="str">
        <f>IF(G1894=0,"",IF(F1894="Buy",IF(G1894=1,"plant","plants"),IF(F1894&gt;0.01,"warranty","Error")))</f>
        <v/>
      </c>
      <c r="I1894" s="244">
        <f>IF(H1894="free",0,IF(H1894="credit",((E1894*(F1894))*G1894*-1),IF(F1894="Buy",(E1894*G1894),((E1894*(1-F1894))*G1894))))</f>
        <v>0</v>
      </c>
      <c r="J1894" s="244">
        <f>IF(H1894="warranty",0,(I1894*(_xlfn.SINGLE(SalesTaxPercentage))))</f>
        <v>0</v>
      </c>
      <c r="K1894" s="696">
        <f t="shared" ref="K1894" si="1489">I1894+J1894</f>
        <v>0</v>
      </c>
      <c r="L1894" s="696"/>
      <c r="M1894" s="659" t="str">
        <f>IF(AND(G1894&gt;0,E1894=0),"WARNING - no PRICE inserted",IF(H1894="free"," FREE ~ no charge this plant",IF(H1894="credit",CONCATENATE(" -$",ROUND(K1894*(1-T2GDiscount)*-1,2)," CREDIT after discount"),IF(T2GDiscount=0,"",IF(G1894=0,"",IF(F1894="Buy",CONCATENATE(" $",ROUND(K1894*(1-T2GDiscount),2)," with ",(T2GDiscount*100),"% discount"),CONCATENATE(" $",ROUND(K1894*(1-T2GDiscount),2)," with ",((T2GDiscount*100+F1894*100)-(T2GDiscount*100*F1894)),IF(F1894&gt;0,"% discounts",IF(NoWarrantyDiscount&gt;0,"% discounts","% discount")))))))))</f>
        <v/>
      </c>
      <c r="N1894" s="660"/>
      <c r="O1894" s="233"/>
      <c r="P1894" s="233"/>
      <c r="Q1894" s="233"/>
      <c r="R1894" s="233"/>
      <c r="S1894" s="233"/>
      <c r="T1894" s="508">
        <f t="shared" si="1460"/>
        <v>0</v>
      </c>
      <c r="U1894" s="225">
        <f>IF(NOT(ISNUMBER(G1894)), "", VLOOKUP(A1894,'Discount Lookup'!D:E,2,FALSE)*G1894)</f>
        <v>0</v>
      </c>
      <c r="V1894" s="225">
        <f>IF(NOT(ISNUMBER(G1894)), "", VLOOKUP(A1894,'Discount Lookup'!G:H,2,FALSE)*G1894)</f>
        <v>0</v>
      </c>
      <c r="W1894" s="508">
        <f t="shared" si="1461"/>
        <v>0</v>
      </c>
      <c r="X1894" s="508">
        <f t="shared" si="1462"/>
        <v>0</v>
      </c>
      <c r="Y1894" s="509" t="b">
        <f t="shared" si="1463"/>
        <v>0</v>
      </c>
      <c r="Z1894" s="510">
        <f t="shared" si="1464"/>
        <v>0</v>
      </c>
      <c r="AA1894" s="511"/>
      <c r="AB1894" s="511" t="str">
        <f t="shared" si="1465"/>
        <v/>
      </c>
      <c r="AC1894" s="698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698"/>
      <c r="AE1894" s="631" t="str">
        <f t="shared" si="1466"/>
        <v/>
      </c>
      <c r="AF1894" s="699" t="str">
        <f t="shared" si="1467"/>
        <v/>
      </c>
      <c r="AG1894" s="699"/>
      <c r="AH1894" s="699"/>
      <c r="AI1894" s="512">
        <f>IF(H1894="credit",0,IF(AE1894="free",0,IF(AE1894="me",0,IF(G1894&gt;0,(VLOOKUP(A1894,'Discount Lookup'!J:K,2)*G1894),0))))</f>
        <v>0</v>
      </c>
      <c r="AJ1894" s="513" t="str">
        <f t="shared" ca="1" si="1468"/>
        <v/>
      </c>
      <c r="AK1894" s="700" t="str">
        <f t="shared" si="1469"/>
        <v/>
      </c>
      <c r="AL1894" s="700"/>
      <c r="AM1894" s="505" t="str">
        <f t="shared" si="1470"/>
        <v/>
      </c>
      <c r="AN1894" s="506"/>
      <c r="AO1894" s="507"/>
      <c r="AP1894" s="507"/>
      <c r="AQ1894" s="507"/>
      <c r="AR1894" s="507"/>
      <c r="AS1894" s="507"/>
      <c r="AT1894" s="507"/>
      <c r="AU1894" s="507"/>
      <c r="AV1894" s="225"/>
      <c r="AW1894" s="508"/>
      <c r="AX1894" s="225"/>
      <c r="AY1894" s="225"/>
      <c r="AZ1894" s="225"/>
      <c r="BA1894" s="225"/>
      <c r="BB1894" s="225"/>
      <c r="BC1894" s="56"/>
      <c r="BD1894" s="56"/>
      <c r="BE1894" s="56"/>
      <c r="BF1894" s="107" t="str">
        <f t="shared" si="1471"/>
        <v>https://www.google.com/search?tbm=isch&amp;q=2%20G6</v>
      </c>
      <c r="BG1894" s="107" t="str">
        <f t="shared" si="1472"/>
        <v>H</v>
      </c>
      <c r="BH1894" s="254"/>
      <c r="BI1894" s="254"/>
    </row>
    <row r="1895" spans="1:61" customFormat="1" ht="15.75" x14ac:dyDescent="0.25">
      <c r="A1895" s="276" t="s">
        <v>30</v>
      </c>
      <c r="B1895" s="240" t="s">
        <v>388</v>
      </c>
      <c r="C1895" s="241"/>
      <c r="D1895" s="242" t="s">
        <v>312</v>
      </c>
      <c r="E1895" s="243">
        <v>59.95</v>
      </c>
      <c r="F1895" s="517" t="s">
        <v>293</v>
      </c>
      <c r="G1895" s="232">
        <v>0</v>
      </c>
      <c r="H1895" s="661" t="str">
        <f>IF(G1895=0,"",IF(F1895="Buy",IF(G1895=1,"plant","plants"),IF(F1895&gt;0.01,"warranty","Error")))</f>
        <v/>
      </c>
      <c r="I1895" s="244">
        <f>IF(H1895="free",0,IF(H1895="credit",((E1895*(F1895))*G1895*-1),IF(F1895="Buy",(E1895*G1895),((E1895*(1-F1895))*G1895))))</f>
        <v>0</v>
      </c>
      <c r="J1895" s="244">
        <f>IF(H1895="warranty",0,(I1895*(_xlfn.SINGLE(SalesTaxPercentage))))</f>
        <v>0</v>
      </c>
      <c r="K1895" s="696">
        <f t="shared" ref="K1895" si="1490">I1895+J1895</f>
        <v>0</v>
      </c>
      <c r="L1895" s="696"/>
      <c r="M1895" s="659" t="str">
        <f>IF(AND(G1895&gt;0,E1895=0),"WARNING - no PRICE inserted",IF(H1895="free"," FREE ~ no charge this plant",IF(H1895="credit",CONCATENATE(" -$",ROUND(K1895*(1-T2GDiscount)*-1,2)," CREDIT after discount"),IF(T2GDiscount=0,"",IF(G1895=0,"",IF(F1895="Buy",CONCATENATE(" $",ROUND(K1895*(1-T2GDiscount),2)," with ",(T2GDiscount*100),"% discount"),CONCATENATE(" $",ROUND(K1895*(1-T2GDiscount),2)," with ",((T2GDiscount*100+F1895*100)-(T2GDiscount*100*F1895)),IF(F1895&gt;0,"% discounts",IF(NoWarrantyDiscount&gt;0,"% discounts","% discount")))))))))</f>
        <v/>
      </c>
      <c r="N1895" s="660"/>
      <c r="O1895" s="233"/>
      <c r="P1895" s="233"/>
      <c r="Q1895" s="233"/>
      <c r="R1895" s="233"/>
      <c r="S1895" s="233"/>
      <c r="T1895" s="508">
        <f t="shared" si="1460"/>
        <v>0</v>
      </c>
      <c r="U1895" s="225">
        <f>IF(NOT(ISNUMBER(G1895)), "", VLOOKUP(A1895,'Discount Lookup'!D:E,2,FALSE)*G1895)</f>
        <v>0</v>
      </c>
      <c r="V1895" s="225">
        <f>IF(NOT(ISNUMBER(G1895)), "", VLOOKUP(A1895,'Discount Lookup'!G:H,2,FALSE)*G1895)</f>
        <v>0</v>
      </c>
      <c r="W1895" s="508">
        <f t="shared" si="1461"/>
        <v>0</v>
      </c>
      <c r="X1895" s="508">
        <f t="shared" si="1462"/>
        <v>0</v>
      </c>
      <c r="Y1895" s="509" t="b">
        <f t="shared" si="1463"/>
        <v>0</v>
      </c>
      <c r="Z1895" s="510">
        <f t="shared" si="1464"/>
        <v>0</v>
      </c>
      <c r="AA1895" s="511"/>
      <c r="AB1895" s="511" t="str">
        <f t="shared" si="1465"/>
        <v/>
      </c>
      <c r="AC1895" s="698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698"/>
      <c r="AE1895" s="631" t="str">
        <f t="shared" si="1466"/>
        <v/>
      </c>
      <c r="AF1895" s="699" t="str">
        <f t="shared" si="1467"/>
        <v/>
      </c>
      <c r="AG1895" s="699"/>
      <c r="AH1895" s="699"/>
      <c r="AI1895" s="512">
        <f>IF(H1895="credit",0,IF(AE1895="free",0,IF(AE1895="me",0,IF(G1895&gt;0,(VLOOKUP(A1895,'Discount Lookup'!J:K,2)*G1895),0))))</f>
        <v>0</v>
      </c>
      <c r="AJ1895" s="513" t="str">
        <f t="shared" ca="1" si="1468"/>
        <v/>
      </c>
      <c r="AK1895" s="700" t="str">
        <f t="shared" si="1469"/>
        <v/>
      </c>
      <c r="AL1895" s="700"/>
      <c r="AM1895" s="505" t="str">
        <f t="shared" si="1470"/>
        <v/>
      </c>
      <c r="AN1895" s="506"/>
      <c r="AO1895" s="507"/>
      <c r="AP1895" s="507"/>
      <c r="AQ1895" s="507"/>
      <c r="AR1895" s="507"/>
      <c r="AS1895" s="507"/>
      <c r="AT1895" s="507"/>
      <c r="AU1895" s="507"/>
      <c r="AV1895" s="225"/>
      <c r="AW1895" s="508"/>
      <c r="AX1895" s="225"/>
      <c r="AY1895" s="225"/>
      <c r="AZ1895" s="225"/>
      <c r="BA1895" s="225"/>
      <c r="BB1895" s="225"/>
      <c r="BC1895" s="56"/>
      <c r="BD1895" s="56"/>
      <c r="BE1895" s="56"/>
      <c r="BF1895" s="107" t="str">
        <f t="shared" si="1471"/>
        <v>https://www.google.com/search?tbm=isch&amp;q=15%20in%20G2</v>
      </c>
      <c r="BG1895" s="107" t="str">
        <f t="shared" si="1472"/>
        <v>1</v>
      </c>
      <c r="BH1895" s="254"/>
      <c r="BI1895" s="254"/>
    </row>
    <row r="1896" spans="1:61" customFormat="1" ht="17.25" thickBot="1" x14ac:dyDescent="0.3">
      <c r="A1896" s="524" t="s">
        <v>4103</v>
      </c>
      <c r="B1896" s="245"/>
      <c r="C1896" s="677"/>
      <c r="D1896" s="499"/>
      <c r="E1896" s="499"/>
      <c r="F1896" s="500"/>
      <c r="G1896" s="501"/>
      <c r="H1896" s="502"/>
      <c r="I1896" s="246"/>
      <c r="J1896" s="247"/>
      <c r="K1896" s="503"/>
      <c r="L1896" s="544"/>
      <c r="M1896" s="544"/>
      <c r="N1896" s="500"/>
      <c r="O1896" s="500"/>
      <c r="P1896" s="500"/>
      <c r="Q1896" s="500"/>
      <c r="R1896" s="500"/>
      <c r="S1896" s="669" t="s">
        <v>5017</v>
      </c>
      <c r="T1896" s="508">
        <f t="shared" si="1460"/>
        <v>0</v>
      </c>
      <c r="U1896" s="225" t="str">
        <f>IF(NOT(ISNUMBER(G1896)), "", VLOOKUP(A1896,'Discount Lookup'!D:E,2,FALSE)*G1896)</f>
        <v/>
      </c>
      <c r="V1896" s="225" t="str">
        <f>IF(NOT(ISNUMBER(G1896)), "", VLOOKUP(A1896,'Discount Lookup'!G:H,2,FALSE)*G1896)</f>
        <v/>
      </c>
      <c r="W1896" s="508">
        <f t="shared" si="1461"/>
        <v>0</v>
      </c>
      <c r="X1896" s="508">
        <f t="shared" si="1462"/>
        <v>0</v>
      </c>
      <c r="Y1896" s="509" t="b">
        <f t="shared" si="1463"/>
        <v>0</v>
      </c>
      <c r="Z1896" s="510">
        <f t="shared" si="1464"/>
        <v>0</v>
      </c>
      <c r="AA1896" s="511"/>
      <c r="AB1896" s="511" t="str">
        <f t="shared" si="1465"/>
        <v/>
      </c>
      <c r="AC1896" s="698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698"/>
      <c r="AE1896" s="631" t="str">
        <f t="shared" si="1466"/>
        <v/>
      </c>
      <c r="AF1896" s="699" t="str">
        <f t="shared" si="1467"/>
        <v/>
      </c>
      <c r="AG1896" s="699"/>
      <c r="AH1896" s="699"/>
      <c r="AI1896" s="512">
        <f>IF(H1896="credit",0,IF(AE1896="free",0,IF(AE1896="me",0,IF(G1896&gt;0,(VLOOKUP(A1896,'Discount Lookup'!J:K,2)*G1896),0))))</f>
        <v>0</v>
      </c>
      <c r="AJ1896" s="513" t="str">
        <f t="shared" ca="1" si="1468"/>
        <v/>
      </c>
      <c r="AK1896" s="700" t="str">
        <f t="shared" si="1469"/>
        <v/>
      </c>
      <c r="AL1896" s="700"/>
      <c r="AM1896" s="505" t="str">
        <f t="shared" si="1470"/>
        <v/>
      </c>
      <c r="AN1896" s="506"/>
      <c r="AO1896" s="507"/>
      <c r="AP1896" s="507"/>
      <c r="AQ1896" s="507"/>
      <c r="AR1896" s="507"/>
      <c r="AS1896" s="507"/>
      <c r="AT1896" s="507"/>
      <c r="AU1896" s="507"/>
      <c r="AV1896" s="225"/>
      <c r="AW1896" s="508"/>
      <c r="AX1896" s="225"/>
      <c r="AY1896" s="225"/>
      <c r="AZ1896" s="225"/>
      <c r="BA1896" s="225"/>
      <c r="BB1896" s="225"/>
      <c r="BC1896" s="56"/>
      <c r="BD1896" s="56"/>
      <c r="BE1896" s="56"/>
      <c r="BF1896" s="107" t="str">
        <f t="shared" si="1471"/>
        <v>https://www.google.com/search?tbm=isch&amp;q=Hot%20Lips%20displays%20blooms%20from%20spring%20to%20frost%2C%20shifting%20color%20with%20lower%20temps.%20Leaves%20have%20a%20scent%20of%20blackcurrant%20</v>
      </c>
      <c r="BG1896" s="107" t="str">
        <f t="shared" si="1472"/>
        <v>H</v>
      </c>
      <c r="BH1896" s="254"/>
      <c r="BI1896" s="254"/>
    </row>
    <row r="1897" spans="1:61" customFormat="1" ht="18" x14ac:dyDescent="0.25">
      <c r="A1897" s="521" t="s">
        <v>1124</v>
      </c>
      <c r="B1897" s="477"/>
      <c r="C1897" s="674"/>
      <c r="D1897" s="478" t="s">
        <v>1125</v>
      </c>
      <c r="E1897" s="479"/>
      <c r="F1897" s="479"/>
      <c r="G1897" s="479"/>
      <c r="H1897" s="582" t="s">
        <v>471</v>
      </c>
      <c r="I1897" s="480" t="s">
        <v>827</v>
      </c>
      <c r="J1897" s="479"/>
      <c r="K1897" s="479"/>
      <c r="L1897" s="560"/>
      <c r="M1897" s="666" t="s">
        <v>4966</v>
      </c>
      <c r="N1897" s="680" t="str">
        <f>IF(AND(ISTEXT($A1897), ISERROR($A1897+0)), HYPERLINK($BF1897, "Images"), "")</f>
        <v>Images</v>
      </c>
      <c r="O1897" s="662" t="s">
        <v>4974</v>
      </c>
      <c r="P1897" s="482"/>
      <c r="Q1897" s="483"/>
      <c r="R1897" s="483"/>
      <c r="S1897" s="484"/>
      <c r="T1897" s="508">
        <f t="shared" si="1460"/>
        <v>0</v>
      </c>
      <c r="U1897" s="225" t="str">
        <f>IF(NOT(ISNUMBER(G1897)), "", VLOOKUP(A1897,'Discount Lookup'!D:E,2,FALSE)*G1897)</f>
        <v/>
      </c>
      <c r="V1897" s="225" t="str">
        <f>IF(NOT(ISNUMBER(G1897)), "", VLOOKUP(A1897,'Discount Lookup'!G:H,2,FALSE)*G1897)</f>
        <v/>
      </c>
      <c r="W1897" s="508">
        <f t="shared" si="1461"/>
        <v>0</v>
      </c>
      <c r="X1897" s="508" t="str">
        <f t="shared" si="1462"/>
        <v>Creamy White bloom</v>
      </c>
      <c r="Y1897" s="509" t="b">
        <f t="shared" si="1463"/>
        <v>0</v>
      </c>
      <c r="Z1897" s="510">
        <f t="shared" si="1464"/>
        <v>0</v>
      </c>
      <c r="AA1897" s="511"/>
      <c r="AB1897" s="511" t="str">
        <f t="shared" si="1465"/>
        <v/>
      </c>
      <c r="AC1897" s="698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698"/>
      <c r="AE1897" s="631" t="str">
        <f t="shared" si="1466"/>
        <v/>
      </c>
      <c r="AF1897" s="699" t="str">
        <f t="shared" si="1467"/>
        <v/>
      </c>
      <c r="AG1897" s="699"/>
      <c r="AH1897" s="699"/>
      <c r="AI1897" s="512">
        <f>IF(H1897="credit",0,IF(AE1897="free",0,IF(AE1897="me",0,IF(G1897&gt;0,(VLOOKUP(A1897,'Discount Lookup'!J:K,2)*G1897),0))))</f>
        <v>0</v>
      </c>
      <c r="AJ1897" s="513" t="str">
        <f t="shared" ca="1" si="1468"/>
        <v/>
      </c>
      <c r="AK1897" s="700" t="str">
        <f t="shared" si="1469"/>
        <v/>
      </c>
      <c r="AL1897" s="700"/>
      <c r="AM1897" s="505" t="str">
        <f t="shared" si="1470"/>
        <v/>
      </c>
      <c r="AN1897" s="506"/>
      <c r="AO1897" s="507"/>
      <c r="AP1897" s="507"/>
      <c r="AQ1897" s="507"/>
      <c r="AR1897" s="507"/>
      <c r="AS1897" s="507"/>
      <c r="AT1897" s="507"/>
      <c r="AU1897" s="507"/>
      <c r="AV1897" s="225"/>
      <c r="AW1897" s="508"/>
      <c r="AX1897" s="225"/>
      <c r="AY1897" s="225"/>
      <c r="AZ1897" s="225"/>
      <c r="BA1897" s="225"/>
      <c r="BB1897" s="225"/>
      <c r="BC1897" s="56"/>
      <c r="BD1897" s="56"/>
      <c r="BE1897" s="56"/>
      <c r="BF1897" s="107" t="str">
        <f t="shared" si="1471"/>
        <v>https://www.google.com/search?tbm=isch&amp;q=Howard%20Privet%20Ligustrum%20japonicum%20%27Howardi%27</v>
      </c>
      <c r="BG1897" s="107" t="str">
        <f t="shared" si="1472"/>
        <v>H</v>
      </c>
      <c r="BH1897" s="254"/>
      <c r="BI1897" s="254"/>
    </row>
    <row r="1898" spans="1:61" customFormat="1" ht="15.75" x14ac:dyDescent="0.25">
      <c r="A1898" s="485">
        <v>3</v>
      </c>
      <c r="B1898" s="486" t="s">
        <v>291</v>
      </c>
      <c r="C1898" s="487" t="s">
        <v>1126</v>
      </c>
      <c r="D1898" s="488" t="s">
        <v>297</v>
      </c>
      <c r="E1898" s="489">
        <v>22.95</v>
      </c>
      <c r="F1898" s="516" t="s">
        <v>293</v>
      </c>
      <c r="G1898" s="232">
        <v>0</v>
      </c>
      <c r="H1898" s="658" t="str">
        <f>IF(G1898=0,"",IF(F1898="Buy",IF(G1898=1,"plant","plants"),IF(F1898&gt;0.01,"warranty","Error")))</f>
        <v/>
      </c>
      <c r="I1898" s="490">
        <f>IF(H1898="free",0,IF(H1898="credit",((E1898*(F1898))*G1898*-1),IF(F1898="Buy",(E1898*G1898),((E1898*(1-F1898))*G1898))))</f>
        <v>0</v>
      </c>
      <c r="J1898" s="490">
        <f>IF(H1898="warranty",0,(I1898*(_xlfn.SINGLE(SalesTaxPercentage))))</f>
        <v>0</v>
      </c>
      <c r="K1898" s="695">
        <f t="shared" ref="K1898" si="1491">I1898+J1898</f>
        <v>0</v>
      </c>
      <c r="L1898" s="695"/>
      <c r="M1898" s="659" t="str">
        <f>IF(AND(G1898&gt;0,E1898=0),"WARNING - no PRICE inserted",IF(H1898="free"," FREE ~ no charge this plant",IF(H1898="credit",CONCATENATE(" -$",ROUND(K1898*(1-T2GDiscount)*-1,2)," CREDIT after discount"),IF(T2GDiscount=0,"",IF(G1898=0,"",IF(F1898="Buy",CONCATENATE(" $",ROUND(K1898*(1-T2GDiscount),2)," with ",(T2GDiscount*100),"% discount"),CONCATENATE(" $",ROUND(K1898*(1-T2GDiscount),2)," with ",((T2GDiscount*100+F1898*100)-(T2GDiscount*100*F1898)),IF(F1898&gt;0,"% discounts",IF(NoWarrantyDiscount&gt;0,"% discounts","% discount")))))))))</f>
        <v/>
      </c>
      <c r="N1898" s="660"/>
      <c r="O1898" s="233"/>
      <c r="P1898" s="233"/>
      <c r="Q1898" s="233"/>
      <c r="R1898" s="233"/>
      <c r="S1898" s="233"/>
      <c r="T1898" s="508">
        <f t="shared" si="1460"/>
        <v>0</v>
      </c>
      <c r="U1898" s="225">
        <f>IF(NOT(ISNUMBER(G1898)), "", VLOOKUP(A1898,'Discount Lookup'!D:E,2,FALSE)*G1898)</f>
        <v>0</v>
      </c>
      <c r="V1898" s="225">
        <f>IF(NOT(ISNUMBER(G1898)), "", VLOOKUP(A1898,'Discount Lookup'!G:H,2,FALSE)*G1898)</f>
        <v>0</v>
      </c>
      <c r="W1898" s="508">
        <f t="shared" si="1461"/>
        <v>0</v>
      </c>
      <c r="X1898" s="508">
        <f t="shared" si="1462"/>
        <v>0</v>
      </c>
      <c r="Y1898" s="509" t="b">
        <f t="shared" si="1463"/>
        <v>0</v>
      </c>
      <c r="Z1898" s="510">
        <f t="shared" si="1464"/>
        <v>0</v>
      </c>
      <c r="AA1898" s="511"/>
      <c r="AB1898" s="511" t="str">
        <f t="shared" si="1465"/>
        <v/>
      </c>
      <c r="AC1898" s="698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698"/>
      <c r="AE1898" s="631" t="str">
        <f t="shared" si="1466"/>
        <v/>
      </c>
      <c r="AF1898" s="699" t="str">
        <f t="shared" si="1467"/>
        <v/>
      </c>
      <c r="AG1898" s="699"/>
      <c r="AH1898" s="699"/>
      <c r="AI1898" s="512">
        <f>IF(H1898="credit",0,IF(AE1898="free",0,IF(AE1898="me",0,IF(G1898&gt;0,(VLOOKUP(A1898,'Discount Lookup'!J:K,2)*G1898),0))))</f>
        <v>0</v>
      </c>
      <c r="AJ1898" s="513" t="str">
        <f t="shared" ca="1" si="1468"/>
        <v/>
      </c>
      <c r="AK1898" s="700" t="str">
        <f t="shared" si="1469"/>
        <v/>
      </c>
      <c r="AL1898" s="700"/>
      <c r="AM1898" s="505" t="str">
        <f t="shared" si="1470"/>
        <v/>
      </c>
      <c r="AN1898" s="506"/>
      <c r="AO1898" s="507"/>
      <c r="AP1898" s="507"/>
      <c r="AQ1898" s="507"/>
      <c r="AR1898" s="507"/>
      <c r="AS1898" s="507"/>
      <c r="AT1898" s="507"/>
      <c r="AU1898" s="507"/>
      <c r="AV1898" s="225"/>
      <c r="AW1898" s="508"/>
      <c r="AX1898" s="225"/>
      <c r="AY1898" s="225"/>
      <c r="AZ1898" s="225"/>
      <c r="BA1898" s="225"/>
      <c r="BB1898" s="225"/>
      <c r="BC1898" s="56"/>
      <c r="BD1898" s="56"/>
      <c r="BE1898" s="56"/>
      <c r="BF1898" s="107" t="str">
        <f t="shared" si="1471"/>
        <v>https://www.google.com/search?tbm=isch&amp;q=3%20G3</v>
      </c>
      <c r="BG1898" s="107" t="str">
        <f t="shared" si="1472"/>
        <v>H</v>
      </c>
      <c r="BH1898" s="254"/>
      <c r="BI1898" s="254"/>
    </row>
    <row r="1899" spans="1:61" customFormat="1" ht="15.75" x14ac:dyDescent="0.25">
      <c r="A1899" s="485">
        <v>7</v>
      </c>
      <c r="B1899" s="486" t="s">
        <v>291</v>
      </c>
      <c r="C1899" s="487" t="s">
        <v>1127</v>
      </c>
      <c r="D1899" s="488" t="s">
        <v>297</v>
      </c>
      <c r="E1899" s="489">
        <v>56.95</v>
      </c>
      <c r="F1899" s="516" t="s">
        <v>293</v>
      </c>
      <c r="G1899" s="232">
        <v>0</v>
      </c>
      <c r="H1899" s="658" t="str">
        <f>IF(G1899=0,"",IF(F1899="Buy",IF(G1899=1,"plant","plants"),IF(F1899&gt;0.01,"warranty","Error")))</f>
        <v/>
      </c>
      <c r="I1899" s="490">
        <f>IF(H1899="free",0,IF(H1899="credit",((E1899*(F1899))*G1899*-1),IF(F1899="Buy",(E1899*G1899),((E1899*(1-F1899))*G1899))))</f>
        <v>0</v>
      </c>
      <c r="J1899" s="490">
        <f>IF(H1899="warranty",0,(I1899*(_xlfn.SINGLE(SalesTaxPercentage))))</f>
        <v>0</v>
      </c>
      <c r="K1899" s="695">
        <f t="shared" ref="K1899" si="1492">I1899+J1899</f>
        <v>0</v>
      </c>
      <c r="L1899" s="695"/>
      <c r="M1899" s="659" t="str">
        <f>IF(AND(G1899&gt;0,E1899=0),"WARNING - no PRICE inserted",IF(H1899="free"," FREE ~ no charge this plant",IF(H1899="credit",CONCATENATE(" -$",ROUND(K1899*(1-T2GDiscount)*-1,2)," CREDIT after discount"),IF(T2GDiscount=0,"",IF(G1899=0,"",IF(F1899="Buy",CONCATENATE(" $",ROUND(K1899*(1-T2GDiscount),2)," with ",(T2GDiscount*100),"% discount"),CONCATENATE(" $",ROUND(K1899*(1-T2GDiscount),2)," with ",((T2GDiscount*100+F1899*100)-(T2GDiscount*100*F1899)),IF(F1899&gt;0,"% discounts",IF(NoWarrantyDiscount&gt;0,"% discounts","% discount")))))))))</f>
        <v/>
      </c>
      <c r="N1899" s="660"/>
      <c r="O1899" s="233"/>
      <c r="P1899" s="233"/>
      <c r="Q1899" s="233"/>
      <c r="R1899" s="233"/>
      <c r="S1899" s="233"/>
      <c r="T1899" s="508">
        <f t="shared" si="1460"/>
        <v>0</v>
      </c>
      <c r="U1899" s="225">
        <f>IF(NOT(ISNUMBER(G1899)), "", VLOOKUP(A1899,'Discount Lookup'!D:E,2,FALSE)*G1899)</f>
        <v>0</v>
      </c>
      <c r="V1899" s="225">
        <f>IF(NOT(ISNUMBER(G1899)), "", VLOOKUP(A1899,'Discount Lookup'!G:H,2,FALSE)*G1899)</f>
        <v>0</v>
      </c>
      <c r="W1899" s="508">
        <f t="shared" si="1461"/>
        <v>0</v>
      </c>
      <c r="X1899" s="508">
        <f t="shared" si="1462"/>
        <v>0</v>
      </c>
      <c r="Y1899" s="509" t="b">
        <f t="shared" si="1463"/>
        <v>0</v>
      </c>
      <c r="Z1899" s="510">
        <f t="shared" si="1464"/>
        <v>0</v>
      </c>
      <c r="AA1899" s="511"/>
      <c r="AB1899" s="511" t="str">
        <f t="shared" si="1465"/>
        <v/>
      </c>
      <c r="AC1899" s="698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698"/>
      <c r="AE1899" s="631" t="str">
        <f t="shared" si="1466"/>
        <v/>
      </c>
      <c r="AF1899" s="699" t="str">
        <f t="shared" si="1467"/>
        <v/>
      </c>
      <c r="AG1899" s="699"/>
      <c r="AH1899" s="699"/>
      <c r="AI1899" s="512">
        <f>IF(H1899="credit",0,IF(AE1899="free",0,IF(AE1899="me",0,IF(G1899&gt;0,(VLOOKUP(A1899,'Discount Lookup'!J:K,2)*G1899),0))))</f>
        <v>0</v>
      </c>
      <c r="AJ1899" s="513" t="str">
        <f t="shared" ca="1" si="1468"/>
        <v/>
      </c>
      <c r="AK1899" s="700" t="str">
        <f t="shared" si="1469"/>
        <v/>
      </c>
      <c r="AL1899" s="700"/>
      <c r="AM1899" s="505" t="str">
        <f t="shared" si="1470"/>
        <v/>
      </c>
      <c r="AN1899" s="506"/>
      <c r="AO1899" s="507"/>
      <c r="AP1899" s="507"/>
      <c r="AQ1899" s="507"/>
      <c r="AR1899" s="507"/>
      <c r="AS1899" s="507"/>
      <c r="AT1899" s="507"/>
      <c r="AU1899" s="507"/>
      <c r="AV1899" s="225"/>
      <c r="AW1899" s="508"/>
      <c r="AX1899" s="225"/>
      <c r="AY1899" s="225"/>
      <c r="AZ1899" s="225"/>
      <c r="BA1899" s="225"/>
      <c r="BB1899" s="225"/>
      <c r="BC1899" s="56"/>
      <c r="BD1899" s="56"/>
      <c r="BE1899" s="56"/>
      <c r="BF1899" s="107" t="str">
        <f t="shared" si="1471"/>
        <v>https://www.google.com/search?tbm=isch&amp;q=7%20G3</v>
      </c>
      <c r="BG1899" s="107" t="str">
        <f t="shared" si="1472"/>
        <v>H</v>
      </c>
      <c r="BH1899" s="254"/>
      <c r="BI1899" s="254"/>
    </row>
    <row r="1900" spans="1:61" customFormat="1" ht="17.25" thickBot="1" x14ac:dyDescent="0.3">
      <c r="A1900" s="522" t="s">
        <v>2898</v>
      </c>
      <c r="B1900" s="491"/>
      <c r="C1900" s="675"/>
      <c r="D1900" s="491"/>
      <c r="E1900" s="491"/>
      <c r="F1900" s="492"/>
      <c r="G1900" s="493"/>
      <c r="H1900" s="491"/>
      <c r="I1900" s="234"/>
      <c r="J1900" s="234"/>
      <c r="K1900" s="494"/>
      <c r="L1900" s="543"/>
      <c r="M1900" s="561"/>
      <c r="N1900" s="495"/>
      <c r="O1900" s="496"/>
      <c r="P1900" s="497"/>
      <c r="Q1900" s="495"/>
      <c r="R1900" s="495"/>
      <c r="S1900" s="667" t="s">
        <v>4986</v>
      </c>
      <c r="T1900" s="508">
        <f t="shared" si="1460"/>
        <v>0</v>
      </c>
      <c r="U1900" s="225" t="str">
        <f>IF(NOT(ISNUMBER(G1900)), "", VLOOKUP(A1900,'Discount Lookup'!D:E,2,FALSE)*G1900)</f>
        <v/>
      </c>
      <c r="V1900" s="225" t="str">
        <f>IF(NOT(ISNUMBER(G1900)), "", VLOOKUP(A1900,'Discount Lookup'!G:H,2,FALSE)*G1900)</f>
        <v/>
      </c>
      <c r="W1900" s="508">
        <f t="shared" si="1461"/>
        <v>0</v>
      </c>
      <c r="X1900" s="508">
        <f t="shared" si="1462"/>
        <v>0</v>
      </c>
      <c r="Y1900" s="509" t="b">
        <f t="shared" si="1463"/>
        <v>0</v>
      </c>
      <c r="Z1900" s="510">
        <f t="shared" si="1464"/>
        <v>0</v>
      </c>
      <c r="AA1900" s="511"/>
      <c r="AB1900" s="511" t="str">
        <f t="shared" si="1465"/>
        <v/>
      </c>
      <c r="AC1900" s="698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698"/>
      <c r="AE1900" s="631" t="str">
        <f t="shared" si="1466"/>
        <v/>
      </c>
      <c r="AF1900" s="699" t="str">
        <f t="shared" si="1467"/>
        <v/>
      </c>
      <c r="AG1900" s="699"/>
      <c r="AH1900" s="699"/>
      <c r="AI1900" s="512">
        <f>IF(H1900="credit",0,IF(AE1900="free",0,IF(AE1900="me",0,IF(G1900&gt;0,(VLOOKUP(A1900,'Discount Lookup'!J:K,2)*G1900),0))))</f>
        <v>0</v>
      </c>
      <c r="AJ1900" s="513" t="str">
        <f t="shared" ca="1" si="1468"/>
        <v/>
      </c>
      <c r="AK1900" s="700" t="str">
        <f t="shared" si="1469"/>
        <v/>
      </c>
      <c r="AL1900" s="700"/>
      <c r="AM1900" s="505" t="str">
        <f t="shared" si="1470"/>
        <v/>
      </c>
      <c r="AN1900" s="506"/>
      <c r="AO1900" s="507"/>
      <c r="AP1900" s="507"/>
      <c r="AQ1900" s="507"/>
      <c r="AR1900" s="507"/>
      <c r="AS1900" s="507"/>
      <c r="AT1900" s="507"/>
      <c r="AU1900" s="507"/>
      <c r="AV1900" s="225"/>
      <c r="AW1900" s="508"/>
      <c r="AX1900" s="225"/>
      <c r="AY1900" s="225"/>
      <c r="AZ1900" s="225"/>
      <c r="BA1900" s="225"/>
      <c r="BB1900" s="225"/>
      <c r="BC1900" s="56"/>
      <c r="BD1900" s="56"/>
      <c r="BE1900" s="56"/>
      <c r="BF1900" s="107" t="str">
        <f t="shared" si="1471"/>
        <v>https://www.google.com/search?tbm=isch&amp;q=Howard%20foliage%20emerges%20Golden-Yellow%2C%20turning%20Dark%20Green%20with%20Yellow%20variegation.%20Bluish-Black%20berries%20</v>
      </c>
      <c r="BG1900" s="107" t="str">
        <f t="shared" si="1472"/>
        <v>H</v>
      </c>
      <c r="BH1900" s="254"/>
      <c r="BI1900" s="254"/>
    </row>
    <row r="1901" spans="1:61" customFormat="1" ht="18" x14ac:dyDescent="0.25">
      <c r="A1901" s="523" t="s">
        <v>1128</v>
      </c>
      <c r="B1901" s="235"/>
      <c r="C1901" s="676"/>
      <c r="D1901" s="255" t="s">
        <v>1129</v>
      </c>
      <c r="E1901" s="236"/>
      <c r="F1901" s="236"/>
      <c r="G1901" s="236"/>
      <c r="H1901" s="582" t="s">
        <v>483</v>
      </c>
      <c r="I1901" s="498" t="s">
        <v>654</v>
      </c>
      <c r="J1901" s="237"/>
      <c r="K1901" s="237"/>
      <c r="L1901" s="274"/>
      <c r="M1901" s="668" t="s">
        <v>4964</v>
      </c>
      <c r="N1901" s="681" t="str">
        <f>IF(AND(ISTEXT($A1901), ISERROR($A1901+0)), HYPERLINK($BF1901, "Images"), "")</f>
        <v>Images</v>
      </c>
      <c r="O1901" s="663" t="s">
        <v>4967</v>
      </c>
      <c r="P1901" s="253"/>
      <c r="Q1901" s="238"/>
      <c r="R1901" s="239"/>
      <c r="S1901" s="275" t="s">
        <v>305</v>
      </c>
      <c r="T1901" s="508">
        <f t="shared" si="1460"/>
        <v>0</v>
      </c>
      <c r="U1901" s="225" t="str">
        <f>IF(NOT(ISNUMBER(G1901)), "", VLOOKUP(A1901,'Discount Lookup'!D:E,2,FALSE)*G1901)</f>
        <v/>
      </c>
      <c r="V1901" s="225" t="str">
        <f>IF(NOT(ISNUMBER(G1901)), "", VLOOKUP(A1901,'Discount Lookup'!G:H,2,FALSE)*G1901)</f>
        <v/>
      </c>
      <c r="W1901" s="508">
        <f t="shared" si="1461"/>
        <v>0</v>
      </c>
      <c r="X1901" s="508" t="str">
        <f t="shared" si="1462"/>
        <v>White bloom</v>
      </c>
      <c r="Y1901" s="509" t="b">
        <f t="shared" si="1463"/>
        <v>0</v>
      </c>
      <c r="Z1901" s="510">
        <f t="shared" si="1464"/>
        <v>0</v>
      </c>
      <c r="AA1901" s="511"/>
      <c r="AB1901" s="511" t="str">
        <f t="shared" si="1465"/>
        <v/>
      </c>
      <c r="AC1901" s="698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698"/>
      <c r="AE1901" s="631" t="str">
        <f t="shared" si="1466"/>
        <v/>
      </c>
      <c r="AF1901" s="699" t="str">
        <f t="shared" si="1467"/>
        <v/>
      </c>
      <c r="AG1901" s="699"/>
      <c r="AH1901" s="699"/>
      <c r="AI1901" s="512">
        <f>IF(H1901="credit",0,IF(AE1901="free",0,IF(AE1901="me",0,IF(G1901&gt;0,(VLOOKUP(A1901,'Discount Lookup'!J:K,2)*G1901),0))))</f>
        <v>0</v>
      </c>
      <c r="AJ1901" s="513" t="str">
        <f t="shared" ca="1" si="1468"/>
        <v/>
      </c>
      <c r="AK1901" s="700" t="str">
        <f t="shared" si="1469"/>
        <v/>
      </c>
      <c r="AL1901" s="700"/>
      <c r="AM1901" s="505" t="str">
        <f t="shared" si="1470"/>
        <v/>
      </c>
      <c r="AN1901" s="506"/>
      <c r="AO1901" s="507"/>
      <c r="AP1901" s="507"/>
      <c r="AQ1901" s="507"/>
      <c r="AR1901" s="507"/>
      <c r="AS1901" s="507"/>
      <c r="AT1901" s="507"/>
      <c r="AU1901" s="507"/>
      <c r="AV1901" s="225"/>
      <c r="AW1901" s="508"/>
      <c r="AX1901" s="225"/>
      <c r="AY1901" s="225"/>
      <c r="AZ1901" s="225"/>
      <c r="BA1901" s="225"/>
      <c r="BB1901" s="225"/>
      <c r="BC1901" s="56"/>
      <c r="BD1901" s="56"/>
      <c r="BE1901" s="56"/>
      <c r="BF1901" s="107" t="str">
        <f t="shared" si="1471"/>
        <v>https://www.google.com/search?tbm=isch&amp;q=Hummingbird%20Summersweet%20Clethra%20alnifolia%20%27Hummingbird%27</v>
      </c>
      <c r="BG1901" s="107" t="str">
        <f t="shared" si="1472"/>
        <v>H</v>
      </c>
      <c r="BH1901" s="254"/>
      <c r="BI1901" s="254"/>
    </row>
    <row r="1902" spans="1:61" customFormat="1" ht="15.75" x14ac:dyDescent="0.25">
      <c r="A1902" s="276">
        <v>3</v>
      </c>
      <c r="B1902" s="240" t="s">
        <v>291</v>
      </c>
      <c r="C1902" s="241"/>
      <c r="D1902" s="242" t="s">
        <v>298</v>
      </c>
      <c r="E1902" s="243">
        <v>25.95</v>
      </c>
      <c r="F1902" s="517" t="s">
        <v>293</v>
      </c>
      <c r="G1902" s="232">
        <v>0</v>
      </c>
      <c r="H1902" s="661" t="str">
        <f>IF(G1902=0,"",IF(F1902="Buy",IF(G1902=1,"plant","plants"),IF(F1902&gt;0.01,"warranty","Error")))</f>
        <v/>
      </c>
      <c r="I1902" s="244">
        <f>IF(H1902="free",0,IF(H1902="credit",((E1902*(F1902))*G1902*-1),IF(F1902="Buy",(E1902*G1902),((E1902*(1-F1902))*G1902))))</f>
        <v>0</v>
      </c>
      <c r="J1902" s="244">
        <f>IF(H1902="warranty",0,(I1902*(_xlfn.SINGLE(SalesTaxPercentage))))</f>
        <v>0</v>
      </c>
      <c r="K1902" s="696">
        <f t="shared" ref="K1902" si="1493">I1902+J1902</f>
        <v>0</v>
      </c>
      <c r="L1902" s="696"/>
      <c r="M1902" s="659" t="str">
        <f>IF(AND(G1902&gt;0,E1902=0),"WARNING - no PRICE inserted",IF(H1902="free"," FREE ~ no charge this plant",IF(H1902="credit",CONCATENATE(" -$",ROUND(K1902*(1-T2GDiscount)*-1,2)," CREDIT after discount"),IF(T2GDiscount=0,"",IF(G1902=0,"",IF(F1902="Buy",CONCATENATE(" $",ROUND(K1902*(1-T2GDiscount),2)," with ",(T2GDiscount*100),"% discount"),CONCATENATE(" $",ROUND(K1902*(1-T2GDiscount),2)," with ",((T2GDiscount*100+F1902*100)-(T2GDiscount*100*F1902)),IF(F1902&gt;0,"% discounts",IF(NoWarrantyDiscount&gt;0,"% discounts","% discount")))))))))</f>
        <v/>
      </c>
      <c r="N1902" s="660"/>
      <c r="O1902" s="233"/>
      <c r="P1902" s="233"/>
      <c r="Q1902" s="233"/>
      <c r="R1902" s="233"/>
      <c r="S1902" s="233"/>
      <c r="T1902" s="508">
        <f t="shared" si="1460"/>
        <v>0</v>
      </c>
      <c r="U1902" s="225">
        <f>IF(NOT(ISNUMBER(G1902)), "", VLOOKUP(A1902,'Discount Lookup'!D:E,2,FALSE)*G1902)</f>
        <v>0</v>
      </c>
      <c r="V1902" s="225">
        <f>IF(NOT(ISNUMBER(G1902)), "", VLOOKUP(A1902,'Discount Lookup'!G:H,2,FALSE)*G1902)</f>
        <v>0</v>
      </c>
      <c r="W1902" s="508">
        <f t="shared" si="1461"/>
        <v>0</v>
      </c>
      <c r="X1902" s="508">
        <f t="shared" si="1462"/>
        <v>0</v>
      </c>
      <c r="Y1902" s="509" t="b">
        <f t="shared" si="1463"/>
        <v>0</v>
      </c>
      <c r="Z1902" s="510">
        <f t="shared" si="1464"/>
        <v>0</v>
      </c>
      <c r="AA1902" s="511"/>
      <c r="AB1902" s="511" t="str">
        <f t="shared" si="1465"/>
        <v/>
      </c>
      <c r="AC1902" s="698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698"/>
      <c r="AE1902" s="631" t="str">
        <f t="shared" si="1466"/>
        <v/>
      </c>
      <c r="AF1902" s="699" t="str">
        <f t="shared" si="1467"/>
        <v/>
      </c>
      <c r="AG1902" s="699"/>
      <c r="AH1902" s="699"/>
      <c r="AI1902" s="512">
        <f>IF(H1902="credit",0,IF(AE1902="free",0,IF(AE1902="me",0,IF(G1902&gt;0,(VLOOKUP(A1902,'Discount Lookup'!J:K,2)*G1902),0))))</f>
        <v>0</v>
      </c>
      <c r="AJ1902" s="513" t="str">
        <f t="shared" ca="1" si="1468"/>
        <v/>
      </c>
      <c r="AK1902" s="700" t="str">
        <f t="shared" si="1469"/>
        <v/>
      </c>
      <c r="AL1902" s="700"/>
      <c r="AM1902" s="505" t="str">
        <f t="shared" si="1470"/>
        <v/>
      </c>
      <c r="AN1902" s="506"/>
      <c r="AO1902" s="507"/>
      <c r="AP1902" s="507"/>
      <c r="AQ1902" s="507"/>
      <c r="AR1902" s="507"/>
      <c r="AS1902" s="507"/>
      <c r="AT1902" s="507"/>
      <c r="AU1902" s="507"/>
      <c r="AV1902" s="225"/>
      <c r="AW1902" s="508"/>
      <c r="AX1902" s="225"/>
      <c r="AY1902" s="225"/>
      <c r="AZ1902" s="225"/>
      <c r="BA1902" s="225"/>
      <c r="BB1902" s="225"/>
      <c r="BC1902" s="56"/>
      <c r="BD1902" s="56"/>
      <c r="BE1902" s="56"/>
      <c r="BF1902" s="107" t="str">
        <f t="shared" si="1471"/>
        <v>https://www.google.com/search?tbm=isch&amp;q=3%20G1</v>
      </c>
      <c r="BG1902" s="107" t="str">
        <f t="shared" si="1472"/>
        <v>H</v>
      </c>
      <c r="BH1902" s="254"/>
      <c r="BI1902" s="254"/>
    </row>
    <row r="1903" spans="1:61" customFormat="1" ht="15.75" x14ac:dyDescent="0.25">
      <c r="A1903" s="276">
        <v>7</v>
      </c>
      <c r="B1903" s="240" t="s">
        <v>291</v>
      </c>
      <c r="C1903" s="241" t="s">
        <v>3995</v>
      </c>
      <c r="D1903" s="242" t="s">
        <v>300</v>
      </c>
      <c r="E1903" s="243">
        <v>93.95</v>
      </c>
      <c r="F1903" s="517" t="s">
        <v>293</v>
      </c>
      <c r="G1903" s="232">
        <v>0</v>
      </c>
      <c r="H1903" s="661" t="str">
        <f>IF(G1903=0,"",IF(F1903="Buy",IF(G1903=1,"plant","plants"),IF(F1903&gt;0.01,"warranty","Error")))</f>
        <v/>
      </c>
      <c r="I1903" s="244">
        <f>IF(H1903="free",0,IF(H1903="credit",((E1903*(F1903))*G1903*-1),IF(F1903="Buy",(E1903*G1903),((E1903*(1-F1903))*G1903))))</f>
        <v>0</v>
      </c>
      <c r="J1903" s="244">
        <f>IF(H1903="warranty",0,(I1903*(_xlfn.SINGLE(SalesTaxPercentage))))</f>
        <v>0</v>
      </c>
      <c r="K1903" s="696">
        <f t="shared" ref="K1903" si="1494">I1903+J1903</f>
        <v>0</v>
      </c>
      <c r="L1903" s="696"/>
      <c r="M1903" s="659" t="str">
        <f>IF(AND(G1903&gt;0,E1903=0),"WARNING - no PRICE inserted",IF(H1903="free"," FREE ~ no charge this plant",IF(H1903="credit",CONCATENATE(" -$",ROUND(K1903*(1-T2GDiscount)*-1,2)," CREDIT after discount"),IF(T2GDiscount=0,"",IF(G1903=0,"",IF(F1903="Buy",CONCATENATE(" $",ROUND(K1903*(1-T2GDiscount),2)," with ",(T2GDiscount*100),"% discount"),CONCATENATE(" $",ROUND(K1903*(1-T2GDiscount),2)," with ",((T2GDiscount*100+F1903*100)-(T2GDiscount*100*F1903)),IF(F1903&gt;0,"% discounts",IF(NoWarrantyDiscount&gt;0,"% discounts","% discount")))))))))</f>
        <v/>
      </c>
      <c r="N1903" s="660"/>
      <c r="O1903" s="233"/>
      <c r="P1903" s="233"/>
      <c r="Q1903" s="233"/>
      <c r="R1903" s="233"/>
      <c r="S1903" s="233"/>
      <c r="T1903" s="508">
        <f t="shared" si="1460"/>
        <v>0</v>
      </c>
      <c r="U1903" s="225">
        <f>IF(NOT(ISNUMBER(G1903)), "", VLOOKUP(A1903,'Discount Lookup'!D:E,2,FALSE)*G1903)</f>
        <v>0</v>
      </c>
      <c r="V1903" s="225">
        <f>IF(NOT(ISNUMBER(G1903)), "", VLOOKUP(A1903,'Discount Lookup'!G:H,2,FALSE)*G1903)</f>
        <v>0</v>
      </c>
      <c r="W1903" s="508">
        <f t="shared" si="1461"/>
        <v>0</v>
      </c>
      <c r="X1903" s="508">
        <f t="shared" si="1462"/>
        <v>0</v>
      </c>
      <c r="Y1903" s="509" t="b">
        <f t="shared" si="1463"/>
        <v>0</v>
      </c>
      <c r="Z1903" s="510">
        <f t="shared" si="1464"/>
        <v>0</v>
      </c>
      <c r="AA1903" s="511"/>
      <c r="AB1903" s="511" t="str">
        <f t="shared" si="1465"/>
        <v/>
      </c>
      <c r="AC1903" s="698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698"/>
      <c r="AE1903" s="631" t="str">
        <f t="shared" si="1466"/>
        <v/>
      </c>
      <c r="AF1903" s="699" t="str">
        <f t="shared" si="1467"/>
        <v/>
      </c>
      <c r="AG1903" s="699"/>
      <c r="AH1903" s="699"/>
      <c r="AI1903" s="512">
        <f>IF(H1903="credit",0,IF(AE1903="free",0,IF(AE1903="me",0,IF(G1903&gt;0,(VLOOKUP(A1903,'Discount Lookup'!J:K,2)*G1903),0))))</f>
        <v>0</v>
      </c>
      <c r="AJ1903" s="513" t="str">
        <f t="shared" ca="1" si="1468"/>
        <v/>
      </c>
      <c r="AK1903" s="700" t="str">
        <f t="shared" si="1469"/>
        <v/>
      </c>
      <c r="AL1903" s="700"/>
      <c r="AM1903" s="505" t="str">
        <f t="shared" si="1470"/>
        <v/>
      </c>
      <c r="AN1903" s="506"/>
      <c r="AO1903" s="507"/>
      <c r="AP1903" s="507"/>
      <c r="AQ1903" s="507"/>
      <c r="AR1903" s="507"/>
      <c r="AS1903" s="507"/>
      <c r="AT1903" s="507"/>
      <c r="AU1903" s="507"/>
      <c r="AV1903" s="225"/>
      <c r="AW1903" s="508"/>
      <c r="AX1903" s="225"/>
      <c r="AY1903" s="225"/>
      <c r="AZ1903" s="225"/>
      <c r="BA1903" s="225"/>
      <c r="BB1903" s="225"/>
      <c r="BC1903" s="56"/>
      <c r="BD1903" s="56"/>
      <c r="BE1903" s="56"/>
      <c r="BF1903" s="107" t="str">
        <f t="shared" si="1471"/>
        <v>https://www.google.com/search?tbm=isch&amp;q=7%20G6</v>
      </c>
      <c r="BG1903" s="107" t="str">
        <f t="shared" si="1472"/>
        <v>H</v>
      </c>
      <c r="BH1903" s="254"/>
      <c r="BI1903" s="254"/>
    </row>
    <row r="1904" spans="1:61" customFormat="1" ht="17.25" thickBot="1" x14ac:dyDescent="0.3">
      <c r="A1904" s="673" t="s">
        <v>5141</v>
      </c>
      <c r="B1904" s="245"/>
      <c r="C1904" s="677"/>
      <c r="D1904" s="499"/>
      <c r="E1904" s="499"/>
      <c r="F1904" s="500"/>
      <c r="G1904" s="501"/>
      <c r="H1904" s="502"/>
      <c r="I1904" s="246"/>
      <c r="J1904" s="247"/>
      <c r="K1904" s="503"/>
      <c r="L1904" s="544"/>
      <c r="M1904" s="544"/>
      <c r="N1904" s="500"/>
      <c r="O1904" s="500"/>
      <c r="P1904" s="500"/>
      <c r="Q1904" s="500"/>
      <c r="R1904" s="500"/>
      <c r="S1904" s="669" t="s">
        <v>4976</v>
      </c>
      <c r="T1904" s="508">
        <f t="shared" si="1460"/>
        <v>0</v>
      </c>
      <c r="U1904" s="225" t="str">
        <f>IF(NOT(ISNUMBER(G1904)), "", VLOOKUP(A1904,'Discount Lookup'!D:E,2,FALSE)*G1904)</f>
        <v/>
      </c>
      <c r="V1904" s="225" t="str">
        <f>IF(NOT(ISNUMBER(G1904)), "", VLOOKUP(A1904,'Discount Lookup'!G:H,2,FALSE)*G1904)</f>
        <v/>
      </c>
      <c r="W1904" s="508">
        <f t="shared" si="1461"/>
        <v>0</v>
      </c>
      <c r="X1904" s="508">
        <f t="shared" si="1462"/>
        <v>0</v>
      </c>
      <c r="Y1904" s="509" t="b">
        <f t="shared" si="1463"/>
        <v>0</v>
      </c>
      <c r="Z1904" s="510">
        <f t="shared" si="1464"/>
        <v>0</v>
      </c>
      <c r="AA1904" s="511"/>
      <c r="AB1904" s="511" t="str">
        <f t="shared" si="1465"/>
        <v/>
      </c>
      <c r="AC1904" s="698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698"/>
      <c r="AE1904" s="631" t="str">
        <f t="shared" si="1466"/>
        <v/>
      </c>
      <c r="AF1904" s="699" t="str">
        <f t="shared" si="1467"/>
        <v/>
      </c>
      <c r="AG1904" s="699"/>
      <c r="AH1904" s="699"/>
      <c r="AI1904" s="512">
        <f>IF(H1904="credit",0,IF(AE1904="free",0,IF(AE1904="me",0,IF(G1904&gt;0,(VLOOKUP(A1904,'Discount Lookup'!J:K,2)*G1904),0))))</f>
        <v>0</v>
      </c>
      <c r="AJ1904" s="513" t="str">
        <f t="shared" ca="1" si="1468"/>
        <v/>
      </c>
      <c r="AK1904" s="700" t="str">
        <f t="shared" si="1469"/>
        <v/>
      </c>
      <c r="AL1904" s="700"/>
      <c r="AM1904" s="505" t="str">
        <f t="shared" si="1470"/>
        <v/>
      </c>
      <c r="AN1904" s="506"/>
      <c r="AO1904" s="507"/>
      <c r="AP1904" s="507"/>
      <c r="AQ1904" s="507"/>
      <c r="AR1904" s="507"/>
      <c r="AS1904" s="507"/>
      <c r="AT1904" s="507"/>
      <c r="AU1904" s="507"/>
      <c r="AV1904" s="225"/>
      <c r="AW1904" s="508"/>
      <c r="AX1904" s="225"/>
      <c r="AY1904" s="225"/>
      <c r="AZ1904" s="225"/>
      <c r="BA1904" s="225"/>
      <c r="BB1904" s="225"/>
      <c r="BC1904" s="56"/>
      <c r="BD1904" s="56"/>
      <c r="BE1904" s="56"/>
      <c r="BF1904" s="107" t="str">
        <f t="shared" si="1471"/>
        <v>https://www.google.com/search?tbm=isch&amp;q=wet%20sites%F0%9F%92%A7GOOD%2C%20Hummingbird%2C%20like%20all%20Clethra%2C%20is%20known%20for%20blooming%20in%20shady%20areas%2C%20after%20other%20plants%20finish%20</v>
      </c>
      <c r="BG1904" s="107" t="str">
        <f t="shared" si="1472"/>
        <v>w</v>
      </c>
      <c r="BH1904" s="254"/>
      <c r="BI1904" s="254"/>
    </row>
    <row r="1905" spans="1:61" customFormat="1" ht="18" x14ac:dyDescent="0.25">
      <c r="A1905" s="521" t="s">
        <v>5430</v>
      </c>
      <c r="B1905" s="477"/>
      <c r="C1905" s="674"/>
      <c r="D1905" s="478" t="s">
        <v>1130</v>
      </c>
      <c r="E1905" s="479"/>
      <c r="F1905" s="479"/>
      <c r="G1905" s="479"/>
      <c r="H1905" s="582" t="s">
        <v>474</v>
      </c>
      <c r="I1905" s="480" t="s">
        <v>2899</v>
      </c>
      <c r="J1905" s="479"/>
      <c r="K1905" s="479"/>
      <c r="L1905" s="560"/>
      <c r="M1905" s="666" t="s">
        <v>4966</v>
      </c>
      <c r="N1905" s="680" t="str">
        <f>IF(AND(ISTEXT($A1905), ISERROR($A1905+0)), HYPERLINK($BF1905, "Images"), "")</f>
        <v>Images</v>
      </c>
      <c r="O1905" s="662" t="s">
        <v>4967</v>
      </c>
      <c r="P1905" s="482"/>
      <c r="Q1905" s="483"/>
      <c r="R1905" s="483"/>
      <c r="S1905" s="484"/>
      <c r="T1905" s="508">
        <f t="shared" si="1460"/>
        <v>0</v>
      </c>
      <c r="U1905" s="225" t="str">
        <f>IF(NOT(ISNUMBER(G1905)), "", VLOOKUP(A1905,'Discount Lookup'!D:E,2,FALSE)*G1905)</f>
        <v/>
      </c>
      <c r="V1905" s="225" t="str">
        <f>IF(NOT(ISNUMBER(G1905)), "", VLOOKUP(A1905,'Discount Lookup'!G:H,2,FALSE)*G1905)</f>
        <v/>
      </c>
      <c r="W1905" s="508">
        <f t="shared" si="1461"/>
        <v>0</v>
      </c>
      <c r="X1905" s="508" t="str">
        <f t="shared" si="1462"/>
        <v>Golden-Orange foliage</v>
      </c>
      <c r="Y1905" s="509" t="b">
        <f t="shared" si="1463"/>
        <v>0</v>
      </c>
      <c r="Z1905" s="510">
        <f t="shared" si="1464"/>
        <v>0</v>
      </c>
      <c r="AA1905" s="511"/>
      <c r="AB1905" s="511" t="str">
        <f t="shared" si="1465"/>
        <v/>
      </c>
      <c r="AC1905" s="698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698"/>
      <c r="AE1905" s="631" t="str">
        <f t="shared" si="1466"/>
        <v/>
      </c>
      <c r="AF1905" s="699" t="str">
        <f t="shared" si="1467"/>
        <v/>
      </c>
      <c r="AG1905" s="699"/>
      <c r="AH1905" s="699"/>
      <c r="AI1905" s="512">
        <f>IF(H1905="credit",0,IF(AE1905="free",0,IF(AE1905="me",0,IF(G1905&gt;0,(VLOOKUP(A1905,'Discount Lookup'!J:K,2)*G1905),0))))</f>
        <v>0</v>
      </c>
      <c r="AJ1905" s="513" t="str">
        <f t="shared" ca="1" si="1468"/>
        <v/>
      </c>
      <c r="AK1905" s="700" t="str">
        <f t="shared" si="1469"/>
        <v/>
      </c>
      <c r="AL1905" s="700"/>
      <c r="AM1905" s="505" t="str">
        <f t="shared" si="1470"/>
        <v/>
      </c>
      <c r="AN1905" s="506"/>
      <c r="AO1905" s="507"/>
      <c r="AP1905" s="507"/>
      <c r="AQ1905" s="507"/>
      <c r="AR1905" s="507"/>
      <c r="AS1905" s="507"/>
      <c r="AT1905" s="507"/>
      <c r="AU1905" s="507"/>
      <c r="AV1905" s="225"/>
      <c r="AW1905" s="508"/>
      <c r="AX1905" s="225"/>
      <c r="AY1905" s="225"/>
      <c r="AZ1905" s="225"/>
      <c r="BA1905" s="225"/>
      <c r="BB1905" s="225"/>
      <c r="BC1905" s="56"/>
      <c r="BD1905" s="56"/>
      <c r="BE1905" s="56"/>
      <c r="BF1905" s="107" t="str">
        <f t="shared" si="1471"/>
        <v>https://www.google.com/search?tbm=isch&amp;q=Hunny%20Bun%C2%AE%20Cleyera%20Ternstroemia%20gymnanthera%20%27Hunny%20Bun%27%20PP%2320787</v>
      </c>
      <c r="BG1905" s="107" t="str">
        <f t="shared" si="1472"/>
        <v>H</v>
      </c>
      <c r="BH1905" s="254"/>
      <c r="BI1905" s="254"/>
    </row>
    <row r="1906" spans="1:61" customFormat="1" ht="27" x14ac:dyDescent="0.25">
      <c r="A1906" s="485">
        <v>7</v>
      </c>
      <c r="B1906" s="486" t="s">
        <v>291</v>
      </c>
      <c r="C1906" s="487" t="s">
        <v>3569</v>
      </c>
      <c r="D1906" s="488" t="s">
        <v>292</v>
      </c>
      <c r="E1906" s="489">
        <v>104.95</v>
      </c>
      <c r="F1906" s="516" t="s">
        <v>293</v>
      </c>
      <c r="G1906" s="232">
        <v>0</v>
      </c>
      <c r="H1906" s="658" t="str">
        <f>IF(G1906=0,"",IF(F1906="Buy",IF(G1906=1,"plant","plants"),IF(F1906&gt;0.01,"warranty","Error")))</f>
        <v/>
      </c>
      <c r="I1906" s="490">
        <f>IF(H1906="free",0,IF(H1906="credit",((E1906*(F1906))*G1906*-1),IF(F1906="Buy",(E1906*G1906),((E1906*(1-F1906))*G1906))))</f>
        <v>0</v>
      </c>
      <c r="J1906" s="490">
        <f>IF(H1906="warranty",0,(I1906*(_xlfn.SINGLE(SalesTaxPercentage))))</f>
        <v>0</v>
      </c>
      <c r="K1906" s="695">
        <f t="shared" ref="K1906" si="1495">I1906+J1906</f>
        <v>0</v>
      </c>
      <c r="L1906" s="695"/>
      <c r="M1906" s="659" t="str">
        <f>IF(AND(G1906&gt;0,E1906=0),"WARNING - no PRICE inserted",IF(H1906="free"," FREE ~ no charge this plant",IF(H1906="credit",CONCATENATE(" -$",ROUND(K1906*(1-T2GDiscount)*-1,2)," CREDIT after discount"),IF(T2GDiscount=0,"",IF(G1906=0,"",IF(F1906="Buy",CONCATENATE(" $",ROUND(K1906*(1-T2GDiscount),2)," with ",(T2GDiscount*100),"% discount"),CONCATENATE(" $",ROUND(K1906*(1-T2GDiscount),2)," with ",((T2GDiscount*100+F1906*100)-(T2GDiscount*100*F1906)),IF(F1906&gt;0,"% discounts",IF(NoWarrantyDiscount&gt;0,"% discounts","% discount")))))))))</f>
        <v/>
      </c>
      <c r="N1906" s="660"/>
      <c r="O1906" s="233"/>
      <c r="P1906" s="233"/>
      <c r="Q1906" s="233"/>
      <c r="R1906" s="233"/>
      <c r="S1906" s="233"/>
      <c r="T1906" s="508">
        <f t="shared" si="1460"/>
        <v>0</v>
      </c>
      <c r="U1906" s="225">
        <f>IF(NOT(ISNUMBER(G1906)), "", VLOOKUP(A1906,'Discount Lookup'!D:E,2,FALSE)*G1906)</f>
        <v>0</v>
      </c>
      <c r="V1906" s="225">
        <f>IF(NOT(ISNUMBER(G1906)), "", VLOOKUP(A1906,'Discount Lookup'!G:H,2,FALSE)*G1906)</f>
        <v>0</v>
      </c>
      <c r="W1906" s="508">
        <f t="shared" si="1461"/>
        <v>0</v>
      </c>
      <c r="X1906" s="508">
        <f t="shared" si="1462"/>
        <v>0</v>
      </c>
      <c r="Y1906" s="509" t="b">
        <f t="shared" si="1463"/>
        <v>0</v>
      </c>
      <c r="Z1906" s="510">
        <f t="shared" si="1464"/>
        <v>0</v>
      </c>
      <c r="AA1906" s="511"/>
      <c r="AB1906" s="511" t="str">
        <f t="shared" si="1465"/>
        <v/>
      </c>
      <c r="AC1906" s="698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698"/>
      <c r="AE1906" s="631" t="str">
        <f t="shared" si="1466"/>
        <v/>
      </c>
      <c r="AF1906" s="699" t="str">
        <f t="shared" si="1467"/>
        <v/>
      </c>
      <c r="AG1906" s="699"/>
      <c r="AH1906" s="699"/>
      <c r="AI1906" s="512">
        <f>IF(H1906="credit",0,IF(AE1906="free",0,IF(AE1906="me",0,IF(G1906&gt;0,(VLOOKUP(A1906,'Discount Lookup'!J:K,2)*G1906),0))))</f>
        <v>0</v>
      </c>
      <c r="AJ1906" s="513" t="str">
        <f t="shared" ca="1" si="1468"/>
        <v/>
      </c>
      <c r="AK1906" s="700" t="str">
        <f t="shared" si="1469"/>
        <v/>
      </c>
      <c r="AL1906" s="700"/>
      <c r="AM1906" s="505" t="str">
        <f t="shared" si="1470"/>
        <v/>
      </c>
      <c r="AN1906" s="506"/>
      <c r="AO1906" s="507"/>
      <c r="AP1906" s="507"/>
      <c r="AQ1906" s="507"/>
      <c r="AR1906" s="507"/>
      <c r="AS1906" s="507"/>
      <c r="AT1906" s="507"/>
      <c r="AU1906" s="507"/>
      <c r="AV1906" s="225"/>
      <c r="AW1906" s="508"/>
      <c r="AX1906" s="225"/>
      <c r="AY1906" s="225"/>
      <c r="AZ1906" s="225"/>
      <c r="BA1906" s="225"/>
      <c r="BB1906" s="225"/>
      <c r="BC1906" s="56"/>
      <c r="BD1906" s="56"/>
      <c r="BE1906" s="56"/>
      <c r="BF1906" s="107" t="str">
        <f t="shared" si="1471"/>
        <v>https://www.google.com/search?tbm=isch&amp;q=7%20G4</v>
      </c>
      <c r="BG1906" s="107" t="str">
        <f t="shared" si="1472"/>
        <v>H</v>
      </c>
      <c r="BH1906" s="254"/>
      <c r="BI1906" s="254"/>
    </row>
    <row r="1907" spans="1:61" customFormat="1" ht="15.75" x14ac:dyDescent="0.25">
      <c r="A1907" s="522" t="s">
        <v>4104</v>
      </c>
      <c r="B1907" s="491"/>
      <c r="C1907" s="675"/>
      <c r="D1907" s="491"/>
      <c r="E1907" s="491"/>
      <c r="F1907" s="492"/>
      <c r="G1907" s="493"/>
      <c r="H1907" s="491"/>
      <c r="I1907" s="234"/>
      <c r="J1907" s="234"/>
      <c r="K1907" s="494"/>
      <c r="L1907" s="543"/>
      <c r="M1907" s="561"/>
      <c r="N1907" s="495"/>
      <c r="O1907" s="496"/>
      <c r="P1907" s="497"/>
      <c r="Q1907" s="495"/>
      <c r="R1907" s="495"/>
      <c r="S1907" s="277"/>
      <c r="T1907" s="508">
        <f t="shared" si="1460"/>
        <v>0</v>
      </c>
      <c r="U1907" s="225" t="str">
        <f>IF(NOT(ISNUMBER(G1907)), "", VLOOKUP(A1907,'Discount Lookup'!D:E,2,FALSE)*G1907)</f>
        <v/>
      </c>
      <c r="V1907" s="225" t="str">
        <f>IF(NOT(ISNUMBER(G1907)), "", VLOOKUP(A1907,'Discount Lookup'!G:H,2,FALSE)*G1907)</f>
        <v/>
      </c>
      <c r="W1907" s="508">
        <f t="shared" si="1461"/>
        <v>0</v>
      </c>
      <c r="X1907" s="508">
        <f t="shared" si="1462"/>
        <v>0</v>
      </c>
      <c r="Y1907" s="509" t="b">
        <f t="shared" si="1463"/>
        <v>0</v>
      </c>
      <c r="Z1907" s="510">
        <f t="shared" si="1464"/>
        <v>0</v>
      </c>
      <c r="AA1907" s="511"/>
      <c r="AB1907" s="511" t="str">
        <f t="shared" si="1465"/>
        <v/>
      </c>
      <c r="AC1907" s="698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698"/>
      <c r="AE1907" s="631" t="str">
        <f t="shared" si="1466"/>
        <v/>
      </c>
      <c r="AF1907" s="699" t="str">
        <f t="shared" si="1467"/>
        <v/>
      </c>
      <c r="AG1907" s="699"/>
      <c r="AH1907" s="699"/>
      <c r="AI1907" s="512">
        <f>IF(H1907="credit",0,IF(AE1907="free",0,IF(AE1907="me",0,IF(G1907&gt;0,(VLOOKUP(A1907,'Discount Lookup'!J:K,2)*G1907),0))))</f>
        <v>0</v>
      </c>
      <c r="AJ1907" s="513" t="str">
        <f t="shared" ca="1" si="1468"/>
        <v/>
      </c>
      <c r="AK1907" s="700" t="str">
        <f t="shared" si="1469"/>
        <v/>
      </c>
      <c r="AL1907" s="700"/>
      <c r="AM1907" s="505" t="str">
        <f t="shared" si="1470"/>
        <v/>
      </c>
      <c r="AN1907" s="506"/>
      <c r="AO1907" s="507"/>
      <c r="AP1907" s="507"/>
      <c r="AQ1907" s="507"/>
      <c r="AR1907" s="507"/>
      <c r="AS1907" s="507"/>
      <c r="AT1907" s="507"/>
      <c r="AU1907" s="507"/>
      <c r="AV1907" s="225"/>
      <c r="AW1907" s="508"/>
      <c r="AX1907" s="225"/>
      <c r="AY1907" s="225"/>
      <c r="AZ1907" s="225"/>
      <c r="BA1907" s="225"/>
      <c r="BB1907" s="225"/>
      <c r="BC1907" s="56"/>
      <c r="BD1907" s="56"/>
      <c r="BE1907" s="56"/>
      <c r="BF1907" s="107" t="str">
        <f t="shared" si="1471"/>
        <v>https://www.google.com/search?tbm=isch&amp;q=Hunny%20Bun%20has%20fine-textured%20foliage%20that%20glows.%20New%20growth%20Coppery-Bronze.%20%20Small%2C%20fragrant%2C%20Creamy-White%20flower%20</v>
      </c>
      <c r="BG1907" s="107" t="str">
        <f t="shared" si="1472"/>
        <v>H</v>
      </c>
      <c r="BH1907" s="254"/>
      <c r="BI1907" s="254"/>
    </row>
    <row r="1908" spans="1:61" customFormat="1" ht="45.75" thickBot="1" x14ac:dyDescent="0.35">
      <c r="A1908" s="525" t="s">
        <v>1131</v>
      </c>
      <c r="B1908" s="248"/>
      <c r="C1908" s="678" t="s">
        <v>673</v>
      </c>
      <c r="D1908" s="249"/>
      <c r="E1908" s="249"/>
      <c r="F1908" s="249"/>
      <c r="G1908" s="249"/>
      <c r="H1908" s="250"/>
      <c r="I1908" s="249"/>
      <c r="J1908" s="249"/>
      <c r="K1908" s="526" t="s">
        <v>2840</v>
      </c>
      <c r="L1908" s="279"/>
      <c r="M1908" s="251"/>
      <c r="S1908" s="504" t="s">
        <v>2841</v>
      </c>
      <c r="T1908" s="508">
        <f t="shared" si="1460"/>
        <v>0</v>
      </c>
      <c r="U1908" s="225" t="str">
        <f>IF(NOT(ISNUMBER(G1908)), "", VLOOKUP(A1908,'Discount Lookup'!D:E,2,FALSE)*G1908)</f>
        <v/>
      </c>
      <c r="V1908" s="225" t="str">
        <f>IF(NOT(ISNUMBER(G1908)), "", VLOOKUP(A1908,'Discount Lookup'!G:H,2,FALSE)*G1908)</f>
        <v/>
      </c>
      <c r="W1908" s="508">
        <f t="shared" si="1461"/>
        <v>0</v>
      </c>
      <c r="X1908" s="508">
        <f t="shared" si="1462"/>
        <v>0</v>
      </c>
      <c r="Y1908" s="509" t="b">
        <f t="shared" si="1463"/>
        <v>0</v>
      </c>
      <c r="Z1908" s="510">
        <f t="shared" si="1464"/>
        <v>0</v>
      </c>
      <c r="AA1908" s="511"/>
      <c r="AB1908" s="511" t="str">
        <f t="shared" si="1465"/>
        <v/>
      </c>
      <c r="AC1908" s="698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698"/>
      <c r="AE1908" s="631" t="str">
        <f t="shared" si="1466"/>
        <v/>
      </c>
      <c r="AF1908" s="699" t="str">
        <f t="shared" si="1467"/>
        <v/>
      </c>
      <c r="AG1908" s="699"/>
      <c r="AH1908" s="699"/>
      <c r="AI1908" s="512">
        <f>IF(H1908="credit",0,IF(AE1908="free",0,IF(AE1908="me",0,IF(G1908&gt;0,(VLOOKUP(A1908,'Discount Lookup'!J:K,2)*G1908),0))))</f>
        <v>0</v>
      </c>
      <c r="AJ1908" s="513" t="str">
        <f t="shared" ca="1" si="1468"/>
        <v/>
      </c>
      <c r="AK1908" s="700" t="str">
        <f t="shared" si="1469"/>
        <v/>
      </c>
      <c r="AL1908" s="700"/>
      <c r="AM1908" s="505" t="str">
        <f t="shared" si="1470"/>
        <v/>
      </c>
      <c r="AN1908" s="506"/>
      <c r="AO1908" s="507"/>
      <c r="AP1908" s="507"/>
      <c r="AQ1908" s="507"/>
      <c r="AR1908" s="507"/>
      <c r="AS1908" s="507"/>
      <c r="AT1908" s="507"/>
      <c r="AU1908" s="507"/>
      <c r="AV1908" s="225"/>
      <c r="AW1908" s="508"/>
      <c r="AX1908" s="225"/>
      <c r="AY1908" s="225"/>
      <c r="AZ1908" s="225"/>
      <c r="BA1908" s="225"/>
      <c r="BB1908" s="225"/>
      <c r="BC1908" s="56"/>
      <c r="BD1908" s="56"/>
      <c r="BE1908" s="56"/>
      <c r="BF1908" s="107" t="str">
        <f t="shared" si="1471"/>
        <v>https://www.google.com/search?tbm=isch&amp;q=I%20</v>
      </c>
      <c r="BG1908" s="107" t="str">
        <f t="shared" si="1472"/>
        <v>I</v>
      </c>
      <c r="BH1908" s="254"/>
      <c r="BI1908" s="254"/>
    </row>
    <row r="1909" spans="1:61" customFormat="1" ht="18" x14ac:dyDescent="0.25">
      <c r="A1909" s="521" t="s">
        <v>5431</v>
      </c>
      <c r="B1909" s="477"/>
      <c r="C1909" s="674"/>
      <c r="D1909" s="478" t="s">
        <v>651</v>
      </c>
      <c r="E1909" s="479"/>
      <c r="F1909" s="479"/>
      <c r="G1909" s="479"/>
      <c r="H1909" s="582" t="s">
        <v>463</v>
      </c>
      <c r="I1909" s="480" t="s">
        <v>2407</v>
      </c>
      <c r="J1909" s="479"/>
      <c r="K1909" s="479"/>
      <c r="L1909" s="560"/>
      <c r="M1909" s="671" t="s">
        <v>4985</v>
      </c>
      <c r="N1909" s="680" t="str">
        <f>IF(AND(ISTEXT($A1909), ISERROR($A1909+0)), HYPERLINK($BF1909, "Images"), "")</f>
        <v>Images</v>
      </c>
      <c r="O1909" s="662" t="s">
        <v>4967</v>
      </c>
      <c r="P1909" s="482"/>
      <c r="Q1909" s="483"/>
      <c r="R1909" s="483"/>
      <c r="S1909" s="484"/>
      <c r="T1909" s="508">
        <f t="shared" si="1460"/>
        <v>0</v>
      </c>
      <c r="U1909" s="225" t="str">
        <f>IF(NOT(ISNUMBER(G1909)), "", VLOOKUP(A1909,'Discount Lookup'!D:E,2,FALSE)*G1909)</f>
        <v/>
      </c>
      <c r="V1909" s="225" t="str">
        <f>IF(NOT(ISNUMBER(G1909)), "", VLOOKUP(A1909,'Discount Lookup'!G:H,2,FALSE)*G1909)</f>
        <v/>
      </c>
      <c r="W1909" s="508">
        <f t="shared" si="1461"/>
        <v>0</v>
      </c>
      <c r="X1909" s="508" t="str">
        <f t="shared" si="1462"/>
        <v>Pink, Creamy center</v>
      </c>
      <c r="Y1909" s="509" t="b">
        <f t="shared" si="1463"/>
        <v>0</v>
      </c>
      <c r="Z1909" s="510">
        <f t="shared" si="1464"/>
        <v>0</v>
      </c>
      <c r="AA1909" s="511"/>
      <c r="AB1909" s="511" t="str">
        <f t="shared" si="1465"/>
        <v/>
      </c>
      <c r="AC1909" s="698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698"/>
      <c r="AE1909" s="631" t="str">
        <f t="shared" si="1466"/>
        <v/>
      </c>
      <c r="AF1909" s="699" t="str">
        <f t="shared" si="1467"/>
        <v/>
      </c>
      <c r="AG1909" s="699"/>
      <c r="AH1909" s="699"/>
      <c r="AI1909" s="512">
        <f>IF(H1909="credit",0,IF(AE1909="free",0,IF(AE1909="me",0,IF(G1909&gt;0,(VLOOKUP(A1909,'Discount Lookup'!J:K,2)*G1909),0))))</f>
        <v>0</v>
      </c>
      <c r="AJ1909" s="513" t="str">
        <f t="shared" ca="1" si="1468"/>
        <v/>
      </c>
      <c r="AK1909" s="700" t="str">
        <f t="shared" si="1469"/>
        <v/>
      </c>
      <c r="AL1909" s="700"/>
      <c r="AM1909" s="505" t="str">
        <f t="shared" si="1470"/>
        <v/>
      </c>
      <c r="AN1909" s="506"/>
      <c r="AO1909" s="507"/>
      <c r="AP1909" s="507"/>
      <c r="AQ1909" s="507"/>
      <c r="AR1909" s="507"/>
      <c r="AS1909" s="507"/>
      <c r="AT1909" s="507"/>
      <c r="AU1909" s="507"/>
      <c r="AV1909" s="225"/>
      <c r="AW1909" s="508"/>
      <c r="AX1909" s="225"/>
      <c r="AY1909" s="225"/>
      <c r="AZ1909" s="225"/>
      <c r="BA1909" s="225"/>
      <c r="BB1909" s="225"/>
      <c r="BC1909" s="56"/>
      <c r="BD1909" s="56"/>
      <c r="BE1909" s="56"/>
      <c r="BF1909" s="107" t="str">
        <f t="shared" si="1471"/>
        <v>https://www.google.com/search?tbm=isch&amp;q=Ice%20Angels%C2%AE%20April%20Remembered%20Camellia%20Camellia%20japonica%20%27April%20Remembered%27</v>
      </c>
      <c r="BG1909" s="107" t="str">
        <f t="shared" si="1472"/>
        <v>I</v>
      </c>
      <c r="BH1909" s="254"/>
      <c r="BI1909" s="254"/>
    </row>
    <row r="1910" spans="1:61" customFormat="1" ht="15.75" x14ac:dyDescent="0.25">
      <c r="A1910" s="485">
        <v>7</v>
      </c>
      <c r="B1910" s="486" t="s">
        <v>291</v>
      </c>
      <c r="C1910" s="487" t="s">
        <v>4768</v>
      </c>
      <c r="D1910" s="488" t="s">
        <v>292</v>
      </c>
      <c r="E1910" s="489">
        <v>104.95</v>
      </c>
      <c r="F1910" s="516" t="s">
        <v>293</v>
      </c>
      <c r="G1910" s="232">
        <v>0</v>
      </c>
      <c r="H1910" s="658" t="str">
        <f>IF(G1910=0,"",IF(F1910="Buy",IF(G1910=1,"plant","plants"),IF(F1910&gt;0.01,"warranty","Error")))</f>
        <v/>
      </c>
      <c r="I1910" s="490">
        <f>IF(H1910="free",0,IF(H1910="credit",((E1910*(F1910))*G1910*-1),IF(F1910="Buy",(E1910*G1910),((E1910*(1-F1910))*G1910))))</f>
        <v>0</v>
      </c>
      <c r="J1910" s="490">
        <f>IF(H1910="warranty",0,(I1910*(_xlfn.SINGLE(SalesTaxPercentage))))</f>
        <v>0</v>
      </c>
      <c r="K1910" s="695">
        <f t="shared" ref="K1910" si="1496">I1910+J1910</f>
        <v>0</v>
      </c>
      <c r="L1910" s="695"/>
      <c r="M1910" s="659" t="str">
        <f>IF(AND(G1910&gt;0,E1910=0),"WARNING - no PRICE inserted",IF(H1910="free"," FREE ~ no charge this plant",IF(H1910="credit",CONCATENATE(" -$",ROUND(K1910*(1-T2GDiscount)*-1,2)," CREDIT after discount"),IF(T2GDiscount=0,"",IF(G1910=0,"",IF(F1910="Buy",CONCATENATE(" $",ROUND(K1910*(1-T2GDiscount),2)," with ",(T2GDiscount*100),"% discount"),CONCATENATE(" $",ROUND(K1910*(1-T2GDiscount),2)," with ",((T2GDiscount*100+F1910*100)-(T2GDiscount*100*F1910)),IF(F1910&gt;0,"% discounts",IF(NoWarrantyDiscount&gt;0,"% discounts","% discount")))))))))</f>
        <v/>
      </c>
      <c r="N1910" s="660"/>
      <c r="O1910" s="233"/>
      <c r="P1910" s="233"/>
      <c r="Q1910" s="233"/>
      <c r="R1910" s="233"/>
      <c r="S1910" s="233"/>
      <c r="T1910" s="508">
        <f t="shared" si="1460"/>
        <v>0</v>
      </c>
      <c r="U1910" s="225">
        <f>IF(NOT(ISNUMBER(G1910)), "", VLOOKUP(A1910,'Discount Lookup'!D:E,2,FALSE)*G1910)</f>
        <v>0</v>
      </c>
      <c r="V1910" s="225">
        <f>IF(NOT(ISNUMBER(G1910)), "", VLOOKUP(A1910,'Discount Lookup'!G:H,2,FALSE)*G1910)</f>
        <v>0</v>
      </c>
      <c r="W1910" s="508">
        <f t="shared" si="1461"/>
        <v>0</v>
      </c>
      <c r="X1910" s="508">
        <f t="shared" si="1462"/>
        <v>0</v>
      </c>
      <c r="Y1910" s="509" t="b">
        <f t="shared" si="1463"/>
        <v>0</v>
      </c>
      <c r="Z1910" s="510">
        <f t="shared" si="1464"/>
        <v>0</v>
      </c>
      <c r="AA1910" s="511"/>
      <c r="AB1910" s="511" t="str">
        <f t="shared" si="1465"/>
        <v/>
      </c>
      <c r="AC1910" s="698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698"/>
      <c r="AE1910" s="631" t="str">
        <f t="shared" si="1466"/>
        <v/>
      </c>
      <c r="AF1910" s="699" t="str">
        <f t="shared" si="1467"/>
        <v/>
      </c>
      <c r="AG1910" s="699"/>
      <c r="AH1910" s="699"/>
      <c r="AI1910" s="512">
        <f>IF(H1910="credit",0,IF(AE1910="free",0,IF(AE1910="me",0,IF(G1910&gt;0,(VLOOKUP(A1910,'Discount Lookup'!J:K,2)*G1910),0))))</f>
        <v>0</v>
      </c>
      <c r="AJ1910" s="513" t="str">
        <f t="shared" ca="1" si="1468"/>
        <v/>
      </c>
      <c r="AK1910" s="700" t="str">
        <f t="shared" si="1469"/>
        <v/>
      </c>
      <c r="AL1910" s="700"/>
      <c r="AM1910" s="505" t="str">
        <f t="shared" si="1470"/>
        <v/>
      </c>
      <c r="AN1910" s="506"/>
      <c r="AO1910" s="507"/>
      <c r="AP1910" s="507"/>
      <c r="AQ1910" s="507"/>
      <c r="AR1910" s="507"/>
      <c r="AS1910" s="507"/>
      <c r="AT1910" s="507"/>
      <c r="AU1910" s="507"/>
      <c r="AV1910" s="225"/>
      <c r="AW1910" s="508"/>
      <c r="AX1910" s="225"/>
      <c r="AY1910" s="225"/>
      <c r="AZ1910" s="225"/>
      <c r="BA1910" s="225"/>
      <c r="BB1910" s="225"/>
      <c r="BC1910" s="56"/>
      <c r="BD1910" s="56"/>
      <c r="BE1910" s="56"/>
      <c r="BF1910" s="107" t="str">
        <f t="shared" si="1471"/>
        <v>https://www.google.com/search?tbm=isch&amp;q=7%20G4</v>
      </c>
      <c r="BG1910" s="107" t="str">
        <f t="shared" si="1472"/>
        <v>I</v>
      </c>
      <c r="BH1910" s="254"/>
      <c r="BI1910" s="254"/>
    </row>
    <row r="1911" spans="1:61" customFormat="1" ht="17.25" thickBot="1" x14ac:dyDescent="0.3">
      <c r="A1911" s="522" t="s">
        <v>2408</v>
      </c>
      <c r="B1911" s="491"/>
      <c r="C1911" s="675"/>
      <c r="D1911" s="491"/>
      <c r="E1911" s="491"/>
      <c r="F1911" s="492"/>
      <c r="G1911" s="493"/>
      <c r="H1911" s="491"/>
      <c r="I1911" s="234"/>
      <c r="J1911" s="234"/>
      <c r="K1911" s="494"/>
      <c r="L1911" s="543"/>
      <c r="M1911" s="561"/>
      <c r="N1911" s="495"/>
      <c r="O1911" s="496"/>
      <c r="P1911" s="497"/>
      <c r="Q1911" s="495"/>
      <c r="R1911" s="495"/>
      <c r="S1911" s="667" t="s">
        <v>4986</v>
      </c>
      <c r="T1911" s="508">
        <f t="shared" si="1460"/>
        <v>0</v>
      </c>
      <c r="U1911" s="225" t="str">
        <f>IF(NOT(ISNUMBER(G1911)), "", VLOOKUP(A1911,'Discount Lookup'!D:E,2,FALSE)*G1911)</f>
        <v/>
      </c>
      <c r="V1911" s="225" t="str">
        <f>IF(NOT(ISNUMBER(G1911)), "", VLOOKUP(A1911,'Discount Lookup'!G:H,2,FALSE)*G1911)</f>
        <v/>
      </c>
      <c r="W1911" s="508">
        <f t="shared" si="1461"/>
        <v>0</v>
      </c>
      <c r="X1911" s="508">
        <f t="shared" si="1462"/>
        <v>0</v>
      </c>
      <c r="Y1911" s="509" t="b">
        <f t="shared" si="1463"/>
        <v>0</v>
      </c>
      <c r="Z1911" s="510">
        <f t="shared" si="1464"/>
        <v>0</v>
      </c>
      <c r="AA1911" s="511"/>
      <c r="AB1911" s="511" t="str">
        <f t="shared" si="1465"/>
        <v/>
      </c>
      <c r="AC1911" s="698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698"/>
      <c r="AE1911" s="631" t="str">
        <f t="shared" si="1466"/>
        <v/>
      </c>
      <c r="AF1911" s="699" t="str">
        <f t="shared" si="1467"/>
        <v/>
      </c>
      <c r="AG1911" s="699"/>
      <c r="AH1911" s="699"/>
      <c r="AI1911" s="512">
        <f>IF(H1911="credit",0,IF(AE1911="free",0,IF(AE1911="me",0,IF(G1911&gt;0,(VLOOKUP(A1911,'Discount Lookup'!J:K,2)*G1911),0))))</f>
        <v>0</v>
      </c>
      <c r="AJ1911" s="513" t="str">
        <f t="shared" ca="1" si="1468"/>
        <v/>
      </c>
      <c r="AK1911" s="700" t="str">
        <f t="shared" si="1469"/>
        <v/>
      </c>
      <c r="AL1911" s="700"/>
      <c r="AM1911" s="505" t="str">
        <f t="shared" si="1470"/>
        <v/>
      </c>
      <c r="AN1911" s="506"/>
      <c r="AO1911" s="507"/>
      <c r="AP1911" s="507"/>
      <c r="AQ1911" s="507"/>
      <c r="AR1911" s="507"/>
      <c r="AS1911" s="507"/>
      <c r="AT1911" s="507"/>
      <c r="AU1911" s="507"/>
      <c r="AV1911" s="225"/>
      <c r="AW1911" s="508"/>
      <c r="AX1911" s="225"/>
      <c r="AY1911" s="225"/>
      <c r="AZ1911" s="225"/>
      <c r="BA1911" s="225"/>
      <c r="BB1911" s="225"/>
      <c r="BC1911" s="56"/>
      <c r="BD1911" s="56"/>
      <c r="BE1911" s="56"/>
      <c r="BF1911" s="107" t="str">
        <f t="shared" si="1471"/>
        <v>https://www.google.com/search?tbm=isch&amp;q=April%20Remembered%20dazzles%20with%20long-lasting%20blooms%2C%20glossy%20evergreen%20foliage%2C%20and%20exceptional%20cold%20hardiness%20</v>
      </c>
      <c r="BG1911" s="107" t="str">
        <f t="shared" si="1472"/>
        <v>A</v>
      </c>
      <c r="BH1911" s="254"/>
      <c r="BI1911" s="254"/>
    </row>
    <row r="1912" spans="1:61" customFormat="1" ht="18" x14ac:dyDescent="0.25">
      <c r="A1912" s="521" t="s">
        <v>5432</v>
      </c>
      <c r="B1912" s="477"/>
      <c r="C1912" s="674"/>
      <c r="D1912" s="478" t="s">
        <v>4902</v>
      </c>
      <c r="E1912" s="479"/>
      <c r="F1912" s="479"/>
      <c r="G1912" s="479"/>
      <c r="H1912" s="582" t="s">
        <v>2947</v>
      </c>
      <c r="I1912" s="480" t="s">
        <v>4903</v>
      </c>
      <c r="J1912" s="479"/>
      <c r="K1912" s="479"/>
      <c r="L1912" s="560"/>
      <c r="M1912" s="671" t="s">
        <v>4985</v>
      </c>
      <c r="N1912" s="680" t="str">
        <f>IF(AND(ISTEXT($A1912), ISERROR($A1912+0)), HYPERLINK($BF1912, "Images"), "")</f>
        <v>Images</v>
      </c>
      <c r="O1912" s="662" t="s">
        <v>4969</v>
      </c>
      <c r="P1912" s="482"/>
      <c r="Q1912" s="483"/>
      <c r="R1912" s="483"/>
      <c r="S1912" s="484"/>
      <c r="T1912" s="508">
        <f t="shared" si="1460"/>
        <v>0</v>
      </c>
      <c r="U1912" s="225" t="str">
        <f>IF(NOT(ISNUMBER(G1912)), "", VLOOKUP(A1912,'Discount Lookup'!D:E,2,FALSE)*G1912)</f>
        <v/>
      </c>
      <c r="V1912" s="225" t="str">
        <f>IF(NOT(ISNUMBER(G1912)), "", VLOOKUP(A1912,'Discount Lookup'!G:H,2,FALSE)*G1912)</f>
        <v/>
      </c>
      <c r="W1912" s="508">
        <f t="shared" si="1461"/>
        <v>0</v>
      </c>
      <c r="X1912" s="508" t="str">
        <f t="shared" si="1462"/>
        <v>Wice-Red bloom</v>
      </c>
      <c r="Y1912" s="509" t="b">
        <f t="shared" si="1463"/>
        <v>0</v>
      </c>
      <c r="Z1912" s="510">
        <f t="shared" si="1464"/>
        <v>0</v>
      </c>
      <c r="AA1912" s="511"/>
      <c r="AB1912" s="511" t="str">
        <f t="shared" si="1465"/>
        <v/>
      </c>
      <c r="AC1912" s="698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698"/>
      <c r="AE1912" s="631" t="str">
        <f t="shared" si="1466"/>
        <v/>
      </c>
      <c r="AF1912" s="699" t="str">
        <f t="shared" si="1467"/>
        <v/>
      </c>
      <c r="AG1912" s="699"/>
      <c r="AH1912" s="699"/>
      <c r="AI1912" s="512">
        <f>IF(H1912="credit",0,IF(AE1912="free",0,IF(AE1912="me",0,IF(G1912&gt;0,(VLOOKUP(A1912,'Discount Lookup'!J:K,2)*G1912),0))))</f>
        <v>0</v>
      </c>
      <c r="AJ1912" s="513" t="str">
        <f t="shared" ca="1" si="1468"/>
        <v/>
      </c>
      <c r="AK1912" s="700" t="str">
        <f t="shared" si="1469"/>
        <v/>
      </c>
      <c r="AL1912" s="700"/>
      <c r="AM1912" s="505" t="str">
        <f t="shared" si="1470"/>
        <v/>
      </c>
      <c r="AN1912" s="506"/>
      <c r="AO1912" s="507"/>
      <c r="AP1912" s="507"/>
      <c r="AQ1912" s="507"/>
      <c r="AR1912" s="507"/>
      <c r="AS1912" s="507"/>
      <c r="AT1912" s="507"/>
      <c r="AU1912" s="507"/>
      <c r="AV1912" s="225"/>
      <c r="AW1912" s="508"/>
      <c r="AX1912" s="225"/>
      <c r="AY1912" s="225"/>
      <c r="AZ1912" s="225"/>
      <c r="BA1912" s="225"/>
      <c r="BB1912" s="225"/>
      <c r="BC1912" s="56"/>
      <c r="BD1912" s="56"/>
      <c r="BE1912" s="56"/>
      <c r="BF1912" s="107" t="str">
        <f t="shared" si="1471"/>
        <v>https://www.google.com/search?tbm=isch&amp;q=Ice%20N%27%20Roses%C2%AE%20Barolo%20Lenten%20Rose%20Helleborus%20x%20glandorfensis%20%27COSEH%204600%27%20PP%2330488</v>
      </c>
      <c r="BG1912" s="107" t="str">
        <f t="shared" si="1472"/>
        <v>I</v>
      </c>
      <c r="BH1912" s="254"/>
      <c r="BI1912" s="254"/>
    </row>
    <row r="1913" spans="1:61" customFormat="1" ht="15.75" x14ac:dyDescent="0.25">
      <c r="A1913" s="485">
        <v>1</v>
      </c>
      <c r="B1913" s="486" t="s">
        <v>291</v>
      </c>
      <c r="C1913" s="487"/>
      <c r="D1913" s="488" t="s">
        <v>312</v>
      </c>
      <c r="E1913" s="489">
        <v>22.95</v>
      </c>
      <c r="F1913" s="516" t="s">
        <v>293</v>
      </c>
      <c r="G1913" s="232">
        <v>0</v>
      </c>
      <c r="H1913" s="658" t="str">
        <f>IF(G1913=0,"",IF(F1913="Buy",IF(G1913=1,"plant","plants"),IF(F1913&gt;0.01,"warranty","Error")))</f>
        <v/>
      </c>
      <c r="I1913" s="490">
        <f>IF(H1913="free",0,IF(H1913="credit",((E1913*(F1913))*G1913*-1),IF(F1913="Buy",(E1913*G1913),((E1913*(1-F1913))*G1913))))</f>
        <v>0</v>
      </c>
      <c r="J1913" s="490">
        <f>IF(H1913="warranty",0,(I1913*(_xlfn.SINGLE(SalesTaxPercentage))))</f>
        <v>0</v>
      </c>
      <c r="K1913" s="695">
        <f t="shared" ref="K1913" si="1497">I1913+J1913</f>
        <v>0</v>
      </c>
      <c r="L1913" s="695"/>
      <c r="M1913" s="659" t="str">
        <f>IF(AND(G1913&gt;0,E1913=0),"WARNING - no PRICE inserted",IF(H1913="free"," FREE ~ no charge this plant",IF(H1913="credit",CONCATENATE(" -$",ROUND(K1913*(1-T2GDiscount)*-1,2)," CREDIT after discount"),IF(T2GDiscount=0,"",IF(G1913=0,"",IF(F1913="Buy",CONCATENATE(" $",ROUND(K1913*(1-T2GDiscount),2)," with ",(T2GDiscount*100),"% discount"),CONCATENATE(" $",ROUND(K1913*(1-T2GDiscount),2)," with ",((T2GDiscount*100+F1913*100)-(T2GDiscount*100*F1913)),IF(F1913&gt;0,"% discounts",IF(NoWarrantyDiscount&gt;0,"% discounts","% discount")))))))))</f>
        <v/>
      </c>
      <c r="N1913" s="660"/>
      <c r="O1913" s="233"/>
      <c r="P1913" s="233"/>
      <c r="Q1913" s="233"/>
      <c r="R1913" s="233"/>
      <c r="S1913" s="233"/>
      <c r="T1913" s="508">
        <f t="shared" si="1460"/>
        <v>0</v>
      </c>
      <c r="U1913" s="225">
        <f>IF(NOT(ISNUMBER(G1913)), "", VLOOKUP(A1913,'Discount Lookup'!D:E,2,FALSE)*G1913)</f>
        <v>0</v>
      </c>
      <c r="V1913" s="225">
        <f>IF(NOT(ISNUMBER(G1913)), "", VLOOKUP(A1913,'Discount Lookup'!G:H,2,FALSE)*G1913)</f>
        <v>0</v>
      </c>
      <c r="W1913" s="508">
        <f t="shared" si="1461"/>
        <v>0</v>
      </c>
      <c r="X1913" s="508">
        <f t="shared" si="1462"/>
        <v>0</v>
      </c>
      <c r="Y1913" s="509" t="b">
        <f t="shared" si="1463"/>
        <v>0</v>
      </c>
      <c r="Z1913" s="510">
        <f t="shared" si="1464"/>
        <v>0</v>
      </c>
      <c r="AA1913" s="511"/>
      <c r="AB1913" s="511" t="str">
        <f t="shared" si="1465"/>
        <v/>
      </c>
      <c r="AC1913" s="698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698"/>
      <c r="AE1913" s="631" t="str">
        <f t="shared" si="1466"/>
        <v/>
      </c>
      <c r="AF1913" s="699" t="str">
        <f t="shared" si="1467"/>
        <v/>
      </c>
      <c r="AG1913" s="699"/>
      <c r="AH1913" s="699"/>
      <c r="AI1913" s="512">
        <f>IF(H1913="credit",0,IF(AE1913="free",0,IF(AE1913="me",0,IF(G1913&gt;0,(VLOOKUP(A1913,'Discount Lookup'!J:K,2)*G1913),0))))</f>
        <v>0</v>
      </c>
      <c r="AJ1913" s="513" t="str">
        <f t="shared" ca="1" si="1468"/>
        <v/>
      </c>
      <c r="AK1913" s="700" t="str">
        <f t="shared" si="1469"/>
        <v/>
      </c>
      <c r="AL1913" s="700"/>
      <c r="AM1913" s="505" t="str">
        <f t="shared" si="1470"/>
        <v/>
      </c>
      <c r="AN1913" s="506"/>
      <c r="AO1913" s="507"/>
      <c r="AP1913" s="507"/>
      <c r="AQ1913" s="507"/>
      <c r="AR1913" s="507"/>
      <c r="AS1913" s="507"/>
      <c r="AT1913" s="507"/>
      <c r="AU1913" s="507"/>
      <c r="AV1913" s="225"/>
      <c r="AW1913" s="508"/>
      <c r="AX1913" s="225"/>
      <c r="AY1913" s="225"/>
      <c r="AZ1913" s="225"/>
      <c r="BA1913" s="225"/>
      <c r="BB1913" s="225"/>
      <c r="BC1913" s="56"/>
      <c r="BD1913" s="56"/>
      <c r="BE1913" s="56"/>
      <c r="BF1913" s="107" t="str">
        <f t="shared" si="1471"/>
        <v>https://www.google.com/search?tbm=isch&amp;q=1%20G2</v>
      </c>
      <c r="BG1913" s="107" t="str">
        <f t="shared" si="1472"/>
        <v>I</v>
      </c>
      <c r="BH1913" s="254"/>
      <c r="BI1913" s="254"/>
    </row>
    <row r="1914" spans="1:61" customFormat="1" ht="16.5" thickBot="1" x14ac:dyDescent="0.3">
      <c r="A1914" s="522" t="s">
        <v>2945</v>
      </c>
      <c r="B1914" s="491"/>
      <c r="C1914" s="675"/>
      <c r="D1914" s="491"/>
      <c r="E1914" s="491"/>
      <c r="F1914" s="492"/>
      <c r="G1914" s="493"/>
      <c r="H1914" s="491"/>
      <c r="I1914" s="234"/>
      <c r="J1914" s="234"/>
      <c r="K1914" s="494"/>
      <c r="L1914" s="543"/>
      <c r="M1914" s="561"/>
      <c r="N1914" s="495"/>
      <c r="O1914" s="496"/>
      <c r="P1914" s="497"/>
      <c r="Q1914" s="495"/>
      <c r="R1914" s="495"/>
      <c r="S1914" s="667" t="s">
        <v>4968</v>
      </c>
      <c r="T1914" s="508">
        <f t="shared" si="1460"/>
        <v>0</v>
      </c>
      <c r="U1914" s="225" t="str">
        <f>IF(NOT(ISNUMBER(G1914)), "", VLOOKUP(A1914,'Discount Lookup'!D:E,2,FALSE)*G1914)</f>
        <v/>
      </c>
      <c r="V1914" s="225" t="str">
        <f>IF(NOT(ISNUMBER(G1914)), "", VLOOKUP(A1914,'Discount Lookup'!G:H,2,FALSE)*G1914)</f>
        <v/>
      </c>
      <c r="W1914" s="508">
        <f t="shared" si="1461"/>
        <v>0</v>
      </c>
      <c r="X1914" s="508">
        <f t="shared" si="1462"/>
        <v>0</v>
      </c>
      <c r="Y1914" s="509" t="b">
        <f t="shared" si="1463"/>
        <v>0</v>
      </c>
      <c r="Z1914" s="510">
        <f t="shared" si="1464"/>
        <v>0</v>
      </c>
      <c r="AA1914" s="511"/>
      <c r="AB1914" s="511" t="str">
        <f t="shared" si="1465"/>
        <v/>
      </c>
      <c r="AC1914" s="698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698"/>
      <c r="AE1914" s="631" t="str">
        <f t="shared" si="1466"/>
        <v/>
      </c>
      <c r="AF1914" s="699" t="str">
        <f t="shared" si="1467"/>
        <v/>
      </c>
      <c r="AG1914" s="699"/>
      <c r="AH1914" s="699"/>
      <c r="AI1914" s="512">
        <f>IF(H1914="credit",0,IF(AE1914="free",0,IF(AE1914="me",0,IF(G1914&gt;0,(VLOOKUP(A1914,'Discount Lookup'!J:K,2)*G1914),0))))</f>
        <v>0</v>
      </c>
      <c r="AJ1914" s="513" t="str">
        <f t="shared" ca="1" si="1468"/>
        <v/>
      </c>
      <c r="AK1914" s="700" t="str">
        <f t="shared" si="1469"/>
        <v/>
      </c>
      <c r="AL1914" s="700"/>
      <c r="AM1914" s="505" t="str">
        <f t="shared" si="1470"/>
        <v/>
      </c>
      <c r="AN1914" s="506"/>
      <c r="AO1914" s="507"/>
      <c r="AP1914" s="507"/>
      <c r="AQ1914" s="507"/>
      <c r="AR1914" s="507"/>
      <c r="AS1914" s="507"/>
      <c r="AT1914" s="507"/>
      <c r="AU1914" s="507"/>
      <c r="AV1914" s="225"/>
      <c r="AW1914" s="508"/>
      <c r="AX1914" s="225"/>
      <c r="AY1914" s="225"/>
      <c r="AZ1914" s="225"/>
      <c r="BA1914" s="225"/>
      <c r="BB1914" s="225"/>
      <c r="BC1914" s="56"/>
      <c r="BD1914" s="56"/>
      <c r="BE1914" s="56"/>
      <c r="BF1914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14" s="107" t="str">
        <f t="shared" si="1472"/>
        <v>A</v>
      </c>
      <c r="BH1914" s="254"/>
      <c r="BI1914" s="254"/>
    </row>
    <row r="1915" spans="1:61" customFormat="1" ht="18" x14ac:dyDescent="0.25">
      <c r="A1915" s="521" t="s">
        <v>5433</v>
      </c>
      <c r="B1915" s="477"/>
      <c r="C1915" s="674"/>
      <c r="D1915" s="478" t="s">
        <v>1132</v>
      </c>
      <c r="E1915" s="479"/>
      <c r="F1915" s="479"/>
      <c r="G1915" s="479"/>
      <c r="H1915" s="582" t="s">
        <v>2947</v>
      </c>
      <c r="I1915" s="480" t="s">
        <v>2951</v>
      </c>
      <c r="J1915" s="479"/>
      <c r="K1915" s="479"/>
      <c r="L1915" s="560"/>
      <c r="M1915" s="671" t="s">
        <v>4985</v>
      </c>
      <c r="N1915" s="680" t="str">
        <f>IF(AND(ISTEXT($A1915), ISERROR($A1915+0)), HYPERLINK($BF1915, "Images"), "")</f>
        <v>Images</v>
      </c>
      <c r="O1915" s="662" t="s">
        <v>4969</v>
      </c>
      <c r="P1915" s="482"/>
      <c r="Q1915" s="483"/>
      <c r="R1915" s="483"/>
      <c r="S1915" s="484"/>
      <c r="T1915" s="508">
        <f t="shared" si="1460"/>
        <v>0</v>
      </c>
      <c r="U1915" s="225" t="str">
        <f>IF(NOT(ISNUMBER(G1915)), "", VLOOKUP(A1915,'Discount Lookup'!D:E,2,FALSE)*G1915)</f>
        <v/>
      </c>
      <c r="V1915" s="225" t="str">
        <f>IF(NOT(ISNUMBER(G1915)), "", VLOOKUP(A1915,'Discount Lookup'!G:H,2,FALSE)*G1915)</f>
        <v/>
      </c>
      <c r="W1915" s="508">
        <f t="shared" si="1461"/>
        <v>0</v>
      </c>
      <c r="X1915" s="508" t="str">
        <f t="shared" si="1462"/>
        <v>Burgundy-Wine bloom</v>
      </c>
      <c r="Y1915" s="509" t="b">
        <f t="shared" si="1463"/>
        <v>0</v>
      </c>
      <c r="Z1915" s="510">
        <f t="shared" si="1464"/>
        <v>0</v>
      </c>
      <c r="AA1915" s="511"/>
      <c r="AB1915" s="511" t="str">
        <f t="shared" si="1465"/>
        <v/>
      </c>
      <c r="AC1915" s="698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698"/>
      <c r="AE1915" s="631" t="str">
        <f t="shared" si="1466"/>
        <v/>
      </c>
      <c r="AF1915" s="699" t="str">
        <f t="shared" si="1467"/>
        <v/>
      </c>
      <c r="AG1915" s="699"/>
      <c r="AH1915" s="699"/>
      <c r="AI1915" s="512">
        <f>IF(H1915="credit",0,IF(AE1915="free",0,IF(AE1915="me",0,IF(G1915&gt;0,(VLOOKUP(A1915,'Discount Lookup'!J:K,2)*G1915),0))))</f>
        <v>0</v>
      </c>
      <c r="AJ1915" s="513" t="str">
        <f t="shared" ca="1" si="1468"/>
        <v/>
      </c>
      <c r="AK1915" s="700" t="str">
        <f t="shared" si="1469"/>
        <v/>
      </c>
      <c r="AL1915" s="700"/>
      <c r="AM1915" s="505" t="str">
        <f t="shared" si="1470"/>
        <v/>
      </c>
      <c r="AN1915" s="506"/>
      <c r="AO1915" s="507"/>
      <c r="AP1915" s="507"/>
      <c r="AQ1915" s="507"/>
      <c r="AR1915" s="507"/>
      <c r="AS1915" s="507"/>
      <c r="AT1915" s="507"/>
      <c r="AU1915" s="507"/>
      <c r="AV1915" s="225"/>
      <c r="AW1915" s="508"/>
      <c r="AX1915" s="225"/>
      <c r="AY1915" s="225"/>
      <c r="AZ1915" s="225"/>
      <c r="BA1915" s="225"/>
      <c r="BB1915" s="225"/>
      <c r="BC1915" s="56"/>
      <c r="BD1915" s="56"/>
      <c r="BE1915" s="56"/>
      <c r="BF1915" s="107" t="str">
        <f t="shared" si="1471"/>
        <v>https://www.google.com/search?tbm=isch&amp;q=Ice%20N%27%20Roses%C2%AE%20Brunello%20Lenten%20Rose%20Helleborus%20x%20glandorfensis%20%27Ice%20N%27%20Roses%20Brunello%27%20PP%2332871</v>
      </c>
      <c r="BG1915" s="107" t="str">
        <f t="shared" si="1472"/>
        <v>I</v>
      </c>
      <c r="BH1915" s="254"/>
      <c r="BI1915" s="254"/>
    </row>
    <row r="1916" spans="1:61" customFormat="1" ht="15.75" x14ac:dyDescent="0.25">
      <c r="A1916" s="485">
        <v>2</v>
      </c>
      <c r="B1916" s="486" t="s">
        <v>291</v>
      </c>
      <c r="C1916" s="487"/>
      <c r="D1916" s="488" t="s">
        <v>300</v>
      </c>
      <c r="E1916" s="489">
        <v>65.95</v>
      </c>
      <c r="F1916" s="516" t="s">
        <v>293</v>
      </c>
      <c r="G1916" s="232">
        <v>0</v>
      </c>
      <c r="H1916" s="658" t="str">
        <f>IF(G1916=0,"",IF(F1916="Buy",IF(G1916=1,"plant","plants"),IF(F1916&gt;0.01,"warranty","Error")))</f>
        <v/>
      </c>
      <c r="I1916" s="490">
        <f>IF(H1916="free",0,IF(H1916="credit",((E1916*(F1916))*G1916*-1),IF(F1916="Buy",(E1916*G1916),((E1916*(1-F1916))*G1916))))</f>
        <v>0</v>
      </c>
      <c r="J1916" s="490">
        <f>IF(H1916="warranty",0,(I1916*(_xlfn.SINGLE(SalesTaxPercentage))))</f>
        <v>0</v>
      </c>
      <c r="K1916" s="695">
        <f t="shared" ref="K1916" si="1498">I1916+J1916</f>
        <v>0</v>
      </c>
      <c r="L1916" s="695"/>
      <c r="M1916" s="659" t="str">
        <f>IF(AND(G1916&gt;0,E1916=0),"WARNING - no PRICE inserted",IF(H1916="free"," FREE ~ no charge this plant",IF(H1916="credit",CONCATENATE(" -$",ROUND(K1916*(1-T2GDiscount)*-1,2)," CREDIT after discount"),IF(T2GDiscount=0,"",IF(G1916=0,"",IF(F1916="Buy",CONCATENATE(" $",ROUND(K1916*(1-T2GDiscount),2)," with ",(T2GDiscount*100),"% discount"),CONCATENATE(" $",ROUND(K1916*(1-T2GDiscount),2)," with ",((T2GDiscount*100+F1916*100)-(T2GDiscount*100*F1916)),IF(F1916&gt;0,"% discounts",IF(NoWarrantyDiscount&gt;0,"% discounts","% discount")))))))))</f>
        <v/>
      </c>
      <c r="N1916" s="660"/>
      <c r="O1916" s="233"/>
      <c r="P1916" s="233"/>
      <c r="Q1916" s="233"/>
      <c r="R1916" s="233"/>
      <c r="S1916" s="233"/>
      <c r="T1916" s="508">
        <f t="shared" si="1460"/>
        <v>0</v>
      </c>
      <c r="U1916" s="225">
        <f>IF(NOT(ISNUMBER(G1916)), "", VLOOKUP(A1916,'Discount Lookup'!D:E,2,FALSE)*G1916)</f>
        <v>0</v>
      </c>
      <c r="V1916" s="225">
        <f>IF(NOT(ISNUMBER(G1916)), "", VLOOKUP(A1916,'Discount Lookup'!G:H,2,FALSE)*G1916)</f>
        <v>0</v>
      </c>
      <c r="W1916" s="508">
        <f t="shared" si="1461"/>
        <v>0</v>
      </c>
      <c r="X1916" s="508">
        <f t="shared" si="1462"/>
        <v>0</v>
      </c>
      <c r="Y1916" s="509" t="b">
        <f t="shared" si="1463"/>
        <v>0</v>
      </c>
      <c r="Z1916" s="510">
        <f t="shared" si="1464"/>
        <v>0</v>
      </c>
      <c r="AA1916" s="511"/>
      <c r="AB1916" s="511" t="str">
        <f t="shared" si="1465"/>
        <v/>
      </c>
      <c r="AC1916" s="698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698"/>
      <c r="AE1916" s="631" t="str">
        <f t="shared" si="1466"/>
        <v/>
      </c>
      <c r="AF1916" s="699" t="str">
        <f t="shared" si="1467"/>
        <v/>
      </c>
      <c r="AG1916" s="699"/>
      <c r="AH1916" s="699"/>
      <c r="AI1916" s="512">
        <f>IF(H1916="credit",0,IF(AE1916="free",0,IF(AE1916="me",0,IF(G1916&gt;0,(VLOOKUP(A1916,'Discount Lookup'!J:K,2)*G1916),0))))</f>
        <v>0</v>
      </c>
      <c r="AJ1916" s="513" t="str">
        <f t="shared" ca="1" si="1468"/>
        <v/>
      </c>
      <c r="AK1916" s="700" t="str">
        <f t="shared" si="1469"/>
        <v/>
      </c>
      <c r="AL1916" s="700"/>
      <c r="AM1916" s="505" t="str">
        <f t="shared" si="1470"/>
        <v/>
      </c>
      <c r="AN1916" s="506"/>
      <c r="AO1916" s="507"/>
      <c r="AP1916" s="507"/>
      <c r="AQ1916" s="507"/>
      <c r="AR1916" s="507"/>
      <c r="AS1916" s="507"/>
      <c r="AT1916" s="507"/>
      <c r="AU1916" s="507"/>
      <c r="AV1916" s="225"/>
      <c r="AW1916" s="508"/>
      <c r="AX1916" s="225"/>
      <c r="AY1916" s="225"/>
      <c r="AZ1916" s="225"/>
      <c r="BA1916" s="225"/>
      <c r="BB1916" s="225"/>
      <c r="BC1916" s="56"/>
      <c r="BD1916" s="56"/>
      <c r="BE1916" s="56"/>
      <c r="BF1916" s="107" t="str">
        <f t="shared" si="1471"/>
        <v>https://www.google.com/search?tbm=isch&amp;q=2%20G6</v>
      </c>
      <c r="BG1916" s="107" t="str">
        <f t="shared" si="1472"/>
        <v>I</v>
      </c>
      <c r="BH1916" s="254"/>
      <c r="BI1916" s="254"/>
    </row>
    <row r="1917" spans="1:61" customFormat="1" ht="16.5" thickBot="1" x14ac:dyDescent="0.3">
      <c r="A1917" s="522" t="s">
        <v>2945</v>
      </c>
      <c r="B1917" s="491"/>
      <c r="C1917" s="675"/>
      <c r="D1917" s="491"/>
      <c r="E1917" s="491"/>
      <c r="F1917" s="492"/>
      <c r="G1917" s="493"/>
      <c r="H1917" s="491"/>
      <c r="I1917" s="234"/>
      <c r="J1917" s="234"/>
      <c r="K1917" s="494"/>
      <c r="L1917" s="543"/>
      <c r="M1917" s="561"/>
      <c r="N1917" s="495"/>
      <c r="O1917" s="496"/>
      <c r="P1917" s="497"/>
      <c r="Q1917" s="495"/>
      <c r="R1917" s="495"/>
      <c r="S1917" s="667" t="s">
        <v>4968</v>
      </c>
      <c r="T1917" s="508">
        <f t="shared" si="1460"/>
        <v>0</v>
      </c>
      <c r="U1917" s="225" t="str">
        <f>IF(NOT(ISNUMBER(G1917)), "", VLOOKUP(A1917,'Discount Lookup'!D:E,2,FALSE)*G1917)</f>
        <v/>
      </c>
      <c r="V1917" s="225" t="str">
        <f>IF(NOT(ISNUMBER(G1917)), "", VLOOKUP(A1917,'Discount Lookup'!G:H,2,FALSE)*G1917)</f>
        <v/>
      </c>
      <c r="W1917" s="508">
        <f t="shared" si="1461"/>
        <v>0</v>
      </c>
      <c r="X1917" s="508">
        <f t="shared" si="1462"/>
        <v>0</v>
      </c>
      <c r="Y1917" s="509" t="b">
        <f t="shared" si="1463"/>
        <v>0</v>
      </c>
      <c r="Z1917" s="510">
        <f t="shared" si="1464"/>
        <v>0</v>
      </c>
      <c r="AA1917" s="511"/>
      <c r="AB1917" s="511" t="str">
        <f t="shared" si="1465"/>
        <v/>
      </c>
      <c r="AC1917" s="698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698"/>
      <c r="AE1917" s="631" t="str">
        <f t="shared" si="1466"/>
        <v/>
      </c>
      <c r="AF1917" s="699" t="str">
        <f t="shared" si="1467"/>
        <v/>
      </c>
      <c r="AG1917" s="699"/>
      <c r="AH1917" s="699"/>
      <c r="AI1917" s="512">
        <f>IF(H1917="credit",0,IF(AE1917="free",0,IF(AE1917="me",0,IF(G1917&gt;0,(VLOOKUP(A1917,'Discount Lookup'!J:K,2)*G1917),0))))</f>
        <v>0</v>
      </c>
      <c r="AJ1917" s="513" t="str">
        <f t="shared" ca="1" si="1468"/>
        <v/>
      </c>
      <c r="AK1917" s="700" t="str">
        <f t="shared" si="1469"/>
        <v/>
      </c>
      <c r="AL1917" s="700"/>
      <c r="AM1917" s="505" t="str">
        <f t="shared" si="1470"/>
        <v/>
      </c>
      <c r="AN1917" s="506"/>
      <c r="AO1917" s="507"/>
      <c r="AP1917" s="507"/>
      <c r="AQ1917" s="507"/>
      <c r="AR1917" s="507"/>
      <c r="AS1917" s="507"/>
      <c r="AT1917" s="507"/>
      <c r="AU1917" s="507"/>
      <c r="AV1917" s="225"/>
      <c r="AW1917" s="508"/>
      <c r="AX1917" s="225"/>
      <c r="AY1917" s="225"/>
      <c r="AZ1917" s="225"/>
      <c r="BA1917" s="225"/>
      <c r="BB1917" s="225"/>
      <c r="BC1917" s="56"/>
      <c r="BD1917" s="56"/>
      <c r="BE1917" s="56"/>
      <c r="BF1917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17" s="107" t="str">
        <f t="shared" si="1472"/>
        <v>A</v>
      </c>
      <c r="BH1917" s="254"/>
      <c r="BI1917" s="254"/>
    </row>
    <row r="1918" spans="1:61" customFormat="1" ht="18" x14ac:dyDescent="0.25">
      <c r="A1918" s="521" t="s">
        <v>5434</v>
      </c>
      <c r="B1918" s="477"/>
      <c r="C1918" s="674"/>
      <c r="D1918" s="478" t="s">
        <v>1133</v>
      </c>
      <c r="E1918" s="479"/>
      <c r="F1918" s="479"/>
      <c r="G1918" s="479"/>
      <c r="H1918" s="582" t="s">
        <v>2947</v>
      </c>
      <c r="I1918" s="480" t="s">
        <v>2952</v>
      </c>
      <c r="J1918" s="479"/>
      <c r="K1918" s="479"/>
      <c r="L1918" s="560"/>
      <c r="M1918" s="671" t="s">
        <v>4985</v>
      </c>
      <c r="N1918" s="680" t="str">
        <f>IF(AND(ISTEXT($A1918), ISERROR($A1918+0)), HYPERLINK($BF1918, "Images"), "")</f>
        <v>Images</v>
      </c>
      <c r="O1918" s="662" t="s">
        <v>4969</v>
      </c>
      <c r="P1918" s="482"/>
      <c r="Q1918" s="483"/>
      <c r="R1918" s="483"/>
      <c r="S1918" s="484"/>
      <c r="T1918" s="508">
        <f t="shared" si="1460"/>
        <v>0</v>
      </c>
      <c r="U1918" s="225" t="str">
        <f>IF(NOT(ISNUMBER(G1918)), "", VLOOKUP(A1918,'Discount Lookup'!D:E,2,FALSE)*G1918)</f>
        <v/>
      </c>
      <c r="V1918" s="225" t="str">
        <f>IF(NOT(ISNUMBER(G1918)), "", VLOOKUP(A1918,'Discount Lookup'!G:H,2,FALSE)*G1918)</f>
        <v/>
      </c>
      <c r="W1918" s="508">
        <f t="shared" si="1461"/>
        <v>0</v>
      </c>
      <c r="X1918" s="508" t="str">
        <f t="shared" si="1462"/>
        <v>White bloom, Burgundy edge</v>
      </c>
      <c r="Y1918" s="509" t="b">
        <f t="shared" si="1463"/>
        <v>0</v>
      </c>
      <c r="Z1918" s="510">
        <f t="shared" si="1464"/>
        <v>0</v>
      </c>
      <c r="AA1918" s="511"/>
      <c r="AB1918" s="511" t="str">
        <f t="shared" si="1465"/>
        <v/>
      </c>
      <c r="AC1918" s="698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698"/>
      <c r="AE1918" s="631" t="str">
        <f t="shared" si="1466"/>
        <v/>
      </c>
      <c r="AF1918" s="699" t="str">
        <f t="shared" si="1467"/>
        <v/>
      </c>
      <c r="AG1918" s="699"/>
      <c r="AH1918" s="699"/>
      <c r="AI1918" s="512">
        <f>IF(H1918="credit",0,IF(AE1918="free",0,IF(AE1918="me",0,IF(G1918&gt;0,(VLOOKUP(A1918,'Discount Lookup'!J:K,2)*G1918),0))))</f>
        <v>0</v>
      </c>
      <c r="AJ1918" s="513" t="str">
        <f t="shared" ca="1" si="1468"/>
        <v/>
      </c>
      <c r="AK1918" s="700" t="str">
        <f t="shared" si="1469"/>
        <v/>
      </c>
      <c r="AL1918" s="700"/>
      <c r="AM1918" s="505" t="str">
        <f t="shared" si="1470"/>
        <v/>
      </c>
      <c r="AN1918" s="506"/>
      <c r="AO1918" s="507"/>
      <c r="AP1918" s="507"/>
      <c r="AQ1918" s="507"/>
      <c r="AR1918" s="507"/>
      <c r="AS1918" s="507"/>
      <c r="AT1918" s="507"/>
      <c r="AU1918" s="507"/>
      <c r="AV1918" s="225"/>
      <c r="AW1918" s="508"/>
      <c r="AX1918" s="225"/>
      <c r="AY1918" s="225"/>
      <c r="AZ1918" s="225"/>
      <c r="BA1918" s="225"/>
      <c r="BB1918" s="225"/>
      <c r="BC1918" s="56"/>
      <c r="BD1918" s="56"/>
      <c r="BE1918" s="56"/>
      <c r="BF1918" s="107" t="str">
        <f t="shared" si="1471"/>
        <v>https://www.google.com/search?tbm=isch&amp;q=Ice%20N%27%20Roses%C2%AE%20Dark%20Picotee%20Lenten%20Rose%20Helleborus%20x%20glandorfensis%20%27COSEH%205100%27</v>
      </c>
      <c r="BG1918" s="107" t="str">
        <f t="shared" si="1472"/>
        <v>I</v>
      </c>
      <c r="BH1918" s="254"/>
      <c r="BI1918" s="254"/>
    </row>
    <row r="1919" spans="1:61" customFormat="1" ht="15.75" x14ac:dyDescent="0.25">
      <c r="A1919" s="485">
        <v>2</v>
      </c>
      <c r="B1919" s="486" t="s">
        <v>291</v>
      </c>
      <c r="C1919" s="487"/>
      <c r="D1919" s="488" t="s">
        <v>300</v>
      </c>
      <c r="E1919" s="489">
        <v>65.95</v>
      </c>
      <c r="F1919" s="516" t="s">
        <v>293</v>
      </c>
      <c r="G1919" s="232">
        <v>0</v>
      </c>
      <c r="H1919" s="658" t="str">
        <f>IF(G1919=0,"",IF(F1919="Buy",IF(G1919=1,"plant","plants"),IF(F1919&gt;0.01,"warranty","Error")))</f>
        <v/>
      </c>
      <c r="I1919" s="490">
        <f>IF(H1919="free",0,IF(H1919="credit",((E1919*(F1919))*G1919*-1),IF(F1919="Buy",(E1919*G1919),((E1919*(1-F1919))*G1919))))</f>
        <v>0</v>
      </c>
      <c r="J1919" s="490">
        <f>IF(H1919="warranty",0,(I1919*(_xlfn.SINGLE(SalesTaxPercentage))))</f>
        <v>0</v>
      </c>
      <c r="K1919" s="695">
        <f t="shared" ref="K1919" si="1499">I1919+J1919</f>
        <v>0</v>
      </c>
      <c r="L1919" s="695"/>
      <c r="M1919" s="659" t="str">
        <f>IF(AND(G1919&gt;0,E1919=0),"WARNING - no PRICE inserted",IF(H1919="free"," FREE ~ no charge this plant",IF(H1919="credit",CONCATENATE(" -$",ROUND(K1919*(1-T2GDiscount)*-1,2)," CREDIT after discount"),IF(T2GDiscount=0,"",IF(G1919=0,"",IF(F1919="Buy",CONCATENATE(" $",ROUND(K1919*(1-T2GDiscount),2)," with ",(T2GDiscount*100),"% discount"),CONCATENATE(" $",ROUND(K1919*(1-T2GDiscount),2)," with ",((T2GDiscount*100+F1919*100)-(T2GDiscount*100*F1919)),IF(F1919&gt;0,"% discounts",IF(NoWarrantyDiscount&gt;0,"% discounts","% discount")))))))))</f>
        <v/>
      </c>
      <c r="N1919" s="660"/>
      <c r="O1919" s="233"/>
      <c r="P1919" s="233"/>
      <c r="Q1919" s="233"/>
      <c r="R1919" s="233"/>
      <c r="S1919" s="233"/>
      <c r="T1919" s="508">
        <f t="shared" si="1460"/>
        <v>0</v>
      </c>
      <c r="U1919" s="225">
        <f>IF(NOT(ISNUMBER(G1919)), "", VLOOKUP(A1919,'Discount Lookup'!D:E,2,FALSE)*G1919)</f>
        <v>0</v>
      </c>
      <c r="V1919" s="225">
        <f>IF(NOT(ISNUMBER(G1919)), "", VLOOKUP(A1919,'Discount Lookup'!G:H,2,FALSE)*G1919)</f>
        <v>0</v>
      </c>
      <c r="W1919" s="508">
        <f t="shared" si="1461"/>
        <v>0</v>
      </c>
      <c r="X1919" s="508">
        <f t="shared" si="1462"/>
        <v>0</v>
      </c>
      <c r="Y1919" s="509" t="b">
        <f t="shared" si="1463"/>
        <v>0</v>
      </c>
      <c r="Z1919" s="510">
        <f t="shared" si="1464"/>
        <v>0</v>
      </c>
      <c r="AA1919" s="511"/>
      <c r="AB1919" s="511" t="str">
        <f t="shared" si="1465"/>
        <v/>
      </c>
      <c r="AC1919" s="698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698"/>
      <c r="AE1919" s="631" t="str">
        <f t="shared" si="1466"/>
        <v/>
      </c>
      <c r="AF1919" s="699" t="str">
        <f t="shared" si="1467"/>
        <v/>
      </c>
      <c r="AG1919" s="699"/>
      <c r="AH1919" s="699"/>
      <c r="AI1919" s="512">
        <f>IF(H1919="credit",0,IF(AE1919="free",0,IF(AE1919="me",0,IF(G1919&gt;0,(VLOOKUP(A1919,'Discount Lookup'!J:K,2)*G1919),0))))</f>
        <v>0</v>
      </c>
      <c r="AJ1919" s="513" t="str">
        <f t="shared" ca="1" si="1468"/>
        <v/>
      </c>
      <c r="AK1919" s="700" t="str">
        <f t="shared" si="1469"/>
        <v/>
      </c>
      <c r="AL1919" s="700"/>
      <c r="AM1919" s="505" t="str">
        <f t="shared" si="1470"/>
        <v/>
      </c>
      <c r="AN1919" s="506"/>
      <c r="AO1919" s="507"/>
      <c r="AP1919" s="507"/>
      <c r="AQ1919" s="507"/>
      <c r="AR1919" s="507"/>
      <c r="AS1919" s="507"/>
      <c r="AT1919" s="507"/>
      <c r="AU1919" s="507"/>
      <c r="AV1919" s="225"/>
      <c r="AW1919" s="508"/>
      <c r="AX1919" s="225"/>
      <c r="AY1919" s="225"/>
      <c r="AZ1919" s="225"/>
      <c r="BA1919" s="225"/>
      <c r="BB1919" s="225"/>
      <c r="BC1919" s="56"/>
      <c r="BD1919" s="56"/>
      <c r="BE1919" s="56"/>
      <c r="BF1919" s="107" t="str">
        <f t="shared" si="1471"/>
        <v>https://www.google.com/search?tbm=isch&amp;q=2%20G6</v>
      </c>
      <c r="BG1919" s="107" t="str">
        <f t="shared" si="1472"/>
        <v>I</v>
      </c>
      <c r="BH1919" s="254"/>
      <c r="BI1919" s="254"/>
    </row>
    <row r="1920" spans="1:61" customFormat="1" ht="16.5" thickBot="1" x14ac:dyDescent="0.3">
      <c r="A1920" s="522" t="s">
        <v>2945</v>
      </c>
      <c r="B1920" s="491"/>
      <c r="C1920" s="675"/>
      <c r="D1920" s="491"/>
      <c r="E1920" s="491"/>
      <c r="F1920" s="492"/>
      <c r="G1920" s="493"/>
      <c r="H1920" s="491"/>
      <c r="I1920" s="234"/>
      <c r="J1920" s="234"/>
      <c r="K1920" s="494"/>
      <c r="L1920" s="543"/>
      <c r="M1920" s="561"/>
      <c r="N1920" s="495"/>
      <c r="O1920" s="496"/>
      <c r="P1920" s="497"/>
      <c r="Q1920" s="495"/>
      <c r="R1920" s="495"/>
      <c r="S1920" s="667" t="s">
        <v>4968</v>
      </c>
      <c r="T1920" s="508">
        <f t="shared" si="1460"/>
        <v>0</v>
      </c>
      <c r="U1920" s="225" t="str">
        <f>IF(NOT(ISNUMBER(G1920)), "", VLOOKUP(A1920,'Discount Lookup'!D:E,2,FALSE)*G1920)</f>
        <v/>
      </c>
      <c r="V1920" s="225" t="str">
        <f>IF(NOT(ISNUMBER(G1920)), "", VLOOKUP(A1920,'Discount Lookup'!G:H,2,FALSE)*G1920)</f>
        <v/>
      </c>
      <c r="W1920" s="508">
        <f t="shared" si="1461"/>
        <v>0</v>
      </c>
      <c r="X1920" s="508">
        <f t="shared" si="1462"/>
        <v>0</v>
      </c>
      <c r="Y1920" s="509" t="b">
        <f t="shared" si="1463"/>
        <v>0</v>
      </c>
      <c r="Z1920" s="510">
        <f t="shared" si="1464"/>
        <v>0</v>
      </c>
      <c r="AA1920" s="511"/>
      <c r="AB1920" s="511" t="str">
        <f t="shared" si="1465"/>
        <v/>
      </c>
      <c r="AC1920" s="698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698"/>
      <c r="AE1920" s="631" t="str">
        <f t="shared" si="1466"/>
        <v/>
      </c>
      <c r="AF1920" s="699" t="str">
        <f t="shared" si="1467"/>
        <v/>
      </c>
      <c r="AG1920" s="699"/>
      <c r="AH1920" s="699"/>
      <c r="AI1920" s="512">
        <f>IF(H1920="credit",0,IF(AE1920="free",0,IF(AE1920="me",0,IF(G1920&gt;0,(VLOOKUP(A1920,'Discount Lookup'!J:K,2)*G1920),0))))</f>
        <v>0</v>
      </c>
      <c r="AJ1920" s="513" t="str">
        <f t="shared" ca="1" si="1468"/>
        <v/>
      </c>
      <c r="AK1920" s="700" t="str">
        <f t="shared" si="1469"/>
        <v/>
      </c>
      <c r="AL1920" s="700"/>
      <c r="AM1920" s="505" t="str">
        <f t="shared" si="1470"/>
        <v/>
      </c>
      <c r="AN1920" s="506"/>
      <c r="AO1920" s="507"/>
      <c r="AP1920" s="507"/>
      <c r="AQ1920" s="507"/>
      <c r="AR1920" s="507"/>
      <c r="AS1920" s="507"/>
      <c r="AT1920" s="507"/>
      <c r="AU1920" s="507"/>
      <c r="AV1920" s="225"/>
      <c r="AW1920" s="508"/>
      <c r="AX1920" s="225"/>
      <c r="AY1920" s="225"/>
      <c r="AZ1920" s="225"/>
      <c r="BA1920" s="225"/>
      <c r="BB1920" s="225"/>
      <c r="BC1920" s="56"/>
      <c r="BD1920" s="56"/>
      <c r="BE1920" s="56"/>
      <c r="BF1920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20" s="107" t="str">
        <f t="shared" si="1472"/>
        <v>A</v>
      </c>
      <c r="BH1920" s="254"/>
      <c r="BI1920" s="254"/>
    </row>
    <row r="1921" spans="1:61" customFormat="1" ht="18" x14ac:dyDescent="0.25">
      <c r="A1921" s="521" t="s">
        <v>5435</v>
      </c>
      <c r="B1921" s="477"/>
      <c r="C1921" s="674"/>
      <c r="D1921" s="478" t="s">
        <v>1134</v>
      </c>
      <c r="E1921" s="479"/>
      <c r="F1921" s="479"/>
      <c r="G1921" s="479"/>
      <c r="H1921" s="582" t="s">
        <v>2947</v>
      </c>
      <c r="I1921" s="480" t="s">
        <v>2953</v>
      </c>
      <c r="J1921" s="479"/>
      <c r="K1921" s="479"/>
      <c r="L1921" s="560"/>
      <c r="M1921" s="671" t="s">
        <v>4985</v>
      </c>
      <c r="N1921" s="680" t="str">
        <f>IF(AND(ISTEXT($A1921), ISERROR($A1921+0)), HYPERLINK($BF1921, "Images"), "")</f>
        <v>Images</v>
      </c>
      <c r="O1921" s="662" t="s">
        <v>4969</v>
      </c>
      <c r="P1921" s="482"/>
      <c r="Q1921" s="483"/>
      <c r="R1921" s="483"/>
      <c r="S1921" s="484"/>
      <c r="T1921" s="508">
        <f t="shared" si="1460"/>
        <v>0</v>
      </c>
      <c r="U1921" s="225" t="str">
        <f>IF(NOT(ISNUMBER(G1921)), "", VLOOKUP(A1921,'Discount Lookup'!D:E,2,FALSE)*G1921)</f>
        <v/>
      </c>
      <c r="V1921" s="225" t="str">
        <f>IF(NOT(ISNUMBER(G1921)), "", VLOOKUP(A1921,'Discount Lookup'!G:H,2,FALSE)*G1921)</f>
        <v/>
      </c>
      <c r="W1921" s="508">
        <f t="shared" si="1461"/>
        <v>0</v>
      </c>
      <c r="X1921" s="508" t="str">
        <f t="shared" si="1462"/>
        <v>Soft Rose, age to Deep Rose</v>
      </c>
      <c r="Y1921" s="509" t="b">
        <f t="shared" si="1463"/>
        <v>0</v>
      </c>
      <c r="Z1921" s="510">
        <f t="shared" si="1464"/>
        <v>0</v>
      </c>
      <c r="AA1921" s="511"/>
      <c r="AB1921" s="511" t="str">
        <f t="shared" si="1465"/>
        <v/>
      </c>
      <c r="AC1921" s="698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698"/>
      <c r="AE1921" s="631" t="str">
        <f t="shared" si="1466"/>
        <v/>
      </c>
      <c r="AF1921" s="699" t="str">
        <f t="shared" si="1467"/>
        <v/>
      </c>
      <c r="AG1921" s="699"/>
      <c r="AH1921" s="699"/>
      <c r="AI1921" s="512">
        <f>IF(H1921="credit",0,IF(AE1921="free",0,IF(AE1921="me",0,IF(G1921&gt;0,(VLOOKUP(A1921,'Discount Lookup'!J:K,2)*G1921),0))))</f>
        <v>0</v>
      </c>
      <c r="AJ1921" s="513" t="str">
        <f t="shared" ca="1" si="1468"/>
        <v/>
      </c>
      <c r="AK1921" s="700" t="str">
        <f t="shared" si="1469"/>
        <v/>
      </c>
      <c r="AL1921" s="700"/>
      <c r="AM1921" s="505" t="str">
        <f t="shared" si="1470"/>
        <v/>
      </c>
      <c r="AN1921" s="506"/>
      <c r="AO1921" s="507"/>
      <c r="AP1921" s="507"/>
      <c r="AQ1921" s="507"/>
      <c r="AR1921" s="507"/>
      <c r="AS1921" s="507"/>
      <c r="AT1921" s="507"/>
      <c r="AU1921" s="507"/>
      <c r="AV1921" s="225"/>
      <c r="AW1921" s="508"/>
      <c r="AX1921" s="225"/>
      <c r="AY1921" s="225"/>
      <c r="AZ1921" s="225"/>
      <c r="BA1921" s="225"/>
      <c r="BB1921" s="225"/>
      <c r="BC1921" s="56"/>
      <c r="BD1921" s="56"/>
      <c r="BE1921" s="56"/>
      <c r="BF1921" s="107" t="str">
        <f t="shared" si="1471"/>
        <v>https://www.google.com/search?tbm=isch&amp;q=Ice%20N%27%20Roses%C2%AE%20Early%20Rose%20Lenten%20Rose%20Helleborus%20x%20glandorfensis%20%27Early%20Rose%27%20PP%2328294</v>
      </c>
      <c r="BG1921" s="107" t="str">
        <f t="shared" si="1472"/>
        <v>I</v>
      </c>
      <c r="BH1921" s="254"/>
      <c r="BI1921" s="254"/>
    </row>
    <row r="1922" spans="1:61" customFormat="1" ht="15.75" x14ac:dyDescent="0.25">
      <c r="A1922" s="485">
        <v>2</v>
      </c>
      <c r="B1922" s="486" t="s">
        <v>291</v>
      </c>
      <c r="C1922" s="487"/>
      <c r="D1922" s="488" t="s">
        <v>300</v>
      </c>
      <c r="E1922" s="489">
        <v>65.95</v>
      </c>
      <c r="F1922" s="516" t="s">
        <v>293</v>
      </c>
      <c r="G1922" s="232">
        <v>0</v>
      </c>
      <c r="H1922" s="658" t="str">
        <f>IF(G1922=0,"",IF(F1922="Buy",IF(G1922=1,"plant","plants"),IF(F1922&gt;0.01,"warranty","Error")))</f>
        <v/>
      </c>
      <c r="I1922" s="490">
        <f>IF(H1922="free",0,IF(H1922="credit",((E1922*(F1922))*G1922*-1),IF(F1922="Buy",(E1922*G1922),((E1922*(1-F1922))*G1922))))</f>
        <v>0</v>
      </c>
      <c r="J1922" s="490">
        <f>IF(H1922="warranty",0,(I1922*(_xlfn.SINGLE(SalesTaxPercentage))))</f>
        <v>0</v>
      </c>
      <c r="K1922" s="695">
        <f t="shared" ref="K1922" si="1500">I1922+J1922</f>
        <v>0</v>
      </c>
      <c r="L1922" s="695"/>
      <c r="M1922" s="659" t="str">
        <f>IF(AND(G1922&gt;0,E1922=0),"WARNING - no PRICE inserted",IF(H1922="free"," FREE ~ no charge this plant",IF(H1922="credit",CONCATENATE(" -$",ROUND(K1922*(1-T2GDiscount)*-1,2)," CREDIT after discount"),IF(T2GDiscount=0,"",IF(G1922=0,"",IF(F1922="Buy",CONCATENATE(" $",ROUND(K1922*(1-T2GDiscount),2)," with ",(T2GDiscount*100),"% discount"),CONCATENATE(" $",ROUND(K1922*(1-T2GDiscount),2)," with ",((T2GDiscount*100+F1922*100)-(T2GDiscount*100*F1922)),IF(F1922&gt;0,"% discounts",IF(NoWarrantyDiscount&gt;0,"% discounts","% discount")))))))))</f>
        <v/>
      </c>
      <c r="N1922" s="660"/>
      <c r="O1922" s="233"/>
      <c r="P1922" s="233"/>
      <c r="Q1922" s="233"/>
      <c r="R1922" s="233"/>
      <c r="S1922" s="233"/>
      <c r="T1922" s="508">
        <f t="shared" si="1460"/>
        <v>0</v>
      </c>
      <c r="U1922" s="225">
        <f>IF(NOT(ISNUMBER(G1922)), "", VLOOKUP(A1922,'Discount Lookup'!D:E,2,FALSE)*G1922)</f>
        <v>0</v>
      </c>
      <c r="V1922" s="225">
        <f>IF(NOT(ISNUMBER(G1922)), "", VLOOKUP(A1922,'Discount Lookup'!G:H,2,FALSE)*G1922)</f>
        <v>0</v>
      </c>
      <c r="W1922" s="508">
        <f t="shared" si="1461"/>
        <v>0</v>
      </c>
      <c r="X1922" s="508">
        <f t="shared" si="1462"/>
        <v>0</v>
      </c>
      <c r="Y1922" s="509" t="b">
        <f t="shared" si="1463"/>
        <v>0</v>
      </c>
      <c r="Z1922" s="510">
        <f t="shared" si="1464"/>
        <v>0</v>
      </c>
      <c r="AA1922" s="511"/>
      <c r="AB1922" s="511" t="str">
        <f t="shared" si="1465"/>
        <v/>
      </c>
      <c r="AC1922" s="698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698"/>
      <c r="AE1922" s="631" t="str">
        <f t="shared" si="1466"/>
        <v/>
      </c>
      <c r="AF1922" s="699" t="str">
        <f t="shared" si="1467"/>
        <v/>
      </c>
      <c r="AG1922" s="699"/>
      <c r="AH1922" s="699"/>
      <c r="AI1922" s="512">
        <f>IF(H1922="credit",0,IF(AE1922="free",0,IF(AE1922="me",0,IF(G1922&gt;0,(VLOOKUP(A1922,'Discount Lookup'!J:K,2)*G1922),0))))</f>
        <v>0</v>
      </c>
      <c r="AJ1922" s="513" t="str">
        <f t="shared" ca="1" si="1468"/>
        <v/>
      </c>
      <c r="AK1922" s="700" t="str">
        <f t="shared" si="1469"/>
        <v/>
      </c>
      <c r="AL1922" s="700"/>
      <c r="AM1922" s="505" t="str">
        <f t="shared" si="1470"/>
        <v/>
      </c>
      <c r="AN1922" s="506"/>
      <c r="AO1922" s="507"/>
      <c r="AP1922" s="507"/>
      <c r="AQ1922" s="507"/>
      <c r="AR1922" s="507"/>
      <c r="AS1922" s="507"/>
      <c r="AT1922" s="507"/>
      <c r="AU1922" s="507"/>
      <c r="AV1922" s="225"/>
      <c r="AW1922" s="508"/>
      <c r="AX1922" s="225"/>
      <c r="AY1922" s="225"/>
      <c r="AZ1922" s="225"/>
      <c r="BA1922" s="225"/>
      <c r="BB1922" s="225"/>
      <c r="BC1922" s="56"/>
      <c r="BD1922" s="56"/>
      <c r="BE1922" s="56"/>
      <c r="BF1922" s="107" t="str">
        <f t="shared" si="1471"/>
        <v>https://www.google.com/search?tbm=isch&amp;q=2%20G6</v>
      </c>
      <c r="BG1922" s="107" t="str">
        <f t="shared" si="1472"/>
        <v>I</v>
      </c>
      <c r="BH1922" s="254"/>
      <c r="BI1922" s="254"/>
    </row>
    <row r="1923" spans="1:61" customFormat="1" ht="16.5" thickBot="1" x14ac:dyDescent="0.3">
      <c r="A1923" s="522" t="s">
        <v>2945</v>
      </c>
      <c r="B1923" s="491"/>
      <c r="C1923" s="675"/>
      <c r="D1923" s="491"/>
      <c r="E1923" s="491"/>
      <c r="F1923" s="492"/>
      <c r="G1923" s="493"/>
      <c r="H1923" s="491"/>
      <c r="I1923" s="234"/>
      <c r="J1923" s="234"/>
      <c r="K1923" s="494"/>
      <c r="L1923" s="543"/>
      <c r="M1923" s="561"/>
      <c r="N1923" s="495"/>
      <c r="O1923" s="496"/>
      <c r="P1923" s="497"/>
      <c r="Q1923" s="495"/>
      <c r="R1923" s="495"/>
      <c r="S1923" s="667" t="s">
        <v>4968</v>
      </c>
      <c r="T1923" s="508">
        <f t="shared" si="1460"/>
        <v>0</v>
      </c>
      <c r="U1923" s="225" t="str">
        <f>IF(NOT(ISNUMBER(G1923)), "", VLOOKUP(A1923,'Discount Lookup'!D:E,2,FALSE)*G1923)</f>
        <v/>
      </c>
      <c r="V1923" s="225" t="str">
        <f>IF(NOT(ISNUMBER(G1923)), "", VLOOKUP(A1923,'Discount Lookup'!G:H,2,FALSE)*G1923)</f>
        <v/>
      </c>
      <c r="W1923" s="508">
        <f t="shared" si="1461"/>
        <v>0</v>
      </c>
      <c r="X1923" s="508">
        <f t="shared" si="1462"/>
        <v>0</v>
      </c>
      <c r="Y1923" s="509" t="b">
        <f t="shared" si="1463"/>
        <v>0</v>
      </c>
      <c r="Z1923" s="510">
        <f t="shared" si="1464"/>
        <v>0</v>
      </c>
      <c r="AA1923" s="511"/>
      <c r="AB1923" s="511" t="str">
        <f t="shared" si="1465"/>
        <v/>
      </c>
      <c r="AC1923" s="698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698"/>
      <c r="AE1923" s="631" t="str">
        <f t="shared" si="1466"/>
        <v/>
      </c>
      <c r="AF1923" s="699" t="str">
        <f t="shared" si="1467"/>
        <v/>
      </c>
      <c r="AG1923" s="699"/>
      <c r="AH1923" s="699"/>
      <c r="AI1923" s="512">
        <f>IF(H1923="credit",0,IF(AE1923="free",0,IF(AE1923="me",0,IF(G1923&gt;0,(VLOOKUP(A1923,'Discount Lookup'!J:K,2)*G1923),0))))</f>
        <v>0</v>
      </c>
      <c r="AJ1923" s="513" t="str">
        <f t="shared" ca="1" si="1468"/>
        <v/>
      </c>
      <c r="AK1923" s="700" t="str">
        <f t="shared" si="1469"/>
        <v/>
      </c>
      <c r="AL1923" s="700"/>
      <c r="AM1923" s="505" t="str">
        <f t="shared" si="1470"/>
        <v/>
      </c>
      <c r="AN1923" s="506"/>
      <c r="AO1923" s="507"/>
      <c r="AP1923" s="507"/>
      <c r="AQ1923" s="507"/>
      <c r="AR1923" s="507"/>
      <c r="AS1923" s="507"/>
      <c r="AT1923" s="507"/>
      <c r="AU1923" s="507"/>
      <c r="AV1923" s="225"/>
      <c r="AW1923" s="508"/>
      <c r="AX1923" s="225"/>
      <c r="AY1923" s="225"/>
      <c r="AZ1923" s="225"/>
      <c r="BA1923" s="225"/>
      <c r="BB1923" s="225"/>
      <c r="BC1923" s="56"/>
      <c r="BD1923" s="56"/>
      <c r="BE1923" s="56"/>
      <c r="BF1923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23" s="107" t="str">
        <f t="shared" si="1472"/>
        <v>A</v>
      </c>
      <c r="BH1923" s="254"/>
      <c r="BI1923" s="254"/>
    </row>
    <row r="1924" spans="1:61" customFormat="1" ht="18" x14ac:dyDescent="0.25">
      <c r="A1924" s="521" t="s">
        <v>5436</v>
      </c>
      <c r="B1924" s="477"/>
      <c r="C1924" s="674"/>
      <c r="D1924" s="478" t="s">
        <v>1135</v>
      </c>
      <c r="E1924" s="479"/>
      <c r="F1924" s="479"/>
      <c r="G1924" s="479"/>
      <c r="H1924" s="582" t="s">
        <v>2947</v>
      </c>
      <c r="I1924" s="480" t="s">
        <v>2954</v>
      </c>
      <c r="J1924" s="479"/>
      <c r="K1924" s="479"/>
      <c r="L1924" s="560"/>
      <c r="M1924" s="671" t="s">
        <v>4985</v>
      </c>
      <c r="N1924" s="680" t="str">
        <f>IF(AND(ISTEXT($A1924), ISERROR($A1924+0)), HYPERLINK($BF1924, "Images"), "")</f>
        <v>Images</v>
      </c>
      <c r="O1924" s="662" t="s">
        <v>4969</v>
      </c>
      <c r="P1924" s="482"/>
      <c r="Q1924" s="483"/>
      <c r="R1924" s="483"/>
      <c r="S1924" s="484"/>
      <c r="T1924" s="508">
        <f t="shared" si="1460"/>
        <v>0</v>
      </c>
      <c r="U1924" s="225" t="str">
        <f>IF(NOT(ISNUMBER(G1924)), "", VLOOKUP(A1924,'Discount Lookup'!D:E,2,FALSE)*G1924)</f>
        <v/>
      </c>
      <c r="V1924" s="225" t="str">
        <f>IF(NOT(ISNUMBER(G1924)), "", VLOOKUP(A1924,'Discount Lookup'!G:H,2,FALSE)*G1924)</f>
        <v/>
      </c>
      <c r="W1924" s="508">
        <f t="shared" si="1461"/>
        <v>0</v>
      </c>
      <c r="X1924" s="508" t="str">
        <f t="shared" si="1462"/>
        <v>Deep Crimson bloom</v>
      </c>
      <c r="Y1924" s="509" t="b">
        <f t="shared" si="1463"/>
        <v>0</v>
      </c>
      <c r="Z1924" s="510">
        <f t="shared" si="1464"/>
        <v>0</v>
      </c>
      <c r="AA1924" s="511"/>
      <c r="AB1924" s="511" t="str">
        <f t="shared" si="1465"/>
        <v/>
      </c>
      <c r="AC1924" s="698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698"/>
      <c r="AE1924" s="631" t="str">
        <f t="shared" si="1466"/>
        <v/>
      </c>
      <c r="AF1924" s="699" t="str">
        <f t="shared" si="1467"/>
        <v/>
      </c>
      <c r="AG1924" s="699"/>
      <c r="AH1924" s="699"/>
      <c r="AI1924" s="512">
        <f>IF(H1924="credit",0,IF(AE1924="free",0,IF(AE1924="me",0,IF(G1924&gt;0,(VLOOKUP(A1924,'Discount Lookup'!J:K,2)*G1924),0))))</f>
        <v>0</v>
      </c>
      <c r="AJ1924" s="513" t="str">
        <f t="shared" ca="1" si="1468"/>
        <v/>
      </c>
      <c r="AK1924" s="700" t="str">
        <f t="shared" si="1469"/>
        <v/>
      </c>
      <c r="AL1924" s="700"/>
      <c r="AM1924" s="505" t="str">
        <f t="shared" si="1470"/>
        <v/>
      </c>
      <c r="AN1924" s="506"/>
      <c r="AO1924" s="507"/>
      <c r="AP1924" s="507"/>
      <c r="AQ1924" s="507"/>
      <c r="AR1924" s="507"/>
      <c r="AS1924" s="507"/>
      <c r="AT1924" s="507"/>
      <c r="AU1924" s="507"/>
      <c r="AV1924" s="225"/>
      <c r="AW1924" s="508"/>
      <c r="AX1924" s="225"/>
      <c r="AY1924" s="225"/>
      <c r="AZ1924" s="225"/>
      <c r="BA1924" s="225"/>
      <c r="BB1924" s="225"/>
      <c r="BC1924" s="56"/>
      <c r="BD1924" s="56"/>
      <c r="BE1924" s="56"/>
      <c r="BF1924" s="107" t="str">
        <f t="shared" si="1471"/>
        <v>https://www.google.com/search?tbm=isch&amp;q=Ice%20N%27%20Roses%C2%AE%20Red%20Lenten%20Rose%20Helleborus%20x%20glandorfensis%20%27COSEH%204800%27%20PP%2328296</v>
      </c>
      <c r="BG1924" s="107" t="str">
        <f t="shared" si="1472"/>
        <v>I</v>
      </c>
      <c r="BH1924" s="254"/>
      <c r="BI1924" s="254"/>
    </row>
    <row r="1925" spans="1:61" customFormat="1" ht="15.75" x14ac:dyDescent="0.25">
      <c r="A1925" s="485">
        <v>1</v>
      </c>
      <c r="B1925" s="486" t="s">
        <v>291</v>
      </c>
      <c r="C1925" s="487"/>
      <c r="D1925" s="488" t="s">
        <v>312</v>
      </c>
      <c r="E1925" s="489">
        <v>22.95</v>
      </c>
      <c r="F1925" s="516" t="s">
        <v>293</v>
      </c>
      <c r="G1925" s="232">
        <v>0</v>
      </c>
      <c r="H1925" s="658" t="str">
        <f>IF(G1925=0,"",IF(F1925="Buy",IF(G1925=1,"plant","plants"),IF(F1925&gt;0.01,"warranty","Error")))</f>
        <v/>
      </c>
      <c r="I1925" s="490">
        <f>IF(H1925="free",0,IF(H1925="credit",((E1925*(F1925))*G1925*-1),IF(F1925="Buy",(E1925*G1925),((E1925*(1-F1925))*G1925))))</f>
        <v>0</v>
      </c>
      <c r="J1925" s="490">
        <f>IF(H1925="warranty",0,(I1925*(_xlfn.SINGLE(SalesTaxPercentage))))</f>
        <v>0</v>
      </c>
      <c r="K1925" s="695">
        <f t="shared" ref="K1925" si="1501">I1925+J1925</f>
        <v>0</v>
      </c>
      <c r="L1925" s="695"/>
      <c r="M1925" s="659" t="str">
        <f>IF(AND(G1925&gt;0,E1925=0),"WARNING - no PRICE inserted",IF(H1925="free"," FREE ~ no charge this plant",IF(H1925="credit",CONCATENATE(" -$",ROUND(K1925*(1-T2GDiscount)*-1,2)," CREDIT after discount"),IF(T2GDiscount=0,"",IF(G1925=0,"",IF(F1925="Buy",CONCATENATE(" $",ROUND(K1925*(1-T2GDiscount),2)," with ",(T2GDiscount*100),"% discount"),CONCATENATE(" $",ROUND(K1925*(1-T2GDiscount),2)," with ",((T2GDiscount*100+F1925*100)-(T2GDiscount*100*F1925)),IF(F1925&gt;0,"% discounts",IF(NoWarrantyDiscount&gt;0,"% discounts","% discount")))))))))</f>
        <v/>
      </c>
      <c r="N1925" s="660"/>
      <c r="O1925" s="233"/>
      <c r="P1925" s="233"/>
      <c r="Q1925" s="233"/>
      <c r="R1925" s="233"/>
      <c r="S1925" s="233"/>
      <c r="T1925" s="508">
        <f t="shared" si="1460"/>
        <v>0</v>
      </c>
      <c r="U1925" s="225">
        <f>IF(NOT(ISNUMBER(G1925)), "", VLOOKUP(A1925,'Discount Lookup'!D:E,2,FALSE)*G1925)</f>
        <v>0</v>
      </c>
      <c r="V1925" s="225">
        <f>IF(NOT(ISNUMBER(G1925)), "", VLOOKUP(A1925,'Discount Lookup'!G:H,2,FALSE)*G1925)</f>
        <v>0</v>
      </c>
      <c r="W1925" s="508">
        <f t="shared" si="1461"/>
        <v>0</v>
      </c>
      <c r="X1925" s="508">
        <f t="shared" si="1462"/>
        <v>0</v>
      </c>
      <c r="Y1925" s="509" t="b">
        <f t="shared" si="1463"/>
        <v>0</v>
      </c>
      <c r="Z1925" s="510">
        <f t="shared" si="1464"/>
        <v>0</v>
      </c>
      <c r="AA1925" s="511"/>
      <c r="AB1925" s="511" t="str">
        <f t="shared" si="1465"/>
        <v/>
      </c>
      <c r="AC1925" s="698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698"/>
      <c r="AE1925" s="631" t="str">
        <f t="shared" si="1466"/>
        <v/>
      </c>
      <c r="AF1925" s="699" t="str">
        <f t="shared" si="1467"/>
        <v/>
      </c>
      <c r="AG1925" s="699"/>
      <c r="AH1925" s="699"/>
      <c r="AI1925" s="512">
        <f>IF(H1925="credit",0,IF(AE1925="free",0,IF(AE1925="me",0,IF(G1925&gt;0,(VLOOKUP(A1925,'Discount Lookup'!J:K,2)*G1925),0))))</f>
        <v>0</v>
      </c>
      <c r="AJ1925" s="513" t="str">
        <f t="shared" ca="1" si="1468"/>
        <v/>
      </c>
      <c r="AK1925" s="700" t="str">
        <f t="shared" si="1469"/>
        <v/>
      </c>
      <c r="AL1925" s="700"/>
      <c r="AM1925" s="505" t="str">
        <f t="shared" si="1470"/>
        <v/>
      </c>
      <c r="AN1925" s="506"/>
      <c r="AO1925" s="507"/>
      <c r="AP1925" s="507"/>
      <c r="AQ1925" s="507"/>
      <c r="AR1925" s="507"/>
      <c r="AS1925" s="507"/>
      <c r="AT1925" s="507"/>
      <c r="AU1925" s="507"/>
      <c r="AV1925" s="225"/>
      <c r="AW1925" s="508"/>
      <c r="AX1925" s="225"/>
      <c r="AY1925" s="225"/>
      <c r="AZ1925" s="225"/>
      <c r="BA1925" s="225"/>
      <c r="BB1925" s="225"/>
      <c r="BC1925" s="56"/>
      <c r="BD1925" s="56"/>
      <c r="BE1925" s="56"/>
      <c r="BF1925" s="107" t="str">
        <f t="shared" si="1471"/>
        <v>https://www.google.com/search?tbm=isch&amp;q=1%20G2</v>
      </c>
      <c r="BG1925" s="107" t="str">
        <f t="shared" si="1472"/>
        <v>I</v>
      </c>
      <c r="BH1925" s="254"/>
      <c r="BI1925" s="254"/>
    </row>
    <row r="1926" spans="1:61" customFormat="1" ht="15.75" x14ac:dyDescent="0.25">
      <c r="A1926" s="485">
        <v>2</v>
      </c>
      <c r="B1926" s="486" t="s">
        <v>291</v>
      </c>
      <c r="C1926" s="487"/>
      <c r="D1926" s="488" t="s">
        <v>300</v>
      </c>
      <c r="E1926" s="489">
        <v>65.95</v>
      </c>
      <c r="F1926" s="516" t="s">
        <v>293</v>
      </c>
      <c r="G1926" s="232">
        <v>0</v>
      </c>
      <c r="H1926" s="658" t="str">
        <f>IF(G1926=0,"",IF(F1926="Buy",IF(G1926=1,"plant","plants"),IF(F1926&gt;0.01,"warranty","Error")))</f>
        <v/>
      </c>
      <c r="I1926" s="490">
        <f>IF(H1926="free",0,IF(H1926="credit",((E1926*(F1926))*G1926*-1),IF(F1926="Buy",(E1926*G1926),((E1926*(1-F1926))*G1926))))</f>
        <v>0</v>
      </c>
      <c r="J1926" s="490">
        <f>IF(H1926="warranty",0,(I1926*(_xlfn.SINGLE(SalesTaxPercentage))))</f>
        <v>0</v>
      </c>
      <c r="K1926" s="695">
        <f t="shared" ref="K1926" si="1502">I1926+J1926</f>
        <v>0</v>
      </c>
      <c r="L1926" s="695"/>
      <c r="M1926" s="659" t="str">
        <f>IF(AND(G1926&gt;0,E1926=0),"WARNING - no PRICE inserted",IF(H1926="free"," FREE ~ no charge this plant",IF(H1926="credit",CONCATENATE(" -$",ROUND(K1926*(1-T2GDiscount)*-1,2)," CREDIT after discount"),IF(T2GDiscount=0,"",IF(G1926=0,"",IF(F1926="Buy",CONCATENATE(" $",ROUND(K1926*(1-T2GDiscount),2)," with ",(T2GDiscount*100),"% discount"),CONCATENATE(" $",ROUND(K1926*(1-T2GDiscount),2)," with ",((T2GDiscount*100+F1926*100)-(T2GDiscount*100*F1926)),IF(F1926&gt;0,"% discounts",IF(NoWarrantyDiscount&gt;0,"% discounts","% discount")))))))))</f>
        <v/>
      </c>
      <c r="N1926" s="660"/>
      <c r="O1926" s="233"/>
      <c r="P1926" s="233"/>
      <c r="Q1926" s="233"/>
      <c r="R1926" s="233"/>
      <c r="S1926" s="233"/>
      <c r="T1926" s="508">
        <f t="shared" si="1460"/>
        <v>0</v>
      </c>
      <c r="U1926" s="225">
        <f>IF(NOT(ISNUMBER(G1926)), "", VLOOKUP(A1926,'Discount Lookup'!D:E,2,FALSE)*G1926)</f>
        <v>0</v>
      </c>
      <c r="V1926" s="225">
        <f>IF(NOT(ISNUMBER(G1926)), "", VLOOKUP(A1926,'Discount Lookup'!G:H,2,FALSE)*G1926)</f>
        <v>0</v>
      </c>
      <c r="W1926" s="508">
        <f t="shared" si="1461"/>
        <v>0</v>
      </c>
      <c r="X1926" s="508">
        <f t="shared" si="1462"/>
        <v>0</v>
      </c>
      <c r="Y1926" s="509" t="b">
        <f t="shared" si="1463"/>
        <v>0</v>
      </c>
      <c r="Z1926" s="510">
        <f t="shared" si="1464"/>
        <v>0</v>
      </c>
      <c r="AA1926" s="511"/>
      <c r="AB1926" s="511" t="str">
        <f t="shared" si="1465"/>
        <v/>
      </c>
      <c r="AC1926" s="698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698"/>
      <c r="AE1926" s="631" t="str">
        <f t="shared" si="1466"/>
        <v/>
      </c>
      <c r="AF1926" s="699" t="str">
        <f t="shared" si="1467"/>
        <v/>
      </c>
      <c r="AG1926" s="699"/>
      <c r="AH1926" s="699"/>
      <c r="AI1926" s="512">
        <f>IF(H1926="credit",0,IF(AE1926="free",0,IF(AE1926="me",0,IF(G1926&gt;0,(VLOOKUP(A1926,'Discount Lookup'!J:K,2)*G1926),0))))</f>
        <v>0</v>
      </c>
      <c r="AJ1926" s="513" t="str">
        <f t="shared" ca="1" si="1468"/>
        <v/>
      </c>
      <c r="AK1926" s="700" t="str">
        <f t="shared" si="1469"/>
        <v/>
      </c>
      <c r="AL1926" s="700"/>
      <c r="AM1926" s="505" t="str">
        <f t="shared" si="1470"/>
        <v/>
      </c>
      <c r="AN1926" s="506"/>
      <c r="AO1926" s="507"/>
      <c r="AP1926" s="507"/>
      <c r="AQ1926" s="507"/>
      <c r="AR1926" s="507"/>
      <c r="AS1926" s="507"/>
      <c r="AT1926" s="507"/>
      <c r="AU1926" s="507"/>
      <c r="AV1926" s="225"/>
      <c r="AW1926" s="508"/>
      <c r="AX1926" s="225"/>
      <c r="AY1926" s="225"/>
      <c r="AZ1926" s="225"/>
      <c r="BA1926" s="225"/>
      <c r="BB1926" s="225"/>
      <c r="BC1926" s="56"/>
      <c r="BD1926" s="56"/>
      <c r="BE1926" s="56"/>
      <c r="BF1926" s="107" t="str">
        <f t="shared" si="1471"/>
        <v>https://www.google.com/search?tbm=isch&amp;q=2%20G6</v>
      </c>
      <c r="BG1926" s="107" t="str">
        <f t="shared" si="1472"/>
        <v>I</v>
      </c>
      <c r="BH1926" s="254"/>
      <c r="BI1926" s="254"/>
    </row>
    <row r="1927" spans="1:61" customFormat="1" ht="16.5" thickBot="1" x14ac:dyDescent="0.3">
      <c r="A1927" s="522" t="s">
        <v>2945</v>
      </c>
      <c r="B1927" s="491"/>
      <c r="C1927" s="675"/>
      <c r="D1927" s="491"/>
      <c r="E1927" s="491"/>
      <c r="F1927" s="492"/>
      <c r="G1927" s="493"/>
      <c r="H1927" s="491"/>
      <c r="I1927" s="234"/>
      <c r="J1927" s="234"/>
      <c r="K1927" s="494"/>
      <c r="L1927" s="543"/>
      <c r="M1927" s="561"/>
      <c r="N1927" s="495"/>
      <c r="O1927" s="496"/>
      <c r="P1927" s="497"/>
      <c r="Q1927" s="495"/>
      <c r="R1927" s="495"/>
      <c r="S1927" s="667" t="s">
        <v>4968</v>
      </c>
      <c r="T1927" s="508">
        <f t="shared" si="1460"/>
        <v>0</v>
      </c>
      <c r="U1927" s="225" t="str">
        <f>IF(NOT(ISNUMBER(G1927)), "", VLOOKUP(A1927,'Discount Lookup'!D:E,2,FALSE)*G1927)</f>
        <v/>
      </c>
      <c r="V1927" s="225" t="str">
        <f>IF(NOT(ISNUMBER(G1927)), "", VLOOKUP(A1927,'Discount Lookup'!G:H,2,FALSE)*G1927)</f>
        <v/>
      </c>
      <c r="W1927" s="508">
        <f t="shared" si="1461"/>
        <v>0</v>
      </c>
      <c r="X1927" s="508">
        <f t="shared" si="1462"/>
        <v>0</v>
      </c>
      <c r="Y1927" s="509" t="b">
        <f t="shared" si="1463"/>
        <v>0</v>
      </c>
      <c r="Z1927" s="510">
        <f t="shared" si="1464"/>
        <v>0</v>
      </c>
      <c r="AA1927" s="511"/>
      <c r="AB1927" s="511" t="str">
        <f t="shared" si="1465"/>
        <v/>
      </c>
      <c r="AC1927" s="698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698"/>
      <c r="AE1927" s="631" t="str">
        <f t="shared" si="1466"/>
        <v/>
      </c>
      <c r="AF1927" s="699" t="str">
        <f t="shared" si="1467"/>
        <v/>
      </c>
      <c r="AG1927" s="699"/>
      <c r="AH1927" s="699"/>
      <c r="AI1927" s="512">
        <f>IF(H1927="credit",0,IF(AE1927="free",0,IF(AE1927="me",0,IF(G1927&gt;0,(VLOOKUP(A1927,'Discount Lookup'!J:K,2)*G1927),0))))</f>
        <v>0</v>
      </c>
      <c r="AJ1927" s="513" t="str">
        <f t="shared" ca="1" si="1468"/>
        <v/>
      </c>
      <c r="AK1927" s="700" t="str">
        <f t="shared" si="1469"/>
        <v/>
      </c>
      <c r="AL1927" s="700"/>
      <c r="AM1927" s="505" t="str">
        <f t="shared" si="1470"/>
        <v/>
      </c>
      <c r="AN1927" s="506"/>
      <c r="AO1927" s="507"/>
      <c r="AP1927" s="507"/>
      <c r="AQ1927" s="507"/>
      <c r="AR1927" s="507"/>
      <c r="AS1927" s="507"/>
      <c r="AT1927" s="507"/>
      <c r="AU1927" s="507"/>
      <c r="AV1927" s="225"/>
      <c r="AW1927" s="508"/>
      <c r="AX1927" s="225"/>
      <c r="AY1927" s="225"/>
      <c r="AZ1927" s="225"/>
      <c r="BA1927" s="225"/>
      <c r="BB1927" s="225"/>
      <c r="BC1927" s="56"/>
      <c r="BD1927" s="56"/>
      <c r="BE1927" s="56"/>
      <c r="BF1927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27" s="107" t="str">
        <f t="shared" si="1472"/>
        <v>A</v>
      </c>
      <c r="BH1927" s="254"/>
      <c r="BI1927" s="254"/>
    </row>
    <row r="1928" spans="1:61" customFormat="1" ht="18" x14ac:dyDescent="0.25">
      <c r="A1928" s="521" t="s">
        <v>5437</v>
      </c>
      <c r="B1928" s="477"/>
      <c r="C1928" s="674"/>
      <c r="D1928" s="478" t="s">
        <v>1136</v>
      </c>
      <c r="E1928" s="479"/>
      <c r="F1928" s="479"/>
      <c r="G1928" s="479"/>
      <c r="H1928" s="582" t="s">
        <v>2947</v>
      </c>
      <c r="I1928" s="480" t="s">
        <v>2955</v>
      </c>
      <c r="J1928" s="479"/>
      <c r="K1928" s="479"/>
      <c r="L1928" s="560"/>
      <c r="M1928" s="671" t="s">
        <v>4985</v>
      </c>
      <c r="N1928" s="680" t="str">
        <f>IF(AND(ISTEXT($A1928), ISERROR($A1928+0)), HYPERLINK($BF1928, "Images"), "")</f>
        <v>Images</v>
      </c>
      <c r="O1928" s="662" t="s">
        <v>4969</v>
      </c>
      <c r="P1928" s="482"/>
      <c r="Q1928" s="483"/>
      <c r="R1928" s="483"/>
      <c r="S1928" s="484"/>
      <c r="T1928" s="508">
        <f t="shared" si="1460"/>
        <v>0</v>
      </c>
      <c r="U1928" s="225" t="str">
        <f>IF(NOT(ISNUMBER(G1928)), "", VLOOKUP(A1928,'Discount Lookup'!D:E,2,FALSE)*G1928)</f>
        <v/>
      </c>
      <c r="V1928" s="225" t="str">
        <f>IF(NOT(ISNUMBER(G1928)), "", VLOOKUP(A1928,'Discount Lookup'!G:H,2,FALSE)*G1928)</f>
        <v/>
      </c>
      <c r="W1928" s="508">
        <f t="shared" si="1461"/>
        <v>0</v>
      </c>
      <c r="X1928" s="508" t="str">
        <f t="shared" si="1462"/>
        <v>Pink bloom, ages to Dark Rose</v>
      </c>
      <c r="Y1928" s="509" t="b">
        <f t="shared" si="1463"/>
        <v>0</v>
      </c>
      <c r="Z1928" s="510">
        <f t="shared" si="1464"/>
        <v>0</v>
      </c>
      <c r="AA1928" s="511"/>
      <c r="AB1928" s="511" t="str">
        <f t="shared" si="1465"/>
        <v/>
      </c>
      <c r="AC1928" s="698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698"/>
      <c r="AE1928" s="631" t="str">
        <f t="shared" si="1466"/>
        <v/>
      </c>
      <c r="AF1928" s="699" t="str">
        <f t="shared" si="1467"/>
        <v/>
      </c>
      <c r="AG1928" s="699"/>
      <c r="AH1928" s="699"/>
      <c r="AI1928" s="512">
        <f>IF(H1928="credit",0,IF(AE1928="free",0,IF(AE1928="me",0,IF(G1928&gt;0,(VLOOKUP(A1928,'Discount Lookup'!J:K,2)*G1928),0))))</f>
        <v>0</v>
      </c>
      <c r="AJ1928" s="513" t="str">
        <f t="shared" ca="1" si="1468"/>
        <v/>
      </c>
      <c r="AK1928" s="700" t="str">
        <f t="shared" si="1469"/>
        <v/>
      </c>
      <c r="AL1928" s="700"/>
      <c r="AM1928" s="505" t="str">
        <f t="shared" si="1470"/>
        <v/>
      </c>
      <c r="AN1928" s="506"/>
      <c r="AO1928" s="507"/>
      <c r="AP1928" s="507"/>
      <c r="AQ1928" s="507"/>
      <c r="AR1928" s="507"/>
      <c r="AS1928" s="507"/>
      <c r="AT1928" s="507"/>
      <c r="AU1928" s="507"/>
      <c r="AV1928" s="225"/>
      <c r="AW1928" s="508"/>
      <c r="AX1928" s="225"/>
      <c r="AY1928" s="225"/>
      <c r="AZ1928" s="225"/>
      <c r="BA1928" s="225"/>
      <c r="BB1928" s="225"/>
      <c r="BC1928" s="56"/>
      <c r="BD1928" s="56"/>
      <c r="BE1928" s="56"/>
      <c r="BF1928" s="107" t="str">
        <f t="shared" si="1471"/>
        <v>https://www.google.com/search?tbm=isch&amp;q=Ice%20N%27%20Roses%C2%AE%20Rosado%20Lenten%20Rose%20Helleborus%20x%20glandorfensis%20%27COSEH%205400%27%20PP%2332384</v>
      </c>
      <c r="BG1928" s="107" t="str">
        <f t="shared" si="1472"/>
        <v>I</v>
      </c>
      <c r="BH1928" s="254"/>
      <c r="BI1928" s="254"/>
    </row>
    <row r="1929" spans="1:61" customFormat="1" ht="15.75" x14ac:dyDescent="0.25">
      <c r="A1929" s="485">
        <v>2</v>
      </c>
      <c r="B1929" s="486" t="s">
        <v>291</v>
      </c>
      <c r="C1929" s="487"/>
      <c r="D1929" s="488" t="s">
        <v>300</v>
      </c>
      <c r="E1929" s="489">
        <v>65.95</v>
      </c>
      <c r="F1929" s="516" t="s">
        <v>293</v>
      </c>
      <c r="G1929" s="232">
        <v>0</v>
      </c>
      <c r="H1929" s="658" t="str">
        <f>IF(G1929=0,"",IF(F1929="Buy",IF(G1929=1,"plant","plants"),IF(F1929&gt;0.01,"warranty","Error")))</f>
        <v/>
      </c>
      <c r="I1929" s="490">
        <f>IF(H1929="free",0,IF(H1929="credit",((E1929*(F1929))*G1929*-1),IF(F1929="Buy",(E1929*G1929),((E1929*(1-F1929))*G1929))))</f>
        <v>0</v>
      </c>
      <c r="J1929" s="490">
        <f>IF(H1929="warranty",0,(I1929*(_xlfn.SINGLE(SalesTaxPercentage))))</f>
        <v>0</v>
      </c>
      <c r="K1929" s="695">
        <f t="shared" ref="K1929" si="1503">I1929+J1929</f>
        <v>0</v>
      </c>
      <c r="L1929" s="695"/>
      <c r="M1929" s="659" t="str">
        <f>IF(AND(G1929&gt;0,E1929=0),"WARNING - no PRICE inserted",IF(H1929="free"," FREE ~ no charge this plant",IF(H1929="credit",CONCATENATE(" -$",ROUND(K1929*(1-T2GDiscount)*-1,2)," CREDIT after discount"),IF(T2GDiscount=0,"",IF(G1929=0,"",IF(F1929="Buy",CONCATENATE(" $",ROUND(K1929*(1-T2GDiscount),2)," with ",(T2GDiscount*100),"% discount"),CONCATENATE(" $",ROUND(K1929*(1-T2GDiscount),2)," with ",((T2GDiscount*100+F1929*100)-(T2GDiscount*100*F1929)),IF(F1929&gt;0,"% discounts",IF(NoWarrantyDiscount&gt;0,"% discounts","% discount")))))))))</f>
        <v/>
      </c>
      <c r="N1929" s="660"/>
      <c r="O1929" s="233"/>
      <c r="P1929" s="233"/>
      <c r="Q1929" s="233"/>
      <c r="R1929" s="233"/>
      <c r="S1929" s="233"/>
      <c r="T1929" s="508">
        <f t="shared" si="1460"/>
        <v>0</v>
      </c>
      <c r="U1929" s="225">
        <f>IF(NOT(ISNUMBER(G1929)), "", VLOOKUP(A1929,'Discount Lookup'!D:E,2,FALSE)*G1929)</f>
        <v>0</v>
      </c>
      <c r="V1929" s="225">
        <f>IF(NOT(ISNUMBER(G1929)), "", VLOOKUP(A1929,'Discount Lookup'!G:H,2,FALSE)*G1929)</f>
        <v>0</v>
      </c>
      <c r="W1929" s="508">
        <f t="shared" si="1461"/>
        <v>0</v>
      </c>
      <c r="X1929" s="508">
        <f t="shared" si="1462"/>
        <v>0</v>
      </c>
      <c r="Y1929" s="509" t="b">
        <f t="shared" si="1463"/>
        <v>0</v>
      </c>
      <c r="Z1929" s="510">
        <f t="shared" si="1464"/>
        <v>0</v>
      </c>
      <c r="AA1929" s="511"/>
      <c r="AB1929" s="511" t="str">
        <f t="shared" si="1465"/>
        <v/>
      </c>
      <c r="AC1929" s="698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698"/>
      <c r="AE1929" s="631" t="str">
        <f t="shared" si="1466"/>
        <v/>
      </c>
      <c r="AF1929" s="699" t="str">
        <f t="shared" si="1467"/>
        <v/>
      </c>
      <c r="AG1929" s="699"/>
      <c r="AH1929" s="699"/>
      <c r="AI1929" s="512">
        <f>IF(H1929="credit",0,IF(AE1929="free",0,IF(AE1929="me",0,IF(G1929&gt;0,(VLOOKUP(A1929,'Discount Lookup'!J:K,2)*G1929),0))))</f>
        <v>0</v>
      </c>
      <c r="AJ1929" s="513" t="str">
        <f t="shared" ca="1" si="1468"/>
        <v/>
      </c>
      <c r="AK1929" s="700" t="str">
        <f t="shared" si="1469"/>
        <v/>
      </c>
      <c r="AL1929" s="700"/>
      <c r="AM1929" s="505" t="str">
        <f t="shared" si="1470"/>
        <v/>
      </c>
      <c r="AN1929" s="506"/>
      <c r="AO1929" s="507"/>
      <c r="AP1929" s="507"/>
      <c r="AQ1929" s="507"/>
      <c r="AR1929" s="507"/>
      <c r="AS1929" s="507"/>
      <c r="AT1929" s="507"/>
      <c r="AU1929" s="507"/>
      <c r="AV1929" s="225"/>
      <c r="AW1929" s="508"/>
      <c r="AX1929" s="225"/>
      <c r="AY1929" s="225"/>
      <c r="AZ1929" s="225"/>
      <c r="BA1929" s="225"/>
      <c r="BB1929" s="225"/>
      <c r="BC1929" s="56"/>
      <c r="BD1929" s="56"/>
      <c r="BE1929" s="56"/>
      <c r="BF1929" s="107" t="str">
        <f t="shared" si="1471"/>
        <v>https://www.google.com/search?tbm=isch&amp;q=2%20G6</v>
      </c>
      <c r="BG1929" s="107" t="str">
        <f t="shared" si="1472"/>
        <v>I</v>
      </c>
      <c r="BH1929" s="254"/>
      <c r="BI1929" s="254"/>
    </row>
    <row r="1930" spans="1:61" customFormat="1" ht="16.5" thickBot="1" x14ac:dyDescent="0.3">
      <c r="A1930" s="522" t="s">
        <v>2945</v>
      </c>
      <c r="B1930" s="491"/>
      <c r="C1930" s="675"/>
      <c r="D1930" s="491"/>
      <c r="E1930" s="491"/>
      <c r="F1930" s="492"/>
      <c r="G1930" s="493"/>
      <c r="H1930" s="491"/>
      <c r="I1930" s="234"/>
      <c r="J1930" s="234"/>
      <c r="K1930" s="494"/>
      <c r="L1930" s="543"/>
      <c r="M1930" s="561"/>
      <c r="N1930" s="495"/>
      <c r="O1930" s="496"/>
      <c r="P1930" s="497"/>
      <c r="Q1930" s="495"/>
      <c r="R1930" s="495"/>
      <c r="S1930" s="667" t="s">
        <v>4968</v>
      </c>
      <c r="T1930" s="508">
        <f t="shared" si="1460"/>
        <v>0</v>
      </c>
      <c r="U1930" s="225" t="str">
        <f>IF(NOT(ISNUMBER(G1930)), "", VLOOKUP(A1930,'Discount Lookup'!D:E,2,FALSE)*G1930)</f>
        <v/>
      </c>
      <c r="V1930" s="225" t="str">
        <f>IF(NOT(ISNUMBER(G1930)), "", VLOOKUP(A1930,'Discount Lookup'!G:H,2,FALSE)*G1930)</f>
        <v/>
      </c>
      <c r="W1930" s="508">
        <f t="shared" si="1461"/>
        <v>0</v>
      </c>
      <c r="X1930" s="508">
        <f t="shared" si="1462"/>
        <v>0</v>
      </c>
      <c r="Y1930" s="509" t="b">
        <f t="shared" si="1463"/>
        <v>0</v>
      </c>
      <c r="Z1930" s="510">
        <f t="shared" si="1464"/>
        <v>0</v>
      </c>
      <c r="AA1930" s="511"/>
      <c r="AB1930" s="511" t="str">
        <f t="shared" si="1465"/>
        <v/>
      </c>
      <c r="AC1930" s="698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698"/>
      <c r="AE1930" s="631" t="str">
        <f t="shared" si="1466"/>
        <v/>
      </c>
      <c r="AF1930" s="699" t="str">
        <f t="shared" si="1467"/>
        <v/>
      </c>
      <c r="AG1930" s="699"/>
      <c r="AH1930" s="699"/>
      <c r="AI1930" s="512">
        <f>IF(H1930="credit",0,IF(AE1930="free",0,IF(AE1930="me",0,IF(G1930&gt;0,(VLOOKUP(A1930,'Discount Lookup'!J:K,2)*G1930),0))))</f>
        <v>0</v>
      </c>
      <c r="AJ1930" s="513" t="str">
        <f t="shared" ca="1" si="1468"/>
        <v/>
      </c>
      <c r="AK1930" s="700" t="str">
        <f t="shared" si="1469"/>
        <v/>
      </c>
      <c r="AL1930" s="700"/>
      <c r="AM1930" s="505" t="str">
        <f t="shared" si="1470"/>
        <v/>
      </c>
      <c r="AN1930" s="506"/>
      <c r="AO1930" s="507"/>
      <c r="AP1930" s="507"/>
      <c r="AQ1930" s="507"/>
      <c r="AR1930" s="507"/>
      <c r="AS1930" s="507"/>
      <c r="AT1930" s="507"/>
      <c r="AU1930" s="507"/>
      <c r="AV1930" s="225"/>
      <c r="AW1930" s="508"/>
      <c r="AX1930" s="225"/>
      <c r="AY1930" s="225"/>
      <c r="AZ1930" s="225"/>
      <c r="BA1930" s="225"/>
      <c r="BB1930" s="225"/>
      <c r="BC1930" s="56"/>
      <c r="BD1930" s="56"/>
      <c r="BE1930" s="56"/>
      <c r="BF1930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30" s="107" t="str">
        <f t="shared" si="1472"/>
        <v>A</v>
      </c>
      <c r="BH1930" s="254"/>
      <c r="BI1930" s="254"/>
    </row>
    <row r="1931" spans="1:61" customFormat="1" ht="18" x14ac:dyDescent="0.25">
      <c r="A1931" s="521" t="s">
        <v>5438</v>
      </c>
      <c r="B1931" s="477"/>
      <c r="C1931" s="674"/>
      <c r="D1931" s="478" t="s">
        <v>3076</v>
      </c>
      <c r="E1931" s="479"/>
      <c r="F1931" s="479"/>
      <c r="G1931" s="479"/>
      <c r="H1931" s="582" t="s">
        <v>2947</v>
      </c>
      <c r="I1931" s="480" t="s">
        <v>3077</v>
      </c>
      <c r="J1931" s="479"/>
      <c r="K1931" s="479"/>
      <c r="L1931" s="560"/>
      <c r="M1931" s="671" t="s">
        <v>4985</v>
      </c>
      <c r="N1931" s="680" t="str">
        <f>IF(AND(ISTEXT($A1931), ISERROR($A1931+0)), HYPERLINK($BF1931, "Images"), "")</f>
        <v>Images</v>
      </c>
      <c r="O1931" s="662" t="s">
        <v>4969</v>
      </c>
      <c r="P1931" s="482"/>
      <c r="Q1931" s="483"/>
      <c r="R1931" s="483"/>
      <c r="S1931" s="484"/>
      <c r="T1931" s="508">
        <f t="shared" si="1460"/>
        <v>0</v>
      </c>
      <c r="U1931" s="225" t="str">
        <f>IF(NOT(ISNUMBER(G1931)), "", VLOOKUP(A1931,'Discount Lookup'!D:E,2,FALSE)*G1931)</f>
        <v/>
      </c>
      <c r="V1931" s="225" t="str">
        <f>IF(NOT(ISNUMBER(G1931)), "", VLOOKUP(A1931,'Discount Lookup'!G:H,2,FALSE)*G1931)</f>
        <v/>
      </c>
      <c r="W1931" s="508">
        <f t="shared" si="1461"/>
        <v>0</v>
      </c>
      <c r="X1931" s="508" t="str">
        <f t="shared" si="1462"/>
        <v>Rose-Pink, darker with age</v>
      </c>
      <c r="Y1931" s="509" t="b">
        <f t="shared" si="1463"/>
        <v>0</v>
      </c>
      <c r="Z1931" s="510">
        <f t="shared" si="1464"/>
        <v>0</v>
      </c>
      <c r="AA1931" s="511"/>
      <c r="AB1931" s="511" t="str">
        <f t="shared" si="1465"/>
        <v/>
      </c>
      <c r="AC1931" s="698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698"/>
      <c r="AE1931" s="631" t="str">
        <f t="shared" si="1466"/>
        <v/>
      </c>
      <c r="AF1931" s="699" t="str">
        <f t="shared" si="1467"/>
        <v/>
      </c>
      <c r="AG1931" s="699"/>
      <c r="AH1931" s="699"/>
      <c r="AI1931" s="512">
        <f>IF(H1931="credit",0,IF(AE1931="free",0,IF(AE1931="me",0,IF(G1931&gt;0,(VLOOKUP(A1931,'Discount Lookup'!J:K,2)*G1931),0))))</f>
        <v>0</v>
      </c>
      <c r="AJ1931" s="513" t="str">
        <f t="shared" ca="1" si="1468"/>
        <v/>
      </c>
      <c r="AK1931" s="700" t="str">
        <f t="shared" si="1469"/>
        <v/>
      </c>
      <c r="AL1931" s="700"/>
      <c r="AM1931" s="505" t="str">
        <f t="shared" si="1470"/>
        <v/>
      </c>
      <c r="AN1931" s="506"/>
      <c r="AO1931" s="507"/>
      <c r="AP1931" s="507"/>
      <c r="AQ1931" s="507"/>
      <c r="AR1931" s="507"/>
      <c r="AS1931" s="507"/>
      <c r="AT1931" s="507"/>
      <c r="AU1931" s="507"/>
      <c r="AV1931" s="225"/>
      <c r="AW1931" s="508"/>
      <c r="AX1931" s="225"/>
      <c r="AY1931" s="225"/>
      <c r="AZ1931" s="225"/>
      <c r="BA1931" s="225"/>
      <c r="BB1931" s="225"/>
      <c r="BC1931" s="56"/>
      <c r="BD1931" s="56"/>
      <c r="BE1931" s="56"/>
      <c r="BF1931" s="107" t="str">
        <f t="shared" si="1471"/>
        <v>https://www.google.com/search?tbm=isch&amp;q=Ice%20N%27%20Roses%C2%AE%20Rose%20Lenten%20Rose%20Helleborus%20x%20glandorfensis%20%27COSEH%204200%27%20PP%2328297</v>
      </c>
      <c r="BG1931" s="107" t="str">
        <f t="shared" si="1472"/>
        <v>I</v>
      </c>
      <c r="BH1931" s="254"/>
      <c r="BI1931" s="254"/>
    </row>
    <row r="1932" spans="1:61" customFormat="1" ht="15.75" x14ac:dyDescent="0.25">
      <c r="A1932" s="485">
        <v>1</v>
      </c>
      <c r="B1932" s="486" t="s">
        <v>291</v>
      </c>
      <c r="C1932" s="487"/>
      <c r="D1932" s="488" t="s">
        <v>312</v>
      </c>
      <c r="E1932" s="489">
        <v>22.95</v>
      </c>
      <c r="F1932" s="516" t="s">
        <v>293</v>
      </c>
      <c r="G1932" s="232">
        <v>0</v>
      </c>
      <c r="H1932" s="658" t="str">
        <f>IF(G1932=0,"",IF(F1932="Buy",IF(G1932=1,"plant","plants"),IF(F1932&gt;0.01,"warranty","Error")))</f>
        <v/>
      </c>
      <c r="I1932" s="490">
        <f>IF(H1932="free",0,IF(H1932="credit",((E1932*(F1932))*G1932*-1),IF(F1932="Buy",(E1932*G1932),((E1932*(1-F1932))*G1932))))</f>
        <v>0</v>
      </c>
      <c r="J1932" s="490">
        <f>IF(H1932="warranty",0,(I1932*(_xlfn.SINGLE(SalesTaxPercentage))))</f>
        <v>0</v>
      </c>
      <c r="K1932" s="695">
        <f t="shared" ref="K1932" si="1504">I1932+J1932</f>
        <v>0</v>
      </c>
      <c r="L1932" s="695"/>
      <c r="M1932" s="659" t="str">
        <f>IF(AND(G1932&gt;0,E1932=0),"WARNING - no PRICE inserted",IF(H1932="free"," FREE ~ no charge this plant",IF(H1932="credit",CONCATENATE(" -$",ROUND(K1932*(1-T2GDiscount)*-1,2)," CREDIT after discount"),IF(T2GDiscount=0,"",IF(G1932=0,"",IF(F1932="Buy",CONCATENATE(" $",ROUND(K1932*(1-T2GDiscount),2)," with ",(T2GDiscount*100),"% discount"),CONCATENATE(" $",ROUND(K1932*(1-T2GDiscount),2)," with ",((T2GDiscount*100+F1932*100)-(T2GDiscount*100*F1932)),IF(F1932&gt;0,"% discounts",IF(NoWarrantyDiscount&gt;0,"% discounts","% discount")))))))))</f>
        <v/>
      </c>
      <c r="N1932" s="660"/>
      <c r="O1932" s="233"/>
      <c r="P1932" s="233"/>
      <c r="Q1932" s="233"/>
      <c r="R1932" s="233"/>
      <c r="S1932" s="233"/>
      <c r="T1932" s="508">
        <f t="shared" si="1460"/>
        <v>0</v>
      </c>
      <c r="U1932" s="225">
        <f>IF(NOT(ISNUMBER(G1932)), "", VLOOKUP(A1932,'Discount Lookup'!D:E,2,FALSE)*G1932)</f>
        <v>0</v>
      </c>
      <c r="V1932" s="225">
        <f>IF(NOT(ISNUMBER(G1932)), "", VLOOKUP(A1932,'Discount Lookup'!G:H,2,FALSE)*G1932)</f>
        <v>0</v>
      </c>
      <c r="W1932" s="508">
        <f t="shared" si="1461"/>
        <v>0</v>
      </c>
      <c r="X1932" s="508">
        <f t="shared" si="1462"/>
        <v>0</v>
      </c>
      <c r="Y1932" s="509" t="b">
        <f t="shared" si="1463"/>
        <v>0</v>
      </c>
      <c r="Z1932" s="510">
        <f t="shared" si="1464"/>
        <v>0</v>
      </c>
      <c r="AA1932" s="511"/>
      <c r="AB1932" s="511" t="str">
        <f t="shared" si="1465"/>
        <v/>
      </c>
      <c r="AC1932" s="698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698"/>
      <c r="AE1932" s="631" t="str">
        <f t="shared" si="1466"/>
        <v/>
      </c>
      <c r="AF1932" s="699" t="str">
        <f t="shared" si="1467"/>
        <v/>
      </c>
      <c r="AG1932" s="699"/>
      <c r="AH1932" s="699"/>
      <c r="AI1932" s="512">
        <f>IF(H1932="credit",0,IF(AE1932="free",0,IF(AE1932="me",0,IF(G1932&gt;0,(VLOOKUP(A1932,'Discount Lookup'!J:K,2)*G1932),0))))</f>
        <v>0</v>
      </c>
      <c r="AJ1932" s="513" t="str">
        <f t="shared" ca="1" si="1468"/>
        <v/>
      </c>
      <c r="AK1932" s="700" t="str">
        <f t="shared" si="1469"/>
        <v/>
      </c>
      <c r="AL1932" s="700"/>
      <c r="AM1932" s="505" t="str">
        <f t="shared" si="1470"/>
        <v/>
      </c>
      <c r="AN1932" s="506"/>
      <c r="AO1932" s="507"/>
      <c r="AP1932" s="507"/>
      <c r="AQ1932" s="507"/>
      <c r="AR1932" s="507"/>
      <c r="AS1932" s="507"/>
      <c r="AT1932" s="507"/>
      <c r="AU1932" s="507"/>
      <c r="AV1932" s="225"/>
      <c r="AW1932" s="508"/>
      <c r="AX1932" s="225"/>
      <c r="AY1932" s="225"/>
      <c r="AZ1932" s="225"/>
      <c r="BA1932" s="225"/>
      <c r="BB1932" s="225"/>
      <c r="BC1932" s="56"/>
      <c r="BD1932" s="56"/>
      <c r="BE1932" s="56"/>
      <c r="BF1932" s="107" t="str">
        <f t="shared" si="1471"/>
        <v>https://www.google.com/search?tbm=isch&amp;q=1%20G2</v>
      </c>
      <c r="BG1932" s="107" t="str">
        <f t="shared" si="1472"/>
        <v>I</v>
      </c>
      <c r="BH1932" s="254"/>
      <c r="BI1932" s="254"/>
    </row>
    <row r="1933" spans="1:61" customFormat="1" ht="16.5" thickBot="1" x14ac:dyDescent="0.3">
      <c r="A1933" s="522" t="s">
        <v>2945</v>
      </c>
      <c r="B1933" s="491"/>
      <c r="C1933" s="675"/>
      <c r="D1933" s="491"/>
      <c r="E1933" s="491"/>
      <c r="F1933" s="492"/>
      <c r="G1933" s="493"/>
      <c r="H1933" s="491"/>
      <c r="I1933" s="234"/>
      <c r="J1933" s="234"/>
      <c r="K1933" s="494"/>
      <c r="L1933" s="543"/>
      <c r="M1933" s="561"/>
      <c r="N1933" s="495"/>
      <c r="O1933" s="496"/>
      <c r="P1933" s="497"/>
      <c r="Q1933" s="495"/>
      <c r="R1933" s="495"/>
      <c r="S1933" s="667" t="s">
        <v>4968</v>
      </c>
      <c r="T1933" s="508">
        <f t="shared" si="1460"/>
        <v>0</v>
      </c>
      <c r="U1933" s="225" t="str">
        <f>IF(NOT(ISNUMBER(G1933)), "", VLOOKUP(A1933,'Discount Lookup'!D:E,2,FALSE)*G1933)</f>
        <v/>
      </c>
      <c r="V1933" s="225" t="str">
        <f>IF(NOT(ISNUMBER(G1933)), "", VLOOKUP(A1933,'Discount Lookup'!G:H,2,FALSE)*G1933)</f>
        <v/>
      </c>
      <c r="W1933" s="508">
        <f t="shared" si="1461"/>
        <v>0</v>
      </c>
      <c r="X1933" s="508">
        <f t="shared" si="1462"/>
        <v>0</v>
      </c>
      <c r="Y1933" s="509" t="b">
        <f t="shared" si="1463"/>
        <v>0</v>
      </c>
      <c r="Z1933" s="510">
        <f t="shared" si="1464"/>
        <v>0</v>
      </c>
      <c r="AA1933" s="511"/>
      <c r="AB1933" s="511" t="str">
        <f t="shared" si="1465"/>
        <v/>
      </c>
      <c r="AC1933" s="698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698"/>
      <c r="AE1933" s="631" t="str">
        <f t="shared" si="1466"/>
        <v/>
      </c>
      <c r="AF1933" s="699" t="str">
        <f t="shared" si="1467"/>
        <v/>
      </c>
      <c r="AG1933" s="699"/>
      <c r="AH1933" s="699"/>
      <c r="AI1933" s="512">
        <f>IF(H1933="credit",0,IF(AE1933="free",0,IF(AE1933="me",0,IF(G1933&gt;0,(VLOOKUP(A1933,'Discount Lookup'!J:K,2)*G1933),0))))</f>
        <v>0</v>
      </c>
      <c r="AJ1933" s="513" t="str">
        <f t="shared" ca="1" si="1468"/>
        <v/>
      </c>
      <c r="AK1933" s="700" t="str">
        <f t="shared" si="1469"/>
        <v/>
      </c>
      <c r="AL1933" s="700"/>
      <c r="AM1933" s="505" t="str">
        <f t="shared" si="1470"/>
        <v/>
      </c>
      <c r="AN1933" s="506"/>
      <c r="AO1933" s="507"/>
      <c r="AP1933" s="507"/>
      <c r="AQ1933" s="507"/>
      <c r="AR1933" s="507"/>
      <c r="AS1933" s="507"/>
      <c r="AT1933" s="507"/>
      <c r="AU1933" s="507"/>
      <c r="AV1933" s="225"/>
      <c r="AW1933" s="508"/>
      <c r="AX1933" s="225"/>
      <c r="AY1933" s="225"/>
      <c r="AZ1933" s="225"/>
      <c r="BA1933" s="225"/>
      <c r="BB1933" s="225"/>
      <c r="BC1933" s="56"/>
      <c r="BD1933" s="56"/>
      <c r="BE1933" s="56"/>
      <c r="BF1933" s="107" t="str">
        <f t="shared" si="1471"/>
        <v>https://www.google.com/search?tbm=isch&amp;q=All%20Hellebores%20are%20clump-forming%20perennials%20with%20leathery%20foliage.%20They%20are%20long-lived%2C%20cold%2Fshade%20tolerant%2C%20and%20bloom%20late%20winter%20to%20spring%20</v>
      </c>
      <c r="BG1933" s="107" t="str">
        <f t="shared" si="1472"/>
        <v>A</v>
      </c>
      <c r="BH1933" s="254"/>
      <c r="BI1933" s="254"/>
    </row>
    <row r="1934" spans="1:61" customFormat="1" ht="18" x14ac:dyDescent="0.25">
      <c r="A1934" s="521" t="s">
        <v>1137</v>
      </c>
      <c r="B1934" s="477"/>
      <c r="C1934" s="674"/>
      <c r="D1934" s="478" t="s">
        <v>1138</v>
      </c>
      <c r="E1934" s="479"/>
      <c r="F1934" s="479"/>
      <c r="G1934" s="479"/>
      <c r="H1934" s="582" t="s">
        <v>1139</v>
      </c>
      <c r="I1934" s="480" t="s">
        <v>1140</v>
      </c>
      <c r="J1934" s="479"/>
      <c r="K1934" s="479"/>
      <c r="L1934" s="560"/>
      <c r="M1934" s="666" t="s">
        <v>4963</v>
      </c>
      <c r="N1934" s="680" t="str">
        <f>IF(AND(ISTEXT($A1934), ISERROR($A1934+0)), HYPERLINK($BF1934, "Images"), "")</f>
        <v>Images</v>
      </c>
      <c r="O1934" s="662" t="s">
        <v>4969</v>
      </c>
      <c r="P1934" s="482"/>
      <c r="Q1934" s="483"/>
      <c r="R1934" s="483"/>
      <c r="S1934" s="484"/>
      <c r="T1934" s="508">
        <f t="shared" ref="T1934:T1997" si="1505">E1934*G1934</f>
        <v>0</v>
      </c>
      <c r="U1934" s="225" t="str">
        <f>IF(NOT(ISNUMBER(G1934)), "", VLOOKUP(A1934,'Discount Lookup'!D:E,2,FALSE)*G1934)</f>
        <v/>
      </c>
      <c r="V1934" s="225" t="str">
        <f>IF(NOT(ISNUMBER(G1934)), "", VLOOKUP(A1934,'Discount Lookup'!G:H,2,FALSE)*G1934)</f>
        <v/>
      </c>
      <c r="W1934" s="508">
        <f t="shared" ref="W1934:W1997" si="1506">IF(H1934="credit",0,E1934*(SalesTaxPercentage)*G1934)</f>
        <v>0</v>
      </c>
      <c r="X1934" s="508" t="str">
        <f t="shared" ref="X1934:X1997" si="1507">I1934</f>
        <v>Magenta-Pink bloom</v>
      </c>
      <c r="Y1934" s="509" t="b">
        <f t="shared" ref="Y1934:Y1997" si="1508">IF(AE1934="T2G",0,IF(H1934="credit",0,IF(G1934&gt;0,IF(AE1934="me","",G1934))))</f>
        <v>0</v>
      </c>
      <c r="Z1934" s="510">
        <f t="shared" ref="Z1934:Z1997" si="1509">IF(H1934="credit",G1934,0)</f>
        <v>0</v>
      </c>
      <c r="AA1934" s="511"/>
      <c r="AB1934" s="511" t="str">
        <f t="shared" ref="AB1934:AB1997" si="1510">IF(AE1934="T2G","by Trees2Go",IF(H1934="credit","CREDIT only ~",IF(AND(K1934="",AE1934=OR(PlanterYesMe="No",PlanterYesMe="N",PlanterYesMe="me")),"not THIS line⇨",IF(AND(K1934="images",AE1934="me"),"not THIS line⇨",IF(H1934="credit","",IF(G1934=0,"",IF(AE1934="me","",IF(OR(PlanterYesMe="No",PlanterYesMe="N",PlanterYesMe="me"),"",IF(AE1934="free","warranty",IF(OR(PlanterYesMe="yes",PlanterYesMe="y"),"Edison install:","to install:"))))))))))</f>
        <v/>
      </c>
      <c r="AC1934" s="698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698"/>
      <c r="AE1934" s="631" t="str">
        <f t="shared" ref="AE1934:AE1997" si="1511">IF(H1934="credit","",IF(G1934=0,"",IF(OR(PlanterYesMe="No",PlanterYesMe="N",PlanterYesMe="me"),"me",IF(H1934="warranty","free",IF(OR(PlanterYesMe="yes",PlanterYesMe="y"),"ELP","")))))</f>
        <v/>
      </c>
      <c r="AF1934" s="699" t="str">
        <f t="shared" ref="AF1934:AF1997" si="1512">IF(OR(PlanterYesMe="No",PlanterYesMe="N",PlanterYesMe="me"),"",IF(H1934="credit","",IF(G1934&gt;0,(CONCATENATE((G1934)," quantity, ",(A1934)," ",B1934)),"")))</f>
        <v/>
      </c>
      <c r="AG1934" s="699"/>
      <c r="AH1934" s="699"/>
      <c r="AI1934" s="512">
        <f>IF(H1934="credit",0,IF(AE1934="free",0,IF(AE1934="me",0,IF(G1934&gt;0,(VLOOKUP(A1934,'Discount Lookup'!J:K,2)*G1934),0))))</f>
        <v>0</v>
      </c>
      <c r="AJ1934" s="513" t="str">
        <f t="shared" ref="AJ1934:AJ1997" ca="1" si="1513">IF(AND(ISREF(H1934),H1934="credit"),"",IF(AND(AND(OFFSET(G1934,0,0)=0,OFFSET(G1934,1,0)&gt;0,ISNUMBER(OFFSET(AC1934,1,0)),OFFSET(AC1934,1,0)&gt;0),OR(PlanterYesMe="yes",PlanterYesMe="y")),"T2G+ELP=",IF(AND(OFFSET(G1934,0,0)=0,OFFSET(G1934,1,0)&gt;0,ISNUMBER(OFFSET(AC1934,1,0)),OFFSET(AC1934,1,0)&gt;0),"if T2G+ELP=",IF(AND(OFFSET(G1934,0,0)=0,OFFSET(G1934,1,0)&gt;0),"T2G Subtotal",IF(H1934="credit","",IF(G1934=0,"",IF(AE1934="free",(K1934*(1-T2GDiscount)),IF(OR(PlanterYesMe="No",PlanterYesMe="N",PlanterYesMe="me"),(K1934*(1-T2GDiscount)),IF(OR(AE1934="me",AE1934="T2G"),(K1934*(1-T2GDiscount)),(K1934*(1-T2GDiscount))+AC1934)))))))))</f>
        <v/>
      </c>
      <c r="AK1934" s="700" t="str">
        <f t="shared" ref="AK1934:AK1997" si="1514">IF(H1934="credit","",IF(G1934=0,"",IF(OR(AE1934="me",AE1934="T2G"),"  delivery-only",IF(OR(PlanterYesMe="No",PlanterYesMe="N",PlanterYesMe="me"),"  delivery-only",CONCATENATE(" $",ROUND(AJ1934/G1934,2)," each")))))</f>
        <v/>
      </c>
      <c r="AL1934" s="700"/>
      <c r="AM1934" s="505" t="str">
        <f t="shared" ref="AM1934:AM1997" si="1515">IF(H1934="credit","",IF(AE1934="free","      ~ discounts included, no tax or planting fee applies ~",IF(G1934=0,"",IF(OR(PlanterYesMe="No",PlanterYesMe="N",PlanterYesMe="me"),CONCATENATE(" $",ROUND(AJ1934/G1934,2)," per plant, with tax &amp; discount"),IF(OR(AE1934="me",AE1934="T2G"),CONCATENATE(" $",ROUND(AJ1934/G1934,2)," per plant, with tax &amp; discount"),CONCATENATE("= $",ROUND((K1934*(1-T2GDiscount))/G1934,2)," per plant + $",AC1934/G1934,(" per planting      ~ includes tax &amp; discounts ~")))))))</f>
        <v/>
      </c>
      <c r="AN1934" s="506"/>
      <c r="AO1934" s="507"/>
      <c r="AP1934" s="507"/>
      <c r="AQ1934" s="507"/>
      <c r="AR1934" s="507"/>
      <c r="AS1934" s="507"/>
      <c r="AT1934" s="507"/>
      <c r="AU1934" s="507"/>
      <c r="AV1934" s="225"/>
      <c r="AW1934" s="508"/>
      <c r="AX1934" s="225"/>
      <c r="AY1934" s="225"/>
      <c r="AZ1934" s="225"/>
      <c r="BA1934" s="225"/>
      <c r="BB1934" s="225"/>
      <c r="BC1934" s="56"/>
      <c r="BD1934" s="56"/>
      <c r="BE1934" s="56"/>
      <c r="BF1934" s="107" t="str">
        <f t="shared" ref="BF1934:BF1997" si="1516">"https://www.google.com/search?tbm=isch&amp;q=" &amp; _xlfn.ENCODEURL($A1934 &amp; " " &amp; $D1934)</f>
        <v>https://www.google.com/search?tbm=isch&amp;q=Ice%20Plant%20Delosperma%20cooperi</v>
      </c>
      <c r="BG1934" s="107" t="str">
        <f t="shared" ref="BG1934:BG1997" si="1517">IF(ISTEXT(A1934),LEFT(A1934,1),BG1933)</f>
        <v>I</v>
      </c>
      <c r="BH1934" s="254"/>
      <c r="BI1934" s="254"/>
    </row>
    <row r="1935" spans="1:61" customFormat="1" ht="15.75" x14ac:dyDescent="0.25">
      <c r="A1935" s="485">
        <v>2</v>
      </c>
      <c r="B1935" s="486" t="s">
        <v>291</v>
      </c>
      <c r="C1935" s="487"/>
      <c r="D1935" s="488" t="s">
        <v>300</v>
      </c>
      <c r="E1935" s="489">
        <v>38.950000000000003</v>
      </c>
      <c r="F1935" s="516" t="s">
        <v>293</v>
      </c>
      <c r="G1935" s="232">
        <v>0</v>
      </c>
      <c r="H1935" s="658" t="str">
        <f>IF(G1935=0,"",IF(F1935="Buy",IF(G1935=1,"plant","plants"),IF(F1935&gt;0.01,"warranty","Error")))</f>
        <v/>
      </c>
      <c r="I1935" s="490">
        <f>IF(H1935="free",0,IF(H1935="credit",((E1935*(F1935))*G1935*-1),IF(F1935="Buy",(E1935*G1935),((E1935*(1-F1935))*G1935))))</f>
        <v>0</v>
      </c>
      <c r="J1935" s="490">
        <f>IF(H1935="warranty",0,(I1935*(_xlfn.SINGLE(SalesTaxPercentage))))</f>
        <v>0</v>
      </c>
      <c r="K1935" s="695">
        <f t="shared" ref="K1935" si="1518">I1935+J1935</f>
        <v>0</v>
      </c>
      <c r="L1935" s="695"/>
      <c r="M1935" s="659" t="str">
        <f>IF(AND(G1935&gt;0,E1935=0),"WARNING - no PRICE inserted",IF(H1935="free"," FREE ~ no charge this plant",IF(H1935="credit",CONCATENATE(" -$",ROUND(K1935*(1-T2GDiscount)*-1,2)," CREDIT after discount"),IF(T2GDiscount=0,"",IF(G1935=0,"",IF(F1935="Buy",CONCATENATE(" $",ROUND(K1935*(1-T2GDiscount),2)," with ",(T2GDiscount*100),"% discount"),CONCATENATE(" $",ROUND(K1935*(1-T2GDiscount),2)," with ",((T2GDiscount*100+F1935*100)-(T2GDiscount*100*F1935)),IF(F1935&gt;0,"% discounts",IF(NoWarrantyDiscount&gt;0,"% discounts","% discount")))))))))</f>
        <v/>
      </c>
      <c r="N1935" s="660"/>
      <c r="O1935" s="233"/>
      <c r="P1935" s="233"/>
      <c r="Q1935" s="233"/>
      <c r="R1935" s="233"/>
      <c r="S1935" s="233"/>
      <c r="T1935" s="508">
        <f t="shared" si="1505"/>
        <v>0</v>
      </c>
      <c r="U1935" s="225">
        <f>IF(NOT(ISNUMBER(G1935)), "", VLOOKUP(A1935,'Discount Lookup'!D:E,2,FALSE)*G1935)</f>
        <v>0</v>
      </c>
      <c r="V1935" s="225">
        <f>IF(NOT(ISNUMBER(G1935)), "", VLOOKUP(A1935,'Discount Lookup'!G:H,2,FALSE)*G1935)</f>
        <v>0</v>
      </c>
      <c r="W1935" s="508">
        <f t="shared" si="1506"/>
        <v>0</v>
      </c>
      <c r="X1935" s="508">
        <f t="shared" si="1507"/>
        <v>0</v>
      </c>
      <c r="Y1935" s="509" t="b">
        <f t="shared" si="1508"/>
        <v>0</v>
      </c>
      <c r="Z1935" s="510">
        <f t="shared" si="1509"/>
        <v>0</v>
      </c>
      <c r="AA1935" s="511"/>
      <c r="AB1935" s="511" t="str">
        <f t="shared" si="1510"/>
        <v/>
      </c>
      <c r="AC1935" s="698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698"/>
      <c r="AE1935" s="631" t="str">
        <f t="shared" si="1511"/>
        <v/>
      </c>
      <c r="AF1935" s="699" t="str">
        <f t="shared" si="1512"/>
        <v/>
      </c>
      <c r="AG1935" s="699"/>
      <c r="AH1935" s="699"/>
      <c r="AI1935" s="512">
        <f>IF(H1935="credit",0,IF(AE1935="free",0,IF(AE1935="me",0,IF(G1935&gt;0,(VLOOKUP(A1935,'Discount Lookup'!J:K,2)*G1935),0))))</f>
        <v>0</v>
      </c>
      <c r="AJ1935" s="513" t="str">
        <f t="shared" ca="1" si="1513"/>
        <v/>
      </c>
      <c r="AK1935" s="700" t="str">
        <f t="shared" si="1514"/>
        <v/>
      </c>
      <c r="AL1935" s="700"/>
      <c r="AM1935" s="505" t="str">
        <f t="shared" si="1515"/>
        <v/>
      </c>
      <c r="AN1935" s="506"/>
      <c r="AO1935" s="507"/>
      <c r="AP1935" s="507"/>
      <c r="AQ1935" s="507"/>
      <c r="AR1935" s="507"/>
      <c r="AS1935" s="507"/>
      <c r="AT1935" s="507"/>
      <c r="AU1935" s="507"/>
      <c r="AV1935" s="225"/>
      <c r="AW1935" s="508"/>
      <c r="AX1935" s="225"/>
      <c r="AY1935" s="225"/>
      <c r="AZ1935" s="225"/>
      <c r="BA1935" s="225"/>
      <c r="BB1935" s="225"/>
      <c r="BC1935" s="56"/>
      <c r="BD1935" s="56"/>
      <c r="BE1935" s="56"/>
      <c r="BF1935" s="107" t="str">
        <f t="shared" si="1516"/>
        <v>https://www.google.com/search?tbm=isch&amp;q=2%20G6</v>
      </c>
      <c r="BG1935" s="107" t="str">
        <f t="shared" si="1517"/>
        <v>I</v>
      </c>
      <c r="BH1935" s="254"/>
      <c r="BI1935" s="254"/>
    </row>
    <row r="1936" spans="1:61" customFormat="1" ht="17.25" thickBot="1" x14ac:dyDescent="0.3">
      <c r="A1936" s="522" t="s">
        <v>2152</v>
      </c>
      <c r="B1936" s="491"/>
      <c r="C1936" s="675"/>
      <c r="D1936" s="491"/>
      <c r="E1936" s="491"/>
      <c r="F1936" s="492"/>
      <c r="G1936" s="493"/>
      <c r="H1936" s="491"/>
      <c r="I1936" s="234"/>
      <c r="J1936" s="234"/>
      <c r="K1936" s="494"/>
      <c r="L1936" s="543"/>
      <c r="M1936" s="561"/>
      <c r="N1936" s="495"/>
      <c r="O1936" s="496"/>
      <c r="P1936" s="497"/>
      <c r="Q1936" s="495"/>
      <c r="R1936" s="495"/>
      <c r="S1936" s="667" t="s">
        <v>5006</v>
      </c>
      <c r="T1936" s="508">
        <f t="shared" si="1505"/>
        <v>0</v>
      </c>
      <c r="U1936" s="225" t="str">
        <f>IF(NOT(ISNUMBER(G1936)), "", VLOOKUP(A1936,'Discount Lookup'!D:E,2,FALSE)*G1936)</f>
        <v/>
      </c>
      <c r="V1936" s="225" t="str">
        <f>IF(NOT(ISNUMBER(G1936)), "", VLOOKUP(A1936,'Discount Lookup'!G:H,2,FALSE)*G1936)</f>
        <v/>
      </c>
      <c r="W1936" s="508">
        <f t="shared" si="1506"/>
        <v>0</v>
      </c>
      <c r="X1936" s="508">
        <f t="shared" si="1507"/>
        <v>0</v>
      </c>
      <c r="Y1936" s="509" t="b">
        <f t="shared" si="1508"/>
        <v>0</v>
      </c>
      <c r="Z1936" s="510">
        <f t="shared" si="1509"/>
        <v>0</v>
      </c>
      <c r="AA1936" s="511"/>
      <c r="AB1936" s="511" t="str">
        <f t="shared" si="1510"/>
        <v/>
      </c>
      <c r="AC1936" s="698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698"/>
      <c r="AE1936" s="631" t="str">
        <f t="shared" si="1511"/>
        <v/>
      </c>
      <c r="AF1936" s="699" t="str">
        <f t="shared" si="1512"/>
        <v/>
      </c>
      <c r="AG1936" s="699"/>
      <c r="AH1936" s="699"/>
      <c r="AI1936" s="512">
        <f>IF(H1936="credit",0,IF(AE1936="free",0,IF(AE1936="me",0,IF(G1936&gt;0,(VLOOKUP(A1936,'Discount Lookup'!J:K,2)*G1936),0))))</f>
        <v>0</v>
      </c>
      <c r="AJ1936" s="513" t="str">
        <f t="shared" ca="1" si="1513"/>
        <v/>
      </c>
      <c r="AK1936" s="700" t="str">
        <f t="shared" si="1514"/>
        <v/>
      </c>
      <c r="AL1936" s="700"/>
      <c r="AM1936" s="505" t="str">
        <f t="shared" si="1515"/>
        <v/>
      </c>
      <c r="AN1936" s="506"/>
      <c r="AO1936" s="507"/>
      <c r="AP1936" s="507"/>
      <c r="AQ1936" s="507"/>
      <c r="AR1936" s="507"/>
      <c r="AS1936" s="507"/>
      <c r="AT1936" s="507"/>
      <c r="AU1936" s="507"/>
      <c r="AV1936" s="225"/>
      <c r="AW1936" s="508"/>
      <c r="AX1936" s="225"/>
      <c r="AY1936" s="225"/>
      <c r="AZ1936" s="225"/>
      <c r="BA1936" s="225"/>
      <c r="BB1936" s="225"/>
      <c r="BC1936" s="56"/>
      <c r="BD1936" s="56"/>
      <c r="BE1936" s="56"/>
      <c r="BF1936" s="107" t="str">
        <f t="shared" si="1516"/>
        <v>https://www.google.com/search?tbm=isch&amp;q=Ice%20Plant%20is%20named%20for%20it%27s%20cold%20hardiness.%20Long%20bloom%20period%20makes%20this%20a%20great%20groundcover%20</v>
      </c>
      <c r="BG1936" s="107" t="str">
        <f t="shared" si="1517"/>
        <v>I</v>
      </c>
      <c r="BH1936" s="254"/>
      <c r="BI1936" s="254"/>
    </row>
    <row r="1937" spans="1:61" customFormat="1" ht="18" x14ac:dyDescent="0.25">
      <c r="A1937" s="523" t="s">
        <v>1141</v>
      </c>
      <c r="B1937" s="235"/>
      <c r="C1937" s="676"/>
      <c r="D1937" s="255" t="s">
        <v>1142</v>
      </c>
      <c r="E1937" s="236"/>
      <c r="F1937" s="236"/>
      <c r="G1937" s="236"/>
      <c r="H1937" s="582" t="s">
        <v>1231</v>
      </c>
      <c r="I1937" s="498" t="s">
        <v>2215</v>
      </c>
      <c r="J1937" s="237"/>
      <c r="K1937" s="237"/>
      <c r="L1937" s="274"/>
      <c r="M1937" s="668" t="s">
        <v>4975</v>
      </c>
      <c r="N1937" s="681" t="str">
        <f>IF(AND(ISTEXT($A1937), ISERROR($A1937+0)), HYPERLINK($BF1937, "Images"), "")</f>
        <v>Images</v>
      </c>
      <c r="O1937" s="663" t="s">
        <v>4967</v>
      </c>
      <c r="P1937" s="253"/>
      <c r="Q1937" s="238"/>
      <c r="R1937" s="239"/>
      <c r="S1937" s="275"/>
      <c r="T1937" s="508">
        <f t="shared" si="1505"/>
        <v>0</v>
      </c>
      <c r="U1937" s="225" t="str">
        <f>IF(NOT(ISNUMBER(G1937)), "", VLOOKUP(A1937,'Discount Lookup'!D:E,2,FALSE)*G1937)</f>
        <v/>
      </c>
      <c r="V1937" s="225" t="str">
        <f>IF(NOT(ISNUMBER(G1937)), "", VLOOKUP(A1937,'Discount Lookup'!G:H,2,FALSE)*G1937)</f>
        <v/>
      </c>
      <c r="W1937" s="508">
        <f t="shared" si="1506"/>
        <v>0</v>
      </c>
      <c r="X1937" s="508" t="str">
        <f t="shared" si="1507"/>
        <v>Red-Purple foliage</v>
      </c>
      <c r="Y1937" s="509" t="b">
        <f t="shared" si="1508"/>
        <v>0</v>
      </c>
      <c r="Z1937" s="510">
        <f t="shared" si="1509"/>
        <v>0</v>
      </c>
      <c r="AA1937" s="511"/>
      <c r="AB1937" s="511" t="str">
        <f t="shared" si="1510"/>
        <v/>
      </c>
      <c r="AC1937" s="698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698"/>
      <c r="AE1937" s="631" t="str">
        <f t="shared" si="1511"/>
        <v/>
      </c>
      <c r="AF1937" s="699" t="str">
        <f t="shared" si="1512"/>
        <v/>
      </c>
      <c r="AG1937" s="699"/>
      <c r="AH1937" s="699"/>
      <c r="AI1937" s="512">
        <f>IF(H1937="credit",0,IF(AE1937="free",0,IF(AE1937="me",0,IF(G1937&gt;0,(VLOOKUP(A1937,'Discount Lookup'!J:K,2)*G1937),0))))</f>
        <v>0</v>
      </c>
      <c r="AJ1937" s="513" t="str">
        <f t="shared" ca="1" si="1513"/>
        <v/>
      </c>
      <c r="AK1937" s="700" t="str">
        <f t="shared" si="1514"/>
        <v/>
      </c>
      <c r="AL1937" s="700"/>
      <c r="AM1937" s="505" t="str">
        <f t="shared" si="1515"/>
        <v/>
      </c>
      <c r="AN1937" s="506"/>
      <c r="AO1937" s="507"/>
      <c r="AP1937" s="507"/>
      <c r="AQ1937" s="507"/>
      <c r="AR1937" s="507"/>
      <c r="AS1937" s="507"/>
      <c r="AT1937" s="507"/>
      <c r="AU1937" s="507"/>
      <c r="AV1937" s="225"/>
      <c r="AW1937" s="508"/>
      <c r="AX1937" s="225"/>
      <c r="AY1937" s="225"/>
      <c r="AZ1937" s="225"/>
      <c r="BA1937" s="225"/>
      <c r="BB1937" s="225"/>
      <c r="BC1937" s="56"/>
      <c r="BD1937" s="56"/>
      <c r="BE1937" s="56"/>
      <c r="BF1937" s="107" t="str">
        <f t="shared" si="1516"/>
        <v>https://www.google.com/search?tbm=isch&amp;q=Inaba%20Shidara%20Japanese%20Maple%20Acer%20palmatum%20var.%20dis.%20%27Inaba%20Shidare%27</v>
      </c>
      <c r="BG1937" s="107" t="str">
        <f t="shared" si="1517"/>
        <v>I</v>
      </c>
      <c r="BH1937" s="254"/>
      <c r="BI1937" s="254"/>
    </row>
    <row r="1938" spans="1:61" customFormat="1" ht="15.75" x14ac:dyDescent="0.25">
      <c r="A1938" s="276">
        <v>25</v>
      </c>
      <c r="B1938" s="240" t="s">
        <v>291</v>
      </c>
      <c r="C1938" s="241" t="s">
        <v>3570</v>
      </c>
      <c r="D1938" s="242" t="s">
        <v>292</v>
      </c>
      <c r="E1938" s="243">
        <v>790.95</v>
      </c>
      <c r="F1938" s="517" t="s">
        <v>293</v>
      </c>
      <c r="G1938" s="232">
        <v>0</v>
      </c>
      <c r="H1938" s="661" t="str">
        <f>IF(G1938=0,"",IF(F1938="Buy",IF(G1938=1,"plant","plants"),IF(F1938&gt;0.01,"warranty","Error")))</f>
        <v/>
      </c>
      <c r="I1938" s="244">
        <f>IF(H1938="free",0,IF(H1938="credit",((E1938*(F1938))*G1938*-1),IF(F1938="Buy",(E1938*G1938),((E1938*(1-F1938))*G1938))))</f>
        <v>0</v>
      </c>
      <c r="J1938" s="244">
        <f>IF(H1938="warranty",0,(I1938*(_xlfn.SINGLE(SalesTaxPercentage))))</f>
        <v>0</v>
      </c>
      <c r="K1938" s="696">
        <f t="shared" ref="K1938" si="1519">I1938+J1938</f>
        <v>0</v>
      </c>
      <c r="L1938" s="696"/>
      <c r="M1938" s="659" t="str">
        <f>IF(AND(G1938&gt;0,E1938=0),"WARNING - no PRICE inserted",IF(H1938="free"," FREE ~ no charge this plant",IF(H1938="credit",CONCATENATE(" -$",ROUND(K1938*(1-T2GDiscount)*-1,2)," CREDIT after discount"),IF(T2GDiscount=0,"",IF(G1938=0,"",IF(F1938="Buy",CONCATENATE(" $",ROUND(K1938*(1-T2GDiscount),2)," with ",(T2GDiscount*100),"% discount"),CONCATENATE(" $",ROUND(K1938*(1-T2GDiscount),2)," with ",((T2GDiscount*100+F1938*100)-(T2GDiscount*100*F1938)),IF(F1938&gt;0,"% discounts",IF(NoWarrantyDiscount&gt;0,"% discounts","% discount")))))))))</f>
        <v/>
      </c>
      <c r="N1938" s="660"/>
      <c r="O1938" s="233"/>
      <c r="P1938" s="233"/>
      <c r="Q1938" s="233"/>
      <c r="R1938" s="233"/>
      <c r="S1938" s="233"/>
      <c r="T1938" s="508">
        <f t="shared" si="1505"/>
        <v>0</v>
      </c>
      <c r="U1938" s="225">
        <f>IF(NOT(ISNUMBER(G1938)), "", VLOOKUP(A1938,'Discount Lookup'!D:E,2,FALSE)*G1938)</f>
        <v>0</v>
      </c>
      <c r="V1938" s="225">
        <f>IF(NOT(ISNUMBER(G1938)), "", VLOOKUP(A1938,'Discount Lookup'!G:H,2,FALSE)*G1938)</f>
        <v>0</v>
      </c>
      <c r="W1938" s="508">
        <f t="shared" si="1506"/>
        <v>0</v>
      </c>
      <c r="X1938" s="508">
        <f t="shared" si="1507"/>
        <v>0</v>
      </c>
      <c r="Y1938" s="509" t="b">
        <f t="shared" si="1508"/>
        <v>0</v>
      </c>
      <c r="Z1938" s="510">
        <f t="shared" si="1509"/>
        <v>0</v>
      </c>
      <c r="AA1938" s="511"/>
      <c r="AB1938" s="511" t="str">
        <f t="shared" si="1510"/>
        <v/>
      </c>
      <c r="AC1938" s="698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698"/>
      <c r="AE1938" s="631" t="str">
        <f t="shared" si="1511"/>
        <v/>
      </c>
      <c r="AF1938" s="699" t="str">
        <f t="shared" si="1512"/>
        <v/>
      </c>
      <c r="AG1938" s="699"/>
      <c r="AH1938" s="699"/>
      <c r="AI1938" s="512">
        <f>IF(H1938="credit",0,IF(AE1938="free",0,IF(AE1938="me",0,IF(G1938&gt;0,(VLOOKUP(A1938,'Discount Lookup'!J:K,2)*G1938),0))))</f>
        <v>0</v>
      </c>
      <c r="AJ1938" s="513" t="str">
        <f t="shared" ca="1" si="1513"/>
        <v/>
      </c>
      <c r="AK1938" s="700" t="str">
        <f t="shared" si="1514"/>
        <v/>
      </c>
      <c r="AL1938" s="700"/>
      <c r="AM1938" s="505" t="str">
        <f t="shared" si="1515"/>
        <v/>
      </c>
      <c r="AN1938" s="506"/>
      <c r="AO1938" s="507"/>
      <c r="AP1938" s="507"/>
      <c r="AQ1938" s="507"/>
      <c r="AR1938" s="507"/>
      <c r="AS1938" s="507"/>
      <c r="AT1938" s="507"/>
      <c r="AU1938" s="507"/>
      <c r="AV1938" s="225"/>
      <c r="AW1938" s="508"/>
      <c r="AX1938" s="225"/>
      <c r="AY1938" s="225"/>
      <c r="AZ1938" s="225"/>
      <c r="BA1938" s="225"/>
      <c r="BB1938" s="225"/>
      <c r="BC1938" s="56"/>
      <c r="BD1938" s="56"/>
      <c r="BE1938" s="56"/>
      <c r="BF1938" s="107" t="str">
        <f t="shared" si="1516"/>
        <v>https://www.google.com/search?tbm=isch&amp;q=25%20G4</v>
      </c>
      <c r="BG1938" s="107" t="str">
        <f t="shared" si="1517"/>
        <v>I</v>
      </c>
      <c r="BH1938" s="254"/>
      <c r="BI1938" s="254"/>
    </row>
    <row r="1939" spans="1:61" customFormat="1" ht="17.25" thickBot="1" x14ac:dyDescent="0.3">
      <c r="A1939" s="524" t="s">
        <v>2216</v>
      </c>
      <c r="B1939" s="245"/>
      <c r="C1939" s="677"/>
      <c r="D1939" s="499"/>
      <c r="E1939" s="499"/>
      <c r="F1939" s="500"/>
      <c r="G1939" s="501"/>
      <c r="H1939" s="502"/>
      <c r="I1939" s="246"/>
      <c r="J1939" s="247"/>
      <c r="K1939" s="503"/>
      <c r="L1939" s="544"/>
      <c r="M1939" s="544"/>
      <c r="N1939" s="500"/>
      <c r="O1939" s="500"/>
      <c r="P1939" s="500"/>
      <c r="Q1939" s="500"/>
      <c r="R1939" s="500"/>
      <c r="S1939" s="278"/>
      <c r="T1939" s="508">
        <f t="shared" si="1505"/>
        <v>0</v>
      </c>
      <c r="U1939" s="225" t="str">
        <f>IF(NOT(ISNUMBER(G1939)), "", VLOOKUP(A1939,'Discount Lookup'!D:E,2,FALSE)*G1939)</f>
        <v/>
      </c>
      <c r="V1939" s="225" t="str">
        <f>IF(NOT(ISNUMBER(G1939)), "", VLOOKUP(A1939,'Discount Lookup'!G:H,2,FALSE)*G1939)</f>
        <v/>
      </c>
      <c r="W1939" s="508">
        <f t="shared" si="1506"/>
        <v>0</v>
      </c>
      <c r="X1939" s="508">
        <f t="shared" si="1507"/>
        <v>0</v>
      </c>
      <c r="Y1939" s="509" t="b">
        <f t="shared" si="1508"/>
        <v>0</v>
      </c>
      <c r="Z1939" s="510">
        <f t="shared" si="1509"/>
        <v>0</v>
      </c>
      <c r="AA1939" s="511"/>
      <c r="AB1939" s="511" t="str">
        <f t="shared" si="1510"/>
        <v/>
      </c>
      <c r="AC1939" s="698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698"/>
      <c r="AE1939" s="631" t="str">
        <f t="shared" si="1511"/>
        <v/>
      </c>
      <c r="AF1939" s="699" t="str">
        <f t="shared" si="1512"/>
        <v/>
      </c>
      <c r="AG1939" s="699"/>
      <c r="AH1939" s="699"/>
      <c r="AI1939" s="512">
        <f>IF(H1939="credit",0,IF(AE1939="free",0,IF(AE1939="me",0,IF(G1939&gt;0,(VLOOKUP(A1939,'Discount Lookup'!J:K,2)*G1939),0))))</f>
        <v>0</v>
      </c>
      <c r="AJ1939" s="513" t="str">
        <f t="shared" ca="1" si="1513"/>
        <v/>
      </c>
      <c r="AK1939" s="700" t="str">
        <f t="shared" si="1514"/>
        <v/>
      </c>
      <c r="AL1939" s="700"/>
      <c r="AM1939" s="505" t="str">
        <f t="shared" si="1515"/>
        <v/>
      </c>
      <c r="AN1939" s="506"/>
      <c r="AO1939" s="507"/>
      <c r="AP1939" s="507"/>
      <c r="AQ1939" s="507"/>
      <c r="AR1939" s="507"/>
      <c r="AS1939" s="507"/>
      <c r="AT1939" s="507"/>
      <c r="AU1939" s="507"/>
      <c r="AV1939" s="225"/>
      <c r="AW1939" s="508"/>
      <c r="AX1939" s="225"/>
      <c r="AY1939" s="225"/>
      <c r="AZ1939" s="225"/>
      <c r="BA1939" s="225"/>
      <c r="BB1939" s="225"/>
      <c r="BC1939" s="56"/>
      <c r="BD1939" s="56"/>
      <c r="BE1939" s="56"/>
      <c r="BF1939" s="107" t="str">
        <f t="shared" si="1516"/>
        <v>https://www.google.com/search?tbm=isch&amp;q=Inaba%20Shidara%20offers%20lace-like%20foliage%20that%20holds%20its%20color%20through%20summer%20and%20transforms%20into%20fiery%20Crimson%20in%20the%20fall%20</v>
      </c>
      <c r="BG1939" s="107" t="str">
        <f t="shared" si="1517"/>
        <v>I</v>
      </c>
      <c r="BH1939" s="254"/>
      <c r="BI1939" s="254"/>
    </row>
    <row r="1940" spans="1:61" customFormat="1" ht="18" x14ac:dyDescent="0.25">
      <c r="A1940" s="521" t="s">
        <v>1143</v>
      </c>
      <c r="B1940" s="477"/>
      <c r="C1940" s="674"/>
      <c r="D1940" s="478" t="s">
        <v>1144</v>
      </c>
      <c r="E1940" s="479"/>
      <c r="F1940" s="479"/>
      <c r="G1940" s="479"/>
      <c r="H1940" s="582" t="s">
        <v>2104</v>
      </c>
      <c r="I1940" s="480" t="s">
        <v>2093</v>
      </c>
      <c r="J1940" s="479"/>
      <c r="K1940" s="479"/>
      <c r="L1940" s="560"/>
      <c r="M1940" s="666" t="s">
        <v>4966</v>
      </c>
      <c r="N1940" s="680" t="str">
        <f>IF(AND(ISTEXT($A1940), ISERROR($A1940+0)), HYPERLINK($BF1940, "Images"), "")</f>
        <v>Images</v>
      </c>
      <c r="O1940" s="662" t="s">
        <v>4967</v>
      </c>
      <c r="P1940" s="482"/>
      <c r="Q1940" s="483"/>
      <c r="R1940" s="483"/>
      <c r="S1940" s="484"/>
      <c r="T1940" s="508">
        <f t="shared" si="1505"/>
        <v>0</v>
      </c>
      <c r="U1940" s="225" t="str">
        <f>IF(NOT(ISNUMBER(G1940)), "", VLOOKUP(A1940,'Discount Lookup'!D:E,2,FALSE)*G1940)</f>
        <v/>
      </c>
      <c r="V1940" s="225" t="str">
        <f>IF(NOT(ISNUMBER(G1940)), "", VLOOKUP(A1940,'Discount Lookup'!G:H,2,FALSE)*G1940)</f>
        <v/>
      </c>
      <c r="W1940" s="508">
        <f t="shared" si="1506"/>
        <v>0</v>
      </c>
      <c r="X1940" s="508" t="str">
        <f t="shared" si="1507"/>
        <v>Dark Green foliage</v>
      </c>
      <c r="Y1940" s="509" t="b">
        <f t="shared" si="1508"/>
        <v>0</v>
      </c>
      <c r="Z1940" s="510">
        <f t="shared" si="1509"/>
        <v>0</v>
      </c>
      <c r="AA1940" s="511"/>
      <c r="AB1940" s="511" t="str">
        <f t="shared" si="1510"/>
        <v/>
      </c>
      <c r="AC1940" s="698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698"/>
      <c r="AE1940" s="631" t="str">
        <f t="shared" si="1511"/>
        <v/>
      </c>
      <c r="AF1940" s="699" t="str">
        <f t="shared" si="1512"/>
        <v/>
      </c>
      <c r="AG1940" s="699"/>
      <c r="AH1940" s="699"/>
      <c r="AI1940" s="512">
        <f>IF(H1940="credit",0,IF(AE1940="free",0,IF(AE1940="me",0,IF(G1940&gt;0,(VLOOKUP(A1940,'Discount Lookup'!J:K,2)*G1940),0))))</f>
        <v>0</v>
      </c>
      <c r="AJ1940" s="513" t="str">
        <f t="shared" ca="1" si="1513"/>
        <v/>
      </c>
      <c r="AK1940" s="700" t="str">
        <f t="shared" si="1514"/>
        <v/>
      </c>
      <c r="AL1940" s="700"/>
      <c r="AM1940" s="505" t="str">
        <f t="shared" si="1515"/>
        <v/>
      </c>
      <c r="AN1940" s="506"/>
      <c r="AO1940" s="507"/>
      <c r="AP1940" s="507"/>
      <c r="AQ1940" s="507"/>
      <c r="AR1940" s="507"/>
      <c r="AS1940" s="507"/>
      <c r="AT1940" s="507"/>
      <c r="AU1940" s="507"/>
      <c r="AV1940" s="225"/>
      <c r="AW1940" s="508"/>
      <c r="AX1940" s="225"/>
      <c r="AY1940" s="225"/>
      <c r="AZ1940" s="225"/>
      <c r="BA1940" s="225"/>
      <c r="BB1940" s="225"/>
      <c r="BC1940" s="56"/>
      <c r="BD1940" s="56"/>
      <c r="BE1940" s="56"/>
      <c r="BF1940" s="107" t="str">
        <f t="shared" si="1516"/>
        <v>https://www.google.com/search?tbm=isch&amp;q=Inman%20Select%20Coast%20Redwood%20Sequoia%20sempervirens%20%27Inman%20Select%27</v>
      </c>
      <c r="BG1940" s="107" t="str">
        <f t="shared" si="1517"/>
        <v>I</v>
      </c>
      <c r="BH1940" s="254"/>
      <c r="BI1940" s="254"/>
    </row>
    <row r="1941" spans="1:61" customFormat="1" ht="27" x14ac:dyDescent="0.25">
      <c r="A1941" s="485">
        <v>15</v>
      </c>
      <c r="B1941" s="486" t="s">
        <v>291</v>
      </c>
      <c r="C1941" s="487" t="s">
        <v>3571</v>
      </c>
      <c r="D1941" s="488" t="s">
        <v>292</v>
      </c>
      <c r="E1941" s="489">
        <v>293.95</v>
      </c>
      <c r="F1941" s="516" t="s">
        <v>293</v>
      </c>
      <c r="G1941" s="232">
        <v>0</v>
      </c>
      <c r="H1941" s="658" t="str">
        <f>IF(G1941=0,"",IF(F1941="Buy",IF(G1941=1,"plant","plants"),IF(F1941&gt;0.01,"warranty","Error")))</f>
        <v/>
      </c>
      <c r="I1941" s="490">
        <f>IF(H1941="free",0,IF(H1941="credit",((E1941*(F1941))*G1941*-1),IF(F1941="Buy",(E1941*G1941),((E1941*(1-F1941))*G1941))))</f>
        <v>0</v>
      </c>
      <c r="J1941" s="490">
        <f>IF(H1941="warranty",0,(I1941*(_xlfn.SINGLE(SalesTaxPercentage))))</f>
        <v>0</v>
      </c>
      <c r="K1941" s="695">
        <f t="shared" ref="K1941" si="1520">I1941+J1941</f>
        <v>0</v>
      </c>
      <c r="L1941" s="695"/>
      <c r="M1941" s="659" t="str">
        <f>IF(AND(G1941&gt;0,E1941=0),"WARNING - no PRICE inserted",IF(H1941="free"," FREE ~ no charge this plant",IF(H1941="credit",CONCATENATE(" -$",ROUND(K1941*(1-T2GDiscount)*-1,2)," CREDIT after discount"),IF(T2GDiscount=0,"",IF(G1941=0,"",IF(F1941="Buy",CONCATENATE(" $",ROUND(K1941*(1-T2GDiscount),2)," with ",(T2GDiscount*100),"% discount"),CONCATENATE(" $",ROUND(K1941*(1-T2GDiscount),2)," with ",((T2GDiscount*100+F1941*100)-(T2GDiscount*100*F1941)),IF(F1941&gt;0,"% discounts",IF(NoWarrantyDiscount&gt;0,"% discounts","% discount")))))))))</f>
        <v/>
      </c>
      <c r="N1941" s="660"/>
      <c r="O1941" s="233"/>
      <c r="P1941" s="233"/>
      <c r="Q1941" s="233"/>
      <c r="R1941" s="233"/>
      <c r="S1941" s="233"/>
      <c r="T1941" s="508">
        <f t="shared" si="1505"/>
        <v>0</v>
      </c>
      <c r="U1941" s="225">
        <f>IF(NOT(ISNUMBER(G1941)), "", VLOOKUP(A1941,'Discount Lookup'!D:E,2,FALSE)*G1941)</f>
        <v>0</v>
      </c>
      <c r="V1941" s="225">
        <f>IF(NOT(ISNUMBER(G1941)), "", VLOOKUP(A1941,'Discount Lookup'!G:H,2,FALSE)*G1941)</f>
        <v>0</v>
      </c>
      <c r="W1941" s="508">
        <f t="shared" si="1506"/>
        <v>0</v>
      </c>
      <c r="X1941" s="508">
        <f t="shared" si="1507"/>
        <v>0</v>
      </c>
      <c r="Y1941" s="509" t="b">
        <f t="shared" si="1508"/>
        <v>0</v>
      </c>
      <c r="Z1941" s="510">
        <f t="shared" si="1509"/>
        <v>0</v>
      </c>
      <c r="AA1941" s="511"/>
      <c r="AB1941" s="511" t="str">
        <f t="shared" si="1510"/>
        <v/>
      </c>
      <c r="AC1941" s="698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698"/>
      <c r="AE1941" s="631" t="str">
        <f t="shared" si="1511"/>
        <v/>
      </c>
      <c r="AF1941" s="699" t="str">
        <f t="shared" si="1512"/>
        <v/>
      </c>
      <c r="AG1941" s="699"/>
      <c r="AH1941" s="699"/>
      <c r="AI1941" s="512">
        <f>IF(H1941="credit",0,IF(AE1941="free",0,IF(AE1941="me",0,IF(G1941&gt;0,(VLOOKUP(A1941,'Discount Lookup'!J:K,2)*G1941),0))))</f>
        <v>0</v>
      </c>
      <c r="AJ1941" s="513" t="str">
        <f t="shared" ca="1" si="1513"/>
        <v/>
      </c>
      <c r="AK1941" s="700" t="str">
        <f t="shared" si="1514"/>
        <v/>
      </c>
      <c r="AL1941" s="700"/>
      <c r="AM1941" s="505" t="str">
        <f t="shared" si="1515"/>
        <v/>
      </c>
      <c r="AN1941" s="506"/>
      <c r="AO1941" s="507"/>
      <c r="AP1941" s="507"/>
      <c r="AQ1941" s="507"/>
      <c r="AR1941" s="507"/>
      <c r="AS1941" s="507"/>
      <c r="AT1941" s="507"/>
      <c r="AU1941" s="507"/>
      <c r="AV1941" s="225"/>
      <c r="AW1941" s="508"/>
      <c r="AX1941" s="225"/>
      <c r="AY1941" s="225"/>
      <c r="AZ1941" s="225"/>
      <c r="BA1941" s="225"/>
      <c r="BB1941" s="225"/>
      <c r="BC1941" s="56"/>
      <c r="BD1941" s="56"/>
      <c r="BE1941" s="56"/>
      <c r="BF1941" s="107" t="str">
        <f t="shared" si="1516"/>
        <v>https://www.google.com/search?tbm=isch&amp;q=15%20G4</v>
      </c>
      <c r="BG1941" s="107" t="str">
        <f t="shared" si="1517"/>
        <v>I</v>
      </c>
      <c r="BH1941" s="254"/>
      <c r="BI1941" s="254"/>
    </row>
    <row r="1942" spans="1:61" customFormat="1" ht="27" x14ac:dyDescent="0.25">
      <c r="A1942" s="485">
        <v>25</v>
      </c>
      <c r="B1942" s="486" t="s">
        <v>291</v>
      </c>
      <c r="C1942" s="487" t="s">
        <v>3572</v>
      </c>
      <c r="D1942" s="488" t="s">
        <v>292</v>
      </c>
      <c r="E1942" s="489">
        <v>408.95</v>
      </c>
      <c r="F1942" s="516" t="s">
        <v>293</v>
      </c>
      <c r="G1942" s="232">
        <v>0</v>
      </c>
      <c r="H1942" s="658" t="str">
        <f>IF(G1942=0,"",IF(F1942="Buy",IF(G1942=1,"plant","plants"),IF(F1942&gt;0.01,"warranty","Error")))</f>
        <v/>
      </c>
      <c r="I1942" s="490">
        <f>IF(H1942="free",0,IF(H1942="credit",((E1942*(F1942))*G1942*-1),IF(F1942="Buy",(E1942*G1942),((E1942*(1-F1942))*G1942))))</f>
        <v>0</v>
      </c>
      <c r="J1942" s="490">
        <f>IF(H1942="warranty",0,(I1942*(_xlfn.SINGLE(SalesTaxPercentage))))</f>
        <v>0</v>
      </c>
      <c r="K1942" s="695">
        <f t="shared" ref="K1942" si="1521">I1942+J1942</f>
        <v>0</v>
      </c>
      <c r="L1942" s="695"/>
      <c r="M1942" s="659" t="str">
        <f>IF(AND(G1942&gt;0,E1942=0),"WARNING - no PRICE inserted",IF(H1942="free"," FREE ~ no charge this plant",IF(H1942="credit",CONCATENATE(" -$",ROUND(K1942*(1-T2GDiscount)*-1,2)," CREDIT after discount"),IF(T2GDiscount=0,"",IF(G1942=0,"",IF(F1942="Buy",CONCATENATE(" $",ROUND(K1942*(1-T2GDiscount),2)," with ",(T2GDiscount*100),"% discount"),CONCATENATE(" $",ROUND(K1942*(1-T2GDiscount),2)," with ",((T2GDiscount*100+F1942*100)-(T2GDiscount*100*F1942)),IF(F1942&gt;0,"% discounts",IF(NoWarrantyDiscount&gt;0,"% discounts","% discount")))))))))</f>
        <v/>
      </c>
      <c r="N1942" s="660"/>
      <c r="O1942" s="233"/>
      <c r="P1942" s="233"/>
      <c r="Q1942" s="233"/>
      <c r="R1942" s="233"/>
      <c r="S1942" s="233"/>
      <c r="T1942" s="508">
        <f t="shared" si="1505"/>
        <v>0</v>
      </c>
      <c r="U1942" s="225">
        <f>IF(NOT(ISNUMBER(G1942)), "", VLOOKUP(A1942,'Discount Lookup'!D:E,2,FALSE)*G1942)</f>
        <v>0</v>
      </c>
      <c r="V1942" s="225">
        <f>IF(NOT(ISNUMBER(G1942)), "", VLOOKUP(A1942,'Discount Lookup'!G:H,2,FALSE)*G1942)</f>
        <v>0</v>
      </c>
      <c r="W1942" s="508">
        <f t="shared" si="1506"/>
        <v>0</v>
      </c>
      <c r="X1942" s="508">
        <f t="shared" si="1507"/>
        <v>0</v>
      </c>
      <c r="Y1942" s="509" t="b">
        <f t="shared" si="1508"/>
        <v>0</v>
      </c>
      <c r="Z1942" s="510">
        <f t="shared" si="1509"/>
        <v>0</v>
      </c>
      <c r="AA1942" s="511"/>
      <c r="AB1942" s="511" t="str">
        <f t="shared" si="1510"/>
        <v/>
      </c>
      <c r="AC1942" s="698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698"/>
      <c r="AE1942" s="631" t="str">
        <f t="shared" si="1511"/>
        <v/>
      </c>
      <c r="AF1942" s="699" t="str">
        <f t="shared" si="1512"/>
        <v/>
      </c>
      <c r="AG1942" s="699"/>
      <c r="AH1942" s="699"/>
      <c r="AI1942" s="512">
        <f>IF(H1942="credit",0,IF(AE1942="free",0,IF(AE1942="me",0,IF(G1942&gt;0,(VLOOKUP(A1942,'Discount Lookup'!J:K,2)*G1942),0))))</f>
        <v>0</v>
      </c>
      <c r="AJ1942" s="513" t="str">
        <f t="shared" ca="1" si="1513"/>
        <v/>
      </c>
      <c r="AK1942" s="700" t="str">
        <f t="shared" si="1514"/>
        <v/>
      </c>
      <c r="AL1942" s="700"/>
      <c r="AM1942" s="505" t="str">
        <f t="shared" si="1515"/>
        <v/>
      </c>
      <c r="AN1942" s="506"/>
      <c r="AO1942" s="507"/>
      <c r="AP1942" s="507"/>
      <c r="AQ1942" s="507"/>
      <c r="AR1942" s="507"/>
      <c r="AS1942" s="507"/>
      <c r="AT1942" s="507"/>
      <c r="AU1942" s="507"/>
      <c r="AV1942" s="225"/>
      <c r="AW1942" s="508"/>
      <c r="AX1942" s="225"/>
      <c r="AY1942" s="225"/>
      <c r="AZ1942" s="225"/>
      <c r="BA1942" s="225"/>
      <c r="BB1942" s="225"/>
      <c r="BC1942" s="56"/>
      <c r="BD1942" s="56"/>
      <c r="BE1942" s="56"/>
      <c r="BF1942" s="107" t="str">
        <f t="shared" si="1516"/>
        <v>https://www.google.com/search?tbm=isch&amp;q=25%20G4</v>
      </c>
      <c r="BG1942" s="107" t="str">
        <f t="shared" si="1517"/>
        <v>I</v>
      </c>
      <c r="BH1942" s="254"/>
      <c r="BI1942" s="254"/>
    </row>
    <row r="1943" spans="1:61" customFormat="1" ht="17.25" thickBot="1" x14ac:dyDescent="0.3">
      <c r="A1943" s="672" t="s">
        <v>5142</v>
      </c>
      <c r="B1943" s="491"/>
      <c r="C1943" s="675"/>
      <c r="D1943" s="491"/>
      <c r="E1943" s="491"/>
      <c r="F1943" s="492"/>
      <c r="G1943" s="493"/>
      <c r="H1943" s="491"/>
      <c r="I1943" s="234"/>
      <c r="J1943" s="234"/>
      <c r="K1943" s="494"/>
      <c r="L1943" s="543"/>
      <c r="M1943" s="561"/>
      <c r="N1943" s="495"/>
      <c r="O1943" s="496"/>
      <c r="P1943" s="497"/>
      <c r="Q1943" s="495"/>
      <c r="R1943" s="495"/>
      <c r="S1943" s="667" t="s">
        <v>4984</v>
      </c>
      <c r="T1943" s="508">
        <f t="shared" si="1505"/>
        <v>0</v>
      </c>
      <c r="U1943" s="225" t="str">
        <f>IF(NOT(ISNUMBER(G1943)), "", VLOOKUP(A1943,'Discount Lookup'!D:E,2,FALSE)*G1943)</f>
        <v/>
      </c>
      <c r="V1943" s="225" t="str">
        <f>IF(NOT(ISNUMBER(G1943)), "", VLOOKUP(A1943,'Discount Lookup'!G:H,2,FALSE)*G1943)</f>
        <v/>
      </c>
      <c r="W1943" s="508">
        <f t="shared" si="1506"/>
        <v>0</v>
      </c>
      <c r="X1943" s="508">
        <f t="shared" si="1507"/>
        <v>0</v>
      </c>
      <c r="Y1943" s="509" t="b">
        <f t="shared" si="1508"/>
        <v>0</v>
      </c>
      <c r="Z1943" s="510">
        <f t="shared" si="1509"/>
        <v>0</v>
      </c>
      <c r="AA1943" s="511"/>
      <c r="AB1943" s="511" t="str">
        <f t="shared" si="1510"/>
        <v/>
      </c>
      <c r="AC1943" s="698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698"/>
      <c r="AE1943" s="631" t="str">
        <f t="shared" si="1511"/>
        <v/>
      </c>
      <c r="AF1943" s="699" t="str">
        <f t="shared" si="1512"/>
        <v/>
      </c>
      <c r="AG1943" s="699"/>
      <c r="AH1943" s="699"/>
      <c r="AI1943" s="512">
        <f>IF(H1943="credit",0,IF(AE1943="free",0,IF(AE1943="me",0,IF(G1943&gt;0,(VLOOKUP(A1943,'Discount Lookup'!J:K,2)*G1943),0))))</f>
        <v>0</v>
      </c>
      <c r="AJ1943" s="513" t="str">
        <f t="shared" ca="1" si="1513"/>
        <v/>
      </c>
      <c r="AK1943" s="700" t="str">
        <f t="shared" si="1514"/>
        <v/>
      </c>
      <c r="AL1943" s="700"/>
      <c r="AM1943" s="505" t="str">
        <f t="shared" si="1515"/>
        <v/>
      </c>
      <c r="AN1943" s="506"/>
      <c r="AO1943" s="507"/>
      <c r="AP1943" s="507"/>
      <c r="AQ1943" s="507"/>
      <c r="AR1943" s="507"/>
      <c r="AS1943" s="507"/>
      <c r="AT1943" s="507"/>
      <c r="AU1943" s="507"/>
      <c r="AV1943" s="225"/>
      <c r="AW1943" s="508"/>
      <c r="AX1943" s="225"/>
      <c r="AY1943" s="225"/>
      <c r="AZ1943" s="225"/>
      <c r="BA1943" s="225"/>
      <c r="BB1943" s="225"/>
      <c r="BC1943" s="56"/>
      <c r="BD1943" s="56"/>
      <c r="BE1943" s="56"/>
      <c r="BF1943" s="107" t="str">
        <f t="shared" si="1516"/>
        <v>https://www.google.com/search?tbm=isch&amp;q=moist%20sites%F0%9F%92%A7GOOD%2C%20Inman%20Select%20better%20than%20other%20Redwood%20in%20the%20Southeast%2C%20as%20it%20tolerates%20cold%20and%20high%20humidity%20</v>
      </c>
      <c r="BG1943" s="107" t="str">
        <f t="shared" si="1517"/>
        <v>m</v>
      </c>
      <c r="BH1943" s="254"/>
      <c r="BI1943" s="254"/>
    </row>
    <row r="1944" spans="1:61" customFormat="1" ht="18" x14ac:dyDescent="0.25">
      <c r="A1944" s="521" t="s">
        <v>1145</v>
      </c>
      <c r="B1944" s="477"/>
      <c r="C1944" s="674"/>
      <c r="D1944" s="478" t="s">
        <v>1146</v>
      </c>
      <c r="E1944" s="479"/>
      <c r="F1944" s="479"/>
      <c r="G1944" s="479"/>
      <c r="H1944" s="582" t="s">
        <v>317</v>
      </c>
      <c r="I1944" s="480" t="s">
        <v>654</v>
      </c>
      <c r="J1944" s="479"/>
      <c r="K1944" s="479"/>
      <c r="L1944" s="560"/>
      <c r="M1944" s="666" t="s">
        <v>4966</v>
      </c>
      <c r="N1944" s="680" t="str">
        <f>IF(AND(ISTEXT($A1944), ISERROR($A1944+0)), HYPERLINK($BF1944, "Images"), "")</f>
        <v>Images</v>
      </c>
      <c r="O1944" s="662" t="s">
        <v>4967</v>
      </c>
      <c r="P1944" s="482"/>
      <c r="Q1944" s="483"/>
      <c r="R1944" s="483"/>
      <c r="S1944" s="484"/>
      <c r="T1944" s="508">
        <f t="shared" si="1505"/>
        <v>0</v>
      </c>
      <c r="U1944" s="225" t="str">
        <f>IF(NOT(ISNUMBER(G1944)), "", VLOOKUP(A1944,'Discount Lookup'!D:E,2,FALSE)*G1944)</f>
        <v/>
      </c>
      <c r="V1944" s="225" t="str">
        <f>IF(NOT(ISNUMBER(G1944)), "", VLOOKUP(A1944,'Discount Lookup'!G:H,2,FALSE)*G1944)</f>
        <v/>
      </c>
      <c r="W1944" s="508">
        <f t="shared" si="1506"/>
        <v>0</v>
      </c>
      <c r="X1944" s="508" t="str">
        <f t="shared" si="1507"/>
        <v>White bloom</v>
      </c>
      <c r="Y1944" s="509" t="b">
        <f t="shared" si="1508"/>
        <v>0</v>
      </c>
      <c r="Z1944" s="510">
        <f t="shared" si="1509"/>
        <v>0</v>
      </c>
      <c r="AA1944" s="511"/>
      <c r="AB1944" s="511" t="str">
        <f t="shared" si="1510"/>
        <v/>
      </c>
      <c r="AC1944" s="698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698"/>
      <c r="AE1944" s="631" t="str">
        <f t="shared" si="1511"/>
        <v/>
      </c>
      <c r="AF1944" s="699" t="str">
        <f t="shared" si="1512"/>
        <v/>
      </c>
      <c r="AG1944" s="699"/>
      <c r="AH1944" s="699"/>
      <c r="AI1944" s="512">
        <f>IF(H1944="credit",0,IF(AE1944="free",0,IF(AE1944="me",0,IF(G1944&gt;0,(VLOOKUP(A1944,'Discount Lookup'!J:K,2)*G1944),0))))</f>
        <v>0</v>
      </c>
      <c r="AJ1944" s="513" t="str">
        <f t="shared" ca="1" si="1513"/>
        <v/>
      </c>
      <c r="AK1944" s="700" t="str">
        <f t="shared" si="1514"/>
        <v/>
      </c>
      <c r="AL1944" s="700"/>
      <c r="AM1944" s="505" t="str">
        <f t="shared" si="1515"/>
        <v/>
      </c>
      <c r="AN1944" s="506"/>
      <c r="AO1944" s="507"/>
      <c r="AP1944" s="507"/>
      <c r="AQ1944" s="507"/>
      <c r="AR1944" s="507"/>
      <c r="AS1944" s="507"/>
      <c r="AT1944" s="507"/>
      <c r="AU1944" s="507"/>
      <c r="AV1944" s="225"/>
      <c r="AW1944" s="508"/>
      <c r="AX1944" s="225"/>
      <c r="AY1944" s="225"/>
      <c r="AZ1944" s="225"/>
      <c r="BA1944" s="225"/>
      <c r="BB1944" s="225"/>
      <c r="BC1944" s="56"/>
      <c r="BD1944" s="56"/>
      <c r="BE1944" s="56"/>
      <c r="BF1944" s="107" t="str">
        <f t="shared" si="1516"/>
        <v>https://www.google.com/search?tbm=isch&amp;q=Inspiration%20Magnolia%20Magnolia%20laevifolia%20%27Inspiration%27</v>
      </c>
      <c r="BG1944" s="107" t="str">
        <f t="shared" si="1517"/>
        <v>I</v>
      </c>
      <c r="BH1944" s="254"/>
      <c r="BI1944" s="254"/>
    </row>
    <row r="1945" spans="1:61" customFormat="1" ht="27" x14ac:dyDescent="0.25">
      <c r="A1945" s="485">
        <v>7</v>
      </c>
      <c r="B1945" s="486" t="s">
        <v>291</v>
      </c>
      <c r="C1945" s="487" t="s">
        <v>4416</v>
      </c>
      <c r="D1945" s="488" t="s">
        <v>292</v>
      </c>
      <c r="E1945" s="489">
        <v>102.95</v>
      </c>
      <c r="F1945" s="516" t="s">
        <v>293</v>
      </c>
      <c r="G1945" s="232">
        <v>0</v>
      </c>
      <c r="H1945" s="658" t="str">
        <f>IF(G1945=0,"",IF(F1945="Buy",IF(G1945=1,"plant","plants"),IF(F1945&gt;0.01,"warranty","Error")))</f>
        <v/>
      </c>
      <c r="I1945" s="490">
        <f>IF(H1945="free",0,IF(H1945="credit",((E1945*(F1945))*G1945*-1),IF(F1945="Buy",(E1945*G1945),((E1945*(1-F1945))*G1945))))</f>
        <v>0</v>
      </c>
      <c r="J1945" s="490">
        <f>IF(H1945="warranty",0,(I1945*(_xlfn.SINGLE(SalesTaxPercentage))))</f>
        <v>0</v>
      </c>
      <c r="K1945" s="695">
        <f t="shared" ref="K1945" si="1522">I1945+J1945</f>
        <v>0</v>
      </c>
      <c r="L1945" s="695"/>
      <c r="M1945" s="659" t="str">
        <f>IF(AND(G1945&gt;0,E1945=0),"WARNING - no PRICE inserted",IF(H1945="free"," FREE ~ no charge this plant",IF(H1945="credit",CONCATENATE(" -$",ROUND(K1945*(1-T2GDiscount)*-1,2)," CREDIT after discount"),IF(T2GDiscount=0,"",IF(G1945=0,"",IF(F1945="Buy",CONCATENATE(" $",ROUND(K1945*(1-T2GDiscount),2)," with ",(T2GDiscount*100),"% discount"),CONCATENATE(" $",ROUND(K1945*(1-T2GDiscount),2)," with ",((T2GDiscount*100+F1945*100)-(T2GDiscount*100*F1945)),IF(F1945&gt;0,"% discounts",IF(NoWarrantyDiscount&gt;0,"% discounts","% discount")))))))))</f>
        <v/>
      </c>
      <c r="N1945" s="660"/>
      <c r="O1945" s="233"/>
      <c r="P1945" s="233"/>
      <c r="Q1945" s="233"/>
      <c r="R1945" s="233"/>
      <c r="S1945" s="233"/>
      <c r="T1945" s="508">
        <f t="shared" si="1505"/>
        <v>0</v>
      </c>
      <c r="U1945" s="225">
        <f>IF(NOT(ISNUMBER(G1945)), "", VLOOKUP(A1945,'Discount Lookup'!D:E,2,FALSE)*G1945)</f>
        <v>0</v>
      </c>
      <c r="V1945" s="225">
        <f>IF(NOT(ISNUMBER(G1945)), "", VLOOKUP(A1945,'Discount Lookup'!G:H,2,FALSE)*G1945)</f>
        <v>0</v>
      </c>
      <c r="W1945" s="508">
        <f t="shared" si="1506"/>
        <v>0</v>
      </c>
      <c r="X1945" s="508">
        <f t="shared" si="1507"/>
        <v>0</v>
      </c>
      <c r="Y1945" s="509" t="b">
        <f t="shared" si="1508"/>
        <v>0</v>
      </c>
      <c r="Z1945" s="510">
        <f t="shared" si="1509"/>
        <v>0</v>
      </c>
      <c r="AA1945" s="511"/>
      <c r="AB1945" s="511" t="str">
        <f t="shared" si="1510"/>
        <v/>
      </c>
      <c r="AC1945" s="698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698"/>
      <c r="AE1945" s="631" t="str">
        <f t="shared" si="1511"/>
        <v/>
      </c>
      <c r="AF1945" s="699" t="str">
        <f t="shared" si="1512"/>
        <v/>
      </c>
      <c r="AG1945" s="699"/>
      <c r="AH1945" s="699"/>
      <c r="AI1945" s="512">
        <f>IF(H1945="credit",0,IF(AE1945="free",0,IF(AE1945="me",0,IF(G1945&gt;0,(VLOOKUP(A1945,'Discount Lookup'!J:K,2)*G1945),0))))</f>
        <v>0</v>
      </c>
      <c r="AJ1945" s="513" t="str">
        <f t="shared" ca="1" si="1513"/>
        <v/>
      </c>
      <c r="AK1945" s="700" t="str">
        <f t="shared" si="1514"/>
        <v/>
      </c>
      <c r="AL1945" s="700"/>
      <c r="AM1945" s="505" t="str">
        <f t="shared" si="1515"/>
        <v/>
      </c>
      <c r="AN1945" s="506"/>
      <c r="AO1945" s="507"/>
      <c r="AP1945" s="507"/>
      <c r="AQ1945" s="507"/>
      <c r="AR1945" s="507"/>
      <c r="AS1945" s="507"/>
      <c r="AT1945" s="507"/>
      <c r="AU1945" s="507"/>
      <c r="AV1945" s="225"/>
      <c r="AW1945" s="508"/>
      <c r="AX1945" s="225"/>
      <c r="AY1945" s="225"/>
      <c r="AZ1945" s="225"/>
      <c r="BA1945" s="225"/>
      <c r="BB1945" s="225"/>
      <c r="BC1945" s="56"/>
      <c r="BD1945" s="56"/>
      <c r="BE1945" s="56"/>
      <c r="BF1945" s="107" t="str">
        <f t="shared" si="1516"/>
        <v>https://www.google.com/search?tbm=isch&amp;q=7%20G4</v>
      </c>
      <c r="BG1945" s="107" t="str">
        <f t="shared" si="1517"/>
        <v>I</v>
      </c>
      <c r="BH1945" s="254"/>
      <c r="BI1945" s="254"/>
    </row>
    <row r="1946" spans="1:61" customFormat="1" ht="15.75" x14ac:dyDescent="0.25">
      <c r="A1946" s="485">
        <v>7</v>
      </c>
      <c r="B1946" s="486" t="s">
        <v>291</v>
      </c>
      <c r="C1946" s="487" t="s">
        <v>4417</v>
      </c>
      <c r="D1946" s="488" t="s">
        <v>292</v>
      </c>
      <c r="E1946" s="489">
        <v>109.95</v>
      </c>
      <c r="F1946" s="516" t="s">
        <v>293</v>
      </c>
      <c r="G1946" s="232">
        <v>0</v>
      </c>
      <c r="H1946" s="658" t="str">
        <f>IF(G1946=0,"",IF(F1946="Buy",IF(G1946=1,"plant","plants"),IF(F1946&gt;0.01,"warranty","Error")))</f>
        <v/>
      </c>
      <c r="I1946" s="490">
        <f>IF(H1946="free",0,IF(H1946="credit",((E1946*(F1946))*G1946*-1),IF(F1946="Buy",(E1946*G1946),((E1946*(1-F1946))*G1946))))</f>
        <v>0</v>
      </c>
      <c r="J1946" s="490">
        <f>IF(H1946="warranty",0,(I1946*(_xlfn.SINGLE(SalesTaxPercentage))))</f>
        <v>0</v>
      </c>
      <c r="K1946" s="695">
        <f t="shared" ref="K1946" si="1523">I1946+J1946</f>
        <v>0</v>
      </c>
      <c r="L1946" s="695"/>
      <c r="M1946" s="659" t="str">
        <f>IF(AND(G1946&gt;0,E1946=0),"WARNING - no PRICE inserted",IF(H1946="free"," FREE ~ no charge this plant",IF(H1946="credit",CONCATENATE(" -$",ROUND(K1946*(1-T2GDiscount)*-1,2)," CREDIT after discount"),IF(T2GDiscount=0,"",IF(G1946=0,"",IF(F1946="Buy",CONCATENATE(" $",ROUND(K1946*(1-T2GDiscount),2)," with ",(T2GDiscount*100),"% discount"),CONCATENATE(" $",ROUND(K1946*(1-T2GDiscount),2)," with ",((T2GDiscount*100+F1946*100)-(T2GDiscount*100*F1946)),IF(F1946&gt;0,"% discounts",IF(NoWarrantyDiscount&gt;0,"% discounts","% discount")))))))))</f>
        <v/>
      </c>
      <c r="N1946" s="660"/>
      <c r="O1946" s="233"/>
      <c r="P1946" s="233"/>
      <c r="Q1946" s="233"/>
      <c r="R1946" s="233"/>
      <c r="S1946" s="233"/>
      <c r="T1946" s="508">
        <f t="shared" si="1505"/>
        <v>0</v>
      </c>
      <c r="U1946" s="225">
        <f>IF(NOT(ISNUMBER(G1946)), "", VLOOKUP(A1946,'Discount Lookup'!D:E,2,FALSE)*G1946)</f>
        <v>0</v>
      </c>
      <c r="V1946" s="225">
        <f>IF(NOT(ISNUMBER(G1946)), "", VLOOKUP(A1946,'Discount Lookup'!G:H,2,FALSE)*G1946)</f>
        <v>0</v>
      </c>
      <c r="W1946" s="508">
        <f t="shared" si="1506"/>
        <v>0</v>
      </c>
      <c r="X1946" s="508">
        <f t="shared" si="1507"/>
        <v>0</v>
      </c>
      <c r="Y1946" s="509" t="b">
        <f t="shared" si="1508"/>
        <v>0</v>
      </c>
      <c r="Z1946" s="510">
        <f t="shared" si="1509"/>
        <v>0</v>
      </c>
      <c r="AA1946" s="511"/>
      <c r="AB1946" s="511" t="str">
        <f t="shared" si="1510"/>
        <v/>
      </c>
      <c r="AC1946" s="698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698"/>
      <c r="AE1946" s="631" t="str">
        <f t="shared" si="1511"/>
        <v/>
      </c>
      <c r="AF1946" s="699" t="str">
        <f t="shared" si="1512"/>
        <v/>
      </c>
      <c r="AG1946" s="699"/>
      <c r="AH1946" s="699"/>
      <c r="AI1946" s="512">
        <f>IF(H1946="credit",0,IF(AE1946="free",0,IF(AE1946="me",0,IF(G1946&gt;0,(VLOOKUP(A1946,'Discount Lookup'!J:K,2)*G1946),0))))</f>
        <v>0</v>
      </c>
      <c r="AJ1946" s="513" t="str">
        <f t="shared" ca="1" si="1513"/>
        <v/>
      </c>
      <c r="AK1946" s="700" t="str">
        <f t="shared" si="1514"/>
        <v/>
      </c>
      <c r="AL1946" s="700"/>
      <c r="AM1946" s="505" t="str">
        <f t="shared" si="1515"/>
        <v/>
      </c>
      <c r="AN1946" s="506"/>
      <c r="AO1946" s="507"/>
      <c r="AP1946" s="507"/>
      <c r="AQ1946" s="507"/>
      <c r="AR1946" s="507"/>
      <c r="AS1946" s="507"/>
      <c r="AT1946" s="507"/>
      <c r="AU1946" s="507"/>
      <c r="AV1946" s="225"/>
      <c r="AW1946" s="508"/>
      <c r="AX1946" s="225"/>
      <c r="AY1946" s="225"/>
      <c r="AZ1946" s="225"/>
      <c r="BA1946" s="225"/>
      <c r="BB1946" s="225"/>
      <c r="BC1946" s="56"/>
      <c r="BD1946" s="56"/>
      <c r="BE1946" s="56"/>
      <c r="BF1946" s="107" t="str">
        <f t="shared" si="1516"/>
        <v>https://www.google.com/search?tbm=isch&amp;q=7%20G4</v>
      </c>
      <c r="BG1946" s="107" t="str">
        <f t="shared" si="1517"/>
        <v>I</v>
      </c>
      <c r="BH1946" s="254"/>
      <c r="BI1946" s="254"/>
    </row>
    <row r="1947" spans="1:61" customFormat="1" ht="15.75" x14ac:dyDescent="0.25">
      <c r="A1947" s="485">
        <v>15</v>
      </c>
      <c r="B1947" s="486" t="s">
        <v>291</v>
      </c>
      <c r="C1947" s="487" t="s">
        <v>2759</v>
      </c>
      <c r="D1947" s="488" t="s">
        <v>299</v>
      </c>
      <c r="E1947" s="489">
        <v>183.95</v>
      </c>
      <c r="F1947" s="516" t="s">
        <v>293</v>
      </c>
      <c r="G1947" s="232">
        <v>0</v>
      </c>
      <c r="H1947" s="658" t="str">
        <f>IF(G1947=0,"",IF(F1947="Buy",IF(G1947=1,"plant","plants"),IF(F1947&gt;0.01,"warranty","Error")))</f>
        <v/>
      </c>
      <c r="I1947" s="490">
        <f>IF(H1947="free",0,IF(H1947="credit",((E1947*(F1947))*G1947*-1),IF(F1947="Buy",(E1947*G1947),((E1947*(1-F1947))*G1947))))</f>
        <v>0</v>
      </c>
      <c r="J1947" s="490">
        <f>IF(H1947="warranty",0,(I1947*(_xlfn.SINGLE(SalesTaxPercentage))))</f>
        <v>0</v>
      </c>
      <c r="K1947" s="695">
        <f t="shared" ref="K1947" si="1524">I1947+J1947</f>
        <v>0</v>
      </c>
      <c r="L1947" s="695"/>
      <c r="M1947" s="659" t="str">
        <f>IF(AND(G1947&gt;0,E1947=0),"WARNING - no PRICE inserted",IF(H1947="free"," FREE ~ no charge this plant",IF(H1947="credit",CONCATENATE(" -$",ROUND(K1947*(1-T2GDiscount)*-1,2)," CREDIT after discount"),IF(T2GDiscount=0,"",IF(G1947=0,"",IF(F1947="Buy",CONCATENATE(" $",ROUND(K1947*(1-T2GDiscount),2)," with ",(T2GDiscount*100),"% discount"),CONCATENATE(" $",ROUND(K1947*(1-T2GDiscount),2)," with ",((T2GDiscount*100+F1947*100)-(T2GDiscount*100*F1947)),IF(F1947&gt;0,"% discounts",IF(NoWarrantyDiscount&gt;0,"% discounts","% discount")))))))))</f>
        <v/>
      </c>
      <c r="N1947" s="660"/>
      <c r="O1947" s="233"/>
      <c r="P1947" s="233"/>
      <c r="Q1947" s="233"/>
      <c r="R1947" s="233"/>
      <c r="S1947" s="233"/>
      <c r="T1947" s="508">
        <f t="shared" si="1505"/>
        <v>0</v>
      </c>
      <c r="U1947" s="225">
        <f>IF(NOT(ISNUMBER(G1947)), "", VLOOKUP(A1947,'Discount Lookup'!D:E,2,FALSE)*G1947)</f>
        <v>0</v>
      </c>
      <c r="V1947" s="225">
        <f>IF(NOT(ISNUMBER(G1947)), "", VLOOKUP(A1947,'Discount Lookup'!G:H,2,FALSE)*G1947)</f>
        <v>0</v>
      </c>
      <c r="W1947" s="508">
        <f t="shared" si="1506"/>
        <v>0</v>
      </c>
      <c r="X1947" s="508">
        <f t="shared" si="1507"/>
        <v>0</v>
      </c>
      <c r="Y1947" s="509" t="b">
        <f t="shared" si="1508"/>
        <v>0</v>
      </c>
      <c r="Z1947" s="510">
        <f t="shared" si="1509"/>
        <v>0</v>
      </c>
      <c r="AA1947" s="511"/>
      <c r="AB1947" s="511" t="str">
        <f t="shared" si="1510"/>
        <v/>
      </c>
      <c r="AC1947" s="698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698"/>
      <c r="AE1947" s="631" t="str">
        <f t="shared" si="1511"/>
        <v/>
      </c>
      <c r="AF1947" s="699" t="str">
        <f t="shared" si="1512"/>
        <v/>
      </c>
      <c r="AG1947" s="699"/>
      <c r="AH1947" s="699"/>
      <c r="AI1947" s="512">
        <f>IF(H1947="credit",0,IF(AE1947="free",0,IF(AE1947="me",0,IF(G1947&gt;0,(VLOOKUP(A1947,'Discount Lookup'!J:K,2)*G1947),0))))</f>
        <v>0</v>
      </c>
      <c r="AJ1947" s="513" t="str">
        <f t="shared" ca="1" si="1513"/>
        <v/>
      </c>
      <c r="AK1947" s="700" t="str">
        <f t="shared" si="1514"/>
        <v/>
      </c>
      <c r="AL1947" s="700"/>
      <c r="AM1947" s="505" t="str">
        <f t="shared" si="1515"/>
        <v/>
      </c>
      <c r="AN1947" s="506"/>
      <c r="AO1947" s="507"/>
      <c r="AP1947" s="507"/>
      <c r="AQ1947" s="507"/>
      <c r="AR1947" s="507"/>
      <c r="AS1947" s="507"/>
      <c r="AT1947" s="507"/>
      <c r="AU1947" s="507"/>
      <c r="AV1947" s="225"/>
      <c r="AW1947" s="508"/>
      <c r="AX1947" s="225"/>
      <c r="AY1947" s="225"/>
      <c r="AZ1947" s="225"/>
      <c r="BA1947" s="225"/>
      <c r="BB1947" s="225"/>
      <c r="BC1947" s="56"/>
      <c r="BD1947" s="56"/>
      <c r="BE1947" s="56"/>
      <c r="BF1947" s="107" t="str">
        <f t="shared" si="1516"/>
        <v>https://www.google.com/search?tbm=isch&amp;q=15%20G5</v>
      </c>
      <c r="BG1947" s="107" t="str">
        <f t="shared" si="1517"/>
        <v>I</v>
      </c>
      <c r="BH1947" s="254"/>
      <c r="BI1947" s="254"/>
    </row>
    <row r="1948" spans="1:61" customFormat="1" ht="15.75" x14ac:dyDescent="0.25">
      <c r="A1948" s="485">
        <v>15</v>
      </c>
      <c r="B1948" s="486" t="s">
        <v>291</v>
      </c>
      <c r="C1948" s="487" t="s">
        <v>3573</v>
      </c>
      <c r="D1948" s="488" t="s">
        <v>292</v>
      </c>
      <c r="E1948" s="489">
        <v>224.95</v>
      </c>
      <c r="F1948" s="516" t="s">
        <v>293</v>
      </c>
      <c r="G1948" s="232">
        <v>0</v>
      </c>
      <c r="H1948" s="658" t="str">
        <f>IF(G1948=0,"",IF(F1948="Buy",IF(G1948=1,"plant","plants"),IF(F1948&gt;0.01,"warranty","Error")))</f>
        <v/>
      </c>
      <c r="I1948" s="490">
        <f>IF(H1948="free",0,IF(H1948="credit",((E1948*(F1948))*G1948*-1),IF(F1948="Buy",(E1948*G1948),((E1948*(1-F1948))*G1948))))</f>
        <v>0</v>
      </c>
      <c r="J1948" s="490">
        <f>IF(H1948="warranty",0,(I1948*(_xlfn.SINGLE(SalesTaxPercentage))))</f>
        <v>0</v>
      </c>
      <c r="K1948" s="695">
        <f t="shared" ref="K1948" si="1525">I1948+J1948</f>
        <v>0</v>
      </c>
      <c r="L1948" s="695"/>
      <c r="M1948" s="659" t="str">
        <f>IF(AND(G1948&gt;0,E1948=0),"WARNING - no PRICE inserted",IF(H1948="free"," FREE ~ no charge this plant",IF(H1948="credit",CONCATENATE(" -$",ROUND(K1948*(1-T2GDiscount)*-1,2)," CREDIT after discount"),IF(T2GDiscount=0,"",IF(G1948=0,"",IF(F1948="Buy",CONCATENATE(" $",ROUND(K1948*(1-T2GDiscount),2)," with ",(T2GDiscount*100),"% discount"),CONCATENATE(" $",ROUND(K1948*(1-T2GDiscount),2)," with ",((T2GDiscount*100+F1948*100)-(T2GDiscount*100*F1948)),IF(F1948&gt;0,"% discounts",IF(NoWarrantyDiscount&gt;0,"% discounts","% discount")))))))))</f>
        <v/>
      </c>
      <c r="N1948" s="660"/>
      <c r="O1948" s="233"/>
      <c r="P1948" s="233"/>
      <c r="Q1948" s="233"/>
      <c r="R1948" s="233"/>
      <c r="S1948" s="233"/>
      <c r="T1948" s="508">
        <f t="shared" si="1505"/>
        <v>0</v>
      </c>
      <c r="U1948" s="225">
        <f>IF(NOT(ISNUMBER(G1948)), "", VLOOKUP(A1948,'Discount Lookup'!D:E,2,FALSE)*G1948)</f>
        <v>0</v>
      </c>
      <c r="V1948" s="225">
        <f>IF(NOT(ISNUMBER(G1948)), "", VLOOKUP(A1948,'Discount Lookup'!G:H,2,FALSE)*G1948)</f>
        <v>0</v>
      </c>
      <c r="W1948" s="508">
        <f t="shared" si="1506"/>
        <v>0</v>
      </c>
      <c r="X1948" s="508">
        <f t="shared" si="1507"/>
        <v>0</v>
      </c>
      <c r="Y1948" s="509" t="b">
        <f t="shared" si="1508"/>
        <v>0</v>
      </c>
      <c r="Z1948" s="510">
        <f t="shared" si="1509"/>
        <v>0</v>
      </c>
      <c r="AA1948" s="511"/>
      <c r="AB1948" s="511" t="str">
        <f t="shared" si="1510"/>
        <v/>
      </c>
      <c r="AC1948" s="698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698"/>
      <c r="AE1948" s="631" t="str">
        <f t="shared" si="1511"/>
        <v/>
      </c>
      <c r="AF1948" s="699" t="str">
        <f t="shared" si="1512"/>
        <v/>
      </c>
      <c r="AG1948" s="699"/>
      <c r="AH1948" s="699"/>
      <c r="AI1948" s="512">
        <f>IF(H1948="credit",0,IF(AE1948="free",0,IF(AE1948="me",0,IF(G1948&gt;0,(VLOOKUP(A1948,'Discount Lookup'!J:K,2)*G1948),0))))</f>
        <v>0</v>
      </c>
      <c r="AJ1948" s="513" t="str">
        <f t="shared" ca="1" si="1513"/>
        <v/>
      </c>
      <c r="AK1948" s="700" t="str">
        <f t="shared" si="1514"/>
        <v/>
      </c>
      <c r="AL1948" s="700"/>
      <c r="AM1948" s="505" t="str">
        <f t="shared" si="1515"/>
        <v/>
      </c>
      <c r="AN1948" s="506"/>
      <c r="AO1948" s="507"/>
      <c r="AP1948" s="507"/>
      <c r="AQ1948" s="507"/>
      <c r="AR1948" s="507"/>
      <c r="AS1948" s="507"/>
      <c r="AT1948" s="507"/>
      <c r="AU1948" s="507"/>
      <c r="AV1948" s="225"/>
      <c r="AW1948" s="508"/>
      <c r="AX1948" s="225"/>
      <c r="AY1948" s="225"/>
      <c r="AZ1948" s="225"/>
      <c r="BA1948" s="225"/>
      <c r="BB1948" s="225"/>
      <c r="BC1948" s="56"/>
      <c r="BD1948" s="56"/>
      <c r="BE1948" s="56"/>
      <c r="BF1948" s="107" t="str">
        <f t="shared" si="1516"/>
        <v>https://www.google.com/search?tbm=isch&amp;q=15%20G4</v>
      </c>
      <c r="BG1948" s="107" t="str">
        <f t="shared" si="1517"/>
        <v>I</v>
      </c>
      <c r="BH1948" s="254"/>
      <c r="BI1948" s="254"/>
    </row>
    <row r="1949" spans="1:61" customFormat="1" ht="15.75" x14ac:dyDescent="0.25">
      <c r="A1949" s="485">
        <v>15</v>
      </c>
      <c r="B1949" s="486" t="s">
        <v>291</v>
      </c>
      <c r="C1949" s="487" t="s">
        <v>3574</v>
      </c>
      <c r="D1949" s="488" t="s">
        <v>292</v>
      </c>
      <c r="E1949" s="489">
        <v>224.95</v>
      </c>
      <c r="F1949" s="516" t="s">
        <v>293</v>
      </c>
      <c r="G1949" s="232">
        <v>0</v>
      </c>
      <c r="H1949" s="658" t="str">
        <f>IF(G1949=0,"",IF(F1949="Buy",IF(G1949=1,"plant","plants"),IF(F1949&gt;0.01,"warranty","Error")))</f>
        <v/>
      </c>
      <c r="I1949" s="490">
        <f>IF(H1949="free",0,IF(H1949="credit",((E1949*(F1949))*G1949*-1),IF(F1949="Buy",(E1949*G1949),((E1949*(1-F1949))*G1949))))</f>
        <v>0</v>
      </c>
      <c r="J1949" s="490">
        <f>IF(H1949="warranty",0,(I1949*(_xlfn.SINGLE(SalesTaxPercentage))))</f>
        <v>0</v>
      </c>
      <c r="K1949" s="695">
        <f t="shared" ref="K1949" si="1526">I1949+J1949</f>
        <v>0</v>
      </c>
      <c r="L1949" s="695"/>
      <c r="M1949" s="659" t="str">
        <f>IF(AND(G1949&gt;0,E1949=0),"WARNING - no PRICE inserted",IF(H1949="free"," FREE ~ no charge this plant",IF(H1949="credit",CONCATENATE(" -$",ROUND(K1949*(1-T2GDiscount)*-1,2)," CREDIT after discount"),IF(T2GDiscount=0,"",IF(G1949=0,"",IF(F1949="Buy",CONCATENATE(" $",ROUND(K1949*(1-T2GDiscount),2)," with ",(T2GDiscount*100),"% discount"),CONCATENATE(" $",ROUND(K1949*(1-T2GDiscount),2)," with ",((T2GDiscount*100+F1949*100)-(T2GDiscount*100*F1949)),IF(F1949&gt;0,"% discounts",IF(NoWarrantyDiscount&gt;0,"% discounts","% discount")))))))))</f>
        <v/>
      </c>
      <c r="N1949" s="660"/>
      <c r="O1949" s="233"/>
      <c r="P1949" s="233"/>
      <c r="Q1949" s="233"/>
      <c r="R1949" s="233"/>
      <c r="S1949" s="233"/>
      <c r="T1949" s="508">
        <f t="shared" si="1505"/>
        <v>0</v>
      </c>
      <c r="U1949" s="225">
        <f>IF(NOT(ISNUMBER(G1949)), "", VLOOKUP(A1949,'Discount Lookup'!D:E,2,FALSE)*G1949)</f>
        <v>0</v>
      </c>
      <c r="V1949" s="225">
        <f>IF(NOT(ISNUMBER(G1949)), "", VLOOKUP(A1949,'Discount Lookup'!G:H,2,FALSE)*G1949)</f>
        <v>0</v>
      </c>
      <c r="W1949" s="508">
        <f t="shared" si="1506"/>
        <v>0</v>
      </c>
      <c r="X1949" s="508">
        <f t="shared" si="1507"/>
        <v>0</v>
      </c>
      <c r="Y1949" s="509" t="b">
        <f t="shared" si="1508"/>
        <v>0</v>
      </c>
      <c r="Z1949" s="510">
        <f t="shared" si="1509"/>
        <v>0</v>
      </c>
      <c r="AA1949" s="511"/>
      <c r="AB1949" s="511" t="str">
        <f t="shared" si="1510"/>
        <v/>
      </c>
      <c r="AC1949" s="698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698"/>
      <c r="AE1949" s="631" t="str">
        <f t="shared" si="1511"/>
        <v/>
      </c>
      <c r="AF1949" s="699" t="str">
        <f t="shared" si="1512"/>
        <v/>
      </c>
      <c r="AG1949" s="699"/>
      <c r="AH1949" s="699"/>
      <c r="AI1949" s="512">
        <f>IF(H1949="credit",0,IF(AE1949="free",0,IF(AE1949="me",0,IF(G1949&gt;0,(VLOOKUP(A1949,'Discount Lookup'!J:K,2)*G1949),0))))</f>
        <v>0</v>
      </c>
      <c r="AJ1949" s="513" t="str">
        <f t="shared" ca="1" si="1513"/>
        <v/>
      </c>
      <c r="AK1949" s="700" t="str">
        <f t="shared" si="1514"/>
        <v/>
      </c>
      <c r="AL1949" s="700"/>
      <c r="AM1949" s="505" t="str">
        <f t="shared" si="1515"/>
        <v/>
      </c>
      <c r="AN1949" s="506"/>
      <c r="AO1949" s="507"/>
      <c r="AP1949" s="507"/>
      <c r="AQ1949" s="507"/>
      <c r="AR1949" s="507"/>
      <c r="AS1949" s="507"/>
      <c r="AT1949" s="507"/>
      <c r="AU1949" s="507"/>
      <c r="AV1949" s="225"/>
      <c r="AW1949" s="508"/>
      <c r="AX1949" s="225"/>
      <c r="AY1949" s="225"/>
      <c r="AZ1949" s="225"/>
      <c r="BA1949" s="225"/>
      <c r="BB1949" s="225"/>
      <c r="BC1949" s="56"/>
      <c r="BD1949" s="56"/>
      <c r="BE1949" s="56"/>
      <c r="BF1949" s="107" t="str">
        <f t="shared" si="1516"/>
        <v>https://www.google.com/search?tbm=isch&amp;q=15%20G4</v>
      </c>
      <c r="BG1949" s="107" t="str">
        <f t="shared" si="1517"/>
        <v>I</v>
      </c>
      <c r="BH1949" s="254"/>
      <c r="BI1949" s="254"/>
    </row>
    <row r="1950" spans="1:61" customFormat="1" ht="17.25" thickBot="1" x14ac:dyDescent="0.3">
      <c r="A1950" s="522" t="s">
        <v>2153</v>
      </c>
      <c r="B1950" s="491"/>
      <c r="C1950" s="675"/>
      <c r="D1950" s="491"/>
      <c r="E1950" s="491"/>
      <c r="F1950" s="492"/>
      <c r="G1950" s="493"/>
      <c r="H1950" s="491"/>
      <c r="I1950" s="234"/>
      <c r="J1950" s="234"/>
      <c r="K1950" s="494"/>
      <c r="L1950" s="543"/>
      <c r="M1950" s="561"/>
      <c r="N1950" s="495"/>
      <c r="O1950" s="496"/>
      <c r="P1950" s="497"/>
      <c r="Q1950" s="495"/>
      <c r="R1950" s="495"/>
      <c r="S1950" s="667" t="s">
        <v>4984</v>
      </c>
      <c r="T1950" s="508">
        <f t="shared" si="1505"/>
        <v>0</v>
      </c>
      <c r="U1950" s="225" t="str">
        <f>IF(NOT(ISNUMBER(G1950)), "", VLOOKUP(A1950,'Discount Lookup'!D:E,2,FALSE)*G1950)</f>
        <v/>
      </c>
      <c r="V1950" s="225" t="str">
        <f>IF(NOT(ISNUMBER(G1950)), "", VLOOKUP(A1950,'Discount Lookup'!G:H,2,FALSE)*G1950)</f>
        <v/>
      </c>
      <c r="W1950" s="508">
        <f t="shared" si="1506"/>
        <v>0</v>
      </c>
      <c r="X1950" s="508">
        <f t="shared" si="1507"/>
        <v>0</v>
      </c>
      <c r="Y1950" s="509" t="b">
        <f t="shared" si="1508"/>
        <v>0</v>
      </c>
      <c r="Z1950" s="510">
        <f t="shared" si="1509"/>
        <v>0</v>
      </c>
      <c r="AA1950" s="511"/>
      <c r="AB1950" s="511" t="str">
        <f t="shared" si="1510"/>
        <v/>
      </c>
      <c r="AC1950" s="698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698"/>
      <c r="AE1950" s="631" t="str">
        <f t="shared" si="1511"/>
        <v/>
      </c>
      <c r="AF1950" s="699" t="str">
        <f t="shared" si="1512"/>
        <v/>
      </c>
      <c r="AG1950" s="699"/>
      <c r="AH1950" s="699"/>
      <c r="AI1950" s="512">
        <f>IF(H1950="credit",0,IF(AE1950="free",0,IF(AE1950="me",0,IF(G1950&gt;0,(VLOOKUP(A1950,'Discount Lookup'!J:K,2)*G1950),0))))</f>
        <v>0</v>
      </c>
      <c r="AJ1950" s="513" t="str">
        <f t="shared" ca="1" si="1513"/>
        <v/>
      </c>
      <c r="AK1950" s="700" t="str">
        <f t="shared" si="1514"/>
        <v/>
      </c>
      <c r="AL1950" s="700"/>
      <c r="AM1950" s="505" t="str">
        <f t="shared" si="1515"/>
        <v/>
      </c>
      <c r="AN1950" s="506"/>
      <c r="AO1950" s="507"/>
      <c r="AP1950" s="507"/>
      <c r="AQ1950" s="507"/>
      <c r="AR1950" s="507"/>
      <c r="AS1950" s="507"/>
      <c r="AT1950" s="507"/>
      <c r="AU1950" s="507"/>
      <c r="AV1950" s="225"/>
      <c r="AW1950" s="508"/>
      <c r="AX1950" s="225"/>
      <c r="AY1950" s="225"/>
      <c r="AZ1950" s="225"/>
      <c r="BA1950" s="225"/>
      <c r="BB1950" s="225"/>
      <c r="BC1950" s="56"/>
      <c r="BD1950" s="56"/>
      <c r="BE1950" s="56"/>
      <c r="BF1950" s="107" t="str">
        <f t="shared" si="1516"/>
        <v>https://www.google.com/search?tbm=isch&amp;q=Inspiration%20more%20cold%20hardy.%20Purple%20accent%20on%20flowers%20sets%20it%20apart%20from%20other%20Magnolia%20</v>
      </c>
      <c r="BG1950" s="107" t="str">
        <f t="shared" si="1517"/>
        <v>I</v>
      </c>
      <c r="BH1950" s="254"/>
      <c r="BI1950" s="254"/>
    </row>
    <row r="1951" spans="1:61" customFormat="1" ht="18" x14ac:dyDescent="0.25">
      <c r="A1951" s="523" t="s">
        <v>5599</v>
      </c>
      <c r="B1951" s="235"/>
      <c r="C1951" s="676"/>
      <c r="D1951" s="255" t="s">
        <v>4904</v>
      </c>
      <c r="E1951" s="236"/>
      <c r="F1951" s="236"/>
      <c r="G1951" s="236"/>
      <c r="H1951" s="582" t="s">
        <v>443</v>
      </c>
      <c r="I1951" s="498" t="s">
        <v>4905</v>
      </c>
      <c r="J1951" s="237"/>
      <c r="K1951" s="237"/>
      <c r="L1951" s="274"/>
      <c r="M1951" s="670" t="s">
        <v>4973</v>
      </c>
      <c r="N1951" s="681" t="str">
        <f>IF(AND(ISTEXT($A1951), ISERROR($A1951+0)), HYPERLINK($BF1951, "Images"), "")</f>
        <v>Images</v>
      </c>
      <c r="O1951" s="663" t="s">
        <v>4974</v>
      </c>
      <c r="P1951" s="253"/>
      <c r="Q1951" s="238"/>
      <c r="R1951" s="239"/>
      <c r="S1951" s="275" t="s">
        <v>305</v>
      </c>
      <c r="T1951" s="508">
        <f t="shared" si="1505"/>
        <v>0</v>
      </c>
      <c r="U1951" s="225" t="str">
        <f>IF(NOT(ISNUMBER(G1951)), "", VLOOKUP(A1951,'Discount Lookup'!D:E,2,FALSE)*G1951)</f>
        <v/>
      </c>
      <c r="V1951" s="225" t="str">
        <f>IF(NOT(ISNUMBER(G1951)), "", VLOOKUP(A1951,'Discount Lookup'!G:H,2,FALSE)*G1951)</f>
        <v/>
      </c>
      <c r="W1951" s="508">
        <f t="shared" si="1506"/>
        <v>0</v>
      </c>
      <c r="X1951" s="508" t="str">
        <f t="shared" si="1507"/>
        <v>Mauve-Pink bloom</v>
      </c>
      <c r="Y1951" s="509" t="b">
        <f t="shared" si="1508"/>
        <v>0</v>
      </c>
      <c r="Z1951" s="510">
        <f t="shared" si="1509"/>
        <v>0</v>
      </c>
      <c r="AA1951" s="511"/>
      <c r="AB1951" s="511" t="str">
        <f t="shared" si="1510"/>
        <v/>
      </c>
      <c r="AC1951" s="698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698"/>
      <c r="AE1951" s="631" t="str">
        <f t="shared" si="1511"/>
        <v/>
      </c>
      <c r="AF1951" s="699" t="str">
        <f t="shared" si="1512"/>
        <v/>
      </c>
      <c r="AG1951" s="699"/>
      <c r="AH1951" s="699"/>
      <c r="AI1951" s="512">
        <f>IF(H1951="credit",0,IF(AE1951="free",0,IF(AE1951="me",0,IF(G1951&gt;0,(VLOOKUP(A1951,'Discount Lookup'!J:K,2)*G1951),0))))</f>
        <v>0</v>
      </c>
      <c r="AJ1951" s="513" t="str">
        <f t="shared" ca="1" si="1513"/>
        <v/>
      </c>
      <c r="AK1951" s="700" t="str">
        <f t="shared" si="1514"/>
        <v/>
      </c>
      <c r="AL1951" s="700"/>
      <c r="AM1951" s="505" t="str">
        <f t="shared" si="1515"/>
        <v/>
      </c>
      <c r="AN1951" s="506"/>
      <c r="AO1951" s="507"/>
      <c r="AP1951" s="507"/>
      <c r="AQ1951" s="507"/>
      <c r="AR1951" s="507"/>
      <c r="AS1951" s="507"/>
      <c r="AT1951" s="507"/>
      <c r="AU1951" s="507"/>
      <c r="AV1951" s="225"/>
      <c r="AW1951" s="508"/>
      <c r="AX1951" s="225"/>
      <c r="AY1951" s="225"/>
      <c r="AZ1951" s="225"/>
      <c r="BA1951" s="225"/>
      <c r="BB1951" s="225"/>
      <c r="BC1951" s="56"/>
      <c r="BD1951" s="56"/>
      <c r="BE1951" s="56"/>
      <c r="BF1951" s="107" t="str">
        <f t="shared" si="1516"/>
        <v>https://www.google.com/search?tbm=isch&amp;q=Invincibelle%20Mini%20Mauvette%C2%AE%20Smooth%20Hydrangea%20%28PW%C2%AE%29%20Hyd.%20arborescens%20%27NCHA7%27%20PP%2330358</v>
      </c>
      <c r="BG1951" s="107" t="str">
        <f t="shared" si="1517"/>
        <v>I</v>
      </c>
      <c r="BH1951" s="254"/>
      <c r="BI1951" s="254"/>
    </row>
    <row r="1952" spans="1:61" customFormat="1" ht="15.75" x14ac:dyDescent="0.25">
      <c r="A1952" s="276">
        <v>3</v>
      </c>
      <c r="B1952" s="240" t="s">
        <v>291</v>
      </c>
      <c r="C1952" s="241" t="s">
        <v>4906</v>
      </c>
      <c r="D1952" s="242" t="s">
        <v>312</v>
      </c>
      <c r="E1952" s="243">
        <v>34.950000000000003</v>
      </c>
      <c r="F1952" s="517" t="s">
        <v>293</v>
      </c>
      <c r="G1952" s="232">
        <v>0</v>
      </c>
      <c r="H1952" s="661" t="str">
        <f>IF(G1952=0,"",IF(F1952="Buy",IF(G1952=1,"plant","plants"),IF(F1952&gt;0.01,"warranty","Error")))</f>
        <v/>
      </c>
      <c r="I1952" s="244">
        <f>IF(H1952="free",0,IF(H1952="credit",((E1952*(F1952))*G1952*-1),IF(F1952="Buy",(E1952*G1952),((E1952*(1-F1952))*G1952))))</f>
        <v>0</v>
      </c>
      <c r="J1952" s="244">
        <f>IF(H1952="warranty",0,(I1952*(_xlfn.SINGLE(SalesTaxPercentage))))</f>
        <v>0</v>
      </c>
      <c r="K1952" s="696">
        <f t="shared" ref="K1952" si="1527">I1952+J1952</f>
        <v>0</v>
      </c>
      <c r="L1952" s="696"/>
      <c r="M1952" s="659" t="str">
        <f>IF(AND(G1952&gt;0,E1952=0),"WARNING - no PRICE inserted",IF(H1952="free"," FREE ~ no charge this plant",IF(H1952="credit",CONCATENATE(" -$",ROUND(K1952*(1-T2GDiscount)*-1,2)," CREDIT after discount"),IF(T2GDiscount=0,"",IF(G1952=0,"",IF(F1952="Buy",CONCATENATE(" $",ROUND(K1952*(1-T2GDiscount),2)," with ",(T2GDiscount*100),"% discount"),CONCATENATE(" $",ROUND(K1952*(1-T2GDiscount),2)," with ",((T2GDiscount*100+F1952*100)-(T2GDiscount*100*F1952)),IF(F1952&gt;0,"% discounts",IF(NoWarrantyDiscount&gt;0,"% discounts","% discount")))))))))</f>
        <v/>
      </c>
      <c r="N1952" s="660"/>
      <c r="O1952" s="233"/>
      <c r="P1952" s="233"/>
      <c r="Q1952" s="233"/>
      <c r="R1952" s="233"/>
      <c r="S1952" s="233"/>
      <c r="T1952" s="508">
        <f t="shared" si="1505"/>
        <v>0</v>
      </c>
      <c r="U1952" s="225">
        <f>IF(NOT(ISNUMBER(G1952)), "", VLOOKUP(A1952,'Discount Lookup'!D:E,2,FALSE)*G1952)</f>
        <v>0</v>
      </c>
      <c r="V1952" s="225">
        <f>IF(NOT(ISNUMBER(G1952)), "", VLOOKUP(A1952,'Discount Lookup'!G:H,2,FALSE)*G1952)</f>
        <v>0</v>
      </c>
      <c r="W1952" s="508">
        <f t="shared" si="1506"/>
        <v>0</v>
      </c>
      <c r="X1952" s="508">
        <f t="shared" si="1507"/>
        <v>0</v>
      </c>
      <c r="Y1952" s="509" t="b">
        <f t="shared" si="1508"/>
        <v>0</v>
      </c>
      <c r="Z1952" s="510">
        <f t="shared" si="1509"/>
        <v>0</v>
      </c>
      <c r="AA1952" s="511"/>
      <c r="AB1952" s="511" t="str">
        <f t="shared" si="1510"/>
        <v/>
      </c>
      <c r="AC1952" s="698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698"/>
      <c r="AE1952" s="631" t="str">
        <f t="shared" si="1511"/>
        <v/>
      </c>
      <c r="AF1952" s="699" t="str">
        <f t="shared" si="1512"/>
        <v/>
      </c>
      <c r="AG1952" s="699"/>
      <c r="AH1952" s="699"/>
      <c r="AI1952" s="512">
        <f>IF(H1952="credit",0,IF(AE1952="free",0,IF(AE1952="me",0,IF(G1952&gt;0,(VLOOKUP(A1952,'Discount Lookup'!J:K,2)*G1952),0))))</f>
        <v>0</v>
      </c>
      <c r="AJ1952" s="513" t="str">
        <f t="shared" ca="1" si="1513"/>
        <v/>
      </c>
      <c r="AK1952" s="700" t="str">
        <f t="shared" si="1514"/>
        <v/>
      </c>
      <c r="AL1952" s="700"/>
      <c r="AM1952" s="505" t="str">
        <f t="shared" si="1515"/>
        <v/>
      </c>
      <c r="AN1952" s="506"/>
      <c r="AO1952" s="507"/>
      <c r="AP1952" s="507"/>
      <c r="AQ1952" s="507"/>
      <c r="AR1952" s="507"/>
      <c r="AS1952" s="507"/>
      <c r="AT1952" s="507"/>
      <c r="AU1952" s="507"/>
      <c r="AV1952" s="225"/>
      <c r="AW1952" s="508"/>
      <c r="AX1952" s="225"/>
      <c r="AY1952" s="225"/>
      <c r="AZ1952" s="225"/>
      <c r="BA1952" s="225"/>
      <c r="BB1952" s="225"/>
      <c r="BC1952" s="56"/>
      <c r="BD1952" s="56"/>
      <c r="BE1952" s="56"/>
      <c r="BF1952" s="107" t="str">
        <f t="shared" si="1516"/>
        <v>https://www.google.com/search?tbm=isch&amp;q=3%20G2</v>
      </c>
      <c r="BG1952" s="107" t="str">
        <f t="shared" si="1517"/>
        <v>I</v>
      </c>
      <c r="BH1952" s="254"/>
      <c r="BI1952" s="254"/>
    </row>
    <row r="1953" spans="1:61" customFormat="1" ht="17.25" thickBot="1" x14ac:dyDescent="0.3">
      <c r="A1953" s="673" t="s">
        <v>5143</v>
      </c>
      <c r="B1953" s="245"/>
      <c r="C1953" s="677"/>
      <c r="D1953" s="499"/>
      <c r="E1953" s="499"/>
      <c r="F1953" s="500"/>
      <c r="G1953" s="501"/>
      <c r="H1953" s="502"/>
      <c r="I1953" s="246"/>
      <c r="J1953" s="247"/>
      <c r="K1953" s="503"/>
      <c r="L1953" s="544"/>
      <c r="M1953" s="544"/>
      <c r="N1953" s="500"/>
      <c r="O1953" s="500"/>
      <c r="P1953" s="500"/>
      <c r="Q1953" s="500"/>
      <c r="R1953" s="500"/>
      <c r="S1953" s="669" t="s">
        <v>4993</v>
      </c>
      <c r="T1953" s="508">
        <f t="shared" si="1505"/>
        <v>0</v>
      </c>
      <c r="U1953" s="225" t="str">
        <f>IF(NOT(ISNUMBER(G1953)), "", VLOOKUP(A1953,'Discount Lookup'!D:E,2,FALSE)*G1953)</f>
        <v/>
      </c>
      <c r="V1953" s="225" t="str">
        <f>IF(NOT(ISNUMBER(G1953)), "", VLOOKUP(A1953,'Discount Lookup'!G:H,2,FALSE)*G1953)</f>
        <v/>
      </c>
      <c r="W1953" s="508">
        <f t="shared" si="1506"/>
        <v>0</v>
      </c>
      <c r="X1953" s="508">
        <f t="shared" si="1507"/>
        <v>0</v>
      </c>
      <c r="Y1953" s="509" t="b">
        <f t="shared" si="1508"/>
        <v>0</v>
      </c>
      <c r="Z1953" s="510">
        <f t="shared" si="1509"/>
        <v>0</v>
      </c>
      <c r="AA1953" s="511"/>
      <c r="AB1953" s="511" t="str">
        <f t="shared" si="1510"/>
        <v/>
      </c>
      <c r="AC1953" s="698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698"/>
      <c r="AE1953" s="631" t="str">
        <f t="shared" si="1511"/>
        <v/>
      </c>
      <c r="AF1953" s="699" t="str">
        <f t="shared" si="1512"/>
        <v/>
      </c>
      <c r="AG1953" s="699"/>
      <c r="AH1953" s="699"/>
      <c r="AI1953" s="512">
        <f>IF(H1953="credit",0,IF(AE1953="free",0,IF(AE1953="me",0,IF(G1953&gt;0,(VLOOKUP(A1953,'Discount Lookup'!J:K,2)*G1953),0))))</f>
        <v>0</v>
      </c>
      <c r="AJ1953" s="513" t="str">
        <f t="shared" ca="1" si="1513"/>
        <v/>
      </c>
      <c r="AK1953" s="700" t="str">
        <f t="shared" si="1514"/>
        <v/>
      </c>
      <c r="AL1953" s="700"/>
      <c r="AM1953" s="505" t="str">
        <f t="shared" si="1515"/>
        <v/>
      </c>
      <c r="AN1953" s="506"/>
      <c r="AO1953" s="507"/>
      <c r="AP1953" s="507"/>
      <c r="AQ1953" s="507"/>
      <c r="AR1953" s="507"/>
      <c r="AS1953" s="507"/>
      <c r="AT1953" s="507"/>
      <c r="AU1953" s="507"/>
      <c r="AV1953" s="225"/>
      <c r="AW1953" s="508"/>
      <c r="AX1953" s="225"/>
      <c r="AY1953" s="225"/>
      <c r="AZ1953" s="225"/>
      <c r="BA1953" s="225"/>
      <c r="BB1953" s="225"/>
      <c r="BC1953" s="56"/>
      <c r="BD1953" s="56"/>
      <c r="BE1953" s="56"/>
      <c r="BF1953" s="107" t="str">
        <f t="shared" si="1516"/>
        <v>https://www.google.com/search?tbm=isch&amp;q=moist%20sites%F0%9F%92%A7GOOD%2C%20Mini%20Mauvette%20has%20Green%20foliage.%20All%20%22Smooth%22%20Hydrangea%20have%20mophead%2Flacecap%20flowers%20on%20new%20wood%20</v>
      </c>
      <c r="BG1953" s="107" t="str">
        <f t="shared" si="1517"/>
        <v>m</v>
      </c>
      <c r="BH1953" s="254"/>
      <c r="BI1953" s="254"/>
    </row>
    <row r="1954" spans="1:61" customFormat="1" ht="18" x14ac:dyDescent="0.25">
      <c r="A1954" s="523" t="s">
        <v>5600</v>
      </c>
      <c r="B1954" s="235"/>
      <c r="C1954" s="676"/>
      <c r="D1954" s="255" t="s">
        <v>3226</v>
      </c>
      <c r="E1954" s="236"/>
      <c r="F1954" s="236"/>
      <c r="G1954" s="236"/>
      <c r="H1954" s="582" t="s">
        <v>474</v>
      </c>
      <c r="I1954" s="498" t="s">
        <v>3227</v>
      </c>
      <c r="J1954" s="237"/>
      <c r="K1954" s="237"/>
      <c r="L1954" s="274"/>
      <c r="M1954" s="670" t="s">
        <v>4973</v>
      </c>
      <c r="N1954" s="681" t="str">
        <f>IF(AND(ISTEXT($A1954), ISERROR($A1954+0)), HYPERLINK($BF1954, "Images"), "")</f>
        <v>Images</v>
      </c>
      <c r="O1954" s="663" t="s">
        <v>4974</v>
      </c>
      <c r="P1954" s="253"/>
      <c r="Q1954" s="238"/>
      <c r="R1954" s="239"/>
      <c r="S1954" s="275" t="s">
        <v>305</v>
      </c>
      <c r="T1954" s="508">
        <f t="shared" si="1505"/>
        <v>0</v>
      </c>
      <c r="U1954" s="225" t="str">
        <f>IF(NOT(ISNUMBER(G1954)), "", VLOOKUP(A1954,'Discount Lookup'!D:E,2,FALSE)*G1954)</f>
        <v/>
      </c>
      <c r="V1954" s="225" t="str">
        <f>IF(NOT(ISNUMBER(G1954)), "", VLOOKUP(A1954,'Discount Lookup'!G:H,2,FALSE)*G1954)</f>
        <v/>
      </c>
      <c r="W1954" s="508">
        <f t="shared" si="1506"/>
        <v>0</v>
      </c>
      <c r="X1954" s="508" t="str">
        <f t="shared" si="1507"/>
        <v>Tourmaline Green bloom, pink hue</v>
      </c>
      <c r="Y1954" s="509" t="b">
        <f t="shared" si="1508"/>
        <v>0</v>
      </c>
      <c r="Z1954" s="510">
        <f t="shared" si="1509"/>
        <v>0</v>
      </c>
      <c r="AA1954" s="511"/>
      <c r="AB1954" s="511" t="str">
        <f t="shared" si="1510"/>
        <v/>
      </c>
      <c r="AC1954" s="698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698"/>
      <c r="AE1954" s="631" t="str">
        <f t="shared" si="1511"/>
        <v/>
      </c>
      <c r="AF1954" s="699" t="str">
        <f t="shared" si="1512"/>
        <v/>
      </c>
      <c r="AG1954" s="699"/>
      <c r="AH1954" s="699"/>
      <c r="AI1954" s="512">
        <f>IF(H1954="credit",0,IF(AE1954="free",0,IF(AE1954="me",0,IF(G1954&gt;0,(VLOOKUP(A1954,'Discount Lookup'!J:K,2)*G1954),0))))</f>
        <v>0</v>
      </c>
      <c r="AJ1954" s="513" t="str">
        <f t="shared" ca="1" si="1513"/>
        <v/>
      </c>
      <c r="AK1954" s="700" t="str">
        <f t="shared" si="1514"/>
        <v/>
      </c>
      <c r="AL1954" s="700"/>
      <c r="AM1954" s="505" t="str">
        <f t="shared" si="1515"/>
        <v/>
      </c>
      <c r="AN1954" s="506"/>
      <c r="AO1954" s="507"/>
      <c r="AP1954" s="507"/>
      <c r="AQ1954" s="507"/>
      <c r="AR1954" s="507"/>
      <c r="AS1954" s="507"/>
      <c r="AT1954" s="507"/>
      <c r="AU1954" s="507"/>
      <c r="AV1954" s="225"/>
      <c r="AW1954" s="508"/>
      <c r="AX1954" s="225"/>
      <c r="AY1954" s="225"/>
      <c r="AZ1954" s="225"/>
      <c r="BA1954" s="225"/>
      <c r="BB1954" s="225"/>
      <c r="BC1954" s="56"/>
      <c r="BD1954" s="56"/>
      <c r="BE1954" s="56"/>
      <c r="BF1954" s="107" t="str">
        <f t="shared" si="1516"/>
        <v>https://www.google.com/search?tbm=isch&amp;q=Invincibelle%20Sublime%E2%84%A2%20Smooth%20Hydrangea%20%28PW%C2%AE%29%20Hyd.%20arborescens%20%27SMNHRL%27%20PP%2334418</v>
      </c>
      <c r="BG1954" s="107" t="str">
        <f t="shared" si="1517"/>
        <v>I</v>
      </c>
      <c r="BH1954" s="254"/>
      <c r="BI1954" s="254"/>
    </row>
    <row r="1955" spans="1:61" customFormat="1" ht="15.75" x14ac:dyDescent="0.25">
      <c r="A1955" s="276">
        <v>3</v>
      </c>
      <c r="B1955" s="240" t="s">
        <v>291</v>
      </c>
      <c r="C1955" s="241" t="s">
        <v>4769</v>
      </c>
      <c r="D1955" s="242" t="s">
        <v>312</v>
      </c>
      <c r="E1955" s="243">
        <v>34.950000000000003</v>
      </c>
      <c r="F1955" s="517" t="s">
        <v>293</v>
      </c>
      <c r="G1955" s="232">
        <v>0</v>
      </c>
      <c r="H1955" s="661" t="str">
        <f>IF(G1955=0,"",IF(F1955="Buy",IF(G1955=1,"plant","plants"),IF(F1955&gt;0.01,"warranty","Error")))</f>
        <v/>
      </c>
      <c r="I1955" s="244">
        <f>IF(H1955="free",0,IF(H1955="credit",((E1955*(F1955))*G1955*-1),IF(F1955="Buy",(E1955*G1955),((E1955*(1-F1955))*G1955))))</f>
        <v>0</v>
      </c>
      <c r="J1955" s="244">
        <f>IF(H1955="warranty",0,(I1955*(_xlfn.SINGLE(SalesTaxPercentage))))</f>
        <v>0</v>
      </c>
      <c r="K1955" s="696">
        <f t="shared" ref="K1955" si="1528">I1955+J1955</f>
        <v>0</v>
      </c>
      <c r="L1955" s="696"/>
      <c r="M1955" s="659" t="str">
        <f>IF(AND(G1955&gt;0,E1955=0),"WARNING - no PRICE inserted",IF(H1955="free"," FREE ~ no charge this plant",IF(H1955="credit",CONCATENATE(" -$",ROUND(K1955*(1-T2GDiscount)*-1,2)," CREDIT after discount"),IF(T2GDiscount=0,"",IF(G1955=0,"",IF(F1955="Buy",CONCATENATE(" $",ROUND(K1955*(1-T2GDiscount),2)," with ",(T2GDiscount*100),"% discount"),CONCATENATE(" $",ROUND(K1955*(1-T2GDiscount),2)," with ",((T2GDiscount*100+F1955*100)-(T2GDiscount*100*F1955)),IF(F1955&gt;0,"% discounts",IF(NoWarrantyDiscount&gt;0,"% discounts","% discount")))))))))</f>
        <v/>
      </c>
      <c r="N1955" s="660"/>
      <c r="O1955" s="233"/>
      <c r="P1955" s="233"/>
      <c r="Q1955" s="233"/>
      <c r="R1955" s="233"/>
      <c r="S1955" s="233"/>
      <c r="T1955" s="508">
        <f t="shared" si="1505"/>
        <v>0</v>
      </c>
      <c r="U1955" s="225">
        <f>IF(NOT(ISNUMBER(G1955)), "", VLOOKUP(A1955,'Discount Lookup'!D:E,2,FALSE)*G1955)</f>
        <v>0</v>
      </c>
      <c r="V1955" s="225">
        <f>IF(NOT(ISNUMBER(G1955)), "", VLOOKUP(A1955,'Discount Lookup'!G:H,2,FALSE)*G1955)</f>
        <v>0</v>
      </c>
      <c r="W1955" s="508">
        <f t="shared" si="1506"/>
        <v>0</v>
      </c>
      <c r="X1955" s="508">
        <f t="shared" si="1507"/>
        <v>0</v>
      </c>
      <c r="Y1955" s="509" t="b">
        <f t="shared" si="1508"/>
        <v>0</v>
      </c>
      <c r="Z1955" s="510">
        <f t="shared" si="1509"/>
        <v>0</v>
      </c>
      <c r="AA1955" s="511"/>
      <c r="AB1955" s="511" t="str">
        <f t="shared" si="1510"/>
        <v/>
      </c>
      <c r="AC1955" s="698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698"/>
      <c r="AE1955" s="631" t="str">
        <f t="shared" si="1511"/>
        <v/>
      </c>
      <c r="AF1955" s="699" t="str">
        <f t="shared" si="1512"/>
        <v/>
      </c>
      <c r="AG1955" s="699"/>
      <c r="AH1955" s="699"/>
      <c r="AI1955" s="512">
        <f>IF(H1955="credit",0,IF(AE1955="free",0,IF(AE1955="me",0,IF(G1955&gt;0,(VLOOKUP(A1955,'Discount Lookup'!J:K,2)*G1955),0))))</f>
        <v>0</v>
      </c>
      <c r="AJ1955" s="513" t="str">
        <f t="shared" ca="1" si="1513"/>
        <v/>
      </c>
      <c r="AK1955" s="700" t="str">
        <f t="shared" si="1514"/>
        <v/>
      </c>
      <c r="AL1955" s="700"/>
      <c r="AM1955" s="505" t="str">
        <f t="shared" si="1515"/>
        <v/>
      </c>
      <c r="AN1955" s="506"/>
      <c r="AO1955" s="507"/>
      <c r="AP1955" s="507"/>
      <c r="AQ1955" s="507"/>
      <c r="AR1955" s="507"/>
      <c r="AS1955" s="507"/>
      <c r="AT1955" s="507"/>
      <c r="AU1955" s="507"/>
      <c r="AV1955" s="225"/>
      <c r="AW1955" s="508"/>
      <c r="AX1955" s="225"/>
      <c r="AY1955" s="225"/>
      <c r="AZ1955" s="225"/>
      <c r="BA1955" s="225"/>
      <c r="BB1955" s="225"/>
      <c r="BC1955" s="56"/>
      <c r="BD1955" s="56"/>
      <c r="BE1955" s="56"/>
      <c r="BF1955" s="107" t="str">
        <f t="shared" si="1516"/>
        <v>https://www.google.com/search?tbm=isch&amp;q=3%20G2</v>
      </c>
      <c r="BG1955" s="107" t="str">
        <f t="shared" si="1517"/>
        <v>I</v>
      </c>
      <c r="BH1955" s="254"/>
      <c r="BI1955" s="254"/>
    </row>
    <row r="1956" spans="1:61" customFormat="1" ht="17.25" thickBot="1" x14ac:dyDescent="0.3">
      <c r="A1956" s="673" t="s">
        <v>5144</v>
      </c>
      <c r="B1956" s="245"/>
      <c r="C1956" s="677"/>
      <c r="D1956" s="499"/>
      <c r="E1956" s="499"/>
      <c r="F1956" s="500"/>
      <c r="G1956" s="501"/>
      <c r="H1956" s="502"/>
      <c r="I1956" s="246"/>
      <c r="J1956" s="247"/>
      <c r="K1956" s="503"/>
      <c r="L1956" s="544"/>
      <c r="M1956" s="544"/>
      <c r="N1956" s="500"/>
      <c r="O1956" s="500"/>
      <c r="P1956" s="500"/>
      <c r="Q1956" s="500"/>
      <c r="R1956" s="500"/>
      <c r="S1956" s="669" t="s">
        <v>4993</v>
      </c>
      <c r="T1956" s="508">
        <f t="shared" si="1505"/>
        <v>0</v>
      </c>
      <c r="U1956" s="225" t="str">
        <f>IF(NOT(ISNUMBER(G1956)), "", VLOOKUP(A1956,'Discount Lookup'!D:E,2,FALSE)*G1956)</f>
        <v/>
      </c>
      <c r="V1956" s="225" t="str">
        <f>IF(NOT(ISNUMBER(G1956)), "", VLOOKUP(A1956,'Discount Lookup'!G:H,2,FALSE)*G1956)</f>
        <v/>
      </c>
      <c r="W1956" s="508">
        <f t="shared" si="1506"/>
        <v>0</v>
      </c>
      <c r="X1956" s="508">
        <f t="shared" si="1507"/>
        <v>0</v>
      </c>
      <c r="Y1956" s="509" t="b">
        <f t="shared" si="1508"/>
        <v>0</v>
      </c>
      <c r="Z1956" s="510">
        <f t="shared" si="1509"/>
        <v>0</v>
      </c>
      <c r="AA1956" s="511"/>
      <c r="AB1956" s="511" t="str">
        <f t="shared" si="1510"/>
        <v/>
      </c>
      <c r="AC1956" s="698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698"/>
      <c r="AE1956" s="631" t="str">
        <f t="shared" si="1511"/>
        <v/>
      </c>
      <c r="AF1956" s="699" t="str">
        <f t="shared" si="1512"/>
        <v/>
      </c>
      <c r="AG1956" s="699"/>
      <c r="AH1956" s="699"/>
      <c r="AI1956" s="512">
        <f>IF(H1956="credit",0,IF(AE1956="free",0,IF(AE1956="me",0,IF(G1956&gt;0,(VLOOKUP(A1956,'Discount Lookup'!J:K,2)*G1956),0))))</f>
        <v>0</v>
      </c>
      <c r="AJ1956" s="513" t="str">
        <f t="shared" ca="1" si="1513"/>
        <v/>
      </c>
      <c r="AK1956" s="700" t="str">
        <f t="shared" si="1514"/>
        <v/>
      </c>
      <c r="AL1956" s="700"/>
      <c r="AM1956" s="505" t="str">
        <f t="shared" si="1515"/>
        <v/>
      </c>
      <c r="AN1956" s="506"/>
      <c r="AO1956" s="507"/>
      <c r="AP1956" s="507"/>
      <c r="AQ1956" s="507"/>
      <c r="AR1956" s="507"/>
      <c r="AS1956" s="507"/>
      <c r="AT1956" s="507"/>
      <c r="AU1956" s="507"/>
      <c r="AV1956" s="225"/>
      <c r="AW1956" s="508"/>
      <c r="AX1956" s="225"/>
      <c r="AY1956" s="225"/>
      <c r="AZ1956" s="225"/>
      <c r="BA1956" s="225"/>
      <c r="BB1956" s="225"/>
      <c r="BC1956" s="56"/>
      <c r="BD1956" s="56"/>
      <c r="BE1956" s="56"/>
      <c r="BF1956" s="107" t="str">
        <f t="shared" si="1516"/>
        <v>https://www.google.com/search?tbm=isch&amp;q=moist%20sites%F0%9F%92%A7GOOD%2C%20Sublime%20has%20Dark%20Green%20foliage.%20All%20%22Smooth%22%20Hydrangea%20have%20mophead%2Flacecap%20flowers%20on%20new%20wood%20</v>
      </c>
      <c r="BG1956" s="107" t="str">
        <f t="shared" si="1517"/>
        <v>m</v>
      </c>
      <c r="BH1956" s="254"/>
      <c r="BI1956" s="254"/>
    </row>
    <row r="1957" spans="1:61" customFormat="1" ht="18" x14ac:dyDescent="0.25">
      <c r="A1957" s="521" t="s">
        <v>1147</v>
      </c>
      <c r="B1957" s="477"/>
      <c r="C1957" s="674"/>
      <c r="D1957" s="478" t="s">
        <v>1148</v>
      </c>
      <c r="E1957" s="479"/>
      <c r="F1957" s="479"/>
      <c r="G1957" s="479"/>
      <c r="H1957" s="582" t="s">
        <v>2295</v>
      </c>
      <c r="I1957" s="480" t="s">
        <v>2093</v>
      </c>
      <c r="J1957" s="479"/>
      <c r="K1957" s="479"/>
      <c r="L1957" s="560"/>
      <c r="M1957" s="666" t="s">
        <v>4963</v>
      </c>
      <c r="N1957" s="680" t="str">
        <f>IF(AND(ISTEXT($A1957), ISERROR($A1957+0)), HYPERLINK($BF1957, "Images"), "")</f>
        <v>Images</v>
      </c>
      <c r="O1957" s="662" t="s">
        <v>4967</v>
      </c>
      <c r="P1957" s="482"/>
      <c r="Q1957" s="483"/>
      <c r="R1957" s="483"/>
      <c r="S1957" s="484"/>
      <c r="T1957" s="508">
        <f t="shared" si="1505"/>
        <v>0</v>
      </c>
      <c r="U1957" s="225" t="str">
        <f>IF(NOT(ISNUMBER(G1957)), "", VLOOKUP(A1957,'Discount Lookup'!D:E,2,FALSE)*G1957)</f>
        <v/>
      </c>
      <c r="V1957" s="225" t="str">
        <f>IF(NOT(ISNUMBER(G1957)), "", VLOOKUP(A1957,'Discount Lookup'!G:H,2,FALSE)*G1957)</f>
        <v/>
      </c>
      <c r="W1957" s="508">
        <f t="shared" si="1506"/>
        <v>0</v>
      </c>
      <c r="X1957" s="508" t="str">
        <f t="shared" si="1507"/>
        <v>Dark Green foliage</v>
      </c>
      <c r="Y1957" s="509" t="b">
        <f t="shared" si="1508"/>
        <v>0</v>
      </c>
      <c r="Z1957" s="510">
        <f t="shared" si="1509"/>
        <v>0</v>
      </c>
      <c r="AA1957" s="511"/>
      <c r="AB1957" s="511" t="str">
        <f t="shared" si="1510"/>
        <v/>
      </c>
      <c r="AC1957" s="698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698"/>
      <c r="AE1957" s="631" t="str">
        <f t="shared" si="1511"/>
        <v/>
      </c>
      <c r="AF1957" s="699" t="str">
        <f t="shared" si="1512"/>
        <v/>
      </c>
      <c r="AG1957" s="699"/>
      <c r="AH1957" s="699"/>
      <c r="AI1957" s="512">
        <f>IF(H1957="credit",0,IF(AE1957="free",0,IF(AE1957="me",0,IF(G1957&gt;0,(VLOOKUP(A1957,'Discount Lookup'!J:K,2)*G1957),0))))</f>
        <v>0</v>
      </c>
      <c r="AJ1957" s="513" t="str">
        <f t="shared" ca="1" si="1513"/>
        <v/>
      </c>
      <c r="AK1957" s="700" t="str">
        <f t="shared" si="1514"/>
        <v/>
      </c>
      <c r="AL1957" s="700"/>
      <c r="AM1957" s="505" t="str">
        <f t="shared" si="1515"/>
        <v/>
      </c>
      <c r="AN1957" s="506"/>
      <c r="AO1957" s="507"/>
      <c r="AP1957" s="507"/>
      <c r="AQ1957" s="507"/>
      <c r="AR1957" s="507"/>
      <c r="AS1957" s="507"/>
      <c r="AT1957" s="507"/>
      <c r="AU1957" s="507"/>
      <c r="AV1957" s="225"/>
      <c r="AW1957" s="508"/>
      <c r="AX1957" s="225"/>
      <c r="AY1957" s="225"/>
      <c r="AZ1957" s="225"/>
      <c r="BA1957" s="225"/>
      <c r="BB1957" s="225"/>
      <c r="BC1957" s="56"/>
      <c r="BD1957" s="56"/>
      <c r="BE1957" s="56"/>
      <c r="BF1957" s="107" t="str">
        <f t="shared" si="1516"/>
        <v>https://www.google.com/search?tbm=isch&amp;q=Italian%20Cypress%20Cupressus%20sempervirens</v>
      </c>
      <c r="BG1957" s="107" t="str">
        <f t="shared" si="1517"/>
        <v>I</v>
      </c>
      <c r="BH1957" s="254"/>
      <c r="BI1957" s="254"/>
    </row>
    <row r="1958" spans="1:61" customFormat="1" ht="27" x14ac:dyDescent="0.25">
      <c r="A1958" s="485">
        <v>15</v>
      </c>
      <c r="B1958" s="486" t="s">
        <v>291</v>
      </c>
      <c r="C1958" s="487" t="s">
        <v>3575</v>
      </c>
      <c r="D1958" s="488" t="s">
        <v>292</v>
      </c>
      <c r="E1958" s="489">
        <v>252.95</v>
      </c>
      <c r="F1958" s="516" t="s">
        <v>293</v>
      </c>
      <c r="G1958" s="232">
        <v>0</v>
      </c>
      <c r="H1958" s="658" t="str">
        <f>IF(G1958=0,"",IF(F1958="Buy",IF(G1958=1,"plant","plants"),IF(F1958&gt;0.01,"warranty","Error")))</f>
        <v/>
      </c>
      <c r="I1958" s="490">
        <f>IF(H1958="free",0,IF(H1958="credit",((E1958*(F1958))*G1958*-1),IF(F1958="Buy",(E1958*G1958),((E1958*(1-F1958))*G1958))))</f>
        <v>0</v>
      </c>
      <c r="J1958" s="490">
        <f>IF(H1958="warranty",0,(I1958*(_xlfn.SINGLE(SalesTaxPercentage))))</f>
        <v>0</v>
      </c>
      <c r="K1958" s="695">
        <f t="shared" ref="K1958" si="1529">I1958+J1958</f>
        <v>0</v>
      </c>
      <c r="L1958" s="695"/>
      <c r="M1958" s="659" t="str">
        <f>IF(AND(G1958&gt;0,E1958=0),"WARNING - no PRICE inserted",IF(H1958="free"," FREE ~ no charge this plant",IF(H1958="credit",CONCATENATE(" -$",ROUND(K1958*(1-T2GDiscount)*-1,2)," CREDIT after discount"),IF(T2GDiscount=0,"",IF(G1958=0,"",IF(F1958="Buy",CONCATENATE(" $",ROUND(K1958*(1-T2GDiscount),2)," with ",(T2GDiscount*100),"% discount"),CONCATENATE(" $",ROUND(K1958*(1-T2GDiscount),2)," with ",((T2GDiscount*100+F1958*100)-(T2GDiscount*100*F1958)),IF(F1958&gt;0,"% discounts",IF(NoWarrantyDiscount&gt;0,"% discounts","% discount")))))))))</f>
        <v/>
      </c>
      <c r="N1958" s="660"/>
      <c r="O1958" s="233"/>
      <c r="P1958" s="233"/>
      <c r="Q1958" s="233"/>
      <c r="R1958" s="233"/>
      <c r="S1958" s="233"/>
      <c r="T1958" s="508">
        <f t="shared" si="1505"/>
        <v>0</v>
      </c>
      <c r="U1958" s="225">
        <f>IF(NOT(ISNUMBER(G1958)), "", VLOOKUP(A1958,'Discount Lookup'!D:E,2,FALSE)*G1958)</f>
        <v>0</v>
      </c>
      <c r="V1958" s="225">
        <f>IF(NOT(ISNUMBER(G1958)), "", VLOOKUP(A1958,'Discount Lookup'!G:H,2,FALSE)*G1958)</f>
        <v>0</v>
      </c>
      <c r="W1958" s="508">
        <f t="shared" si="1506"/>
        <v>0</v>
      </c>
      <c r="X1958" s="508">
        <f t="shared" si="1507"/>
        <v>0</v>
      </c>
      <c r="Y1958" s="509" t="b">
        <f t="shared" si="1508"/>
        <v>0</v>
      </c>
      <c r="Z1958" s="510">
        <f t="shared" si="1509"/>
        <v>0</v>
      </c>
      <c r="AA1958" s="511"/>
      <c r="AB1958" s="511" t="str">
        <f t="shared" si="1510"/>
        <v/>
      </c>
      <c r="AC1958" s="698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698"/>
      <c r="AE1958" s="631" t="str">
        <f t="shared" si="1511"/>
        <v/>
      </c>
      <c r="AF1958" s="699" t="str">
        <f t="shared" si="1512"/>
        <v/>
      </c>
      <c r="AG1958" s="699"/>
      <c r="AH1958" s="699"/>
      <c r="AI1958" s="512">
        <f>IF(H1958="credit",0,IF(AE1958="free",0,IF(AE1958="me",0,IF(G1958&gt;0,(VLOOKUP(A1958,'Discount Lookup'!J:K,2)*G1958),0))))</f>
        <v>0</v>
      </c>
      <c r="AJ1958" s="513" t="str">
        <f t="shared" ca="1" si="1513"/>
        <v/>
      </c>
      <c r="AK1958" s="700" t="str">
        <f t="shared" si="1514"/>
        <v/>
      </c>
      <c r="AL1958" s="700"/>
      <c r="AM1958" s="505" t="str">
        <f t="shared" si="1515"/>
        <v/>
      </c>
      <c r="AN1958" s="506"/>
      <c r="AO1958" s="507"/>
      <c r="AP1958" s="507"/>
      <c r="AQ1958" s="507"/>
      <c r="AR1958" s="507"/>
      <c r="AS1958" s="507"/>
      <c r="AT1958" s="507"/>
      <c r="AU1958" s="507"/>
      <c r="AV1958" s="225"/>
      <c r="AW1958" s="508"/>
      <c r="AX1958" s="225"/>
      <c r="AY1958" s="225"/>
      <c r="AZ1958" s="225"/>
      <c r="BA1958" s="225"/>
      <c r="BB1958" s="225"/>
      <c r="BC1958" s="56"/>
      <c r="BD1958" s="56"/>
      <c r="BE1958" s="56"/>
      <c r="BF1958" s="107" t="str">
        <f t="shared" si="1516"/>
        <v>https://www.google.com/search?tbm=isch&amp;q=15%20G4</v>
      </c>
      <c r="BG1958" s="107" t="str">
        <f t="shared" si="1517"/>
        <v>I</v>
      </c>
      <c r="BH1958" s="254"/>
      <c r="BI1958" s="254"/>
    </row>
    <row r="1959" spans="1:61" customFormat="1" ht="16.5" x14ac:dyDescent="0.25">
      <c r="A1959" s="522" t="s">
        <v>2409</v>
      </c>
      <c r="B1959" s="491"/>
      <c r="C1959" s="675"/>
      <c r="D1959" s="491"/>
      <c r="E1959" s="491"/>
      <c r="F1959" s="492"/>
      <c r="G1959" s="493"/>
      <c r="H1959" s="491"/>
      <c r="I1959" s="234"/>
      <c r="J1959" s="234"/>
      <c r="K1959" s="494"/>
      <c r="L1959" s="543"/>
      <c r="M1959" s="561"/>
      <c r="N1959" s="495"/>
      <c r="O1959" s="496"/>
      <c r="P1959" s="497"/>
      <c r="Q1959" s="495"/>
      <c r="R1959" s="495"/>
      <c r="S1959" s="667" t="s">
        <v>4984</v>
      </c>
      <c r="T1959" s="508">
        <f t="shared" si="1505"/>
        <v>0</v>
      </c>
      <c r="U1959" s="225" t="str">
        <f>IF(NOT(ISNUMBER(G1959)), "", VLOOKUP(A1959,'Discount Lookup'!D:E,2,FALSE)*G1959)</f>
        <v/>
      </c>
      <c r="V1959" s="225" t="str">
        <f>IF(NOT(ISNUMBER(G1959)), "", VLOOKUP(A1959,'Discount Lookup'!G:H,2,FALSE)*G1959)</f>
        <v/>
      </c>
      <c r="W1959" s="508">
        <f t="shared" si="1506"/>
        <v>0</v>
      </c>
      <c r="X1959" s="508">
        <f t="shared" si="1507"/>
        <v>0</v>
      </c>
      <c r="Y1959" s="509" t="b">
        <f t="shared" si="1508"/>
        <v>0</v>
      </c>
      <c r="Z1959" s="510">
        <f t="shared" si="1509"/>
        <v>0</v>
      </c>
      <c r="AA1959" s="511"/>
      <c r="AB1959" s="511" t="str">
        <f t="shared" si="1510"/>
        <v/>
      </c>
      <c r="AC1959" s="698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698"/>
      <c r="AE1959" s="631" t="str">
        <f t="shared" si="1511"/>
        <v/>
      </c>
      <c r="AF1959" s="699" t="str">
        <f t="shared" si="1512"/>
        <v/>
      </c>
      <c r="AG1959" s="699"/>
      <c r="AH1959" s="699"/>
      <c r="AI1959" s="512">
        <f>IF(H1959="credit",0,IF(AE1959="free",0,IF(AE1959="me",0,IF(G1959&gt;0,(VLOOKUP(A1959,'Discount Lookup'!J:K,2)*G1959),0))))</f>
        <v>0</v>
      </c>
      <c r="AJ1959" s="513" t="str">
        <f t="shared" ca="1" si="1513"/>
        <v/>
      </c>
      <c r="AK1959" s="700" t="str">
        <f t="shared" si="1514"/>
        <v/>
      </c>
      <c r="AL1959" s="700"/>
      <c r="AM1959" s="505" t="str">
        <f t="shared" si="1515"/>
        <v/>
      </c>
      <c r="AN1959" s="506"/>
      <c r="AO1959" s="507"/>
      <c r="AP1959" s="507"/>
      <c r="AQ1959" s="507"/>
      <c r="AR1959" s="507"/>
      <c r="AS1959" s="507"/>
      <c r="AT1959" s="507"/>
      <c r="AU1959" s="507"/>
      <c r="AV1959" s="225"/>
      <c r="AW1959" s="508"/>
      <c r="AX1959" s="225"/>
      <c r="AY1959" s="225"/>
      <c r="AZ1959" s="225"/>
      <c r="BA1959" s="225"/>
      <c r="BB1959" s="225"/>
      <c r="BC1959" s="56"/>
      <c r="BD1959" s="56"/>
      <c r="BE1959" s="56"/>
      <c r="BF1959" s="107" t="str">
        <f t="shared" si="1516"/>
        <v>https://www.google.com/search?tbm=isch&amp;q=Italian%20Cypress%20is%20classic%20mediterranean%20style%2C%20but%20roots%20can%27t%20withstand%20our%20hurricanes%20%7E%20consider%20the%20Taylo%20%20%26%20Trautman%20Junipers%20</v>
      </c>
      <c r="BG1959" s="107" t="str">
        <f t="shared" si="1517"/>
        <v>I</v>
      </c>
      <c r="BH1959" s="254"/>
      <c r="BI1959" s="254"/>
    </row>
    <row r="1960" spans="1:61" customFormat="1" ht="45.75" thickBot="1" x14ac:dyDescent="0.35">
      <c r="A1960" s="525" t="s">
        <v>1149</v>
      </c>
      <c r="B1960" s="248"/>
      <c r="C1960" s="678" t="s">
        <v>673</v>
      </c>
      <c r="D1960" s="249"/>
      <c r="E1960" s="249"/>
      <c r="F1960" s="249"/>
      <c r="G1960" s="249"/>
      <c r="H1960" s="250"/>
      <c r="I1960" s="249"/>
      <c r="J1960" s="249"/>
      <c r="K1960" s="526" t="s">
        <v>2840</v>
      </c>
      <c r="L1960" s="279"/>
      <c r="M1960" s="251"/>
      <c r="S1960" s="504" t="s">
        <v>2841</v>
      </c>
      <c r="T1960" s="508">
        <f t="shared" si="1505"/>
        <v>0</v>
      </c>
      <c r="U1960" s="225" t="str">
        <f>IF(NOT(ISNUMBER(G1960)), "", VLOOKUP(A1960,'Discount Lookup'!D:E,2,FALSE)*G1960)</f>
        <v/>
      </c>
      <c r="V1960" s="225" t="str">
        <f>IF(NOT(ISNUMBER(G1960)), "", VLOOKUP(A1960,'Discount Lookup'!G:H,2,FALSE)*G1960)</f>
        <v/>
      </c>
      <c r="W1960" s="508">
        <f t="shared" si="1506"/>
        <v>0</v>
      </c>
      <c r="X1960" s="508">
        <f t="shared" si="1507"/>
        <v>0</v>
      </c>
      <c r="Y1960" s="509" t="b">
        <f t="shared" si="1508"/>
        <v>0</v>
      </c>
      <c r="Z1960" s="510">
        <f t="shared" si="1509"/>
        <v>0</v>
      </c>
      <c r="AA1960" s="511"/>
      <c r="AB1960" s="511" t="str">
        <f t="shared" si="1510"/>
        <v/>
      </c>
      <c r="AC1960" s="698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698"/>
      <c r="AE1960" s="631" t="str">
        <f t="shared" si="1511"/>
        <v/>
      </c>
      <c r="AF1960" s="699" t="str">
        <f t="shared" si="1512"/>
        <v/>
      </c>
      <c r="AG1960" s="699"/>
      <c r="AH1960" s="699"/>
      <c r="AI1960" s="512">
        <f>IF(H1960="credit",0,IF(AE1960="free",0,IF(AE1960="me",0,IF(G1960&gt;0,(VLOOKUP(A1960,'Discount Lookup'!J:K,2)*G1960),0))))</f>
        <v>0</v>
      </c>
      <c r="AJ1960" s="513" t="str">
        <f t="shared" ca="1" si="1513"/>
        <v/>
      </c>
      <c r="AK1960" s="700" t="str">
        <f t="shared" si="1514"/>
        <v/>
      </c>
      <c r="AL1960" s="700"/>
      <c r="AM1960" s="505" t="str">
        <f t="shared" si="1515"/>
        <v/>
      </c>
      <c r="AN1960" s="506"/>
      <c r="AO1960" s="507"/>
      <c r="AP1960" s="507"/>
      <c r="AQ1960" s="507"/>
      <c r="AR1960" s="507"/>
      <c r="AS1960" s="507"/>
      <c r="AT1960" s="507"/>
      <c r="AU1960" s="507"/>
      <c r="AV1960" s="225"/>
      <c r="AW1960" s="508"/>
      <c r="AX1960" s="225"/>
      <c r="AY1960" s="225"/>
      <c r="AZ1960" s="225"/>
      <c r="BA1960" s="225"/>
      <c r="BB1960" s="225"/>
      <c r="BC1960" s="56"/>
      <c r="BD1960" s="56"/>
      <c r="BE1960" s="56"/>
      <c r="BF1960" s="107" t="str">
        <f t="shared" si="1516"/>
        <v>https://www.google.com/search?tbm=isch&amp;q=J%20</v>
      </c>
      <c r="BG1960" s="107" t="str">
        <f t="shared" si="1517"/>
        <v>J</v>
      </c>
      <c r="BH1960" s="254"/>
      <c r="BI1960" s="254"/>
    </row>
    <row r="1961" spans="1:61" customFormat="1" ht="18" x14ac:dyDescent="0.25">
      <c r="A1961" s="521" t="s">
        <v>1150</v>
      </c>
      <c r="B1961" s="477"/>
      <c r="C1961" s="674"/>
      <c r="D1961" s="478" t="s">
        <v>1151</v>
      </c>
      <c r="E1961" s="479"/>
      <c r="F1961" s="479"/>
      <c r="G1961" s="479"/>
      <c r="H1961" s="582" t="s">
        <v>463</v>
      </c>
      <c r="I1961" s="480" t="s">
        <v>654</v>
      </c>
      <c r="J1961" s="479"/>
      <c r="K1961" s="479"/>
      <c r="L1961" s="560"/>
      <c r="M1961" s="666" t="s">
        <v>4966</v>
      </c>
      <c r="N1961" s="680" t="str">
        <f>IF(AND(ISTEXT($A1961), ISERROR($A1961+0)), HYPERLINK($BF1961, "Images"), "")</f>
        <v>Images</v>
      </c>
      <c r="O1961" s="662" t="s">
        <v>4974</v>
      </c>
      <c r="P1961" s="482"/>
      <c r="Q1961" s="483"/>
      <c r="R1961" s="483"/>
      <c r="S1961" s="484"/>
      <c r="T1961" s="508">
        <f t="shared" si="1505"/>
        <v>0</v>
      </c>
      <c r="U1961" s="225" t="str">
        <f>IF(NOT(ISNUMBER(G1961)), "", VLOOKUP(A1961,'Discount Lookup'!D:E,2,FALSE)*G1961)</f>
        <v/>
      </c>
      <c r="V1961" s="225" t="str">
        <f>IF(NOT(ISNUMBER(G1961)), "", VLOOKUP(A1961,'Discount Lookup'!G:H,2,FALSE)*G1961)</f>
        <v/>
      </c>
      <c r="W1961" s="508">
        <f t="shared" si="1506"/>
        <v>0</v>
      </c>
      <c r="X1961" s="508" t="str">
        <f t="shared" si="1507"/>
        <v>White bloom</v>
      </c>
      <c r="Y1961" s="509" t="b">
        <f t="shared" si="1508"/>
        <v>0</v>
      </c>
      <c r="Z1961" s="510">
        <f t="shared" si="1509"/>
        <v>0</v>
      </c>
      <c r="AA1961" s="511"/>
      <c r="AB1961" s="511" t="str">
        <f t="shared" si="1510"/>
        <v/>
      </c>
      <c r="AC1961" s="698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698"/>
      <c r="AE1961" s="631" t="str">
        <f t="shared" si="1511"/>
        <v/>
      </c>
      <c r="AF1961" s="699" t="str">
        <f t="shared" si="1512"/>
        <v/>
      </c>
      <c r="AG1961" s="699"/>
      <c r="AH1961" s="699"/>
      <c r="AI1961" s="512">
        <f>IF(H1961="credit",0,IF(AE1961="free",0,IF(AE1961="me",0,IF(G1961&gt;0,(VLOOKUP(A1961,'Discount Lookup'!J:K,2)*G1961),0))))</f>
        <v>0</v>
      </c>
      <c r="AJ1961" s="513" t="str">
        <f t="shared" ca="1" si="1513"/>
        <v/>
      </c>
      <c r="AK1961" s="700" t="str">
        <f t="shared" si="1514"/>
        <v/>
      </c>
      <c r="AL1961" s="700"/>
      <c r="AM1961" s="505" t="str">
        <f t="shared" si="1515"/>
        <v/>
      </c>
      <c r="AN1961" s="506"/>
      <c r="AO1961" s="507"/>
      <c r="AP1961" s="507"/>
      <c r="AQ1961" s="507"/>
      <c r="AR1961" s="507"/>
      <c r="AS1961" s="507"/>
      <c r="AT1961" s="507"/>
      <c r="AU1961" s="507"/>
      <c r="AV1961" s="225"/>
      <c r="AW1961" s="508"/>
      <c r="AX1961" s="225"/>
      <c r="AY1961" s="225"/>
      <c r="AZ1961" s="225"/>
      <c r="BA1961" s="225"/>
      <c r="BB1961" s="225"/>
      <c r="BC1961" s="56"/>
      <c r="BD1961" s="56"/>
      <c r="BE1961" s="56"/>
      <c r="BF1961" s="107" t="str">
        <f t="shared" si="1516"/>
        <v>https://www.google.com/search?tbm=isch&amp;q=Jack%20Frost%20Privet%20Ligustrum%20japonicum%20%27Jack%20Frost%27</v>
      </c>
      <c r="BG1961" s="107" t="str">
        <f t="shared" si="1517"/>
        <v>J</v>
      </c>
      <c r="BH1961" s="254"/>
      <c r="BI1961" s="254"/>
    </row>
    <row r="1962" spans="1:61" customFormat="1" ht="15.75" x14ac:dyDescent="0.25">
      <c r="A1962" s="485">
        <v>3</v>
      </c>
      <c r="B1962" s="486" t="s">
        <v>291</v>
      </c>
      <c r="C1962" s="487" t="s">
        <v>906</v>
      </c>
      <c r="D1962" s="488" t="s">
        <v>297</v>
      </c>
      <c r="E1962" s="489">
        <v>22.95</v>
      </c>
      <c r="F1962" s="516" t="s">
        <v>293</v>
      </c>
      <c r="G1962" s="232">
        <v>0</v>
      </c>
      <c r="H1962" s="658" t="str">
        <f>IF(G1962=0,"",IF(F1962="Buy",IF(G1962=1,"plant","plants"),IF(F1962&gt;0.01,"warranty","Error")))</f>
        <v/>
      </c>
      <c r="I1962" s="490">
        <f>IF(H1962="free",0,IF(H1962="credit",((E1962*(F1962))*G1962*-1),IF(F1962="Buy",(E1962*G1962),((E1962*(1-F1962))*G1962))))</f>
        <v>0</v>
      </c>
      <c r="J1962" s="490">
        <f>IF(H1962="warranty",0,(I1962*(_xlfn.SINGLE(SalesTaxPercentage))))</f>
        <v>0</v>
      </c>
      <c r="K1962" s="695">
        <f t="shared" ref="K1962" si="1530">I1962+J1962</f>
        <v>0</v>
      </c>
      <c r="L1962" s="695"/>
      <c r="M1962" s="659" t="str">
        <f>IF(AND(G1962&gt;0,E1962=0),"WARNING - no PRICE inserted",IF(H1962="free"," FREE ~ no charge this plant",IF(H1962="credit",CONCATENATE(" -$",ROUND(K1962*(1-T2GDiscount)*-1,2)," CREDIT after discount"),IF(T2GDiscount=0,"",IF(G1962=0,"",IF(F1962="Buy",CONCATENATE(" $",ROUND(K1962*(1-T2GDiscount),2)," with ",(T2GDiscount*100),"% discount"),CONCATENATE(" $",ROUND(K1962*(1-T2GDiscount),2)," with ",((T2GDiscount*100+F1962*100)-(T2GDiscount*100*F1962)),IF(F1962&gt;0,"% discounts",IF(NoWarrantyDiscount&gt;0,"% discounts","% discount")))))))))</f>
        <v/>
      </c>
      <c r="N1962" s="660"/>
      <c r="O1962" s="233"/>
      <c r="P1962" s="233"/>
      <c r="Q1962" s="233"/>
      <c r="R1962" s="233"/>
      <c r="S1962" s="233"/>
      <c r="T1962" s="508">
        <f t="shared" si="1505"/>
        <v>0</v>
      </c>
      <c r="U1962" s="225">
        <f>IF(NOT(ISNUMBER(G1962)), "", VLOOKUP(A1962,'Discount Lookup'!D:E,2,FALSE)*G1962)</f>
        <v>0</v>
      </c>
      <c r="V1962" s="225">
        <f>IF(NOT(ISNUMBER(G1962)), "", VLOOKUP(A1962,'Discount Lookup'!G:H,2,FALSE)*G1962)</f>
        <v>0</v>
      </c>
      <c r="W1962" s="508">
        <f t="shared" si="1506"/>
        <v>0</v>
      </c>
      <c r="X1962" s="508">
        <f t="shared" si="1507"/>
        <v>0</v>
      </c>
      <c r="Y1962" s="509" t="b">
        <f t="shared" si="1508"/>
        <v>0</v>
      </c>
      <c r="Z1962" s="510">
        <f t="shared" si="1509"/>
        <v>0</v>
      </c>
      <c r="AA1962" s="511"/>
      <c r="AB1962" s="511" t="str">
        <f t="shared" si="1510"/>
        <v/>
      </c>
      <c r="AC1962" s="698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698"/>
      <c r="AE1962" s="631" t="str">
        <f t="shared" si="1511"/>
        <v/>
      </c>
      <c r="AF1962" s="699" t="str">
        <f t="shared" si="1512"/>
        <v/>
      </c>
      <c r="AG1962" s="699"/>
      <c r="AH1962" s="699"/>
      <c r="AI1962" s="512">
        <f>IF(H1962="credit",0,IF(AE1962="free",0,IF(AE1962="me",0,IF(G1962&gt;0,(VLOOKUP(A1962,'Discount Lookup'!J:K,2)*G1962),0))))</f>
        <v>0</v>
      </c>
      <c r="AJ1962" s="513" t="str">
        <f t="shared" ca="1" si="1513"/>
        <v/>
      </c>
      <c r="AK1962" s="700" t="str">
        <f t="shared" si="1514"/>
        <v/>
      </c>
      <c r="AL1962" s="700"/>
      <c r="AM1962" s="505" t="str">
        <f t="shared" si="1515"/>
        <v/>
      </c>
      <c r="AN1962" s="506"/>
      <c r="AO1962" s="507"/>
      <c r="AP1962" s="507"/>
      <c r="AQ1962" s="507"/>
      <c r="AR1962" s="507"/>
      <c r="AS1962" s="507"/>
      <c r="AT1962" s="507"/>
      <c r="AU1962" s="507"/>
      <c r="AV1962" s="225"/>
      <c r="AW1962" s="508"/>
      <c r="AX1962" s="225"/>
      <c r="AY1962" s="225"/>
      <c r="AZ1962" s="225"/>
      <c r="BA1962" s="225"/>
      <c r="BB1962" s="225"/>
      <c r="BC1962" s="56"/>
      <c r="BD1962" s="56"/>
      <c r="BE1962" s="56"/>
      <c r="BF1962" s="107" t="str">
        <f t="shared" si="1516"/>
        <v>https://www.google.com/search?tbm=isch&amp;q=3%20G3</v>
      </c>
      <c r="BG1962" s="107" t="str">
        <f t="shared" si="1517"/>
        <v>J</v>
      </c>
      <c r="BH1962" s="254"/>
      <c r="BI1962" s="254"/>
    </row>
    <row r="1963" spans="1:61" customFormat="1" ht="17.25" thickBot="1" x14ac:dyDescent="0.3">
      <c r="A1963" s="522" t="s">
        <v>2900</v>
      </c>
      <c r="B1963" s="491"/>
      <c r="C1963" s="675"/>
      <c r="D1963" s="491"/>
      <c r="E1963" s="491"/>
      <c r="F1963" s="492"/>
      <c r="G1963" s="493"/>
      <c r="H1963" s="491"/>
      <c r="I1963" s="234"/>
      <c r="J1963" s="234"/>
      <c r="K1963" s="494"/>
      <c r="L1963" s="543"/>
      <c r="M1963" s="561"/>
      <c r="N1963" s="495"/>
      <c r="O1963" s="496"/>
      <c r="P1963" s="497"/>
      <c r="Q1963" s="495"/>
      <c r="R1963" s="495"/>
      <c r="S1963" s="667" t="s">
        <v>4984</v>
      </c>
      <c r="T1963" s="508">
        <f t="shared" si="1505"/>
        <v>0</v>
      </c>
      <c r="U1963" s="225" t="str">
        <f>IF(NOT(ISNUMBER(G1963)), "", VLOOKUP(A1963,'Discount Lookup'!D:E,2,FALSE)*G1963)</f>
        <v/>
      </c>
      <c r="V1963" s="225" t="str">
        <f>IF(NOT(ISNUMBER(G1963)), "", VLOOKUP(A1963,'Discount Lookup'!G:H,2,FALSE)*G1963)</f>
        <v/>
      </c>
      <c r="W1963" s="508">
        <f t="shared" si="1506"/>
        <v>0</v>
      </c>
      <c r="X1963" s="508">
        <f t="shared" si="1507"/>
        <v>0</v>
      </c>
      <c r="Y1963" s="509" t="b">
        <f t="shared" si="1508"/>
        <v>0</v>
      </c>
      <c r="Z1963" s="510">
        <f t="shared" si="1509"/>
        <v>0</v>
      </c>
      <c r="AA1963" s="511"/>
      <c r="AB1963" s="511" t="str">
        <f t="shared" si="1510"/>
        <v/>
      </c>
      <c r="AC1963" s="698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698"/>
      <c r="AE1963" s="631" t="str">
        <f t="shared" si="1511"/>
        <v/>
      </c>
      <c r="AF1963" s="699" t="str">
        <f t="shared" si="1512"/>
        <v/>
      </c>
      <c r="AG1963" s="699"/>
      <c r="AH1963" s="699"/>
      <c r="AI1963" s="512">
        <f>IF(H1963="credit",0,IF(AE1963="free",0,IF(AE1963="me",0,IF(G1963&gt;0,(VLOOKUP(A1963,'Discount Lookup'!J:K,2)*G1963),0))))</f>
        <v>0</v>
      </c>
      <c r="AJ1963" s="513" t="str">
        <f t="shared" ca="1" si="1513"/>
        <v/>
      </c>
      <c r="AK1963" s="700" t="str">
        <f t="shared" si="1514"/>
        <v/>
      </c>
      <c r="AL1963" s="700"/>
      <c r="AM1963" s="505" t="str">
        <f t="shared" si="1515"/>
        <v/>
      </c>
      <c r="AN1963" s="506"/>
      <c r="AO1963" s="507"/>
      <c r="AP1963" s="507"/>
      <c r="AQ1963" s="507"/>
      <c r="AR1963" s="507"/>
      <c r="AS1963" s="507"/>
      <c r="AT1963" s="507"/>
      <c r="AU1963" s="507"/>
      <c r="AV1963" s="225"/>
      <c r="AW1963" s="508"/>
      <c r="AX1963" s="225"/>
      <c r="AY1963" s="225"/>
      <c r="AZ1963" s="225"/>
      <c r="BA1963" s="225"/>
      <c r="BB1963" s="225"/>
      <c r="BC1963" s="56"/>
      <c r="BD1963" s="56"/>
      <c r="BE1963" s="56"/>
      <c r="BF1963" s="107" t="str">
        <f t="shared" si="1516"/>
        <v>https://www.google.com/search?tbm=isch&amp;q=Jack%20Frost%20Privet%20stands%20out%20with%20its%20variegated%20foliage%E2%80%94waxy%20Green%20leaves%20edged%20in%20Creamy%20White.%20Fragrant%20flowers%20</v>
      </c>
      <c r="BG1963" s="107" t="str">
        <f t="shared" si="1517"/>
        <v>J</v>
      </c>
      <c r="BH1963" s="254"/>
      <c r="BI1963" s="254"/>
    </row>
    <row r="1964" spans="1:61" customFormat="1" ht="18" x14ac:dyDescent="0.25">
      <c r="A1964" s="523" t="s">
        <v>1152</v>
      </c>
      <c r="B1964" s="235"/>
      <c r="C1964" s="676"/>
      <c r="D1964" s="255" t="s">
        <v>1153</v>
      </c>
      <c r="E1964" s="236"/>
      <c r="F1964" s="236"/>
      <c r="G1964" s="236"/>
      <c r="H1964" s="582" t="s">
        <v>317</v>
      </c>
      <c r="I1964" s="498" t="s">
        <v>2296</v>
      </c>
      <c r="J1964" s="237"/>
      <c r="K1964" s="237"/>
      <c r="L1964" s="274"/>
      <c r="M1964" s="668" t="s">
        <v>4962</v>
      </c>
      <c r="N1964" s="681" t="str">
        <f>IF(AND(ISTEXT($A1964), ISERROR($A1964+0)), HYPERLINK($BF1964, "Images"), "")</f>
        <v>Images</v>
      </c>
      <c r="O1964" s="663" t="s">
        <v>4967</v>
      </c>
      <c r="P1964" s="253"/>
      <c r="Q1964" s="238"/>
      <c r="R1964" s="239"/>
      <c r="S1964" s="275"/>
      <c r="T1964" s="508">
        <f t="shared" si="1505"/>
        <v>0</v>
      </c>
      <c r="U1964" s="225" t="str">
        <f>IF(NOT(ISNUMBER(G1964)), "", VLOOKUP(A1964,'Discount Lookup'!D:E,2,FALSE)*G1964)</f>
        <v/>
      </c>
      <c r="V1964" s="225" t="str">
        <f>IF(NOT(ISNUMBER(G1964)), "", VLOOKUP(A1964,'Discount Lookup'!G:H,2,FALSE)*G1964)</f>
        <v/>
      </c>
      <c r="W1964" s="508">
        <f t="shared" si="1506"/>
        <v>0</v>
      </c>
      <c r="X1964" s="508" t="str">
        <f t="shared" si="1507"/>
        <v>Jade-Green foliage</v>
      </c>
      <c r="Y1964" s="509" t="b">
        <f t="shared" si="1508"/>
        <v>0</v>
      </c>
      <c r="Z1964" s="510">
        <f t="shared" si="1509"/>
        <v>0</v>
      </c>
      <c r="AA1964" s="511"/>
      <c r="AB1964" s="511" t="str">
        <f t="shared" si="1510"/>
        <v/>
      </c>
      <c r="AC1964" s="698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698"/>
      <c r="AE1964" s="631" t="str">
        <f t="shared" si="1511"/>
        <v/>
      </c>
      <c r="AF1964" s="699" t="str">
        <f t="shared" si="1512"/>
        <v/>
      </c>
      <c r="AG1964" s="699"/>
      <c r="AH1964" s="699"/>
      <c r="AI1964" s="512">
        <f>IF(H1964="credit",0,IF(AE1964="free",0,IF(AE1964="me",0,IF(G1964&gt;0,(VLOOKUP(A1964,'Discount Lookup'!J:K,2)*G1964),0))))</f>
        <v>0</v>
      </c>
      <c r="AJ1964" s="513" t="str">
        <f t="shared" ca="1" si="1513"/>
        <v/>
      </c>
      <c r="AK1964" s="700" t="str">
        <f t="shared" si="1514"/>
        <v/>
      </c>
      <c r="AL1964" s="700"/>
      <c r="AM1964" s="505" t="str">
        <f t="shared" si="1515"/>
        <v/>
      </c>
      <c r="AN1964" s="506"/>
      <c r="AO1964" s="507"/>
      <c r="AP1964" s="507"/>
      <c r="AQ1964" s="507"/>
      <c r="AR1964" s="507"/>
      <c r="AS1964" s="507"/>
      <c r="AT1964" s="507"/>
      <c r="AU1964" s="507"/>
      <c r="AV1964" s="225"/>
      <c r="AW1964" s="508"/>
      <c r="AX1964" s="225"/>
      <c r="AY1964" s="225"/>
      <c r="AZ1964" s="225"/>
      <c r="BA1964" s="225"/>
      <c r="BB1964" s="225"/>
      <c r="BC1964" s="56"/>
      <c r="BD1964" s="56"/>
      <c r="BE1964" s="56"/>
      <c r="BF1964" s="107" t="str">
        <f t="shared" si="1516"/>
        <v>https://www.google.com/search?tbm=isch&amp;q=Jade%20Butterflies%20Ginkgo%20Ginkgo%20biloba%20%27Jade%20Butterflies%27</v>
      </c>
      <c r="BG1964" s="107" t="str">
        <f t="shared" si="1517"/>
        <v>J</v>
      </c>
      <c r="BH1964" s="254"/>
      <c r="BI1964" s="254"/>
    </row>
    <row r="1965" spans="1:61" customFormat="1" ht="15.75" x14ac:dyDescent="0.25">
      <c r="A1965" s="276">
        <v>15</v>
      </c>
      <c r="B1965" s="240" t="s">
        <v>291</v>
      </c>
      <c r="C1965" s="241" t="s">
        <v>3576</v>
      </c>
      <c r="D1965" s="242" t="s">
        <v>292</v>
      </c>
      <c r="E1965" s="243">
        <v>339.95</v>
      </c>
      <c r="F1965" s="517" t="s">
        <v>293</v>
      </c>
      <c r="G1965" s="232">
        <v>0</v>
      </c>
      <c r="H1965" s="661" t="str">
        <f>IF(G1965=0,"",IF(F1965="Buy",IF(G1965=1,"plant","plants"),IF(F1965&gt;0.01,"warranty","Error")))</f>
        <v/>
      </c>
      <c r="I1965" s="244">
        <f>IF(H1965="free",0,IF(H1965="credit",((E1965*(F1965))*G1965*-1),IF(F1965="Buy",(E1965*G1965),((E1965*(1-F1965))*G1965))))</f>
        <v>0</v>
      </c>
      <c r="J1965" s="244">
        <f>IF(H1965="warranty",0,(I1965*(_xlfn.SINGLE(SalesTaxPercentage))))</f>
        <v>0</v>
      </c>
      <c r="K1965" s="696">
        <f t="shared" ref="K1965" si="1531">I1965+J1965</f>
        <v>0</v>
      </c>
      <c r="L1965" s="696"/>
      <c r="M1965" s="659" t="str">
        <f>IF(AND(G1965&gt;0,E1965=0),"WARNING - no PRICE inserted",IF(H1965="free"," FREE ~ no charge this plant",IF(H1965="credit",CONCATENATE(" -$",ROUND(K1965*(1-T2GDiscount)*-1,2)," CREDIT after discount"),IF(T2GDiscount=0,"",IF(G1965=0,"",IF(F1965="Buy",CONCATENATE(" $",ROUND(K1965*(1-T2GDiscount),2)," with ",(T2GDiscount*100),"% discount"),CONCATENATE(" $",ROUND(K1965*(1-T2GDiscount),2)," with ",((T2GDiscount*100+F1965*100)-(T2GDiscount*100*F1965)),IF(F1965&gt;0,"% discounts",IF(NoWarrantyDiscount&gt;0,"% discounts","% discount")))))))))</f>
        <v/>
      </c>
      <c r="N1965" s="660"/>
      <c r="O1965" s="233"/>
      <c r="P1965" s="233"/>
      <c r="Q1965" s="233"/>
      <c r="R1965" s="233"/>
      <c r="S1965" s="233"/>
      <c r="T1965" s="508">
        <f t="shared" si="1505"/>
        <v>0</v>
      </c>
      <c r="U1965" s="225">
        <f>IF(NOT(ISNUMBER(G1965)), "", VLOOKUP(A1965,'Discount Lookup'!D:E,2,FALSE)*G1965)</f>
        <v>0</v>
      </c>
      <c r="V1965" s="225">
        <f>IF(NOT(ISNUMBER(G1965)), "", VLOOKUP(A1965,'Discount Lookup'!G:H,2,FALSE)*G1965)</f>
        <v>0</v>
      </c>
      <c r="W1965" s="508">
        <f t="shared" si="1506"/>
        <v>0</v>
      </c>
      <c r="X1965" s="508">
        <f t="shared" si="1507"/>
        <v>0</v>
      </c>
      <c r="Y1965" s="509" t="b">
        <f t="shared" si="1508"/>
        <v>0</v>
      </c>
      <c r="Z1965" s="510">
        <f t="shared" si="1509"/>
        <v>0</v>
      </c>
      <c r="AA1965" s="511"/>
      <c r="AB1965" s="511" t="str">
        <f t="shared" si="1510"/>
        <v/>
      </c>
      <c r="AC1965" s="698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698"/>
      <c r="AE1965" s="631" t="str">
        <f t="shared" si="1511"/>
        <v/>
      </c>
      <c r="AF1965" s="699" t="str">
        <f t="shared" si="1512"/>
        <v/>
      </c>
      <c r="AG1965" s="699"/>
      <c r="AH1965" s="699"/>
      <c r="AI1965" s="512">
        <f>IF(H1965="credit",0,IF(AE1965="free",0,IF(AE1965="me",0,IF(G1965&gt;0,(VLOOKUP(A1965,'Discount Lookup'!J:K,2)*G1965),0))))</f>
        <v>0</v>
      </c>
      <c r="AJ1965" s="513" t="str">
        <f t="shared" ca="1" si="1513"/>
        <v/>
      </c>
      <c r="AK1965" s="700" t="str">
        <f t="shared" si="1514"/>
        <v/>
      </c>
      <c r="AL1965" s="700"/>
      <c r="AM1965" s="505" t="str">
        <f t="shared" si="1515"/>
        <v/>
      </c>
      <c r="AN1965" s="506"/>
      <c r="AO1965" s="507"/>
      <c r="AP1965" s="507"/>
      <c r="AQ1965" s="507"/>
      <c r="AR1965" s="507"/>
      <c r="AS1965" s="507"/>
      <c r="AT1965" s="507"/>
      <c r="AU1965" s="507"/>
      <c r="AV1965" s="225"/>
      <c r="AW1965" s="508"/>
      <c r="AX1965" s="225"/>
      <c r="AY1965" s="225"/>
      <c r="AZ1965" s="225"/>
      <c r="BA1965" s="225"/>
      <c r="BB1965" s="225"/>
      <c r="BC1965" s="56"/>
      <c r="BD1965" s="56"/>
      <c r="BE1965" s="56"/>
      <c r="BF1965" s="107" t="str">
        <f t="shared" si="1516"/>
        <v>https://www.google.com/search?tbm=isch&amp;q=15%20G4</v>
      </c>
      <c r="BG1965" s="107" t="str">
        <f t="shared" si="1517"/>
        <v>J</v>
      </c>
      <c r="BH1965" s="254"/>
      <c r="BI1965" s="254"/>
    </row>
    <row r="1966" spans="1:61" customFormat="1" ht="27" x14ac:dyDescent="0.25">
      <c r="A1966" s="276">
        <v>45</v>
      </c>
      <c r="B1966" s="240" t="s">
        <v>291</v>
      </c>
      <c r="C1966" s="241" t="s">
        <v>3577</v>
      </c>
      <c r="D1966" s="242" t="s">
        <v>292</v>
      </c>
      <c r="E1966" s="243">
        <v>966.95</v>
      </c>
      <c r="F1966" s="517" t="s">
        <v>293</v>
      </c>
      <c r="G1966" s="232">
        <v>0</v>
      </c>
      <c r="H1966" s="661" t="str">
        <f>IF(G1966=0,"",IF(F1966="Buy",IF(G1966=1,"plant","plants"),IF(F1966&gt;0.01,"warranty","Error")))</f>
        <v/>
      </c>
      <c r="I1966" s="244">
        <f>IF(H1966="free",0,IF(H1966="credit",((E1966*(F1966))*G1966*-1),IF(F1966="Buy",(E1966*G1966),((E1966*(1-F1966))*G1966))))</f>
        <v>0</v>
      </c>
      <c r="J1966" s="244">
        <f>IF(H1966="warranty",0,(I1966*(_xlfn.SINGLE(SalesTaxPercentage))))</f>
        <v>0</v>
      </c>
      <c r="K1966" s="696">
        <f t="shared" ref="K1966" si="1532">I1966+J1966</f>
        <v>0</v>
      </c>
      <c r="L1966" s="696"/>
      <c r="M1966" s="659" t="str">
        <f>IF(AND(G1966&gt;0,E1966=0),"WARNING - no PRICE inserted",IF(H1966="free"," FREE ~ no charge this plant",IF(H1966="credit",CONCATENATE(" -$",ROUND(K1966*(1-T2GDiscount)*-1,2)," CREDIT after discount"),IF(T2GDiscount=0,"",IF(G1966=0,"",IF(F1966="Buy",CONCATENATE(" $",ROUND(K1966*(1-T2GDiscount),2)," with ",(T2GDiscount*100),"% discount"),CONCATENATE(" $",ROUND(K1966*(1-T2GDiscount),2)," with ",((T2GDiscount*100+F1966*100)-(T2GDiscount*100*F1966)),IF(F1966&gt;0,"% discounts",IF(NoWarrantyDiscount&gt;0,"% discounts","% discount")))))))))</f>
        <v/>
      </c>
      <c r="N1966" s="660"/>
      <c r="O1966" s="233"/>
      <c r="P1966" s="233"/>
      <c r="Q1966" s="233"/>
      <c r="R1966" s="233"/>
      <c r="S1966" s="233"/>
      <c r="T1966" s="508">
        <f t="shared" si="1505"/>
        <v>0</v>
      </c>
      <c r="U1966" s="225">
        <f>IF(NOT(ISNUMBER(G1966)), "", VLOOKUP(A1966,'Discount Lookup'!D:E,2,FALSE)*G1966)</f>
        <v>0</v>
      </c>
      <c r="V1966" s="225">
        <f>IF(NOT(ISNUMBER(G1966)), "", VLOOKUP(A1966,'Discount Lookup'!G:H,2,FALSE)*G1966)</f>
        <v>0</v>
      </c>
      <c r="W1966" s="508">
        <f t="shared" si="1506"/>
        <v>0</v>
      </c>
      <c r="X1966" s="508">
        <f t="shared" si="1507"/>
        <v>0</v>
      </c>
      <c r="Y1966" s="509" t="b">
        <f t="shared" si="1508"/>
        <v>0</v>
      </c>
      <c r="Z1966" s="510">
        <f t="shared" si="1509"/>
        <v>0</v>
      </c>
      <c r="AA1966" s="511"/>
      <c r="AB1966" s="511" t="str">
        <f t="shared" si="1510"/>
        <v/>
      </c>
      <c r="AC1966" s="698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698"/>
      <c r="AE1966" s="631" t="str">
        <f t="shared" si="1511"/>
        <v/>
      </c>
      <c r="AF1966" s="699" t="str">
        <f t="shared" si="1512"/>
        <v/>
      </c>
      <c r="AG1966" s="699"/>
      <c r="AH1966" s="699"/>
      <c r="AI1966" s="512">
        <f>IF(H1966="credit",0,IF(AE1966="free",0,IF(AE1966="me",0,IF(G1966&gt;0,(VLOOKUP(A1966,'Discount Lookup'!J:K,2)*G1966),0))))</f>
        <v>0</v>
      </c>
      <c r="AJ1966" s="513" t="str">
        <f t="shared" ca="1" si="1513"/>
        <v/>
      </c>
      <c r="AK1966" s="700" t="str">
        <f t="shared" si="1514"/>
        <v/>
      </c>
      <c r="AL1966" s="700"/>
      <c r="AM1966" s="505" t="str">
        <f t="shared" si="1515"/>
        <v/>
      </c>
      <c r="AN1966" s="506"/>
      <c r="AO1966" s="507"/>
      <c r="AP1966" s="507"/>
      <c r="AQ1966" s="507"/>
      <c r="AR1966" s="507"/>
      <c r="AS1966" s="507"/>
      <c r="AT1966" s="507"/>
      <c r="AU1966" s="507"/>
      <c r="AV1966" s="225"/>
      <c r="AW1966" s="508"/>
      <c r="AX1966" s="225"/>
      <c r="AY1966" s="225"/>
      <c r="AZ1966" s="225"/>
      <c r="BA1966" s="225"/>
      <c r="BB1966" s="225"/>
      <c r="BC1966" s="56"/>
      <c r="BD1966" s="56"/>
      <c r="BE1966" s="56"/>
      <c r="BF1966" s="107" t="str">
        <f t="shared" si="1516"/>
        <v>https://www.google.com/search?tbm=isch&amp;q=45%20G4</v>
      </c>
      <c r="BG1966" s="107" t="str">
        <f t="shared" si="1517"/>
        <v>J</v>
      </c>
      <c r="BH1966" s="254"/>
      <c r="BI1966" s="254"/>
    </row>
    <row r="1967" spans="1:61" customFormat="1" ht="17.25" thickBot="1" x14ac:dyDescent="0.3">
      <c r="A1967" s="524" t="s">
        <v>2410</v>
      </c>
      <c r="B1967" s="245"/>
      <c r="C1967" s="677"/>
      <c r="D1967" s="499"/>
      <c r="E1967" s="499"/>
      <c r="F1967" s="500"/>
      <c r="G1967" s="501"/>
      <c r="H1967" s="502"/>
      <c r="I1967" s="246"/>
      <c r="J1967" s="247"/>
      <c r="K1967" s="503"/>
      <c r="L1967" s="544"/>
      <c r="M1967" s="544"/>
      <c r="N1967" s="500"/>
      <c r="O1967" s="500"/>
      <c r="P1967" s="500"/>
      <c r="Q1967" s="500"/>
      <c r="R1967" s="500"/>
      <c r="S1967" s="278"/>
      <c r="T1967" s="508">
        <f t="shared" si="1505"/>
        <v>0</v>
      </c>
      <c r="U1967" s="225" t="str">
        <f>IF(NOT(ISNUMBER(G1967)), "", VLOOKUP(A1967,'Discount Lookup'!D:E,2,FALSE)*G1967)</f>
        <v/>
      </c>
      <c r="V1967" s="225" t="str">
        <f>IF(NOT(ISNUMBER(G1967)), "", VLOOKUP(A1967,'Discount Lookup'!G:H,2,FALSE)*G1967)</f>
        <v/>
      </c>
      <c r="W1967" s="508">
        <f t="shared" si="1506"/>
        <v>0</v>
      </c>
      <c r="X1967" s="508">
        <f t="shared" si="1507"/>
        <v>0</v>
      </c>
      <c r="Y1967" s="509" t="b">
        <f t="shared" si="1508"/>
        <v>0</v>
      </c>
      <c r="Z1967" s="510">
        <f t="shared" si="1509"/>
        <v>0</v>
      </c>
      <c r="AA1967" s="511"/>
      <c r="AB1967" s="511" t="str">
        <f t="shared" si="1510"/>
        <v/>
      </c>
      <c r="AC1967" s="698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698"/>
      <c r="AE1967" s="631" t="str">
        <f t="shared" si="1511"/>
        <v/>
      </c>
      <c r="AF1967" s="699" t="str">
        <f t="shared" si="1512"/>
        <v/>
      </c>
      <c r="AG1967" s="699"/>
      <c r="AH1967" s="699"/>
      <c r="AI1967" s="512">
        <f>IF(H1967="credit",0,IF(AE1967="free",0,IF(AE1967="me",0,IF(G1967&gt;0,(VLOOKUP(A1967,'Discount Lookup'!J:K,2)*G1967),0))))</f>
        <v>0</v>
      </c>
      <c r="AJ1967" s="513" t="str">
        <f t="shared" ca="1" si="1513"/>
        <v/>
      </c>
      <c r="AK1967" s="700" t="str">
        <f t="shared" si="1514"/>
        <v/>
      </c>
      <c r="AL1967" s="700"/>
      <c r="AM1967" s="505" t="str">
        <f t="shared" si="1515"/>
        <v/>
      </c>
      <c r="AN1967" s="506"/>
      <c r="AO1967" s="507"/>
      <c r="AP1967" s="507"/>
      <c r="AQ1967" s="507"/>
      <c r="AR1967" s="507"/>
      <c r="AS1967" s="507"/>
      <c r="AT1967" s="507"/>
      <c r="AU1967" s="507"/>
      <c r="AV1967" s="225"/>
      <c r="AW1967" s="508"/>
      <c r="AX1967" s="225"/>
      <c r="AY1967" s="225"/>
      <c r="AZ1967" s="225"/>
      <c r="BA1967" s="225"/>
      <c r="BB1967" s="225"/>
      <c r="BC1967" s="56"/>
      <c r="BD1967" s="56"/>
      <c r="BE1967" s="56"/>
      <c r="BF1967" s="107" t="str">
        <f t="shared" si="1516"/>
        <v>https://www.google.com/search?tbm=isch&amp;q=Jade%20is%20named%20for%20butterfly-shaped%20leaf.%20All%20male%20clones%2C%20not%20stinky%20or%20messy.%20Vibrant%20Golden-Yellow%20fall%20foliage%20</v>
      </c>
      <c r="BG1967" s="107" t="str">
        <f t="shared" si="1517"/>
        <v>J</v>
      </c>
      <c r="BH1967" s="254"/>
      <c r="BI1967" s="254"/>
    </row>
    <row r="1968" spans="1:61" customFormat="1" ht="18" x14ac:dyDescent="0.25">
      <c r="A1968" s="523" t="s">
        <v>1154</v>
      </c>
      <c r="B1968" s="235"/>
      <c r="C1968" s="676"/>
      <c r="D1968" s="255" t="s">
        <v>1155</v>
      </c>
      <c r="E1968" s="236"/>
      <c r="F1968" s="236"/>
      <c r="G1968" s="236"/>
      <c r="H1968" s="582" t="s">
        <v>321</v>
      </c>
      <c r="I1968" s="498" t="s">
        <v>656</v>
      </c>
      <c r="J1968" s="237"/>
      <c r="K1968" s="237"/>
      <c r="L1968" s="274"/>
      <c r="M1968" s="668" t="s">
        <v>4975</v>
      </c>
      <c r="N1968" s="681" t="str">
        <f>IF(AND(ISTEXT($A1968), ISERROR($A1968+0)), HYPERLINK($BF1968, "Images"), "")</f>
        <v>Images</v>
      </c>
      <c r="O1968" s="663" t="s">
        <v>4967</v>
      </c>
      <c r="P1968" s="253"/>
      <c r="Q1968" s="238"/>
      <c r="R1968" s="239"/>
      <c r="S1968" s="275"/>
      <c r="T1968" s="508">
        <f t="shared" si="1505"/>
        <v>0</v>
      </c>
      <c r="U1968" s="225" t="str">
        <f>IF(NOT(ISNUMBER(G1968)), "", VLOOKUP(A1968,'Discount Lookup'!D:E,2,FALSE)*G1968)</f>
        <v/>
      </c>
      <c r="V1968" s="225" t="str">
        <f>IF(NOT(ISNUMBER(G1968)), "", VLOOKUP(A1968,'Discount Lookup'!G:H,2,FALSE)*G1968)</f>
        <v/>
      </c>
      <c r="W1968" s="508">
        <f t="shared" si="1506"/>
        <v>0</v>
      </c>
      <c r="X1968" s="508" t="str">
        <f t="shared" si="1507"/>
        <v>Pink bloom</v>
      </c>
      <c r="Y1968" s="509" t="b">
        <f t="shared" si="1508"/>
        <v>0</v>
      </c>
      <c r="Z1968" s="510">
        <f t="shared" si="1509"/>
        <v>0</v>
      </c>
      <c r="AA1968" s="511"/>
      <c r="AB1968" s="511" t="str">
        <f t="shared" si="1510"/>
        <v/>
      </c>
      <c r="AC1968" s="698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698"/>
      <c r="AE1968" s="631" t="str">
        <f t="shared" si="1511"/>
        <v/>
      </c>
      <c r="AF1968" s="699" t="str">
        <f t="shared" si="1512"/>
        <v/>
      </c>
      <c r="AG1968" s="699"/>
      <c r="AH1968" s="699"/>
      <c r="AI1968" s="512">
        <f>IF(H1968="credit",0,IF(AE1968="free",0,IF(AE1968="me",0,IF(G1968&gt;0,(VLOOKUP(A1968,'Discount Lookup'!J:K,2)*G1968),0))))</f>
        <v>0</v>
      </c>
      <c r="AJ1968" s="513" t="str">
        <f t="shared" ca="1" si="1513"/>
        <v/>
      </c>
      <c r="AK1968" s="700" t="str">
        <f t="shared" si="1514"/>
        <v/>
      </c>
      <c r="AL1968" s="700"/>
      <c r="AM1968" s="505" t="str">
        <f t="shared" si="1515"/>
        <v/>
      </c>
      <c r="AN1968" s="506"/>
      <c r="AO1968" s="507"/>
      <c r="AP1968" s="507"/>
      <c r="AQ1968" s="507"/>
      <c r="AR1968" s="507"/>
      <c r="AS1968" s="507"/>
      <c r="AT1968" s="507"/>
      <c r="AU1968" s="507"/>
      <c r="AV1968" s="225"/>
      <c r="AW1968" s="508"/>
      <c r="AX1968" s="225"/>
      <c r="AY1968" s="225"/>
      <c r="AZ1968" s="225"/>
      <c r="BA1968" s="225"/>
      <c r="BB1968" s="225"/>
      <c r="BC1968" s="56"/>
      <c r="BD1968" s="56"/>
      <c r="BE1968" s="56"/>
      <c r="BF1968" s="107" t="str">
        <f t="shared" si="1516"/>
        <v>https://www.google.com/search?tbm=isch&amp;q=Jane%20Magnolia%20Magnolia%20liliiflora%20%27Jane%27</v>
      </c>
      <c r="BG1968" s="107" t="str">
        <f t="shared" si="1517"/>
        <v>J</v>
      </c>
      <c r="BH1968" s="254"/>
      <c r="BI1968" s="254"/>
    </row>
    <row r="1969" spans="1:61" customFormat="1" ht="15.75" x14ac:dyDescent="0.25">
      <c r="A1969" s="276">
        <v>3</v>
      </c>
      <c r="B1969" s="240" t="s">
        <v>291</v>
      </c>
      <c r="C1969" s="241"/>
      <c r="D1969" s="242" t="s">
        <v>298</v>
      </c>
      <c r="E1969" s="243">
        <v>27.95</v>
      </c>
      <c r="F1969" s="517" t="s">
        <v>293</v>
      </c>
      <c r="G1969" s="232">
        <v>0</v>
      </c>
      <c r="H1969" s="661" t="str">
        <f t="shared" ref="H1969:H1974" si="1533">IF(G1969=0,"",IF(F1969="Buy",IF(G1969=1,"plant","plants"),IF(F1969&gt;0.01,"warranty","Error")))</f>
        <v/>
      </c>
      <c r="I1969" s="244">
        <f t="shared" ref="I1969:I1974" si="1534">IF(H1969="free",0,IF(H1969="credit",((E1969*(F1969))*G1969*-1),IF(F1969="Buy",(E1969*G1969),((E1969*(1-F1969))*G1969))))</f>
        <v>0</v>
      </c>
      <c r="J1969" s="244">
        <f t="shared" ref="J1969:J1974" si="1535">IF(H1969="warranty",0,(I1969*(_xlfn.SINGLE(SalesTaxPercentage))))</f>
        <v>0</v>
      </c>
      <c r="K1969" s="696">
        <f t="shared" ref="K1969" si="1536">I1969+J1969</f>
        <v>0</v>
      </c>
      <c r="L1969" s="696"/>
      <c r="M1969" s="659" t="str">
        <f t="shared" ref="M1969:M1974" si="1537">IF(AND(G1969&gt;0,E1969=0),"WARNING - no PRICE inserted",IF(H1969="free"," FREE ~ no charge this plant",IF(H1969="credit",CONCATENATE(" -$",ROUND(K1969*(1-T2GDiscount)*-1,2)," CREDIT after discount"),IF(T2GDiscount=0,"",IF(G1969=0,"",IF(F1969="Buy",CONCATENATE(" $",ROUND(K1969*(1-T2GDiscount),2)," with ",(T2GDiscount*100),"% discount"),CONCATENATE(" $",ROUND(K1969*(1-T2GDiscount),2)," with ",((T2GDiscount*100+F1969*100)-(T2GDiscount*100*F1969)),IF(F1969&gt;0,"% discounts",IF(NoWarrantyDiscount&gt;0,"% discounts","% discount")))))))))</f>
        <v/>
      </c>
      <c r="N1969" s="660"/>
      <c r="O1969" s="233"/>
      <c r="P1969" s="233"/>
      <c r="Q1969" s="233"/>
      <c r="R1969" s="233"/>
      <c r="S1969" s="233"/>
      <c r="T1969" s="508">
        <f t="shared" si="1505"/>
        <v>0</v>
      </c>
      <c r="U1969" s="225">
        <f>IF(NOT(ISNUMBER(G1969)), "", VLOOKUP(A1969,'Discount Lookup'!D:E,2,FALSE)*G1969)</f>
        <v>0</v>
      </c>
      <c r="V1969" s="225">
        <f>IF(NOT(ISNUMBER(G1969)), "", VLOOKUP(A1969,'Discount Lookup'!G:H,2,FALSE)*G1969)</f>
        <v>0</v>
      </c>
      <c r="W1969" s="508">
        <f t="shared" si="1506"/>
        <v>0</v>
      </c>
      <c r="X1969" s="508">
        <f t="shared" si="1507"/>
        <v>0</v>
      </c>
      <c r="Y1969" s="509" t="b">
        <f t="shared" si="1508"/>
        <v>0</v>
      </c>
      <c r="Z1969" s="510">
        <f t="shared" si="1509"/>
        <v>0</v>
      </c>
      <c r="AA1969" s="511"/>
      <c r="AB1969" s="511" t="str">
        <f t="shared" si="1510"/>
        <v/>
      </c>
      <c r="AC1969" s="698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698"/>
      <c r="AE1969" s="631" t="str">
        <f t="shared" si="1511"/>
        <v/>
      </c>
      <c r="AF1969" s="699" t="str">
        <f t="shared" si="1512"/>
        <v/>
      </c>
      <c r="AG1969" s="699"/>
      <c r="AH1969" s="699"/>
      <c r="AI1969" s="512">
        <f>IF(H1969="credit",0,IF(AE1969="free",0,IF(AE1969="me",0,IF(G1969&gt;0,(VLOOKUP(A1969,'Discount Lookup'!J:K,2)*G1969),0))))</f>
        <v>0</v>
      </c>
      <c r="AJ1969" s="513" t="str">
        <f t="shared" ca="1" si="1513"/>
        <v/>
      </c>
      <c r="AK1969" s="700" t="str">
        <f t="shared" si="1514"/>
        <v/>
      </c>
      <c r="AL1969" s="700"/>
      <c r="AM1969" s="505" t="str">
        <f t="shared" si="1515"/>
        <v/>
      </c>
      <c r="AN1969" s="506"/>
      <c r="AO1969" s="507"/>
      <c r="AP1969" s="507"/>
      <c r="AQ1969" s="507"/>
      <c r="AR1969" s="507"/>
      <c r="AS1969" s="507"/>
      <c r="AT1969" s="507"/>
      <c r="AU1969" s="507"/>
      <c r="AV1969" s="225"/>
      <c r="AW1969" s="508"/>
      <c r="AX1969" s="225"/>
      <c r="AY1969" s="225"/>
      <c r="AZ1969" s="225"/>
      <c r="BA1969" s="225"/>
      <c r="BB1969" s="225"/>
      <c r="BC1969" s="56"/>
      <c r="BD1969" s="56"/>
      <c r="BE1969" s="56"/>
      <c r="BF1969" s="107" t="str">
        <f t="shared" si="1516"/>
        <v>https://www.google.com/search?tbm=isch&amp;q=3%20G1</v>
      </c>
      <c r="BG1969" s="107" t="str">
        <f t="shared" si="1517"/>
        <v>J</v>
      </c>
      <c r="BH1969" s="254"/>
      <c r="BI1969" s="254"/>
    </row>
    <row r="1970" spans="1:61" customFormat="1" ht="15.75" x14ac:dyDescent="0.25">
      <c r="A1970" s="276">
        <v>7</v>
      </c>
      <c r="B1970" s="240" t="s">
        <v>291</v>
      </c>
      <c r="C1970" s="241" t="s">
        <v>4418</v>
      </c>
      <c r="D1970" s="242" t="s">
        <v>292</v>
      </c>
      <c r="E1970" s="243">
        <v>86.95</v>
      </c>
      <c r="F1970" s="517" t="s">
        <v>293</v>
      </c>
      <c r="G1970" s="232">
        <v>0</v>
      </c>
      <c r="H1970" s="661" t="str">
        <f t="shared" si="1533"/>
        <v/>
      </c>
      <c r="I1970" s="244">
        <f t="shared" si="1534"/>
        <v>0</v>
      </c>
      <c r="J1970" s="244">
        <f t="shared" si="1535"/>
        <v>0</v>
      </c>
      <c r="K1970" s="696">
        <f t="shared" ref="K1970" si="1538">I1970+J1970</f>
        <v>0</v>
      </c>
      <c r="L1970" s="696"/>
      <c r="M1970" s="659" t="str">
        <f t="shared" si="1537"/>
        <v/>
      </c>
      <c r="N1970" s="660"/>
      <c r="O1970" s="233"/>
      <c r="P1970" s="233"/>
      <c r="Q1970" s="233"/>
      <c r="R1970" s="233"/>
      <c r="S1970" s="233"/>
      <c r="T1970" s="508">
        <f t="shared" si="1505"/>
        <v>0</v>
      </c>
      <c r="U1970" s="225">
        <f>IF(NOT(ISNUMBER(G1970)), "", VLOOKUP(A1970,'Discount Lookup'!D:E,2,FALSE)*G1970)</f>
        <v>0</v>
      </c>
      <c r="V1970" s="225">
        <f>IF(NOT(ISNUMBER(G1970)), "", VLOOKUP(A1970,'Discount Lookup'!G:H,2,FALSE)*G1970)</f>
        <v>0</v>
      </c>
      <c r="W1970" s="508">
        <f t="shared" si="1506"/>
        <v>0</v>
      </c>
      <c r="X1970" s="508">
        <f t="shared" si="1507"/>
        <v>0</v>
      </c>
      <c r="Y1970" s="509" t="b">
        <f t="shared" si="1508"/>
        <v>0</v>
      </c>
      <c r="Z1970" s="510">
        <f t="shared" si="1509"/>
        <v>0</v>
      </c>
      <c r="AA1970" s="511"/>
      <c r="AB1970" s="511" t="str">
        <f t="shared" si="1510"/>
        <v/>
      </c>
      <c r="AC1970" s="698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698"/>
      <c r="AE1970" s="631" t="str">
        <f t="shared" si="1511"/>
        <v/>
      </c>
      <c r="AF1970" s="699" t="str">
        <f t="shared" si="1512"/>
        <v/>
      </c>
      <c r="AG1970" s="699"/>
      <c r="AH1970" s="699"/>
      <c r="AI1970" s="512">
        <f>IF(H1970="credit",0,IF(AE1970="free",0,IF(AE1970="me",0,IF(G1970&gt;0,(VLOOKUP(A1970,'Discount Lookup'!J:K,2)*G1970),0))))</f>
        <v>0</v>
      </c>
      <c r="AJ1970" s="513" t="str">
        <f t="shared" ca="1" si="1513"/>
        <v/>
      </c>
      <c r="AK1970" s="700" t="str">
        <f t="shared" si="1514"/>
        <v/>
      </c>
      <c r="AL1970" s="700"/>
      <c r="AM1970" s="505" t="str">
        <f t="shared" si="1515"/>
        <v/>
      </c>
      <c r="AN1970" s="506"/>
      <c r="AO1970" s="507"/>
      <c r="AP1970" s="507"/>
      <c r="AQ1970" s="507"/>
      <c r="AR1970" s="507"/>
      <c r="AS1970" s="507"/>
      <c r="AT1970" s="507"/>
      <c r="AU1970" s="507"/>
      <c r="AV1970" s="225"/>
      <c r="AW1970" s="508"/>
      <c r="AX1970" s="225"/>
      <c r="AY1970" s="225"/>
      <c r="AZ1970" s="225"/>
      <c r="BA1970" s="225"/>
      <c r="BB1970" s="225"/>
      <c r="BC1970" s="56"/>
      <c r="BD1970" s="56"/>
      <c r="BE1970" s="56"/>
      <c r="BF1970" s="107" t="str">
        <f t="shared" si="1516"/>
        <v>https://www.google.com/search?tbm=isch&amp;q=7%20G4</v>
      </c>
      <c r="BG1970" s="107" t="str">
        <f t="shared" si="1517"/>
        <v>J</v>
      </c>
      <c r="BH1970" s="254"/>
      <c r="BI1970" s="254"/>
    </row>
    <row r="1971" spans="1:61" customFormat="1" ht="27" x14ac:dyDescent="0.25">
      <c r="A1971" s="276">
        <v>7</v>
      </c>
      <c r="B1971" s="240" t="s">
        <v>291</v>
      </c>
      <c r="C1971" s="241" t="s">
        <v>3578</v>
      </c>
      <c r="D1971" s="242" t="s">
        <v>292</v>
      </c>
      <c r="E1971" s="243">
        <v>102.95</v>
      </c>
      <c r="F1971" s="517" t="s">
        <v>293</v>
      </c>
      <c r="G1971" s="232">
        <v>0</v>
      </c>
      <c r="H1971" s="661" t="str">
        <f t="shared" si="1533"/>
        <v/>
      </c>
      <c r="I1971" s="244">
        <f t="shared" si="1534"/>
        <v>0</v>
      </c>
      <c r="J1971" s="244">
        <f t="shared" si="1535"/>
        <v>0</v>
      </c>
      <c r="K1971" s="696">
        <f t="shared" ref="K1971" si="1539">I1971+J1971</f>
        <v>0</v>
      </c>
      <c r="L1971" s="696"/>
      <c r="M1971" s="659" t="str">
        <f t="shared" si="1537"/>
        <v/>
      </c>
      <c r="N1971" s="660"/>
      <c r="O1971" s="233"/>
      <c r="P1971" s="233"/>
      <c r="Q1971" s="233"/>
      <c r="R1971" s="233"/>
      <c r="S1971" s="233"/>
      <c r="T1971" s="508">
        <f t="shared" si="1505"/>
        <v>0</v>
      </c>
      <c r="U1971" s="225">
        <f>IF(NOT(ISNUMBER(G1971)), "", VLOOKUP(A1971,'Discount Lookup'!D:E,2,FALSE)*G1971)</f>
        <v>0</v>
      </c>
      <c r="V1971" s="225">
        <f>IF(NOT(ISNUMBER(G1971)), "", VLOOKUP(A1971,'Discount Lookup'!G:H,2,FALSE)*G1971)</f>
        <v>0</v>
      </c>
      <c r="W1971" s="508">
        <f t="shared" si="1506"/>
        <v>0</v>
      </c>
      <c r="X1971" s="508">
        <f t="shared" si="1507"/>
        <v>0</v>
      </c>
      <c r="Y1971" s="509" t="b">
        <f t="shared" si="1508"/>
        <v>0</v>
      </c>
      <c r="Z1971" s="510">
        <f t="shared" si="1509"/>
        <v>0</v>
      </c>
      <c r="AA1971" s="511"/>
      <c r="AB1971" s="511" t="str">
        <f t="shared" si="1510"/>
        <v/>
      </c>
      <c r="AC1971" s="698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698"/>
      <c r="AE1971" s="631" t="str">
        <f t="shared" si="1511"/>
        <v/>
      </c>
      <c r="AF1971" s="699" t="str">
        <f t="shared" si="1512"/>
        <v/>
      </c>
      <c r="AG1971" s="699"/>
      <c r="AH1971" s="699"/>
      <c r="AI1971" s="512">
        <f>IF(H1971="credit",0,IF(AE1971="free",0,IF(AE1971="me",0,IF(G1971&gt;0,(VLOOKUP(A1971,'Discount Lookup'!J:K,2)*G1971),0))))</f>
        <v>0</v>
      </c>
      <c r="AJ1971" s="513" t="str">
        <f t="shared" ca="1" si="1513"/>
        <v/>
      </c>
      <c r="AK1971" s="700" t="str">
        <f t="shared" si="1514"/>
        <v/>
      </c>
      <c r="AL1971" s="700"/>
      <c r="AM1971" s="505" t="str">
        <f t="shared" si="1515"/>
        <v/>
      </c>
      <c r="AN1971" s="506"/>
      <c r="AO1971" s="507"/>
      <c r="AP1971" s="507"/>
      <c r="AQ1971" s="507"/>
      <c r="AR1971" s="507"/>
      <c r="AS1971" s="507"/>
      <c r="AT1971" s="507"/>
      <c r="AU1971" s="507"/>
      <c r="AV1971" s="225"/>
      <c r="AW1971" s="508"/>
      <c r="AX1971" s="225"/>
      <c r="AY1971" s="225"/>
      <c r="AZ1971" s="225"/>
      <c r="BA1971" s="225"/>
      <c r="BB1971" s="225"/>
      <c r="BC1971" s="56"/>
      <c r="BD1971" s="56"/>
      <c r="BE1971" s="56"/>
      <c r="BF1971" s="107" t="str">
        <f t="shared" si="1516"/>
        <v>https://www.google.com/search?tbm=isch&amp;q=7%20G4</v>
      </c>
      <c r="BG1971" s="107" t="str">
        <f t="shared" si="1517"/>
        <v>J</v>
      </c>
      <c r="BH1971" s="254"/>
      <c r="BI1971" s="254"/>
    </row>
    <row r="1972" spans="1:61" customFormat="1" ht="27" x14ac:dyDescent="0.25">
      <c r="A1972" s="276">
        <v>15</v>
      </c>
      <c r="B1972" s="240" t="s">
        <v>291</v>
      </c>
      <c r="C1972" s="241" t="s">
        <v>4770</v>
      </c>
      <c r="D1972" s="242" t="s">
        <v>292</v>
      </c>
      <c r="E1972" s="243">
        <v>160.94999999999999</v>
      </c>
      <c r="F1972" s="517" t="s">
        <v>293</v>
      </c>
      <c r="G1972" s="232">
        <v>0</v>
      </c>
      <c r="H1972" s="661" t="str">
        <f t="shared" si="1533"/>
        <v/>
      </c>
      <c r="I1972" s="244">
        <f t="shared" si="1534"/>
        <v>0</v>
      </c>
      <c r="J1972" s="244">
        <f t="shared" si="1535"/>
        <v>0</v>
      </c>
      <c r="K1972" s="696">
        <f t="shared" ref="K1972" si="1540">I1972+J1972</f>
        <v>0</v>
      </c>
      <c r="L1972" s="696"/>
      <c r="M1972" s="659" t="str">
        <f t="shared" si="1537"/>
        <v/>
      </c>
      <c r="N1972" s="660"/>
      <c r="O1972" s="233"/>
      <c r="P1972" s="233"/>
      <c r="Q1972" s="233"/>
      <c r="R1972" s="233"/>
      <c r="S1972" s="233"/>
      <c r="T1972" s="508">
        <f t="shared" si="1505"/>
        <v>0</v>
      </c>
      <c r="U1972" s="225">
        <f>IF(NOT(ISNUMBER(G1972)), "", VLOOKUP(A1972,'Discount Lookup'!D:E,2,FALSE)*G1972)</f>
        <v>0</v>
      </c>
      <c r="V1972" s="225">
        <f>IF(NOT(ISNUMBER(G1972)), "", VLOOKUP(A1972,'Discount Lookup'!G:H,2,FALSE)*G1972)</f>
        <v>0</v>
      </c>
      <c r="W1972" s="508">
        <f t="shared" si="1506"/>
        <v>0</v>
      </c>
      <c r="X1972" s="508">
        <f t="shared" si="1507"/>
        <v>0</v>
      </c>
      <c r="Y1972" s="509" t="b">
        <f t="shared" si="1508"/>
        <v>0</v>
      </c>
      <c r="Z1972" s="510">
        <f t="shared" si="1509"/>
        <v>0</v>
      </c>
      <c r="AA1972" s="511"/>
      <c r="AB1972" s="511" t="str">
        <f t="shared" si="1510"/>
        <v/>
      </c>
      <c r="AC1972" s="698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698"/>
      <c r="AE1972" s="631" t="str">
        <f t="shared" si="1511"/>
        <v/>
      </c>
      <c r="AF1972" s="699" t="str">
        <f t="shared" si="1512"/>
        <v/>
      </c>
      <c r="AG1972" s="699"/>
      <c r="AH1972" s="699"/>
      <c r="AI1972" s="512">
        <f>IF(H1972="credit",0,IF(AE1972="free",0,IF(AE1972="me",0,IF(G1972&gt;0,(VLOOKUP(A1972,'Discount Lookup'!J:K,2)*G1972),0))))</f>
        <v>0</v>
      </c>
      <c r="AJ1972" s="513" t="str">
        <f t="shared" ca="1" si="1513"/>
        <v/>
      </c>
      <c r="AK1972" s="700" t="str">
        <f t="shared" si="1514"/>
        <v/>
      </c>
      <c r="AL1972" s="700"/>
      <c r="AM1972" s="505" t="str">
        <f t="shared" si="1515"/>
        <v/>
      </c>
      <c r="AN1972" s="506"/>
      <c r="AO1972" s="507"/>
      <c r="AP1972" s="507"/>
      <c r="AQ1972" s="507"/>
      <c r="AR1972" s="507"/>
      <c r="AS1972" s="507"/>
      <c r="AT1972" s="507"/>
      <c r="AU1972" s="507"/>
      <c r="AV1972" s="225"/>
      <c r="AW1972" s="508"/>
      <c r="AX1972" s="225"/>
      <c r="AY1972" s="225"/>
      <c r="AZ1972" s="225"/>
      <c r="BA1972" s="225"/>
      <c r="BB1972" s="225"/>
      <c r="BC1972" s="56"/>
      <c r="BD1972" s="56"/>
      <c r="BE1972" s="56"/>
      <c r="BF1972" s="107" t="str">
        <f t="shared" si="1516"/>
        <v>https://www.google.com/search?tbm=isch&amp;q=15%20G4</v>
      </c>
      <c r="BG1972" s="107" t="str">
        <f t="shared" si="1517"/>
        <v>J</v>
      </c>
      <c r="BH1972" s="254"/>
      <c r="BI1972" s="254"/>
    </row>
    <row r="1973" spans="1:61" customFormat="1" ht="15.75" x14ac:dyDescent="0.25">
      <c r="A1973" s="276">
        <v>15</v>
      </c>
      <c r="B1973" s="240" t="s">
        <v>291</v>
      </c>
      <c r="C1973" s="241" t="s">
        <v>4419</v>
      </c>
      <c r="D1973" s="242" t="s">
        <v>292</v>
      </c>
      <c r="E1973" s="243">
        <v>183.95</v>
      </c>
      <c r="F1973" s="517" t="s">
        <v>293</v>
      </c>
      <c r="G1973" s="232">
        <v>0</v>
      </c>
      <c r="H1973" s="661" t="str">
        <f t="shared" si="1533"/>
        <v/>
      </c>
      <c r="I1973" s="244">
        <f t="shared" si="1534"/>
        <v>0</v>
      </c>
      <c r="J1973" s="244">
        <f t="shared" si="1535"/>
        <v>0</v>
      </c>
      <c r="K1973" s="696">
        <f t="shared" ref="K1973" si="1541">I1973+J1973</f>
        <v>0</v>
      </c>
      <c r="L1973" s="696"/>
      <c r="M1973" s="659" t="str">
        <f t="shared" si="1537"/>
        <v/>
      </c>
      <c r="N1973" s="660"/>
      <c r="O1973" s="233"/>
      <c r="P1973" s="233"/>
      <c r="Q1973" s="233"/>
      <c r="R1973" s="233"/>
      <c r="S1973" s="233"/>
      <c r="T1973" s="508">
        <f t="shared" si="1505"/>
        <v>0</v>
      </c>
      <c r="U1973" s="225">
        <f>IF(NOT(ISNUMBER(G1973)), "", VLOOKUP(A1973,'Discount Lookup'!D:E,2,FALSE)*G1973)</f>
        <v>0</v>
      </c>
      <c r="V1973" s="225">
        <f>IF(NOT(ISNUMBER(G1973)), "", VLOOKUP(A1973,'Discount Lookup'!G:H,2,FALSE)*G1973)</f>
        <v>0</v>
      </c>
      <c r="W1973" s="508">
        <f t="shared" si="1506"/>
        <v>0</v>
      </c>
      <c r="X1973" s="508">
        <f t="shared" si="1507"/>
        <v>0</v>
      </c>
      <c r="Y1973" s="509" t="b">
        <f t="shared" si="1508"/>
        <v>0</v>
      </c>
      <c r="Z1973" s="510">
        <f t="shared" si="1509"/>
        <v>0</v>
      </c>
      <c r="AA1973" s="511"/>
      <c r="AB1973" s="511" t="str">
        <f t="shared" si="1510"/>
        <v/>
      </c>
      <c r="AC1973" s="698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698"/>
      <c r="AE1973" s="631" t="str">
        <f t="shared" si="1511"/>
        <v/>
      </c>
      <c r="AF1973" s="699" t="str">
        <f t="shared" si="1512"/>
        <v/>
      </c>
      <c r="AG1973" s="699"/>
      <c r="AH1973" s="699"/>
      <c r="AI1973" s="512">
        <f>IF(H1973="credit",0,IF(AE1973="free",0,IF(AE1973="me",0,IF(G1973&gt;0,(VLOOKUP(A1973,'Discount Lookup'!J:K,2)*G1973),0))))</f>
        <v>0</v>
      </c>
      <c r="AJ1973" s="513" t="str">
        <f t="shared" ca="1" si="1513"/>
        <v/>
      </c>
      <c r="AK1973" s="700" t="str">
        <f t="shared" si="1514"/>
        <v/>
      </c>
      <c r="AL1973" s="700"/>
      <c r="AM1973" s="505" t="str">
        <f t="shared" si="1515"/>
        <v/>
      </c>
      <c r="AN1973" s="506"/>
      <c r="AO1973" s="507"/>
      <c r="AP1973" s="507"/>
      <c r="AQ1973" s="507"/>
      <c r="AR1973" s="507"/>
      <c r="AS1973" s="507"/>
      <c r="AT1973" s="507"/>
      <c r="AU1973" s="507"/>
      <c r="AV1973" s="225"/>
      <c r="AW1973" s="508"/>
      <c r="AX1973" s="225"/>
      <c r="AY1973" s="225"/>
      <c r="AZ1973" s="225"/>
      <c r="BA1973" s="225"/>
      <c r="BB1973" s="225"/>
      <c r="BC1973" s="56"/>
      <c r="BD1973" s="56"/>
      <c r="BE1973" s="56"/>
      <c r="BF1973" s="107" t="str">
        <f t="shared" si="1516"/>
        <v>https://www.google.com/search?tbm=isch&amp;q=15%20G4</v>
      </c>
      <c r="BG1973" s="107" t="str">
        <f t="shared" si="1517"/>
        <v>J</v>
      </c>
      <c r="BH1973" s="254"/>
      <c r="BI1973" s="254"/>
    </row>
    <row r="1974" spans="1:61" customFormat="1" ht="15.75" x14ac:dyDescent="0.25">
      <c r="A1974" s="276">
        <v>25</v>
      </c>
      <c r="B1974" s="240" t="s">
        <v>291</v>
      </c>
      <c r="C1974" s="241" t="s">
        <v>4907</v>
      </c>
      <c r="D1974" s="242" t="s">
        <v>300</v>
      </c>
      <c r="E1974" s="243">
        <v>257.95</v>
      </c>
      <c r="F1974" s="517" t="s">
        <v>293</v>
      </c>
      <c r="G1974" s="232">
        <v>0</v>
      </c>
      <c r="H1974" s="661" t="str">
        <f t="shared" si="1533"/>
        <v/>
      </c>
      <c r="I1974" s="244">
        <f t="shared" si="1534"/>
        <v>0</v>
      </c>
      <c r="J1974" s="244">
        <f t="shared" si="1535"/>
        <v>0</v>
      </c>
      <c r="K1974" s="696">
        <f t="shared" ref="K1974" si="1542">I1974+J1974</f>
        <v>0</v>
      </c>
      <c r="L1974" s="696"/>
      <c r="M1974" s="659" t="str">
        <f t="shared" si="1537"/>
        <v/>
      </c>
      <c r="N1974" s="660"/>
      <c r="O1974" s="233"/>
      <c r="P1974" s="233"/>
      <c r="Q1974" s="233"/>
      <c r="R1974" s="233"/>
      <c r="S1974" s="233"/>
      <c r="T1974" s="508">
        <f t="shared" si="1505"/>
        <v>0</v>
      </c>
      <c r="U1974" s="225">
        <f>IF(NOT(ISNUMBER(G1974)), "", VLOOKUP(A1974,'Discount Lookup'!D:E,2,FALSE)*G1974)</f>
        <v>0</v>
      </c>
      <c r="V1974" s="225">
        <f>IF(NOT(ISNUMBER(G1974)), "", VLOOKUP(A1974,'Discount Lookup'!G:H,2,FALSE)*G1974)</f>
        <v>0</v>
      </c>
      <c r="W1974" s="508">
        <f t="shared" si="1506"/>
        <v>0</v>
      </c>
      <c r="X1974" s="508">
        <f t="shared" si="1507"/>
        <v>0</v>
      </c>
      <c r="Y1974" s="509" t="b">
        <f t="shared" si="1508"/>
        <v>0</v>
      </c>
      <c r="Z1974" s="510">
        <f t="shared" si="1509"/>
        <v>0</v>
      </c>
      <c r="AA1974" s="511"/>
      <c r="AB1974" s="511" t="str">
        <f t="shared" si="1510"/>
        <v/>
      </c>
      <c r="AC1974" s="698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698"/>
      <c r="AE1974" s="631" t="str">
        <f t="shared" si="1511"/>
        <v/>
      </c>
      <c r="AF1974" s="699" t="str">
        <f t="shared" si="1512"/>
        <v/>
      </c>
      <c r="AG1974" s="699"/>
      <c r="AH1974" s="699"/>
      <c r="AI1974" s="512">
        <f>IF(H1974="credit",0,IF(AE1974="free",0,IF(AE1974="me",0,IF(G1974&gt;0,(VLOOKUP(A1974,'Discount Lookup'!J:K,2)*G1974),0))))</f>
        <v>0</v>
      </c>
      <c r="AJ1974" s="513" t="str">
        <f t="shared" ca="1" si="1513"/>
        <v/>
      </c>
      <c r="AK1974" s="700" t="str">
        <f t="shared" si="1514"/>
        <v/>
      </c>
      <c r="AL1974" s="700"/>
      <c r="AM1974" s="505" t="str">
        <f t="shared" si="1515"/>
        <v/>
      </c>
      <c r="AN1974" s="506"/>
      <c r="AO1974" s="507"/>
      <c r="AP1974" s="507"/>
      <c r="AQ1974" s="507"/>
      <c r="AR1974" s="507"/>
      <c r="AS1974" s="507"/>
      <c r="AT1974" s="507"/>
      <c r="AU1974" s="507"/>
      <c r="AV1974" s="225"/>
      <c r="AW1974" s="508"/>
      <c r="AX1974" s="225"/>
      <c r="AY1974" s="225"/>
      <c r="AZ1974" s="225"/>
      <c r="BA1974" s="225"/>
      <c r="BB1974" s="225"/>
      <c r="BC1974" s="56"/>
      <c r="BD1974" s="56"/>
      <c r="BE1974" s="56"/>
      <c r="BF1974" s="107" t="str">
        <f t="shared" si="1516"/>
        <v>https://www.google.com/search?tbm=isch&amp;q=25%20G6</v>
      </c>
      <c r="BG1974" s="107" t="str">
        <f t="shared" si="1517"/>
        <v>J</v>
      </c>
      <c r="BH1974" s="254"/>
      <c r="BI1974" s="254"/>
    </row>
    <row r="1975" spans="1:61" customFormat="1" ht="17.25" thickBot="1" x14ac:dyDescent="0.3">
      <c r="A1975" s="524" t="s">
        <v>2411</v>
      </c>
      <c r="B1975" s="245"/>
      <c r="C1975" s="677"/>
      <c r="D1975" s="499"/>
      <c r="E1975" s="499"/>
      <c r="F1975" s="500"/>
      <c r="G1975" s="501"/>
      <c r="H1975" s="502"/>
      <c r="I1975" s="246"/>
      <c r="J1975" s="247"/>
      <c r="K1975" s="503"/>
      <c r="L1975" s="544"/>
      <c r="M1975" s="544"/>
      <c r="N1975" s="500"/>
      <c r="O1975" s="500"/>
      <c r="P1975" s="500"/>
      <c r="Q1975" s="500"/>
      <c r="R1975" s="500"/>
      <c r="S1975" s="278"/>
      <c r="T1975" s="508">
        <f t="shared" si="1505"/>
        <v>0</v>
      </c>
      <c r="U1975" s="225" t="str">
        <f>IF(NOT(ISNUMBER(G1975)), "", VLOOKUP(A1975,'Discount Lookup'!D:E,2,FALSE)*G1975)</f>
        <v/>
      </c>
      <c r="V1975" s="225" t="str">
        <f>IF(NOT(ISNUMBER(G1975)), "", VLOOKUP(A1975,'Discount Lookup'!G:H,2,FALSE)*G1975)</f>
        <v/>
      </c>
      <c r="W1975" s="508">
        <f t="shared" si="1506"/>
        <v>0</v>
      </c>
      <c r="X1975" s="508">
        <f t="shared" si="1507"/>
        <v>0</v>
      </c>
      <c r="Y1975" s="509" t="b">
        <f t="shared" si="1508"/>
        <v>0</v>
      </c>
      <c r="Z1975" s="510">
        <f t="shared" si="1509"/>
        <v>0</v>
      </c>
      <c r="AA1975" s="511"/>
      <c r="AB1975" s="511" t="str">
        <f t="shared" si="1510"/>
        <v/>
      </c>
      <c r="AC1975" s="698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698"/>
      <c r="AE1975" s="631" t="str">
        <f t="shared" si="1511"/>
        <v/>
      </c>
      <c r="AF1975" s="699" t="str">
        <f t="shared" si="1512"/>
        <v/>
      </c>
      <c r="AG1975" s="699"/>
      <c r="AH1975" s="699"/>
      <c r="AI1975" s="512">
        <f>IF(H1975="credit",0,IF(AE1975="free",0,IF(AE1975="me",0,IF(G1975&gt;0,(VLOOKUP(A1975,'Discount Lookup'!J:K,2)*G1975),0))))</f>
        <v>0</v>
      </c>
      <c r="AJ1975" s="513" t="str">
        <f t="shared" ca="1" si="1513"/>
        <v/>
      </c>
      <c r="AK1975" s="700" t="str">
        <f t="shared" si="1514"/>
        <v/>
      </c>
      <c r="AL1975" s="700"/>
      <c r="AM1975" s="505" t="str">
        <f t="shared" si="1515"/>
        <v/>
      </c>
      <c r="AN1975" s="506"/>
      <c r="AO1975" s="507"/>
      <c r="AP1975" s="507"/>
      <c r="AQ1975" s="507"/>
      <c r="AR1975" s="507"/>
      <c r="AS1975" s="507"/>
      <c r="AT1975" s="507"/>
      <c r="AU1975" s="507"/>
      <c r="AV1975" s="225"/>
      <c r="AW1975" s="508"/>
      <c r="AX1975" s="225"/>
      <c r="AY1975" s="225"/>
      <c r="AZ1975" s="225"/>
      <c r="BA1975" s="225"/>
      <c r="BB1975" s="225"/>
      <c r="BC1975" s="56"/>
      <c r="BD1975" s="56"/>
      <c r="BE1975" s="56"/>
      <c r="BF1975" s="107" t="str">
        <f t="shared" si="1516"/>
        <v>https://www.google.com/search?tbm=isch&amp;q=Jane%20is%20one%20of%20the%208%20%27Little%20Girl%27%20Magnolias%20developed%20in%20the%201950s%20to%20bloom%20later%20in%20season%2C%20avoiding%20frost%20damage%20</v>
      </c>
      <c r="BG1975" s="107" t="str">
        <f t="shared" si="1517"/>
        <v>J</v>
      </c>
      <c r="BH1975" s="254"/>
      <c r="BI1975" s="254"/>
    </row>
    <row r="1976" spans="1:61" customFormat="1" ht="18" x14ac:dyDescent="0.25">
      <c r="A1976" s="521" t="s">
        <v>4105</v>
      </c>
      <c r="B1976" s="477"/>
      <c r="C1976" s="674"/>
      <c r="D1976" s="478" t="s">
        <v>4106</v>
      </c>
      <c r="E1976" s="479"/>
      <c r="F1976" s="479"/>
      <c r="G1976" s="479"/>
      <c r="H1976" s="582" t="s">
        <v>4107</v>
      </c>
      <c r="I1976" s="480" t="s">
        <v>2293</v>
      </c>
      <c r="J1976" s="479"/>
      <c r="K1976" s="479"/>
      <c r="L1976" s="560"/>
      <c r="M1976" s="666" t="s">
        <v>4966</v>
      </c>
      <c r="N1976" s="680" t="str">
        <f>IF(AND(ISTEXT($A1976), ISERROR($A1976+0)), HYPERLINK($BF1976, "Images"), "")</f>
        <v>Images</v>
      </c>
      <c r="O1976" s="662" t="s">
        <v>4971</v>
      </c>
      <c r="P1976" s="482"/>
      <c r="Q1976" s="483"/>
      <c r="R1976" s="483"/>
      <c r="S1976" s="484" t="s">
        <v>305</v>
      </c>
      <c r="T1976" s="508">
        <f t="shared" si="1505"/>
        <v>0</v>
      </c>
      <c r="U1976" s="225" t="str">
        <f>IF(NOT(ISNUMBER(G1976)), "", VLOOKUP(A1976,'Discount Lookup'!D:E,2,FALSE)*G1976)</f>
        <v/>
      </c>
      <c r="V1976" s="225" t="str">
        <f>IF(NOT(ISNUMBER(G1976)), "", VLOOKUP(A1976,'Discount Lookup'!G:H,2,FALSE)*G1976)</f>
        <v/>
      </c>
      <c r="W1976" s="508">
        <f t="shared" si="1506"/>
        <v>0</v>
      </c>
      <c r="X1976" s="508" t="str">
        <f t="shared" si="1507"/>
        <v>Golden-Yellow foliage</v>
      </c>
      <c r="Y1976" s="509" t="b">
        <f t="shared" si="1508"/>
        <v>0</v>
      </c>
      <c r="Z1976" s="510">
        <f t="shared" si="1509"/>
        <v>0</v>
      </c>
      <c r="AA1976" s="511"/>
      <c r="AB1976" s="511" t="str">
        <f t="shared" si="1510"/>
        <v/>
      </c>
      <c r="AC1976" s="698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698"/>
      <c r="AE1976" s="631" t="str">
        <f t="shared" si="1511"/>
        <v/>
      </c>
      <c r="AF1976" s="699" t="str">
        <f t="shared" si="1512"/>
        <v/>
      </c>
      <c r="AG1976" s="699"/>
      <c r="AH1976" s="699"/>
      <c r="AI1976" s="512">
        <f>IF(H1976="credit",0,IF(AE1976="free",0,IF(AE1976="me",0,IF(G1976&gt;0,(VLOOKUP(A1976,'Discount Lookup'!J:K,2)*G1976),0))))</f>
        <v>0</v>
      </c>
      <c r="AJ1976" s="513" t="str">
        <f t="shared" ca="1" si="1513"/>
        <v/>
      </c>
      <c r="AK1976" s="700" t="str">
        <f t="shared" si="1514"/>
        <v/>
      </c>
      <c r="AL1976" s="700"/>
      <c r="AM1976" s="505" t="str">
        <f t="shared" si="1515"/>
        <v/>
      </c>
      <c r="AN1976" s="506"/>
      <c r="AO1976" s="507"/>
      <c r="AP1976" s="507"/>
      <c r="AQ1976" s="507"/>
      <c r="AR1976" s="507"/>
      <c r="AS1976" s="507"/>
      <c r="AT1976" s="507"/>
      <c r="AU1976" s="507"/>
      <c r="AV1976" s="225"/>
      <c r="AW1976" s="508"/>
      <c r="AX1976" s="225"/>
      <c r="AY1976" s="225"/>
      <c r="AZ1976" s="225"/>
      <c r="BA1976" s="225"/>
      <c r="BB1976" s="225"/>
      <c r="BC1976" s="56"/>
      <c r="BD1976" s="56"/>
      <c r="BE1976" s="56"/>
      <c r="BF1976" s="107" t="str">
        <f t="shared" si="1516"/>
        <v>https://www.google.com/search?tbm=isch&amp;q=Jantar%20Gold%20Arborvitae%20Thuja%20occidentalis%20%27Jantar%27%20PP%2322296</v>
      </c>
      <c r="BG1976" s="107" t="str">
        <f t="shared" si="1517"/>
        <v>J</v>
      </c>
      <c r="BH1976" s="254"/>
      <c r="BI1976" s="254"/>
    </row>
    <row r="1977" spans="1:61" customFormat="1" ht="15.75" x14ac:dyDescent="0.25">
      <c r="A1977" s="485">
        <v>7</v>
      </c>
      <c r="B1977" s="486" t="s">
        <v>291</v>
      </c>
      <c r="C1977" s="487" t="s">
        <v>4108</v>
      </c>
      <c r="D1977" s="488" t="s">
        <v>292</v>
      </c>
      <c r="E1977" s="489">
        <v>123.95</v>
      </c>
      <c r="F1977" s="516" t="s">
        <v>293</v>
      </c>
      <c r="G1977" s="232">
        <v>0</v>
      </c>
      <c r="H1977" s="658" t="str">
        <f>IF(G1977=0,"",IF(F1977="Buy",IF(G1977=1,"plant","plants"),IF(F1977&gt;0.01,"warranty","Error")))</f>
        <v/>
      </c>
      <c r="I1977" s="490">
        <f>IF(H1977="free",0,IF(H1977="credit",((E1977*(F1977))*G1977*-1),IF(F1977="Buy",(E1977*G1977),((E1977*(1-F1977))*G1977))))</f>
        <v>0</v>
      </c>
      <c r="J1977" s="490">
        <f>IF(H1977="warranty",0,(I1977*(_xlfn.SINGLE(SalesTaxPercentage))))</f>
        <v>0</v>
      </c>
      <c r="K1977" s="695">
        <f t="shared" ref="K1977" si="1543">I1977+J1977</f>
        <v>0</v>
      </c>
      <c r="L1977" s="695"/>
      <c r="M1977" s="659" t="str">
        <f>IF(AND(G1977&gt;0,E1977=0),"WARNING - no PRICE inserted",IF(H1977="free"," FREE ~ no charge this plant",IF(H1977="credit",CONCATENATE(" -$",ROUND(K1977*(1-T2GDiscount)*-1,2)," CREDIT after discount"),IF(T2GDiscount=0,"",IF(G1977=0,"",IF(F1977="Buy",CONCATENATE(" $",ROUND(K1977*(1-T2GDiscount),2)," with ",(T2GDiscount*100),"% discount"),CONCATENATE(" $",ROUND(K1977*(1-T2GDiscount),2)," with ",((T2GDiscount*100+F1977*100)-(T2GDiscount*100*F1977)),IF(F1977&gt;0,"% discounts",IF(NoWarrantyDiscount&gt;0,"% discounts","% discount")))))))))</f>
        <v/>
      </c>
      <c r="N1977" s="660"/>
      <c r="O1977" s="233"/>
      <c r="P1977" s="233"/>
      <c r="Q1977" s="233"/>
      <c r="R1977" s="233"/>
      <c r="S1977" s="233"/>
      <c r="T1977" s="508">
        <f t="shared" si="1505"/>
        <v>0</v>
      </c>
      <c r="U1977" s="225">
        <f>IF(NOT(ISNUMBER(G1977)), "", VLOOKUP(A1977,'Discount Lookup'!D:E,2,FALSE)*G1977)</f>
        <v>0</v>
      </c>
      <c r="V1977" s="225">
        <f>IF(NOT(ISNUMBER(G1977)), "", VLOOKUP(A1977,'Discount Lookup'!G:H,2,FALSE)*G1977)</f>
        <v>0</v>
      </c>
      <c r="W1977" s="508">
        <f t="shared" si="1506"/>
        <v>0</v>
      </c>
      <c r="X1977" s="508">
        <f t="shared" si="1507"/>
        <v>0</v>
      </c>
      <c r="Y1977" s="509" t="b">
        <f t="shared" si="1508"/>
        <v>0</v>
      </c>
      <c r="Z1977" s="510">
        <f t="shared" si="1509"/>
        <v>0</v>
      </c>
      <c r="AA1977" s="511"/>
      <c r="AB1977" s="511" t="str">
        <f t="shared" si="1510"/>
        <v/>
      </c>
      <c r="AC1977" s="698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698"/>
      <c r="AE1977" s="631" t="str">
        <f t="shared" si="1511"/>
        <v/>
      </c>
      <c r="AF1977" s="699" t="str">
        <f t="shared" si="1512"/>
        <v/>
      </c>
      <c r="AG1977" s="699"/>
      <c r="AH1977" s="699"/>
      <c r="AI1977" s="512">
        <f>IF(H1977="credit",0,IF(AE1977="free",0,IF(AE1977="me",0,IF(G1977&gt;0,(VLOOKUP(A1977,'Discount Lookup'!J:K,2)*G1977),0))))</f>
        <v>0</v>
      </c>
      <c r="AJ1977" s="513" t="str">
        <f t="shared" ca="1" si="1513"/>
        <v/>
      </c>
      <c r="AK1977" s="700" t="str">
        <f t="shared" si="1514"/>
        <v/>
      </c>
      <c r="AL1977" s="700"/>
      <c r="AM1977" s="505" t="str">
        <f t="shared" si="1515"/>
        <v/>
      </c>
      <c r="AN1977" s="506"/>
      <c r="AO1977" s="507"/>
      <c r="AP1977" s="507"/>
      <c r="AQ1977" s="507"/>
      <c r="AR1977" s="507"/>
      <c r="AS1977" s="507"/>
      <c r="AT1977" s="507"/>
      <c r="AU1977" s="507"/>
      <c r="AV1977" s="225"/>
      <c r="AW1977" s="508"/>
      <c r="AX1977" s="225"/>
      <c r="AY1977" s="225"/>
      <c r="AZ1977" s="225"/>
      <c r="BA1977" s="225"/>
      <c r="BB1977" s="225"/>
      <c r="BC1977" s="56"/>
      <c r="BD1977" s="56"/>
      <c r="BE1977" s="56"/>
      <c r="BF1977" s="107" t="str">
        <f t="shared" si="1516"/>
        <v>https://www.google.com/search?tbm=isch&amp;q=7%20G4</v>
      </c>
      <c r="BG1977" s="107" t="str">
        <f t="shared" si="1517"/>
        <v>J</v>
      </c>
      <c r="BH1977" s="254"/>
      <c r="BI1977" s="254"/>
    </row>
    <row r="1978" spans="1:61" customFormat="1" ht="16.5" thickBot="1" x14ac:dyDescent="0.3">
      <c r="A1978" s="522" t="s">
        <v>4109</v>
      </c>
      <c r="B1978" s="491"/>
      <c r="C1978" s="675"/>
      <c r="D1978" s="491"/>
      <c r="E1978" s="491"/>
      <c r="F1978" s="492"/>
      <c r="G1978" s="493"/>
      <c r="H1978" s="491"/>
      <c r="I1978" s="234"/>
      <c r="J1978" s="234"/>
      <c r="K1978" s="494"/>
      <c r="L1978" s="543"/>
      <c r="M1978" s="561"/>
      <c r="N1978" s="495"/>
      <c r="O1978" s="496"/>
      <c r="P1978" s="497"/>
      <c r="Q1978" s="495"/>
      <c r="R1978" s="495"/>
      <c r="S1978" s="277"/>
      <c r="T1978" s="508">
        <f t="shared" si="1505"/>
        <v>0</v>
      </c>
      <c r="U1978" s="225" t="str">
        <f>IF(NOT(ISNUMBER(G1978)), "", VLOOKUP(A1978,'Discount Lookup'!D:E,2,FALSE)*G1978)</f>
        <v/>
      </c>
      <c r="V1978" s="225" t="str">
        <f>IF(NOT(ISNUMBER(G1978)), "", VLOOKUP(A1978,'Discount Lookup'!G:H,2,FALSE)*G1978)</f>
        <v/>
      </c>
      <c r="W1978" s="508">
        <f t="shared" si="1506"/>
        <v>0</v>
      </c>
      <c r="X1978" s="508">
        <f t="shared" si="1507"/>
        <v>0</v>
      </c>
      <c r="Y1978" s="509" t="b">
        <f t="shared" si="1508"/>
        <v>0</v>
      </c>
      <c r="Z1978" s="510">
        <f t="shared" si="1509"/>
        <v>0</v>
      </c>
      <c r="AA1978" s="511"/>
      <c r="AB1978" s="511" t="str">
        <f t="shared" si="1510"/>
        <v/>
      </c>
      <c r="AC1978" s="698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698"/>
      <c r="AE1978" s="631" t="str">
        <f t="shared" si="1511"/>
        <v/>
      </c>
      <c r="AF1978" s="699" t="str">
        <f t="shared" si="1512"/>
        <v/>
      </c>
      <c r="AG1978" s="699"/>
      <c r="AH1978" s="699"/>
      <c r="AI1978" s="512">
        <f>IF(H1978="credit",0,IF(AE1978="free",0,IF(AE1978="me",0,IF(G1978&gt;0,(VLOOKUP(A1978,'Discount Lookup'!J:K,2)*G1978),0))))</f>
        <v>0</v>
      </c>
      <c r="AJ1978" s="513" t="str">
        <f t="shared" ca="1" si="1513"/>
        <v/>
      </c>
      <c r="AK1978" s="700" t="str">
        <f t="shared" si="1514"/>
        <v/>
      </c>
      <c r="AL1978" s="700"/>
      <c r="AM1978" s="505" t="str">
        <f t="shared" si="1515"/>
        <v/>
      </c>
      <c r="AN1978" s="506"/>
      <c r="AO1978" s="507"/>
      <c r="AP1978" s="507"/>
      <c r="AQ1978" s="507"/>
      <c r="AR1978" s="507"/>
      <c r="AS1978" s="507"/>
      <c r="AT1978" s="507"/>
      <c r="AU1978" s="507"/>
      <c r="AV1978" s="225"/>
      <c r="AW1978" s="508"/>
      <c r="AX1978" s="225"/>
      <c r="AY1978" s="225"/>
      <c r="AZ1978" s="225"/>
      <c r="BA1978" s="225"/>
      <c r="BB1978" s="225"/>
      <c r="BC1978" s="56"/>
      <c r="BD1978" s="56"/>
      <c r="BE1978" s="56"/>
      <c r="BF1978" s="107" t="str">
        <f t="shared" si="1516"/>
        <v>https://www.google.com/search?tbm=isch&amp;q=Jantar%27%20means%20%22amber%22%20in%20Polish%20%28it%27s%20origin%29%2C%20which%20describes%20it%27s%20winter%20hue.%20Denser%20foliage%20than%20other%20Arborvitae%20</v>
      </c>
      <c r="BG1978" s="107" t="str">
        <f t="shared" si="1517"/>
        <v>J</v>
      </c>
      <c r="BH1978" s="254"/>
      <c r="BI1978" s="254"/>
    </row>
    <row r="1979" spans="1:61" customFormat="1" ht="18" x14ac:dyDescent="0.25">
      <c r="A1979" s="521" t="s">
        <v>1156</v>
      </c>
      <c r="B1979" s="477"/>
      <c r="C1979" s="674"/>
      <c r="D1979" s="478" t="s">
        <v>1157</v>
      </c>
      <c r="E1979" s="479"/>
      <c r="F1979" s="479"/>
      <c r="G1979" s="479"/>
      <c r="H1979" s="582" t="s">
        <v>1114</v>
      </c>
      <c r="I1979" s="480" t="s">
        <v>2093</v>
      </c>
      <c r="J1979" s="479"/>
      <c r="K1979" s="479"/>
      <c r="L1979" s="560"/>
      <c r="M1979" s="671" t="s">
        <v>4985</v>
      </c>
      <c r="N1979" s="680" t="str">
        <f>IF(AND(ISTEXT($A1979), ISERROR($A1979+0)), HYPERLINK($BF1979, "Images"), "")</f>
        <v>Images</v>
      </c>
      <c r="O1979" s="662" t="s">
        <v>4969</v>
      </c>
      <c r="P1979" s="482"/>
      <c r="Q1979" s="483"/>
      <c r="R1979" s="483"/>
      <c r="S1979" s="484"/>
      <c r="T1979" s="508">
        <f t="shared" si="1505"/>
        <v>0</v>
      </c>
      <c r="U1979" s="225" t="str">
        <f>IF(NOT(ISNUMBER(G1979)), "", VLOOKUP(A1979,'Discount Lookup'!D:E,2,FALSE)*G1979)</f>
        <v/>
      </c>
      <c r="V1979" s="225" t="str">
        <f>IF(NOT(ISNUMBER(G1979)), "", VLOOKUP(A1979,'Discount Lookup'!G:H,2,FALSE)*G1979)</f>
        <v/>
      </c>
      <c r="W1979" s="508">
        <f t="shared" si="1506"/>
        <v>0</v>
      </c>
      <c r="X1979" s="508" t="str">
        <f t="shared" si="1507"/>
        <v>Dark Green foliage</v>
      </c>
      <c r="Y1979" s="509" t="b">
        <f t="shared" si="1508"/>
        <v>0</v>
      </c>
      <c r="Z1979" s="510">
        <f t="shared" si="1509"/>
        <v>0</v>
      </c>
      <c r="AA1979" s="511"/>
      <c r="AB1979" s="511" t="str">
        <f t="shared" si="1510"/>
        <v/>
      </c>
      <c r="AC1979" s="698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698"/>
      <c r="AE1979" s="631" t="str">
        <f t="shared" si="1511"/>
        <v/>
      </c>
      <c r="AF1979" s="699" t="str">
        <f t="shared" si="1512"/>
        <v/>
      </c>
      <c r="AG1979" s="699"/>
      <c r="AH1979" s="699"/>
      <c r="AI1979" s="512">
        <f>IF(H1979="credit",0,IF(AE1979="free",0,IF(AE1979="me",0,IF(G1979&gt;0,(VLOOKUP(A1979,'Discount Lookup'!J:K,2)*G1979),0))))</f>
        <v>0</v>
      </c>
      <c r="AJ1979" s="513" t="str">
        <f t="shared" ca="1" si="1513"/>
        <v/>
      </c>
      <c r="AK1979" s="700" t="str">
        <f t="shared" si="1514"/>
        <v/>
      </c>
      <c r="AL1979" s="700"/>
      <c r="AM1979" s="505" t="str">
        <f t="shared" si="1515"/>
        <v/>
      </c>
      <c r="AN1979" s="506"/>
      <c r="AO1979" s="507"/>
      <c r="AP1979" s="507"/>
      <c r="AQ1979" s="507"/>
      <c r="AR1979" s="507"/>
      <c r="AS1979" s="507"/>
      <c r="AT1979" s="507"/>
      <c r="AU1979" s="507"/>
      <c r="AV1979" s="225"/>
      <c r="AW1979" s="508"/>
      <c r="AX1979" s="225"/>
      <c r="AY1979" s="225"/>
      <c r="AZ1979" s="225"/>
      <c r="BA1979" s="225"/>
      <c r="BB1979" s="225"/>
      <c r="BC1979" s="56"/>
      <c r="BD1979" s="56"/>
      <c r="BE1979" s="56"/>
      <c r="BF1979" s="107" t="str">
        <f t="shared" si="1516"/>
        <v>https://www.google.com/search?tbm=isch&amp;q=Japanese%20Ardisia%20Ardisia%20japonica</v>
      </c>
      <c r="BG1979" s="107" t="str">
        <f t="shared" si="1517"/>
        <v>J</v>
      </c>
      <c r="BH1979" s="254"/>
      <c r="BI1979" s="254"/>
    </row>
    <row r="1980" spans="1:61" customFormat="1" ht="15.75" x14ac:dyDescent="0.25">
      <c r="A1980" s="485">
        <v>3</v>
      </c>
      <c r="B1980" s="486" t="s">
        <v>291</v>
      </c>
      <c r="C1980" s="487"/>
      <c r="D1980" s="488" t="s">
        <v>300</v>
      </c>
      <c r="E1980" s="489">
        <v>20.95</v>
      </c>
      <c r="F1980" s="516" t="s">
        <v>293</v>
      </c>
      <c r="G1980" s="232">
        <v>0</v>
      </c>
      <c r="H1980" s="658" t="str">
        <f>IF(G1980=0,"",IF(F1980="Buy",IF(G1980=1,"plant","plants"),IF(F1980&gt;0.01,"warranty","Error")))</f>
        <v/>
      </c>
      <c r="I1980" s="490">
        <f>IF(H1980="free",0,IF(H1980="credit",((E1980*(F1980))*G1980*-1),IF(F1980="Buy",(E1980*G1980),((E1980*(1-F1980))*G1980))))</f>
        <v>0</v>
      </c>
      <c r="J1980" s="490">
        <f>IF(H1980="warranty",0,(I1980*(_xlfn.SINGLE(SalesTaxPercentage))))</f>
        <v>0</v>
      </c>
      <c r="K1980" s="695">
        <f t="shared" ref="K1980" si="1544">I1980+J1980</f>
        <v>0</v>
      </c>
      <c r="L1980" s="695"/>
      <c r="M1980" s="659" t="str">
        <f>IF(AND(G1980&gt;0,E1980=0),"WARNING - no PRICE inserted",IF(H1980="free"," FREE ~ no charge this plant",IF(H1980="credit",CONCATENATE(" -$",ROUND(K1980*(1-T2GDiscount)*-1,2)," CREDIT after discount"),IF(T2GDiscount=0,"",IF(G1980=0,"",IF(F1980="Buy",CONCATENATE(" $",ROUND(K1980*(1-T2GDiscount),2)," with ",(T2GDiscount*100),"% discount"),CONCATENATE(" $",ROUND(K1980*(1-T2GDiscount),2)," with ",((T2GDiscount*100+F1980*100)-(T2GDiscount*100*F1980)),IF(F1980&gt;0,"% discounts",IF(NoWarrantyDiscount&gt;0,"% discounts","% discount")))))))))</f>
        <v/>
      </c>
      <c r="N1980" s="660"/>
      <c r="O1980" s="233"/>
      <c r="P1980" s="233"/>
      <c r="Q1980" s="233"/>
      <c r="R1980" s="233"/>
      <c r="S1980" s="233"/>
      <c r="T1980" s="508">
        <f t="shared" si="1505"/>
        <v>0</v>
      </c>
      <c r="U1980" s="225">
        <f>IF(NOT(ISNUMBER(G1980)), "", VLOOKUP(A1980,'Discount Lookup'!D:E,2,FALSE)*G1980)</f>
        <v>0</v>
      </c>
      <c r="V1980" s="225">
        <f>IF(NOT(ISNUMBER(G1980)), "", VLOOKUP(A1980,'Discount Lookup'!G:H,2,FALSE)*G1980)</f>
        <v>0</v>
      </c>
      <c r="W1980" s="508">
        <f t="shared" si="1506"/>
        <v>0</v>
      </c>
      <c r="X1980" s="508">
        <f t="shared" si="1507"/>
        <v>0</v>
      </c>
      <c r="Y1980" s="509" t="b">
        <f t="shared" si="1508"/>
        <v>0</v>
      </c>
      <c r="Z1980" s="510">
        <f t="shared" si="1509"/>
        <v>0</v>
      </c>
      <c r="AA1980" s="511"/>
      <c r="AB1980" s="511" t="str">
        <f t="shared" si="1510"/>
        <v/>
      </c>
      <c r="AC1980" s="698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698"/>
      <c r="AE1980" s="631" t="str">
        <f t="shared" si="1511"/>
        <v/>
      </c>
      <c r="AF1980" s="699" t="str">
        <f t="shared" si="1512"/>
        <v/>
      </c>
      <c r="AG1980" s="699"/>
      <c r="AH1980" s="699"/>
      <c r="AI1980" s="512">
        <f>IF(H1980="credit",0,IF(AE1980="free",0,IF(AE1980="me",0,IF(G1980&gt;0,(VLOOKUP(A1980,'Discount Lookup'!J:K,2)*G1980),0))))</f>
        <v>0</v>
      </c>
      <c r="AJ1980" s="513" t="str">
        <f t="shared" ca="1" si="1513"/>
        <v/>
      </c>
      <c r="AK1980" s="700" t="str">
        <f t="shared" si="1514"/>
        <v/>
      </c>
      <c r="AL1980" s="700"/>
      <c r="AM1980" s="505" t="str">
        <f t="shared" si="1515"/>
        <v/>
      </c>
      <c r="AN1980" s="506"/>
      <c r="AO1980" s="507"/>
      <c r="AP1980" s="507"/>
      <c r="AQ1980" s="507"/>
      <c r="AR1980" s="507"/>
      <c r="AS1980" s="507"/>
      <c r="AT1980" s="507"/>
      <c r="AU1980" s="507"/>
      <c r="AV1980" s="225"/>
      <c r="AW1980" s="508"/>
      <c r="AX1980" s="225"/>
      <c r="AY1980" s="225"/>
      <c r="AZ1980" s="225"/>
      <c r="BA1980" s="225"/>
      <c r="BB1980" s="225"/>
      <c r="BC1980" s="56"/>
      <c r="BD1980" s="56"/>
      <c r="BE1980" s="56"/>
      <c r="BF1980" s="107" t="str">
        <f t="shared" si="1516"/>
        <v>https://www.google.com/search?tbm=isch&amp;q=3%20G6</v>
      </c>
      <c r="BG1980" s="107" t="str">
        <f t="shared" si="1517"/>
        <v>J</v>
      </c>
      <c r="BH1980" s="254"/>
      <c r="BI1980" s="254"/>
    </row>
    <row r="1981" spans="1:61" customFormat="1" ht="17.25" thickBot="1" x14ac:dyDescent="0.3">
      <c r="A1981" s="672" t="s">
        <v>5145</v>
      </c>
      <c r="B1981" s="491"/>
      <c r="C1981" s="675"/>
      <c r="D1981" s="491"/>
      <c r="E1981" s="491"/>
      <c r="F1981" s="492"/>
      <c r="G1981" s="493"/>
      <c r="H1981" s="491"/>
      <c r="I1981" s="234"/>
      <c r="J1981" s="234"/>
      <c r="K1981" s="494"/>
      <c r="L1981" s="543"/>
      <c r="M1981" s="561"/>
      <c r="N1981" s="495"/>
      <c r="O1981" s="496"/>
      <c r="P1981" s="497"/>
      <c r="Q1981" s="495"/>
      <c r="R1981" s="495"/>
      <c r="S1981" s="667" t="s">
        <v>4984</v>
      </c>
      <c r="T1981" s="508">
        <f t="shared" si="1505"/>
        <v>0</v>
      </c>
      <c r="U1981" s="225" t="str">
        <f>IF(NOT(ISNUMBER(G1981)), "", VLOOKUP(A1981,'Discount Lookup'!D:E,2,FALSE)*G1981)</f>
        <v/>
      </c>
      <c r="V1981" s="225" t="str">
        <f>IF(NOT(ISNUMBER(G1981)), "", VLOOKUP(A1981,'Discount Lookup'!G:H,2,FALSE)*G1981)</f>
        <v/>
      </c>
      <c r="W1981" s="508">
        <f t="shared" si="1506"/>
        <v>0</v>
      </c>
      <c r="X1981" s="508">
        <f t="shared" si="1507"/>
        <v>0</v>
      </c>
      <c r="Y1981" s="509" t="b">
        <f t="shared" si="1508"/>
        <v>0</v>
      </c>
      <c r="Z1981" s="510">
        <f t="shared" si="1509"/>
        <v>0</v>
      </c>
      <c r="AA1981" s="511"/>
      <c r="AB1981" s="511" t="str">
        <f t="shared" si="1510"/>
        <v/>
      </c>
      <c r="AC1981" s="698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698"/>
      <c r="AE1981" s="631" t="str">
        <f t="shared" si="1511"/>
        <v/>
      </c>
      <c r="AF1981" s="699" t="str">
        <f t="shared" si="1512"/>
        <v/>
      </c>
      <c r="AG1981" s="699"/>
      <c r="AH1981" s="699"/>
      <c r="AI1981" s="512">
        <f>IF(H1981="credit",0,IF(AE1981="free",0,IF(AE1981="me",0,IF(G1981&gt;0,(VLOOKUP(A1981,'Discount Lookup'!J:K,2)*G1981),0))))</f>
        <v>0</v>
      </c>
      <c r="AJ1981" s="513" t="str">
        <f t="shared" ca="1" si="1513"/>
        <v/>
      </c>
      <c r="AK1981" s="700" t="str">
        <f t="shared" si="1514"/>
        <v/>
      </c>
      <c r="AL1981" s="700"/>
      <c r="AM1981" s="505" t="str">
        <f t="shared" si="1515"/>
        <v/>
      </c>
      <c r="AN1981" s="506"/>
      <c r="AO1981" s="507"/>
      <c r="AP1981" s="507"/>
      <c r="AQ1981" s="507"/>
      <c r="AR1981" s="507"/>
      <c r="AS1981" s="507"/>
      <c r="AT1981" s="507"/>
      <c r="AU1981" s="507"/>
      <c r="AV1981" s="225"/>
      <c r="AW1981" s="508"/>
      <c r="AX1981" s="225"/>
      <c r="AY1981" s="225"/>
      <c r="AZ1981" s="225"/>
      <c r="BA1981" s="225"/>
      <c r="BB1981" s="225"/>
      <c r="BC1981" s="56"/>
      <c r="BD1981" s="56"/>
      <c r="BE1981" s="56"/>
      <c r="BF1981" s="107" t="str">
        <f t="shared" si="1516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1981" s="107" t="str">
        <f t="shared" si="1517"/>
        <v>m</v>
      </c>
      <c r="BH1981" s="254"/>
      <c r="BI1981" s="254"/>
    </row>
    <row r="1982" spans="1:61" customFormat="1" ht="18" x14ac:dyDescent="0.25">
      <c r="A1982" s="521" t="s">
        <v>1158</v>
      </c>
      <c r="B1982" s="477"/>
      <c r="C1982" s="674"/>
      <c r="D1982" s="478" t="s">
        <v>1159</v>
      </c>
      <c r="E1982" s="479"/>
      <c r="F1982" s="479"/>
      <c r="G1982" s="479"/>
      <c r="H1982" s="582" t="s">
        <v>2094</v>
      </c>
      <c r="I1982" s="480" t="s">
        <v>2095</v>
      </c>
      <c r="J1982" s="479"/>
      <c r="K1982" s="479"/>
      <c r="L1982" s="560"/>
      <c r="M1982" s="666" t="s">
        <v>4963</v>
      </c>
      <c r="N1982" s="680" t="str">
        <f>IF(AND(ISTEXT($A1982), ISERROR($A1982+0)), HYPERLINK($BF1982, "Images"), "")</f>
        <v>Images</v>
      </c>
      <c r="O1982" s="662" t="s">
        <v>4969</v>
      </c>
      <c r="P1982" s="482"/>
      <c r="Q1982" s="483"/>
      <c r="R1982" s="483"/>
      <c r="S1982" s="484"/>
      <c r="T1982" s="508">
        <f t="shared" si="1505"/>
        <v>0</v>
      </c>
      <c r="U1982" s="225" t="str">
        <f>IF(NOT(ISNUMBER(G1982)), "", VLOOKUP(A1982,'Discount Lookup'!D:E,2,FALSE)*G1982)</f>
        <v/>
      </c>
      <c r="V1982" s="225" t="str">
        <f>IF(NOT(ISNUMBER(G1982)), "", VLOOKUP(A1982,'Discount Lookup'!G:H,2,FALSE)*G1982)</f>
        <v/>
      </c>
      <c r="W1982" s="508">
        <f t="shared" si="1506"/>
        <v>0</v>
      </c>
      <c r="X1982" s="508" t="str">
        <f t="shared" si="1507"/>
        <v>Dark Green needles</v>
      </c>
      <c r="Y1982" s="509" t="b">
        <f t="shared" si="1508"/>
        <v>0</v>
      </c>
      <c r="Z1982" s="510">
        <f t="shared" si="1509"/>
        <v>0</v>
      </c>
      <c r="AA1982" s="511"/>
      <c r="AB1982" s="511" t="str">
        <f t="shared" si="1510"/>
        <v/>
      </c>
      <c r="AC1982" s="698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698"/>
      <c r="AE1982" s="631" t="str">
        <f t="shared" si="1511"/>
        <v/>
      </c>
      <c r="AF1982" s="699" t="str">
        <f t="shared" si="1512"/>
        <v/>
      </c>
      <c r="AG1982" s="699"/>
      <c r="AH1982" s="699"/>
      <c r="AI1982" s="512">
        <f>IF(H1982="credit",0,IF(AE1982="free",0,IF(AE1982="me",0,IF(G1982&gt;0,(VLOOKUP(A1982,'Discount Lookup'!J:K,2)*G1982),0))))</f>
        <v>0</v>
      </c>
      <c r="AJ1982" s="513" t="str">
        <f t="shared" ca="1" si="1513"/>
        <v/>
      </c>
      <c r="AK1982" s="700" t="str">
        <f t="shared" si="1514"/>
        <v/>
      </c>
      <c r="AL1982" s="700"/>
      <c r="AM1982" s="505" t="str">
        <f t="shared" si="1515"/>
        <v/>
      </c>
      <c r="AN1982" s="506"/>
      <c r="AO1982" s="507"/>
      <c r="AP1982" s="507"/>
      <c r="AQ1982" s="507"/>
      <c r="AR1982" s="507"/>
      <c r="AS1982" s="507"/>
      <c r="AT1982" s="507"/>
      <c r="AU1982" s="507"/>
      <c r="AV1982" s="225"/>
      <c r="AW1982" s="508"/>
      <c r="AX1982" s="225"/>
      <c r="AY1982" s="225"/>
      <c r="AZ1982" s="225"/>
      <c r="BA1982" s="225"/>
      <c r="BB1982" s="225"/>
      <c r="BC1982" s="56"/>
      <c r="BD1982" s="56"/>
      <c r="BE1982" s="56"/>
      <c r="BF1982" s="107" t="str">
        <f t="shared" si="1516"/>
        <v>https://www.google.com/search?tbm=isch&amp;q=Japanese%20Black%20Pine%20Pinus%20thunbergii</v>
      </c>
      <c r="BG1982" s="107" t="str">
        <f t="shared" si="1517"/>
        <v>J</v>
      </c>
      <c r="BH1982" s="254"/>
      <c r="BI1982" s="254"/>
    </row>
    <row r="1983" spans="1:61" customFormat="1" ht="27" x14ac:dyDescent="0.25">
      <c r="A1983" s="485">
        <v>7</v>
      </c>
      <c r="B1983" s="486" t="s">
        <v>291</v>
      </c>
      <c r="C1983" s="487" t="s">
        <v>3579</v>
      </c>
      <c r="D1983" s="488" t="s">
        <v>292</v>
      </c>
      <c r="E1983" s="489">
        <v>102.95</v>
      </c>
      <c r="F1983" s="516" t="s">
        <v>293</v>
      </c>
      <c r="G1983" s="232">
        <v>0</v>
      </c>
      <c r="H1983" s="658" t="str">
        <f>IF(G1983=0,"",IF(F1983="Buy",IF(G1983=1,"plant","plants"),IF(F1983&gt;0.01,"warranty","Error")))</f>
        <v/>
      </c>
      <c r="I1983" s="490">
        <f>IF(H1983="free",0,IF(H1983="credit",((E1983*(F1983))*G1983*-1),IF(F1983="Buy",(E1983*G1983),((E1983*(1-F1983))*G1983))))</f>
        <v>0</v>
      </c>
      <c r="J1983" s="490">
        <f>IF(H1983="warranty",0,(I1983*(_xlfn.SINGLE(SalesTaxPercentage))))</f>
        <v>0</v>
      </c>
      <c r="K1983" s="695">
        <f t="shared" ref="K1983" si="1545">I1983+J1983</f>
        <v>0</v>
      </c>
      <c r="L1983" s="695"/>
      <c r="M1983" s="659" t="str">
        <f>IF(AND(G1983&gt;0,E1983=0),"WARNING - no PRICE inserted",IF(H1983="free"," FREE ~ no charge this plant",IF(H1983="credit",CONCATENATE(" -$",ROUND(K1983*(1-T2GDiscount)*-1,2)," CREDIT after discount"),IF(T2GDiscount=0,"",IF(G1983=0,"",IF(F1983="Buy",CONCATENATE(" $",ROUND(K1983*(1-T2GDiscount),2)," with ",(T2GDiscount*100),"% discount"),CONCATENATE(" $",ROUND(K1983*(1-T2GDiscount),2)," with ",((T2GDiscount*100+F1983*100)-(T2GDiscount*100*F1983)),IF(F1983&gt;0,"% discounts",IF(NoWarrantyDiscount&gt;0,"% discounts","% discount")))))))))</f>
        <v/>
      </c>
      <c r="N1983" s="660"/>
      <c r="O1983" s="233"/>
      <c r="P1983" s="233"/>
      <c r="Q1983" s="233"/>
      <c r="R1983" s="233"/>
      <c r="S1983" s="233"/>
      <c r="T1983" s="508">
        <f t="shared" si="1505"/>
        <v>0</v>
      </c>
      <c r="U1983" s="225">
        <f>IF(NOT(ISNUMBER(G1983)), "", VLOOKUP(A1983,'Discount Lookup'!D:E,2,FALSE)*G1983)</f>
        <v>0</v>
      </c>
      <c r="V1983" s="225">
        <f>IF(NOT(ISNUMBER(G1983)), "", VLOOKUP(A1983,'Discount Lookup'!G:H,2,FALSE)*G1983)</f>
        <v>0</v>
      </c>
      <c r="W1983" s="508">
        <f t="shared" si="1506"/>
        <v>0</v>
      </c>
      <c r="X1983" s="508">
        <f t="shared" si="1507"/>
        <v>0</v>
      </c>
      <c r="Y1983" s="509" t="b">
        <f t="shared" si="1508"/>
        <v>0</v>
      </c>
      <c r="Z1983" s="510">
        <f t="shared" si="1509"/>
        <v>0</v>
      </c>
      <c r="AA1983" s="511"/>
      <c r="AB1983" s="511" t="str">
        <f t="shared" si="1510"/>
        <v/>
      </c>
      <c r="AC1983" s="698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698"/>
      <c r="AE1983" s="631" t="str">
        <f t="shared" si="1511"/>
        <v/>
      </c>
      <c r="AF1983" s="699" t="str">
        <f t="shared" si="1512"/>
        <v/>
      </c>
      <c r="AG1983" s="699"/>
      <c r="AH1983" s="699"/>
      <c r="AI1983" s="512">
        <f>IF(H1983="credit",0,IF(AE1983="free",0,IF(AE1983="me",0,IF(G1983&gt;0,(VLOOKUP(A1983,'Discount Lookup'!J:K,2)*G1983),0))))</f>
        <v>0</v>
      </c>
      <c r="AJ1983" s="513" t="str">
        <f t="shared" ca="1" si="1513"/>
        <v/>
      </c>
      <c r="AK1983" s="700" t="str">
        <f t="shared" si="1514"/>
        <v/>
      </c>
      <c r="AL1983" s="700"/>
      <c r="AM1983" s="505" t="str">
        <f t="shared" si="1515"/>
        <v/>
      </c>
      <c r="AN1983" s="506"/>
      <c r="AO1983" s="507"/>
      <c r="AP1983" s="507"/>
      <c r="AQ1983" s="507"/>
      <c r="AR1983" s="507"/>
      <c r="AS1983" s="507"/>
      <c r="AT1983" s="507"/>
      <c r="AU1983" s="507"/>
      <c r="AV1983" s="225"/>
      <c r="AW1983" s="508"/>
      <c r="AX1983" s="225"/>
      <c r="AY1983" s="225"/>
      <c r="AZ1983" s="225"/>
      <c r="BA1983" s="225"/>
      <c r="BB1983" s="225"/>
      <c r="BC1983" s="56"/>
      <c r="BD1983" s="56"/>
      <c r="BE1983" s="56"/>
      <c r="BF1983" s="107" t="str">
        <f t="shared" si="1516"/>
        <v>https://www.google.com/search?tbm=isch&amp;q=7%20G4</v>
      </c>
      <c r="BG1983" s="107" t="str">
        <f t="shared" si="1517"/>
        <v>J</v>
      </c>
      <c r="BH1983" s="254"/>
      <c r="BI1983" s="254"/>
    </row>
    <row r="1984" spans="1:61" customFormat="1" ht="27" x14ac:dyDescent="0.25">
      <c r="A1984" s="485">
        <v>15</v>
      </c>
      <c r="B1984" s="486" t="s">
        <v>291</v>
      </c>
      <c r="C1984" s="487" t="s">
        <v>3580</v>
      </c>
      <c r="D1984" s="488" t="s">
        <v>292</v>
      </c>
      <c r="E1984" s="489">
        <v>183.95</v>
      </c>
      <c r="F1984" s="516" t="s">
        <v>293</v>
      </c>
      <c r="G1984" s="232">
        <v>0</v>
      </c>
      <c r="H1984" s="658" t="str">
        <f>IF(G1984=0,"",IF(F1984="Buy",IF(G1984=1,"plant","plants"),IF(F1984&gt;0.01,"warranty","Error")))</f>
        <v/>
      </c>
      <c r="I1984" s="490">
        <f>IF(H1984="free",0,IF(H1984="credit",((E1984*(F1984))*G1984*-1),IF(F1984="Buy",(E1984*G1984),((E1984*(1-F1984))*G1984))))</f>
        <v>0</v>
      </c>
      <c r="J1984" s="490">
        <f>IF(H1984="warranty",0,(I1984*(_xlfn.SINGLE(SalesTaxPercentage))))</f>
        <v>0</v>
      </c>
      <c r="K1984" s="695">
        <f t="shared" ref="K1984" si="1546">I1984+J1984</f>
        <v>0</v>
      </c>
      <c r="L1984" s="695"/>
      <c r="M1984" s="659" t="str">
        <f>IF(AND(G1984&gt;0,E1984=0),"WARNING - no PRICE inserted",IF(H1984="free"," FREE ~ no charge this plant",IF(H1984="credit",CONCATENATE(" -$",ROUND(K1984*(1-T2GDiscount)*-1,2)," CREDIT after discount"),IF(T2GDiscount=0,"",IF(G1984=0,"",IF(F1984="Buy",CONCATENATE(" $",ROUND(K1984*(1-T2GDiscount),2)," with ",(T2GDiscount*100),"% discount"),CONCATENATE(" $",ROUND(K1984*(1-T2GDiscount),2)," with ",((T2GDiscount*100+F1984*100)-(T2GDiscount*100*F1984)),IF(F1984&gt;0,"% discounts",IF(NoWarrantyDiscount&gt;0,"% discounts","% discount")))))))))</f>
        <v/>
      </c>
      <c r="N1984" s="660"/>
      <c r="O1984" s="233"/>
      <c r="P1984" s="233"/>
      <c r="Q1984" s="233"/>
      <c r="R1984" s="233"/>
      <c r="S1984" s="233"/>
      <c r="T1984" s="508">
        <f t="shared" si="1505"/>
        <v>0</v>
      </c>
      <c r="U1984" s="225">
        <f>IF(NOT(ISNUMBER(G1984)), "", VLOOKUP(A1984,'Discount Lookup'!D:E,2,FALSE)*G1984)</f>
        <v>0</v>
      </c>
      <c r="V1984" s="225">
        <f>IF(NOT(ISNUMBER(G1984)), "", VLOOKUP(A1984,'Discount Lookup'!G:H,2,FALSE)*G1984)</f>
        <v>0</v>
      </c>
      <c r="W1984" s="508">
        <f t="shared" si="1506"/>
        <v>0</v>
      </c>
      <c r="X1984" s="508">
        <f t="shared" si="1507"/>
        <v>0</v>
      </c>
      <c r="Y1984" s="509" t="b">
        <f t="shared" si="1508"/>
        <v>0</v>
      </c>
      <c r="Z1984" s="510">
        <f t="shared" si="1509"/>
        <v>0</v>
      </c>
      <c r="AA1984" s="511"/>
      <c r="AB1984" s="511" t="str">
        <f t="shared" si="1510"/>
        <v/>
      </c>
      <c r="AC1984" s="698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698"/>
      <c r="AE1984" s="631" t="str">
        <f t="shared" si="1511"/>
        <v/>
      </c>
      <c r="AF1984" s="699" t="str">
        <f t="shared" si="1512"/>
        <v/>
      </c>
      <c r="AG1984" s="699"/>
      <c r="AH1984" s="699"/>
      <c r="AI1984" s="512">
        <f>IF(H1984="credit",0,IF(AE1984="free",0,IF(AE1984="me",0,IF(G1984&gt;0,(VLOOKUP(A1984,'Discount Lookup'!J:K,2)*G1984),0))))</f>
        <v>0</v>
      </c>
      <c r="AJ1984" s="513" t="str">
        <f t="shared" ca="1" si="1513"/>
        <v/>
      </c>
      <c r="AK1984" s="700" t="str">
        <f t="shared" si="1514"/>
        <v/>
      </c>
      <c r="AL1984" s="700"/>
      <c r="AM1984" s="505" t="str">
        <f t="shared" si="1515"/>
        <v/>
      </c>
      <c r="AN1984" s="506"/>
      <c r="AO1984" s="507"/>
      <c r="AP1984" s="507"/>
      <c r="AQ1984" s="507"/>
      <c r="AR1984" s="507"/>
      <c r="AS1984" s="507"/>
      <c r="AT1984" s="507"/>
      <c r="AU1984" s="507"/>
      <c r="AV1984" s="225"/>
      <c r="AW1984" s="508"/>
      <c r="AX1984" s="225"/>
      <c r="AY1984" s="225"/>
      <c r="AZ1984" s="225"/>
      <c r="BA1984" s="225"/>
      <c r="BB1984" s="225"/>
      <c r="BC1984" s="56"/>
      <c r="BD1984" s="56"/>
      <c r="BE1984" s="56"/>
      <c r="BF1984" s="107" t="str">
        <f t="shared" si="1516"/>
        <v>https://www.google.com/search?tbm=isch&amp;q=15%20G4</v>
      </c>
      <c r="BG1984" s="107" t="str">
        <f t="shared" si="1517"/>
        <v>J</v>
      </c>
      <c r="BH1984" s="254"/>
      <c r="BI1984" s="254"/>
    </row>
    <row r="1985" spans="1:61" customFormat="1" ht="17.25" thickBot="1" x14ac:dyDescent="0.3">
      <c r="A1985" s="522" t="s">
        <v>2412</v>
      </c>
      <c r="B1985" s="491"/>
      <c r="C1985" s="675"/>
      <c r="D1985" s="491"/>
      <c r="E1985" s="491"/>
      <c r="F1985" s="492"/>
      <c r="G1985" s="493"/>
      <c r="H1985" s="491"/>
      <c r="I1985" s="234"/>
      <c r="J1985" s="234"/>
      <c r="K1985" s="494"/>
      <c r="L1985" s="543"/>
      <c r="M1985" s="561"/>
      <c r="N1985" s="495"/>
      <c r="O1985" s="496"/>
      <c r="P1985" s="497"/>
      <c r="Q1985" s="495"/>
      <c r="R1985" s="495"/>
      <c r="S1985" s="667" t="s">
        <v>5000</v>
      </c>
      <c r="T1985" s="508">
        <f t="shared" si="1505"/>
        <v>0</v>
      </c>
      <c r="U1985" s="225" t="str">
        <f>IF(NOT(ISNUMBER(G1985)), "", VLOOKUP(A1985,'Discount Lookup'!D:E,2,FALSE)*G1985)</f>
        <v/>
      </c>
      <c r="V1985" s="225" t="str">
        <f>IF(NOT(ISNUMBER(G1985)), "", VLOOKUP(A1985,'Discount Lookup'!G:H,2,FALSE)*G1985)</f>
        <v/>
      </c>
      <c r="W1985" s="508">
        <f t="shared" si="1506"/>
        <v>0</v>
      </c>
      <c r="X1985" s="508">
        <f t="shared" si="1507"/>
        <v>0</v>
      </c>
      <c r="Y1985" s="509" t="b">
        <f t="shared" si="1508"/>
        <v>0</v>
      </c>
      <c r="Z1985" s="510">
        <f t="shared" si="1509"/>
        <v>0</v>
      </c>
      <c r="AA1985" s="511"/>
      <c r="AB1985" s="511" t="str">
        <f t="shared" si="1510"/>
        <v/>
      </c>
      <c r="AC1985" s="698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698"/>
      <c r="AE1985" s="631" t="str">
        <f t="shared" si="1511"/>
        <v/>
      </c>
      <c r="AF1985" s="699" t="str">
        <f t="shared" si="1512"/>
        <v/>
      </c>
      <c r="AG1985" s="699"/>
      <c r="AH1985" s="699"/>
      <c r="AI1985" s="512">
        <f>IF(H1985="credit",0,IF(AE1985="free",0,IF(AE1985="me",0,IF(G1985&gt;0,(VLOOKUP(A1985,'Discount Lookup'!J:K,2)*G1985),0))))</f>
        <v>0</v>
      </c>
      <c r="AJ1985" s="513" t="str">
        <f t="shared" ca="1" si="1513"/>
        <v/>
      </c>
      <c r="AK1985" s="700" t="str">
        <f t="shared" si="1514"/>
        <v/>
      </c>
      <c r="AL1985" s="700"/>
      <c r="AM1985" s="505" t="str">
        <f t="shared" si="1515"/>
        <v/>
      </c>
      <c r="AN1985" s="506"/>
      <c r="AO1985" s="507"/>
      <c r="AP1985" s="507"/>
      <c r="AQ1985" s="507"/>
      <c r="AR1985" s="507"/>
      <c r="AS1985" s="507"/>
      <c r="AT1985" s="507"/>
      <c r="AU1985" s="507"/>
      <c r="AV1985" s="225"/>
      <c r="AW1985" s="508"/>
      <c r="AX1985" s="225"/>
      <c r="AY1985" s="225"/>
      <c r="AZ1985" s="225"/>
      <c r="BA1985" s="225"/>
      <c r="BB1985" s="225"/>
      <c r="BC1985" s="56"/>
      <c r="BD1985" s="56"/>
      <c r="BE1985" s="56"/>
      <c r="BF1985" s="107" t="str">
        <f t="shared" si="1516"/>
        <v>https://www.google.com/search?tbm=isch&amp;q=Japanese%20Black%20Pine%20is%20more%20irregular%20in%20form%20than%20other%20fine%2C%20making%20it%20a%20nice%20specimen%20or%20bonsai%20</v>
      </c>
      <c r="BG1985" s="107" t="str">
        <f t="shared" si="1517"/>
        <v>J</v>
      </c>
      <c r="BH1985" s="254"/>
      <c r="BI1985" s="254"/>
    </row>
    <row r="1986" spans="1:61" customFormat="1" ht="18" x14ac:dyDescent="0.25">
      <c r="A1986" s="521" t="s">
        <v>1160</v>
      </c>
      <c r="B1986" s="477"/>
      <c r="C1986" s="674"/>
      <c r="D1986" s="478" t="s">
        <v>1161</v>
      </c>
      <c r="E1986" s="479"/>
      <c r="F1986" s="479"/>
      <c r="G1986" s="479"/>
      <c r="H1986" s="582" t="s">
        <v>463</v>
      </c>
      <c r="I1986" s="480" t="s">
        <v>2093</v>
      </c>
      <c r="J1986" s="479"/>
      <c r="K1986" s="479"/>
      <c r="L1986" s="560"/>
      <c r="M1986" s="666" t="s">
        <v>4966</v>
      </c>
      <c r="N1986" s="680" t="str">
        <f>IF(AND(ISTEXT($A1986), ISERROR($A1986+0)), HYPERLINK($BF1986, "Images"), "")</f>
        <v>Images</v>
      </c>
      <c r="O1986" s="662" t="s">
        <v>4967</v>
      </c>
      <c r="P1986" s="482"/>
      <c r="Q1986" s="483"/>
      <c r="R1986" s="483"/>
      <c r="S1986" s="484"/>
      <c r="T1986" s="508">
        <f t="shared" si="1505"/>
        <v>0</v>
      </c>
      <c r="U1986" s="225" t="str">
        <f>IF(NOT(ISNUMBER(G1986)), "", VLOOKUP(A1986,'Discount Lookup'!D:E,2,FALSE)*G1986)</f>
        <v/>
      </c>
      <c r="V1986" s="225" t="str">
        <f>IF(NOT(ISNUMBER(G1986)), "", VLOOKUP(A1986,'Discount Lookup'!G:H,2,FALSE)*G1986)</f>
        <v/>
      </c>
      <c r="W1986" s="508">
        <f t="shared" si="1506"/>
        <v>0</v>
      </c>
      <c r="X1986" s="508" t="str">
        <f t="shared" si="1507"/>
        <v>Dark Green foliage</v>
      </c>
      <c r="Y1986" s="509" t="b">
        <f t="shared" si="1508"/>
        <v>0</v>
      </c>
      <c r="Z1986" s="510">
        <f t="shared" si="1509"/>
        <v>0</v>
      </c>
      <c r="AA1986" s="511"/>
      <c r="AB1986" s="511" t="str">
        <f t="shared" si="1510"/>
        <v/>
      </c>
      <c r="AC1986" s="698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698"/>
      <c r="AE1986" s="631" t="str">
        <f t="shared" si="1511"/>
        <v/>
      </c>
      <c r="AF1986" s="699" t="str">
        <f t="shared" si="1512"/>
        <v/>
      </c>
      <c r="AG1986" s="699"/>
      <c r="AH1986" s="699"/>
      <c r="AI1986" s="512">
        <f>IF(H1986="credit",0,IF(AE1986="free",0,IF(AE1986="me",0,IF(G1986&gt;0,(VLOOKUP(A1986,'Discount Lookup'!J:K,2)*G1986),0))))</f>
        <v>0</v>
      </c>
      <c r="AJ1986" s="513" t="str">
        <f t="shared" ca="1" si="1513"/>
        <v/>
      </c>
      <c r="AK1986" s="700" t="str">
        <f t="shared" si="1514"/>
        <v/>
      </c>
      <c r="AL1986" s="700"/>
      <c r="AM1986" s="505" t="str">
        <f t="shared" si="1515"/>
        <v/>
      </c>
      <c r="AN1986" s="506"/>
      <c r="AO1986" s="507"/>
      <c r="AP1986" s="507"/>
      <c r="AQ1986" s="507"/>
      <c r="AR1986" s="507"/>
      <c r="AS1986" s="507"/>
      <c r="AT1986" s="507"/>
      <c r="AU1986" s="507"/>
      <c r="AV1986" s="225"/>
      <c r="AW1986" s="508"/>
      <c r="AX1986" s="225"/>
      <c r="AY1986" s="225"/>
      <c r="AZ1986" s="225"/>
      <c r="BA1986" s="225"/>
      <c r="BB1986" s="225"/>
      <c r="BC1986" s="56"/>
      <c r="BD1986" s="56"/>
      <c r="BE1986" s="56"/>
      <c r="BF1986" s="107" t="str">
        <f t="shared" si="1516"/>
        <v>https://www.google.com/search?tbm=isch&amp;q=Japanese%20Cleyera%20Ternstroemia%20gymnanthera</v>
      </c>
      <c r="BG1986" s="107" t="str">
        <f t="shared" si="1517"/>
        <v>J</v>
      </c>
      <c r="BH1986" s="254"/>
      <c r="BI1986" s="254"/>
    </row>
    <row r="1987" spans="1:61" customFormat="1" ht="15.75" x14ac:dyDescent="0.25">
      <c r="A1987" s="485">
        <v>7</v>
      </c>
      <c r="B1987" s="486" t="s">
        <v>291</v>
      </c>
      <c r="C1987" s="487" t="s">
        <v>3581</v>
      </c>
      <c r="D1987" s="488" t="s">
        <v>292</v>
      </c>
      <c r="E1987" s="489">
        <v>86.95</v>
      </c>
      <c r="F1987" s="516" t="s">
        <v>293</v>
      </c>
      <c r="G1987" s="232">
        <v>0</v>
      </c>
      <c r="H1987" s="658" t="str">
        <f>IF(G1987=0,"",IF(F1987="Buy",IF(G1987=1,"plant","plants"),IF(F1987&gt;0.01,"warranty","Error")))</f>
        <v/>
      </c>
      <c r="I1987" s="490">
        <f>IF(H1987="free",0,IF(H1987="credit",((E1987*(F1987))*G1987*-1),IF(F1987="Buy",(E1987*G1987),((E1987*(1-F1987))*G1987))))</f>
        <v>0</v>
      </c>
      <c r="J1987" s="490">
        <f>IF(H1987="warranty",0,(I1987*(_xlfn.SINGLE(SalesTaxPercentage))))</f>
        <v>0</v>
      </c>
      <c r="K1987" s="695">
        <f t="shared" ref="K1987" si="1547">I1987+J1987</f>
        <v>0</v>
      </c>
      <c r="L1987" s="695"/>
      <c r="M1987" s="659" t="str">
        <f>IF(AND(G1987&gt;0,E1987=0),"WARNING - no PRICE inserted",IF(H1987="free"," FREE ~ no charge this plant",IF(H1987="credit",CONCATENATE(" -$",ROUND(K1987*(1-T2GDiscount)*-1,2)," CREDIT after discount"),IF(T2GDiscount=0,"",IF(G1987=0,"",IF(F1987="Buy",CONCATENATE(" $",ROUND(K1987*(1-T2GDiscount),2)," with ",(T2GDiscount*100),"% discount"),CONCATENATE(" $",ROUND(K1987*(1-T2GDiscount),2)," with ",((T2GDiscount*100+F1987*100)-(T2GDiscount*100*F1987)),IF(F1987&gt;0,"% discounts",IF(NoWarrantyDiscount&gt;0,"% discounts","% discount")))))))))</f>
        <v/>
      </c>
      <c r="N1987" s="660"/>
      <c r="O1987" s="233"/>
      <c r="P1987" s="233"/>
      <c r="Q1987" s="233"/>
      <c r="R1987" s="233"/>
      <c r="S1987" s="233"/>
      <c r="T1987" s="508">
        <f t="shared" si="1505"/>
        <v>0</v>
      </c>
      <c r="U1987" s="225">
        <f>IF(NOT(ISNUMBER(G1987)), "", VLOOKUP(A1987,'Discount Lookup'!D:E,2,FALSE)*G1987)</f>
        <v>0</v>
      </c>
      <c r="V1987" s="225">
        <f>IF(NOT(ISNUMBER(G1987)), "", VLOOKUP(A1987,'Discount Lookup'!G:H,2,FALSE)*G1987)</f>
        <v>0</v>
      </c>
      <c r="W1987" s="508">
        <f t="shared" si="1506"/>
        <v>0</v>
      </c>
      <c r="X1987" s="508">
        <f t="shared" si="1507"/>
        <v>0</v>
      </c>
      <c r="Y1987" s="509" t="b">
        <f t="shared" si="1508"/>
        <v>0</v>
      </c>
      <c r="Z1987" s="510">
        <f t="shared" si="1509"/>
        <v>0</v>
      </c>
      <c r="AA1987" s="511"/>
      <c r="AB1987" s="511" t="str">
        <f t="shared" si="1510"/>
        <v/>
      </c>
      <c r="AC1987" s="698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698"/>
      <c r="AE1987" s="631" t="str">
        <f t="shared" si="1511"/>
        <v/>
      </c>
      <c r="AF1987" s="699" t="str">
        <f t="shared" si="1512"/>
        <v/>
      </c>
      <c r="AG1987" s="699"/>
      <c r="AH1987" s="699"/>
      <c r="AI1987" s="512">
        <f>IF(H1987="credit",0,IF(AE1987="free",0,IF(AE1987="me",0,IF(G1987&gt;0,(VLOOKUP(A1987,'Discount Lookup'!J:K,2)*G1987),0))))</f>
        <v>0</v>
      </c>
      <c r="AJ1987" s="513" t="str">
        <f t="shared" ca="1" si="1513"/>
        <v/>
      </c>
      <c r="AK1987" s="700" t="str">
        <f t="shared" si="1514"/>
        <v/>
      </c>
      <c r="AL1987" s="700"/>
      <c r="AM1987" s="505" t="str">
        <f t="shared" si="1515"/>
        <v/>
      </c>
      <c r="AN1987" s="506"/>
      <c r="AO1987" s="507"/>
      <c r="AP1987" s="507"/>
      <c r="AQ1987" s="507"/>
      <c r="AR1987" s="507"/>
      <c r="AS1987" s="507"/>
      <c r="AT1987" s="507"/>
      <c r="AU1987" s="507"/>
      <c r="AV1987" s="225"/>
      <c r="AW1987" s="508"/>
      <c r="AX1987" s="225"/>
      <c r="AY1987" s="225"/>
      <c r="AZ1987" s="225"/>
      <c r="BA1987" s="225"/>
      <c r="BB1987" s="225"/>
      <c r="BC1987" s="56"/>
      <c r="BD1987" s="56"/>
      <c r="BE1987" s="56"/>
      <c r="BF1987" s="107" t="str">
        <f t="shared" si="1516"/>
        <v>https://www.google.com/search?tbm=isch&amp;q=7%20G4</v>
      </c>
      <c r="BG1987" s="107" t="str">
        <f t="shared" si="1517"/>
        <v>J</v>
      </c>
      <c r="BH1987" s="254"/>
      <c r="BI1987" s="254"/>
    </row>
    <row r="1988" spans="1:61" customFormat="1" ht="15.75" x14ac:dyDescent="0.25">
      <c r="A1988" s="485">
        <v>10</v>
      </c>
      <c r="B1988" s="486" t="s">
        <v>291</v>
      </c>
      <c r="C1988" s="487" t="s">
        <v>3996</v>
      </c>
      <c r="D1988" s="488" t="s">
        <v>300</v>
      </c>
      <c r="E1988" s="489">
        <v>104.95</v>
      </c>
      <c r="F1988" s="516" t="s">
        <v>293</v>
      </c>
      <c r="G1988" s="232">
        <v>0</v>
      </c>
      <c r="H1988" s="658" t="str">
        <f>IF(G1988=0,"",IF(F1988="Buy",IF(G1988=1,"plant","plants"),IF(F1988&gt;0.01,"warranty","Error")))</f>
        <v/>
      </c>
      <c r="I1988" s="490">
        <f>IF(H1988="free",0,IF(H1988="credit",((E1988*(F1988))*G1988*-1),IF(F1988="Buy",(E1988*G1988),((E1988*(1-F1988))*G1988))))</f>
        <v>0</v>
      </c>
      <c r="J1988" s="490">
        <f>IF(H1988="warranty",0,(I1988*(_xlfn.SINGLE(SalesTaxPercentage))))</f>
        <v>0</v>
      </c>
      <c r="K1988" s="695">
        <f t="shared" ref="K1988" si="1548">I1988+J1988</f>
        <v>0</v>
      </c>
      <c r="L1988" s="695"/>
      <c r="M1988" s="659" t="str">
        <f>IF(AND(G1988&gt;0,E1988=0),"WARNING - no PRICE inserted",IF(H1988="free"," FREE ~ no charge this plant",IF(H1988="credit",CONCATENATE(" -$",ROUND(K1988*(1-T2GDiscount)*-1,2)," CREDIT after discount"),IF(T2GDiscount=0,"",IF(G1988=0,"",IF(F1988="Buy",CONCATENATE(" $",ROUND(K1988*(1-T2GDiscount),2)," with ",(T2GDiscount*100),"% discount"),CONCATENATE(" $",ROUND(K1988*(1-T2GDiscount),2)," with ",((T2GDiscount*100+F1988*100)-(T2GDiscount*100*F1988)),IF(F1988&gt;0,"% discounts",IF(NoWarrantyDiscount&gt;0,"% discounts","% discount")))))))))</f>
        <v/>
      </c>
      <c r="N1988" s="660"/>
      <c r="O1988" s="233"/>
      <c r="P1988" s="233"/>
      <c r="Q1988" s="233"/>
      <c r="R1988" s="233"/>
      <c r="S1988" s="233"/>
      <c r="T1988" s="508">
        <f t="shared" si="1505"/>
        <v>0</v>
      </c>
      <c r="U1988" s="225">
        <f>IF(NOT(ISNUMBER(G1988)), "", VLOOKUP(A1988,'Discount Lookup'!D:E,2,FALSE)*G1988)</f>
        <v>0</v>
      </c>
      <c r="V1988" s="225">
        <f>IF(NOT(ISNUMBER(G1988)), "", VLOOKUP(A1988,'Discount Lookup'!G:H,2,FALSE)*G1988)</f>
        <v>0</v>
      </c>
      <c r="W1988" s="508">
        <f t="shared" si="1506"/>
        <v>0</v>
      </c>
      <c r="X1988" s="508">
        <f t="shared" si="1507"/>
        <v>0</v>
      </c>
      <c r="Y1988" s="509" t="b">
        <f t="shared" si="1508"/>
        <v>0</v>
      </c>
      <c r="Z1988" s="510">
        <f t="shared" si="1509"/>
        <v>0</v>
      </c>
      <c r="AA1988" s="511"/>
      <c r="AB1988" s="511" t="str">
        <f t="shared" si="1510"/>
        <v/>
      </c>
      <c r="AC1988" s="698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698"/>
      <c r="AE1988" s="631" t="str">
        <f t="shared" si="1511"/>
        <v/>
      </c>
      <c r="AF1988" s="699" t="str">
        <f t="shared" si="1512"/>
        <v/>
      </c>
      <c r="AG1988" s="699"/>
      <c r="AH1988" s="699"/>
      <c r="AI1988" s="512">
        <f>IF(H1988="credit",0,IF(AE1988="free",0,IF(AE1988="me",0,IF(G1988&gt;0,(VLOOKUP(A1988,'Discount Lookup'!J:K,2)*G1988),0))))</f>
        <v>0</v>
      </c>
      <c r="AJ1988" s="513" t="str">
        <f t="shared" ca="1" si="1513"/>
        <v/>
      </c>
      <c r="AK1988" s="700" t="str">
        <f t="shared" si="1514"/>
        <v/>
      </c>
      <c r="AL1988" s="700"/>
      <c r="AM1988" s="505" t="str">
        <f t="shared" si="1515"/>
        <v/>
      </c>
      <c r="AN1988" s="506"/>
      <c r="AO1988" s="507"/>
      <c r="AP1988" s="507"/>
      <c r="AQ1988" s="507"/>
      <c r="AR1988" s="507"/>
      <c r="AS1988" s="507"/>
      <c r="AT1988" s="507"/>
      <c r="AU1988" s="507"/>
      <c r="AV1988" s="225"/>
      <c r="AW1988" s="508"/>
      <c r="AX1988" s="225"/>
      <c r="AY1988" s="225"/>
      <c r="AZ1988" s="225"/>
      <c r="BA1988" s="225"/>
      <c r="BB1988" s="225"/>
      <c r="BC1988" s="56"/>
      <c r="BD1988" s="56"/>
      <c r="BE1988" s="56"/>
      <c r="BF1988" s="107" t="str">
        <f t="shared" si="1516"/>
        <v>https://www.google.com/search?tbm=isch&amp;q=10%20G6</v>
      </c>
      <c r="BG1988" s="107" t="str">
        <f t="shared" si="1517"/>
        <v>J</v>
      </c>
      <c r="BH1988" s="254"/>
      <c r="BI1988" s="254"/>
    </row>
    <row r="1989" spans="1:61" customFormat="1" ht="16.5" thickBot="1" x14ac:dyDescent="0.3">
      <c r="A1989" s="522" t="s">
        <v>2901</v>
      </c>
      <c r="B1989" s="491"/>
      <c r="C1989" s="675"/>
      <c r="D1989" s="491"/>
      <c r="E1989" s="491"/>
      <c r="F1989" s="492"/>
      <c r="G1989" s="493"/>
      <c r="H1989" s="491"/>
      <c r="I1989" s="234"/>
      <c r="J1989" s="234"/>
      <c r="K1989" s="494"/>
      <c r="L1989" s="543"/>
      <c r="M1989" s="561"/>
      <c r="N1989" s="495"/>
      <c r="O1989" s="496"/>
      <c r="P1989" s="497"/>
      <c r="Q1989" s="495"/>
      <c r="R1989" s="495"/>
      <c r="S1989" s="277"/>
      <c r="T1989" s="508">
        <f t="shared" si="1505"/>
        <v>0</v>
      </c>
      <c r="U1989" s="225" t="str">
        <f>IF(NOT(ISNUMBER(G1989)), "", VLOOKUP(A1989,'Discount Lookup'!D:E,2,FALSE)*G1989)</f>
        <v/>
      </c>
      <c r="V1989" s="225" t="str">
        <f>IF(NOT(ISNUMBER(G1989)), "", VLOOKUP(A1989,'Discount Lookup'!G:H,2,FALSE)*G1989)</f>
        <v/>
      </c>
      <c r="W1989" s="508">
        <f t="shared" si="1506"/>
        <v>0</v>
      </c>
      <c r="X1989" s="508">
        <f t="shared" si="1507"/>
        <v>0</v>
      </c>
      <c r="Y1989" s="509" t="b">
        <f t="shared" si="1508"/>
        <v>0</v>
      </c>
      <c r="Z1989" s="510">
        <f t="shared" si="1509"/>
        <v>0</v>
      </c>
      <c r="AA1989" s="511"/>
      <c r="AB1989" s="511" t="str">
        <f t="shared" si="1510"/>
        <v/>
      </c>
      <c r="AC1989" s="698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698"/>
      <c r="AE1989" s="631" t="str">
        <f t="shared" si="1511"/>
        <v/>
      </c>
      <c r="AF1989" s="699" t="str">
        <f t="shared" si="1512"/>
        <v/>
      </c>
      <c r="AG1989" s="699"/>
      <c r="AH1989" s="699"/>
      <c r="AI1989" s="512">
        <f>IF(H1989="credit",0,IF(AE1989="free",0,IF(AE1989="me",0,IF(G1989&gt;0,(VLOOKUP(A1989,'Discount Lookup'!J:K,2)*G1989),0))))</f>
        <v>0</v>
      </c>
      <c r="AJ1989" s="513" t="str">
        <f t="shared" ca="1" si="1513"/>
        <v/>
      </c>
      <c r="AK1989" s="700" t="str">
        <f t="shared" si="1514"/>
        <v/>
      </c>
      <c r="AL1989" s="700"/>
      <c r="AM1989" s="505" t="str">
        <f t="shared" si="1515"/>
        <v/>
      </c>
      <c r="AN1989" s="506"/>
      <c r="AO1989" s="507"/>
      <c r="AP1989" s="507"/>
      <c r="AQ1989" s="507"/>
      <c r="AR1989" s="507"/>
      <c r="AS1989" s="507"/>
      <c r="AT1989" s="507"/>
      <c r="AU1989" s="507"/>
      <c r="AV1989" s="225"/>
      <c r="AW1989" s="508"/>
      <c r="AX1989" s="225"/>
      <c r="AY1989" s="225"/>
      <c r="AZ1989" s="225"/>
      <c r="BA1989" s="225"/>
      <c r="BB1989" s="225"/>
      <c r="BC1989" s="56"/>
      <c r="BD1989" s="56"/>
      <c r="BE1989" s="56"/>
      <c r="BF1989" s="107" t="str">
        <f t="shared" si="1516"/>
        <v>https://www.google.com/search?tbm=isch&amp;q=Cleyera%20foliage%20emerges%20Deep%20Red%2C%20turning%20Blue-Green%2C%20then%20Burgundy%20fall.%20Small%20White%20fragrant%20blooms.%20Small%20fruit%20</v>
      </c>
      <c r="BG1989" s="107" t="str">
        <f t="shared" si="1517"/>
        <v>C</v>
      </c>
      <c r="BH1989" s="254"/>
      <c r="BI1989" s="254"/>
    </row>
    <row r="1990" spans="1:61" customFormat="1" ht="18" x14ac:dyDescent="0.25">
      <c r="A1990" s="521" t="s">
        <v>3187</v>
      </c>
      <c r="B1990" s="477"/>
      <c r="C1990" s="674"/>
      <c r="D1990" s="478" t="s">
        <v>3188</v>
      </c>
      <c r="E1990" s="479"/>
      <c r="F1990" s="479"/>
      <c r="G1990" s="479"/>
      <c r="H1990" s="582" t="s">
        <v>463</v>
      </c>
      <c r="I1990" s="480" t="s">
        <v>654</v>
      </c>
      <c r="J1990" s="479"/>
      <c r="K1990" s="479"/>
      <c r="L1990" s="560"/>
      <c r="M1990" s="671" t="s">
        <v>4985</v>
      </c>
      <c r="N1990" s="680" t="str">
        <f>IF(AND(ISTEXT($A1990), ISERROR($A1990+0)), HYPERLINK($BF1990, "Images"), "")</f>
        <v>Images</v>
      </c>
      <c r="O1990" s="662" t="s">
        <v>4967</v>
      </c>
      <c r="P1990" s="482"/>
      <c r="Q1990" s="483"/>
      <c r="R1990" s="483"/>
      <c r="S1990" s="484"/>
      <c r="T1990" s="508">
        <f t="shared" si="1505"/>
        <v>0</v>
      </c>
      <c r="U1990" s="225" t="str">
        <f>IF(NOT(ISNUMBER(G1990)), "", VLOOKUP(A1990,'Discount Lookup'!D:E,2,FALSE)*G1990)</f>
        <v/>
      </c>
      <c r="V1990" s="225" t="str">
        <f>IF(NOT(ISNUMBER(G1990)), "", VLOOKUP(A1990,'Discount Lookup'!G:H,2,FALSE)*G1990)</f>
        <v/>
      </c>
      <c r="W1990" s="508">
        <f t="shared" si="1506"/>
        <v>0</v>
      </c>
      <c r="X1990" s="508" t="str">
        <f t="shared" si="1507"/>
        <v>White bloom</v>
      </c>
      <c r="Y1990" s="509" t="b">
        <f t="shared" si="1508"/>
        <v>0</v>
      </c>
      <c r="Z1990" s="510">
        <f t="shared" si="1509"/>
        <v>0</v>
      </c>
      <c r="AA1990" s="511"/>
      <c r="AB1990" s="511" t="str">
        <f t="shared" si="1510"/>
        <v/>
      </c>
      <c r="AC1990" s="698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698"/>
      <c r="AE1990" s="631" t="str">
        <f t="shared" si="1511"/>
        <v/>
      </c>
      <c r="AF1990" s="699" t="str">
        <f t="shared" si="1512"/>
        <v/>
      </c>
      <c r="AG1990" s="699"/>
      <c r="AH1990" s="699"/>
      <c r="AI1990" s="512">
        <f>IF(H1990="credit",0,IF(AE1990="free",0,IF(AE1990="me",0,IF(G1990&gt;0,(VLOOKUP(A1990,'Discount Lookup'!J:K,2)*G1990),0))))</f>
        <v>0</v>
      </c>
      <c r="AJ1990" s="513" t="str">
        <f t="shared" ca="1" si="1513"/>
        <v/>
      </c>
      <c r="AK1990" s="700" t="str">
        <f t="shared" si="1514"/>
        <v/>
      </c>
      <c r="AL1990" s="700"/>
      <c r="AM1990" s="505" t="str">
        <f t="shared" si="1515"/>
        <v/>
      </c>
      <c r="AN1990" s="506"/>
      <c r="AO1990" s="507"/>
      <c r="AP1990" s="507"/>
      <c r="AQ1990" s="507"/>
      <c r="AR1990" s="507"/>
      <c r="AS1990" s="507"/>
      <c r="AT1990" s="507"/>
      <c r="AU1990" s="507"/>
      <c r="AV1990" s="225"/>
      <c r="AW1990" s="508"/>
      <c r="AX1990" s="225"/>
      <c r="AY1990" s="225"/>
      <c r="AZ1990" s="225"/>
      <c r="BA1990" s="225"/>
      <c r="BB1990" s="225"/>
      <c r="BC1990" s="56"/>
      <c r="BD1990" s="56"/>
      <c r="BE1990" s="56"/>
      <c r="BF1990" s="107" t="str">
        <f t="shared" si="1516"/>
        <v>https://www.google.com/search?tbm=isch&amp;q=Japanese%20Fatsia%20Fatsia%20japonica</v>
      </c>
      <c r="BG1990" s="107" t="str">
        <f t="shared" si="1517"/>
        <v>J</v>
      </c>
      <c r="BH1990" s="254"/>
      <c r="BI1990" s="254"/>
    </row>
    <row r="1991" spans="1:61" customFormat="1" ht="15.75" x14ac:dyDescent="0.25">
      <c r="A1991" s="485">
        <v>3</v>
      </c>
      <c r="B1991" s="486" t="s">
        <v>291</v>
      </c>
      <c r="C1991" s="487"/>
      <c r="D1991" s="488" t="s">
        <v>298</v>
      </c>
      <c r="E1991" s="489">
        <v>31.95</v>
      </c>
      <c r="F1991" s="516" t="s">
        <v>293</v>
      </c>
      <c r="G1991" s="232">
        <v>0</v>
      </c>
      <c r="H1991" s="658" t="str">
        <f>IF(G1991=0,"",IF(F1991="Buy",IF(G1991=1,"plant","plants"),IF(F1991&gt;0.01,"warranty","Error")))</f>
        <v/>
      </c>
      <c r="I1991" s="490">
        <f>IF(H1991="free",0,IF(H1991="credit",((E1991*(F1991))*G1991*-1),IF(F1991="Buy",(E1991*G1991),((E1991*(1-F1991))*G1991))))</f>
        <v>0</v>
      </c>
      <c r="J1991" s="490">
        <f>IF(H1991="warranty",0,(I1991*(_xlfn.SINGLE(SalesTaxPercentage))))</f>
        <v>0</v>
      </c>
      <c r="K1991" s="695">
        <f t="shared" ref="K1991" si="1549">I1991+J1991</f>
        <v>0</v>
      </c>
      <c r="L1991" s="695"/>
      <c r="M1991" s="659" t="str">
        <f>IF(AND(G1991&gt;0,E1991=0),"WARNING - no PRICE inserted",IF(H1991="free"," FREE ~ no charge this plant",IF(H1991="credit",CONCATENATE(" -$",ROUND(K1991*(1-T2GDiscount)*-1,2)," CREDIT after discount"),IF(T2GDiscount=0,"",IF(G1991=0,"",IF(F1991="Buy",CONCATENATE(" $",ROUND(K1991*(1-T2GDiscount),2)," with ",(T2GDiscount*100),"% discount"),CONCATENATE(" $",ROUND(K1991*(1-T2GDiscount),2)," with ",((T2GDiscount*100+F1991*100)-(T2GDiscount*100*F1991)),IF(F1991&gt;0,"% discounts",IF(NoWarrantyDiscount&gt;0,"% discounts","% discount")))))))))</f>
        <v/>
      </c>
      <c r="N1991" s="660"/>
      <c r="O1991" s="233"/>
      <c r="P1991" s="233"/>
      <c r="Q1991" s="233"/>
      <c r="R1991" s="233"/>
      <c r="S1991" s="233"/>
      <c r="T1991" s="508">
        <f t="shared" si="1505"/>
        <v>0</v>
      </c>
      <c r="U1991" s="225">
        <f>IF(NOT(ISNUMBER(G1991)), "", VLOOKUP(A1991,'Discount Lookup'!D:E,2,FALSE)*G1991)</f>
        <v>0</v>
      </c>
      <c r="V1991" s="225">
        <f>IF(NOT(ISNUMBER(G1991)), "", VLOOKUP(A1991,'Discount Lookup'!G:H,2,FALSE)*G1991)</f>
        <v>0</v>
      </c>
      <c r="W1991" s="508">
        <f t="shared" si="1506"/>
        <v>0</v>
      </c>
      <c r="X1991" s="508">
        <f t="shared" si="1507"/>
        <v>0</v>
      </c>
      <c r="Y1991" s="509" t="b">
        <f t="shared" si="1508"/>
        <v>0</v>
      </c>
      <c r="Z1991" s="510">
        <f t="shared" si="1509"/>
        <v>0</v>
      </c>
      <c r="AA1991" s="511"/>
      <c r="AB1991" s="511" t="str">
        <f t="shared" si="1510"/>
        <v/>
      </c>
      <c r="AC1991" s="698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698"/>
      <c r="AE1991" s="631" t="str">
        <f t="shared" si="1511"/>
        <v/>
      </c>
      <c r="AF1991" s="699" t="str">
        <f t="shared" si="1512"/>
        <v/>
      </c>
      <c r="AG1991" s="699"/>
      <c r="AH1991" s="699"/>
      <c r="AI1991" s="512">
        <f>IF(H1991="credit",0,IF(AE1991="free",0,IF(AE1991="me",0,IF(G1991&gt;0,(VLOOKUP(A1991,'Discount Lookup'!J:K,2)*G1991),0))))</f>
        <v>0</v>
      </c>
      <c r="AJ1991" s="513" t="str">
        <f t="shared" ca="1" si="1513"/>
        <v/>
      </c>
      <c r="AK1991" s="700" t="str">
        <f t="shared" si="1514"/>
        <v/>
      </c>
      <c r="AL1991" s="700"/>
      <c r="AM1991" s="505" t="str">
        <f t="shared" si="1515"/>
        <v/>
      </c>
      <c r="AN1991" s="506"/>
      <c r="AO1991" s="507"/>
      <c r="AP1991" s="507"/>
      <c r="AQ1991" s="507"/>
      <c r="AR1991" s="507"/>
      <c r="AS1991" s="507"/>
      <c r="AT1991" s="507"/>
      <c r="AU1991" s="507"/>
      <c r="AV1991" s="225"/>
      <c r="AW1991" s="508"/>
      <c r="AX1991" s="225"/>
      <c r="AY1991" s="225"/>
      <c r="AZ1991" s="225"/>
      <c r="BA1991" s="225"/>
      <c r="BB1991" s="225"/>
      <c r="BC1991" s="56"/>
      <c r="BD1991" s="56"/>
      <c r="BE1991" s="56"/>
      <c r="BF1991" s="107" t="str">
        <f t="shared" si="1516"/>
        <v>https://www.google.com/search?tbm=isch&amp;q=3%20G1</v>
      </c>
      <c r="BG1991" s="107" t="str">
        <f t="shared" si="1517"/>
        <v>J</v>
      </c>
      <c r="BH1991" s="254"/>
      <c r="BI1991" s="254"/>
    </row>
    <row r="1992" spans="1:61" customFormat="1" ht="15.75" x14ac:dyDescent="0.25">
      <c r="A1992" s="485">
        <v>7</v>
      </c>
      <c r="B1992" s="486" t="s">
        <v>291</v>
      </c>
      <c r="C1992" s="487" t="s">
        <v>4908</v>
      </c>
      <c r="D1992" s="488" t="s">
        <v>300</v>
      </c>
      <c r="E1992" s="489">
        <v>131.94999999999999</v>
      </c>
      <c r="F1992" s="516" t="s">
        <v>293</v>
      </c>
      <c r="G1992" s="232">
        <v>0</v>
      </c>
      <c r="H1992" s="658" t="str">
        <f>IF(G1992=0,"",IF(F1992="Buy",IF(G1992=1,"plant","plants"),IF(F1992&gt;0.01,"warranty","Error")))</f>
        <v/>
      </c>
      <c r="I1992" s="490">
        <f>IF(H1992="free",0,IF(H1992="credit",((E1992*(F1992))*G1992*-1),IF(F1992="Buy",(E1992*G1992),((E1992*(1-F1992))*G1992))))</f>
        <v>0</v>
      </c>
      <c r="J1992" s="490">
        <f>IF(H1992="warranty",0,(I1992*(_xlfn.SINGLE(SalesTaxPercentage))))</f>
        <v>0</v>
      </c>
      <c r="K1992" s="695">
        <f t="shared" ref="K1992" si="1550">I1992+J1992</f>
        <v>0</v>
      </c>
      <c r="L1992" s="695"/>
      <c r="M1992" s="659" t="str">
        <f>IF(AND(G1992&gt;0,E1992=0),"WARNING - no PRICE inserted",IF(H1992="free"," FREE ~ no charge this plant",IF(H1992="credit",CONCATENATE(" -$",ROUND(K1992*(1-T2GDiscount)*-1,2)," CREDIT after discount"),IF(T2GDiscount=0,"",IF(G1992=0,"",IF(F1992="Buy",CONCATENATE(" $",ROUND(K1992*(1-T2GDiscount),2)," with ",(T2GDiscount*100),"% discount"),CONCATENATE(" $",ROUND(K1992*(1-T2GDiscount),2)," with ",((T2GDiscount*100+F1992*100)-(T2GDiscount*100*F1992)),IF(F1992&gt;0,"% discounts",IF(NoWarrantyDiscount&gt;0,"% discounts","% discount")))))))))</f>
        <v/>
      </c>
      <c r="N1992" s="660"/>
      <c r="O1992" s="233"/>
      <c r="P1992" s="233"/>
      <c r="Q1992" s="233"/>
      <c r="R1992" s="233"/>
      <c r="S1992" s="233"/>
      <c r="T1992" s="508">
        <f t="shared" si="1505"/>
        <v>0</v>
      </c>
      <c r="U1992" s="225">
        <f>IF(NOT(ISNUMBER(G1992)), "", VLOOKUP(A1992,'Discount Lookup'!D:E,2,FALSE)*G1992)</f>
        <v>0</v>
      </c>
      <c r="V1992" s="225">
        <f>IF(NOT(ISNUMBER(G1992)), "", VLOOKUP(A1992,'Discount Lookup'!G:H,2,FALSE)*G1992)</f>
        <v>0</v>
      </c>
      <c r="W1992" s="508">
        <f t="shared" si="1506"/>
        <v>0</v>
      </c>
      <c r="X1992" s="508">
        <f t="shared" si="1507"/>
        <v>0</v>
      </c>
      <c r="Y1992" s="509" t="b">
        <f t="shared" si="1508"/>
        <v>0</v>
      </c>
      <c r="Z1992" s="510">
        <f t="shared" si="1509"/>
        <v>0</v>
      </c>
      <c r="AA1992" s="511"/>
      <c r="AB1992" s="511" t="str">
        <f t="shared" si="1510"/>
        <v/>
      </c>
      <c r="AC1992" s="698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698"/>
      <c r="AE1992" s="631" t="str">
        <f t="shared" si="1511"/>
        <v/>
      </c>
      <c r="AF1992" s="699" t="str">
        <f t="shared" si="1512"/>
        <v/>
      </c>
      <c r="AG1992" s="699"/>
      <c r="AH1992" s="699"/>
      <c r="AI1992" s="512">
        <f>IF(H1992="credit",0,IF(AE1992="free",0,IF(AE1992="me",0,IF(G1992&gt;0,(VLOOKUP(A1992,'Discount Lookup'!J:K,2)*G1992),0))))</f>
        <v>0</v>
      </c>
      <c r="AJ1992" s="513" t="str">
        <f t="shared" ca="1" si="1513"/>
        <v/>
      </c>
      <c r="AK1992" s="700" t="str">
        <f t="shared" si="1514"/>
        <v/>
      </c>
      <c r="AL1992" s="700"/>
      <c r="AM1992" s="505" t="str">
        <f t="shared" si="1515"/>
        <v/>
      </c>
      <c r="AN1992" s="506"/>
      <c r="AO1992" s="507"/>
      <c r="AP1992" s="507"/>
      <c r="AQ1992" s="507"/>
      <c r="AR1992" s="507"/>
      <c r="AS1992" s="507"/>
      <c r="AT1992" s="507"/>
      <c r="AU1992" s="507"/>
      <c r="AV1992" s="225"/>
      <c r="AW1992" s="508"/>
      <c r="AX1992" s="225"/>
      <c r="AY1992" s="225"/>
      <c r="AZ1992" s="225"/>
      <c r="BA1992" s="225"/>
      <c r="BB1992" s="225"/>
      <c r="BC1992" s="56"/>
      <c r="BD1992" s="56"/>
      <c r="BE1992" s="56"/>
      <c r="BF1992" s="107" t="str">
        <f t="shared" si="1516"/>
        <v>https://www.google.com/search?tbm=isch&amp;q=7%20G6</v>
      </c>
      <c r="BG1992" s="107" t="str">
        <f t="shared" si="1517"/>
        <v>J</v>
      </c>
      <c r="BH1992" s="254"/>
      <c r="BI1992" s="254"/>
    </row>
    <row r="1993" spans="1:61" customFormat="1" ht="17.25" thickBot="1" x14ac:dyDescent="0.3">
      <c r="A1993" s="522" t="s">
        <v>4204</v>
      </c>
      <c r="B1993" s="491"/>
      <c r="C1993" s="675"/>
      <c r="D1993" s="491"/>
      <c r="E1993" s="491"/>
      <c r="F1993" s="492"/>
      <c r="G1993" s="493"/>
      <c r="H1993" s="491"/>
      <c r="I1993" s="234"/>
      <c r="J1993" s="234"/>
      <c r="K1993" s="494"/>
      <c r="L1993" s="543"/>
      <c r="M1993" s="561"/>
      <c r="N1993" s="495"/>
      <c r="O1993" s="496"/>
      <c r="P1993" s="497"/>
      <c r="Q1993" s="495"/>
      <c r="R1993" s="495"/>
      <c r="S1993" s="667" t="s">
        <v>4984</v>
      </c>
      <c r="T1993" s="508">
        <f t="shared" si="1505"/>
        <v>0</v>
      </c>
      <c r="U1993" s="225" t="str">
        <f>IF(NOT(ISNUMBER(G1993)), "", VLOOKUP(A1993,'Discount Lookup'!D:E,2,FALSE)*G1993)</f>
        <v/>
      </c>
      <c r="V1993" s="225" t="str">
        <f>IF(NOT(ISNUMBER(G1993)), "", VLOOKUP(A1993,'Discount Lookup'!G:H,2,FALSE)*G1993)</f>
        <v/>
      </c>
      <c r="W1993" s="508">
        <f t="shared" si="1506"/>
        <v>0</v>
      </c>
      <c r="X1993" s="508">
        <f t="shared" si="1507"/>
        <v>0</v>
      </c>
      <c r="Y1993" s="509" t="b">
        <f t="shared" si="1508"/>
        <v>0</v>
      </c>
      <c r="Z1993" s="510">
        <f t="shared" si="1509"/>
        <v>0</v>
      </c>
      <c r="AA1993" s="511"/>
      <c r="AB1993" s="511" t="str">
        <f t="shared" si="1510"/>
        <v/>
      </c>
      <c r="AC1993" s="698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698"/>
      <c r="AE1993" s="631" t="str">
        <f t="shared" si="1511"/>
        <v/>
      </c>
      <c r="AF1993" s="699" t="str">
        <f t="shared" si="1512"/>
        <v/>
      </c>
      <c r="AG1993" s="699"/>
      <c r="AH1993" s="699"/>
      <c r="AI1993" s="512">
        <f>IF(H1993="credit",0,IF(AE1993="free",0,IF(AE1993="me",0,IF(G1993&gt;0,(VLOOKUP(A1993,'Discount Lookup'!J:K,2)*G1993),0))))</f>
        <v>0</v>
      </c>
      <c r="AJ1993" s="513" t="str">
        <f t="shared" ca="1" si="1513"/>
        <v/>
      </c>
      <c r="AK1993" s="700" t="str">
        <f t="shared" si="1514"/>
        <v/>
      </c>
      <c r="AL1993" s="700"/>
      <c r="AM1993" s="505" t="str">
        <f t="shared" si="1515"/>
        <v/>
      </c>
      <c r="AN1993" s="506"/>
      <c r="AO1993" s="507"/>
      <c r="AP1993" s="507"/>
      <c r="AQ1993" s="507"/>
      <c r="AR1993" s="507"/>
      <c r="AS1993" s="507"/>
      <c r="AT1993" s="507"/>
      <c r="AU1993" s="507"/>
      <c r="AV1993" s="225"/>
      <c r="AW1993" s="508"/>
      <c r="AX1993" s="225"/>
      <c r="AY1993" s="225"/>
      <c r="AZ1993" s="225"/>
      <c r="BA1993" s="225"/>
      <c r="BB1993" s="225"/>
      <c r="BC1993" s="56"/>
      <c r="BD1993" s="56"/>
      <c r="BE1993" s="56"/>
      <c r="BF1993" s="107" t="str">
        <f t="shared" si="1516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993" s="107" t="str">
        <f t="shared" si="1517"/>
        <v>J</v>
      </c>
      <c r="BH1993" s="254"/>
      <c r="BI1993" s="254"/>
    </row>
    <row r="1994" spans="1:61" customFormat="1" ht="18" x14ac:dyDescent="0.25">
      <c r="A1994" s="521" t="s">
        <v>1162</v>
      </c>
      <c r="B1994" s="477"/>
      <c r="C1994" s="674"/>
      <c r="D1994" s="478" t="s">
        <v>1163</v>
      </c>
      <c r="E1994" s="479"/>
      <c r="F1994" s="479"/>
      <c r="G1994" s="479"/>
      <c r="H1994" s="582" t="s">
        <v>4101</v>
      </c>
      <c r="I1994" s="480" t="s">
        <v>2093</v>
      </c>
      <c r="J1994" s="479"/>
      <c r="K1994" s="479"/>
      <c r="L1994" s="560"/>
      <c r="M1994" s="671" t="s">
        <v>4985</v>
      </c>
      <c r="N1994" s="680" t="str">
        <f>IF(AND(ISTEXT($A1994), ISERROR($A1994+0)), HYPERLINK($BF1994, "Images"), "")</f>
        <v>Images</v>
      </c>
      <c r="O1994" s="662" t="s">
        <v>4969</v>
      </c>
      <c r="P1994" s="482"/>
      <c r="Q1994" s="483"/>
      <c r="R1994" s="483"/>
      <c r="S1994" s="484"/>
      <c r="T1994" s="508">
        <f t="shared" si="1505"/>
        <v>0</v>
      </c>
      <c r="U1994" s="225" t="str">
        <f>IF(NOT(ISNUMBER(G1994)), "", VLOOKUP(A1994,'Discount Lookup'!D:E,2,FALSE)*G1994)</f>
        <v/>
      </c>
      <c r="V1994" s="225" t="str">
        <f>IF(NOT(ISNUMBER(G1994)), "", VLOOKUP(A1994,'Discount Lookup'!G:H,2,FALSE)*G1994)</f>
        <v/>
      </c>
      <c r="W1994" s="508">
        <f t="shared" si="1506"/>
        <v>0</v>
      </c>
      <c r="X1994" s="508" t="str">
        <f t="shared" si="1507"/>
        <v>Dark Green foliage</v>
      </c>
      <c r="Y1994" s="509" t="b">
        <f t="shared" si="1508"/>
        <v>0</v>
      </c>
      <c r="Z1994" s="510">
        <f t="shared" si="1509"/>
        <v>0</v>
      </c>
      <c r="AA1994" s="511"/>
      <c r="AB1994" s="511" t="str">
        <f t="shared" si="1510"/>
        <v/>
      </c>
      <c r="AC1994" s="698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698"/>
      <c r="AE1994" s="631" t="str">
        <f t="shared" si="1511"/>
        <v/>
      </c>
      <c r="AF1994" s="699" t="str">
        <f t="shared" si="1512"/>
        <v/>
      </c>
      <c r="AG1994" s="699"/>
      <c r="AH1994" s="699"/>
      <c r="AI1994" s="512">
        <f>IF(H1994="credit",0,IF(AE1994="free",0,IF(AE1994="me",0,IF(G1994&gt;0,(VLOOKUP(A1994,'Discount Lookup'!J:K,2)*G1994),0))))</f>
        <v>0</v>
      </c>
      <c r="AJ1994" s="513" t="str">
        <f t="shared" ca="1" si="1513"/>
        <v/>
      </c>
      <c r="AK1994" s="700" t="str">
        <f t="shared" si="1514"/>
        <v/>
      </c>
      <c r="AL1994" s="700"/>
      <c r="AM1994" s="505" t="str">
        <f t="shared" si="1515"/>
        <v/>
      </c>
      <c r="AN1994" s="506"/>
      <c r="AO1994" s="507"/>
      <c r="AP1994" s="507"/>
      <c r="AQ1994" s="507"/>
      <c r="AR1994" s="507"/>
      <c r="AS1994" s="507"/>
      <c r="AT1994" s="507"/>
      <c r="AU1994" s="507"/>
      <c r="AV1994" s="225"/>
      <c r="AW1994" s="508"/>
      <c r="AX1994" s="225"/>
      <c r="AY1994" s="225"/>
      <c r="AZ1994" s="225"/>
      <c r="BA1994" s="225"/>
      <c r="BB1994" s="225"/>
      <c r="BC1994" s="56"/>
      <c r="BD1994" s="56"/>
      <c r="BE1994" s="56"/>
      <c r="BF1994" s="107" t="str">
        <f t="shared" si="1516"/>
        <v>https://www.google.com/search?tbm=isch&amp;q=Japanese%20Holly%20Fern%20Cyrtomium%20falcatum%20%27Rochfordianum%27</v>
      </c>
      <c r="BG1994" s="107" t="str">
        <f t="shared" si="1517"/>
        <v>J</v>
      </c>
      <c r="BH1994" s="254"/>
      <c r="BI1994" s="254"/>
    </row>
    <row r="1995" spans="1:61" customFormat="1" ht="15.75" x14ac:dyDescent="0.25">
      <c r="A1995" s="485">
        <v>1</v>
      </c>
      <c r="B1995" s="486" t="s">
        <v>291</v>
      </c>
      <c r="C1995" s="487"/>
      <c r="D1995" s="488" t="s">
        <v>300</v>
      </c>
      <c r="E1995" s="489">
        <v>14.95</v>
      </c>
      <c r="F1995" s="516" t="s">
        <v>293</v>
      </c>
      <c r="G1995" s="232">
        <v>0</v>
      </c>
      <c r="H1995" s="658" t="str">
        <f>IF(G1995=0,"",IF(F1995="Buy",IF(G1995=1,"plant","plants"),IF(F1995&gt;0.01,"warranty","Error")))</f>
        <v/>
      </c>
      <c r="I1995" s="490">
        <f>IF(H1995="free",0,IF(H1995="credit",((E1995*(F1995))*G1995*-1),IF(F1995="Buy",(E1995*G1995),((E1995*(1-F1995))*G1995))))</f>
        <v>0</v>
      </c>
      <c r="J1995" s="490">
        <f>IF(H1995="warranty",0,(I1995*(_xlfn.SINGLE(SalesTaxPercentage))))</f>
        <v>0</v>
      </c>
      <c r="K1995" s="695">
        <f t="shared" ref="K1995" si="1551">I1995+J1995</f>
        <v>0</v>
      </c>
      <c r="L1995" s="695"/>
      <c r="M1995" s="659" t="str">
        <f>IF(AND(G1995&gt;0,E1995=0),"WARNING - no PRICE inserted",IF(H1995="free"," FREE ~ no charge this plant",IF(H1995="credit",CONCATENATE(" -$",ROUND(K1995*(1-T2GDiscount)*-1,2)," CREDIT after discount"),IF(T2GDiscount=0,"",IF(G1995=0,"",IF(F1995="Buy",CONCATENATE(" $",ROUND(K1995*(1-T2GDiscount),2)," with ",(T2GDiscount*100),"% discount"),CONCATENATE(" $",ROUND(K1995*(1-T2GDiscount),2)," with ",((T2GDiscount*100+F1995*100)-(T2GDiscount*100*F1995)),IF(F1995&gt;0,"% discounts",IF(NoWarrantyDiscount&gt;0,"% discounts","% discount")))))))))</f>
        <v/>
      </c>
      <c r="N1995" s="660"/>
      <c r="O1995" s="233"/>
      <c r="P1995" s="233"/>
      <c r="Q1995" s="233"/>
      <c r="R1995" s="233"/>
      <c r="S1995" s="233"/>
      <c r="T1995" s="508">
        <f t="shared" si="1505"/>
        <v>0</v>
      </c>
      <c r="U1995" s="225">
        <f>IF(NOT(ISNUMBER(G1995)), "", VLOOKUP(A1995,'Discount Lookup'!D:E,2,FALSE)*G1995)</f>
        <v>0</v>
      </c>
      <c r="V1995" s="225">
        <f>IF(NOT(ISNUMBER(G1995)), "", VLOOKUP(A1995,'Discount Lookup'!G:H,2,FALSE)*G1995)</f>
        <v>0</v>
      </c>
      <c r="W1995" s="508">
        <f t="shared" si="1506"/>
        <v>0</v>
      </c>
      <c r="X1995" s="508">
        <f t="shared" si="1507"/>
        <v>0</v>
      </c>
      <c r="Y1995" s="509" t="b">
        <f t="shared" si="1508"/>
        <v>0</v>
      </c>
      <c r="Z1995" s="510">
        <f t="shared" si="1509"/>
        <v>0</v>
      </c>
      <c r="AA1995" s="511"/>
      <c r="AB1995" s="511" t="str">
        <f t="shared" si="1510"/>
        <v/>
      </c>
      <c r="AC1995" s="698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698"/>
      <c r="AE1995" s="631" t="str">
        <f t="shared" si="1511"/>
        <v/>
      </c>
      <c r="AF1995" s="699" t="str">
        <f t="shared" si="1512"/>
        <v/>
      </c>
      <c r="AG1995" s="699"/>
      <c r="AH1995" s="699"/>
      <c r="AI1995" s="512">
        <f>IF(H1995="credit",0,IF(AE1995="free",0,IF(AE1995="me",0,IF(G1995&gt;0,(VLOOKUP(A1995,'Discount Lookup'!J:K,2)*G1995),0))))</f>
        <v>0</v>
      </c>
      <c r="AJ1995" s="513" t="str">
        <f t="shared" ca="1" si="1513"/>
        <v/>
      </c>
      <c r="AK1995" s="700" t="str">
        <f t="shared" si="1514"/>
        <v/>
      </c>
      <c r="AL1995" s="700"/>
      <c r="AM1995" s="505" t="str">
        <f t="shared" si="1515"/>
        <v/>
      </c>
      <c r="AN1995" s="506"/>
      <c r="AO1995" s="507"/>
      <c r="AP1995" s="507"/>
      <c r="AQ1995" s="507"/>
      <c r="AR1995" s="507"/>
      <c r="AS1995" s="507"/>
      <c r="AT1995" s="507"/>
      <c r="AU1995" s="507"/>
      <c r="AV1995" s="225"/>
      <c r="AW1995" s="508"/>
      <c r="AX1995" s="225"/>
      <c r="AY1995" s="225"/>
      <c r="AZ1995" s="225"/>
      <c r="BA1995" s="225"/>
      <c r="BB1995" s="225"/>
      <c r="BC1995" s="56"/>
      <c r="BD1995" s="56"/>
      <c r="BE1995" s="56"/>
      <c r="BF1995" s="107" t="str">
        <f t="shared" si="1516"/>
        <v>https://www.google.com/search?tbm=isch&amp;q=1%20G6</v>
      </c>
      <c r="BG1995" s="107" t="str">
        <f t="shared" si="1517"/>
        <v>J</v>
      </c>
      <c r="BH1995" s="254"/>
      <c r="BI1995" s="254"/>
    </row>
    <row r="1996" spans="1:61" customFormat="1" ht="15.75" x14ac:dyDescent="0.25">
      <c r="A1996" s="485">
        <v>3</v>
      </c>
      <c r="B1996" s="486" t="s">
        <v>291</v>
      </c>
      <c r="C1996" s="487"/>
      <c r="D1996" s="488" t="s">
        <v>300</v>
      </c>
      <c r="E1996" s="489">
        <v>34.950000000000003</v>
      </c>
      <c r="F1996" s="516" t="s">
        <v>293</v>
      </c>
      <c r="G1996" s="232">
        <v>0</v>
      </c>
      <c r="H1996" s="658" t="str">
        <f>IF(G1996=0,"",IF(F1996="Buy",IF(G1996=1,"plant","plants"),IF(F1996&gt;0.01,"warranty","Error")))</f>
        <v/>
      </c>
      <c r="I1996" s="490">
        <f>IF(H1996="free",0,IF(H1996="credit",((E1996*(F1996))*G1996*-1),IF(F1996="Buy",(E1996*G1996),((E1996*(1-F1996))*G1996))))</f>
        <v>0</v>
      </c>
      <c r="J1996" s="490">
        <f>IF(H1996="warranty",0,(I1996*(_xlfn.SINGLE(SalesTaxPercentage))))</f>
        <v>0</v>
      </c>
      <c r="K1996" s="695">
        <f t="shared" ref="K1996" si="1552">I1996+J1996</f>
        <v>0</v>
      </c>
      <c r="L1996" s="695"/>
      <c r="M1996" s="659" t="str">
        <f>IF(AND(G1996&gt;0,E1996=0),"WARNING - no PRICE inserted",IF(H1996="free"," FREE ~ no charge this plant",IF(H1996="credit",CONCATENATE(" -$",ROUND(K1996*(1-T2GDiscount)*-1,2)," CREDIT after discount"),IF(T2GDiscount=0,"",IF(G1996=0,"",IF(F1996="Buy",CONCATENATE(" $",ROUND(K1996*(1-T2GDiscount),2)," with ",(T2GDiscount*100),"% discount"),CONCATENATE(" $",ROUND(K1996*(1-T2GDiscount),2)," with ",((T2GDiscount*100+F1996*100)-(T2GDiscount*100*F1996)),IF(F1996&gt;0,"% discounts",IF(NoWarrantyDiscount&gt;0,"% discounts","% discount")))))))))</f>
        <v/>
      </c>
      <c r="N1996" s="660"/>
      <c r="O1996" s="233"/>
      <c r="P1996" s="233"/>
      <c r="Q1996" s="233"/>
      <c r="R1996" s="233"/>
      <c r="S1996" s="233"/>
      <c r="T1996" s="508">
        <f t="shared" si="1505"/>
        <v>0</v>
      </c>
      <c r="U1996" s="225">
        <f>IF(NOT(ISNUMBER(G1996)), "", VLOOKUP(A1996,'Discount Lookup'!D:E,2,FALSE)*G1996)</f>
        <v>0</v>
      </c>
      <c r="V1996" s="225">
        <f>IF(NOT(ISNUMBER(G1996)), "", VLOOKUP(A1996,'Discount Lookup'!G:H,2,FALSE)*G1996)</f>
        <v>0</v>
      </c>
      <c r="W1996" s="508">
        <f t="shared" si="1506"/>
        <v>0</v>
      </c>
      <c r="X1996" s="508">
        <f t="shared" si="1507"/>
        <v>0</v>
      </c>
      <c r="Y1996" s="509" t="b">
        <f t="shared" si="1508"/>
        <v>0</v>
      </c>
      <c r="Z1996" s="510">
        <f t="shared" si="1509"/>
        <v>0</v>
      </c>
      <c r="AA1996" s="511"/>
      <c r="AB1996" s="511" t="str">
        <f t="shared" si="1510"/>
        <v/>
      </c>
      <c r="AC1996" s="698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698"/>
      <c r="AE1996" s="631" t="str">
        <f t="shared" si="1511"/>
        <v/>
      </c>
      <c r="AF1996" s="699" t="str">
        <f t="shared" si="1512"/>
        <v/>
      </c>
      <c r="AG1996" s="699"/>
      <c r="AH1996" s="699"/>
      <c r="AI1996" s="512">
        <f>IF(H1996="credit",0,IF(AE1996="free",0,IF(AE1996="me",0,IF(G1996&gt;0,(VLOOKUP(A1996,'Discount Lookup'!J:K,2)*G1996),0))))</f>
        <v>0</v>
      </c>
      <c r="AJ1996" s="513" t="str">
        <f t="shared" ca="1" si="1513"/>
        <v/>
      </c>
      <c r="AK1996" s="700" t="str">
        <f t="shared" si="1514"/>
        <v/>
      </c>
      <c r="AL1996" s="700"/>
      <c r="AM1996" s="505" t="str">
        <f t="shared" si="1515"/>
        <v/>
      </c>
      <c r="AN1996" s="506"/>
      <c r="AO1996" s="507"/>
      <c r="AP1996" s="507"/>
      <c r="AQ1996" s="507"/>
      <c r="AR1996" s="507"/>
      <c r="AS1996" s="507"/>
      <c r="AT1996" s="507"/>
      <c r="AU1996" s="507"/>
      <c r="AV1996" s="225"/>
      <c r="AW1996" s="508"/>
      <c r="AX1996" s="225"/>
      <c r="AY1996" s="225"/>
      <c r="AZ1996" s="225"/>
      <c r="BA1996" s="225"/>
      <c r="BB1996" s="225"/>
      <c r="BC1996" s="56"/>
      <c r="BD1996" s="56"/>
      <c r="BE1996" s="56"/>
      <c r="BF1996" s="107" t="str">
        <f t="shared" si="1516"/>
        <v>https://www.google.com/search?tbm=isch&amp;q=3%20G6</v>
      </c>
      <c r="BG1996" s="107" t="str">
        <f t="shared" si="1517"/>
        <v>J</v>
      </c>
      <c r="BH1996" s="254"/>
      <c r="BI1996" s="254"/>
    </row>
    <row r="1997" spans="1:61" customFormat="1" ht="16.5" thickBot="1" x14ac:dyDescent="0.3">
      <c r="A1997" s="672" t="s">
        <v>5146</v>
      </c>
      <c r="B1997" s="491"/>
      <c r="C1997" s="675"/>
      <c r="D1997" s="491"/>
      <c r="E1997" s="491"/>
      <c r="F1997" s="492"/>
      <c r="G1997" s="493"/>
      <c r="H1997" s="491"/>
      <c r="I1997" s="234"/>
      <c r="J1997" s="234"/>
      <c r="K1997" s="494"/>
      <c r="L1997" s="543"/>
      <c r="M1997" s="561"/>
      <c r="N1997" s="495"/>
      <c r="O1997" s="496"/>
      <c r="P1997" s="497"/>
      <c r="Q1997" s="495"/>
      <c r="R1997" s="495"/>
      <c r="S1997" s="277"/>
      <c r="T1997" s="508">
        <f t="shared" si="1505"/>
        <v>0</v>
      </c>
      <c r="U1997" s="225" t="str">
        <f>IF(NOT(ISNUMBER(G1997)), "", VLOOKUP(A1997,'Discount Lookup'!D:E,2,FALSE)*G1997)</f>
        <v/>
      </c>
      <c r="V1997" s="225" t="str">
        <f>IF(NOT(ISNUMBER(G1997)), "", VLOOKUP(A1997,'Discount Lookup'!G:H,2,FALSE)*G1997)</f>
        <v/>
      </c>
      <c r="W1997" s="508">
        <f t="shared" si="1506"/>
        <v>0</v>
      </c>
      <c r="X1997" s="508">
        <f t="shared" si="1507"/>
        <v>0</v>
      </c>
      <c r="Y1997" s="509" t="b">
        <f t="shared" si="1508"/>
        <v>0</v>
      </c>
      <c r="Z1997" s="510">
        <f t="shared" si="1509"/>
        <v>0</v>
      </c>
      <c r="AA1997" s="511"/>
      <c r="AB1997" s="511" t="str">
        <f t="shared" si="1510"/>
        <v/>
      </c>
      <c r="AC1997" s="698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698"/>
      <c r="AE1997" s="631" t="str">
        <f t="shared" si="1511"/>
        <v/>
      </c>
      <c r="AF1997" s="699" t="str">
        <f t="shared" si="1512"/>
        <v/>
      </c>
      <c r="AG1997" s="699"/>
      <c r="AH1997" s="699"/>
      <c r="AI1997" s="512">
        <f>IF(H1997="credit",0,IF(AE1997="free",0,IF(AE1997="me",0,IF(G1997&gt;0,(VLOOKUP(A1997,'Discount Lookup'!J:K,2)*G1997),0))))</f>
        <v>0</v>
      </c>
      <c r="AJ1997" s="513" t="str">
        <f t="shared" ca="1" si="1513"/>
        <v/>
      </c>
      <c r="AK1997" s="700" t="str">
        <f t="shared" si="1514"/>
        <v/>
      </c>
      <c r="AL1997" s="700"/>
      <c r="AM1997" s="505" t="str">
        <f t="shared" si="1515"/>
        <v/>
      </c>
      <c r="AN1997" s="506"/>
      <c r="AO1997" s="507"/>
      <c r="AP1997" s="507"/>
      <c r="AQ1997" s="507"/>
      <c r="AR1997" s="507"/>
      <c r="AS1997" s="507"/>
      <c r="AT1997" s="507"/>
      <c r="AU1997" s="507"/>
      <c r="AV1997" s="225"/>
      <c r="AW1997" s="508"/>
      <c r="AX1997" s="225"/>
      <c r="AY1997" s="225"/>
      <c r="AZ1997" s="225"/>
      <c r="BA1997" s="225"/>
      <c r="BB1997" s="225"/>
      <c r="BC1997" s="56"/>
      <c r="BD1997" s="56"/>
      <c r="BE1997" s="56"/>
      <c r="BF1997" s="107" t="str">
        <f t="shared" si="1516"/>
        <v>https://www.google.com/search?tbm=isch&amp;q=moist%20sites%F0%9F%92%A7GOOD%2C%20Holly%20Fern%20selected%20for%20its%20bold%2C%20holly-like%20leaflets%20and%20robust%20vase-shaped%20habit.%20Semi-evergreen%20</v>
      </c>
      <c r="BG1997" s="107" t="str">
        <f t="shared" si="1517"/>
        <v>m</v>
      </c>
      <c r="BH1997" s="254"/>
      <c r="BI1997" s="254"/>
    </row>
    <row r="1998" spans="1:61" customFormat="1" ht="18" x14ac:dyDescent="0.25">
      <c r="A1998" s="523" t="s">
        <v>4583</v>
      </c>
      <c r="B1998" s="235"/>
      <c r="C1998" s="676"/>
      <c r="D1998" s="255" t="s">
        <v>4584</v>
      </c>
      <c r="E1998" s="236"/>
      <c r="F1998" s="236"/>
      <c r="G1998" s="236"/>
      <c r="H1998" s="582" t="s">
        <v>1164</v>
      </c>
      <c r="I1998" s="498" t="s">
        <v>4585</v>
      </c>
      <c r="J1998" s="237"/>
      <c r="K1998" s="237"/>
      <c r="L1998" s="274"/>
      <c r="M1998" s="670" t="s">
        <v>4987</v>
      </c>
      <c r="N1998" s="681" t="str">
        <f>IF(AND(ISTEXT($A1998), ISERROR($A1998+0)), HYPERLINK($BF1998, "Images"), "")</f>
        <v>Images</v>
      </c>
      <c r="O1998" s="663" t="s">
        <v>4969</v>
      </c>
      <c r="P1998" s="253"/>
      <c r="Q1998" s="238"/>
      <c r="R1998" s="239"/>
      <c r="S1998" s="275"/>
      <c r="T1998" s="508">
        <f t="shared" ref="T1998:T2061" si="1553">E1998*G1998</f>
        <v>0</v>
      </c>
      <c r="U1998" s="225" t="str">
        <f>IF(NOT(ISNUMBER(G1998)), "", VLOOKUP(A1998,'Discount Lookup'!D:E,2,FALSE)*G1998)</f>
        <v/>
      </c>
      <c r="V1998" s="225" t="str">
        <f>IF(NOT(ISNUMBER(G1998)), "", VLOOKUP(A1998,'Discount Lookup'!G:H,2,FALSE)*G1998)</f>
        <v/>
      </c>
      <c r="W1998" s="508">
        <f t="shared" ref="W1998:W2061" si="1554">IF(H1998="credit",0,E1998*(SalesTaxPercentage)*G1998)</f>
        <v>0</v>
      </c>
      <c r="X1998" s="508" t="str">
        <f t="shared" ref="X1998:X2061" si="1555">I1998</f>
        <v>Silvery Green fronds</v>
      </c>
      <c r="Y1998" s="509" t="b">
        <f t="shared" ref="Y1998:Y2061" si="1556">IF(AE1998="T2G",0,IF(H1998="credit",0,IF(G1998&gt;0,IF(AE1998="me","",G1998))))</f>
        <v>0</v>
      </c>
      <c r="Z1998" s="510">
        <f t="shared" ref="Z1998:Z2061" si="1557">IF(H1998="credit",G1998,0)</f>
        <v>0</v>
      </c>
      <c r="AA1998" s="511"/>
      <c r="AB1998" s="511" t="str">
        <f t="shared" ref="AB1998:AB2061" si="1558">IF(AE1998="T2G","by Trees2Go",IF(H1998="credit","CREDIT only ~",IF(AND(K1998="",AE1998=OR(PlanterYesMe="No",PlanterYesMe="N",PlanterYesMe="me")),"not THIS line⇨",IF(AND(K1998="images",AE1998="me"),"not THIS line⇨",IF(H1998="credit","",IF(G1998=0,"",IF(AE1998="me","",IF(OR(PlanterYesMe="No",PlanterYesMe="N",PlanterYesMe="me"),"",IF(AE1998="free","warranty",IF(OR(PlanterYesMe="yes",PlanterYesMe="y"),"Edison install:","to install:"))))))))))</f>
        <v/>
      </c>
      <c r="AC1998" s="698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698"/>
      <c r="AE1998" s="631" t="str">
        <f t="shared" ref="AE1998:AE2061" si="1559">IF(H1998="credit","",IF(G1998=0,"",IF(OR(PlanterYesMe="No",PlanterYesMe="N",PlanterYesMe="me"),"me",IF(H1998="warranty","free",IF(OR(PlanterYesMe="yes",PlanterYesMe="y"),"ELP","")))))</f>
        <v/>
      </c>
      <c r="AF1998" s="699" t="str">
        <f t="shared" ref="AF1998:AF2061" si="1560">IF(OR(PlanterYesMe="No",PlanterYesMe="N",PlanterYesMe="me"),"",IF(H1998="credit","",IF(G1998&gt;0,(CONCATENATE((G1998)," quantity, ",(A1998)," ",B1998)),"")))</f>
        <v/>
      </c>
      <c r="AG1998" s="699"/>
      <c r="AH1998" s="699"/>
      <c r="AI1998" s="512">
        <f>IF(H1998="credit",0,IF(AE1998="free",0,IF(AE1998="me",0,IF(G1998&gt;0,(VLOOKUP(A1998,'Discount Lookup'!J:K,2)*G1998),0))))</f>
        <v>0</v>
      </c>
      <c r="AJ1998" s="513" t="str">
        <f t="shared" ref="AJ1998:AJ2061" ca="1" si="1561">IF(AND(ISREF(H1998),H1998="credit"),"",IF(AND(AND(OFFSET(G1998,0,0)=0,OFFSET(G1998,1,0)&gt;0,ISNUMBER(OFFSET(AC1998,1,0)),OFFSET(AC1998,1,0)&gt;0),OR(PlanterYesMe="yes",PlanterYesMe="y")),"T2G+ELP=",IF(AND(OFFSET(G1998,0,0)=0,OFFSET(G1998,1,0)&gt;0,ISNUMBER(OFFSET(AC1998,1,0)),OFFSET(AC1998,1,0)&gt;0),"if T2G+ELP=",IF(AND(OFFSET(G1998,0,0)=0,OFFSET(G1998,1,0)&gt;0),"T2G Subtotal",IF(H1998="credit","",IF(G1998=0,"",IF(AE1998="free",(K1998*(1-T2GDiscount)),IF(OR(PlanterYesMe="No",PlanterYesMe="N",PlanterYesMe="me"),(K1998*(1-T2GDiscount)),IF(OR(AE1998="me",AE1998="T2G"),(K1998*(1-T2GDiscount)),(K1998*(1-T2GDiscount))+AC1998)))))))))</f>
        <v/>
      </c>
      <c r="AK1998" s="700" t="str">
        <f t="shared" ref="AK1998:AK2061" si="1562">IF(H1998="credit","",IF(G1998=0,"",IF(OR(AE1998="me",AE1998="T2G"),"  delivery-only",IF(OR(PlanterYesMe="No",PlanterYesMe="N",PlanterYesMe="me"),"  delivery-only",CONCATENATE(" $",ROUND(AJ1998/G1998,2)," each")))))</f>
        <v/>
      </c>
      <c r="AL1998" s="700"/>
      <c r="AM1998" s="505" t="str">
        <f t="shared" ref="AM1998:AM2061" si="1563">IF(H1998="credit","",IF(AE1998="free","      ~ discounts included, no tax or planting fee applies ~",IF(G1998=0,"",IF(OR(PlanterYesMe="No",PlanterYesMe="N",PlanterYesMe="me"),CONCATENATE(" $",ROUND(AJ1998/G1998,2)," per plant, with tax &amp; discount"),IF(OR(AE1998="me",AE1998="T2G"),CONCATENATE(" $",ROUND(AJ1998/G1998,2)," per plant, with tax &amp; discount"),CONCATENATE("= $",ROUND((K1998*(1-T2GDiscount))/G1998,2)," per plant + $",AC1998/G1998,(" per planting      ~ includes tax &amp; discounts ~")))))))</f>
        <v/>
      </c>
      <c r="AN1998" s="506"/>
      <c r="AO1998" s="507"/>
      <c r="AP1998" s="507"/>
      <c r="AQ1998" s="507"/>
      <c r="AR1998" s="507"/>
      <c r="AS1998" s="507"/>
      <c r="AT1998" s="507"/>
      <c r="AU1998" s="507"/>
      <c r="AV1998" s="225"/>
      <c r="AW1998" s="508"/>
      <c r="AX1998" s="225"/>
      <c r="AY1998" s="225"/>
      <c r="AZ1998" s="225"/>
      <c r="BA1998" s="225"/>
      <c r="BB1998" s="225"/>
      <c r="BC1998" s="56"/>
      <c r="BD1998" s="56"/>
      <c r="BE1998" s="56"/>
      <c r="BF1998" s="107" t="str">
        <f t="shared" ref="BF1998:BF2061" si="1564">"https://www.google.com/search?tbm=isch&amp;q=" &amp; _xlfn.ENCODEURL($A1998 &amp; " " &amp; $D1998)</f>
        <v>https://www.google.com/search?tbm=isch&amp;q=Japanese%20Painted%20Fern%20Athyrium%20niponicum%20var.%20%27Pictum%27</v>
      </c>
      <c r="BG1998" s="107" t="str">
        <f t="shared" ref="BG1998:BG2061" si="1565">IF(ISTEXT(A1998),LEFT(A1998,1),BG1997)</f>
        <v>J</v>
      </c>
      <c r="BH1998" s="254"/>
      <c r="BI1998" s="254"/>
    </row>
    <row r="1999" spans="1:61" customFormat="1" ht="15.75" x14ac:dyDescent="0.25">
      <c r="A1999" s="276">
        <v>1</v>
      </c>
      <c r="B1999" s="240" t="s">
        <v>291</v>
      </c>
      <c r="C1999" s="241"/>
      <c r="D1999" s="242" t="s">
        <v>312</v>
      </c>
      <c r="E1999" s="243">
        <v>12.95</v>
      </c>
      <c r="F1999" s="517" t="s">
        <v>293</v>
      </c>
      <c r="G1999" s="232">
        <v>0</v>
      </c>
      <c r="H1999" s="661" t="str">
        <f>IF(G1999=0,"",IF(F1999="Buy",IF(G1999=1,"plant","plants"),IF(F1999&gt;0.01,"warranty","Error")))</f>
        <v/>
      </c>
      <c r="I1999" s="244">
        <f>IF(H1999="free",0,IF(H1999="credit",((E1999*(F1999))*G1999*-1),IF(F1999="Buy",(E1999*G1999),((E1999*(1-F1999))*G1999))))</f>
        <v>0</v>
      </c>
      <c r="J1999" s="244">
        <f>IF(H1999="warranty",0,(I1999*(_xlfn.SINGLE(SalesTaxPercentage))))</f>
        <v>0</v>
      </c>
      <c r="K1999" s="696">
        <f t="shared" ref="K1999" si="1566">I1999+J1999</f>
        <v>0</v>
      </c>
      <c r="L1999" s="696"/>
      <c r="M1999" s="659" t="str">
        <f>IF(AND(G1999&gt;0,E1999=0),"WARNING - no PRICE inserted",IF(H1999="free"," FREE ~ no charge this plant",IF(H1999="credit",CONCATENATE(" -$",ROUND(K1999*(1-T2GDiscount)*-1,2)," CREDIT after discount"),IF(T2GDiscount=0,"",IF(G1999=0,"",IF(F1999="Buy",CONCATENATE(" $",ROUND(K1999*(1-T2GDiscount),2)," with ",(T2GDiscount*100),"% discount"),CONCATENATE(" $",ROUND(K1999*(1-T2GDiscount),2)," with ",((T2GDiscount*100+F1999*100)-(T2GDiscount*100*F1999)),IF(F1999&gt;0,"% discounts",IF(NoWarrantyDiscount&gt;0,"% discounts","% discount")))))))))</f>
        <v/>
      </c>
      <c r="N1999" s="660"/>
      <c r="O1999" s="233"/>
      <c r="P1999" s="233"/>
      <c r="Q1999" s="233"/>
      <c r="R1999" s="233"/>
      <c r="S1999" s="233"/>
      <c r="T1999" s="508">
        <f t="shared" si="1553"/>
        <v>0</v>
      </c>
      <c r="U1999" s="225">
        <f>IF(NOT(ISNUMBER(G1999)), "", VLOOKUP(A1999,'Discount Lookup'!D:E,2,FALSE)*G1999)</f>
        <v>0</v>
      </c>
      <c r="V1999" s="225">
        <f>IF(NOT(ISNUMBER(G1999)), "", VLOOKUP(A1999,'Discount Lookup'!G:H,2,FALSE)*G1999)</f>
        <v>0</v>
      </c>
      <c r="W1999" s="508">
        <f t="shared" si="1554"/>
        <v>0</v>
      </c>
      <c r="X1999" s="508">
        <f t="shared" si="1555"/>
        <v>0</v>
      </c>
      <c r="Y1999" s="509" t="b">
        <f t="shared" si="1556"/>
        <v>0</v>
      </c>
      <c r="Z1999" s="510">
        <f t="shared" si="1557"/>
        <v>0</v>
      </c>
      <c r="AA1999" s="511"/>
      <c r="AB1999" s="511" t="str">
        <f t="shared" si="1558"/>
        <v/>
      </c>
      <c r="AC1999" s="698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698"/>
      <c r="AE1999" s="631" t="str">
        <f t="shared" si="1559"/>
        <v/>
      </c>
      <c r="AF1999" s="699" t="str">
        <f t="shared" si="1560"/>
        <v/>
      </c>
      <c r="AG1999" s="699"/>
      <c r="AH1999" s="699"/>
      <c r="AI1999" s="512">
        <f>IF(H1999="credit",0,IF(AE1999="free",0,IF(AE1999="me",0,IF(G1999&gt;0,(VLOOKUP(A1999,'Discount Lookup'!J:K,2)*G1999),0))))</f>
        <v>0</v>
      </c>
      <c r="AJ1999" s="513" t="str">
        <f t="shared" ca="1" si="1561"/>
        <v/>
      </c>
      <c r="AK1999" s="700" t="str">
        <f t="shared" si="1562"/>
        <v/>
      </c>
      <c r="AL1999" s="700"/>
      <c r="AM1999" s="505" t="str">
        <f t="shared" si="1563"/>
        <v/>
      </c>
      <c r="AN1999" s="506"/>
      <c r="AO1999" s="507"/>
      <c r="AP1999" s="507"/>
      <c r="AQ1999" s="507"/>
      <c r="AR1999" s="507"/>
      <c r="AS1999" s="507"/>
      <c r="AT1999" s="507"/>
      <c r="AU1999" s="507"/>
      <c r="AV1999" s="225"/>
      <c r="AW1999" s="508"/>
      <c r="AX1999" s="225"/>
      <c r="AY1999" s="225"/>
      <c r="AZ1999" s="225"/>
      <c r="BA1999" s="225"/>
      <c r="BB1999" s="225"/>
      <c r="BC1999" s="56"/>
      <c r="BD1999" s="56"/>
      <c r="BE1999" s="56"/>
      <c r="BF1999" s="107" t="str">
        <f t="shared" si="1564"/>
        <v>https://www.google.com/search?tbm=isch&amp;q=1%20G2</v>
      </c>
      <c r="BG1999" s="107" t="str">
        <f t="shared" si="1565"/>
        <v>J</v>
      </c>
      <c r="BH1999" s="254"/>
      <c r="BI1999" s="254"/>
    </row>
    <row r="2000" spans="1:61" customFormat="1" ht="17.25" thickBot="1" x14ac:dyDescent="0.3">
      <c r="A2000" s="673" t="s">
        <v>5147</v>
      </c>
      <c r="B2000" s="245"/>
      <c r="C2000" s="677"/>
      <c r="D2000" s="499"/>
      <c r="E2000" s="499"/>
      <c r="F2000" s="500"/>
      <c r="G2000" s="501"/>
      <c r="H2000" s="502"/>
      <c r="I2000" s="246"/>
      <c r="J2000" s="247"/>
      <c r="K2000" s="503"/>
      <c r="L2000" s="544"/>
      <c r="M2000" s="544"/>
      <c r="N2000" s="500"/>
      <c r="O2000" s="500"/>
      <c r="P2000" s="500"/>
      <c r="Q2000" s="500"/>
      <c r="R2000" s="500"/>
      <c r="S2000" s="669" t="s">
        <v>4993</v>
      </c>
      <c r="T2000" s="508">
        <f t="shared" si="1553"/>
        <v>0</v>
      </c>
      <c r="U2000" s="225" t="str">
        <f>IF(NOT(ISNUMBER(G2000)), "", VLOOKUP(A2000,'Discount Lookup'!D:E,2,FALSE)*G2000)</f>
        <v/>
      </c>
      <c r="V2000" s="225" t="str">
        <f>IF(NOT(ISNUMBER(G2000)), "", VLOOKUP(A2000,'Discount Lookup'!G:H,2,FALSE)*G2000)</f>
        <v/>
      </c>
      <c r="W2000" s="508">
        <f t="shared" si="1554"/>
        <v>0</v>
      </c>
      <c r="X2000" s="508">
        <f t="shared" si="1555"/>
        <v>0</v>
      </c>
      <c r="Y2000" s="509" t="b">
        <f t="shared" si="1556"/>
        <v>0</v>
      </c>
      <c r="Z2000" s="510">
        <f t="shared" si="1557"/>
        <v>0</v>
      </c>
      <c r="AA2000" s="511"/>
      <c r="AB2000" s="511" t="str">
        <f t="shared" si="1558"/>
        <v/>
      </c>
      <c r="AC2000" s="698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698"/>
      <c r="AE2000" s="631" t="str">
        <f t="shared" si="1559"/>
        <v/>
      </c>
      <c r="AF2000" s="699" t="str">
        <f t="shared" si="1560"/>
        <v/>
      </c>
      <c r="AG2000" s="699"/>
      <c r="AH2000" s="699"/>
      <c r="AI2000" s="512">
        <f>IF(H2000="credit",0,IF(AE2000="free",0,IF(AE2000="me",0,IF(G2000&gt;0,(VLOOKUP(A2000,'Discount Lookup'!J:K,2)*G2000),0))))</f>
        <v>0</v>
      </c>
      <c r="AJ2000" s="513" t="str">
        <f t="shared" ca="1" si="1561"/>
        <v/>
      </c>
      <c r="AK2000" s="700" t="str">
        <f t="shared" si="1562"/>
        <v/>
      </c>
      <c r="AL2000" s="700"/>
      <c r="AM2000" s="505" t="str">
        <f t="shared" si="1563"/>
        <v/>
      </c>
      <c r="AN2000" s="506"/>
      <c r="AO2000" s="507"/>
      <c r="AP2000" s="507"/>
      <c r="AQ2000" s="507"/>
      <c r="AR2000" s="507"/>
      <c r="AS2000" s="507"/>
      <c r="AT2000" s="507"/>
      <c r="AU2000" s="507"/>
      <c r="AV2000" s="225"/>
      <c r="AW2000" s="508"/>
      <c r="AX2000" s="225"/>
      <c r="AY2000" s="225"/>
      <c r="AZ2000" s="225"/>
      <c r="BA2000" s="225"/>
      <c r="BB2000" s="225"/>
      <c r="BC2000" s="56"/>
      <c r="BD2000" s="56"/>
      <c r="BE2000" s="56"/>
      <c r="BF2000" s="107" t="str">
        <f t="shared" si="1564"/>
        <v>https://www.google.com/search?tbm=isch&amp;q=moist%20sites%F0%9F%92%A7GOOD%2C%20Japanese%20Painted%20Fern%20has%20a%20lovely%20Silvering%20in%20spring%2C%20becoming%20Greener%20with%20heat.%20Shade%20garden%20standout%20</v>
      </c>
      <c r="BG2000" s="107" t="str">
        <f t="shared" si="1565"/>
        <v>m</v>
      </c>
      <c r="BH2000" s="254"/>
      <c r="BI2000" s="254"/>
    </row>
    <row r="2001" spans="1:61" customFormat="1" ht="18" x14ac:dyDescent="0.25">
      <c r="A2001" s="521" t="s">
        <v>1165</v>
      </c>
      <c r="B2001" s="477"/>
      <c r="C2001" s="674"/>
      <c r="D2001" s="478" t="s">
        <v>1166</v>
      </c>
      <c r="E2001" s="479"/>
      <c r="F2001" s="479"/>
      <c r="G2001" s="479"/>
      <c r="H2001" s="582" t="s">
        <v>463</v>
      </c>
      <c r="I2001" s="480" t="s">
        <v>2093</v>
      </c>
      <c r="J2001" s="479"/>
      <c r="K2001" s="479"/>
      <c r="L2001" s="560"/>
      <c r="M2001" s="671" t="s">
        <v>4985</v>
      </c>
      <c r="N2001" s="680" t="str">
        <f>IF(AND(ISTEXT($A2001), ISERROR($A2001+0)), HYPERLINK($BF2001, "Images"), "")</f>
        <v>Images</v>
      </c>
      <c r="O2001" s="662" t="s">
        <v>4969</v>
      </c>
      <c r="P2001" s="482"/>
      <c r="Q2001" s="483"/>
      <c r="R2001" s="483"/>
      <c r="S2001" s="484"/>
      <c r="T2001" s="508">
        <f t="shared" si="1553"/>
        <v>0</v>
      </c>
      <c r="U2001" s="225" t="str">
        <f>IF(NOT(ISNUMBER(G2001)), "", VLOOKUP(A2001,'Discount Lookup'!D:E,2,FALSE)*G2001)</f>
        <v/>
      </c>
      <c r="V2001" s="225" t="str">
        <f>IF(NOT(ISNUMBER(G2001)), "", VLOOKUP(A2001,'Discount Lookup'!G:H,2,FALSE)*G2001)</f>
        <v/>
      </c>
      <c r="W2001" s="508">
        <f t="shared" si="1554"/>
        <v>0</v>
      </c>
      <c r="X2001" s="508" t="str">
        <f t="shared" si="1555"/>
        <v>Dark Green foliage</v>
      </c>
      <c r="Y2001" s="509" t="b">
        <f t="shared" si="1556"/>
        <v>0</v>
      </c>
      <c r="Z2001" s="510">
        <f t="shared" si="1557"/>
        <v>0</v>
      </c>
      <c r="AA2001" s="511"/>
      <c r="AB2001" s="511" t="str">
        <f t="shared" si="1558"/>
        <v/>
      </c>
      <c r="AC2001" s="698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698"/>
      <c r="AE2001" s="631" t="str">
        <f t="shared" si="1559"/>
        <v/>
      </c>
      <c r="AF2001" s="699" t="str">
        <f t="shared" si="1560"/>
        <v/>
      </c>
      <c r="AG2001" s="699"/>
      <c r="AH2001" s="699"/>
      <c r="AI2001" s="512">
        <f>IF(H2001="credit",0,IF(AE2001="free",0,IF(AE2001="me",0,IF(G2001&gt;0,(VLOOKUP(A2001,'Discount Lookup'!J:K,2)*G2001),0))))</f>
        <v>0</v>
      </c>
      <c r="AJ2001" s="513" t="str">
        <f t="shared" ca="1" si="1561"/>
        <v/>
      </c>
      <c r="AK2001" s="700" t="str">
        <f t="shared" si="1562"/>
        <v/>
      </c>
      <c r="AL2001" s="700"/>
      <c r="AM2001" s="505" t="str">
        <f t="shared" si="1563"/>
        <v/>
      </c>
      <c r="AN2001" s="506"/>
      <c r="AO2001" s="507"/>
      <c r="AP2001" s="507"/>
      <c r="AQ2001" s="507"/>
      <c r="AR2001" s="507"/>
      <c r="AS2001" s="507"/>
      <c r="AT2001" s="507"/>
      <c r="AU2001" s="507"/>
      <c r="AV2001" s="225"/>
      <c r="AW2001" s="508"/>
      <c r="AX2001" s="225"/>
      <c r="AY2001" s="225"/>
      <c r="AZ2001" s="225"/>
      <c r="BA2001" s="225"/>
      <c r="BB2001" s="225"/>
      <c r="BC2001" s="56"/>
      <c r="BD2001" s="56"/>
      <c r="BE2001" s="56"/>
      <c r="BF2001" s="107" t="str">
        <f t="shared" si="1564"/>
        <v>https://www.google.com/search?tbm=isch&amp;q=Japanese%20Plum%20Yew%20Cephalotaxus%20harringtonia</v>
      </c>
      <c r="BG2001" s="107" t="str">
        <f t="shared" si="1565"/>
        <v>J</v>
      </c>
      <c r="BH2001" s="254"/>
      <c r="BI2001" s="254"/>
    </row>
    <row r="2002" spans="1:61" customFormat="1" ht="27" x14ac:dyDescent="0.25">
      <c r="A2002" s="485">
        <v>7</v>
      </c>
      <c r="B2002" s="486" t="s">
        <v>291</v>
      </c>
      <c r="C2002" s="487" t="s">
        <v>3582</v>
      </c>
      <c r="D2002" s="488" t="s">
        <v>292</v>
      </c>
      <c r="E2002" s="489">
        <v>109.95</v>
      </c>
      <c r="F2002" s="516" t="s">
        <v>293</v>
      </c>
      <c r="G2002" s="232">
        <v>0</v>
      </c>
      <c r="H2002" s="658" t="str">
        <f>IF(G2002=0,"",IF(F2002="Buy",IF(G2002=1,"plant","plants"),IF(F2002&gt;0.01,"warranty","Error")))</f>
        <v/>
      </c>
      <c r="I2002" s="490">
        <f>IF(H2002="free",0,IF(H2002="credit",((E2002*(F2002))*G2002*-1),IF(F2002="Buy",(E2002*G2002),((E2002*(1-F2002))*G2002))))</f>
        <v>0</v>
      </c>
      <c r="J2002" s="490">
        <f>IF(H2002="warranty",0,(I2002*(_xlfn.SINGLE(SalesTaxPercentage))))</f>
        <v>0</v>
      </c>
      <c r="K2002" s="695">
        <f t="shared" ref="K2002" si="1567">I2002+J2002</f>
        <v>0</v>
      </c>
      <c r="L2002" s="695"/>
      <c r="M2002" s="659" t="str">
        <f>IF(AND(G2002&gt;0,E2002=0),"WARNING - no PRICE inserted",IF(H2002="free"," FREE ~ no charge this plant",IF(H2002="credit",CONCATENATE(" -$",ROUND(K2002*(1-T2GDiscount)*-1,2)," CREDIT after discount"),IF(T2GDiscount=0,"",IF(G2002=0,"",IF(F2002="Buy",CONCATENATE(" $",ROUND(K2002*(1-T2GDiscount),2)," with ",(T2GDiscount*100),"% discount"),CONCATENATE(" $",ROUND(K2002*(1-T2GDiscount),2)," with ",((T2GDiscount*100+F2002*100)-(T2GDiscount*100*F2002)),IF(F2002&gt;0,"% discounts",IF(NoWarrantyDiscount&gt;0,"% discounts","% discount")))))))))</f>
        <v/>
      </c>
      <c r="N2002" s="660"/>
      <c r="O2002" s="233"/>
      <c r="P2002" s="233"/>
      <c r="Q2002" s="233"/>
      <c r="R2002" s="233"/>
      <c r="S2002" s="233"/>
      <c r="T2002" s="508">
        <f t="shared" si="1553"/>
        <v>0</v>
      </c>
      <c r="U2002" s="225">
        <f>IF(NOT(ISNUMBER(G2002)), "", VLOOKUP(A2002,'Discount Lookup'!D:E,2,FALSE)*G2002)</f>
        <v>0</v>
      </c>
      <c r="V2002" s="225">
        <f>IF(NOT(ISNUMBER(G2002)), "", VLOOKUP(A2002,'Discount Lookup'!G:H,2,FALSE)*G2002)</f>
        <v>0</v>
      </c>
      <c r="W2002" s="508">
        <f t="shared" si="1554"/>
        <v>0</v>
      </c>
      <c r="X2002" s="508">
        <f t="shared" si="1555"/>
        <v>0</v>
      </c>
      <c r="Y2002" s="509" t="b">
        <f t="shared" si="1556"/>
        <v>0</v>
      </c>
      <c r="Z2002" s="510">
        <f t="shared" si="1557"/>
        <v>0</v>
      </c>
      <c r="AA2002" s="511"/>
      <c r="AB2002" s="511" t="str">
        <f t="shared" si="1558"/>
        <v/>
      </c>
      <c r="AC2002" s="698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698"/>
      <c r="AE2002" s="631" t="str">
        <f t="shared" si="1559"/>
        <v/>
      </c>
      <c r="AF2002" s="699" t="str">
        <f t="shared" si="1560"/>
        <v/>
      </c>
      <c r="AG2002" s="699"/>
      <c r="AH2002" s="699"/>
      <c r="AI2002" s="512">
        <f>IF(H2002="credit",0,IF(AE2002="free",0,IF(AE2002="me",0,IF(G2002&gt;0,(VLOOKUP(A2002,'Discount Lookup'!J:K,2)*G2002),0))))</f>
        <v>0</v>
      </c>
      <c r="AJ2002" s="513" t="str">
        <f t="shared" ca="1" si="1561"/>
        <v/>
      </c>
      <c r="AK2002" s="700" t="str">
        <f t="shared" si="1562"/>
        <v/>
      </c>
      <c r="AL2002" s="700"/>
      <c r="AM2002" s="505" t="str">
        <f t="shared" si="1563"/>
        <v/>
      </c>
      <c r="AN2002" s="506"/>
      <c r="AO2002" s="507"/>
      <c r="AP2002" s="507"/>
      <c r="AQ2002" s="507"/>
      <c r="AR2002" s="507"/>
      <c r="AS2002" s="507"/>
      <c r="AT2002" s="507"/>
      <c r="AU2002" s="507"/>
      <c r="AV2002" s="225"/>
      <c r="AW2002" s="508"/>
      <c r="AX2002" s="225"/>
      <c r="AY2002" s="225"/>
      <c r="AZ2002" s="225"/>
      <c r="BA2002" s="225"/>
      <c r="BB2002" s="225"/>
      <c r="BC2002" s="56"/>
      <c r="BD2002" s="56"/>
      <c r="BE2002" s="56"/>
      <c r="BF2002" s="107" t="str">
        <f t="shared" si="1564"/>
        <v>https://www.google.com/search?tbm=isch&amp;q=7%20G4</v>
      </c>
      <c r="BG2002" s="107" t="str">
        <f t="shared" si="1565"/>
        <v>J</v>
      </c>
      <c r="BH2002" s="254"/>
      <c r="BI2002" s="254"/>
    </row>
    <row r="2003" spans="1:61" customFormat="1" ht="17.25" thickBot="1" x14ac:dyDescent="0.3">
      <c r="A2003" s="522" t="s">
        <v>2876</v>
      </c>
      <c r="B2003" s="491"/>
      <c r="C2003" s="675"/>
      <c r="D2003" s="491"/>
      <c r="E2003" s="491"/>
      <c r="F2003" s="492"/>
      <c r="G2003" s="493"/>
      <c r="H2003" s="491"/>
      <c r="I2003" s="234"/>
      <c r="J2003" s="234"/>
      <c r="K2003" s="494"/>
      <c r="L2003" s="543"/>
      <c r="M2003" s="561"/>
      <c r="N2003" s="495"/>
      <c r="O2003" s="496"/>
      <c r="P2003" s="497"/>
      <c r="Q2003" s="495"/>
      <c r="R2003" s="495"/>
      <c r="S2003" s="667" t="s">
        <v>5009</v>
      </c>
      <c r="T2003" s="508">
        <f t="shared" si="1553"/>
        <v>0</v>
      </c>
      <c r="U2003" s="225" t="str">
        <f>IF(NOT(ISNUMBER(G2003)), "", VLOOKUP(A2003,'Discount Lookup'!D:E,2,FALSE)*G2003)</f>
        <v/>
      </c>
      <c r="V2003" s="225" t="str">
        <f>IF(NOT(ISNUMBER(G2003)), "", VLOOKUP(A2003,'Discount Lookup'!G:H,2,FALSE)*G2003)</f>
        <v/>
      </c>
      <c r="W2003" s="508">
        <f t="shared" si="1554"/>
        <v>0</v>
      </c>
      <c r="X2003" s="508">
        <f t="shared" si="1555"/>
        <v>0</v>
      </c>
      <c r="Y2003" s="509" t="b">
        <f t="shared" si="1556"/>
        <v>0</v>
      </c>
      <c r="Z2003" s="510">
        <f t="shared" si="1557"/>
        <v>0</v>
      </c>
      <c r="AA2003" s="511"/>
      <c r="AB2003" s="511" t="str">
        <f t="shared" si="1558"/>
        <v/>
      </c>
      <c r="AC2003" s="698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698"/>
      <c r="AE2003" s="631" t="str">
        <f t="shared" si="1559"/>
        <v/>
      </c>
      <c r="AF2003" s="699" t="str">
        <f t="shared" si="1560"/>
        <v/>
      </c>
      <c r="AG2003" s="699"/>
      <c r="AH2003" s="699"/>
      <c r="AI2003" s="512">
        <f>IF(H2003="credit",0,IF(AE2003="free",0,IF(AE2003="me",0,IF(G2003&gt;0,(VLOOKUP(A2003,'Discount Lookup'!J:K,2)*G2003),0))))</f>
        <v>0</v>
      </c>
      <c r="AJ2003" s="513" t="str">
        <f t="shared" ca="1" si="1561"/>
        <v/>
      </c>
      <c r="AK2003" s="700" t="str">
        <f t="shared" si="1562"/>
        <v/>
      </c>
      <c r="AL2003" s="700"/>
      <c r="AM2003" s="505" t="str">
        <f t="shared" si="1563"/>
        <v/>
      </c>
      <c r="AN2003" s="506"/>
      <c r="AO2003" s="507"/>
      <c r="AP2003" s="507"/>
      <c r="AQ2003" s="507"/>
      <c r="AR2003" s="507"/>
      <c r="AS2003" s="507"/>
      <c r="AT2003" s="507"/>
      <c r="AU2003" s="507"/>
      <c r="AV2003" s="225"/>
      <c r="AW2003" s="508"/>
      <c r="AX2003" s="225"/>
      <c r="AY2003" s="225"/>
      <c r="AZ2003" s="225"/>
      <c r="BA2003" s="225"/>
      <c r="BB2003" s="225"/>
      <c r="BC2003" s="56"/>
      <c r="BD2003" s="56"/>
      <c r="BE2003" s="56"/>
      <c r="BF2003" s="107" t="str">
        <f t="shared" si="1564"/>
        <v>https://www.google.com/search?tbm=isch&amp;q=All%20Plum%20Yews%20have%20fine-textured%20foliage%20with%20brown%2C%20scaly%20bark.%20Slow%20growing%2C%20heat%20and%20shade%20tolerant%20</v>
      </c>
      <c r="BG2003" s="107" t="str">
        <f t="shared" si="1565"/>
        <v>A</v>
      </c>
      <c r="BH2003" s="254"/>
      <c r="BI2003" s="254"/>
    </row>
    <row r="2004" spans="1:61" customFormat="1" ht="18" x14ac:dyDescent="0.25">
      <c r="A2004" s="523" t="s">
        <v>1167</v>
      </c>
      <c r="B2004" s="235"/>
      <c r="C2004" s="676"/>
      <c r="D2004" s="255" t="s">
        <v>1168</v>
      </c>
      <c r="E2004" s="236"/>
      <c r="F2004" s="236"/>
      <c r="G2004" s="236"/>
      <c r="H2004" s="582" t="s">
        <v>370</v>
      </c>
      <c r="I2004" s="498" t="s">
        <v>654</v>
      </c>
      <c r="J2004" s="237"/>
      <c r="K2004" s="237"/>
      <c r="L2004" s="274"/>
      <c r="M2004" s="668" t="s">
        <v>4975</v>
      </c>
      <c r="N2004" s="681" t="str">
        <f>IF(AND(ISTEXT($A2004), ISERROR($A2004+0)), HYPERLINK($BF2004, "Images"), "")</f>
        <v>Images</v>
      </c>
      <c r="O2004" s="663" t="s">
        <v>4969</v>
      </c>
      <c r="P2004" s="253"/>
      <c r="Q2004" s="238"/>
      <c r="R2004" s="239"/>
      <c r="S2004" s="275"/>
      <c r="T2004" s="508">
        <f t="shared" si="1553"/>
        <v>0</v>
      </c>
      <c r="U2004" s="225" t="str">
        <f>IF(NOT(ISNUMBER(G2004)), "", VLOOKUP(A2004,'Discount Lookup'!D:E,2,FALSE)*G2004)</f>
        <v/>
      </c>
      <c r="V2004" s="225" t="str">
        <f>IF(NOT(ISNUMBER(G2004)), "", VLOOKUP(A2004,'Discount Lookup'!G:H,2,FALSE)*G2004)</f>
        <v/>
      </c>
      <c r="W2004" s="508">
        <f t="shared" si="1554"/>
        <v>0</v>
      </c>
      <c r="X2004" s="508" t="str">
        <f t="shared" si="1555"/>
        <v>White bloom</v>
      </c>
      <c r="Y2004" s="509" t="b">
        <f t="shared" si="1556"/>
        <v>0</v>
      </c>
      <c r="Z2004" s="510">
        <f t="shared" si="1557"/>
        <v>0</v>
      </c>
      <c r="AA2004" s="511"/>
      <c r="AB2004" s="511" t="str">
        <f t="shared" si="1558"/>
        <v/>
      </c>
      <c r="AC2004" s="698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698"/>
      <c r="AE2004" s="631" t="str">
        <f t="shared" si="1559"/>
        <v/>
      </c>
      <c r="AF2004" s="699" t="str">
        <f t="shared" si="1560"/>
        <v/>
      </c>
      <c r="AG2004" s="699"/>
      <c r="AH2004" s="699"/>
      <c r="AI2004" s="512">
        <f>IF(H2004="credit",0,IF(AE2004="free",0,IF(AE2004="me",0,IF(G2004&gt;0,(VLOOKUP(A2004,'Discount Lookup'!J:K,2)*G2004),0))))</f>
        <v>0</v>
      </c>
      <c r="AJ2004" s="513" t="str">
        <f t="shared" ca="1" si="1561"/>
        <v/>
      </c>
      <c r="AK2004" s="700" t="str">
        <f t="shared" si="1562"/>
        <v/>
      </c>
      <c r="AL2004" s="700"/>
      <c r="AM2004" s="505" t="str">
        <f t="shared" si="1563"/>
        <v/>
      </c>
      <c r="AN2004" s="506"/>
      <c r="AO2004" s="507"/>
      <c r="AP2004" s="507"/>
      <c r="AQ2004" s="507"/>
      <c r="AR2004" s="507"/>
      <c r="AS2004" s="507"/>
      <c r="AT2004" s="507"/>
      <c r="AU2004" s="507"/>
      <c r="AV2004" s="225"/>
      <c r="AW2004" s="508"/>
      <c r="AX2004" s="225"/>
      <c r="AY2004" s="225"/>
      <c r="AZ2004" s="225"/>
      <c r="BA2004" s="225"/>
      <c r="BB2004" s="225"/>
      <c r="BC2004" s="56"/>
      <c r="BD2004" s="56"/>
      <c r="BE2004" s="56"/>
      <c r="BF2004" s="107" t="str">
        <f t="shared" si="1564"/>
        <v>https://www.google.com/search?tbm=isch&amp;q=Japanese%20Snowbell%20Styrax%20japonicus</v>
      </c>
      <c r="BG2004" s="107" t="str">
        <f t="shared" si="1565"/>
        <v>J</v>
      </c>
      <c r="BH2004" s="254"/>
      <c r="BI2004" s="254"/>
    </row>
    <row r="2005" spans="1:61" customFormat="1" ht="27" x14ac:dyDescent="0.25">
      <c r="A2005" s="276">
        <v>7</v>
      </c>
      <c r="B2005" s="240" t="s">
        <v>291</v>
      </c>
      <c r="C2005" s="241" t="s">
        <v>3583</v>
      </c>
      <c r="D2005" s="242" t="s">
        <v>292</v>
      </c>
      <c r="E2005" s="243">
        <v>95.95</v>
      </c>
      <c r="F2005" s="517" t="s">
        <v>293</v>
      </c>
      <c r="G2005" s="232">
        <v>0</v>
      </c>
      <c r="H2005" s="661" t="str">
        <f>IF(G2005=0,"",IF(F2005="Buy",IF(G2005=1,"plant","plants"),IF(F2005&gt;0.01,"warranty","Error")))</f>
        <v/>
      </c>
      <c r="I2005" s="244">
        <f>IF(H2005="free",0,IF(H2005="credit",((E2005*(F2005))*G2005*-1),IF(F2005="Buy",(E2005*G2005),((E2005*(1-F2005))*G2005))))</f>
        <v>0</v>
      </c>
      <c r="J2005" s="244">
        <f>IF(H2005="warranty",0,(I2005*(_xlfn.SINGLE(SalesTaxPercentage))))</f>
        <v>0</v>
      </c>
      <c r="K2005" s="696">
        <f t="shared" ref="K2005" si="1568">I2005+J2005</f>
        <v>0</v>
      </c>
      <c r="L2005" s="696"/>
      <c r="M2005" s="659" t="str">
        <f>IF(AND(G2005&gt;0,E2005=0),"WARNING - no PRICE inserted",IF(H2005="free"," FREE ~ no charge this plant",IF(H2005="credit",CONCATENATE(" -$",ROUND(K2005*(1-T2GDiscount)*-1,2)," CREDIT after discount"),IF(T2GDiscount=0,"",IF(G2005=0,"",IF(F2005="Buy",CONCATENATE(" $",ROUND(K2005*(1-T2GDiscount),2)," with ",(T2GDiscount*100),"% discount"),CONCATENATE(" $",ROUND(K2005*(1-T2GDiscount),2)," with ",((T2GDiscount*100+F2005*100)-(T2GDiscount*100*F2005)),IF(F2005&gt;0,"% discounts",IF(NoWarrantyDiscount&gt;0,"% discounts","% discount")))))))))</f>
        <v/>
      </c>
      <c r="N2005" s="660"/>
      <c r="O2005" s="233"/>
      <c r="P2005" s="233"/>
      <c r="Q2005" s="233"/>
      <c r="R2005" s="233"/>
      <c r="S2005" s="233"/>
      <c r="T2005" s="508">
        <f t="shared" si="1553"/>
        <v>0</v>
      </c>
      <c r="U2005" s="225">
        <f>IF(NOT(ISNUMBER(G2005)), "", VLOOKUP(A2005,'Discount Lookup'!D:E,2,FALSE)*G2005)</f>
        <v>0</v>
      </c>
      <c r="V2005" s="225">
        <f>IF(NOT(ISNUMBER(G2005)), "", VLOOKUP(A2005,'Discount Lookup'!G:H,2,FALSE)*G2005)</f>
        <v>0</v>
      </c>
      <c r="W2005" s="508">
        <f t="shared" si="1554"/>
        <v>0</v>
      </c>
      <c r="X2005" s="508">
        <f t="shared" si="1555"/>
        <v>0</v>
      </c>
      <c r="Y2005" s="509" t="b">
        <f t="shared" si="1556"/>
        <v>0</v>
      </c>
      <c r="Z2005" s="510">
        <f t="shared" si="1557"/>
        <v>0</v>
      </c>
      <c r="AA2005" s="511"/>
      <c r="AB2005" s="511" t="str">
        <f t="shared" si="1558"/>
        <v/>
      </c>
      <c r="AC2005" s="698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698"/>
      <c r="AE2005" s="631" t="str">
        <f t="shared" si="1559"/>
        <v/>
      </c>
      <c r="AF2005" s="699" t="str">
        <f t="shared" si="1560"/>
        <v/>
      </c>
      <c r="AG2005" s="699"/>
      <c r="AH2005" s="699"/>
      <c r="AI2005" s="512">
        <f>IF(H2005="credit",0,IF(AE2005="free",0,IF(AE2005="me",0,IF(G2005&gt;0,(VLOOKUP(A2005,'Discount Lookup'!J:K,2)*G2005),0))))</f>
        <v>0</v>
      </c>
      <c r="AJ2005" s="513" t="str">
        <f t="shared" ca="1" si="1561"/>
        <v/>
      </c>
      <c r="AK2005" s="700" t="str">
        <f t="shared" si="1562"/>
        <v/>
      </c>
      <c r="AL2005" s="700"/>
      <c r="AM2005" s="505" t="str">
        <f t="shared" si="1563"/>
        <v/>
      </c>
      <c r="AN2005" s="506"/>
      <c r="AO2005" s="507"/>
      <c r="AP2005" s="507"/>
      <c r="AQ2005" s="507"/>
      <c r="AR2005" s="507"/>
      <c r="AS2005" s="507"/>
      <c r="AT2005" s="507"/>
      <c r="AU2005" s="507"/>
      <c r="AV2005" s="225"/>
      <c r="AW2005" s="508"/>
      <c r="AX2005" s="225"/>
      <c r="AY2005" s="225"/>
      <c r="AZ2005" s="225"/>
      <c r="BA2005" s="225"/>
      <c r="BB2005" s="225"/>
      <c r="BC2005" s="56"/>
      <c r="BD2005" s="56"/>
      <c r="BE2005" s="56"/>
      <c r="BF2005" s="107" t="str">
        <f t="shared" si="1564"/>
        <v>https://www.google.com/search?tbm=isch&amp;q=7%20G4</v>
      </c>
      <c r="BG2005" s="107" t="str">
        <f t="shared" si="1565"/>
        <v>J</v>
      </c>
      <c r="BH2005" s="254"/>
      <c r="BI2005" s="254"/>
    </row>
    <row r="2006" spans="1:61" customFormat="1" ht="15.75" x14ac:dyDescent="0.25">
      <c r="A2006" s="276">
        <v>7</v>
      </c>
      <c r="B2006" s="240" t="s">
        <v>291</v>
      </c>
      <c r="C2006" s="241" t="s">
        <v>358</v>
      </c>
      <c r="D2006" s="242" t="s">
        <v>312</v>
      </c>
      <c r="E2006" s="243">
        <v>113.95</v>
      </c>
      <c r="F2006" s="517" t="s">
        <v>293</v>
      </c>
      <c r="G2006" s="232">
        <v>0</v>
      </c>
      <c r="H2006" s="661" t="str">
        <f>IF(G2006=0,"",IF(F2006="Buy",IF(G2006=1,"plant","plants"),IF(F2006&gt;0.01,"warranty","Error")))</f>
        <v/>
      </c>
      <c r="I2006" s="244">
        <f>IF(H2006="free",0,IF(H2006="credit",((E2006*(F2006))*G2006*-1),IF(F2006="Buy",(E2006*G2006),((E2006*(1-F2006))*G2006))))</f>
        <v>0</v>
      </c>
      <c r="J2006" s="244">
        <f>IF(H2006="warranty",0,(I2006*(_xlfn.SINGLE(SalesTaxPercentage))))</f>
        <v>0</v>
      </c>
      <c r="K2006" s="696">
        <f t="shared" ref="K2006" si="1569">I2006+J2006</f>
        <v>0</v>
      </c>
      <c r="L2006" s="696"/>
      <c r="M2006" s="659" t="str">
        <f>IF(AND(G2006&gt;0,E2006=0),"WARNING - no PRICE inserted",IF(H2006="free"," FREE ~ no charge this plant",IF(H2006="credit",CONCATENATE(" -$",ROUND(K2006*(1-T2GDiscount)*-1,2)," CREDIT after discount"),IF(T2GDiscount=0,"",IF(G2006=0,"",IF(F2006="Buy",CONCATENATE(" $",ROUND(K2006*(1-T2GDiscount),2)," with ",(T2GDiscount*100),"% discount"),CONCATENATE(" $",ROUND(K2006*(1-T2GDiscount),2)," with ",((T2GDiscount*100+F2006*100)-(T2GDiscount*100*F2006)),IF(F2006&gt;0,"% discounts",IF(NoWarrantyDiscount&gt;0,"% discounts","% discount")))))))))</f>
        <v/>
      </c>
      <c r="N2006" s="660"/>
      <c r="O2006" s="233"/>
      <c r="P2006" s="233"/>
      <c r="Q2006" s="233"/>
      <c r="R2006" s="233"/>
      <c r="S2006" s="233"/>
      <c r="T2006" s="508">
        <f t="shared" si="1553"/>
        <v>0</v>
      </c>
      <c r="U2006" s="225">
        <f>IF(NOT(ISNUMBER(G2006)), "", VLOOKUP(A2006,'Discount Lookup'!D:E,2,FALSE)*G2006)</f>
        <v>0</v>
      </c>
      <c r="V2006" s="225">
        <f>IF(NOT(ISNUMBER(G2006)), "", VLOOKUP(A2006,'Discount Lookup'!G:H,2,FALSE)*G2006)</f>
        <v>0</v>
      </c>
      <c r="W2006" s="508">
        <f t="shared" si="1554"/>
        <v>0</v>
      </c>
      <c r="X2006" s="508">
        <f t="shared" si="1555"/>
        <v>0</v>
      </c>
      <c r="Y2006" s="509" t="b">
        <f t="shared" si="1556"/>
        <v>0</v>
      </c>
      <c r="Z2006" s="510">
        <f t="shared" si="1557"/>
        <v>0</v>
      </c>
      <c r="AA2006" s="511"/>
      <c r="AB2006" s="511" t="str">
        <f t="shared" si="1558"/>
        <v/>
      </c>
      <c r="AC2006" s="698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698"/>
      <c r="AE2006" s="631" t="str">
        <f t="shared" si="1559"/>
        <v/>
      </c>
      <c r="AF2006" s="699" t="str">
        <f t="shared" si="1560"/>
        <v/>
      </c>
      <c r="AG2006" s="699"/>
      <c r="AH2006" s="699"/>
      <c r="AI2006" s="512">
        <f>IF(H2006="credit",0,IF(AE2006="free",0,IF(AE2006="me",0,IF(G2006&gt;0,(VLOOKUP(A2006,'Discount Lookup'!J:K,2)*G2006),0))))</f>
        <v>0</v>
      </c>
      <c r="AJ2006" s="513" t="str">
        <f t="shared" ca="1" si="1561"/>
        <v/>
      </c>
      <c r="AK2006" s="700" t="str">
        <f t="shared" si="1562"/>
        <v/>
      </c>
      <c r="AL2006" s="700"/>
      <c r="AM2006" s="505" t="str">
        <f t="shared" si="1563"/>
        <v/>
      </c>
      <c r="AN2006" s="506"/>
      <c r="AO2006" s="507"/>
      <c r="AP2006" s="507"/>
      <c r="AQ2006" s="507"/>
      <c r="AR2006" s="507"/>
      <c r="AS2006" s="507"/>
      <c r="AT2006" s="507"/>
      <c r="AU2006" s="507"/>
      <c r="AV2006" s="225"/>
      <c r="AW2006" s="508"/>
      <c r="AX2006" s="225"/>
      <c r="AY2006" s="225"/>
      <c r="AZ2006" s="225"/>
      <c r="BA2006" s="225"/>
      <c r="BB2006" s="225"/>
      <c r="BC2006" s="56"/>
      <c r="BD2006" s="56"/>
      <c r="BE2006" s="56"/>
      <c r="BF2006" s="107" t="str">
        <f t="shared" si="1564"/>
        <v>https://www.google.com/search?tbm=isch&amp;q=7%20G2</v>
      </c>
      <c r="BG2006" s="107" t="str">
        <f t="shared" si="1565"/>
        <v>J</v>
      </c>
      <c r="BH2006" s="254"/>
      <c r="BI2006" s="254"/>
    </row>
    <row r="2007" spans="1:61" customFormat="1" ht="15.75" x14ac:dyDescent="0.25">
      <c r="A2007" s="276">
        <v>15</v>
      </c>
      <c r="B2007" s="240" t="s">
        <v>291</v>
      </c>
      <c r="C2007" s="241" t="s">
        <v>3584</v>
      </c>
      <c r="D2007" s="242" t="s">
        <v>292</v>
      </c>
      <c r="E2007" s="243">
        <v>173.95</v>
      </c>
      <c r="F2007" s="517" t="s">
        <v>293</v>
      </c>
      <c r="G2007" s="232">
        <v>0</v>
      </c>
      <c r="H2007" s="661" t="str">
        <f>IF(G2007=0,"",IF(F2007="Buy",IF(G2007=1,"plant","plants"),IF(F2007&gt;0.01,"warranty","Error")))</f>
        <v/>
      </c>
      <c r="I2007" s="244">
        <f>IF(H2007="free",0,IF(H2007="credit",((E2007*(F2007))*G2007*-1),IF(F2007="Buy",(E2007*G2007),((E2007*(1-F2007))*G2007))))</f>
        <v>0</v>
      </c>
      <c r="J2007" s="244">
        <f>IF(H2007="warranty",0,(I2007*(_xlfn.SINGLE(SalesTaxPercentage))))</f>
        <v>0</v>
      </c>
      <c r="K2007" s="696">
        <f t="shared" ref="K2007" si="1570">I2007+J2007</f>
        <v>0</v>
      </c>
      <c r="L2007" s="696"/>
      <c r="M2007" s="659" t="str">
        <f>IF(AND(G2007&gt;0,E2007=0),"WARNING - no PRICE inserted",IF(H2007="free"," FREE ~ no charge this plant",IF(H2007="credit",CONCATENATE(" -$",ROUND(K2007*(1-T2GDiscount)*-1,2)," CREDIT after discount"),IF(T2GDiscount=0,"",IF(G2007=0,"",IF(F2007="Buy",CONCATENATE(" $",ROUND(K2007*(1-T2GDiscount),2)," with ",(T2GDiscount*100),"% discount"),CONCATENATE(" $",ROUND(K2007*(1-T2GDiscount),2)," with ",((T2GDiscount*100+F2007*100)-(T2GDiscount*100*F2007)),IF(F2007&gt;0,"% discounts",IF(NoWarrantyDiscount&gt;0,"% discounts","% discount")))))))))</f>
        <v/>
      </c>
      <c r="N2007" s="660"/>
      <c r="O2007" s="233"/>
      <c r="P2007" s="233"/>
      <c r="Q2007" s="233"/>
      <c r="R2007" s="233"/>
      <c r="S2007" s="233"/>
      <c r="T2007" s="508">
        <f t="shared" si="1553"/>
        <v>0</v>
      </c>
      <c r="U2007" s="225">
        <f>IF(NOT(ISNUMBER(G2007)), "", VLOOKUP(A2007,'Discount Lookup'!D:E,2,FALSE)*G2007)</f>
        <v>0</v>
      </c>
      <c r="V2007" s="225">
        <f>IF(NOT(ISNUMBER(G2007)), "", VLOOKUP(A2007,'Discount Lookup'!G:H,2,FALSE)*G2007)</f>
        <v>0</v>
      </c>
      <c r="W2007" s="508">
        <f t="shared" si="1554"/>
        <v>0</v>
      </c>
      <c r="X2007" s="508">
        <f t="shared" si="1555"/>
        <v>0</v>
      </c>
      <c r="Y2007" s="509" t="b">
        <f t="shared" si="1556"/>
        <v>0</v>
      </c>
      <c r="Z2007" s="510">
        <f t="shared" si="1557"/>
        <v>0</v>
      </c>
      <c r="AA2007" s="511"/>
      <c r="AB2007" s="511" t="str">
        <f t="shared" si="1558"/>
        <v/>
      </c>
      <c r="AC2007" s="698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698"/>
      <c r="AE2007" s="631" t="str">
        <f t="shared" si="1559"/>
        <v/>
      </c>
      <c r="AF2007" s="699" t="str">
        <f t="shared" si="1560"/>
        <v/>
      </c>
      <c r="AG2007" s="699"/>
      <c r="AH2007" s="699"/>
      <c r="AI2007" s="512">
        <f>IF(H2007="credit",0,IF(AE2007="free",0,IF(AE2007="me",0,IF(G2007&gt;0,(VLOOKUP(A2007,'Discount Lookup'!J:K,2)*G2007),0))))</f>
        <v>0</v>
      </c>
      <c r="AJ2007" s="513" t="str">
        <f t="shared" ca="1" si="1561"/>
        <v/>
      </c>
      <c r="AK2007" s="700" t="str">
        <f t="shared" si="1562"/>
        <v/>
      </c>
      <c r="AL2007" s="700"/>
      <c r="AM2007" s="505" t="str">
        <f t="shared" si="1563"/>
        <v/>
      </c>
      <c r="AN2007" s="506"/>
      <c r="AO2007" s="507"/>
      <c r="AP2007" s="507"/>
      <c r="AQ2007" s="507"/>
      <c r="AR2007" s="507"/>
      <c r="AS2007" s="507"/>
      <c r="AT2007" s="507"/>
      <c r="AU2007" s="507"/>
      <c r="AV2007" s="225"/>
      <c r="AW2007" s="508"/>
      <c r="AX2007" s="225"/>
      <c r="AY2007" s="225"/>
      <c r="AZ2007" s="225"/>
      <c r="BA2007" s="225"/>
      <c r="BB2007" s="225"/>
      <c r="BC2007" s="56"/>
      <c r="BD2007" s="56"/>
      <c r="BE2007" s="56"/>
      <c r="BF2007" s="107" t="str">
        <f t="shared" si="1564"/>
        <v>https://www.google.com/search?tbm=isch&amp;q=15%20G4</v>
      </c>
      <c r="BG2007" s="107" t="str">
        <f t="shared" si="1565"/>
        <v>J</v>
      </c>
      <c r="BH2007" s="254"/>
      <c r="BI2007" s="254"/>
    </row>
    <row r="2008" spans="1:61" customFormat="1" ht="15.75" x14ac:dyDescent="0.25">
      <c r="A2008" s="276">
        <v>15</v>
      </c>
      <c r="B2008" s="240" t="s">
        <v>291</v>
      </c>
      <c r="C2008" s="241" t="s">
        <v>3078</v>
      </c>
      <c r="D2008" s="242" t="s">
        <v>300</v>
      </c>
      <c r="E2008" s="243">
        <v>269.95</v>
      </c>
      <c r="F2008" s="517" t="s">
        <v>293</v>
      </c>
      <c r="G2008" s="232">
        <v>0</v>
      </c>
      <c r="H2008" s="661" t="str">
        <f>IF(G2008=0,"",IF(F2008="Buy",IF(G2008=1,"plant","plants"),IF(F2008&gt;0.01,"warranty","Error")))</f>
        <v/>
      </c>
      <c r="I2008" s="244">
        <f>IF(H2008="free",0,IF(H2008="credit",((E2008*(F2008))*G2008*-1),IF(F2008="Buy",(E2008*G2008),((E2008*(1-F2008))*G2008))))</f>
        <v>0</v>
      </c>
      <c r="J2008" s="244">
        <f>IF(H2008="warranty",0,(I2008*(_xlfn.SINGLE(SalesTaxPercentage))))</f>
        <v>0</v>
      </c>
      <c r="K2008" s="696">
        <f t="shared" ref="K2008" si="1571">I2008+J2008</f>
        <v>0</v>
      </c>
      <c r="L2008" s="696"/>
      <c r="M2008" s="659" t="str">
        <f>IF(AND(G2008&gt;0,E2008=0),"WARNING - no PRICE inserted",IF(H2008="free"," FREE ~ no charge this plant",IF(H2008="credit",CONCATENATE(" -$",ROUND(K2008*(1-T2GDiscount)*-1,2)," CREDIT after discount"),IF(T2GDiscount=0,"",IF(G2008=0,"",IF(F2008="Buy",CONCATENATE(" $",ROUND(K2008*(1-T2GDiscount),2)," with ",(T2GDiscount*100),"% discount"),CONCATENATE(" $",ROUND(K2008*(1-T2GDiscount),2)," with ",((T2GDiscount*100+F2008*100)-(T2GDiscount*100*F2008)),IF(F2008&gt;0,"% discounts",IF(NoWarrantyDiscount&gt;0,"% discounts","% discount")))))))))</f>
        <v/>
      </c>
      <c r="N2008" s="660"/>
      <c r="O2008" s="233"/>
      <c r="P2008" s="233"/>
      <c r="Q2008" s="233"/>
      <c r="R2008" s="233"/>
      <c r="S2008" s="233"/>
      <c r="T2008" s="508">
        <f t="shared" si="1553"/>
        <v>0</v>
      </c>
      <c r="U2008" s="225">
        <f>IF(NOT(ISNUMBER(G2008)), "", VLOOKUP(A2008,'Discount Lookup'!D:E,2,FALSE)*G2008)</f>
        <v>0</v>
      </c>
      <c r="V2008" s="225">
        <f>IF(NOT(ISNUMBER(G2008)), "", VLOOKUP(A2008,'Discount Lookup'!G:H,2,FALSE)*G2008)</f>
        <v>0</v>
      </c>
      <c r="W2008" s="508">
        <f t="shared" si="1554"/>
        <v>0</v>
      </c>
      <c r="X2008" s="508">
        <f t="shared" si="1555"/>
        <v>0</v>
      </c>
      <c r="Y2008" s="509" t="b">
        <f t="shared" si="1556"/>
        <v>0</v>
      </c>
      <c r="Z2008" s="510">
        <f t="shared" si="1557"/>
        <v>0</v>
      </c>
      <c r="AA2008" s="511"/>
      <c r="AB2008" s="511" t="str">
        <f t="shared" si="1558"/>
        <v/>
      </c>
      <c r="AC2008" s="698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698"/>
      <c r="AE2008" s="631" t="str">
        <f t="shared" si="1559"/>
        <v/>
      </c>
      <c r="AF2008" s="699" t="str">
        <f t="shared" si="1560"/>
        <v/>
      </c>
      <c r="AG2008" s="699"/>
      <c r="AH2008" s="699"/>
      <c r="AI2008" s="512">
        <f>IF(H2008="credit",0,IF(AE2008="free",0,IF(AE2008="me",0,IF(G2008&gt;0,(VLOOKUP(A2008,'Discount Lookup'!J:K,2)*G2008),0))))</f>
        <v>0</v>
      </c>
      <c r="AJ2008" s="513" t="str">
        <f t="shared" ca="1" si="1561"/>
        <v/>
      </c>
      <c r="AK2008" s="700" t="str">
        <f t="shared" si="1562"/>
        <v/>
      </c>
      <c r="AL2008" s="700"/>
      <c r="AM2008" s="505" t="str">
        <f t="shared" si="1563"/>
        <v/>
      </c>
      <c r="AN2008" s="506"/>
      <c r="AO2008" s="507"/>
      <c r="AP2008" s="507"/>
      <c r="AQ2008" s="507"/>
      <c r="AR2008" s="507"/>
      <c r="AS2008" s="507"/>
      <c r="AT2008" s="507"/>
      <c r="AU2008" s="507"/>
      <c r="AV2008" s="225"/>
      <c r="AW2008" s="508"/>
      <c r="AX2008" s="225"/>
      <c r="AY2008" s="225"/>
      <c r="AZ2008" s="225"/>
      <c r="BA2008" s="225"/>
      <c r="BB2008" s="225"/>
      <c r="BC2008" s="56"/>
      <c r="BD2008" s="56"/>
      <c r="BE2008" s="56"/>
      <c r="BF2008" s="107" t="str">
        <f t="shared" si="1564"/>
        <v>https://www.google.com/search?tbm=isch&amp;q=15%20G6</v>
      </c>
      <c r="BG2008" s="107" t="str">
        <f t="shared" si="1565"/>
        <v>J</v>
      </c>
      <c r="BH2008" s="254"/>
      <c r="BI2008" s="254"/>
    </row>
    <row r="2009" spans="1:61" customFormat="1" ht="17.25" thickBot="1" x14ac:dyDescent="0.3">
      <c r="A2009" s="673" t="s">
        <v>5148</v>
      </c>
      <c r="B2009" s="245"/>
      <c r="C2009" s="677"/>
      <c r="D2009" s="499"/>
      <c r="E2009" s="499"/>
      <c r="F2009" s="500"/>
      <c r="G2009" s="501"/>
      <c r="H2009" s="502"/>
      <c r="I2009" s="246"/>
      <c r="J2009" s="247"/>
      <c r="K2009" s="503"/>
      <c r="L2009" s="544"/>
      <c r="M2009" s="544"/>
      <c r="N2009" s="500"/>
      <c r="O2009" s="500"/>
      <c r="P2009" s="500"/>
      <c r="Q2009" s="500"/>
      <c r="R2009" s="500"/>
      <c r="S2009" s="669" t="s">
        <v>4972</v>
      </c>
      <c r="T2009" s="508">
        <f t="shared" si="1553"/>
        <v>0</v>
      </c>
      <c r="U2009" s="225" t="str">
        <f>IF(NOT(ISNUMBER(G2009)), "", VLOOKUP(A2009,'Discount Lookup'!D:E,2,FALSE)*G2009)</f>
        <v/>
      </c>
      <c r="V2009" s="225" t="str">
        <f>IF(NOT(ISNUMBER(G2009)), "", VLOOKUP(A2009,'Discount Lookup'!G:H,2,FALSE)*G2009)</f>
        <v/>
      </c>
      <c r="W2009" s="508">
        <f t="shared" si="1554"/>
        <v>0</v>
      </c>
      <c r="X2009" s="508">
        <f t="shared" si="1555"/>
        <v>0</v>
      </c>
      <c r="Y2009" s="509" t="b">
        <f t="shared" si="1556"/>
        <v>0</v>
      </c>
      <c r="Z2009" s="510">
        <f t="shared" si="1557"/>
        <v>0</v>
      </c>
      <c r="AA2009" s="511"/>
      <c r="AB2009" s="511" t="str">
        <f t="shared" si="1558"/>
        <v/>
      </c>
      <c r="AC2009" s="698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698"/>
      <c r="AE2009" s="631" t="str">
        <f t="shared" si="1559"/>
        <v/>
      </c>
      <c r="AF2009" s="699" t="str">
        <f t="shared" si="1560"/>
        <v/>
      </c>
      <c r="AG2009" s="699"/>
      <c r="AH2009" s="699"/>
      <c r="AI2009" s="512">
        <f>IF(H2009="credit",0,IF(AE2009="free",0,IF(AE2009="me",0,IF(G2009&gt;0,(VLOOKUP(A2009,'Discount Lookup'!J:K,2)*G2009),0))))</f>
        <v>0</v>
      </c>
      <c r="AJ2009" s="513" t="str">
        <f t="shared" ca="1" si="1561"/>
        <v/>
      </c>
      <c r="AK2009" s="700" t="str">
        <f t="shared" si="1562"/>
        <v/>
      </c>
      <c r="AL2009" s="700"/>
      <c r="AM2009" s="505" t="str">
        <f t="shared" si="1563"/>
        <v/>
      </c>
      <c r="AN2009" s="506"/>
      <c r="AO2009" s="507"/>
      <c r="AP2009" s="507"/>
      <c r="AQ2009" s="507"/>
      <c r="AR2009" s="507"/>
      <c r="AS2009" s="507"/>
      <c r="AT2009" s="507"/>
      <c r="AU2009" s="507"/>
      <c r="AV2009" s="225"/>
      <c r="AW2009" s="508"/>
      <c r="AX2009" s="225"/>
      <c r="AY2009" s="225"/>
      <c r="AZ2009" s="225"/>
      <c r="BA2009" s="225"/>
      <c r="BB2009" s="225"/>
      <c r="BC2009" s="56"/>
      <c r="BD2009" s="56"/>
      <c r="BE2009" s="56"/>
      <c r="BF2009" s="107" t="str">
        <f t="shared" si="1564"/>
        <v>https://www.google.com/search?tbm=isch&amp;q=moist%20sites%F0%9F%92%A7GOOD%2C%20Snowbell%20has%20pendulous%20clusters%20of%20fragrant%20bell-shaped%20flowers.%20Don%27t%20confuse%20with%20Snowball%20Viburnum%20</v>
      </c>
      <c r="BG2009" s="107" t="str">
        <f t="shared" si="1565"/>
        <v>m</v>
      </c>
      <c r="BH2009" s="254"/>
      <c r="BI2009" s="254"/>
    </row>
    <row r="2010" spans="1:61" customFormat="1" ht="18" x14ac:dyDescent="0.25">
      <c r="A2010" s="523" t="s">
        <v>1169</v>
      </c>
      <c r="B2010" s="235"/>
      <c r="C2010" s="676"/>
      <c r="D2010" s="255" t="s">
        <v>1170</v>
      </c>
      <c r="E2010" s="236"/>
      <c r="F2010" s="236"/>
      <c r="G2010" s="236"/>
      <c r="H2010" s="582" t="s">
        <v>419</v>
      </c>
      <c r="I2010" s="498" t="s">
        <v>2413</v>
      </c>
      <c r="J2010" s="237"/>
      <c r="K2010" s="237"/>
      <c r="L2010" s="274"/>
      <c r="M2010" s="670" t="s">
        <v>4973</v>
      </c>
      <c r="N2010" s="681" t="str">
        <f>IF(AND(ISTEXT($A2010), ISERROR($A2010+0)), HYPERLINK($BF2010, "Images"), "")</f>
        <v>Images</v>
      </c>
      <c r="O2010" s="663" t="s">
        <v>4967</v>
      </c>
      <c r="P2010" s="253"/>
      <c r="Q2010" s="238"/>
      <c r="R2010" s="239"/>
      <c r="S2010" s="275"/>
      <c r="T2010" s="508">
        <f t="shared" si="1553"/>
        <v>0</v>
      </c>
      <c r="U2010" s="225" t="str">
        <f>IF(NOT(ISNUMBER(G2010)), "", VLOOKUP(A2010,'Discount Lookup'!D:E,2,FALSE)*G2010)</f>
        <v/>
      </c>
      <c r="V2010" s="225" t="str">
        <f>IF(NOT(ISNUMBER(G2010)), "", VLOOKUP(A2010,'Discount Lookup'!G:H,2,FALSE)*G2010)</f>
        <v/>
      </c>
      <c r="W2010" s="508">
        <f t="shared" si="1554"/>
        <v>0</v>
      </c>
      <c r="X2010" s="508" t="str">
        <f t="shared" si="1555"/>
        <v>White bloom, Yellow stamen</v>
      </c>
      <c r="Y2010" s="509" t="b">
        <f t="shared" si="1556"/>
        <v>0</v>
      </c>
      <c r="Z2010" s="510">
        <f t="shared" si="1557"/>
        <v>0</v>
      </c>
      <c r="AA2010" s="511"/>
      <c r="AB2010" s="511" t="str">
        <f t="shared" si="1558"/>
        <v/>
      </c>
      <c r="AC2010" s="698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698"/>
      <c r="AE2010" s="631" t="str">
        <f t="shared" si="1559"/>
        <v/>
      </c>
      <c r="AF2010" s="699" t="str">
        <f t="shared" si="1560"/>
        <v/>
      </c>
      <c r="AG2010" s="699"/>
      <c r="AH2010" s="699"/>
      <c r="AI2010" s="512">
        <f>IF(H2010="credit",0,IF(AE2010="free",0,IF(AE2010="me",0,IF(G2010&gt;0,(VLOOKUP(A2010,'Discount Lookup'!J:K,2)*G2010),0))))</f>
        <v>0</v>
      </c>
      <c r="AJ2010" s="513" t="str">
        <f t="shared" ca="1" si="1561"/>
        <v/>
      </c>
      <c r="AK2010" s="700" t="str">
        <f t="shared" si="1562"/>
        <v/>
      </c>
      <c r="AL2010" s="700"/>
      <c r="AM2010" s="505" t="str">
        <f t="shared" si="1563"/>
        <v/>
      </c>
      <c r="AN2010" s="506"/>
      <c r="AO2010" s="507"/>
      <c r="AP2010" s="507"/>
      <c r="AQ2010" s="507"/>
      <c r="AR2010" s="507"/>
      <c r="AS2010" s="507"/>
      <c r="AT2010" s="507"/>
      <c r="AU2010" s="507"/>
      <c r="AV2010" s="225"/>
      <c r="AW2010" s="508"/>
      <c r="AX2010" s="225"/>
      <c r="AY2010" s="225"/>
      <c r="AZ2010" s="225"/>
      <c r="BA2010" s="225"/>
      <c r="BB2010" s="225"/>
      <c r="BC2010" s="56"/>
      <c r="BD2010" s="56"/>
      <c r="BE2010" s="56"/>
      <c r="BF2010" s="107" t="str">
        <f t="shared" si="1564"/>
        <v>https://www.google.com/search?tbm=isch&amp;q=Japanese%20Stewartia%20Stewartia%20pseudocamellia</v>
      </c>
      <c r="BG2010" s="107" t="str">
        <f t="shared" si="1565"/>
        <v>J</v>
      </c>
      <c r="BH2010" s="254"/>
      <c r="BI2010" s="254"/>
    </row>
    <row r="2011" spans="1:61" customFormat="1" ht="15.75" x14ac:dyDescent="0.25">
      <c r="A2011" s="276">
        <v>7</v>
      </c>
      <c r="B2011" s="240" t="s">
        <v>291</v>
      </c>
      <c r="C2011" s="241" t="s">
        <v>4420</v>
      </c>
      <c r="D2011" s="242" t="s">
        <v>292</v>
      </c>
      <c r="E2011" s="243">
        <v>155.94999999999999</v>
      </c>
      <c r="F2011" s="517" t="s">
        <v>293</v>
      </c>
      <c r="G2011" s="232">
        <v>0</v>
      </c>
      <c r="H2011" s="661" t="str">
        <f>IF(G2011=0,"",IF(F2011="Buy",IF(G2011=1,"plant","plants"),IF(F2011&gt;0.01,"warranty","Error")))</f>
        <v/>
      </c>
      <c r="I2011" s="244">
        <f>IF(H2011="free",0,IF(H2011="credit",((E2011*(F2011))*G2011*-1),IF(F2011="Buy",(E2011*G2011),((E2011*(1-F2011))*G2011))))</f>
        <v>0</v>
      </c>
      <c r="J2011" s="244">
        <f>IF(H2011="warranty",0,(I2011*(_xlfn.SINGLE(SalesTaxPercentage))))</f>
        <v>0</v>
      </c>
      <c r="K2011" s="696">
        <f t="shared" ref="K2011" si="1572">I2011+J2011</f>
        <v>0</v>
      </c>
      <c r="L2011" s="696"/>
      <c r="M2011" s="659" t="str">
        <f>IF(AND(G2011&gt;0,E2011=0),"WARNING - no PRICE inserted",IF(H2011="free"," FREE ~ no charge this plant",IF(H2011="credit",CONCATENATE(" -$",ROUND(K2011*(1-T2GDiscount)*-1,2)," CREDIT after discount"),IF(T2GDiscount=0,"",IF(G2011=0,"",IF(F2011="Buy",CONCATENATE(" $",ROUND(K2011*(1-T2GDiscount),2)," with ",(T2GDiscount*100),"% discount"),CONCATENATE(" $",ROUND(K2011*(1-T2GDiscount),2)," with ",((T2GDiscount*100+F2011*100)-(T2GDiscount*100*F2011)),IF(F2011&gt;0,"% discounts",IF(NoWarrantyDiscount&gt;0,"% discounts","% discount")))))))))</f>
        <v/>
      </c>
      <c r="N2011" s="660"/>
      <c r="O2011" s="233"/>
      <c r="P2011" s="233"/>
      <c r="Q2011" s="233"/>
      <c r="R2011" s="233"/>
      <c r="S2011" s="233"/>
      <c r="T2011" s="508">
        <f t="shared" si="1553"/>
        <v>0</v>
      </c>
      <c r="U2011" s="225">
        <f>IF(NOT(ISNUMBER(G2011)), "", VLOOKUP(A2011,'Discount Lookup'!D:E,2,FALSE)*G2011)</f>
        <v>0</v>
      </c>
      <c r="V2011" s="225">
        <f>IF(NOT(ISNUMBER(G2011)), "", VLOOKUP(A2011,'Discount Lookup'!G:H,2,FALSE)*G2011)</f>
        <v>0</v>
      </c>
      <c r="W2011" s="508">
        <f t="shared" si="1554"/>
        <v>0</v>
      </c>
      <c r="X2011" s="508">
        <f t="shared" si="1555"/>
        <v>0</v>
      </c>
      <c r="Y2011" s="509" t="b">
        <f t="shared" si="1556"/>
        <v>0</v>
      </c>
      <c r="Z2011" s="510">
        <f t="shared" si="1557"/>
        <v>0</v>
      </c>
      <c r="AA2011" s="511"/>
      <c r="AB2011" s="511" t="str">
        <f t="shared" si="1558"/>
        <v/>
      </c>
      <c r="AC2011" s="698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698"/>
      <c r="AE2011" s="631" t="str">
        <f t="shared" si="1559"/>
        <v/>
      </c>
      <c r="AF2011" s="699" t="str">
        <f t="shared" si="1560"/>
        <v/>
      </c>
      <c r="AG2011" s="699"/>
      <c r="AH2011" s="699"/>
      <c r="AI2011" s="512">
        <f>IF(H2011="credit",0,IF(AE2011="free",0,IF(AE2011="me",0,IF(G2011&gt;0,(VLOOKUP(A2011,'Discount Lookup'!J:K,2)*G2011),0))))</f>
        <v>0</v>
      </c>
      <c r="AJ2011" s="513" t="str">
        <f t="shared" ca="1" si="1561"/>
        <v/>
      </c>
      <c r="AK2011" s="700" t="str">
        <f t="shared" si="1562"/>
        <v/>
      </c>
      <c r="AL2011" s="700"/>
      <c r="AM2011" s="505" t="str">
        <f t="shared" si="1563"/>
        <v/>
      </c>
      <c r="AN2011" s="506"/>
      <c r="AO2011" s="507"/>
      <c r="AP2011" s="507"/>
      <c r="AQ2011" s="507"/>
      <c r="AR2011" s="507"/>
      <c r="AS2011" s="507"/>
      <c r="AT2011" s="507"/>
      <c r="AU2011" s="507"/>
      <c r="AV2011" s="225"/>
      <c r="AW2011" s="508"/>
      <c r="AX2011" s="225"/>
      <c r="AY2011" s="225"/>
      <c r="AZ2011" s="225"/>
      <c r="BA2011" s="225"/>
      <c r="BB2011" s="225"/>
      <c r="BC2011" s="56"/>
      <c r="BD2011" s="56"/>
      <c r="BE2011" s="56"/>
      <c r="BF2011" s="107" t="str">
        <f t="shared" si="1564"/>
        <v>https://www.google.com/search?tbm=isch&amp;q=7%20G4</v>
      </c>
      <c r="BG2011" s="107" t="str">
        <f t="shared" si="1565"/>
        <v>J</v>
      </c>
      <c r="BH2011" s="254"/>
      <c r="BI2011" s="254"/>
    </row>
    <row r="2012" spans="1:61" customFormat="1" ht="17.25" thickBot="1" x14ac:dyDescent="0.3">
      <c r="A2012" s="673" t="s">
        <v>5149</v>
      </c>
      <c r="B2012" s="245"/>
      <c r="C2012" s="677"/>
      <c r="D2012" s="499"/>
      <c r="E2012" s="499"/>
      <c r="F2012" s="500"/>
      <c r="G2012" s="501"/>
      <c r="H2012" s="502"/>
      <c r="I2012" s="246"/>
      <c r="J2012" s="247"/>
      <c r="K2012" s="503"/>
      <c r="L2012" s="544"/>
      <c r="M2012" s="544"/>
      <c r="N2012" s="500"/>
      <c r="O2012" s="500"/>
      <c r="P2012" s="500"/>
      <c r="Q2012" s="500"/>
      <c r="R2012" s="500"/>
      <c r="S2012" s="278"/>
      <c r="T2012" s="508">
        <f t="shared" si="1553"/>
        <v>0</v>
      </c>
      <c r="U2012" s="225" t="str">
        <f>IF(NOT(ISNUMBER(G2012)), "", VLOOKUP(A2012,'Discount Lookup'!D:E,2,FALSE)*G2012)</f>
        <v/>
      </c>
      <c r="V2012" s="225" t="str">
        <f>IF(NOT(ISNUMBER(G2012)), "", VLOOKUP(A2012,'Discount Lookup'!G:H,2,FALSE)*G2012)</f>
        <v/>
      </c>
      <c r="W2012" s="508">
        <f t="shared" si="1554"/>
        <v>0</v>
      </c>
      <c r="X2012" s="508">
        <f t="shared" si="1555"/>
        <v>0</v>
      </c>
      <c r="Y2012" s="509" t="b">
        <f t="shared" si="1556"/>
        <v>0</v>
      </c>
      <c r="Z2012" s="510">
        <f t="shared" si="1557"/>
        <v>0</v>
      </c>
      <c r="AA2012" s="511"/>
      <c r="AB2012" s="511" t="str">
        <f t="shared" si="1558"/>
        <v/>
      </c>
      <c r="AC2012" s="698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698"/>
      <c r="AE2012" s="631" t="str">
        <f t="shared" si="1559"/>
        <v/>
      </c>
      <c r="AF2012" s="699" t="str">
        <f t="shared" si="1560"/>
        <v/>
      </c>
      <c r="AG2012" s="699"/>
      <c r="AH2012" s="699"/>
      <c r="AI2012" s="512">
        <f>IF(H2012="credit",0,IF(AE2012="free",0,IF(AE2012="me",0,IF(G2012&gt;0,(VLOOKUP(A2012,'Discount Lookup'!J:K,2)*G2012),0))))</f>
        <v>0</v>
      </c>
      <c r="AJ2012" s="513" t="str">
        <f t="shared" ca="1" si="1561"/>
        <v/>
      </c>
      <c r="AK2012" s="700" t="str">
        <f t="shared" si="1562"/>
        <v/>
      </c>
      <c r="AL2012" s="700"/>
      <c r="AM2012" s="505" t="str">
        <f t="shared" si="1563"/>
        <v/>
      </c>
      <c r="AN2012" s="506"/>
      <c r="AO2012" s="507"/>
      <c r="AP2012" s="507"/>
      <c r="AQ2012" s="507"/>
      <c r="AR2012" s="507"/>
      <c r="AS2012" s="507"/>
      <c r="AT2012" s="507"/>
      <c r="AU2012" s="507"/>
      <c r="AV2012" s="225"/>
      <c r="AW2012" s="508"/>
      <c r="AX2012" s="225"/>
      <c r="AY2012" s="225"/>
      <c r="AZ2012" s="225"/>
      <c r="BA2012" s="225"/>
      <c r="BB2012" s="225"/>
      <c r="BC2012" s="56"/>
      <c r="BD2012" s="56"/>
      <c r="BE2012" s="56"/>
      <c r="BF2012" s="107" t="str">
        <f t="shared" si="1564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2012" s="107" t="str">
        <f t="shared" si="1565"/>
        <v>m</v>
      </c>
      <c r="BH2012" s="254"/>
      <c r="BI2012" s="254"/>
    </row>
    <row r="2013" spans="1:61" customFormat="1" ht="18" x14ac:dyDescent="0.25">
      <c r="A2013" s="521" t="s">
        <v>1171</v>
      </c>
      <c r="B2013" s="477"/>
      <c r="C2013" s="674"/>
      <c r="D2013" s="478" t="s">
        <v>1172</v>
      </c>
      <c r="E2013" s="479"/>
      <c r="F2013" s="479"/>
      <c r="G2013" s="479"/>
      <c r="H2013" s="582" t="s">
        <v>1045</v>
      </c>
      <c r="I2013" s="480" t="s">
        <v>2093</v>
      </c>
      <c r="J2013" s="479"/>
      <c r="K2013" s="479"/>
      <c r="L2013" s="560"/>
      <c r="M2013" s="666" t="s">
        <v>4966</v>
      </c>
      <c r="N2013" s="680" t="str">
        <f>IF(AND(ISTEXT($A2013), ISERROR($A2013+0)), HYPERLINK($BF2013, "Images"), "")</f>
        <v>Images</v>
      </c>
      <c r="O2013" s="662" t="s">
        <v>4969</v>
      </c>
      <c r="P2013" s="482"/>
      <c r="Q2013" s="483"/>
      <c r="R2013" s="483"/>
      <c r="S2013" s="484"/>
      <c r="T2013" s="508">
        <f t="shared" si="1553"/>
        <v>0</v>
      </c>
      <c r="U2013" s="225" t="str">
        <f>IF(NOT(ISNUMBER(G2013)), "", VLOOKUP(A2013,'Discount Lookup'!D:E,2,FALSE)*G2013)</f>
        <v/>
      </c>
      <c r="V2013" s="225" t="str">
        <f>IF(NOT(ISNUMBER(G2013)), "", VLOOKUP(A2013,'Discount Lookup'!G:H,2,FALSE)*G2013)</f>
        <v/>
      </c>
      <c r="W2013" s="508">
        <f t="shared" si="1554"/>
        <v>0</v>
      </c>
      <c r="X2013" s="508" t="str">
        <f t="shared" si="1555"/>
        <v>Dark Green foliage</v>
      </c>
      <c r="Y2013" s="509" t="b">
        <f t="shared" si="1556"/>
        <v>0</v>
      </c>
      <c r="Z2013" s="510">
        <f t="shared" si="1557"/>
        <v>0</v>
      </c>
      <c r="AA2013" s="511"/>
      <c r="AB2013" s="511" t="str">
        <f t="shared" si="1558"/>
        <v/>
      </c>
      <c r="AC2013" s="698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698"/>
      <c r="AE2013" s="631" t="str">
        <f t="shared" si="1559"/>
        <v/>
      </c>
      <c r="AF2013" s="699" t="str">
        <f t="shared" si="1560"/>
        <v/>
      </c>
      <c r="AG2013" s="699"/>
      <c r="AH2013" s="699"/>
      <c r="AI2013" s="512">
        <f>IF(H2013="credit",0,IF(AE2013="free",0,IF(AE2013="me",0,IF(G2013&gt;0,(VLOOKUP(A2013,'Discount Lookup'!J:K,2)*G2013),0))))</f>
        <v>0</v>
      </c>
      <c r="AJ2013" s="513" t="str">
        <f t="shared" ca="1" si="1561"/>
        <v/>
      </c>
      <c r="AK2013" s="700" t="str">
        <f t="shared" si="1562"/>
        <v/>
      </c>
      <c r="AL2013" s="700"/>
      <c r="AM2013" s="505" t="str">
        <f t="shared" si="1563"/>
        <v/>
      </c>
      <c r="AN2013" s="506"/>
      <c r="AO2013" s="507"/>
      <c r="AP2013" s="507"/>
      <c r="AQ2013" s="507"/>
      <c r="AR2013" s="507"/>
      <c r="AS2013" s="507"/>
      <c r="AT2013" s="507"/>
      <c r="AU2013" s="507"/>
      <c r="AV2013" s="225"/>
      <c r="AW2013" s="508"/>
      <c r="AX2013" s="225"/>
      <c r="AY2013" s="225"/>
      <c r="AZ2013" s="225"/>
      <c r="BA2013" s="225"/>
      <c r="BB2013" s="225"/>
      <c r="BC2013" s="56"/>
      <c r="BD2013" s="56"/>
      <c r="BE2013" s="56"/>
      <c r="BF2013" s="107" t="str">
        <f t="shared" si="1564"/>
        <v>https://www.google.com/search?tbm=isch&amp;q=Japanese%20Yew%20Taxus%20cuspidata%20PP%23TACU</v>
      </c>
      <c r="BG2013" s="107" t="str">
        <f t="shared" si="1565"/>
        <v>J</v>
      </c>
      <c r="BH2013" s="254"/>
      <c r="BI2013" s="254"/>
    </row>
    <row r="2014" spans="1:61" customFormat="1" ht="15.75" x14ac:dyDescent="0.25">
      <c r="A2014" s="485">
        <v>3</v>
      </c>
      <c r="B2014" s="486" t="s">
        <v>291</v>
      </c>
      <c r="C2014" s="487" t="s">
        <v>1174</v>
      </c>
      <c r="D2014" s="488" t="s">
        <v>297</v>
      </c>
      <c r="E2014" s="489">
        <v>28.95</v>
      </c>
      <c r="F2014" s="516" t="s">
        <v>293</v>
      </c>
      <c r="G2014" s="232">
        <v>0</v>
      </c>
      <c r="H2014" s="658" t="str">
        <f>IF(G2014=0,"",IF(F2014="Buy",IF(G2014=1,"plant","plants"),IF(F2014&gt;0.01,"warranty","Error")))</f>
        <v/>
      </c>
      <c r="I2014" s="490">
        <f>IF(H2014="free",0,IF(H2014="credit",((E2014*(F2014))*G2014*-1),IF(F2014="Buy",(E2014*G2014),((E2014*(1-F2014))*G2014))))</f>
        <v>0</v>
      </c>
      <c r="J2014" s="490">
        <f>IF(H2014="warranty",0,(I2014*(_xlfn.SINGLE(SalesTaxPercentage))))</f>
        <v>0</v>
      </c>
      <c r="K2014" s="695">
        <f t="shared" ref="K2014" si="1573">I2014+J2014</f>
        <v>0</v>
      </c>
      <c r="L2014" s="695"/>
      <c r="M2014" s="659" t="str">
        <f>IF(AND(G2014&gt;0,E2014=0),"WARNING - no PRICE inserted",IF(H2014="free"," FREE ~ no charge this plant",IF(H2014="credit",CONCATENATE(" -$",ROUND(K2014*(1-T2GDiscount)*-1,2)," CREDIT after discount"),IF(T2GDiscount=0,"",IF(G2014=0,"",IF(F2014="Buy",CONCATENATE(" $",ROUND(K2014*(1-T2GDiscount),2)," with ",(T2GDiscount*100),"% discount"),CONCATENATE(" $",ROUND(K2014*(1-T2GDiscount),2)," with ",((T2GDiscount*100+F2014*100)-(T2GDiscount*100*F2014)),IF(F2014&gt;0,"% discounts",IF(NoWarrantyDiscount&gt;0,"% discounts","% discount")))))))))</f>
        <v/>
      </c>
      <c r="N2014" s="660"/>
      <c r="O2014" s="233"/>
      <c r="P2014" s="233"/>
      <c r="Q2014" s="233"/>
      <c r="R2014" s="233"/>
      <c r="S2014" s="233"/>
      <c r="T2014" s="508">
        <f t="shared" si="1553"/>
        <v>0</v>
      </c>
      <c r="U2014" s="225">
        <f>IF(NOT(ISNUMBER(G2014)), "", VLOOKUP(A2014,'Discount Lookup'!D:E,2,FALSE)*G2014)</f>
        <v>0</v>
      </c>
      <c r="V2014" s="225">
        <f>IF(NOT(ISNUMBER(G2014)), "", VLOOKUP(A2014,'Discount Lookup'!G:H,2,FALSE)*G2014)</f>
        <v>0</v>
      </c>
      <c r="W2014" s="508">
        <f t="shared" si="1554"/>
        <v>0</v>
      </c>
      <c r="X2014" s="508">
        <f t="shared" si="1555"/>
        <v>0</v>
      </c>
      <c r="Y2014" s="509" t="b">
        <f t="shared" si="1556"/>
        <v>0</v>
      </c>
      <c r="Z2014" s="510">
        <f t="shared" si="1557"/>
        <v>0</v>
      </c>
      <c r="AA2014" s="511"/>
      <c r="AB2014" s="511" t="str">
        <f t="shared" si="1558"/>
        <v/>
      </c>
      <c r="AC2014" s="698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698"/>
      <c r="AE2014" s="631" t="str">
        <f t="shared" si="1559"/>
        <v/>
      </c>
      <c r="AF2014" s="699" t="str">
        <f t="shared" si="1560"/>
        <v/>
      </c>
      <c r="AG2014" s="699"/>
      <c r="AH2014" s="699"/>
      <c r="AI2014" s="512">
        <f>IF(H2014="credit",0,IF(AE2014="free",0,IF(AE2014="me",0,IF(G2014&gt;0,(VLOOKUP(A2014,'Discount Lookup'!J:K,2)*G2014),0))))</f>
        <v>0</v>
      </c>
      <c r="AJ2014" s="513" t="str">
        <f t="shared" ca="1" si="1561"/>
        <v/>
      </c>
      <c r="AK2014" s="700" t="str">
        <f t="shared" si="1562"/>
        <v/>
      </c>
      <c r="AL2014" s="700"/>
      <c r="AM2014" s="505" t="str">
        <f t="shared" si="1563"/>
        <v/>
      </c>
      <c r="AN2014" s="506"/>
      <c r="AO2014" s="507"/>
      <c r="AP2014" s="507"/>
      <c r="AQ2014" s="507"/>
      <c r="AR2014" s="507"/>
      <c r="AS2014" s="507"/>
      <c r="AT2014" s="507"/>
      <c r="AU2014" s="507"/>
      <c r="AV2014" s="225"/>
      <c r="AW2014" s="508"/>
      <c r="AX2014" s="225"/>
      <c r="AY2014" s="225"/>
      <c r="AZ2014" s="225"/>
      <c r="BA2014" s="225"/>
      <c r="BB2014" s="225"/>
      <c r="BC2014" s="56"/>
      <c r="BD2014" s="56"/>
      <c r="BE2014" s="56"/>
      <c r="BF2014" s="107" t="str">
        <f t="shared" si="1564"/>
        <v>https://www.google.com/search?tbm=isch&amp;q=3%20G3</v>
      </c>
      <c r="BG2014" s="107" t="str">
        <f t="shared" si="1565"/>
        <v>J</v>
      </c>
      <c r="BH2014" s="254"/>
      <c r="BI2014" s="254"/>
    </row>
    <row r="2015" spans="1:61" customFormat="1" ht="16.5" thickBot="1" x14ac:dyDescent="0.3">
      <c r="A2015" s="522" t="s">
        <v>2414</v>
      </c>
      <c r="B2015" s="491"/>
      <c r="C2015" s="675"/>
      <c r="D2015" s="491"/>
      <c r="E2015" s="491"/>
      <c r="F2015" s="492"/>
      <c r="G2015" s="493"/>
      <c r="H2015" s="491"/>
      <c r="I2015" s="234"/>
      <c r="J2015" s="234"/>
      <c r="K2015" s="494"/>
      <c r="L2015" s="543"/>
      <c r="M2015" s="561"/>
      <c r="N2015" s="495"/>
      <c r="O2015" s="496"/>
      <c r="P2015" s="497"/>
      <c r="Q2015" s="495"/>
      <c r="R2015" s="495"/>
      <c r="S2015" s="277"/>
      <c r="T2015" s="508">
        <f t="shared" si="1553"/>
        <v>0</v>
      </c>
      <c r="U2015" s="225" t="str">
        <f>IF(NOT(ISNUMBER(G2015)), "", VLOOKUP(A2015,'Discount Lookup'!D:E,2,FALSE)*G2015)</f>
        <v/>
      </c>
      <c r="V2015" s="225" t="str">
        <f>IF(NOT(ISNUMBER(G2015)), "", VLOOKUP(A2015,'Discount Lookup'!G:H,2,FALSE)*G2015)</f>
        <v/>
      </c>
      <c r="W2015" s="508">
        <f t="shared" si="1554"/>
        <v>0</v>
      </c>
      <c r="X2015" s="508">
        <f t="shared" si="1555"/>
        <v>0</v>
      </c>
      <c r="Y2015" s="509" t="b">
        <f t="shared" si="1556"/>
        <v>0</v>
      </c>
      <c r="Z2015" s="510">
        <f t="shared" si="1557"/>
        <v>0</v>
      </c>
      <c r="AA2015" s="511"/>
      <c r="AB2015" s="511" t="str">
        <f t="shared" si="1558"/>
        <v/>
      </c>
      <c r="AC2015" s="698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698"/>
      <c r="AE2015" s="631" t="str">
        <f t="shared" si="1559"/>
        <v/>
      </c>
      <c r="AF2015" s="699" t="str">
        <f t="shared" si="1560"/>
        <v/>
      </c>
      <c r="AG2015" s="699"/>
      <c r="AH2015" s="699"/>
      <c r="AI2015" s="512">
        <f>IF(H2015="credit",0,IF(AE2015="free",0,IF(AE2015="me",0,IF(G2015&gt;0,(VLOOKUP(A2015,'Discount Lookup'!J:K,2)*G2015),0))))</f>
        <v>0</v>
      </c>
      <c r="AJ2015" s="513" t="str">
        <f t="shared" ca="1" si="1561"/>
        <v/>
      </c>
      <c r="AK2015" s="700" t="str">
        <f t="shared" si="1562"/>
        <v/>
      </c>
      <c r="AL2015" s="700"/>
      <c r="AM2015" s="505" t="str">
        <f t="shared" si="1563"/>
        <v/>
      </c>
      <c r="AN2015" s="506"/>
      <c r="AO2015" s="507"/>
      <c r="AP2015" s="507"/>
      <c r="AQ2015" s="507"/>
      <c r="AR2015" s="507"/>
      <c r="AS2015" s="507"/>
      <c r="AT2015" s="507"/>
      <c r="AU2015" s="507"/>
      <c r="AV2015" s="225"/>
      <c r="AW2015" s="508"/>
      <c r="AX2015" s="225"/>
      <c r="AY2015" s="225"/>
      <c r="AZ2015" s="225"/>
      <c r="BA2015" s="225"/>
      <c r="BB2015" s="225"/>
      <c r="BC2015" s="56"/>
      <c r="BD2015" s="56"/>
      <c r="BE2015" s="56"/>
      <c r="BF2015" s="107" t="str">
        <f t="shared" si="1564"/>
        <v>https://www.google.com/search?tbm=isch&amp;q=Japanese%20Yew%20is%20not%20a%20true%20Yew%2C%20but%20very%20similar.%20It%20is%20low%20maintenance%2C%20durable%2C%20and%20tolerant%20of%20poor%20conditions%20</v>
      </c>
      <c r="BG2015" s="107" t="str">
        <f t="shared" si="1565"/>
        <v>J</v>
      </c>
      <c r="BH2015" s="254"/>
      <c r="BI2015" s="254"/>
    </row>
    <row r="2016" spans="1:61" customFormat="1" ht="18" x14ac:dyDescent="0.25">
      <c r="A2016" s="521" t="s">
        <v>4281</v>
      </c>
      <c r="B2016" s="477"/>
      <c r="C2016" s="674"/>
      <c r="D2016" s="478" t="s">
        <v>1175</v>
      </c>
      <c r="E2016" s="479"/>
      <c r="F2016" s="479"/>
      <c r="G2016" s="479"/>
      <c r="H2016" s="582" t="s">
        <v>508</v>
      </c>
      <c r="I2016" s="480" t="s">
        <v>665</v>
      </c>
      <c r="J2016" s="479"/>
      <c r="K2016" s="479"/>
      <c r="L2016" s="560"/>
      <c r="M2016" s="666" t="s">
        <v>4966</v>
      </c>
      <c r="N2016" s="680" t="str">
        <f>IF(AND(ISTEXT($A2016), ISERROR($A2016+0)), HYPERLINK($BF2016, "Images"), "")</f>
        <v>Images</v>
      </c>
      <c r="O2016" s="662" t="s">
        <v>4969</v>
      </c>
      <c r="P2016" s="482"/>
      <c r="Q2016" s="483"/>
      <c r="R2016" s="483"/>
      <c r="S2016" s="484"/>
      <c r="T2016" s="508">
        <f t="shared" si="1553"/>
        <v>0</v>
      </c>
      <c r="U2016" s="225" t="str">
        <f>IF(NOT(ISNUMBER(G2016)), "", VLOOKUP(A2016,'Discount Lookup'!D:E,2,FALSE)*G2016)</f>
        <v/>
      </c>
      <c r="V2016" s="225" t="str">
        <f>IF(NOT(ISNUMBER(G2016)), "", VLOOKUP(A2016,'Discount Lookup'!G:H,2,FALSE)*G2016)</f>
        <v/>
      </c>
      <c r="W2016" s="508">
        <f t="shared" si="1554"/>
        <v>0</v>
      </c>
      <c r="X2016" s="508" t="str">
        <f t="shared" si="1555"/>
        <v>Yellow bloom</v>
      </c>
      <c r="Y2016" s="509" t="b">
        <f t="shared" si="1556"/>
        <v>0</v>
      </c>
      <c r="Z2016" s="510">
        <f t="shared" si="1557"/>
        <v>0</v>
      </c>
      <c r="AA2016" s="511"/>
      <c r="AB2016" s="511" t="str">
        <f t="shared" si="1558"/>
        <v/>
      </c>
      <c r="AC2016" s="698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698"/>
      <c r="AE2016" s="631" t="str">
        <f t="shared" si="1559"/>
        <v/>
      </c>
      <c r="AF2016" s="699" t="str">
        <f t="shared" si="1560"/>
        <v/>
      </c>
      <c r="AG2016" s="699"/>
      <c r="AH2016" s="699"/>
      <c r="AI2016" s="512">
        <f>IF(H2016="credit",0,IF(AE2016="free",0,IF(AE2016="me",0,IF(G2016&gt;0,(VLOOKUP(A2016,'Discount Lookup'!J:K,2)*G2016),0))))</f>
        <v>0</v>
      </c>
      <c r="AJ2016" s="513" t="str">
        <f t="shared" ca="1" si="1561"/>
        <v/>
      </c>
      <c r="AK2016" s="700" t="str">
        <f t="shared" si="1562"/>
        <v/>
      </c>
      <c r="AL2016" s="700"/>
      <c r="AM2016" s="505" t="str">
        <f t="shared" si="1563"/>
        <v/>
      </c>
      <c r="AN2016" s="506"/>
      <c r="AO2016" s="507"/>
      <c r="AP2016" s="507"/>
      <c r="AQ2016" s="507"/>
      <c r="AR2016" s="507"/>
      <c r="AS2016" s="507"/>
      <c r="AT2016" s="507"/>
      <c r="AU2016" s="507"/>
      <c r="AV2016" s="225"/>
      <c r="AW2016" s="508"/>
      <c r="AX2016" s="225"/>
      <c r="AY2016" s="225"/>
      <c r="AZ2016" s="225"/>
      <c r="BA2016" s="225"/>
      <c r="BB2016" s="225"/>
      <c r="BC2016" s="56"/>
      <c r="BD2016" s="56"/>
      <c r="BE2016" s="56"/>
      <c r="BF2016" s="107" t="str">
        <f t="shared" si="1564"/>
        <v>https://www.google.com/search?tbm=isch&amp;q=JC%20Raulston%20Agave%20Agave%20parryi%20%27JC%20Raulston%27</v>
      </c>
      <c r="BG2016" s="107" t="str">
        <f t="shared" si="1565"/>
        <v>J</v>
      </c>
      <c r="BH2016" s="254"/>
      <c r="BI2016" s="254"/>
    </row>
    <row r="2017" spans="1:61" customFormat="1" ht="15.75" x14ac:dyDescent="0.25">
      <c r="A2017" s="485">
        <v>3</v>
      </c>
      <c r="B2017" s="486" t="s">
        <v>291</v>
      </c>
      <c r="C2017" s="487"/>
      <c r="D2017" s="488" t="s">
        <v>300</v>
      </c>
      <c r="E2017" s="489">
        <v>51.95</v>
      </c>
      <c r="F2017" s="516" t="s">
        <v>293</v>
      </c>
      <c r="G2017" s="232">
        <v>0</v>
      </c>
      <c r="H2017" s="658" t="str">
        <f>IF(G2017=0,"",IF(F2017="Buy",IF(G2017=1,"plant","plants"),IF(F2017&gt;0.01,"warranty","Error")))</f>
        <v/>
      </c>
      <c r="I2017" s="490">
        <f>IF(H2017="free",0,IF(H2017="credit",((E2017*(F2017))*G2017*-1),IF(F2017="Buy",(E2017*G2017),((E2017*(1-F2017))*G2017))))</f>
        <v>0</v>
      </c>
      <c r="J2017" s="490">
        <f>IF(H2017="warranty",0,(I2017*(_xlfn.SINGLE(SalesTaxPercentage))))</f>
        <v>0</v>
      </c>
      <c r="K2017" s="695">
        <f t="shared" ref="K2017" si="1574">I2017+J2017</f>
        <v>0</v>
      </c>
      <c r="L2017" s="695"/>
      <c r="M2017" s="659" t="str">
        <f>IF(AND(G2017&gt;0,E2017=0),"WARNING - no PRICE inserted",IF(H2017="free"," FREE ~ no charge this plant",IF(H2017="credit",CONCATENATE(" -$",ROUND(K2017*(1-T2GDiscount)*-1,2)," CREDIT after discount"),IF(T2GDiscount=0,"",IF(G2017=0,"",IF(F2017="Buy",CONCATENATE(" $",ROUND(K2017*(1-T2GDiscount),2)," with ",(T2GDiscount*100),"% discount"),CONCATENATE(" $",ROUND(K2017*(1-T2GDiscount),2)," with ",((T2GDiscount*100+F2017*100)-(T2GDiscount*100*F2017)),IF(F2017&gt;0,"% discounts",IF(NoWarrantyDiscount&gt;0,"% discounts","% discount")))))))))</f>
        <v/>
      </c>
      <c r="N2017" s="660"/>
      <c r="O2017" s="233"/>
      <c r="P2017" s="233"/>
      <c r="Q2017" s="233"/>
      <c r="R2017" s="233"/>
      <c r="S2017" s="233"/>
      <c r="T2017" s="508">
        <f t="shared" si="1553"/>
        <v>0</v>
      </c>
      <c r="U2017" s="225">
        <f>IF(NOT(ISNUMBER(G2017)), "", VLOOKUP(A2017,'Discount Lookup'!D:E,2,FALSE)*G2017)</f>
        <v>0</v>
      </c>
      <c r="V2017" s="225">
        <f>IF(NOT(ISNUMBER(G2017)), "", VLOOKUP(A2017,'Discount Lookup'!G:H,2,FALSE)*G2017)</f>
        <v>0</v>
      </c>
      <c r="W2017" s="508">
        <f t="shared" si="1554"/>
        <v>0</v>
      </c>
      <c r="X2017" s="508">
        <f t="shared" si="1555"/>
        <v>0</v>
      </c>
      <c r="Y2017" s="509" t="b">
        <f t="shared" si="1556"/>
        <v>0</v>
      </c>
      <c r="Z2017" s="510">
        <f t="shared" si="1557"/>
        <v>0</v>
      </c>
      <c r="AA2017" s="511"/>
      <c r="AB2017" s="511" t="str">
        <f t="shared" si="1558"/>
        <v/>
      </c>
      <c r="AC2017" s="698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698"/>
      <c r="AE2017" s="631" t="str">
        <f t="shared" si="1559"/>
        <v/>
      </c>
      <c r="AF2017" s="699" t="str">
        <f t="shared" si="1560"/>
        <v/>
      </c>
      <c r="AG2017" s="699"/>
      <c r="AH2017" s="699"/>
      <c r="AI2017" s="512">
        <f>IF(H2017="credit",0,IF(AE2017="free",0,IF(AE2017="me",0,IF(G2017&gt;0,(VLOOKUP(A2017,'Discount Lookup'!J:K,2)*G2017),0))))</f>
        <v>0</v>
      </c>
      <c r="AJ2017" s="513" t="str">
        <f t="shared" ca="1" si="1561"/>
        <v/>
      </c>
      <c r="AK2017" s="700" t="str">
        <f t="shared" si="1562"/>
        <v/>
      </c>
      <c r="AL2017" s="700"/>
      <c r="AM2017" s="505" t="str">
        <f t="shared" si="1563"/>
        <v/>
      </c>
      <c r="AN2017" s="506"/>
      <c r="AO2017" s="507"/>
      <c r="AP2017" s="507"/>
      <c r="AQ2017" s="507"/>
      <c r="AR2017" s="507"/>
      <c r="AS2017" s="507"/>
      <c r="AT2017" s="507"/>
      <c r="AU2017" s="507"/>
      <c r="AV2017" s="225"/>
      <c r="AW2017" s="508"/>
      <c r="AX2017" s="225"/>
      <c r="AY2017" s="225"/>
      <c r="AZ2017" s="225"/>
      <c r="BA2017" s="225"/>
      <c r="BB2017" s="225"/>
      <c r="BC2017" s="56"/>
      <c r="BD2017" s="56"/>
      <c r="BE2017" s="56"/>
      <c r="BF2017" s="107" t="str">
        <f t="shared" si="1564"/>
        <v>https://www.google.com/search?tbm=isch&amp;q=3%20G6</v>
      </c>
      <c r="BG2017" s="107" t="str">
        <f t="shared" si="1565"/>
        <v>J</v>
      </c>
      <c r="BH2017" s="254"/>
      <c r="BI2017" s="254"/>
    </row>
    <row r="2018" spans="1:61" customFormat="1" ht="16.5" thickBot="1" x14ac:dyDescent="0.3">
      <c r="A2018" s="522" t="s">
        <v>4337</v>
      </c>
      <c r="B2018" s="491"/>
      <c r="C2018" s="675"/>
      <c r="D2018" s="491"/>
      <c r="E2018" s="491"/>
      <c r="F2018" s="492"/>
      <c r="G2018" s="493"/>
      <c r="H2018" s="491"/>
      <c r="I2018" s="234"/>
      <c r="J2018" s="234"/>
      <c r="K2018" s="494"/>
      <c r="L2018" s="543"/>
      <c r="M2018" s="561"/>
      <c r="N2018" s="495"/>
      <c r="O2018" s="496"/>
      <c r="P2018" s="497"/>
      <c r="Q2018" s="495"/>
      <c r="R2018" s="495"/>
      <c r="S2018" s="667" t="s">
        <v>4968</v>
      </c>
      <c r="T2018" s="508">
        <f t="shared" si="1553"/>
        <v>0</v>
      </c>
      <c r="U2018" s="225" t="str">
        <f>IF(NOT(ISNUMBER(G2018)), "", VLOOKUP(A2018,'Discount Lookup'!D:E,2,FALSE)*G2018)</f>
        <v/>
      </c>
      <c r="V2018" s="225" t="str">
        <f>IF(NOT(ISNUMBER(G2018)), "", VLOOKUP(A2018,'Discount Lookup'!G:H,2,FALSE)*G2018)</f>
        <v/>
      </c>
      <c r="W2018" s="508">
        <f t="shared" si="1554"/>
        <v>0</v>
      </c>
      <c r="X2018" s="508">
        <f t="shared" si="1555"/>
        <v>0</v>
      </c>
      <c r="Y2018" s="509" t="b">
        <f t="shared" si="1556"/>
        <v>0</v>
      </c>
      <c r="Z2018" s="510">
        <f t="shared" si="1557"/>
        <v>0</v>
      </c>
      <c r="AA2018" s="511"/>
      <c r="AB2018" s="511" t="str">
        <f t="shared" si="1558"/>
        <v/>
      </c>
      <c r="AC2018" s="698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698"/>
      <c r="AE2018" s="631" t="str">
        <f t="shared" si="1559"/>
        <v/>
      </c>
      <c r="AF2018" s="699" t="str">
        <f t="shared" si="1560"/>
        <v/>
      </c>
      <c r="AG2018" s="699"/>
      <c r="AH2018" s="699"/>
      <c r="AI2018" s="512">
        <f>IF(H2018="credit",0,IF(AE2018="free",0,IF(AE2018="me",0,IF(G2018&gt;0,(VLOOKUP(A2018,'Discount Lookup'!J:K,2)*G2018),0))))</f>
        <v>0</v>
      </c>
      <c r="AJ2018" s="513" t="str">
        <f t="shared" ca="1" si="1561"/>
        <v/>
      </c>
      <c r="AK2018" s="700" t="str">
        <f t="shared" si="1562"/>
        <v/>
      </c>
      <c r="AL2018" s="700"/>
      <c r="AM2018" s="505" t="str">
        <f t="shared" si="1563"/>
        <v/>
      </c>
      <c r="AN2018" s="506"/>
      <c r="AO2018" s="507"/>
      <c r="AP2018" s="507"/>
      <c r="AQ2018" s="507"/>
      <c r="AR2018" s="507"/>
      <c r="AS2018" s="507"/>
      <c r="AT2018" s="507"/>
      <c r="AU2018" s="507"/>
      <c r="AV2018" s="225"/>
      <c r="AW2018" s="508"/>
      <c r="AX2018" s="225"/>
      <c r="AY2018" s="225"/>
      <c r="AZ2018" s="225"/>
      <c r="BA2018" s="225"/>
      <c r="BB2018" s="225"/>
      <c r="BC2018" s="56"/>
      <c r="BD2018" s="56"/>
      <c r="BE2018" s="56"/>
      <c r="BF2018" s="107" t="str">
        <f t="shared" si="1564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2018" s="107" t="str">
        <f t="shared" si="1565"/>
        <v>J</v>
      </c>
      <c r="BH2018" s="254"/>
      <c r="BI2018" s="254"/>
    </row>
    <row r="2019" spans="1:61" customFormat="1" ht="18" x14ac:dyDescent="0.25">
      <c r="A2019" s="523" t="s">
        <v>5439</v>
      </c>
      <c r="B2019" s="235"/>
      <c r="C2019" s="676"/>
      <c r="D2019" s="255" t="s">
        <v>1176</v>
      </c>
      <c r="E2019" s="236"/>
      <c r="F2019" s="236"/>
      <c r="G2019" s="236"/>
      <c r="H2019" s="582" t="s">
        <v>4226</v>
      </c>
      <c r="I2019" s="498" t="s">
        <v>4227</v>
      </c>
      <c r="J2019" s="237"/>
      <c r="K2019" s="237"/>
      <c r="L2019" s="274"/>
      <c r="M2019" s="668" t="s">
        <v>4962</v>
      </c>
      <c r="N2019" s="681" t="str">
        <f>IF(AND(ISTEXT($A2019), ISERROR($A2019+0)), HYPERLINK($BF2019, "Images"), "")</f>
        <v>Images</v>
      </c>
      <c r="O2019" s="663" t="s">
        <v>4969</v>
      </c>
      <c r="P2019" s="253"/>
      <c r="Q2019" s="238"/>
      <c r="R2019" s="239"/>
      <c r="S2019" s="275"/>
      <c r="T2019" s="508">
        <f t="shared" si="1553"/>
        <v>0</v>
      </c>
      <c r="U2019" s="225" t="str">
        <f>IF(NOT(ISNUMBER(G2019)), "", VLOOKUP(A2019,'Discount Lookup'!D:E,2,FALSE)*G2019)</f>
        <v/>
      </c>
      <c r="V2019" s="225" t="str">
        <f>IF(NOT(ISNUMBER(G2019)), "", VLOOKUP(A2019,'Discount Lookup'!G:H,2,FALSE)*G2019)</f>
        <v/>
      </c>
      <c r="W2019" s="508">
        <f t="shared" si="1554"/>
        <v>0</v>
      </c>
      <c r="X2019" s="508" t="str">
        <f t="shared" si="1555"/>
        <v>Bright Yellow rays, Red eye</v>
      </c>
      <c r="Y2019" s="509" t="b">
        <f t="shared" si="1556"/>
        <v>0</v>
      </c>
      <c r="Z2019" s="510">
        <f t="shared" si="1557"/>
        <v>0</v>
      </c>
      <c r="AA2019" s="511"/>
      <c r="AB2019" s="511" t="str">
        <f t="shared" si="1558"/>
        <v/>
      </c>
      <c r="AC2019" s="698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698"/>
      <c r="AE2019" s="631" t="str">
        <f t="shared" si="1559"/>
        <v/>
      </c>
      <c r="AF2019" s="699" t="str">
        <f t="shared" si="1560"/>
        <v/>
      </c>
      <c r="AG2019" s="699"/>
      <c r="AH2019" s="699"/>
      <c r="AI2019" s="512">
        <f>IF(H2019="credit",0,IF(AE2019="free",0,IF(AE2019="me",0,IF(G2019&gt;0,(VLOOKUP(A2019,'Discount Lookup'!J:K,2)*G2019),0))))</f>
        <v>0</v>
      </c>
      <c r="AJ2019" s="513" t="str">
        <f t="shared" ca="1" si="1561"/>
        <v/>
      </c>
      <c r="AK2019" s="700" t="str">
        <f t="shared" si="1562"/>
        <v/>
      </c>
      <c r="AL2019" s="700"/>
      <c r="AM2019" s="505" t="str">
        <f t="shared" si="1563"/>
        <v/>
      </c>
      <c r="AN2019" s="506"/>
      <c r="AO2019" s="507"/>
      <c r="AP2019" s="507"/>
      <c r="AQ2019" s="507"/>
      <c r="AR2019" s="507"/>
      <c r="AS2019" s="507"/>
      <c r="AT2019" s="507"/>
      <c r="AU2019" s="507"/>
      <c r="AV2019" s="225"/>
      <c r="AW2019" s="508"/>
      <c r="AX2019" s="225"/>
      <c r="AY2019" s="225"/>
      <c r="AZ2019" s="225"/>
      <c r="BA2019" s="225"/>
      <c r="BB2019" s="225"/>
      <c r="BC2019" s="56"/>
      <c r="BD2019" s="56"/>
      <c r="BE2019" s="56"/>
      <c r="BF2019" s="107" t="str">
        <f t="shared" si="1564"/>
        <v>https://www.google.com/search?tbm=isch&amp;q=Jethro%20Tull%E2%84%A2%20Tickseed%20Coreopsis%20%27Jethro%20Tull%27%20PP%2318798</v>
      </c>
      <c r="BG2019" s="107" t="str">
        <f t="shared" si="1565"/>
        <v>J</v>
      </c>
      <c r="BH2019" s="254"/>
      <c r="BI2019" s="254"/>
    </row>
    <row r="2020" spans="1:61" customFormat="1" ht="15.75" x14ac:dyDescent="0.25">
      <c r="A2020" s="276">
        <v>1</v>
      </c>
      <c r="B2020" s="240" t="s">
        <v>291</v>
      </c>
      <c r="C2020" s="241"/>
      <c r="D2020" s="242" t="s">
        <v>312</v>
      </c>
      <c r="E2020" s="243">
        <v>10.95</v>
      </c>
      <c r="F2020" s="517" t="s">
        <v>293</v>
      </c>
      <c r="G2020" s="232">
        <v>0</v>
      </c>
      <c r="H2020" s="661" t="str">
        <f>IF(G2020=0,"",IF(F2020="Buy",IF(G2020=1,"plant","plants"),IF(F2020&gt;0.01,"warranty","Error")))</f>
        <v/>
      </c>
      <c r="I2020" s="244">
        <f>IF(H2020="free",0,IF(H2020="credit",((E2020*(F2020))*G2020*-1),IF(F2020="Buy",(E2020*G2020),((E2020*(1-F2020))*G2020))))</f>
        <v>0</v>
      </c>
      <c r="J2020" s="244">
        <f>IF(H2020="warranty",0,(I2020*(_xlfn.SINGLE(SalesTaxPercentage))))</f>
        <v>0</v>
      </c>
      <c r="K2020" s="696">
        <f t="shared" ref="K2020" si="1575">I2020+J2020</f>
        <v>0</v>
      </c>
      <c r="L2020" s="696"/>
      <c r="M2020" s="659" t="str">
        <f>IF(AND(G2020&gt;0,E2020=0),"WARNING - no PRICE inserted",IF(H2020="free"," FREE ~ no charge this plant",IF(H2020="credit",CONCATENATE(" -$",ROUND(K2020*(1-T2GDiscount)*-1,2)," CREDIT after discount"),IF(T2GDiscount=0,"",IF(G2020=0,"",IF(F2020="Buy",CONCATENATE(" $",ROUND(K2020*(1-T2GDiscount),2)," with ",(T2GDiscount*100),"% discount"),CONCATENATE(" $",ROUND(K2020*(1-T2GDiscount),2)," with ",((T2GDiscount*100+F2020*100)-(T2GDiscount*100*F2020)),IF(F2020&gt;0,"% discounts",IF(NoWarrantyDiscount&gt;0,"% discounts","% discount")))))))))</f>
        <v/>
      </c>
      <c r="N2020" s="660"/>
      <c r="O2020" s="233"/>
      <c r="P2020" s="233"/>
      <c r="Q2020" s="233"/>
      <c r="R2020" s="233"/>
      <c r="S2020" s="233"/>
      <c r="T2020" s="508">
        <f t="shared" si="1553"/>
        <v>0</v>
      </c>
      <c r="U2020" s="225">
        <f>IF(NOT(ISNUMBER(G2020)), "", VLOOKUP(A2020,'Discount Lookup'!D:E,2,FALSE)*G2020)</f>
        <v>0</v>
      </c>
      <c r="V2020" s="225">
        <f>IF(NOT(ISNUMBER(G2020)), "", VLOOKUP(A2020,'Discount Lookup'!G:H,2,FALSE)*G2020)</f>
        <v>0</v>
      </c>
      <c r="W2020" s="508">
        <f t="shared" si="1554"/>
        <v>0</v>
      </c>
      <c r="X2020" s="508">
        <f t="shared" si="1555"/>
        <v>0</v>
      </c>
      <c r="Y2020" s="509" t="b">
        <f t="shared" si="1556"/>
        <v>0</v>
      </c>
      <c r="Z2020" s="510">
        <f t="shared" si="1557"/>
        <v>0</v>
      </c>
      <c r="AA2020" s="511"/>
      <c r="AB2020" s="511" t="str">
        <f t="shared" si="1558"/>
        <v/>
      </c>
      <c r="AC2020" s="698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698"/>
      <c r="AE2020" s="631" t="str">
        <f t="shared" si="1559"/>
        <v/>
      </c>
      <c r="AF2020" s="699" t="str">
        <f t="shared" si="1560"/>
        <v/>
      </c>
      <c r="AG2020" s="699"/>
      <c r="AH2020" s="699"/>
      <c r="AI2020" s="512">
        <f>IF(H2020="credit",0,IF(AE2020="free",0,IF(AE2020="me",0,IF(G2020&gt;0,(VLOOKUP(A2020,'Discount Lookup'!J:K,2)*G2020),0))))</f>
        <v>0</v>
      </c>
      <c r="AJ2020" s="513" t="str">
        <f t="shared" ca="1" si="1561"/>
        <v/>
      </c>
      <c r="AK2020" s="700" t="str">
        <f t="shared" si="1562"/>
        <v/>
      </c>
      <c r="AL2020" s="700"/>
      <c r="AM2020" s="505" t="str">
        <f t="shared" si="1563"/>
        <v/>
      </c>
      <c r="AN2020" s="506"/>
      <c r="AO2020" s="507"/>
      <c r="AP2020" s="507"/>
      <c r="AQ2020" s="507"/>
      <c r="AR2020" s="507"/>
      <c r="AS2020" s="507"/>
      <c r="AT2020" s="507"/>
      <c r="AU2020" s="507"/>
      <c r="AV2020" s="225"/>
      <c r="AW2020" s="508"/>
      <c r="AX2020" s="225"/>
      <c r="AY2020" s="225"/>
      <c r="AZ2020" s="225"/>
      <c r="BA2020" s="225"/>
      <c r="BB2020" s="225"/>
      <c r="BC2020" s="56"/>
      <c r="BD2020" s="56"/>
      <c r="BE2020" s="56"/>
      <c r="BF2020" s="107" t="str">
        <f t="shared" si="1564"/>
        <v>https://www.google.com/search?tbm=isch&amp;q=1%20G2</v>
      </c>
      <c r="BG2020" s="107" t="str">
        <f t="shared" si="1565"/>
        <v>J</v>
      </c>
      <c r="BH2020" s="254"/>
      <c r="BI2020" s="254"/>
    </row>
    <row r="2021" spans="1:61" customFormat="1" ht="17.25" thickBot="1" x14ac:dyDescent="0.3">
      <c r="A2021" s="524" t="s">
        <v>4228</v>
      </c>
      <c r="B2021" s="245"/>
      <c r="C2021" s="677"/>
      <c r="D2021" s="499"/>
      <c r="E2021" s="499"/>
      <c r="F2021" s="500"/>
      <c r="G2021" s="501"/>
      <c r="H2021" s="502"/>
      <c r="I2021" s="246"/>
      <c r="J2021" s="247"/>
      <c r="K2021" s="503"/>
      <c r="L2021" s="544"/>
      <c r="M2021" s="544"/>
      <c r="N2021" s="500"/>
      <c r="O2021" s="500"/>
      <c r="P2021" s="500"/>
      <c r="Q2021" s="500"/>
      <c r="R2021" s="500"/>
      <c r="S2021" s="669" t="s">
        <v>4980</v>
      </c>
      <c r="T2021" s="508">
        <f t="shared" si="1553"/>
        <v>0</v>
      </c>
      <c r="U2021" s="225" t="str">
        <f>IF(NOT(ISNUMBER(G2021)), "", VLOOKUP(A2021,'Discount Lookup'!D:E,2,FALSE)*G2021)</f>
        <v/>
      </c>
      <c r="V2021" s="225" t="str">
        <f>IF(NOT(ISNUMBER(G2021)), "", VLOOKUP(A2021,'Discount Lookup'!G:H,2,FALSE)*G2021)</f>
        <v/>
      </c>
      <c r="W2021" s="508">
        <f t="shared" si="1554"/>
        <v>0</v>
      </c>
      <c r="X2021" s="508">
        <f t="shared" si="1555"/>
        <v>0</v>
      </c>
      <c r="Y2021" s="509" t="b">
        <f t="shared" si="1556"/>
        <v>0</v>
      </c>
      <c r="Z2021" s="510">
        <f t="shared" si="1557"/>
        <v>0</v>
      </c>
      <c r="AA2021" s="511"/>
      <c r="AB2021" s="511" t="str">
        <f t="shared" si="1558"/>
        <v/>
      </c>
      <c r="AC2021" s="698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698"/>
      <c r="AE2021" s="631" t="str">
        <f t="shared" si="1559"/>
        <v/>
      </c>
      <c r="AF2021" s="699" t="str">
        <f t="shared" si="1560"/>
        <v/>
      </c>
      <c r="AG2021" s="699"/>
      <c r="AH2021" s="699"/>
      <c r="AI2021" s="512">
        <f>IF(H2021="credit",0,IF(AE2021="free",0,IF(AE2021="me",0,IF(G2021&gt;0,(VLOOKUP(A2021,'Discount Lookup'!J:K,2)*G2021),0))))</f>
        <v>0</v>
      </c>
      <c r="AJ2021" s="513" t="str">
        <f t="shared" ca="1" si="1561"/>
        <v/>
      </c>
      <c r="AK2021" s="700" t="str">
        <f t="shared" si="1562"/>
        <v/>
      </c>
      <c r="AL2021" s="700"/>
      <c r="AM2021" s="505" t="str">
        <f t="shared" si="1563"/>
        <v/>
      </c>
      <c r="AN2021" s="506"/>
      <c r="AO2021" s="507"/>
      <c r="AP2021" s="507"/>
      <c r="AQ2021" s="507"/>
      <c r="AR2021" s="507"/>
      <c r="AS2021" s="507"/>
      <c r="AT2021" s="507"/>
      <c r="AU2021" s="507"/>
      <c r="AV2021" s="225"/>
      <c r="AW2021" s="508"/>
      <c r="AX2021" s="225"/>
      <c r="AY2021" s="225"/>
      <c r="AZ2021" s="225"/>
      <c r="BA2021" s="225"/>
      <c r="BB2021" s="225"/>
      <c r="BC2021" s="56"/>
      <c r="BD2021" s="56"/>
      <c r="BE2021" s="56"/>
      <c r="BF2021" s="107" t="str">
        <f t="shared" si="1564"/>
        <v>https://www.google.com/search?tbm=isch&amp;q=Jethro%20Tull%20is%20a%20sun-loving%20rebloomer%20with%20unique%20fluted%20Golden%20petals%20that%20flower%20from%20early%20summer%20to%20fall%20</v>
      </c>
      <c r="BG2021" s="107" t="str">
        <f t="shared" si="1565"/>
        <v>J</v>
      </c>
      <c r="BH2021" s="254"/>
      <c r="BI2021" s="254"/>
    </row>
    <row r="2022" spans="1:61" customFormat="1" ht="18" x14ac:dyDescent="0.25">
      <c r="A2022" s="523" t="s">
        <v>5440</v>
      </c>
      <c r="B2022" s="235"/>
      <c r="C2022" s="676"/>
      <c r="D2022" s="255" t="s">
        <v>1177</v>
      </c>
      <c r="E2022" s="236"/>
      <c r="F2022" s="236"/>
      <c r="G2022" s="236"/>
      <c r="H2022" s="582" t="s">
        <v>1858</v>
      </c>
      <c r="I2022" s="498" t="s">
        <v>3113</v>
      </c>
      <c r="J2022" s="237"/>
      <c r="K2022" s="237"/>
      <c r="L2022" s="274"/>
      <c r="M2022" s="670" t="s">
        <v>4973</v>
      </c>
      <c r="N2022" s="681" t="str">
        <f>IF(AND(ISTEXT($A2022), ISERROR($A2022+0)), HYPERLINK($BF2022, "Images"), "")</f>
        <v>Images</v>
      </c>
      <c r="O2022" s="663" t="s">
        <v>4974</v>
      </c>
      <c r="P2022" s="253"/>
      <c r="Q2022" s="238"/>
      <c r="R2022" s="239"/>
      <c r="S2022" s="275" t="s">
        <v>305</v>
      </c>
      <c r="T2022" s="508">
        <f t="shared" si="1553"/>
        <v>0</v>
      </c>
      <c r="U2022" s="225" t="str">
        <f>IF(NOT(ISNUMBER(G2022)), "", VLOOKUP(A2022,'Discount Lookup'!D:E,2,FALSE)*G2022)</f>
        <v/>
      </c>
      <c r="V2022" s="225" t="str">
        <f>IF(NOT(ISNUMBER(G2022)), "", VLOOKUP(A2022,'Discount Lookup'!G:H,2,FALSE)*G2022)</f>
        <v/>
      </c>
      <c r="W2022" s="508">
        <f t="shared" si="1554"/>
        <v>0</v>
      </c>
      <c r="X2022" s="508" t="str">
        <f t="shared" si="1555"/>
        <v>White bloom ages to Pink</v>
      </c>
      <c r="Y2022" s="509" t="b">
        <f t="shared" si="1556"/>
        <v>0</v>
      </c>
      <c r="Z2022" s="510">
        <f t="shared" si="1557"/>
        <v>0</v>
      </c>
      <c r="AA2022" s="511"/>
      <c r="AB2022" s="511" t="str">
        <f t="shared" si="1558"/>
        <v/>
      </c>
      <c r="AC2022" s="698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698"/>
      <c r="AE2022" s="631" t="str">
        <f t="shared" si="1559"/>
        <v/>
      </c>
      <c r="AF2022" s="699" t="str">
        <f t="shared" si="1560"/>
        <v/>
      </c>
      <c r="AG2022" s="699"/>
      <c r="AH2022" s="699"/>
      <c r="AI2022" s="512">
        <f>IF(H2022="credit",0,IF(AE2022="free",0,IF(AE2022="me",0,IF(G2022&gt;0,(VLOOKUP(A2022,'Discount Lookup'!J:K,2)*G2022),0))))</f>
        <v>0</v>
      </c>
      <c r="AJ2022" s="513" t="str">
        <f t="shared" ca="1" si="1561"/>
        <v/>
      </c>
      <c r="AK2022" s="700" t="str">
        <f t="shared" si="1562"/>
        <v/>
      </c>
      <c r="AL2022" s="700"/>
      <c r="AM2022" s="505" t="str">
        <f t="shared" si="1563"/>
        <v/>
      </c>
      <c r="AN2022" s="506"/>
      <c r="AO2022" s="507"/>
      <c r="AP2022" s="507"/>
      <c r="AQ2022" s="507"/>
      <c r="AR2022" s="507"/>
      <c r="AS2022" s="507"/>
      <c r="AT2022" s="507"/>
      <c r="AU2022" s="507"/>
      <c r="AV2022" s="225"/>
      <c r="AW2022" s="508"/>
      <c r="AX2022" s="225"/>
      <c r="AY2022" s="225"/>
      <c r="AZ2022" s="225"/>
      <c r="BA2022" s="225"/>
      <c r="BB2022" s="225"/>
      <c r="BC2022" s="56"/>
      <c r="BD2022" s="56"/>
      <c r="BE2022" s="56"/>
      <c r="BF2022" s="107" t="str">
        <f t="shared" si="1564"/>
        <v>https://www.google.com/search?tbm=isch&amp;q=Jetstream%E2%84%A2%20Oakleaf%20Hydrangea%20Hyd.%20quercifolia%20%27PIIHQ-I%27%20PP%2325319</v>
      </c>
      <c r="BG2022" s="107" t="str">
        <f t="shared" si="1565"/>
        <v>J</v>
      </c>
      <c r="BH2022" s="254"/>
      <c r="BI2022" s="254"/>
    </row>
    <row r="2023" spans="1:61" customFormat="1" ht="15.75" x14ac:dyDescent="0.25">
      <c r="A2023" s="276">
        <v>3</v>
      </c>
      <c r="B2023" s="240" t="s">
        <v>291</v>
      </c>
      <c r="C2023" s="241" t="s">
        <v>4758</v>
      </c>
      <c r="D2023" s="242" t="s">
        <v>312</v>
      </c>
      <c r="E2023" s="243">
        <v>35.950000000000003</v>
      </c>
      <c r="F2023" s="517" t="s">
        <v>293</v>
      </c>
      <c r="G2023" s="232">
        <v>0</v>
      </c>
      <c r="H2023" s="661" t="str">
        <f>IF(G2023=0,"",IF(F2023="Buy",IF(G2023=1,"plant","plants"),IF(F2023&gt;0.01,"warranty","Error")))</f>
        <v/>
      </c>
      <c r="I2023" s="244">
        <f>IF(H2023="free",0,IF(H2023="credit",((E2023*(F2023))*G2023*-1),IF(F2023="Buy",(E2023*G2023),((E2023*(1-F2023))*G2023))))</f>
        <v>0</v>
      </c>
      <c r="J2023" s="244">
        <f>IF(H2023="warranty",0,(I2023*(_xlfn.SINGLE(SalesTaxPercentage))))</f>
        <v>0</v>
      </c>
      <c r="K2023" s="696">
        <f t="shared" ref="K2023" si="1576">I2023+J2023</f>
        <v>0</v>
      </c>
      <c r="L2023" s="696"/>
      <c r="M2023" s="659" t="str">
        <f>IF(AND(G2023&gt;0,E2023=0),"WARNING - no PRICE inserted",IF(H2023="free"," FREE ~ no charge this plant",IF(H2023="credit",CONCATENATE(" -$",ROUND(K2023*(1-T2GDiscount)*-1,2)," CREDIT after discount"),IF(T2GDiscount=0,"",IF(G2023=0,"",IF(F2023="Buy",CONCATENATE(" $",ROUND(K2023*(1-T2GDiscount),2)," with ",(T2GDiscount*100),"% discount"),CONCATENATE(" $",ROUND(K2023*(1-T2GDiscount),2)," with ",((T2GDiscount*100+F2023*100)-(T2GDiscount*100*F2023)),IF(F2023&gt;0,"% discounts",IF(NoWarrantyDiscount&gt;0,"% discounts","% discount")))))))))</f>
        <v/>
      </c>
      <c r="N2023" s="660"/>
      <c r="O2023" s="233"/>
      <c r="P2023" s="233"/>
      <c r="Q2023" s="233"/>
      <c r="R2023" s="233"/>
      <c r="S2023" s="233"/>
      <c r="T2023" s="508">
        <f t="shared" si="1553"/>
        <v>0</v>
      </c>
      <c r="U2023" s="225">
        <f>IF(NOT(ISNUMBER(G2023)), "", VLOOKUP(A2023,'Discount Lookup'!D:E,2,FALSE)*G2023)</f>
        <v>0</v>
      </c>
      <c r="V2023" s="225">
        <f>IF(NOT(ISNUMBER(G2023)), "", VLOOKUP(A2023,'Discount Lookup'!G:H,2,FALSE)*G2023)</f>
        <v>0</v>
      </c>
      <c r="W2023" s="508">
        <f t="shared" si="1554"/>
        <v>0</v>
      </c>
      <c r="X2023" s="508">
        <f t="shared" si="1555"/>
        <v>0</v>
      </c>
      <c r="Y2023" s="509" t="b">
        <f t="shared" si="1556"/>
        <v>0</v>
      </c>
      <c r="Z2023" s="510">
        <f t="shared" si="1557"/>
        <v>0</v>
      </c>
      <c r="AA2023" s="511"/>
      <c r="AB2023" s="511" t="str">
        <f t="shared" si="1558"/>
        <v/>
      </c>
      <c r="AC2023" s="698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698"/>
      <c r="AE2023" s="631" t="str">
        <f t="shared" si="1559"/>
        <v/>
      </c>
      <c r="AF2023" s="699" t="str">
        <f t="shared" si="1560"/>
        <v/>
      </c>
      <c r="AG2023" s="699"/>
      <c r="AH2023" s="699"/>
      <c r="AI2023" s="512">
        <f>IF(H2023="credit",0,IF(AE2023="free",0,IF(AE2023="me",0,IF(G2023&gt;0,(VLOOKUP(A2023,'Discount Lookup'!J:K,2)*G2023),0))))</f>
        <v>0</v>
      </c>
      <c r="AJ2023" s="513" t="str">
        <f t="shared" ca="1" si="1561"/>
        <v/>
      </c>
      <c r="AK2023" s="700" t="str">
        <f t="shared" si="1562"/>
        <v/>
      </c>
      <c r="AL2023" s="700"/>
      <c r="AM2023" s="505" t="str">
        <f t="shared" si="1563"/>
        <v/>
      </c>
      <c r="AN2023" s="506"/>
      <c r="AO2023" s="507"/>
      <c r="AP2023" s="507"/>
      <c r="AQ2023" s="507"/>
      <c r="AR2023" s="507"/>
      <c r="AS2023" s="507"/>
      <c r="AT2023" s="507"/>
      <c r="AU2023" s="507"/>
      <c r="AV2023" s="225"/>
      <c r="AW2023" s="508"/>
      <c r="AX2023" s="225"/>
      <c r="AY2023" s="225"/>
      <c r="AZ2023" s="225"/>
      <c r="BA2023" s="225"/>
      <c r="BB2023" s="225"/>
      <c r="BC2023" s="56"/>
      <c r="BD2023" s="56"/>
      <c r="BE2023" s="56"/>
      <c r="BF2023" s="107" t="str">
        <f t="shared" si="1564"/>
        <v>https://www.google.com/search?tbm=isch&amp;q=3%20G2</v>
      </c>
      <c r="BG2023" s="107" t="str">
        <f t="shared" si="1565"/>
        <v>J</v>
      </c>
      <c r="BH2023" s="254"/>
      <c r="BI2023" s="254"/>
    </row>
    <row r="2024" spans="1:61" customFormat="1" ht="17.25" thickBot="1" x14ac:dyDescent="0.3">
      <c r="A2024" s="673" t="s">
        <v>5150</v>
      </c>
      <c r="B2024" s="245"/>
      <c r="C2024" s="677"/>
      <c r="D2024" s="499"/>
      <c r="E2024" s="499"/>
      <c r="F2024" s="500"/>
      <c r="G2024" s="501"/>
      <c r="H2024" s="502"/>
      <c r="I2024" s="246"/>
      <c r="J2024" s="247"/>
      <c r="K2024" s="503"/>
      <c r="L2024" s="544"/>
      <c r="M2024" s="544"/>
      <c r="N2024" s="500"/>
      <c r="O2024" s="500"/>
      <c r="P2024" s="500"/>
      <c r="Q2024" s="500"/>
      <c r="R2024" s="500"/>
      <c r="S2024" s="278"/>
      <c r="T2024" s="508">
        <f t="shared" si="1553"/>
        <v>0</v>
      </c>
      <c r="U2024" s="225" t="str">
        <f>IF(NOT(ISNUMBER(G2024)), "", VLOOKUP(A2024,'Discount Lookup'!D:E,2,FALSE)*G2024)</f>
        <v/>
      </c>
      <c r="V2024" s="225" t="str">
        <f>IF(NOT(ISNUMBER(G2024)), "", VLOOKUP(A2024,'Discount Lookup'!G:H,2,FALSE)*G2024)</f>
        <v/>
      </c>
      <c r="W2024" s="508">
        <f t="shared" si="1554"/>
        <v>0</v>
      </c>
      <c r="X2024" s="508">
        <f t="shared" si="1555"/>
        <v>0</v>
      </c>
      <c r="Y2024" s="509" t="b">
        <f t="shared" si="1556"/>
        <v>0</v>
      </c>
      <c r="Z2024" s="510">
        <f t="shared" si="1557"/>
        <v>0</v>
      </c>
      <c r="AA2024" s="511"/>
      <c r="AB2024" s="511" t="str">
        <f t="shared" si="1558"/>
        <v/>
      </c>
      <c r="AC2024" s="698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698"/>
      <c r="AE2024" s="631" t="str">
        <f t="shared" si="1559"/>
        <v/>
      </c>
      <c r="AF2024" s="699" t="str">
        <f t="shared" si="1560"/>
        <v/>
      </c>
      <c r="AG2024" s="699"/>
      <c r="AH2024" s="699"/>
      <c r="AI2024" s="512">
        <f>IF(H2024="credit",0,IF(AE2024="free",0,IF(AE2024="me",0,IF(G2024&gt;0,(VLOOKUP(A2024,'Discount Lookup'!J:K,2)*G2024),0))))</f>
        <v>0</v>
      </c>
      <c r="AJ2024" s="513" t="str">
        <f t="shared" ca="1" si="1561"/>
        <v/>
      </c>
      <c r="AK2024" s="700" t="str">
        <f t="shared" si="1562"/>
        <v/>
      </c>
      <c r="AL2024" s="700"/>
      <c r="AM2024" s="505" t="str">
        <f t="shared" si="1563"/>
        <v/>
      </c>
      <c r="AN2024" s="506"/>
      <c r="AO2024" s="507"/>
      <c r="AP2024" s="507"/>
      <c r="AQ2024" s="507"/>
      <c r="AR2024" s="507"/>
      <c r="AS2024" s="507"/>
      <c r="AT2024" s="507"/>
      <c r="AU2024" s="507"/>
      <c r="AV2024" s="225"/>
      <c r="AW2024" s="508"/>
      <c r="AX2024" s="225"/>
      <c r="AY2024" s="225"/>
      <c r="AZ2024" s="225"/>
      <c r="BA2024" s="225"/>
      <c r="BB2024" s="225"/>
      <c r="BC2024" s="56"/>
      <c r="BD2024" s="56"/>
      <c r="BE2024" s="56"/>
      <c r="BF2024" s="107" t="str">
        <f t="shared" si="1564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24" s="107" t="str">
        <f t="shared" si="1565"/>
        <v>m</v>
      </c>
      <c r="BH2024" s="254"/>
      <c r="BI2024" s="254"/>
    </row>
    <row r="2025" spans="1:61" customFormat="1" ht="18" x14ac:dyDescent="0.25">
      <c r="A2025" s="523" t="s">
        <v>1178</v>
      </c>
      <c r="B2025" s="235"/>
      <c r="C2025" s="676"/>
      <c r="D2025" s="255" t="s">
        <v>1179</v>
      </c>
      <c r="E2025" s="236"/>
      <c r="F2025" s="236"/>
      <c r="G2025" s="236"/>
      <c r="H2025" s="582" t="s">
        <v>1007</v>
      </c>
      <c r="I2025" s="498" t="s">
        <v>2217</v>
      </c>
      <c r="J2025" s="237"/>
      <c r="K2025" s="237"/>
      <c r="L2025" s="274"/>
      <c r="M2025" s="668" t="s">
        <v>4962</v>
      </c>
      <c r="N2025" s="681" t="str">
        <f>IF(AND(ISTEXT($A2025), ISERROR($A2025+0)), HYPERLINK($BF2025, "Images"), "")</f>
        <v>Images</v>
      </c>
      <c r="O2025" s="663" t="s">
        <v>4969</v>
      </c>
      <c r="P2025" s="253"/>
      <c r="Q2025" s="238"/>
      <c r="R2025" s="239"/>
      <c r="S2025" s="275" t="s">
        <v>305</v>
      </c>
      <c r="T2025" s="508">
        <f t="shared" si="1553"/>
        <v>0</v>
      </c>
      <c r="U2025" s="225" t="str">
        <f>IF(NOT(ISNUMBER(G2025)), "", VLOOKUP(A2025,'Discount Lookup'!D:E,2,FALSE)*G2025)</f>
        <v/>
      </c>
      <c r="V2025" s="225" t="str">
        <f>IF(NOT(ISNUMBER(G2025)), "", VLOOKUP(A2025,'Discount Lookup'!G:H,2,FALSE)*G2025)</f>
        <v/>
      </c>
      <c r="W2025" s="508">
        <f t="shared" si="1554"/>
        <v>0</v>
      </c>
      <c r="X2025" s="508" t="str">
        <f t="shared" si="1555"/>
        <v>Light Green needles</v>
      </c>
      <c r="Y2025" s="509" t="b">
        <f t="shared" si="1556"/>
        <v>0</v>
      </c>
      <c r="Z2025" s="510">
        <f t="shared" si="1557"/>
        <v>0</v>
      </c>
      <c r="AA2025" s="511"/>
      <c r="AB2025" s="511" t="str">
        <f t="shared" si="1558"/>
        <v/>
      </c>
      <c r="AC2025" s="698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698"/>
      <c r="AE2025" s="631" t="str">
        <f t="shared" si="1559"/>
        <v/>
      </c>
      <c r="AF2025" s="699" t="str">
        <f t="shared" si="1560"/>
        <v/>
      </c>
      <c r="AG2025" s="699"/>
      <c r="AH2025" s="699"/>
      <c r="AI2025" s="512">
        <f>IF(H2025="credit",0,IF(AE2025="free",0,IF(AE2025="me",0,IF(G2025&gt;0,(VLOOKUP(A2025,'Discount Lookup'!J:K,2)*G2025),0))))</f>
        <v>0</v>
      </c>
      <c r="AJ2025" s="513" t="str">
        <f t="shared" ca="1" si="1561"/>
        <v/>
      </c>
      <c r="AK2025" s="700" t="str">
        <f t="shared" si="1562"/>
        <v/>
      </c>
      <c r="AL2025" s="700"/>
      <c r="AM2025" s="505" t="str">
        <f t="shared" si="1563"/>
        <v/>
      </c>
      <c r="AN2025" s="506"/>
      <c r="AO2025" s="507"/>
      <c r="AP2025" s="507"/>
      <c r="AQ2025" s="507"/>
      <c r="AR2025" s="507"/>
      <c r="AS2025" s="507"/>
      <c r="AT2025" s="507"/>
      <c r="AU2025" s="507"/>
      <c r="AV2025" s="225"/>
      <c r="AW2025" s="508"/>
      <c r="AX2025" s="225"/>
      <c r="AY2025" s="225"/>
      <c r="AZ2025" s="225"/>
      <c r="BA2025" s="225"/>
      <c r="BB2025" s="225"/>
      <c r="BC2025" s="56"/>
      <c r="BD2025" s="56"/>
      <c r="BE2025" s="56"/>
      <c r="BF2025" s="107" t="str">
        <f t="shared" si="1564"/>
        <v>https://www.google.com/search?tbm=isch&amp;q=Jim%27s%20Little%20Guy%20Bald%20Cypress%20Taxodium%20distichum%20%27Jim%27s%20Little%20Guy%27%20PP%2312296</v>
      </c>
      <c r="BG2025" s="107" t="str">
        <f t="shared" si="1565"/>
        <v>J</v>
      </c>
      <c r="BH2025" s="254"/>
      <c r="BI2025" s="254"/>
    </row>
    <row r="2026" spans="1:61" customFormat="1" ht="15.75" x14ac:dyDescent="0.25">
      <c r="A2026" s="276">
        <v>7</v>
      </c>
      <c r="B2026" s="240" t="s">
        <v>291</v>
      </c>
      <c r="C2026" s="241" t="s">
        <v>3466</v>
      </c>
      <c r="D2026" s="242" t="s">
        <v>292</v>
      </c>
      <c r="E2026" s="243">
        <v>132.94999999999999</v>
      </c>
      <c r="F2026" s="517" t="s">
        <v>293</v>
      </c>
      <c r="G2026" s="232">
        <v>0</v>
      </c>
      <c r="H2026" s="661" t="str">
        <f>IF(G2026=0,"",IF(F2026="Buy",IF(G2026=1,"plant","plants"),IF(F2026&gt;0.01,"warranty","Error")))</f>
        <v/>
      </c>
      <c r="I2026" s="244">
        <f>IF(H2026="free",0,IF(H2026="credit",((E2026*(F2026))*G2026*-1),IF(F2026="Buy",(E2026*G2026),((E2026*(1-F2026))*G2026))))</f>
        <v>0</v>
      </c>
      <c r="J2026" s="244">
        <f>IF(H2026="warranty",0,(I2026*(_xlfn.SINGLE(SalesTaxPercentage))))</f>
        <v>0</v>
      </c>
      <c r="K2026" s="696">
        <f t="shared" ref="K2026" si="1577">I2026+J2026</f>
        <v>0</v>
      </c>
      <c r="L2026" s="696"/>
      <c r="M2026" s="659" t="str">
        <f>IF(AND(G2026&gt;0,E2026=0),"WARNING - no PRICE inserted",IF(H2026="free"," FREE ~ no charge this plant",IF(H2026="credit",CONCATENATE(" -$",ROUND(K2026*(1-T2GDiscount)*-1,2)," CREDIT after discount"),IF(T2GDiscount=0,"",IF(G2026=0,"",IF(F2026="Buy",CONCATENATE(" $",ROUND(K2026*(1-T2GDiscount),2)," with ",(T2GDiscount*100),"% discount"),CONCATENATE(" $",ROUND(K2026*(1-T2GDiscount),2)," with ",((T2GDiscount*100+F2026*100)-(T2GDiscount*100*F2026)),IF(F2026&gt;0,"% discounts",IF(NoWarrantyDiscount&gt;0,"% discounts","% discount")))))))))</f>
        <v/>
      </c>
      <c r="N2026" s="660"/>
      <c r="O2026" s="233"/>
      <c r="P2026" s="233"/>
      <c r="Q2026" s="233"/>
      <c r="R2026" s="233"/>
      <c r="S2026" s="233"/>
      <c r="T2026" s="508">
        <f t="shared" si="1553"/>
        <v>0</v>
      </c>
      <c r="U2026" s="225">
        <f>IF(NOT(ISNUMBER(G2026)), "", VLOOKUP(A2026,'Discount Lookup'!D:E,2,FALSE)*G2026)</f>
        <v>0</v>
      </c>
      <c r="V2026" s="225">
        <f>IF(NOT(ISNUMBER(G2026)), "", VLOOKUP(A2026,'Discount Lookup'!G:H,2,FALSE)*G2026)</f>
        <v>0</v>
      </c>
      <c r="W2026" s="508">
        <f t="shared" si="1554"/>
        <v>0</v>
      </c>
      <c r="X2026" s="508">
        <f t="shared" si="1555"/>
        <v>0</v>
      </c>
      <c r="Y2026" s="509" t="b">
        <f t="shared" si="1556"/>
        <v>0</v>
      </c>
      <c r="Z2026" s="510">
        <f t="shared" si="1557"/>
        <v>0</v>
      </c>
      <c r="AA2026" s="511"/>
      <c r="AB2026" s="511" t="str">
        <f t="shared" si="1558"/>
        <v/>
      </c>
      <c r="AC2026" s="698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698"/>
      <c r="AE2026" s="631" t="str">
        <f t="shared" si="1559"/>
        <v/>
      </c>
      <c r="AF2026" s="699" t="str">
        <f t="shared" si="1560"/>
        <v/>
      </c>
      <c r="AG2026" s="699"/>
      <c r="AH2026" s="699"/>
      <c r="AI2026" s="512">
        <f>IF(H2026="credit",0,IF(AE2026="free",0,IF(AE2026="me",0,IF(G2026&gt;0,(VLOOKUP(A2026,'Discount Lookup'!J:K,2)*G2026),0))))</f>
        <v>0</v>
      </c>
      <c r="AJ2026" s="513" t="str">
        <f t="shared" ca="1" si="1561"/>
        <v/>
      </c>
      <c r="AK2026" s="700" t="str">
        <f t="shared" si="1562"/>
        <v/>
      </c>
      <c r="AL2026" s="700"/>
      <c r="AM2026" s="505" t="str">
        <f t="shared" si="1563"/>
        <v/>
      </c>
      <c r="AN2026" s="506"/>
      <c r="AO2026" s="507"/>
      <c r="AP2026" s="507"/>
      <c r="AQ2026" s="507"/>
      <c r="AR2026" s="507"/>
      <c r="AS2026" s="507"/>
      <c r="AT2026" s="507"/>
      <c r="AU2026" s="507"/>
      <c r="AV2026" s="225"/>
      <c r="AW2026" s="508"/>
      <c r="AX2026" s="225"/>
      <c r="AY2026" s="225"/>
      <c r="AZ2026" s="225"/>
      <c r="BA2026" s="225"/>
      <c r="BB2026" s="225"/>
      <c r="BC2026" s="56"/>
      <c r="BD2026" s="56"/>
      <c r="BE2026" s="56"/>
      <c r="BF2026" s="107" t="str">
        <f t="shared" si="1564"/>
        <v>https://www.google.com/search?tbm=isch&amp;q=7%20G4</v>
      </c>
      <c r="BG2026" s="107" t="str">
        <f t="shared" si="1565"/>
        <v>J</v>
      </c>
      <c r="BH2026" s="254"/>
      <c r="BI2026" s="254"/>
    </row>
    <row r="2027" spans="1:61" customFormat="1" ht="15.75" x14ac:dyDescent="0.25">
      <c r="A2027" s="276">
        <v>15</v>
      </c>
      <c r="B2027" s="240" t="s">
        <v>291</v>
      </c>
      <c r="C2027" s="241" t="s">
        <v>3585</v>
      </c>
      <c r="D2027" s="242" t="s">
        <v>292</v>
      </c>
      <c r="E2027" s="243">
        <v>284.95</v>
      </c>
      <c r="F2027" s="517" t="s">
        <v>293</v>
      </c>
      <c r="G2027" s="232">
        <v>0</v>
      </c>
      <c r="H2027" s="661" t="str">
        <f>IF(G2027=0,"",IF(F2027="Buy",IF(G2027=1,"plant","plants"),IF(F2027&gt;0.01,"warranty","Error")))</f>
        <v/>
      </c>
      <c r="I2027" s="244">
        <f>IF(H2027="free",0,IF(H2027="credit",((E2027*(F2027))*G2027*-1),IF(F2027="Buy",(E2027*G2027),((E2027*(1-F2027))*G2027))))</f>
        <v>0</v>
      </c>
      <c r="J2027" s="244">
        <f>IF(H2027="warranty",0,(I2027*(_xlfn.SINGLE(SalesTaxPercentage))))</f>
        <v>0</v>
      </c>
      <c r="K2027" s="696">
        <f t="shared" ref="K2027" si="1578">I2027+J2027</f>
        <v>0</v>
      </c>
      <c r="L2027" s="696"/>
      <c r="M2027" s="659" t="str">
        <f>IF(AND(G2027&gt;0,E2027=0),"WARNING - no PRICE inserted",IF(H2027="free"," FREE ~ no charge this plant",IF(H2027="credit",CONCATENATE(" -$",ROUND(K2027*(1-T2GDiscount)*-1,2)," CREDIT after discount"),IF(T2GDiscount=0,"",IF(G2027=0,"",IF(F2027="Buy",CONCATENATE(" $",ROUND(K2027*(1-T2GDiscount),2)," with ",(T2GDiscount*100),"% discount"),CONCATENATE(" $",ROUND(K2027*(1-T2GDiscount),2)," with ",((T2GDiscount*100+F2027*100)-(T2GDiscount*100*F2027)),IF(F2027&gt;0,"% discounts",IF(NoWarrantyDiscount&gt;0,"% discounts","% discount")))))))))</f>
        <v/>
      </c>
      <c r="N2027" s="660"/>
      <c r="O2027" s="233"/>
      <c r="P2027" s="233"/>
      <c r="Q2027" s="233"/>
      <c r="R2027" s="233"/>
      <c r="S2027" s="233"/>
      <c r="T2027" s="508">
        <f t="shared" si="1553"/>
        <v>0</v>
      </c>
      <c r="U2027" s="225">
        <f>IF(NOT(ISNUMBER(G2027)), "", VLOOKUP(A2027,'Discount Lookup'!D:E,2,FALSE)*G2027)</f>
        <v>0</v>
      </c>
      <c r="V2027" s="225">
        <f>IF(NOT(ISNUMBER(G2027)), "", VLOOKUP(A2027,'Discount Lookup'!G:H,2,FALSE)*G2027)</f>
        <v>0</v>
      </c>
      <c r="W2027" s="508">
        <f t="shared" si="1554"/>
        <v>0</v>
      </c>
      <c r="X2027" s="508">
        <f t="shared" si="1555"/>
        <v>0</v>
      </c>
      <c r="Y2027" s="509" t="b">
        <f t="shared" si="1556"/>
        <v>0</v>
      </c>
      <c r="Z2027" s="510">
        <f t="shared" si="1557"/>
        <v>0</v>
      </c>
      <c r="AA2027" s="511"/>
      <c r="AB2027" s="511" t="str">
        <f t="shared" si="1558"/>
        <v/>
      </c>
      <c r="AC2027" s="698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698"/>
      <c r="AE2027" s="631" t="str">
        <f t="shared" si="1559"/>
        <v/>
      </c>
      <c r="AF2027" s="699" t="str">
        <f t="shared" si="1560"/>
        <v/>
      </c>
      <c r="AG2027" s="699"/>
      <c r="AH2027" s="699"/>
      <c r="AI2027" s="512">
        <f>IF(H2027="credit",0,IF(AE2027="free",0,IF(AE2027="me",0,IF(G2027&gt;0,(VLOOKUP(A2027,'Discount Lookup'!J:K,2)*G2027),0))))</f>
        <v>0</v>
      </c>
      <c r="AJ2027" s="513" t="str">
        <f t="shared" ca="1" si="1561"/>
        <v/>
      </c>
      <c r="AK2027" s="700" t="str">
        <f t="shared" si="1562"/>
        <v/>
      </c>
      <c r="AL2027" s="700"/>
      <c r="AM2027" s="505" t="str">
        <f t="shared" si="1563"/>
        <v/>
      </c>
      <c r="AN2027" s="506"/>
      <c r="AO2027" s="507"/>
      <c r="AP2027" s="507"/>
      <c r="AQ2027" s="507"/>
      <c r="AR2027" s="507"/>
      <c r="AS2027" s="507"/>
      <c r="AT2027" s="507"/>
      <c r="AU2027" s="507"/>
      <c r="AV2027" s="225"/>
      <c r="AW2027" s="508"/>
      <c r="AX2027" s="225"/>
      <c r="AY2027" s="225"/>
      <c r="AZ2027" s="225"/>
      <c r="BA2027" s="225"/>
      <c r="BB2027" s="225"/>
      <c r="BC2027" s="56"/>
      <c r="BD2027" s="56"/>
      <c r="BE2027" s="56"/>
      <c r="BF2027" s="107" t="str">
        <f t="shared" si="1564"/>
        <v>https://www.google.com/search?tbm=isch&amp;q=15%20G4</v>
      </c>
      <c r="BG2027" s="107" t="str">
        <f t="shared" si="1565"/>
        <v>J</v>
      </c>
      <c r="BH2027" s="254"/>
      <c r="BI2027" s="254"/>
    </row>
    <row r="2028" spans="1:61" customFormat="1" ht="17.25" thickBot="1" x14ac:dyDescent="0.3">
      <c r="A2028" s="673" t="s">
        <v>5151</v>
      </c>
      <c r="B2028" s="245"/>
      <c r="C2028" s="677"/>
      <c r="D2028" s="499"/>
      <c r="E2028" s="499"/>
      <c r="F2028" s="500"/>
      <c r="G2028" s="501"/>
      <c r="H2028" s="502"/>
      <c r="I2028" s="246"/>
      <c r="J2028" s="247"/>
      <c r="K2028" s="503"/>
      <c r="L2028" s="544"/>
      <c r="M2028" s="544"/>
      <c r="N2028" s="500"/>
      <c r="O2028" s="500"/>
      <c r="P2028" s="500"/>
      <c r="Q2028" s="500"/>
      <c r="R2028" s="500"/>
      <c r="S2028" s="669" t="s">
        <v>5018</v>
      </c>
      <c r="T2028" s="508">
        <f t="shared" si="1553"/>
        <v>0</v>
      </c>
      <c r="U2028" s="225" t="str">
        <f>IF(NOT(ISNUMBER(G2028)), "", VLOOKUP(A2028,'Discount Lookup'!D:E,2,FALSE)*G2028)</f>
        <v/>
      </c>
      <c r="V2028" s="225" t="str">
        <f>IF(NOT(ISNUMBER(G2028)), "", VLOOKUP(A2028,'Discount Lookup'!G:H,2,FALSE)*G2028)</f>
        <v/>
      </c>
      <c r="W2028" s="508">
        <f t="shared" si="1554"/>
        <v>0</v>
      </c>
      <c r="X2028" s="508">
        <f t="shared" si="1555"/>
        <v>0</v>
      </c>
      <c r="Y2028" s="509" t="b">
        <f t="shared" si="1556"/>
        <v>0</v>
      </c>
      <c r="Z2028" s="510">
        <f t="shared" si="1557"/>
        <v>0</v>
      </c>
      <c r="AA2028" s="511"/>
      <c r="AB2028" s="511" t="str">
        <f t="shared" si="1558"/>
        <v/>
      </c>
      <c r="AC2028" s="698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698"/>
      <c r="AE2028" s="631" t="str">
        <f t="shared" si="1559"/>
        <v/>
      </c>
      <c r="AF2028" s="699" t="str">
        <f t="shared" si="1560"/>
        <v/>
      </c>
      <c r="AG2028" s="699"/>
      <c r="AH2028" s="699"/>
      <c r="AI2028" s="512">
        <f>IF(H2028="credit",0,IF(AE2028="free",0,IF(AE2028="me",0,IF(G2028&gt;0,(VLOOKUP(A2028,'Discount Lookup'!J:K,2)*G2028),0))))</f>
        <v>0</v>
      </c>
      <c r="AJ2028" s="513" t="str">
        <f t="shared" ca="1" si="1561"/>
        <v/>
      </c>
      <c r="AK2028" s="700" t="str">
        <f t="shared" si="1562"/>
        <v/>
      </c>
      <c r="AL2028" s="700"/>
      <c r="AM2028" s="505" t="str">
        <f t="shared" si="1563"/>
        <v/>
      </c>
      <c r="AN2028" s="506"/>
      <c r="AO2028" s="507"/>
      <c r="AP2028" s="507"/>
      <c r="AQ2028" s="507"/>
      <c r="AR2028" s="507"/>
      <c r="AS2028" s="507"/>
      <c r="AT2028" s="507"/>
      <c r="AU2028" s="507"/>
      <c r="AV2028" s="225"/>
      <c r="AW2028" s="508"/>
      <c r="AX2028" s="225"/>
      <c r="AY2028" s="225"/>
      <c r="AZ2028" s="225"/>
      <c r="BA2028" s="225"/>
      <c r="BB2028" s="225"/>
      <c r="BC2028" s="56"/>
      <c r="BD2028" s="56"/>
      <c r="BE2028" s="56"/>
      <c r="BF2028" s="107" t="str">
        <f t="shared" si="1564"/>
        <v>https://www.google.com/search?tbm=isch&amp;q=wet%20sites%F0%9F%92%A7BEST%2C%20Jim%27s%20Little%20Guy%20mimics%20it%27s%20much%20larger%20siblings%2C%20with%20form%2C%20look%2C%20texture%2C%20and%20stateliness%20</v>
      </c>
      <c r="BG2028" s="107" t="str">
        <f t="shared" si="1565"/>
        <v>w</v>
      </c>
      <c r="BH2028" s="254"/>
      <c r="BI2028" s="254"/>
    </row>
    <row r="2029" spans="1:61" customFormat="1" ht="18" x14ac:dyDescent="0.25">
      <c r="A2029" s="521" t="s">
        <v>1180</v>
      </c>
      <c r="B2029" s="477"/>
      <c r="C2029" s="674"/>
      <c r="D2029" s="478" t="s">
        <v>1181</v>
      </c>
      <c r="E2029" s="479"/>
      <c r="F2029" s="479"/>
      <c r="G2029" s="479"/>
      <c r="H2029" s="582" t="s">
        <v>394</v>
      </c>
      <c r="I2029" s="480" t="s">
        <v>2093</v>
      </c>
      <c r="J2029" s="479"/>
      <c r="K2029" s="479"/>
      <c r="L2029" s="560"/>
      <c r="M2029" s="666" t="s">
        <v>4966</v>
      </c>
      <c r="N2029" s="680" t="str">
        <f>IF(AND(ISTEXT($A2029), ISERROR($A2029+0)), HYPERLINK($BF2029, "Images"), "")</f>
        <v>Images</v>
      </c>
      <c r="O2029" s="662" t="s">
        <v>4969</v>
      </c>
      <c r="P2029" s="482"/>
      <c r="Q2029" s="483"/>
      <c r="R2029" s="483"/>
      <c r="S2029" s="484"/>
      <c r="T2029" s="508">
        <f t="shared" si="1553"/>
        <v>0</v>
      </c>
      <c r="U2029" s="225" t="str">
        <f>IF(NOT(ISNUMBER(G2029)), "", VLOOKUP(A2029,'Discount Lookup'!D:E,2,FALSE)*G2029)</f>
        <v/>
      </c>
      <c r="V2029" s="225" t="str">
        <f>IF(NOT(ISNUMBER(G2029)), "", VLOOKUP(A2029,'Discount Lookup'!G:H,2,FALSE)*G2029)</f>
        <v/>
      </c>
      <c r="W2029" s="508">
        <f t="shared" si="1554"/>
        <v>0</v>
      </c>
      <c r="X2029" s="508" t="str">
        <f t="shared" si="1555"/>
        <v>Dark Green foliage</v>
      </c>
      <c r="Y2029" s="509" t="b">
        <f t="shared" si="1556"/>
        <v>0</v>
      </c>
      <c r="Z2029" s="510">
        <f t="shared" si="1557"/>
        <v>0</v>
      </c>
      <c r="AA2029" s="511"/>
      <c r="AB2029" s="511" t="str">
        <f t="shared" si="1558"/>
        <v/>
      </c>
      <c r="AC2029" s="698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698"/>
      <c r="AE2029" s="631" t="str">
        <f t="shared" si="1559"/>
        <v/>
      </c>
      <c r="AF2029" s="699" t="str">
        <f t="shared" si="1560"/>
        <v/>
      </c>
      <c r="AG2029" s="699"/>
      <c r="AH2029" s="699"/>
      <c r="AI2029" s="512">
        <f>IF(H2029="credit",0,IF(AE2029="free",0,IF(AE2029="me",0,IF(G2029&gt;0,(VLOOKUP(A2029,'Discount Lookup'!J:K,2)*G2029),0))))</f>
        <v>0</v>
      </c>
      <c r="AJ2029" s="513" t="str">
        <f t="shared" ca="1" si="1561"/>
        <v/>
      </c>
      <c r="AK2029" s="700" t="str">
        <f t="shared" si="1562"/>
        <v/>
      </c>
      <c r="AL2029" s="700"/>
      <c r="AM2029" s="505" t="str">
        <f t="shared" si="1563"/>
        <v/>
      </c>
      <c r="AN2029" s="506"/>
      <c r="AO2029" s="507"/>
      <c r="AP2029" s="507"/>
      <c r="AQ2029" s="507"/>
      <c r="AR2029" s="507"/>
      <c r="AS2029" s="507"/>
      <c r="AT2029" s="507"/>
      <c r="AU2029" s="507"/>
      <c r="AV2029" s="225"/>
      <c r="AW2029" s="508"/>
      <c r="AX2029" s="225"/>
      <c r="AY2029" s="225"/>
      <c r="AZ2029" s="225"/>
      <c r="BA2029" s="225"/>
      <c r="BB2029" s="225"/>
      <c r="BC2029" s="56"/>
      <c r="BD2029" s="56"/>
      <c r="BE2029" s="56"/>
      <c r="BF2029" s="107" t="str">
        <f t="shared" si="1564"/>
        <v>https://www.google.com/search?tbm=isch&amp;q=John%20Baldwin%20Boxwood%20Buxus%20microphylla%20%27John%20Baldwin%27</v>
      </c>
      <c r="BG2029" s="107" t="str">
        <f t="shared" si="1565"/>
        <v>J</v>
      </c>
      <c r="BH2029" s="254"/>
      <c r="BI2029" s="254"/>
    </row>
    <row r="2030" spans="1:61" customFormat="1" ht="27" x14ac:dyDescent="0.25">
      <c r="A2030" s="485">
        <v>5</v>
      </c>
      <c r="B2030" s="486" t="s">
        <v>291</v>
      </c>
      <c r="C2030" s="487" t="s">
        <v>4421</v>
      </c>
      <c r="D2030" s="488" t="s">
        <v>292</v>
      </c>
      <c r="E2030" s="489">
        <v>102.95</v>
      </c>
      <c r="F2030" s="516" t="s">
        <v>293</v>
      </c>
      <c r="G2030" s="232">
        <v>0</v>
      </c>
      <c r="H2030" s="658" t="str">
        <f>IF(G2030=0,"",IF(F2030="Buy",IF(G2030=1,"plant","plants"),IF(F2030&gt;0.01,"warranty","Error")))</f>
        <v/>
      </c>
      <c r="I2030" s="490">
        <f>IF(H2030="free",0,IF(H2030="credit",((E2030*(F2030))*G2030*-1),IF(F2030="Buy",(E2030*G2030),((E2030*(1-F2030))*G2030))))</f>
        <v>0</v>
      </c>
      <c r="J2030" s="490">
        <f>IF(H2030="warranty",0,(I2030*(_xlfn.SINGLE(SalesTaxPercentage))))</f>
        <v>0</v>
      </c>
      <c r="K2030" s="695">
        <f t="shared" ref="K2030" si="1579">I2030+J2030</f>
        <v>0</v>
      </c>
      <c r="L2030" s="695"/>
      <c r="M2030" s="659" t="str">
        <f>IF(AND(G2030&gt;0,E2030=0),"WARNING - no PRICE inserted",IF(H2030="free"," FREE ~ no charge this plant",IF(H2030="credit",CONCATENATE(" -$",ROUND(K2030*(1-T2GDiscount)*-1,2)," CREDIT after discount"),IF(T2GDiscount=0,"",IF(G2030=0,"",IF(F2030="Buy",CONCATENATE(" $",ROUND(K2030*(1-T2GDiscount),2)," with ",(T2GDiscount*100),"% discount"),CONCATENATE(" $",ROUND(K2030*(1-T2GDiscount),2)," with ",((T2GDiscount*100+F2030*100)-(T2GDiscount*100*F2030)),IF(F2030&gt;0,"% discounts",IF(NoWarrantyDiscount&gt;0,"% discounts","% discount")))))))))</f>
        <v/>
      </c>
      <c r="N2030" s="660"/>
      <c r="O2030" s="233"/>
      <c r="P2030" s="233"/>
      <c r="Q2030" s="233"/>
      <c r="R2030" s="233"/>
      <c r="S2030" s="233"/>
      <c r="T2030" s="508">
        <f t="shared" si="1553"/>
        <v>0</v>
      </c>
      <c r="U2030" s="225">
        <f>IF(NOT(ISNUMBER(G2030)), "", VLOOKUP(A2030,'Discount Lookup'!D:E,2,FALSE)*G2030)</f>
        <v>0</v>
      </c>
      <c r="V2030" s="225">
        <f>IF(NOT(ISNUMBER(G2030)), "", VLOOKUP(A2030,'Discount Lookup'!G:H,2,FALSE)*G2030)</f>
        <v>0</v>
      </c>
      <c r="W2030" s="508">
        <f t="shared" si="1554"/>
        <v>0</v>
      </c>
      <c r="X2030" s="508">
        <f t="shared" si="1555"/>
        <v>0</v>
      </c>
      <c r="Y2030" s="509" t="b">
        <f t="shared" si="1556"/>
        <v>0</v>
      </c>
      <c r="Z2030" s="510">
        <f t="shared" si="1557"/>
        <v>0</v>
      </c>
      <c r="AA2030" s="511"/>
      <c r="AB2030" s="511" t="str">
        <f t="shared" si="1558"/>
        <v/>
      </c>
      <c r="AC2030" s="698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698"/>
      <c r="AE2030" s="631" t="str">
        <f t="shared" si="1559"/>
        <v/>
      </c>
      <c r="AF2030" s="699" t="str">
        <f t="shared" si="1560"/>
        <v/>
      </c>
      <c r="AG2030" s="699"/>
      <c r="AH2030" s="699"/>
      <c r="AI2030" s="512">
        <f>IF(H2030="credit",0,IF(AE2030="free",0,IF(AE2030="me",0,IF(G2030&gt;0,(VLOOKUP(A2030,'Discount Lookup'!J:K,2)*G2030),0))))</f>
        <v>0</v>
      </c>
      <c r="AJ2030" s="513" t="str">
        <f t="shared" ca="1" si="1561"/>
        <v/>
      </c>
      <c r="AK2030" s="700" t="str">
        <f t="shared" si="1562"/>
        <v/>
      </c>
      <c r="AL2030" s="700"/>
      <c r="AM2030" s="505" t="str">
        <f t="shared" si="1563"/>
        <v/>
      </c>
      <c r="AN2030" s="506"/>
      <c r="AO2030" s="507"/>
      <c r="AP2030" s="507"/>
      <c r="AQ2030" s="507"/>
      <c r="AR2030" s="507"/>
      <c r="AS2030" s="507"/>
      <c r="AT2030" s="507"/>
      <c r="AU2030" s="507"/>
      <c r="AV2030" s="225"/>
      <c r="AW2030" s="508"/>
      <c r="AX2030" s="225"/>
      <c r="AY2030" s="225"/>
      <c r="AZ2030" s="225"/>
      <c r="BA2030" s="225"/>
      <c r="BB2030" s="225"/>
      <c r="BC2030" s="56"/>
      <c r="BD2030" s="56"/>
      <c r="BE2030" s="56"/>
      <c r="BF2030" s="107" t="str">
        <f t="shared" si="1564"/>
        <v>https://www.google.com/search?tbm=isch&amp;q=5%20G4</v>
      </c>
      <c r="BG2030" s="107" t="str">
        <f t="shared" si="1565"/>
        <v>J</v>
      </c>
      <c r="BH2030" s="254"/>
      <c r="BI2030" s="254"/>
    </row>
    <row r="2031" spans="1:61" customFormat="1" ht="16.5" thickBot="1" x14ac:dyDescent="0.3">
      <c r="A2031" s="522" t="s">
        <v>2985</v>
      </c>
      <c r="B2031" s="491"/>
      <c r="C2031" s="675"/>
      <c r="D2031" s="491"/>
      <c r="E2031" s="491"/>
      <c r="F2031" s="492"/>
      <c r="G2031" s="493"/>
      <c r="H2031" s="491"/>
      <c r="I2031" s="234"/>
      <c r="J2031" s="234"/>
      <c r="K2031" s="494"/>
      <c r="L2031" s="543"/>
      <c r="M2031" s="561"/>
      <c r="N2031" s="495"/>
      <c r="O2031" s="496"/>
      <c r="P2031" s="497"/>
      <c r="Q2031" s="495"/>
      <c r="R2031" s="495"/>
      <c r="S2031" s="667" t="s">
        <v>4968</v>
      </c>
      <c r="T2031" s="508">
        <f t="shared" si="1553"/>
        <v>0</v>
      </c>
      <c r="U2031" s="225" t="str">
        <f>IF(NOT(ISNUMBER(G2031)), "", VLOOKUP(A2031,'Discount Lookup'!D:E,2,FALSE)*G2031)</f>
        <v/>
      </c>
      <c r="V2031" s="225" t="str">
        <f>IF(NOT(ISNUMBER(G2031)), "", VLOOKUP(A2031,'Discount Lookup'!G:H,2,FALSE)*G2031)</f>
        <v/>
      </c>
      <c r="W2031" s="508">
        <f t="shared" si="1554"/>
        <v>0</v>
      </c>
      <c r="X2031" s="508">
        <f t="shared" si="1555"/>
        <v>0</v>
      </c>
      <c r="Y2031" s="509" t="b">
        <f t="shared" si="1556"/>
        <v>0</v>
      </c>
      <c r="Z2031" s="510">
        <f t="shared" si="1557"/>
        <v>0</v>
      </c>
      <c r="AA2031" s="511"/>
      <c r="AB2031" s="511" t="str">
        <f t="shared" si="1558"/>
        <v/>
      </c>
      <c r="AC2031" s="698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698"/>
      <c r="AE2031" s="631" t="str">
        <f t="shared" si="1559"/>
        <v/>
      </c>
      <c r="AF2031" s="699" t="str">
        <f t="shared" si="1560"/>
        <v/>
      </c>
      <c r="AG2031" s="699"/>
      <c r="AH2031" s="699"/>
      <c r="AI2031" s="512">
        <f>IF(H2031="credit",0,IF(AE2031="free",0,IF(AE2031="me",0,IF(G2031&gt;0,(VLOOKUP(A2031,'Discount Lookup'!J:K,2)*G2031),0))))</f>
        <v>0</v>
      </c>
      <c r="AJ2031" s="513" t="str">
        <f t="shared" ca="1" si="1561"/>
        <v/>
      </c>
      <c r="AK2031" s="700" t="str">
        <f t="shared" si="1562"/>
        <v/>
      </c>
      <c r="AL2031" s="700"/>
      <c r="AM2031" s="505" t="str">
        <f t="shared" si="1563"/>
        <v/>
      </c>
      <c r="AN2031" s="506"/>
      <c r="AO2031" s="507"/>
      <c r="AP2031" s="507"/>
      <c r="AQ2031" s="507"/>
      <c r="AR2031" s="507"/>
      <c r="AS2031" s="507"/>
      <c r="AT2031" s="507"/>
      <c r="AU2031" s="507"/>
      <c r="AV2031" s="225"/>
      <c r="AW2031" s="508"/>
      <c r="AX2031" s="225"/>
      <c r="AY2031" s="225"/>
      <c r="AZ2031" s="225"/>
      <c r="BA2031" s="225"/>
      <c r="BB2031" s="225"/>
      <c r="BC2031" s="56"/>
      <c r="BD2031" s="56"/>
      <c r="BE2031" s="56"/>
      <c r="BF2031" s="107" t="str">
        <f t="shared" si="1564"/>
        <v>https://www.google.com/search?tbm=isch&amp;q=John%20Baldwin%20flushes%20Blue-Green.%20Maintains%20conical%20shape%20naturally.%20Very%20cold%20tolerant.%20Slow-growing%2C%20dense%2C%20and%20ideal%20for%20hedges%20and%20borders%20</v>
      </c>
      <c r="BG2031" s="107" t="str">
        <f t="shared" si="1565"/>
        <v>J</v>
      </c>
      <c r="BH2031" s="254"/>
      <c r="BI2031" s="254"/>
    </row>
    <row r="2032" spans="1:61" customFormat="1" ht="18" x14ac:dyDescent="0.25">
      <c r="A2032" s="523" t="s">
        <v>1182</v>
      </c>
      <c r="B2032" s="235"/>
      <c r="C2032" s="676"/>
      <c r="D2032" s="255" t="s">
        <v>1183</v>
      </c>
      <c r="E2032" s="236"/>
      <c r="F2032" s="236"/>
      <c r="G2032" s="236"/>
      <c r="H2032" s="582" t="s">
        <v>308</v>
      </c>
      <c r="I2032" s="498" t="s">
        <v>2415</v>
      </c>
      <c r="J2032" s="237"/>
      <c r="K2032" s="237"/>
      <c r="L2032" s="274"/>
      <c r="M2032" s="668" t="s">
        <v>4975</v>
      </c>
      <c r="N2032" s="681" t="str">
        <f>IF(AND(ISTEXT($A2032), ISERROR($A2032+0)), HYPERLINK($BF2032, "Images"), "")</f>
        <v>Images</v>
      </c>
      <c r="O2032" s="663" t="s">
        <v>4967</v>
      </c>
      <c r="P2032" s="253"/>
      <c r="Q2032" s="238"/>
      <c r="R2032" s="239"/>
      <c r="S2032" s="275"/>
      <c r="T2032" s="508">
        <f t="shared" si="1553"/>
        <v>0</v>
      </c>
      <c r="U2032" s="225" t="str">
        <f>IF(NOT(ISNUMBER(G2032)), "", VLOOKUP(A2032,'Discount Lookup'!D:E,2,FALSE)*G2032)</f>
        <v/>
      </c>
      <c r="V2032" s="225" t="str">
        <f>IF(NOT(ISNUMBER(G2032)), "", VLOOKUP(A2032,'Discount Lookup'!G:H,2,FALSE)*G2032)</f>
        <v/>
      </c>
      <c r="W2032" s="508">
        <f t="shared" si="1554"/>
        <v>0</v>
      </c>
      <c r="X2032" s="508" t="str">
        <f t="shared" si="1555"/>
        <v>Yellow-Apricot-Purple</v>
      </c>
      <c r="Y2032" s="509" t="b">
        <f t="shared" si="1556"/>
        <v>0</v>
      </c>
      <c r="Z2032" s="510">
        <f t="shared" si="1557"/>
        <v>0</v>
      </c>
      <c r="AA2032" s="511"/>
      <c r="AB2032" s="511" t="str">
        <f t="shared" si="1558"/>
        <v/>
      </c>
      <c r="AC2032" s="698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698"/>
      <c r="AE2032" s="631" t="str">
        <f t="shared" si="1559"/>
        <v/>
      </c>
      <c r="AF2032" s="699" t="str">
        <f t="shared" si="1560"/>
        <v/>
      </c>
      <c r="AG2032" s="699"/>
      <c r="AH2032" s="699"/>
      <c r="AI2032" s="512">
        <f>IF(H2032="credit",0,IF(AE2032="free",0,IF(AE2032="me",0,IF(G2032&gt;0,(VLOOKUP(A2032,'Discount Lookup'!J:K,2)*G2032),0))))</f>
        <v>0</v>
      </c>
      <c r="AJ2032" s="513" t="str">
        <f t="shared" ca="1" si="1561"/>
        <v/>
      </c>
      <c r="AK2032" s="700" t="str">
        <f t="shared" si="1562"/>
        <v/>
      </c>
      <c r="AL2032" s="700"/>
      <c r="AM2032" s="505" t="str">
        <f t="shared" si="1563"/>
        <v/>
      </c>
      <c r="AN2032" s="506"/>
      <c r="AO2032" s="507"/>
      <c r="AP2032" s="507"/>
      <c r="AQ2032" s="507"/>
      <c r="AR2032" s="507"/>
      <c r="AS2032" s="507"/>
      <c r="AT2032" s="507"/>
      <c r="AU2032" s="507"/>
      <c r="AV2032" s="225"/>
      <c r="AW2032" s="508"/>
      <c r="AX2032" s="225"/>
      <c r="AY2032" s="225"/>
      <c r="AZ2032" s="225"/>
      <c r="BA2032" s="225"/>
      <c r="BB2032" s="225"/>
      <c r="BC2032" s="56"/>
      <c r="BD2032" s="56"/>
      <c r="BE2032" s="56"/>
      <c r="BF2032" s="107" t="str">
        <f t="shared" si="1564"/>
        <v>https://www.google.com/search?tbm=isch&amp;q=Judy%20Zuk%20Magnolia%20Magnolia%20x%20brooklynensis%20%27Judy%20Zuk%27</v>
      </c>
      <c r="BG2032" s="107" t="str">
        <f t="shared" si="1565"/>
        <v>J</v>
      </c>
      <c r="BH2032" s="254"/>
      <c r="BI2032" s="254"/>
    </row>
    <row r="2033" spans="1:61" customFormat="1" ht="15.75" x14ac:dyDescent="0.25">
      <c r="A2033" s="276">
        <v>7</v>
      </c>
      <c r="B2033" s="240" t="s">
        <v>291</v>
      </c>
      <c r="C2033" s="241" t="s">
        <v>3586</v>
      </c>
      <c r="D2033" s="242" t="s">
        <v>292</v>
      </c>
      <c r="E2033" s="243">
        <v>111.95</v>
      </c>
      <c r="F2033" s="517" t="s">
        <v>293</v>
      </c>
      <c r="G2033" s="232">
        <v>0</v>
      </c>
      <c r="H2033" s="661" t="str">
        <f>IF(G2033=0,"",IF(F2033="Buy",IF(G2033=1,"plant","plants"),IF(F2033&gt;0.01,"warranty","Error")))</f>
        <v/>
      </c>
      <c r="I2033" s="244">
        <f>IF(H2033="free",0,IF(H2033="credit",((E2033*(F2033))*G2033*-1),IF(F2033="Buy",(E2033*G2033),((E2033*(1-F2033))*G2033))))</f>
        <v>0</v>
      </c>
      <c r="J2033" s="244">
        <f>IF(H2033="warranty",0,(I2033*(_xlfn.SINGLE(SalesTaxPercentage))))</f>
        <v>0</v>
      </c>
      <c r="K2033" s="696">
        <f t="shared" ref="K2033" si="1580">I2033+J2033</f>
        <v>0</v>
      </c>
      <c r="L2033" s="696"/>
      <c r="M2033" s="659" t="str">
        <f>IF(AND(G2033&gt;0,E2033=0),"WARNING - no PRICE inserted",IF(H2033="free"," FREE ~ no charge this plant",IF(H2033="credit",CONCATENATE(" -$",ROUND(K2033*(1-T2GDiscount)*-1,2)," CREDIT after discount"),IF(T2GDiscount=0,"",IF(G2033=0,"",IF(F2033="Buy",CONCATENATE(" $",ROUND(K2033*(1-T2GDiscount),2)," with ",(T2GDiscount*100),"% discount"),CONCATENATE(" $",ROUND(K2033*(1-T2GDiscount),2)," with ",((T2GDiscount*100+F2033*100)-(T2GDiscount*100*F2033)),IF(F2033&gt;0,"% discounts",IF(NoWarrantyDiscount&gt;0,"% discounts","% discount")))))))))</f>
        <v/>
      </c>
      <c r="N2033" s="660"/>
      <c r="O2033" s="233"/>
      <c r="P2033" s="233"/>
      <c r="Q2033" s="233"/>
      <c r="R2033" s="233"/>
      <c r="S2033" s="233"/>
      <c r="T2033" s="508">
        <f t="shared" si="1553"/>
        <v>0</v>
      </c>
      <c r="U2033" s="225">
        <f>IF(NOT(ISNUMBER(G2033)), "", VLOOKUP(A2033,'Discount Lookup'!D:E,2,FALSE)*G2033)</f>
        <v>0</v>
      </c>
      <c r="V2033" s="225">
        <f>IF(NOT(ISNUMBER(G2033)), "", VLOOKUP(A2033,'Discount Lookup'!G:H,2,FALSE)*G2033)</f>
        <v>0</v>
      </c>
      <c r="W2033" s="508">
        <f t="shared" si="1554"/>
        <v>0</v>
      </c>
      <c r="X2033" s="508">
        <f t="shared" si="1555"/>
        <v>0</v>
      </c>
      <c r="Y2033" s="509" t="b">
        <f t="shared" si="1556"/>
        <v>0</v>
      </c>
      <c r="Z2033" s="510">
        <f t="shared" si="1557"/>
        <v>0</v>
      </c>
      <c r="AA2033" s="511"/>
      <c r="AB2033" s="511" t="str">
        <f t="shared" si="1558"/>
        <v/>
      </c>
      <c r="AC2033" s="698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698"/>
      <c r="AE2033" s="631" t="str">
        <f t="shared" si="1559"/>
        <v/>
      </c>
      <c r="AF2033" s="699" t="str">
        <f t="shared" si="1560"/>
        <v/>
      </c>
      <c r="AG2033" s="699"/>
      <c r="AH2033" s="699"/>
      <c r="AI2033" s="512">
        <f>IF(H2033="credit",0,IF(AE2033="free",0,IF(AE2033="me",0,IF(G2033&gt;0,(VLOOKUP(A2033,'Discount Lookup'!J:K,2)*G2033),0))))</f>
        <v>0</v>
      </c>
      <c r="AJ2033" s="513" t="str">
        <f t="shared" ca="1" si="1561"/>
        <v/>
      </c>
      <c r="AK2033" s="700" t="str">
        <f t="shared" si="1562"/>
        <v/>
      </c>
      <c r="AL2033" s="700"/>
      <c r="AM2033" s="505" t="str">
        <f t="shared" si="1563"/>
        <v/>
      </c>
      <c r="AN2033" s="506"/>
      <c r="AO2033" s="507"/>
      <c r="AP2033" s="507"/>
      <c r="AQ2033" s="507"/>
      <c r="AR2033" s="507"/>
      <c r="AS2033" s="507"/>
      <c r="AT2033" s="507"/>
      <c r="AU2033" s="507"/>
      <c r="AV2033" s="225"/>
      <c r="AW2033" s="508"/>
      <c r="AX2033" s="225"/>
      <c r="AY2033" s="225"/>
      <c r="AZ2033" s="225"/>
      <c r="BA2033" s="225"/>
      <c r="BB2033" s="225"/>
      <c r="BC2033" s="56"/>
      <c r="BD2033" s="56"/>
      <c r="BE2033" s="56"/>
      <c r="BF2033" s="107" t="str">
        <f t="shared" si="1564"/>
        <v>https://www.google.com/search?tbm=isch&amp;q=7%20G4</v>
      </c>
      <c r="BG2033" s="107" t="str">
        <f t="shared" si="1565"/>
        <v>J</v>
      </c>
      <c r="BH2033" s="254"/>
      <c r="BI2033" s="254"/>
    </row>
    <row r="2034" spans="1:61" customFormat="1" ht="15.75" x14ac:dyDescent="0.25">
      <c r="A2034" s="276">
        <v>15</v>
      </c>
      <c r="B2034" s="240" t="s">
        <v>291</v>
      </c>
      <c r="C2034" s="241" t="s">
        <v>2760</v>
      </c>
      <c r="D2034" s="242" t="s">
        <v>299</v>
      </c>
      <c r="E2034" s="243">
        <v>194.95</v>
      </c>
      <c r="F2034" s="517" t="s">
        <v>293</v>
      </c>
      <c r="G2034" s="232">
        <v>0</v>
      </c>
      <c r="H2034" s="661" t="str">
        <f>IF(G2034=0,"",IF(F2034="Buy",IF(G2034=1,"plant","plants"),IF(F2034&gt;0.01,"warranty","Error")))</f>
        <v/>
      </c>
      <c r="I2034" s="244">
        <f>IF(H2034="free",0,IF(H2034="credit",((E2034*(F2034))*G2034*-1),IF(F2034="Buy",(E2034*G2034),((E2034*(1-F2034))*G2034))))</f>
        <v>0</v>
      </c>
      <c r="J2034" s="244">
        <f>IF(H2034="warranty",0,(I2034*(_xlfn.SINGLE(SalesTaxPercentage))))</f>
        <v>0</v>
      </c>
      <c r="K2034" s="696">
        <f t="shared" ref="K2034" si="1581">I2034+J2034</f>
        <v>0</v>
      </c>
      <c r="L2034" s="696"/>
      <c r="M2034" s="659" t="str">
        <f>IF(AND(G2034&gt;0,E2034=0),"WARNING - no PRICE inserted",IF(H2034="free"," FREE ~ no charge this plant",IF(H2034="credit",CONCATENATE(" -$",ROUND(K2034*(1-T2GDiscount)*-1,2)," CREDIT after discount"),IF(T2GDiscount=0,"",IF(G2034=0,"",IF(F2034="Buy",CONCATENATE(" $",ROUND(K2034*(1-T2GDiscount),2)," with ",(T2GDiscount*100),"% discount"),CONCATENATE(" $",ROUND(K2034*(1-T2GDiscount),2)," with ",((T2GDiscount*100+F2034*100)-(T2GDiscount*100*F2034)),IF(F2034&gt;0,"% discounts",IF(NoWarrantyDiscount&gt;0,"% discounts","% discount")))))))))</f>
        <v/>
      </c>
      <c r="N2034" s="660"/>
      <c r="O2034" s="233"/>
      <c r="P2034" s="233"/>
      <c r="Q2034" s="233"/>
      <c r="R2034" s="233"/>
      <c r="S2034" s="233"/>
      <c r="T2034" s="508">
        <f t="shared" si="1553"/>
        <v>0</v>
      </c>
      <c r="U2034" s="225">
        <f>IF(NOT(ISNUMBER(G2034)), "", VLOOKUP(A2034,'Discount Lookup'!D:E,2,FALSE)*G2034)</f>
        <v>0</v>
      </c>
      <c r="V2034" s="225">
        <f>IF(NOT(ISNUMBER(G2034)), "", VLOOKUP(A2034,'Discount Lookup'!G:H,2,FALSE)*G2034)</f>
        <v>0</v>
      </c>
      <c r="W2034" s="508">
        <f t="shared" si="1554"/>
        <v>0</v>
      </c>
      <c r="X2034" s="508">
        <f t="shared" si="1555"/>
        <v>0</v>
      </c>
      <c r="Y2034" s="509" t="b">
        <f t="shared" si="1556"/>
        <v>0</v>
      </c>
      <c r="Z2034" s="510">
        <f t="shared" si="1557"/>
        <v>0</v>
      </c>
      <c r="AA2034" s="511"/>
      <c r="AB2034" s="511" t="str">
        <f t="shared" si="1558"/>
        <v/>
      </c>
      <c r="AC2034" s="698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698"/>
      <c r="AE2034" s="631" t="str">
        <f t="shared" si="1559"/>
        <v/>
      </c>
      <c r="AF2034" s="699" t="str">
        <f t="shared" si="1560"/>
        <v/>
      </c>
      <c r="AG2034" s="699"/>
      <c r="AH2034" s="699"/>
      <c r="AI2034" s="512">
        <f>IF(H2034="credit",0,IF(AE2034="free",0,IF(AE2034="me",0,IF(G2034&gt;0,(VLOOKUP(A2034,'Discount Lookup'!J:K,2)*G2034),0))))</f>
        <v>0</v>
      </c>
      <c r="AJ2034" s="513" t="str">
        <f t="shared" ca="1" si="1561"/>
        <v/>
      </c>
      <c r="AK2034" s="700" t="str">
        <f t="shared" si="1562"/>
        <v/>
      </c>
      <c r="AL2034" s="700"/>
      <c r="AM2034" s="505" t="str">
        <f t="shared" si="1563"/>
        <v/>
      </c>
      <c r="AN2034" s="506"/>
      <c r="AO2034" s="507"/>
      <c r="AP2034" s="507"/>
      <c r="AQ2034" s="507"/>
      <c r="AR2034" s="507"/>
      <c r="AS2034" s="507"/>
      <c r="AT2034" s="507"/>
      <c r="AU2034" s="507"/>
      <c r="AV2034" s="225"/>
      <c r="AW2034" s="508"/>
      <c r="AX2034" s="225"/>
      <c r="AY2034" s="225"/>
      <c r="AZ2034" s="225"/>
      <c r="BA2034" s="225"/>
      <c r="BB2034" s="225"/>
      <c r="BC2034" s="56"/>
      <c r="BD2034" s="56"/>
      <c r="BE2034" s="56"/>
      <c r="BF2034" s="107" t="str">
        <f t="shared" si="1564"/>
        <v>https://www.google.com/search?tbm=isch&amp;q=15%20G5</v>
      </c>
      <c r="BG2034" s="107" t="str">
        <f t="shared" si="1565"/>
        <v>J</v>
      </c>
      <c r="BH2034" s="254"/>
      <c r="BI2034" s="254"/>
    </row>
    <row r="2035" spans="1:61" customFormat="1" ht="27" x14ac:dyDescent="0.25">
      <c r="A2035" s="276">
        <v>15</v>
      </c>
      <c r="B2035" s="240" t="s">
        <v>291</v>
      </c>
      <c r="C2035" s="241" t="s">
        <v>3587</v>
      </c>
      <c r="D2035" s="242" t="s">
        <v>292</v>
      </c>
      <c r="E2035" s="243">
        <v>196.95</v>
      </c>
      <c r="F2035" s="517" t="s">
        <v>293</v>
      </c>
      <c r="G2035" s="232">
        <v>0</v>
      </c>
      <c r="H2035" s="661" t="str">
        <f>IF(G2035=0,"",IF(F2035="Buy",IF(G2035=1,"plant","plants"),IF(F2035&gt;0.01,"warranty","Error")))</f>
        <v/>
      </c>
      <c r="I2035" s="244">
        <f>IF(H2035="free",0,IF(H2035="credit",((E2035*(F2035))*G2035*-1),IF(F2035="Buy",(E2035*G2035),((E2035*(1-F2035))*G2035))))</f>
        <v>0</v>
      </c>
      <c r="J2035" s="244">
        <f>IF(H2035="warranty",0,(I2035*(_xlfn.SINGLE(SalesTaxPercentage))))</f>
        <v>0</v>
      </c>
      <c r="K2035" s="696">
        <f t="shared" ref="K2035" si="1582">I2035+J2035</f>
        <v>0</v>
      </c>
      <c r="L2035" s="696"/>
      <c r="M2035" s="659" t="str">
        <f>IF(AND(G2035&gt;0,E2035=0),"WARNING - no PRICE inserted",IF(H2035="free"," FREE ~ no charge this plant",IF(H2035="credit",CONCATENATE(" -$",ROUND(K2035*(1-T2GDiscount)*-1,2)," CREDIT after discount"),IF(T2GDiscount=0,"",IF(G2035=0,"",IF(F2035="Buy",CONCATENATE(" $",ROUND(K2035*(1-T2GDiscount),2)," with ",(T2GDiscount*100),"% discount"),CONCATENATE(" $",ROUND(K2035*(1-T2GDiscount),2)," with ",((T2GDiscount*100+F2035*100)-(T2GDiscount*100*F2035)),IF(F2035&gt;0,"% discounts",IF(NoWarrantyDiscount&gt;0,"% discounts","% discount")))))))))</f>
        <v/>
      </c>
      <c r="N2035" s="660"/>
      <c r="O2035" s="233"/>
      <c r="P2035" s="233"/>
      <c r="Q2035" s="233"/>
      <c r="R2035" s="233"/>
      <c r="S2035" s="233"/>
      <c r="T2035" s="508">
        <f t="shared" si="1553"/>
        <v>0</v>
      </c>
      <c r="U2035" s="225">
        <f>IF(NOT(ISNUMBER(G2035)), "", VLOOKUP(A2035,'Discount Lookup'!D:E,2,FALSE)*G2035)</f>
        <v>0</v>
      </c>
      <c r="V2035" s="225">
        <f>IF(NOT(ISNUMBER(G2035)), "", VLOOKUP(A2035,'Discount Lookup'!G:H,2,FALSE)*G2035)</f>
        <v>0</v>
      </c>
      <c r="W2035" s="508">
        <f t="shared" si="1554"/>
        <v>0</v>
      </c>
      <c r="X2035" s="508">
        <f t="shared" si="1555"/>
        <v>0</v>
      </c>
      <c r="Y2035" s="509" t="b">
        <f t="shared" si="1556"/>
        <v>0</v>
      </c>
      <c r="Z2035" s="510">
        <f t="shared" si="1557"/>
        <v>0</v>
      </c>
      <c r="AA2035" s="511"/>
      <c r="AB2035" s="511" t="str">
        <f t="shared" si="1558"/>
        <v/>
      </c>
      <c r="AC2035" s="698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698"/>
      <c r="AE2035" s="631" t="str">
        <f t="shared" si="1559"/>
        <v/>
      </c>
      <c r="AF2035" s="699" t="str">
        <f t="shared" si="1560"/>
        <v/>
      </c>
      <c r="AG2035" s="699"/>
      <c r="AH2035" s="699"/>
      <c r="AI2035" s="512">
        <f>IF(H2035="credit",0,IF(AE2035="free",0,IF(AE2035="me",0,IF(G2035&gt;0,(VLOOKUP(A2035,'Discount Lookup'!J:K,2)*G2035),0))))</f>
        <v>0</v>
      </c>
      <c r="AJ2035" s="513" t="str">
        <f t="shared" ca="1" si="1561"/>
        <v/>
      </c>
      <c r="AK2035" s="700" t="str">
        <f t="shared" si="1562"/>
        <v/>
      </c>
      <c r="AL2035" s="700"/>
      <c r="AM2035" s="505" t="str">
        <f t="shared" si="1563"/>
        <v/>
      </c>
      <c r="AN2035" s="506"/>
      <c r="AO2035" s="507"/>
      <c r="AP2035" s="507"/>
      <c r="AQ2035" s="507"/>
      <c r="AR2035" s="507"/>
      <c r="AS2035" s="507"/>
      <c r="AT2035" s="507"/>
      <c r="AU2035" s="507"/>
      <c r="AV2035" s="225"/>
      <c r="AW2035" s="508"/>
      <c r="AX2035" s="225"/>
      <c r="AY2035" s="225"/>
      <c r="AZ2035" s="225"/>
      <c r="BA2035" s="225"/>
      <c r="BB2035" s="225"/>
      <c r="BC2035" s="56"/>
      <c r="BD2035" s="56"/>
      <c r="BE2035" s="56"/>
      <c r="BF2035" s="107" t="str">
        <f t="shared" si="1564"/>
        <v>https://www.google.com/search?tbm=isch&amp;q=15%20G4</v>
      </c>
      <c r="BG2035" s="107" t="str">
        <f t="shared" si="1565"/>
        <v>J</v>
      </c>
      <c r="BH2035" s="254"/>
      <c r="BI2035" s="254"/>
    </row>
    <row r="2036" spans="1:61" customFormat="1" ht="17.25" thickBot="1" x14ac:dyDescent="0.3">
      <c r="A2036" s="524" t="s">
        <v>2416</v>
      </c>
      <c r="B2036" s="245"/>
      <c r="C2036" s="677"/>
      <c r="D2036" s="499"/>
      <c r="E2036" s="499"/>
      <c r="F2036" s="500"/>
      <c r="G2036" s="501"/>
      <c r="H2036" s="502"/>
      <c r="I2036" s="246"/>
      <c r="J2036" s="247"/>
      <c r="K2036" s="503"/>
      <c r="L2036" s="544"/>
      <c r="M2036" s="544"/>
      <c r="N2036" s="500"/>
      <c r="O2036" s="500"/>
      <c r="P2036" s="500"/>
      <c r="Q2036" s="500"/>
      <c r="R2036" s="500"/>
      <c r="S2036" s="278"/>
      <c r="T2036" s="508">
        <f t="shared" si="1553"/>
        <v>0</v>
      </c>
      <c r="U2036" s="225" t="str">
        <f>IF(NOT(ISNUMBER(G2036)), "", VLOOKUP(A2036,'Discount Lookup'!D:E,2,FALSE)*G2036)</f>
        <v/>
      </c>
      <c r="V2036" s="225" t="str">
        <f>IF(NOT(ISNUMBER(G2036)), "", VLOOKUP(A2036,'Discount Lookup'!G:H,2,FALSE)*G2036)</f>
        <v/>
      </c>
      <c r="W2036" s="508">
        <f t="shared" si="1554"/>
        <v>0</v>
      </c>
      <c r="X2036" s="508">
        <f t="shared" si="1555"/>
        <v>0</v>
      </c>
      <c r="Y2036" s="509" t="b">
        <f t="shared" si="1556"/>
        <v>0</v>
      </c>
      <c r="Z2036" s="510">
        <f t="shared" si="1557"/>
        <v>0</v>
      </c>
      <c r="AA2036" s="511"/>
      <c r="AB2036" s="511" t="str">
        <f t="shared" si="1558"/>
        <v/>
      </c>
      <c r="AC2036" s="698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698"/>
      <c r="AE2036" s="631" t="str">
        <f t="shared" si="1559"/>
        <v/>
      </c>
      <c r="AF2036" s="699" t="str">
        <f t="shared" si="1560"/>
        <v/>
      </c>
      <c r="AG2036" s="699"/>
      <c r="AH2036" s="699"/>
      <c r="AI2036" s="512">
        <f>IF(H2036="credit",0,IF(AE2036="free",0,IF(AE2036="me",0,IF(G2036&gt;0,(VLOOKUP(A2036,'Discount Lookup'!J:K,2)*G2036),0))))</f>
        <v>0</v>
      </c>
      <c r="AJ2036" s="513" t="str">
        <f t="shared" ca="1" si="1561"/>
        <v/>
      </c>
      <c r="AK2036" s="700" t="str">
        <f t="shared" si="1562"/>
        <v/>
      </c>
      <c r="AL2036" s="700"/>
      <c r="AM2036" s="505" t="str">
        <f t="shared" si="1563"/>
        <v/>
      </c>
      <c r="AN2036" s="506"/>
      <c r="AO2036" s="507"/>
      <c r="AP2036" s="507"/>
      <c r="AQ2036" s="507"/>
      <c r="AR2036" s="507"/>
      <c r="AS2036" s="507"/>
      <c r="AT2036" s="507"/>
      <c r="AU2036" s="507"/>
      <c r="AV2036" s="225"/>
      <c r="AW2036" s="508"/>
      <c r="AX2036" s="225"/>
      <c r="AY2036" s="225"/>
      <c r="AZ2036" s="225"/>
      <c r="BA2036" s="225"/>
      <c r="BB2036" s="225"/>
      <c r="BC2036" s="56"/>
      <c r="BD2036" s="56"/>
      <c r="BE2036" s="56"/>
      <c r="BF2036" s="107" t="str">
        <f t="shared" si="1564"/>
        <v>https://www.google.com/search?tbm=isch&amp;q=Judy%20Zuk%20noted%20for%20it%27s%20truly%20unique%20and%20exotic%20flower%20coloration%2C%20giving%20it%20a%20real%20tropical%20feel%20</v>
      </c>
      <c r="BG2036" s="107" t="str">
        <f t="shared" si="1565"/>
        <v>J</v>
      </c>
      <c r="BH2036" s="254"/>
      <c r="BI2036" s="254"/>
    </row>
    <row r="2037" spans="1:61" customFormat="1" ht="18" x14ac:dyDescent="0.25">
      <c r="A2037" s="523" t="s">
        <v>1184</v>
      </c>
      <c r="B2037" s="235"/>
      <c r="C2037" s="676"/>
      <c r="D2037" s="255" t="s">
        <v>1185</v>
      </c>
      <c r="E2037" s="236"/>
      <c r="F2037" s="236"/>
      <c r="G2037" s="236"/>
      <c r="H2037" s="582" t="s">
        <v>4110</v>
      </c>
      <c r="I2037" s="498" t="s">
        <v>1349</v>
      </c>
      <c r="J2037" s="237"/>
      <c r="K2037" s="237"/>
      <c r="L2037" s="274"/>
      <c r="M2037" s="670" t="s">
        <v>4987</v>
      </c>
      <c r="N2037" s="681" t="str">
        <f>IF(AND(ISTEXT($A2037), ISERROR($A2037+0)), HYPERLINK($BF2037, "Images"), "")</f>
        <v>Images</v>
      </c>
      <c r="O2037" s="663" t="s">
        <v>4974</v>
      </c>
      <c r="P2037" s="253"/>
      <c r="Q2037" s="238"/>
      <c r="R2037" s="239"/>
      <c r="S2037" s="275"/>
      <c r="T2037" s="508">
        <f t="shared" si="1553"/>
        <v>0</v>
      </c>
      <c r="U2037" s="225" t="str">
        <f>IF(NOT(ISNUMBER(G2037)), "", VLOOKUP(A2037,'Discount Lookup'!D:E,2,FALSE)*G2037)</f>
        <v/>
      </c>
      <c r="V2037" s="225" t="str">
        <f>IF(NOT(ISNUMBER(G2037)), "", VLOOKUP(A2037,'Discount Lookup'!G:H,2,FALSE)*G2037)</f>
        <v/>
      </c>
      <c r="W2037" s="508">
        <f t="shared" si="1554"/>
        <v>0</v>
      </c>
      <c r="X2037" s="508" t="str">
        <f t="shared" si="1555"/>
        <v>Pale Lavender bloom</v>
      </c>
      <c r="Y2037" s="509" t="b">
        <f t="shared" si="1556"/>
        <v>0</v>
      </c>
      <c r="Z2037" s="510">
        <f t="shared" si="1557"/>
        <v>0</v>
      </c>
      <c r="AA2037" s="511"/>
      <c r="AB2037" s="511" t="str">
        <f t="shared" si="1558"/>
        <v/>
      </c>
      <c r="AC2037" s="698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698"/>
      <c r="AE2037" s="631" t="str">
        <f t="shared" si="1559"/>
        <v/>
      </c>
      <c r="AF2037" s="699" t="str">
        <f t="shared" si="1560"/>
        <v/>
      </c>
      <c r="AG2037" s="699"/>
      <c r="AH2037" s="699"/>
      <c r="AI2037" s="512">
        <f>IF(H2037="credit",0,IF(AE2037="free",0,IF(AE2037="me",0,IF(G2037&gt;0,(VLOOKUP(A2037,'Discount Lookup'!J:K,2)*G2037),0))))</f>
        <v>0</v>
      </c>
      <c r="AJ2037" s="513" t="str">
        <f t="shared" ca="1" si="1561"/>
        <v/>
      </c>
      <c r="AK2037" s="700" t="str">
        <f t="shared" si="1562"/>
        <v/>
      </c>
      <c r="AL2037" s="700"/>
      <c r="AM2037" s="505" t="str">
        <f t="shared" si="1563"/>
        <v/>
      </c>
      <c r="AN2037" s="506"/>
      <c r="AO2037" s="507"/>
      <c r="AP2037" s="507"/>
      <c r="AQ2037" s="507"/>
      <c r="AR2037" s="507"/>
      <c r="AS2037" s="507"/>
      <c r="AT2037" s="507"/>
      <c r="AU2037" s="507"/>
      <c r="AV2037" s="225"/>
      <c r="AW2037" s="508"/>
      <c r="AX2037" s="225"/>
      <c r="AY2037" s="225"/>
      <c r="AZ2037" s="225"/>
      <c r="BA2037" s="225"/>
      <c r="BB2037" s="225"/>
      <c r="BC2037" s="56"/>
      <c r="BD2037" s="56"/>
      <c r="BE2037" s="56"/>
      <c r="BF2037" s="107" t="str">
        <f t="shared" si="1564"/>
        <v>https://www.google.com/search?tbm=isch&amp;q=June%20Hosta%20Hosta%20%27June%27</v>
      </c>
      <c r="BG2037" s="107" t="str">
        <f t="shared" si="1565"/>
        <v>J</v>
      </c>
      <c r="BH2037" s="254"/>
      <c r="BI2037" s="254"/>
    </row>
    <row r="2038" spans="1:61" customFormat="1" ht="15.75" x14ac:dyDescent="0.25">
      <c r="A2038" s="276">
        <v>1</v>
      </c>
      <c r="B2038" s="240" t="s">
        <v>291</v>
      </c>
      <c r="C2038" s="241" t="s">
        <v>535</v>
      </c>
      <c r="D2038" s="242" t="s">
        <v>297</v>
      </c>
      <c r="E2038" s="243">
        <v>9.9499999999999993</v>
      </c>
      <c r="F2038" s="517" t="s">
        <v>293</v>
      </c>
      <c r="G2038" s="232">
        <v>0</v>
      </c>
      <c r="H2038" s="661" t="str">
        <f>IF(G2038=0,"",IF(F2038="Buy",IF(G2038=1,"plant","plants"),IF(F2038&gt;0.01,"warranty","Error")))</f>
        <v/>
      </c>
      <c r="I2038" s="244">
        <f>IF(H2038="free",0,IF(H2038="credit",((E2038*(F2038))*G2038*-1),IF(F2038="Buy",(E2038*G2038),((E2038*(1-F2038))*G2038))))</f>
        <v>0</v>
      </c>
      <c r="J2038" s="244">
        <f>IF(H2038="warranty",0,(I2038*(_xlfn.SINGLE(SalesTaxPercentage))))</f>
        <v>0</v>
      </c>
      <c r="K2038" s="696">
        <f t="shared" ref="K2038" si="1583">I2038+J2038</f>
        <v>0</v>
      </c>
      <c r="L2038" s="696"/>
      <c r="M2038" s="659" t="str">
        <f>IF(AND(G2038&gt;0,E2038=0),"WARNING - no PRICE inserted",IF(H2038="free"," FREE ~ no charge this plant",IF(H2038="credit",CONCATENATE(" -$",ROUND(K2038*(1-T2GDiscount)*-1,2)," CREDIT after discount"),IF(T2GDiscount=0,"",IF(G2038=0,"",IF(F2038="Buy",CONCATENATE(" $",ROUND(K2038*(1-T2GDiscount),2)," with ",(T2GDiscount*100),"% discount"),CONCATENATE(" $",ROUND(K2038*(1-T2GDiscount),2)," with ",((T2GDiscount*100+F2038*100)-(T2GDiscount*100*F2038)),IF(F2038&gt;0,"% discounts",IF(NoWarrantyDiscount&gt;0,"% discounts","% discount")))))))))</f>
        <v/>
      </c>
      <c r="N2038" s="660"/>
      <c r="O2038" s="233"/>
      <c r="P2038" s="233"/>
      <c r="Q2038" s="233"/>
      <c r="R2038" s="233"/>
      <c r="S2038" s="233"/>
      <c r="T2038" s="508">
        <f t="shared" si="1553"/>
        <v>0</v>
      </c>
      <c r="U2038" s="225">
        <f>IF(NOT(ISNUMBER(G2038)), "", VLOOKUP(A2038,'Discount Lookup'!D:E,2,FALSE)*G2038)</f>
        <v>0</v>
      </c>
      <c r="V2038" s="225">
        <f>IF(NOT(ISNUMBER(G2038)), "", VLOOKUP(A2038,'Discount Lookup'!G:H,2,FALSE)*G2038)</f>
        <v>0</v>
      </c>
      <c r="W2038" s="508">
        <f t="shared" si="1554"/>
        <v>0</v>
      </c>
      <c r="X2038" s="508">
        <f t="shared" si="1555"/>
        <v>0</v>
      </c>
      <c r="Y2038" s="509" t="b">
        <f t="shared" si="1556"/>
        <v>0</v>
      </c>
      <c r="Z2038" s="510">
        <f t="shared" si="1557"/>
        <v>0</v>
      </c>
      <c r="AA2038" s="511"/>
      <c r="AB2038" s="511" t="str">
        <f t="shared" si="1558"/>
        <v/>
      </c>
      <c r="AC2038" s="698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698"/>
      <c r="AE2038" s="631" t="str">
        <f t="shared" si="1559"/>
        <v/>
      </c>
      <c r="AF2038" s="699" t="str">
        <f t="shared" si="1560"/>
        <v/>
      </c>
      <c r="AG2038" s="699"/>
      <c r="AH2038" s="699"/>
      <c r="AI2038" s="512">
        <f>IF(H2038="credit",0,IF(AE2038="free",0,IF(AE2038="me",0,IF(G2038&gt;0,(VLOOKUP(A2038,'Discount Lookup'!J:K,2)*G2038),0))))</f>
        <v>0</v>
      </c>
      <c r="AJ2038" s="513" t="str">
        <f t="shared" ca="1" si="1561"/>
        <v/>
      </c>
      <c r="AK2038" s="700" t="str">
        <f t="shared" si="1562"/>
        <v/>
      </c>
      <c r="AL2038" s="700"/>
      <c r="AM2038" s="505" t="str">
        <f t="shared" si="1563"/>
        <v/>
      </c>
      <c r="AN2038" s="506"/>
      <c r="AO2038" s="507"/>
      <c r="AP2038" s="507"/>
      <c r="AQ2038" s="507"/>
      <c r="AR2038" s="507"/>
      <c r="AS2038" s="507"/>
      <c r="AT2038" s="507"/>
      <c r="AU2038" s="507"/>
      <c r="AV2038" s="225"/>
      <c r="AW2038" s="508"/>
      <c r="AX2038" s="225"/>
      <c r="AY2038" s="225"/>
      <c r="AZ2038" s="225"/>
      <c r="BA2038" s="225"/>
      <c r="BB2038" s="225"/>
      <c r="BC2038" s="56"/>
      <c r="BD2038" s="56"/>
      <c r="BE2038" s="56"/>
      <c r="BF2038" s="107" t="str">
        <f t="shared" si="1564"/>
        <v>https://www.google.com/search?tbm=isch&amp;q=1%20G3</v>
      </c>
      <c r="BG2038" s="107" t="str">
        <f t="shared" si="1565"/>
        <v>J</v>
      </c>
      <c r="BH2038" s="254"/>
      <c r="BI2038" s="254"/>
    </row>
    <row r="2039" spans="1:61" customFormat="1" ht="17.25" thickBot="1" x14ac:dyDescent="0.3">
      <c r="A2039" s="673" t="s">
        <v>5152</v>
      </c>
      <c r="B2039" s="245"/>
      <c r="C2039" s="677"/>
      <c r="D2039" s="499"/>
      <c r="E2039" s="499"/>
      <c r="F2039" s="500"/>
      <c r="G2039" s="501"/>
      <c r="H2039" s="502"/>
      <c r="I2039" s="246"/>
      <c r="J2039" s="247"/>
      <c r="K2039" s="503"/>
      <c r="L2039" s="544"/>
      <c r="M2039" s="544"/>
      <c r="N2039" s="500"/>
      <c r="O2039" s="500"/>
      <c r="P2039" s="500"/>
      <c r="Q2039" s="500"/>
      <c r="R2039" s="500"/>
      <c r="S2039" s="669" t="s">
        <v>4977</v>
      </c>
      <c r="T2039" s="508">
        <f t="shared" si="1553"/>
        <v>0</v>
      </c>
      <c r="U2039" s="225" t="str">
        <f>IF(NOT(ISNUMBER(G2039)), "", VLOOKUP(A2039,'Discount Lookup'!D:E,2,FALSE)*G2039)</f>
        <v/>
      </c>
      <c r="V2039" s="225" t="str">
        <f>IF(NOT(ISNUMBER(G2039)), "", VLOOKUP(A2039,'Discount Lookup'!G:H,2,FALSE)*G2039)</f>
        <v/>
      </c>
      <c r="W2039" s="508">
        <f t="shared" si="1554"/>
        <v>0</v>
      </c>
      <c r="X2039" s="508">
        <f t="shared" si="1555"/>
        <v>0</v>
      </c>
      <c r="Y2039" s="509" t="b">
        <f t="shared" si="1556"/>
        <v>0</v>
      </c>
      <c r="Z2039" s="510">
        <f t="shared" si="1557"/>
        <v>0</v>
      </c>
      <c r="AA2039" s="511"/>
      <c r="AB2039" s="511" t="str">
        <f t="shared" si="1558"/>
        <v/>
      </c>
      <c r="AC2039" s="698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698"/>
      <c r="AE2039" s="631" t="str">
        <f t="shared" si="1559"/>
        <v/>
      </c>
      <c r="AF2039" s="699" t="str">
        <f t="shared" si="1560"/>
        <v/>
      </c>
      <c r="AG2039" s="699"/>
      <c r="AH2039" s="699"/>
      <c r="AI2039" s="512">
        <f>IF(H2039="credit",0,IF(AE2039="free",0,IF(AE2039="me",0,IF(G2039&gt;0,(VLOOKUP(A2039,'Discount Lookup'!J:K,2)*G2039),0))))</f>
        <v>0</v>
      </c>
      <c r="AJ2039" s="513" t="str">
        <f t="shared" ca="1" si="1561"/>
        <v/>
      </c>
      <c r="AK2039" s="700" t="str">
        <f t="shared" si="1562"/>
        <v/>
      </c>
      <c r="AL2039" s="700"/>
      <c r="AM2039" s="505" t="str">
        <f t="shared" si="1563"/>
        <v/>
      </c>
      <c r="AN2039" s="506"/>
      <c r="AO2039" s="507"/>
      <c r="AP2039" s="507"/>
      <c r="AQ2039" s="507"/>
      <c r="AR2039" s="507"/>
      <c r="AS2039" s="507"/>
      <c r="AT2039" s="507"/>
      <c r="AU2039" s="507"/>
      <c r="AV2039" s="225"/>
      <c r="AW2039" s="508"/>
      <c r="AX2039" s="225"/>
      <c r="AY2039" s="225"/>
      <c r="AZ2039" s="225"/>
      <c r="BA2039" s="225"/>
      <c r="BB2039" s="225"/>
      <c r="BC2039" s="56"/>
      <c r="BD2039" s="56"/>
      <c r="BE2039" s="56"/>
      <c r="BF2039" s="107" t="str">
        <f t="shared" si="1564"/>
        <v>https://www.google.com/search?tbm=isch&amp;q=moist%20sites%F0%9F%92%A7OK%2C%20June%20foliage%20emerges%20with%20a%20Chartreuse%20center%20bordered%20by%20a%20striking%20Blue-Green%20margin%20</v>
      </c>
      <c r="BG2039" s="107" t="str">
        <f t="shared" si="1565"/>
        <v>m</v>
      </c>
      <c r="BH2039" s="254"/>
      <c r="BI2039" s="254"/>
    </row>
    <row r="2040" spans="1:61" customFormat="1" ht="18" x14ac:dyDescent="0.25">
      <c r="A2040" s="521" t="s">
        <v>1186</v>
      </c>
      <c r="B2040" s="477"/>
      <c r="C2040" s="674"/>
      <c r="D2040" s="478" t="s">
        <v>1187</v>
      </c>
      <c r="E2040" s="479"/>
      <c r="F2040" s="479"/>
      <c r="G2040" s="479"/>
      <c r="H2040" s="582" t="s">
        <v>325</v>
      </c>
      <c r="I2040" s="480" t="s">
        <v>2093</v>
      </c>
      <c r="J2040" s="479"/>
      <c r="K2040" s="479"/>
      <c r="L2040" s="560"/>
      <c r="M2040" s="666" t="s">
        <v>4966</v>
      </c>
      <c r="N2040" s="680" t="str">
        <f>IF(AND(ISTEXT($A2040), ISERROR($A2040+0)), HYPERLINK($BF2040, "Images"), "")</f>
        <v>Images</v>
      </c>
      <c r="O2040" s="662" t="s">
        <v>4974</v>
      </c>
      <c r="P2040" s="482"/>
      <c r="Q2040" s="483"/>
      <c r="R2040" s="483"/>
      <c r="S2040" s="484"/>
      <c r="T2040" s="508">
        <f t="shared" si="1553"/>
        <v>0</v>
      </c>
      <c r="U2040" s="225" t="str">
        <f>IF(NOT(ISNUMBER(G2040)), "", VLOOKUP(A2040,'Discount Lookup'!D:E,2,FALSE)*G2040)</f>
        <v/>
      </c>
      <c r="V2040" s="225" t="str">
        <f>IF(NOT(ISNUMBER(G2040)), "", VLOOKUP(A2040,'Discount Lookup'!G:H,2,FALSE)*G2040)</f>
        <v/>
      </c>
      <c r="W2040" s="508">
        <f t="shared" si="1554"/>
        <v>0</v>
      </c>
      <c r="X2040" s="508" t="str">
        <f t="shared" si="1555"/>
        <v>Dark Green foliage</v>
      </c>
      <c r="Y2040" s="509" t="b">
        <f t="shared" si="1556"/>
        <v>0</v>
      </c>
      <c r="Z2040" s="510">
        <f t="shared" si="1557"/>
        <v>0</v>
      </c>
      <c r="AA2040" s="511"/>
      <c r="AB2040" s="511" t="str">
        <f t="shared" si="1558"/>
        <v/>
      </c>
      <c r="AC2040" s="698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698"/>
      <c r="AE2040" s="631" t="str">
        <f t="shared" si="1559"/>
        <v/>
      </c>
      <c r="AF2040" s="699" t="str">
        <f t="shared" si="1560"/>
        <v/>
      </c>
      <c r="AG2040" s="699"/>
      <c r="AH2040" s="699"/>
      <c r="AI2040" s="512">
        <f>IF(H2040="credit",0,IF(AE2040="free",0,IF(AE2040="me",0,IF(G2040&gt;0,(VLOOKUP(A2040,'Discount Lookup'!J:K,2)*G2040),0))))</f>
        <v>0</v>
      </c>
      <c r="AJ2040" s="513" t="str">
        <f t="shared" ca="1" si="1561"/>
        <v/>
      </c>
      <c r="AK2040" s="700" t="str">
        <f t="shared" si="1562"/>
        <v/>
      </c>
      <c r="AL2040" s="700"/>
      <c r="AM2040" s="505" t="str">
        <f t="shared" si="1563"/>
        <v/>
      </c>
      <c r="AN2040" s="506"/>
      <c r="AO2040" s="507"/>
      <c r="AP2040" s="507"/>
      <c r="AQ2040" s="507"/>
      <c r="AR2040" s="507"/>
      <c r="AS2040" s="507"/>
      <c r="AT2040" s="507"/>
      <c r="AU2040" s="507"/>
      <c r="AV2040" s="225"/>
      <c r="AW2040" s="508"/>
      <c r="AX2040" s="225"/>
      <c r="AY2040" s="225"/>
      <c r="AZ2040" s="225"/>
      <c r="BA2040" s="225"/>
      <c r="BB2040" s="225"/>
      <c r="BC2040" s="56"/>
      <c r="BD2040" s="56"/>
      <c r="BE2040" s="56"/>
      <c r="BF2040" s="107" t="str">
        <f t="shared" si="1564"/>
        <v>https://www.google.com/search?tbm=isch&amp;q=Jurassic%20Park%20Thujopsis%20Thujopsis%20dolabrata%20%27Jurassic%20Park%27</v>
      </c>
      <c r="BG2040" s="107" t="str">
        <f t="shared" si="1565"/>
        <v>J</v>
      </c>
      <c r="BH2040" s="254"/>
      <c r="BI2040" s="254"/>
    </row>
    <row r="2041" spans="1:61" customFormat="1" ht="15.75" x14ac:dyDescent="0.25">
      <c r="A2041" s="485">
        <v>7</v>
      </c>
      <c r="B2041" s="486" t="s">
        <v>291</v>
      </c>
      <c r="C2041" s="487" t="s">
        <v>3588</v>
      </c>
      <c r="D2041" s="488" t="s">
        <v>292</v>
      </c>
      <c r="E2041" s="489">
        <v>111.95</v>
      </c>
      <c r="F2041" s="516" t="s">
        <v>293</v>
      </c>
      <c r="G2041" s="232">
        <v>0</v>
      </c>
      <c r="H2041" s="658" t="str">
        <f>IF(G2041=0,"",IF(F2041="Buy",IF(G2041=1,"plant","plants"),IF(F2041&gt;0.01,"warranty","Error")))</f>
        <v/>
      </c>
      <c r="I2041" s="490">
        <f>IF(H2041="free",0,IF(H2041="credit",((E2041*(F2041))*G2041*-1),IF(F2041="Buy",(E2041*G2041),((E2041*(1-F2041))*G2041))))</f>
        <v>0</v>
      </c>
      <c r="J2041" s="490">
        <f>IF(H2041="warranty",0,(I2041*(_xlfn.SINGLE(SalesTaxPercentage))))</f>
        <v>0</v>
      </c>
      <c r="K2041" s="695">
        <f t="shared" ref="K2041" si="1584">I2041+J2041</f>
        <v>0</v>
      </c>
      <c r="L2041" s="695"/>
      <c r="M2041" s="659" t="str">
        <f>IF(AND(G2041&gt;0,E2041=0),"WARNING - no PRICE inserted",IF(H2041="free"," FREE ~ no charge this plant",IF(H2041="credit",CONCATENATE(" -$",ROUND(K2041*(1-T2GDiscount)*-1,2)," CREDIT after discount"),IF(T2GDiscount=0,"",IF(G2041=0,"",IF(F2041="Buy",CONCATENATE(" $",ROUND(K2041*(1-T2GDiscount),2)," with ",(T2GDiscount*100),"% discount"),CONCATENATE(" $",ROUND(K2041*(1-T2GDiscount),2)," with ",((T2GDiscount*100+F2041*100)-(T2GDiscount*100*F2041)),IF(F2041&gt;0,"% discounts",IF(NoWarrantyDiscount&gt;0,"% discounts","% discount")))))))))</f>
        <v/>
      </c>
      <c r="N2041" s="660"/>
      <c r="O2041" s="233"/>
      <c r="P2041" s="233"/>
      <c r="Q2041" s="233"/>
      <c r="R2041" s="233"/>
      <c r="S2041" s="233"/>
      <c r="T2041" s="508">
        <f t="shared" si="1553"/>
        <v>0</v>
      </c>
      <c r="U2041" s="225">
        <f>IF(NOT(ISNUMBER(G2041)), "", VLOOKUP(A2041,'Discount Lookup'!D:E,2,FALSE)*G2041)</f>
        <v>0</v>
      </c>
      <c r="V2041" s="225">
        <f>IF(NOT(ISNUMBER(G2041)), "", VLOOKUP(A2041,'Discount Lookup'!G:H,2,FALSE)*G2041)</f>
        <v>0</v>
      </c>
      <c r="W2041" s="508">
        <f t="shared" si="1554"/>
        <v>0</v>
      </c>
      <c r="X2041" s="508">
        <f t="shared" si="1555"/>
        <v>0</v>
      </c>
      <c r="Y2041" s="509" t="b">
        <f t="shared" si="1556"/>
        <v>0</v>
      </c>
      <c r="Z2041" s="510">
        <f t="shared" si="1557"/>
        <v>0</v>
      </c>
      <c r="AA2041" s="511"/>
      <c r="AB2041" s="511" t="str">
        <f t="shared" si="1558"/>
        <v/>
      </c>
      <c r="AC2041" s="698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698"/>
      <c r="AE2041" s="631" t="str">
        <f t="shared" si="1559"/>
        <v/>
      </c>
      <c r="AF2041" s="699" t="str">
        <f t="shared" si="1560"/>
        <v/>
      </c>
      <c r="AG2041" s="699"/>
      <c r="AH2041" s="699"/>
      <c r="AI2041" s="512">
        <f>IF(H2041="credit",0,IF(AE2041="free",0,IF(AE2041="me",0,IF(G2041&gt;0,(VLOOKUP(A2041,'Discount Lookup'!J:K,2)*G2041),0))))</f>
        <v>0</v>
      </c>
      <c r="AJ2041" s="513" t="str">
        <f t="shared" ca="1" si="1561"/>
        <v/>
      </c>
      <c r="AK2041" s="700" t="str">
        <f t="shared" si="1562"/>
        <v/>
      </c>
      <c r="AL2041" s="700"/>
      <c r="AM2041" s="505" t="str">
        <f t="shared" si="1563"/>
        <v/>
      </c>
      <c r="AN2041" s="506"/>
      <c r="AO2041" s="507"/>
      <c r="AP2041" s="507"/>
      <c r="AQ2041" s="507"/>
      <c r="AR2041" s="507"/>
      <c r="AS2041" s="507"/>
      <c r="AT2041" s="507"/>
      <c r="AU2041" s="507"/>
      <c r="AV2041" s="225"/>
      <c r="AW2041" s="508"/>
      <c r="AX2041" s="225"/>
      <c r="AY2041" s="225"/>
      <c r="AZ2041" s="225"/>
      <c r="BA2041" s="225"/>
      <c r="BB2041" s="225"/>
      <c r="BC2041" s="56"/>
      <c r="BD2041" s="56"/>
      <c r="BE2041" s="56"/>
      <c r="BF2041" s="107" t="str">
        <f t="shared" si="1564"/>
        <v>https://www.google.com/search?tbm=isch&amp;q=7%20G4</v>
      </c>
      <c r="BG2041" s="107" t="str">
        <f t="shared" si="1565"/>
        <v>J</v>
      </c>
      <c r="BH2041" s="254"/>
      <c r="BI2041" s="254"/>
    </row>
    <row r="2042" spans="1:61" customFormat="1" ht="15.75" x14ac:dyDescent="0.25">
      <c r="A2042" s="672" t="s">
        <v>5153</v>
      </c>
      <c r="B2042" s="491"/>
      <c r="C2042" s="675"/>
      <c r="D2042" s="491"/>
      <c r="E2042" s="491"/>
      <c r="F2042" s="492"/>
      <c r="G2042" s="493"/>
      <c r="H2042" s="491"/>
      <c r="I2042" s="234"/>
      <c r="J2042" s="234"/>
      <c r="K2042" s="494"/>
      <c r="L2042" s="543"/>
      <c r="M2042" s="561"/>
      <c r="N2042" s="495"/>
      <c r="O2042" s="496"/>
      <c r="P2042" s="497"/>
      <c r="Q2042" s="495"/>
      <c r="R2042" s="495"/>
      <c r="S2042" s="277"/>
      <c r="T2042" s="508">
        <f t="shared" si="1553"/>
        <v>0</v>
      </c>
      <c r="U2042" s="225" t="str">
        <f>IF(NOT(ISNUMBER(G2042)), "", VLOOKUP(A2042,'Discount Lookup'!D:E,2,FALSE)*G2042)</f>
        <v/>
      </c>
      <c r="V2042" s="225" t="str">
        <f>IF(NOT(ISNUMBER(G2042)), "", VLOOKUP(A2042,'Discount Lookup'!G:H,2,FALSE)*G2042)</f>
        <v/>
      </c>
      <c r="W2042" s="508">
        <f t="shared" si="1554"/>
        <v>0</v>
      </c>
      <c r="X2042" s="508">
        <f t="shared" si="1555"/>
        <v>0</v>
      </c>
      <c r="Y2042" s="509" t="b">
        <f t="shared" si="1556"/>
        <v>0</v>
      </c>
      <c r="Z2042" s="510">
        <f t="shared" si="1557"/>
        <v>0</v>
      </c>
      <c r="AA2042" s="511"/>
      <c r="AB2042" s="511" t="str">
        <f t="shared" si="1558"/>
        <v/>
      </c>
      <c r="AC2042" s="698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698"/>
      <c r="AE2042" s="631" t="str">
        <f t="shared" si="1559"/>
        <v/>
      </c>
      <c r="AF2042" s="699" t="str">
        <f t="shared" si="1560"/>
        <v/>
      </c>
      <c r="AG2042" s="699"/>
      <c r="AH2042" s="699"/>
      <c r="AI2042" s="512">
        <f>IF(H2042="credit",0,IF(AE2042="free",0,IF(AE2042="me",0,IF(G2042&gt;0,(VLOOKUP(A2042,'Discount Lookup'!J:K,2)*G2042),0))))</f>
        <v>0</v>
      </c>
      <c r="AJ2042" s="513" t="str">
        <f t="shared" ca="1" si="1561"/>
        <v/>
      </c>
      <c r="AK2042" s="700" t="str">
        <f t="shared" si="1562"/>
        <v/>
      </c>
      <c r="AL2042" s="700"/>
      <c r="AM2042" s="505" t="str">
        <f t="shared" si="1563"/>
        <v/>
      </c>
      <c r="AN2042" s="506"/>
      <c r="AO2042" s="507"/>
      <c r="AP2042" s="507"/>
      <c r="AQ2042" s="507"/>
      <c r="AR2042" s="507"/>
      <c r="AS2042" s="507"/>
      <c r="AT2042" s="507"/>
      <c r="AU2042" s="507"/>
      <c r="AV2042" s="225"/>
      <c r="AW2042" s="508"/>
      <c r="AX2042" s="225"/>
      <c r="AY2042" s="225"/>
      <c r="AZ2042" s="225"/>
      <c r="BA2042" s="225"/>
      <c r="BB2042" s="225"/>
      <c r="BC2042" s="56"/>
      <c r="BD2042" s="56"/>
      <c r="BE2042" s="56"/>
      <c r="BF2042" s="107" t="str">
        <f t="shared" si="1564"/>
        <v>https://www.google.com/search?tbm=isch&amp;q=moist%20sites%F0%9F%92%A7GOOD%2C%20Jurassic%20Park%20named%20for%20it%27s%20scale-like%20foliage%20and%20Silvery-White%20undersides%20to%20needles%20</v>
      </c>
      <c r="BG2042" s="107" t="str">
        <f t="shared" si="1565"/>
        <v>m</v>
      </c>
      <c r="BH2042" s="254"/>
      <c r="BI2042" s="254"/>
    </row>
    <row r="2043" spans="1:61" customFormat="1" ht="45.75" thickBot="1" x14ac:dyDescent="0.35">
      <c r="A2043" s="525" t="s">
        <v>2101</v>
      </c>
      <c r="B2043" s="248"/>
      <c r="C2043" s="678" t="s">
        <v>673</v>
      </c>
      <c r="D2043" s="249"/>
      <c r="E2043" s="249"/>
      <c r="F2043" s="249"/>
      <c r="G2043" s="249"/>
      <c r="H2043" s="250"/>
      <c r="I2043" s="249"/>
      <c r="J2043" s="249"/>
      <c r="K2043" s="526" t="s">
        <v>2840</v>
      </c>
      <c r="L2043" s="279"/>
      <c r="M2043" s="251"/>
      <c r="S2043" s="504" t="s">
        <v>2841</v>
      </c>
      <c r="T2043" s="508">
        <f t="shared" si="1553"/>
        <v>0</v>
      </c>
      <c r="U2043" s="225" t="str">
        <f>IF(NOT(ISNUMBER(G2043)), "", VLOOKUP(A2043,'Discount Lookup'!D:E,2,FALSE)*G2043)</f>
        <v/>
      </c>
      <c r="V2043" s="225" t="str">
        <f>IF(NOT(ISNUMBER(G2043)), "", VLOOKUP(A2043,'Discount Lookup'!G:H,2,FALSE)*G2043)</f>
        <v/>
      </c>
      <c r="W2043" s="508">
        <f t="shared" si="1554"/>
        <v>0</v>
      </c>
      <c r="X2043" s="508">
        <f t="shared" si="1555"/>
        <v>0</v>
      </c>
      <c r="Y2043" s="509" t="b">
        <f t="shared" si="1556"/>
        <v>0</v>
      </c>
      <c r="Z2043" s="510">
        <f t="shared" si="1557"/>
        <v>0</v>
      </c>
      <c r="AA2043" s="511"/>
      <c r="AB2043" s="511" t="str">
        <f t="shared" si="1558"/>
        <v/>
      </c>
      <c r="AC2043" s="698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698"/>
      <c r="AE2043" s="631" t="str">
        <f t="shared" si="1559"/>
        <v/>
      </c>
      <c r="AF2043" s="699" t="str">
        <f t="shared" si="1560"/>
        <v/>
      </c>
      <c r="AG2043" s="699"/>
      <c r="AH2043" s="699"/>
      <c r="AI2043" s="512">
        <f>IF(H2043="credit",0,IF(AE2043="free",0,IF(AE2043="me",0,IF(G2043&gt;0,(VLOOKUP(A2043,'Discount Lookup'!J:K,2)*G2043),0))))</f>
        <v>0</v>
      </c>
      <c r="AJ2043" s="513" t="str">
        <f t="shared" ca="1" si="1561"/>
        <v/>
      </c>
      <c r="AK2043" s="700" t="str">
        <f t="shared" si="1562"/>
        <v/>
      </c>
      <c r="AL2043" s="700"/>
      <c r="AM2043" s="505" t="str">
        <f t="shared" si="1563"/>
        <v/>
      </c>
      <c r="AN2043" s="506"/>
      <c r="AO2043" s="507"/>
      <c r="AP2043" s="507"/>
      <c r="AQ2043" s="507"/>
      <c r="AR2043" s="507"/>
      <c r="AS2043" s="507"/>
      <c r="AT2043" s="507"/>
      <c r="AU2043" s="507"/>
      <c r="AV2043" s="225"/>
      <c r="AW2043" s="508"/>
      <c r="AX2043" s="225"/>
      <c r="AY2043" s="225"/>
      <c r="AZ2043" s="225"/>
      <c r="BA2043" s="225"/>
      <c r="BB2043" s="225"/>
      <c r="BC2043" s="56"/>
      <c r="BD2043" s="56"/>
      <c r="BE2043" s="56"/>
      <c r="BF2043" s="107" t="str">
        <f t="shared" si="1564"/>
        <v>https://www.google.com/search?tbm=isch&amp;q=K%20</v>
      </c>
      <c r="BG2043" s="107" t="str">
        <f t="shared" si="1565"/>
        <v>K</v>
      </c>
      <c r="BH2043" s="254"/>
      <c r="BI2043" s="254"/>
    </row>
    <row r="2044" spans="1:61" customFormat="1" ht="18" x14ac:dyDescent="0.25">
      <c r="A2044" s="521" t="s">
        <v>1188</v>
      </c>
      <c r="B2044" s="477"/>
      <c r="C2044" s="674"/>
      <c r="D2044" s="478" t="s">
        <v>1189</v>
      </c>
      <c r="E2044" s="479"/>
      <c r="F2044" s="479"/>
      <c r="G2044" s="479"/>
      <c r="H2044" s="582" t="s">
        <v>720</v>
      </c>
      <c r="I2044" s="480" t="s">
        <v>2512</v>
      </c>
      <c r="J2044" s="479"/>
      <c r="K2044" s="479"/>
      <c r="L2044" s="560"/>
      <c r="M2044" s="666" t="s">
        <v>4966</v>
      </c>
      <c r="N2044" s="680" t="str">
        <f>IF(AND(ISTEXT($A2044), ISERROR($A2044+0)), HYPERLINK($BF2044, "Images"), "")</f>
        <v>Images</v>
      </c>
      <c r="O2044" s="662" t="s">
        <v>4967</v>
      </c>
      <c r="P2044" s="482"/>
      <c r="Q2044" s="483"/>
      <c r="R2044" s="483"/>
      <c r="S2044" s="484"/>
      <c r="T2044" s="508">
        <f t="shared" si="1553"/>
        <v>0</v>
      </c>
      <c r="U2044" s="225" t="str">
        <f>IF(NOT(ISNUMBER(G2044)), "", VLOOKUP(A2044,'Discount Lookup'!D:E,2,FALSE)*G2044)</f>
        <v/>
      </c>
      <c r="V2044" s="225" t="str">
        <f>IF(NOT(ISNUMBER(G2044)), "", VLOOKUP(A2044,'Discount Lookup'!G:H,2,FALSE)*G2044)</f>
        <v/>
      </c>
      <c r="W2044" s="508">
        <f t="shared" si="1554"/>
        <v>0</v>
      </c>
      <c r="X2044" s="508" t="str">
        <f t="shared" si="1555"/>
        <v>White bloom, Pink buds</v>
      </c>
      <c r="Y2044" s="509" t="b">
        <f t="shared" si="1556"/>
        <v>0</v>
      </c>
      <c r="Z2044" s="510">
        <f t="shared" si="1557"/>
        <v>0</v>
      </c>
      <c r="AA2044" s="511"/>
      <c r="AB2044" s="511" t="str">
        <f t="shared" si="1558"/>
        <v/>
      </c>
      <c r="AC2044" s="698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698"/>
      <c r="AE2044" s="631" t="str">
        <f t="shared" si="1559"/>
        <v/>
      </c>
      <c r="AF2044" s="699" t="str">
        <f t="shared" si="1560"/>
        <v/>
      </c>
      <c r="AG2044" s="699"/>
      <c r="AH2044" s="699"/>
      <c r="AI2044" s="512">
        <f>IF(H2044="credit",0,IF(AE2044="free",0,IF(AE2044="me",0,IF(G2044&gt;0,(VLOOKUP(A2044,'Discount Lookup'!J:K,2)*G2044),0))))</f>
        <v>0</v>
      </c>
      <c r="AJ2044" s="513" t="str">
        <f t="shared" ca="1" si="1561"/>
        <v/>
      </c>
      <c r="AK2044" s="700" t="str">
        <f t="shared" si="1562"/>
        <v/>
      </c>
      <c r="AL2044" s="700"/>
      <c r="AM2044" s="505" t="str">
        <f t="shared" si="1563"/>
        <v/>
      </c>
      <c r="AN2044" s="506"/>
      <c r="AO2044" s="507"/>
      <c r="AP2044" s="507"/>
      <c r="AQ2044" s="507"/>
      <c r="AR2044" s="507"/>
      <c r="AS2044" s="507"/>
      <c r="AT2044" s="507"/>
      <c r="AU2044" s="507"/>
      <c r="AV2044" s="225"/>
      <c r="AW2044" s="508"/>
      <c r="AX2044" s="225"/>
      <c r="AY2044" s="225"/>
      <c r="AZ2044" s="225"/>
      <c r="BA2044" s="225"/>
      <c r="BB2044" s="225"/>
      <c r="BC2044" s="56"/>
      <c r="BD2044" s="56"/>
      <c r="BE2044" s="56"/>
      <c r="BF2044" s="107" t="str">
        <f t="shared" si="1564"/>
        <v>https://www.google.com/search?tbm=isch&amp;q=Kaleidoscope%20Abelia%20Abelia%20x%20grandiflora%20%27Kaleidoscope%27%20PP%2316988</v>
      </c>
      <c r="BG2044" s="107" t="str">
        <f t="shared" si="1565"/>
        <v>K</v>
      </c>
      <c r="BH2044" s="254"/>
      <c r="BI2044" s="254"/>
    </row>
    <row r="2045" spans="1:61" customFormat="1" ht="15.75" x14ac:dyDescent="0.25">
      <c r="A2045" s="485">
        <v>3</v>
      </c>
      <c r="B2045" s="486" t="s">
        <v>291</v>
      </c>
      <c r="C2045" s="487" t="s">
        <v>4677</v>
      </c>
      <c r="D2045" s="488" t="s">
        <v>299</v>
      </c>
      <c r="E2045" s="489">
        <v>36.950000000000003</v>
      </c>
      <c r="F2045" s="516" t="s">
        <v>293</v>
      </c>
      <c r="G2045" s="232">
        <v>0</v>
      </c>
      <c r="H2045" s="658" t="str">
        <f>IF(G2045=0,"",IF(F2045="Buy",IF(G2045=1,"plant","plants"),IF(F2045&gt;0.01,"warranty","Error")))</f>
        <v/>
      </c>
      <c r="I2045" s="490">
        <f>IF(H2045="free",0,IF(H2045="credit",((E2045*(F2045))*G2045*-1),IF(F2045="Buy",(E2045*G2045),((E2045*(1-F2045))*G2045))))</f>
        <v>0</v>
      </c>
      <c r="J2045" s="490">
        <f>IF(H2045="warranty",0,(I2045*(_xlfn.SINGLE(SalesTaxPercentage))))</f>
        <v>0</v>
      </c>
      <c r="K2045" s="695">
        <f t="shared" ref="K2045" si="1585">I2045+J2045</f>
        <v>0</v>
      </c>
      <c r="L2045" s="695"/>
      <c r="M2045" s="659" t="str">
        <f>IF(AND(G2045&gt;0,E2045=0),"WARNING - no PRICE inserted",IF(H2045="free"," FREE ~ no charge this plant",IF(H2045="credit",CONCATENATE(" -$",ROUND(K2045*(1-T2GDiscount)*-1,2)," CREDIT after discount"),IF(T2GDiscount=0,"",IF(G2045=0,"",IF(F2045="Buy",CONCATENATE(" $",ROUND(K2045*(1-T2GDiscount),2)," with ",(T2GDiscount*100),"% discount"),CONCATENATE(" $",ROUND(K2045*(1-T2GDiscount),2)," with ",((T2GDiscount*100+F2045*100)-(T2GDiscount*100*F2045)),IF(F2045&gt;0,"% discounts",IF(NoWarrantyDiscount&gt;0,"% discounts","% discount")))))))))</f>
        <v/>
      </c>
      <c r="N2045" s="660"/>
      <c r="O2045" s="233"/>
      <c r="P2045" s="233"/>
      <c r="Q2045" s="233"/>
      <c r="R2045" s="233"/>
      <c r="S2045" s="233"/>
      <c r="T2045" s="508">
        <f t="shared" si="1553"/>
        <v>0</v>
      </c>
      <c r="U2045" s="225">
        <f>IF(NOT(ISNUMBER(G2045)), "", VLOOKUP(A2045,'Discount Lookup'!D:E,2,FALSE)*G2045)</f>
        <v>0</v>
      </c>
      <c r="V2045" s="225">
        <f>IF(NOT(ISNUMBER(G2045)), "", VLOOKUP(A2045,'Discount Lookup'!G:H,2,FALSE)*G2045)</f>
        <v>0</v>
      </c>
      <c r="W2045" s="508">
        <f t="shared" si="1554"/>
        <v>0</v>
      </c>
      <c r="X2045" s="508">
        <f t="shared" si="1555"/>
        <v>0</v>
      </c>
      <c r="Y2045" s="509" t="b">
        <f t="shared" si="1556"/>
        <v>0</v>
      </c>
      <c r="Z2045" s="510">
        <f t="shared" si="1557"/>
        <v>0</v>
      </c>
      <c r="AA2045" s="511"/>
      <c r="AB2045" s="511" t="str">
        <f t="shared" si="1558"/>
        <v/>
      </c>
      <c r="AC2045" s="698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698"/>
      <c r="AE2045" s="631" t="str">
        <f t="shared" si="1559"/>
        <v/>
      </c>
      <c r="AF2045" s="699" t="str">
        <f t="shared" si="1560"/>
        <v/>
      </c>
      <c r="AG2045" s="699"/>
      <c r="AH2045" s="699"/>
      <c r="AI2045" s="512">
        <f>IF(H2045="credit",0,IF(AE2045="free",0,IF(AE2045="me",0,IF(G2045&gt;0,(VLOOKUP(A2045,'Discount Lookup'!J:K,2)*G2045),0))))</f>
        <v>0</v>
      </c>
      <c r="AJ2045" s="513" t="str">
        <f t="shared" ca="1" si="1561"/>
        <v/>
      </c>
      <c r="AK2045" s="700" t="str">
        <f t="shared" si="1562"/>
        <v/>
      </c>
      <c r="AL2045" s="700"/>
      <c r="AM2045" s="505" t="str">
        <f t="shared" si="1563"/>
        <v/>
      </c>
      <c r="AN2045" s="506"/>
      <c r="AO2045" s="507"/>
      <c r="AP2045" s="507"/>
      <c r="AQ2045" s="507"/>
      <c r="AR2045" s="507"/>
      <c r="AS2045" s="507"/>
      <c r="AT2045" s="507"/>
      <c r="AU2045" s="507"/>
      <c r="AV2045" s="225"/>
      <c r="AW2045" s="508"/>
      <c r="AX2045" s="225"/>
      <c r="AY2045" s="225"/>
      <c r="AZ2045" s="225"/>
      <c r="BA2045" s="225"/>
      <c r="BB2045" s="225"/>
      <c r="BC2045" s="56"/>
      <c r="BD2045" s="56"/>
      <c r="BE2045" s="56"/>
      <c r="BF2045" s="107" t="str">
        <f t="shared" si="1564"/>
        <v>https://www.google.com/search?tbm=isch&amp;q=3%20G5</v>
      </c>
      <c r="BG2045" s="107" t="str">
        <f t="shared" si="1565"/>
        <v>K</v>
      </c>
      <c r="BH2045" s="254"/>
      <c r="BI2045" s="254"/>
    </row>
    <row r="2046" spans="1:61" customFormat="1" ht="15.75" x14ac:dyDescent="0.25">
      <c r="A2046" s="485">
        <v>3</v>
      </c>
      <c r="B2046" s="486" t="s">
        <v>291</v>
      </c>
      <c r="C2046" s="487" t="s">
        <v>3992</v>
      </c>
      <c r="D2046" s="488" t="s">
        <v>312</v>
      </c>
      <c r="E2046" s="489">
        <v>41.95</v>
      </c>
      <c r="F2046" s="516" t="s">
        <v>293</v>
      </c>
      <c r="G2046" s="232">
        <v>0</v>
      </c>
      <c r="H2046" s="658" t="str">
        <f>IF(G2046=0,"",IF(F2046="Buy",IF(G2046=1,"plant","plants"),IF(F2046&gt;0.01,"warranty","Error")))</f>
        <v/>
      </c>
      <c r="I2046" s="490">
        <f>IF(H2046="free",0,IF(H2046="credit",((E2046*(F2046))*G2046*-1),IF(F2046="Buy",(E2046*G2046),((E2046*(1-F2046))*G2046))))</f>
        <v>0</v>
      </c>
      <c r="J2046" s="490">
        <f>IF(H2046="warranty",0,(I2046*(_xlfn.SINGLE(SalesTaxPercentage))))</f>
        <v>0</v>
      </c>
      <c r="K2046" s="695">
        <f t="shared" ref="K2046" si="1586">I2046+J2046</f>
        <v>0</v>
      </c>
      <c r="L2046" s="695"/>
      <c r="M2046" s="659" t="str">
        <f>IF(AND(G2046&gt;0,E2046=0),"WARNING - no PRICE inserted",IF(H2046="free"," FREE ~ no charge this plant",IF(H2046="credit",CONCATENATE(" -$",ROUND(K2046*(1-T2GDiscount)*-1,2)," CREDIT after discount"),IF(T2GDiscount=0,"",IF(G2046=0,"",IF(F2046="Buy",CONCATENATE(" $",ROUND(K2046*(1-T2GDiscount),2)," with ",(T2GDiscount*100),"% discount"),CONCATENATE(" $",ROUND(K2046*(1-T2GDiscount),2)," with ",((T2GDiscount*100+F2046*100)-(T2GDiscount*100*F2046)),IF(F2046&gt;0,"% discounts",IF(NoWarrantyDiscount&gt;0,"% discounts","% discount")))))))))</f>
        <v/>
      </c>
      <c r="N2046" s="660"/>
      <c r="O2046" s="233"/>
      <c r="P2046" s="233"/>
      <c r="Q2046" s="233"/>
      <c r="R2046" s="233"/>
      <c r="S2046" s="233"/>
      <c r="T2046" s="508">
        <f t="shared" si="1553"/>
        <v>0</v>
      </c>
      <c r="U2046" s="225">
        <f>IF(NOT(ISNUMBER(G2046)), "", VLOOKUP(A2046,'Discount Lookup'!D:E,2,FALSE)*G2046)</f>
        <v>0</v>
      </c>
      <c r="V2046" s="225">
        <f>IF(NOT(ISNUMBER(G2046)), "", VLOOKUP(A2046,'Discount Lookup'!G:H,2,FALSE)*G2046)</f>
        <v>0</v>
      </c>
      <c r="W2046" s="508">
        <f t="shared" si="1554"/>
        <v>0</v>
      </c>
      <c r="X2046" s="508">
        <f t="shared" si="1555"/>
        <v>0</v>
      </c>
      <c r="Y2046" s="509" t="b">
        <f t="shared" si="1556"/>
        <v>0</v>
      </c>
      <c r="Z2046" s="510">
        <f t="shared" si="1557"/>
        <v>0</v>
      </c>
      <c r="AA2046" s="511"/>
      <c r="AB2046" s="511" t="str">
        <f t="shared" si="1558"/>
        <v/>
      </c>
      <c r="AC2046" s="698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698"/>
      <c r="AE2046" s="631" t="str">
        <f t="shared" si="1559"/>
        <v/>
      </c>
      <c r="AF2046" s="699" t="str">
        <f t="shared" si="1560"/>
        <v/>
      </c>
      <c r="AG2046" s="699"/>
      <c r="AH2046" s="699"/>
      <c r="AI2046" s="512">
        <f>IF(H2046="credit",0,IF(AE2046="free",0,IF(AE2046="me",0,IF(G2046&gt;0,(VLOOKUP(A2046,'Discount Lookup'!J:K,2)*G2046),0))))</f>
        <v>0</v>
      </c>
      <c r="AJ2046" s="513" t="str">
        <f t="shared" ca="1" si="1561"/>
        <v/>
      </c>
      <c r="AK2046" s="700" t="str">
        <f t="shared" si="1562"/>
        <v/>
      </c>
      <c r="AL2046" s="700"/>
      <c r="AM2046" s="505" t="str">
        <f t="shared" si="1563"/>
        <v/>
      </c>
      <c r="AN2046" s="506"/>
      <c r="AO2046" s="507"/>
      <c r="AP2046" s="507"/>
      <c r="AQ2046" s="507"/>
      <c r="AR2046" s="507"/>
      <c r="AS2046" s="507"/>
      <c r="AT2046" s="507"/>
      <c r="AU2046" s="507"/>
      <c r="AV2046" s="225"/>
      <c r="AW2046" s="508"/>
      <c r="AX2046" s="225"/>
      <c r="AY2046" s="225"/>
      <c r="AZ2046" s="225"/>
      <c r="BA2046" s="225"/>
      <c r="BB2046" s="225"/>
      <c r="BC2046" s="56"/>
      <c r="BD2046" s="56"/>
      <c r="BE2046" s="56"/>
      <c r="BF2046" s="107" t="str">
        <f t="shared" si="1564"/>
        <v>https://www.google.com/search?tbm=isch&amp;q=3%20G2</v>
      </c>
      <c r="BG2046" s="107" t="str">
        <f t="shared" si="1565"/>
        <v>K</v>
      </c>
      <c r="BH2046" s="254"/>
      <c r="BI2046" s="254"/>
    </row>
    <row r="2047" spans="1:61" customFormat="1" ht="15.75" x14ac:dyDescent="0.25">
      <c r="A2047" s="485">
        <v>3</v>
      </c>
      <c r="B2047" s="486" t="s">
        <v>291</v>
      </c>
      <c r="C2047" s="487"/>
      <c r="D2047" s="488" t="s">
        <v>300</v>
      </c>
      <c r="E2047" s="489">
        <v>56.95</v>
      </c>
      <c r="F2047" s="516" t="s">
        <v>293</v>
      </c>
      <c r="G2047" s="232">
        <v>0</v>
      </c>
      <c r="H2047" s="658" t="str">
        <f>IF(G2047=0,"",IF(F2047="Buy",IF(G2047=1,"plant","plants"),IF(F2047&gt;0.01,"warranty","Error")))</f>
        <v/>
      </c>
      <c r="I2047" s="490">
        <f>IF(H2047="free",0,IF(H2047="credit",((E2047*(F2047))*G2047*-1),IF(F2047="Buy",(E2047*G2047),((E2047*(1-F2047))*G2047))))</f>
        <v>0</v>
      </c>
      <c r="J2047" s="490">
        <f>IF(H2047="warranty",0,(I2047*(_xlfn.SINGLE(SalesTaxPercentage))))</f>
        <v>0</v>
      </c>
      <c r="K2047" s="695">
        <f t="shared" ref="K2047" si="1587">I2047+J2047</f>
        <v>0</v>
      </c>
      <c r="L2047" s="695"/>
      <c r="M2047" s="659" t="str">
        <f>IF(AND(G2047&gt;0,E2047=0),"WARNING - no PRICE inserted",IF(H2047="free"," FREE ~ no charge this plant",IF(H2047="credit",CONCATENATE(" -$",ROUND(K2047*(1-T2GDiscount)*-1,2)," CREDIT after discount"),IF(T2GDiscount=0,"",IF(G2047=0,"",IF(F2047="Buy",CONCATENATE(" $",ROUND(K2047*(1-T2GDiscount),2)," with ",(T2GDiscount*100),"% discount"),CONCATENATE(" $",ROUND(K2047*(1-T2GDiscount),2)," with ",((T2GDiscount*100+F2047*100)-(T2GDiscount*100*F2047)),IF(F2047&gt;0,"% discounts",IF(NoWarrantyDiscount&gt;0,"% discounts","% discount")))))))))</f>
        <v/>
      </c>
      <c r="N2047" s="660"/>
      <c r="O2047" s="233"/>
      <c r="P2047" s="233"/>
      <c r="Q2047" s="233"/>
      <c r="R2047" s="233"/>
      <c r="S2047" s="233"/>
      <c r="T2047" s="508">
        <f t="shared" si="1553"/>
        <v>0</v>
      </c>
      <c r="U2047" s="225">
        <f>IF(NOT(ISNUMBER(G2047)), "", VLOOKUP(A2047,'Discount Lookup'!D:E,2,FALSE)*G2047)</f>
        <v>0</v>
      </c>
      <c r="V2047" s="225">
        <f>IF(NOT(ISNUMBER(G2047)), "", VLOOKUP(A2047,'Discount Lookup'!G:H,2,FALSE)*G2047)</f>
        <v>0</v>
      </c>
      <c r="W2047" s="508">
        <f t="shared" si="1554"/>
        <v>0</v>
      </c>
      <c r="X2047" s="508">
        <f t="shared" si="1555"/>
        <v>0</v>
      </c>
      <c r="Y2047" s="509" t="b">
        <f t="shared" si="1556"/>
        <v>0</v>
      </c>
      <c r="Z2047" s="510">
        <f t="shared" si="1557"/>
        <v>0</v>
      </c>
      <c r="AA2047" s="511"/>
      <c r="AB2047" s="511" t="str">
        <f t="shared" si="1558"/>
        <v/>
      </c>
      <c r="AC2047" s="698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698"/>
      <c r="AE2047" s="631" t="str">
        <f t="shared" si="1559"/>
        <v/>
      </c>
      <c r="AF2047" s="699" t="str">
        <f t="shared" si="1560"/>
        <v/>
      </c>
      <c r="AG2047" s="699"/>
      <c r="AH2047" s="699"/>
      <c r="AI2047" s="512">
        <f>IF(H2047="credit",0,IF(AE2047="free",0,IF(AE2047="me",0,IF(G2047&gt;0,(VLOOKUP(A2047,'Discount Lookup'!J:K,2)*G2047),0))))</f>
        <v>0</v>
      </c>
      <c r="AJ2047" s="513" t="str">
        <f t="shared" ca="1" si="1561"/>
        <v/>
      </c>
      <c r="AK2047" s="700" t="str">
        <f t="shared" si="1562"/>
        <v/>
      </c>
      <c r="AL2047" s="700"/>
      <c r="AM2047" s="505" t="str">
        <f t="shared" si="1563"/>
        <v/>
      </c>
      <c r="AN2047" s="506"/>
      <c r="AO2047" s="507"/>
      <c r="AP2047" s="507"/>
      <c r="AQ2047" s="507"/>
      <c r="AR2047" s="507"/>
      <c r="AS2047" s="507"/>
      <c r="AT2047" s="507"/>
      <c r="AU2047" s="507"/>
      <c r="AV2047" s="225"/>
      <c r="AW2047" s="508"/>
      <c r="AX2047" s="225"/>
      <c r="AY2047" s="225"/>
      <c r="AZ2047" s="225"/>
      <c r="BA2047" s="225"/>
      <c r="BB2047" s="225"/>
      <c r="BC2047" s="56"/>
      <c r="BD2047" s="56"/>
      <c r="BE2047" s="56"/>
      <c r="BF2047" s="107" t="str">
        <f t="shared" si="1564"/>
        <v>https://www.google.com/search?tbm=isch&amp;q=3%20G6</v>
      </c>
      <c r="BG2047" s="107" t="str">
        <f t="shared" si="1565"/>
        <v>K</v>
      </c>
      <c r="BH2047" s="254"/>
      <c r="BI2047" s="254"/>
    </row>
    <row r="2048" spans="1:61" customFormat="1" ht="17.25" thickBot="1" x14ac:dyDescent="0.3">
      <c r="A2048" s="522" t="s">
        <v>2683</v>
      </c>
      <c r="B2048" s="491"/>
      <c r="C2048" s="675"/>
      <c r="D2048" s="491"/>
      <c r="E2048" s="491"/>
      <c r="F2048" s="492"/>
      <c r="G2048" s="493"/>
      <c r="H2048" s="491"/>
      <c r="I2048" s="234"/>
      <c r="J2048" s="234"/>
      <c r="K2048" s="494"/>
      <c r="L2048" s="543"/>
      <c r="M2048" s="561"/>
      <c r="N2048" s="495"/>
      <c r="O2048" s="496"/>
      <c r="P2048" s="497"/>
      <c r="Q2048" s="495"/>
      <c r="R2048" s="495"/>
      <c r="S2048" s="667" t="s">
        <v>4988</v>
      </c>
      <c r="T2048" s="508">
        <f t="shared" si="1553"/>
        <v>0</v>
      </c>
      <c r="U2048" s="225" t="str">
        <f>IF(NOT(ISNUMBER(G2048)), "", VLOOKUP(A2048,'Discount Lookup'!D:E,2,FALSE)*G2048)</f>
        <v/>
      </c>
      <c r="V2048" s="225" t="str">
        <f>IF(NOT(ISNUMBER(G2048)), "", VLOOKUP(A2048,'Discount Lookup'!G:H,2,FALSE)*G2048)</f>
        <v/>
      </c>
      <c r="W2048" s="508">
        <f t="shared" si="1554"/>
        <v>0</v>
      </c>
      <c r="X2048" s="508">
        <f t="shared" si="1555"/>
        <v>0</v>
      </c>
      <c r="Y2048" s="509" t="b">
        <f t="shared" si="1556"/>
        <v>0</v>
      </c>
      <c r="Z2048" s="510">
        <f t="shared" si="1557"/>
        <v>0</v>
      </c>
      <c r="AA2048" s="511"/>
      <c r="AB2048" s="511" t="str">
        <f t="shared" si="1558"/>
        <v/>
      </c>
      <c r="AC2048" s="698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698"/>
      <c r="AE2048" s="631" t="str">
        <f t="shared" si="1559"/>
        <v/>
      </c>
      <c r="AF2048" s="699" t="str">
        <f t="shared" si="1560"/>
        <v/>
      </c>
      <c r="AG2048" s="699"/>
      <c r="AH2048" s="699"/>
      <c r="AI2048" s="512">
        <f>IF(H2048="credit",0,IF(AE2048="free",0,IF(AE2048="me",0,IF(G2048&gt;0,(VLOOKUP(A2048,'Discount Lookup'!J:K,2)*G2048),0))))</f>
        <v>0</v>
      </c>
      <c r="AJ2048" s="513" t="str">
        <f t="shared" ca="1" si="1561"/>
        <v/>
      </c>
      <c r="AK2048" s="700" t="str">
        <f t="shared" si="1562"/>
        <v/>
      </c>
      <c r="AL2048" s="700"/>
      <c r="AM2048" s="505" t="str">
        <f t="shared" si="1563"/>
        <v/>
      </c>
      <c r="AN2048" s="506"/>
      <c r="AO2048" s="507"/>
      <c r="AP2048" s="507"/>
      <c r="AQ2048" s="507"/>
      <c r="AR2048" s="507"/>
      <c r="AS2048" s="507"/>
      <c r="AT2048" s="507"/>
      <c r="AU2048" s="507"/>
      <c r="AV2048" s="225"/>
      <c r="AW2048" s="508"/>
      <c r="AX2048" s="225"/>
      <c r="AY2048" s="225"/>
      <c r="AZ2048" s="225"/>
      <c r="BA2048" s="225"/>
      <c r="BB2048" s="225"/>
      <c r="BC2048" s="56"/>
      <c r="BD2048" s="56"/>
      <c r="BE2048" s="56"/>
      <c r="BF2048" s="107" t="str">
        <f t="shared" si="1564"/>
        <v>https://www.google.com/search?tbm=isch&amp;q=Kaleidoscope%20foliage%20emerges%20Yellow-Lime%2C%20matures%20to%20Golden%20Yellow%2C%20then%20Orange-Red%20fall.%20Longest-blooming.%20Fragrant%20</v>
      </c>
      <c r="BG2048" s="107" t="str">
        <f t="shared" si="1565"/>
        <v>K</v>
      </c>
      <c r="BH2048" s="254"/>
      <c r="BI2048" s="254"/>
    </row>
    <row r="2049" spans="1:61" customFormat="1" ht="18" x14ac:dyDescent="0.25">
      <c r="A2049" s="521" t="s">
        <v>1190</v>
      </c>
      <c r="B2049" s="477"/>
      <c r="C2049" s="674"/>
      <c r="D2049" s="478" t="s">
        <v>1191</v>
      </c>
      <c r="E2049" s="479"/>
      <c r="F2049" s="479"/>
      <c r="G2049" s="479"/>
      <c r="H2049" s="582" t="s">
        <v>463</v>
      </c>
      <c r="I2049" s="480" t="s">
        <v>2118</v>
      </c>
      <c r="J2049" s="479"/>
      <c r="K2049" s="479"/>
      <c r="L2049" s="560"/>
      <c r="M2049" s="671" t="s">
        <v>4985</v>
      </c>
      <c r="N2049" s="680" t="str">
        <f>IF(AND(ISTEXT($A2049), ISERROR($A2049+0)), HYPERLINK($BF2049, "Images"), "")</f>
        <v>Images</v>
      </c>
      <c r="O2049" s="662" t="s">
        <v>4967</v>
      </c>
      <c r="P2049" s="482"/>
      <c r="Q2049" s="483"/>
      <c r="R2049" s="483"/>
      <c r="S2049" s="484"/>
      <c r="T2049" s="508">
        <f t="shared" si="1553"/>
        <v>0</v>
      </c>
      <c r="U2049" s="225" t="str">
        <f>IF(NOT(ISNUMBER(G2049)), "", VLOOKUP(A2049,'Discount Lookup'!D:E,2,FALSE)*G2049)</f>
        <v/>
      </c>
      <c r="V2049" s="225" t="str">
        <f>IF(NOT(ISNUMBER(G2049)), "", VLOOKUP(A2049,'Discount Lookup'!G:H,2,FALSE)*G2049)</f>
        <v/>
      </c>
      <c r="W2049" s="508">
        <f t="shared" si="1554"/>
        <v>0</v>
      </c>
      <c r="X2049" s="508" t="str">
        <f t="shared" si="1555"/>
        <v>Rose-Pink bloom</v>
      </c>
      <c r="Y2049" s="509" t="b">
        <f t="shared" si="1556"/>
        <v>0</v>
      </c>
      <c r="Z2049" s="510">
        <f t="shared" si="1557"/>
        <v>0</v>
      </c>
      <c r="AA2049" s="511"/>
      <c r="AB2049" s="511" t="str">
        <f t="shared" si="1558"/>
        <v/>
      </c>
      <c r="AC2049" s="698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698"/>
      <c r="AE2049" s="631" t="str">
        <f t="shared" si="1559"/>
        <v/>
      </c>
      <c r="AF2049" s="699" t="str">
        <f t="shared" si="1560"/>
        <v/>
      </c>
      <c r="AG2049" s="699"/>
      <c r="AH2049" s="699"/>
      <c r="AI2049" s="512">
        <f>IF(H2049="credit",0,IF(AE2049="free",0,IF(AE2049="me",0,IF(G2049&gt;0,(VLOOKUP(A2049,'Discount Lookup'!J:K,2)*G2049),0))))</f>
        <v>0</v>
      </c>
      <c r="AJ2049" s="513" t="str">
        <f t="shared" ca="1" si="1561"/>
        <v/>
      </c>
      <c r="AK2049" s="700" t="str">
        <f t="shared" si="1562"/>
        <v/>
      </c>
      <c r="AL2049" s="700"/>
      <c r="AM2049" s="505" t="str">
        <f t="shared" si="1563"/>
        <v/>
      </c>
      <c r="AN2049" s="506"/>
      <c r="AO2049" s="507"/>
      <c r="AP2049" s="507"/>
      <c r="AQ2049" s="507"/>
      <c r="AR2049" s="507"/>
      <c r="AS2049" s="507"/>
      <c r="AT2049" s="507"/>
      <c r="AU2049" s="507"/>
      <c r="AV2049" s="225"/>
      <c r="AW2049" s="508"/>
      <c r="AX2049" s="225"/>
      <c r="AY2049" s="225"/>
      <c r="AZ2049" s="225"/>
      <c r="BA2049" s="225"/>
      <c r="BB2049" s="225"/>
      <c r="BC2049" s="56"/>
      <c r="BD2049" s="56"/>
      <c r="BE2049" s="56"/>
      <c r="BF2049" s="107" t="str">
        <f t="shared" si="1564"/>
        <v>https://www.google.com/search?tbm=isch&amp;q=Kanjiro%20Camellia%20Camellia%20sasanqua%20%27Kanjiro%27</v>
      </c>
      <c r="BG2049" s="107" t="str">
        <f t="shared" si="1565"/>
        <v>K</v>
      </c>
      <c r="BH2049" s="254"/>
      <c r="BI2049" s="254"/>
    </row>
    <row r="2050" spans="1:61" customFormat="1" ht="15.75" x14ac:dyDescent="0.25">
      <c r="A2050" s="485">
        <v>3</v>
      </c>
      <c r="B2050" s="486" t="s">
        <v>291</v>
      </c>
      <c r="C2050" s="487"/>
      <c r="D2050" s="488" t="s">
        <v>312</v>
      </c>
      <c r="E2050" s="489">
        <v>34.950000000000003</v>
      </c>
      <c r="F2050" s="516" t="s">
        <v>293</v>
      </c>
      <c r="G2050" s="232">
        <v>0</v>
      </c>
      <c r="H2050" s="658" t="str">
        <f t="shared" ref="H2050:H2058" si="1588">IF(G2050=0,"",IF(F2050="Buy",IF(G2050=1,"plant","plants"),IF(F2050&gt;0.01,"warranty","Error")))</f>
        <v/>
      </c>
      <c r="I2050" s="490">
        <f t="shared" ref="I2050:I2058" si="1589">IF(H2050="free",0,IF(H2050="credit",((E2050*(F2050))*G2050*-1),IF(F2050="Buy",(E2050*G2050),((E2050*(1-F2050))*G2050))))</f>
        <v>0</v>
      </c>
      <c r="J2050" s="490">
        <f t="shared" ref="J2050:J2058" si="1590">IF(H2050="warranty",0,(I2050*(_xlfn.SINGLE(SalesTaxPercentage))))</f>
        <v>0</v>
      </c>
      <c r="K2050" s="695">
        <f t="shared" ref="K2050" si="1591">I2050+J2050</f>
        <v>0</v>
      </c>
      <c r="L2050" s="695"/>
      <c r="M2050" s="659" t="str">
        <f t="shared" ref="M2050:M2058" si="1592">IF(AND(G2050&gt;0,E2050=0),"WARNING - no PRICE inserted",IF(H2050="free"," FREE ~ no charge this plant",IF(H2050="credit",CONCATENATE(" -$",ROUND(K2050*(1-T2GDiscount)*-1,2)," CREDIT after discount"),IF(T2GDiscount=0,"",IF(G2050=0,"",IF(F2050="Buy",CONCATENATE(" $",ROUND(K2050*(1-T2GDiscount),2)," with ",(T2GDiscount*100),"% discount"),CONCATENATE(" $",ROUND(K2050*(1-T2GDiscount),2)," with ",((T2GDiscount*100+F2050*100)-(T2GDiscount*100*F2050)),IF(F2050&gt;0,"% discounts",IF(NoWarrantyDiscount&gt;0,"% discounts","% discount")))))))))</f>
        <v/>
      </c>
      <c r="N2050" s="660"/>
      <c r="O2050" s="233"/>
      <c r="P2050" s="233"/>
      <c r="Q2050" s="233"/>
      <c r="R2050" s="233"/>
      <c r="S2050" s="233"/>
      <c r="T2050" s="508">
        <f t="shared" si="1553"/>
        <v>0</v>
      </c>
      <c r="U2050" s="225">
        <f>IF(NOT(ISNUMBER(G2050)), "", VLOOKUP(A2050,'Discount Lookup'!D:E,2,FALSE)*G2050)</f>
        <v>0</v>
      </c>
      <c r="V2050" s="225">
        <f>IF(NOT(ISNUMBER(G2050)), "", VLOOKUP(A2050,'Discount Lookup'!G:H,2,FALSE)*G2050)</f>
        <v>0</v>
      </c>
      <c r="W2050" s="508">
        <f t="shared" si="1554"/>
        <v>0</v>
      </c>
      <c r="X2050" s="508">
        <f t="shared" si="1555"/>
        <v>0</v>
      </c>
      <c r="Y2050" s="509" t="b">
        <f t="shared" si="1556"/>
        <v>0</v>
      </c>
      <c r="Z2050" s="510">
        <f t="shared" si="1557"/>
        <v>0</v>
      </c>
      <c r="AA2050" s="511"/>
      <c r="AB2050" s="511" t="str">
        <f t="shared" si="1558"/>
        <v/>
      </c>
      <c r="AC2050" s="698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698"/>
      <c r="AE2050" s="631" t="str">
        <f t="shared" si="1559"/>
        <v/>
      </c>
      <c r="AF2050" s="699" t="str">
        <f t="shared" si="1560"/>
        <v/>
      </c>
      <c r="AG2050" s="699"/>
      <c r="AH2050" s="699"/>
      <c r="AI2050" s="512">
        <f>IF(H2050="credit",0,IF(AE2050="free",0,IF(AE2050="me",0,IF(G2050&gt;0,(VLOOKUP(A2050,'Discount Lookup'!J:K,2)*G2050),0))))</f>
        <v>0</v>
      </c>
      <c r="AJ2050" s="513" t="str">
        <f t="shared" ca="1" si="1561"/>
        <v/>
      </c>
      <c r="AK2050" s="700" t="str">
        <f t="shared" si="1562"/>
        <v/>
      </c>
      <c r="AL2050" s="700"/>
      <c r="AM2050" s="505" t="str">
        <f t="shared" si="1563"/>
        <v/>
      </c>
      <c r="AN2050" s="506"/>
      <c r="AO2050" s="507"/>
      <c r="AP2050" s="507"/>
      <c r="AQ2050" s="507"/>
      <c r="AR2050" s="507"/>
      <c r="AS2050" s="507"/>
      <c r="AT2050" s="507"/>
      <c r="AU2050" s="507"/>
      <c r="AV2050" s="225"/>
      <c r="AW2050" s="508"/>
      <c r="AX2050" s="225"/>
      <c r="AY2050" s="225"/>
      <c r="AZ2050" s="225"/>
      <c r="BA2050" s="225"/>
      <c r="BB2050" s="225"/>
      <c r="BC2050" s="56"/>
      <c r="BD2050" s="56"/>
      <c r="BE2050" s="56"/>
      <c r="BF2050" s="107" t="str">
        <f t="shared" si="1564"/>
        <v>https://www.google.com/search?tbm=isch&amp;q=3%20G2</v>
      </c>
      <c r="BG2050" s="107" t="str">
        <f t="shared" si="1565"/>
        <v>K</v>
      </c>
      <c r="BH2050" s="254"/>
      <c r="BI2050" s="254"/>
    </row>
    <row r="2051" spans="1:61" customFormat="1" ht="15.75" x14ac:dyDescent="0.25">
      <c r="A2051" s="485">
        <v>7</v>
      </c>
      <c r="B2051" s="486" t="s">
        <v>291</v>
      </c>
      <c r="C2051" s="487" t="s">
        <v>1192</v>
      </c>
      <c r="D2051" s="488" t="s">
        <v>297</v>
      </c>
      <c r="E2051" s="489">
        <v>83.95</v>
      </c>
      <c r="F2051" s="516" t="s">
        <v>293</v>
      </c>
      <c r="G2051" s="232">
        <v>0</v>
      </c>
      <c r="H2051" s="658" t="str">
        <f t="shared" si="1588"/>
        <v/>
      </c>
      <c r="I2051" s="490">
        <f t="shared" si="1589"/>
        <v>0</v>
      </c>
      <c r="J2051" s="490">
        <f t="shared" si="1590"/>
        <v>0</v>
      </c>
      <c r="K2051" s="695">
        <f t="shared" ref="K2051" si="1593">I2051+J2051</f>
        <v>0</v>
      </c>
      <c r="L2051" s="695"/>
      <c r="M2051" s="659" t="str">
        <f t="shared" si="1592"/>
        <v/>
      </c>
      <c r="N2051" s="660"/>
      <c r="O2051" s="233"/>
      <c r="P2051" s="233"/>
      <c r="Q2051" s="233"/>
      <c r="R2051" s="233"/>
      <c r="S2051" s="233"/>
      <c r="T2051" s="508">
        <f t="shared" si="1553"/>
        <v>0</v>
      </c>
      <c r="U2051" s="225">
        <f>IF(NOT(ISNUMBER(G2051)), "", VLOOKUP(A2051,'Discount Lookup'!D:E,2,FALSE)*G2051)</f>
        <v>0</v>
      </c>
      <c r="V2051" s="225">
        <f>IF(NOT(ISNUMBER(G2051)), "", VLOOKUP(A2051,'Discount Lookup'!G:H,2,FALSE)*G2051)</f>
        <v>0</v>
      </c>
      <c r="W2051" s="508">
        <f t="shared" si="1554"/>
        <v>0</v>
      </c>
      <c r="X2051" s="508">
        <f t="shared" si="1555"/>
        <v>0</v>
      </c>
      <c r="Y2051" s="509" t="b">
        <f t="shared" si="1556"/>
        <v>0</v>
      </c>
      <c r="Z2051" s="510">
        <f t="shared" si="1557"/>
        <v>0</v>
      </c>
      <c r="AA2051" s="511"/>
      <c r="AB2051" s="511" t="str">
        <f t="shared" si="1558"/>
        <v/>
      </c>
      <c r="AC2051" s="698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698"/>
      <c r="AE2051" s="631" t="str">
        <f t="shared" si="1559"/>
        <v/>
      </c>
      <c r="AF2051" s="699" t="str">
        <f t="shared" si="1560"/>
        <v/>
      </c>
      <c r="AG2051" s="699"/>
      <c r="AH2051" s="699"/>
      <c r="AI2051" s="512">
        <f>IF(H2051="credit",0,IF(AE2051="free",0,IF(AE2051="me",0,IF(G2051&gt;0,(VLOOKUP(A2051,'Discount Lookup'!J:K,2)*G2051),0))))</f>
        <v>0</v>
      </c>
      <c r="AJ2051" s="513" t="str">
        <f t="shared" ca="1" si="1561"/>
        <v/>
      </c>
      <c r="AK2051" s="700" t="str">
        <f t="shared" si="1562"/>
        <v/>
      </c>
      <c r="AL2051" s="700"/>
      <c r="AM2051" s="505" t="str">
        <f t="shared" si="1563"/>
        <v/>
      </c>
      <c r="AN2051" s="506"/>
      <c r="AO2051" s="507"/>
      <c r="AP2051" s="507"/>
      <c r="AQ2051" s="507"/>
      <c r="AR2051" s="507"/>
      <c r="AS2051" s="507"/>
      <c r="AT2051" s="507"/>
      <c r="AU2051" s="507"/>
      <c r="AV2051" s="225"/>
      <c r="AW2051" s="508"/>
      <c r="AX2051" s="225"/>
      <c r="AY2051" s="225"/>
      <c r="AZ2051" s="225"/>
      <c r="BA2051" s="225"/>
      <c r="BB2051" s="225"/>
      <c r="BC2051" s="56"/>
      <c r="BD2051" s="56"/>
      <c r="BE2051" s="56"/>
      <c r="BF2051" s="107" t="str">
        <f t="shared" si="1564"/>
        <v>https://www.google.com/search?tbm=isch&amp;q=7%20G3</v>
      </c>
      <c r="BG2051" s="107" t="str">
        <f t="shared" si="1565"/>
        <v>K</v>
      </c>
      <c r="BH2051" s="254"/>
      <c r="BI2051" s="254"/>
    </row>
    <row r="2052" spans="1:61" customFormat="1" ht="15.75" x14ac:dyDescent="0.25">
      <c r="A2052" s="485">
        <v>7</v>
      </c>
      <c r="B2052" s="486" t="s">
        <v>291</v>
      </c>
      <c r="C2052" s="487" t="s">
        <v>4771</v>
      </c>
      <c r="D2052" s="488" t="s">
        <v>292</v>
      </c>
      <c r="E2052" s="489">
        <v>104.95</v>
      </c>
      <c r="F2052" s="516" t="s">
        <v>293</v>
      </c>
      <c r="G2052" s="232">
        <v>0</v>
      </c>
      <c r="H2052" s="658" t="str">
        <f t="shared" si="1588"/>
        <v/>
      </c>
      <c r="I2052" s="490">
        <f t="shared" si="1589"/>
        <v>0</v>
      </c>
      <c r="J2052" s="490">
        <f t="shared" si="1590"/>
        <v>0</v>
      </c>
      <c r="K2052" s="695">
        <f t="shared" ref="K2052" si="1594">I2052+J2052</f>
        <v>0</v>
      </c>
      <c r="L2052" s="695"/>
      <c r="M2052" s="659" t="str">
        <f t="shared" si="1592"/>
        <v/>
      </c>
      <c r="N2052" s="660"/>
      <c r="O2052" s="233"/>
      <c r="P2052" s="233"/>
      <c r="Q2052" s="233"/>
      <c r="R2052" s="233"/>
      <c r="S2052" s="233"/>
      <c r="T2052" s="508">
        <f t="shared" si="1553"/>
        <v>0</v>
      </c>
      <c r="U2052" s="225">
        <f>IF(NOT(ISNUMBER(G2052)), "", VLOOKUP(A2052,'Discount Lookup'!D:E,2,FALSE)*G2052)</f>
        <v>0</v>
      </c>
      <c r="V2052" s="225">
        <f>IF(NOT(ISNUMBER(G2052)), "", VLOOKUP(A2052,'Discount Lookup'!G:H,2,FALSE)*G2052)</f>
        <v>0</v>
      </c>
      <c r="W2052" s="508">
        <f t="shared" si="1554"/>
        <v>0</v>
      </c>
      <c r="X2052" s="508">
        <f t="shared" si="1555"/>
        <v>0</v>
      </c>
      <c r="Y2052" s="509" t="b">
        <f t="shared" si="1556"/>
        <v>0</v>
      </c>
      <c r="Z2052" s="510">
        <f t="shared" si="1557"/>
        <v>0</v>
      </c>
      <c r="AA2052" s="511"/>
      <c r="AB2052" s="511" t="str">
        <f t="shared" si="1558"/>
        <v/>
      </c>
      <c r="AC2052" s="698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698"/>
      <c r="AE2052" s="631" t="str">
        <f t="shared" si="1559"/>
        <v/>
      </c>
      <c r="AF2052" s="699" t="str">
        <f t="shared" si="1560"/>
        <v/>
      </c>
      <c r="AG2052" s="699"/>
      <c r="AH2052" s="699"/>
      <c r="AI2052" s="512">
        <f>IF(H2052="credit",0,IF(AE2052="free",0,IF(AE2052="me",0,IF(G2052&gt;0,(VLOOKUP(A2052,'Discount Lookup'!J:K,2)*G2052),0))))</f>
        <v>0</v>
      </c>
      <c r="AJ2052" s="513" t="str">
        <f t="shared" ca="1" si="1561"/>
        <v/>
      </c>
      <c r="AK2052" s="700" t="str">
        <f t="shared" si="1562"/>
        <v/>
      </c>
      <c r="AL2052" s="700"/>
      <c r="AM2052" s="505" t="str">
        <f t="shared" si="1563"/>
        <v/>
      </c>
      <c r="AN2052" s="506"/>
      <c r="AO2052" s="507"/>
      <c r="AP2052" s="507"/>
      <c r="AQ2052" s="507"/>
      <c r="AR2052" s="507"/>
      <c r="AS2052" s="507"/>
      <c r="AT2052" s="507"/>
      <c r="AU2052" s="507"/>
      <c r="AV2052" s="225"/>
      <c r="AW2052" s="508"/>
      <c r="AX2052" s="225"/>
      <c r="AY2052" s="225"/>
      <c r="AZ2052" s="225"/>
      <c r="BA2052" s="225"/>
      <c r="BB2052" s="225"/>
      <c r="BC2052" s="56"/>
      <c r="BD2052" s="56"/>
      <c r="BE2052" s="56"/>
      <c r="BF2052" s="107" t="str">
        <f t="shared" si="1564"/>
        <v>https://www.google.com/search?tbm=isch&amp;q=7%20G4</v>
      </c>
      <c r="BG2052" s="107" t="str">
        <f t="shared" si="1565"/>
        <v>K</v>
      </c>
      <c r="BH2052" s="254"/>
      <c r="BI2052" s="254"/>
    </row>
    <row r="2053" spans="1:61" customFormat="1" ht="15.75" x14ac:dyDescent="0.25">
      <c r="A2053" s="485">
        <v>7</v>
      </c>
      <c r="B2053" s="486" t="s">
        <v>291</v>
      </c>
      <c r="C2053" s="487" t="s">
        <v>2218</v>
      </c>
      <c r="D2053" s="488" t="s">
        <v>300</v>
      </c>
      <c r="E2053" s="489">
        <v>111.95</v>
      </c>
      <c r="F2053" s="516" t="s">
        <v>293</v>
      </c>
      <c r="G2053" s="232">
        <v>0</v>
      </c>
      <c r="H2053" s="658" t="str">
        <f t="shared" si="1588"/>
        <v/>
      </c>
      <c r="I2053" s="490">
        <f t="shared" si="1589"/>
        <v>0</v>
      </c>
      <c r="J2053" s="490">
        <f t="shared" si="1590"/>
        <v>0</v>
      </c>
      <c r="K2053" s="695">
        <f t="shared" ref="K2053" si="1595">I2053+J2053</f>
        <v>0</v>
      </c>
      <c r="L2053" s="695"/>
      <c r="M2053" s="659" t="str">
        <f t="shared" si="1592"/>
        <v/>
      </c>
      <c r="N2053" s="660"/>
      <c r="O2053" s="233"/>
      <c r="P2053" s="233"/>
      <c r="Q2053" s="233"/>
      <c r="R2053" s="233"/>
      <c r="S2053" s="233"/>
      <c r="T2053" s="508">
        <f t="shared" si="1553"/>
        <v>0</v>
      </c>
      <c r="U2053" s="225">
        <f>IF(NOT(ISNUMBER(G2053)), "", VLOOKUP(A2053,'Discount Lookup'!D:E,2,FALSE)*G2053)</f>
        <v>0</v>
      </c>
      <c r="V2053" s="225">
        <f>IF(NOT(ISNUMBER(G2053)), "", VLOOKUP(A2053,'Discount Lookup'!G:H,2,FALSE)*G2053)</f>
        <v>0</v>
      </c>
      <c r="W2053" s="508">
        <f t="shared" si="1554"/>
        <v>0</v>
      </c>
      <c r="X2053" s="508">
        <f t="shared" si="1555"/>
        <v>0</v>
      </c>
      <c r="Y2053" s="509" t="b">
        <f t="shared" si="1556"/>
        <v>0</v>
      </c>
      <c r="Z2053" s="510">
        <f t="shared" si="1557"/>
        <v>0</v>
      </c>
      <c r="AA2053" s="511"/>
      <c r="AB2053" s="511" t="str">
        <f t="shared" si="1558"/>
        <v/>
      </c>
      <c r="AC2053" s="698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698"/>
      <c r="AE2053" s="631" t="str">
        <f t="shared" si="1559"/>
        <v/>
      </c>
      <c r="AF2053" s="699" t="str">
        <f t="shared" si="1560"/>
        <v/>
      </c>
      <c r="AG2053" s="699"/>
      <c r="AH2053" s="699"/>
      <c r="AI2053" s="512">
        <f>IF(H2053="credit",0,IF(AE2053="free",0,IF(AE2053="me",0,IF(G2053&gt;0,(VLOOKUP(A2053,'Discount Lookup'!J:K,2)*G2053),0))))</f>
        <v>0</v>
      </c>
      <c r="AJ2053" s="513" t="str">
        <f t="shared" ca="1" si="1561"/>
        <v/>
      </c>
      <c r="AK2053" s="700" t="str">
        <f t="shared" si="1562"/>
        <v/>
      </c>
      <c r="AL2053" s="700"/>
      <c r="AM2053" s="505" t="str">
        <f t="shared" si="1563"/>
        <v/>
      </c>
      <c r="AN2053" s="506"/>
      <c r="AO2053" s="507"/>
      <c r="AP2053" s="507"/>
      <c r="AQ2053" s="507"/>
      <c r="AR2053" s="507"/>
      <c r="AS2053" s="507"/>
      <c r="AT2053" s="507"/>
      <c r="AU2053" s="507"/>
      <c r="AV2053" s="225"/>
      <c r="AW2053" s="508"/>
      <c r="AX2053" s="225"/>
      <c r="AY2053" s="225"/>
      <c r="AZ2053" s="225"/>
      <c r="BA2053" s="225"/>
      <c r="BB2053" s="225"/>
      <c r="BC2053" s="56"/>
      <c r="BD2053" s="56"/>
      <c r="BE2053" s="56"/>
      <c r="BF2053" s="107" t="str">
        <f t="shared" si="1564"/>
        <v>https://www.google.com/search?tbm=isch&amp;q=7%20G6</v>
      </c>
      <c r="BG2053" s="107" t="str">
        <f t="shared" si="1565"/>
        <v>K</v>
      </c>
      <c r="BH2053" s="254"/>
      <c r="BI2053" s="254"/>
    </row>
    <row r="2054" spans="1:61" customFormat="1" ht="27" x14ac:dyDescent="0.25">
      <c r="A2054" s="485">
        <v>7</v>
      </c>
      <c r="B2054" s="486" t="s">
        <v>291</v>
      </c>
      <c r="C2054" s="487" t="s">
        <v>4772</v>
      </c>
      <c r="D2054" s="488" t="s">
        <v>292</v>
      </c>
      <c r="E2054" s="489">
        <v>160.94999999999999</v>
      </c>
      <c r="F2054" s="516" t="s">
        <v>293</v>
      </c>
      <c r="G2054" s="232">
        <v>0</v>
      </c>
      <c r="H2054" s="658" t="str">
        <f t="shared" si="1588"/>
        <v/>
      </c>
      <c r="I2054" s="490">
        <f t="shared" si="1589"/>
        <v>0</v>
      </c>
      <c r="J2054" s="490">
        <f t="shared" si="1590"/>
        <v>0</v>
      </c>
      <c r="K2054" s="695">
        <f t="shared" ref="K2054" si="1596">I2054+J2054</f>
        <v>0</v>
      </c>
      <c r="L2054" s="695"/>
      <c r="M2054" s="659" t="str">
        <f t="shared" si="1592"/>
        <v/>
      </c>
      <c r="N2054" s="660"/>
      <c r="O2054" s="233"/>
      <c r="P2054" s="233"/>
      <c r="Q2054" s="233"/>
      <c r="R2054" s="233"/>
      <c r="S2054" s="233"/>
      <c r="T2054" s="508">
        <f t="shared" si="1553"/>
        <v>0</v>
      </c>
      <c r="U2054" s="225">
        <f>IF(NOT(ISNUMBER(G2054)), "", VLOOKUP(A2054,'Discount Lookup'!D:E,2,FALSE)*G2054)</f>
        <v>0</v>
      </c>
      <c r="V2054" s="225">
        <f>IF(NOT(ISNUMBER(G2054)), "", VLOOKUP(A2054,'Discount Lookup'!G:H,2,FALSE)*G2054)</f>
        <v>0</v>
      </c>
      <c r="W2054" s="508">
        <f t="shared" si="1554"/>
        <v>0</v>
      </c>
      <c r="X2054" s="508">
        <f t="shared" si="1555"/>
        <v>0</v>
      </c>
      <c r="Y2054" s="509" t="b">
        <f t="shared" si="1556"/>
        <v>0</v>
      </c>
      <c r="Z2054" s="510">
        <f t="shared" si="1557"/>
        <v>0</v>
      </c>
      <c r="AA2054" s="511"/>
      <c r="AB2054" s="511" t="str">
        <f t="shared" si="1558"/>
        <v/>
      </c>
      <c r="AC2054" s="698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698"/>
      <c r="AE2054" s="631" t="str">
        <f t="shared" si="1559"/>
        <v/>
      </c>
      <c r="AF2054" s="699" t="str">
        <f t="shared" si="1560"/>
        <v/>
      </c>
      <c r="AG2054" s="699"/>
      <c r="AH2054" s="699"/>
      <c r="AI2054" s="512">
        <f>IF(H2054="credit",0,IF(AE2054="free",0,IF(AE2054="me",0,IF(G2054&gt;0,(VLOOKUP(A2054,'Discount Lookup'!J:K,2)*G2054),0))))</f>
        <v>0</v>
      </c>
      <c r="AJ2054" s="513" t="str">
        <f t="shared" ca="1" si="1561"/>
        <v/>
      </c>
      <c r="AK2054" s="700" t="str">
        <f t="shared" si="1562"/>
        <v/>
      </c>
      <c r="AL2054" s="700"/>
      <c r="AM2054" s="505" t="str">
        <f t="shared" si="1563"/>
        <v/>
      </c>
      <c r="AN2054" s="506"/>
      <c r="AO2054" s="507"/>
      <c r="AP2054" s="507"/>
      <c r="AQ2054" s="507"/>
      <c r="AR2054" s="507"/>
      <c r="AS2054" s="507"/>
      <c r="AT2054" s="507"/>
      <c r="AU2054" s="507"/>
      <c r="AV2054" s="225"/>
      <c r="AW2054" s="508"/>
      <c r="AX2054" s="225"/>
      <c r="AY2054" s="225"/>
      <c r="AZ2054" s="225"/>
      <c r="BA2054" s="225"/>
      <c r="BB2054" s="225"/>
      <c r="BC2054" s="56"/>
      <c r="BD2054" s="56"/>
      <c r="BE2054" s="56"/>
      <c r="BF2054" s="107" t="str">
        <f t="shared" si="1564"/>
        <v>https://www.google.com/search?tbm=isch&amp;q=7%20G4</v>
      </c>
      <c r="BG2054" s="107" t="str">
        <f t="shared" si="1565"/>
        <v>K</v>
      </c>
      <c r="BH2054" s="254"/>
      <c r="BI2054" s="254"/>
    </row>
    <row r="2055" spans="1:61" customFormat="1" ht="27" x14ac:dyDescent="0.25">
      <c r="A2055" s="485">
        <v>15</v>
      </c>
      <c r="B2055" s="486" t="s">
        <v>291</v>
      </c>
      <c r="C2055" s="487" t="s">
        <v>4773</v>
      </c>
      <c r="D2055" s="488" t="s">
        <v>292</v>
      </c>
      <c r="E2055" s="489">
        <v>224.95</v>
      </c>
      <c r="F2055" s="516" t="s">
        <v>293</v>
      </c>
      <c r="G2055" s="232">
        <v>0</v>
      </c>
      <c r="H2055" s="658" t="str">
        <f t="shared" si="1588"/>
        <v/>
      </c>
      <c r="I2055" s="490">
        <f t="shared" si="1589"/>
        <v>0</v>
      </c>
      <c r="J2055" s="490">
        <f t="shared" si="1590"/>
        <v>0</v>
      </c>
      <c r="K2055" s="695">
        <f t="shared" ref="K2055" si="1597">I2055+J2055</f>
        <v>0</v>
      </c>
      <c r="L2055" s="695"/>
      <c r="M2055" s="659" t="str">
        <f t="shared" si="1592"/>
        <v/>
      </c>
      <c r="N2055" s="660"/>
      <c r="O2055" s="233"/>
      <c r="P2055" s="233"/>
      <c r="Q2055" s="233"/>
      <c r="R2055" s="233"/>
      <c r="S2055" s="233"/>
      <c r="T2055" s="508">
        <f t="shared" si="1553"/>
        <v>0</v>
      </c>
      <c r="U2055" s="225">
        <f>IF(NOT(ISNUMBER(G2055)), "", VLOOKUP(A2055,'Discount Lookup'!D:E,2,FALSE)*G2055)</f>
        <v>0</v>
      </c>
      <c r="V2055" s="225">
        <f>IF(NOT(ISNUMBER(G2055)), "", VLOOKUP(A2055,'Discount Lookup'!G:H,2,FALSE)*G2055)</f>
        <v>0</v>
      </c>
      <c r="W2055" s="508">
        <f t="shared" si="1554"/>
        <v>0</v>
      </c>
      <c r="X2055" s="508">
        <f t="shared" si="1555"/>
        <v>0</v>
      </c>
      <c r="Y2055" s="509" t="b">
        <f t="shared" si="1556"/>
        <v>0</v>
      </c>
      <c r="Z2055" s="510">
        <f t="shared" si="1557"/>
        <v>0</v>
      </c>
      <c r="AA2055" s="511"/>
      <c r="AB2055" s="511" t="str">
        <f t="shared" si="1558"/>
        <v/>
      </c>
      <c r="AC2055" s="698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698"/>
      <c r="AE2055" s="631" t="str">
        <f t="shared" si="1559"/>
        <v/>
      </c>
      <c r="AF2055" s="699" t="str">
        <f t="shared" si="1560"/>
        <v/>
      </c>
      <c r="AG2055" s="699"/>
      <c r="AH2055" s="699"/>
      <c r="AI2055" s="512">
        <f>IF(H2055="credit",0,IF(AE2055="free",0,IF(AE2055="me",0,IF(G2055&gt;0,(VLOOKUP(A2055,'Discount Lookup'!J:K,2)*G2055),0))))</f>
        <v>0</v>
      </c>
      <c r="AJ2055" s="513" t="str">
        <f t="shared" ca="1" si="1561"/>
        <v/>
      </c>
      <c r="AK2055" s="700" t="str">
        <f t="shared" si="1562"/>
        <v/>
      </c>
      <c r="AL2055" s="700"/>
      <c r="AM2055" s="505" t="str">
        <f t="shared" si="1563"/>
        <v/>
      </c>
      <c r="AN2055" s="506"/>
      <c r="AO2055" s="507"/>
      <c r="AP2055" s="507"/>
      <c r="AQ2055" s="507"/>
      <c r="AR2055" s="507"/>
      <c r="AS2055" s="507"/>
      <c r="AT2055" s="507"/>
      <c r="AU2055" s="507"/>
      <c r="AV2055" s="225"/>
      <c r="AW2055" s="508"/>
      <c r="AX2055" s="225"/>
      <c r="AY2055" s="225"/>
      <c r="AZ2055" s="225"/>
      <c r="BA2055" s="225"/>
      <c r="BB2055" s="225"/>
      <c r="BC2055" s="56"/>
      <c r="BD2055" s="56"/>
      <c r="BE2055" s="56"/>
      <c r="BF2055" s="107" t="str">
        <f t="shared" si="1564"/>
        <v>https://www.google.com/search?tbm=isch&amp;q=15%20G4</v>
      </c>
      <c r="BG2055" s="107" t="str">
        <f t="shared" si="1565"/>
        <v>K</v>
      </c>
      <c r="BH2055" s="254"/>
      <c r="BI2055" s="254"/>
    </row>
    <row r="2056" spans="1:61" customFormat="1" ht="15.75" x14ac:dyDescent="0.25">
      <c r="A2056" s="485">
        <v>15</v>
      </c>
      <c r="B2056" s="486" t="s">
        <v>291</v>
      </c>
      <c r="C2056" s="487" t="s">
        <v>3997</v>
      </c>
      <c r="D2056" s="488" t="s">
        <v>300</v>
      </c>
      <c r="E2056" s="489">
        <v>227.95</v>
      </c>
      <c r="F2056" s="516" t="s">
        <v>293</v>
      </c>
      <c r="G2056" s="232">
        <v>0</v>
      </c>
      <c r="H2056" s="658" t="str">
        <f t="shared" si="1588"/>
        <v/>
      </c>
      <c r="I2056" s="490">
        <f t="shared" si="1589"/>
        <v>0</v>
      </c>
      <c r="J2056" s="490">
        <f t="shared" si="1590"/>
        <v>0</v>
      </c>
      <c r="K2056" s="695">
        <f t="shared" ref="K2056" si="1598">I2056+J2056</f>
        <v>0</v>
      </c>
      <c r="L2056" s="695"/>
      <c r="M2056" s="659" t="str">
        <f t="shared" si="1592"/>
        <v/>
      </c>
      <c r="N2056" s="660"/>
      <c r="O2056" s="233"/>
      <c r="P2056" s="233"/>
      <c r="Q2056" s="233"/>
      <c r="R2056" s="233"/>
      <c r="S2056" s="233"/>
      <c r="T2056" s="508">
        <f t="shared" si="1553"/>
        <v>0</v>
      </c>
      <c r="U2056" s="225">
        <f>IF(NOT(ISNUMBER(G2056)), "", VLOOKUP(A2056,'Discount Lookup'!D:E,2,FALSE)*G2056)</f>
        <v>0</v>
      </c>
      <c r="V2056" s="225">
        <f>IF(NOT(ISNUMBER(G2056)), "", VLOOKUP(A2056,'Discount Lookup'!G:H,2,FALSE)*G2056)</f>
        <v>0</v>
      </c>
      <c r="W2056" s="508">
        <f t="shared" si="1554"/>
        <v>0</v>
      </c>
      <c r="X2056" s="508">
        <f t="shared" si="1555"/>
        <v>0</v>
      </c>
      <c r="Y2056" s="509" t="b">
        <f t="shared" si="1556"/>
        <v>0</v>
      </c>
      <c r="Z2056" s="510">
        <f t="shared" si="1557"/>
        <v>0</v>
      </c>
      <c r="AA2056" s="511"/>
      <c r="AB2056" s="511" t="str">
        <f t="shared" si="1558"/>
        <v/>
      </c>
      <c r="AC2056" s="698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698"/>
      <c r="AE2056" s="631" t="str">
        <f t="shared" si="1559"/>
        <v/>
      </c>
      <c r="AF2056" s="699" t="str">
        <f t="shared" si="1560"/>
        <v/>
      </c>
      <c r="AG2056" s="699"/>
      <c r="AH2056" s="699"/>
      <c r="AI2056" s="512">
        <f>IF(H2056="credit",0,IF(AE2056="free",0,IF(AE2056="me",0,IF(G2056&gt;0,(VLOOKUP(A2056,'Discount Lookup'!J:K,2)*G2056),0))))</f>
        <v>0</v>
      </c>
      <c r="AJ2056" s="513" t="str">
        <f t="shared" ca="1" si="1561"/>
        <v/>
      </c>
      <c r="AK2056" s="700" t="str">
        <f t="shared" si="1562"/>
        <v/>
      </c>
      <c r="AL2056" s="700"/>
      <c r="AM2056" s="505" t="str">
        <f t="shared" si="1563"/>
        <v/>
      </c>
      <c r="AN2056" s="506"/>
      <c r="AO2056" s="507"/>
      <c r="AP2056" s="507"/>
      <c r="AQ2056" s="507"/>
      <c r="AR2056" s="507"/>
      <c r="AS2056" s="507"/>
      <c r="AT2056" s="507"/>
      <c r="AU2056" s="507"/>
      <c r="AV2056" s="225"/>
      <c r="AW2056" s="508"/>
      <c r="AX2056" s="225"/>
      <c r="AY2056" s="225"/>
      <c r="AZ2056" s="225"/>
      <c r="BA2056" s="225"/>
      <c r="BB2056" s="225"/>
      <c r="BC2056" s="56"/>
      <c r="BD2056" s="56"/>
      <c r="BE2056" s="56"/>
      <c r="BF2056" s="107" t="str">
        <f t="shared" si="1564"/>
        <v>https://www.google.com/search?tbm=isch&amp;q=15%20G6</v>
      </c>
      <c r="BG2056" s="107" t="str">
        <f t="shared" si="1565"/>
        <v>K</v>
      </c>
      <c r="BH2056" s="254"/>
      <c r="BI2056" s="254"/>
    </row>
    <row r="2057" spans="1:61" customFormat="1" ht="27" x14ac:dyDescent="0.25">
      <c r="A2057" s="485">
        <v>25</v>
      </c>
      <c r="B2057" s="486" t="s">
        <v>291</v>
      </c>
      <c r="C2057" s="487" t="s">
        <v>4774</v>
      </c>
      <c r="D2057" s="488" t="s">
        <v>292</v>
      </c>
      <c r="E2057" s="489">
        <v>445.95</v>
      </c>
      <c r="F2057" s="516" t="s">
        <v>293</v>
      </c>
      <c r="G2057" s="232">
        <v>0</v>
      </c>
      <c r="H2057" s="658" t="str">
        <f t="shared" si="1588"/>
        <v/>
      </c>
      <c r="I2057" s="490">
        <f t="shared" si="1589"/>
        <v>0</v>
      </c>
      <c r="J2057" s="490">
        <f t="shared" si="1590"/>
        <v>0</v>
      </c>
      <c r="K2057" s="695">
        <f t="shared" ref="K2057" si="1599">I2057+J2057</f>
        <v>0</v>
      </c>
      <c r="L2057" s="695"/>
      <c r="M2057" s="659" t="str">
        <f t="shared" si="1592"/>
        <v/>
      </c>
      <c r="N2057" s="660"/>
      <c r="O2057" s="233"/>
      <c r="P2057" s="233"/>
      <c r="Q2057" s="233"/>
      <c r="R2057" s="233"/>
      <c r="S2057" s="233"/>
      <c r="T2057" s="508">
        <f t="shared" si="1553"/>
        <v>0</v>
      </c>
      <c r="U2057" s="225">
        <f>IF(NOT(ISNUMBER(G2057)), "", VLOOKUP(A2057,'Discount Lookup'!D:E,2,FALSE)*G2057)</f>
        <v>0</v>
      </c>
      <c r="V2057" s="225">
        <f>IF(NOT(ISNUMBER(G2057)), "", VLOOKUP(A2057,'Discount Lookup'!G:H,2,FALSE)*G2057)</f>
        <v>0</v>
      </c>
      <c r="W2057" s="508">
        <f t="shared" si="1554"/>
        <v>0</v>
      </c>
      <c r="X2057" s="508">
        <f t="shared" si="1555"/>
        <v>0</v>
      </c>
      <c r="Y2057" s="509" t="b">
        <f t="shared" si="1556"/>
        <v>0</v>
      </c>
      <c r="Z2057" s="510">
        <f t="shared" si="1557"/>
        <v>0</v>
      </c>
      <c r="AA2057" s="511"/>
      <c r="AB2057" s="511" t="str">
        <f t="shared" si="1558"/>
        <v/>
      </c>
      <c r="AC2057" s="698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698"/>
      <c r="AE2057" s="631" t="str">
        <f t="shared" si="1559"/>
        <v/>
      </c>
      <c r="AF2057" s="699" t="str">
        <f t="shared" si="1560"/>
        <v/>
      </c>
      <c r="AG2057" s="699"/>
      <c r="AH2057" s="699"/>
      <c r="AI2057" s="512">
        <f>IF(H2057="credit",0,IF(AE2057="free",0,IF(AE2057="me",0,IF(G2057&gt;0,(VLOOKUP(A2057,'Discount Lookup'!J:K,2)*G2057),0))))</f>
        <v>0</v>
      </c>
      <c r="AJ2057" s="513" t="str">
        <f t="shared" ca="1" si="1561"/>
        <v/>
      </c>
      <c r="AK2057" s="700" t="str">
        <f t="shared" si="1562"/>
        <v/>
      </c>
      <c r="AL2057" s="700"/>
      <c r="AM2057" s="505" t="str">
        <f t="shared" si="1563"/>
        <v/>
      </c>
      <c r="AN2057" s="506"/>
      <c r="AO2057" s="507"/>
      <c r="AP2057" s="507"/>
      <c r="AQ2057" s="507"/>
      <c r="AR2057" s="507"/>
      <c r="AS2057" s="507"/>
      <c r="AT2057" s="507"/>
      <c r="AU2057" s="507"/>
      <c r="AV2057" s="225"/>
      <c r="AW2057" s="508"/>
      <c r="AX2057" s="225"/>
      <c r="AY2057" s="225"/>
      <c r="AZ2057" s="225"/>
      <c r="BA2057" s="225"/>
      <c r="BB2057" s="225"/>
      <c r="BC2057" s="56"/>
      <c r="BD2057" s="56"/>
      <c r="BE2057" s="56"/>
      <c r="BF2057" s="107" t="str">
        <f t="shared" si="1564"/>
        <v>https://www.google.com/search?tbm=isch&amp;q=25%20G4</v>
      </c>
      <c r="BG2057" s="107" t="str">
        <f t="shared" si="1565"/>
        <v>K</v>
      </c>
      <c r="BH2057" s="254"/>
      <c r="BI2057" s="254"/>
    </row>
    <row r="2058" spans="1:61" customFormat="1" ht="15.75" x14ac:dyDescent="0.25">
      <c r="A2058" s="485">
        <v>25</v>
      </c>
      <c r="B2058" s="486" t="s">
        <v>291</v>
      </c>
      <c r="C2058" s="487" t="s">
        <v>4775</v>
      </c>
      <c r="D2058" s="488" t="s">
        <v>292</v>
      </c>
      <c r="E2058" s="489">
        <v>445.95</v>
      </c>
      <c r="F2058" s="516" t="s">
        <v>293</v>
      </c>
      <c r="G2058" s="232">
        <v>0</v>
      </c>
      <c r="H2058" s="658" t="str">
        <f t="shared" si="1588"/>
        <v/>
      </c>
      <c r="I2058" s="490">
        <f t="shared" si="1589"/>
        <v>0</v>
      </c>
      <c r="J2058" s="490">
        <f t="shared" si="1590"/>
        <v>0</v>
      </c>
      <c r="K2058" s="695">
        <f t="shared" ref="K2058" si="1600">I2058+J2058</f>
        <v>0</v>
      </c>
      <c r="L2058" s="695"/>
      <c r="M2058" s="659" t="str">
        <f t="shared" si="1592"/>
        <v/>
      </c>
      <c r="N2058" s="660"/>
      <c r="O2058" s="233"/>
      <c r="P2058" s="233"/>
      <c r="Q2058" s="233"/>
      <c r="R2058" s="233"/>
      <c r="S2058" s="233"/>
      <c r="T2058" s="508">
        <f t="shared" si="1553"/>
        <v>0</v>
      </c>
      <c r="U2058" s="225">
        <f>IF(NOT(ISNUMBER(G2058)), "", VLOOKUP(A2058,'Discount Lookup'!D:E,2,FALSE)*G2058)</f>
        <v>0</v>
      </c>
      <c r="V2058" s="225">
        <f>IF(NOT(ISNUMBER(G2058)), "", VLOOKUP(A2058,'Discount Lookup'!G:H,2,FALSE)*G2058)</f>
        <v>0</v>
      </c>
      <c r="W2058" s="508">
        <f t="shared" si="1554"/>
        <v>0</v>
      </c>
      <c r="X2058" s="508">
        <f t="shared" si="1555"/>
        <v>0</v>
      </c>
      <c r="Y2058" s="509" t="b">
        <f t="shared" si="1556"/>
        <v>0</v>
      </c>
      <c r="Z2058" s="510">
        <f t="shared" si="1557"/>
        <v>0</v>
      </c>
      <c r="AA2058" s="511"/>
      <c r="AB2058" s="511" t="str">
        <f t="shared" si="1558"/>
        <v/>
      </c>
      <c r="AC2058" s="698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698"/>
      <c r="AE2058" s="631" t="str">
        <f t="shared" si="1559"/>
        <v/>
      </c>
      <c r="AF2058" s="699" t="str">
        <f t="shared" si="1560"/>
        <v/>
      </c>
      <c r="AG2058" s="699"/>
      <c r="AH2058" s="699"/>
      <c r="AI2058" s="512">
        <f>IF(H2058="credit",0,IF(AE2058="free",0,IF(AE2058="me",0,IF(G2058&gt;0,(VLOOKUP(A2058,'Discount Lookup'!J:K,2)*G2058),0))))</f>
        <v>0</v>
      </c>
      <c r="AJ2058" s="513" t="str">
        <f t="shared" ca="1" si="1561"/>
        <v/>
      </c>
      <c r="AK2058" s="700" t="str">
        <f t="shared" si="1562"/>
        <v/>
      </c>
      <c r="AL2058" s="700"/>
      <c r="AM2058" s="505" t="str">
        <f t="shared" si="1563"/>
        <v/>
      </c>
      <c r="AN2058" s="506"/>
      <c r="AO2058" s="507"/>
      <c r="AP2058" s="507"/>
      <c r="AQ2058" s="507"/>
      <c r="AR2058" s="507"/>
      <c r="AS2058" s="507"/>
      <c r="AT2058" s="507"/>
      <c r="AU2058" s="507"/>
      <c r="AV2058" s="225"/>
      <c r="AW2058" s="508"/>
      <c r="AX2058" s="225"/>
      <c r="AY2058" s="225"/>
      <c r="AZ2058" s="225"/>
      <c r="BA2058" s="225"/>
      <c r="BB2058" s="225"/>
      <c r="BC2058" s="56"/>
      <c r="BD2058" s="56"/>
      <c r="BE2058" s="56"/>
      <c r="BF2058" s="107" t="str">
        <f t="shared" si="1564"/>
        <v>https://www.google.com/search?tbm=isch&amp;q=25%20G4</v>
      </c>
      <c r="BG2058" s="107" t="str">
        <f t="shared" si="1565"/>
        <v>K</v>
      </c>
      <c r="BH2058" s="254"/>
      <c r="BI2058" s="254"/>
    </row>
    <row r="2059" spans="1:61" customFormat="1" ht="17.25" thickBot="1" x14ac:dyDescent="0.3">
      <c r="A2059" s="672" t="s">
        <v>5154</v>
      </c>
      <c r="B2059" s="491"/>
      <c r="C2059" s="675"/>
      <c r="D2059" s="491"/>
      <c r="E2059" s="491"/>
      <c r="F2059" s="492"/>
      <c r="G2059" s="493"/>
      <c r="H2059" s="491"/>
      <c r="I2059" s="234"/>
      <c r="J2059" s="234"/>
      <c r="K2059" s="494"/>
      <c r="L2059" s="543"/>
      <c r="M2059" s="561"/>
      <c r="N2059" s="495"/>
      <c r="O2059" s="496"/>
      <c r="P2059" s="497"/>
      <c r="Q2059" s="495"/>
      <c r="R2059" s="495"/>
      <c r="S2059" s="667" t="s">
        <v>4986</v>
      </c>
      <c r="T2059" s="508">
        <f t="shared" si="1553"/>
        <v>0</v>
      </c>
      <c r="U2059" s="225" t="str">
        <f>IF(NOT(ISNUMBER(G2059)), "", VLOOKUP(A2059,'Discount Lookup'!D:E,2,FALSE)*G2059)</f>
        <v/>
      </c>
      <c r="V2059" s="225" t="str">
        <f>IF(NOT(ISNUMBER(G2059)), "", VLOOKUP(A2059,'Discount Lookup'!G:H,2,FALSE)*G2059)</f>
        <v/>
      </c>
      <c r="W2059" s="508">
        <f t="shared" si="1554"/>
        <v>0</v>
      </c>
      <c r="X2059" s="508">
        <f t="shared" si="1555"/>
        <v>0</v>
      </c>
      <c r="Y2059" s="509" t="b">
        <f t="shared" si="1556"/>
        <v>0</v>
      </c>
      <c r="Z2059" s="510">
        <f t="shared" si="1557"/>
        <v>0</v>
      </c>
      <c r="AA2059" s="511"/>
      <c r="AB2059" s="511" t="str">
        <f t="shared" si="1558"/>
        <v/>
      </c>
      <c r="AC2059" s="698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698"/>
      <c r="AE2059" s="631" t="str">
        <f t="shared" si="1559"/>
        <v/>
      </c>
      <c r="AF2059" s="699" t="str">
        <f t="shared" si="1560"/>
        <v/>
      </c>
      <c r="AG2059" s="699"/>
      <c r="AH2059" s="699"/>
      <c r="AI2059" s="512">
        <f>IF(H2059="credit",0,IF(AE2059="free",0,IF(AE2059="me",0,IF(G2059&gt;0,(VLOOKUP(A2059,'Discount Lookup'!J:K,2)*G2059),0))))</f>
        <v>0</v>
      </c>
      <c r="AJ2059" s="513" t="str">
        <f t="shared" ca="1" si="1561"/>
        <v/>
      </c>
      <c r="AK2059" s="700" t="str">
        <f t="shared" si="1562"/>
        <v/>
      </c>
      <c r="AL2059" s="700"/>
      <c r="AM2059" s="505" t="str">
        <f t="shared" si="1563"/>
        <v/>
      </c>
      <c r="AN2059" s="506"/>
      <c r="AO2059" s="507"/>
      <c r="AP2059" s="507"/>
      <c r="AQ2059" s="507"/>
      <c r="AR2059" s="507"/>
      <c r="AS2059" s="507"/>
      <c r="AT2059" s="507"/>
      <c r="AU2059" s="507"/>
      <c r="AV2059" s="225"/>
      <c r="AW2059" s="508"/>
      <c r="AX2059" s="225"/>
      <c r="AY2059" s="225"/>
      <c r="AZ2059" s="225"/>
      <c r="BA2059" s="225"/>
      <c r="BB2059" s="225"/>
      <c r="BC2059" s="56"/>
      <c r="BD2059" s="56"/>
      <c r="BE2059" s="56"/>
      <c r="BF2059" s="107" t="str">
        <f t="shared" si="1564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2059" s="107" t="str">
        <f t="shared" si="1565"/>
        <v>m</v>
      </c>
      <c r="BH2059" s="254"/>
      <c r="BI2059" s="254"/>
    </row>
    <row r="2060" spans="1:61" customFormat="1" ht="18" x14ac:dyDescent="0.25">
      <c r="A2060" s="523" t="s">
        <v>1193</v>
      </c>
      <c r="B2060" s="235"/>
      <c r="C2060" s="676"/>
      <c r="D2060" s="255" t="s">
        <v>1194</v>
      </c>
      <c r="E2060" s="236"/>
      <c r="F2060" s="236"/>
      <c r="G2060" s="236"/>
      <c r="H2060" s="582" t="s">
        <v>971</v>
      </c>
      <c r="I2060" s="498" t="s">
        <v>2109</v>
      </c>
      <c r="J2060" s="237"/>
      <c r="K2060" s="237"/>
      <c r="L2060" s="274"/>
      <c r="M2060" s="668" t="s">
        <v>4975</v>
      </c>
      <c r="N2060" s="681" t="str">
        <f>IF(AND(ISTEXT($A2060), ISERROR($A2060+0)), HYPERLINK($BF2060, "Images"), "")</f>
        <v>Images</v>
      </c>
      <c r="O2060" s="663" t="s">
        <v>4969</v>
      </c>
      <c r="P2060" s="253"/>
      <c r="Q2060" s="238"/>
      <c r="R2060" s="239"/>
      <c r="S2060" s="275"/>
      <c r="T2060" s="508">
        <f t="shared" si="1553"/>
        <v>0</v>
      </c>
      <c r="U2060" s="225" t="str">
        <f>IF(NOT(ISNUMBER(G2060)), "", VLOOKUP(A2060,'Discount Lookup'!D:E,2,FALSE)*G2060)</f>
        <v/>
      </c>
      <c r="V2060" s="225" t="str">
        <f>IF(NOT(ISNUMBER(G2060)), "", VLOOKUP(A2060,'Discount Lookup'!G:H,2,FALSE)*G2060)</f>
        <v/>
      </c>
      <c r="W2060" s="508">
        <f t="shared" si="1554"/>
        <v>0</v>
      </c>
      <c r="X2060" s="508" t="str">
        <f t="shared" si="1555"/>
        <v>Green foliage</v>
      </c>
      <c r="Y2060" s="509" t="b">
        <f t="shared" si="1556"/>
        <v>0</v>
      </c>
      <c r="Z2060" s="510">
        <f t="shared" si="1557"/>
        <v>0</v>
      </c>
      <c r="AA2060" s="511"/>
      <c r="AB2060" s="511" t="str">
        <f t="shared" si="1558"/>
        <v/>
      </c>
      <c r="AC2060" s="698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698"/>
      <c r="AE2060" s="631" t="str">
        <f t="shared" si="1559"/>
        <v/>
      </c>
      <c r="AF2060" s="699" t="str">
        <f t="shared" si="1560"/>
        <v/>
      </c>
      <c r="AG2060" s="699"/>
      <c r="AH2060" s="699"/>
      <c r="AI2060" s="512">
        <f>IF(H2060="credit",0,IF(AE2060="free",0,IF(AE2060="me",0,IF(G2060&gt;0,(VLOOKUP(A2060,'Discount Lookup'!J:K,2)*G2060),0))))</f>
        <v>0</v>
      </c>
      <c r="AJ2060" s="513" t="str">
        <f t="shared" ca="1" si="1561"/>
        <v/>
      </c>
      <c r="AK2060" s="700" t="str">
        <f t="shared" si="1562"/>
        <v/>
      </c>
      <c r="AL2060" s="700"/>
      <c r="AM2060" s="505" t="str">
        <f t="shared" si="1563"/>
        <v/>
      </c>
      <c r="AN2060" s="506"/>
      <c r="AO2060" s="507"/>
      <c r="AP2060" s="507"/>
      <c r="AQ2060" s="507"/>
      <c r="AR2060" s="507"/>
      <c r="AS2060" s="507"/>
      <c r="AT2060" s="507"/>
      <c r="AU2060" s="507"/>
      <c r="AV2060" s="225"/>
      <c r="AW2060" s="508"/>
      <c r="AX2060" s="225"/>
      <c r="AY2060" s="225"/>
      <c r="AZ2060" s="225"/>
      <c r="BA2060" s="225"/>
      <c r="BB2060" s="225"/>
      <c r="BC2060" s="56"/>
      <c r="BD2060" s="56"/>
      <c r="BE2060" s="56"/>
      <c r="BF2060" s="107" t="str">
        <f t="shared" si="1564"/>
        <v>https://www.google.com/search?tbm=isch&amp;q=Karl%20Foerster%20Reed%20Grass%20Calamagrostis%20x%20acutiflora%20%27Karl%20Foerster%27</v>
      </c>
      <c r="BG2060" s="107" t="str">
        <f t="shared" si="1565"/>
        <v>K</v>
      </c>
      <c r="BH2060" s="254"/>
      <c r="BI2060" s="254"/>
    </row>
    <row r="2061" spans="1:61" customFormat="1" ht="15.75" x14ac:dyDescent="0.25">
      <c r="A2061" s="276">
        <v>1</v>
      </c>
      <c r="B2061" s="240" t="s">
        <v>291</v>
      </c>
      <c r="C2061" s="241"/>
      <c r="D2061" s="242" t="s">
        <v>312</v>
      </c>
      <c r="E2061" s="243">
        <v>13.95</v>
      </c>
      <c r="F2061" s="517" t="s">
        <v>293</v>
      </c>
      <c r="G2061" s="232">
        <v>0</v>
      </c>
      <c r="H2061" s="661" t="str">
        <f>IF(G2061=0,"",IF(F2061="Buy",IF(G2061=1,"plant","plants"),IF(F2061&gt;0.01,"warranty","Error")))</f>
        <v/>
      </c>
      <c r="I2061" s="244">
        <f>IF(H2061="free",0,IF(H2061="credit",((E2061*(F2061))*G2061*-1),IF(F2061="Buy",(E2061*G2061),((E2061*(1-F2061))*G2061))))</f>
        <v>0</v>
      </c>
      <c r="J2061" s="244">
        <f>IF(H2061="warranty",0,(I2061*(_xlfn.SINGLE(SalesTaxPercentage))))</f>
        <v>0</v>
      </c>
      <c r="K2061" s="696">
        <f t="shared" ref="K2061" si="1601">I2061+J2061</f>
        <v>0</v>
      </c>
      <c r="L2061" s="696"/>
      <c r="M2061" s="659" t="str">
        <f>IF(AND(G2061&gt;0,E2061=0),"WARNING - no PRICE inserted",IF(H2061="free"," FREE ~ no charge this plant",IF(H2061="credit",CONCATENATE(" -$",ROUND(K2061*(1-T2GDiscount)*-1,2)," CREDIT after discount"),IF(T2GDiscount=0,"",IF(G2061=0,"",IF(F2061="Buy",CONCATENATE(" $",ROUND(K2061*(1-T2GDiscount),2)," with ",(T2GDiscount*100),"% discount"),CONCATENATE(" $",ROUND(K2061*(1-T2GDiscount),2)," with ",((T2GDiscount*100+F2061*100)-(T2GDiscount*100*F2061)),IF(F2061&gt;0,"% discounts",IF(NoWarrantyDiscount&gt;0,"% discounts","% discount")))))))))</f>
        <v/>
      </c>
      <c r="N2061" s="660"/>
      <c r="O2061" s="233"/>
      <c r="P2061" s="233"/>
      <c r="Q2061" s="233"/>
      <c r="R2061" s="233"/>
      <c r="S2061" s="233"/>
      <c r="T2061" s="508">
        <f t="shared" si="1553"/>
        <v>0</v>
      </c>
      <c r="U2061" s="225">
        <f>IF(NOT(ISNUMBER(G2061)), "", VLOOKUP(A2061,'Discount Lookup'!D:E,2,FALSE)*G2061)</f>
        <v>0</v>
      </c>
      <c r="V2061" s="225">
        <f>IF(NOT(ISNUMBER(G2061)), "", VLOOKUP(A2061,'Discount Lookup'!G:H,2,FALSE)*G2061)</f>
        <v>0</v>
      </c>
      <c r="W2061" s="508">
        <f t="shared" si="1554"/>
        <v>0</v>
      </c>
      <c r="X2061" s="508">
        <f t="shared" si="1555"/>
        <v>0</v>
      </c>
      <c r="Y2061" s="509" t="b">
        <f t="shared" si="1556"/>
        <v>0</v>
      </c>
      <c r="Z2061" s="510">
        <f t="shared" si="1557"/>
        <v>0</v>
      </c>
      <c r="AA2061" s="511"/>
      <c r="AB2061" s="511" t="str">
        <f t="shared" si="1558"/>
        <v/>
      </c>
      <c r="AC2061" s="698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698"/>
      <c r="AE2061" s="631" t="str">
        <f t="shared" si="1559"/>
        <v/>
      </c>
      <c r="AF2061" s="699" t="str">
        <f t="shared" si="1560"/>
        <v/>
      </c>
      <c r="AG2061" s="699"/>
      <c r="AH2061" s="699"/>
      <c r="AI2061" s="512">
        <f>IF(H2061="credit",0,IF(AE2061="free",0,IF(AE2061="me",0,IF(G2061&gt;0,(VLOOKUP(A2061,'Discount Lookup'!J:K,2)*G2061),0))))</f>
        <v>0</v>
      </c>
      <c r="AJ2061" s="513" t="str">
        <f t="shared" ca="1" si="1561"/>
        <v/>
      </c>
      <c r="AK2061" s="700" t="str">
        <f t="shared" si="1562"/>
        <v/>
      </c>
      <c r="AL2061" s="700"/>
      <c r="AM2061" s="505" t="str">
        <f t="shared" si="1563"/>
        <v/>
      </c>
      <c r="AN2061" s="506"/>
      <c r="AO2061" s="507"/>
      <c r="AP2061" s="507"/>
      <c r="AQ2061" s="507"/>
      <c r="AR2061" s="507"/>
      <c r="AS2061" s="507"/>
      <c r="AT2061" s="507"/>
      <c r="AU2061" s="507"/>
      <c r="AV2061" s="225"/>
      <c r="AW2061" s="508"/>
      <c r="AX2061" s="225"/>
      <c r="AY2061" s="225"/>
      <c r="AZ2061" s="225"/>
      <c r="BA2061" s="225"/>
      <c r="BB2061" s="225"/>
      <c r="BC2061" s="56"/>
      <c r="BD2061" s="56"/>
      <c r="BE2061" s="56"/>
      <c r="BF2061" s="107" t="str">
        <f t="shared" si="1564"/>
        <v>https://www.google.com/search?tbm=isch&amp;q=1%20G2</v>
      </c>
      <c r="BG2061" s="107" t="str">
        <f t="shared" si="1565"/>
        <v>K</v>
      </c>
      <c r="BH2061" s="254"/>
      <c r="BI2061" s="254"/>
    </row>
    <row r="2062" spans="1:61" customFormat="1" ht="15.75" x14ac:dyDescent="0.25">
      <c r="A2062" s="276">
        <v>3</v>
      </c>
      <c r="B2062" s="240" t="s">
        <v>291</v>
      </c>
      <c r="C2062" s="241"/>
      <c r="D2062" s="242" t="s">
        <v>298</v>
      </c>
      <c r="E2062" s="243">
        <v>25.95</v>
      </c>
      <c r="F2062" s="517" t="s">
        <v>293</v>
      </c>
      <c r="G2062" s="232">
        <v>0</v>
      </c>
      <c r="H2062" s="661" t="str">
        <f>IF(G2062=0,"",IF(F2062="Buy",IF(G2062=1,"plant","plants"),IF(F2062&gt;0.01,"warranty","Error")))</f>
        <v/>
      </c>
      <c r="I2062" s="244">
        <f>IF(H2062="free",0,IF(H2062="credit",((E2062*(F2062))*G2062*-1),IF(F2062="Buy",(E2062*G2062),((E2062*(1-F2062))*G2062))))</f>
        <v>0</v>
      </c>
      <c r="J2062" s="244">
        <f>IF(H2062="warranty",0,(I2062*(_xlfn.SINGLE(SalesTaxPercentage))))</f>
        <v>0</v>
      </c>
      <c r="K2062" s="696">
        <f t="shared" ref="K2062" si="1602">I2062+J2062</f>
        <v>0</v>
      </c>
      <c r="L2062" s="696"/>
      <c r="M2062" s="659" t="str">
        <f>IF(AND(G2062&gt;0,E2062=0),"WARNING - no PRICE inserted",IF(H2062="free"," FREE ~ no charge this plant",IF(H2062="credit",CONCATENATE(" -$",ROUND(K2062*(1-T2GDiscount)*-1,2)," CREDIT after discount"),IF(T2GDiscount=0,"",IF(G2062=0,"",IF(F2062="Buy",CONCATENATE(" $",ROUND(K2062*(1-T2GDiscount),2)," with ",(T2GDiscount*100),"% discount"),CONCATENATE(" $",ROUND(K2062*(1-T2GDiscount),2)," with ",((T2GDiscount*100+F2062*100)-(T2GDiscount*100*F2062)),IF(F2062&gt;0,"% discounts",IF(NoWarrantyDiscount&gt;0,"% discounts","% discount")))))))))</f>
        <v/>
      </c>
      <c r="N2062" s="660"/>
      <c r="O2062" s="233"/>
      <c r="P2062" s="233"/>
      <c r="Q2062" s="233"/>
      <c r="R2062" s="233"/>
      <c r="S2062" s="233"/>
      <c r="T2062" s="508">
        <f t="shared" ref="T2062:T2125" si="1603">E2062*G2062</f>
        <v>0</v>
      </c>
      <c r="U2062" s="225">
        <f>IF(NOT(ISNUMBER(G2062)), "", VLOOKUP(A2062,'Discount Lookup'!D:E,2,FALSE)*G2062)</f>
        <v>0</v>
      </c>
      <c r="V2062" s="225">
        <f>IF(NOT(ISNUMBER(G2062)), "", VLOOKUP(A2062,'Discount Lookup'!G:H,2,FALSE)*G2062)</f>
        <v>0</v>
      </c>
      <c r="W2062" s="508">
        <f t="shared" ref="W2062:W2125" si="1604">IF(H2062="credit",0,E2062*(SalesTaxPercentage)*G2062)</f>
        <v>0</v>
      </c>
      <c r="X2062" s="508">
        <f t="shared" ref="X2062:X2125" si="1605">I2062</f>
        <v>0</v>
      </c>
      <c r="Y2062" s="509" t="b">
        <f t="shared" ref="Y2062:Y2125" si="1606">IF(AE2062="T2G",0,IF(H2062="credit",0,IF(G2062&gt;0,IF(AE2062="me","",G2062))))</f>
        <v>0</v>
      </c>
      <c r="Z2062" s="510">
        <f t="shared" ref="Z2062:Z2125" si="1607">IF(H2062="credit",G2062,0)</f>
        <v>0</v>
      </c>
      <c r="AA2062" s="511"/>
      <c r="AB2062" s="511" t="str">
        <f t="shared" ref="AB2062:AB2125" si="1608">IF(AE2062="T2G","by Trees2Go",IF(H2062="credit","CREDIT only ~",IF(AND(K2062="",AE2062=OR(PlanterYesMe="No",PlanterYesMe="N",PlanterYesMe="me")),"not THIS line⇨",IF(AND(K2062="images",AE2062="me"),"not THIS line⇨",IF(H2062="credit","",IF(G2062=0,"",IF(AE2062="me","",IF(OR(PlanterYesMe="No",PlanterYesMe="N",PlanterYesMe="me"),"",IF(AE2062="free","warranty",IF(OR(PlanterYesMe="yes",PlanterYesMe="y"),"Edison install:","to install:"))))))))))</f>
        <v/>
      </c>
      <c r="AC2062" s="698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698"/>
      <c r="AE2062" s="631" t="str">
        <f t="shared" ref="AE2062:AE2125" si="1609">IF(H2062="credit","",IF(G2062=0,"",IF(OR(PlanterYesMe="No",PlanterYesMe="N",PlanterYesMe="me"),"me",IF(H2062="warranty","free",IF(OR(PlanterYesMe="yes",PlanterYesMe="y"),"ELP","")))))</f>
        <v/>
      </c>
      <c r="AF2062" s="699" t="str">
        <f t="shared" ref="AF2062:AF2125" si="1610">IF(OR(PlanterYesMe="No",PlanterYesMe="N",PlanterYesMe="me"),"",IF(H2062="credit","",IF(G2062&gt;0,(CONCATENATE((G2062)," quantity, ",(A2062)," ",B2062)),"")))</f>
        <v/>
      </c>
      <c r="AG2062" s="699"/>
      <c r="AH2062" s="699"/>
      <c r="AI2062" s="512">
        <f>IF(H2062="credit",0,IF(AE2062="free",0,IF(AE2062="me",0,IF(G2062&gt;0,(VLOOKUP(A2062,'Discount Lookup'!J:K,2)*G2062),0))))</f>
        <v>0</v>
      </c>
      <c r="AJ2062" s="513" t="str">
        <f t="shared" ref="AJ2062:AJ2125" ca="1" si="1611">IF(AND(ISREF(H2062),H2062="credit"),"",IF(AND(AND(OFFSET(G2062,0,0)=0,OFFSET(G2062,1,0)&gt;0,ISNUMBER(OFFSET(AC2062,1,0)),OFFSET(AC2062,1,0)&gt;0),OR(PlanterYesMe="yes",PlanterYesMe="y")),"T2G+ELP=",IF(AND(OFFSET(G2062,0,0)=0,OFFSET(G2062,1,0)&gt;0,ISNUMBER(OFFSET(AC2062,1,0)),OFFSET(AC2062,1,0)&gt;0),"if T2G+ELP=",IF(AND(OFFSET(G2062,0,0)=0,OFFSET(G2062,1,0)&gt;0),"T2G Subtotal",IF(H2062="credit","",IF(G2062=0,"",IF(AE2062="free",(K2062*(1-T2GDiscount)),IF(OR(PlanterYesMe="No",PlanterYesMe="N",PlanterYesMe="me"),(K2062*(1-T2GDiscount)),IF(OR(AE2062="me",AE2062="T2G"),(K2062*(1-T2GDiscount)),(K2062*(1-T2GDiscount))+AC2062)))))))))</f>
        <v/>
      </c>
      <c r="AK2062" s="700" t="str">
        <f t="shared" ref="AK2062:AK2125" si="1612">IF(H2062="credit","",IF(G2062=0,"",IF(OR(AE2062="me",AE2062="T2G"),"  delivery-only",IF(OR(PlanterYesMe="No",PlanterYesMe="N",PlanterYesMe="me"),"  delivery-only",CONCATENATE(" $",ROUND(AJ2062/G2062,2)," each")))))</f>
        <v/>
      </c>
      <c r="AL2062" s="700"/>
      <c r="AM2062" s="505" t="str">
        <f t="shared" ref="AM2062:AM2125" si="1613">IF(H2062="credit","",IF(AE2062="free","      ~ discounts included, no tax or planting fee applies ~",IF(G2062=0,"",IF(OR(PlanterYesMe="No",PlanterYesMe="N",PlanterYesMe="me"),CONCATENATE(" $",ROUND(AJ2062/G2062,2)," per plant, with tax &amp; discount"),IF(OR(AE2062="me",AE2062="T2G"),CONCATENATE(" $",ROUND(AJ2062/G2062,2)," per plant, with tax &amp; discount"),CONCATENATE("= $",ROUND((K2062*(1-T2GDiscount))/G2062,2)," per plant + $",AC2062/G2062,(" per planting      ~ includes tax &amp; discounts ~")))))))</f>
        <v/>
      </c>
      <c r="AN2062" s="506"/>
      <c r="AO2062" s="507"/>
      <c r="AP2062" s="507"/>
      <c r="AQ2062" s="507"/>
      <c r="AR2062" s="507"/>
      <c r="AS2062" s="507"/>
      <c r="AT2062" s="507"/>
      <c r="AU2062" s="507"/>
      <c r="AV2062" s="225"/>
      <c r="AW2062" s="508"/>
      <c r="AX2062" s="225"/>
      <c r="AY2062" s="225"/>
      <c r="AZ2062" s="225"/>
      <c r="BA2062" s="225"/>
      <c r="BB2062" s="225"/>
      <c r="BC2062" s="56"/>
      <c r="BD2062" s="56"/>
      <c r="BE2062" s="56"/>
      <c r="BF2062" s="107" t="str">
        <f t="shared" ref="BF2062:BF2125" si="1614">"https://www.google.com/search?tbm=isch&amp;q=" &amp; _xlfn.ENCODEURL($A2062 &amp; " " &amp; $D2062)</f>
        <v>https://www.google.com/search?tbm=isch&amp;q=3%20G1</v>
      </c>
      <c r="BG2062" s="107" t="str">
        <f t="shared" ref="BG2062:BG2125" si="1615">IF(ISTEXT(A2062),LEFT(A2062,1),BG2061)</f>
        <v>K</v>
      </c>
      <c r="BH2062" s="254"/>
      <c r="BI2062" s="254"/>
    </row>
    <row r="2063" spans="1:61" customFormat="1" ht="17.25" thickBot="1" x14ac:dyDescent="0.3">
      <c r="A2063" s="524" t="s">
        <v>2956</v>
      </c>
      <c r="B2063" s="245"/>
      <c r="C2063" s="677"/>
      <c r="D2063" s="499"/>
      <c r="E2063" s="499"/>
      <c r="F2063" s="500"/>
      <c r="G2063" s="501"/>
      <c r="H2063" s="502"/>
      <c r="I2063" s="246"/>
      <c r="J2063" s="247"/>
      <c r="K2063" s="503"/>
      <c r="L2063" s="544"/>
      <c r="M2063" s="544"/>
      <c r="N2063" s="500"/>
      <c r="O2063" s="500"/>
      <c r="P2063" s="500"/>
      <c r="Q2063" s="500"/>
      <c r="R2063" s="500"/>
      <c r="S2063" s="669" t="s">
        <v>4991</v>
      </c>
      <c r="T2063" s="508">
        <f t="shared" si="1603"/>
        <v>0</v>
      </c>
      <c r="U2063" s="225" t="str">
        <f>IF(NOT(ISNUMBER(G2063)), "", VLOOKUP(A2063,'Discount Lookup'!D:E,2,FALSE)*G2063)</f>
        <v/>
      </c>
      <c r="V2063" s="225" t="str">
        <f>IF(NOT(ISNUMBER(G2063)), "", VLOOKUP(A2063,'Discount Lookup'!G:H,2,FALSE)*G2063)</f>
        <v/>
      </c>
      <c r="W2063" s="508">
        <f t="shared" si="1604"/>
        <v>0</v>
      </c>
      <c r="X2063" s="508">
        <f t="shared" si="1605"/>
        <v>0</v>
      </c>
      <c r="Y2063" s="509" t="b">
        <f t="shared" si="1606"/>
        <v>0</v>
      </c>
      <c r="Z2063" s="510">
        <f t="shared" si="1607"/>
        <v>0</v>
      </c>
      <c r="AA2063" s="511"/>
      <c r="AB2063" s="511" t="str">
        <f t="shared" si="1608"/>
        <v/>
      </c>
      <c r="AC2063" s="698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698"/>
      <c r="AE2063" s="631" t="str">
        <f t="shared" si="1609"/>
        <v/>
      </c>
      <c r="AF2063" s="699" t="str">
        <f t="shared" si="1610"/>
        <v/>
      </c>
      <c r="AG2063" s="699"/>
      <c r="AH2063" s="699"/>
      <c r="AI2063" s="512">
        <f>IF(H2063="credit",0,IF(AE2063="free",0,IF(AE2063="me",0,IF(G2063&gt;0,(VLOOKUP(A2063,'Discount Lookup'!J:K,2)*G2063),0))))</f>
        <v>0</v>
      </c>
      <c r="AJ2063" s="513" t="str">
        <f t="shared" ca="1" si="1611"/>
        <v/>
      </c>
      <c r="AK2063" s="700" t="str">
        <f t="shared" si="1612"/>
        <v/>
      </c>
      <c r="AL2063" s="700"/>
      <c r="AM2063" s="505" t="str">
        <f t="shared" si="1613"/>
        <v/>
      </c>
      <c r="AN2063" s="506"/>
      <c r="AO2063" s="507"/>
      <c r="AP2063" s="507"/>
      <c r="AQ2063" s="507"/>
      <c r="AR2063" s="507"/>
      <c r="AS2063" s="507"/>
      <c r="AT2063" s="507"/>
      <c r="AU2063" s="507"/>
      <c r="AV2063" s="225"/>
      <c r="AW2063" s="508"/>
      <c r="AX2063" s="225"/>
      <c r="AY2063" s="225"/>
      <c r="AZ2063" s="225"/>
      <c r="BA2063" s="225"/>
      <c r="BB2063" s="225"/>
      <c r="BC2063" s="56"/>
      <c r="BD2063" s="56"/>
      <c r="BE2063" s="56"/>
      <c r="BF2063" s="107" t="str">
        <f t="shared" si="1614"/>
        <v>https://www.google.com/search?tbm=isch&amp;q=Karl%20Foerster%20feathery%20plumes%20emerge%20Purplish-Pink%2C%20mature%20to%20Golden%20Tan%2C%20then%20last%20from%20early%20summer%20through%20winter%20</v>
      </c>
      <c r="BG2063" s="107" t="str">
        <f t="shared" si="1615"/>
        <v>K</v>
      </c>
      <c r="BH2063" s="254"/>
      <c r="BI2063" s="254"/>
    </row>
    <row r="2064" spans="1:61" customFormat="1" ht="18" x14ac:dyDescent="0.25">
      <c r="A2064" s="523" t="s">
        <v>1195</v>
      </c>
      <c r="B2064" s="235"/>
      <c r="C2064" s="676"/>
      <c r="D2064" s="255" t="s">
        <v>1196</v>
      </c>
      <c r="E2064" s="236"/>
      <c r="F2064" s="236"/>
      <c r="G2064" s="236"/>
      <c r="H2064" s="582" t="s">
        <v>394</v>
      </c>
      <c r="I2064" s="498" t="s">
        <v>3021</v>
      </c>
      <c r="J2064" s="237"/>
      <c r="K2064" s="237"/>
      <c r="L2064" s="274"/>
      <c r="M2064" s="668" t="s">
        <v>4962</v>
      </c>
      <c r="N2064" s="681" t="str">
        <f>IF(AND(ISTEXT($A2064), ISERROR($A2064+0)), HYPERLINK($BF2064, "Images"), "")</f>
        <v>Images</v>
      </c>
      <c r="O2064" s="663" t="s">
        <v>4969</v>
      </c>
      <c r="P2064" s="253"/>
      <c r="Q2064" s="238"/>
      <c r="R2064" s="239"/>
      <c r="S2064" s="275"/>
      <c r="T2064" s="508">
        <f t="shared" si="1603"/>
        <v>0</v>
      </c>
      <c r="U2064" s="225" t="str">
        <f>IF(NOT(ISNUMBER(G2064)), "", VLOOKUP(A2064,'Discount Lookup'!D:E,2,FALSE)*G2064)</f>
        <v/>
      </c>
      <c r="V2064" s="225" t="str">
        <f>IF(NOT(ISNUMBER(G2064)), "", VLOOKUP(A2064,'Discount Lookup'!G:H,2,FALSE)*G2064)</f>
        <v/>
      </c>
      <c r="W2064" s="508">
        <f t="shared" si="1604"/>
        <v>0</v>
      </c>
      <c r="X2064" s="508" t="str">
        <f t="shared" si="1605"/>
        <v>Green blades</v>
      </c>
      <c r="Y2064" s="509" t="b">
        <f t="shared" si="1606"/>
        <v>0</v>
      </c>
      <c r="Z2064" s="510">
        <f t="shared" si="1607"/>
        <v>0</v>
      </c>
      <c r="AA2064" s="511"/>
      <c r="AB2064" s="511" t="str">
        <f t="shared" si="1608"/>
        <v/>
      </c>
      <c r="AC2064" s="698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698"/>
      <c r="AE2064" s="631" t="str">
        <f t="shared" si="1609"/>
        <v/>
      </c>
      <c r="AF2064" s="699" t="str">
        <f t="shared" si="1610"/>
        <v/>
      </c>
      <c r="AG2064" s="699"/>
      <c r="AH2064" s="699"/>
      <c r="AI2064" s="512">
        <f>IF(H2064="credit",0,IF(AE2064="free",0,IF(AE2064="me",0,IF(G2064&gt;0,(VLOOKUP(A2064,'Discount Lookup'!J:K,2)*G2064),0))))</f>
        <v>0</v>
      </c>
      <c r="AJ2064" s="513" t="str">
        <f t="shared" ca="1" si="1611"/>
        <v/>
      </c>
      <c r="AK2064" s="700" t="str">
        <f t="shared" si="1612"/>
        <v/>
      </c>
      <c r="AL2064" s="700"/>
      <c r="AM2064" s="505" t="str">
        <f t="shared" si="1613"/>
        <v/>
      </c>
      <c r="AN2064" s="506"/>
      <c r="AO2064" s="507"/>
      <c r="AP2064" s="507"/>
      <c r="AQ2064" s="507"/>
      <c r="AR2064" s="507"/>
      <c r="AS2064" s="507"/>
      <c r="AT2064" s="507"/>
      <c r="AU2064" s="507"/>
      <c r="AV2064" s="225"/>
      <c r="AW2064" s="508"/>
      <c r="AX2064" s="225"/>
      <c r="AY2064" s="225"/>
      <c r="AZ2064" s="225"/>
      <c r="BA2064" s="225"/>
      <c r="BB2064" s="225"/>
      <c r="BC2064" s="56"/>
      <c r="BD2064" s="56"/>
      <c r="BE2064" s="56"/>
      <c r="BF2064" s="107" t="str">
        <f t="shared" si="1614"/>
        <v>https://www.google.com/search?tbm=isch&amp;q=Karley%20Rose%20Fountain%20Grass%20Pennisetum%20orientale%20%27Karley%20Rose%27%20PP%2312909</v>
      </c>
      <c r="BG2064" s="107" t="str">
        <f t="shared" si="1615"/>
        <v>K</v>
      </c>
      <c r="BH2064" s="254"/>
      <c r="BI2064" s="254"/>
    </row>
    <row r="2065" spans="1:61" customFormat="1" ht="15.75" x14ac:dyDescent="0.25">
      <c r="A2065" s="276">
        <v>3</v>
      </c>
      <c r="B2065" s="240" t="s">
        <v>291</v>
      </c>
      <c r="C2065" s="241" t="s">
        <v>452</v>
      </c>
      <c r="D2065" s="242" t="s">
        <v>297</v>
      </c>
      <c r="E2065" s="243">
        <v>22.95</v>
      </c>
      <c r="F2065" s="517" t="s">
        <v>293</v>
      </c>
      <c r="G2065" s="232">
        <v>0</v>
      </c>
      <c r="H2065" s="661" t="str">
        <f>IF(G2065=0,"",IF(F2065="Buy",IF(G2065=1,"plant","plants"),IF(F2065&gt;0.01,"warranty","Error")))</f>
        <v/>
      </c>
      <c r="I2065" s="244">
        <f>IF(H2065="free",0,IF(H2065="credit",((E2065*(F2065))*G2065*-1),IF(F2065="Buy",(E2065*G2065),((E2065*(1-F2065))*G2065))))</f>
        <v>0</v>
      </c>
      <c r="J2065" s="244">
        <f>IF(H2065="warranty",0,(I2065*(_xlfn.SINGLE(SalesTaxPercentage))))</f>
        <v>0</v>
      </c>
      <c r="K2065" s="696">
        <f t="shared" ref="K2065" si="1616">I2065+J2065</f>
        <v>0</v>
      </c>
      <c r="L2065" s="696"/>
      <c r="M2065" s="659" t="str">
        <f>IF(AND(G2065&gt;0,E2065=0),"WARNING - no PRICE inserted",IF(H2065="free"," FREE ~ no charge this plant",IF(H2065="credit",CONCATENATE(" -$",ROUND(K2065*(1-T2GDiscount)*-1,2)," CREDIT after discount"),IF(T2GDiscount=0,"",IF(G2065=0,"",IF(F2065="Buy",CONCATENATE(" $",ROUND(K2065*(1-T2GDiscount),2)," with ",(T2GDiscount*100),"% discount"),CONCATENATE(" $",ROUND(K2065*(1-T2GDiscount),2)," with ",((T2GDiscount*100+F2065*100)-(T2GDiscount*100*F2065)),IF(F2065&gt;0,"% discounts",IF(NoWarrantyDiscount&gt;0,"% discounts","% discount")))))))))</f>
        <v/>
      </c>
      <c r="N2065" s="660"/>
      <c r="O2065" s="233"/>
      <c r="P2065" s="233"/>
      <c r="Q2065" s="233"/>
      <c r="R2065" s="233"/>
      <c r="S2065" s="233"/>
      <c r="T2065" s="508">
        <f t="shared" si="1603"/>
        <v>0</v>
      </c>
      <c r="U2065" s="225">
        <f>IF(NOT(ISNUMBER(G2065)), "", VLOOKUP(A2065,'Discount Lookup'!D:E,2,FALSE)*G2065)</f>
        <v>0</v>
      </c>
      <c r="V2065" s="225">
        <f>IF(NOT(ISNUMBER(G2065)), "", VLOOKUP(A2065,'Discount Lookup'!G:H,2,FALSE)*G2065)</f>
        <v>0</v>
      </c>
      <c r="W2065" s="508">
        <f t="shared" si="1604"/>
        <v>0</v>
      </c>
      <c r="X2065" s="508">
        <f t="shared" si="1605"/>
        <v>0</v>
      </c>
      <c r="Y2065" s="509" t="b">
        <f t="shared" si="1606"/>
        <v>0</v>
      </c>
      <c r="Z2065" s="510">
        <f t="shared" si="1607"/>
        <v>0</v>
      </c>
      <c r="AA2065" s="511"/>
      <c r="AB2065" s="511" t="str">
        <f t="shared" si="1608"/>
        <v/>
      </c>
      <c r="AC2065" s="698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698"/>
      <c r="AE2065" s="631" t="str">
        <f t="shared" si="1609"/>
        <v/>
      </c>
      <c r="AF2065" s="699" t="str">
        <f t="shared" si="1610"/>
        <v/>
      </c>
      <c r="AG2065" s="699"/>
      <c r="AH2065" s="699"/>
      <c r="AI2065" s="512">
        <f>IF(H2065="credit",0,IF(AE2065="free",0,IF(AE2065="me",0,IF(G2065&gt;0,(VLOOKUP(A2065,'Discount Lookup'!J:K,2)*G2065),0))))</f>
        <v>0</v>
      </c>
      <c r="AJ2065" s="513" t="str">
        <f t="shared" ca="1" si="1611"/>
        <v/>
      </c>
      <c r="AK2065" s="700" t="str">
        <f t="shared" si="1612"/>
        <v/>
      </c>
      <c r="AL2065" s="700"/>
      <c r="AM2065" s="505" t="str">
        <f t="shared" si="1613"/>
        <v/>
      </c>
      <c r="AN2065" s="506"/>
      <c r="AO2065" s="507"/>
      <c r="AP2065" s="507"/>
      <c r="AQ2065" s="507"/>
      <c r="AR2065" s="507"/>
      <c r="AS2065" s="507"/>
      <c r="AT2065" s="507"/>
      <c r="AU2065" s="507"/>
      <c r="AV2065" s="225"/>
      <c r="AW2065" s="508"/>
      <c r="AX2065" s="225"/>
      <c r="AY2065" s="225"/>
      <c r="AZ2065" s="225"/>
      <c r="BA2065" s="225"/>
      <c r="BB2065" s="225"/>
      <c r="BC2065" s="56"/>
      <c r="BD2065" s="56"/>
      <c r="BE2065" s="56"/>
      <c r="BF2065" s="107" t="str">
        <f t="shared" si="1614"/>
        <v>https://www.google.com/search?tbm=isch&amp;q=3%20G3</v>
      </c>
      <c r="BG2065" s="107" t="str">
        <f t="shared" si="1615"/>
        <v>K</v>
      </c>
      <c r="BH2065" s="254"/>
      <c r="BI2065" s="254"/>
    </row>
    <row r="2066" spans="1:61" customFormat="1" ht="15.75" x14ac:dyDescent="0.25">
      <c r="A2066" s="276">
        <v>3</v>
      </c>
      <c r="B2066" s="240" t="s">
        <v>291</v>
      </c>
      <c r="C2066" s="241"/>
      <c r="D2066" s="242" t="s">
        <v>298</v>
      </c>
      <c r="E2066" s="243">
        <v>25.95</v>
      </c>
      <c r="F2066" s="517" t="s">
        <v>293</v>
      </c>
      <c r="G2066" s="232">
        <v>0</v>
      </c>
      <c r="H2066" s="661" t="str">
        <f>IF(G2066=0,"",IF(F2066="Buy",IF(G2066=1,"plant","plants"),IF(F2066&gt;0.01,"warranty","Error")))</f>
        <v/>
      </c>
      <c r="I2066" s="244">
        <f>IF(H2066="free",0,IF(H2066="credit",((E2066*(F2066))*G2066*-1),IF(F2066="Buy",(E2066*G2066),((E2066*(1-F2066))*G2066))))</f>
        <v>0</v>
      </c>
      <c r="J2066" s="244">
        <f>IF(H2066="warranty",0,(I2066*(_xlfn.SINGLE(SalesTaxPercentage))))</f>
        <v>0</v>
      </c>
      <c r="K2066" s="696">
        <f t="shared" ref="K2066" si="1617">I2066+J2066</f>
        <v>0</v>
      </c>
      <c r="L2066" s="696"/>
      <c r="M2066" s="659" t="str">
        <f>IF(AND(G2066&gt;0,E2066=0),"WARNING - no PRICE inserted",IF(H2066="free"," FREE ~ no charge this plant",IF(H2066="credit",CONCATENATE(" -$",ROUND(K2066*(1-T2GDiscount)*-1,2)," CREDIT after discount"),IF(T2GDiscount=0,"",IF(G2066=0,"",IF(F2066="Buy",CONCATENATE(" $",ROUND(K2066*(1-T2GDiscount),2)," with ",(T2GDiscount*100),"% discount"),CONCATENATE(" $",ROUND(K2066*(1-T2GDiscount),2)," with ",((T2GDiscount*100+F2066*100)-(T2GDiscount*100*F2066)),IF(F2066&gt;0,"% discounts",IF(NoWarrantyDiscount&gt;0,"% discounts","% discount")))))))))</f>
        <v/>
      </c>
      <c r="N2066" s="660"/>
      <c r="O2066" s="233"/>
      <c r="P2066" s="233"/>
      <c r="Q2066" s="233"/>
      <c r="R2066" s="233"/>
      <c r="S2066" s="233"/>
      <c r="T2066" s="508">
        <f t="shared" si="1603"/>
        <v>0</v>
      </c>
      <c r="U2066" s="225">
        <f>IF(NOT(ISNUMBER(G2066)), "", VLOOKUP(A2066,'Discount Lookup'!D:E,2,FALSE)*G2066)</f>
        <v>0</v>
      </c>
      <c r="V2066" s="225">
        <f>IF(NOT(ISNUMBER(G2066)), "", VLOOKUP(A2066,'Discount Lookup'!G:H,2,FALSE)*G2066)</f>
        <v>0</v>
      </c>
      <c r="W2066" s="508">
        <f t="shared" si="1604"/>
        <v>0</v>
      </c>
      <c r="X2066" s="508">
        <f t="shared" si="1605"/>
        <v>0</v>
      </c>
      <c r="Y2066" s="509" t="b">
        <f t="shared" si="1606"/>
        <v>0</v>
      </c>
      <c r="Z2066" s="510">
        <f t="shared" si="1607"/>
        <v>0</v>
      </c>
      <c r="AA2066" s="511"/>
      <c r="AB2066" s="511" t="str">
        <f t="shared" si="1608"/>
        <v/>
      </c>
      <c r="AC2066" s="698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698"/>
      <c r="AE2066" s="631" t="str">
        <f t="shared" si="1609"/>
        <v/>
      </c>
      <c r="AF2066" s="699" t="str">
        <f t="shared" si="1610"/>
        <v/>
      </c>
      <c r="AG2066" s="699"/>
      <c r="AH2066" s="699"/>
      <c r="AI2066" s="512">
        <f>IF(H2066="credit",0,IF(AE2066="free",0,IF(AE2066="me",0,IF(G2066&gt;0,(VLOOKUP(A2066,'Discount Lookup'!J:K,2)*G2066),0))))</f>
        <v>0</v>
      </c>
      <c r="AJ2066" s="513" t="str">
        <f t="shared" ca="1" si="1611"/>
        <v/>
      </c>
      <c r="AK2066" s="700" t="str">
        <f t="shared" si="1612"/>
        <v/>
      </c>
      <c r="AL2066" s="700"/>
      <c r="AM2066" s="505" t="str">
        <f t="shared" si="1613"/>
        <v/>
      </c>
      <c r="AN2066" s="506"/>
      <c r="AO2066" s="507"/>
      <c r="AP2066" s="507"/>
      <c r="AQ2066" s="507"/>
      <c r="AR2066" s="507"/>
      <c r="AS2066" s="507"/>
      <c r="AT2066" s="507"/>
      <c r="AU2066" s="507"/>
      <c r="AV2066" s="225"/>
      <c r="AW2066" s="508"/>
      <c r="AX2066" s="225"/>
      <c r="AY2066" s="225"/>
      <c r="AZ2066" s="225"/>
      <c r="BA2066" s="225"/>
      <c r="BB2066" s="225"/>
      <c r="BC2066" s="56"/>
      <c r="BD2066" s="56"/>
      <c r="BE2066" s="56"/>
      <c r="BF2066" s="107" t="str">
        <f t="shared" si="1614"/>
        <v>https://www.google.com/search?tbm=isch&amp;q=3%20G1</v>
      </c>
      <c r="BG2066" s="107" t="str">
        <f t="shared" si="1615"/>
        <v>K</v>
      </c>
      <c r="BH2066" s="254"/>
      <c r="BI2066" s="254"/>
    </row>
    <row r="2067" spans="1:61" customFormat="1" ht="15.75" x14ac:dyDescent="0.25">
      <c r="A2067" s="276">
        <v>3</v>
      </c>
      <c r="B2067" s="240" t="s">
        <v>291</v>
      </c>
      <c r="C2067" s="241"/>
      <c r="D2067" s="242" t="s">
        <v>300</v>
      </c>
      <c r="E2067" s="243">
        <v>30.95</v>
      </c>
      <c r="F2067" s="517" t="s">
        <v>293</v>
      </c>
      <c r="G2067" s="232">
        <v>0</v>
      </c>
      <c r="H2067" s="661" t="str">
        <f>IF(G2067=0,"",IF(F2067="Buy",IF(G2067=1,"plant","plants"),IF(F2067&gt;0.01,"warranty","Error")))</f>
        <v/>
      </c>
      <c r="I2067" s="244">
        <f>IF(H2067="free",0,IF(H2067="credit",((E2067*(F2067))*G2067*-1),IF(F2067="Buy",(E2067*G2067),((E2067*(1-F2067))*G2067))))</f>
        <v>0</v>
      </c>
      <c r="J2067" s="244">
        <f>IF(H2067="warranty",0,(I2067*(_xlfn.SINGLE(SalesTaxPercentage))))</f>
        <v>0</v>
      </c>
      <c r="K2067" s="696">
        <f t="shared" ref="K2067" si="1618">I2067+J2067</f>
        <v>0</v>
      </c>
      <c r="L2067" s="696"/>
      <c r="M2067" s="659" t="str">
        <f>IF(AND(G2067&gt;0,E2067=0),"WARNING - no PRICE inserted",IF(H2067="free"," FREE ~ no charge this plant",IF(H2067="credit",CONCATENATE(" -$",ROUND(K2067*(1-T2GDiscount)*-1,2)," CREDIT after discount"),IF(T2GDiscount=0,"",IF(G2067=0,"",IF(F2067="Buy",CONCATENATE(" $",ROUND(K2067*(1-T2GDiscount),2)," with ",(T2GDiscount*100),"% discount"),CONCATENATE(" $",ROUND(K2067*(1-T2GDiscount),2)," with ",((T2GDiscount*100+F2067*100)-(T2GDiscount*100*F2067)),IF(F2067&gt;0,"% discounts",IF(NoWarrantyDiscount&gt;0,"% discounts","% discount")))))))))</f>
        <v/>
      </c>
      <c r="N2067" s="660"/>
      <c r="O2067" s="233"/>
      <c r="P2067" s="233"/>
      <c r="Q2067" s="233"/>
      <c r="R2067" s="233"/>
      <c r="S2067" s="233"/>
      <c r="T2067" s="508">
        <f t="shared" si="1603"/>
        <v>0</v>
      </c>
      <c r="U2067" s="225">
        <f>IF(NOT(ISNUMBER(G2067)), "", VLOOKUP(A2067,'Discount Lookup'!D:E,2,FALSE)*G2067)</f>
        <v>0</v>
      </c>
      <c r="V2067" s="225">
        <f>IF(NOT(ISNUMBER(G2067)), "", VLOOKUP(A2067,'Discount Lookup'!G:H,2,FALSE)*G2067)</f>
        <v>0</v>
      </c>
      <c r="W2067" s="508">
        <f t="shared" si="1604"/>
        <v>0</v>
      </c>
      <c r="X2067" s="508">
        <f t="shared" si="1605"/>
        <v>0</v>
      </c>
      <c r="Y2067" s="509" t="b">
        <f t="shared" si="1606"/>
        <v>0</v>
      </c>
      <c r="Z2067" s="510">
        <f t="shared" si="1607"/>
        <v>0</v>
      </c>
      <c r="AA2067" s="511"/>
      <c r="AB2067" s="511" t="str">
        <f t="shared" si="1608"/>
        <v/>
      </c>
      <c r="AC2067" s="698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698"/>
      <c r="AE2067" s="631" t="str">
        <f t="shared" si="1609"/>
        <v/>
      </c>
      <c r="AF2067" s="699" t="str">
        <f t="shared" si="1610"/>
        <v/>
      </c>
      <c r="AG2067" s="699"/>
      <c r="AH2067" s="699"/>
      <c r="AI2067" s="512">
        <f>IF(H2067="credit",0,IF(AE2067="free",0,IF(AE2067="me",0,IF(G2067&gt;0,(VLOOKUP(A2067,'Discount Lookup'!J:K,2)*G2067),0))))</f>
        <v>0</v>
      </c>
      <c r="AJ2067" s="513" t="str">
        <f t="shared" ca="1" si="1611"/>
        <v/>
      </c>
      <c r="AK2067" s="700" t="str">
        <f t="shared" si="1612"/>
        <v/>
      </c>
      <c r="AL2067" s="700"/>
      <c r="AM2067" s="505" t="str">
        <f t="shared" si="1613"/>
        <v/>
      </c>
      <c r="AN2067" s="506"/>
      <c r="AO2067" s="507"/>
      <c r="AP2067" s="507"/>
      <c r="AQ2067" s="507"/>
      <c r="AR2067" s="507"/>
      <c r="AS2067" s="507"/>
      <c r="AT2067" s="507"/>
      <c r="AU2067" s="507"/>
      <c r="AV2067" s="225"/>
      <c r="AW2067" s="508"/>
      <c r="AX2067" s="225"/>
      <c r="AY2067" s="225"/>
      <c r="AZ2067" s="225"/>
      <c r="BA2067" s="225"/>
      <c r="BB2067" s="225"/>
      <c r="BC2067" s="56"/>
      <c r="BD2067" s="56"/>
      <c r="BE2067" s="56"/>
      <c r="BF2067" s="107" t="str">
        <f t="shared" si="1614"/>
        <v>https://www.google.com/search?tbm=isch&amp;q=3%20G6</v>
      </c>
      <c r="BG2067" s="107" t="str">
        <f t="shared" si="1615"/>
        <v>K</v>
      </c>
      <c r="BH2067" s="254"/>
      <c r="BI2067" s="254"/>
    </row>
    <row r="2068" spans="1:61" customFormat="1" ht="15.75" x14ac:dyDescent="0.25">
      <c r="A2068" s="276">
        <v>3</v>
      </c>
      <c r="B2068" s="240" t="s">
        <v>291</v>
      </c>
      <c r="C2068" s="241"/>
      <c r="D2068" s="242" t="s">
        <v>300</v>
      </c>
      <c r="E2068" s="243">
        <v>30.95</v>
      </c>
      <c r="F2068" s="517" t="s">
        <v>293</v>
      </c>
      <c r="G2068" s="232">
        <v>0</v>
      </c>
      <c r="H2068" s="661" t="str">
        <f>IF(G2068=0,"",IF(F2068="Buy",IF(G2068=1,"plant","plants"),IF(F2068&gt;0.01,"warranty","Error")))</f>
        <v/>
      </c>
      <c r="I2068" s="244">
        <f>IF(H2068="free",0,IF(H2068="credit",((E2068*(F2068))*G2068*-1),IF(F2068="Buy",(E2068*G2068),((E2068*(1-F2068))*G2068))))</f>
        <v>0</v>
      </c>
      <c r="J2068" s="244">
        <f>IF(H2068="warranty",0,(I2068*(_xlfn.SINGLE(SalesTaxPercentage))))</f>
        <v>0</v>
      </c>
      <c r="K2068" s="696">
        <f t="shared" ref="K2068" si="1619">I2068+J2068</f>
        <v>0</v>
      </c>
      <c r="L2068" s="696"/>
      <c r="M2068" s="659" t="str">
        <f>IF(AND(G2068&gt;0,E2068=0),"WARNING - no PRICE inserted",IF(H2068="free"," FREE ~ no charge this plant",IF(H2068="credit",CONCATENATE(" -$",ROUND(K2068*(1-T2GDiscount)*-1,2)," CREDIT after discount"),IF(T2GDiscount=0,"",IF(G2068=0,"",IF(F2068="Buy",CONCATENATE(" $",ROUND(K2068*(1-T2GDiscount),2)," with ",(T2GDiscount*100),"% discount"),CONCATENATE(" $",ROUND(K2068*(1-T2GDiscount),2)," with ",((T2GDiscount*100+F2068*100)-(T2GDiscount*100*F2068)),IF(F2068&gt;0,"% discounts",IF(NoWarrantyDiscount&gt;0,"% discounts","% discount")))))))))</f>
        <v/>
      </c>
      <c r="N2068" s="660"/>
      <c r="O2068" s="233"/>
      <c r="P2068" s="233"/>
      <c r="Q2068" s="233"/>
      <c r="R2068" s="233"/>
      <c r="S2068" s="233"/>
      <c r="T2068" s="508">
        <f t="shared" si="1603"/>
        <v>0</v>
      </c>
      <c r="U2068" s="225">
        <f>IF(NOT(ISNUMBER(G2068)), "", VLOOKUP(A2068,'Discount Lookup'!D:E,2,FALSE)*G2068)</f>
        <v>0</v>
      </c>
      <c r="V2068" s="225">
        <f>IF(NOT(ISNUMBER(G2068)), "", VLOOKUP(A2068,'Discount Lookup'!G:H,2,FALSE)*G2068)</f>
        <v>0</v>
      </c>
      <c r="W2068" s="508">
        <f t="shared" si="1604"/>
        <v>0</v>
      </c>
      <c r="X2068" s="508">
        <f t="shared" si="1605"/>
        <v>0</v>
      </c>
      <c r="Y2068" s="509" t="b">
        <f t="shared" si="1606"/>
        <v>0</v>
      </c>
      <c r="Z2068" s="510">
        <f t="shared" si="1607"/>
        <v>0</v>
      </c>
      <c r="AA2068" s="511"/>
      <c r="AB2068" s="511" t="str">
        <f t="shared" si="1608"/>
        <v/>
      </c>
      <c r="AC2068" s="698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698"/>
      <c r="AE2068" s="631" t="str">
        <f t="shared" si="1609"/>
        <v/>
      </c>
      <c r="AF2068" s="699" t="str">
        <f t="shared" si="1610"/>
        <v/>
      </c>
      <c r="AG2068" s="699"/>
      <c r="AH2068" s="699"/>
      <c r="AI2068" s="512">
        <f>IF(H2068="credit",0,IF(AE2068="free",0,IF(AE2068="me",0,IF(G2068&gt;0,(VLOOKUP(A2068,'Discount Lookup'!J:K,2)*G2068),0))))</f>
        <v>0</v>
      </c>
      <c r="AJ2068" s="513" t="str">
        <f t="shared" ca="1" si="1611"/>
        <v/>
      </c>
      <c r="AK2068" s="700" t="str">
        <f t="shared" si="1612"/>
        <v/>
      </c>
      <c r="AL2068" s="700"/>
      <c r="AM2068" s="505" t="str">
        <f t="shared" si="1613"/>
        <v/>
      </c>
      <c r="AN2068" s="506"/>
      <c r="AO2068" s="507"/>
      <c r="AP2068" s="507"/>
      <c r="AQ2068" s="507"/>
      <c r="AR2068" s="507"/>
      <c r="AS2068" s="507"/>
      <c r="AT2068" s="507"/>
      <c r="AU2068" s="507"/>
      <c r="AV2068" s="225"/>
      <c r="AW2068" s="508"/>
      <c r="AX2068" s="225"/>
      <c r="AY2068" s="225"/>
      <c r="AZ2068" s="225"/>
      <c r="BA2068" s="225"/>
      <c r="BB2068" s="225"/>
      <c r="BC2068" s="56"/>
      <c r="BD2068" s="56"/>
      <c r="BE2068" s="56"/>
      <c r="BF2068" s="107" t="str">
        <f t="shared" si="1614"/>
        <v>https://www.google.com/search?tbm=isch&amp;q=3%20G6</v>
      </c>
      <c r="BG2068" s="107" t="str">
        <f t="shared" si="1615"/>
        <v>K</v>
      </c>
      <c r="BH2068" s="254"/>
      <c r="BI2068" s="254"/>
    </row>
    <row r="2069" spans="1:61" customFormat="1" ht="17.25" thickBot="1" x14ac:dyDescent="0.3">
      <c r="A2069" s="524" t="s">
        <v>3025</v>
      </c>
      <c r="B2069" s="245"/>
      <c r="C2069" s="677"/>
      <c r="D2069" s="499"/>
      <c r="E2069" s="499"/>
      <c r="F2069" s="500"/>
      <c r="G2069" s="501"/>
      <c r="H2069" s="502"/>
      <c r="I2069" s="246"/>
      <c r="J2069" s="247"/>
      <c r="K2069" s="503"/>
      <c r="L2069" s="544"/>
      <c r="M2069" s="544"/>
      <c r="N2069" s="500"/>
      <c r="O2069" s="500"/>
      <c r="P2069" s="500"/>
      <c r="Q2069" s="500"/>
      <c r="R2069" s="500"/>
      <c r="S2069" s="669" t="s">
        <v>5003</v>
      </c>
      <c r="T2069" s="508">
        <f t="shared" si="1603"/>
        <v>0</v>
      </c>
      <c r="U2069" s="225" t="str">
        <f>IF(NOT(ISNUMBER(G2069)), "", VLOOKUP(A2069,'Discount Lookup'!D:E,2,FALSE)*G2069)</f>
        <v/>
      </c>
      <c r="V2069" s="225" t="str">
        <f>IF(NOT(ISNUMBER(G2069)), "", VLOOKUP(A2069,'Discount Lookup'!G:H,2,FALSE)*G2069)</f>
        <v/>
      </c>
      <c r="W2069" s="508">
        <f t="shared" si="1604"/>
        <v>0</v>
      </c>
      <c r="X2069" s="508">
        <f t="shared" si="1605"/>
        <v>0</v>
      </c>
      <c r="Y2069" s="509" t="b">
        <f t="shared" si="1606"/>
        <v>0</v>
      </c>
      <c r="Z2069" s="510">
        <f t="shared" si="1607"/>
        <v>0</v>
      </c>
      <c r="AA2069" s="511"/>
      <c r="AB2069" s="511" t="str">
        <f t="shared" si="1608"/>
        <v/>
      </c>
      <c r="AC2069" s="698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698"/>
      <c r="AE2069" s="631" t="str">
        <f t="shared" si="1609"/>
        <v/>
      </c>
      <c r="AF2069" s="699" t="str">
        <f t="shared" si="1610"/>
        <v/>
      </c>
      <c r="AG2069" s="699"/>
      <c r="AH2069" s="699"/>
      <c r="AI2069" s="512">
        <f>IF(H2069="credit",0,IF(AE2069="free",0,IF(AE2069="me",0,IF(G2069&gt;0,(VLOOKUP(A2069,'Discount Lookup'!J:K,2)*G2069),0))))</f>
        <v>0</v>
      </c>
      <c r="AJ2069" s="513" t="str">
        <f t="shared" ca="1" si="1611"/>
        <v/>
      </c>
      <c r="AK2069" s="700" t="str">
        <f t="shared" si="1612"/>
        <v/>
      </c>
      <c r="AL2069" s="700"/>
      <c r="AM2069" s="505" t="str">
        <f t="shared" si="1613"/>
        <v/>
      </c>
      <c r="AN2069" s="506"/>
      <c r="AO2069" s="507"/>
      <c r="AP2069" s="507"/>
      <c r="AQ2069" s="507"/>
      <c r="AR2069" s="507"/>
      <c r="AS2069" s="507"/>
      <c r="AT2069" s="507"/>
      <c r="AU2069" s="507"/>
      <c r="AV2069" s="225"/>
      <c r="AW2069" s="508"/>
      <c r="AX2069" s="225"/>
      <c r="AY2069" s="225"/>
      <c r="AZ2069" s="225"/>
      <c r="BA2069" s="225"/>
      <c r="BB2069" s="225"/>
      <c r="BC2069" s="56"/>
      <c r="BD2069" s="56"/>
      <c r="BE2069" s="56"/>
      <c r="BF2069" s="107" t="str">
        <f t="shared" si="1614"/>
        <v>https://www.google.com/search?tbm=isch&amp;q=Karley%20Rose%20known%20for%20it%27s%20stunning%20Rose-Pink%20plumes.%20Blades%20turns%20Yellow-Bronze%20in%20fall%2C%20then%20Tan-Beige%20for%20winter%20</v>
      </c>
      <c r="BG2069" s="107" t="str">
        <f t="shared" si="1615"/>
        <v>K</v>
      </c>
      <c r="BH2069" s="254"/>
      <c r="BI2069" s="254"/>
    </row>
    <row r="2070" spans="1:61" customFormat="1" ht="18" x14ac:dyDescent="0.25">
      <c r="A2070" s="523" t="s">
        <v>1198</v>
      </c>
      <c r="B2070" s="235"/>
      <c r="C2070" s="676"/>
      <c r="D2070" s="255" t="s">
        <v>1199</v>
      </c>
      <c r="E2070" s="236"/>
      <c r="F2070" s="236"/>
      <c r="G2070" s="236"/>
      <c r="H2070" s="582" t="s">
        <v>483</v>
      </c>
      <c r="I2070" s="498" t="s">
        <v>2109</v>
      </c>
      <c r="J2070" s="237"/>
      <c r="K2070" s="237"/>
      <c r="L2070" s="274"/>
      <c r="M2070" s="670" t="s">
        <v>4973</v>
      </c>
      <c r="N2070" s="681" t="str">
        <f>IF(AND(ISTEXT($A2070), ISERROR($A2070+0)), HYPERLINK($BF2070, "Images"), "")</f>
        <v>Images</v>
      </c>
      <c r="O2070" s="663" t="s">
        <v>4967</v>
      </c>
      <c r="P2070" s="253"/>
      <c r="Q2070" s="238"/>
      <c r="R2070" s="239"/>
      <c r="S2070" s="275"/>
      <c r="T2070" s="508">
        <f t="shared" si="1603"/>
        <v>0</v>
      </c>
      <c r="U2070" s="225" t="str">
        <f>IF(NOT(ISNUMBER(G2070)), "", VLOOKUP(A2070,'Discount Lookup'!D:E,2,FALSE)*G2070)</f>
        <v/>
      </c>
      <c r="V2070" s="225" t="str">
        <f>IF(NOT(ISNUMBER(G2070)), "", VLOOKUP(A2070,'Discount Lookup'!G:H,2,FALSE)*G2070)</f>
        <v/>
      </c>
      <c r="W2070" s="508">
        <f t="shared" si="1604"/>
        <v>0</v>
      </c>
      <c r="X2070" s="508" t="str">
        <f t="shared" si="1605"/>
        <v>Green foliage</v>
      </c>
      <c r="Y2070" s="509" t="b">
        <f t="shared" si="1606"/>
        <v>0</v>
      </c>
      <c r="Z2070" s="510">
        <f t="shared" si="1607"/>
        <v>0</v>
      </c>
      <c r="AA2070" s="511"/>
      <c r="AB2070" s="511" t="str">
        <f t="shared" si="1608"/>
        <v/>
      </c>
      <c r="AC2070" s="698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698"/>
      <c r="AE2070" s="631" t="str">
        <f t="shared" si="1609"/>
        <v/>
      </c>
      <c r="AF2070" s="699" t="str">
        <f t="shared" si="1610"/>
        <v/>
      </c>
      <c r="AG2070" s="699"/>
      <c r="AH2070" s="699"/>
      <c r="AI2070" s="512">
        <f>IF(H2070="credit",0,IF(AE2070="free",0,IF(AE2070="me",0,IF(G2070&gt;0,(VLOOKUP(A2070,'Discount Lookup'!J:K,2)*G2070),0))))</f>
        <v>0</v>
      </c>
      <c r="AJ2070" s="513" t="str">
        <f t="shared" ca="1" si="1611"/>
        <v/>
      </c>
      <c r="AK2070" s="700" t="str">
        <f t="shared" si="1612"/>
        <v/>
      </c>
      <c r="AL2070" s="700"/>
      <c r="AM2070" s="505" t="str">
        <f t="shared" si="1613"/>
        <v/>
      </c>
      <c r="AN2070" s="506"/>
      <c r="AO2070" s="507"/>
      <c r="AP2070" s="507"/>
      <c r="AQ2070" s="507"/>
      <c r="AR2070" s="507"/>
      <c r="AS2070" s="507"/>
      <c r="AT2070" s="507"/>
      <c r="AU2070" s="507"/>
      <c r="AV2070" s="225"/>
      <c r="AW2070" s="508"/>
      <c r="AX2070" s="225"/>
      <c r="AY2070" s="225"/>
      <c r="AZ2070" s="225"/>
      <c r="BA2070" s="225"/>
      <c r="BB2070" s="225"/>
      <c r="BC2070" s="56"/>
      <c r="BD2070" s="56"/>
      <c r="BE2070" s="56"/>
      <c r="BF2070" s="107" t="str">
        <f t="shared" si="1614"/>
        <v>https://www.google.com/search?tbm=isch&amp;q=Kashima%20Yatsubusa%20Japanese%20Maple%20Acer%20palmatum%20%27Kashima%20Yatsubusa%27</v>
      </c>
      <c r="BG2070" s="107" t="str">
        <f t="shared" si="1615"/>
        <v>K</v>
      </c>
      <c r="BH2070" s="254"/>
      <c r="BI2070" s="254"/>
    </row>
    <row r="2071" spans="1:61" customFormat="1" ht="27" x14ac:dyDescent="0.25">
      <c r="A2071" s="276">
        <v>15</v>
      </c>
      <c r="B2071" s="240" t="s">
        <v>291</v>
      </c>
      <c r="C2071" s="241" t="s">
        <v>3589</v>
      </c>
      <c r="D2071" s="242" t="s">
        <v>292</v>
      </c>
      <c r="E2071" s="243">
        <v>424.95</v>
      </c>
      <c r="F2071" s="517" t="s">
        <v>293</v>
      </c>
      <c r="G2071" s="232">
        <v>0</v>
      </c>
      <c r="H2071" s="661" t="str">
        <f>IF(G2071=0,"",IF(F2071="Buy",IF(G2071=1,"plant","plants"),IF(F2071&gt;0.01,"warranty","Error")))</f>
        <v/>
      </c>
      <c r="I2071" s="244">
        <f>IF(H2071="free",0,IF(H2071="credit",((E2071*(F2071))*G2071*-1),IF(F2071="Buy",(E2071*G2071),((E2071*(1-F2071))*G2071))))</f>
        <v>0</v>
      </c>
      <c r="J2071" s="244">
        <f>IF(H2071="warranty",0,(I2071*(_xlfn.SINGLE(SalesTaxPercentage))))</f>
        <v>0</v>
      </c>
      <c r="K2071" s="696">
        <f t="shared" ref="K2071" si="1620">I2071+J2071</f>
        <v>0</v>
      </c>
      <c r="L2071" s="696"/>
      <c r="M2071" s="659" t="str">
        <f>IF(AND(G2071&gt;0,E2071=0),"WARNING - no PRICE inserted",IF(H2071="free"," FREE ~ no charge this plant",IF(H2071="credit",CONCATENATE(" -$",ROUND(K2071*(1-T2GDiscount)*-1,2)," CREDIT after discount"),IF(T2GDiscount=0,"",IF(G2071=0,"",IF(F2071="Buy",CONCATENATE(" $",ROUND(K2071*(1-T2GDiscount),2)," with ",(T2GDiscount*100),"% discount"),CONCATENATE(" $",ROUND(K2071*(1-T2GDiscount),2)," with ",((T2GDiscount*100+F2071*100)-(T2GDiscount*100*F2071)),IF(F2071&gt;0,"% discounts",IF(NoWarrantyDiscount&gt;0,"% discounts","% discount")))))))))</f>
        <v/>
      </c>
      <c r="N2071" s="660"/>
      <c r="O2071" s="233"/>
      <c r="P2071" s="233"/>
      <c r="Q2071" s="233"/>
      <c r="R2071" s="233"/>
      <c r="S2071" s="233"/>
      <c r="T2071" s="508">
        <f t="shared" si="1603"/>
        <v>0</v>
      </c>
      <c r="U2071" s="225">
        <f>IF(NOT(ISNUMBER(G2071)), "", VLOOKUP(A2071,'Discount Lookup'!D:E,2,FALSE)*G2071)</f>
        <v>0</v>
      </c>
      <c r="V2071" s="225">
        <f>IF(NOT(ISNUMBER(G2071)), "", VLOOKUP(A2071,'Discount Lookup'!G:H,2,FALSE)*G2071)</f>
        <v>0</v>
      </c>
      <c r="W2071" s="508">
        <f t="shared" si="1604"/>
        <v>0</v>
      </c>
      <c r="X2071" s="508">
        <f t="shared" si="1605"/>
        <v>0</v>
      </c>
      <c r="Y2071" s="509" t="b">
        <f t="shared" si="1606"/>
        <v>0</v>
      </c>
      <c r="Z2071" s="510">
        <f t="shared" si="1607"/>
        <v>0</v>
      </c>
      <c r="AA2071" s="511"/>
      <c r="AB2071" s="511" t="str">
        <f t="shared" si="1608"/>
        <v/>
      </c>
      <c r="AC2071" s="698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698"/>
      <c r="AE2071" s="631" t="str">
        <f t="shared" si="1609"/>
        <v/>
      </c>
      <c r="AF2071" s="699" t="str">
        <f t="shared" si="1610"/>
        <v/>
      </c>
      <c r="AG2071" s="699"/>
      <c r="AH2071" s="699"/>
      <c r="AI2071" s="512">
        <f>IF(H2071="credit",0,IF(AE2071="free",0,IF(AE2071="me",0,IF(G2071&gt;0,(VLOOKUP(A2071,'Discount Lookup'!J:K,2)*G2071),0))))</f>
        <v>0</v>
      </c>
      <c r="AJ2071" s="513" t="str">
        <f t="shared" ca="1" si="1611"/>
        <v/>
      </c>
      <c r="AK2071" s="700" t="str">
        <f t="shared" si="1612"/>
        <v/>
      </c>
      <c r="AL2071" s="700"/>
      <c r="AM2071" s="505" t="str">
        <f t="shared" si="1613"/>
        <v/>
      </c>
      <c r="AN2071" s="506"/>
      <c r="AO2071" s="507"/>
      <c r="AP2071" s="507"/>
      <c r="AQ2071" s="507"/>
      <c r="AR2071" s="507"/>
      <c r="AS2071" s="507"/>
      <c r="AT2071" s="507"/>
      <c r="AU2071" s="507"/>
      <c r="AV2071" s="225"/>
      <c r="AW2071" s="508"/>
      <c r="AX2071" s="225"/>
      <c r="AY2071" s="225"/>
      <c r="AZ2071" s="225"/>
      <c r="BA2071" s="225"/>
      <c r="BB2071" s="225"/>
      <c r="BC2071" s="56"/>
      <c r="BD2071" s="56"/>
      <c r="BE2071" s="56"/>
      <c r="BF2071" s="107" t="str">
        <f t="shared" si="1614"/>
        <v>https://www.google.com/search?tbm=isch&amp;q=15%20G4</v>
      </c>
      <c r="BG2071" s="107" t="str">
        <f t="shared" si="1615"/>
        <v>K</v>
      </c>
      <c r="BH2071" s="254"/>
      <c r="BI2071" s="254"/>
    </row>
    <row r="2072" spans="1:61" customFormat="1" ht="17.25" thickBot="1" x14ac:dyDescent="0.3">
      <c r="A2072" s="524" t="s">
        <v>2417</v>
      </c>
      <c r="B2072" s="245"/>
      <c r="C2072" s="677"/>
      <c r="D2072" s="499"/>
      <c r="E2072" s="499"/>
      <c r="F2072" s="500"/>
      <c r="G2072" s="501"/>
      <c r="H2072" s="502"/>
      <c r="I2072" s="246"/>
      <c r="J2072" s="247"/>
      <c r="K2072" s="503"/>
      <c r="L2072" s="544"/>
      <c r="M2072" s="544"/>
      <c r="N2072" s="500"/>
      <c r="O2072" s="500"/>
      <c r="P2072" s="500"/>
      <c r="Q2072" s="500"/>
      <c r="R2072" s="500"/>
      <c r="S2072" s="278"/>
      <c r="T2072" s="508">
        <f t="shared" si="1603"/>
        <v>0</v>
      </c>
      <c r="U2072" s="225" t="str">
        <f>IF(NOT(ISNUMBER(G2072)), "", VLOOKUP(A2072,'Discount Lookup'!D:E,2,FALSE)*G2072)</f>
        <v/>
      </c>
      <c r="V2072" s="225" t="str">
        <f>IF(NOT(ISNUMBER(G2072)), "", VLOOKUP(A2072,'Discount Lookup'!G:H,2,FALSE)*G2072)</f>
        <v/>
      </c>
      <c r="W2072" s="508">
        <f t="shared" si="1604"/>
        <v>0</v>
      </c>
      <c r="X2072" s="508">
        <f t="shared" si="1605"/>
        <v>0</v>
      </c>
      <c r="Y2072" s="509" t="b">
        <f t="shared" si="1606"/>
        <v>0</v>
      </c>
      <c r="Z2072" s="510">
        <f t="shared" si="1607"/>
        <v>0</v>
      </c>
      <c r="AA2072" s="511"/>
      <c r="AB2072" s="511" t="str">
        <f t="shared" si="1608"/>
        <v/>
      </c>
      <c r="AC2072" s="698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698"/>
      <c r="AE2072" s="631" t="str">
        <f t="shared" si="1609"/>
        <v/>
      </c>
      <c r="AF2072" s="699" t="str">
        <f t="shared" si="1610"/>
        <v/>
      </c>
      <c r="AG2072" s="699"/>
      <c r="AH2072" s="699"/>
      <c r="AI2072" s="512">
        <f>IF(H2072="credit",0,IF(AE2072="free",0,IF(AE2072="me",0,IF(G2072&gt;0,(VLOOKUP(A2072,'Discount Lookup'!J:K,2)*G2072),0))))</f>
        <v>0</v>
      </c>
      <c r="AJ2072" s="513" t="str">
        <f t="shared" ca="1" si="1611"/>
        <v/>
      </c>
      <c r="AK2072" s="700" t="str">
        <f t="shared" si="1612"/>
        <v/>
      </c>
      <c r="AL2072" s="700"/>
      <c r="AM2072" s="505" t="str">
        <f t="shared" si="1613"/>
        <v/>
      </c>
      <c r="AN2072" s="506"/>
      <c r="AO2072" s="507"/>
      <c r="AP2072" s="507"/>
      <c r="AQ2072" s="507"/>
      <c r="AR2072" s="507"/>
      <c r="AS2072" s="507"/>
      <c r="AT2072" s="507"/>
      <c r="AU2072" s="507"/>
      <c r="AV2072" s="225"/>
      <c r="AW2072" s="508"/>
      <c r="AX2072" s="225"/>
      <c r="AY2072" s="225"/>
      <c r="AZ2072" s="225"/>
      <c r="BA2072" s="225"/>
      <c r="BB2072" s="225"/>
      <c r="BC2072" s="56"/>
      <c r="BD2072" s="56"/>
      <c r="BE2072" s="56"/>
      <c r="BF2072" s="107" t="str">
        <f t="shared" si="1614"/>
        <v>https://www.google.com/search?tbm=isch&amp;q=Kashima%20Yatsubusa%20foliage%20is%20Red%20tinted%20in%20spring%2C%20maturing%20to%20Green%2C%20then%20brilliant%20Golden-Orange%20to%20Red%20in%20fall%20</v>
      </c>
      <c r="BG2072" s="107" t="str">
        <f t="shared" si="1615"/>
        <v>K</v>
      </c>
      <c r="BH2072" s="254"/>
      <c r="BI2072" s="254"/>
    </row>
    <row r="2073" spans="1:61" customFormat="1" ht="18" x14ac:dyDescent="0.25">
      <c r="A2073" s="521" t="s">
        <v>1200</v>
      </c>
      <c r="B2073" s="477"/>
      <c r="C2073" s="674"/>
      <c r="D2073" s="478" t="s">
        <v>1201</v>
      </c>
      <c r="E2073" s="479"/>
      <c r="F2073" s="479"/>
      <c r="G2073" s="479"/>
      <c r="H2073" s="582" t="s">
        <v>1202</v>
      </c>
      <c r="I2073" s="480" t="s">
        <v>654</v>
      </c>
      <c r="J2073" s="479"/>
      <c r="K2073" s="479"/>
      <c r="L2073" s="560"/>
      <c r="M2073" s="666" t="s">
        <v>4966</v>
      </c>
      <c r="N2073" s="680" t="str">
        <f>IF(AND(ISTEXT($A2073), ISERROR($A2073+0)), HYPERLINK($BF2073, "Images"), "")</f>
        <v>Images</v>
      </c>
      <c r="O2073" s="662" t="s">
        <v>4967</v>
      </c>
      <c r="P2073" s="482"/>
      <c r="Q2073" s="483"/>
      <c r="R2073" s="483"/>
      <c r="S2073" s="484" t="s">
        <v>305</v>
      </c>
      <c r="T2073" s="508">
        <f t="shared" si="1603"/>
        <v>0</v>
      </c>
      <c r="U2073" s="225" t="str">
        <f>IF(NOT(ISNUMBER(G2073)), "", VLOOKUP(A2073,'Discount Lookup'!D:E,2,FALSE)*G2073)</f>
        <v/>
      </c>
      <c r="V2073" s="225" t="str">
        <f>IF(NOT(ISNUMBER(G2073)), "", VLOOKUP(A2073,'Discount Lookup'!G:H,2,FALSE)*G2073)</f>
        <v/>
      </c>
      <c r="W2073" s="508">
        <f t="shared" si="1604"/>
        <v>0</v>
      </c>
      <c r="X2073" s="508" t="str">
        <f t="shared" si="1605"/>
        <v>White bloom</v>
      </c>
      <c r="Y2073" s="509" t="b">
        <f t="shared" si="1606"/>
        <v>0</v>
      </c>
      <c r="Z2073" s="510">
        <f t="shared" si="1607"/>
        <v>0</v>
      </c>
      <c r="AA2073" s="511"/>
      <c r="AB2073" s="511" t="str">
        <f t="shared" si="1608"/>
        <v/>
      </c>
      <c r="AC2073" s="698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698"/>
      <c r="AE2073" s="631" t="str">
        <f t="shared" si="1609"/>
        <v/>
      </c>
      <c r="AF2073" s="699" t="str">
        <f t="shared" si="1610"/>
        <v/>
      </c>
      <c r="AG2073" s="699"/>
      <c r="AH2073" s="699"/>
      <c r="AI2073" s="512">
        <f>IF(H2073="credit",0,IF(AE2073="free",0,IF(AE2073="me",0,IF(G2073&gt;0,(VLOOKUP(A2073,'Discount Lookup'!J:K,2)*G2073),0))))</f>
        <v>0</v>
      </c>
      <c r="AJ2073" s="513" t="str">
        <f t="shared" ca="1" si="1611"/>
        <v/>
      </c>
      <c r="AK2073" s="700" t="str">
        <f t="shared" si="1612"/>
        <v/>
      </c>
      <c r="AL2073" s="700"/>
      <c r="AM2073" s="505" t="str">
        <f t="shared" si="1613"/>
        <v/>
      </c>
      <c r="AN2073" s="506"/>
      <c r="AO2073" s="507"/>
      <c r="AP2073" s="507"/>
      <c r="AQ2073" s="507"/>
      <c r="AR2073" s="507"/>
      <c r="AS2073" s="507"/>
      <c r="AT2073" s="507"/>
      <c r="AU2073" s="507"/>
      <c r="AV2073" s="225"/>
      <c r="AW2073" s="508"/>
      <c r="AX2073" s="225"/>
      <c r="AY2073" s="225"/>
      <c r="AZ2073" s="225"/>
      <c r="BA2073" s="225"/>
      <c r="BB2073" s="225"/>
      <c r="BC2073" s="56"/>
      <c r="BD2073" s="56"/>
      <c r="BE2073" s="56"/>
      <c r="BF2073" s="107" t="str">
        <f t="shared" si="1614"/>
        <v>https://www.google.com/search?tbm=isch&amp;q=Kay%20Parris%20Magnolia%20Magnolia%20grandiflora%20%27Kay%20Parris%27</v>
      </c>
      <c r="BG2073" s="107" t="str">
        <f t="shared" si="1615"/>
        <v>K</v>
      </c>
      <c r="BH2073" s="254"/>
      <c r="BI2073" s="254"/>
    </row>
    <row r="2074" spans="1:61" customFormat="1" ht="15.75" x14ac:dyDescent="0.25">
      <c r="A2074" s="485">
        <v>7</v>
      </c>
      <c r="B2074" s="486" t="s">
        <v>291</v>
      </c>
      <c r="C2074" s="487" t="s">
        <v>3493</v>
      </c>
      <c r="D2074" s="488" t="s">
        <v>292</v>
      </c>
      <c r="E2074" s="489">
        <v>100.95</v>
      </c>
      <c r="F2074" s="516" t="s">
        <v>293</v>
      </c>
      <c r="G2074" s="232">
        <v>0</v>
      </c>
      <c r="H2074" s="658" t="str">
        <f>IF(G2074=0,"",IF(F2074="Buy",IF(G2074=1,"plant","plants"),IF(F2074&gt;0.01,"warranty","Error")))</f>
        <v/>
      </c>
      <c r="I2074" s="490">
        <f>IF(H2074="free",0,IF(H2074="credit",((E2074*(F2074))*G2074*-1),IF(F2074="Buy",(E2074*G2074),((E2074*(1-F2074))*G2074))))</f>
        <v>0</v>
      </c>
      <c r="J2074" s="490">
        <f>IF(H2074="warranty",0,(I2074*(_xlfn.SINGLE(SalesTaxPercentage))))</f>
        <v>0</v>
      </c>
      <c r="K2074" s="695">
        <f t="shared" ref="K2074" si="1621">I2074+J2074</f>
        <v>0</v>
      </c>
      <c r="L2074" s="695"/>
      <c r="M2074" s="659" t="str">
        <f>IF(AND(G2074&gt;0,E2074=0),"WARNING - no PRICE inserted",IF(H2074="free"," FREE ~ no charge this plant",IF(H2074="credit",CONCATENATE(" -$",ROUND(K2074*(1-T2GDiscount)*-1,2)," CREDIT after discount"),IF(T2GDiscount=0,"",IF(G2074=0,"",IF(F2074="Buy",CONCATENATE(" $",ROUND(K2074*(1-T2GDiscount),2)," with ",(T2GDiscount*100),"% discount"),CONCATENATE(" $",ROUND(K2074*(1-T2GDiscount),2)," with ",((T2GDiscount*100+F2074*100)-(T2GDiscount*100*F2074)),IF(F2074&gt;0,"% discounts",IF(NoWarrantyDiscount&gt;0,"% discounts","% discount")))))))))</f>
        <v/>
      </c>
      <c r="N2074" s="660"/>
      <c r="O2074" s="233"/>
      <c r="P2074" s="233"/>
      <c r="Q2074" s="233"/>
      <c r="R2074" s="233"/>
      <c r="S2074" s="233"/>
      <c r="T2074" s="508">
        <f t="shared" si="1603"/>
        <v>0</v>
      </c>
      <c r="U2074" s="225">
        <f>IF(NOT(ISNUMBER(G2074)), "", VLOOKUP(A2074,'Discount Lookup'!D:E,2,FALSE)*G2074)</f>
        <v>0</v>
      </c>
      <c r="V2074" s="225">
        <f>IF(NOT(ISNUMBER(G2074)), "", VLOOKUP(A2074,'Discount Lookup'!G:H,2,FALSE)*G2074)</f>
        <v>0</v>
      </c>
      <c r="W2074" s="508">
        <f t="shared" si="1604"/>
        <v>0</v>
      </c>
      <c r="X2074" s="508">
        <f t="shared" si="1605"/>
        <v>0</v>
      </c>
      <c r="Y2074" s="509" t="b">
        <f t="shared" si="1606"/>
        <v>0</v>
      </c>
      <c r="Z2074" s="510">
        <f t="shared" si="1607"/>
        <v>0</v>
      </c>
      <c r="AA2074" s="511"/>
      <c r="AB2074" s="511" t="str">
        <f t="shared" si="1608"/>
        <v/>
      </c>
      <c r="AC2074" s="698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698"/>
      <c r="AE2074" s="631" t="str">
        <f t="shared" si="1609"/>
        <v/>
      </c>
      <c r="AF2074" s="699" t="str">
        <f t="shared" si="1610"/>
        <v/>
      </c>
      <c r="AG2074" s="699"/>
      <c r="AH2074" s="699"/>
      <c r="AI2074" s="512">
        <f>IF(H2074="credit",0,IF(AE2074="free",0,IF(AE2074="me",0,IF(G2074&gt;0,(VLOOKUP(A2074,'Discount Lookup'!J:K,2)*G2074),0))))</f>
        <v>0</v>
      </c>
      <c r="AJ2074" s="513" t="str">
        <f t="shared" ca="1" si="1611"/>
        <v/>
      </c>
      <c r="AK2074" s="700" t="str">
        <f t="shared" si="1612"/>
        <v/>
      </c>
      <c r="AL2074" s="700"/>
      <c r="AM2074" s="505" t="str">
        <f t="shared" si="1613"/>
        <v/>
      </c>
      <c r="AN2074" s="506"/>
      <c r="AO2074" s="507"/>
      <c r="AP2074" s="507"/>
      <c r="AQ2074" s="507"/>
      <c r="AR2074" s="507"/>
      <c r="AS2074" s="507"/>
      <c r="AT2074" s="507"/>
      <c r="AU2074" s="507"/>
      <c r="AV2074" s="225"/>
      <c r="AW2074" s="508"/>
      <c r="AX2074" s="225"/>
      <c r="AY2074" s="225"/>
      <c r="AZ2074" s="225"/>
      <c r="BA2074" s="225"/>
      <c r="BB2074" s="225"/>
      <c r="BC2074" s="56"/>
      <c r="BD2074" s="56"/>
      <c r="BE2074" s="56"/>
      <c r="BF2074" s="107" t="str">
        <f t="shared" si="1614"/>
        <v>https://www.google.com/search?tbm=isch&amp;q=7%20G4</v>
      </c>
      <c r="BG2074" s="107" t="str">
        <f t="shared" si="1615"/>
        <v>K</v>
      </c>
      <c r="BH2074" s="254"/>
      <c r="BI2074" s="254"/>
    </row>
    <row r="2075" spans="1:61" customFormat="1" ht="15.75" x14ac:dyDescent="0.25">
      <c r="A2075" s="485">
        <v>25</v>
      </c>
      <c r="B2075" s="486" t="s">
        <v>291</v>
      </c>
      <c r="C2075" s="487" t="s">
        <v>4776</v>
      </c>
      <c r="D2075" s="488" t="s">
        <v>292</v>
      </c>
      <c r="E2075" s="489">
        <v>378.95</v>
      </c>
      <c r="F2075" s="516" t="s">
        <v>293</v>
      </c>
      <c r="G2075" s="232">
        <v>0</v>
      </c>
      <c r="H2075" s="658" t="str">
        <f>IF(G2075=0,"",IF(F2075="Buy",IF(G2075=1,"plant","plants"),IF(F2075&gt;0.01,"warranty","Error")))</f>
        <v/>
      </c>
      <c r="I2075" s="490">
        <f>IF(H2075="free",0,IF(H2075="credit",((E2075*(F2075))*G2075*-1),IF(F2075="Buy",(E2075*G2075),((E2075*(1-F2075))*G2075))))</f>
        <v>0</v>
      </c>
      <c r="J2075" s="490">
        <f>IF(H2075="warranty",0,(I2075*(_xlfn.SINGLE(SalesTaxPercentage))))</f>
        <v>0</v>
      </c>
      <c r="K2075" s="695">
        <f t="shared" ref="K2075" si="1622">I2075+J2075</f>
        <v>0</v>
      </c>
      <c r="L2075" s="695"/>
      <c r="M2075" s="659" t="str">
        <f>IF(AND(G2075&gt;0,E2075=0),"WARNING - no PRICE inserted",IF(H2075="free"," FREE ~ no charge this plant",IF(H2075="credit",CONCATENATE(" -$",ROUND(K2075*(1-T2GDiscount)*-1,2)," CREDIT after discount"),IF(T2GDiscount=0,"",IF(G2075=0,"",IF(F2075="Buy",CONCATENATE(" $",ROUND(K2075*(1-T2GDiscount),2)," with ",(T2GDiscount*100),"% discount"),CONCATENATE(" $",ROUND(K2075*(1-T2GDiscount),2)," with ",((T2GDiscount*100+F2075*100)-(T2GDiscount*100*F2075)),IF(F2075&gt;0,"% discounts",IF(NoWarrantyDiscount&gt;0,"% discounts","% discount")))))))))</f>
        <v/>
      </c>
      <c r="N2075" s="660"/>
      <c r="O2075" s="233"/>
      <c r="P2075" s="233"/>
      <c r="Q2075" s="233"/>
      <c r="R2075" s="233"/>
      <c r="S2075" s="233"/>
      <c r="T2075" s="508">
        <f t="shared" si="1603"/>
        <v>0</v>
      </c>
      <c r="U2075" s="225">
        <f>IF(NOT(ISNUMBER(G2075)), "", VLOOKUP(A2075,'Discount Lookup'!D:E,2,FALSE)*G2075)</f>
        <v>0</v>
      </c>
      <c r="V2075" s="225">
        <f>IF(NOT(ISNUMBER(G2075)), "", VLOOKUP(A2075,'Discount Lookup'!G:H,2,FALSE)*G2075)</f>
        <v>0</v>
      </c>
      <c r="W2075" s="508">
        <f t="shared" si="1604"/>
        <v>0</v>
      </c>
      <c r="X2075" s="508">
        <f t="shared" si="1605"/>
        <v>0</v>
      </c>
      <c r="Y2075" s="509" t="b">
        <f t="shared" si="1606"/>
        <v>0</v>
      </c>
      <c r="Z2075" s="510">
        <f t="shared" si="1607"/>
        <v>0</v>
      </c>
      <c r="AA2075" s="511"/>
      <c r="AB2075" s="511" t="str">
        <f t="shared" si="1608"/>
        <v/>
      </c>
      <c r="AC2075" s="698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698"/>
      <c r="AE2075" s="631" t="str">
        <f t="shared" si="1609"/>
        <v/>
      </c>
      <c r="AF2075" s="699" t="str">
        <f t="shared" si="1610"/>
        <v/>
      </c>
      <c r="AG2075" s="699"/>
      <c r="AH2075" s="699"/>
      <c r="AI2075" s="512">
        <f>IF(H2075="credit",0,IF(AE2075="free",0,IF(AE2075="me",0,IF(G2075&gt;0,(VLOOKUP(A2075,'Discount Lookup'!J:K,2)*G2075),0))))</f>
        <v>0</v>
      </c>
      <c r="AJ2075" s="513" t="str">
        <f t="shared" ca="1" si="1611"/>
        <v/>
      </c>
      <c r="AK2075" s="700" t="str">
        <f t="shared" si="1612"/>
        <v/>
      </c>
      <c r="AL2075" s="700"/>
      <c r="AM2075" s="505" t="str">
        <f t="shared" si="1613"/>
        <v/>
      </c>
      <c r="AN2075" s="506"/>
      <c r="AO2075" s="507"/>
      <c r="AP2075" s="507"/>
      <c r="AQ2075" s="507"/>
      <c r="AR2075" s="507"/>
      <c r="AS2075" s="507"/>
      <c r="AT2075" s="507"/>
      <c r="AU2075" s="507"/>
      <c r="AV2075" s="225"/>
      <c r="AW2075" s="508"/>
      <c r="AX2075" s="225"/>
      <c r="AY2075" s="225"/>
      <c r="AZ2075" s="225"/>
      <c r="BA2075" s="225"/>
      <c r="BB2075" s="225"/>
      <c r="BC2075" s="56"/>
      <c r="BD2075" s="56"/>
      <c r="BE2075" s="56"/>
      <c r="BF2075" s="107" t="str">
        <f t="shared" si="1614"/>
        <v>https://www.google.com/search?tbm=isch&amp;q=25%20G4</v>
      </c>
      <c r="BG2075" s="107" t="str">
        <f t="shared" si="1615"/>
        <v>K</v>
      </c>
      <c r="BH2075" s="254"/>
      <c r="BI2075" s="254"/>
    </row>
    <row r="2076" spans="1:61" customFormat="1" ht="27" x14ac:dyDescent="0.25">
      <c r="A2076" s="485">
        <v>25</v>
      </c>
      <c r="B2076" s="486" t="s">
        <v>291</v>
      </c>
      <c r="C2076" s="487" t="s">
        <v>3590</v>
      </c>
      <c r="D2076" s="488" t="s">
        <v>292</v>
      </c>
      <c r="E2076" s="489">
        <v>582.95000000000005</v>
      </c>
      <c r="F2076" s="516" t="s">
        <v>293</v>
      </c>
      <c r="G2076" s="232">
        <v>0</v>
      </c>
      <c r="H2076" s="658" t="str">
        <f>IF(G2076=0,"",IF(F2076="Buy",IF(G2076=1,"plant","plants"),IF(F2076&gt;0.01,"warranty","Error")))</f>
        <v/>
      </c>
      <c r="I2076" s="490">
        <f>IF(H2076="free",0,IF(H2076="credit",((E2076*(F2076))*G2076*-1),IF(F2076="Buy",(E2076*G2076),((E2076*(1-F2076))*G2076))))</f>
        <v>0</v>
      </c>
      <c r="J2076" s="490">
        <f>IF(H2076="warranty",0,(I2076*(_xlfn.SINGLE(SalesTaxPercentage))))</f>
        <v>0</v>
      </c>
      <c r="K2076" s="695">
        <f t="shared" ref="K2076" si="1623">I2076+J2076</f>
        <v>0</v>
      </c>
      <c r="L2076" s="695"/>
      <c r="M2076" s="659" t="str">
        <f>IF(AND(G2076&gt;0,E2076=0),"WARNING - no PRICE inserted",IF(H2076="free"," FREE ~ no charge this plant",IF(H2076="credit",CONCATENATE(" -$",ROUND(K2076*(1-T2GDiscount)*-1,2)," CREDIT after discount"),IF(T2GDiscount=0,"",IF(G2076=0,"",IF(F2076="Buy",CONCATENATE(" $",ROUND(K2076*(1-T2GDiscount),2)," with ",(T2GDiscount*100),"% discount"),CONCATENATE(" $",ROUND(K2076*(1-T2GDiscount),2)," with ",((T2GDiscount*100+F2076*100)-(T2GDiscount*100*F2076)),IF(F2076&gt;0,"% discounts",IF(NoWarrantyDiscount&gt;0,"% discounts","% discount")))))))))</f>
        <v/>
      </c>
      <c r="N2076" s="660"/>
      <c r="O2076" s="233"/>
      <c r="P2076" s="233"/>
      <c r="Q2076" s="233"/>
      <c r="R2076" s="233"/>
      <c r="S2076" s="233"/>
      <c r="T2076" s="508">
        <f t="shared" si="1603"/>
        <v>0</v>
      </c>
      <c r="U2076" s="225">
        <f>IF(NOT(ISNUMBER(G2076)), "", VLOOKUP(A2076,'Discount Lookup'!D:E,2,FALSE)*G2076)</f>
        <v>0</v>
      </c>
      <c r="V2076" s="225">
        <f>IF(NOT(ISNUMBER(G2076)), "", VLOOKUP(A2076,'Discount Lookup'!G:H,2,FALSE)*G2076)</f>
        <v>0</v>
      </c>
      <c r="W2076" s="508">
        <f t="shared" si="1604"/>
        <v>0</v>
      </c>
      <c r="X2076" s="508">
        <f t="shared" si="1605"/>
        <v>0</v>
      </c>
      <c r="Y2076" s="509" t="b">
        <f t="shared" si="1606"/>
        <v>0</v>
      </c>
      <c r="Z2076" s="510">
        <f t="shared" si="1607"/>
        <v>0</v>
      </c>
      <c r="AA2076" s="511"/>
      <c r="AB2076" s="511" t="str">
        <f t="shared" si="1608"/>
        <v/>
      </c>
      <c r="AC2076" s="698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698"/>
      <c r="AE2076" s="631" t="str">
        <f t="shared" si="1609"/>
        <v/>
      </c>
      <c r="AF2076" s="699" t="str">
        <f t="shared" si="1610"/>
        <v/>
      </c>
      <c r="AG2076" s="699"/>
      <c r="AH2076" s="699"/>
      <c r="AI2076" s="512">
        <f>IF(H2076="credit",0,IF(AE2076="free",0,IF(AE2076="me",0,IF(G2076&gt;0,(VLOOKUP(A2076,'Discount Lookup'!J:K,2)*G2076),0))))</f>
        <v>0</v>
      </c>
      <c r="AJ2076" s="513" t="str">
        <f t="shared" ca="1" si="1611"/>
        <v/>
      </c>
      <c r="AK2076" s="700" t="str">
        <f t="shared" si="1612"/>
        <v/>
      </c>
      <c r="AL2076" s="700"/>
      <c r="AM2076" s="505" t="str">
        <f t="shared" si="1613"/>
        <v/>
      </c>
      <c r="AN2076" s="506"/>
      <c r="AO2076" s="507"/>
      <c r="AP2076" s="507"/>
      <c r="AQ2076" s="507"/>
      <c r="AR2076" s="507"/>
      <c r="AS2076" s="507"/>
      <c r="AT2076" s="507"/>
      <c r="AU2076" s="507"/>
      <c r="AV2076" s="225"/>
      <c r="AW2076" s="508"/>
      <c r="AX2076" s="225"/>
      <c r="AY2076" s="225"/>
      <c r="AZ2076" s="225"/>
      <c r="BA2076" s="225"/>
      <c r="BB2076" s="225"/>
      <c r="BC2076" s="56"/>
      <c r="BD2076" s="56"/>
      <c r="BE2076" s="56"/>
      <c r="BF2076" s="107" t="str">
        <f t="shared" si="1614"/>
        <v>https://www.google.com/search?tbm=isch&amp;q=25%20G4</v>
      </c>
      <c r="BG2076" s="107" t="str">
        <f t="shared" si="1615"/>
        <v>K</v>
      </c>
      <c r="BH2076" s="254"/>
      <c r="BI2076" s="254"/>
    </row>
    <row r="2077" spans="1:61" customFormat="1" ht="17.25" thickBot="1" x14ac:dyDescent="0.3">
      <c r="A2077" s="672" t="s">
        <v>5155</v>
      </c>
      <c r="B2077" s="491"/>
      <c r="C2077" s="675"/>
      <c r="D2077" s="491"/>
      <c r="E2077" s="491"/>
      <c r="F2077" s="492"/>
      <c r="G2077" s="493"/>
      <c r="H2077" s="491"/>
      <c r="I2077" s="234"/>
      <c r="J2077" s="234"/>
      <c r="K2077" s="494"/>
      <c r="L2077" s="543"/>
      <c r="M2077" s="561"/>
      <c r="N2077" s="495"/>
      <c r="O2077" s="496"/>
      <c r="P2077" s="497"/>
      <c r="Q2077" s="495"/>
      <c r="R2077" s="495"/>
      <c r="S2077" s="667" t="s">
        <v>4984</v>
      </c>
      <c r="T2077" s="508">
        <f t="shared" si="1603"/>
        <v>0</v>
      </c>
      <c r="U2077" s="225" t="str">
        <f>IF(NOT(ISNUMBER(G2077)), "", VLOOKUP(A2077,'Discount Lookup'!D:E,2,FALSE)*G2077)</f>
        <v/>
      </c>
      <c r="V2077" s="225" t="str">
        <f>IF(NOT(ISNUMBER(G2077)), "", VLOOKUP(A2077,'Discount Lookup'!G:H,2,FALSE)*G2077)</f>
        <v/>
      </c>
      <c r="W2077" s="508">
        <f t="shared" si="1604"/>
        <v>0</v>
      </c>
      <c r="X2077" s="508">
        <f t="shared" si="1605"/>
        <v>0</v>
      </c>
      <c r="Y2077" s="509" t="b">
        <f t="shared" si="1606"/>
        <v>0</v>
      </c>
      <c r="Z2077" s="510">
        <f t="shared" si="1607"/>
        <v>0</v>
      </c>
      <c r="AA2077" s="511"/>
      <c r="AB2077" s="511" t="str">
        <f t="shared" si="1608"/>
        <v/>
      </c>
      <c r="AC2077" s="698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698"/>
      <c r="AE2077" s="631" t="str">
        <f t="shared" si="1609"/>
        <v/>
      </c>
      <c r="AF2077" s="699" t="str">
        <f t="shared" si="1610"/>
        <v/>
      </c>
      <c r="AG2077" s="699"/>
      <c r="AH2077" s="699"/>
      <c r="AI2077" s="512">
        <f>IF(H2077="credit",0,IF(AE2077="free",0,IF(AE2077="me",0,IF(G2077&gt;0,(VLOOKUP(A2077,'Discount Lookup'!J:K,2)*G2077),0))))</f>
        <v>0</v>
      </c>
      <c r="AJ2077" s="513" t="str">
        <f t="shared" ca="1" si="1611"/>
        <v/>
      </c>
      <c r="AK2077" s="700" t="str">
        <f t="shared" si="1612"/>
        <v/>
      </c>
      <c r="AL2077" s="700"/>
      <c r="AM2077" s="505" t="str">
        <f t="shared" si="1613"/>
        <v/>
      </c>
      <c r="AN2077" s="506"/>
      <c r="AO2077" s="507"/>
      <c r="AP2077" s="507"/>
      <c r="AQ2077" s="507"/>
      <c r="AR2077" s="507"/>
      <c r="AS2077" s="507"/>
      <c r="AT2077" s="507"/>
      <c r="AU2077" s="507"/>
      <c r="AV2077" s="225"/>
      <c r="AW2077" s="508"/>
      <c r="AX2077" s="225"/>
      <c r="AY2077" s="225"/>
      <c r="AZ2077" s="225"/>
      <c r="BA2077" s="225"/>
      <c r="BB2077" s="225"/>
      <c r="BC2077" s="56"/>
      <c r="BD2077" s="56"/>
      <c r="BE2077" s="56"/>
      <c r="BF2077" s="107" t="str">
        <f t="shared" si="1614"/>
        <v>https://www.google.com/search?tbm=isch&amp;q=moist%20sites%F0%9F%92%A7OK%2C%20Kay%20Parris%20is%20sturdier%20under%20snow%20loads%20than%20Little%20Gem.%20Fragrant%20</v>
      </c>
      <c r="BG2077" s="107" t="str">
        <f t="shared" si="1615"/>
        <v>m</v>
      </c>
      <c r="BH2077" s="254"/>
      <c r="BI2077" s="254"/>
    </row>
    <row r="2078" spans="1:61" customFormat="1" ht="18" x14ac:dyDescent="0.25">
      <c r="A2078" s="523" t="s">
        <v>1203</v>
      </c>
      <c r="B2078" s="235"/>
      <c r="C2078" s="676"/>
      <c r="D2078" s="255" t="s">
        <v>1204</v>
      </c>
      <c r="E2078" s="236"/>
      <c r="F2078" s="236"/>
      <c r="G2078" s="236"/>
      <c r="H2078" s="582" t="s">
        <v>355</v>
      </c>
      <c r="I2078" s="498" t="s">
        <v>1205</v>
      </c>
      <c r="J2078" s="237"/>
      <c r="K2078" s="237"/>
      <c r="L2078" s="274"/>
      <c r="M2078" s="668" t="s">
        <v>4975</v>
      </c>
      <c r="N2078" s="681" t="str">
        <f>IF(AND(ISTEXT($A2078), ISERROR($A2078+0)), HYPERLINK($BF2078, "Images"), "")</f>
        <v>Images</v>
      </c>
      <c r="O2078" s="663" t="s">
        <v>4967</v>
      </c>
      <c r="P2078" s="253"/>
      <c r="Q2078" s="238"/>
      <c r="R2078" s="239"/>
      <c r="S2078" s="275"/>
      <c r="T2078" s="508">
        <f t="shared" si="1603"/>
        <v>0</v>
      </c>
      <c r="U2078" s="225" t="str">
        <f>IF(NOT(ISNUMBER(G2078)), "", VLOOKUP(A2078,'Discount Lookup'!D:E,2,FALSE)*G2078)</f>
        <v/>
      </c>
      <c r="V2078" s="225" t="str">
        <f>IF(NOT(ISNUMBER(G2078)), "", VLOOKUP(A2078,'Discount Lookup'!G:H,2,FALSE)*G2078)</f>
        <v/>
      </c>
      <c r="W2078" s="508">
        <f t="shared" si="1604"/>
        <v>0</v>
      </c>
      <c r="X2078" s="508" t="str">
        <f t="shared" si="1605"/>
        <v>Pinkish Lavender bloom</v>
      </c>
      <c r="Y2078" s="509" t="b">
        <f t="shared" si="1606"/>
        <v>0</v>
      </c>
      <c r="Z2078" s="510">
        <f t="shared" si="1607"/>
        <v>0</v>
      </c>
      <c r="AA2078" s="511"/>
      <c r="AB2078" s="511" t="str">
        <f t="shared" si="1608"/>
        <v/>
      </c>
      <c r="AC2078" s="698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698"/>
      <c r="AE2078" s="631" t="str">
        <f t="shared" si="1609"/>
        <v/>
      </c>
      <c r="AF2078" s="699" t="str">
        <f t="shared" si="1610"/>
        <v/>
      </c>
      <c r="AG2078" s="699"/>
      <c r="AH2078" s="699"/>
      <c r="AI2078" s="512">
        <f>IF(H2078="credit",0,IF(AE2078="free",0,IF(AE2078="me",0,IF(G2078&gt;0,(VLOOKUP(A2078,'Discount Lookup'!J:K,2)*G2078),0))))</f>
        <v>0</v>
      </c>
      <c r="AJ2078" s="513" t="str">
        <f t="shared" ca="1" si="1611"/>
        <v/>
      </c>
      <c r="AK2078" s="700" t="str">
        <f t="shared" si="1612"/>
        <v/>
      </c>
      <c r="AL2078" s="700"/>
      <c r="AM2078" s="505" t="str">
        <f t="shared" si="1613"/>
        <v/>
      </c>
      <c r="AN2078" s="506"/>
      <c r="AO2078" s="507"/>
      <c r="AP2078" s="507"/>
      <c r="AQ2078" s="507"/>
      <c r="AR2078" s="507"/>
      <c r="AS2078" s="507"/>
      <c r="AT2078" s="507"/>
      <c r="AU2078" s="507"/>
      <c r="AV2078" s="225"/>
      <c r="AW2078" s="508"/>
      <c r="AX2078" s="225"/>
      <c r="AY2078" s="225"/>
      <c r="AZ2078" s="225"/>
      <c r="BA2078" s="225"/>
      <c r="BB2078" s="225"/>
      <c r="BC2078" s="56"/>
      <c r="BD2078" s="56"/>
      <c r="BE2078" s="56"/>
      <c r="BF2078" s="107" t="str">
        <f t="shared" si="1614"/>
        <v>https://www.google.com/search?tbm=isch&amp;q=Kay%27s%20Early%20Hope%20Redbud%20Cercis%20chinensis%20%27Kay%27s%20Early%20Hope%27%20PP%2322097</v>
      </c>
      <c r="BG2078" s="107" t="str">
        <f t="shared" si="1615"/>
        <v>K</v>
      </c>
      <c r="BH2078" s="254"/>
      <c r="BI2078" s="254"/>
    </row>
    <row r="2079" spans="1:61" customFormat="1" ht="15.75" x14ac:dyDescent="0.25">
      <c r="A2079" s="276">
        <v>7</v>
      </c>
      <c r="B2079" s="240" t="s">
        <v>291</v>
      </c>
      <c r="C2079" s="241" t="s">
        <v>3591</v>
      </c>
      <c r="D2079" s="242" t="s">
        <v>292</v>
      </c>
      <c r="E2079" s="243">
        <v>95.95</v>
      </c>
      <c r="F2079" s="517" t="s">
        <v>293</v>
      </c>
      <c r="G2079" s="232">
        <v>0</v>
      </c>
      <c r="H2079" s="661" t="str">
        <f>IF(G2079=0,"",IF(F2079="Buy",IF(G2079=1,"plant","plants"),IF(F2079&gt;0.01,"warranty","Error")))</f>
        <v/>
      </c>
      <c r="I2079" s="244">
        <f>IF(H2079="free",0,IF(H2079="credit",((E2079*(F2079))*G2079*-1),IF(F2079="Buy",(E2079*G2079),((E2079*(1-F2079))*G2079))))</f>
        <v>0</v>
      </c>
      <c r="J2079" s="244">
        <f>IF(H2079="warranty",0,(I2079*(_xlfn.SINGLE(SalesTaxPercentage))))</f>
        <v>0</v>
      </c>
      <c r="K2079" s="696">
        <f t="shared" ref="K2079" si="1624">I2079+J2079</f>
        <v>0</v>
      </c>
      <c r="L2079" s="696"/>
      <c r="M2079" s="659" t="str">
        <f>IF(AND(G2079&gt;0,E2079=0),"WARNING - no PRICE inserted",IF(H2079="free"," FREE ~ no charge this plant",IF(H2079="credit",CONCATENATE(" -$",ROUND(K2079*(1-T2GDiscount)*-1,2)," CREDIT after discount"),IF(T2GDiscount=0,"",IF(G2079=0,"",IF(F2079="Buy",CONCATENATE(" $",ROUND(K2079*(1-T2GDiscount),2)," with ",(T2GDiscount*100),"% discount"),CONCATENATE(" $",ROUND(K2079*(1-T2GDiscount),2)," with ",((T2GDiscount*100+F2079*100)-(T2GDiscount*100*F2079)),IF(F2079&gt;0,"% discounts",IF(NoWarrantyDiscount&gt;0,"% discounts","% discount")))))))))</f>
        <v/>
      </c>
      <c r="N2079" s="660"/>
      <c r="O2079" s="233"/>
      <c r="P2079" s="233"/>
      <c r="Q2079" s="233"/>
      <c r="R2079" s="233"/>
      <c r="S2079" s="233"/>
      <c r="T2079" s="508">
        <f t="shared" si="1603"/>
        <v>0</v>
      </c>
      <c r="U2079" s="225">
        <f>IF(NOT(ISNUMBER(G2079)), "", VLOOKUP(A2079,'Discount Lookup'!D:E,2,FALSE)*G2079)</f>
        <v>0</v>
      </c>
      <c r="V2079" s="225">
        <f>IF(NOT(ISNUMBER(G2079)), "", VLOOKUP(A2079,'Discount Lookup'!G:H,2,FALSE)*G2079)</f>
        <v>0</v>
      </c>
      <c r="W2079" s="508">
        <f t="shared" si="1604"/>
        <v>0</v>
      </c>
      <c r="X2079" s="508">
        <f t="shared" si="1605"/>
        <v>0</v>
      </c>
      <c r="Y2079" s="509" t="b">
        <f t="shared" si="1606"/>
        <v>0</v>
      </c>
      <c r="Z2079" s="510">
        <f t="shared" si="1607"/>
        <v>0</v>
      </c>
      <c r="AA2079" s="511"/>
      <c r="AB2079" s="511" t="str">
        <f t="shared" si="1608"/>
        <v/>
      </c>
      <c r="AC2079" s="698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698"/>
      <c r="AE2079" s="631" t="str">
        <f t="shared" si="1609"/>
        <v/>
      </c>
      <c r="AF2079" s="699" t="str">
        <f t="shared" si="1610"/>
        <v/>
      </c>
      <c r="AG2079" s="699"/>
      <c r="AH2079" s="699"/>
      <c r="AI2079" s="512">
        <f>IF(H2079="credit",0,IF(AE2079="free",0,IF(AE2079="me",0,IF(G2079&gt;0,(VLOOKUP(A2079,'Discount Lookup'!J:K,2)*G2079),0))))</f>
        <v>0</v>
      </c>
      <c r="AJ2079" s="513" t="str">
        <f t="shared" ca="1" si="1611"/>
        <v/>
      </c>
      <c r="AK2079" s="700" t="str">
        <f t="shared" si="1612"/>
        <v/>
      </c>
      <c r="AL2079" s="700"/>
      <c r="AM2079" s="505" t="str">
        <f t="shared" si="1613"/>
        <v/>
      </c>
      <c r="AN2079" s="506"/>
      <c r="AO2079" s="507"/>
      <c r="AP2079" s="507"/>
      <c r="AQ2079" s="507"/>
      <c r="AR2079" s="507"/>
      <c r="AS2079" s="507"/>
      <c r="AT2079" s="507"/>
      <c r="AU2079" s="507"/>
      <c r="AV2079" s="225"/>
      <c r="AW2079" s="508"/>
      <c r="AX2079" s="225"/>
      <c r="AY2079" s="225"/>
      <c r="AZ2079" s="225"/>
      <c r="BA2079" s="225"/>
      <c r="BB2079" s="225"/>
      <c r="BC2079" s="56"/>
      <c r="BD2079" s="56"/>
      <c r="BE2079" s="56"/>
      <c r="BF2079" s="107" t="str">
        <f t="shared" si="1614"/>
        <v>https://www.google.com/search?tbm=isch&amp;q=7%20G4</v>
      </c>
      <c r="BG2079" s="107" t="str">
        <f t="shared" si="1615"/>
        <v>K</v>
      </c>
      <c r="BH2079" s="254"/>
      <c r="BI2079" s="254"/>
    </row>
    <row r="2080" spans="1:61" customFormat="1" ht="15.75" x14ac:dyDescent="0.25">
      <c r="A2080" s="276">
        <v>7</v>
      </c>
      <c r="B2080" s="240" t="s">
        <v>291</v>
      </c>
      <c r="C2080" s="241" t="s">
        <v>4711</v>
      </c>
      <c r="D2080" s="242" t="s">
        <v>299</v>
      </c>
      <c r="E2080" s="243">
        <v>102.95</v>
      </c>
      <c r="F2080" s="517" t="s">
        <v>293</v>
      </c>
      <c r="G2080" s="232">
        <v>0</v>
      </c>
      <c r="H2080" s="661" t="str">
        <f>IF(G2080=0,"",IF(F2080="Buy",IF(G2080=1,"plant","plants"),IF(F2080&gt;0.01,"warranty","Error")))</f>
        <v/>
      </c>
      <c r="I2080" s="244">
        <f>IF(H2080="free",0,IF(H2080="credit",((E2080*(F2080))*G2080*-1),IF(F2080="Buy",(E2080*G2080),((E2080*(1-F2080))*G2080))))</f>
        <v>0</v>
      </c>
      <c r="J2080" s="244">
        <f>IF(H2080="warranty",0,(I2080*(_xlfn.SINGLE(SalesTaxPercentage))))</f>
        <v>0</v>
      </c>
      <c r="K2080" s="696">
        <f t="shared" ref="K2080" si="1625">I2080+J2080</f>
        <v>0</v>
      </c>
      <c r="L2080" s="696"/>
      <c r="M2080" s="659" t="str">
        <f>IF(AND(G2080&gt;0,E2080=0),"WARNING - no PRICE inserted",IF(H2080="free"," FREE ~ no charge this plant",IF(H2080="credit",CONCATENATE(" -$",ROUND(K2080*(1-T2GDiscount)*-1,2)," CREDIT after discount"),IF(T2GDiscount=0,"",IF(G2080=0,"",IF(F2080="Buy",CONCATENATE(" $",ROUND(K2080*(1-T2GDiscount),2)," with ",(T2GDiscount*100),"% discount"),CONCATENATE(" $",ROUND(K2080*(1-T2GDiscount),2)," with ",((T2GDiscount*100+F2080*100)-(T2GDiscount*100*F2080)),IF(F2080&gt;0,"% discounts",IF(NoWarrantyDiscount&gt;0,"% discounts","% discount")))))))))</f>
        <v/>
      </c>
      <c r="N2080" s="660"/>
      <c r="O2080" s="233"/>
      <c r="P2080" s="233"/>
      <c r="Q2080" s="233"/>
      <c r="R2080" s="233"/>
      <c r="S2080" s="233"/>
      <c r="T2080" s="508">
        <f t="shared" si="1603"/>
        <v>0</v>
      </c>
      <c r="U2080" s="225">
        <f>IF(NOT(ISNUMBER(G2080)), "", VLOOKUP(A2080,'Discount Lookup'!D:E,2,FALSE)*G2080)</f>
        <v>0</v>
      </c>
      <c r="V2080" s="225">
        <f>IF(NOT(ISNUMBER(G2080)), "", VLOOKUP(A2080,'Discount Lookup'!G:H,2,FALSE)*G2080)</f>
        <v>0</v>
      </c>
      <c r="W2080" s="508">
        <f t="shared" si="1604"/>
        <v>0</v>
      </c>
      <c r="X2080" s="508">
        <f t="shared" si="1605"/>
        <v>0</v>
      </c>
      <c r="Y2080" s="509" t="b">
        <f t="shared" si="1606"/>
        <v>0</v>
      </c>
      <c r="Z2080" s="510">
        <f t="shared" si="1607"/>
        <v>0</v>
      </c>
      <c r="AA2080" s="511"/>
      <c r="AB2080" s="511" t="str">
        <f t="shared" si="1608"/>
        <v/>
      </c>
      <c r="AC2080" s="698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698"/>
      <c r="AE2080" s="631" t="str">
        <f t="shared" si="1609"/>
        <v/>
      </c>
      <c r="AF2080" s="699" t="str">
        <f t="shared" si="1610"/>
        <v/>
      </c>
      <c r="AG2080" s="699"/>
      <c r="AH2080" s="699"/>
      <c r="AI2080" s="512">
        <f>IF(H2080="credit",0,IF(AE2080="free",0,IF(AE2080="me",0,IF(G2080&gt;0,(VLOOKUP(A2080,'Discount Lookup'!J:K,2)*G2080),0))))</f>
        <v>0</v>
      </c>
      <c r="AJ2080" s="513" t="str">
        <f t="shared" ca="1" si="1611"/>
        <v/>
      </c>
      <c r="AK2080" s="700" t="str">
        <f t="shared" si="1612"/>
        <v/>
      </c>
      <c r="AL2080" s="700"/>
      <c r="AM2080" s="505" t="str">
        <f t="shared" si="1613"/>
        <v/>
      </c>
      <c r="AN2080" s="506"/>
      <c r="AO2080" s="507"/>
      <c r="AP2080" s="507"/>
      <c r="AQ2080" s="507"/>
      <c r="AR2080" s="507"/>
      <c r="AS2080" s="507"/>
      <c r="AT2080" s="507"/>
      <c r="AU2080" s="507"/>
      <c r="AV2080" s="225"/>
      <c r="AW2080" s="508"/>
      <c r="AX2080" s="225"/>
      <c r="AY2080" s="225"/>
      <c r="AZ2080" s="225"/>
      <c r="BA2080" s="225"/>
      <c r="BB2080" s="225"/>
      <c r="BC2080" s="56"/>
      <c r="BD2080" s="56"/>
      <c r="BE2080" s="56"/>
      <c r="BF2080" s="107" t="str">
        <f t="shared" si="1614"/>
        <v>https://www.google.com/search?tbm=isch&amp;q=7%20G5</v>
      </c>
      <c r="BG2080" s="107" t="str">
        <f t="shared" si="1615"/>
        <v>K</v>
      </c>
      <c r="BH2080" s="254"/>
      <c r="BI2080" s="254"/>
    </row>
    <row r="2081" spans="1:61" customFormat="1" ht="15.75" x14ac:dyDescent="0.25">
      <c r="A2081" s="276">
        <v>10</v>
      </c>
      <c r="B2081" s="240" t="s">
        <v>291</v>
      </c>
      <c r="C2081" s="241" t="s">
        <v>3592</v>
      </c>
      <c r="D2081" s="242" t="s">
        <v>292</v>
      </c>
      <c r="E2081" s="243">
        <v>137.94999999999999</v>
      </c>
      <c r="F2081" s="517" t="s">
        <v>293</v>
      </c>
      <c r="G2081" s="232">
        <v>0</v>
      </c>
      <c r="H2081" s="661" t="str">
        <f>IF(G2081=0,"",IF(F2081="Buy",IF(G2081=1,"plant","plants"),IF(F2081&gt;0.01,"warranty","Error")))</f>
        <v/>
      </c>
      <c r="I2081" s="244">
        <f>IF(H2081="free",0,IF(H2081="credit",((E2081*(F2081))*G2081*-1),IF(F2081="Buy",(E2081*G2081),((E2081*(1-F2081))*G2081))))</f>
        <v>0</v>
      </c>
      <c r="J2081" s="244">
        <f>IF(H2081="warranty",0,(I2081*(_xlfn.SINGLE(SalesTaxPercentage))))</f>
        <v>0</v>
      </c>
      <c r="K2081" s="696">
        <f t="shared" ref="K2081" si="1626">I2081+J2081</f>
        <v>0</v>
      </c>
      <c r="L2081" s="696"/>
      <c r="M2081" s="659" t="str">
        <f>IF(AND(G2081&gt;0,E2081=0),"WARNING - no PRICE inserted",IF(H2081="free"," FREE ~ no charge this plant",IF(H2081="credit",CONCATENATE(" -$",ROUND(K2081*(1-T2GDiscount)*-1,2)," CREDIT after discount"),IF(T2GDiscount=0,"",IF(G2081=0,"",IF(F2081="Buy",CONCATENATE(" $",ROUND(K2081*(1-T2GDiscount),2)," with ",(T2GDiscount*100),"% discount"),CONCATENATE(" $",ROUND(K2081*(1-T2GDiscount),2)," with ",((T2GDiscount*100+F2081*100)-(T2GDiscount*100*F2081)),IF(F2081&gt;0,"% discounts",IF(NoWarrantyDiscount&gt;0,"% discounts","% discount")))))))))</f>
        <v/>
      </c>
      <c r="N2081" s="660"/>
      <c r="O2081" s="233"/>
      <c r="P2081" s="233"/>
      <c r="Q2081" s="233"/>
      <c r="R2081" s="233"/>
      <c r="S2081" s="233"/>
      <c r="T2081" s="508">
        <f t="shared" si="1603"/>
        <v>0</v>
      </c>
      <c r="U2081" s="225">
        <f>IF(NOT(ISNUMBER(G2081)), "", VLOOKUP(A2081,'Discount Lookup'!D:E,2,FALSE)*G2081)</f>
        <v>0</v>
      </c>
      <c r="V2081" s="225">
        <f>IF(NOT(ISNUMBER(G2081)), "", VLOOKUP(A2081,'Discount Lookup'!G:H,2,FALSE)*G2081)</f>
        <v>0</v>
      </c>
      <c r="W2081" s="508">
        <f t="shared" si="1604"/>
        <v>0</v>
      </c>
      <c r="X2081" s="508">
        <f t="shared" si="1605"/>
        <v>0</v>
      </c>
      <c r="Y2081" s="509" t="b">
        <f t="shared" si="1606"/>
        <v>0</v>
      </c>
      <c r="Z2081" s="510">
        <f t="shared" si="1607"/>
        <v>0</v>
      </c>
      <c r="AA2081" s="511"/>
      <c r="AB2081" s="511" t="str">
        <f t="shared" si="1608"/>
        <v/>
      </c>
      <c r="AC2081" s="698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698"/>
      <c r="AE2081" s="631" t="str">
        <f t="shared" si="1609"/>
        <v/>
      </c>
      <c r="AF2081" s="699" t="str">
        <f t="shared" si="1610"/>
        <v/>
      </c>
      <c r="AG2081" s="699"/>
      <c r="AH2081" s="699"/>
      <c r="AI2081" s="512">
        <f>IF(H2081="credit",0,IF(AE2081="free",0,IF(AE2081="me",0,IF(G2081&gt;0,(VLOOKUP(A2081,'Discount Lookup'!J:K,2)*G2081),0))))</f>
        <v>0</v>
      </c>
      <c r="AJ2081" s="513" t="str">
        <f t="shared" ca="1" si="1611"/>
        <v/>
      </c>
      <c r="AK2081" s="700" t="str">
        <f t="shared" si="1612"/>
        <v/>
      </c>
      <c r="AL2081" s="700"/>
      <c r="AM2081" s="505" t="str">
        <f t="shared" si="1613"/>
        <v/>
      </c>
      <c r="AN2081" s="506"/>
      <c r="AO2081" s="507"/>
      <c r="AP2081" s="507"/>
      <c r="AQ2081" s="507"/>
      <c r="AR2081" s="507"/>
      <c r="AS2081" s="507"/>
      <c r="AT2081" s="507"/>
      <c r="AU2081" s="507"/>
      <c r="AV2081" s="225"/>
      <c r="AW2081" s="508"/>
      <c r="AX2081" s="225"/>
      <c r="AY2081" s="225"/>
      <c r="AZ2081" s="225"/>
      <c r="BA2081" s="225"/>
      <c r="BB2081" s="225"/>
      <c r="BC2081" s="56"/>
      <c r="BD2081" s="56"/>
      <c r="BE2081" s="56"/>
      <c r="BF2081" s="107" t="str">
        <f t="shared" si="1614"/>
        <v>https://www.google.com/search?tbm=isch&amp;q=10%20G4</v>
      </c>
      <c r="BG2081" s="107" t="str">
        <f t="shared" si="1615"/>
        <v>K</v>
      </c>
      <c r="BH2081" s="254"/>
      <c r="BI2081" s="254"/>
    </row>
    <row r="2082" spans="1:61" customFormat="1" ht="15.75" x14ac:dyDescent="0.25">
      <c r="A2082" s="276">
        <v>15</v>
      </c>
      <c r="B2082" s="240" t="s">
        <v>291</v>
      </c>
      <c r="C2082" s="241" t="s">
        <v>4526</v>
      </c>
      <c r="D2082" s="242" t="s">
        <v>300</v>
      </c>
      <c r="E2082" s="243">
        <v>377.95</v>
      </c>
      <c r="F2082" s="517" t="s">
        <v>293</v>
      </c>
      <c r="G2082" s="232">
        <v>0</v>
      </c>
      <c r="H2082" s="661" t="str">
        <f>IF(G2082=0,"",IF(F2082="Buy",IF(G2082=1,"plant","plants"),IF(F2082&gt;0.01,"warranty","Error")))</f>
        <v/>
      </c>
      <c r="I2082" s="244">
        <f>IF(H2082="free",0,IF(H2082="credit",((E2082*(F2082))*G2082*-1),IF(F2082="Buy",(E2082*G2082),((E2082*(1-F2082))*G2082))))</f>
        <v>0</v>
      </c>
      <c r="J2082" s="244">
        <f>IF(H2082="warranty",0,(I2082*(_xlfn.SINGLE(SalesTaxPercentage))))</f>
        <v>0</v>
      </c>
      <c r="K2082" s="696">
        <f t="shared" ref="K2082" si="1627">I2082+J2082</f>
        <v>0</v>
      </c>
      <c r="L2082" s="696"/>
      <c r="M2082" s="659" t="str">
        <f>IF(AND(G2082&gt;0,E2082=0),"WARNING - no PRICE inserted",IF(H2082="free"," FREE ~ no charge this plant",IF(H2082="credit",CONCATENATE(" -$",ROUND(K2082*(1-T2GDiscount)*-1,2)," CREDIT after discount"),IF(T2GDiscount=0,"",IF(G2082=0,"",IF(F2082="Buy",CONCATENATE(" $",ROUND(K2082*(1-T2GDiscount),2)," with ",(T2GDiscount*100),"% discount"),CONCATENATE(" $",ROUND(K2082*(1-T2GDiscount),2)," with ",((T2GDiscount*100+F2082*100)-(T2GDiscount*100*F2082)),IF(F2082&gt;0,"% discounts",IF(NoWarrantyDiscount&gt;0,"% discounts","% discount")))))))))</f>
        <v/>
      </c>
      <c r="N2082" s="660"/>
      <c r="O2082" s="233"/>
      <c r="P2082" s="233"/>
      <c r="Q2082" s="233"/>
      <c r="R2082" s="233"/>
      <c r="S2082" s="233"/>
      <c r="T2082" s="508">
        <f t="shared" si="1603"/>
        <v>0</v>
      </c>
      <c r="U2082" s="225">
        <f>IF(NOT(ISNUMBER(G2082)), "", VLOOKUP(A2082,'Discount Lookup'!D:E,2,FALSE)*G2082)</f>
        <v>0</v>
      </c>
      <c r="V2082" s="225">
        <f>IF(NOT(ISNUMBER(G2082)), "", VLOOKUP(A2082,'Discount Lookup'!G:H,2,FALSE)*G2082)</f>
        <v>0</v>
      </c>
      <c r="W2082" s="508">
        <f t="shared" si="1604"/>
        <v>0</v>
      </c>
      <c r="X2082" s="508">
        <f t="shared" si="1605"/>
        <v>0</v>
      </c>
      <c r="Y2082" s="509" t="b">
        <f t="shared" si="1606"/>
        <v>0</v>
      </c>
      <c r="Z2082" s="510">
        <f t="shared" si="1607"/>
        <v>0</v>
      </c>
      <c r="AA2082" s="511"/>
      <c r="AB2082" s="511" t="str">
        <f t="shared" si="1608"/>
        <v/>
      </c>
      <c r="AC2082" s="698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698"/>
      <c r="AE2082" s="631" t="str">
        <f t="shared" si="1609"/>
        <v/>
      </c>
      <c r="AF2082" s="699" t="str">
        <f t="shared" si="1610"/>
        <v/>
      </c>
      <c r="AG2082" s="699"/>
      <c r="AH2082" s="699"/>
      <c r="AI2082" s="512">
        <f>IF(H2082="credit",0,IF(AE2082="free",0,IF(AE2082="me",0,IF(G2082&gt;0,(VLOOKUP(A2082,'Discount Lookup'!J:K,2)*G2082),0))))</f>
        <v>0</v>
      </c>
      <c r="AJ2082" s="513" t="str">
        <f t="shared" ca="1" si="1611"/>
        <v/>
      </c>
      <c r="AK2082" s="700" t="str">
        <f t="shared" si="1612"/>
        <v/>
      </c>
      <c r="AL2082" s="700"/>
      <c r="AM2082" s="505" t="str">
        <f t="shared" si="1613"/>
        <v/>
      </c>
      <c r="AN2082" s="506"/>
      <c r="AO2082" s="507"/>
      <c r="AP2082" s="507"/>
      <c r="AQ2082" s="507"/>
      <c r="AR2082" s="507"/>
      <c r="AS2082" s="507"/>
      <c r="AT2082" s="507"/>
      <c r="AU2082" s="507"/>
      <c r="AV2082" s="225"/>
      <c r="AW2082" s="508"/>
      <c r="AX2082" s="225"/>
      <c r="AY2082" s="225"/>
      <c r="AZ2082" s="225"/>
      <c r="BA2082" s="225"/>
      <c r="BB2082" s="225"/>
      <c r="BC2082" s="56"/>
      <c r="BD2082" s="56"/>
      <c r="BE2082" s="56"/>
      <c r="BF2082" s="107" t="str">
        <f t="shared" si="1614"/>
        <v>https://www.google.com/search?tbm=isch&amp;q=15%20G6</v>
      </c>
      <c r="BG2082" s="107" t="str">
        <f t="shared" si="1615"/>
        <v>K</v>
      </c>
      <c r="BH2082" s="254"/>
      <c r="BI2082" s="254"/>
    </row>
    <row r="2083" spans="1:61" customFormat="1" ht="17.25" thickBot="1" x14ac:dyDescent="0.3">
      <c r="A2083" s="524" t="s">
        <v>2418</v>
      </c>
      <c r="B2083" s="245"/>
      <c r="C2083" s="677"/>
      <c r="D2083" s="499"/>
      <c r="E2083" s="499"/>
      <c r="F2083" s="500"/>
      <c r="G2083" s="501"/>
      <c r="H2083" s="502"/>
      <c r="I2083" s="246"/>
      <c r="J2083" s="247"/>
      <c r="K2083" s="503"/>
      <c r="L2083" s="544"/>
      <c r="M2083" s="544"/>
      <c r="N2083" s="500"/>
      <c r="O2083" s="500"/>
      <c r="P2083" s="500"/>
      <c r="Q2083" s="500"/>
      <c r="R2083" s="500"/>
      <c r="S2083" s="669" t="s">
        <v>4976</v>
      </c>
      <c r="T2083" s="508">
        <f t="shared" si="1603"/>
        <v>0</v>
      </c>
      <c r="U2083" s="225" t="str">
        <f>IF(NOT(ISNUMBER(G2083)), "", VLOOKUP(A2083,'Discount Lookup'!D:E,2,FALSE)*G2083)</f>
        <v/>
      </c>
      <c r="V2083" s="225" t="str">
        <f>IF(NOT(ISNUMBER(G2083)), "", VLOOKUP(A2083,'Discount Lookup'!G:H,2,FALSE)*G2083)</f>
        <v/>
      </c>
      <c r="W2083" s="508">
        <f t="shared" si="1604"/>
        <v>0</v>
      </c>
      <c r="X2083" s="508">
        <f t="shared" si="1605"/>
        <v>0</v>
      </c>
      <c r="Y2083" s="509" t="b">
        <f t="shared" si="1606"/>
        <v>0</v>
      </c>
      <c r="Z2083" s="510">
        <f t="shared" si="1607"/>
        <v>0</v>
      </c>
      <c r="AA2083" s="511"/>
      <c r="AB2083" s="511" t="str">
        <f t="shared" si="1608"/>
        <v/>
      </c>
      <c r="AC2083" s="698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698"/>
      <c r="AE2083" s="631" t="str">
        <f t="shared" si="1609"/>
        <v/>
      </c>
      <c r="AF2083" s="699" t="str">
        <f t="shared" si="1610"/>
        <v/>
      </c>
      <c r="AG2083" s="699"/>
      <c r="AH2083" s="699"/>
      <c r="AI2083" s="512">
        <f>IF(H2083="credit",0,IF(AE2083="free",0,IF(AE2083="me",0,IF(G2083&gt;0,(VLOOKUP(A2083,'Discount Lookup'!J:K,2)*G2083),0))))</f>
        <v>0</v>
      </c>
      <c r="AJ2083" s="513" t="str">
        <f t="shared" ca="1" si="1611"/>
        <v/>
      </c>
      <c r="AK2083" s="700" t="str">
        <f t="shared" si="1612"/>
        <v/>
      </c>
      <c r="AL2083" s="700"/>
      <c r="AM2083" s="505" t="str">
        <f t="shared" si="1613"/>
        <v/>
      </c>
      <c r="AN2083" s="506"/>
      <c r="AO2083" s="507"/>
      <c r="AP2083" s="507"/>
      <c r="AQ2083" s="507"/>
      <c r="AR2083" s="507"/>
      <c r="AS2083" s="507"/>
      <c r="AT2083" s="507"/>
      <c r="AU2083" s="507"/>
      <c r="AV2083" s="225"/>
      <c r="AW2083" s="508"/>
      <c r="AX2083" s="225"/>
      <c r="AY2083" s="225"/>
      <c r="AZ2083" s="225"/>
      <c r="BA2083" s="225"/>
      <c r="BB2083" s="225"/>
      <c r="BC2083" s="56"/>
      <c r="BD2083" s="56"/>
      <c r="BE2083" s="56"/>
      <c r="BF2083" s="107" t="str">
        <f t="shared" si="1614"/>
        <v>https://www.google.com/search?tbm=isch&amp;q=Named%20after%20Kay%20Yow%2C%20NCSU%20Women%27s%20Basketball%20Coach.%20Blooms%20same%20time%20as%20tournament.%20From%20JC%20Raulston%20</v>
      </c>
      <c r="BG2083" s="107" t="str">
        <f t="shared" si="1615"/>
        <v>N</v>
      </c>
      <c r="BH2083" s="254"/>
      <c r="BI2083" s="254"/>
    </row>
    <row r="2084" spans="1:61" customFormat="1" ht="18" x14ac:dyDescent="0.25">
      <c r="A2084" s="523" t="s">
        <v>1206</v>
      </c>
      <c r="B2084" s="235"/>
      <c r="C2084" s="676"/>
      <c r="D2084" s="255" t="s">
        <v>1207</v>
      </c>
      <c r="E2084" s="236"/>
      <c r="F2084" s="236"/>
      <c r="G2084" s="236"/>
      <c r="H2084" s="582" t="s">
        <v>2155</v>
      </c>
      <c r="I2084" s="498" t="s">
        <v>654</v>
      </c>
      <c r="J2084" s="237"/>
      <c r="K2084" s="237"/>
      <c r="L2084" s="274"/>
      <c r="M2084" s="668" t="s">
        <v>4975</v>
      </c>
      <c r="N2084" s="681" t="str">
        <f>IF(AND(ISTEXT($A2084), ISERROR($A2084+0)), HYPERLINK($BF2084, "Images"), "")</f>
        <v>Images</v>
      </c>
      <c r="O2084" s="663" t="s">
        <v>4969</v>
      </c>
      <c r="P2084" s="253"/>
      <c r="Q2084" s="238"/>
      <c r="R2084" s="239"/>
      <c r="S2084" s="275" t="s">
        <v>305</v>
      </c>
      <c r="T2084" s="508">
        <f t="shared" si="1603"/>
        <v>0</v>
      </c>
      <c r="U2084" s="225" t="str">
        <f>IF(NOT(ISNUMBER(G2084)), "", VLOOKUP(A2084,'Discount Lookup'!D:E,2,FALSE)*G2084)</f>
        <v/>
      </c>
      <c r="V2084" s="225" t="str">
        <f>IF(NOT(ISNUMBER(G2084)), "", VLOOKUP(A2084,'Discount Lookup'!G:H,2,FALSE)*G2084)</f>
        <v/>
      </c>
      <c r="W2084" s="508">
        <f t="shared" si="1604"/>
        <v>0</v>
      </c>
      <c r="X2084" s="508" t="str">
        <f t="shared" si="1605"/>
        <v>White bloom</v>
      </c>
      <c r="Y2084" s="509" t="b">
        <f t="shared" si="1606"/>
        <v>0</v>
      </c>
      <c r="Z2084" s="510">
        <f t="shared" si="1607"/>
        <v>0</v>
      </c>
      <c r="AA2084" s="511"/>
      <c r="AB2084" s="511" t="str">
        <f t="shared" si="1608"/>
        <v/>
      </c>
      <c r="AC2084" s="698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698"/>
      <c r="AE2084" s="631" t="str">
        <f t="shared" si="1609"/>
        <v/>
      </c>
      <c r="AF2084" s="699" t="str">
        <f t="shared" si="1610"/>
        <v/>
      </c>
      <c r="AG2084" s="699"/>
      <c r="AH2084" s="699"/>
      <c r="AI2084" s="512">
        <f>IF(H2084="credit",0,IF(AE2084="free",0,IF(AE2084="me",0,IF(G2084&gt;0,(VLOOKUP(A2084,'Discount Lookup'!J:K,2)*G2084),0))))</f>
        <v>0</v>
      </c>
      <c r="AJ2084" s="513" t="str">
        <f t="shared" ca="1" si="1611"/>
        <v/>
      </c>
      <c r="AK2084" s="700" t="str">
        <f t="shared" si="1612"/>
        <v/>
      </c>
      <c r="AL2084" s="700"/>
      <c r="AM2084" s="505" t="str">
        <f t="shared" si="1613"/>
        <v/>
      </c>
      <c r="AN2084" s="506"/>
      <c r="AO2084" s="507"/>
      <c r="AP2084" s="507"/>
      <c r="AQ2084" s="507"/>
      <c r="AR2084" s="507"/>
      <c r="AS2084" s="507"/>
      <c r="AT2084" s="507"/>
      <c r="AU2084" s="507"/>
      <c r="AV2084" s="225"/>
      <c r="AW2084" s="508"/>
      <c r="AX2084" s="225"/>
      <c r="AY2084" s="225"/>
      <c r="AZ2084" s="225"/>
      <c r="BA2084" s="225"/>
      <c r="BB2084" s="225"/>
      <c r="BC2084" s="56"/>
      <c r="BD2084" s="56"/>
      <c r="BE2084" s="56"/>
      <c r="BF2084" s="107" t="str">
        <f t="shared" si="1614"/>
        <v>https://www.google.com/search?tbm=isch&amp;q=Kentucky%20Yellowwood%20Cladrastis%20kentukea</v>
      </c>
      <c r="BG2084" s="107" t="str">
        <f t="shared" si="1615"/>
        <v>K</v>
      </c>
      <c r="BH2084" s="254"/>
      <c r="BI2084" s="254"/>
    </row>
    <row r="2085" spans="1:61" customFormat="1" ht="15.75" x14ac:dyDescent="0.25">
      <c r="A2085" s="276">
        <v>7</v>
      </c>
      <c r="B2085" s="240" t="s">
        <v>291</v>
      </c>
      <c r="C2085" s="241" t="s">
        <v>3593</v>
      </c>
      <c r="D2085" s="242" t="s">
        <v>292</v>
      </c>
      <c r="E2085" s="243">
        <v>153.94999999999999</v>
      </c>
      <c r="F2085" s="517" t="s">
        <v>293</v>
      </c>
      <c r="G2085" s="232">
        <v>0</v>
      </c>
      <c r="H2085" s="661" t="str">
        <f>IF(G2085=0,"",IF(F2085="Buy",IF(G2085=1,"plant","plants"),IF(F2085&gt;0.01,"warranty","Error")))</f>
        <v/>
      </c>
      <c r="I2085" s="244">
        <f>IF(H2085="free",0,IF(H2085="credit",((E2085*(F2085))*G2085*-1),IF(F2085="Buy",(E2085*G2085),((E2085*(1-F2085))*G2085))))</f>
        <v>0</v>
      </c>
      <c r="J2085" s="244">
        <f>IF(H2085="warranty",0,(I2085*(_xlfn.SINGLE(SalesTaxPercentage))))</f>
        <v>0</v>
      </c>
      <c r="K2085" s="696">
        <f t="shared" ref="K2085" si="1628">I2085+J2085</f>
        <v>0</v>
      </c>
      <c r="L2085" s="696"/>
      <c r="M2085" s="659" t="str">
        <f>IF(AND(G2085&gt;0,E2085=0),"WARNING - no PRICE inserted",IF(H2085="free"," FREE ~ no charge this plant",IF(H2085="credit",CONCATENATE(" -$",ROUND(K2085*(1-T2GDiscount)*-1,2)," CREDIT after discount"),IF(T2GDiscount=0,"",IF(G2085=0,"",IF(F2085="Buy",CONCATENATE(" $",ROUND(K2085*(1-T2GDiscount),2)," with ",(T2GDiscount*100),"% discount"),CONCATENATE(" $",ROUND(K2085*(1-T2GDiscount),2)," with ",((T2GDiscount*100+F2085*100)-(T2GDiscount*100*F2085)),IF(F2085&gt;0,"% discounts",IF(NoWarrantyDiscount&gt;0,"% discounts","% discount")))))))))</f>
        <v/>
      </c>
      <c r="N2085" s="660"/>
      <c r="O2085" s="233"/>
      <c r="P2085" s="233"/>
      <c r="Q2085" s="233"/>
      <c r="R2085" s="233"/>
      <c r="S2085" s="233"/>
      <c r="T2085" s="508">
        <f t="shared" si="1603"/>
        <v>0</v>
      </c>
      <c r="U2085" s="225">
        <f>IF(NOT(ISNUMBER(G2085)), "", VLOOKUP(A2085,'Discount Lookup'!D:E,2,FALSE)*G2085)</f>
        <v>0</v>
      </c>
      <c r="V2085" s="225">
        <f>IF(NOT(ISNUMBER(G2085)), "", VLOOKUP(A2085,'Discount Lookup'!G:H,2,FALSE)*G2085)</f>
        <v>0</v>
      </c>
      <c r="W2085" s="508">
        <f t="shared" si="1604"/>
        <v>0</v>
      </c>
      <c r="X2085" s="508">
        <f t="shared" si="1605"/>
        <v>0</v>
      </c>
      <c r="Y2085" s="509" t="b">
        <f t="shared" si="1606"/>
        <v>0</v>
      </c>
      <c r="Z2085" s="510">
        <f t="shared" si="1607"/>
        <v>0</v>
      </c>
      <c r="AA2085" s="511"/>
      <c r="AB2085" s="511" t="str">
        <f t="shared" si="1608"/>
        <v/>
      </c>
      <c r="AC2085" s="698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698"/>
      <c r="AE2085" s="631" t="str">
        <f t="shared" si="1609"/>
        <v/>
      </c>
      <c r="AF2085" s="699" t="str">
        <f t="shared" si="1610"/>
        <v/>
      </c>
      <c r="AG2085" s="699"/>
      <c r="AH2085" s="699"/>
      <c r="AI2085" s="512">
        <f>IF(H2085="credit",0,IF(AE2085="free",0,IF(AE2085="me",0,IF(G2085&gt;0,(VLOOKUP(A2085,'Discount Lookup'!J:K,2)*G2085),0))))</f>
        <v>0</v>
      </c>
      <c r="AJ2085" s="513" t="str">
        <f t="shared" ca="1" si="1611"/>
        <v/>
      </c>
      <c r="AK2085" s="700" t="str">
        <f t="shared" si="1612"/>
        <v/>
      </c>
      <c r="AL2085" s="700"/>
      <c r="AM2085" s="505" t="str">
        <f t="shared" si="1613"/>
        <v/>
      </c>
      <c r="AN2085" s="506"/>
      <c r="AO2085" s="507"/>
      <c r="AP2085" s="507"/>
      <c r="AQ2085" s="507"/>
      <c r="AR2085" s="507"/>
      <c r="AS2085" s="507"/>
      <c r="AT2085" s="507"/>
      <c r="AU2085" s="507"/>
      <c r="AV2085" s="225"/>
      <c r="AW2085" s="508"/>
      <c r="AX2085" s="225"/>
      <c r="AY2085" s="225"/>
      <c r="AZ2085" s="225"/>
      <c r="BA2085" s="225"/>
      <c r="BB2085" s="225"/>
      <c r="BC2085" s="56"/>
      <c r="BD2085" s="56"/>
      <c r="BE2085" s="56"/>
      <c r="BF2085" s="107" t="str">
        <f t="shared" si="1614"/>
        <v>https://www.google.com/search?tbm=isch&amp;q=7%20G4</v>
      </c>
      <c r="BG2085" s="107" t="str">
        <f t="shared" si="1615"/>
        <v>K</v>
      </c>
      <c r="BH2085" s="254"/>
      <c r="BI2085" s="254"/>
    </row>
    <row r="2086" spans="1:61" customFormat="1" ht="17.25" thickBot="1" x14ac:dyDescent="0.3">
      <c r="A2086" s="524" t="s">
        <v>2419</v>
      </c>
      <c r="B2086" s="245"/>
      <c r="C2086" s="677"/>
      <c r="D2086" s="499"/>
      <c r="E2086" s="499"/>
      <c r="F2086" s="500"/>
      <c r="G2086" s="501"/>
      <c r="H2086" s="502"/>
      <c r="I2086" s="246"/>
      <c r="J2086" s="247"/>
      <c r="K2086" s="503"/>
      <c r="L2086" s="544"/>
      <c r="M2086" s="544"/>
      <c r="N2086" s="500"/>
      <c r="O2086" s="500"/>
      <c r="P2086" s="500"/>
      <c r="Q2086" s="500"/>
      <c r="R2086" s="500"/>
      <c r="S2086" s="669" t="s">
        <v>4993</v>
      </c>
      <c r="T2086" s="508">
        <f t="shared" si="1603"/>
        <v>0</v>
      </c>
      <c r="U2086" s="225" t="str">
        <f>IF(NOT(ISNUMBER(G2086)), "", VLOOKUP(A2086,'Discount Lookup'!D:E,2,FALSE)*G2086)</f>
        <v/>
      </c>
      <c r="V2086" s="225" t="str">
        <f>IF(NOT(ISNUMBER(G2086)), "", VLOOKUP(A2086,'Discount Lookup'!G:H,2,FALSE)*G2086)</f>
        <v/>
      </c>
      <c r="W2086" s="508">
        <f t="shared" si="1604"/>
        <v>0</v>
      </c>
      <c r="X2086" s="508">
        <f t="shared" si="1605"/>
        <v>0</v>
      </c>
      <c r="Y2086" s="509" t="b">
        <f t="shared" si="1606"/>
        <v>0</v>
      </c>
      <c r="Z2086" s="510">
        <f t="shared" si="1607"/>
        <v>0</v>
      </c>
      <c r="AA2086" s="511"/>
      <c r="AB2086" s="511" t="str">
        <f t="shared" si="1608"/>
        <v/>
      </c>
      <c r="AC2086" s="698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698"/>
      <c r="AE2086" s="631" t="str">
        <f t="shared" si="1609"/>
        <v/>
      </c>
      <c r="AF2086" s="699" t="str">
        <f t="shared" si="1610"/>
        <v/>
      </c>
      <c r="AG2086" s="699"/>
      <c r="AH2086" s="699"/>
      <c r="AI2086" s="512">
        <f>IF(H2086="credit",0,IF(AE2086="free",0,IF(AE2086="me",0,IF(G2086&gt;0,(VLOOKUP(A2086,'Discount Lookup'!J:K,2)*G2086),0))))</f>
        <v>0</v>
      </c>
      <c r="AJ2086" s="513" t="str">
        <f t="shared" ca="1" si="1611"/>
        <v/>
      </c>
      <c r="AK2086" s="700" t="str">
        <f t="shared" si="1612"/>
        <v/>
      </c>
      <c r="AL2086" s="700"/>
      <c r="AM2086" s="505" t="str">
        <f t="shared" si="1613"/>
        <v/>
      </c>
      <c r="AN2086" s="506"/>
      <c r="AO2086" s="507"/>
      <c r="AP2086" s="507"/>
      <c r="AQ2086" s="507"/>
      <c r="AR2086" s="507"/>
      <c r="AS2086" s="507"/>
      <c r="AT2086" s="507"/>
      <c r="AU2086" s="507"/>
      <c r="AV2086" s="225"/>
      <c r="AW2086" s="508"/>
      <c r="AX2086" s="225"/>
      <c r="AY2086" s="225"/>
      <c r="AZ2086" s="225"/>
      <c r="BA2086" s="225"/>
      <c r="BB2086" s="225"/>
      <c r="BC2086" s="56"/>
      <c r="BD2086" s="56"/>
      <c r="BE2086" s="56"/>
      <c r="BF2086" s="107" t="str">
        <f t="shared" si="1614"/>
        <v>https://www.google.com/search?tbm=isch&amp;q=Kentucky%20Yellowwood%20has%20spectaular%20bloom%2C%20but%20may%20take%208-10%20years%20to%20start%2C%20then%20blooms%20heavily%20only%20every%202-3%20years%20</v>
      </c>
      <c r="BG2086" s="107" t="str">
        <f t="shared" si="1615"/>
        <v>K</v>
      </c>
      <c r="BH2086" s="254"/>
      <c r="BI2086" s="254"/>
    </row>
    <row r="2087" spans="1:61" customFormat="1" ht="18" x14ac:dyDescent="0.25">
      <c r="A2087" s="521" t="s">
        <v>1208</v>
      </c>
      <c r="B2087" s="477"/>
      <c r="C2087" s="674"/>
      <c r="D2087" s="478" t="s">
        <v>1209</v>
      </c>
      <c r="E2087" s="479"/>
      <c r="F2087" s="479"/>
      <c r="G2087" s="479"/>
      <c r="H2087" s="582" t="s">
        <v>483</v>
      </c>
      <c r="I2087" s="480" t="s">
        <v>2293</v>
      </c>
      <c r="J2087" s="479"/>
      <c r="K2087" s="479"/>
      <c r="L2087" s="560"/>
      <c r="M2087" s="666" t="s">
        <v>4966</v>
      </c>
      <c r="N2087" s="680" t="str">
        <f>IF(AND(ISTEXT($A2087), ISERROR($A2087+0)), HYPERLINK($BF2087, "Images"), "")</f>
        <v>Images</v>
      </c>
      <c r="O2087" s="662" t="s">
        <v>4967</v>
      </c>
      <c r="P2087" s="482"/>
      <c r="Q2087" s="483"/>
      <c r="R2087" s="483"/>
      <c r="S2087" s="484"/>
      <c r="T2087" s="508">
        <f t="shared" si="1603"/>
        <v>0</v>
      </c>
      <c r="U2087" s="225" t="str">
        <f>IF(NOT(ISNUMBER(G2087)), "", VLOOKUP(A2087,'Discount Lookup'!D:E,2,FALSE)*G2087)</f>
        <v/>
      </c>
      <c r="V2087" s="225" t="str">
        <f>IF(NOT(ISNUMBER(G2087)), "", VLOOKUP(A2087,'Discount Lookup'!G:H,2,FALSE)*G2087)</f>
        <v/>
      </c>
      <c r="W2087" s="508">
        <f t="shared" si="1604"/>
        <v>0</v>
      </c>
      <c r="X2087" s="508" t="str">
        <f t="shared" si="1605"/>
        <v>Golden-Yellow foliage</v>
      </c>
      <c r="Y2087" s="509" t="b">
        <f t="shared" si="1606"/>
        <v>0</v>
      </c>
      <c r="Z2087" s="510">
        <f t="shared" si="1607"/>
        <v>0</v>
      </c>
      <c r="AA2087" s="511"/>
      <c r="AB2087" s="511" t="str">
        <f t="shared" si="1608"/>
        <v/>
      </c>
      <c r="AC2087" s="698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698"/>
      <c r="AE2087" s="631" t="str">
        <f t="shared" si="1609"/>
        <v/>
      </c>
      <c r="AF2087" s="699" t="str">
        <f t="shared" si="1610"/>
        <v/>
      </c>
      <c r="AG2087" s="699"/>
      <c r="AH2087" s="699"/>
      <c r="AI2087" s="512">
        <f>IF(H2087="credit",0,IF(AE2087="free",0,IF(AE2087="me",0,IF(G2087&gt;0,(VLOOKUP(A2087,'Discount Lookup'!J:K,2)*G2087),0))))</f>
        <v>0</v>
      </c>
      <c r="AJ2087" s="513" t="str">
        <f t="shared" ca="1" si="1611"/>
        <v/>
      </c>
      <c r="AK2087" s="700" t="str">
        <f t="shared" si="1612"/>
        <v/>
      </c>
      <c r="AL2087" s="700"/>
      <c r="AM2087" s="505" t="str">
        <f t="shared" si="1613"/>
        <v/>
      </c>
      <c r="AN2087" s="506"/>
      <c r="AO2087" s="507"/>
      <c r="AP2087" s="507"/>
      <c r="AQ2087" s="507"/>
      <c r="AR2087" s="507"/>
      <c r="AS2087" s="507"/>
      <c r="AT2087" s="507"/>
      <c r="AU2087" s="507"/>
      <c r="AV2087" s="225"/>
      <c r="AW2087" s="508"/>
      <c r="AX2087" s="225"/>
      <c r="AY2087" s="225"/>
      <c r="AZ2087" s="225"/>
      <c r="BA2087" s="225"/>
      <c r="BB2087" s="225"/>
      <c r="BC2087" s="56"/>
      <c r="BD2087" s="56"/>
      <c r="BE2087" s="56"/>
      <c r="BF2087" s="107" t="str">
        <f t="shared" si="1614"/>
        <v>https://www.google.com/search?tbm=isch&amp;q=King%27s%20Gold%20Threadleaf%20Cypress%20Chamaecyparis%20pisifera%20%27King%27s%20Gold%27</v>
      </c>
      <c r="BG2087" s="107" t="str">
        <f t="shared" si="1615"/>
        <v>K</v>
      </c>
      <c r="BH2087" s="254"/>
      <c r="BI2087" s="254"/>
    </row>
    <row r="2088" spans="1:61" customFormat="1" ht="15.75" x14ac:dyDescent="0.25">
      <c r="A2088" s="485">
        <v>3</v>
      </c>
      <c r="B2088" s="486" t="s">
        <v>291</v>
      </c>
      <c r="C2088" s="487" t="s">
        <v>1210</v>
      </c>
      <c r="D2088" s="488" t="s">
        <v>300</v>
      </c>
      <c r="E2088" s="489">
        <v>38.950000000000003</v>
      </c>
      <c r="F2088" s="516" t="s">
        <v>293</v>
      </c>
      <c r="G2088" s="232">
        <v>0</v>
      </c>
      <c r="H2088" s="658" t="str">
        <f>IF(G2088=0,"",IF(F2088="Buy",IF(G2088=1,"plant","plants"),IF(F2088&gt;0.01,"warranty","Error")))</f>
        <v/>
      </c>
      <c r="I2088" s="490">
        <f>IF(H2088="free",0,IF(H2088="credit",((E2088*(F2088))*G2088*-1),IF(F2088="Buy",(E2088*G2088),((E2088*(1-F2088))*G2088))))</f>
        <v>0</v>
      </c>
      <c r="J2088" s="490">
        <f>IF(H2088="warranty",0,(I2088*(_xlfn.SINGLE(SalesTaxPercentage))))</f>
        <v>0</v>
      </c>
      <c r="K2088" s="695">
        <f t="shared" ref="K2088" si="1629">I2088+J2088</f>
        <v>0</v>
      </c>
      <c r="L2088" s="695"/>
      <c r="M2088" s="659" t="str">
        <f>IF(AND(G2088&gt;0,E2088=0),"WARNING - no PRICE inserted",IF(H2088="free"," FREE ~ no charge this plant",IF(H2088="credit",CONCATENATE(" -$",ROUND(K2088*(1-T2GDiscount)*-1,2)," CREDIT after discount"),IF(T2GDiscount=0,"",IF(G2088=0,"",IF(F2088="Buy",CONCATENATE(" $",ROUND(K2088*(1-T2GDiscount),2)," with ",(T2GDiscount*100),"% discount"),CONCATENATE(" $",ROUND(K2088*(1-T2GDiscount),2)," with ",((T2GDiscount*100+F2088*100)-(T2GDiscount*100*F2088)),IF(F2088&gt;0,"% discounts",IF(NoWarrantyDiscount&gt;0,"% discounts","% discount")))))))))</f>
        <v/>
      </c>
      <c r="N2088" s="660"/>
      <c r="O2088" s="233"/>
      <c r="P2088" s="233"/>
      <c r="Q2088" s="233"/>
      <c r="R2088" s="233"/>
      <c r="S2088" s="233"/>
      <c r="T2088" s="508">
        <f t="shared" si="1603"/>
        <v>0</v>
      </c>
      <c r="U2088" s="225">
        <f>IF(NOT(ISNUMBER(G2088)), "", VLOOKUP(A2088,'Discount Lookup'!D:E,2,FALSE)*G2088)</f>
        <v>0</v>
      </c>
      <c r="V2088" s="225">
        <f>IF(NOT(ISNUMBER(G2088)), "", VLOOKUP(A2088,'Discount Lookup'!G:H,2,FALSE)*G2088)</f>
        <v>0</v>
      </c>
      <c r="W2088" s="508">
        <f t="shared" si="1604"/>
        <v>0</v>
      </c>
      <c r="X2088" s="508">
        <f t="shared" si="1605"/>
        <v>0</v>
      </c>
      <c r="Y2088" s="509" t="b">
        <f t="shared" si="1606"/>
        <v>0</v>
      </c>
      <c r="Z2088" s="510">
        <f t="shared" si="1607"/>
        <v>0</v>
      </c>
      <c r="AA2088" s="511"/>
      <c r="AB2088" s="511" t="str">
        <f t="shared" si="1608"/>
        <v/>
      </c>
      <c r="AC2088" s="698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698"/>
      <c r="AE2088" s="631" t="str">
        <f t="shared" si="1609"/>
        <v/>
      </c>
      <c r="AF2088" s="699" t="str">
        <f t="shared" si="1610"/>
        <v/>
      </c>
      <c r="AG2088" s="699"/>
      <c r="AH2088" s="699"/>
      <c r="AI2088" s="512">
        <f>IF(H2088="credit",0,IF(AE2088="free",0,IF(AE2088="me",0,IF(G2088&gt;0,(VLOOKUP(A2088,'Discount Lookup'!J:K,2)*G2088),0))))</f>
        <v>0</v>
      </c>
      <c r="AJ2088" s="513" t="str">
        <f t="shared" ca="1" si="1611"/>
        <v/>
      </c>
      <c r="AK2088" s="700" t="str">
        <f t="shared" si="1612"/>
        <v/>
      </c>
      <c r="AL2088" s="700"/>
      <c r="AM2088" s="505" t="str">
        <f t="shared" si="1613"/>
        <v/>
      </c>
      <c r="AN2088" s="506"/>
      <c r="AO2088" s="507"/>
      <c r="AP2088" s="507"/>
      <c r="AQ2088" s="507"/>
      <c r="AR2088" s="507"/>
      <c r="AS2088" s="507"/>
      <c r="AT2088" s="507"/>
      <c r="AU2088" s="507"/>
      <c r="AV2088" s="225"/>
      <c r="AW2088" s="508"/>
      <c r="AX2088" s="225"/>
      <c r="AY2088" s="225"/>
      <c r="AZ2088" s="225"/>
      <c r="BA2088" s="225"/>
      <c r="BB2088" s="225"/>
      <c r="BC2088" s="56"/>
      <c r="BD2088" s="56"/>
      <c r="BE2088" s="56"/>
      <c r="BF2088" s="107" t="str">
        <f t="shared" si="1614"/>
        <v>https://www.google.com/search?tbm=isch&amp;q=3%20G6</v>
      </c>
      <c r="BG2088" s="107" t="str">
        <f t="shared" si="1615"/>
        <v>K</v>
      </c>
      <c r="BH2088" s="254"/>
      <c r="BI2088" s="254"/>
    </row>
    <row r="2089" spans="1:61" customFormat="1" ht="17.25" thickBot="1" x14ac:dyDescent="0.3">
      <c r="A2089" s="672" t="s">
        <v>5156</v>
      </c>
      <c r="B2089" s="491"/>
      <c r="C2089" s="675"/>
      <c r="D2089" s="491"/>
      <c r="E2089" s="491"/>
      <c r="F2089" s="492"/>
      <c r="G2089" s="493"/>
      <c r="H2089" s="491"/>
      <c r="I2089" s="234"/>
      <c r="J2089" s="234"/>
      <c r="K2089" s="494"/>
      <c r="L2089" s="543"/>
      <c r="M2089" s="561"/>
      <c r="N2089" s="495"/>
      <c r="O2089" s="496"/>
      <c r="P2089" s="497"/>
      <c r="Q2089" s="495"/>
      <c r="R2089" s="495"/>
      <c r="S2089" s="667" t="s">
        <v>4984</v>
      </c>
      <c r="T2089" s="508">
        <f t="shared" si="1603"/>
        <v>0</v>
      </c>
      <c r="U2089" s="225" t="str">
        <f>IF(NOT(ISNUMBER(G2089)), "", VLOOKUP(A2089,'Discount Lookup'!D:E,2,FALSE)*G2089)</f>
        <v/>
      </c>
      <c r="V2089" s="225" t="str">
        <f>IF(NOT(ISNUMBER(G2089)), "", VLOOKUP(A2089,'Discount Lookup'!G:H,2,FALSE)*G2089)</f>
        <v/>
      </c>
      <c r="W2089" s="508">
        <f t="shared" si="1604"/>
        <v>0</v>
      </c>
      <c r="X2089" s="508">
        <f t="shared" si="1605"/>
        <v>0</v>
      </c>
      <c r="Y2089" s="509" t="b">
        <f t="shared" si="1606"/>
        <v>0</v>
      </c>
      <c r="Z2089" s="510">
        <f t="shared" si="1607"/>
        <v>0</v>
      </c>
      <c r="AA2089" s="511"/>
      <c r="AB2089" s="511" t="str">
        <f t="shared" si="1608"/>
        <v/>
      </c>
      <c r="AC2089" s="698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698"/>
      <c r="AE2089" s="631" t="str">
        <f t="shared" si="1609"/>
        <v/>
      </c>
      <c r="AF2089" s="699" t="str">
        <f t="shared" si="1610"/>
        <v/>
      </c>
      <c r="AG2089" s="699"/>
      <c r="AH2089" s="699"/>
      <c r="AI2089" s="512">
        <f>IF(H2089="credit",0,IF(AE2089="free",0,IF(AE2089="me",0,IF(G2089&gt;0,(VLOOKUP(A2089,'Discount Lookup'!J:K,2)*G2089),0))))</f>
        <v>0</v>
      </c>
      <c r="AJ2089" s="513" t="str">
        <f t="shared" ca="1" si="1611"/>
        <v/>
      </c>
      <c r="AK2089" s="700" t="str">
        <f t="shared" si="1612"/>
        <v/>
      </c>
      <c r="AL2089" s="700"/>
      <c r="AM2089" s="505" t="str">
        <f t="shared" si="1613"/>
        <v/>
      </c>
      <c r="AN2089" s="506"/>
      <c r="AO2089" s="507"/>
      <c r="AP2089" s="507"/>
      <c r="AQ2089" s="507"/>
      <c r="AR2089" s="507"/>
      <c r="AS2089" s="507"/>
      <c r="AT2089" s="507"/>
      <c r="AU2089" s="507"/>
      <c r="AV2089" s="225"/>
      <c r="AW2089" s="508"/>
      <c r="AX2089" s="225"/>
      <c r="AY2089" s="225"/>
      <c r="AZ2089" s="225"/>
      <c r="BA2089" s="225"/>
      <c r="BB2089" s="225"/>
      <c r="BC2089" s="56"/>
      <c r="BD2089" s="56"/>
      <c r="BE2089" s="56"/>
      <c r="BF2089" s="107" t="str">
        <f t="shared" si="1614"/>
        <v>https://www.google.com/search?tbm=isch&amp;q=moist%20sites%F0%9F%92%A7OK%2C%20King%E2%80%99s%20Gold%20stands%20out%20for%20its%20bright%2C%20thread-like%20foliage%20that%20resists%20fading%20even%20in%20hot%2C%20humid%20conditions%20</v>
      </c>
      <c r="BG2089" s="107" t="str">
        <f t="shared" si="1615"/>
        <v>m</v>
      </c>
      <c r="BH2089" s="254"/>
      <c r="BI2089" s="254"/>
    </row>
    <row r="2090" spans="1:61" customFormat="1" ht="18" x14ac:dyDescent="0.25">
      <c r="A2090" s="521" t="s">
        <v>1211</v>
      </c>
      <c r="B2090" s="477"/>
      <c r="C2090" s="674"/>
      <c r="D2090" s="478" t="s">
        <v>1212</v>
      </c>
      <c r="E2090" s="479"/>
      <c r="F2090" s="479"/>
      <c r="G2090" s="479"/>
      <c r="H2090" s="582" t="s">
        <v>443</v>
      </c>
      <c r="I2090" s="480" t="s">
        <v>654</v>
      </c>
      <c r="J2090" s="479"/>
      <c r="K2090" s="479"/>
      <c r="L2090" s="560"/>
      <c r="M2090" s="666" t="s">
        <v>4966</v>
      </c>
      <c r="N2090" s="680" t="str">
        <f>IF(AND(ISTEXT($A2090), ISERROR($A2090+0)), HYPERLINK($BF2090, "Images"), "")</f>
        <v>Images</v>
      </c>
      <c r="O2090" s="662" t="s">
        <v>4974</v>
      </c>
      <c r="P2090" s="482"/>
      <c r="Q2090" s="483"/>
      <c r="R2090" s="483"/>
      <c r="S2090" s="484"/>
      <c r="T2090" s="508">
        <f t="shared" si="1603"/>
        <v>0</v>
      </c>
      <c r="U2090" s="225" t="str">
        <f>IF(NOT(ISNUMBER(G2090)), "", VLOOKUP(A2090,'Discount Lookup'!D:E,2,FALSE)*G2090)</f>
        <v/>
      </c>
      <c r="V2090" s="225" t="str">
        <f>IF(NOT(ISNUMBER(G2090)), "", VLOOKUP(A2090,'Discount Lookup'!G:H,2,FALSE)*G2090)</f>
        <v/>
      </c>
      <c r="W2090" s="508">
        <f t="shared" si="1604"/>
        <v>0</v>
      </c>
      <c r="X2090" s="508" t="str">
        <f t="shared" si="1605"/>
        <v>White bloom</v>
      </c>
      <c r="Y2090" s="509" t="b">
        <f t="shared" si="1606"/>
        <v>0</v>
      </c>
      <c r="Z2090" s="510">
        <f t="shared" si="1607"/>
        <v>0</v>
      </c>
      <c r="AA2090" s="511"/>
      <c r="AB2090" s="511" t="str">
        <f t="shared" si="1608"/>
        <v/>
      </c>
      <c r="AC2090" s="698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698"/>
      <c r="AE2090" s="631" t="str">
        <f t="shared" si="1609"/>
        <v/>
      </c>
      <c r="AF2090" s="699" t="str">
        <f t="shared" si="1610"/>
        <v/>
      </c>
      <c r="AG2090" s="699"/>
      <c r="AH2090" s="699"/>
      <c r="AI2090" s="512">
        <f>IF(H2090="credit",0,IF(AE2090="free",0,IF(AE2090="me",0,IF(G2090&gt;0,(VLOOKUP(A2090,'Discount Lookup'!J:K,2)*G2090),0))))</f>
        <v>0</v>
      </c>
      <c r="AJ2090" s="513" t="str">
        <f t="shared" ca="1" si="1611"/>
        <v/>
      </c>
      <c r="AK2090" s="700" t="str">
        <f t="shared" si="1612"/>
        <v/>
      </c>
      <c r="AL2090" s="700"/>
      <c r="AM2090" s="505" t="str">
        <f t="shared" si="1613"/>
        <v/>
      </c>
      <c r="AN2090" s="506"/>
      <c r="AO2090" s="507"/>
      <c r="AP2090" s="507"/>
      <c r="AQ2090" s="507"/>
      <c r="AR2090" s="507"/>
      <c r="AS2090" s="507"/>
      <c r="AT2090" s="507"/>
      <c r="AU2090" s="507"/>
      <c r="AV2090" s="225"/>
      <c r="AW2090" s="508"/>
      <c r="AX2090" s="225"/>
      <c r="AY2090" s="225"/>
      <c r="AZ2090" s="225"/>
      <c r="BA2090" s="225"/>
      <c r="BB2090" s="225"/>
      <c r="BC2090" s="56"/>
      <c r="BD2090" s="56"/>
      <c r="BE2090" s="56"/>
      <c r="BF2090" s="107" t="str">
        <f t="shared" si="1614"/>
        <v>https://www.google.com/search?tbm=isch&amp;q=Kleim%27s%20Hardy%20Gardenia%20Gardenia%20jasminoides%20%27Kleim%27s%20Hardy%27</v>
      </c>
      <c r="BG2090" s="107" t="str">
        <f t="shared" si="1615"/>
        <v>K</v>
      </c>
      <c r="BH2090" s="254"/>
      <c r="BI2090" s="254"/>
    </row>
    <row r="2091" spans="1:61" customFormat="1" ht="15.75" x14ac:dyDescent="0.25">
      <c r="A2091" s="485">
        <v>3</v>
      </c>
      <c r="B2091" s="486" t="s">
        <v>291</v>
      </c>
      <c r="C2091" s="487" t="s">
        <v>2761</v>
      </c>
      <c r="D2091" s="488" t="s">
        <v>297</v>
      </c>
      <c r="E2091" s="489">
        <v>24.95</v>
      </c>
      <c r="F2091" s="516" t="s">
        <v>293</v>
      </c>
      <c r="G2091" s="232">
        <v>0</v>
      </c>
      <c r="H2091" s="658" t="str">
        <f>IF(G2091=0,"",IF(F2091="Buy",IF(G2091=1,"plant","plants"),IF(F2091&gt;0.01,"warranty","Error")))</f>
        <v/>
      </c>
      <c r="I2091" s="490">
        <f>IF(H2091="free",0,IF(H2091="credit",((E2091*(F2091))*G2091*-1),IF(F2091="Buy",(E2091*G2091),((E2091*(1-F2091))*G2091))))</f>
        <v>0</v>
      </c>
      <c r="J2091" s="490">
        <f>IF(H2091="warranty",0,(I2091*(_xlfn.SINGLE(SalesTaxPercentage))))</f>
        <v>0</v>
      </c>
      <c r="K2091" s="695">
        <f t="shared" ref="K2091" si="1630">I2091+J2091</f>
        <v>0</v>
      </c>
      <c r="L2091" s="695"/>
      <c r="M2091" s="659" t="str">
        <f>IF(AND(G2091&gt;0,E2091=0),"WARNING - no PRICE inserted",IF(H2091="free"," FREE ~ no charge this plant",IF(H2091="credit",CONCATENATE(" -$",ROUND(K2091*(1-T2GDiscount)*-1,2)," CREDIT after discount"),IF(T2GDiscount=0,"",IF(G2091=0,"",IF(F2091="Buy",CONCATENATE(" $",ROUND(K2091*(1-T2GDiscount),2)," with ",(T2GDiscount*100),"% discount"),CONCATENATE(" $",ROUND(K2091*(1-T2GDiscount),2)," with ",((T2GDiscount*100+F2091*100)-(T2GDiscount*100*F2091)),IF(F2091&gt;0,"% discounts",IF(NoWarrantyDiscount&gt;0,"% discounts","% discount")))))))))</f>
        <v/>
      </c>
      <c r="N2091" s="660"/>
      <c r="O2091" s="233"/>
      <c r="P2091" s="233"/>
      <c r="Q2091" s="233"/>
      <c r="R2091" s="233"/>
      <c r="S2091" s="233"/>
      <c r="T2091" s="508">
        <f t="shared" si="1603"/>
        <v>0</v>
      </c>
      <c r="U2091" s="225">
        <f>IF(NOT(ISNUMBER(G2091)), "", VLOOKUP(A2091,'Discount Lookup'!D:E,2,FALSE)*G2091)</f>
        <v>0</v>
      </c>
      <c r="V2091" s="225">
        <f>IF(NOT(ISNUMBER(G2091)), "", VLOOKUP(A2091,'Discount Lookup'!G:H,2,FALSE)*G2091)</f>
        <v>0</v>
      </c>
      <c r="W2091" s="508">
        <f t="shared" si="1604"/>
        <v>0</v>
      </c>
      <c r="X2091" s="508">
        <f t="shared" si="1605"/>
        <v>0</v>
      </c>
      <c r="Y2091" s="509" t="b">
        <f t="shared" si="1606"/>
        <v>0</v>
      </c>
      <c r="Z2091" s="510">
        <f t="shared" si="1607"/>
        <v>0</v>
      </c>
      <c r="AA2091" s="511"/>
      <c r="AB2091" s="511" t="str">
        <f t="shared" si="1608"/>
        <v/>
      </c>
      <c r="AC2091" s="698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698"/>
      <c r="AE2091" s="631" t="str">
        <f t="shared" si="1609"/>
        <v/>
      </c>
      <c r="AF2091" s="699" t="str">
        <f t="shared" si="1610"/>
        <v/>
      </c>
      <c r="AG2091" s="699"/>
      <c r="AH2091" s="699"/>
      <c r="AI2091" s="512">
        <f>IF(H2091="credit",0,IF(AE2091="free",0,IF(AE2091="me",0,IF(G2091&gt;0,(VLOOKUP(A2091,'Discount Lookup'!J:K,2)*G2091),0))))</f>
        <v>0</v>
      </c>
      <c r="AJ2091" s="513" t="str">
        <f t="shared" ca="1" si="1611"/>
        <v/>
      </c>
      <c r="AK2091" s="700" t="str">
        <f t="shared" si="1612"/>
        <v/>
      </c>
      <c r="AL2091" s="700"/>
      <c r="AM2091" s="505" t="str">
        <f t="shared" si="1613"/>
        <v/>
      </c>
      <c r="AN2091" s="506"/>
      <c r="AO2091" s="507"/>
      <c r="AP2091" s="507"/>
      <c r="AQ2091" s="507"/>
      <c r="AR2091" s="507"/>
      <c r="AS2091" s="507"/>
      <c r="AT2091" s="507"/>
      <c r="AU2091" s="507"/>
      <c r="AV2091" s="225"/>
      <c r="AW2091" s="508"/>
      <c r="AX2091" s="225"/>
      <c r="AY2091" s="225"/>
      <c r="AZ2091" s="225"/>
      <c r="BA2091" s="225"/>
      <c r="BB2091" s="225"/>
      <c r="BC2091" s="56"/>
      <c r="BD2091" s="56"/>
      <c r="BE2091" s="56"/>
      <c r="BF2091" s="107" t="str">
        <f t="shared" si="1614"/>
        <v>https://www.google.com/search?tbm=isch&amp;q=3%20G3</v>
      </c>
      <c r="BG2091" s="107" t="str">
        <f t="shared" si="1615"/>
        <v>K</v>
      </c>
      <c r="BH2091" s="254"/>
      <c r="BI2091" s="254"/>
    </row>
    <row r="2092" spans="1:61" customFormat="1" ht="15.75" x14ac:dyDescent="0.25">
      <c r="A2092" s="485">
        <v>3</v>
      </c>
      <c r="B2092" s="486" t="s">
        <v>291</v>
      </c>
      <c r="C2092" s="487" t="s">
        <v>341</v>
      </c>
      <c r="D2092" s="488" t="s">
        <v>312</v>
      </c>
      <c r="E2092" s="489">
        <v>29.95</v>
      </c>
      <c r="F2092" s="516" t="s">
        <v>293</v>
      </c>
      <c r="G2092" s="232">
        <v>0</v>
      </c>
      <c r="H2092" s="658" t="str">
        <f>IF(G2092=0,"",IF(F2092="Buy",IF(G2092=1,"plant","plants"),IF(F2092&gt;0.01,"warranty","Error")))</f>
        <v/>
      </c>
      <c r="I2092" s="490">
        <f>IF(H2092="free",0,IF(H2092="credit",((E2092*(F2092))*G2092*-1),IF(F2092="Buy",(E2092*G2092),((E2092*(1-F2092))*G2092))))</f>
        <v>0</v>
      </c>
      <c r="J2092" s="490">
        <f>IF(H2092="warranty",0,(I2092*(_xlfn.SINGLE(SalesTaxPercentage))))</f>
        <v>0</v>
      </c>
      <c r="K2092" s="695">
        <f t="shared" ref="K2092" si="1631">I2092+J2092</f>
        <v>0</v>
      </c>
      <c r="L2092" s="695"/>
      <c r="M2092" s="659" t="str">
        <f>IF(AND(G2092&gt;0,E2092=0),"WARNING - no PRICE inserted",IF(H2092="free"," FREE ~ no charge this plant",IF(H2092="credit",CONCATENATE(" -$",ROUND(K2092*(1-T2GDiscount)*-1,2)," CREDIT after discount"),IF(T2GDiscount=0,"",IF(G2092=0,"",IF(F2092="Buy",CONCATENATE(" $",ROUND(K2092*(1-T2GDiscount),2)," with ",(T2GDiscount*100),"% discount"),CONCATENATE(" $",ROUND(K2092*(1-T2GDiscount),2)," with ",((T2GDiscount*100+F2092*100)-(T2GDiscount*100*F2092)),IF(F2092&gt;0,"% discounts",IF(NoWarrantyDiscount&gt;0,"% discounts","% discount")))))))))</f>
        <v/>
      </c>
      <c r="N2092" s="660"/>
      <c r="O2092" s="233"/>
      <c r="P2092" s="233"/>
      <c r="Q2092" s="233"/>
      <c r="R2092" s="233"/>
      <c r="S2092" s="233"/>
      <c r="T2092" s="508">
        <f t="shared" si="1603"/>
        <v>0</v>
      </c>
      <c r="U2092" s="225">
        <f>IF(NOT(ISNUMBER(G2092)), "", VLOOKUP(A2092,'Discount Lookup'!D:E,2,FALSE)*G2092)</f>
        <v>0</v>
      </c>
      <c r="V2092" s="225">
        <f>IF(NOT(ISNUMBER(G2092)), "", VLOOKUP(A2092,'Discount Lookup'!G:H,2,FALSE)*G2092)</f>
        <v>0</v>
      </c>
      <c r="W2092" s="508">
        <f t="shared" si="1604"/>
        <v>0</v>
      </c>
      <c r="X2092" s="508">
        <f t="shared" si="1605"/>
        <v>0</v>
      </c>
      <c r="Y2092" s="509" t="b">
        <f t="shared" si="1606"/>
        <v>0</v>
      </c>
      <c r="Z2092" s="510">
        <f t="shared" si="1607"/>
        <v>0</v>
      </c>
      <c r="AA2092" s="511"/>
      <c r="AB2092" s="511" t="str">
        <f t="shared" si="1608"/>
        <v/>
      </c>
      <c r="AC2092" s="698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698"/>
      <c r="AE2092" s="631" t="str">
        <f t="shared" si="1609"/>
        <v/>
      </c>
      <c r="AF2092" s="699" t="str">
        <f t="shared" si="1610"/>
        <v/>
      </c>
      <c r="AG2092" s="699"/>
      <c r="AH2092" s="699"/>
      <c r="AI2092" s="512">
        <f>IF(H2092="credit",0,IF(AE2092="free",0,IF(AE2092="me",0,IF(G2092&gt;0,(VLOOKUP(A2092,'Discount Lookup'!J:K,2)*G2092),0))))</f>
        <v>0</v>
      </c>
      <c r="AJ2092" s="513" t="str">
        <f t="shared" ca="1" si="1611"/>
        <v/>
      </c>
      <c r="AK2092" s="700" t="str">
        <f t="shared" si="1612"/>
        <v/>
      </c>
      <c r="AL2092" s="700"/>
      <c r="AM2092" s="505" t="str">
        <f t="shared" si="1613"/>
        <v/>
      </c>
      <c r="AN2092" s="506"/>
      <c r="AO2092" s="507"/>
      <c r="AP2092" s="507"/>
      <c r="AQ2092" s="507"/>
      <c r="AR2092" s="507"/>
      <c r="AS2092" s="507"/>
      <c r="AT2092" s="507"/>
      <c r="AU2092" s="507"/>
      <c r="AV2092" s="225"/>
      <c r="AW2092" s="508"/>
      <c r="AX2092" s="225"/>
      <c r="AY2092" s="225"/>
      <c r="AZ2092" s="225"/>
      <c r="BA2092" s="225"/>
      <c r="BB2092" s="225"/>
      <c r="BC2092" s="56"/>
      <c r="BD2092" s="56"/>
      <c r="BE2092" s="56"/>
      <c r="BF2092" s="107" t="str">
        <f t="shared" si="1614"/>
        <v>https://www.google.com/search?tbm=isch&amp;q=3%20G2</v>
      </c>
      <c r="BG2092" s="107" t="str">
        <f t="shared" si="1615"/>
        <v>K</v>
      </c>
      <c r="BH2092" s="254"/>
      <c r="BI2092" s="254"/>
    </row>
    <row r="2093" spans="1:61" customFormat="1" ht="15.75" x14ac:dyDescent="0.25">
      <c r="A2093" s="485">
        <v>3</v>
      </c>
      <c r="B2093" s="486" t="s">
        <v>291</v>
      </c>
      <c r="C2093" s="487"/>
      <c r="D2093" s="488" t="s">
        <v>300</v>
      </c>
      <c r="E2093" s="489">
        <v>40.950000000000003</v>
      </c>
      <c r="F2093" s="516" t="s">
        <v>293</v>
      </c>
      <c r="G2093" s="232">
        <v>0</v>
      </c>
      <c r="H2093" s="658" t="str">
        <f>IF(G2093=0,"",IF(F2093="Buy",IF(G2093=1,"plant","plants"),IF(F2093&gt;0.01,"warranty","Error")))</f>
        <v/>
      </c>
      <c r="I2093" s="490">
        <f>IF(H2093="free",0,IF(H2093="credit",((E2093*(F2093))*G2093*-1),IF(F2093="Buy",(E2093*G2093),((E2093*(1-F2093))*G2093))))</f>
        <v>0</v>
      </c>
      <c r="J2093" s="490">
        <f>IF(H2093="warranty",0,(I2093*(_xlfn.SINGLE(SalesTaxPercentage))))</f>
        <v>0</v>
      </c>
      <c r="K2093" s="695">
        <f t="shared" ref="K2093" si="1632">I2093+J2093</f>
        <v>0</v>
      </c>
      <c r="L2093" s="695"/>
      <c r="M2093" s="659" t="str">
        <f>IF(AND(G2093&gt;0,E2093=0),"WARNING - no PRICE inserted",IF(H2093="free"," FREE ~ no charge this plant",IF(H2093="credit",CONCATENATE(" -$",ROUND(K2093*(1-T2GDiscount)*-1,2)," CREDIT after discount"),IF(T2GDiscount=0,"",IF(G2093=0,"",IF(F2093="Buy",CONCATENATE(" $",ROUND(K2093*(1-T2GDiscount),2)," with ",(T2GDiscount*100),"% discount"),CONCATENATE(" $",ROUND(K2093*(1-T2GDiscount),2)," with ",((T2GDiscount*100+F2093*100)-(T2GDiscount*100*F2093)),IF(F2093&gt;0,"% discounts",IF(NoWarrantyDiscount&gt;0,"% discounts","% discount")))))))))</f>
        <v/>
      </c>
      <c r="N2093" s="660"/>
      <c r="O2093" s="233"/>
      <c r="P2093" s="233"/>
      <c r="Q2093" s="233"/>
      <c r="R2093" s="233"/>
      <c r="S2093" s="233"/>
      <c r="T2093" s="508">
        <f t="shared" si="1603"/>
        <v>0</v>
      </c>
      <c r="U2093" s="225">
        <f>IF(NOT(ISNUMBER(G2093)), "", VLOOKUP(A2093,'Discount Lookup'!D:E,2,FALSE)*G2093)</f>
        <v>0</v>
      </c>
      <c r="V2093" s="225">
        <f>IF(NOT(ISNUMBER(G2093)), "", VLOOKUP(A2093,'Discount Lookup'!G:H,2,FALSE)*G2093)</f>
        <v>0</v>
      </c>
      <c r="W2093" s="508">
        <f t="shared" si="1604"/>
        <v>0</v>
      </c>
      <c r="X2093" s="508">
        <f t="shared" si="1605"/>
        <v>0</v>
      </c>
      <c r="Y2093" s="509" t="b">
        <f t="shared" si="1606"/>
        <v>0</v>
      </c>
      <c r="Z2093" s="510">
        <f t="shared" si="1607"/>
        <v>0</v>
      </c>
      <c r="AA2093" s="511"/>
      <c r="AB2093" s="511" t="str">
        <f t="shared" si="1608"/>
        <v/>
      </c>
      <c r="AC2093" s="698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698"/>
      <c r="AE2093" s="631" t="str">
        <f t="shared" si="1609"/>
        <v/>
      </c>
      <c r="AF2093" s="699" t="str">
        <f t="shared" si="1610"/>
        <v/>
      </c>
      <c r="AG2093" s="699"/>
      <c r="AH2093" s="699"/>
      <c r="AI2093" s="512">
        <f>IF(H2093="credit",0,IF(AE2093="free",0,IF(AE2093="me",0,IF(G2093&gt;0,(VLOOKUP(A2093,'Discount Lookup'!J:K,2)*G2093),0))))</f>
        <v>0</v>
      </c>
      <c r="AJ2093" s="513" t="str">
        <f t="shared" ca="1" si="1611"/>
        <v/>
      </c>
      <c r="AK2093" s="700" t="str">
        <f t="shared" si="1612"/>
        <v/>
      </c>
      <c r="AL2093" s="700"/>
      <c r="AM2093" s="505" t="str">
        <f t="shared" si="1613"/>
        <v/>
      </c>
      <c r="AN2093" s="506"/>
      <c r="AO2093" s="507"/>
      <c r="AP2093" s="507"/>
      <c r="AQ2093" s="507"/>
      <c r="AR2093" s="507"/>
      <c r="AS2093" s="507"/>
      <c r="AT2093" s="507"/>
      <c r="AU2093" s="507"/>
      <c r="AV2093" s="225"/>
      <c r="AW2093" s="508"/>
      <c r="AX2093" s="225"/>
      <c r="AY2093" s="225"/>
      <c r="AZ2093" s="225"/>
      <c r="BA2093" s="225"/>
      <c r="BB2093" s="225"/>
      <c r="BC2093" s="56"/>
      <c r="BD2093" s="56"/>
      <c r="BE2093" s="56"/>
      <c r="BF2093" s="107" t="str">
        <f t="shared" si="1614"/>
        <v>https://www.google.com/search?tbm=isch&amp;q=3%20G6</v>
      </c>
      <c r="BG2093" s="107" t="str">
        <f t="shared" si="1615"/>
        <v>K</v>
      </c>
      <c r="BH2093" s="254"/>
      <c r="BI2093" s="254"/>
    </row>
    <row r="2094" spans="1:61" customFormat="1" ht="17.25" thickBot="1" x14ac:dyDescent="0.3">
      <c r="A2094" s="522" t="s">
        <v>2420</v>
      </c>
      <c r="B2094" s="491"/>
      <c r="C2094" s="675"/>
      <c r="D2094" s="491"/>
      <c r="E2094" s="491"/>
      <c r="F2094" s="492"/>
      <c r="G2094" s="493"/>
      <c r="H2094" s="491"/>
      <c r="I2094" s="234"/>
      <c r="J2094" s="234"/>
      <c r="K2094" s="494"/>
      <c r="L2094" s="543"/>
      <c r="M2094" s="561"/>
      <c r="N2094" s="495"/>
      <c r="O2094" s="496"/>
      <c r="P2094" s="497"/>
      <c r="Q2094" s="495"/>
      <c r="R2094" s="495"/>
      <c r="S2094" s="667" t="s">
        <v>4986</v>
      </c>
      <c r="T2094" s="508">
        <f t="shared" si="1603"/>
        <v>0</v>
      </c>
      <c r="U2094" s="225" t="str">
        <f>IF(NOT(ISNUMBER(G2094)), "", VLOOKUP(A2094,'Discount Lookup'!D:E,2,FALSE)*G2094)</f>
        <v/>
      </c>
      <c r="V2094" s="225" t="str">
        <f>IF(NOT(ISNUMBER(G2094)), "", VLOOKUP(A2094,'Discount Lookup'!G:H,2,FALSE)*G2094)</f>
        <v/>
      </c>
      <c r="W2094" s="508">
        <f t="shared" si="1604"/>
        <v>0</v>
      </c>
      <c r="X2094" s="508">
        <f t="shared" si="1605"/>
        <v>0</v>
      </c>
      <c r="Y2094" s="509" t="b">
        <f t="shared" si="1606"/>
        <v>0</v>
      </c>
      <c r="Z2094" s="510">
        <f t="shared" si="1607"/>
        <v>0</v>
      </c>
      <c r="AA2094" s="511"/>
      <c r="AB2094" s="511" t="str">
        <f t="shared" si="1608"/>
        <v/>
      </c>
      <c r="AC2094" s="698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698"/>
      <c r="AE2094" s="631" t="str">
        <f t="shared" si="1609"/>
        <v/>
      </c>
      <c r="AF2094" s="699" t="str">
        <f t="shared" si="1610"/>
        <v/>
      </c>
      <c r="AG2094" s="699"/>
      <c r="AH2094" s="699"/>
      <c r="AI2094" s="512">
        <f>IF(H2094="credit",0,IF(AE2094="free",0,IF(AE2094="me",0,IF(G2094&gt;0,(VLOOKUP(A2094,'Discount Lookup'!J:K,2)*G2094),0))))</f>
        <v>0</v>
      </c>
      <c r="AJ2094" s="513" t="str">
        <f t="shared" ca="1" si="1611"/>
        <v/>
      </c>
      <c r="AK2094" s="700" t="str">
        <f t="shared" si="1612"/>
        <v/>
      </c>
      <c r="AL2094" s="700"/>
      <c r="AM2094" s="505" t="str">
        <f t="shared" si="1613"/>
        <v/>
      </c>
      <c r="AN2094" s="506"/>
      <c r="AO2094" s="507"/>
      <c r="AP2094" s="507"/>
      <c r="AQ2094" s="507"/>
      <c r="AR2094" s="507"/>
      <c r="AS2094" s="507"/>
      <c r="AT2094" s="507"/>
      <c r="AU2094" s="507"/>
      <c r="AV2094" s="225"/>
      <c r="AW2094" s="508"/>
      <c r="AX2094" s="225"/>
      <c r="AY2094" s="225"/>
      <c r="AZ2094" s="225"/>
      <c r="BA2094" s="225"/>
      <c r="BB2094" s="225"/>
      <c r="BC2094" s="56"/>
      <c r="BD2094" s="56"/>
      <c r="BE2094" s="56"/>
      <c r="BF2094" s="107" t="str">
        <f t="shared" si="1614"/>
        <v>https://www.google.com/search?tbm=isch&amp;q=Kleim%27s%20Hardy%20is%20cold-resistant%2C%20fragrant%2C%20and%20has%20a%20traditional%20gardenia%20%27look%27%20%28unlike%20skinny%20foliage%20of%20%20%27Frostproof%27%29%20</v>
      </c>
      <c r="BG2094" s="107" t="str">
        <f t="shared" si="1615"/>
        <v>K</v>
      </c>
      <c r="BH2094" s="254"/>
      <c r="BI2094" s="254"/>
    </row>
    <row r="2095" spans="1:61" customFormat="1" ht="18" x14ac:dyDescent="0.25">
      <c r="A2095" s="523" t="s">
        <v>1213</v>
      </c>
      <c r="B2095" s="235"/>
      <c r="C2095" s="676"/>
      <c r="D2095" s="255" t="s">
        <v>1214</v>
      </c>
      <c r="E2095" s="236"/>
      <c r="F2095" s="236"/>
      <c r="G2095" s="236"/>
      <c r="H2095" s="582" t="s">
        <v>326</v>
      </c>
      <c r="I2095" s="498" t="s">
        <v>2118</v>
      </c>
      <c r="J2095" s="237"/>
      <c r="K2095" s="237"/>
      <c r="L2095" s="274"/>
      <c r="M2095" s="668" t="s">
        <v>4975</v>
      </c>
      <c r="N2095" s="681" t="str">
        <f>IF(AND(ISTEXT($A2095), ISERROR($A2095+0)), HYPERLINK($BF2095, "Images"), "")</f>
        <v>Images</v>
      </c>
      <c r="O2095" s="663" t="s">
        <v>4967</v>
      </c>
      <c r="P2095" s="253"/>
      <c r="Q2095" s="238"/>
      <c r="R2095" s="239"/>
      <c r="S2095" s="275"/>
      <c r="T2095" s="508">
        <f t="shared" si="1603"/>
        <v>0</v>
      </c>
      <c r="U2095" s="225" t="str">
        <f>IF(NOT(ISNUMBER(G2095)), "", VLOOKUP(A2095,'Discount Lookup'!D:E,2,FALSE)*G2095)</f>
        <v/>
      </c>
      <c r="V2095" s="225" t="str">
        <f>IF(NOT(ISNUMBER(G2095)), "", VLOOKUP(A2095,'Discount Lookup'!G:H,2,FALSE)*G2095)</f>
        <v/>
      </c>
      <c r="W2095" s="508">
        <f t="shared" si="1604"/>
        <v>0</v>
      </c>
      <c r="X2095" s="508" t="str">
        <f t="shared" si="1605"/>
        <v>Rose-Pink bloom</v>
      </c>
      <c r="Y2095" s="509" t="b">
        <f t="shared" si="1606"/>
        <v>0</v>
      </c>
      <c r="Z2095" s="510">
        <f t="shared" si="1607"/>
        <v>0</v>
      </c>
      <c r="AA2095" s="511"/>
      <c r="AB2095" s="511" t="str">
        <f t="shared" si="1608"/>
        <v/>
      </c>
      <c r="AC2095" s="698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698"/>
      <c r="AE2095" s="631" t="str">
        <f t="shared" si="1609"/>
        <v/>
      </c>
      <c r="AF2095" s="699" t="str">
        <f t="shared" si="1610"/>
        <v/>
      </c>
      <c r="AG2095" s="699"/>
      <c r="AH2095" s="699"/>
      <c r="AI2095" s="512">
        <f>IF(H2095="credit",0,IF(AE2095="free",0,IF(AE2095="me",0,IF(G2095&gt;0,(VLOOKUP(A2095,'Discount Lookup'!J:K,2)*G2095),0))))</f>
        <v>0</v>
      </c>
      <c r="AJ2095" s="513" t="str">
        <f t="shared" ca="1" si="1611"/>
        <v/>
      </c>
      <c r="AK2095" s="700" t="str">
        <f t="shared" si="1612"/>
        <v/>
      </c>
      <c r="AL2095" s="700"/>
      <c r="AM2095" s="505" t="str">
        <f t="shared" si="1613"/>
        <v/>
      </c>
      <c r="AN2095" s="506"/>
      <c r="AO2095" s="507"/>
      <c r="AP2095" s="507"/>
      <c r="AQ2095" s="507"/>
      <c r="AR2095" s="507"/>
      <c r="AS2095" s="507"/>
      <c r="AT2095" s="507"/>
      <c r="AU2095" s="507"/>
      <c r="AV2095" s="225"/>
      <c r="AW2095" s="508"/>
      <c r="AX2095" s="225"/>
      <c r="AY2095" s="225"/>
      <c r="AZ2095" s="225"/>
      <c r="BA2095" s="225"/>
      <c r="BB2095" s="225"/>
      <c r="BC2095" s="56"/>
      <c r="BD2095" s="56"/>
      <c r="BE2095" s="56"/>
      <c r="BF2095" s="107" t="str">
        <f t="shared" si="1614"/>
        <v>https://www.google.com/search?tbm=isch&amp;q=Kobai%20Flowering%20Apricot%20Prunus%20mume%20%27Kobai%27</v>
      </c>
      <c r="BG2095" s="107" t="str">
        <f t="shared" si="1615"/>
        <v>K</v>
      </c>
      <c r="BH2095" s="254"/>
      <c r="BI2095" s="254"/>
    </row>
    <row r="2096" spans="1:61" customFormat="1" ht="15.75" x14ac:dyDescent="0.25">
      <c r="A2096" s="276">
        <v>7</v>
      </c>
      <c r="B2096" s="240" t="s">
        <v>291</v>
      </c>
      <c r="C2096" s="241" t="s">
        <v>3594</v>
      </c>
      <c r="D2096" s="242" t="s">
        <v>292</v>
      </c>
      <c r="E2096" s="243">
        <v>109.95</v>
      </c>
      <c r="F2096" s="517" t="s">
        <v>293</v>
      </c>
      <c r="G2096" s="232">
        <v>0</v>
      </c>
      <c r="H2096" s="661" t="str">
        <f>IF(G2096=0,"",IF(F2096="Buy",IF(G2096=1,"plant","plants"),IF(F2096&gt;0.01,"warranty","Error")))</f>
        <v/>
      </c>
      <c r="I2096" s="244">
        <f>IF(H2096="free",0,IF(H2096="credit",((E2096*(F2096))*G2096*-1),IF(F2096="Buy",(E2096*G2096),((E2096*(1-F2096))*G2096))))</f>
        <v>0</v>
      </c>
      <c r="J2096" s="244">
        <f>IF(H2096="warranty",0,(I2096*(_xlfn.SINGLE(SalesTaxPercentage))))</f>
        <v>0</v>
      </c>
      <c r="K2096" s="696">
        <f t="shared" ref="K2096" si="1633">I2096+J2096</f>
        <v>0</v>
      </c>
      <c r="L2096" s="696"/>
      <c r="M2096" s="659" t="str">
        <f>IF(AND(G2096&gt;0,E2096=0),"WARNING - no PRICE inserted",IF(H2096="free"," FREE ~ no charge this plant",IF(H2096="credit",CONCATENATE(" -$",ROUND(K2096*(1-T2GDiscount)*-1,2)," CREDIT after discount"),IF(T2GDiscount=0,"",IF(G2096=0,"",IF(F2096="Buy",CONCATENATE(" $",ROUND(K2096*(1-T2GDiscount),2)," with ",(T2GDiscount*100),"% discount"),CONCATENATE(" $",ROUND(K2096*(1-T2GDiscount),2)," with ",((T2GDiscount*100+F2096*100)-(T2GDiscount*100*F2096)),IF(F2096&gt;0,"% discounts",IF(NoWarrantyDiscount&gt;0,"% discounts","% discount")))))))))</f>
        <v/>
      </c>
      <c r="N2096" s="660"/>
      <c r="O2096" s="233"/>
      <c r="P2096" s="233"/>
      <c r="Q2096" s="233"/>
      <c r="R2096" s="233"/>
      <c r="S2096" s="233"/>
      <c r="T2096" s="508">
        <f t="shared" si="1603"/>
        <v>0</v>
      </c>
      <c r="U2096" s="225">
        <f>IF(NOT(ISNUMBER(G2096)), "", VLOOKUP(A2096,'Discount Lookup'!D:E,2,FALSE)*G2096)</f>
        <v>0</v>
      </c>
      <c r="V2096" s="225">
        <f>IF(NOT(ISNUMBER(G2096)), "", VLOOKUP(A2096,'Discount Lookup'!G:H,2,FALSE)*G2096)</f>
        <v>0</v>
      </c>
      <c r="W2096" s="508">
        <f t="shared" si="1604"/>
        <v>0</v>
      </c>
      <c r="X2096" s="508">
        <f t="shared" si="1605"/>
        <v>0</v>
      </c>
      <c r="Y2096" s="509" t="b">
        <f t="shared" si="1606"/>
        <v>0</v>
      </c>
      <c r="Z2096" s="510">
        <f t="shared" si="1607"/>
        <v>0</v>
      </c>
      <c r="AA2096" s="511"/>
      <c r="AB2096" s="511" t="str">
        <f t="shared" si="1608"/>
        <v/>
      </c>
      <c r="AC2096" s="698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698"/>
      <c r="AE2096" s="631" t="str">
        <f t="shared" si="1609"/>
        <v/>
      </c>
      <c r="AF2096" s="699" t="str">
        <f t="shared" si="1610"/>
        <v/>
      </c>
      <c r="AG2096" s="699"/>
      <c r="AH2096" s="699"/>
      <c r="AI2096" s="512">
        <f>IF(H2096="credit",0,IF(AE2096="free",0,IF(AE2096="me",0,IF(G2096&gt;0,(VLOOKUP(A2096,'Discount Lookup'!J:K,2)*G2096),0))))</f>
        <v>0</v>
      </c>
      <c r="AJ2096" s="513" t="str">
        <f t="shared" ca="1" si="1611"/>
        <v/>
      </c>
      <c r="AK2096" s="700" t="str">
        <f t="shared" si="1612"/>
        <v/>
      </c>
      <c r="AL2096" s="700"/>
      <c r="AM2096" s="505" t="str">
        <f t="shared" si="1613"/>
        <v/>
      </c>
      <c r="AN2096" s="506"/>
      <c r="AO2096" s="507"/>
      <c r="AP2096" s="507"/>
      <c r="AQ2096" s="507"/>
      <c r="AR2096" s="507"/>
      <c r="AS2096" s="507"/>
      <c r="AT2096" s="507"/>
      <c r="AU2096" s="507"/>
      <c r="AV2096" s="225"/>
      <c r="AW2096" s="508"/>
      <c r="AX2096" s="225"/>
      <c r="AY2096" s="225"/>
      <c r="AZ2096" s="225"/>
      <c r="BA2096" s="225"/>
      <c r="BB2096" s="225"/>
      <c r="BC2096" s="56"/>
      <c r="BD2096" s="56"/>
      <c r="BE2096" s="56"/>
      <c r="BF2096" s="107" t="str">
        <f t="shared" si="1614"/>
        <v>https://www.google.com/search?tbm=isch&amp;q=7%20G4</v>
      </c>
      <c r="BG2096" s="107" t="str">
        <f t="shared" si="1615"/>
        <v>K</v>
      </c>
      <c r="BH2096" s="254"/>
      <c r="BI2096" s="254"/>
    </row>
    <row r="2097" spans="1:61" customFormat="1" ht="15.75" x14ac:dyDescent="0.25">
      <c r="A2097" s="276">
        <v>95</v>
      </c>
      <c r="B2097" s="240" t="s">
        <v>291</v>
      </c>
      <c r="C2097" s="241" t="s">
        <v>3595</v>
      </c>
      <c r="D2097" s="242" t="s">
        <v>292</v>
      </c>
      <c r="E2097" s="243">
        <v>1263.95</v>
      </c>
      <c r="F2097" s="517" t="s">
        <v>293</v>
      </c>
      <c r="G2097" s="232">
        <v>0</v>
      </c>
      <c r="H2097" s="661" t="str">
        <f>IF(G2097=0,"",IF(F2097="Buy",IF(G2097=1,"plant","plants"),IF(F2097&gt;0.01,"warranty","Error")))</f>
        <v/>
      </c>
      <c r="I2097" s="244">
        <f>IF(H2097="free",0,IF(H2097="credit",((E2097*(F2097))*G2097*-1),IF(F2097="Buy",(E2097*G2097),((E2097*(1-F2097))*G2097))))</f>
        <v>0</v>
      </c>
      <c r="J2097" s="244">
        <f>IF(H2097="warranty",0,(I2097*(_xlfn.SINGLE(SalesTaxPercentage))))</f>
        <v>0</v>
      </c>
      <c r="K2097" s="696">
        <f t="shared" ref="K2097" si="1634">I2097+J2097</f>
        <v>0</v>
      </c>
      <c r="L2097" s="696"/>
      <c r="M2097" s="659" t="str">
        <f>IF(AND(G2097&gt;0,E2097=0),"WARNING - no PRICE inserted",IF(H2097="free"," FREE ~ no charge this plant",IF(H2097="credit",CONCATENATE(" -$",ROUND(K2097*(1-T2GDiscount)*-1,2)," CREDIT after discount"),IF(T2GDiscount=0,"",IF(G2097=0,"",IF(F2097="Buy",CONCATENATE(" $",ROUND(K2097*(1-T2GDiscount),2)," with ",(T2GDiscount*100),"% discount"),CONCATENATE(" $",ROUND(K2097*(1-T2GDiscount),2)," with ",((T2GDiscount*100+F2097*100)-(T2GDiscount*100*F2097)),IF(F2097&gt;0,"% discounts",IF(NoWarrantyDiscount&gt;0,"% discounts","% discount")))))))))</f>
        <v/>
      </c>
      <c r="N2097" s="660"/>
      <c r="O2097" s="233"/>
      <c r="P2097" s="233"/>
      <c r="Q2097" s="233"/>
      <c r="R2097" s="233"/>
      <c r="S2097" s="233"/>
      <c r="T2097" s="508">
        <f t="shared" si="1603"/>
        <v>0</v>
      </c>
      <c r="U2097" s="225">
        <f>IF(NOT(ISNUMBER(G2097)), "", VLOOKUP(A2097,'Discount Lookup'!D:E,2,FALSE)*G2097)</f>
        <v>0</v>
      </c>
      <c r="V2097" s="225">
        <f>IF(NOT(ISNUMBER(G2097)), "", VLOOKUP(A2097,'Discount Lookup'!G:H,2,FALSE)*G2097)</f>
        <v>0</v>
      </c>
      <c r="W2097" s="508">
        <f t="shared" si="1604"/>
        <v>0</v>
      </c>
      <c r="X2097" s="508">
        <f t="shared" si="1605"/>
        <v>0</v>
      </c>
      <c r="Y2097" s="509" t="b">
        <f t="shared" si="1606"/>
        <v>0</v>
      </c>
      <c r="Z2097" s="510">
        <f t="shared" si="1607"/>
        <v>0</v>
      </c>
      <c r="AA2097" s="511"/>
      <c r="AB2097" s="511" t="str">
        <f t="shared" si="1608"/>
        <v/>
      </c>
      <c r="AC2097" s="698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698"/>
      <c r="AE2097" s="631" t="str">
        <f t="shared" si="1609"/>
        <v/>
      </c>
      <c r="AF2097" s="699" t="str">
        <f t="shared" si="1610"/>
        <v/>
      </c>
      <c r="AG2097" s="699"/>
      <c r="AH2097" s="699"/>
      <c r="AI2097" s="512">
        <f>IF(H2097="credit",0,IF(AE2097="free",0,IF(AE2097="me",0,IF(G2097&gt;0,(VLOOKUP(A2097,'Discount Lookup'!J:K,2)*G2097),0))))</f>
        <v>0</v>
      </c>
      <c r="AJ2097" s="513" t="str">
        <f t="shared" ca="1" si="1611"/>
        <v/>
      </c>
      <c r="AK2097" s="700" t="str">
        <f t="shared" si="1612"/>
        <v/>
      </c>
      <c r="AL2097" s="700"/>
      <c r="AM2097" s="505" t="str">
        <f t="shared" si="1613"/>
        <v/>
      </c>
      <c r="AN2097" s="506"/>
      <c r="AO2097" s="507"/>
      <c r="AP2097" s="507"/>
      <c r="AQ2097" s="507"/>
      <c r="AR2097" s="507"/>
      <c r="AS2097" s="507"/>
      <c r="AT2097" s="507"/>
      <c r="AU2097" s="507"/>
      <c r="AV2097" s="225"/>
      <c r="AW2097" s="508"/>
      <c r="AX2097" s="225"/>
      <c r="AY2097" s="225"/>
      <c r="AZ2097" s="225"/>
      <c r="BA2097" s="225"/>
      <c r="BB2097" s="225"/>
      <c r="BC2097" s="56"/>
      <c r="BD2097" s="56"/>
      <c r="BE2097" s="56"/>
      <c r="BF2097" s="107" t="str">
        <f t="shared" si="1614"/>
        <v>https://www.google.com/search?tbm=isch&amp;q=95%20G4</v>
      </c>
      <c r="BG2097" s="107" t="str">
        <f t="shared" si="1615"/>
        <v>K</v>
      </c>
      <c r="BH2097" s="254"/>
      <c r="BI2097" s="254"/>
    </row>
    <row r="2098" spans="1:61" customFormat="1" ht="17.25" thickBot="1" x14ac:dyDescent="0.3">
      <c r="A2098" s="524" t="s">
        <v>2421</v>
      </c>
      <c r="B2098" s="245"/>
      <c r="C2098" s="677"/>
      <c r="D2098" s="499"/>
      <c r="E2098" s="499"/>
      <c r="F2098" s="500"/>
      <c r="G2098" s="501"/>
      <c r="H2098" s="502"/>
      <c r="I2098" s="246"/>
      <c r="J2098" s="247"/>
      <c r="K2098" s="503"/>
      <c r="L2098" s="544"/>
      <c r="M2098" s="544"/>
      <c r="N2098" s="500"/>
      <c r="O2098" s="500"/>
      <c r="P2098" s="500"/>
      <c r="Q2098" s="500"/>
      <c r="R2098" s="500"/>
      <c r="S2098" s="278"/>
      <c r="T2098" s="508">
        <f t="shared" si="1603"/>
        <v>0</v>
      </c>
      <c r="U2098" s="225" t="str">
        <f>IF(NOT(ISNUMBER(G2098)), "", VLOOKUP(A2098,'Discount Lookup'!D:E,2,FALSE)*G2098)</f>
        <v/>
      </c>
      <c r="V2098" s="225" t="str">
        <f>IF(NOT(ISNUMBER(G2098)), "", VLOOKUP(A2098,'Discount Lookup'!G:H,2,FALSE)*G2098)</f>
        <v/>
      </c>
      <c r="W2098" s="508">
        <f t="shared" si="1604"/>
        <v>0</v>
      </c>
      <c r="X2098" s="508">
        <f t="shared" si="1605"/>
        <v>0</v>
      </c>
      <c r="Y2098" s="509" t="b">
        <f t="shared" si="1606"/>
        <v>0</v>
      </c>
      <c r="Z2098" s="510">
        <f t="shared" si="1607"/>
        <v>0</v>
      </c>
      <c r="AA2098" s="511"/>
      <c r="AB2098" s="511" t="str">
        <f t="shared" si="1608"/>
        <v/>
      </c>
      <c r="AC2098" s="698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698"/>
      <c r="AE2098" s="631" t="str">
        <f t="shared" si="1609"/>
        <v/>
      </c>
      <c r="AF2098" s="699" t="str">
        <f t="shared" si="1610"/>
        <v/>
      </c>
      <c r="AG2098" s="699"/>
      <c r="AH2098" s="699"/>
      <c r="AI2098" s="512">
        <f>IF(H2098="credit",0,IF(AE2098="free",0,IF(AE2098="me",0,IF(G2098&gt;0,(VLOOKUP(A2098,'Discount Lookup'!J:K,2)*G2098),0))))</f>
        <v>0</v>
      </c>
      <c r="AJ2098" s="513" t="str">
        <f t="shared" ca="1" si="1611"/>
        <v/>
      </c>
      <c r="AK2098" s="700" t="str">
        <f t="shared" si="1612"/>
        <v/>
      </c>
      <c r="AL2098" s="700"/>
      <c r="AM2098" s="505" t="str">
        <f t="shared" si="1613"/>
        <v/>
      </c>
      <c r="AN2098" s="506"/>
      <c r="AO2098" s="507"/>
      <c r="AP2098" s="507"/>
      <c r="AQ2098" s="507"/>
      <c r="AR2098" s="507"/>
      <c r="AS2098" s="507"/>
      <c r="AT2098" s="507"/>
      <c r="AU2098" s="507"/>
      <c r="AV2098" s="225"/>
      <c r="AW2098" s="508"/>
      <c r="AX2098" s="225"/>
      <c r="AY2098" s="225"/>
      <c r="AZ2098" s="225"/>
      <c r="BA2098" s="225"/>
      <c r="BB2098" s="225"/>
      <c r="BC2098" s="56"/>
      <c r="BD2098" s="56"/>
      <c r="BE2098" s="56"/>
      <c r="BF2098" s="107" t="str">
        <f t="shared" si="1614"/>
        <v>https://www.google.com/search?tbm=isch&amp;q=Kobai%27s%20fragrant%2C%20long-lasting%20blooms%20appear%20as%20early%20as%20January%2C%20even%20in%20freezing%20weather.%20Fruit%20inedible%20</v>
      </c>
      <c r="BG2098" s="107" t="str">
        <f t="shared" si="1615"/>
        <v>K</v>
      </c>
      <c r="BH2098" s="254"/>
      <c r="BI2098" s="254"/>
    </row>
    <row r="2099" spans="1:61" customFormat="1" ht="18" x14ac:dyDescent="0.25">
      <c r="A2099" s="521" t="s">
        <v>1215</v>
      </c>
      <c r="B2099" s="477"/>
      <c r="C2099" s="674"/>
      <c r="D2099" s="478" t="s">
        <v>1216</v>
      </c>
      <c r="E2099" s="479"/>
      <c r="F2099" s="479"/>
      <c r="G2099" s="479"/>
      <c r="H2099" s="582" t="s">
        <v>303</v>
      </c>
      <c r="I2099" s="480" t="s">
        <v>2902</v>
      </c>
      <c r="J2099" s="479"/>
      <c r="K2099" s="479"/>
      <c r="L2099" s="560"/>
      <c r="M2099" s="671" t="s">
        <v>4985</v>
      </c>
      <c r="N2099" s="680" t="str">
        <f>IF(AND(ISTEXT($A2099), ISERROR($A2099+0)), HYPERLINK($BF2099, "Images"), "")</f>
        <v>Images</v>
      </c>
      <c r="O2099" s="662" t="s">
        <v>4969</v>
      </c>
      <c r="P2099" s="482"/>
      <c r="Q2099" s="483"/>
      <c r="R2099" s="483"/>
      <c r="S2099" s="484"/>
      <c r="T2099" s="508">
        <f t="shared" si="1603"/>
        <v>0</v>
      </c>
      <c r="U2099" s="225" t="str">
        <f>IF(NOT(ISNUMBER(G2099)), "", VLOOKUP(A2099,'Discount Lookup'!D:E,2,FALSE)*G2099)</f>
        <v/>
      </c>
      <c r="V2099" s="225" t="str">
        <f>IF(NOT(ISNUMBER(G2099)), "", VLOOKUP(A2099,'Discount Lookup'!G:H,2,FALSE)*G2099)</f>
        <v/>
      </c>
      <c r="W2099" s="508">
        <f t="shared" si="1604"/>
        <v>0</v>
      </c>
      <c r="X2099" s="508" t="str">
        <f t="shared" si="1605"/>
        <v>Grren &amp; Gold foliage</v>
      </c>
      <c r="Y2099" s="509" t="b">
        <f t="shared" si="1606"/>
        <v>0</v>
      </c>
      <c r="Z2099" s="510">
        <f t="shared" si="1607"/>
        <v>0</v>
      </c>
      <c r="AA2099" s="511"/>
      <c r="AB2099" s="511" t="str">
        <f t="shared" si="1608"/>
        <v/>
      </c>
      <c r="AC2099" s="698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698"/>
      <c r="AE2099" s="631" t="str">
        <f t="shared" si="1609"/>
        <v/>
      </c>
      <c r="AF2099" s="699" t="str">
        <f t="shared" si="1610"/>
        <v/>
      </c>
      <c r="AG2099" s="699"/>
      <c r="AH2099" s="699"/>
      <c r="AI2099" s="512">
        <f>IF(H2099="credit",0,IF(AE2099="free",0,IF(AE2099="me",0,IF(G2099&gt;0,(VLOOKUP(A2099,'Discount Lookup'!J:K,2)*G2099),0))))</f>
        <v>0</v>
      </c>
      <c r="AJ2099" s="513" t="str">
        <f t="shared" ca="1" si="1611"/>
        <v/>
      </c>
      <c r="AK2099" s="700" t="str">
        <f t="shared" si="1612"/>
        <v/>
      </c>
      <c r="AL2099" s="700"/>
      <c r="AM2099" s="505" t="str">
        <f t="shared" si="1613"/>
        <v/>
      </c>
      <c r="AN2099" s="506"/>
      <c r="AO2099" s="507"/>
      <c r="AP2099" s="507"/>
      <c r="AQ2099" s="507"/>
      <c r="AR2099" s="507"/>
      <c r="AS2099" s="507"/>
      <c r="AT2099" s="507"/>
      <c r="AU2099" s="507"/>
      <c r="AV2099" s="225"/>
      <c r="AW2099" s="508"/>
      <c r="AX2099" s="225"/>
      <c r="AY2099" s="225"/>
      <c r="AZ2099" s="225"/>
      <c r="BA2099" s="225"/>
      <c r="BB2099" s="225"/>
      <c r="BC2099" s="56"/>
      <c r="BD2099" s="56"/>
      <c r="BE2099" s="56"/>
      <c r="BF2099" s="107" t="str">
        <f t="shared" si="1614"/>
        <v>https://www.google.com/search?tbm=isch&amp;q=Korean%20Gold%20Japanese%20Plum%20Yew%20Cephalotaxus%20harringtonia%20%27Korean%20Gold%27</v>
      </c>
      <c r="BG2099" s="107" t="str">
        <f t="shared" si="1615"/>
        <v>K</v>
      </c>
      <c r="BH2099" s="254"/>
      <c r="BI2099" s="254"/>
    </row>
    <row r="2100" spans="1:61" customFormat="1" ht="27" x14ac:dyDescent="0.25">
      <c r="A2100" s="485">
        <v>3</v>
      </c>
      <c r="B2100" s="486" t="s">
        <v>291</v>
      </c>
      <c r="C2100" s="487" t="s">
        <v>3596</v>
      </c>
      <c r="D2100" s="488" t="s">
        <v>292</v>
      </c>
      <c r="E2100" s="489">
        <v>43.95</v>
      </c>
      <c r="F2100" s="516" t="s">
        <v>293</v>
      </c>
      <c r="G2100" s="232">
        <v>0</v>
      </c>
      <c r="H2100" s="658" t="str">
        <f>IF(G2100=0,"",IF(F2100="Buy",IF(G2100=1,"plant","plants"),IF(F2100&gt;0.01,"warranty","Error")))</f>
        <v/>
      </c>
      <c r="I2100" s="490">
        <f>IF(H2100="free",0,IF(H2100="credit",((E2100*(F2100))*G2100*-1),IF(F2100="Buy",(E2100*G2100),((E2100*(1-F2100))*G2100))))</f>
        <v>0</v>
      </c>
      <c r="J2100" s="490">
        <f>IF(H2100="warranty",0,(I2100*(_xlfn.SINGLE(SalesTaxPercentage))))</f>
        <v>0</v>
      </c>
      <c r="K2100" s="695">
        <f t="shared" ref="K2100" si="1635">I2100+J2100</f>
        <v>0</v>
      </c>
      <c r="L2100" s="695"/>
      <c r="M2100" s="659" t="str">
        <f>IF(AND(G2100&gt;0,E2100=0),"WARNING - no PRICE inserted",IF(H2100="free"," FREE ~ no charge this plant",IF(H2100="credit",CONCATENATE(" -$",ROUND(K2100*(1-T2GDiscount)*-1,2)," CREDIT after discount"),IF(T2GDiscount=0,"",IF(G2100=0,"",IF(F2100="Buy",CONCATENATE(" $",ROUND(K2100*(1-T2GDiscount),2)," with ",(T2GDiscount*100),"% discount"),CONCATENATE(" $",ROUND(K2100*(1-T2GDiscount),2)," with ",((T2GDiscount*100+F2100*100)-(T2GDiscount*100*F2100)),IF(F2100&gt;0,"% discounts",IF(NoWarrantyDiscount&gt;0,"% discounts","% discount")))))))))</f>
        <v/>
      </c>
      <c r="N2100" s="660"/>
      <c r="O2100" s="233"/>
      <c r="P2100" s="233"/>
      <c r="Q2100" s="233"/>
      <c r="R2100" s="233"/>
      <c r="S2100" s="233"/>
      <c r="T2100" s="508">
        <f t="shared" si="1603"/>
        <v>0</v>
      </c>
      <c r="U2100" s="225">
        <f>IF(NOT(ISNUMBER(G2100)), "", VLOOKUP(A2100,'Discount Lookup'!D:E,2,FALSE)*G2100)</f>
        <v>0</v>
      </c>
      <c r="V2100" s="225">
        <f>IF(NOT(ISNUMBER(G2100)), "", VLOOKUP(A2100,'Discount Lookup'!G:H,2,FALSE)*G2100)</f>
        <v>0</v>
      </c>
      <c r="W2100" s="508">
        <f t="shared" si="1604"/>
        <v>0</v>
      </c>
      <c r="X2100" s="508">
        <f t="shared" si="1605"/>
        <v>0</v>
      </c>
      <c r="Y2100" s="509" t="b">
        <f t="shared" si="1606"/>
        <v>0</v>
      </c>
      <c r="Z2100" s="510">
        <f t="shared" si="1607"/>
        <v>0</v>
      </c>
      <c r="AA2100" s="511"/>
      <c r="AB2100" s="511" t="str">
        <f t="shared" si="1608"/>
        <v/>
      </c>
      <c r="AC2100" s="698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698"/>
      <c r="AE2100" s="631" t="str">
        <f t="shared" si="1609"/>
        <v/>
      </c>
      <c r="AF2100" s="699" t="str">
        <f t="shared" si="1610"/>
        <v/>
      </c>
      <c r="AG2100" s="699"/>
      <c r="AH2100" s="699"/>
      <c r="AI2100" s="512">
        <f>IF(H2100="credit",0,IF(AE2100="free",0,IF(AE2100="me",0,IF(G2100&gt;0,(VLOOKUP(A2100,'Discount Lookup'!J:K,2)*G2100),0))))</f>
        <v>0</v>
      </c>
      <c r="AJ2100" s="513" t="str">
        <f t="shared" ca="1" si="1611"/>
        <v/>
      </c>
      <c r="AK2100" s="700" t="str">
        <f t="shared" si="1612"/>
        <v/>
      </c>
      <c r="AL2100" s="700"/>
      <c r="AM2100" s="505" t="str">
        <f t="shared" si="1613"/>
        <v/>
      </c>
      <c r="AN2100" s="506"/>
      <c r="AO2100" s="507"/>
      <c r="AP2100" s="507"/>
      <c r="AQ2100" s="507"/>
      <c r="AR2100" s="507"/>
      <c r="AS2100" s="507"/>
      <c r="AT2100" s="507"/>
      <c r="AU2100" s="507"/>
      <c r="AV2100" s="225"/>
      <c r="AW2100" s="508"/>
      <c r="AX2100" s="225"/>
      <c r="AY2100" s="225"/>
      <c r="AZ2100" s="225"/>
      <c r="BA2100" s="225"/>
      <c r="BB2100" s="225"/>
      <c r="BC2100" s="56"/>
      <c r="BD2100" s="56"/>
      <c r="BE2100" s="56"/>
      <c r="BF2100" s="107" t="str">
        <f t="shared" si="1614"/>
        <v>https://www.google.com/search?tbm=isch&amp;q=3%20G4</v>
      </c>
      <c r="BG2100" s="107" t="str">
        <f t="shared" si="1615"/>
        <v>K</v>
      </c>
      <c r="BH2100" s="254"/>
      <c r="BI2100" s="254"/>
    </row>
    <row r="2101" spans="1:61" customFormat="1" ht="17.25" thickBot="1" x14ac:dyDescent="0.3">
      <c r="A2101" s="522" t="s">
        <v>2876</v>
      </c>
      <c r="B2101" s="491"/>
      <c r="C2101" s="675"/>
      <c r="D2101" s="491"/>
      <c r="E2101" s="491"/>
      <c r="F2101" s="492"/>
      <c r="G2101" s="493"/>
      <c r="H2101" s="491"/>
      <c r="I2101" s="234"/>
      <c r="J2101" s="234"/>
      <c r="K2101" s="494"/>
      <c r="L2101" s="543"/>
      <c r="M2101" s="561"/>
      <c r="N2101" s="495"/>
      <c r="O2101" s="496"/>
      <c r="P2101" s="497"/>
      <c r="Q2101" s="495"/>
      <c r="R2101" s="495"/>
      <c r="S2101" s="667" t="s">
        <v>5009</v>
      </c>
      <c r="T2101" s="508">
        <f t="shared" si="1603"/>
        <v>0</v>
      </c>
      <c r="U2101" s="225" t="str">
        <f>IF(NOT(ISNUMBER(G2101)), "", VLOOKUP(A2101,'Discount Lookup'!D:E,2,FALSE)*G2101)</f>
        <v/>
      </c>
      <c r="V2101" s="225" t="str">
        <f>IF(NOT(ISNUMBER(G2101)), "", VLOOKUP(A2101,'Discount Lookup'!G:H,2,FALSE)*G2101)</f>
        <v/>
      </c>
      <c r="W2101" s="508">
        <f t="shared" si="1604"/>
        <v>0</v>
      </c>
      <c r="X2101" s="508">
        <f t="shared" si="1605"/>
        <v>0</v>
      </c>
      <c r="Y2101" s="509" t="b">
        <f t="shared" si="1606"/>
        <v>0</v>
      </c>
      <c r="Z2101" s="510">
        <f t="shared" si="1607"/>
        <v>0</v>
      </c>
      <c r="AA2101" s="511"/>
      <c r="AB2101" s="511" t="str">
        <f t="shared" si="1608"/>
        <v/>
      </c>
      <c r="AC2101" s="698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698"/>
      <c r="AE2101" s="631" t="str">
        <f t="shared" si="1609"/>
        <v/>
      </c>
      <c r="AF2101" s="699" t="str">
        <f t="shared" si="1610"/>
        <v/>
      </c>
      <c r="AG2101" s="699"/>
      <c r="AH2101" s="699"/>
      <c r="AI2101" s="512">
        <f>IF(H2101="credit",0,IF(AE2101="free",0,IF(AE2101="me",0,IF(G2101&gt;0,(VLOOKUP(A2101,'Discount Lookup'!J:K,2)*G2101),0))))</f>
        <v>0</v>
      </c>
      <c r="AJ2101" s="513" t="str">
        <f t="shared" ca="1" si="1611"/>
        <v/>
      </c>
      <c r="AK2101" s="700" t="str">
        <f t="shared" si="1612"/>
        <v/>
      </c>
      <c r="AL2101" s="700"/>
      <c r="AM2101" s="505" t="str">
        <f t="shared" si="1613"/>
        <v/>
      </c>
      <c r="AN2101" s="506"/>
      <c r="AO2101" s="507"/>
      <c r="AP2101" s="507"/>
      <c r="AQ2101" s="507"/>
      <c r="AR2101" s="507"/>
      <c r="AS2101" s="507"/>
      <c r="AT2101" s="507"/>
      <c r="AU2101" s="507"/>
      <c r="AV2101" s="225"/>
      <c r="AW2101" s="508"/>
      <c r="AX2101" s="225"/>
      <c r="AY2101" s="225"/>
      <c r="AZ2101" s="225"/>
      <c r="BA2101" s="225"/>
      <c r="BB2101" s="225"/>
      <c r="BC2101" s="56"/>
      <c r="BD2101" s="56"/>
      <c r="BE2101" s="56"/>
      <c r="BF2101" s="107" t="str">
        <f t="shared" si="1614"/>
        <v>https://www.google.com/search?tbm=isch&amp;q=All%20Plum%20Yews%20have%20fine-textured%20foliage%20with%20brown%2C%20scaly%20bark.%20Slow%20growing%2C%20heat%20and%20shade%20tolerant%20</v>
      </c>
      <c r="BG2101" s="107" t="str">
        <f t="shared" si="1615"/>
        <v>A</v>
      </c>
      <c r="BH2101" s="254"/>
      <c r="BI2101" s="254"/>
    </row>
    <row r="2102" spans="1:61" customFormat="1" ht="18" x14ac:dyDescent="0.25">
      <c r="A2102" s="523" t="s">
        <v>3224</v>
      </c>
      <c r="B2102" s="235"/>
      <c r="C2102" s="676"/>
      <c r="D2102" s="255" t="s">
        <v>3225</v>
      </c>
      <c r="E2102" s="236"/>
      <c r="F2102" s="236"/>
      <c r="G2102" s="236"/>
      <c r="H2102" s="582" t="s">
        <v>356</v>
      </c>
      <c r="I2102" s="498" t="s">
        <v>2665</v>
      </c>
      <c r="J2102" s="237"/>
      <c r="K2102" s="237"/>
      <c r="L2102" s="274"/>
      <c r="M2102" s="668" t="s">
        <v>4975</v>
      </c>
      <c r="N2102" s="681" t="str">
        <f>IF(AND(ISTEXT($A2102), ISERROR($A2102+0)), HYPERLINK($BF2102, "Images"), "")</f>
        <v>Images</v>
      </c>
      <c r="O2102" s="663" t="s">
        <v>4967</v>
      </c>
      <c r="P2102" s="253"/>
      <c r="Q2102" s="238"/>
      <c r="R2102" s="239"/>
      <c r="S2102" s="275"/>
      <c r="T2102" s="508">
        <f t="shared" si="1603"/>
        <v>0</v>
      </c>
      <c r="U2102" s="225" t="str">
        <f>IF(NOT(ISNUMBER(G2102)), "", VLOOKUP(A2102,'Discount Lookup'!D:E,2,FALSE)*G2102)</f>
        <v/>
      </c>
      <c r="V2102" s="225" t="str">
        <f>IF(NOT(ISNUMBER(G2102)), "", VLOOKUP(A2102,'Discount Lookup'!G:H,2,FALSE)*G2102)</f>
        <v/>
      </c>
      <c r="W2102" s="508">
        <f t="shared" si="1604"/>
        <v>0</v>
      </c>
      <c r="X2102" s="508" t="str">
        <f t="shared" si="1605"/>
        <v>Pink buds open White</v>
      </c>
      <c r="Y2102" s="509" t="b">
        <f t="shared" si="1606"/>
        <v>0</v>
      </c>
      <c r="Z2102" s="510">
        <f t="shared" si="1607"/>
        <v>0</v>
      </c>
      <c r="AA2102" s="511"/>
      <c r="AB2102" s="511" t="str">
        <f t="shared" si="1608"/>
        <v/>
      </c>
      <c r="AC2102" s="698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698"/>
      <c r="AE2102" s="631" t="str">
        <f t="shared" si="1609"/>
        <v/>
      </c>
      <c r="AF2102" s="699" t="str">
        <f t="shared" si="1610"/>
        <v/>
      </c>
      <c r="AG2102" s="699"/>
      <c r="AH2102" s="699"/>
      <c r="AI2102" s="512">
        <f>IF(H2102="credit",0,IF(AE2102="free",0,IF(AE2102="me",0,IF(G2102&gt;0,(VLOOKUP(A2102,'Discount Lookup'!J:K,2)*G2102),0))))</f>
        <v>0</v>
      </c>
      <c r="AJ2102" s="513" t="str">
        <f t="shared" ca="1" si="1611"/>
        <v/>
      </c>
      <c r="AK2102" s="700" t="str">
        <f t="shared" si="1612"/>
        <v/>
      </c>
      <c r="AL2102" s="700"/>
      <c r="AM2102" s="505" t="str">
        <f t="shared" si="1613"/>
        <v/>
      </c>
      <c r="AN2102" s="506"/>
      <c r="AO2102" s="507"/>
      <c r="AP2102" s="507"/>
      <c r="AQ2102" s="507"/>
      <c r="AR2102" s="507"/>
      <c r="AS2102" s="507"/>
      <c r="AT2102" s="507"/>
      <c r="AU2102" s="507"/>
      <c r="AV2102" s="225"/>
      <c r="AW2102" s="508"/>
      <c r="AX2102" s="225"/>
      <c r="AY2102" s="225"/>
      <c r="AZ2102" s="225"/>
      <c r="BA2102" s="225"/>
      <c r="BB2102" s="225"/>
      <c r="BC2102" s="56"/>
      <c r="BD2102" s="56"/>
      <c r="BE2102" s="56"/>
      <c r="BF2102" s="107" t="str">
        <f t="shared" si="1614"/>
        <v>https://www.google.com/search?tbm=isch&amp;q=Koreanspice%20viburnum%20Viburnum%20carlesii</v>
      </c>
      <c r="BG2102" s="107" t="str">
        <f t="shared" si="1615"/>
        <v>K</v>
      </c>
      <c r="BH2102" s="254"/>
      <c r="BI2102" s="254"/>
    </row>
    <row r="2103" spans="1:61" customFormat="1" ht="15.75" x14ac:dyDescent="0.25">
      <c r="A2103" s="276">
        <v>3</v>
      </c>
      <c r="B2103" s="240" t="s">
        <v>291</v>
      </c>
      <c r="C2103" s="241" t="s">
        <v>4422</v>
      </c>
      <c r="D2103" s="242" t="s">
        <v>292</v>
      </c>
      <c r="E2103" s="243">
        <v>40.950000000000003</v>
      </c>
      <c r="F2103" s="517" t="s">
        <v>293</v>
      </c>
      <c r="G2103" s="232">
        <v>0</v>
      </c>
      <c r="H2103" s="661" t="str">
        <f>IF(G2103=0,"",IF(F2103="Buy",IF(G2103=1,"plant","plants"),IF(F2103&gt;0.01,"warranty","Error")))</f>
        <v/>
      </c>
      <c r="I2103" s="244">
        <f>IF(H2103="free",0,IF(H2103="credit",((E2103*(F2103))*G2103*-1),IF(F2103="Buy",(E2103*G2103),((E2103*(1-F2103))*G2103))))</f>
        <v>0</v>
      </c>
      <c r="J2103" s="244">
        <f>IF(H2103="warranty",0,(I2103*(_xlfn.SINGLE(SalesTaxPercentage))))</f>
        <v>0</v>
      </c>
      <c r="K2103" s="696">
        <f t="shared" ref="K2103" si="1636">I2103+J2103</f>
        <v>0</v>
      </c>
      <c r="L2103" s="696"/>
      <c r="M2103" s="659" t="str">
        <f>IF(AND(G2103&gt;0,E2103=0),"WARNING - no PRICE inserted",IF(H2103="free"," FREE ~ no charge this plant",IF(H2103="credit",CONCATENATE(" -$",ROUND(K2103*(1-T2GDiscount)*-1,2)," CREDIT after discount"),IF(T2GDiscount=0,"",IF(G2103=0,"",IF(F2103="Buy",CONCATENATE(" $",ROUND(K2103*(1-T2GDiscount),2)," with ",(T2GDiscount*100),"% discount"),CONCATENATE(" $",ROUND(K2103*(1-T2GDiscount),2)," with ",((T2GDiscount*100+F2103*100)-(T2GDiscount*100*F2103)),IF(F2103&gt;0,"% discounts",IF(NoWarrantyDiscount&gt;0,"% discounts","% discount")))))))))</f>
        <v/>
      </c>
      <c r="N2103" s="660"/>
      <c r="O2103" s="233"/>
      <c r="P2103" s="233"/>
      <c r="Q2103" s="233"/>
      <c r="R2103" s="233"/>
      <c r="S2103" s="233"/>
      <c r="T2103" s="508">
        <f t="shared" si="1603"/>
        <v>0</v>
      </c>
      <c r="U2103" s="225">
        <f>IF(NOT(ISNUMBER(G2103)), "", VLOOKUP(A2103,'Discount Lookup'!D:E,2,FALSE)*G2103)</f>
        <v>0</v>
      </c>
      <c r="V2103" s="225">
        <f>IF(NOT(ISNUMBER(G2103)), "", VLOOKUP(A2103,'Discount Lookup'!G:H,2,FALSE)*G2103)</f>
        <v>0</v>
      </c>
      <c r="W2103" s="508">
        <f t="shared" si="1604"/>
        <v>0</v>
      </c>
      <c r="X2103" s="508">
        <f t="shared" si="1605"/>
        <v>0</v>
      </c>
      <c r="Y2103" s="509" t="b">
        <f t="shared" si="1606"/>
        <v>0</v>
      </c>
      <c r="Z2103" s="510">
        <f t="shared" si="1607"/>
        <v>0</v>
      </c>
      <c r="AA2103" s="511"/>
      <c r="AB2103" s="511" t="str">
        <f t="shared" si="1608"/>
        <v/>
      </c>
      <c r="AC2103" s="698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698"/>
      <c r="AE2103" s="631" t="str">
        <f t="shared" si="1609"/>
        <v/>
      </c>
      <c r="AF2103" s="699" t="str">
        <f t="shared" si="1610"/>
        <v/>
      </c>
      <c r="AG2103" s="699"/>
      <c r="AH2103" s="699"/>
      <c r="AI2103" s="512">
        <f>IF(H2103="credit",0,IF(AE2103="free",0,IF(AE2103="me",0,IF(G2103&gt;0,(VLOOKUP(A2103,'Discount Lookup'!J:K,2)*G2103),0))))</f>
        <v>0</v>
      </c>
      <c r="AJ2103" s="513" t="str">
        <f t="shared" ca="1" si="1611"/>
        <v/>
      </c>
      <c r="AK2103" s="700" t="str">
        <f t="shared" si="1612"/>
        <v/>
      </c>
      <c r="AL2103" s="700"/>
      <c r="AM2103" s="505" t="str">
        <f t="shared" si="1613"/>
        <v/>
      </c>
      <c r="AN2103" s="506"/>
      <c r="AO2103" s="507"/>
      <c r="AP2103" s="507"/>
      <c r="AQ2103" s="507"/>
      <c r="AR2103" s="507"/>
      <c r="AS2103" s="507"/>
      <c r="AT2103" s="507"/>
      <c r="AU2103" s="507"/>
      <c r="AV2103" s="225"/>
      <c r="AW2103" s="508"/>
      <c r="AX2103" s="225"/>
      <c r="AY2103" s="225"/>
      <c r="AZ2103" s="225"/>
      <c r="BA2103" s="225"/>
      <c r="BB2103" s="225"/>
      <c r="BC2103" s="56"/>
      <c r="BD2103" s="56"/>
      <c r="BE2103" s="56"/>
      <c r="BF2103" s="107" t="str">
        <f t="shared" si="1614"/>
        <v>https://www.google.com/search?tbm=isch&amp;q=3%20G4</v>
      </c>
      <c r="BG2103" s="107" t="str">
        <f t="shared" si="1615"/>
        <v>K</v>
      </c>
      <c r="BH2103" s="254"/>
      <c r="BI2103" s="254"/>
    </row>
    <row r="2104" spans="1:61" customFormat="1" ht="17.25" thickBot="1" x14ac:dyDescent="0.3">
      <c r="A2104" s="524" t="s">
        <v>3286</v>
      </c>
      <c r="B2104" s="245"/>
      <c r="C2104" s="677"/>
      <c r="D2104" s="499"/>
      <c r="E2104" s="499"/>
      <c r="F2104" s="500"/>
      <c r="G2104" s="501"/>
      <c r="H2104" s="502"/>
      <c r="I2104" s="246"/>
      <c r="J2104" s="247"/>
      <c r="K2104" s="503"/>
      <c r="L2104" s="544"/>
      <c r="M2104" s="544"/>
      <c r="N2104" s="500"/>
      <c r="O2104" s="500"/>
      <c r="P2104" s="500"/>
      <c r="Q2104" s="500"/>
      <c r="R2104" s="500"/>
      <c r="S2104" s="669" t="s">
        <v>4972</v>
      </c>
      <c r="T2104" s="508">
        <f t="shared" si="1603"/>
        <v>0</v>
      </c>
      <c r="U2104" s="225" t="str">
        <f>IF(NOT(ISNUMBER(G2104)), "", VLOOKUP(A2104,'Discount Lookup'!D:E,2,FALSE)*G2104)</f>
        <v/>
      </c>
      <c r="V2104" s="225" t="str">
        <f>IF(NOT(ISNUMBER(G2104)), "", VLOOKUP(A2104,'Discount Lookup'!G:H,2,FALSE)*G2104)</f>
        <v/>
      </c>
      <c r="W2104" s="508">
        <f t="shared" si="1604"/>
        <v>0</v>
      </c>
      <c r="X2104" s="508">
        <f t="shared" si="1605"/>
        <v>0</v>
      </c>
      <c r="Y2104" s="509" t="b">
        <f t="shared" si="1606"/>
        <v>0</v>
      </c>
      <c r="Z2104" s="510">
        <f t="shared" si="1607"/>
        <v>0</v>
      </c>
      <c r="AA2104" s="511"/>
      <c r="AB2104" s="511" t="str">
        <f t="shared" si="1608"/>
        <v/>
      </c>
      <c r="AC2104" s="698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698"/>
      <c r="AE2104" s="631" t="str">
        <f t="shared" si="1609"/>
        <v/>
      </c>
      <c r="AF2104" s="699" t="str">
        <f t="shared" si="1610"/>
        <v/>
      </c>
      <c r="AG2104" s="699"/>
      <c r="AH2104" s="699"/>
      <c r="AI2104" s="512">
        <f>IF(H2104="credit",0,IF(AE2104="free",0,IF(AE2104="me",0,IF(G2104&gt;0,(VLOOKUP(A2104,'Discount Lookup'!J:K,2)*G2104),0))))</f>
        <v>0</v>
      </c>
      <c r="AJ2104" s="513" t="str">
        <f t="shared" ca="1" si="1611"/>
        <v/>
      </c>
      <c r="AK2104" s="700" t="str">
        <f t="shared" si="1612"/>
        <v/>
      </c>
      <c r="AL2104" s="700"/>
      <c r="AM2104" s="505" t="str">
        <f t="shared" si="1613"/>
        <v/>
      </c>
      <c r="AN2104" s="506"/>
      <c r="AO2104" s="507"/>
      <c r="AP2104" s="507"/>
      <c r="AQ2104" s="507"/>
      <c r="AR2104" s="507"/>
      <c r="AS2104" s="507"/>
      <c r="AT2104" s="507"/>
      <c r="AU2104" s="507"/>
      <c r="AV2104" s="225"/>
      <c r="AW2104" s="508"/>
      <c r="AX2104" s="225"/>
      <c r="AY2104" s="225"/>
      <c r="AZ2104" s="225"/>
      <c r="BA2104" s="225"/>
      <c r="BB2104" s="225"/>
      <c r="BC2104" s="56"/>
      <c r="BD2104" s="56"/>
      <c r="BE2104" s="56"/>
      <c r="BF2104" s="107" t="str">
        <f t="shared" si="1614"/>
        <v>https://www.google.com/search?tbm=isch&amp;q=Koreanspice%20known%20for%20incredibly%20fragrant%20flower%20clusters%20that%20bloom%20in%20early%20spring%2C%20and%20its%20attractive%20Reddish-Purple%20fall%20foliage%20</v>
      </c>
      <c r="BG2104" s="107" t="str">
        <f t="shared" si="1615"/>
        <v>K</v>
      </c>
      <c r="BH2104" s="254"/>
      <c r="BI2104" s="254"/>
    </row>
    <row r="2105" spans="1:61" customFormat="1" ht="18" x14ac:dyDescent="0.25">
      <c r="A2105" s="521" t="s">
        <v>1217</v>
      </c>
      <c r="B2105" s="477"/>
      <c r="C2105" s="674"/>
      <c r="D2105" s="478" t="s">
        <v>1218</v>
      </c>
      <c r="E2105" s="479"/>
      <c r="F2105" s="479"/>
      <c r="G2105" s="479"/>
      <c r="H2105" s="582" t="s">
        <v>1879</v>
      </c>
      <c r="I2105" s="480" t="s">
        <v>2093</v>
      </c>
      <c r="J2105" s="479"/>
      <c r="K2105" s="479"/>
      <c r="L2105" s="560"/>
      <c r="M2105" s="666" t="s">
        <v>4966</v>
      </c>
      <c r="N2105" s="680" t="str">
        <f>IF(AND(ISTEXT($A2105), ISERROR($A2105+0)), HYPERLINK($BF2105, "Images"), "")</f>
        <v>Images</v>
      </c>
      <c r="O2105" s="662" t="s">
        <v>4969</v>
      </c>
      <c r="P2105" s="482"/>
      <c r="Q2105" s="483"/>
      <c r="R2105" s="483"/>
      <c r="S2105" s="484"/>
      <c r="T2105" s="508">
        <f t="shared" si="1603"/>
        <v>0</v>
      </c>
      <c r="U2105" s="225" t="str">
        <f>IF(NOT(ISNUMBER(G2105)), "", VLOOKUP(A2105,'Discount Lookup'!D:E,2,FALSE)*G2105)</f>
        <v/>
      </c>
      <c r="V2105" s="225" t="str">
        <f>IF(NOT(ISNUMBER(G2105)), "", VLOOKUP(A2105,'Discount Lookup'!G:H,2,FALSE)*G2105)</f>
        <v/>
      </c>
      <c r="W2105" s="508">
        <f t="shared" si="1604"/>
        <v>0</v>
      </c>
      <c r="X2105" s="508" t="str">
        <f t="shared" si="1605"/>
        <v>Dark Green foliage</v>
      </c>
      <c r="Y2105" s="509" t="b">
        <f t="shared" si="1606"/>
        <v>0</v>
      </c>
      <c r="Z2105" s="510">
        <f t="shared" si="1607"/>
        <v>0</v>
      </c>
      <c r="AA2105" s="511"/>
      <c r="AB2105" s="511" t="str">
        <f t="shared" si="1608"/>
        <v/>
      </c>
      <c r="AC2105" s="698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698"/>
      <c r="AE2105" s="631" t="str">
        <f t="shared" si="1609"/>
        <v/>
      </c>
      <c r="AF2105" s="699" t="str">
        <f t="shared" si="1610"/>
        <v/>
      </c>
      <c r="AG2105" s="699"/>
      <c r="AH2105" s="699"/>
      <c r="AI2105" s="512">
        <f>IF(H2105="credit",0,IF(AE2105="free",0,IF(AE2105="me",0,IF(G2105&gt;0,(VLOOKUP(A2105,'Discount Lookup'!J:K,2)*G2105),0))))</f>
        <v>0</v>
      </c>
      <c r="AJ2105" s="513" t="str">
        <f t="shared" ca="1" si="1611"/>
        <v/>
      </c>
      <c r="AK2105" s="700" t="str">
        <f t="shared" si="1612"/>
        <v/>
      </c>
      <c r="AL2105" s="700"/>
      <c r="AM2105" s="505" t="str">
        <f t="shared" si="1613"/>
        <v/>
      </c>
      <c r="AN2105" s="506"/>
      <c r="AO2105" s="507"/>
      <c r="AP2105" s="507"/>
      <c r="AQ2105" s="507"/>
      <c r="AR2105" s="507"/>
      <c r="AS2105" s="507"/>
      <c r="AT2105" s="507"/>
      <c r="AU2105" s="507"/>
      <c r="AV2105" s="225"/>
      <c r="AW2105" s="508"/>
      <c r="AX2105" s="225"/>
      <c r="AY2105" s="225"/>
      <c r="AZ2105" s="225"/>
      <c r="BA2105" s="225"/>
      <c r="BB2105" s="225"/>
      <c r="BC2105" s="56"/>
      <c r="BD2105" s="56"/>
      <c r="BE2105" s="56"/>
      <c r="BF2105" s="107" t="str">
        <f t="shared" si="1614"/>
        <v>https://www.google.com/search?tbm=isch&amp;q=Koster%27s%20Cypress%20Chamaecyparis%20obtusa%20%27Kosteri%27</v>
      </c>
      <c r="BG2105" s="107" t="str">
        <f t="shared" si="1615"/>
        <v>K</v>
      </c>
      <c r="BH2105" s="254"/>
      <c r="BI2105" s="254"/>
    </row>
    <row r="2106" spans="1:61" customFormat="1" ht="15.75" x14ac:dyDescent="0.25">
      <c r="A2106" s="485">
        <v>7</v>
      </c>
      <c r="B2106" s="486" t="s">
        <v>291</v>
      </c>
      <c r="C2106" s="487" t="s">
        <v>3597</v>
      </c>
      <c r="D2106" s="488" t="s">
        <v>292</v>
      </c>
      <c r="E2106" s="489">
        <v>109.95</v>
      </c>
      <c r="F2106" s="516" t="s">
        <v>293</v>
      </c>
      <c r="G2106" s="232">
        <v>0</v>
      </c>
      <c r="H2106" s="658" t="str">
        <f>IF(G2106=0,"",IF(F2106="Buy",IF(G2106=1,"plant","plants"),IF(F2106&gt;0.01,"warranty","Error")))</f>
        <v/>
      </c>
      <c r="I2106" s="490">
        <f>IF(H2106="free",0,IF(H2106="credit",((E2106*(F2106))*G2106*-1),IF(F2106="Buy",(E2106*G2106),((E2106*(1-F2106))*G2106))))</f>
        <v>0</v>
      </c>
      <c r="J2106" s="490">
        <f>IF(H2106="warranty",0,(I2106*(_xlfn.SINGLE(SalesTaxPercentage))))</f>
        <v>0</v>
      </c>
      <c r="K2106" s="695">
        <f t="shared" ref="K2106" si="1637">I2106+J2106</f>
        <v>0</v>
      </c>
      <c r="L2106" s="695"/>
      <c r="M2106" s="659" t="str">
        <f>IF(AND(G2106&gt;0,E2106=0),"WARNING - no PRICE inserted",IF(H2106="free"," FREE ~ no charge this plant",IF(H2106="credit",CONCATENATE(" -$",ROUND(K2106*(1-T2GDiscount)*-1,2)," CREDIT after discount"),IF(T2GDiscount=0,"",IF(G2106=0,"",IF(F2106="Buy",CONCATENATE(" $",ROUND(K2106*(1-T2GDiscount),2)," with ",(T2GDiscount*100),"% discount"),CONCATENATE(" $",ROUND(K2106*(1-T2GDiscount),2)," with ",((T2GDiscount*100+F2106*100)-(T2GDiscount*100*F2106)),IF(F2106&gt;0,"% discounts",IF(NoWarrantyDiscount&gt;0,"% discounts","% discount")))))))))</f>
        <v/>
      </c>
      <c r="N2106" s="660"/>
      <c r="O2106" s="233"/>
      <c r="P2106" s="233"/>
      <c r="Q2106" s="233"/>
      <c r="R2106" s="233"/>
      <c r="S2106" s="233"/>
      <c r="T2106" s="508">
        <f t="shared" si="1603"/>
        <v>0</v>
      </c>
      <c r="U2106" s="225">
        <f>IF(NOT(ISNUMBER(G2106)), "", VLOOKUP(A2106,'Discount Lookup'!D:E,2,FALSE)*G2106)</f>
        <v>0</v>
      </c>
      <c r="V2106" s="225">
        <f>IF(NOT(ISNUMBER(G2106)), "", VLOOKUP(A2106,'Discount Lookup'!G:H,2,FALSE)*G2106)</f>
        <v>0</v>
      </c>
      <c r="W2106" s="508">
        <f t="shared" si="1604"/>
        <v>0</v>
      </c>
      <c r="X2106" s="508">
        <f t="shared" si="1605"/>
        <v>0</v>
      </c>
      <c r="Y2106" s="509" t="b">
        <f t="shared" si="1606"/>
        <v>0</v>
      </c>
      <c r="Z2106" s="510">
        <f t="shared" si="1607"/>
        <v>0</v>
      </c>
      <c r="AA2106" s="511"/>
      <c r="AB2106" s="511" t="str">
        <f t="shared" si="1608"/>
        <v/>
      </c>
      <c r="AC2106" s="698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698"/>
      <c r="AE2106" s="631" t="str">
        <f t="shared" si="1609"/>
        <v/>
      </c>
      <c r="AF2106" s="699" t="str">
        <f t="shared" si="1610"/>
        <v/>
      </c>
      <c r="AG2106" s="699"/>
      <c r="AH2106" s="699"/>
      <c r="AI2106" s="512">
        <f>IF(H2106="credit",0,IF(AE2106="free",0,IF(AE2106="me",0,IF(G2106&gt;0,(VLOOKUP(A2106,'Discount Lookup'!J:K,2)*G2106),0))))</f>
        <v>0</v>
      </c>
      <c r="AJ2106" s="513" t="str">
        <f t="shared" ca="1" si="1611"/>
        <v/>
      </c>
      <c r="AK2106" s="700" t="str">
        <f t="shared" si="1612"/>
        <v/>
      </c>
      <c r="AL2106" s="700"/>
      <c r="AM2106" s="505" t="str">
        <f t="shared" si="1613"/>
        <v/>
      </c>
      <c r="AN2106" s="506"/>
      <c r="AO2106" s="507"/>
      <c r="AP2106" s="507"/>
      <c r="AQ2106" s="507"/>
      <c r="AR2106" s="507"/>
      <c r="AS2106" s="507"/>
      <c r="AT2106" s="507"/>
      <c r="AU2106" s="507"/>
      <c r="AV2106" s="225"/>
      <c r="AW2106" s="508"/>
      <c r="AX2106" s="225"/>
      <c r="AY2106" s="225"/>
      <c r="AZ2106" s="225"/>
      <c r="BA2106" s="225"/>
      <c r="BB2106" s="225"/>
      <c r="BC2106" s="56"/>
      <c r="BD2106" s="56"/>
      <c r="BE2106" s="56"/>
      <c r="BF2106" s="107" t="str">
        <f t="shared" si="1614"/>
        <v>https://www.google.com/search?tbm=isch&amp;q=7%20G4</v>
      </c>
      <c r="BG2106" s="107" t="str">
        <f t="shared" si="1615"/>
        <v>K</v>
      </c>
      <c r="BH2106" s="254"/>
      <c r="BI2106" s="254"/>
    </row>
    <row r="2107" spans="1:61" customFormat="1" ht="15.75" x14ac:dyDescent="0.25">
      <c r="A2107" s="485">
        <v>15</v>
      </c>
      <c r="B2107" s="486" t="s">
        <v>291</v>
      </c>
      <c r="C2107" s="487" t="s">
        <v>3472</v>
      </c>
      <c r="D2107" s="488" t="s">
        <v>292</v>
      </c>
      <c r="E2107" s="489">
        <v>224.95</v>
      </c>
      <c r="F2107" s="516" t="s">
        <v>293</v>
      </c>
      <c r="G2107" s="232">
        <v>0</v>
      </c>
      <c r="H2107" s="658" t="str">
        <f>IF(G2107=0,"",IF(F2107="Buy",IF(G2107=1,"plant","plants"),IF(F2107&gt;0.01,"warranty","Error")))</f>
        <v/>
      </c>
      <c r="I2107" s="490">
        <f>IF(H2107="free",0,IF(H2107="credit",((E2107*(F2107))*G2107*-1),IF(F2107="Buy",(E2107*G2107),((E2107*(1-F2107))*G2107))))</f>
        <v>0</v>
      </c>
      <c r="J2107" s="490">
        <f>IF(H2107="warranty",0,(I2107*(_xlfn.SINGLE(SalesTaxPercentage))))</f>
        <v>0</v>
      </c>
      <c r="K2107" s="695">
        <f t="shared" ref="K2107" si="1638">I2107+J2107</f>
        <v>0</v>
      </c>
      <c r="L2107" s="695"/>
      <c r="M2107" s="659" t="str">
        <f>IF(AND(G2107&gt;0,E2107=0),"WARNING - no PRICE inserted",IF(H2107="free"," FREE ~ no charge this plant",IF(H2107="credit",CONCATENATE(" -$",ROUND(K2107*(1-T2GDiscount)*-1,2)," CREDIT after discount"),IF(T2GDiscount=0,"",IF(G2107=0,"",IF(F2107="Buy",CONCATENATE(" $",ROUND(K2107*(1-T2GDiscount),2)," with ",(T2GDiscount*100),"% discount"),CONCATENATE(" $",ROUND(K2107*(1-T2GDiscount),2)," with ",((T2GDiscount*100+F2107*100)-(T2GDiscount*100*F2107)),IF(F2107&gt;0,"% discounts",IF(NoWarrantyDiscount&gt;0,"% discounts","% discount")))))))))</f>
        <v/>
      </c>
      <c r="N2107" s="660"/>
      <c r="O2107" s="233"/>
      <c r="P2107" s="233"/>
      <c r="Q2107" s="233"/>
      <c r="R2107" s="233"/>
      <c r="S2107" s="233"/>
      <c r="T2107" s="508">
        <f t="shared" si="1603"/>
        <v>0</v>
      </c>
      <c r="U2107" s="225">
        <f>IF(NOT(ISNUMBER(G2107)), "", VLOOKUP(A2107,'Discount Lookup'!D:E,2,FALSE)*G2107)</f>
        <v>0</v>
      </c>
      <c r="V2107" s="225">
        <f>IF(NOT(ISNUMBER(G2107)), "", VLOOKUP(A2107,'Discount Lookup'!G:H,2,FALSE)*G2107)</f>
        <v>0</v>
      </c>
      <c r="W2107" s="508">
        <f t="shared" si="1604"/>
        <v>0</v>
      </c>
      <c r="X2107" s="508">
        <f t="shared" si="1605"/>
        <v>0</v>
      </c>
      <c r="Y2107" s="509" t="b">
        <f t="shared" si="1606"/>
        <v>0</v>
      </c>
      <c r="Z2107" s="510">
        <f t="shared" si="1607"/>
        <v>0</v>
      </c>
      <c r="AA2107" s="511"/>
      <c r="AB2107" s="511" t="str">
        <f t="shared" si="1608"/>
        <v/>
      </c>
      <c r="AC2107" s="698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698"/>
      <c r="AE2107" s="631" t="str">
        <f t="shared" si="1609"/>
        <v/>
      </c>
      <c r="AF2107" s="699" t="str">
        <f t="shared" si="1610"/>
        <v/>
      </c>
      <c r="AG2107" s="699"/>
      <c r="AH2107" s="699"/>
      <c r="AI2107" s="512">
        <f>IF(H2107="credit",0,IF(AE2107="free",0,IF(AE2107="me",0,IF(G2107&gt;0,(VLOOKUP(A2107,'Discount Lookup'!J:K,2)*G2107),0))))</f>
        <v>0</v>
      </c>
      <c r="AJ2107" s="513" t="str">
        <f t="shared" ca="1" si="1611"/>
        <v/>
      </c>
      <c r="AK2107" s="700" t="str">
        <f t="shared" si="1612"/>
        <v/>
      </c>
      <c r="AL2107" s="700"/>
      <c r="AM2107" s="505" t="str">
        <f t="shared" si="1613"/>
        <v/>
      </c>
      <c r="AN2107" s="506"/>
      <c r="AO2107" s="507"/>
      <c r="AP2107" s="507"/>
      <c r="AQ2107" s="507"/>
      <c r="AR2107" s="507"/>
      <c r="AS2107" s="507"/>
      <c r="AT2107" s="507"/>
      <c r="AU2107" s="507"/>
      <c r="AV2107" s="225"/>
      <c r="AW2107" s="508"/>
      <c r="AX2107" s="225"/>
      <c r="AY2107" s="225"/>
      <c r="AZ2107" s="225"/>
      <c r="BA2107" s="225"/>
      <c r="BB2107" s="225"/>
      <c r="BC2107" s="56"/>
      <c r="BD2107" s="56"/>
      <c r="BE2107" s="56"/>
      <c r="BF2107" s="107" t="str">
        <f t="shared" si="1614"/>
        <v>https://www.google.com/search?tbm=isch&amp;q=15%20G4</v>
      </c>
      <c r="BG2107" s="107" t="str">
        <f t="shared" si="1615"/>
        <v>K</v>
      </c>
      <c r="BH2107" s="254"/>
      <c r="BI2107" s="254"/>
    </row>
    <row r="2108" spans="1:61" customFormat="1" ht="17.25" thickBot="1" x14ac:dyDescent="0.3">
      <c r="A2108" s="522" t="s">
        <v>2422</v>
      </c>
      <c r="B2108" s="491"/>
      <c r="C2108" s="675"/>
      <c r="D2108" s="491"/>
      <c r="E2108" s="491"/>
      <c r="F2108" s="492"/>
      <c r="G2108" s="493"/>
      <c r="H2108" s="491"/>
      <c r="I2108" s="234"/>
      <c r="J2108" s="234"/>
      <c r="K2108" s="494"/>
      <c r="L2108" s="543"/>
      <c r="M2108" s="561"/>
      <c r="N2108" s="495"/>
      <c r="O2108" s="496"/>
      <c r="P2108" s="497"/>
      <c r="Q2108" s="495"/>
      <c r="R2108" s="495"/>
      <c r="S2108" s="667" t="s">
        <v>4986</v>
      </c>
      <c r="T2108" s="508">
        <f t="shared" si="1603"/>
        <v>0</v>
      </c>
      <c r="U2108" s="225" t="str">
        <f>IF(NOT(ISNUMBER(G2108)), "", VLOOKUP(A2108,'Discount Lookup'!D:E,2,FALSE)*G2108)</f>
        <v/>
      </c>
      <c r="V2108" s="225" t="str">
        <f>IF(NOT(ISNUMBER(G2108)), "", VLOOKUP(A2108,'Discount Lookup'!G:H,2,FALSE)*G2108)</f>
        <v/>
      </c>
      <c r="W2108" s="508">
        <f t="shared" si="1604"/>
        <v>0</v>
      </c>
      <c r="X2108" s="508">
        <f t="shared" si="1605"/>
        <v>0</v>
      </c>
      <c r="Y2108" s="509" t="b">
        <f t="shared" si="1606"/>
        <v>0</v>
      </c>
      <c r="Z2108" s="510">
        <f t="shared" si="1607"/>
        <v>0</v>
      </c>
      <c r="AA2108" s="511"/>
      <c r="AB2108" s="511" t="str">
        <f t="shared" si="1608"/>
        <v/>
      </c>
      <c r="AC2108" s="698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698"/>
      <c r="AE2108" s="631" t="str">
        <f t="shared" si="1609"/>
        <v/>
      </c>
      <c r="AF2108" s="699" t="str">
        <f t="shared" si="1610"/>
        <v/>
      </c>
      <c r="AG2108" s="699"/>
      <c r="AH2108" s="699"/>
      <c r="AI2108" s="512">
        <f>IF(H2108="credit",0,IF(AE2108="free",0,IF(AE2108="me",0,IF(G2108&gt;0,(VLOOKUP(A2108,'Discount Lookup'!J:K,2)*G2108),0))))</f>
        <v>0</v>
      </c>
      <c r="AJ2108" s="513" t="str">
        <f t="shared" ca="1" si="1611"/>
        <v/>
      </c>
      <c r="AK2108" s="700" t="str">
        <f t="shared" si="1612"/>
        <v/>
      </c>
      <c r="AL2108" s="700"/>
      <c r="AM2108" s="505" t="str">
        <f t="shared" si="1613"/>
        <v/>
      </c>
      <c r="AN2108" s="506"/>
      <c r="AO2108" s="507"/>
      <c r="AP2108" s="507"/>
      <c r="AQ2108" s="507"/>
      <c r="AR2108" s="507"/>
      <c r="AS2108" s="507"/>
      <c r="AT2108" s="507"/>
      <c r="AU2108" s="507"/>
      <c r="AV2108" s="225"/>
      <c r="AW2108" s="508"/>
      <c r="AX2108" s="225"/>
      <c r="AY2108" s="225"/>
      <c r="AZ2108" s="225"/>
      <c r="BA2108" s="225"/>
      <c r="BB2108" s="225"/>
      <c r="BC2108" s="56"/>
      <c r="BD2108" s="56"/>
      <c r="BE2108" s="56"/>
      <c r="BF2108" s="107" t="str">
        <f t="shared" si="1614"/>
        <v>https://www.google.com/search?tbm=isch&amp;q=Koster%27s%20is%20a%20Hinoki%20type.%20Shell-like%20foliage%20and%20a%20unique%2C%20irregularly%20branched%2C%20conical%20form%20lend%20great%20texture%20and%20interest%20</v>
      </c>
      <c r="BG2108" s="107" t="str">
        <f t="shared" si="1615"/>
        <v>K</v>
      </c>
      <c r="BH2108" s="254"/>
      <c r="BI2108" s="254"/>
    </row>
    <row r="2109" spans="1:61" customFormat="1" ht="18" x14ac:dyDescent="0.25">
      <c r="A2109" s="523" t="s">
        <v>1219</v>
      </c>
      <c r="B2109" s="235"/>
      <c r="C2109" s="676"/>
      <c r="D2109" s="255" t="s">
        <v>1220</v>
      </c>
      <c r="E2109" s="236"/>
      <c r="F2109" s="236"/>
      <c r="G2109" s="236"/>
      <c r="H2109" s="582" t="s">
        <v>370</v>
      </c>
      <c r="I2109" s="498" t="s">
        <v>654</v>
      </c>
      <c r="J2109" s="237"/>
      <c r="K2109" s="237"/>
      <c r="L2109" s="274"/>
      <c r="M2109" s="668" t="s">
        <v>4975</v>
      </c>
      <c r="N2109" s="681" t="str">
        <f>IF(AND(ISTEXT($A2109), ISERROR($A2109+0)), HYPERLINK($BF2109, "Images"), "")</f>
        <v>Images</v>
      </c>
      <c r="O2109" s="663" t="s">
        <v>4967</v>
      </c>
      <c r="P2109" s="253"/>
      <c r="Q2109" s="238"/>
      <c r="R2109" s="239"/>
      <c r="S2109" s="275"/>
      <c r="T2109" s="508">
        <f t="shared" si="1603"/>
        <v>0</v>
      </c>
      <c r="U2109" s="225" t="str">
        <f>IF(NOT(ISNUMBER(G2109)), "", VLOOKUP(A2109,'Discount Lookup'!D:E,2,FALSE)*G2109)</f>
        <v/>
      </c>
      <c r="V2109" s="225" t="str">
        <f>IF(NOT(ISNUMBER(G2109)), "", VLOOKUP(A2109,'Discount Lookup'!G:H,2,FALSE)*G2109)</f>
        <v/>
      </c>
      <c r="W2109" s="508">
        <f t="shared" si="1604"/>
        <v>0</v>
      </c>
      <c r="X2109" s="508" t="str">
        <f t="shared" si="1605"/>
        <v>White bloom</v>
      </c>
      <c r="Y2109" s="509" t="b">
        <f t="shared" si="1606"/>
        <v>0</v>
      </c>
      <c r="Z2109" s="510">
        <f t="shared" si="1607"/>
        <v>0</v>
      </c>
      <c r="AA2109" s="511"/>
      <c r="AB2109" s="511" t="str">
        <f t="shared" si="1608"/>
        <v/>
      </c>
      <c r="AC2109" s="698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698"/>
      <c r="AE2109" s="631" t="str">
        <f t="shared" si="1609"/>
        <v/>
      </c>
      <c r="AF2109" s="699" t="str">
        <f t="shared" si="1610"/>
        <v/>
      </c>
      <c r="AG2109" s="699"/>
      <c r="AH2109" s="699"/>
      <c r="AI2109" s="512">
        <f>IF(H2109="credit",0,IF(AE2109="free",0,IF(AE2109="me",0,IF(G2109&gt;0,(VLOOKUP(A2109,'Discount Lookup'!J:K,2)*G2109),0))))</f>
        <v>0</v>
      </c>
      <c r="AJ2109" s="513" t="str">
        <f t="shared" ca="1" si="1611"/>
        <v/>
      </c>
      <c r="AK2109" s="700" t="str">
        <f t="shared" si="1612"/>
        <v/>
      </c>
      <c r="AL2109" s="700"/>
      <c r="AM2109" s="505" t="str">
        <f t="shared" si="1613"/>
        <v/>
      </c>
      <c r="AN2109" s="506"/>
      <c r="AO2109" s="507"/>
      <c r="AP2109" s="507"/>
      <c r="AQ2109" s="507"/>
      <c r="AR2109" s="507"/>
      <c r="AS2109" s="507"/>
      <c r="AT2109" s="507"/>
      <c r="AU2109" s="507"/>
      <c r="AV2109" s="225"/>
      <c r="AW2109" s="508"/>
      <c r="AX2109" s="225"/>
      <c r="AY2109" s="225"/>
      <c r="AZ2109" s="225"/>
      <c r="BA2109" s="225"/>
      <c r="BB2109" s="225"/>
      <c r="BC2109" s="56"/>
      <c r="BD2109" s="56"/>
      <c r="BE2109" s="56"/>
      <c r="BF2109" s="107" t="str">
        <f t="shared" si="1614"/>
        <v>https://www.google.com/search?tbm=isch&amp;q=Kousa%20Dogwood%20Cornus%20kousa</v>
      </c>
      <c r="BG2109" s="107" t="str">
        <f t="shared" si="1615"/>
        <v>K</v>
      </c>
      <c r="BH2109" s="254"/>
      <c r="BI2109" s="254"/>
    </row>
    <row r="2110" spans="1:61" customFormat="1" ht="15.75" x14ac:dyDescent="0.25">
      <c r="A2110" s="276">
        <v>7</v>
      </c>
      <c r="B2110" s="240" t="s">
        <v>291</v>
      </c>
      <c r="C2110" s="241" t="s">
        <v>3598</v>
      </c>
      <c r="D2110" s="242" t="s">
        <v>292</v>
      </c>
      <c r="E2110" s="243">
        <v>100.95</v>
      </c>
      <c r="F2110" s="517" t="s">
        <v>293</v>
      </c>
      <c r="G2110" s="232">
        <v>0</v>
      </c>
      <c r="H2110" s="661" t="str">
        <f t="shared" ref="H2110:H2115" si="1639">IF(G2110=0,"",IF(F2110="Buy",IF(G2110=1,"plant","plants"),IF(F2110&gt;0.01,"warranty","Error")))</f>
        <v/>
      </c>
      <c r="I2110" s="244">
        <f t="shared" ref="I2110:I2115" si="1640">IF(H2110="free",0,IF(H2110="credit",((E2110*(F2110))*G2110*-1),IF(F2110="Buy",(E2110*G2110),((E2110*(1-F2110))*G2110))))</f>
        <v>0</v>
      </c>
      <c r="J2110" s="244">
        <f t="shared" ref="J2110:J2115" si="1641">IF(H2110="warranty",0,(I2110*(_xlfn.SINGLE(SalesTaxPercentage))))</f>
        <v>0</v>
      </c>
      <c r="K2110" s="696">
        <f t="shared" ref="K2110" si="1642">I2110+J2110</f>
        <v>0</v>
      </c>
      <c r="L2110" s="696"/>
      <c r="M2110" s="659" t="str">
        <f t="shared" ref="M2110:M2115" si="1643">IF(AND(G2110&gt;0,E2110=0),"WARNING - no PRICE inserted",IF(H2110="free"," FREE ~ no charge this plant",IF(H2110="credit",CONCATENATE(" -$",ROUND(K2110*(1-T2GDiscount)*-1,2)," CREDIT after discount"),IF(T2GDiscount=0,"",IF(G2110=0,"",IF(F2110="Buy",CONCATENATE(" $",ROUND(K2110*(1-T2GDiscount),2)," with ",(T2GDiscount*100),"% discount"),CONCATENATE(" $",ROUND(K2110*(1-T2GDiscount),2)," with ",((T2GDiscount*100+F2110*100)-(T2GDiscount*100*F2110)),IF(F2110&gt;0,"% discounts",IF(NoWarrantyDiscount&gt;0,"% discounts","% discount")))))))))</f>
        <v/>
      </c>
      <c r="N2110" s="660"/>
      <c r="O2110" s="233"/>
      <c r="P2110" s="233"/>
      <c r="Q2110" s="233"/>
      <c r="R2110" s="233"/>
      <c r="S2110" s="233"/>
      <c r="T2110" s="508">
        <f t="shared" si="1603"/>
        <v>0</v>
      </c>
      <c r="U2110" s="225">
        <f>IF(NOT(ISNUMBER(G2110)), "", VLOOKUP(A2110,'Discount Lookup'!D:E,2,FALSE)*G2110)</f>
        <v>0</v>
      </c>
      <c r="V2110" s="225">
        <f>IF(NOT(ISNUMBER(G2110)), "", VLOOKUP(A2110,'Discount Lookup'!G:H,2,FALSE)*G2110)</f>
        <v>0</v>
      </c>
      <c r="W2110" s="508">
        <f t="shared" si="1604"/>
        <v>0</v>
      </c>
      <c r="X2110" s="508">
        <f t="shared" si="1605"/>
        <v>0</v>
      </c>
      <c r="Y2110" s="509" t="b">
        <f t="shared" si="1606"/>
        <v>0</v>
      </c>
      <c r="Z2110" s="510">
        <f t="shared" si="1607"/>
        <v>0</v>
      </c>
      <c r="AA2110" s="511"/>
      <c r="AB2110" s="511" t="str">
        <f t="shared" si="1608"/>
        <v/>
      </c>
      <c r="AC2110" s="698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698"/>
      <c r="AE2110" s="631" t="str">
        <f t="shared" si="1609"/>
        <v/>
      </c>
      <c r="AF2110" s="699" t="str">
        <f t="shared" si="1610"/>
        <v/>
      </c>
      <c r="AG2110" s="699"/>
      <c r="AH2110" s="699"/>
      <c r="AI2110" s="512">
        <f>IF(H2110="credit",0,IF(AE2110="free",0,IF(AE2110="me",0,IF(G2110&gt;0,(VLOOKUP(A2110,'Discount Lookup'!J:K,2)*G2110),0))))</f>
        <v>0</v>
      </c>
      <c r="AJ2110" s="513" t="str">
        <f t="shared" ca="1" si="1611"/>
        <v/>
      </c>
      <c r="AK2110" s="700" t="str">
        <f t="shared" si="1612"/>
        <v/>
      </c>
      <c r="AL2110" s="700"/>
      <c r="AM2110" s="505" t="str">
        <f t="shared" si="1613"/>
        <v/>
      </c>
      <c r="AN2110" s="506"/>
      <c r="AO2110" s="507"/>
      <c r="AP2110" s="507"/>
      <c r="AQ2110" s="507"/>
      <c r="AR2110" s="507"/>
      <c r="AS2110" s="507"/>
      <c r="AT2110" s="507"/>
      <c r="AU2110" s="507"/>
      <c r="AV2110" s="225"/>
      <c r="AW2110" s="508"/>
      <c r="AX2110" s="225"/>
      <c r="AY2110" s="225"/>
      <c r="AZ2110" s="225"/>
      <c r="BA2110" s="225"/>
      <c r="BB2110" s="225"/>
      <c r="BC2110" s="56"/>
      <c r="BD2110" s="56"/>
      <c r="BE2110" s="56"/>
      <c r="BF2110" s="107" t="str">
        <f t="shared" si="1614"/>
        <v>https://www.google.com/search?tbm=isch&amp;q=7%20G4</v>
      </c>
      <c r="BG2110" s="107" t="str">
        <f t="shared" si="1615"/>
        <v>K</v>
      </c>
      <c r="BH2110" s="254"/>
      <c r="BI2110" s="254"/>
    </row>
    <row r="2111" spans="1:61" customFormat="1" ht="15.75" x14ac:dyDescent="0.25">
      <c r="A2111" s="276">
        <v>7</v>
      </c>
      <c r="B2111" s="240" t="s">
        <v>291</v>
      </c>
      <c r="C2111" s="241" t="s">
        <v>3337</v>
      </c>
      <c r="D2111" s="242" t="s">
        <v>292</v>
      </c>
      <c r="E2111" s="243">
        <v>102.95</v>
      </c>
      <c r="F2111" s="517" t="s">
        <v>293</v>
      </c>
      <c r="G2111" s="232">
        <v>0</v>
      </c>
      <c r="H2111" s="661" t="str">
        <f t="shared" si="1639"/>
        <v/>
      </c>
      <c r="I2111" s="244">
        <f t="shared" si="1640"/>
        <v>0</v>
      </c>
      <c r="J2111" s="244">
        <f t="shared" si="1641"/>
        <v>0</v>
      </c>
      <c r="K2111" s="696">
        <f t="shared" ref="K2111" si="1644">I2111+J2111</f>
        <v>0</v>
      </c>
      <c r="L2111" s="696"/>
      <c r="M2111" s="659" t="str">
        <f t="shared" si="1643"/>
        <v/>
      </c>
      <c r="N2111" s="660"/>
      <c r="O2111" s="233"/>
      <c r="P2111" s="233"/>
      <c r="Q2111" s="233"/>
      <c r="R2111" s="233"/>
      <c r="S2111" s="233"/>
      <c r="T2111" s="508">
        <f t="shared" si="1603"/>
        <v>0</v>
      </c>
      <c r="U2111" s="225">
        <f>IF(NOT(ISNUMBER(G2111)), "", VLOOKUP(A2111,'Discount Lookup'!D:E,2,FALSE)*G2111)</f>
        <v>0</v>
      </c>
      <c r="V2111" s="225">
        <f>IF(NOT(ISNUMBER(G2111)), "", VLOOKUP(A2111,'Discount Lookup'!G:H,2,FALSE)*G2111)</f>
        <v>0</v>
      </c>
      <c r="W2111" s="508">
        <f t="shared" si="1604"/>
        <v>0</v>
      </c>
      <c r="X2111" s="508">
        <f t="shared" si="1605"/>
        <v>0</v>
      </c>
      <c r="Y2111" s="509" t="b">
        <f t="shared" si="1606"/>
        <v>0</v>
      </c>
      <c r="Z2111" s="510">
        <f t="shared" si="1607"/>
        <v>0</v>
      </c>
      <c r="AA2111" s="511"/>
      <c r="AB2111" s="511" t="str">
        <f t="shared" si="1608"/>
        <v/>
      </c>
      <c r="AC2111" s="698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698"/>
      <c r="AE2111" s="631" t="str">
        <f t="shared" si="1609"/>
        <v/>
      </c>
      <c r="AF2111" s="699" t="str">
        <f t="shared" si="1610"/>
        <v/>
      </c>
      <c r="AG2111" s="699"/>
      <c r="AH2111" s="699"/>
      <c r="AI2111" s="512">
        <f>IF(H2111="credit",0,IF(AE2111="free",0,IF(AE2111="me",0,IF(G2111&gt;0,(VLOOKUP(A2111,'Discount Lookup'!J:K,2)*G2111),0))))</f>
        <v>0</v>
      </c>
      <c r="AJ2111" s="513" t="str">
        <f t="shared" ca="1" si="1611"/>
        <v/>
      </c>
      <c r="AK2111" s="700" t="str">
        <f t="shared" si="1612"/>
        <v/>
      </c>
      <c r="AL2111" s="700"/>
      <c r="AM2111" s="505" t="str">
        <f t="shared" si="1613"/>
        <v/>
      </c>
      <c r="AN2111" s="506"/>
      <c r="AO2111" s="507"/>
      <c r="AP2111" s="507"/>
      <c r="AQ2111" s="507"/>
      <c r="AR2111" s="507"/>
      <c r="AS2111" s="507"/>
      <c r="AT2111" s="507"/>
      <c r="AU2111" s="507"/>
      <c r="AV2111" s="225"/>
      <c r="AW2111" s="508"/>
      <c r="AX2111" s="225"/>
      <c r="AY2111" s="225"/>
      <c r="AZ2111" s="225"/>
      <c r="BA2111" s="225"/>
      <c r="BB2111" s="225"/>
      <c r="BC2111" s="56"/>
      <c r="BD2111" s="56"/>
      <c r="BE2111" s="56"/>
      <c r="BF2111" s="107" t="str">
        <f t="shared" si="1614"/>
        <v>https://www.google.com/search?tbm=isch&amp;q=7%20G4</v>
      </c>
      <c r="BG2111" s="107" t="str">
        <f t="shared" si="1615"/>
        <v>K</v>
      </c>
      <c r="BH2111" s="254"/>
      <c r="BI2111" s="254"/>
    </row>
    <row r="2112" spans="1:61" customFormat="1" ht="15.75" x14ac:dyDescent="0.25">
      <c r="A2112" s="276">
        <v>10</v>
      </c>
      <c r="B2112" s="240" t="s">
        <v>291</v>
      </c>
      <c r="C2112" s="241" t="s">
        <v>3484</v>
      </c>
      <c r="D2112" s="242" t="s">
        <v>292</v>
      </c>
      <c r="E2112" s="243">
        <v>157.94999999999999</v>
      </c>
      <c r="F2112" s="517" t="s">
        <v>293</v>
      </c>
      <c r="G2112" s="232">
        <v>0</v>
      </c>
      <c r="H2112" s="661" t="str">
        <f t="shared" si="1639"/>
        <v/>
      </c>
      <c r="I2112" s="244">
        <f t="shared" si="1640"/>
        <v>0</v>
      </c>
      <c r="J2112" s="244">
        <f t="shared" si="1641"/>
        <v>0</v>
      </c>
      <c r="K2112" s="696">
        <f t="shared" ref="K2112" si="1645">I2112+J2112</f>
        <v>0</v>
      </c>
      <c r="L2112" s="696"/>
      <c r="M2112" s="659" t="str">
        <f t="shared" si="1643"/>
        <v/>
      </c>
      <c r="N2112" s="660"/>
      <c r="O2112" s="233"/>
      <c r="P2112" s="233"/>
      <c r="Q2112" s="233"/>
      <c r="R2112" s="233"/>
      <c r="S2112" s="233"/>
      <c r="T2112" s="508">
        <f t="shared" si="1603"/>
        <v>0</v>
      </c>
      <c r="U2112" s="225">
        <f>IF(NOT(ISNUMBER(G2112)), "", VLOOKUP(A2112,'Discount Lookup'!D:E,2,FALSE)*G2112)</f>
        <v>0</v>
      </c>
      <c r="V2112" s="225">
        <f>IF(NOT(ISNUMBER(G2112)), "", VLOOKUP(A2112,'Discount Lookup'!G:H,2,FALSE)*G2112)</f>
        <v>0</v>
      </c>
      <c r="W2112" s="508">
        <f t="shared" si="1604"/>
        <v>0</v>
      </c>
      <c r="X2112" s="508">
        <f t="shared" si="1605"/>
        <v>0</v>
      </c>
      <c r="Y2112" s="509" t="b">
        <f t="shared" si="1606"/>
        <v>0</v>
      </c>
      <c r="Z2112" s="510">
        <f t="shared" si="1607"/>
        <v>0</v>
      </c>
      <c r="AA2112" s="511"/>
      <c r="AB2112" s="511" t="str">
        <f t="shared" si="1608"/>
        <v/>
      </c>
      <c r="AC2112" s="698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698"/>
      <c r="AE2112" s="631" t="str">
        <f t="shared" si="1609"/>
        <v/>
      </c>
      <c r="AF2112" s="699" t="str">
        <f t="shared" si="1610"/>
        <v/>
      </c>
      <c r="AG2112" s="699"/>
      <c r="AH2112" s="699"/>
      <c r="AI2112" s="512">
        <f>IF(H2112="credit",0,IF(AE2112="free",0,IF(AE2112="me",0,IF(G2112&gt;0,(VLOOKUP(A2112,'Discount Lookup'!J:K,2)*G2112),0))))</f>
        <v>0</v>
      </c>
      <c r="AJ2112" s="513" t="str">
        <f t="shared" ca="1" si="1611"/>
        <v/>
      </c>
      <c r="AK2112" s="700" t="str">
        <f t="shared" si="1612"/>
        <v/>
      </c>
      <c r="AL2112" s="700"/>
      <c r="AM2112" s="505" t="str">
        <f t="shared" si="1613"/>
        <v/>
      </c>
      <c r="AN2112" s="506"/>
      <c r="AO2112" s="507"/>
      <c r="AP2112" s="507"/>
      <c r="AQ2112" s="507"/>
      <c r="AR2112" s="507"/>
      <c r="AS2112" s="507"/>
      <c r="AT2112" s="507"/>
      <c r="AU2112" s="507"/>
      <c r="AV2112" s="225"/>
      <c r="AW2112" s="508"/>
      <c r="AX2112" s="225"/>
      <c r="AY2112" s="225"/>
      <c r="AZ2112" s="225"/>
      <c r="BA2112" s="225"/>
      <c r="BB2112" s="225"/>
      <c r="BC2112" s="56"/>
      <c r="BD2112" s="56"/>
      <c r="BE2112" s="56"/>
      <c r="BF2112" s="107" t="str">
        <f t="shared" si="1614"/>
        <v>https://www.google.com/search?tbm=isch&amp;q=10%20G4</v>
      </c>
      <c r="BG2112" s="107" t="str">
        <f t="shared" si="1615"/>
        <v>K</v>
      </c>
      <c r="BH2112" s="254"/>
      <c r="BI2112" s="254"/>
    </row>
    <row r="2113" spans="1:61" customFormat="1" ht="15.75" x14ac:dyDescent="0.25">
      <c r="A2113" s="276">
        <v>15</v>
      </c>
      <c r="B2113" s="240" t="s">
        <v>291</v>
      </c>
      <c r="C2113" s="241" t="s">
        <v>4296</v>
      </c>
      <c r="D2113" s="242" t="s">
        <v>292</v>
      </c>
      <c r="E2113" s="243">
        <v>178.95</v>
      </c>
      <c r="F2113" s="517" t="s">
        <v>293</v>
      </c>
      <c r="G2113" s="232">
        <v>0</v>
      </c>
      <c r="H2113" s="661" t="str">
        <f t="shared" si="1639"/>
        <v/>
      </c>
      <c r="I2113" s="244">
        <f t="shared" si="1640"/>
        <v>0</v>
      </c>
      <c r="J2113" s="244">
        <f t="shared" si="1641"/>
        <v>0</v>
      </c>
      <c r="K2113" s="696">
        <f t="shared" ref="K2113" si="1646">I2113+J2113</f>
        <v>0</v>
      </c>
      <c r="L2113" s="696"/>
      <c r="M2113" s="659" t="str">
        <f t="shared" si="1643"/>
        <v/>
      </c>
      <c r="N2113" s="660"/>
      <c r="O2113" s="233"/>
      <c r="P2113" s="233"/>
      <c r="Q2113" s="233"/>
      <c r="R2113" s="233"/>
      <c r="S2113" s="233"/>
      <c r="T2113" s="508">
        <f t="shared" si="1603"/>
        <v>0</v>
      </c>
      <c r="U2113" s="225">
        <f>IF(NOT(ISNUMBER(G2113)), "", VLOOKUP(A2113,'Discount Lookup'!D:E,2,FALSE)*G2113)</f>
        <v>0</v>
      </c>
      <c r="V2113" s="225">
        <f>IF(NOT(ISNUMBER(G2113)), "", VLOOKUP(A2113,'Discount Lookup'!G:H,2,FALSE)*G2113)</f>
        <v>0</v>
      </c>
      <c r="W2113" s="508">
        <f t="shared" si="1604"/>
        <v>0</v>
      </c>
      <c r="X2113" s="508">
        <f t="shared" si="1605"/>
        <v>0</v>
      </c>
      <c r="Y2113" s="509" t="b">
        <f t="shared" si="1606"/>
        <v>0</v>
      </c>
      <c r="Z2113" s="510">
        <f t="shared" si="1607"/>
        <v>0</v>
      </c>
      <c r="AA2113" s="511"/>
      <c r="AB2113" s="511" t="str">
        <f t="shared" si="1608"/>
        <v/>
      </c>
      <c r="AC2113" s="698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698"/>
      <c r="AE2113" s="631" t="str">
        <f t="shared" si="1609"/>
        <v/>
      </c>
      <c r="AF2113" s="699" t="str">
        <f t="shared" si="1610"/>
        <v/>
      </c>
      <c r="AG2113" s="699"/>
      <c r="AH2113" s="699"/>
      <c r="AI2113" s="512">
        <f>IF(H2113="credit",0,IF(AE2113="free",0,IF(AE2113="me",0,IF(G2113&gt;0,(VLOOKUP(A2113,'Discount Lookup'!J:K,2)*G2113),0))))</f>
        <v>0</v>
      </c>
      <c r="AJ2113" s="513" t="str">
        <f t="shared" ca="1" si="1611"/>
        <v/>
      </c>
      <c r="AK2113" s="700" t="str">
        <f t="shared" si="1612"/>
        <v/>
      </c>
      <c r="AL2113" s="700"/>
      <c r="AM2113" s="505" t="str">
        <f t="shared" si="1613"/>
        <v/>
      </c>
      <c r="AN2113" s="506"/>
      <c r="AO2113" s="507"/>
      <c r="AP2113" s="507"/>
      <c r="AQ2113" s="507"/>
      <c r="AR2113" s="507"/>
      <c r="AS2113" s="507"/>
      <c r="AT2113" s="507"/>
      <c r="AU2113" s="507"/>
      <c r="AV2113" s="225"/>
      <c r="AW2113" s="508"/>
      <c r="AX2113" s="225"/>
      <c r="AY2113" s="225"/>
      <c r="AZ2113" s="225"/>
      <c r="BA2113" s="225"/>
      <c r="BB2113" s="225"/>
      <c r="BC2113" s="56"/>
      <c r="BD2113" s="56"/>
      <c r="BE2113" s="56"/>
      <c r="BF2113" s="107" t="str">
        <f t="shared" si="1614"/>
        <v>https://www.google.com/search?tbm=isch&amp;q=15%20G4</v>
      </c>
      <c r="BG2113" s="107" t="str">
        <f t="shared" si="1615"/>
        <v>K</v>
      </c>
      <c r="BH2113" s="254"/>
      <c r="BI2113" s="254"/>
    </row>
    <row r="2114" spans="1:61" customFormat="1" ht="15.75" x14ac:dyDescent="0.25">
      <c r="A2114" s="276">
        <v>15</v>
      </c>
      <c r="B2114" s="240" t="s">
        <v>291</v>
      </c>
      <c r="C2114" s="241"/>
      <c r="D2114" s="242" t="s">
        <v>300</v>
      </c>
      <c r="E2114" s="243">
        <v>299.95</v>
      </c>
      <c r="F2114" s="517" t="s">
        <v>293</v>
      </c>
      <c r="G2114" s="232">
        <v>0</v>
      </c>
      <c r="H2114" s="661" t="str">
        <f t="shared" si="1639"/>
        <v/>
      </c>
      <c r="I2114" s="244">
        <f t="shared" si="1640"/>
        <v>0</v>
      </c>
      <c r="J2114" s="244">
        <f t="shared" si="1641"/>
        <v>0</v>
      </c>
      <c r="K2114" s="696">
        <f t="shared" ref="K2114" si="1647">I2114+J2114</f>
        <v>0</v>
      </c>
      <c r="L2114" s="696"/>
      <c r="M2114" s="659" t="str">
        <f t="shared" si="1643"/>
        <v/>
      </c>
      <c r="N2114" s="660"/>
      <c r="O2114" s="233"/>
      <c r="P2114" s="233"/>
      <c r="Q2114" s="233"/>
      <c r="R2114" s="233"/>
      <c r="S2114" s="233"/>
      <c r="T2114" s="508">
        <f t="shared" si="1603"/>
        <v>0</v>
      </c>
      <c r="U2114" s="225">
        <f>IF(NOT(ISNUMBER(G2114)), "", VLOOKUP(A2114,'Discount Lookup'!D:E,2,FALSE)*G2114)</f>
        <v>0</v>
      </c>
      <c r="V2114" s="225">
        <f>IF(NOT(ISNUMBER(G2114)), "", VLOOKUP(A2114,'Discount Lookup'!G:H,2,FALSE)*G2114)</f>
        <v>0</v>
      </c>
      <c r="W2114" s="508">
        <f t="shared" si="1604"/>
        <v>0</v>
      </c>
      <c r="X2114" s="508">
        <f t="shared" si="1605"/>
        <v>0</v>
      </c>
      <c r="Y2114" s="509" t="b">
        <f t="shared" si="1606"/>
        <v>0</v>
      </c>
      <c r="Z2114" s="510">
        <f t="shared" si="1607"/>
        <v>0</v>
      </c>
      <c r="AA2114" s="511"/>
      <c r="AB2114" s="511" t="str">
        <f t="shared" si="1608"/>
        <v/>
      </c>
      <c r="AC2114" s="698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698"/>
      <c r="AE2114" s="631" t="str">
        <f t="shared" si="1609"/>
        <v/>
      </c>
      <c r="AF2114" s="699" t="str">
        <f t="shared" si="1610"/>
        <v/>
      </c>
      <c r="AG2114" s="699"/>
      <c r="AH2114" s="699"/>
      <c r="AI2114" s="512">
        <f>IF(H2114="credit",0,IF(AE2114="free",0,IF(AE2114="me",0,IF(G2114&gt;0,(VLOOKUP(A2114,'Discount Lookup'!J:K,2)*G2114),0))))</f>
        <v>0</v>
      </c>
      <c r="AJ2114" s="513" t="str">
        <f t="shared" ca="1" si="1611"/>
        <v/>
      </c>
      <c r="AK2114" s="700" t="str">
        <f t="shared" si="1612"/>
        <v/>
      </c>
      <c r="AL2114" s="700"/>
      <c r="AM2114" s="505" t="str">
        <f t="shared" si="1613"/>
        <v/>
      </c>
      <c r="AN2114" s="506"/>
      <c r="AO2114" s="507"/>
      <c r="AP2114" s="507"/>
      <c r="AQ2114" s="507"/>
      <c r="AR2114" s="507"/>
      <c r="AS2114" s="507"/>
      <c r="AT2114" s="507"/>
      <c r="AU2114" s="507"/>
      <c r="AV2114" s="225"/>
      <c r="AW2114" s="508"/>
      <c r="AX2114" s="225"/>
      <c r="AY2114" s="225"/>
      <c r="AZ2114" s="225"/>
      <c r="BA2114" s="225"/>
      <c r="BB2114" s="225"/>
      <c r="BC2114" s="56"/>
      <c r="BD2114" s="56"/>
      <c r="BE2114" s="56"/>
      <c r="BF2114" s="107" t="str">
        <f t="shared" si="1614"/>
        <v>https://www.google.com/search?tbm=isch&amp;q=15%20G6</v>
      </c>
      <c r="BG2114" s="107" t="str">
        <f t="shared" si="1615"/>
        <v>K</v>
      </c>
      <c r="BH2114" s="254"/>
      <c r="BI2114" s="254"/>
    </row>
    <row r="2115" spans="1:61" customFormat="1" ht="15.75" x14ac:dyDescent="0.25">
      <c r="A2115" s="276">
        <v>25</v>
      </c>
      <c r="B2115" s="240" t="s">
        <v>291</v>
      </c>
      <c r="C2115" s="241" t="s">
        <v>4909</v>
      </c>
      <c r="D2115" s="242" t="s">
        <v>292</v>
      </c>
      <c r="E2115" s="243">
        <v>321.95</v>
      </c>
      <c r="F2115" s="517" t="s">
        <v>293</v>
      </c>
      <c r="G2115" s="232">
        <v>0</v>
      </c>
      <c r="H2115" s="661" t="str">
        <f t="shared" si="1639"/>
        <v/>
      </c>
      <c r="I2115" s="244">
        <f t="shared" si="1640"/>
        <v>0</v>
      </c>
      <c r="J2115" s="244">
        <f t="shared" si="1641"/>
        <v>0</v>
      </c>
      <c r="K2115" s="696">
        <f t="shared" ref="K2115" si="1648">I2115+J2115</f>
        <v>0</v>
      </c>
      <c r="L2115" s="696"/>
      <c r="M2115" s="659" t="str">
        <f t="shared" si="1643"/>
        <v/>
      </c>
      <c r="N2115" s="660"/>
      <c r="O2115" s="233"/>
      <c r="P2115" s="233"/>
      <c r="Q2115" s="233"/>
      <c r="R2115" s="233"/>
      <c r="S2115" s="233"/>
      <c r="T2115" s="508">
        <f t="shared" si="1603"/>
        <v>0</v>
      </c>
      <c r="U2115" s="225">
        <f>IF(NOT(ISNUMBER(G2115)), "", VLOOKUP(A2115,'Discount Lookup'!D:E,2,FALSE)*G2115)</f>
        <v>0</v>
      </c>
      <c r="V2115" s="225">
        <f>IF(NOT(ISNUMBER(G2115)), "", VLOOKUP(A2115,'Discount Lookup'!G:H,2,FALSE)*G2115)</f>
        <v>0</v>
      </c>
      <c r="W2115" s="508">
        <f t="shared" si="1604"/>
        <v>0</v>
      </c>
      <c r="X2115" s="508">
        <f t="shared" si="1605"/>
        <v>0</v>
      </c>
      <c r="Y2115" s="509" t="b">
        <f t="shared" si="1606"/>
        <v>0</v>
      </c>
      <c r="Z2115" s="510">
        <f t="shared" si="1607"/>
        <v>0</v>
      </c>
      <c r="AA2115" s="511"/>
      <c r="AB2115" s="511" t="str">
        <f t="shared" si="1608"/>
        <v/>
      </c>
      <c r="AC2115" s="698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698"/>
      <c r="AE2115" s="631" t="str">
        <f t="shared" si="1609"/>
        <v/>
      </c>
      <c r="AF2115" s="699" t="str">
        <f t="shared" si="1610"/>
        <v/>
      </c>
      <c r="AG2115" s="699"/>
      <c r="AH2115" s="699"/>
      <c r="AI2115" s="512">
        <f>IF(H2115="credit",0,IF(AE2115="free",0,IF(AE2115="me",0,IF(G2115&gt;0,(VLOOKUP(A2115,'Discount Lookup'!J:K,2)*G2115),0))))</f>
        <v>0</v>
      </c>
      <c r="AJ2115" s="513" t="str">
        <f t="shared" ca="1" si="1611"/>
        <v/>
      </c>
      <c r="AK2115" s="700" t="str">
        <f t="shared" si="1612"/>
        <v/>
      </c>
      <c r="AL2115" s="700"/>
      <c r="AM2115" s="505" t="str">
        <f t="shared" si="1613"/>
        <v/>
      </c>
      <c r="AN2115" s="506"/>
      <c r="AO2115" s="507"/>
      <c r="AP2115" s="507"/>
      <c r="AQ2115" s="507"/>
      <c r="AR2115" s="507"/>
      <c r="AS2115" s="507"/>
      <c r="AT2115" s="507"/>
      <c r="AU2115" s="507"/>
      <c r="AV2115" s="225"/>
      <c r="AW2115" s="508"/>
      <c r="AX2115" s="225"/>
      <c r="AY2115" s="225"/>
      <c r="AZ2115" s="225"/>
      <c r="BA2115" s="225"/>
      <c r="BB2115" s="225"/>
      <c r="BC2115" s="56"/>
      <c r="BD2115" s="56"/>
      <c r="BE2115" s="56"/>
      <c r="BF2115" s="107" t="str">
        <f t="shared" si="1614"/>
        <v>https://www.google.com/search?tbm=isch&amp;q=25%20G4</v>
      </c>
      <c r="BG2115" s="107" t="str">
        <f t="shared" si="1615"/>
        <v>K</v>
      </c>
      <c r="BH2115" s="254"/>
      <c r="BI2115" s="254"/>
    </row>
    <row r="2116" spans="1:61" customFormat="1" ht="17.25" thickBot="1" x14ac:dyDescent="0.3">
      <c r="A2116" s="524" t="s">
        <v>2423</v>
      </c>
      <c r="B2116" s="245"/>
      <c r="C2116" s="677"/>
      <c r="D2116" s="499"/>
      <c r="E2116" s="499"/>
      <c r="F2116" s="500"/>
      <c r="G2116" s="501"/>
      <c r="H2116" s="502"/>
      <c r="I2116" s="246"/>
      <c r="J2116" s="247"/>
      <c r="K2116" s="503"/>
      <c r="L2116" s="544"/>
      <c r="M2116" s="544"/>
      <c r="N2116" s="500"/>
      <c r="O2116" s="500"/>
      <c r="P2116" s="500"/>
      <c r="Q2116" s="500"/>
      <c r="R2116" s="500"/>
      <c r="S2116" s="669" t="s">
        <v>4978</v>
      </c>
      <c r="T2116" s="508">
        <f t="shared" si="1603"/>
        <v>0</v>
      </c>
      <c r="U2116" s="225" t="str">
        <f>IF(NOT(ISNUMBER(G2116)), "", VLOOKUP(A2116,'Discount Lookup'!D:E,2,FALSE)*G2116)</f>
        <v/>
      </c>
      <c r="V2116" s="225" t="str">
        <f>IF(NOT(ISNUMBER(G2116)), "", VLOOKUP(A2116,'Discount Lookup'!G:H,2,FALSE)*G2116)</f>
        <v/>
      </c>
      <c r="W2116" s="508">
        <f t="shared" si="1604"/>
        <v>0</v>
      </c>
      <c r="X2116" s="508">
        <f t="shared" si="1605"/>
        <v>0</v>
      </c>
      <c r="Y2116" s="509" t="b">
        <f t="shared" si="1606"/>
        <v>0</v>
      </c>
      <c r="Z2116" s="510">
        <f t="shared" si="1607"/>
        <v>0</v>
      </c>
      <c r="AA2116" s="511"/>
      <c r="AB2116" s="511" t="str">
        <f t="shared" si="1608"/>
        <v/>
      </c>
      <c r="AC2116" s="698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698"/>
      <c r="AE2116" s="631" t="str">
        <f t="shared" si="1609"/>
        <v/>
      </c>
      <c r="AF2116" s="699" t="str">
        <f t="shared" si="1610"/>
        <v/>
      </c>
      <c r="AG2116" s="699"/>
      <c r="AH2116" s="699"/>
      <c r="AI2116" s="512">
        <f>IF(H2116="credit",0,IF(AE2116="free",0,IF(AE2116="me",0,IF(G2116&gt;0,(VLOOKUP(A2116,'Discount Lookup'!J:K,2)*G2116),0))))</f>
        <v>0</v>
      </c>
      <c r="AJ2116" s="513" t="str">
        <f t="shared" ca="1" si="1611"/>
        <v/>
      </c>
      <c r="AK2116" s="700" t="str">
        <f t="shared" si="1612"/>
        <v/>
      </c>
      <c r="AL2116" s="700"/>
      <c r="AM2116" s="505" t="str">
        <f t="shared" si="1613"/>
        <v/>
      </c>
      <c r="AN2116" s="506"/>
      <c r="AO2116" s="507"/>
      <c r="AP2116" s="507"/>
      <c r="AQ2116" s="507"/>
      <c r="AR2116" s="507"/>
      <c r="AS2116" s="507"/>
      <c r="AT2116" s="507"/>
      <c r="AU2116" s="507"/>
      <c r="AV2116" s="225"/>
      <c r="AW2116" s="508"/>
      <c r="AX2116" s="225"/>
      <c r="AY2116" s="225"/>
      <c r="AZ2116" s="225"/>
      <c r="BA2116" s="225"/>
      <c r="BB2116" s="225"/>
      <c r="BC2116" s="56"/>
      <c r="BD2116" s="56"/>
      <c r="BE2116" s="56"/>
      <c r="BF2116" s="107" t="str">
        <f t="shared" si="1614"/>
        <v>https://www.google.com/search?tbm=isch&amp;q=Kousa%20has%20a%20lovely%20spring%20show%2C%20layered%20branches%2C%20and%20jigsaw-like%20bark%20</v>
      </c>
      <c r="BG2116" s="107" t="str">
        <f t="shared" si="1615"/>
        <v>K</v>
      </c>
      <c r="BH2116" s="254"/>
      <c r="BI2116" s="254"/>
    </row>
    <row r="2117" spans="1:61" customFormat="1" ht="18" x14ac:dyDescent="0.25">
      <c r="A2117" s="521" t="s">
        <v>1221</v>
      </c>
      <c r="B2117" s="477"/>
      <c r="C2117" s="674"/>
      <c r="D2117" s="478" t="s">
        <v>1222</v>
      </c>
      <c r="E2117" s="479"/>
      <c r="F2117" s="479"/>
      <c r="G2117" s="479"/>
      <c r="H2117" s="582" t="s">
        <v>463</v>
      </c>
      <c r="I2117" s="480" t="s">
        <v>2567</v>
      </c>
      <c r="J2117" s="479"/>
      <c r="K2117" s="479"/>
      <c r="L2117" s="560"/>
      <c r="M2117" s="671" t="s">
        <v>4985</v>
      </c>
      <c r="N2117" s="680" t="str">
        <f>IF(AND(ISTEXT($A2117), ISERROR($A2117+0)), HYPERLINK($BF2117, "Images"), "")</f>
        <v>Images</v>
      </c>
      <c r="O2117" s="662" t="s">
        <v>4967</v>
      </c>
      <c r="P2117" s="482"/>
      <c r="Q2117" s="483"/>
      <c r="R2117" s="483"/>
      <c r="S2117" s="484"/>
      <c r="T2117" s="508">
        <f t="shared" si="1603"/>
        <v>0</v>
      </c>
      <c r="U2117" s="225" t="str">
        <f>IF(NOT(ISNUMBER(G2117)), "", VLOOKUP(A2117,'Discount Lookup'!D:E,2,FALSE)*G2117)</f>
        <v/>
      </c>
      <c r="V2117" s="225" t="str">
        <f>IF(NOT(ISNUMBER(G2117)), "", VLOOKUP(A2117,'Discount Lookup'!G:H,2,FALSE)*G2117)</f>
        <v/>
      </c>
      <c r="W2117" s="508">
        <f t="shared" si="1604"/>
        <v>0</v>
      </c>
      <c r="X2117" s="508" t="str">
        <f t="shared" si="1605"/>
        <v>Rosy-Red bloom</v>
      </c>
      <c r="Y2117" s="509" t="b">
        <f t="shared" si="1606"/>
        <v>0</v>
      </c>
      <c r="Z2117" s="510">
        <f t="shared" si="1607"/>
        <v>0</v>
      </c>
      <c r="AA2117" s="511"/>
      <c r="AB2117" s="511" t="str">
        <f t="shared" si="1608"/>
        <v/>
      </c>
      <c r="AC2117" s="698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698"/>
      <c r="AE2117" s="631" t="str">
        <f t="shared" si="1609"/>
        <v/>
      </c>
      <c r="AF2117" s="699" t="str">
        <f t="shared" si="1610"/>
        <v/>
      </c>
      <c r="AG2117" s="699"/>
      <c r="AH2117" s="699"/>
      <c r="AI2117" s="512">
        <f>IF(H2117="credit",0,IF(AE2117="free",0,IF(AE2117="me",0,IF(G2117&gt;0,(VLOOKUP(A2117,'Discount Lookup'!J:K,2)*G2117),0))))</f>
        <v>0</v>
      </c>
      <c r="AJ2117" s="513" t="str">
        <f t="shared" ca="1" si="1611"/>
        <v/>
      </c>
      <c r="AK2117" s="700" t="str">
        <f t="shared" si="1612"/>
        <v/>
      </c>
      <c r="AL2117" s="700"/>
      <c r="AM2117" s="505" t="str">
        <f t="shared" si="1613"/>
        <v/>
      </c>
      <c r="AN2117" s="506"/>
      <c r="AO2117" s="507"/>
      <c r="AP2117" s="507"/>
      <c r="AQ2117" s="507"/>
      <c r="AR2117" s="507"/>
      <c r="AS2117" s="507"/>
      <c r="AT2117" s="507"/>
      <c r="AU2117" s="507"/>
      <c r="AV2117" s="225"/>
      <c r="AW2117" s="508"/>
      <c r="AX2117" s="225"/>
      <c r="AY2117" s="225"/>
      <c r="AZ2117" s="225"/>
      <c r="BA2117" s="225"/>
      <c r="BB2117" s="225"/>
      <c r="BC2117" s="56"/>
      <c r="BD2117" s="56"/>
      <c r="BE2117" s="56"/>
      <c r="BF2117" s="107" t="str">
        <f t="shared" si="1614"/>
        <v>https://www.google.com/search?tbm=isch&amp;q=Kramer%27s%20Supreme%20Japanese%20Camellia%20Camellia%20japonica%20%27Kramer%27s%20Supreme%27</v>
      </c>
      <c r="BG2117" s="107" t="str">
        <f t="shared" si="1615"/>
        <v>K</v>
      </c>
      <c r="BH2117" s="254"/>
      <c r="BI2117" s="254"/>
    </row>
    <row r="2118" spans="1:61" customFormat="1" ht="15.75" x14ac:dyDescent="0.25">
      <c r="A2118" s="485">
        <v>7</v>
      </c>
      <c r="B2118" s="486" t="s">
        <v>291</v>
      </c>
      <c r="C2118" s="487" t="s">
        <v>352</v>
      </c>
      <c r="D2118" s="488" t="s">
        <v>297</v>
      </c>
      <c r="E2118" s="489">
        <v>83.95</v>
      </c>
      <c r="F2118" s="516" t="s">
        <v>293</v>
      </c>
      <c r="G2118" s="232">
        <v>0</v>
      </c>
      <c r="H2118" s="658" t="str">
        <f>IF(G2118=0,"",IF(F2118="Buy",IF(G2118=1,"plant","plants"),IF(F2118&gt;0.01,"warranty","Error")))</f>
        <v/>
      </c>
      <c r="I2118" s="490">
        <f>IF(H2118="free",0,IF(H2118="credit",((E2118*(F2118))*G2118*-1),IF(F2118="Buy",(E2118*G2118),((E2118*(1-F2118))*G2118))))</f>
        <v>0</v>
      </c>
      <c r="J2118" s="490">
        <f>IF(H2118="warranty",0,(I2118*(_xlfn.SINGLE(SalesTaxPercentage))))</f>
        <v>0</v>
      </c>
      <c r="K2118" s="695">
        <f t="shared" ref="K2118" si="1649">I2118+J2118</f>
        <v>0</v>
      </c>
      <c r="L2118" s="695"/>
      <c r="M2118" s="659" t="str">
        <f>IF(AND(G2118&gt;0,E2118=0),"WARNING - no PRICE inserted",IF(H2118="free"," FREE ~ no charge this plant",IF(H2118="credit",CONCATENATE(" -$",ROUND(K2118*(1-T2GDiscount)*-1,2)," CREDIT after discount"),IF(T2GDiscount=0,"",IF(G2118=0,"",IF(F2118="Buy",CONCATENATE(" $",ROUND(K2118*(1-T2GDiscount),2)," with ",(T2GDiscount*100),"% discount"),CONCATENATE(" $",ROUND(K2118*(1-T2GDiscount),2)," with ",((T2GDiscount*100+F2118*100)-(T2GDiscount*100*F2118)),IF(F2118&gt;0,"% discounts",IF(NoWarrantyDiscount&gt;0,"% discounts","% discount")))))))))</f>
        <v/>
      </c>
      <c r="N2118" s="660"/>
      <c r="O2118" s="233"/>
      <c r="P2118" s="233"/>
      <c r="Q2118" s="233"/>
      <c r="R2118" s="233"/>
      <c r="S2118" s="233"/>
      <c r="T2118" s="508">
        <f t="shared" si="1603"/>
        <v>0</v>
      </c>
      <c r="U2118" s="225">
        <f>IF(NOT(ISNUMBER(G2118)), "", VLOOKUP(A2118,'Discount Lookup'!D:E,2,FALSE)*G2118)</f>
        <v>0</v>
      </c>
      <c r="V2118" s="225">
        <f>IF(NOT(ISNUMBER(G2118)), "", VLOOKUP(A2118,'Discount Lookup'!G:H,2,FALSE)*G2118)</f>
        <v>0</v>
      </c>
      <c r="W2118" s="508">
        <f t="shared" si="1604"/>
        <v>0</v>
      </c>
      <c r="X2118" s="508">
        <f t="shared" si="1605"/>
        <v>0</v>
      </c>
      <c r="Y2118" s="509" t="b">
        <f t="shared" si="1606"/>
        <v>0</v>
      </c>
      <c r="Z2118" s="510">
        <f t="shared" si="1607"/>
        <v>0</v>
      </c>
      <c r="AA2118" s="511"/>
      <c r="AB2118" s="511" t="str">
        <f t="shared" si="1608"/>
        <v/>
      </c>
      <c r="AC2118" s="698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698"/>
      <c r="AE2118" s="631" t="str">
        <f t="shared" si="1609"/>
        <v/>
      </c>
      <c r="AF2118" s="699" t="str">
        <f t="shared" si="1610"/>
        <v/>
      </c>
      <c r="AG2118" s="699"/>
      <c r="AH2118" s="699"/>
      <c r="AI2118" s="512">
        <f>IF(H2118="credit",0,IF(AE2118="free",0,IF(AE2118="me",0,IF(G2118&gt;0,(VLOOKUP(A2118,'Discount Lookup'!J:K,2)*G2118),0))))</f>
        <v>0</v>
      </c>
      <c r="AJ2118" s="513" t="str">
        <f t="shared" ca="1" si="1611"/>
        <v/>
      </c>
      <c r="AK2118" s="700" t="str">
        <f t="shared" si="1612"/>
        <v/>
      </c>
      <c r="AL2118" s="700"/>
      <c r="AM2118" s="505" t="str">
        <f t="shared" si="1613"/>
        <v/>
      </c>
      <c r="AN2118" s="506"/>
      <c r="AO2118" s="507"/>
      <c r="AP2118" s="507"/>
      <c r="AQ2118" s="507"/>
      <c r="AR2118" s="507"/>
      <c r="AS2118" s="507"/>
      <c r="AT2118" s="507"/>
      <c r="AU2118" s="507"/>
      <c r="AV2118" s="225"/>
      <c r="AW2118" s="508"/>
      <c r="AX2118" s="225"/>
      <c r="AY2118" s="225"/>
      <c r="AZ2118" s="225"/>
      <c r="BA2118" s="225"/>
      <c r="BB2118" s="225"/>
      <c r="BC2118" s="56"/>
      <c r="BD2118" s="56"/>
      <c r="BE2118" s="56"/>
      <c r="BF2118" s="107" t="str">
        <f t="shared" si="1614"/>
        <v>https://www.google.com/search?tbm=isch&amp;q=7%20G3</v>
      </c>
      <c r="BG2118" s="107" t="str">
        <f t="shared" si="1615"/>
        <v>K</v>
      </c>
      <c r="BH2118" s="254"/>
      <c r="BI2118" s="254"/>
    </row>
    <row r="2119" spans="1:61" customFormat="1" ht="17.25" thickBot="1" x14ac:dyDescent="0.3">
      <c r="A2119" s="672" t="s">
        <v>5157</v>
      </c>
      <c r="B2119" s="491"/>
      <c r="C2119" s="675"/>
      <c r="D2119" s="491"/>
      <c r="E2119" s="491"/>
      <c r="F2119" s="492"/>
      <c r="G2119" s="493"/>
      <c r="H2119" s="491"/>
      <c r="I2119" s="234"/>
      <c r="J2119" s="234"/>
      <c r="K2119" s="494"/>
      <c r="L2119" s="543"/>
      <c r="M2119" s="561"/>
      <c r="N2119" s="495"/>
      <c r="O2119" s="496"/>
      <c r="P2119" s="497"/>
      <c r="Q2119" s="495"/>
      <c r="R2119" s="495"/>
      <c r="S2119" s="667" t="s">
        <v>4986</v>
      </c>
      <c r="T2119" s="508">
        <f t="shared" si="1603"/>
        <v>0</v>
      </c>
      <c r="U2119" s="225" t="str">
        <f>IF(NOT(ISNUMBER(G2119)), "", VLOOKUP(A2119,'Discount Lookup'!D:E,2,FALSE)*G2119)</f>
        <v/>
      </c>
      <c r="V2119" s="225" t="str">
        <f>IF(NOT(ISNUMBER(G2119)), "", VLOOKUP(A2119,'Discount Lookup'!G:H,2,FALSE)*G2119)</f>
        <v/>
      </c>
      <c r="W2119" s="508">
        <f t="shared" si="1604"/>
        <v>0</v>
      </c>
      <c r="X2119" s="508">
        <f t="shared" si="1605"/>
        <v>0</v>
      </c>
      <c r="Y2119" s="509" t="b">
        <f t="shared" si="1606"/>
        <v>0</v>
      </c>
      <c r="Z2119" s="510">
        <f t="shared" si="1607"/>
        <v>0</v>
      </c>
      <c r="AA2119" s="511"/>
      <c r="AB2119" s="511" t="str">
        <f t="shared" si="1608"/>
        <v/>
      </c>
      <c r="AC2119" s="698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698"/>
      <c r="AE2119" s="631" t="str">
        <f t="shared" si="1609"/>
        <v/>
      </c>
      <c r="AF2119" s="699" t="str">
        <f t="shared" si="1610"/>
        <v/>
      </c>
      <c r="AG2119" s="699"/>
      <c r="AH2119" s="699"/>
      <c r="AI2119" s="512">
        <f>IF(H2119="credit",0,IF(AE2119="free",0,IF(AE2119="me",0,IF(G2119&gt;0,(VLOOKUP(A2119,'Discount Lookup'!J:K,2)*G2119),0))))</f>
        <v>0</v>
      </c>
      <c r="AJ2119" s="513" t="str">
        <f t="shared" ca="1" si="1611"/>
        <v/>
      </c>
      <c r="AK2119" s="700" t="str">
        <f t="shared" si="1612"/>
        <v/>
      </c>
      <c r="AL2119" s="700"/>
      <c r="AM2119" s="505" t="str">
        <f t="shared" si="1613"/>
        <v/>
      </c>
      <c r="AN2119" s="506"/>
      <c r="AO2119" s="507"/>
      <c r="AP2119" s="507"/>
      <c r="AQ2119" s="507"/>
      <c r="AR2119" s="507"/>
      <c r="AS2119" s="507"/>
      <c r="AT2119" s="507"/>
      <c r="AU2119" s="507"/>
      <c r="AV2119" s="225"/>
      <c r="AW2119" s="508"/>
      <c r="AX2119" s="225"/>
      <c r="AY2119" s="225"/>
      <c r="AZ2119" s="225"/>
      <c r="BA2119" s="225"/>
      <c r="BB2119" s="225"/>
      <c r="BC2119" s="56"/>
      <c r="BD2119" s="56"/>
      <c r="BE2119" s="56"/>
      <c r="BF2119" s="107" t="str">
        <f t="shared" si="1614"/>
        <v>https://www.google.com/search?tbm=isch&amp;q=moist%20sites%F0%9F%92%A7OK%2C%20Kramer%27s%20Supreme%20has%20a%20delightful%20fragrance%2C%20which%20is%20not%20common.%20Golden%20stamens.%20Dark%20Green%20foliage%20</v>
      </c>
      <c r="BG2119" s="107" t="str">
        <f t="shared" si="1615"/>
        <v>m</v>
      </c>
      <c r="BH2119" s="254"/>
      <c r="BI2119" s="254"/>
    </row>
    <row r="2120" spans="1:61" customFormat="1" ht="18" x14ac:dyDescent="0.25">
      <c r="A2120" s="523" t="s">
        <v>1223</v>
      </c>
      <c r="B2120" s="235"/>
      <c r="C2120" s="676"/>
      <c r="D2120" s="255" t="s">
        <v>1224</v>
      </c>
      <c r="E2120" s="236"/>
      <c r="F2120" s="236"/>
      <c r="G2120" s="236"/>
      <c r="H2120" s="582" t="s">
        <v>357</v>
      </c>
      <c r="I2120" s="498" t="s">
        <v>656</v>
      </c>
      <c r="J2120" s="237"/>
      <c r="K2120" s="237"/>
      <c r="L2120" s="274"/>
      <c r="M2120" s="668" t="s">
        <v>4975</v>
      </c>
      <c r="N2120" s="681" t="str">
        <f>IF(AND(ISTEXT($A2120), ISERROR($A2120+0)), HYPERLINK($BF2120, "Images"), "")</f>
        <v>Images</v>
      </c>
      <c r="O2120" s="663" t="s">
        <v>4971</v>
      </c>
      <c r="P2120" s="253"/>
      <c r="Q2120" s="238"/>
      <c r="R2120" s="239"/>
      <c r="S2120" s="275"/>
      <c r="T2120" s="508">
        <f t="shared" si="1603"/>
        <v>0</v>
      </c>
      <c r="U2120" s="225" t="str">
        <f>IF(NOT(ISNUMBER(G2120)), "", VLOOKUP(A2120,'Discount Lookup'!D:E,2,FALSE)*G2120)</f>
        <v/>
      </c>
      <c r="V2120" s="225" t="str">
        <f>IF(NOT(ISNUMBER(G2120)), "", VLOOKUP(A2120,'Discount Lookup'!G:H,2,FALSE)*G2120)</f>
        <v/>
      </c>
      <c r="W2120" s="508">
        <f t="shared" si="1604"/>
        <v>0</v>
      </c>
      <c r="X2120" s="508" t="str">
        <f t="shared" si="1605"/>
        <v>Pink bloom</v>
      </c>
      <c r="Y2120" s="509" t="b">
        <f t="shared" si="1606"/>
        <v>0</v>
      </c>
      <c r="Z2120" s="510">
        <f t="shared" si="1607"/>
        <v>0</v>
      </c>
      <c r="AA2120" s="511"/>
      <c r="AB2120" s="511" t="str">
        <f t="shared" si="1608"/>
        <v/>
      </c>
      <c r="AC2120" s="698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698"/>
      <c r="AE2120" s="631" t="str">
        <f t="shared" si="1609"/>
        <v/>
      </c>
      <c r="AF2120" s="699" t="str">
        <f t="shared" si="1610"/>
        <v/>
      </c>
      <c r="AG2120" s="699"/>
      <c r="AH2120" s="699"/>
      <c r="AI2120" s="512">
        <f>IF(H2120="credit",0,IF(AE2120="free",0,IF(AE2120="me",0,IF(G2120&gt;0,(VLOOKUP(A2120,'Discount Lookup'!J:K,2)*G2120),0))))</f>
        <v>0</v>
      </c>
      <c r="AJ2120" s="513" t="str">
        <f t="shared" ca="1" si="1611"/>
        <v/>
      </c>
      <c r="AK2120" s="700" t="str">
        <f t="shared" si="1612"/>
        <v/>
      </c>
      <c r="AL2120" s="700"/>
      <c r="AM2120" s="505" t="str">
        <f t="shared" si="1613"/>
        <v/>
      </c>
      <c r="AN2120" s="506"/>
      <c r="AO2120" s="507"/>
      <c r="AP2120" s="507"/>
      <c r="AQ2120" s="507"/>
      <c r="AR2120" s="507"/>
      <c r="AS2120" s="507"/>
      <c r="AT2120" s="507"/>
      <c r="AU2120" s="507"/>
      <c r="AV2120" s="225"/>
      <c r="AW2120" s="508"/>
      <c r="AX2120" s="225"/>
      <c r="AY2120" s="225"/>
      <c r="AZ2120" s="225"/>
      <c r="BA2120" s="225"/>
      <c r="BB2120" s="225"/>
      <c r="BC2120" s="56"/>
      <c r="BD2120" s="56"/>
      <c r="BE2120" s="56"/>
      <c r="BF2120" s="107" t="str">
        <f t="shared" si="1614"/>
        <v>https://www.google.com/search?tbm=isch&amp;q=Krauter%20Vesuvius%20Purple%20Leaf%20Plum%20Prunus%20cerasifera%20%27Krauter%20Vesuvius%27</v>
      </c>
      <c r="BG2120" s="107" t="str">
        <f t="shared" si="1615"/>
        <v>K</v>
      </c>
      <c r="BH2120" s="254"/>
      <c r="BI2120" s="254"/>
    </row>
    <row r="2121" spans="1:61" customFormat="1" ht="15.75" x14ac:dyDescent="0.25">
      <c r="A2121" s="276">
        <v>7</v>
      </c>
      <c r="B2121" s="240" t="s">
        <v>291</v>
      </c>
      <c r="C2121" s="241" t="s">
        <v>3744</v>
      </c>
      <c r="D2121" s="242" t="s">
        <v>292</v>
      </c>
      <c r="E2121" s="243">
        <v>102.95</v>
      </c>
      <c r="F2121" s="517" t="s">
        <v>293</v>
      </c>
      <c r="G2121" s="232">
        <v>0</v>
      </c>
      <c r="H2121" s="661" t="str">
        <f>IF(G2121=0,"",IF(F2121="Buy",IF(G2121=1,"plant","plants"),IF(F2121&gt;0.01,"warranty","Error")))</f>
        <v/>
      </c>
      <c r="I2121" s="244">
        <f>IF(H2121="free",0,IF(H2121="credit",((E2121*(F2121))*G2121*-1),IF(F2121="Buy",(E2121*G2121),((E2121*(1-F2121))*G2121))))</f>
        <v>0</v>
      </c>
      <c r="J2121" s="244">
        <f>IF(H2121="warranty",0,(I2121*(_xlfn.SINGLE(SalesTaxPercentage))))</f>
        <v>0</v>
      </c>
      <c r="K2121" s="696">
        <f t="shared" ref="K2121" si="1650">I2121+J2121</f>
        <v>0</v>
      </c>
      <c r="L2121" s="696"/>
      <c r="M2121" s="659" t="str">
        <f>IF(AND(G2121&gt;0,E2121=0),"WARNING - no PRICE inserted",IF(H2121="free"," FREE ~ no charge this plant",IF(H2121="credit",CONCATENATE(" -$",ROUND(K2121*(1-T2GDiscount)*-1,2)," CREDIT after discount"),IF(T2GDiscount=0,"",IF(G2121=0,"",IF(F2121="Buy",CONCATENATE(" $",ROUND(K2121*(1-T2GDiscount),2)," with ",(T2GDiscount*100),"% discount"),CONCATENATE(" $",ROUND(K2121*(1-T2GDiscount),2)," with ",((T2GDiscount*100+F2121*100)-(T2GDiscount*100*F2121)),IF(F2121&gt;0,"% discounts",IF(NoWarrantyDiscount&gt;0,"% discounts","% discount")))))))))</f>
        <v/>
      </c>
      <c r="N2121" s="660"/>
      <c r="O2121" s="233"/>
      <c r="P2121" s="233"/>
      <c r="Q2121" s="233"/>
      <c r="R2121" s="233"/>
      <c r="S2121" s="233"/>
      <c r="T2121" s="508">
        <f t="shared" si="1603"/>
        <v>0</v>
      </c>
      <c r="U2121" s="225">
        <f>IF(NOT(ISNUMBER(G2121)), "", VLOOKUP(A2121,'Discount Lookup'!D:E,2,FALSE)*G2121)</f>
        <v>0</v>
      </c>
      <c r="V2121" s="225">
        <f>IF(NOT(ISNUMBER(G2121)), "", VLOOKUP(A2121,'Discount Lookup'!G:H,2,FALSE)*G2121)</f>
        <v>0</v>
      </c>
      <c r="W2121" s="508">
        <f t="shared" si="1604"/>
        <v>0</v>
      </c>
      <c r="X2121" s="508">
        <f t="shared" si="1605"/>
        <v>0</v>
      </c>
      <c r="Y2121" s="509" t="b">
        <f t="shared" si="1606"/>
        <v>0</v>
      </c>
      <c r="Z2121" s="510">
        <f t="shared" si="1607"/>
        <v>0</v>
      </c>
      <c r="AA2121" s="511"/>
      <c r="AB2121" s="511" t="str">
        <f t="shared" si="1608"/>
        <v/>
      </c>
      <c r="AC2121" s="698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698"/>
      <c r="AE2121" s="631" t="str">
        <f t="shared" si="1609"/>
        <v/>
      </c>
      <c r="AF2121" s="699" t="str">
        <f t="shared" si="1610"/>
        <v/>
      </c>
      <c r="AG2121" s="699"/>
      <c r="AH2121" s="699"/>
      <c r="AI2121" s="512">
        <f>IF(H2121="credit",0,IF(AE2121="free",0,IF(AE2121="me",0,IF(G2121&gt;0,(VLOOKUP(A2121,'Discount Lookup'!J:K,2)*G2121),0))))</f>
        <v>0</v>
      </c>
      <c r="AJ2121" s="513" t="str">
        <f t="shared" ca="1" si="1611"/>
        <v/>
      </c>
      <c r="AK2121" s="700" t="str">
        <f t="shared" si="1612"/>
        <v/>
      </c>
      <c r="AL2121" s="700"/>
      <c r="AM2121" s="505" t="str">
        <f t="shared" si="1613"/>
        <v/>
      </c>
      <c r="AN2121" s="506"/>
      <c r="AO2121" s="507"/>
      <c r="AP2121" s="507"/>
      <c r="AQ2121" s="507"/>
      <c r="AR2121" s="507"/>
      <c r="AS2121" s="507"/>
      <c r="AT2121" s="507"/>
      <c r="AU2121" s="507"/>
      <c r="AV2121" s="225"/>
      <c r="AW2121" s="508"/>
      <c r="AX2121" s="225"/>
      <c r="AY2121" s="225"/>
      <c r="AZ2121" s="225"/>
      <c r="BA2121" s="225"/>
      <c r="BB2121" s="225"/>
      <c r="BC2121" s="56"/>
      <c r="BD2121" s="56"/>
      <c r="BE2121" s="56"/>
      <c r="BF2121" s="107" t="str">
        <f t="shared" si="1614"/>
        <v>https://www.google.com/search?tbm=isch&amp;q=7%20G4</v>
      </c>
      <c r="BG2121" s="107" t="str">
        <f t="shared" si="1615"/>
        <v>K</v>
      </c>
      <c r="BH2121" s="254"/>
      <c r="BI2121" s="254"/>
    </row>
    <row r="2122" spans="1:61" customFormat="1" ht="15.75" x14ac:dyDescent="0.25">
      <c r="A2122" s="276">
        <v>10</v>
      </c>
      <c r="B2122" s="240" t="s">
        <v>291</v>
      </c>
      <c r="C2122" s="241" t="s">
        <v>3599</v>
      </c>
      <c r="D2122" s="242" t="s">
        <v>292</v>
      </c>
      <c r="E2122" s="243">
        <v>137.94999999999999</v>
      </c>
      <c r="F2122" s="517" t="s">
        <v>293</v>
      </c>
      <c r="G2122" s="232">
        <v>0</v>
      </c>
      <c r="H2122" s="661" t="str">
        <f>IF(G2122=0,"",IF(F2122="Buy",IF(G2122=1,"plant","plants"),IF(F2122&gt;0.01,"warranty","Error")))</f>
        <v/>
      </c>
      <c r="I2122" s="244">
        <f>IF(H2122="free",0,IF(H2122="credit",((E2122*(F2122))*G2122*-1),IF(F2122="Buy",(E2122*G2122),((E2122*(1-F2122))*G2122))))</f>
        <v>0</v>
      </c>
      <c r="J2122" s="244">
        <f>IF(H2122="warranty",0,(I2122*(_xlfn.SINGLE(SalesTaxPercentage))))</f>
        <v>0</v>
      </c>
      <c r="K2122" s="696">
        <f t="shared" ref="K2122" si="1651">I2122+J2122</f>
        <v>0</v>
      </c>
      <c r="L2122" s="696"/>
      <c r="M2122" s="659" t="str">
        <f>IF(AND(G2122&gt;0,E2122=0),"WARNING - no PRICE inserted",IF(H2122="free"," FREE ~ no charge this plant",IF(H2122="credit",CONCATENATE(" -$",ROUND(K2122*(1-T2GDiscount)*-1,2)," CREDIT after discount"),IF(T2GDiscount=0,"",IF(G2122=0,"",IF(F2122="Buy",CONCATENATE(" $",ROUND(K2122*(1-T2GDiscount),2)," with ",(T2GDiscount*100),"% discount"),CONCATENATE(" $",ROUND(K2122*(1-T2GDiscount),2)," with ",((T2GDiscount*100+F2122*100)-(T2GDiscount*100*F2122)),IF(F2122&gt;0,"% discounts",IF(NoWarrantyDiscount&gt;0,"% discounts","% discount")))))))))</f>
        <v/>
      </c>
      <c r="N2122" s="660"/>
      <c r="O2122" s="233"/>
      <c r="P2122" s="233"/>
      <c r="Q2122" s="233"/>
      <c r="R2122" s="233"/>
      <c r="S2122" s="233"/>
      <c r="T2122" s="508">
        <f t="shared" si="1603"/>
        <v>0</v>
      </c>
      <c r="U2122" s="225">
        <f>IF(NOT(ISNUMBER(G2122)), "", VLOOKUP(A2122,'Discount Lookup'!D:E,2,FALSE)*G2122)</f>
        <v>0</v>
      </c>
      <c r="V2122" s="225">
        <f>IF(NOT(ISNUMBER(G2122)), "", VLOOKUP(A2122,'Discount Lookup'!G:H,2,FALSE)*G2122)</f>
        <v>0</v>
      </c>
      <c r="W2122" s="508">
        <f t="shared" si="1604"/>
        <v>0</v>
      </c>
      <c r="X2122" s="508">
        <f t="shared" si="1605"/>
        <v>0</v>
      </c>
      <c r="Y2122" s="509" t="b">
        <f t="shared" si="1606"/>
        <v>0</v>
      </c>
      <c r="Z2122" s="510">
        <f t="shared" si="1607"/>
        <v>0</v>
      </c>
      <c r="AA2122" s="511"/>
      <c r="AB2122" s="511" t="str">
        <f t="shared" si="1608"/>
        <v/>
      </c>
      <c r="AC2122" s="698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698"/>
      <c r="AE2122" s="631" t="str">
        <f t="shared" si="1609"/>
        <v/>
      </c>
      <c r="AF2122" s="699" t="str">
        <f t="shared" si="1610"/>
        <v/>
      </c>
      <c r="AG2122" s="699"/>
      <c r="AH2122" s="699"/>
      <c r="AI2122" s="512">
        <f>IF(H2122="credit",0,IF(AE2122="free",0,IF(AE2122="me",0,IF(G2122&gt;0,(VLOOKUP(A2122,'Discount Lookup'!J:K,2)*G2122),0))))</f>
        <v>0</v>
      </c>
      <c r="AJ2122" s="513" t="str">
        <f t="shared" ca="1" si="1611"/>
        <v/>
      </c>
      <c r="AK2122" s="700" t="str">
        <f t="shared" si="1612"/>
        <v/>
      </c>
      <c r="AL2122" s="700"/>
      <c r="AM2122" s="505" t="str">
        <f t="shared" si="1613"/>
        <v/>
      </c>
      <c r="AN2122" s="506"/>
      <c r="AO2122" s="507"/>
      <c r="AP2122" s="507"/>
      <c r="AQ2122" s="507"/>
      <c r="AR2122" s="507"/>
      <c r="AS2122" s="507"/>
      <c r="AT2122" s="507"/>
      <c r="AU2122" s="507"/>
      <c r="AV2122" s="225"/>
      <c r="AW2122" s="508"/>
      <c r="AX2122" s="225"/>
      <c r="AY2122" s="225"/>
      <c r="AZ2122" s="225"/>
      <c r="BA2122" s="225"/>
      <c r="BB2122" s="225"/>
      <c r="BC2122" s="56"/>
      <c r="BD2122" s="56"/>
      <c r="BE2122" s="56"/>
      <c r="BF2122" s="107" t="str">
        <f t="shared" si="1614"/>
        <v>https://www.google.com/search?tbm=isch&amp;q=10%20G4</v>
      </c>
      <c r="BG2122" s="107" t="str">
        <f t="shared" si="1615"/>
        <v>K</v>
      </c>
      <c r="BH2122" s="254"/>
      <c r="BI2122" s="254"/>
    </row>
    <row r="2123" spans="1:61" customFormat="1" ht="15.75" x14ac:dyDescent="0.25">
      <c r="A2123" s="276">
        <v>15</v>
      </c>
      <c r="B2123" s="240" t="s">
        <v>291</v>
      </c>
      <c r="C2123" s="241" t="s">
        <v>13</v>
      </c>
      <c r="D2123" s="242" t="s">
        <v>312</v>
      </c>
      <c r="E2123" s="243">
        <v>146.94999999999999</v>
      </c>
      <c r="F2123" s="517" t="s">
        <v>293</v>
      </c>
      <c r="G2123" s="232">
        <v>0</v>
      </c>
      <c r="H2123" s="661" t="str">
        <f>IF(G2123=0,"",IF(F2123="Buy",IF(G2123=1,"plant","plants"),IF(F2123&gt;0.01,"warranty","Error")))</f>
        <v/>
      </c>
      <c r="I2123" s="244">
        <f>IF(H2123="free",0,IF(H2123="credit",((E2123*(F2123))*G2123*-1),IF(F2123="Buy",(E2123*G2123),((E2123*(1-F2123))*G2123))))</f>
        <v>0</v>
      </c>
      <c r="J2123" s="244">
        <f>IF(H2123="warranty",0,(I2123*(_xlfn.SINGLE(SalesTaxPercentage))))</f>
        <v>0</v>
      </c>
      <c r="K2123" s="696">
        <f t="shared" ref="K2123" si="1652">I2123+J2123</f>
        <v>0</v>
      </c>
      <c r="L2123" s="696"/>
      <c r="M2123" s="659" t="str">
        <f>IF(AND(G2123&gt;0,E2123=0),"WARNING - no PRICE inserted",IF(H2123="free"," FREE ~ no charge this plant",IF(H2123="credit",CONCATENATE(" -$",ROUND(K2123*(1-T2GDiscount)*-1,2)," CREDIT after discount"),IF(T2GDiscount=0,"",IF(G2123=0,"",IF(F2123="Buy",CONCATENATE(" $",ROUND(K2123*(1-T2GDiscount),2)," with ",(T2GDiscount*100),"% discount"),CONCATENATE(" $",ROUND(K2123*(1-T2GDiscount),2)," with ",((T2GDiscount*100+F2123*100)-(T2GDiscount*100*F2123)),IF(F2123&gt;0,"% discounts",IF(NoWarrantyDiscount&gt;0,"% discounts","% discount")))))))))</f>
        <v/>
      </c>
      <c r="N2123" s="660"/>
      <c r="O2123" s="233"/>
      <c r="P2123" s="233"/>
      <c r="Q2123" s="233"/>
      <c r="R2123" s="233"/>
      <c r="S2123" s="233"/>
      <c r="T2123" s="508">
        <f t="shared" si="1603"/>
        <v>0</v>
      </c>
      <c r="U2123" s="225">
        <f>IF(NOT(ISNUMBER(G2123)), "", VLOOKUP(A2123,'Discount Lookup'!D:E,2,FALSE)*G2123)</f>
        <v>0</v>
      </c>
      <c r="V2123" s="225">
        <f>IF(NOT(ISNUMBER(G2123)), "", VLOOKUP(A2123,'Discount Lookup'!G:H,2,FALSE)*G2123)</f>
        <v>0</v>
      </c>
      <c r="W2123" s="508">
        <f t="shared" si="1604"/>
        <v>0</v>
      </c>
      <c r="X2123" s="508">
        <f t="shared" si="1605"/>
        <v>0</v>
      </c>
      <c r="Y2123" s="509" t="b">
        <f t="shared" si="1606"/>
        <v>0</v>
      </c>
      <c r="Z2123" s="510">
        <f t="shared" si="1607"/>
        <v>0</v>
      </c>
      <c r="AA2123" s="511"/>
      <c r="AB2123" s="511" t="str">
        <f t="shared" si="1608"/>
        <v/>
      </c>
      <c r="AC2123" s="698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698"/>
      <c r="AE2123" s="631" t="str">
        <f t="shared" si="1609"/>
        <v/>
      </c>
      <c r="AF2123" s="699" t="str">
        <f t="shared" si="1610"/>
        <v/>
      </c>
      <c r="AG2123" s="699"/>
      <c r="AH2123" s="699"/>
      <c r="AI2123" s="512">
        <f>IF(H2123="credit",0,IF(AE2123="free",0,IF(AE2123="me",0,IF(G2123&gt;0,(VLOOKUP(A2123,'Discount Lookup'!J:K,2)*G2123),0))))</f>
        <v>0</v>
      </c>
      <c r="AJ2123" s="513" t="str">
        <f t="shared" ca="1" si="1611"/>
        <v/>
      </c>
      <c r="AK2123" s="700" t="str">
        <f t="shared" si="1612"/>
        <v/>
      </c>
      <c r="AL2123" s="700"/>
      <c r="AM2123" s="505" t="str">
        <f t="shared" si="1613"/>
        <v/>
      </c>
      <c r="AN2123" s="506"/>
      <c r="AO2123" s="507"/>
      <c r="AP2123" s="507"/>
      <c r="AQ2123" s="507"/>
      <c r="AR2123" s="507"/>
      <c r="AS2123" s="507"/>
      <c r="AT2123" s="507"/>
      <c r="AU2123" s="507"/>
      <c r="AV2123" s="225"/>
      <c r="AW2123" s="508"/>
      <c r="AX2123" s="225"/>
      <c r="AY2123" s="225"/>
      <c r="AZ2123" s="225"/>
      <c r="BA2123" s="225"/>
      <c r="BB2123" s="225"/>
      <c r="BC2123" s="56"/>
      <c r="BD2123" s="56"/>
      <c r="BE2123" s="56"/>
      <c r="BF2123" s="107" t="str">
        <f t="shared" si="1614"/>
        <v>https://www.google.com/search?tbm=isch&amp;q=15%20G2</v>
      </c>
      <c r="BG2123" s="107" t="str">
        <f t="shared" si="1615"/>
        <v>K</v>
      </c>
      <c r="BH2123" s="254"/>
      <c r="BI2123" s="254"/>
    </row>
    <row r="2124" spans="1:61" customFormat="1" ht="27" x14ac:dyDescent="0.25">
      <c r="A2124" s="276">
        <v>15</v>
      </c>
      <c r="B2124" s="240" t="s">
        <v>291</v>
      </c>
      <c r="C2124" s="241" t="s">
        <v>3600</v>
      </c>
      <c r="D2124" s="242" t="s">
        <v>292</v>
      </c>
      <c r="E2124" s="243">
        <v>169.95</v>
      </c>
      <c r="F2124" s="517" t="s">
        <v>293</v>
      </c>
      <c r="G2124" s="232">
        <v>0</v>
      </c>
      <c r="H2124" s="661" t="str">
        <f>IF(G2124=0,"",IF(F2124="Buy",IF(G2124=1,"plant","plants"),IF(F2124&gt;0.01,"warranty","Error")))</f>
        <v/>
      </c>
      <c r="I2124" s="244">
        <f>IF(H2124="free",0,IF(H2124="credit",((E2124*(F2124))*G2124*-1),IF(F2124="Buy",(E2124*G2124),((E2124*(1-F2124))*G2124))))</f>
        <v>0</v>
      </c>
      <c r="J2124" s="244">
        <f>IF(H2124="warranty",0,(I2124*(_xlfn.SINGLE(SalesTaxPercentage))))</f>
        <v>0</v>
      </c>
      <c r="K2124" s="696">
        <f t="shared" ref="K2124" si="1653">I2124+J2124</f>
        <v>0</v>
      </c>
      <c r="L2124" s="696"/>
      <c r="M2124" s="659" t="str">
        <f>IF(AND(G2124&gt;0,E2124=0),"WARNING - no PRICE inserted",IF(H2124="free"," FREE ~ no charge this plant",IF(H2124="credit",CONCATENATE(" -$",ROUND(K2124*(1-T2GDiscount)*-1,2)," CREDIT after discount"),IF(T2GDiscount=0,"",IF(G2124=0,"",IF(F2124="Buy",CONCATENATE(" $",ROUND(K2124*(1-T2GDiscount),2)," with ",(T2GDiscount*100),"% discount"),CONCATENATE(" $",ROUND(K2124*(1-T2GDiscount),2)," with ",((T2GDiscount*100+F2124*100)-(T2GDiscount*100*F2124)),IF(F2124&gt;0,"% discounts",IF(NoWarrantyDiscount&gt;0,"% discounts","% discount")))))))))</f>
        <v/>
      </c>
      <c r="N2124" s="660"/>
      <c r="O2124" s="233"/>
      <c r="P2124" s="233"/>
      <c r="Q2124" s="233"/>
      <c r="R2124" s="233"/>
      <c r="S2124" s="233"/>
      <c r="T2124" s="508">
        <f t="shared" si="1603"/>
        <v>0</v>
      </c>
      <c r="U2124" s="225">
        <f>IF(NOT(ISNUMBER(G2124)), "", VLOOKUP(A2124,'Discount Lookup'!D:E,2,FALSE)*G2124)</f>
        <v>0</v>
      </c>
      <c r="V2124" s="225">
        <f>IF(NOT(ISNUMBER(G2124)), "", VLOOKUP(A2124,'Discount Lookup'!G:H,2,FALSE)*G2124)</f>
        <v>0</v>
      </c>
      <c r="W2124" s="508">
        <f t="shared" si="1604"/>
        <v>0</v>
      </c>
      <c r="X2124" s="508">
        <f t="shared" si="1605"/>
        <v>0</v>
      </c>
      <c r="Y2124" s="509" t="b">
        <f t="shared" si="1606"/>
        <v>0</v>
      </c>
      <c r="Z2124" s="510">
        <f t="shared" si="1607"/>
        <v>0</v>
      </c>
      <c r="AA2124" s="511"/>
      <c r="AB2124" s="511" t="str">
        <f t="shared" si="1608"/>
        <v/>
      </c>
      <c r="AC2124" s="698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698"/>
      <c r="AE2124" s="631" t="str">
        <f t="shared" si="1609"/>
        <v/>
      </c>
      <c r="AF2124" s="699" t="str">
        <f t="shared" si="1610"/>
        <v/>
      </c>
      <c r="AG2124" s="699"/>
      <c r="AH2124" s="699"/>
      <c r="AI2124" s="512">
        <f>IF(H2124="credit",0,IF(AE2124="free",0,IF(AE2124="me",0,IF(G2124&gt;0,(VLOOKUP(A2124,'Discount Lookup'!J:K,2)*G2124),0))))</f>
        <v>0</v>
      </c>
      <c r="AJ2124" s="513" t="str">
        <f t="shared" ca="1" si="1611"/>
        <v/>
      </c>
      <c r="AK2124" s="700" t="str">
        <f t="shared" si="1612"/>
        <v/>
      </c>
      <c r="AL2124" s="700"/>
      <c r="AM2124" s="505" t="str">
        <f t="shared" si="1613"/>
        <v/>
      </c>
      <c r="AN2124" s="506"/>
      <c r="AO2124" s="507"/>
      <c r="AP2124" s="507"/>
      <c r="AQ2124" s="507"/>
      <c r="AR2124" s="507"/>
      <c r="AS2124" s="507"/>
      <c r="AT2124" s="507"/>
      <c r="AU2124" s="507"/>
      <c r="AV2124" s="225"/>
      <c r="AW2124" s="508"/>
      <c r="AX2124" s="225"/>
      <c r="AY2124" s="225"/>
      <c r="AZ2124" s="225"/>
      <c r="BA2124" s="225"/>
      <c r="BB2124" s="225"/>
      <c r="BC2124" s="56"/>
      <c r="BD2124" s="56"/>
      <c r="BE2124" s="56"/>
      <c r="BF2124" s="107" t="str">
        <f t="shared" si="1614"/>
        <v>https://www.google.com/search?tbm=isch&amp;q=15%20G4</v>
      </c>
      <c r="BG2124" s="107" t="str">
        <f t="shared" si="1615"/>
        <v>K</v>
      </c>
      <c r="BH2124" s="254"/>
      <c r="BI2124" s="254"/>
    </row>
    <row r="2125" spans="1:61" customFormat="1" ht="15.75" x14ac:dyDescent="0.25">
      <c r="A2125" s="276">
        <v>20</v>
      </c>
      <c r="B2125" s="240" t="s">
        <v>291</v>
      </c>
      <c r="C2125" s="241" t="s">
        <v>3601</v>
      </c>
      <c r="D2125" s="242" t="s">
        <v>292</v>
      </c>
      <c r="E2125" s="243">
        <v>206.95</v>
      </c>
      <c r="F2125" s="517" t="s">
        <v>293</v>
      </c>
      <c r="G2125" s="232">
        <v>0</v>
      </c>
      <c r="H2125" s="661" t="str">
        <f>IF(G2125=0,"",IF(F2125="Buy",IF(G2125=1,"plant","plants"),IF(F2125&gt;0.01,"warranty","Error")))</f>
        <v/>
      </c>
      <c r="I2125" s="244">
        <f>IF(H2125="free",0,IF(H2125="credit",((E2125*(F2125))*G2125*-1),IF(F2125="Buy",(E2125*G2125),((E2125*(1-F2125))*G2125))))</f>
        <v>0</v>
      </c>
      <c r="J2125" s="244">
        <f>IF(H2125="warranty",0,(I2125*(_xlfn.SINGLE(SalesTaxPercentage))))</f>
        <v>0</v>
      </c>
      <c r="K2125" s="696">
        <f t="shared" ref="K2125" si="1654">I2125+J2125</f>
        <v>0</v>
      </c>
      <c r="L2125" s="696"/>
      <c r="M2125" s="659" t="str">
        <f>IF(AND(G2125&gt;0,E2125=0),"WARNING - no PRICE inserted",IF(H2125="free"," FREE ~ no charge this plant",IF(H2125="credit",CONCATENATE(" -$",ROUND(K2125*(1-T2GDiscount)*-1,2)," CREDIT after discount"),IF(T2GDiscount=0,"",IF(G2125=0,"",IF(F2125="Buy",CONCATENATE(" $",ROUND(K2125*(1-T2GDiscount),2)," with ",(T2GDiscount*100),"% discount"),CONCATENATE(" $",ROUND(K2125*(1-T2GDiscount),2)," with ",((T2GDiscount*100+F2125*100)-(T2GDiscount*100*F2125)),IF(F2125&gt;0,"% discounts",IF(NoWarrantyDiscount&gt;0,"% discounts","% discount")))))))))</f>
        <v/>
      </c>
      <c r="N2125" s="660"/>
      <c r="O2125" s="233"/>
      <c r="P2125" s="233"/>
      <c r="Q2125" s="233"/>
      <c r="R2125" s="233"/>
      <c r="S2125" s="233"/>
      <c r="T2125" s="508">
        <f t="shared" si="1603"/>
        <v>0</v>
      </c>
      <c r="U2125" s="225">
        <f>IF(NOT(ISNUMBER(G2125)), "", VLOOKUP(A2125,'Discount Lookup'!D:E,2,FALSE)*G2125)</f>
        <v>0</v>
      </c>
      <c r="V2125" s="225">
        <f>IF(NOT(ISNUMBER(G2125)), "", VLOOKUP(A2125,'Discount Lookup'!G:H,2,FALSE)*G2125)</f>
        <v>0</v>
      </c>
      <c r="W2125" s="508">
        <f t="shared" si="1604"/>
        <v>0</v>
      </c>
      <c r="X2125" s="508">
        <f t="shared" si="1605"/>
        <v>0</v>
      </c>
      <c r="Y2125" s="509" t="b">
        <f t="shared" si="1606"/>
        <v>0</v>
      </c>
      <c r="Z2125" s="510">
        <f t="shared" si="1607"/>
        <v>0</v>
      </c>
      <c r="AA2125" s="511"/>
      <c r="AB2125" s="511" t="str">
        <f t="shared" si="1608"/>
        <v/>
      </c>
      <c r="AC2125" s="698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698"/>
      <c r="AE2125" s="631" t="str">
        <f t="shared" si="1609"/>
        <v/>
      </c>
      <c r="AF2125" s="699" t="str">
        <f t="shared" si="1610"/>
        <v/>
      </c>
      <c r="AG2125" s="699"/>
      <c r="AH2125" s="699"/>
      <c r="AI2125" s="512">
        <f>IF(H2125="credit",0,IF(AE2125="free",0,IF(AE2125="me",0,IF(G2125&gt;0,(VLOOKUP(A2125,'Discount Lookup'!J:K,2)*G2125),0))))</f>
        <v>0</v>
      </c>
      <c r="AJ2125" s="513" t="str">
        <f t="shared" ca="1" si="1611"/>
        <v/>
      </c>
      <c r="AK2125" s="700" t="str">
        <f t="shared" si="1612"/>
        <v/>
      </c>
      <c r="AL2125" s="700"/>
      <c r="AM2125" s="505" t="str">
        <f t="shared" si="1613"/>
        <v/>
      </c>
      <c r="AN2125" s="506"/>
      <c r="AO2125" s="507"/>
      <c r="AP2125" s="507"/>
      <c r="AQ2125" s="507"/>
      <c r="AR2125" s="507"/>
      <c r="AS2125" s="507"/>
      <c r="AT2125" s="507"/>
      <c r="AU2125" s="507"/>
      <c r="AV2125" s="225"/>
      <c r="AW2125" s="508"/>
      <c r="AX2125" s="225"/>
      <c r="AY2125" s="225"/>
      <c r="AZ2125" s="225"/>
      <c r="BA2125" s="225"/>
      <c r="BB2125" s="225"/>
      <c r="BC2125" s="56"/>
      <c r="BD2125" s="56"/>
      <c r="BE2125" s="56"/>
      <c r="BF2125" s="107" t="str">
        <f t="shared" si="1614"/>
        <v>https://www.google.com/search?tbm=isch&amp;q=20%20G4</v>
      </c>
      <c r="BG2125" s="107" t="str">
        <f t="shared" si="1615"/>
        <v>K</v>
      </c>
      <c r="BH2125" s="254"/>
      <c r="BI2125" s="254"/>
    </row>
    <row r="2126" spans="1:61" customFormat="1" ht="16.5" x14ac:dyDescent="0.25">
      <c r="A2126" s="524" t="s">
        <v>2424</v>
      </c>
      <c r="B2126" s="245"/>
      <c r="C2126" s="677"/>
      <c r="D2126" s="499"/>
      <c r="E2126" s="499"/>
      <c r="F2126" s="500"/>
      <c r="G2126" s="501"/>
      <c r="H2126" s="502"/>
      <c r="I2126" s="246"/>
      <c r="J2126" s="247"/>
      <c r="K2126" s="503"/>
      <c r="L2126" s="544"/>
      <c r="M2126" s="544"/>
      <c r="N2126" s="500"/>
      <c r="O2126" s="500"/>
      <c r="P2126" s="500"/>
      <c r="Q2126" s="500"/>
      <c r="R2126" s="500"/>
      <c r="S2126" s="669" t="s">
        <v>4972</v>
      </c>
      <c r="T2126" s="508">
        <f t="shared" ref="T2126:T2189" si="1655">E2126*G2126</f>
        <v>0</v>
      </c>
      <c r="U2126" s="225" t="str">
        <f>IF(NOT(ISNUMBER(G2126)), "", VLOOKUP(A2126,'Discount Lookup'!D:E,2,FALSE)*G2126)</f>
        <v/>
      </c>
      <c r="V2126" s="225" t="str">
        <f>IF(NOT(ISNUMBER(G2126)), "", VLOOKUP(A2126,'Discount Lookup'!G:H,2,FALSE)*G2126)</f>
        <v/>
      </c>
      <c r="W2126" s="508">
        <f t="shared" ref="W2126:W2189" si="1656">IF(H2126="credit",0,E2126*(SalesTaxPercentage)*G2126)</f>
        <v>0</v>
      </c>
      <c r="X2126" s="508">
        <f t="shared" ref="X2126:X2189" si="1657">I2126</f>
        <v>0</v>
      </c>
      <c r="Y2126" s="509" t="b">
        <f t="shared" ref="Y2126:Y2189" si="1658">IF(AE2126="T2G",0,IF(H2126="credit",0,IF(G2126&gt;0,IF(AE2126="me","",G2126))))</f>
        <v>0</v>
      </c>
      <c r="Z2126" s="510">
        <f t="shared" ref="Z2126:Z2189" si="1659">IF(H2126="credit",G2126,0)</f>
        <v>0</v>
      </c>
      <c r="AA2126" s="511"/>
      <c r="AB2126" s="511" t="str">
        <f t="shared" ref="AB2126:AB2189" si="1660">IF(AE2126="T2G","by Trees2Go",IF(H2126="credit","CREDIT only ~",IF(AND(K2126="",AE2126=OR(PlanterYesMe="No",PlanterYesMe="N",PlanterYesMe="me")),"not THIS line⇨",IF(AND(K2126="images",AE2126="me"),"not THIS line⇨",IF(H2126="credit","",IF(G2126=0,"",IF(AE2126="me","",IF(OR(PlanterYesMe="No",PlanterYesMe="N",PlanterYesMe="me"),"",IF(AE2126="free","warranty",IF(OR(PlanterYesMe="yes",PlanterYesMe="y"),"Edison install:","to install:"))))))))))</f>
        <v/>
      </c>
      <c r="AC2126" s="698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698"/>
      <c r="AE2126" s="631" t="str">
        <f t="shared" ref="AE2126:AE2189" si="1661">IF(H2126="credit","",IF(G2126=0,"",IF(OR(PlanterYesMe="No",PlanterYesMe="N",PlanterYesMe="me"),"me",IF(H2126="warranty","free",IF(OR(PlanterYesMe="yes",PlanterYesMe="y"),"ELP","")))))</f>
        <v/>
      </c>
      <c r="AF2126" s="699" t="str">
        <f t="shared" ref="AF2126:AF2189" si="1662">IF(OR(PlanterYesMe="No",PlanterYesMe="N",PlanterYesMe="me"),"",IF(H2126="credit","",IF(G2126&gt;0,(CONCATENATE((G2126)," quantity, ",(A2126)," ",B2126)),"")))</f>
        <v/>
      </c>
      <c r="AG2126" s="699"/>
      <c r="AH2126" s="699"/>
      <c r="AI2126" s="512">
        <f>IF(H2126="credit",0,IF(AE2126="free",0,IF(AE2126="me",0,IF(G2126&gt;0,(VLOOKUP(A2126,'Discount Lookup'!J:K,2)*G2126),0))))</f>
        <v>0</v>
      </c>
      <c r="AJ2126" s="513" t="str">
        <f t="shared" ref="AJ2126:AJ2189" ca="1" si="1663">IF(AND(ISREF(H2126),H2126="credit"),"",IF(AND(AND(OFFSET(G2126,0,0)=0,OFFSET(G2126,1,0)&gt;0,ISNUMBER(OFFSET(AC2126,1,0)),OFFSET(AC2126,1,0)&gt;0),OR(PlanterYesMe="yes",PlanterYesMe="y")),"T2G+ELP=",IF(AND(OFFSET(G2126,0,0)=0,OFFSET(G2126,1,0)&gt;0,ISNUMBER(OFFSET(AC2126,1,0)),OFFSET(AC2126,1,0)&gt;0),"if T2G+ELP=",IF(AND(OFFSET(G2126,0,0)=0,OFFSET(G2126,1,0)&gt;0),"T2G Subtotal",IF(H2126="credit","",IF(G2126=0,"",IF(AE2126="free",(K2126*(1-T2GDiscount)),IF(OR(PlanterYesMe="No",PlanterYesMe="N",PlanterYesMe="me"),(K2126*(1-T2GDiscount)),IF(OR(AE2126="me",AE2126="T2G"),(K2126*(1-T2GDiscount)),(K2126*(1-T2GDiscount))+AC2126)))))))))</f>
        <v/>
      </c>
      <c r="AK2126" s="700" t="str">
        <f t="shared" ref="AK2126:AK2189" si="1664">IF(H2126="credit","",IF(G2126=0,"",IF(OR(AE2126="me",AE2126="T2G"),"  delivery-only",IF(OR(PlanterYesMe="No",PlanterYesMe="N",PlanterYesMe="me"),"  delivery-only",CONCATENATE(" $",ROUND(AJ2126/G2126,2)," each")))))</f>
        <v/>
      </c>
      <c r="AL2126" s="700"/>
      <c r="AM2126" s="505" t="str">
        <f t="shared" ref="AM2126:AM2189" si="1665">IF(H2126="credit","",IF(AE2126="free","      ~ discounts included, no tax or planting fee applies ~",IF(G2126=0,"",IF(OR(PlanterYesMe="No",PlanterYesMe="N",PlanterYesMe="me"),CONCATENATE(" $",ROUND(AJ2126/G2126,2)," per plant, with tax &amp; discount"),IF(OR(AE2126="me",AE2126="T2G"),CONCATENATE(" $",ROUND(AJ2126/G2126,2)," per plant, with tax &amp; discount"),CONCATENATE("= $",ROUND((K2126*(1-T2GDiscount))/G2126,2)," per plant + $",AC2126/G2126,(" per planting      ~ includes tax &amp; discounts ~")))))))</f>
        <v/>
      </c>
      <c r="AN2126" s="506"/>
      <c r="AO2126" s="507"/>
      <c r="AP2126" s="507"/>
      <c r="AQ2126" s="507"/>
      <c r="AR2126" s="507"/>
      <c r="AS2126" s="507"/>
      <c r="AT2126" s="507"/>
      <c r="AU2126" s="507"/>
      <c r="AV2126" s="225"/>
      <c r="AW2126" s="508"/>
      <c r="AX2126" s="225"/>
      <c r="AY2126" s="225"/>
      <c r="AZ2126" s="225"/>
      <c r="BA2126" s="225"/>
      <c r="BB2126" s="225"/>
      <c r="BC2126" s="56"/>
      <c r="BD2126" s="56"/>
      <c r="BE2126" s="56"/>
      <c r="BF2126" s="107" t="str">
        <f t="shared" ref="BF2126:BF2189" si="1666">"https://www.google.com/search?tbm=isch&amp;q=" &amp; _xlfn.ENCODEURL($A2126 &amp; " " &amp; $D2126)</f>
        <v>https://www.google.com/search?tbm=isch&amp;q=Krauter%20Vesuvius%20is%20the%20most%20colorful%20of%20plums%2C%20with%20a%20Dark%20Purple%20bloom-black%20summer%20foliage.%20May%20produce%20small%20fruit%20</v>
      </c>
      <c r="BG2126" s="107" t="str">
        <f t="shared" ref="BG2126:BG2189" si="1667">IF(ISTEXT(A2126),LEFT(A2126,1),BG2125)</f>
        <v>K</v>
      </c>
      <c r="BH2126" s="254"/>
      <c r="BI2126" s="254"/>
    </row>
    <row r="2127" spans="1:61" customFormat="1" ht="45.75" thickBot="1" x14ac:dyDescent="0.35">
      <c r="A2127" s="525" t="s">
        <v>1225</v>
      </c>
      <c r="B2127" s="248"/>
      <c r="C2127" s="678" t="s">
        <v>673</v>
      </c>
      <c r="D2127" s="249"/>
      <c r="E2127" s="249"/>
      <c r="F2127" s="249"/>
      <c r="G2127" s="249"/>
      <c r="H2127" s="250"/>
      <c r="I2127" s="249"/>
      <c r="J2127" s="249"/>
      <c r="K2127" s="526" t="s">
        <v>2840</v>
      </c>
      <c r="L2127" s="279"/>
      <c r="M2127" s="251"/>
      <c r="S2127" s="504" t="s">
        <v>2841</v>
      </c>
      <c r="T2127" s="508">
        <f t="shared" si="1655"/>
        <v>0</v>
      </c>
      <c r="U2127" s="225" t="str">
        <f>IF(NOT(ISNUMBER(G2127)), "", VLOOKUP(A2127,'Discount Lookup'!D:E,2,FALSE)*G2127)</f>
        <v/>
      </c>
      <c r="V2127" s="225" t="str">
        <f>IF(NOT(ISNUMBER(G2127)), "", VLOOKUP(A2127,'Discount Lookup'!G:H,2,FALSE)*G2127)</f>
        <v/>
      </c>
      <c r="W2127" s="508">
        <f t="shared" si="1656"/>
        <v>0</v>
      </c>
      <c r="X2127" s="508">
        <f t="shared" si="1657"/>
        <v>0</v>
      </c>
      <c r="Y2127" s="509" t="b">
        <f t="shared" si="1658"/>
        <v>0</v>
      </c>
      <c r="Z2127" s="510">
        <f t="shared" si="1659"/>
        <v>0</v>
      </c>
      <c r="AA2127" s="511"/>
      <c r="AB2127" s="511" t="str">
        <f t="shared" si="1660"/>
        <v/>
      </c>
      <c r="AC2127" s="698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698"/>
      <c r="AE2127" s="631" t="str">
        <f t="shared" si="1661"/>
        <v/>
      </c>
      <c r="AF2127" s="699" t="str">
        <f t="shared" si="1662"/>
        <v/>
      </c>
      <c r="AG2127" s="699"/>
      <c r="AH2127" s="699"/>
      <c r="AI2127" s="512">
        <f>IF(H2127="credit",0,IF(AE2127="free",0,IF(AE2127="me",0,IF(G2127&gt;0,(VLOOKUP(A2127,'Discount Lookup'!J:K,2)*G2127),0))))</f>
        <v>0</v>
      </c>
      <c r="AJ2127" s="513" t="str">
        <f t="shared" ca="1" si="1663"/>
        <v/>
      </c>
      <c r="AK2127" s="700" t="str">
        <f t="shared" si="1664"/>
        <v/>
      </c>
      <c r="AL2127" s="700"/>
      <c r="AM2127" s="505" t="str">
        <f t="shared" si="1665"/>
        <v/>
      </c>
      <c r="AN2127" s="506"/>
      <c r="AO2127" s="507"/>
      <c r="AP2127" s="507"/>
      <c r="AQ2127" s="507"/>
      <c r="AR2127" s="507"/>
      <c r="AS2127" s="507"/>
      <c r="AT2127" s="507"/>
      <c r="AU2127" s="507"/>
      <c r="AV2127" s="225"/>
      <c r="AW2127" s="508"/>
      <c r="AX2127" s="225"/>
      <c r="AY2127" s="225"/>
      <c r="AZ2127" s="225"/>
      <c r="BA2127" s="225"/>
      <c r="BB2127" s="225"/>
      <c r="BC2127" s="56"/>
      <c r="BD2127" s="56"/>
      <c r="BE2127" s="56"/>
      <c r="BF2127" s="107" t="str">
        <f t="shared" si="1666"/>
        <v>https://www.google.com/search?tbm=isch&amp;q=L%20</v>
      </c>
      <c r="BG2127" s="107" t="str">
        <f t="shared" si="1667"/>
        <v>L</v>
      </c>
      <c r="BH2127" s="254"/>
      <c r="BI2127" s="254"/>
    </row>
    <row r="2128" spans="1:61" customFormat="1" ht="18" x14ac:dyDescent="0.25">
      <c r="A2128" s="523" t="s">
        <v>5441</v>
      </c>
      <c r="B2128" s="235"/>
      <c r="C2128" s="676"/>
      <c r="D2128" s="255" t="s">
        <v>1227</v>
      </c>
      <c r="E2128" s="236"/>
      <c r="F2128" s="236"/>
      <c r="G2128" s="236"/>
      <c r="H2128" s="582" t="s">
        <v>474</v>
      </c>
      <c r="I2128" s="498" t="s">
        <v>3107</v>
      </c>
      <c r="J2128" s="237"/>
      <c r="K2128" s="237"/>
      <c r="L2128" s="274"/>
      <c r="M2128" s="670" t="s">
        <v>4973</v>
      </c>
      <c r="N2128" s="681" t="str">
        <f>IF(AND(ISTEXT($A2128), ISERROR($A2128+0)), HYPERLINK($BF2128, "Images"), "")</f>
        <v>Images</v>
      </c>
      <c r="O2128" s="663" t="s">
        <v>4974</v>
      </c>
      <c r="P2128" s="253"/>
      <c r="Q2128" s="238"/>
      <c r="R2128" s="239"/>
      <c r="S2128" s="275"/>
      <c r="T2128" s="508">
        <f t="shared" si="1655"/>
        <v>0</v>
      </c>
      <c r="U2128" s="225" t="str">
        <f>IF(NOT(ISNUMBER(G2128)), "", VLOOKUP(A2128,'Discount Lookup'!D:E,2,FALSE)*G2128)</f>
        <v/>
      </c>
      <c r="V2128" s="225" t="str">
        <f>IF(NOT(ISNUMBER(G2128)), "", VLOOKUP(A2128,'Discount Lookup'!G:H,2,FALSE)*G2128)</f>
        <v/>
      </c>
      <c r="W2128" s="508">
        <f t="shared" si="1656"/>
        <v>0</v>
      </c>
      <c r="X2128" s="508" t="str">
        <f t="shared" si="1657"/>
        <v>Pink to Violet to Blue bloom</v>
      </c>
      <c r="Y2128" s="509" t="b">
        <f t="shared" si="1658"/>
        <v>0</v>
      </c>
      <c r="Z2128" s="510">
        <f t="shared" si="1659"/>
        <v>0</v>
      </c>
      <c r="AA2128" s="511"/>
      <c r="AB2128" s="511" t="str">
        <f t="shared" si="1660"/>
        <v/>
      </c>
      <c r="AC2128" s="698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698"/>
      <c r="AE2128" s="631" t="str">
        <f t="shared" si="1661"/>
        <v/>
      </c>
      <c r="AF2128" s="699" t="str">
        <f t="shared" si="1662"/>
        <v/>
      </c>
      <c r="AG2128" s="699"/>
      <c r="AH2128" s="699"/>
      <c r="AI2128" s="512">
        <f>IF(H2128="credit",0,IF(AE2128="free",0,IF(AE2128="me",0,IF(G2128&gt;0,(VLOOKUP(A2128,'Discount Lookup'!J:K,2)*G2128),0))))</f>
        <v>0</v>
      </c>
      <c r="AJ2128" s="513" t="str">
        <f t="shared" ca="1" si="1663"/>
        <v/>
      </c>
      <c r="AK2128" s="700" t="str">
        <f t="shared" si="1664"/>
        <v/>
      </c>
      <c r="AL2128" s="700"/>
      <c r="AM2128" s="505" t="str">
        <f t="shared" si="1665"/>
        <v/>
      </c>
      <c r="AN2128" s="506"/>
      <c r="AO2128" s="507"/>
      <c r="AP2128" s="507"/>
      <c r="AQ2128" s="507"/>
      <c r="AR2128" s="507"/>
      <c r="AS2128" s="507"/>
      <c r="AT2128" s="507"/>
      <c r="AU2128" s="507"/>
      <c r="AV2128" s="225"/>
      <c r="AW2128" s="508"/>
      <c r="AX2128" s="225"/>
      <c r="AY2128" s="225"/>
      <c r="AZ2128" s="225"/>
      <c r="BA2128" s="225"/>
      <c r="BB2128" s="225"/>
      <c r="BC2128" s="56"/>
      <c r="BD2128" s="56"/>
      <c r="BE2128" s="56"/>
      <c r="BF2128" s="107" t="str">
        <f t="shared" si="1666"/>
        <v>https://www.google.com/search?tbm=isch&amp;q=L.A.%20Dreamin%27%C2%AE%20Bigleaf%20Hydrangea%20Hyd.%20macrophylla%20%27Lindsey%20Ann%27%20PP%2326249</v>
      </c>
      <c r="BG2128" s="107" t="str">
        <f t="shared" si="1667"/>
        <v>L</v>
      </c>
      <c r="BH2128" s="254"/>
      <c r="BI2128" s="254"/>
    </row>
    <row r="2129" spans="1:61" customFormat="1" ht="15.75" x14ac:dyDescent="0.25">
      <c r="A2129" s="276">
        <v>3</v>
      </c>
      <c r="B2129" s="240" t="s">
        <v>291</v>
      </c>
      <c r="C2129" s="241" t="s">
        <v>4758</v>
      </c>
      <c r="D2129" s="242" t="s">
        <v>312</v>
      </c>
      <c r="E2129" s="243">
        <v>34.950000000000003</v>
      </c>
      <c r="F2129" s="517" t="s">
        <v>293</v>
      </c>
      <c r="G2129" s="232">
        <v>0</v>
      </c>
      <c r="H2129" s="661" t="str">
        <f>IF(G2129=0,"",IF(F2129="Buy",IF(G2129=1,"plant","plants"),IF(F2129&gt;0.01,"warranty","Error")))</f>
        <v/>
      </c>
      <c r="I2129" s="244">
        <f>IF(H2129="free",0,IF(H2129="credit",((E2129*(F2129))*G2129*-1),IF(F2129="Buy",(E2129*G2129),((E2129*(1-F2129))*G2129))))</f>
        <v>0</v>
      </c>
      <c r="J2129" s="244">
        <f>IF(H2129="warranty",0,(I2129*(_xlfn.SINGLE(SalesTaxPercentage))))</f>
        <v>0</v>
      </c>
      <c r="K2129" s="696">
        <f t="shared" ref="K2129" si="1668">I2129+J2129</f>
        <v>0</v>
      </c>
      <c r="L2129" s="696"/>
      <c r="M2129" s="659" t="str">
        <f>IF(AND(G2129&gt;0,E2129=0),"WARNING - no PRICE inserted",IF(H2129="free"," FREE ~ no charge this plant",IF(H2129="credit",CONCATENATE(" -$",ROUND(K2129*(1-T2GDiscount)*-1,2)," CREDIT after discount"),IF(T2GDiscount=0,"",IF(G2129=0,"",IF(F2129="Buy",CONCATENATE(" $",ROUND(K2129*(1-T2GDiscount),2)," with ",(T2GDiscount*100),"% discount"),CONCATENATE(" $",ROUND(K2129*(1-T2GDiscount),2)," with ",((T2GDiscount*100+F2129*100)-(T2GDiscount*100*F2129)),IF(F2129&gt;0,"% discounts",IF(NoWarrantyDiscount&gt;0,"% discounts","% discount")))))))))</f>
        <v/>
      </c>
      <c r="N2129" s="660"/>
      <c r="O2129" s="233"/>
      <c r="P2129" s="233"/>
      <c r="Q2129" s="233"/>
      <c r="R2129" s="233"/>
      <c r="S2129" s="233"/>
      <c r="T2129" s="508">
        <f t="shared" si="1655"/>
        <v>0</v>
      </c>
      <c r="U2129" s="225">
        <f>IF(NOT(ISNUMBER(G2129)), "", VLOOKUP(A2129,'Discount Lookup'!D:E,2,FALSE)*G2129)</f>
        <v>0</v>
      </c>
      <c r="V2129" s="225">
        <f>IF(NOT(ISNUMBER(G2129)), "", VLOOKUP(A2129,'Discount Lookup'!G:H,2,FALSE)*G2129)</f>
        <v>0</v>
      </c>
      <c r="W2129" s="508">
        <f t="shared" si="1656"/>
        <v>0</v>
      </c>
      <c r="X2129" s="508">
        <f t="shared" si="1657"/>
        <v>0</v>
      </c>
      <c r="Y2129" s="509" t="b">
        <f t="shared" si="1658"/>
        <v>0</v>
      </c>
      <c r="Z2129" s="510">
        <f t="shared" si="1659"/>
        <v>0</v>
      </c>
      <c r="AA2129" s="511"/>
      <c r="AB2129" s="511" t="str">
        <f t="shared" si="1660"/>
        <v/>
      </c>
      <c r="AC2129" s="698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698"/>
      <c r="AE2129" s="631" t="str">
        <f t="shared" si="1661"/>
        <v/>
      </c>
      <c r="AF2129" s="699" t="str">
        <f t="shared" si="1662"/>
        <v/>
      </c>
      <c r="AG2129" s="699"/>
      <c r="AH2129" s="699"/>
      <c r="AI2129" s="512">
        <f>IF(H2129="credit",0,IF(AE2129="free",0,IF(AE2129="me",0,IF(G2129&gt;0,(VLOOKUP(A2129,'Discount Lookup'!J:K,2)*G2129),0))))</f>
        <v>0</v>
      </c>
      <c r="AJ2129" s="513" t="str">
        <f t="shared" ca="1" si="1663"/>
        <v/>
      </c>
      <c r="AK2129" s="700" t="str">
        <f t="shared" si="1664"/>
        <v/>
      </c>
      <c r="AL2129" s="700"/>
      <c r="AM2129" s="505" t="str">
        <f t="shared" si="1665"/>
        <v/>
      </c>
      <c r="AN2129" s="506"/>
      <c r="AO2129" s="507"/>
      <c r="AP2129" s="507"/>
      <c r="AQ2129" s="507"/>
      <c r="AR2129" s="507"/>
      <c r="AS2129" s="507"/>
      <c r="AT2129" s="507"/>
      <c r="AU2129" s="507"/>
      <c r="AV2129" s="225"/>
      <c r="AW2129" s="508"/>
      <c r="AX2129" s="225"/>
      <c r="AY2129" s="225"/>
      <c r="AZ2129" s="225"/>
      <c r="BA2129" s="225"/>
      <c r="BB2129" s="225"/>
      <c r="BC2129" s="56"/>
      <c r="BD2129" s="56"/>
      <c r="BE2129" s="56"/>
      <c r="BF2129" s="107" t="str">
        <f t="shared" si="1666"/>
        <v>https://www.google.com/search?tbm=isch&amp;q=3%20G2</v>
      </c>
      <c r="BG2129" s="107" t="str">
        <f t="shared" si="1667"/>
        <v>L</v>
      </c>
      <c r="BH2129" s="254"/>
      <c r="BI2129" s="254"/>
    </row>
    <row r="2130" spans="1:61" customFormat="1" ht="15.75" x14ac:dyDescent="0.25">
      <c r="A2130" s="276">
        <v>5</v>
      </c>
      <c r="B2130" s="240" t="s">
        <v>291</v>
      </c>
      <c r="C2130" s="241" t="s">
        <v>1228</v>
      </c>
      <c r="D2130" s="242" t="s">
        <v>300</v>
      </c>
      <c r="E2130" s="243">
        <v>62.95</v>
      </c>
      <c r="F2130" s="517" t="s">
        <v>293</v>
      </c>
      <c r="G2130" s="232">
        <v>0</v>
      </c>
      <c r="H2130" s="661" t="str">
        <f>IF(G2130=0,"",IF(F2130="Buy",IF(G2130=1,"plant","plants"),IF(F2130&gt;0.01,"warranty","Error")))</f>
        <v/>
      </c>
      <c r="I2130" s="244">
        <f>IF(H2130="free",0,IF(H2130="credit",((E2130*(F2130))*G2130*-1),IF(F2130="Buy",(E2130*G2130),((E2130*(1-F2130))*G2130))))</f>
        <v>0</v>
      </c>
      <c r="J2130" s="244">
        <f>IF(H2130="warranty",0,(I2130*(_xlfn.SINGLE(SalesTaxPercentage))))</f>
        <v>0</v>
      </c>
      <c r="K2130" s="696">
        <f t="shared" ref="K2130" si="1669">I2130+J2130</f>
        <v>0</v>
      </c>
      <c r="L2130" s="696"/>
      <c r="M2130" s="659" t="str">
        <f>IF(AND(G2130&gt;0,E2130=0),"WARNING - no PRICE inserted",IF(H2130="free"," FREE ~ no charge this plant",IF(H2130="credit",CONCATENATE(" -$",ROUND(K2130*(1-T2GDiscount)*-1,2)," CREDIT after discount"),IF(T2GDiscount=0,"",IF(G2130=0,"",IF(F2130="Buy",CONCATENATE(" $",ROUND(K2130*(1-T2GDiscount),2)," with ",(T2GDiscount*100),"% discount"),CONCATENATE(" $",ROUND(K2130*(1-T2GDiscount),2)," with ",((T2GDiscount*100+F2130*100)-(T2GDiscount*100*F2130)),IF(F2130&gt;0,"% discounts",IF(NoWarrantyDiscount&gt;0,"% discounts","% discount")))))))))</f>
        <v/>
      </c>
      <c r="N2130" s="660"/>
      <c r="O2130" s="233"/>
      <c r="P2130" s="233"/>
      <c r="Q2130" s="233"/>
      <c r="R2130" s="233"/>
      <c r="S2130" s="233"/>
      <c r="T2130" s="508">
        <f t="shared" si="1655"/>
        <v>0</v>
      </c>
      <c r="U2130" s="225">
        <f>IF(NOT(ISNUMBER(G2130)), "", VLOOKUP(A2130,'Discount Lookup'!D:E,2,FALSE)*G2130)</f>
        <v>0</v>
      </c>
      <c r="V2130" s="225">
        <f>IF(NOT(ISNUMBER(G2130)), "", VLOOKUP(A2130,'Discount Lookup'!G:H,2,FALSE)*G2130)</f>
        <v>0</v>
      </c>
      <c r="W2130" s="508">
        <f t="shared" si="1656"/>
        <v>0</v>
      </c>
      <c r="X2130" s="508">
        <f t="shared" si="1657"/>
        <v>0</v>
      </c>
      <c r="Y2130" s="509" t="b">
        <f t="shared" si="1658"/>
        <v>0</v>
      </c>
      <c r="Z2130" s="510">
        <f t="shared" si="1659"/>
        <v>0</v>
      </c>
      <c r="AA2130" s="511"/>
      <c r="AB2130" s="511" t="str">
        <f t="shared" si="1660"/>
        <v/>
      </c>
      <c r="AC2130" s="698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698"/>
      <c r="AE2130" s="631" t="str">
        <f t="shared" si="1661"/>
        <v/>
      </c>
      <c r="AF2130" s="699" t="str">
        <f t="shared" si="1662"/>
        <v/>
      </c>
      <c r="AG2130" s="699"/>
      <c r="AH2130" s="699"/>
      <c r="AI2130" s="512">
        <f>IF(H2130="credit",0,IF(AE2130="free",0,IF(AE2130="me",0,IF(G2130&gt;0,(VLOOKUP(A2130,'Discount Lookup'!J:K,2)*G2130),0))))</f>
        <v>0</v>
      </c>
      <c r="AJ2130" s="513" t="str">
        <f t="shared" ca="1" si="1663"/>
        <v/>
      </c>
      <c r="AK2130" s="700" t="str">
        <f t="shared" si="1664"/>
        <v/>
      </c>
      <c r="AL2130" s="700"/>
      <c r="AM2130" s="505" t="str">
        <f t="shared" si="1665"/>
        <v/>
      </c>
      <c r="AN2130" s="506"/>
      <c r="AO2130" s="507"/>
      <c r="AP2130" s="507"/>
      <c r="AQ2130" s="507"/>
      <c r="AR2130" s="507"/>
      <c r="AS2130" s="507"/>
      <c r="AT2130" s="507"/>
      <c r="AU2130" s="507"/>
      <c r="AV2130" s="225"/>
      <c r="AW2130" s="508"/>
      <c r="AX2130" s="225"/>
      <c r="AY2130" s="225"/>
      <c r="AZ2130" s="225"/>
      <c r="BA2130" s="225"/>
      <c r="BB2130" s="225"/>
      <c r="BC2130" s="56"/>
      <c r="BD2130" s="56"/>
      <c r="BE2130" s="56"/>
      <c r="BF2130" s="107" t="str">
        <f t="shared" si="1666"/>
        <v>https://www.google.com/search?tbm=isch&amp;q=5%20G6</v>
      </c>
      <c r="BG2130" s="107" t="str">
        <f t="shared" si="1667"/>
        <v>L</v>
      </c>
      <c r="BH2130" s="254"/>
      <c r="BI2130" s="254"/>
    </row>
    <row r="2131" spans="1:61" customFormat="1" ht="15.75" x14ac:dyDescent="0.25">
      <c r="A2131" s="276">
        <v>10</v>
      </c>
      <c r="B2131" s="240" t="s">
        <v>291</v>
      </c>
      <c r="C2131" s="241" t="s">
        <v>1253</v>
      </c>
      <c r="D2131" s="242" t="s">
        <v>300</v>
      </c>
      <c r="E2131" s="243">
        <v>166.95</v>
      </c>
      <c r="F2131" s="517" t="s">
        <v>293</v>
      </c>
      <c r="G2131" s="232">
        <v>0</v>
      </c>
      <c r="H2131" s="661" t="str">
        <f>IF(G2131=0,"",IF(F2131="Buy",IF(G2131=1,"plant","plants"),IF(F2131&gt;0.01,"warranty","Error")))</f>
        <v/>
      </c>
      <c r="I2131" s="244">
        <f>IF(H2131="free",0,IF(H2131="credit",((E2131*(F2131))*G2131*-1),IF(F2131="Buy",(E2131*G2131),((E2131*(1-F2131))*G2131))))</f>
        <v>0</v>
      </c>
      <c r="J2131" s="244">
        <f>IF(H2131="warranty",0,(I2131*(_xlfn.SINGLE(SalesTaxPercentage))))</f>
        <v>0</v>
      </c>
      <c r="K2131" s="696">
        <f t="shared" ref="K2131" si="1670">I2131+J2131</f>
        <v>0</v>
      </c>
      <c r="L2131" s="696"/>
      <c r="M2131" s="659" t="str">
        <f>IF(AND(G2131&gt;0,E2131=0),"WARNING - no PRICE inserted",IF(H2131="free"," FREE ~ no charge this plant",IF(H2131="credit",CONCATENATE(" -$",ROUND(K2131*(1-T2GDiscount)*-1,2)," CREDIT after discount"),IF(T2GDiscount=0,"",IF(G2131=0,"",IF(F2131="Buy",CONCATENATE(" $",ROUND(K2131*(1-T2GDiscount),2)," with ",(T2GDiscount*100),"% discount"),CONCATENATE(" $",ROUND(K2131*(1-T2GDiscount),2)," with ",((T2GDiscount*100+F2131*100)-(T2GDiscount*100*F2131)),IF(F2131&gt;0,"% discounts",IF(NoWarrantyDiscount&gt;0,"% discounts","% discount")))))))))</f>
        <v/>
      </c>
      <c r="N2131" s="660"/>
      <c r="O2131" s="233"/>
      <c r="P2131" s="233"/>
      <c r="Q2131" s="233"/>
      <c r="R2131" s="233"/>
      <c r="S2131" s="233"/>
      <c r="T2131" s="508">
        <f t="shared" si="1655"/>
        <v>0</v>
      </c>
      <c r="U2131" s="225">
        <f>IF(NOT(ISNUMBER(G2131)), "", VLOOKUP(A2131,'Discount Lookup'!D:E,2,FALSE)*G2131)</f>
        <v>0</v>
      </c>
      <c r="V2131" s="225">
        <f>IF(NOT(ISNUMBER(G2131)), "", VLOOKUP(A2131,'Discount Lookup'!G:H,2,FALSE)*G2131)</f>
        <v>0</v>
      </c>
      <c r="W2131" s="508">
        <f t="shared" si="1656"/>
        <v>0</v>
      </c>
      <c r="X2131" s="508">
        <f t="shared" si="1657"/>
        <v>0</v>
      </c>
      <c r="Y2131" s="509" t="b">
        <f t="shared" si="1658"/>
        <v>0</v>
      </c>
      <c r="Z2131" s="510">
        <f t="shared" si="1659"/>
        <v>0</v>
      </c>
      <c r="AA2131" s="511"/>
      <c r="AB2131" s="511" t="str">
        <f t="shared" si="1660"/>
        <v/>
      </c>
      <c r="AC2131" s="698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698"/>
      <c r="AE2131" s="631" t="str">
        <f t="shared" si="1661"/>
        <v/>
      </c>
      <c r="AF2131" s="699" t="str">
        <f t="shared" si="1662"/>
        <v/>
      </c>
      <c r="AG2131" s="699"/>
      <c r="AH2131" s="699"/>
      <c r="AI2131" s="512">
        <f>IF(H2131="credit",0,IF(AE2131="free",0,IF(AE2131="me",0,IF(G2131&gt;0,(VLOOKUP(A2131,'Discount Lookup'!J:K,2)*G2131),0))))</f>
        <v>0</v>
      </c>
      <c r="AJ2131" s="513" t="str">
        <f t="shared" ca="1" si="1663"/>
        <v/>
      </c>
      <c r="AK2131" s="700" t="str">
        <f t="shared" si="1664"/>
        <v/>
      </c>
      <c r="AL2131" s="700"/>
      <c r="AM2131" s="505" t="str">
        <f t="shared" si="1665"/>
        <v/>
      </c>
      <c r="AN2131" s="506"/>
      <c r="AO2131" s="507"/>
      <c r="AP2131" s="507"/>
      <c r="AQ2131" s="507"/>
      <c r="AR2131" s="507"/>
      <c r="AS2131" s="507"/>
      <c r="AT2131" s="507"/>
      <c r="AU2131" s="507"/>
      <c r="AV2131" s="225"/>
      <c r="AW2131" s="508"/>
      <c r="AX2131" s="225"/>
      <c r="AY2131" s="225"/>
      <c r="AZ2131" s="225"/>
      <c r="BA2131" s="225"/>
      <c r="BB2131" s="225"/>
      <c r="BC2131" s="56"/>
      <c r="BD2131" s="56"/>
      <c r="BE2131" s="56"/>
      <c r="BF2131" s="107" t="str">
        <f t="shared" si="1666"/>
        <v>https://www.google.com/search?tbm=isch&amp;q=10%20G6</v>
      </c>
      <c r="BG2131" s="107" t="str">
        <f t="shared" si="1667"/>
        <v>L</v>
      </c>
      <c r="BH2131" s="254"/>
      <c r="BI2131" s="254"/>
    </row>
    <row r="2132" spans="1:61" customFormat="1" ht="17.25" thickBot="1" x14ac:dyDescent="0.3">
      <c r="A2132" s="673" t="s">
        <v>5158</v>
      </c>
      <c r="B2132" s="245"/>
      <c r="C2132" s="677"/>
      <c r="D2132" s="499"/>
      <c r="E2132" s="499"/>
      <c r="F2132" s="500"/>
      <c r="G2132" s="501"/>
      <c r="H2132" s="502"/>
      <c r="I2132" s="246"/>
      <c r="J2132" s="247"/>
      <c r="K2132" s="503"/>
      <c r="L2132" s="544"/>
      <c r="M2132" s="544"/>
      <c r="N2132" s="500"/>
      <c r="O2132" s="500"/>
      <c r="P2132" s="500"/>
      <c r="Q2132" s="500"/>
      <c r="R2132" s="500"/>
      <c r="S2132" s="278"/>
      <c r="T2132" s="508">
        <f t="shared" si="1655"/>
        <v>0</v>
      </c>
      <c r="U2132" s="225" t="str">
        <f>IF(NOT(ISNUMBER(G2132)), "", VLOOKUP(A2132,'Discount Lookup'!D:E,2,FALSE)*G2132)</f>
        <v/>
      </c>
      <c r="V2132" s="225" t="str">
        <f>IF(NOT(ISNUMBER(G2132)), "", VLOOKUP(A2132,'Discount Lookup'!G:H,2,FALSE)*G2132)</f>
        <v/>
      </c>
      <c r="W2132" s="508">
        <f t="shared" si="1656"/>
        <v>0</v>
      </c>
      <c r="X2132" s="508">
        <f t="shared" si="1657"/>
        <v>0</v>
      </c>
      <c r="Y2132" s="509" t="b">
        <f t="shared" si="1658"/>
        <v>0</v>
      </c>
      <c r="Z2132" s="510">
        <f t="shared" si="1659"/>
        <v>0</v>
      </c>
      <c r="AA2132" s="511"/>
      <c r="AB2132" s="511" t="str">
        <f t="shared" si="1660"/>
        <v/>
      </c>
      <c r="AC2132" s="698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698"/>
      <c r="AE2132" s="631" t="str">
        <f t="shared" si="1661"/>
        <v/>
      </c>
      <c r="AF2132" s="699" t="str">
        <f t="shared" si="1662"/>
        <v/>
      </c>
      <c r="AG2132" s="699"/>
      <c r="AH2132" s="699"/>
      <c r="AI2132" s="512">
        <f>IF(H2132="credit",0,IF(AE2132="free",0,IF(AE2132="me",0,IF(G2132&gt;0,(VLOOKUP(A2132,'Discount Lookup'!J:K,2)*G2132),0))))</f>
        <v>0</v>
      </c>
      <c r="AJ2132" s="513" t="str">
        <f t="shared" ca="1" si="1663"/>
        <v/>
      </c>
      <c r="AK2132" s="700" t="str">
        <f t="shared" si="1664"/>
        <v/>
      </c>
      <c r="AL2132" s="700"/>
      <c r="AM2132" s="505" t="str">
        <f t="shared" si="1665"/>
        <v/>
      </c>
      <c r="AN2132" s="506"/>
      <c r="AO2132" s="507"/>
      <c r="AP2132" s="507"/>
      <c r="AQ2132" s="507"/>
      <c r="AR2132" s="507"/>
      <c r="AS2132" s="507"/>
      <c r="AT2132" s="507"/>
      <c r="AU2132" s="507"/>
      <c r="AV2132" s="225"/>
      <c r="AW2132" s="508"/>
      <c r="AX2132" s="225"/>
      <c r="AY2132" s="225"/>
      <c r="AZ2132" s="225"/>
      <c r="BA2132" s="225"/>
      <c r="BB2132" s="225"/>
      <c r="BC2132" s="56"/>
      <c r="BD2132" s="56"/>
      <c r="BE2132" s="56"/>
      <c r="BF2132" s="107" t="str">
        <f t="shared" si="1666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132" s="107" t="str">
        <f t="shared" si="1667"/>
        <v>m</v>
      </c>
      <c r="BH2132" s="254"/>
      <c r="BI2132" s="254"/>
    </row>
    <row r="2133" spans="1:61" customFormat="1" ht="18" x14ac:dyDescent="0.25">
      <c r="A2133" s="523" t="s">
        <v>1229</v>
      </c>
      <c r="B2133" s="235"/>
      <c r="C2133" s="676"/>
      <c r="D2133" s="255" t="s">
        <v>1230</v>
      </c>
      <c r="E2133" s="236"/>
      <c r="F2133" s="236"/>
      <c r="G2133" s="236"/>
      <c r="H2133" s="582" t="s">
        <v>1231</v>
      </c>
      <c r="I2133" s="498" t="s">
        <v>2093</v>
      </c>
      <c r="J2133" s="237"/>
      <c r="K2133" s="237"/>
      <c r="L2133" s="274"/>
      <c r="M2133" s="668" t="s">
        <v>4962</v>
      </c>
      <c r="N2133" s="681" t="str">
        <f>IF(AND(ISTEXT($A2133), ISERROR($A2133+0)), HYPERLINK($BF2133, "Images"), "")</f>
        <v>Images</v>
      </c>
      <c r="O2133" s="663" t="s">
        <v>4967</v>
      </c>
      <c r="P2133" s="253"/>
      <c r="Q2133" s="238"/>
      <c r="R2133" s="239"/>
      <c r="S2133" s="275" t="s">
        <v>305</v>
      </c>
      <c r="T2133" s="508">
        <f t="shared" si="1655"/>
        <v>0</v>
      </c>
      <c r="U2133" s="225" t="str">
        <f>IF(NOT(ISNUMBER(G2133)), "", VLOOKUP(A2133,'Discount Lookup'!D:E,2,FALSE)*G2133)</f>
        <v/>
      </c>
      <c r="V2133" s="225" t="str">
        <f>IF(NOT(ISNUMBER(G2133)), "", VLOOKUP(A2133,'Discount Lookup'!G:H,2,FALSE)*G2133)</f>
        <v/>
      </c>
      <c r="W2133" s="508">
        <f t="shared" si="1656"/>
        <v>0</v>
      </c>
      <c r="X2133" s="508" t="str">
        <f t="shared" si="1657"/>
        <v>Dark Green foliage</v>
      </c>
      <c r="Y2133" s="509" t="b">
        <f t="shared" si="1658"/>
        <v>0</v>
      </c>
      <c r="Z2133" s="510">
        <f t="shared" si="1659"/>
        <v>0</v>
      </c>
      <c r="AA2133" s="511"/>
      <c r="AB2133" s="511" t="str">
        <f t="shared" si="1660"/>
        <v/>
      </c>
      <c r="AC2133" s="698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698"/>
      <c r="AE2133" s="631" t="str">
        <f t="shared" si="1661"/>
        <v/>
      </c>
      <c r="AF2133" s="699" t="str">
        <f t="shared" si="1662"/>
        <v/>
      </c>
      <c r="AG2133" s="699"/>
      <c r="AH2133" s="699"/>
      <c r="AI2133" s="512">
        <f>IF(H2133="credit",0,IF(AE2133="free",0,IF(AE2133="me",0,IF(G2133&gt;0,(VLOOKUP(A2133,'Discount Lookup'!J:K,2)*G2133),0))))</f>
        <v>0</v>
      </c>
      <c r="AJ2133" s="513" t="str">
        <f t="shared" ca="1" si="1663"/>
        <v/>
      </c>
      <c r="AK2133" s="700" t="str">
        <f t="shared" si="1664"/>
        <v/>
      </c>
      <c r="AL2133" s="700"/>
      <c r="AM2133" s="505" t="str">
        <f t="shared" si="1665"/>
        <v/>
      </c>
      <c r="AN2133" s="506"/>
      <c r="AO2133" s="507"/>
      <c r="AP2133" s="507"/>
      <c r="AQ2133" s="507"/>
      <c r="AR2133" s="507"/>
      <c r="AS2133" s="507"/>
      <c r="AT2133" s="507"/>
      <c r="AU2133" s="507"/>
      <c r="AV2133" s="225"/>
      <c r="AW2133" s="508"/>
      <c r="AX2133" s="225"/>
      <c r="AY2133" s="225"/>
      <c r="AZ2133" s="225"/>
      <c r="BA2133" s="225"/>
      <c r="BB2133" s="225"/>
      <c r="BC2133" s="56"/>
      <c r="BD2133" s="56"/>
      <c r="BE2133" s="56"/>
      <c r="BF2133" s="107" t="str">
        <f t="shared" si="1666"/>
        <v>https://www.google.com/search?tbm=isch&amp;q=Lace%20Parasol%20Winged%20Elm%20Ulmus%20alata%20%27Lace%20Parasol%27</v>
      </c>
      <c r="BG2133" s="107" t="str">
        <f t="shared" si="1667"/>
        <v>L</v>
      </c>
      <c r="BH2133" s="254"/>
      <c r="BI2133" s="254"/>
    </row>
    <row r="2134" spans="1:61" customFormat="1" ht="27" x14ac:dyDescent="0.25">
      <c r="A2134" s="276">
        <v>65</v>
      </c>
      <c r="B2134" s="240" t="s">
        <v>291</v>
      </c>
      <c r="C2134" s="241" t="s">
        <v>3602</v>
      </c>
      <c r="D2134" s="242" t="s">
        <v>292</v>
      </c>
      <c r="E2134" s="243">
        <v>1169.95</v>
      </c>
      <c r="F2134" s="517" t="s">
        <v>293</v>
      </c>
      <c r="G2134" s="232">
        <v>0</v>
      </c>
      <c r="H2134" s="661" t="str">
        <f>IF(G2134=0,"",IF(F2134="Buy",IF(G2134=1,"plant","plants"),IF(F2134&gt;0.01,"warranty","Error")))</f>
        <v/>
      </c>
      <c r="I2134" s="244">
        <f>IF(H2134="free",0,IF(H2134="credit",((E2134*(F2134))*G2134*-1),IF(F2134="Buy",(E2134*G2134),((E2134*(1-F2134))*G2134))))</f>
        <v>0</v>
      </c>
      <c r="J2134" s="244">
        <f>IF(H2134="warranty",0,(I2134*(_xlfn.SINGLE(SalesTaxPercentage))))</f>
        <v>0</v>
      </c>
      <c r="K2134" s="696">
        <f t="shared" ref="K2134" si="1671">I2134+J2134</f>
        <v>0</v>
      </c>
      <c r="L2134" s="696"/>
      <c r="M2134" s="659" t="str">
        <f>IF(AND(G2134&gt;0,E2134=0),"WARNING - no PRICE inserted",IF(H2134="free"," FREE ~ no charge this plant",IF(H2134="credit",CONCATENATE(" -$",ROUND(K2134*(1-T2GDiscount)*-1,2)," CREDIT after discount"),IF(T2GDiscount=0,"",IF(G2134=0,"",IF(F2134="Buy",CONCATENATE(" $",ROUND(K2134*(1-T2GDiscount),2)," with ",(T2GDiscount*100),"% discount"),CONCATENATE(" $",ROUND(K2134*(1-T2GDiscount),2)," with ",((T2GDiscount*100+F2134*100)-(T2GDiscount*100*F2134)),IF(F2134&gt;0,"% discounts",IF(NoWarrantyDiscount&gt;0,"% discounts","% discount")))))))))</f>
        <v/>
      </c>
      <c r="N2134" s="660"/>
      <c r="O2134" s="233"/>
      <c r="P2134" s="233"/>
      <c r="Q2134" s="233"/>
      <c r="R2134" s="233"/>
      <c r="S2134" s="233"/>
      <c r="T2134" s="508">
        <f t="shared" si="1655"/>
        <v>0</v>
      </c>
      <c r="U2134" s="225">
        <f>IF(NOT(ISNUMBER(G2134)), "", VLOOKUP(A2134,'Discount Lookup'!D:E,2,FALSE)*G2134)</f>
        <v>0</v>
      </c>
      <c r="V2134" s="225">
        <f>IF(NOT(ISNUMBER(G2134)), "", VLOOKUP(A2134,'Discount Lookup'!G:H,2,FALSE)*G2134)</f>
        <v>0</v>
      </c>
      <c r="W2134" s="508">
        <f t="shared" si="1656"/>
        <v>0</v>
      </c>
      <c r="X2134" s="508">
        <f t="shared" si="1657"/>
        <v>0</v>
      </c>
      <c r="Y2134" s="509" t="b">
        <f t="shared" si="1658"/>
        <v>0</v>
      </c>
      <c r="Z2134" s="510">
        <f t="shared" si="1659"/>
        <v>0</v>
      </c>
      <c r="AA2134" s="511"/>
      <c r="AB2134" s="511" t="str">
        <f t="shared" si="1660"/>
        <v/>
      </c>
      <c r="AC2134" s="698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698"/>
      <c r="AE2134" s="631" t="str">
        <f t="shared" si="1661"/>
        <v/>
      </c>
      <c r="AF2134" s="699" t="str">
        <f t="shared" si="1662"/>
        <v/>
      </c>
      <c r="AG2134" s="699"/>
      <c r="AH2134" s="699"/>
      <c r="AI2134" s="512">
        <f>IF(H2134="credit",0,IF(AE2134="free",0,IF(AE2134="me",0,IF(G2134&gt;0,(VLOOKUP(A2134,'Discount Lookup'!J:K,2)*G2134),0))))</f>
        <v>0</v>
      </c>
      <c r="AJ2134" s="513" t="str">
        <f t="shared" ca="1" si="1663"/>
        <v/>
      </c>
      <c r="AK2134" s="700" t="str">
        <f t="shared" si="1664"/>
        <v/>
      </c>
      <c r="AL2134" s="700"/>
      <c r="AM2134" s="505" t="str">
        <f t="shared" si="1665"/>
        <v/>
      </c>
      <c r="AN2134" s="506"/>
      <c r="AO2134" s="507"/>
      <c r="AP2134" s="507"/>
      <c r="AQ2134" s="507"/>
      <c r="AR2134" s="507"/>
      <c r="AS2134" s="507"/>
      <c r="AT2134" s="507"/>
      <c r="AU2134" s="507"/>
      <c r="AV2134" s="225"/>
      <c r="AW2134" s="508"/>
      <c r="AX2134" s="225"/>
      <c r="AY2134" s="225"/>
      <c r="AZ2134" s="225"/>
      <c r="BA2134" s="225"/>
      <c r="BB2134" s="225"/>
      <c r="BC2134" s="56"/>
      <c r="BD2134" s="56"/>
      <c r="BE2134" s="56"/>
      <c r="BF2134" s="107" t="str">
        <f t="shared" si="1666"/>
        <v>https://www.google.com/search?tbm=isch&amp;q=65%20G4</v>
      </c>
      <c r="BG2134" s="107" t="str">
        <f t="shared" si="1667"/>
        <v>L</v>
      </c>
      <c r="BH2134" s="254"/>
      <c r="BI2134" s="254"/>
    </row>
    <row r="2135" spans="1:61" customFormat="1" ht="17.25" thickBot="1" x14ac:dyDescent="0.3">
      <c r="A2135" s="524" t="s">
        <v>2425</v>
      </c>
      <c r="B2135" s="245"/>
      <c r="C2135" s="677"/>
      <c r="D2135" s="499"/>
      <c r="E2135" s="499"/>
      <c r="F2135" s="500"/>
      <c r="G2135" s="501"/>
      <c r="H2135" s="502"/>
      <c r="I2135" s="246"/>
      <c r="J2135" s="247"/>
      <c r="K2135" s="503"/>
      <c r="L2135" s="544"/>
      <c r="M2135" s="544"/>
      <c r="N2135" s="500"/>
      <c r="O2135" s="500"/>
      <c r="P2135" s="500"/>
      <c r="Q2135" s="500"/>
      <c r="R2135" s="500"/>
      <c r="S2135" s="669" t="s">
        <v>4996</v>
      </c>
      <c r="T2135" s="508">
        <f t="shared" si="1655"/>
        <v>0</v>
      </c>
      <c r="U2135" s="225" t="str">
        <f>IF(NOT(ISNUMBER(G2135)), "", VLOOKUP(A2135,'Discount Lookup'!D:E,2,FALSE)*G2135)</f>
        <v/>
      </c>
      <c r="V2135" s="225" t="str">
        <f>IF(NOT(ISNUMBER(G2135)), "", VLOOKUP(A2135,'Discount Lookup'!G:H,2,FALSE)*G2135)</f>
        <v/>
      </c>
      <c r="W2135" s="508">
        <f t="shared" si="1656"/>
        <v>0</v>
      </c>
      <c r="X2135" s="508">
        <f t="shared" si="1657"/>
        <v>0</v>
      </c>
      <c r="Y2135" s="509" t="b">
        <f t="shared" si="1658"/>
        <v>0</v>
      </c>
      <c r="Z2135" s="510">
        <f t="shared" si="1659"/>
        <v>0</v>
      </c>
      <c r="AA2135" s="511"/>
      <c r="AB2135" s="511" t="str">
        <f t="shared" si="1660"/>
        <v/>
      </c>
      <c r="AC2135" s="698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698"/>
      <c r="AE2135" s="631" t="str">
        <f t="shared" si="1661"/>
        <v/>
      </c>
      <c r="AF2135" s="699" t="str">
        <f t="shared" si="1662"/>
        <v/>
      </c>
      <c r="AG2135" s="699"/>
      <c r="AH2135" s="699"/>
      <c r="AI2135" s="512">
        <f>IF(H2135="credit",0,IF(AE2135="free",0,IF(AE2135="me",0,IF(G2135&gt;0,(VLOOKUP(A2135,'Discount Lookup'!J:K,2)*G2135),0))))</f>
        <v>0</v>
      </c>
      <c r="AJ2135" s="513" t="str">
        <f t="shared" ca="1" si="1663"/>
        <v/>
      </c>
      <c r="AK2135" s="700" t="str">
        <f t="shared" si="1664"/>
        <v/>
      </c>
      <c r="AL2135" s="700"/>
      <c r="AM2135" s="505" t="str">
        <f t="shared" si="1665"/>
        <v/>
      </c>
      <c r="AN2135" s="506"/>
      <c r="AO2135" s="507"/>
      <c r="AP2135" s="507"/>
      <c r="AQ2135" s="507"/>
      <c r="AR2135" s="507"/>
      <c r="AS2135" s="507"/>
      <c r="AT2135" s="507"/>
      <c r="AU2135" s="507"/>
      <c r="AV2135" s="225"/>
      <c r="AW2135" s="508"/>
      <c r="AX2135" s="225"/>
      <c r="AY2135" s="225"/>
      <c r="AZ2135" s="225"/>
      <c r="BA2135" s="225"/>
      <c r="BB2135" s="225"/>
      <c r="BC2135" s="56"/>
      <c r="BD2135" s="56"/>
      <c r="BE2135" s="56"/>
      <c r="BF2135" s="107" t="str">
        <f t="shared" si="1666"/>
        <v>https://www.google.com/search?tbm=isch&amp;q=Original%20Lace%20Parasol%20moved%20to%20JC%20Raulston%20Arboretum.%20Dramatic%20look%2C%20even%20in%20winter%2C%20with%20winged%20bark.%20Vivid%20Yellow%20fall%20foliage%20</v>
      </c>
      <c r="BG2135" s="107" t="str">
        <f t="shared" si="1667"/>
        <v>O</v>
      </c>
      <c r="BH2135" s="254"/>
      <c r="BI2135" s="254"/>
    </row>
    <row r="2136" spans="1:61" customFormat="1" ht="18" x14ac:dyDescent="0.25">
      <c r="A2136" s="523" t="s">
        <v>1232</v>
      </c>
      <c r="B2136" s="235"/>
      <c r="C2136" s="676"/>
      <c r="D2136" s="255" t="s">
        <v>1233</v>
      </c>
      <c r="E2136" s="236"/>
      <c r="F2136" s="236"/>
      <c r="G2136" s="236"/>
      <c r="H2136" s="582" t="s">
        <v>833</v>
      </c>
      <c r="I2136" s="498" t="s">
        <v>665</v>
      </c>
      <c r="J2136" s="237"/>
      <c r="K2136" s="237"/>
      <c r="L2136" s="274"/>
      <c r="M2136" s="668" t="s">
        <v>4962</v>
      </c>
      <c r="N2136" s="681" t="str">
        <f>IF(AND(ISTEXT($A2136), ISERROR($A2136+0)), HYPERLINK($BF2136, "Images"), "")</f>
        <v>Images</v>
      </c>
      <c r="O2136" s="663" t="s">
        <v>4974</v>
      </c>
      <c r="P2136" s="253"/>
      <c r="Q2136" s="238"/>
      <c r="R2136" s="239"/>
      <c r="S2136" s="275"/>
      <c r="T2136" s="508">
        <f t="shared" si="1655"/>
        <v>0</v>
      </c>
      <c r="U2136" s="225" t="str">
        <f>IF(NOT(ISNUMBER(G2136)), "", VLOOKUP(A2136,'Discount Lookup'!D:E,2,FALSE)*G2136)</f>
        <v/>
      </c>
      <c r="V2136" s="225" t="str">
        <f>IF(NOT(ISNUMBER(G2136)), "", VLOOKUP(A2136,'Discount Lookup'!G:H,2,FALSE)*G2136)</f>
        <v/>
      </c>
      <c r="W2136" s="508">
        <f t="shared" si="1656"/>
        <v>0</v>
      </c>
      <c r="X2136" s="508" t="str">
        <f t="shared" si="1657"/>
        <v>Yellow bloom</v>
      </c>
      <c r="Y2136" s="509" t="b">
        <f t="shared" si="1658"/>
        <v>0</v>
      </c>
      <c r="Z2136" s="510">
        <f t="shared" si="1659"/>
        <v>0</v>
      </c>
      <c r="AA2136" s="511"/>
      <c r="AB2136" s="511" t="str">
        <f t="shared" si="1660"/>
        <v/>
      </c>
      <c r="AC2136" s="698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698"/>
      <c r="AE2136" s="631" t="str">
        <f t="shared" si="1661"/>
        <v/>
      </c>
      <c r="AF2136" s="699" t="str">
        <f t="shared" si="1662"/>
        <v/>
      </c>
      <c r="AG2136" s="699"/>
      <c r="AH2136" s="699"/>
      <c r="AI2136" s="512">
        <f>IF(H2136="credit",0,IF(AE2136="free",0,IF(AE2136="me",0,IF(G2136&gt;0,(VLOOKUP(A2136,'Discount Lookup'!J:K,2)*G2136),0))))</f>
        <v>0</v>
      </c>
      <c r="AJ2136" s="513" t="str">
        <f t="shared" ca="1" si="1663"/>
        <v/>
      </c>
      <c r="AK2136" s="700" t="str">
        <f t="shared" si="1664"/>
        <v/>
      </c>
      <c r="AL2136" s="700"/>
      <c r="AM2136" s="505" t="str">
        <f t="shared" si="1665"/>
        <v/>
      </c>
      <c r="AN2136" s="506"/>
      <c r="AO2136" s="507"/>
      <c r="AP2136" s="507"/>
      <c r="AQ2136" s="507"/>
      <c r="AR2136" s="507"/>
      <c r="AS2136" s="507"/>
      <c r="AT2136" s="507"/>
      <c r="AU2136" s="507"/>
      <c r="AV2136" s="225"/>
      <c r="AW2136" s="508"/>
      <c r="AX2136" s="225"/>
      <c r="AY2136" s="225"/>
      <c r="AZ2136" s="225"/>
      <c r="BA2136" s="225"/>
      <c r="BB2136" s="225"/>
      <c r="BC2136" s="56"/>
      <c r="BD2136" s="56"/>
      <c r="BE2136" s="56"/>
      <c r="BF2136" s="107" t="str">
        <f t="shared" si="1666"/>
        <v>https://www.google.com/search?tbm=isch&amp;q=Lady%20Banks%20Climbing%20Rose%20Rosa%20banksiae%20%27Lutea%27</v>
      </c>
      <c r="BG2136" s="107" t="str">
        <f t="shared" si="1667"/>
        <v>L</v>
      </c>
      <c r="BH2136" s="254"/>
      <c r="BI2136" s="254"/>
    </row>
    <row r="2137" spans="1:61" customFormat="1" ht="15.75" x14ac:dyDescent="0.25">
      <c r="A2137" s="276">
        <v>3</v>
      </c>
      <c r="B2137" s="240" t="s">
        <v>291</v>
      </c>
      <c r="C2137" s="241"/>
      <c r="D2137" s="242" t="s">
        <v>298</v>
      </c>
      <c r="E2137" s="243">
        <v>30.95</v>
      </c>
      <c r="F2137" s="517" t="s">
        <v>293</v>
      </c>
      <c r="G2137" s="232">
        <v>0</v>
      </c>
      <c r="H2137" s="661" t="str">
        <f>IF(G2137=0,"",IF(F2137="Buy",IF(G2137=1,"plant","plants"),IF(F2137&gt;0.01,"warranty","Error")))</f>
        <v/>
      </c>
      <c r="I2137" s="244">
        <f>IF(H2137="free",0,IF(H2137="credit",((E2137*(F2137))*G2137*-1),IF(F2137="Buy",(E2137*G2137),((E2137*(1-F2137))*G2137))))</f>
        <v>0</v>
      </c>
      <c r="J2137" s="244">
        <f>IF(H2137="warranty",0,(I2137*(_xlfn.SINGLE(SalesTaxPercentage))))</f>
        <v>0</v>
      </c>
      <c r="K2137" s="696">
        <f t="shared" ref="K2137" si="1672">I2137+J2137</f>
        <v>0</v>
      </c>
      <c r="L2137" s="696"/>
      <c r="M2137" s="659" t="str">
        <f>IF(AND(G2137&gt;0,E2137=0),"WARNING - no PRICE inserted",IF(H2137="free"," FREE ~ no charge this plant",IF(H2137="credit",CONCATENATE(" -$",ROUND(K2137*(1-T2GDiscount)*-1,2)," CREDIT after discount"),IF(T2GDiscount=0,"",IF(G2137=0,"",IF(F2137="Buy",CONCATENATE(" $",ROUND(K2137*(1-T2GDiscount),2)," with ",(T2GDiscount*100),"% discount"),CONCATENATE(" $",ROUND(K2137*(1-T2GDiscount),2)," with ",((T2GDiscount*100+F2137*100)-(T2GDiscount*100*F2137)),IF(F2137&gt;0,"% discounts",IF(NoWarrantyDiscount&gt;0,"% discounts","% discount")))))))))</f>
        <v/>
      </c>
      <c r="N2137" s="660"/>
      <c r="O2137" s="233"/>
      <c r="P2137" s="233"/>
      <c r="Q2137" s="233"/>
      <c r="R2137" s="233"/>
      <c r="S2137" s="233"/>
      <c r="T2137" s="508">
        <f t="shared" si="1655"/>
        <v>0</v>
      </c>
      <c r="U2137" s="225">
        <f>IF(NOT(ISNUMBER(G2137)), "", VLOOKUP(A2137,'Discount Lookup'!D:E,2,FALSE)*G2137)</f>
        <v>0</v>
      </c>
      <c r="V2137" s="225">
        <f>IF(NOT(ISNUMBER(G2137)), "", VLOOKUP(A2137,'Discount Lookup'!G:H,2,FALSE)*G2137)</f>
        <v>0</v>
      </c>
      <c r="W2137" s="508">
        <f t="shared" si="1656"/>
        <v>0</v>
      </c>
      <c r="X2137" s="508">
        <f t="shared" si="1657"/>
        <v>0</v>
      </c>
      <c r="Y2137" s="509" t="b">
        <f t="shared" si="1658"/>
        <v>0</v>
      </c>
      <c r="Z2137" s="510">
        <f t="shared" si="1659"/>
        <v>0</v>
      </c>
      <c r="AA2137" s="511"/>
      <c r="AB2137" s="511" t="str">
        <f t="shared" si="1660"/>
        <v/>
      </c>
      <c r="AC2137" s="698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698"/>
      <c r="AE2137" s="631" t="str">
        <f t="shared" si="1661"/>
        <v/>
      </c>
      <c r="AF2137" s="699" t="str">
        <f t="shared" si="1662"/>
        <v/>
      </c>
      <c r="AG2137" s="699"/>
      <c r="AH2137" s="699"/>
      <c r="AI2137" s="512">
        <f>IF(H2137="credit",0,IF(AE2137="free",0,IF(AE2137="me",0,IF(G2137&gt;0,(VLOOKUP(A2137,'Discount Lookup'!J:K,2)*G2137),0))))</f>
        <v>0</v>
      </c>
      <c r="AJ2137" s="513" t="str">
        <f t="shared" ca="1" si="1663"/>
        <v/>
      </c>
      <c r="AK2137" s="700" t="str">
        <f t="shared" si="1664"/>
        <v/>
      </c>
      <c r="AL2137" s="700"/>
      <c r="AM2137" s="505" t="str">
        <f t="shared" si="1665"/>
        <v/>
      </c>
      <c r="AN2137" s="506"/>
      <c r="AO2137" s="507"/>
      <c r="AP2137" s="507"/>
      <c r="AQ2137" s="507"/>
      <c r="AR2137" s="507"/>
      <c r="AS2137" s="507"/>
      <c r="AT2137" s="507"/>
      <c r="AU2137" s="507"/>
      <c r="AV2137" s="225"/>
      <c r="AW2137" s="508"/>
      <c r="AX2137" s="225"/>
      <c r="AY2137" s="225"/>
      <c r="AZ2137" s="225"/>
      <c r="BA2137" s="225"/>
      <c r="BB2137" s="225"/>
      <c r="BC2137" s="56"/>
      <c r="BD2137" s="56"/>
      <c r="BE2137" s="56"/>
      <c r="BF2137" s="107" t="str">
        <f t="shared" si="1666"/>
        <v>https://www.google.com/search?tbm=isch&amp;q=3%20G1</v>
      </c>
      <c r="BG2137" s="107" t="str">
        <f t="shared" si="1667"/>
        <v>L</v>
      </c>
      <c r="BH2137" s="254"/>
      <c r="BI2137" s="254"/>
    </row>
    <row r="2138" spans="1:61" customFormat="1" ht="15.75" x14ac:dyDescent="0.25">
      <c r="A2138" s="276">
        <v>3</v>
      </c>
      <c r="B2138" s="240" t="s">
        <v>291</v>
      </c>
      <c r="C2138" s="241" t="s">
        <v>328</v>
      </c>
      <c r="D2138" s="242" t="s">
        <v>312</v>
      </c>
      <c r="E2138" s="243">
        <v>34.950000000000003</v>
      </c>
      <c r="F2138" s="517" t="s">
        <v>293</v>
      </c>
      <c r="G2138" s="232">
        <v>0</v>
      </c>
      <c r="H2138" s="661" t="str">
        <f>IF(G2138=0,"",IF(F2138="Buy",IF(G2138=1,"plant","plants"),IF(F2138&gt;0.01,"warranty","Error")))</f>
        <v/>
      </c>
      <c r="I2138" s="244">
        <f>IF(H2138="free",0,IF(H2138="credit",((E2138*(F2138))*G2138*-1),IF(F2138="Buy",(E2138*G2138),((E2138*(1-F2138))*G2138))))</f>
        <v>0</v>
      </c>
      <c r="J2138" s="244">
        <f>IF(H2138="warranty",0,(I2138*(_xlfn.SINGLE(SalesTaxPercentage))))</f>
        <v>0</v>
      </c>
      <c r="K2138" s="696">
        <f t="shared" ref="K2138" si="1673">I2138+J2138</f>
        <v>0</v>
      </c>
      <c r="L2138" s="696"/>
      <c r="M2138" s="659" t="str">
        <f>IF(AND(G2138&gt;0,E2138=0),"WARNING - no PRICE inserted",IF(H2138="free"," FREE ~ no charge this plant",IF(H2138="credit",CONCATENATE(" -$",ROUND(K2138*(1-T2GDiscount)*-1,2)," CREDIT after discount"),IF(T2GDiscount=0,"",IF(G2138=0,"",IF(F2138="Buy",CONCATENATE(" $",ROUND(K2138*(1-T2GDiscount),2)," with ",(T2GDiscount*100),"% discount"),CONCATENATE(" $",ROUND(K2138*(1-T2GDiscount),2)," with ",((T2GDiscount*100+F2138*100)-(T2GDiscount*100*F2138)),IF(F2138&gt;0,"% discounts",IF(NoWarrantyDiscount&gt;0,"% discounts","% discount")))))))))</f>
        <v/>
      </c>
      <c r="N2138" s="660"/>
      <c r="O2138" s="233"/>
      <c r="P2138" s="233"/>
      <c r="Q2138" s="233"/>
      <c r="R2138" s="233"/>
      <c r="S2138" s="233"/>
      <c r="T2138" s="508">
        <f t="shared" si="1655"/>
        <v>0</v>
      </c>
      <c r="U2138" s="225">
        <f>IF(NOT(ISNUMBER(G2138)), "", VLOOKUP(A2138,'Discount Lookup'!D:E,2,FALSE)*G2138)</f>
        <v>0</v>
      </c>
      <c r="V2138" s="225">
        <f>IF(NOT(ISNUMBER(G2138)), "", VLOOKUP(A2138,'Discount Lookup'!G:H,2,FALSE)*G2138)</f>
        <v>0</v>
      </c>
      <c r="W2138" s="508">
        <f t="shared" si="1656"/>
        <v>0</v>
      </c>
      <c r="X2138" s="508">
        <f t="shared" si="1657"/>
        <v>0</v>
      </c>
      <c r="Y2138" s="509" t="b">
        <f t="shared" si="1658"/>
        <v>0</v>
      </c>
      <c r="Z2138" s="510">
        <f t="shared" si="1659"/>
        <v>0</v>
      </c>
      <c r="AA2138" s="511"/>
      <c r="AB2138" s="511" t="str">
        <f t="shared" si="1660"/>
        <v/>
      </c>
      <c r="AC2138" s="698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698"/>
      <c r="AE2138" s="631" t="str">
        <f t="shared" si="1661"/>
        <v/>
      </c>
      <c r="AF2138" s="699" t="str">
        <f t="shared" si="1662"/>
        <v/>
      </c>
      <c r="AG2138" s="699"/>
      <c r="AH2138" s="699"/>
      <c r="AI2138" s="512">
        <f>IF(H2138="credit",0,IF(AE2138="free",0,IF(AE2138="me",0,IF(G2138&gt;0,(VLOOKUP(A2138,'Discount Lookup'!J:K,2)*G2138),0))))</f>
        <v>0</v>
      </c>
      <c r="AJ2138" s="513" t="str">
        <f t="shared" ca="1" si="1663"/>
        <v/>
      </c>
      <c r="AK2138" s="700" t="str">
        <f t="shared" si="1664"/>
        <v/>
      </c>
      <c r="AL2138" s="700"/>
      <c r="AM2138" s="505" t="str">
        <f t="shared" si="1665"/>
        <v/>
      </c>
      <c r="AN2138" s="506"/>
      <c r="AO2138" s="507"/>
      <c r="AP2138" s="507"/>
      <c r="AQ2138" s="507"/>
      <c r="AR2138" s="507"/>
      <c r="AS2138" s="507"/>
      <c r="AT2138" s="507"/>
      <c r="AU2138" s="507"/>
      <c r="AV2138" s="225"/>
      <c r="AW2138" s="508"/>
      <c r="AX2138" s="225"/>
      <c r="AY2138" s="225"/>
      <c r="AZ2138" s="225"/>
      <c r="BA2138" s="225"/>
      <c r="BB2138" s="225"/>
      <c r="BC2138" s="56"/>
      <c r="BD2138" s="56"/>
      <c r="BE2138" s="56"/>
      <c r="BF2138" s="107" t="str">
        <f t="shared" si="1666"/>
        <v>https://www.google.com/search?tbm=isch&amp;q=3%20G2</v>
      </c>
      <c r="BG2138" s="107" t="str">
        <f t="shared" si="1667"/>
        <v>L</v>
      </c>
      <c r="BH2138" s="254"/>
      <c r="BI2138" s="254"/>
    </row>
    <row r="2139" spans="1:61" customFormat="1" ht="17.25" thickBot="1" x14ac:dyDescent="0.3">
      <c r="A2139" s="524" t="s">
        <v>3009</v>
      </c>
      <c r="B2139" s="245"/>
      <c r="C2139" s="677"/>
      <c r="D2139" s="499"/>
      <c r="E2139" s="499"/>
      <c r="F2139" s="500"/>
      <c r="G2139" s="501"/>
      <c r="H2139" s="502"/>
      <c r="I2139" s="246"/>
      <c r="J2139" s="247"/>
      <c r="K2139" s="503"/>
      <c r="L2139" s="544"/>
      <c r="M2139" s="544"/>
      <c r="N2139" s="500"/>
      <c r="O2139" s="500"/>
      <c r="P2139" s="500"/>
      <c r="Q2139" s="500"/>
      <c r="R2139" s="500"/>
      <c r="S2139" s="669" t="s">
        <v>4980</v>
      </c>
      <c r="T2139" s="508">
        <f t="shared" si="1655"/>
        <v>0</v>
      </c>
      <c r="U2139" s="225" t="str">
        <f>IF(NOT(ISNUMBER(G2139)), "", VLOOKUP(A2139,'Discount Lookup'!D:E,2,FALSE)*G2139)</f>
        <v/>
      </c>
      <c r="V2139" s="225" t="str">
        <f>IF(NOT(ISNUMBER(G2139)), "", VLOOKUP(A2139,'Discount Lookup'!G:H,2,FALSE)*G2139)</f>
        <v/>
      </c>
      <c r="W2139" s="508">
        <f t="shared" si="1656"/>
        <v>0</v>
      </c>
      <c r="X2139" s="508">
        <f t="shared" si="1657"/>
        <v>0</v>
      </c>
      <c r="Y2139" s="509" t="b">
        <f t="shared" si="1658"/>
        <v>0</v>
      </c>
      <c r="Z2139" s="510">
        <f t="shared" si="1659"/>
        <v>0</v>
      </c>
      <c r="AA2139" s="511"/>
      <c r="AB2139" s="511" t="str">
        <f t="shared" si="1660"/>
        <v/>
      </c>
      <c r="AC2139" s="698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698"/>
      <c r="AE2139" s="631" t="str">
        <f t="shared" si="1661"/>
        <v/>
      </c>
      <c r="AF2139" s="699" t="str">
        <f t="shared" si="1662"/>
        <v/>
      </c>
      <c r="AG2139" s="699"/>
      <c r="AH2139" s="699"/>
      <c r="AI2139" s="512">
        <f>IF(H2139="credit",0,IF(AE2139="free",0,IF(AE2139="me",0,IF(G2139&gt;0,(VLOOKUP(A2139,'Discount Lookup'!J:K,2)*G2139),0))))</f>
        <v>0</v>
      </c>
      <c r="AJ2139" s="513" t="str">
        <f t="shared" ca="1" si="1663"/>
        <v/>
      </c>
      <c r="AK2139" s="700" t="str">
        <f t="shared" si="1664"/>
        <v/>
      </c>
      <c r="AL2139" s="700"/>
      <c r="AM2139" s="505" t="str">
        <f t="shared" si="1665"/>
        <v/>
      </c>
      <c r="AN2139" s="506"/>
      <c r="AO2139" s="507"/>
      <c r="AP2139" s="507"/>
      <c r="AQ2139" s="507"/>
      <c r="AR2139" s="507"/>
      <c r="AS2139" s="507"/>
      <c r="AT2139" s="507"/>
      <c r="AU2139" s="507"/>
      <c r="AV2139" s="225"/>
      <c r="AW2139" s="508"/>
      <c r="AX2139" s="225"/>
      <c r="AY2139" s="225"/>
      <c r="AZ2139" s="225"/>
      <c r="BA2139" s="225"/>
      <c r="BB2139" s="225"/>
      <c r="BC2139" s="56"/>
      <c r="BD2139" s="56"/>
      <c r="BE2139" s="56"/>
      <c r="BF2139" s="107" t="str">
        <f t="shared" si="1666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2139" s="107" t="str">
        <f t="shared" si="1667"/>
        <v>L</v>
      </c>
      <c r="BH2139" s="254"/>
      <c r="BI2139" s="254"/>
    </row>
    <row r="2140" spans="1:61" customFormat="1" ht="18" x14ac:dyDescent="0.25">
      <c r="A2140" s="523" t="s">
        <v>1234</v>
      </c>
      <c r="B2140" s="235"/>
      <c r="C2140" s="676"/>
      <c r="D2140" s="255" t="s">
        <v>1235</v>
      </c>
      <c r="E2140" s="236"/>
      <c r="F2140" s="236"/>
      <c r="G2140" s="236"/>
      <c r="H2140" s="582" t="s">
        <v>474</v>
      </c>
      <c r="I2140" s="498" t="s">
        <v>1496</v>
      </c>
      <c r="J2140" s="237"/>
      <c r="K2140" s="237"/>
      <c r="L2140" s="274"/>
      <c r="M2140" s="670" t="s">
        <v>4973</v>
      </c>
      <c r="N2140" s="681" t="str">
        <f>IF(AND(ISTEXT($A2140), ISERROR($A2140+0)), HYPERLINK($BF2140, "Images"), "")</f>
        <v>Images</v>
      </c>
      <c r="O2140" s="663" t="s">
        <v>4974</v>
      </c>
      <c r="P2140" s="253"/>
      <c r="Q2140" s="238"/>
      <c r="R2140" s="239"/>
      <c r="S2140" s="275"/>
      <c r="T2140" s="508">
        <f t="shared" si="1655"/>
        <v>0</v>
      </c>
      <c r="U2140" s="225" t="str">
        <f>IF(NOT(ISNUMBER(G2140)), "", VLOOKUP(A2140,'Discount Lookup'!D:E,2,FALSE)*G2140)</f>
        <v/>
      </c>
      <c r="V2140" s="225" t="str">
        <f>IF(NOT(ISNUMBER(G2140)), "", VLOOKUP(A2140,'Discount Lookup'!G:H,2,FALSE)*G2140)</f>
        <v/>
      </c>
      <c r="W2140" s="508">
        <f t="shared" si="1656"/>
        <v>0</v>
      </c>
      <c r="X2140" s="508" t="str">
        <f t="shared" si="1657"/>
        <v>Pink to Blue bloom</v>
      </c>
      <c r="Y2140" s="509" t="b">
        <f t="shared" si="1658"/>
        <v>0</v>
      </c>
      <c r="Z2140" s="510">
        <f t="shared" si="1659"/>
        <v>0</v>
      </c>
      <c r="AA2140" s="511"/>
      <c r="AB2140" s="511" t="str">
        <f t="shared" si="1660"/>
        <v/>
      </c>
      <c r="AC2140" s="698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698"/>
      <c r="AE2140" s="631" t="str">
        <f t="shared" si="1661"/>
        <v/>
      </c>
      <c r="AF2140" s="699" t="str">
        <f t="shared" si="1662"/>
        <v/>
      </c>
      <c r="AG2140" s="699"/>
      <c r="AH2140" s="699"/>
      <c r="AI2140" s="512">
        <f>IF(H2140="credit",0,IF(AE2140="free",0,IF(AE2140="me",0,IF(G2140&gt;0,(VLOOKUP(A2140,'Discount Lookup'!J:K,2)*G2140),0))))</f>
        <v>0</v>
      </c>
      <c r="AJ2140" s="513" t="str">
        <f t="shared" ca="1" si="1663"/>
        <v/>
      </c>
      <c r="AK2140" s="700" t="str">
        <f t="shared" si="1664"/>
        <v/>
      </c>
      <c r="AL2140" s="700"/>
      <c r="AM2140" s="505" t="str">
        <f t="shared" si="1665"/>
        <v/>
      </c>
      <c r="AN2140" s="506"/>
      <c r="AO2140" s="507"/>
      <c r="AP2140" s="507"/>
      <c r="AQ2140" s="507"/>
      <c r="AR2140" s="507"/>
      <c r="AS2140" s="507"/>
      <c r="AT2140" s="507"/>
      <c r="AU2140" s="507"/>
      <c r="AV2140" s="225"/>
      <c r="AW2140" s="508"/>
      <c r="AX2140" s="225"/>
      <c r="AY2140" s="225"/>
      <c r="AZ2140" s="225"/>
      <c r="BA2140" s="225"/>
      <c r="BB2140" s="225"/>
      <c r="BC2140" s="56"/>
      <c r="BD2140" s="56"/>
      <c r="BE2140" s="56"/>
      <c r="BF2140" s="107" t="str">
        <f t="shared" si="1666"/>
        <v>https://www.google.com/search?tbm=isch&amp;q=Lady%20In%20Red%20Bigleaf%20Hydrangea%20Hyd.%20macrophylla%20%27Lady%20In%20Red%27%20PP%2315175</v>
      </c>
      <c r="BG2140" s="107" t="str">
        <f t="shared" si="1667"/>
        <v>L</v>
      </c>
      <c r="BH2140" s="254"/>
      <c r="BI2140" s="254"/>
    </row>
    <row r="2141" spans="1:61" customFormat="1" ht="15.75" x14ac:dyDescent="0.25">
      <c r="A2141" s="276">
        <v>3</v>
      </c>
      <c r="B2141" s="240" t="s">
        <v>291</v>
      </c>
      <c r="C2141" s="241" t="s">
        <v>2762</v>
      </c>
      <c r="D2141" s="242" t="s">
        <v>297</v>
      </c>
      <c r="E2141" s="243">
        <v>22.95</v>
      </c>
      <c r="F2141" s="517" t="s">
        <v>293</v>
      </c>
      <c r="G2141" s="232">
        <v>0</v>
      </c>
      <c r="H2141" s="661" t="str">
        <f>IF(G2141=0,"",IF(F2141="Buy",IF(G2141=1,"plant","plants"),IF(F2141&gt;0.01,"warranty","Error")))</f>
        <v/>
      </c>
      <c r="I2141" s="244">
        <f>IF(H2141="free",0,IF(H2141="credit",((E2141*(F2141))*G2141*-1),IF(F2141="Buy",(E2141*G2141),((E2141*(1-F2141))*G2141))))</f>
        <v>0</v>
      </c>
      <c r="J2141" s="244">
        <f>IF(H2141="warranty",0,(I2141*(_xlfn.SINGLE(SalesTaxPercentage))))</f>
        <v>0</v>
      </c>
      <c r="K2141" s="696">
        <f t="shared" ref="K2141" si="1674">I2141+J2141</f>
        <v>0</v>
      </c>
      <c r="L2141" s="696"/>
      <c r="M2141" s="659" t="str">
        <f>IF(AND(G2141&gt;0,E2141=0),"WARNING - no PRICE inserted",IF(H2141="free"," FREE ~ no charge this plant",IF(H2141="credit",CONCATENATE(" -$",ROUND(K2141*(1-T2GDiscount)*-1,2)," CREDIT after discount"),IF(T2GDiscount=0,"",IF(G2141=0,"",IF(F2141="Buy",CONCATENATE(" $",ROUND(K2141*(1-T2GDiscount),2)," with ",(T2GDiscount*100),"% discount"),CONCATENATE(" $",ROUND(K2141*(1-T2GDiscount),2)," with ",((T2GDiscount*100+F2141*100)-(T2GDiscount*100*F2141)),IF(F2141&gt;0,"% discounts",IF(NoWarrantyDiscount&gt;0,"% discounts","% discount")))))))))</f>
        <v/>
      </c>
      <c r="N2141" s="660"/>
      <c r="O2141" s="233"/>
      <c r="P2141" s="233"/>
      <c r="Q2141" s="233"/>
      <c r="R2141" s="233"/>
      <c r="S2141" s="233"/>
      <c r="T2141" s="508">
        <f t="shared" si="1655"/>
        <v>0</v>
      </c>
      <c r="U2141" s="225">
        <f>IF(NOT(ISNUMBER(G2141)), "", VLOOKUP(A2141,'Discount Lookup'!D:E,2,FALSE)*G2141)</f>
        <v>0</v>
      </c>
      <c r="V2141" s="225">
        <f>IF(NOT(ISNUMBER(G2141)), "", VLOOKUP(A2141,'Discount Lookup'!G:H,2,FALSE)*G2141)</f>
        <v>0</v>
      </c>
      <c r="W2141" s="508">
        <f t="shared" si="1656"/>
        <v>0</v>
      </c>
      <c r="X2141" s="508">
        <f t="shared" si="1657"/>
        <v>0</v>
      </c>
      <c r="Y2141" s="509" t="b">
        <f t="shared" si="1658"/>
        <v>0</v>
      </c>
      <c r="Z2141" s="510">
        <f t="shared" si="1659"/>
        <v>0</v>
      </c>
      <c r="AA2141" s="511"/>
      <c r="AB2141" s="511" t="str">
        <f t="shared" si="1660"/>
        <v/>
      </c>
      <c r="AC2141" s="698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698"/>
      <c r="AE2141" s="631" t="str">
        <f t="shared" si="1661"/>
        <v/>
      </c>
      <c r="AF2141" s="699" t="str">
        <f t="shared" si="1662"/>
        <v/>
      </c>
      <c r="AG2141" s="699"/>
      <c r="AH2141" s="699"/>
      <c r="AI2141" s="512">
        <f>IF(H2141="credit",0,IF(AE2141="free",0,IF(AE2141="me",0,IF(G2141&gt;0,(VLOOKUP(A2141,'Discount Lookup'!J:K,2)*G2141),0))))</f>
        <v>0</v>
      </c>
      <c r="AJ2141" s="513" t="str">
        <f t="shared" ca="1" si="1663"/>
        <v/>
      </c>
      <c r="AK2141" s="700" t="str">
        <f t="shared" si="1664"/>
        <v/>
      </c>
      <c r="AL2141" s="700"/>
      <c r="AM2141" s="505" t="str">
        <f t="shared" si="1665"/>
        <v/>
      </c>
      <c r="AN2141" s="506"/>
      <c r="AO2141" s="507"/>
      <c r="AP2141" s="507"/>
      <c r="AQ2141" s="507"/>
      <c r="AR2141" s="507"/>
      <c r="AS2141" s="507"/>
      <c r="AT2141" s="507"/>
      <c r="AU2141" s="507"/>
      <c r="AV2141" s="225"/>
      <c r="AW2141" s="508"/>
      <c r="AX2141" s="225"/>
      <c r="AY2141" s="225"/>
      <c r="AZ2141" s="225"/>
      <c r="BA2141" s="225"/>
      <c r="BB2141" s="225"/>
      <c r="BC2141" s="56"/>
      <c r="BD2141" s="56"/>
      <c r="BE2141" s="56"/>
      <c r="BF2141" s="107" t="str">
        <f t="shared" si="1666"/>
        <v>https://www.google.com/search?tbm=isch&amp;q=3%20G3</v>
      </c>
      <c r="BG2141" s="107" t="str">
        <f t="shared" si="1667"/>
        <v>L</v>
      </c>
      <c r="BH2141" s="254"/>
      <c r="BI2141" s="254"/>
    </row>
    <row r="2142" spans="1:61" customFormat="1" ht="15.75" x14ac:dyDescent="0.25">
      <c r="A2142" s="276">
        <v>5</v>
      </c>
      <c r="B2142" s="240" t="s">
        <v>291</v>
      </c>
      <c r="C2142" s="241" t="s">
        <v>1236</v>
      </c>
      <c r="D2142" s="242" t="s">
        <v>297</v>
      </c>
      <c r="E2142" s="243">
        <v>41.95</v>
      </c>
      <c r="F2142" s="517" t="s">
        <v>293</v>
      </c>
      <c r="G2142" s="232">
        <v>0</v>
      </c>
      <c r="H2142" s="661" t="str">
        <f>IF(G2142=0,"",IF(F2142="Buy",IF(G2142=1,"plant","plants"),IF(F2142&gt;0.01,"warranty","Error")))</f>
        <v/>
      </c>
      <c r="I2142" s="244">
        <f>IF(H2142="free",0,IF(H2142="credit",((E2142*(F2142))*G2142*-1),IF(F2142="Buy",(E2142*G2142),((E2142*(1-F2142))*G2142))))</f>
        <v>0</v>
      </c>
      <c r="J2142" s="244">
        <f>IF(H2142="warranty",0,(I2142*(_xlfn.SINGLE(SalesTaxPercentage))))</f>
        <v>0</v>
      </c>
      <c r="K2142" s="696">
        <f t="shared" ref="K2142" si="1675">I2142+J2142</f>
        <v>0</v>
      </c>
      <c r="L2142" s="696"/>
      <c r="M2142" s="659" t="str">
        <f>IF(AND(G2142&gt;0,E2142=0),"WARNING - no PRICE inserted",IF(H2142="free"," FREE ~ no charge this plant",IF(H2142="credit",CONCATENATE(" -$",ROUND(K2142*(1-T2GDiscount)*-1,2)," CREDIT after discount"),IF(T2GDiscount=0,"",IF(G2142=0,"",IF(F2142="Buy",CONCATENATE(" $",ROUND(K2142*(1-T2GDiscount),2)," with ",(T2GDiscount*100),"% discount"),CONCATENATE(" $",ROUND(K2142*(1-T2GDiscount),2)," with ",((T2GDiscount*100+F2142*100)-(T2GDiscount*100*F2142)),IF(F2142&gt;0,"% discounts",IF(NoWarrantyDiscount&gt;0,"% discounts","% discount")))))))))</f>
        <v/>
      </c>
      <c r="N2142" s="660"/>
      <c r="O2142" s="233"/>
      <c r="P2142" s="233"/>
      <c r="Q2142" s="233"/>
      <c r="R2142" s="233"/>
      <c r="S2142" s="233"/>
      <c r="T2142" s="508">
        <f t="shared" si="1655"/>
        <v>0</v>
      </c>
      <c r="U2142" s="225">
        <f>IF(NOT(ISNUMBER(G2142)), "", VLOOKUP(A2142,'Discount Lookup'!D:E,2,FALSE)*G2142)</f>
        <v>0</v>
      </c>
      <c r="V2142" s="225">
        <f>IF(NOT(ISNUMBER(G2142)), "", VLOOKUP(A2142,'Discount Lookup'!G:H,2,FALSE)*G2142)</f>
        <v>0</v>
      </c>
      <c r="W2142" s="508">
        <f t="shared" si="1656"/>
        <v>0</v>
      </c>
      <c r="X2142" s="508">
        <f t="shared" si="1657"/>
        <v>0</v>
      </c>
      <c r="Y2142" s="509" t="b">
        <f t="shared" si="1658"/>
        <v>0</v>
      </c>
      <c r="Z2142" s="510">
        <f t="shared" si="1659"/>
        <v>0</v>
      </c>
      <c r="AA2142" s="511"/>
      <c r="AB2142" s="511" t="str">
        <f t="shared" si="1660"/>
        <v/>
      </c>
      <c r="AC2142" s="698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698"/>
      <c r="AE2142" s="631" t="str">
        <f t="shared" si="1661"/>
        <v/>
      </c>
      <c r="AF2142" s="699" t="str">
        <f t="shared" si="1662"/>
        <v/>
      </c>
      <c r="AG2142" s="699"/>
      <c r="AH2142" s="699"/>
      <c r="AI2142" s="512">
        <f>IF(H2142="credit",0,IF(AE2142="free",0,IF(AE2142="me",0,IF(G2142&gt;0,(VLOOKUP(A2142,'Discount Lookup'!J:K,2)*G2142),0))))</f>
        <v>0</v>
      </c>
      <c r="AJ2142" s="513" t="str">
        <f t="shared" ca="1" si="1663"/>
        <v/>
      </c>
      <c r="AK2142" s="700" t="str">
        <f t="shared" si="1664"/>
        <v/>
      </c>
      <c r="AL2142" s="700"/>
      <c r="AM2142" s="505" t="str">
        <f t="shared" si="1665"/>
        <v/>
      </c>
      <c r="AN2142" s="506"/>
      <c r="AO2142" s="507"/>
      <c r="AP2142" s="507"/>
      <c r="AQ2142" s="507"/>
      <c r="AR2142" s="507"/>
      <c r="AS2142" s="507"/>
      <c r="AT2142" s="507"/>
      <c r="AU2142" s="507"/>
      <c r="AV2142" s="225"/>
      <c r="AW2142" s="508"/>
      <c r="AX2142" s="225"/>
      <c r="AY2142" s="225"/>
      <c r="AZ2142" s="225"/>
      <c r="BA2142" s="225"/>
      <c r="BB2142" s="225"/>
      <c r="BC2142" s="56"/>
      <c r="BD2142" s="56"/>
      <c r="BE2142" s="56"/>
      <c r="BF2142" s="107" t="str">
        <f t="shared" si="1666"/>
        <v>https://www.google.com/search?tbm=isch&amp;q=5%20G3</v>
      </c>
      <c r="BG2142" s="107" t="str">
        <f t="shared" si="1667"/>
        <v>L</v>
      </c>
      <c r="BH2142" s="254"/>
      <c r="BI2142" s="254"/>
    </row>
    <row r="2143" spans="1:61" customFormat="1" ht="17.25" thickBot="1" x14ac:dyDescent="0.3">
      <c r="A2143" s="673" t="s">
        <v>5159</v>
      </c>
      <c r="B2143" s="245"/>
      <c r="C2143" s="677"/>
      <c r="D2143" s="499"/>
      <c r="E2143" s="499"/>
      <c r="F2143" s="500"/>
      <c r="G2143" s="501"/>
      <c r="H2143" s="502"/>
      <c r="I2143" s="246"/>
      <c r="J2143" s="247"/>
      <c r="K2143" s="503"/>
      <c r="L2143" s="544"/>
      <c r="M2143" s="544"/>
      <c r="N2143" s="500"/>
      <c r="O2143" s="500"/>
      <c r="P2143" s="500"/>
      <c r="Q2143" s="500"/>
      <c r="R2143" s="500"/>
      <c r="S2143" s="278"/>
      <c r="T2143" s="508">
        <f t="shared" si="1655"/>
        <v>0</v>
      </c>
      <c r="U2143" s="225" t="str">
        <f>IF(NOT(ISNUMBER(G2143)), "", VLOOKUP(A2143,'Discount Lookup'!D:E,2,FALSE)*G2143)</f>
        <v/>
      </c>
      <c r="V2143" s="225" t="str">
        <f>IF(NOT(ISNUMBER(G2143)), "", VLOOKUP(A2143,'Discount Lookup'!G:H,2,FALSE)*G2143)</f>
        <v/>
      </c>
      <c r="W2143" s="508">
        <f t="shared" si="1656"/>
        <v>0</v>
      </c>
      <c r="X2143" s="508">
        <f t="shared" si="1657"/>
        <v>0</v>
      </c>
      <c r="Y2143" s="509" t="b">
        <f t="shared" si="1658"/>
        <v>0</v>
      </c>
      <c r="Z2143" s="510">
        <f t="shared" si="1659"/>
        <v>0</v>
      </c>
      <c r="AA2143" s="511"/>
      <c r="AB2143" s="511" t="str">
        <f t="shared" si="1660"/>
        <v/>
      </c>
      <c r="AC2143" s="698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698"/>
      <c r="AE2143" s="631" t="str">
        <f t="shared" si="1661"/>
        <v/>
      </c>
      <c r="AF2143" s="699" t="str">
        <f t="shared" si="1662"/>
        <v/>
      </c>
      <c r="AG2143" s="699"/>
      <c r="AH2143" s="699"/>
      <c r="AI2143" s="512">
        <f>IF(H2143="credit",0,IF(AE2143="free",0,IF(AE2143="me",0,IF(G2143&gt;0,(VLOOKUP(A2143,'Discount Lookup'!J:K,2)*G2143),0))))</f>
        <v>0</v>
      </c>
      <c r="AJ2143" s="513" t="str">
        <f t="shared" ca="1" si="1663"/>
        <v/>
      </c>
      <c r="AK2143" s="700" t="str">
        <f t="shared" si="1664"/>
        <v/>
      </c>
      <c r="AL2143" s="700"/>
      <c r="AM2143" s="505" t="str">
        <f t="shared" si="1665"/>
        <v/>
      </c>
      <c r="AN2143" s="506"/>
      <c r="AO2143" s="507"/>
      <c r="AP2143" s="507"/>
      <c r="AQ2143" s="507"/>
      <c r="AR2143" s="507"/>
      <c r="AS2143" s="507"/>
      <c r="AT2143" s="507"/>
      <c r="AU2143" s="507"/>
      <c r="AV2143" s="225"/>
      <c r="AW2143" s="508"/>
      <c r="AX2143" s="225"/>
      <c r="AY2143" s="225"/>
      <c r="AZ2143" s="225"/>
      <c r="BA2143" s="225"/>
      <c r="BB2143" s="225"/>
      <c r="BC2143" s="56"/>
      <c r="BD2143" s="56"/>
      <c r="BE2143" s="56"/>
      <c r="BF2143" s="107" t="str">
        <f t="shared" si="1666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143" s="107" t="str">
        <f t="shared" si="1667"/>
        <v>m</v>
      </c>
      <c r="BH2143" s="254"/>
      <c r="BI2143" s="254"/>
    </row>
    <row r="2144" spans="1:61" customFormat="1" ht="18" x14ac:dyDescent="0.25">
      <c r="A2144" s="523" t="s">
        <v>5442</v>
      </c>
      <c r="B2144" s="235"/>
      <c r="C2144" s="676"/>
      <c r="D2144" s="255" t="s">
        <v>1237</v>
      </c>
      <c r="E2144" s="236"/>
      <c r="F2144" s="236"/>
      <c r="G2144" s="236"/>
      <c r="H2144" s="582" t="s">
        <v>467</v>
      </c>
      <c r="I2144" s="498" t="s">
        <v>1522</v>
      </c>
      <c r="J2144" s="237"/>
      <c r="K2144" s="237"/>
      <c r="L2144" s="274"/>
      <c r="M2144" s="668" t="s">
        <v>4975</v>
      </c>
      <c r="N2144" s="681" t="str">
        <f>IF(AND(ISTEXT($A2144), ISERROR($A2144+0)), HYPERLINK($BF2144, "Images"), "")</f>
        <v>Images</v>
      </c>
      <c r="O2144" s="663" t="s">
        <v>4967</v>
      </c>
      <c r="P2144" s="253"/>
      <c r="Q2144" s="238"/>
      <c r="R2144" s="239"/>
      <c r="S2144" s="275"/>
      <c r="T2144" s="508">
        <f t="shared" si="1655"/>
        <v>0</v>
      </c>
      <c r="U2144" s="225" t="str">
        <f>IF(NOT(ISNUMBER(G2144)), "", VLOOKUP(A2144,'Discount Lookup'!D:E,2,FALSE)*G2144)</f>
        <v/>
      </c>
      <c r="V2144" s="225" t="str">
        <f>IF(NOT(ISNUMBER(G2144)), "", VLOOKUP(A2144,'Discount Lookup'!G:H,2,FALSE)*G2144)</f>
        <v/>
      </c>
      <c r="W2144" s="508">
        <f t="shared" si="1656"/>
        <v>0</v>
      </c>
      <c r="X2144" s="508" t="str">
        <f t="shared" si="1657"/>
        <v>Lavender-Pink bloom</v>
      </c>
      <c r="Y2144" s="509" t="b">
        <f t="shared" si="1658"/>
        <v>0</v>
      </c>
      <c r="Z2144" s="510">
        <f t="shared" si="1659"/>
        <v>0</v>
      </c>
      <c r="AA2144" s="511"/>
      <c r="AB2144" s="511" t="str">
        <f t="shared" si="1660"/>
        <v/>
      </c>
      <c r="AC2144" s="698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698"/>
      <c r="AE2144" s="631" t="str">
        <f t="shared" si="1661"/>
        <v/>
      </c>
      <c r="AF2144" s="699" t="str">
        <f t="shared" si="1662"/>
        <v/>
      </c>
      <c r="AG2144" s="699"/>
      <c r="AH2144" s="699"/>
      <c r="AI2144" s="512">
        <f>IF(H2144="credit",0,IF(AE2144="free",0,IF(AE2144="me",0,IF(G2144&gt;0,(VLOOKUP(A2144,'Discount Lookup'!J:K,2)*G2144),0))))</f>
        <v>0</v>
      </c>
      <c r="AJ2144" s="513" t="str">
        <f t="shared" ca="1" si="1663"/>
        <v/>
      </c>
      <c r="AK2144" s="700" t="str">
        <f t="shared" si="1664"/>
        <v/>
      </c>
      <c r="AL2144" s="700"/>
      <c r="AM2144" s="505" t="str">
        <f t="shared" si="1665"/>
        <v/>
      </c>
      <c r="AN2144" s="506"/>
      <c r="AO2144" s="507"/>
      <c r="AP2144" s="507"/>
      <c r="AQ2144" s="507"/>
      <c r="AR2144" s="507"/>
      <c r="AS2144" s="507"/>
      <c r="AT2144" s="507"/>
      <c r="AU2144" s="507"/>
      <c r="AV2144" s="225"/>
      <c r="AW2144" s="508"/>
      <c r="AX2144" s="225"/>
      <c r="AY2144" s="225"/>
      <c r="AZ2144" s="225"/>
      <c r="BA2144" s="225"/>
      <c r="BB2144" s="225"/>
      <c r="BC2144" s="56"/>
      <c r="BD2144" s="56"/>
      <c r="BE2144" s="56"/>
      <c r="BF2144" s="107" t="str">
        <f t="shared" si="1666"/>
        <v>https://www.google.com/search?tbm=isch&amp;q=Lavender%20Twist%C2%AE%20Weeping%20Redbud%20Cercis%20canadensis%20%27Covey%27%20PP%2310328</v>
      </c>
      <c r="BG2144" s="107" t="str">
        <f t="shared" si="1667"/>
        <v>L</v>
      </c>
      <c r="BH2144" s="254"/>
      <c r="BI2144" s="254"/>
    </row>
    <row r="2145" spans="1:61" customFormat="1" ht="15.75" x14ac:dyDescent="0.25">
      <c r="A2145" s="276">
        <v>7</v>
      </c>
      <c r="B2145" s="240" t="s">
        <v>291</v>
      </c>
      <c r="C2145" s="241" t="s">
        <v>3603</v>
      </c>
      <c r="D2145" s="242" t="s">
        <v>292</v>
      </c>
      <c r="E2145" s="243">
        <v>123.95</v>
      </c>
      <c r="F2145" s="517" t="s">
        <v>293</v>
      </c>
      <c r="G2145" s="232">
        <v>0</v>
      </c>
      <c r="H2145" s="661" t="str">
        <f>IF(G2145=0,"",IF(F2145="Buy",IF(G2145=1,"plant","plants"),IF(F2145&gt;0.01,"warranty","Error")))</f>
        <v/>
      </c>
      <c r="I2145" s="244">
        <f>IF(H2145="free",0,IF(H2145="credit",((E2145*(F2145))*G2145*-1),IF(F2145="Buy",(E2145*G2145),((E2145*(1-F2145))*G2145))))</f>
        <v>0</v>
      </c>
      <c r="J2145" s="244">
        <f>IF(H2145="warranty",0,(I2145*(_xlfn.SINGLE(SalesTaxPercentage))))</f>
        <v>0</v>
      </c>
      <c r="K2145" s="696">
        <f t="shared" ref="K2145" si="1676">I2145+J2145</f>
        <v>0</v>
      </c>
      <c r="L2145" s="696"/>
      <c r="M2145" s="659" t="str">
        <f>IF(AND(G2145&gt;0,E2145=0),"WARNING - no PRICE inserted",IF(H2145="free"," FREE ~ no charge this plant",IF(H2145="credit",CONCATENATE(" -$",ROUND(K2145*(1-T2GDiscount)*-1,2)," CREDIT after discount"),IF(T2GDiscount=0,"",IF(G2145=0,"",IF(F2145="Buy",CONCATENATE(" $",ROUND(K2145*(1-T2GDiscount),2)," with ",(T2GDiscount*100),"% discount"),CONCATENATE(" $",ROUND(K2145*(1-T2GDiscount),2)," with ",((T2GDiscount*100+F2145*100)-(T2GDiscount*100*F2145)),IF(F2145&gt;0,"% discounts",IF(NoWarrantyDiscount&gt;0,"% discounts","% discount")))))))))</f>
        <v/>
      </c>
      <c r="N2145" s="660"/>
      <c r="O2145" s="233"/>
      <c r="P2145" s="233"/>
      <c r="Q2145" s="233"/>
      <c r="R2145" s="233"/>
      <c r="S2145" s="233"/>
      <c r="T2145" s="508">
        <f t="shared" si="1655"/>
        <v>0</v>
      </c>
      <c r="U2145" s="225">
        <f>IF(NOT(ISNUMBER(G2145)), "", VLOOKUP(A2145,'Discount Lookup'!D:E,2,FALSE)*G2145)</f>
        <v>0</v>
      </c>
      <c r="V2145" s="225">
        <f>IF(NOT(ISNUMBER(G2145)), "", VLOOKUP(A2145,'Discount Lookup'!G:H,2,FALSE)*G2145)</f>
        <v>0</v>
      </c>
      <c r="W2145" s="508">
        <f t="shared" si="1656"/>
        <v>0</v>
      </c>
      <c r="X2145" s="508">
        <f t="shared" si="1657"/>
        <v>0</v>
      </c>
      <c r="Y2145" s="509" t="b">
        <f t="shared" si="1658"/>
        <v>0</v>
      </c>
      <c r="Z2145" s="510">
        <f t="shared" si="1659"/>
        <v>0</v>
      </c>
      <c r="AA2145" s="511"/>
      <c r="AB2145" s="511" t="str">
        <f t="shared" si="1660"/>
        <v/>
      </c>
      <c r="AC2145" s="698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698"/>
      <c r="AE2145" s="631" t="str">
        <f t="shared" si="1661"/>
        <v/>
      </c>
      <c r="AF2145" s="699" t="str">
        <f t="shared" si="1662"/>
        <v/>
      </c>
      <c r="AG2145" s="699"/>
      <c r="AH2145" s="699"/>
      <c r="AI2145" s="512">
        <f>IF(H2145="credit",0,IF(AE2145="free",0,IF(AE2145="me",0,IF(G2145&gt;0,(VLOOKUP(A2145,'Discount Lookup'!J:K,2)*G2145),0))))</f>
        <v>0</v>
      </c>
      <c r="AJ2145" s="513" t="str">
        <f t="shared" ca="1" si="1663"/>
        <v/>
      </c>
      <c r="AK2145" s="700" t="str">
        <f t="shared" si="1664"/>
        <v/>
      </c>
      <c r="AL2145" s="700"/>
      <c r="AM2145" s="505" t="str">
        <f t="shared" si="1665"/>
        <v/>
      </c>
      <c r="AN2145" s="506"/>
      <c r="AO2145" s="507"/>
      <c r="AP2145" s="507"/>
      <c r="AQ2145" s="507"/>
      <c r="AR2145" s="507"/>
      <c r="AS2145" s="507"/>
      <c r="AT2145" s="507"/>
      <c r="AU2145" s="507"/>
      <c r="AV2145" s="225"/>
      <c r="AW2145" s="508"/>
      <c r="AX2145" s="225"/>
      <c r="AY2145" s="225"/>
      <c r="AZ2145" s="225"/>
      <c r="BA2145" s="225"/>
      <c r="BB2145" s="225"/>
      <c r="BC2145" s="56"/>
      <c r="BD2145" s="56"/>
      <c r="BE2145" s="56"/>
      <c r="BF2145" s="107" t="str">
        <f t="shared" si="1666"/>
        <v>https://www.google.com/search?tbm=isch&amp;q=7%20G4</v>
      </c>
      <c r="BG2145" s="107" t="str">
        <f t="shared" si="1667"/>
        <v>L</v>
      </c>
      <c r="BH2145" s="254"/>
      <c r="BI2145" s="254"/>
    </row>
    <row r="2146" spans="1:61" customFormat="1" ht="15.75" x14ac:dyDescent="0.25">
      <c r="A2146" s="276">
        <v>10</v>
      </c>
      <c r="B2146" s="240" t="s">
        <v>291</v>
      </c>
      <c r="C2146" s="241" t="s">
        <v>3604</v>
      </c>
      <c r="D2146" s="242" t="s">
        <v>292</v>
      </c>
      <c r="E2146" s="243">
        <v>160.94999999999999</v>
      </c>
      <c r="F2146" s="517" t="s">
        <v>293</v>
      </c>
      <c r="G2146" s="232">
        <v>0</v>
      </c>
      <c r="H2146" s="661" t="str">
        <f>IF(G2146=0,"",IF(F2146="Buy",IF(G2146=1,"plant","plants"),IF(F2146&gt;0.01,"warranty","Error")))</f>
        <v/>
      </c>
      <c r="I2146" s="244">
        <f>IF(H2146="free",0,IF(H2146="credit",((E2146*(F2146))*G2146*-1),IF(F2146="Buy",(E2146*G2146),((E2146*(1-F2146))*G2146))))</f>
        <v>0</v>
      </c>
      <c r="J2146" s="244">
        <f>IF(H2146="warranty",0,(I2146*(_xlfn.SINGLE(SalesTaxPercentage))))</f>
        <v>0</v>
      </c>
      <c r="K2146" s="696">
        <f t="shared" ref="K2146" si="1677">I2146+J2146</f>
        <v>0</v>
      </c>
      <c r="L2146" s="696"/>
      <c r="M2146" s="659" t="str">
        <f>IF(AND(G2146&gt;0,E2146=0),"WARNING - no PRICE inserted",IF(H2146="free"," FREE ~ no charge this plant",IF(H2146="credit",CONCATENATE(" -$",ROUND(K2146*(1-T2GDiscount)*-1,2)," CREDIT after discount"),IF(T2GDiscount=0,"",IF(G2146=0,"",IF(F2146="Buy",CONCATENATE(" $",ROUND(K2146*(1-T2GDiscount),2)," with ",(T2GDiscount*100),"% discount"),CONCATENATE(" $",ROUND(K2146*(1-T2GDiscount),2)," with ",((T2GDiscount*100+F2146*100)-(T2GDiscount*100*F2146)),IF(F2146&gt;0,"% discounts",IF(NoWarrantyDiscount&gt;0,"% discounts","% discount")))))))))</f>
        <v/>
      </c>
      <c r="N2146" s="660"/>
      <c r="O2146" s="233"/>
      <c r="P2146" s="233"/>
      <c r="Q2146" s="233"/>
      <c r="R2146" s="233"/>
      <c r="S2146" s="233"/>
      <c r="T2146" s="508">
        <f t="shared" si="1655"/>
        <v>0</v>
      </c>
      <c r="U2146" s="225">
        <f>IF(NOT(ISNUMBER(G2146)), "", VLOOKUP(A2146,'Discount Lookup'!D:E,2,FALSE)*G2146)</f>
        <v>0</v>
      </c>
      <c r="V2146" s="225">
        <f>IF(NOT(ISNUMBER(G2146)), "", VLOOKUP(A2146,'Discount Lookup'!G:H,2,FALSE)*G2146)</f>
        <v>0</v>
      </c>
      <c r="W2146" s="508">
        <f t="shared" si="1656"/>
        <v>0</v>
      </c>
      <c r="X2146" s="508">
        <f t="shared" si="1657"/>
        <v>0</v>
      </c>
      <c r="Y2146" s="509" t="b">
        <f t="shared" si="1658"/>
        <v>0</v>
      </c>
      <c r="Z2146" s="510">
        <f t="shared" si="1659"/>
        <v>0</v>
      </c>
      <c r="AA2146" s="511"/>
      <c r="AB2146" s="511" t="str">
        <f t="shared" si="1660"/>
        <v/>
      </c>
      <c r="AC2146" s="698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698"/>
      <c r="AE2146" s="631" t="str">
        <f t="shared" si="1661"/>
        <v/>
      </c>
      <c r="AF2146" s="699" t="str">
        <f t="shared" si="1662"/>
        <v/>
      </c>
      <c r="AG2146" s="699"/>
      <c r="AH2146" s="699"/>
      <c r="AI2146" s="512">
        <f>IF(H2146="credit",0,IF(AE2146="free",0,IF(AE2146="me",0,IF(G2146&gt;0,(VLOOKUP(A2146,'Discount Lookup'!J:K,2)*G2146),0))))</f>
        <v>0</v>
      </c>
      <c r="AJ2146" s="513" t="str">
        <f t="shared" ca="1" si="1663"/>
        <v/>
      </c>
      <c r="AK2146" s="700" t="str">
        <f t="shared" si="1664"/>
        <v/>
      </c>
      <c r="AL2146" s="700"/>
      <c r="AM2146" s="505" t="str">
        <f t="shared" si="1665"/>
        <v/>
      </c>
      <c r="AN2146" s="506"/>
      <c r="AO2146" s="507"/>
      <c r="AP2146" s="507"/>
      <c r="AQ2146" s="507"/>
      <c r="AR2146" s="507"/>
      <c r="AS2146" s="507"/>
      <c r="AT2146" s="507"/>
      <c r="AU2146" s="507"/>
      <c r="AV2146" s="225"/>
      <c r="AW2146" s="508"/>
      <c r="AX2146" s="225"/>
      <c r="AY2146" s="225"/>
      <c r="AZ2146" s="225"/>
      <c r="BA2146" s="225"/>
      <c r="BB2146" s="225"/>
      <c r="BC2146" s="56"/>
      <c r="BD2146" s="56"/>
      <c r="BE2146" s="56"/>
      <c r="BF2146" s="107" t="str">
        <f t="shared" si="1666"/>
        <v>https://www.google.com/search?tbm=isch&amp;q=10%20G4</v>
      </c>
      <c r="BG2146" s="107" t="str">
        <f t="shared" si="1667"/>
        <v>L</v>
      </c>
      <c r="BH2146" s="254"/>
      <c r="BI2146" s="254"/>
    </row>
    <row r="2147" spans="1:61" customFormat="1" ht="15.75" x14ac:dyDescent="0.25">
      <c r="A2147" s="276">
        <v>15</v>
      </c>
      <c r="B2147" s="240" t="s">
        <v>291</v>
      </c>
      <c r="C2147" s="241" t="s">
        <v>3605</v>
      </c>
      <c r="D2147" s="242" t="s">
        <v>292</v>
      </c>
      <c r="E2147" s="243">
        <v>187.95</v>
      </c>
      <c r="F2147" s="517" t="s">
        <v>293</v>
      </c>
      <c r="G2147" s="232">
        <v>0</v>
      </c>
      <c r="H2147" s="661" t="str">
        <f>IF(G2147=0,"",IF(F2147="Buy",IF(G2147=1,"plant","plants"),IF(F2147&gt;0.01,"warranty","Error")))</f>
        <v/>
      </c>
      <c r="I2147" s="244">
        <f>IF(H2147="free",0,IF(H2147="credit",((E2147*(F2147))*G2147*-1),IF(F2147="Buy",(E2147*G2147),((E2147*(1-F2147))*G2147))))</f>
        <v>0</v>
      </c>
      <c r="J2147" s="244">
        <f>IF(H2147="warranty",0,(I2147*(_xlfn.SINGLE(SalesTaxPercentage))))</f>
        <v>0</v>
      </c>
      <c r="K2147" s="696">
        <f t="shared" ref="K2147" si="1678">I2147+J2147</f>
        <v>0</v>
      </c>
      <c r="L2147" s="696"/>
      <c r="M2147" s="659" t="str">
        <f>IF(AND(G2147&gt;0,E2147=0),"WARNING - no PRICE inserted",IF(H2147="free"," FREE ~ no charge this plant",IF(H2147="credit",CONCATENATE(" -$",ROUND(K2147*(1-T2GDiscount)*-1,2)," CREDIT after discount"),IF(T2GDiscount=0,"",IF(G2147=0,"",IF(F2147="Buy",CONCATENATE(" $",ROUND(K2147*(1-T2GDiscount),2)," with ",(T2GDiscount*100),"% discount"),CONCATENATE(" $",ROUND(K2147*(1-T2GDiscount),2)," with ",((T2GDiscount*100+F2147*100)-(T2GDiscount*100*F2147)),IF(F2147&gt;0,"% discounts",IF(NoWarrantyDiscount&gt;0,"% discounts","% discount")))))))))</f>
        <v/>
      </c>
      <c r="N2147" s="660"/>
      <c r="O2147" s="233"/>
      <c r="P2147" s="233"/>
      <c r="Q2147" s="233"/>
      <c r="R2147" s="233"/>
      <c r="S2147" s="233"/>
      <c r="T2147" s="508">
        <f t="shared" si="1655"/>
        <v>0</v>
      </c>
      <c r="U2147" s="225">
        <f>IF(NOT(ISNUMBER(G2147)), "", VLOOKUP(A2147,'Discount Lookup'!D:E,2,FALSE)*G2147)</f>
        <v>0</v>
      </c>
      <c r="V2147" s="225">
        <f>IF(NOT(ISNUMBER(G2147)), "", VLOOKUP(A2147,'Discount Lookup'!G:H,2,FALSE)*G2147)</f>
        <v>0</v>
      </c>
      <c r="W2147" s="508">
        <f t="shared" si="1656"/>
        <v>0</v>
      </c>
      <c r="X2147" s="508">
        <f t="shared" si="1657"/>
        <v>0</v>
      </c>
      <c r="Y2147" s="509" t="b">
        <f t="shared" si="1658"/>
        <v>0</v>
      </c>
      <c r="Z2147" s="510">
        <f t="shared" si="1659"/>
        <v>0</v>
      </c>
      <c r="AA2147" s="511"/>
      <c r="AB2147" s="511" t="str">
        <f t="shared" si="1660"/>
        <v/>
      </c>
      <c r="AC2147" s="698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698"/>
      <c r="AE2147" s="631" t="str">
        <f t="shared" si="1661"/>
        <v/>
      </c>
      <c r="AF2147" s="699" t="str">
        <f t="shared" si="1662"/>
        <v/>
      </c>
      <c r="AG2147" s="699"/>
      <c r="AH2147" s="699"/>
      <c r="AI2147" s="512">
        <f>IF(H2147="credit",0,IF(AE2147="free",0,IF(AE2147="me",0,IF(G2147&gt;0,(VLOOKUP(A2147,'Discount Lookup'!J:K,2)*G2147),0))))</f>
        <v>0</v>
      </c>
      <c r="AJ2147" s="513" t="str">
        <f t="shared" ca="1" si="1663"/>
        <v/>
      </c>
      <c r="AK2147" s="700" t="str">
        <f t="shared" si="1664"/>
        <v/>
      </c>
      <c r="AL2147" s="700"/>
      <c r="AM2147" s="505" t="str">
        <f t="shared" si="1665"/>
        <v/>
      </c>
      <c r="AN2147" s="506"/>
      <c r="AO2147" s="507"/>
      <c r="AP2147" s="507"/>
      <c r="AQ2147" s="507"/>
      <c r="AR2147" s="507"/>
      <c r="AS2147" s="507"/>
      <c r="AT2147" s="507"/>
      <c r="AU2147" s="507"/>
      <c r="AV2147" s="225"/>
      <c r="AW2147" s="508"/>
      <c r="AX2147" s="225"/>
      <c r="AY2147" s="225"/>
      <c r="AZ2147" s="225"/>
      <c r="BA2147" s="225"/>
      <c r="BB2147" s="225"/>
      <c r="BC2147" s="56"/>
      <c r="BD2147" s="56"/>
      <c r="BE2147" s="56"/>
      <c r="BF2147" s="107" t="str">
        <f t="shared" si="1666"/>
        <v>https://www.google.com/search?tbm=isch&amp;q=15%20G4</v>
      </c>
      <c r="BG2147" s="107" t="str">
        <f t="shared" si="1667"/>
        <v>L</v>
      </c>
      <c r="BH2147" s="254"/>
      <c r="BI2147" s="254"/>
    </row>
    <row r="2148" spans="1:61" customFormat="1" ht="17.25" thickBot="1" x14ac:dyDescent="0.3">
      <c r="A2148" s="524" t="s">
        <v>4111</v>
      </c>
      <c r="B2148" s="245"/>
      <c r="C2148" s="677"/>
      <c r="D2148" s="499"/>
      <c r="E2148" s="499"/>
      <c r="F2148" s="500"/>
      <c r="G2148" s="501"/>
      <c r="H2148" s="502"/>
      <c r="I2148" s="246"/>
      <c r="J2148" s="247"/>
      <c r="K2148" s="503"/>
      <c r="L2148" s="544"/>
      <c r="M2148" s="544"/>
      <c r="N2148" s="500"/>
      <c r="O2148" s="500"/>
      <c r="P2148" s="500"/>
      <c r="Q2148" s="500"/>
      <c r="R2148" s="500"/>
      <c r="S2148" s="669" t="s">
        <v>4976</v>
      </c>
      <c r="T2148" s="508">
        <f t="shared" si="1655"/>
        <v>0</v>
      </c>
      <c r="U2148" s="225" t="str">
        <f>IF(NOT(ISNUMBER(G2148)), "", VLOOKUP(A2148,'Discount Lookup'!D:E,2,FALSE)*G2148)</f>
        <v/>
      </c>
      <c r="V2148" s="225" t="str">
        <f>IF(NOT(ISNUMBER(G2148)), "", VLOOKUP(A2148,'Discount Lookup'!G:H,2,FALSE)*G2148)</f>
        <v/>
      </c>
      <c r="W2148" s="508">
        <f t="shared" si="1656"/>
        <v>0</v>
      </c>
      <c r="X2148" s="508">
        <f t="shared" si="1657"/>
        <v>0</v>
      </c>
      <c r="Y2148" s="509" t="b">
        <f t="shared" si="1658"/>
        <v>0</v>
      </c>
      <c r="Z2148" s="510">
        <f t="shared" si="1659"/>
        <v>0</v>
      </c>
      <c r="AA2148" s="511"/>
      <c r="AB2148" s="511" t="str">
        <f t="shared" si="1660"/>
        <v/>
      </c>
      <c r="AC2148" s="698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698"/>
      <c r="AE2148" s="631" t="str">
        <f t="shared" si="1661"/>
        <v/>
      </c>
      <c r="AF2148" s="699" t="str">
        <f t="shared" si="1662"/>
        <v/>
      </c>
      <c r="AG2148" s="699"/>
      <c r="AH2148" s="699"/>
      <c r="AI2148" s="512">
        <f>IF(H2148="credit",0,IF(AE2148="free",0,IF(AE2148="me",0,IF(G2148&gt;0,(VLOOKUP(A2148,'Discount Lookup'!J:K,2)*G2148),0))))</f>
        <v>0</v>
      </c>
      <c r="AJ2148" s="513" t="str">
        <f t="shared" ca="1" si="1663"/>
        <v/>
      </c>
      <c r="AK2148" s="700" t="str">
        <f t="shared" si="1664"/>
        <v/>
      </c>
      <c r="AL2148" s="700"/>
      <c r="AM2148" s="505" t="str">
        <f t="shared" si="1665"/>
        <v/>
      </c>
      <c r="AN2148" s="506"/>
      <c r="AO2148" s="507"/>
      <c r="AP2148" s="507"/>
      <c r="AQ2148" s="507"/>
      <c r="AR2148" s="507"/>
      <c r="AS2148" s="507"/>
      <c r="AT2148" s="507"/>
      <c r="AU2148" s="507"/>
      <c r="AV2148" s="225"/>
      <c r="AW2148" s="508"/>
      <c r="AX2148" s="225"/>
      <c r="AY2148" s="225"/>
      <c r="AZ2148" s="225"/>
      <c r="BA2148" s="225"/>
      <c r="BB2148" s="225"/>
      <c r="BC2148" s="56"/>
      <c r="BD2148" s="56"/>
      <c r="BE2148" s="56"/>
      <c r="BF2148" s="107" t="str">
        <f t="shared" si="1666"/>
        <v>https://www.google.com/search?tbm=isch&amp;q=Lavender%20Twist%20has%20cascading%20blooms%20before%20leaf%E2%80%91out%20atop%20twisted%20pendulous%20branches%2C%20Green%20foliage%20turns%20Yellow%20in%20fall%20</v>
      </c>
      <c r="BG2148" s="107" t="str">
        <f t="shared" si="1667"/>
        <v>L</v>
      </c>
      <c r="BH2148" s="254"/>
      <c r="BI2148" s="254"/>
    </row>
    <row r="2149" spans="1:61" customFormat="1" ht="18" x14ac:dyDescent="0.25">
      <c r="A2149" s="521" t="s">
        <v>2957</v>
      </c>
      <c r="B2149" s="477"/>
      <c r="C2149" s="674"/>
      <c r="D2149" s="478" t="s">
        <v>1238</v>
      </c>
      <c r="E2149" s="479"/>
      <c r="F2149" s="479"/>
      <c r="G2149" s="479"/>
      <c r="H2149" s="582" t="s">
        <v>303</v>
      </c>
      <c r="I2149" s="480" t="s">
        <v>2092</v>
      </c>
      <c r="J2149" s="479"/>
      <c r="K2149" s="479"/>
      <c r="L2149" s="560"/>
      <c r="M2149" s="671" t="s">
        <v>4985</v>
      </c>
      <c r="N2149" s="680" t="str">
        <f>IF(AND(ISTEXT($A2149), ISERROR($A2149+0)), HYPERLINK($BF2149, "Images"), "")</f>
        <v>Images</v>
      </c>
      <c r="O2149" s="662" t="s">
        <v>4969</v>
      </c>
      <c r="P2149" s="482"/>
      <c r="Q2149" s="483"/>
      <c r="R2149" s="483"/>
      <c r="S2149" s="484"/>
      <c r="T2149" s="508">
        <f t="shared" si="1655"/>
        <v>0</v>
      </c>
      <c r="U2149" s="225" t="str">
        <f>IF(NOT(ISNUMBER(G2149)), "", VLOOKUP(A2149,'Discount Lookup'!D:E,2,FALSE)*G2149)</f>
        <v/>
      </c>
      <c r="V2149" s="225" t="str">
        <f>IF(NOT(ISNUMBER(G2149)), "", VLOOKUP(A2149,'Discount Lookup'!G:H,2,FALSE)*G2149)</f>
        <v/>
      </c>
      <c r="W2149" s="508">
        <f t="shared" si="1656"/>
        <v>0</v>
      </c>
      <c r="X2149" s="508" t="str">
        <f t="shared" si="1657"/>
        <v>Blue-Green foliage</v>
      </c>
      <c r="Y2149" s="509" t="b">
        <f t="shared" si="1658"/>
        <v>0</v>
      </c>
      <c r="Z2149" s="510">
        <f t="shared" si="1659"/>
        <v>0</v>
      </c>
      <c r="AA2149" s="511"/>
      <c r="AB2149" s="511" t="str">
        <f t="shared" si="1660"/>
        <v/>
      </c>
      <c r="AC2149" s="698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698"/>
      <c r="AE2149" s="631" t="str">
        <f t="shared" si="1661"/>
        <v/>
      </c>
      <c r="AF2149" s="699" t="str">
        <f t="shared" si="1662"/>
        <v/>
      </c>
      <c r="AG2149" s="699"/>
      <c r="AH2149" s="699"/>
      <c r="AI2149" s="512">
        <f>IF(H2149="credit",0,IF(AE2149="free",0,IF(AE2149="me",0,IF(G2149&gt;0,(VLOOKUP(A2149,'Discount Lookup'!J:K,2)*G2149),0))))</f>
        <v>0</v>
      </c>
      <c r="AJ2149" s="513" t="str">
        <f t="shared" ca="1" si="1663"/>
        <v/>
      </c>
      <c r="AK2149" s="700" t="str">
        <f t="shared" si="1664"/>
        <v/>
      </c>
      <c r="AL2149" s="700"/>
      <c r="AM2149" s="505" t="str">
        <f t="shared" si="1665"/>
        <v/>
      </c>
      <c r="AN2149" s="506"/>
      <c r="AO2149" s="507"/>
      <c r="AP2149" s="507"/>
      <c r="AQ2149" s="507"/>
      <c r="AR2149" s="507"/>
      <c r="AS2149" s="507"/>
      <c r="AT2149" s="507"/>
      <c r="AU2149" s="507"/>
      <c r="AV2149" s="225"/>
      <c r="AW2149" s="508"/>
      <c r="AX2149" s="225"/>
      <c r="AY2149" s="225"/>
      <c r="AZ2149" s="225"/>
      <c r="BA2149" s="225"/>
      <c r="BB2149" s="225"/>
      <c r="BC2149" s="56"/>
      <c r="BD2149" s="56"/>
      <c r="BE2149" s="56"/>
      <c r="BF2149" s="107" t="str">
        <f t="shared" si="1666"/>
        <v>https://www.google.com/search?tbm=isch&amp;q=Leatherleaf%20Mahonia%20Mahonia%20bealei</v>
      </c>
      <c r="BG2149" s="107" t="str">
        <f t="shared" si="1667"/>
        <v>L</v>
      </c>
      <c r="BH2149" s="254"/>
      <c r="BI2149" s="254"/>
    </row>
    <row r="2150" spans="1:61" customFormat="1" ht="15.75" x14ac:dyDescent="0.25">
      <c r="A2150" s="485">
        <v>3</v>
      </c>
      <c r="B2150" s="486" t="s">
        <v>291</v>
      </c>
      <c r="C2150" s="487" t="s">
        <v>2220</v>
      </c>
      <c r="D2150" s="488" t="s">
        <v>300</v>
      </c>
      <c r="E2150" s="489">
        <v>51.95</v>
      </c>
      <c r="F2150" s="516" t="s">
        <v>293</v>
      </c>
      <c r="G2150" s="232">
        <v>0</v>
      </c>
      <c r="H2150" s="658" t="str">
        <f>IF(G2150=0,"",IF(F2150="Buy",IF(G2150=1,"plant","plants"),IF(F2150&gt;0.01,"warranty","Error")))</f>
        <v/>
      </c>
      <c r="I2150" s="490">
        <f>IF(H2150="free",0,IF(H2150="credit",((E2150*(F2150))*G2150*-1),IF(F2150="Buy",(E2150*G2150),((E2150*(1-F2150))*G2150))))</f>
        <v>0</v>
      </c>
      <c r="J2150" s="490">
        <f>IF(H2150="warranty",0,(I2150*(_xlfn.SINGLE(SalesTaxPercentage))))</f>
        <v>0</v>
      </c>
      <c r="K2150" s="695">
        <f t="shared" ref="K2150" si="1679">I2150+J2150</f>
        <v>0</v>
      </c>
      <c r="L2150" s="695"/>
      <c r="M2150" s="659" t="str">
        <f>IF(AND(G2150&gt;0,E2150=0),"WARNING - no PRICE inserted",IF(H2150="free"," FREE ~ no charge this plant",IF(H2150="credit",CONCATENATE(" -$",ROUND(K2150*(1-T2GDiscount)*-1,2)," CREDIT after discount"),IF(T2GDiscount=0,"",IF(G2150=0,"",IF(F2150="Buy",CONCATENATE(" $",ROUND(K2150*(1-T2GDiscount),2)," with ",(T2GDiscount*100),"% discount"),CONCATENATE(" $",ROUND(K2150*(1-T2GDiscount),2)," with ",((T2GDiscount*100+F2150*100)-(T2GDiscount*100*F2150)),IF(F2150&gt;0,"% discounts",IF(NoWarrantyDiscount&gt;0,"% discounts","% discount")))))))))</f>
        <v/>
      </c>
      <c r="N2150" s="660"/>
      <c r="O2150" s="233"/>
      <c r="P2150" s="233"/>
      <c r="Q2150" s="233"/>
      <c r="R2150" s="233"/>
      <c r="S2150" s="233"/>
      <c r="T2150" s="508">
        <f t="shared" si="1655"/>
        <v>0</v>
      </c>
      <c r="U2150" s="225">
        <f>IF(NOT(ISNUMBER(G2150)), "", VLOOKUP(A2150,'Discount Lookup'!D:E,2,FALSE)*G2150)</f>
        <v>0</v>
      </c>
      <c r="V2150" s="225">
        <f>IF(NOT(ISNUMBER(G2150)), "", VLOOKUP(A2150,'Discount Lookup'!G:H,2,FALSE)*G2150)</f>
        <v>0</v>
      </c>
      <c r="W2150" s="508">
        <f t="shared" si="1656"/>
        <v>0</v>
      </c>
      <c r="X2150" s="508">
        <f t="shared" si="1657"/>
        <v>0</v>
      </c>
      <c r="Y2150" s="509" t="b">
        <f t="shared" si="1658"/>
        <v>0</v>
      </c>
      <c r="Z2150" s="510">
        <f t="shared" si="1659"/>
        <v>0</v>
      </c>
      <c r="AA2150" s="511"/>
      <c r="AB2150" s="511" t="str">
        <f t="shared" si="1660"/>
        <v/>
      </c>
      <c r="AC2150" s="698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698"/>
      <c r="AE2150" s="631" t="str">
        <f t="shared" si="1661"/>
        <v/>
      </c>
      <c r="AF2150" s="699" t="str">
        <f t="shared" si="1662"/>
        <v/>
      </c>
      <c r="AG2150" s="699"/>
      <c r="AH2150" s="699"/>
      <c r="AI2150" s="512">
        <f>IF(H2150="credit",0,IF(AE2150="free",0,IF(AE2150="me",0,IF(G2150&gt;0,(VLOOKUP(A2150,'Discount Lookup'!J:K,2)*G2150),0))))</f>
        <v>0</v>
      </c>
      <c r="AJ2150" s="513" t="str">
        <f t="shared" ca="1" si="1663"/>
        <v/>
      </c>
      <c r="AK2150" s="700" t="str">
        <f t="shared" si="1664"/>
        <v/>
      </c>
      <c r="AL2150" s="700"/>
      <c r="AM2150" s="505" t="str">
        <f t="shared" si="1665"/>
        <v/>
      </c>
      <c r="AN2150" s="506"/>
      <c r="AO2150" s="507"/>
      <c r="AP2150" s="507"/>
      <c r="AQ2150" s="507"/>
      <c r="AR2150" s="507"/>
      <c r="AS2150" s="507"/>
      <c r="AT2150" s="507"/>
      <c r="AU2150" s="507"/>
      <c r="AV2150" s="225"/>
      <c r="AW2150" s="508"/>
      <c r="AX2150" s="225"/>
      <c r="AY2150" s="225"/>
      <c r="AZ2150" s="225"/>
      <c r="BA2150" s="225"/>
      <c r="BB2150" s="225"/>
      <c r="BC2150" s="56"/>
      <c r="BD2150" s="56"/>
      <c r="BE2150" s="56"/>
      <c r="BF2150" s="107" t="str">
        <f t="shared" si="1666"/>
        <v>https://www.google.com/search?tbm=isch&amp;q=3%20G6</v>
      </c>
      <c r="BG2150" s="107" t="str">
        <f t="shared" si="1667"/>
        <v>L</v>
      </c>
      <c r="BH2150" s="254"/>
      <c r="BI2150" s="254"/>
    </row>
    <row r="2151" spans="1:61" customFormat="1" ht="17.25" thickBot="1" x14ac:dyDescent="0.3">
      <c r="A2151" s="522" t="s">
        <v>2958</v>
      </c>
      <c r="B2151" s="491"/>
      <c r="C2151" s="675"/>
      <c r="D2151" s="491"/>
      <c r="E2151" s="491"/>
      <c r="F2151" s="492"/>
      <c r="G2151" s="493"/>
      <c r="H2151" s="491"/>
      <c r="I2151" s="234"/>
      <c r="J2151" s="234"/>
      <c r="K2151" s="494"/>
      <c r="L2151" s="543"/>
      <c r="M2151" s="561"/>
      <c r="N2151" s="495"/>
      <c r="O2151" s="496"/>
      <c r="P2151" s="497"/>
      <c r="Q2151" s="495"/>
      <c r="R2151" s="495"/>
      <c r="S2151" s="667" t="s">
        <v>4982</v>
      </c>
      <c r="T2151" s="508">
        <f t="shared" si="1655"/>
        <v>0</v>
      </c>
      <c r="U2151" s="225" t="str">
        <f>IF(NOT(ISNUMBER(G2151)), "", VLOOKUP(A2151,'Discount Lookup'!D:E,2,FALSE)*G2151)</f>
        <v/>
      </c>
      <c r="V2151" s="225" t="str">
        <f>IF(NOT(ISNUMBER(G2151)), "", VLOOKUP(A2151,'Discount Lookup'!G:H,2,FALSE)*G2151)</f>
        <v/>
      </c>
      <c r="W2151" s="508">
        <f t="shared" si="1656"/>
        <v>0</v>
      </c>
      <c r="X2151" s="508">
        <f t="shared" si="1657"/>
        <v>0</v>
      </c>
      <c r="Y2151" s="509" t="b">
        <f t="shared" si="1658"/>
        <v>0</v>
      </c>
      <c r="Z2151" s="510">
        <f t="shared" si="1659"/>
        <v>0</v>
      </c>
      <c r="AA2151" s="511"/>
      <c r="AB2151" s="511" t="str">
        <f t="shared" si="1660"/>
        <v/>
      </c>
      <c r="AC2151" s="698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698"/>
      <c r="AE2151" s="631" t="str">
        <f t="shared" si="1661"/>
        <v/>
      </c>
      <c r="AF2151" s="699" t="str">
        <f t="shared" si="1662"/>
        <v/>
      </c>
      <c r="AG2151" s="699"/>
      <c r="AH2151" s="699"/>
      <c r="AI2151" s="512">
        <f>IF(H2151="credit",0,IF(AE2151="free",0,IF(AE2151="me",0,IF(G2151&gt;0,(VLOOKUP(A2151,'Discount Lookup'!J:K,2)*G2151),0))))</f>
        <v>0</v>
      </c>
      <c r="AJ2151" s="513" t="str">
        <f t="shared" ca="1" si="1663"/>
        <v/>
      </c>
      <c r="AK2151" s="700" t="str">
        <f t="shared" si="1664"/>
        <v/>
      </c>
      <c r="AL2151" s="700"/>
      <c r="AM2151" s="505" t="str">
        <f t="shared" si="1665"/>
        <v/>
      </c>
      <c r="AN2151" s="506"/>
      <c r="AO2151" s="507"/>
      <c r="AP2151" s="507"/>
      <c r="AQ2151" s="507"/>
      <c r="AR2151" s="507"/>
      <c r="AS2151" s="507"/>
      <c r="AT2151" s="507"/>
      <c r="AU2151" s="507"/>
      <c r="AV2151" s="225"/>
      <c r="AW2151" s="508"/>
      <c r="AX2151" s="225"/>
      <c r="AY2151" s="225"/>
      <c r="AZ2151" s="225"/>
      <c r="BA2151" s="225"/>
      <c r="BB2151" s="225"/>
      <c r="BC2151" s="56"/>
      <c r="BD2151" s="56"/>
      <c r="BE2151" s="56"/>
      <c r="BF2151" s="107" t="str">
        <f t="shared" si="1666"/>
        <v>https://www.google.com/search?tbm=isch&amp;q=Leatherleaf%20has%20fragrant%20late%20winter%20Yellow%20blooms%20and%20striking%20Blue-Black%20fruit%20clusters%20above%20holly-like%20foliage%20</v>
      </c>
      <c r="BG2151" s="107" t="str">
        <f t="shared" si="1667"/>
        <v>L</v>
      </c>
      <c r="BH2151" s="254"/>
      <c r="BI2151" s="254"/>
    </row>
    <row r="2152" spans="1:61" customFormat="1" ht="18" x14ac:dyDescent="0.25">
      <c r="A2152" s="521" t="s">
        <v>1239</v>
      </c>
      <c r="B2152" s="477"/>
      <c r="C2152" s="674"/>
      <c r="D2152" s="478" t="s">
        <v>1240</v>
      </c>
      <c r="E2152" s="479"/>
      <c r="F2152" s="479"/>
      <c r="G2152" s="479"/>
      <c r="H2152" s="582" t="s">
        <v>359</v>
      </c>
      <c r="I2152" s="480" t="s">
        <v>654</v>
      </c>
      <c r="J2152" s="479"/>
      <c r="K2152" s="479"/>
      <c r="L2152" s="560"/>
      <c r="M2152" s="666" t="s">
        <v>4966</v>
      </c>
      <c r="N2152" s="680" t="str">
        <f>IF(AND(ISTEXT($A2152), ISERROR($A2152+0)), HYPERLINK($BF2152, "Images"), "")</f>
        <v>Images</v>
      </c>
      <c r="O2152" s="662" t="s">
        <v>4974</v>
      </c>
      <c r="P2152" s="482"/>
      <c r="Q2152" s="483"/>
      <c r="R2152" s="483"/>
      <c r="S2152" s="484"/>
      <c r="T2152" s="508">
        <f t="shared" si="1655"/>
        <v>0</v>
      </c>
      <c r="U2152" s="225" t="str">
        <f>IF(NOT(ISNUMBER(G2152)), "", VLOOKUP(A2152,'Discount Lookup'!D:E,2,FALSE)*G2152)</f>
        <v/>
      </c>
      <c r="V2152" s="225" t="str">
        <f>IF(NOT(ISNUMBER(G2152)), "", VLOOKUP(A2152,'Discount Lookup'!G:H,2,FALSE)*G2152)</f>
        <v/>
      </c>
      <c r="W2152" s="508">
        <f t="shared" si="1656"/>
        <v>0</v>
      </c>
      <c r="X2152" s="508" t="str">
        <f t="shared" si="1657"/>
        <v>White bloom</v>
      </c>
      <c r="Y2152" s="509" t="b">
        <f t="shared" si="1658"/>
        <v>0</v>
      </c>
      <c r="Z2152" s="510">
        <f t="shared" si="1659"/>
        <v>0</v>
      </c>
      <c r="AA2152" s="511"/>
      <c r="AB2152" s="511" t="str">
        <f t="shared" si="1660"/>
        <v/>
      </c>
      <c r="AC2152" s="698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698"/>
      <c r="AE2152" s="631" t="str">
        <f t="shared" si="1661"/>
        <v/>
      </c>
      <c r="AF2152" s="699" t="str">
        <f t="shared" si="1662"/>
        <v/>
      </c>
      <c r="AG2152" s="699"/>
      <c r="AH2152" s="699"/>
      <c r="AI2152" s="512">
        <f>IF(H2152="credit",0,IF(AE2152="free",0,IF(AE2152="me",0,IF(G2152&gt;0,(VLOOKUP(A2152,'Discount Lookup'!J:K,2)*G2152),0))))</f>
        <v>0</v>
      </c>
      <c r="AJ2152" s="513" t="str">
        <f t="shared" ca="1" si="1663"/>
        <v/>
      </c>
      <c r="AK2152" s="700" t="str">
        <f t="shared" si="1664"/>
        <v/>
      </c>
      <c r="AL2152" s="700"/>
      <c r="AM2152" s="505" t="str">
        <f t="shared" si="1665"/>
        <v/>
      </c>
      <c r="AN2152" s="506"/>
      <c r="AO2152" s="507"/>
      <c r="AP2152" s="507"/>
      <c r="AQ2152" s="507"/>
      <c r="AR2152" s="507"/>
      <c r="AS2152" s="507"/>
      <c r="AT2152" s="507"/>
      <c r="AU2152" s="507"/>
      <c r="AV2152" s="225"/>
      <c r="AW2152" s="508"/>
      <c r="AX2152" s="225"/>
      <c r="AY2152" s="225"/>
      <c r="AZ2152" s="225"/>
      <c r="BA2152" s="225"/>
      <c r="BB2152" s="225"/>
      <c r="BC2152" s="56"/>
      <c r="BD2152" s="56"/>
      <c r="BE2152" s="56"/>
      <c r="BF2152" s="107" t="str">
        <f t="shared" si="1666"/>
        <v>https://www.google.com/search?tbm=isch&amp;q=Leatherleaf%20Privet%20Ligustrum%20japonicum%20%27Coriaceum%27</v>
      </c>
      <c r="BG2152" s="107" t="str">
        <f t="shared" si="1667"/>
        <v>L</v>
      </c>
      <c r="BH2152" s="254"/>
      <c r="BI2152" s="254"/>
    </row>
    <row r="2153" spans="1:61" customFormat="1" ht="27" x14ac:dyDescent="0.25">
      <c r="A2153" s="485">
        <v>3</v>
      </c>
      <c r="B2153" s="486" t="s">
        <v>291</v>
      </c>
      <c r="C2153" s="487" t="s">
        <v>4423</v>
      </c>
      <c r="D2153" s="488" t="s">
        <v>292</v>
      </c>
      <c r="E2153" s="489">
        <v>31.95</v>
      </c>
      <c r="F2153" s="516" t="s">
        <v>293</v>
      </c>
      <c r="G2153" s="232">
        <v>0</v>
      </c>
      <c r="H2153" s="658" t="str">
        <f>IF(G2153=0,"",IF(F2153="Buy",IF(G2153=1,"plant","plants"),IF(F2153&gt;0.01,"warranty","Error")))</f>
        <v/>
      </c>
      <c r="I2153" s="490">
        <f>IF(H2153="free",0,IF(H2153="credit",((E2153*(F2153))*G2153*-1),IF(F2153="Buy",(E2153*G2153),((E2153*(1-F2153))*G2153))))</f>
        <v>0</v>
      </c>
      <c r="J2153" s="490">
        <f>IF(H2153="warranty",0,(I2153*(_xlfn.SINGLE(SalesTaxPercentage))))</f>
        <v>0</v>
      </c>
      <c r="K2153" s="695">
        <f t="shared" ref="K2153" si="1680">I2153+J2153</f>
        <v>0</v>
      </c>
      <c r="L2153" s="695"/>
      <c r="M2153" s="659" t="str">
        <f>IF(AND(G2153&gt;0,E2153=0),"WARNING - no PRICE inserted",IF(H2153="free"," FREE ~ no charge this plant",IF(H2153="credit",CONCATENATE(" -$",ROUND(K2153*(1-T2GDiscount)*-1,2)," CREDIT after discount"),IF(T2GDiscount=0,"",IF(G2153=0,"",IF(F2153="Buy",CONCATENATE(" $",ROUND(K2153*(1-T2GDiscount),2)," with ",(T2GDiscount*100),"% discount"),CONCATENATE(" $",ROUND(K2153*(1-T2GDiscount),2)," with ",((T2GDiscount*100+F2153*100)-(T2GDiscount*100*F2153)),IF(F2153&gt;0,"% discounts",IF(NoWarrantyDiscount&gt;0,"% discounts","% discount")))))))))</f>
        <v/>
      </c>
      <c r="N2153" s="660"/>
      <c r="O2153" s="233"/>
      <c r="P2153" s="233"/>
      <c r="Q2153" s="233"/>
      <c r="R2153" s="233"/>
      <c r="S2153" s="233"/>
      <c r="T2153" s="508">
        <f t="shared" si="1655"/>
        <v>0</v>
      </c>
      <c r="U2153" s="225">
        <f>IF(NOT(ISNUMBER(G2153)), "", VLOOKUP(A2153,'Discount Lookup'!D:E,2,FALSE)*G2153)</f>
        <v>0</v>
      </c>
      <c r="V2153" s="225">
        <f>IF(NOT(ISNUMBER(G2153)), "", VLOOKUP(A2153,'Discount Lookup'!G:H,2,FALSE)*G2153)</f>
        <v>0</v>
      </c>
      <c r="W2153" s="508">
        <f t="shared" si="1656"/>
        <v>0</v>
      </c>
      <c r="X2153" s="508">
        <f t="shared" si="1657"/>
        <v>0</v>
      </c>
      <c r="Y2153" s="509" t="b">
        <f t="shared" si="1658"/>
        <v>0</v>
      </c>
      <c r="Z2153" s="510">
        <f t="shared" si="1659"/>
        <v>0</v>
      </c>
      <c r="AA2153" s="511"/>
      <c r="AB2153" s="511" t="str">
        <f t="shared" si="1660"/>
        <v/>
      </c>
      <c r="AC2153" s="698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698"/>
      <c r="AE2153" s="631" t="str">
        <f t="shared" si="1661"/>
        <v/>
      </c>
      <c r="AF2153" s="699" t="str">
        <f t="shared" si="1662"/>
        <v/>
      </c>
      <c r="AG2153" s="699"/>
      <c r="AH2153" s="699"/>
      <c r="AI2153" s="512">
        <f>IF(H2153="credit",0,IF(AE2153="free",0,IF(AE2153="me",0,IF(G2153&gt;0,(VLOOKUP(A2153,'Discount Lookup'!J:K,2)*G2153),0))))</f>
        <v>0</v>
      </c>
      <c r="AJ2153" s="513" t="str">
        <f t="shared" ca="1" si="1663"/>
        <v/>
      </c>
      <c r="AK2153" s="700" t="str">
        <f t="shared" si="1664"/>
        <v/>
      </c>
      <c r="AL2153" s="700"/>
      <c r="AM2153" s="505" t="str">
        <f t="shared" si="1665"/>
        <v/>
      </c>
      <c r="AN2153" s="506"/>
      <c r="AO2153" s="507"/>
      <c r="AP2153" s="507"/>
      <c r="AQ2153" s="507"/>
      <c r="AR2153" s="507"/>
      <c r="AS2153" s="507"/>
      <c r="AT2153" s="507"/>
      <c r="AU2153" s="507"/>
      <c r="AV2153" s="225"/>
      <c r="AW2153" s="508"/>
      <c r="AX2153" s="225"/>
      <c r="AY2153" s="225"/>
      <c r="AZ2153" s="225"/>
      <c r="BA2153" s="225"/>
      <c r="BB2153" s="225"/>
      <c r="BC2153" s="56"/>
      <c r="BD2153" s="56"/>
      <c r="BE2153" s="56"/>
      <c r="BF2153" s="107" t="str">
        <f t="shared" si="1666"/>
        <v>https://www.google.com/search?tbm=isch&amp;q=3%20G4</v>
      </c>
      <c r="BG2153" s="107" t="str">
        <f t="shared" si="1667"/>
        <v>L</v>
      </c>
      <c r="BH2153" s="254"/>
      <c r="BI2153" s="254"/>
    </row>
    <row r="2154" spans="1:61" customFormat="1" ht="15.75" x14ac:dyDescent="0.25">
      <c r="A2154" s="485">
        <v>7</v>
      </c>
      <c r="B2154" s="486" t="s">
        <v>291</v>
      </c>
      <c r="C2154" s="487" t="s">
        <v>3606</v>
      </c>
      <c r="D2154" s="488" t="s">
        <v>292</v>
      </c>
      <c r="E2154" s="489">
        <v>100.95</v>
      </c>
      <c r="F2154" s="516" t="s">
        <v>293</v>
      </c>
      <c r="G2154" s="232">
        <v>0</v>
      </c>
      <c r="H2154" s="658" t="str">
        <f>IF(G2154=0,"",IF(F2154="Buy",IF(G2154=1,"plant","plants"),IF(F2154&gt;0.01,"warranty","Error")))</f>
        <v/>
      </c>
      <c r="I2154" s="490">
        <f>IF(H2154="free",0,IF(H2154="credit",((E2154*(F2154))*G2154*-1),IF(F2154="Buy",(E2154*G2154),((E2154*(1-F2154))*G2154))))</f>
        <v>0</v>
      </c>
      <c r="J2154" s="490">
        <f>IF(H2154="warranty",0,(I2154*(_xlfn.SINGLE(SalesTaxPercentage))))</f>
        <v>0</v>
      </c>
      <c r="K2154" s="695">
        <f t="shared" ref="K2154" si="1681">I2154+J2154</f>
        <v>0</v>
      </c>
      <c r="L2154" s="695"/>
      <c r="M2154" s="659" t="str">
        <f>IF(AND(G2154&gt;0,E2154=0),"WARNING - no PRICE inserted",IF(H2154="free"," FREE ~ no charge this plant",IF(H2154="credit",CONCATENATE(" -$",ROUND(K2154*(1-T2GDiscount)*-1,2)," CREDIT after discount"),IF(T2GDiscount=0,"",IF(G2154=0,"",IF(F2154="Buy",CONCATENATE(" $",ROUND(K2154*(1-T2GDiscount),2)," with ",(T2GDiscount*100),"% discount"),CONCATENATE(" $",ROUND(K2154*(1-T2GDiscount),2)," with ",((T2GDiscount*100+F2154*100)-(T2GDiscount*100*F2154)),IF(F2154&gt;0,"% discounts",IF(NoWarrantyDiscount&gt;0,"% discounts","% discount")))))))))</f>
        <v/>
      </c>
      <c r="N2154" s="660"/>
      <c r="O2154" s="233"/>
      <c r="P2154" s="233"/>
      <c r="Q2154" s="233"/>
      <c r="R2154" s="233"/>
      <c r="S2154" s="233"/>
      <c r="T2154" s="508">
        <f t="shared" si="1655"/>
        <v>0</v>
      </c>
      <c r="U2154" s="225">
        <f>IF(NOT(ISNUMBER(G2154)), "", VLOOKUP(A2154,'Discount Lookup'!D:E,2,FALSE)*G2154)</f>
        <v>0</v>
      </c>
      <c r="V2154" s="225">
        <f>IF(NOT(ISNUMBER(G2154)), "", VLOOKUP(A2154,'Discount Lookup'!G:H,2,FALSE)*G2154)</f>
        <v>0</v>
      </c>
      <c r="W2154" s="508">
        <f t="shared" si="1656"/>
        <v>0</v>
      </c>
      <c r="X2154" s="508">
        <f t="shared" si="1657"/>
        <v>0</v>
      </c>
      <c r="Y2154" s="509" t="b">
        <f t="shared" si="1658"/>
        <v>0</v>
      </c>
      <c r="Z2154" s="510">
        <f t="shared" si="1659"/>
        <v>0</v>
      </c>
      <c r="AA2154" s="511"/>
      <c r="AB2154" s="511" t="str">
        <f t="shared" si="1660"/>
        <v/>
      </c>
      <c r="AC2154" s="698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698"/>
      <c r="AE2154" s="631" t="str">
        <f t="shared" si="1661"/>
        <v/>
      </c>
      <c r="AF2154" s="699" t="str">
        <f t="shared" si="1662"/>
        <v/>
      </c>
      <c r="AG2154" s="699"/>
      <c r="AH2154" s="699"/>
      <c r="AI2154" s="512">
        <f>IF(H2154="credit",0,IF(AE2154="free",0,IF(AE2154="me",0,IF(G2154&gt;0,(VLOOKUP(A2154,'Discount Lookup'!J:K,2)*G2154),0))))</f>
        <v>0</v>
      </c>
      <c r="AJ2154" s="513" t="str">
        <f t="shared" ca="1" si="1663"/>
        <v/>
      </c>
      <c r="AK2154" s="700" t="str">
        <f t="shared" si="1664"/>
        <v/>
      </c>
      <c r="AL2154" s="700"/>
      <c r="AM2154" s="505" t="str">
        <f t="shared" si="1665"/>
        <v/>
      </c>
      <c r="AN2154" s="506"/>
      <c r="AO2154" s="507"/>
      <c r="AP2154" s="507"/>
      <c r="AQ2154" s="507"/>
      <c r="AR2154" s="507"/>
      <c r="AS2154" s="507"/>
      <c r="AT2154" s="507"/>
      <c r="AU2154" s="507"/>
      <c r="AV2154" s="225"/>
      <c r="AW2154" s="508"/>
      <c r="AX2154" s="225"/>
      <c r="AY2154" s="225"/>
      <c r="AZ2154" s="225"/>
      <c r="BA2154" s="225"/>
      <c r="BB2154" s="225"/>
      <c r="BC2154" s="56"/>
      <c r="BD2154" s="56"/>
      <c r="BE2154" s="56"/>
      <c r="BF2154" s="107" t="str">
        <f t="shared" si="1666"/>
        <v>https://www.google.com/search?tbm=isch&amp;q=7%20G4</v>
      </c>
      <c r="BG2154" s="107" t="str">
        <f t="shared" si="1667"/>
        <v>L</v>
      </c>
      <c r="BH2154" s="254"/>
      <c r="BI2154" s="254"/>
    </row>
    <row r="2155" spans="1:61" customFormat="1" ht="15.75" x14ac:dyDescent="0.25">
      <c r="A2155" s="485">
        <v>15</v>
      </c>
      <c r="B2155" s="486" t="s">
        <v>291</v>
      </c>
      <c r="C2155" s="487" t="s">
        <v>3344</v>
      </c>
      <c r="D2155" s="488" t="s">
        <v>292</v>
      </c>
      <c r="E2155" s="489">
        <v>194.95</v>
      </c>
      <c r="F2155" s="516" t="s">
        <v>293</v>
      </c>
      <c r="G2155" s="232">
        <v>0</v>
      </c>
      <c r="H2155" s="658" t="str">
        <f>IF(G2155=0,"",IF(F2155="Buy",IF(G2155=1,"plant","plants"),IF(F2155&gt;0.01,"warranty","Error")))</f>
        <v/>
      </c>
      <c r="I2155" s="490">
        <f>IF(H2155="free",0,IF(H2155="credit",((E2155*(F2155))*G2155*-1),IF(F2155="Buy",(E2155*G2155),((E2155*(1-F2155))*G2155))))</f>
        <v>0</v>
      </c>
      <c r="J2155" s="490">
        <f>IF(H2155="warranty",0,(I2155*(_xlfn.SINGLE(SalesTaxPercentage))))</f>
        <v>0</v>
      </c>
      <c r="K2155" s="695">
        <f t="shared" ref="K2155" si="1682">I2155+J2155</f>
        <v>0</v>
      </c>
      <c r="L2155" s="695"/>
      <c r="M2155" s="659" t="str">
        <f>IF(AND(G2155&gt;0,E2155=0),"WARNING - no PRICE inserted",IF(H2155="free"," FREE ~ no charge this plant",IF(H2155="credit",CONCATENATE(" -$",ROUND(K2155*(1-T2GDiscount)*-1,2)," CREDIT after discount"),IF(T2GDiscount=0,"",IF(G2155=0,"",IF(F2155="Buy",CONCATENATE(" $",ROUND(K2155*(1-T2GDiscount),2)," with ",(T2GDiscount*100),"% discount"),CONCATENATE(" $",ROUND(K2155*(1-T2GDiscount),2)," with ",((T2GDiscount*100+F2155*100)-(T2GDiscount*100*F2155)),IF(F2155&gt;0,"% discounts",IF(NoWarrantyDiscount&gt;0,"% discounts","% discount")))))))))</f>
        <v/>
      </c>
      <c r="N2155" s="660"/>
      <c r="O2155" s="233"/>
      <c r="P2155" s="233"/>
      <c r="Q2155" s="233"/>
      <c r="R2155" s="233"/>
      <c r="S2155" s="233"/>
      <c r="T2155" s="508">
        <f t="shared" si="1655"/>
        <v>0</v>
      </c>
      <c r="U2155" s="225">
        <f>IF(NOT(ISNUMBER(G2155)), "", VLOOKUP(A2155,'Discount Lookup'!D:E,2,FALSE)*G2155)</f>
        <v>0</v>
      </c>
      <c r="V2155" s="225">
        <f>IF(NOT(ISNUMBER(G2155)), "", VLOOKUP(A2155,'Discount Lookup'!G:H,2,FALSE)*G2155)</f>
        <v>0</v>
      </c>
      <c r="W2155" s="508">
        <f t="shared" si="1656"/>
        <v>0</v>
      </c>
      <c r="X2155" s="508">
        <f t="shared" si="1657"/>
        <v>0</v>
      </c>
      <c r="Y2155" s="509" t="b">
        <f t="shared" si="1658"/>
        <v>0</v>
      </c>
      <c r="Z2155" s="510">
        <f t="shared" si="1659"/>
        <v>0</v>
      </c>
      <c r="AA2155" s="511"/>
      <c r="AB2155" s="511" t="str">
        <f t="shared" si="1660"/>
        <v/>
      </c>
      <c r="AC2155" s="698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698"/>
      <c r="AE2155" s="631" t="str">
        <f t="shared" si="1661"/>
        <v/>
      </c>
      <c r="AF2155" s="699" t="str">
        <f t="shared" si="1662"/>
        <v/>
      </c>
      <c r="AG2155" s="699"/>
      <c r="AH2155" s="699"/>
      <c r="AI2155" s="512">
        <f>IF(H2155="credit",0,IF(AE2155="free",0,IF(AE2155="me",0,IF(G2155&gt;0,(VLOOKUP(A2155,'Discount Lookup'!J:K,2)*G2155),0))))</f>
        <v>0</v>
      </c>
      <c r="AJ2155" s="513" t="str">
        <f t="shared" ca="1" si="1663"/>
        <v/>
      </c>
      <c r="AK2155" s="700" t="str">
        <f t="shared" si="1664"/>
        <v/>
      </c>
      <c r="AL2155" s="700"/>
      <c r="AM2155" s="505" t="str">
        <f t="shared" si="1665"/>
        <v/>
      </c>
      <c r="AN2155" s="506"/>
      <c r="AO2155" s="507"/>
      <c r="AP2155" s="507"/>
      <c r="AQ2155" s="507"/>
      <c r="AR2155" s="507"/>
      <c r="AS2155" s="507"/>
      <c r="AT2155" s="507"/>
      <c r="AU2155" s="507"/>
      <c r="AV2155" s="225"/>
      <c r="AW2155" s="508"/>
      <c r="AX2155" s="225"/>
      <c r="AY2155" s="225"/>
      <c r="AZ2155" s="225"/>
      <c r="BA2155" s="225"/>
      <c r="BB2155" s="225"/>
      <c r="BC2155" s="56"/>
      <c r="BD2155" s="56"/>
      <c r="BE2155" s="56"/>
      <c r="BF2155" s="107" t="str">
        <f t="shared" si="1666"/>
        <v>https://www.google.com/search?tbm=isch&amp;q=15%20G4</v>
      </c>
      <c r="BG2155" s="107" t="str">
        <f t="shared" si="1667"/>
        <v>L</v>
      </c>
      <c r="BH2155" s="254"/>
      <c r="BI2155" s="254"/>
    </row>
    <row r="2156" spans="1:61" customFormat="1" ht="17.25" thickBot="1" x14ac:dyDescent="0.3">
      <c r="A2156" s="522" t="s">
        <v>2903</v>
      </c>
      <c r="B2156" s="491"/>
      <c r="C2156" s="675"/>
      <c r="D2156" s="491"/>
      <c r="E2156" s="491"/>
      <c r="F2156" s="492"/>
      <c r="G2156" s="493"/>
      <c r="H2156" s="491"/>
      <c r="I2156" s="234"/>
      <c r="J2156" s="234"/>
      <c r="K2156" s="494"/>
      <c r="L2156" s="543"/>
      <c r="M2156" s="561"/>
      <c r="N2156" s="495"/>
      <c r="O2156" s="496"/>
      <c r="P2156" s="497"/>
      <c r="Q2156" s="495"/>
      <c r="R2156" s="495"/>
      <c r="S2156" s="667" t="s">
        <v>4984</v>
      </c>
      <c r="T2156" s="508">
        <f t="shared" si="1655"/>
        <v>0</v>
      </c>
      <c r="U2156" s="225" t="str">
        <f>IF(NOT(ISNUMBER(G2156)), "", VLOOKUP(A2156,'Discount Lookup'!D:E,2,FALSE)*G2156)</f>
        <v/>
      </c>
      <c r="V2156" s="225" t="str">
        <f>IF(NOT(ISNUMBER(G2156)), "", VLOOKUP(A2156,'Discount Lookup'!G:H,2,FALSE)*G2156)</f>
        <v/>
      </c>
      <c r="W2156" s="508">
        <f t="shared" si="1656"/>
        <v>0</v>
      </c>
      <c r="X2156" s="508">
        <f t="shared" si="1657"/>
        <v>0</v>
      </c>
      <c r="Y2156" s="509" t="b">
        <f t="shared" si="1658"/>
        <v>0</v>
      </c>
      <c r="Z2156" s="510">
        <f t="shared" si="1659"/>
        <v>0</v>
      </c>
      <c r="AA2156" s="511"/>
      <c r="AB2156" s="511" t="str">
        <f t="shared" si="1660"/>
        <v/>
      </c>
      <c r="AC2156" s="698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698"/>
      <c r="AE2156" s="631" t="str">
        <f t="shared" si="1661"/>
        <v/>
      </c>
      <c r="AF2156" s="699" t="str">
        <f t="shared" si="1662"/>
        <v/>
      </c>
      <c r="AG2156" s="699"/>
      <c r="AH2156" s="699"/>
      <c r="AI2156" s="512">
        <f>IF(H2156="credit",0,IF(AE2156="free",0,IF(AE2156="me",0,IF(G2156&gt;0,(VLOOKUP(A2156,'Discount Lookup'!J:K,2)*G2156),0))))</f>
        <v>0</v>
      </c>
      <c r="AJ2156" s="513" t="str">
        <f t="shared" ca="1" si="1663"/>
        <v/>
      </c>
      <c r="AK2156" s="700" t="str">
        <f t="shared" si="1664"/>
        <v/>
      </c>
      <c r="AL2156" s="700"/>
      <c r="AM2156" s="505" t="str">
        <f t="shared" si="1665"/>
        <v/>
      </c>
      <c r="AN2156" s="506"/>
      <c r="AO2156" s="507"/>
      <c r="AP2156" s="507"/>
      <c r="AQ2156" s="507"/>
      <c r="AR2156" s="507"/>
      <c r="AS2156" s="507"/>
      <c r="AT2156" s="507"/>
      <c r="AU2156" s="507"/>
      <c r="AV2156" s="225"/>
      <c r="AW2156" s="508"/>
      <c r="AX2156" s="225"/>
      <c r="AY2156" s="225"/>
      <c r="AZ2156" s="225"/>
      <c r="BA2156" s="225"/>
      <c r="BB2156" s="225"/>
      <c r="BC2156" s="56"/>
      <c r="BD2156" s="56"/>
      <c r="BE2156" s="56"/>
      <c r="BF2156" s="107" t="str">
        <f t="shared" si="1666"/>
        <v>https://www.google.com/search?tbm=isch&amp;q=Leatherleaf%20has%20exceptionally%20thick%2C%20leathery%2C%20and%20concave%20Dark%20Green%20leaves.%20Dark%20berries.%20Slow%20grower%20</v>
      </c>
      <c r="BG2156" s="107" t="str">
        <f t="shared" si="1667"/>
        <v>L</v>
      </c>
      <c r="BH2156" s="254"/>
      <c r="BI2156" s="254"/>
    </row>
    <row r="2157" spans="1:61" customFormat="1" ht="18" x14ac:dyDescent="0.25">
      <c r="A2157" s="523" t="s">
        <v>1241</v>
      </c>
      <c r="B2157" s="235"/>
      <c r="C2157" s="676"/>
      <c r="D2157" s="255" t="s">
        <v>1242</v>
      </c>
      <c r="E2157" s="236"/>
      <c r="F2157" s="236"/>
      <c r="G2157" s="236"/>
      <c r="H2157" s="582" t="s">
        <v>355</v>
      </c>
      <c r="I2157" s="498" t="s">
        <v>2108</v>
      </c>
      <c r="J2157" s="237"/>
      <c r="K2157" s="237"/>
      <c r="L2157" s="274"/>
      <c r="M2157" s="668" t="s">
        <v>4962</v>
      </c>
      <c r="N2157" s="681" t="str">
        <f>IF(AND(ISTEXT($A2157), ISERROR($A2157+0)), HYPERLINK($BF2157, "Images"), "")</f>
        <v>Images</v>
      </c>
      <c r="O2157" s="663" t="s">
        <v>4969</v>
      </c>
      <c r="P2157" s="253"/>
      <c r="Q2157" s="238"/>
      <c r="R2157" s="239"/>
      <c r="S2157" s="275"/>
      <c r="T2157" s="508">
        <f t="shared" si="1655"/>
        <v>0</v>
      </c>
      <c r="U2157" s="225" t="str">
        <f>IF(NOT(ISNUMBER(G2157)), "", VLOOKUP(A2157,'Discount Lookup'!D:E,2,FALSE)*G2157)</f>
        <v/>
      </c>
      <c r="V2157" s="225" t="str">
        <f>IF(NOT(ISNUMBER(G2157)), "", VLOOKUP(A2157,'Discount Lookup'!G:H,2,FALSE)*G2157)</f>
        <v/>
      </c>
      <c r="W2157" s="508">
        <f t="shared" si="1656"/>
        <v>0</v>
      </c>
      <c r="X2157" s="508" t="str">
        <f t="shared" si="1657"/>
        <v>Lavendar-Blue bloom</v>
      </c>
      <c r="Y2157" s="509" t="b">
        <f t="shared" si="1658"/>
        <v>0</v>
      </c>
      <c r="Z2157" s="510">
        <f t="shared" si="1659"/>
        <v>0</v>
      </c>
      <c r="AA2157" s="511"/>
      <c r="AB2157" s="511" t="str">
        <f t="shared" si="1660"/>
        <v/>
      </c>
      <c r="AC2157" s="698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698"/>
      <c r="AE2157" s="631" t="str">
        <f t="shared" si="1661"/>
        <v/>
      </c>
      <c r="AF2157" s="699" t="str">
        <f t="shared" si="1662"/>
        <v/>
      </c>
      <c r="AG2157" s="699"/>
      <c r="AH2157" s="699"/>
      <c r="AI2157" s="512">
        <f>IF(H2157="credit",0,IF(AE2157="free",0,IF(AE2157="me",0,IF(G2157&gt;0,(VLOOKUP(A2157,'Discount Lookup'!J:K,2)*G2157),0))))</f>
        <v>0</v>
      </c>
      <c r="AJ2157" s="513" t="str">
        <f t="shared" ca="1" si="1663"/>
        <v/>
      </c>
      <c r="AK2157" s="700" t="str">
        <f t="shared" si="1664"/>
        <v/>
      </c>
      <c r="AL2157" s="700"/>
      <c r="AM2157" s="505" t="str">
        <f t="shared" si="1665"/>
        <v/>
      </c>
      <c r="AN2157" s="506"/>
      <c r="AO2157" s="507"/>
      <c r="AP2157" s="507"/>
      <c r="AQ2157" s="507"/>
      <c r="AR2157" s="507"/>
      <c r="AS2157" s="507"/>
      <c r="AT2157" s="507"/>
      <c r="AU2157" s="507"/>
      <c r="AV2157" s="225"/>
      <c r="AW2157" s="508"/>
      <c r="AX2157" s="225"/>
      <c r="AY2157" s="225"/>
      <c r="AZ2157" s="225"/>
      <c r="BA2157" s="225"/>
      <c r="BB2157" s="225"/>
      <c r="BC2157" s="56"/>
      <c r="BD2157" s="56"/>
      <c r="BE2157" s="56"/>
      <c r="BF2157" s="107" t="str">
        <f t="shared" si="1666"/>
        <v>https://www.google.com/search?tbm=isch&amp;q=Lecompte%20Chaste%20Tree%20Chaste%20agnus-castus%20%27Lecompte%27</v>
      </c>
      <c r="BG2157" s="107" t="str">
        <f t="shared" si="1667"/>
        <v>L</v>
      </c>
      <c r="BH2157" s="254"/>
      <c r="BI2157" s="254"/>
    </row>
    <row r="2158" spans="1:61" customFormat="1" ht="15.75" x14ac:dyDescent="0.25">
      <c r="A2158" s="276">
        <v>3</v>
      </c>
      <c r="B2158" s="240" t="s">
        <v>291</v>
      </c>
      <c r="C2158" s="241"/>
      <c r="D2158" s="242" t="s">
        <v>298</v>
      </c>
      <c r="E2158" s="243">
        <v>25.95</v>
      </c>
      <c r="F2158" s="517" t="s">
        <v>293</v>
      </c>
      <c r="G2158" s="232">
        <v>0</v>
      </c>
      <c r="H2158" s="661" t="str">
        <f>IF(G2158=0,"",IF(F2158="Buy",IF(G2158=1,"plant","plants"),IF(F2158&gt;0.01,"warranty","Error")))</f>
        <v/>
      </c>
      <c r="I2158" s="244">
        <f>IF(H2158="free",0,IF(H2158="credit",((E2158*(F2158))*G2158*-1),IF(F2158="Buy",(E2158*G2158),((E2158*(1-F2158))*G2158))))</f>
        <v>0</v>
      </c>
      <c r="J2158" s="244">
        <f>IF(H2158="warranty",0,(I2158*(_xlfn.SINGLE(SalesTaxPercentage))))</f>
        <v>0</v>
      </c>
      <c r="K2158" s="696">
        <f t="shared" ref="K2158" si="1683">I2158+J2158</f>
        <v>0</v>
      </c>
      <c r="L2158" s="696"/>
      <c r="M2158" s="659" t="str">
        <f>IF(AND(G2158&gt;0,E2158=0),"WARNING - no PRICE inserted",IF(H2158="free"," FREE ~ no charge this plant",IF(H2158="credit",CONCATENATE(" -$",ROUND(K2158*(1-T2GDiscount)*-1,2)," CREDIT after discount"),IF(T2GDiscount=0,"",IF(G2158=0,"",IF(F2158="Buy",CONCATENATE(" $",ROUND(K2158*(1-T2GDiscount),2)," with ",(T2GDiscount*100),"% discount"),CONCATENATE(" $",ROUND(K2158*(1-T2GDiscount),2)," with ",((T2GDiscount*100+F2158*100)-(T2GDiscount*100*F2158)),IF(F2158&gt;0,"% discounts",IF(NoWarrantyDiscount&gt;0,"% discounts","% discount")))))))))</f>
        <v/>
      </c>
      <c r="N2158" s="660"/>
      <c r="O2158" s="233"/>
      <c r="P2158" s="233"/>
      <c r="Q2158" s="233"/>
      <c r="R2158" s="233"/>
      <c r="S2158" s="233"/>
      <c r="T2158" s="508">
        <f t="shared" si="1655"/>
        <v>0</v>
      </c>
      <c r="U2158" s="225">
        <f>IF(NOT(ISNUMBER(G2158)), "", VLOOKUP(A2158,'Discount Lookup'!D:E,2,FALSE)*G2158)</f>
        <v>0</v>
      </c>
      <c r="V2158" s="225">
        <f>IF(NOT(ISNUMBER(G2158)), "", VLOOKUP(A2158,'Discount Lookup'!G:H,2,FALSE)*G2158)</f>
        <v>0</v>
      </c>
      <c r="W2158" s="508">
        <f t="shared" si="1656"/>
        <v>0</v>
      </c>
      <c r="X2158" s="508">
        <f t="shared" si="1657"/>
        <v>0</v>
      </c>
      <c r="Y2158" s="509" t="b">
        <f t="shared" si="1658"/>
        <v>0</v>
      </c>
      <c r="Z2158" s="510">
        <f t="shared" si="1659"/>
        <v>0</v>
      </c>
      <c r="AA2158" s="511"/>
      <c r="AB2158" s="511" t="str">
        <f t="shared" si="1660"/>
        <v/>
      </c>
      <c r="AC2158" s="698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698"/>
      <c r="AE2158" s="631" t="str">
        <f t="shared" si="1661"/>
        <v/>
      </c>
      <c r="AF2158" s="699" t="str">
        <f t="shared" si="1662"/>
        <v/>
      </c>
      <c r="AG2158" s="699"/>
      <c r="AH2158" s="699"/>
      <c r="AI2158" s="512">
        <f>IF(H2158="credit",0,IF(AE2158="free",0,IF(AE2158="me",0,IF(G2158&gt;0,(VLOOKUP(A2158,'Discount Lookup'!J:K,2)*G2158),0))))</f>
        <v>0</v>
      </c>
      <c r="AJ2158" s="513" t="str">
        <f t="shared" ca="1" si="1663"/>
        <v/>
      </c>
      <c r="AK2158" s="700" t="str">
        <f t="shared" si="1664"/>
        <v/>
      </c>
      <c r="AL2158" s="700"/>
      <c r="AM2158" s="505" t="str">
        <f t="shared" si="1665"/>
        <v/>
      </c>
      <c r="AN2158" s="506"/>
      <c r="AO2158" s="507"/>
      <c r="AP2158" s="507"/>
      <c r="AQ2158" s="507"/>
      <c r="AR2158" s="507"/>
      <c r="AS2158" s="507"/>
      <c r="AT2158" s="507"/>
      <c r="AU2158" s="507"/>
      <c r="AV2158" s="225"/>
      <c r="AW2158" s="508"/>
      <c r="AX2158" s="225"/>
      <c r="AY2158" s="225"/>
      <c r="AZ2158" s="225"/>
      <c r="BA2158" s="225"/>
      <c r="BB2158" s="225"/>
      <c r="BC2158" s="56"/>
      <c r="BD2158" s="56"/>
      <c r="BE2158" s="56"/>
      <c r="BF2158" s="107" t="str">
        <f t="shared" si="1666"/>
        <v>https://www.google.com/search?tbm=isch&amp;q=3%20G1</v>
      </c>
      <c r="BG2158" s="107" t="str">
        <f t="shared" si="1667"/>
        <v>L</v>
      </c>
      <c r="BH2158" s="254"/>
      <c r="BI2158" s="254"/>
    </row>
    <row r="2159" spans="1:61" customFormat="1" ht="15.75" x14ac:dyDescent="0.25">
      <c r="A2159" s="276">
        <v>7</v>
      </c>
      <c r="B2159" s="240" t="s">
        <v>291</v>
      </c>
      <c r="C2159" s="241" t="s">
        <v>17</v>
      </c>
      <c r="D2159" s="242" t="s">
        <v>298</v>
      </c>
      <c r="E2159" s="243">
        <v>56.95</v>
      </c>
      <c r="F2159" s="517" t="s">
        <v>293</v>
      </c>
      <c r="G2159" s="232">
        <v>0</v>
      </c>
      <c r="H2159" s="661" t="str">
        <f>IF(G2159=0,"",IF(F2159="Buy",IF(G2159=1,"plant","plants"),IF(F2159&gt;0.01,"warranty","Error")))</f>
        <v/>
      </c>
      <c r="I2159" s="244">
        <f>IF(H2159="free",0,IF(H2159="credit",((E2159*(F2159))*G2159*-1),IF(F2159="Buy",(E2159*G2159),((E2159*(1-F2159))*G2159))))</f>
        <v>0</v>
      </c>
      <c r="J2159" s="244">
        <f>IF(H2159="warranty",0,(I2159*(_xlfn.SINGLE(SalesTaxPercentage))))</f>
        <v>0</v>
      </c>
      <c r="K2159" s="696">
        <f t="shared" ref="K2159" si="1684">I2159+J2159</f>
        <v>0</v>
      </c>
      <c r="L2159" s="696"/>
      <c r="M2159" s="659" t="str">
        <f>IF(AND(G2159&gt;0,E2159=0),"WARNING - no PRICE inserted",IF(H2159="free"," FREE ~ no charge this plant",IF(H2159="credit",CONCATENATE(" -$",ROUND(K2159*(1-T2GDiscount)*-1,2)," CREDIT after discount"),IF(T2GDiscount=0,"",IF(G2159=0,"",IF(F2159="Buy",CONCATENATE(" $",ROUND(K2159*(1-T2GDiscount),2)," with ",(T2GDiscount*100),"% discount"),CONCATENATE(" $",ROUND(K2159*(1-T2GDiscount),2)," with ",((T2GDiscount*100+F2159*100)-(T2GDiscount*100*F2159)),IF(F2159&gt;0,"% discounts",IF(NoWarrantyDiscount&gt;0,"% discounts","% discount")))))))))</f>
        <v/>
      </c>
      <c r="N2159" s="660"/>
      <c r="O2159" s="233"/>
      <c r="P2159" s="233"/>
      <c r="Q2159" s="233"/>
      <c r="R2159" s="233"/>
      <c r="S2159" s="233"/>
      <c r="T2159" s="508">
        <f t="shared" si="1655"/>
        <v>0</v>
      </c>
      <c r="U2159" s="225">
        <f>IF(NOT(ISNUMBER(G2159)), "", VLOOKUP(A2159,'Discount Lookup'!D:E,2,FALSE)*G2159)</f>
        <v>0</v>
      </c>
      <c r="V2159" s="225">
        <f>IF(NOT(ISNUMBER(G2159)), "", VLOOKUP(A2159,'Discount Lookup'!G:H,2,FALSE)*G2159)</f>
        <v>0</v>
      </c>
      <c r="W2159" s="508">
        <f t="shared" si="1656"/>
        <v>0</v>
      </c>
      <c r="X2159" s="508">
        <f t="shared" si="1657"/>
        <v>0</v>
      </c>
      <c r="Y2159" s="509" t="b">
        <f t="shared" si="1658"/>
        <v>0</v>
      </c>
      <c r="Z2159" s="510">
        <f t="shared" si="1659"/>
        <v>0</v>
      </c>
      <c r="AA2159" s="511"/>
      <c r="AB2159" s="511" t="str">
        <f t="shared" si="1660"/>
        <v/>
      </c>
      <c r="AC2159" s="698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698"/>
      <c r="AE2159" s="631" t="str">
        <f t="shared" si="1661"/>
        <v/>
      </c>
      <c r="AF2159" s="699" t="str">
        <f t="shared" si="1662"/>
        <v/>
      </c>
      <c r="AG2159" s="699"/>
      <c r="AH2159" s="699"/>
      <c r="AI2159" s="512">
        <f>IF(H2159="credit",0,IF(AE2159="free",0,IF(AE2159="me",0,IF(G2159&gt;0,(VLOOKUP(A2159,'Discount Lookup'!J:K,2)*G2159),0))))</f>
        <v>0</v>
      </c>
      <c r="AJ2159" s="513" t="str">
        <f t="shared" ca="1" si="1663"/>
        <v/>
      </c>
      <c r="AK2159" s="700" t="str">
        <f t="shared" si="1664"/>
        <v/>
      </c>
      <c r="AL2159" s="700"/>
      <c r="AM2159" s="505" t="str">
        <f t="shared" si="1665"/>
        <v/>
      </c>
      <c r="AN2159" s="506"/>
      <c r="AO2159" s="507"/>
      <c r="AP2159" s="507"/>
      <c r="AQ2159" s="507"/>
      <c r="AR2159" s="507"/>
      <c r="AS2159" s="507"/>
      <c r="AT2159" s="507"/>
      <c r="AU2159" s="507"/>
      <c r="AV2159" s="225"/>
      <c r="AW2159" s="508"/>
      <c r="AX2159" s="225"/>
      <c r="AY2159" s="225"/>
      <c r="AZ2159" s="225"/>
      <c r="BA2159" s="225"/>
      <c r="BB2159" s="225"/>
      <c r="BC2159" s="56"/>
      <c r="BD2159" s="56"/>
      <c r="BE2159" s="56"/>
      <c r="BF2159" s="107" t="str">
        <f t="shared" si="1666"/>
        <v>https://www.google.com/search?tbm=isch&amp;q=7%20G1</v>
      </c>
      <c r="BG2159" s="107" t="str">
        <f t="shared" si="1667"/>
        <v>L</v>
      </c>
      <c r="BH2159" s="254"/>
      <c r="BI2159" s="254"/>
    </row>
    <row r="2160" spans="1:61" customFormat="1" ht="17.25" thickBot="1" x14ac:dyDescent="0.3">
      <c r="A2160" s="524" t="s">
        <v>2426</v>
      </c>
      <c r="B2160" s="245"/>
      <c r="C2160" s="677"/>
      <c r="D2160" s="499"/>
      <c r="E2160" s="499"/>
      <c r="F2160" s="500"/>
      <c r="G2160" s="501"/>
      <c r="H2160" s="502"/>
      <c r="I2160" s="246"/>
      <c r="J2160" s="247"/>
      <c r="K2160" s="503"/>
      <c r="L2160" s="544"/>
      <c r="M2160" s="544"/>
      <c r="N2160" s="500"/>
      <c r="O2160" s="500"/>
      <c r="P2160" s="500"/>
      <c r="Q2160" s="500"/>
      <c r="R2160" s="500"/>
      <c r="S2160" s="669" t="s">
        <v>4999</v>
      </c>
      <c r="T2160" s="508">
        <f t="shared" si="1655"/>
        <v>0</v>
      </c>
      <c r="U2160" s="225" t="str">
        <f>IF(NOT(ISNUMBER(G2160)), "", VLOOKUP(A2160,'Discount Lookup'!D:E,2,FALSE)*G2160)</f>
        <v/>
      </c>
      <c r="V2160" s="225" t="str">
        <f>IF(NOT(ISNUMBER(G2160)), "", VLOOKUP(A2160,'Discount Lookup'!G:H,2,FALSE)*G2160)</f>
        <v/>
      </c>
      <c r="W2160" s="508">
        <f t="shared" si="1656"/>
        <v>0</v>
      </c>
      <c r="X2160" s="508">
        <f t="shared" si="1657"/>
        <v>0</v>
      </c>
      <c r="Y2160" s="509" t="b">
        <f t="shared" si="1658"/>
        <v>0</v>
      </c>
      <c r="Z2160" s="510">
        <f t="shared" si="1659"/>
        <v>0</v>
      </c>
      <c r="AA2160" s="511"/>
      <c r="AB2160" s="511" t="str">
        <f t="shared" si="1660"/>
        <v/>
      </c>
      <c r="AC2160" s="698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698"/>
      <c r="AE2160" s="631" t="str">
        <f t="shared" si="1661"/>
        <v/>
      </c>
      <c r="AF2160" s="699" t="str">
        <f t="shared" si="1662"/>
        <v/>
      </c>
      <c r="AG2160" s="699"/>
      <c r="AH2160" s="699"/>
      <c r="AI2160" s="512">
        <f>IF(H2160="credit",0,IF(AE2160="free",0,IF(AE2160="me",0,IF(G2160&gt;0,(VLOOKUP(A2160,'Discount Lookup'!J:K,2)*G2160),0))))</f>
        <v>0</v>
      </c>
      <c r="AJ2160" s="513" t="str">
        <f t="shared" ca="1" si="1663"/>
        <v/>
      </c>
      <c r="AK2160" s="700" t="str">
        <f t="shared" si="1664"/>
        <v/>
      </c>
      <c r="AL2160" s="700"/>
      <c r="AM2160" s="505" t="str">
        <f t="shared" si="1665"/>
        <v/>
      </c>
      <c r="AN2160" s="506"/>
      <c r="AO2160" s="507"/>
      <c r="AP2160" s="507"/>
      <c r="AQ2160" s="507"/>
      <c r="AR2160" s="507"/>
      <c r="AS2160" s="507"/>
      <c r="AT2160" s="507"/>
      <c r="AU2160" s="507"/>
      <c r="AV2160" s="225"/>
      <c r="AW2160" s="508"/>
      <c r="AX2160" s="225"/>
      <c r="AY2160" s="225"/>
      <c r="AZ2160" s="225"/>
      <c r="BA2160" s="225"/>
      <c r="BB2160" s="225"/>
      <c r="BC2160" s="56"/>
      <c r="BD2160" s="56"/>
      <c r="BE2160" s="56"/>
      <c r="BF2160" s="107" t="str">
        <f t="shared" si="1666"/>
        <v>https://www.google.com/search?tbm=isch&amp;q=Lecompte%20has%20aromatic%2C%20sage-scented%20foliage.%20Very%20low%20water%20needs%20once%20established%20</v>
      </c>
      <c r="BG2160" s="107" t="str">
        <f t="shared" si="1667"/>
        <v>L</v>
      </c>
      <c r="BH2160" s="254"/>
      <c r="BI2160" s="254"/>
    </row>
    <row r="2161" spans="1:61" customFormat="1" ht="18" x14ac:dyDescent="0.25">
      <c r="A2161" s="523" t="s">
        <v>5443</v>
      </c>
      <c r="B2161" s="235"/>
      <c r="C2161" s="676"/>
      <c r="D2161" s="255" t="s">
        <v>1243</v>
      </c>
      <c r="E2161" s="236"/>
      <c r="F2161" s="236"/>
      <c r="G2161" s="236"/>
      <c r="H2161" s="582" t="s">
        <v>1844</v>
      </c>
      <c r="I2161" s="498" t="s">
        <v>2297</v>
      </c>
      <c r="J2161" s="237"/>
      <c r="K2161" s="237"/>
      <c r="L2161" s="274"/>
      <c r="M2161" s="668" t="s">
        <v>4962</v>
      </c>
      <c r="N2161" s="681" t="str">
        <f>IF(AND(ISTEXT($A2161), ISERROR($A2161+0)), HYPERLINK($BF2161, "Images"), "")</f>
        <v>Images</v>
      </c>
      <c r="O2161" s="663" t="s">
        <v>4967</v>
      </c>
      <c r="P2161" s="253"/>
      <c r="Q2161" s="238"/>
      <c r="R2161" s="239"/>
      <c r="S2161" s="275" t="s">
        <v>305</v>
      </c>
      <c r="T2161" s="508">
        <f t="shared" si="1655"/>
        <v>0</v>
      </c>
      <c r="U2161" s="225" t="str">
        <f>IF(NOT(ISNUMBER(G2161)), "", VLOOKUP(A2161,'Discount Lookup'!D:E,2,FALSE)*G2161)</f>
        <v/>
      </c>
      <c r="V2161" s="225" t="str">
        <f>IF(NOT(ISNUMBER(G2161)), "", VLOOKUP(A2161,'Discount Lookup'!G:H,2,FALSE)*G2161)</f>
        <v/>
      </c>
      <c r="W2161" s="508">
        <f t="shared" si="1656"/>
        <v>0</v>
      </c>
      <c r="X2161" s="508" t="str">
        <f t="shared" si="1657"/>
        <v>Dark Green, leathery foliage</v>
      </c>
      <c r="Y2161" s="509" t="b">
        <f t="shared" si="1658"/>
        <v>0</v>
      </c>
      <c r="Z2161" s="510">
        <f t="shared" si="1659"/>
        <v>0</v>
      </c>
      <c r="AA2161" s="511"/>
      <c r="AB2161" s="511" t="str">
        <f t="shared" si="1660"/>
        <v/>
      </c>
      <c r="AC2161" s="698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698"/>
      <c r="AE2161" s="631" t="str">
        <f t="shared" si="1661"/>
        <v/>
      </c>
      <c r="AF2161" s="699" t="str">
        <f t="shared" si="1662"/>
        <v/>
      </c>
      <c r="AG2161" s="699"/>
      <c r="AH2161" s="699"/>
      <c r="AI2161" s="512">
        <f>IF(H2161="credit",0,IF(AE2161="free",0,IF(AE2161="me",0,IF(G2161&gt;0,(VLOOKUP(A2161,'Discount Lookup'!J:K,2)*G2161),0))))</f>
        <v>0</v>
      </c>
      <c r="AJ2161" s="513" t="str">
        <f t="shared" ca="1" si="1663"/>
        <v/>
      </c>
      <c r="AK2161" s="700" t="str">
        <f t="shared" si="1664"/>
        <v/>
      </c>
      <c r="AL2161" s="700"/>
      <c r="AM2161" s="505" t="str">
        <f t="shared" si="1665"/>
        <v/>
      </c>
      <c r="AN2161" s="506"/>
      <c r="AO2161" s="507"/>
      <c r="AP2161" s="507"/>
      <c r="AQ2161" s="507"/>
      <c r="AR2161" s="507"/>
      <c r="AS2161" s="507"/>
      <c r="AT2161" s="507"/>
      <c r="AU2161" s="507"/>
      <c r="AV2161" s="225"/>
      <c r="AW2161" s="508"/>
      <c r="AX2161" s="225"/>
      <c r="AY2161" s="225"/>
      <c r="AZ2161" s="225"/>
      <c r="BA2161" s="225"/>
      <c r="BB2161" s="225"/>
      <c r="BC2161" s="56"/>
      <c r="BD2161" s="56"/>
      <c r="BE2161" s="56"/>
      <c r="BF2161" s="107" t="str">
        <f t="shared" si="1666"/>
        <v>https://www.google.com/search?tbm=isch&amp;q=Legacy%C2%AE%20Sugar%20Maple%20Acer%20saccharum%20%27Legacy%27%20PP%234979Exp.</v>
      </c>
      <c r="BG2161" s="107" t="str">
        <f t="shared" si="1667"/>
        <v>L</v>
      </c>
      <c r="BH2161" s="254"/>
      <c r="BI2161" s="254"/>
    </row>
    <row r="2162" spans="1:61" customFormat="1" ht="15.75" x14ac:dyDescent="0.25">
      <c r="A2162" s="276">
        <v>7</v>
      </c>
      <c r="B2162" s="240" t="s">
        <v>291</v>
      </c>
      <c r="C2162" s="241" t="s">
        <v>3528</v>
      </c>
      <c r="D2162" s="242" t="s">
        <v>292</v>
      </c>
      <c r="E2162" s="243">
        <v>116.95</v>
      </c>
      <c r="F2162" s="517" t="s">
        <v>293</v>
      </c>
      <c r="G2162" s="232">
        <v>0</v>
      </c>
      <c r="H2162" s="661" t="str">
        <f>IF(G2162=0,"",IF(F2162="Buy",IF(G2162=1,"plant","plants"),IF(F2162&gt;0.01,"warranty","Error")))</f>
        <v/>
      </c>
      <c r="I2162" s="244">
        <f>IF(H2162="free",0,IF(H2162="credit",((E2162*(F2162))*G2162*-1),IF(F2162="Buy",(E2162*G2162),((E2162*(1-F2162))*G2162))))</f>
        <v>0</v>
      </c>
      <c r="J2162" s="244">
        <f>IF(H2162="warranty",0,(I2162*(_xlfn.SINGLE(SalesTaxPercentage))))</f>
        <v>0</v>
      </c>
      <c r="K2162" s="696">
        <f t="shared" ref="K2162" si="1685">I2162+J2162</f>
        <v>0</v>
      </c>
      <c r="L2162" s="696"/>
      <c r="M2162" s="659" t="str">
        <f>IF(AND(G2162&gt;0,E2162=0),"WARNING - no PRICE inserted",IF(H2162="free"," FREE ~ no charge this plant",IF(H2162="credit",CONCATENATE(" -$",ROUND(K2162*(1-T2GDiscount)*-1,2)," CREDIT after discount"),IF(T2GDiscount=0,"",IF(G2162=0,"",IF(F2162="Buy",CONCATENATE(" $",ROUND(K2162*(1-T2GDiscount),2)," with ",(T2GDiscount*100),"% discount"),CONCATENATE(" $",ROUND(K2162*(1-T2GDiscount),2)," with ",((T2GDiscount*100+F2162*100)-(T2GDiscount*100*F2162)),IF(F2162&gt;0,"% discounts",IF(NoWarrantyDiscount&gt;0,"% discounts","% discount")))))))))</f>
        <v/>
      </c>
      <c r="N2162" s="660"/>
      <c r="O2162" s="233"/>
      <c r="P2162" s="233"/>
      <c r="Q2162" s="233"/>
      <c r="R2162" s="233"/>
      <c r="S2162" s="233"/>
      <c r="T2162" s="508">
        <f t="shared" si="1655"/>
        <v>0</v>
      </c>
      <c r="U2162" s="225">
        <f>IF(NOT(ISNUMBER(G2162)), "", VLOOKUP(A2162,'Discount Lookup'!D:E,2,FALSE)*G2162)</f>
        <v>0</v>
      </c>
      <c r="V2162" s="225">
        <f>IF(NOT(ISNUMBER(G2162)), "", VLOOKUP(A2162,'Discount Lookup'!G:H,2,FALSE)*G2162)</f>
        <v>0</v>
      </c>
      <c r="W2162" s="508">
        <f t="shared" si="1656"/>
        <v>0</v>
      </c>
      <c r="X2162" s="508">
        <f t="shared" si="1657"/>
        <v>0</v>
      </c>
      <c r="Y2162" s="509" t="b">
        <f t="shared" si="1658"/>
        <v>0</v>
      </c>
      <c r="Z2162" s="510">
        <f t="shared" si="1659"/>
        <v>0</v>
      </c>
      <c r="AA2162" s="511"/>
      <c r="AB2162" s="511" t="str">
        <f t="shared" si="1660"/>
        <v/>
      </c>
      <c r="AC2162" s="698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698"/>
      <c r="AE2162" s="631" t="str">
        <f t="shared" si="1661"/>
        <v/>
      </c>
      <c r="AF2162" s="699" t="str">
        <f t="shared" si="1662"/>
        <v/>
      </c>
      <c r="AG2162" s="699"/>
      <c r="AH2162" s="699"/>
      <c r="AI2162" s="512">
        <f>IF(H2162="credit",0,IF(AE2162="free",0,IF(AE2162="me",0,IF(G2162&gt;0,(VLOOKUP(A2162,'Discount Lookup'!J:K,2)*G2162),0))))</f>
        <v>0</v>
      </c>
      <c r="AJ2162" s="513" t="str">
        <f t="shared" ca="1" si="1663"/>
        <v/>
      </c>
      <c r="AK2162" s="700" t="str">
        <f t="shared" si="1664"/>
        <v/>
      </c>
      <c r="AL2162" s="700"/>
      <c r="AM2162" s="505" t="str">
        <f t="shared" si="1665"/>
        <v/>
      </c>
      <c r="AN2162" s="506"/>
      <c r="AO2162" s="507"/>
      <c r="AP2162" s="507"/>
      <c r="AQ2162" s="507"/>
      <c r="AR2162" s="507"/>
      <c r="AS2162" s="507"/>
      <c r="AT2162" s="507"/>
      <c r="AU2162" s="507"/>
      <c r="AV2162" s="225"/>
      <c r="AW2162" s="508"/>
      <c r="AX2162" s="225"/>
      <c r="AY2162" s="225"/>
      <c r="AZ2162" s="225"/>
      <c r="BA2162" s="225"/>
      <c r="BB2162" s="225"/>
      <c r="BC2162" s="56"/>
      <c r="BD2162" s="56"/>
      <c r="BE2162" s="56"/>
      <c r="BF2162" s="107" t="str">
        <f t="shared" si="1666"/>
        <v>https://www.google.com/search?tbm=isch&amp;q=7%20G4</v>
      </c>
      <c r="BG2162" s="107" t="str">
        <f t="shared" si="1667"/>
        <v>L</v>
      </c>
      <c r="BH2162" s="254"/>
      <c r="BI2162" s="254"/>
    </row>
    <row r="2163" spans="1:61" customFormat="1" ht="15.75" x14ac:dyDescent="0.25">
      <c r="A2163" s="276">
        <v>15</v>
      </c>
      <c r="B2163" s="240" t="s">
        <v>291</v>
      </c>
      <c r="C2163" s="241" t="s">
        <v>3607</v>
      </c>
      <c r="D2163" s="242" t="s">
        <v>292</v>
      </c>
      <c r="E2163" s="243">
        <v>187.95</v>
      </c>
      <c r="F2163" s="517" t="s">
        <v>293</v>
      </c>
      <c r="G2163" s="232">
        <v>0</v>
      </c>
      <c r="H2163" s="661" t="str">
        <f>IF(G2163=0,"",IF(F2163="Buy",IF(G2163=1,"plant","plants"),IF(F2163&gt;0.01,"warranty","Error")))</f>
        <v/>
      </c>
      <c r="I2163" s="244">
        <f>IF(H2163="free",0,IF(H2163="credit",((E2163*(F2163))*G2163*-1),IF(F2163="Buy",(E2163*G2163),((E2163*(1-F2163))*G2163))))</f>
        <v>0</v>
      </c>
      <c r="J2163" s="244">
        <f>IF(H2163="warranty",0,(I2163*(_xlfn.SINGLE(SalesTaxPercentage))))</f>
        <v>0</v>
      </c>
      <c r="K2163" s="696">
        <f t="shared" ref="K2163" si="1686">I2163+J2163</f>
        <v>0</v>
      </c>
      <c r="L2163" s="696"/>
      <c r="M2163" s="659" t="str">
        <f>IF(AND(G2163&gt;0,E2163=0),"WARNING - no PRICE inserted",IF(H2163="free"," FREE ~ no charge this plant",IF(H2163="credit",CONCATENATE(" -$",ROUND(K2163*(1-T2GDiscount)*-1,2)," CREDIT after discount"),IF(T2GDiscount=0,"",IF(G2163=0,"",IF(F2163="Buy",CONCATENATE(" $",ROUND(K2163*(1-T2GDiscount),2)," with ",(T2GDiscount*100),"% discount"),CONCATENATE(" $",ROUND(K2163*(1-T2GDiscount),2)," with ",((T2GDiscount*100+F2163*100)-(T2GDiscount*100*F2163)),IF(F2163&gt;0,"% discounts",IF(NoWarrantyDiscount&gt;0,"% discounts","% discount")))))))))</f>
        <v/>
      </c>
      <c r="N2163" s="660"/>
      <c r="O2163" s="233"/>
      <c r="P2163" s="233"/>
      <c r="Q2163" s="233"/>
      <c r="R2163" s="233"/>
      <c r="S2163" s="233"/>
      <c r="T2163" s="508">
        <f t="shared" si="1655"/>
        <v>0</v>
      </c>
      <c r="U2163" s="225">
        <f>IF(NOT(ISNUMBER(G2163)), "", VLOOKUP(A2163,'Discount Lookup'!D:E,2,FALSE)*G2163)</f>
        <v>0</v>
      </c>
      <c r="V2163" s="225">
        <f>IF(NOT(ISNUMBER(G2163)), "", VLOOKUP(A2163,'Discount Lookup'!G:H,2,FALSE)*G2163)</f>
        <v>0</v>
      </c>
      <c r="W2163" s="508">
        <f t="shared" si="1656"/>
        <v>0</v>
      </c>
      <c r="X2163" s="508">
        <f t="shared" si="1657"/>
        <v>0</v>
      </c>
      <c r="Y2163" s="509" t="b">
        <f t="shared" si="1658"/>
        <v>0</v>
      </c>
      <c r="Z2163" s="510">
        <f t="shared" si="1659"/>
        <v>0</v>
      </c>
      <c r="AA2163" s="511"/>
      <c r="AB2163" s="511" t="str">
        <f t="shared" si="1660"/>
        <v/>
      </c>
      <c r="AC2163" s="698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698"/>
      <c r="AE2163" s="631" t="str">
        <f t="shared" si="1661"/>
        <v/>
      </c>
      <c r="AF2163" s="699" t="str">
        <f t="shared" si="1662"/>
        <v/>
      </c>
      <c r="AG2163" s="699"/>
      <c r="AH2163" s="699"/>
      <c r="AI2163" s="512">
        <f>IF(H2163="credit",0,IF(AE2163="free",0,IF(AE2163="me",0,IF(G2163&gt;0,(VLOOKUP(A2163,'Discount Lookup'!J:K,2)*G2163),0))))</f>
        <v>0</v>
      </c>
      <c r="AJ2163" s="513" t="str">
        <f t="shared" ca="1" si="1663"/>
        <v/>
      </c>
      <c r="AK2163" s="700" t="str">
        <f t="shared" si="1664"/>
        <v/>
      </c>
      <c r="AL2163" s="700"/>
      <c r="AM2163" s="505" t="str">
        <f t="shared" si="1665"/>
        <v/>
      </c>
      <c r="AN2163" s="506"/>
      <c r="AO2163" s="507"/>
      <c r="AP2163" s="507"/>
      <c r="AQ2163" s="507"/>
      <c r="AR2163" s="507"/>
      <c r="AS2163" s="507"/>
      <c r="AT2163" s="507"/>
      <c r="AU2163" s="507"/>
      <c r="AV2163" s="225"/>
      <c r="AW2163" s="508"/>
      <c r="AX2163" s="225"/>
      <c r="AY2163" s="225"/>
      <c r="AZ2163" s="225"/>
      <c r="BA2163" s="225"/>
      <c r="BB2163" s="225"/>
      <c r="BC2163" s="56"/>
      <c r="BD2163" s="56"/>
      <c r="BE2163" s="56"/>
      <c r="BF2163" s="107" t="str">
        <f t="shared" si="1666"/>
        <v>https://www.google.com/search?tbm=isch&amp;q=15%20G4</v>
      </c>
      <c r="BG2163" s="107" t="str">
        <f t="shared" si="1667"/>
        <v>L</v>
      </c>
      <c r="BH2163" s="254"/>
      <c r="BI2163" s="254"/>
    </row>
    <row r="2164" spans="1:61" customFormat="1" ht="15.75" x14ac:dyDescent="0.25">
      <c r="A2164" s="276">
        <v>25</v>
      </c>
      <c r="B2164" s="240" t="s">
        <v>291</v>
      </c>
      <c r="C2164" s="241" t="s">
        <v>3608</v>
      </c>
      <c r="D2164" s="242" t="s">
        <v>292</v>
      </c>
      <c r="E2164" s="243">
        <v>339.95</v>
      </c>
      <c r="F2164" s="517" t="s">
        <v>293</v>
      </c>
      <c r="G2164" s="232">
        <v>0</v>
      </c>
      <c r="H2164" s="661" t="str">
        <f>IF(G2164=0,"",IF(F2164="Buy",IF(G2164=1,"plant","plants"),IF(F2164&gt;0.01,"warranty","Error")))</f>
        <v/>
      </c>
      <c r="I2164" s="244">
        <f>IF(H2164="free",0,IF(H2164="credit",((E2164*(F2164))*G2164*-1),IF(F2164="Buy",(E2164*G2164),((E2164*(1-F2164))*G2164))))</f>
        <v>0</v>
      </c>
      <c r="J2164" s="244">
        <f>IF(H2164="warranty",0,(I2164*(_xlfn.SINGLE(SalesTaxPercentage))))</f>
        <v>0</v>
      </c>
      <c r="K2164" s="696">
        <f t="shared" ref="K2164" si="1687">I2164+J2164</f>
        <v>0</v>
      </c>
      <c r="L2164" s="696"/>
      <c r="M2164" s="659" t="str">
        <f>IF(AND(G2164&gt;0,E2164=0),"WARNING - no PRICE inserted",IF(H2164="free"," FREE ~ no charge this plant",IF(H2164="credit",CONCATENATE(" -$",ROUND(K2164*(1-T2GDiscount)*-1,2)," CREDIT after discount"),IF(T2GDiscount=0,"",IF(G2164=0,"",IF(F2164="Buy",CONCATENATE(" $",ROUND(K2164*(1-T2GDiscount),2)," with ",(T2GDiscount*100),"% discount"),CONCATENATE(" $",ROUND(K2164*(1-T2GDiscount),2)," with ",((T2GDiscount*100+F2164*100)-(T2GDiscount*100*F2164)),IF(F2164&gt;0,"% discounts",IF(NoWarrantyDiscount&gt;0,"% discounts","% discount")))))))))</f>
        <v/>
      </c>
      <c r="N2164" s="660"/>
      <c r="O2164" s="233"/>
      <c r="P2164" s="233"/>
      <c r="Q2164" s="233"/>
      <c r="R2164" s="233"/>
      <c r="S2164" s="233"/>
      <c r="T2164" s="508">
        <f t="shared" si="1655"/>
        <v>0</v>
      </c>
      <c r="U2164" s="225">
        <f>IF(NOT(ISNUMBER(G2164)), "", VLOOKUP(A2164,'Discount Lookup'!D:E,2,FALSE)*G2164)</f>
        <v>0</v>
      </c>
      <c r="V2164" s="225">
        <f>IF(NOT(ISNUMBER(G2164)), "", VLOOKUP(A2164,'Discount Lookup'!G:H,2,FALSE)*G2164)</f>
        <v>0</v>
      </c>
      <c r="W2164" s="508">
        <f t="shared" si="1656"/>
        <v>0</v>
      </c>
      <c r="X2164" s="508">
        <f t="shared" si="1657"/>
        <v>0</v>
      </c>
      <c r="Y2164" s="509" t="b">
        <f t="shared" si="1658"/>
        <v>0</v>
      </c>
      <c r="Z2164" s="510">
        <f t="shared" si="1659"/>
        <v>0</v>
      </c>
      <c r="AA2164" s="511"/>
      <c r="AB2164" s="511" t="str">
        <f t="shared" si="1660"/>
        <v/>
      </c>
      <c r="AC2164" s="698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698"/>
      <c r="AE2164" s="631" t="str">
        <f t="shared" si="1661"/>
        <v/>
      </c>
      <c r="AF2164" s="699" t="str">
        <f t="shared" si="1662"/>
        <v/>
      </c>
      <c r="AG2164" s="699"/>
      <c r="AH2164" s="699"/>
      <c r="AI2164" s="512">
        <f>IF(H2164="credit",0,IF(AE2164="free",0,IF(AE2164="me",0,IF(G2164&gt;0,(VLOOKUP(A2164,'Discount Lookup'!J:K,2)*G2164),0))))</f>
        <v>0</v>
      </c>
      <c r="AJ2164" s="513" t="str">
        <f t="shared" ca="1" si="1663"/>
        <v/>
      </c>
      <c r="AK2164" s="700" t="str">
        <f t="shared" si="1664"/>
        <v/>
      </c>
      <c r="AL2164" s="700"/>
      <c r="AM2164" s="505" t="str">
        <f t="shared" si="1665"/>
        <v/>
      </c>
      <c r="AN2164" s="506"/>
      <c r="AO2164" s="507"/>
      <c r="AP2164" s="507"/>
      <c r="AQ2164" s="507"/>
      <c r="AR2164" s="507"/>
      <c r="AS2164" s="507"/>
      <c r="AT2164" s="507"/>
      <c r="AU2164" s="507"/>
      <c r="AV2164" s="225"/>
      <c r="AW2164" s="508"/>
      <c r="AX2164" s="225"/>
      <c r="AY2164" s="225"/>
      <c r="AZ2164" s="225"/>
      <c r="BA2164" s="225"/>
      <c r="BB2164" s="225"/>
      <c r="BC2164" s="56"/>
      <c r="BD2164" s="56"/>
      <c r="BE2164" s="56"/>
      <c r="BF2164" s="107" t="str">
        <f t="shared" si="1666"/>
        <v>https://www.google.com/search?tbm=isch&amp;q=25%20G4</v>
      </c>
      <c r="BG2164" s="107" t="str">
        <f t="shared" si="1667"/>
        <v>L</v>
      </c>
      <c r="BH2164" s="254"/>
      <c r="BI2164" s="254"/>
    </row>
    <row r="2165" spans="1:61" customFormat="1" ht="17.25" thickBot="1" x14ac:dyDescent="0.3">
      <c r="A2165" s="673" t="s">
        <v>5160</v>
      </c>
      <c r="B2165" s="245"/>
      <c r="C2165" s="677"/>
      <c r="D2165" s="499"/>
      <c r="E2165" s="499"/>
      <c r="F2165" s="500"/>
      <c r="G2165" s="501"/>
      <c r="H2165" s="502"/>
      <c r="I2165" s="246"/>
      <c r="J2165" s="247"/>
      <c r="K2165" s="503"/>
      <c r="L2165" s="544"/>
      <c r="M2165" s="544"/>
      <c r="N2165" s="500"/>
      <c r="O2165" s="500"/>
      <c r="P2165" s="500"/>
      <c r="Q2165" s="500"/>
      <c r="R2165" s="500"/>
      <c r="S2165" s="669" t="s">
        <v>4978</v>
      </c>
      <c r="T2165" s="508">
        <f t="shared" si="1655"/>
        <v>0</v>
      </c>
      <c r="U2165" s="225" t="str">
        <f>IF(NOT(ISNUMBER(G2165)), "", VLOOKUP(A2165,'Discount Lookup'!D:E,2,FALSE)*G2165)</f>
        <v/>
      </c>
      <c r="V2165" s="225" t="str">
        <f>IF(NOT(ISNUMBER(G2165)), "", VLOOKUP(A2165,'Discount Lookup'!G:H,2,FALSE)*G2165)</f>
        <v/>
      </c>
      <c r="W2165" s="508">
        <f t="shared" si="1656"/>
        <v>0</v>
      </c>
      <c r="X2165" s="508">
        <f t="shared" si="1657"/>
        <v>0</v>
      </c>
      <c r="Y2165" s="509" t="b">
        <f t="shared" si="1658"/>
        <v>0</v>
      </c>
      <c r="Z2165" s="510">
        <f t="shared" si="1659"/>
        <v>0</v>
      </c>
      <c r="AA2165" s="511"/>
      <c r="AB2165" s="511" t="str">
        <f t="shared" si="1660"/>
        <v/>
      </c>
      <c r="AC2165" s="698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698"/>
      <c r="AE2165" s="631" t="str">
        <f t="shared" si="1661"/>
        <v/>
      </c>
      <c r="AF2165" s="699" t="str">
        <f t="shared" si="1662"/>
        <v/>
      </c>
      <c r="AG2165" s="699"/>
      <c r="AH2165" s="699"/>
      <c r="AI2165" s="512">
        <f>IF(H2165="credit",0,IF(AE2165="free",0,IF(AE2165="me",0,IF(G2165&gt;0,(VLOOKUP(A2165,'Discount Lookup'!J:K,2)*G2165),0))))</f>
        <v>0</v>
      </c>
      <c r="AJ2165" s="513" t="str">
        <f t="shared" ca="1" si="1663"/>
        <v/>
      </c>
      <c r="AK2165" s="700" t="str">
        <f t="shared" si="1664"/>
        <v/>
      </c>
      <c r="AL2165" s="700"/>
      <c r="AM2165" s="505" t="str">
        <f t="shared" si="1665"/>
        <v/>
      </c>
      <c r="AN2165" s="506"/>
      <c r="AO2165" s="507"/>
      <c r="AP2165" s="507"/>
      <c r="AQ2165" s="507"/>
      <c r="AR2165" s="507"/>
      <c r="AS2165" s="507"/>
      <c r="AT2165" s="507"/>
      <c r="AU2165" s="507"/>
      <c r="AV2165" s="225"/>
      <c r="AW2165" s="508"/>
      <c r="AX2165" s="225"/>
      <c r="AY2165" s="225"/>
      <c r="AZ2165" s="225"/>
      <c r="BA2165" s="225"/>
      <c r="BB2165" s="225"/>
      <c r="BC2165" s="56"/>
      <c r="BD2165" s="56"/>
      <c r="BE2165" s="56"/>
      <c r="BF2165" s="107" t="str">
        <f t="shared" si="1666"/>
        <v>https://www.google.com/search?tbm=isch&amp;q=moist%20sites%F0%9F%92%A7GOOD%2C%20Legacy%20is%20the%20only%20Sugar%20Maple%20for%20the%20south.%20Can%20be%20tapped%20for%20syrup.%20Brilliant%20Gold-Orange-Red%20fall%20foliage%20</v>
      </c>
      <c r="BG2165" s="107" t="str">
        <f t="shared" si="1667"/>
        <v>m</v>
      </c>
      <c r="BH2165" s="254"/>
      <c r="BI2165" s="254"/>
    </row>
    <row r="2166" spans="1:61" customFormat="1" ht="18" x14ac:dyDescent="0.25">
      <c r="A2166" s="521" t="s">
        <v>5444</v>
      </c>
      <c r="B2166" s="477"/>
      <c r="C2166" s="674"/>
      <c r="D2166" s="478" t="s">
        <v>1245</v>
      </c>
      <c r="E2166" s="479"/>
      <c r="F2166" s="479"/>
      <c r="G2166" s="479"/>
      <c r="H2166" s="582" t="s">
        <v>359</v>
      </c>
      <c r="I2166" s="480" t="s">
        <v>2904</v>
      </c>
      <c r="J2166" s="479"/>
      <c r="K2166" s="479"/>
      <c r="L2166" s="560"/>
      <c r="M2166" s="666" t="s">
        <v>4963</v>
      </c>
      <c r="N2166" s="680" t="str">
        <f>IF(AND(ISTEXT($A2166), ISERROR($A2166+0)), HYPERLINK($BF2166, "Images"), "")</f>
        <v>Images</v>
      </c>
      <c r="O2166" s="662" t="s">
        <v>4974</v>
      </c>
      <c r="P2166" s="482"/>
      <c r="Q2166" s="483"/>
      <c r="R2166" s="483"/>
      <c r="S2166" s="484" t="s">
        <v>305</v>
      </c>
      <c r="T2166" s="508">
        <f t="shared" si="1655"/>
        <v>0</v>
      </c>
      <c r="U2166" s="225" t="str">
        <f>IF(NOT(ISNUMBER(G2166)), "", VLOOKUP(A2166,'Discount Lookup'!D:E,2,FALSE)*G2166)</f>
        <v/>
      </c>
      <c r="V2166" s="225" t="str">
        <f>IF(NOT(ISNUMBER(G2166)), "", VLOOKUP(A2166,'Discount Lookup'!G:H,2,FALSE)*G2166)</f>
        <v/>
      </c>
      <c r="W2166" s="508">
        <f t="shared" si="1656"/>
        <v>0</v>
      </c>
      <c r="X2166" s="508" t="str">
        <f t="shared" si="1657"/>
        <v>Lemon-Yellow foliage</v>
      </c>
      <c r="Y2166" s="509" t="b">
        <f t="shared" si="1658"/>
        <v>0</v>
      </c>
      <c r="Z2166" s="510">
        <f t="shared" si="1659"/>
        <v>0</v>
      </c>
      <c r="AA2166" s="511"/>
      <c r="AB2166" s="511" t="str">
        <f t="shared" si="1660"/>
        <v/>
      </c>
      <c r="AC2166" s="698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698"/>
      <c r="AE2166" s="631" t="str">
        <f t="shared" si="1661"/>
        <v/>
      </c>
      <c r="AF2166" s="699" t="str">
        <f t="shared" si="1662"/>
        <v/>
      </c>
      <c r="AG2166" s="699"/>
      <c r="AH2166" s="699"/>
      <c r="AI2166" s="512">
        <f>IF(H2166="credit",0,IF(AE2166="free",0,IF(AE2166="me",0,IF(G2166&gt;0,(VLOOKUP(A2166,'Discount Lookup'!J:K,2)*G2166),0))))</f>
        <v>0</v>
      </c>
      <c r="AJ2166" s="513" t="str">
        <f t="shared" ca="1" si="1663"/>
        <v/>
      </c>
      <c r="AK2166" s="700" t="str">
        <f t="shared" si="1664"/>
        <v/>
      </c>
      <c r="AL2166" s="700"/>
      <c r="AM2166" s="505" t="str">
        <f t="shared" si="1665"/>
        <v/>
      </c>
      <c r="AN2166" s="506"/>
      <c r="AO2166" s="507"/>
      <c r="AP2166" s="507"/>
      <c r="AQ2166" s="507"/>
      <c r="AR2166" s="507"/>
      <c r="AS2166" s="507"/>
      <c r="AT2166" s="507"/>
      <c r="AU2166" s="507"/>
      <c r="AV2166" s="225"/>
      <c r="AW2166" s="508"/>
      <c r="AX2166" s="225"/>
      <c r="AY2166" s="225"/>
      <c r="AZ2166" s="225"/>
      <c r="BA2166" s="225"/>
      <c r="BB2166" s="225"/>
      <c r="BC2166" s="56"/>
      <c r="BD2166" s="56"/>
      <c r="BE2166" s="56"/>
      <c r="BF2166" s="107" t="str">
        <f t="shared" si="1666"/>
        <v>https://www.google.com/search?tbm=isch&amp;q=Lemon%20Burst%C2%AE%20Arborvitae%20Thuja%20occidentalis%20%27RutThu3%27%20PP%2335206</v>
      </c>
      <c r="BG2166" s="107" t="str">
        <f t="shared" si="1667"/>
        <v>L</v>
      </c>
      <c r="BH2166" s="254"/>
      <c r="BI2166" s="254"/>
    </row>
    <row r="2167" spans="1:61" customFormat="1" ht="15.75" x14ac:dyDescent="0.25">
      <c r="A2167" s="485">
        <v>3</v>
      </c>
      <c r="B2167" s="486" t="s">
        <v>291</v>
      </c>
      <c r="C2167" s="487" t="s">
        <v>3609</v>
      </c>
      <c r="D2167" s="488" t="s">
        <v>292</v>
      </c>
      <c r="E2167" s="489">
        <v>40.950000000000003</v>
      </c>
      <c r="F2167" s="516" t="s">
        <v>293</v>
      </c>
      <c r="G2167" s="232">
        <v>0</v>
      </c>
      <c r="H2167" s="658" t="str">
        <f>IF(G2167=0,"",IF(F2167="Buy",IF(G2167=1,"plant","plants"),IF(F2167&gt;0.01,"warranty","Error")))</f>
        <v/>
      </c>
      <c r="I2167" s="490">
        <f>IF(H2167="free",0,IF(H2167="credit",((E2167*(F2167))*G2167*-1),IF(F2167="Buy",(E2167*G2167),((E2167*(1-F2167))*G2167))))</f>
        <v>0</v>
      </c>
      <c r="J2167" s="490">
        <f>IF(H2167="warranty",0,(I2167*(_xlfn.SINGLE(SalesTaxPercentage))))</f>
        <v>0</v>
      </c>
      <c r="K2167" s="695">
        <f t="shared" ref="K2167" si="1688">I2167+J2167</f>
        <v>0</v>
      </c>
      <c r="L2167" s="695"/>
      <c r="M2167" s="659" t="str">
        <f>IF(AND(G2167&gt;0,E2167=0),"WARNING - no PRICE inserted",IF(H2167="free"," FREE ~ no charge this plant",IF(H2167="credit",CONCATENATE(" -$",ROUND(K2167*(1-T2GDiscount)*-1,2)," CREDIT after discount"),IF(T2GDiscount=0,"",IF(G2167=0,"",IF(F2167="Buy",CONCATENATE(" $",ROUND(K2167*(1-T2GDiscount),2)," with ",(T2GDiscount*100),"% discount"),CONCATENATE(" $",ROUND(K2167*(1-T2GDiscount),2)," with ",((T2GDiscount*100+F2167*100)-(T2GDiscount*100*F2167)),IF(F2167&gt;0,"% discounts",IF(NoWarrantyDiscount&gt;0,"% discounts","% discount")))))))))</f>
        <v/>
      </c>
      <c r="N2167" s="660"/>
      <c r="O2167" s="233"/>
      <c r="P2167" s="233"/>
      <c r="Q2167" s="233"/>
      <c r="R2167" s="233"/>
      <c r="S2167" s="233"/>
      <c r="T2167" s="508">
        <f t="shared" si="1655"/>
        <v>0</v>
      </c>
      <c r="U2167" s="225">
        <f>IF(NOT(ISNUMBER(G2167)), "", VLOOKUP(A2167,'Discount Lookup'!D:E,2,FALSE)*G2167)</f>
        <v>0</v>
      </c>
      <c r="V2167" s="225">
        <f>IF(NOT(ISNUMBER(G2167)), "", VLOOKUP(A2167,'Discount Lookup'!G:H,2,FALSE)*G2167)</f>
        <v>0</v>
      </c>
      <c r="W2167" s="508">
        <f t="shared" si="1656"/>
        <v>0</v>
      </c>
      <c r="X2167" s="508">
        <f t="shared" si="1657"/>
        <v>0</v>
      </c>
      <c r="Y2167" s="509" t="b">
        <f t="shared" si="1658"/>
        <v>0</v>
      </c>
      <c r="Z2167" s="510">
        <f t="shared" si="1659"/>
        <v>0</v>
      </c>
      <c r="AA2167" s="511"/>
      <c r="AB2167" s="511" t="str">
        <f t="shared" si="1660"/>
        <v/>
      </c>
      <c r="AC2167" s="698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698"/>
      <c r="AE2167" s="631" t="str">
        <f t="shared" si="1661"/>
        <v/>
      </c>
      <c r="AF2167" s="699" t="str">
        <f t="shared" si="1662"/>
        <v/>
      </c>
      <c r="AG2167" s="699"/>
      <c r="AH2167" s="699"/>
      <c r="AI2167" s="512">
        <f>IF(H2167="credit",0,IF(AE2167="free",0,IF(AE2167="me",0,IF(G2167&gt;0,(VLOOKUP(A2167,'Discount Lookup'!J:K,2)*G2167),0))))</f>
        <v>0</v>
      </c>
      <c r="AJ2167" s="513" t="str">
        <f t="shared" ca="1" si="1663"/>
        <v/>
      </c>
      <c r="AK2167" s="700" t="str">
        <f t="shared" si="1664"/>
        <v/>
      </c>
      <c r="AL2167" s="700"/>
      <c r="AM2167" s="505" t="str">
        <f t="shared" si="1665"/>
        <v/>
      </c>
      <c r="AN2167" s="506"/>
      <c r="AO2167" s="507"/>
      <c r="AP2167" s="507"/>
      <c r="AQ2167" s="507"/>
      <c r="AR2167" s="507"/>
      <c r="AS2167" s="507"/>
      <c r="AT2167" s="507"/>
      <c r="AU2167" s="507"/>
      <c r="AV2167" s="225"/>
      <c r="AW2167" s="508"/>
      <c r="AX2167" s="225"/>
      <c r="AY2167" s="225"/>
      <c r="AZ2167" s="225"/>
      <c r="BA2167" s="225"/>
      <c r="BB2167" s="225"/>
      <c r="BC2167" s="56"/>
      <c r="BD2167" s="56"/>
      <c r="BE2167" s="56"/>
      <c r="BF2167" s="107" t="str">
        <f t="shared" si="1666"/>
        <v>https://www.google.com/search?tbm=isch&amp;q=3%20G4</v>
      </c>
      <c r="BG2167" s="107" t="str">
        <f t="shared" si="1667"/>
        <v>L</v>
      </c>
      <c r="BH2167" s="254"/>
      <c r="BI2167" s="254"/>
    </row>
    <row r="2168" spans="1:61" customFormat="1" ht="17.25" thickBot="1" x14ac:dyDescent="0.3">
      <c r="A2168" s="522" t="s">
        <v>4112</v>
      </c>
      <c r="B2168" s="491"/>
      <c r="C2168" s="675"/>
      <c r="D2168" s="491"/>
      <c r="E2168" s="491"/>
      <c r="F2168" s="492"/>
      <c r="G2168" s="493"/>
      <c r="H2168" s="491"/>
      <c r="I2168" s="234"/>
      <c r="J2168" s="234"/>
      <c r="K2168" s="494"/>
      <c r="L2168" s="543"/>
      <c r="M2168" s="561"/>
      <c r="N2168" s="495"/>
      <c r="O2168" s="496"/>
      <c r="P2168" s="497"/>
      <c r="Q2168" s="495"/>
      <c r="R2168" s="495"/>
      <c r="S2168" s="667" t="s">
        <v>4984</v>
      </c>
      <c r="T2168" s="508">
        <f t="shared" si="1655"/>
        <v>0</v>
      </c>
      <c r="U2168" s="225" t="str">
        <f>IF(NOT(ISNUMBER(G2168)), "", VLOOKUP(A2168,'Discount Lookup'!D:E,2,FALSE)*G2168)</f>
        <v/>
      </c>
      <c r="V2168" s="225" t="str">
        <f>IF(NOT(ISNUMBER(G2168)), "", VLOOKUP(A2168,'Discount Lookup'!G:H,2,FALSE)*G2168)</f>
        <v/>
      </c>
      <c r="W2168" s="508">
        <f t="shared" si="1656"/>
        <v>0</v>
      </c>
      <c r="X2168" s="508">
        <f t="shared" si="1657"/>
        <v>0</v>
      </c>
      <c r="Y2168" s="509" t="b">
        <f t="shared" si="1658"/>
        <v>0</v>
      </c>
      <c r="Z2168" s="510">
        <f t="shared" si="1659"/>
        <v>0</v>
      </c>
      <c r="AA2168" s="511"/>
      <c r="AB2168" s="511" t="str">
        <f t="shared" si="1660"/>
        <v/>
      </c>
      <c r="AC2168" s="698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698"/>
      <c r="AE2168" s="631" t="str">
        <f t="shared" si="1661"/>
        <v/>
      </c>
      <c r="AF2168" s="699" t="str">
        <f t="shared" si="1662"/>
        <v/>
      </c>
      <c r="AG2168" s="699"/>
      <c r="AH2168" s="699"/>
      <c r="AI2168" s="512">
        <f>IF(H2168="credit",0,IF(AE2168="free",0,IF(AE2168="me",0,IF(G2168&gt;0,(VLOOKUP(A2168,'Discount Lookup'!J:K,2)*G2168),0))))</f>
        <v>0</v>
      </c>
      <c r="AJ2168" s="513" t="str">
        <f t="shared" ca="1" si="1663"/>
        <v/>
      </c>
      <c r="AK2168" s="700" t="str">
        <f t="shared" si="1664"/>
        <v/>
      </c>
      <c r="AL2168" s="700"/>
      <c r="AM2168" s="505" t="str">
        <f t="shared" si="1665"/>
        <v/>
      </c>
      <c r="AN2168" s="506"/>
      <c r="AO2168" s="507"/>
      <c r="AP2168" s="507"/>
      <c r="AQ2168" s="507"/>
      <c r="AR2168" s="507"/>
      <c r="AS2168" s="507"/>
      <c r="AT2168" s="507"/>
      <c r="AU2168" s="507"/>
      <c r="AV2168" s="225"/>
      <c r="AW2168" s="508"/>
      <c r="AX2168" s="225"/>
      <c r="AY2168" s="225"/>
      <c r="AZ2168" s="225"/>
      <c r="BA2168" s="225"/>
      <c r="BB2168" s="225"/>
      <c r="BC2168" s="56"/>
      <c r="BD2168" s="56"/>
      <c r="BE2168" s="56"/>
      <c r="BF2168" s="107" t="str">
        <f t="shared" si="1666"/>
        <v>https://www.google.com/search?tbm=isch&amp;q=Lemon%20Burst%20holds%20it%27s%20bold%20Golden%20foliage%20year-round.%20Green%20interior.%20Resists%20common%20needle%20blight%20</v>
      </c>
      <c r="BG2168" s="107" t="str">
        <f t="shared" si="1667"/>
        <v>L</v>
      </c>
      <c r="BH2168" s="254"/>
      <c r="BI2168" s="254"/>
    </row>
    <row r="2169" spans="1:61" customFormat="1" ht="18" x14ac:dyDescent="0.25">
      <c r="A2169" s="523" t="s">
        <v>1246</v>
      </c>
      <c r="B2169" s="235"/>
      <c r="C2169" s="676"/>
      <c r="D2169" s="255" t="s">
        <v>1247</v>
      </c>
      <c r="E2169" s="236"/>
      <c r="F2169" s="236"/>
      <c r="G2169" s="236"/>
      <c r="H2169" s="582" t="s">
        <v>899</v>
      </c>
      <c r="I2169" s="498" t="s">
        <v>2156</v>
      </c>
      <c r="J2169" s="237"/>
      <c r="K2169" s="237"/>
      <c r="L2169" s="274"/>
      <c r="M2169" s="670" t="s">
        <v>4973</v>
      </c>
      <c r="N2169" s="681" t="str">
        <f>IF(AND(ISTEXT($A2169), ISERROR($A2169+0)), HYPERLINK($BF2169, "Images"), "")</f>
        <v>Images</v>
      </c>
      <c r="O2169" s="663" t="s">
        <v>4967</v>
      </c>
      <c r="P2169" s="253"/>
      <c r="Q2169" s="238"/>
      <c r="R2169" s="239"/>
      <c r="S2169" s="275"/>
      <c r="T2169" s="508">
        <f t="shared" si="1655"/>
        <v>0</v>
      </c>
      <c r="U2169" s="225" t="str">
        <f>IF(NOT(ISNUMBER(G2169)), "", VLOOKUP(A2169,'Discount Lookup'!D:E,2,FALSE)*G2169)</f>
        <v/>
      </c>
      <c r="V2169" s="225" t="str">
        <f>IF(NOT(ISNUMBER(G2169)), "", VLOOKUP(A2169,'Discount Lookup'!G:H,2,FALSE)*G2169)</f>
        <v/>
      </c>
      <c r="W2169" s="508">
        <f t="shared" si="1656"/>
        <v>0</v>
      </c>
      <c r="X2169" s="508" t="str">
        <f t="shared" si="1657"/>
        <v>Lime-Green foliage</v>
      </c>
      <c r="Y2169" s="509" t="b">
        <f t="shared" si="1658"/>
        <v>0</v>
      </c>
      <c r="Z2169" s="510">
        <f t="shared" si="1659"/>
        <v>0</v>
      </c>
      <c r="AA2169" s="511"/>
      <c r="AB2169" s="511" t="str">
        <f t="shared" si="1660"/>
        <v/>
      </c>
      <c r="AC2169" s="698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698"/>
      <c r="AE2169" s="631" t="str">
        <f t="shared" si="1661"/>
        <v/>
      </c>
      <c r="AF2169" s="699" t="str">
        <f t="shared" si="1662"/>
        <v/>
      </c>
      <c r="AG2169" s="699"/>
      <c r="AH2169" s="699"/>
      <c r="AI2169" s="512">
        <f>IF(H2169="credit",0,IF(AE2169="free",0,IF(AE2169="me",0,IF(G2169&gt;0,(VLOOKUP(A2169,'Discount Lookup'!J:K,2)*G2169),0))))</f>
        <v>0</v>
      </c>
      <c r="AJ2169" s="513" t="str">
        <f t="shared" ca="1" si="1663"/>
        <v/>
      </c>
      <c r="AK2169" s="700" t="str">
        <f t="shared" si="1664"/>
        <v/>
      </c>
      <c r="AL2169" s="700"/>
      <c r="AM2169" s="505" t="str">
        <f t="shared" si="1665"/>
        <v/>
      </c>
      <c r="AN2169" s="506"/>
      <c r="AO2169" s="507"/>
      <c r="AP2169" s="507"/>
      <c r="AQ2169" s="507"/>
      <c r="AR2169" s="507"/>
      <c r="AS2169" s="507"/>
      <c r="AT2169" s="507"/>
      <c r="AU2169" s="507"/>
      <c r="AV2169" s="225"/>
      <c r="AW2169" s="508"/>
      <c r="AX2169" s="225"/>
      <c r="AY2169" s="225"/>
      <c r="AZ2169" s="225"/>
      <c r="BA2169" s="225"/>
      <c r="BB2169" s="225"/>
      <c r="BC2169" s="56"/>
      <c r="BD2169" s="56"/>
      <c r="BE2169" s="56"/>
      <c r="BF2169" s="107" t="str">
        <f t="shared" si="1666"/>
        <v>https://www.google.com/search?tbm=isch&amp;q=Lemon%20Lime%20Lace%20Japanese%20Maple%20Acer%20palmatum%20var.%20dis.%20%27Lemon%20Lime%20Lace%27</v>
      </c>
      <c r="BG2169" s="107" t="str">
        <f t="shared" si="1667"/>
        <v>L</v>
      </c>
      <c r="BH2169" s="254"/>
      <c r="BI2169" s="254"/>
    </row>
    <row r="2170" spans="1:61" customFormat="1" ht="27" x14ac:dyDescent="0.25">
      <c r="A2170" s="276">
        <v>7</v>
      </c>
      <c r="B2170" s="240" t="s">
        <v>291</v>
      </c>
      <c r="C2170" s="241" t="s">
        <v>3610</v>
      </c>
      <c r="D2170" s="242" t="s">
        <v>292</v>
      </c>
      <c r="E2170" s="243">
        <v>224.95</v>
      </c>
      <c r="F2170" s="517" t="s">
        <v>293</v>
      </c>
      <c r="G2170" s="232">
        <v>0</v>
      </c>
      <c r="H2170" s="661" t="str">
        <f>IF(G2170=0,"",IF(F2170="Buy",IF(G2170=1,"plant","plants"),IF(F2170&gt;0.01,"warranty","Error")))</f>
        <v/>
      </c>
      <c r="I2170" s="244">
        <f>IF(H2170="free",0,IF(H2170="credit",((E2170*(F2170))*G2170*-1),IF(F2170="Buy",(E2170*G2170),((E2170*(1-F2170))*G2170))))</f>
        <v>0</v>
      </c>
      <c r="J2170" s="244">
        <f>IF(H2170="warranty",0,(I2170*(_xlfn.SINGLE(SalesTaxPercentage))))</f>
        <v>0</v>
      </c>
      <c r="K2170" s="696">
        <f t="shared" ref="K2170" si="1689">I2170+J2170</f>
        <v>0</v>
      </c>
      <c r="L2170" s="696"/>
      <c r="M2170" s="659" t="str">
        <f>IF(AND(G2170&gt;0,E2170=0),"WARNING - no PRICE inserted",IF(H2170="free"," FREE ~ no charge this plant",IF(H2170="credit",CONCATENATE(" -$",ROUND(K2170*(1-T2GDiscount)*-1,2)," CREDIT after discount"),IF(T2GDiscount=0,"",IF(G2170=0,"",IF(F2170="Buy",CONCATENATE(" $",ROUND(K2170*(1-T2GDiscount),2)," with ",(T2GDiscount*100),"% discount"),CONCATENATE(" $",ROUND(K2170*(1-T2GDiscount),2)," with ",((T2GDiscount*100+F2170*100)-(T2GDiscount*100*F2170)),IF(F2170&gt;0,"% discounts",IF(NoWarrantyDiscount&gt;0,"% discounts","% discount")))))))))</f>
        <v/>
      </c>
      <c r="N2170" s="660"/>
      <c r="O2170" s="233"/>
      <c r="P2170" s="233"/>
      <c r="Q2170" s="233"/>
      <c r="R2170" s="233"/>
      <c r="S2170" s="233"/>
      <c r="T2170" s="508">
        <f t="shared" si="1655"/>
        <v>0</v>
      </c>
      <c r="U2170" s="225">
        <f>IF(NOT(ISNUMBER(G2170)), "", VLOOKUP(A2170,'Discount Lookup'!D:E,2,FALSE)*G2170)</f>
        <v>0</v>
      </c>
      <c r="V2170" s="225">
        <f>IF(NOT(ISNUMBER(G2170)), "", VLOOKUP(A2170,'Discount Lookup'!G:H,2,FALSE)*G2170)</f>
        <v>0</v>
      </c>
      <c r="W2170" s="508">
        <f t="shared" si="1656"/>
        <v>0</v>
      </c>
      <c r="X2170" s="508">
        <f t="shared" si="1657"/>
        <v>0</v>
      </c>
      <c r="Y2170" s="509" t="b">
        <f t="shared" si="1658"/>
        <v>0</v>
      </c>
      <c r="Z2170" s="510">
        <f t="shared" si="1659"/>
        <v>0</v>
      </c>
      <c r="AA2170" s="511"/>
      <c r="AB2170" s="511" t="str">
        <f t="shared" si="1660"/>
        <v/>
      </c>
      <c r="AC2170" s="698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698"/>
      <c r="AE2170" s="631" t="str">
        <f t="shared" si="1661"/>
        <v/>
      </c>
      <c r="AF2170" s="699" t="str">
        <f t="shared" si="1662"/>
        <v/>
      </c>
      <c r="AG2170" s="699"/>
      <c r="AH2170" s="699"/>
      <c r="AI2170" s="512">
        <f>IF(H2170="credit",0,IF(AE2170="free",0,IF(AE2170="me",0,IF(G2170&gt;0,(VLOOKUP(A2170,'Discount Lookup'!J:K,2)*G2170),0))))</f>
        <v>0</v>
      </c>
      <c r="AJ2170" s="513" t="str">
        <f t="shared" ca="1" si="1663"/>
        <v/>
      </c>
      <c r="AK2170" s="700" t="str">
        <f t="shared" si="1664"/>
        <v/>
      </c>
      <c r="AL2170" s="700"/>
      <c r="AM2170" s="505" t="str">
        <f t="shared" si="1665"/>
        <v/>
      </c>
      <c r="AN2170" s="506"/>
      <c r="AO2170" s="507"/>
      <c r="AP2170" s="507"/>
      <c r="AQ2170" s="507"/>
      <c r="AR2170" s="507"/>
      <c r="AS2170" s="507"/>
      <c r="AT2170" s="507"/>
      <c r="AU2170" s="507"/>
      <c r="AV2170" s="225"/>
      <c r="AW2170" s="508"/>
      <c r="AX2170" s="225"/>
      <c r="AY2170" s="225"/>
      <c r="AZ2170" s="225"/>
      <c r="BA2170" s="225"/>
      <c r="BB2170" s="225"/>
      <c r="BC2170" s="56"/>
      <c r="BD2170" s="56"/>
      <c r="BE2170" s="56"/>
      <c r="BF2170" s="107" t="str">
        <f t="shared" si="1666"/>
        <v>https://www.google.com/search?tbm=isch&amp;q=7%20G4</v>
      </c>
      <c r="BG2170" s="107" t="str">
        <f t="shared" si="1667"/>
        <v>L</v>
      </c>
      <c r="BH2170" s="254"/>
      <c r="BI2170" s="254"/>
    </row>
    <row r="2171" spans="1:61" customFormat="1" ht="17.25" thickBot="1" x14ac:dyDescent="0.3">
      <c r="A2171" s="524" t="s">
        <v>2157</v>
      </c>
      <c r="B2171" s="245"/>
      <c r="C2171" s="677"/>
      <c r="D2171" s="499"/>
      <c r="E2171" s="499"/>
      <c r="F2171" s="500"/>
      <c r="G2171" s="501"/>
      <c r="H2171" s="502"/>
      <c r="I2171" s="246"/>
      <c r="J2171" s="247"/>
      <c r="K2171" s="503"/>
      <c r="L2171" s="544"/>
      <c r="M2171" s="544"/>
      <c r="N2171" s="500"/>
      <c r="O2171" s="500"/>
      <c r="P2171" s="500"/>
      <c r="Q2171" s="500"/>
      <c r="R2171" s="500"/>
      <c r="S2171" s="278"/>
      <c r="T2171" s="508">
        <f t="shared" si="1655"/>
        <v>0</v>
      </c>
      <c r="U2171" s="225" t="str">
        <f>IF(NOT(ISNUMBER(G2171)), "", VLOOKUP(A2171,'Discount Lookup'!D:E,2,FALSE)*G2171)</f>
        <v/>
      </c>
      <c r="V2171" s="225" t="str">
        <f>IF(NOT(ISNUMBER(G2171)), "", VLOOKUP(A2171,'Discount Lookup'!G:H,2,FALSE)*G2171)</f>
        <v/>
      </c>
      <c r="W2171" s="508">
        <f t="shared" si="1656"/>
        <v>0</v>
      </c>
      <c r="X2171" s="508">
        <f t="shared" si="1657"/>
        <v>0</v>
      </c>
      <c r="Y2171" s="509" t="b">
        <f t="shared" si="1658"/>
        <v>0</v>
      </c>
      <c r="Z2171" s="510">
        <f t="shared" si="1659"/>
        <v>0</v>
      </c>
      <c r="AA2171" s="511"/>
      <c r="AB2171" s="511" t="str">
        <f t="shared" si="1660"/>
        <v/>
      </c>
      <c r="AC2171" s="698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698"/>
      <c r="AE2171" s="631" t="str">
        <f t="shared" si="1661"/>
        <v/>
      </c>
      <c r="AF2171" s="699" t="str">
        <f t="shared" si="1662"/>
        <v/>
      </c>
      <c r="AG2171" s="699"/>
      <c r="AH2171" s="699"/>
      <c r="AI2171" s="512">
        <f>IF(H2171="credit",0,IF(AE2171="free",0,IF(AE2171="me",0,IF(G2171&gt;0,(VLOOKUP(A2171,'Discount Lookup'!J:K,2)*G2171),0))))</f>
        <v>0</v>
      </c>
      <c r="AJ2171" s="513" t="str">
        <f t="shared" ca="1" si="1663"/>
        <v/>
      </c>
      <c r="AK2171" s="700" t="str">
        <f t="shared" si="1664"/>
        <v/>
      </c>
      <c r="AL2171" s="700"/>
      <c r="AM2171" s="505" t="str">
        <f t="shared" si="1665"/>
        <v/>
      </c>
      <c r="AN2171" s="506"/>
      <c r="AO2171" s="507"/>
      <c r="AP2171" s="507"/>
      <c r="AQ2171" s="507"/>
      <c r="AR2171" s="507"/>
      <c r="AS2171" s="507"/>
      <c r="AT2171" s="507"/>
      <c r="AU2171" s="507"/>
      <c r="AV2171" s="225"/>
      <c r="AW2171" s="508"/>
      <c r="AX2171" s="225"/>
      <c r="AY2171" s="225"/>
      <c r="AZ2171" s="225"/>
      <c r="BA2171" s="225"/>
      <c r="BB2171" s="225"/>
      <c r="BC2171" s="56"/>
      <c r="BD2171" s="56"/>
      <c r="BE2171" s="56"/>
      <c r="BF2171" s="107" t="str">
        <f t="shared" si="1666"/>
        <v>https://www.google.com/search?tbm=isch&amp;q=Lemon%20Lime%20Lace%20is%20a%20multicolor%20standout%20that%20turns%20Golden%20Yellow%20to%20Orange%20in%20the%20fall%20</v>
      </c>
      <c r="BG2171" s="107" t="str">
        <f t="shared" si="1667"/>
        <v>L</v>
      </c>
      <c r="BH2171" s="254"/>
      <c r="BI2171" s="254"/>
    </row>
    <row r="2172" spans="1:61" customFormat="1" ht="18" x14ac:dyDescent="0.25">
      <c r="A2172" s="521" t="s">
        <v>1248</v>
      </c>
      <c r="B2172" s="477"/>
      <c r="C2172" s="674"/>
      <c r="D2172" s="478" t="s">
        <v>1249</v>
      </c>
      <c r="E2172" s="479"/>
      <c r="F2172" s="479"/>
      <c r="G2172" s="479"/>
      <c r="H2172" s="582" t="s">
        <v>441</v>
      </c>
      <c r="I2172" s="480" t="s">
        <v>2156</v>
      </c>
      <c r="J2172" s="479"/>
      <c r="K2172" s="479"/>
      <c r="L2172" s="560"/>
      <c r="M2172" s="666" t="s">
        <v>4966</v>
      </c>
      <c r="N2172" s="680" t="str">
        <f>IF(AND(ISTEXT($A2172), ISERROR($A2172+0)), HYPERLINK($BF2172, "Images"), "")</f>
        <v>Images</v>
      </c>
      <c r="O2172" s="662" t="s">
        <v>4967</v>
      </c>
      <c r="P2172" s="482"/>
      <c r="Q2172" s="483"/>
      <c r="R2172" s="483"/>
      <c r="S2172" s="484"/>
      <c r="T2172" s="508">
        <f t="shared" si="1655"/>
        <v>0</v>
      </c>
      <c r="U2172" s="225" t="str">
        <f>IF(NOT(ISNUMBER(G2172)), "", VLOOKUP(A2172,'Discount Lookup'!D:E,2,FALSE)*G2172)</f>
        <v/>
      </c>
      <c r="V2172" s="225" t="str">
        <f>IF(NOT(ISNUMBER(G2172)), "", VLOOKUP(A2172,'Discount Lookup'!G:H,2,FALSE)*G2172)</f>
        <v/>
      </c>
      <c r="W2172" s="508">
        <f t="shared" si="1656"/>
        <v>0</v>
      </c>
      <c r="X2172" s="508" t="str">
        <f t="shared" si="1657"/>
        <v>Lime-Green foliage</v>
      </c>
      <c r="Y2172" s="509" t="b">
        <f t="shared" si="1658"/>
        <v>0</v>
      </c>
      <c r="Z2172" s="510">
        <f t="shared" si="1659"/>
        <v>0</v>
      </c>
      <c r="AA2172" s="511"/>
      <c r="AB2172" s="511" t="str">
        <f t="shared" si="1660"/>
        <v/>
      </c>
      <c r="AC2172" s="698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698"/>
      <c r="AE2172" s="631" t="str">
        <f t="shared" si="1661"/>
        <v/>
      </c>
      <c r="AF2172" s="699" t="str">
        <f t="shared" si="1662"/>
        <v/>
      </c>
      <c r="AG2172" s="699"/>
      <c r="AH2172" s="699"/>
      <c r="AI2172" s="512">
        <f>IF(H2172="credit",0,IF(AE2172="free",0,IF(AE2172="me",0,IF(G2172&gt;0,(VLOOKUP(A2172,'Discount Lookup'!J:K,2)*G2172),0))))</f>
        <v>0</v>
      </c>
      <c r="AJ2172" s="513" t="str">
        <f t="shared" ca="1" si="1663"/>
        <v/>
      </c>
      <c r="AK2172" s="700" t="str">
        <f t="shared" si="1664"/>
        <v/>
      </c>
      <c r="AL2172" s="700"/>
      <c r="AM2172" s="505" t="str">
        <f t="shared" si="1665"/>
        <v/>
      </c>
      <c r="AN2172" s="506"/>
      <c r="AO2172" s="507"/>
      <c r="AP2172" s="507"/>
      <c r="AQ2172" s="507"/>
      <c r="AR2172" s="507"/>
      <c r="AS2172" s="507"/>
      <c r="AT2172" s="507"/>
      <c r="AU2172" s="507"/>
      <c r="AV2172" s="225"/>
      <c r="AW2172" s="508"/>
      <c r="AX2172" s="225"/>
      <c r="AY2172" s="225"/>
      <c r="AZ2172" s="225"/>
      <c r="BA2172" s="225"/>
      <c r="BB2172" s="225"/>
      <c r="BC2172" s="56"/>
      <c r="BD2172" s="56"/>
      <c r="BE2172" s="56"/>
      <c r="BF2172" s="107" t="str">
        <f t="shared" si="1666"/>
        <v>https://www.google.com/search?tbm=isch&amp;q=Lemon%20Lime%20Nandina%20Nandina%20domestica%20%27Lemon%20Lime%27%20PP%2324749</v>
      </c>
      <c r="BG2172" s="107" t="str">
        <f t="shared" si="1667"/>
        <v>L</v>
      </c>
      <c r="BH2172" s="254"/>
      <c r="BI2172" s="254"/>
    </row>
    <row r="2173" spans="1:61" customFormat="1" ht="15.75" x14ac:dyDescent="0.25">
      <c r="A2173" s="485">
        <v>1</v>
      </c>
      <c r="B2173" s="486" t="s">
        <v>291</v>
      </c>
      <c r="C2173" s="487" t="s">
        <v>341</v>
      </c>
      <c r="D2173" s="488" t="s">
        <v>312</v>
      </c>
      <c r="E2173" s="489">
        <v>28.95</v>
      </c>
      <c r="F2173" s="516" t="s">
        <v>293</v>
      </c>
      <c r="G2173" s="232">
        <v>0</v>
      </c>
      <c r="H2173" s="658" t="str">
        <f>IF(G2173=0,"",IF(F2173="Buy",IF(G2173=1,"plant","plants"),IF(F2173&gt;0.01,"warranty","Error")))</f>
        <v/>
      </c>
      <c r="I2173" s="490">
        <f>IF(H2173="free",0,IF(H2173="credit",((E2173*(F2173))*G2173*-1),IF(F2173="Buy",(E2173*G2173),((E2173*(1-F2173))*G2173))))</f>
        <v>0</v>
      </c>
      <c r="J2173" s="490">
        <f>IF(H2173="warranty",0,(I2173*(_xlfn.SINGLE(SalesTaxPercentage))))</f>
        <v>0</v>
      </c>
      <c r="K2173" s="695">
        <f t="shared" ref="K2173" si="1690">I2173+J2173</f>
        <v>0</v>
      </c>
      <c r="L2173" s="695"/>
      <c r="M2173" s="659" t="str">
        <f>IF(AND(G2173&gt;0,E2173=0),"WARNING - no PRICE inserted",IF(H2173="free"," FREE ~ no charge this plant",IF(H2173="credit",CONCATENATE(" -$",ROUND(K2173*(1-T2GDiscount)*-1,2)," CREDIT after discount"),IF(T2GDiscount=0,"",IF(G2173=0,"",IF(F2173="Buy",CONCATENATE(" $",ROUND(K2173*(1-T2GDiscount),2)," with ",(T2GDiscount*100),"% discount"),CONCATENATE(" $",ROUND(K2173*(1-T2GDiscount),2)," with ",((T2GDiscount*100+F2173*100)-(T2GDiscount*100*F2173)),IF(F2173&gt;0,"% discounts",IF(NoWarrantyDiscount&gt;0,"% discounts","% discount")))))))))</f>
        <v/>
      </c>
      <c r="N2173" s="660"/>
      <c r="O2173" s="233"/>
      <c r="P2173" s="233"/>
      <c r="Q2173" s="233"/>
      <c r="R2173" s="233"/>
      <c r="S2173" s="233"/>
      <c r="T2173" s="508">
        <f t="shared" si="1655"/>
        <v>0</v>
      </c>
      <c r="U2173" s="225">
        <f>IF(NOT(ISNUMBER(G2173)), "", VLOOKUP(A2173,'Discount Lookup'!D:E,2,FALSE)*G2173)</f>
        <v>0</v>
      </c>
      <c r="V2173" s="225">
        <f>IF(NOT(ISNUMBER(G2173)), "", VLOOKUP(A2173,'Discount Lookup'!G:H,2,FALSE)*G2173)</f>
        <v>0</v>
      </c>
      <c r="W2173" s="508">
        <f t="shared" si="1656"/>
        <v>0</v>
      </c>
      <c r="X2173" s="508">
        <f t="shared" si="1657"/>
        <v>0</v>
      </c>
      <c r="Y2173" s="509" t="b">
        <f t="shared" si="1658"/>
        <v>0</v>
      </c>
      <c r="Z2173" s="510">
        <f t="shared" si="1659"/>
        <v>0</v>
      </c>
      <c r="AA2173" s="511"/>
      <c r="AB2173" s="511" t="str">
        <f t="shared" si="1660"/>
        <v/>
      </c>
      <c r="AC2173" s="698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698"/>
      <c r="AE2173" s="631" t="str">
        <f t="shared" si="1661"/>
        <v/>
      </c>
      <c r="AF2173" s="699" t="str">
        <f t="shared" si="1662"/>
        <v/>
      </c>
      <c r="AG2173" s="699"/>
      <c r="AH2173" s="699"/>
      <c r="AI2173" s="512">
        <f>IF(H2173="credit",0,IF(AE2173="free",0,IF(AE2173="me",0,IF(G2173&gt;0,(VLOOKUP(A2173,'Discount Lookup'!J:K,2)*G2173),0))))</f>
        <v>0</v>
      </c>
      <c r="AJ2173" s="513" t="str">
        <f t="shared" ca="1" si="1663"/>
        <v/>
      </c>
      <c r="AK2173" s="700" t="str">
        <f t="shared" si="1664"/>
        <v/>
      </c>
      <c r="AL2173" s="700"/>
      <c r="AM2173" s="505" t="str">
        <f t="shared" si="1665"/>
        <v/>
      </c>
      <c r="AN2173" s="506"/>
      <c r="AO2173" s="507"/>
      <c r="AP2173" s="507"/>
      <c r="AQ2173" s="507"/>
      <c r="AR2173" s="507"/>
      <c r="AS2173" s="507"/>
      <c r="AT2173" s="507"/>
      <c r="AU2173" s="507"/>
      <c r="AV2173" s="225"/>
      <c r="AW2173" s="508"/>
      <c r="AX2173" s="225"/>
      <c r="AY2173" s="225"/>
      <c r="AZ2173" s="225"/>
      <c r="BA2173" s="225"/>
      <c r="BB2173" s="225"/>
      <c r="BC2173" s="56"/>
      <c r="BD2173" s="56"/>
      <c r="BE2173" s="56"/>
      <c r="BF2173" s="107" t="str">
        <f t="shared" si="1666"/>
        <v>https://www.google.com/search?tbm=isch&amp;q=1%20G2</v>
      </c>
      <c r="BG2173" s="107" t="str">
        <f t="shared" si="1667"/>
        <v>L</v>
      </c>
      <c r="BH2173" s="254"/>
      <c r="BI2173" s="254"/>
    </row>
    <row r="2174" spans="1:61" customFormat="1" ht="16.5" thickBot="1" x14ac:dyDescent="0.3">
      <c r="A2174" s="522" t="s">
        <v>2959</v>
      </c>
      <c r="B2174" s="491"/>
      <c r="C2174" s="675"/>
      <c r="D2174" s="491"/>
      <c r="E2174" s="491"/>
      <c r="F2174" s="492"/>
      <c r="G2174" s="493"/>
      <c r="H2174" s="491"/>
      <c r="I2174" s="234"/>
      <c r="J2174" s="234"/>
      <c r="K2174" s="494"/>
      <c r="L2174" s="543"/>
      <c r="M2174" s="561"/>
      <c r="N2174" s="495"/>
      <c r="O2174" s="496"/>
      <c r="P2174" s="497"/>
      <c r="Q2174" s="495"/>
      <c r="R2174" s="495"/>
      <c r="S2174" s="277"/>
      <c r="T2174" s="508">
        <f t="shared" si="1655"/>
        <v>0</v>
      </c>
      <c r="U2174" s="225" t="str">
        <f>IF(NOT(ISNUMBER(G2174)), "", VLOOKUP(A2174,'Discount Lookup'!D:E,2,FALSE)*G2174)</f>
        <v/>
      </c>
      <c r="V2174" s="225" t="str">
        <f>IF(NOT(ISNUMBER(G2174)), "", VLOOKUP(A2174,'Discount Lookup'!G:H,2,FALSE)*G2174)</f>
        <v/>
      </c>
      <c r="W2174" s="508">
        <f t="shared" si="1656"/>
        <v>0</v>
      </c>
      <c r="X2174" s="508">
        <f t="shared" si="1657"/>
        <v>0</v>
      </c>
      <c r="Y2174" s="509" t="b">
        <f t="shared" si="1658"/>
        <v>0</v>
      </c>
      <c r="Z2174" s="510">
        <f t="shared" si="1659"/>
        <v>0</v>
      </c>
      <c r="AA2174" s="511"/>
      <c r="AB2174" s="511" t="str">
        <f t="shared" si="1660"/>
        <v/>
      </c>
      <c r="AC2174" s="698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698"/>
      <c r="AE2174" s="631" t="str">
        <f t="shared" si="1661"/>
        <v/>
      </c>
      <c r="AF2174" s="699" t="str">
        <f t="shared" si="1662"/>
        <v/>
      </c>
      <c r="AG2174" s="699"/>
      <c r="AH2174" s="699"/>
      <c r="AI2174" s="512">
        <f>IF(H2174="credit",0,IF(AE2174="free",0,IF(AE2174="me",0,IF(G2174&gt;0,(VLOOKUP(A2174,'Discount Lookup'!J:K,2)*G2174),0))))</f>
        <v>0</v>
      </c>
      <c r="AJ2174" s="513" t="str">
        <f t="shared" ca="1" si="1663"/>
        <v/>
      </c>
      <c r="AK2174" s="700" t="str">
        <f t="shared" si="1664"/>
        <v/>
      </c>
      <c r="AL2174" s="700"/>
      <c r="AM2174" s="505" t="str">
        <f t="shared" si="1665"/>
        <v/>
      </c>
      <c r="AN2174" s="506"/>
      <c r="AO2174" s="507"/>
      <c r="AP2174" s="507"/>
      <c r="AQ2174" s="507"/>
      <c r="AR2174" s="507"/>
      <c r="AS2174" s="507"/>
      <c r="AT2174" s="507"/>
      <c r="AU2174" s="507"/>
      <c r="AV2174" s="225"/>
      <c r="AW2174" s="508"/>
      <c r="AX2174" s="225"/>
      <c r="AY2174" s="225"/>
      <c r="AZ2174" s="225"/>
      <c r="BA2174" s="225"/>
      <c r="BB2174" s="225"/>
      <c r="BC2174" s="56"/>
      <c r="BD2174" s="56"/>
      <c r="BE2174" s="56"/>
      <c r="BF2174" s="107" t="str">
        <f t="shared" si="1666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174" s="107" t="str">
        <f t="shared" si="1667"/>
        <v>L</v>
      </c>
      <c r="BH2174" s="254"/>
      <c r="BI2174" s="254"/>
    </row>
    <row r="2175" spans="1:61" customFormat="1" ht="18" x14ac:dyDescent="0.25">
      <c r="A2175" s="523" t="s">
        <v>4424</v>
      </c>
      <c r="B2175" s="235"/>
      <c r="C2175" s="676"/>
      <c r="D2175" s="255" t="s">
        <v>3189</v>
      </c>
      <c r="E2175" s="236"/>
      <c r="F2175" s="236"/>
      <c r="G2175" s="236"/>
      <c r="H2175" s="582" t="s">
        <v>443</v>
      </c>
      <c r="I2175" s="498" t="s">
        <v>2569</v>
      </c>
      <c r="J2175" s="237"/>
      <c r="K2175" s="237"/>
      <c r="L2175" s="274"/>
      <c r="M2175" s="668" t="s">
        <v>4962</v>
      </c>
      <c r="N2175" s="681" t="str">
        <f>IF(AND(ISTEXT($A2175), ISERROR($A2175+0)), HYPERLINK($BF2175, "Images"), "")</f>
        <v>Images</v>
      </c>
      <c r="O2175" s="663" t="s">
        <v>4967</v>
      </c>
      <c r="P2175" s="253"/>
      <c r="Q2175" s="238"/>
      <c r="R2175" s="239"/>
      <c r="S2175" s="275"/>
      <c r="T2175" s="508">
        <f t="shared" si="1655"/>
        <v>0</v>
      </c>
      <c r="U2175" s="225" t="str">
        <f>IF(NOT(ISNUMBER(G2175)), "", VLOOKUP(A2175,'Discount Lookup'!D:E,2,FALSE)*G2175)</f>
        <v/>
      </c>
      <c r="V2175" s="225" t="str">
        <f>IF(NOT(ISNUMBER(G2175)), "", VLOOKUP(A2175,'Discount Lookup'!G:H,2,FALSE)*G2175)</f>
        <v/>
      </c>
      <c r="W2175" s="508">
        <f t="shared" si="1656"/>
        <v>0</v>
      </c>
      <c r="X2175" s="508" t="str">
        <f t="shared" si="1657"/>
        <v>Soft Pink bloom</v>
      </c>
      <c r="Y2175" s="509" t="b">
        <f t="shared" si="1658"/>
        <v>0</v>
      </c>
      <c r="Z2175" s="510">
        <f t="shared" si="1659"/>
        <v>0</v>
      </c>
      <c r="AA2175" s="511"/>
      <c r="AB2175" s="511" t="str">
        <f t="shared" si="1660"/>
        <v/>
      </c>
      <c r="AC2175" s="698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698"/>
      <c r="AE2175" s="631" t="str">
        <f t="shared" si="1661"/>
        <v/>
      </c>
      <c r="AF2175" s="699" t="str">
        <f t="shared" si="1662"/>
        <v/>
      </c>
      <c r="AG2175" s="699"/>
      <c r="AH2175" s="699"/>
      <c r="AI2175" s="512">
        <f>IF(H2175="credit",0,IF(AE2175="free",0,IF(AE2175="me",0,IF(G2175&gt;0,(VLOOKUP(A2175,'Discount Lookup'!J:K,2)*G2175),0))))</f>
        <v>0</v>
      </c>
      <c r="AJ2175" s="513" t="str">
        <f t="shared" ca="1" si="1663"/>
        <v/>
      </c>
      <c r="AK2175" s="700" t="str">
        <f t="shared" si="1664"/>
        <v/>
      </c>
      <c r="AL2175" s="700"/>
      <c r="AM2175" s="505" t="str">
        <f t="shared" si="1665"/>
        <v/>
      </c>
      <c r="AN2175" s="506"/>
      <c r="AO2175" s="507"/>
      <c r="AP2175" s="507"/>
      <c r="AQ2175" s="507"/>
      <c r="AR2175" s="507"/>
      <c r="AS2175" s="507"/>
      <c r="AT2175" s="507"/>
      <c r="AU2175" s="507"/>
      <c r="AV2175" s="225"/>
      <c r="AW2175" s="508"/>
      <c r="AX2175" s="225"/>
      <c r="AY2175" s="225"/>
      <c r="AZ2175" s="225"/>
      <c r="BA2175" s="225"/>
      <c r="BB2175" s="225"/>
      <c r="BC2175" s="56"/>
      <c r="BD2175" s="56"/>
      <c r="BE2175" s="56"/>
      <c r="BF2175" s="107" t="str">
        <f t="shared" si="1666"/>
        <v>https://www.google.com/search?tbm=isch&amp;q=Lemon%20Princess%20Japanese%20Spirea%20Spiraea%20japonica%20%27Lemon%20Princess%27</v>
      </c>
      <c r="BG2175" s="107" t="str">
        <f t="shared" si="1667"/>
        <v>L</v>
      </c>
      <c r="BH2175" s="254"/>
      <c r="BI2175" s="254"/>
    </row>
    <row r="2176" spans="1:61" customFormat="1" ht="15.75" x14ac:dyDescent="0.25">
      <c r="A2176" s="276">
        <v>3</v>
      </c>
      <c r="B2176" s="240" t="s">
        <v>291</v>
      </c>
      <c r="C2176" s="241" t="s">
        <v>3190</v>
      </c>
      <c r="D2176" s="242" t="s">
        <v>297</v>
      </c>
      <c r="E2176" s="243">
        <v>22.95</v>
      </c>
      <c r="F2176" s="517" t="s">
        <v>293</v>
      </c>
      <c r="G2176" s="232">
        <v>0</v>
      </c>
      <c r="H2176" s="661" t="str">
        <f>IF(G2176=0,"",IF(F2176="Buy",IF(G2176=1,"plant","plants"),IF(F2176&gt;0.01,"warranty","Error")))</f>
        <v/>
      </c>
      <c r="I2176" s="244">
        <f>IF(H2176="free",0,IF(H2176="credit",((E2176*(F2176))*G2176*-1),IF(F2176="Buy",(E2176*G2176),((E2176*(1-F2176))*G2176))))</f>
        <v>0</v>
      </c>
      <c r="J2176" s="244">
        <f>IF(H2176="warranty",0,(I2176*(_xlfn.SINGLE(SalesTaxPercentage))))</f>
        <v>0</v>
      </c>
      <c r="K2176" s="696">
        <f t="shared" ref="K2176" si="1691">I2176+J2176</f>
        <v>0</v>
      </c>
      <c r="L2176" s="696"/>
      <c r="M2176" s="659" t="str">
        <f>IF(AND(G2176&gt;0,E2176=0),"WARNING - no PRICE inserted",IF(H2176="free"," FREE ~ no charge this plant",IF(H2176="credit",CONCATENATE(" -$",ROUND(K2176*(1-T2GDiscount)*-1,2)," CREDIT after discount"),IF(T2GDiscount=0,"",IF(G2176=0,"",IF(F2176="Buy",CONCATENATE(" $",ROUND(K2176*(1-T2GDiscount),2)," with ",(T2GDiscount*100),"% discount"),CONCATENATE(" $",ROUND(K2176*(1-T2GDiscount),2)," with ",((T2GDiscount*100+F2176*100)-(T2GDiscount*100*F2176)),IF(F2176&gt;0,"% discounts",IF(NoWarrantyDiscount&gt;0,"% discounts","% discount")))))))))</f>
        <v/>
      </c>
      <c r="N2176" s="660"/>
      <c r="O2176" s="233"/>
      <c r="P2176" s="233"/>
      <c r="Q2176" s="233"/>
      <c r="R2176" s="233"/>
      <c r="S2176" s="233"/>
      <c r="T2176" s="508">
        <f t="shared" si="1655"/>
        <v>0</v>
      </c>
      <c r="U2176" s="225">
        <f>IF(NOT(ISNUMBER(G2176)), "", VLOOKUP(A2176,'Discount Lookup'!D:E,2,FALSE)*G2176)</f>
        <v>0</v>
      </c>
      <c r="V2176" s="225">
        <f>IF(NOT(ISNUMBER(G2176)), "", VLOOKUP(A2176,'Discount Lookup'!G:H,2,FALSE)*G2176)</f>
        <v>0</v>
      </c>
      <c r="W2176" s="508">
        <f t="shared" si="1656"/>
        <v>0</v>
      </c>
      <c r="X2176" s="508">
        <f t="shared" si="1657"/>
        <v>0</v>
      </c>
      <c r="Y2176" s="509" t="b">
        <f t="shared" si="1658"/>
        <v>0</v>
      </c>
      <c r="Z2176" s="510">
        <f t="shared" si="1659"/>
        <v>0</v>
      </c>
      <c r="AA2176" s="511"/>
      <c r="AB2176" s="511" t="str">
        <f t="shared" si="1660"/>
        <v/>
      </c>
      <c r="AC2176" s="698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698"/>
      <c r="AE2176" s="631" t="str">
        <f t="shared" si="1661"/>
        <v/>
      </c>
      <c r="AF2176" s="699" t="str">
        <f t="shared" si="1662"/>
        <v/>
      </c>
      <c r="AG2176" s="699"/>
      <c r="AH2176" s="699"/>
      <c r="AI2176" s="512">
        <f>IF(H2176="credit",0,IF(AE2176="free",0,IF(AE2176="me",0,IF(G2176&gt;0,(VLOOKUP(A2176,'Discount Lookup'!J:K,2)*G2176),0))))</f>
        <v>0</v>
      </c>
      <c r="AJ2176" s="513" t="str">
        <f t="shared" ca="1" si="1663"/>
        <v/>
      </c>
      <c r="AK2176" s="700" t="str">
        <f t="shared" si="1664"/>
        <v/>
      </c>
      <c r="AL2176" s="700"/>
      <c r="AM2176" s="505" t="str">
        <f t="shared" si="1665"/>
        <v/>
      </c>
      <c r="AN2176" s="506"/>
      <c r="AO2176" s="507"/>
      <c r="AP2176" s="507"/>
      <c r="AQ2176" s="507"/>
      <c r="AR2176" s="507"/>
      <c r="AS2176" s="507"/>
      <c r="AT2176" s="507"/>
      <c r="AU2176" s="507"/>
      <c r="AV2176" s="225"/>
      <c r="AW2176" s="508"/>
      <c r="AX2176" s="225"/>
      <c r="AY2176" s="225"/>
      <c r="AZ2176" s="225"/>
      <c r="BA2176" s="225"/>
      <c r="BB2176" s="225"/>
      <c r="BC2176" s="56"/>
      <c r="BD2176" s="56"/>
      <c r="BE2176" s="56"/>
      <c r="BF2176" s="107" t="str">
        <f t="shared" si="1666"/>
        <v>https://www.google.com/search?tbm=isch&amp;q=3%20G3</v>
      </c>
      <c r="BG2176" s="107" t="str">
        <f t="shared" si="1667"/>
        <v>L</v>
      </c>
      <c r="BH2176" s="254"/>
      <c r="BI2176" s="254"/>
    </row>
    <row r="2177" spans="1:61" customFormat="1" ht="15.75" x14ac:dyDescent="0.25">
      <c r="A2177" s="276">
        <v>3</v>
      </c>
      <c r="B2177" s="240" t="s">
        <v>291</v>
      </c>
      <c r="C2177" s="241"/>
      <c r="D2177" s="242" t="s">
        <v>298</v>
      </c>
      <c r="E2177" s="243">
        <v>25.95</v>
      </c>
      <c r="F2177" s="517" t="s">
        <v>293</v>
      </c>
      <c r="G2177" s="232">
        <v>0</v>
      </c>
      <c r="H2177" s="661" t="str">
        <f>IF(G2177=0,"",IF(F2177="Buy",IF(G2177=1,"plant","plants"),IF(F2177&gt;0.01,"warranty","Error")))</f>
        <v/>
      </c>
      <c r="I2177" s="244">
        <f>IF(H2177="free",0,IF(H2177="credit",((E2177*(F2177))*G2177*-1),IF(F2177="Buy",(E2177*G2177),((E2177*(1-F2177))*G2177))))</f>
        <v>0</v>
      </c>
      <c r="J2177" s="244">
        <f>IF(H2177="warranty",0,(I2177*(_xlfn.SINGLE(SalesTaxPercentage))))</f>
        <v>0</v>
      </c>
      <c r="K2177" s="696">
        <f t="shared" ref="K2177" si="1692">I2177+J2177</f>
        <v>0</v>
      </c>
      <c r="L2177" s="696"/>
      <c r="M2177" s="659" t="str">
        <f>IF(AND(G2177&gt;0,E2177=0),"WARNING - no PRICE inserted",IF(H2177="free"," FREE ~ no charge this plant",IF(H2177="credit",CONCATENATE(" -$",ROUND(K2177*(1-T2GDiscount)*-1,2)," CREDIT after discount"),IF(T2GDiscount=0,"",IF(G2177=0,"",IF(F2177="Buy",CONCATENATE(" $",ROUND(K2177*(1-T2GDiscount),2)," with ",(T2GDiscount*100),"% discount"),CONCATENATE(" $",ROUND(K2177*(1-T2GDiscount),2)," with ",((T2GDiscount*100+F2177*100)-(T2GDiscount*100*F2177)),IF(F2177&gt;0,"% discounts",IF(NoWarrantyDiscount&gt;0,"% discounts","% discount")))))))))</f>
        <v/>
      </c>
      <c r="N2177" s="660"/>
      <c r="O2177" s="233"/>
      <c r="P2177" s="233"/>
      <c r="Q2177" s="233"/>
      <c r="R2177" s="233"/>
      <c r="S2177" s="233"/>
      <c r="T2177" s="508">
        <f t="shared" si="1655"/>
        <v>0</v>
      </c>
      <c r="U2177" s="225">
        <f>IF(NOT(ISNUMBER(G2177)), "", VLOOKUP(A2177,'Discount Lookup'!D:E,2,FALSE)*G2177)</f>
        <v>0</v>
      </c>
      <c r="V2177" s="225">
        <f>IF(NOT(ISNUMBER(G2177)), "", VLOOKUP(A2177,'Discount Lookup'!G:H,2,FALSE)*G2177)</f>
        <v>0</v>
      </c>
      <c r="W2177" s="508">
        <f t="shared" si="1656"/>
        <v>0</v>
      </c>
      <c r="X2177" s="508">
        <f t="shared" si="1657"/>
        <v>0</v>
      </c>
      <c r="Y2177" s="509" t="b">
        <f t="shared" si="1658"/>
        <v>0</v>
      </c>
      <c r="Z2177" s="510">
        <f t="shared" si="1659"/>
        <v>0</v>
      </c>
      <c r="AA2177" s="511"/>
      <c r="AB2177" s="511" t="str">
        <f t="shared" si="1660"/>
        <v/>
      </c>
      <c r="AC2177" s="698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698"/>
      <c r="AE2177" s="631" t="str">
        <f t="shared" si="1661"/>
        <v/>
      </c>
      <c r="AF2177" s="699" t="str">
        <f t="shared" si="1662"/>
        <v/>
      </c>
      <c r="AG2177" s="699"/>
      <c r="AH2177" s="699"/>
      <c r="AI2177" s="512">
        <f>IF(H2177="credit",0,IF(AE2177="free",0,IF(AE2177="me",0,IF(G2177&gt;0,(VLOOKUP(A2177,'Discount Lookup'!J:K,2)*G2177),0))))</f>
        <v>0</v>
      </c>
      <c r="AJ2177" s="513" t="str">
        <f t="shared" ca="1" si="1663"/>
        <v/>
      </c>
      <c r="AK2177" s="700" t="str">
        <f t="shared" si="1664"/>
        <v/>
      </c>
      <c r="AL2177" s="700"/>
      <c r="AM2177" s="505" t="str">
        <f t="shared" si="1665"/>
        <v/>
      </c>
      <c r="AN2177" s="506"/>
      <c r="AO2177" s="507"/>
      <c r="AP2177" s="507"/>
      <c r="AQ2177" s="507"/>
      <c r="AR2177" s="507"/>
      <c r="AS2177" s="507"/>
      <c r="AT2177" s="507"/>
      <c r="AU2177" s="507"/>
      <c r="AV2177" s="225"/>
      <c r="AW2177" s="508"/>
      <c r="AX2177" s="225"/>
      <c r="AY2177" s="225"/>
      <c r="AZ2177" s="225"/>
      <c r="BA2177" s="225"/>
      <c r="BB2177" s="225"/>
      <c r="BC2177" s="56"/>
      <c r="BD2177" s="56"/>
      <c r="BE2177" s="56"/>
      <c r="BF2177" s="107" t="str">
        <f t="shared" si="1666"/>
        <v>https://www.google.com/search?tbm=isch&amp;q=3%20G1</v>
      </c>
      <c r="BG2177" s="107" t="str">
        <f t="shared" si="1667"/>
        <v>L</v>
      </c>
      <c r="BH2177" s="254"/>
      <c r="BI2177" s="254"/>
    </row>
    <row r="2178" spans="1:61" customFormat="1" ht="15.75" x14ac:dyDescent="0.25">
      <c r="A2178" s="276">
        <v>3</v>
      </c>
      <c r="B2178" s="240" t="s">
        <v>291</v>
      </c>
      <c r="C2178" s="241" t="s">
        <v>4678</v>
      </c>
      <c r="D2178" s="242" t="s">
        <v>300</v>
      </c>
      <c r="E2178" s="243">
        <v>47.95</v>
      </c>
      <c r="F2178" s="517" t="s">
        <v>293</v>
      </c>
      <c r="G2178" s="232">
        <v>0</v>
      </c>
      <c r="H2178" s="661" t="str">
        <f>IF(G2178=0,"",IF(F2178="Buy",IF(G2178=1,"plant","plants"),IF(F2178&gt;0.01,"warranty","Error")))</f>
        <v/>
      </c>
      <c r="I2178" s="244">
        <f>IF(H2178="free",0,IF(H2178="credit",((E2178*(F2178))*G2178*-1),IF(F2178="Buy",(E2178*G2178),((E2178*(1-F2178))*G2178))))</f>
        <v>0</v>
      </c>
      <c r="J2178" s="244">
        <f>IF(H2178="warranty",0,(I2178*(_xlfn.SINGLE(SalesTaxPercentage))))</f>
        <v>0</v>
      </c>
      <c r="K2178" s="696">
        <f t="shared" ref="K2178" si="1693">I2178+J2178</f>
        <v>0</v>
      </c>
      <c r="L2178" s="696"/>
      <c r="M2178" s="659" t="str">
        <f>IF(AND(G2178&gt;0,E2178=0),"WARNING - no PRICE inserted",IF(H2178="free"," FREE ~ no charge this plant",IF(H2178="credit",CONCATENATE(" -$",ROUND(K2178*(1-T2GDiscount)*-1,2)," CREDIT after discount"),IF(T2GDiscount=0,"",IF(G2178=0,"",IF(F2178="Buy",CONCATENATE(" $",ROUND(K2178*(1-T2GDiscount),2)," with ",(T2GDiscount*100),"% discount"),CONCATENATE(" $",ROUND(K2178*(1-T2GDiscount),2)," with ",((T2GDiscount*100+F2178*100)-(T2GDiscount*100*F2178)),IF(F2178&gt;0,"% discounts",IF(NoWarrantyDiscount&gt;0,"% discounts","% discount")))))))))</f>
        <v/>
      </c>
      <c r="N2178" s="660"/>
      <c r="O2178" s="233"/>
      <c r="P2178" s="233"/>
      <c r="Q2178" s="233"/>
      <c r="R2178" s="233"/>
      <c r="S2178" s="233"/>
      <c r="T2178" s="508">
        <f t="shared" si="1655"/>
        <v>0</v>
      </c>
      <c r="U2178" s="225">
        <f>IF(NOT(ISNUMBER(G2178)), "", VLOOKUP(A2178,'Discount Lookup'!D:E,2,FALSE)*G2178)</f>
        <v>0</v>
      </c>
      <c r="V2178" s="225">
        <f>IF(NOT(ISNUMBER(G2178)), "", VLOOKUP(A2178,'Discount Lookup'!G:H,2,FALSE)*G2178)</f>
        <v>0</v>
      </c>
      <c r="W2178" s="508">
        <f t="shared" si="1656"/>
        <v>0</v>
      </c>
      <c r="X2178" s="508">
        <f t="shared" si="1657"/>
        <v>0</v>
      </c>
      <c r="Y2178" s="509" t="b">
        <f t="shared" si="1658"/>
        <v>0</v>
      </c>
      <c r="Z2178" s="510">
        <f t="shared" si="1659"/>
        <v>0</v>
      </c>
      <c r="AA2178" s="511"/>
      <c r="AB2178" s="511" t="str">
        <f t="shared" si="1660"/>
        <v/>
      </c>
      <c r="AC2178" s="698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698"/>
      <c r="AE2178" s="631" t="str">
        <f t="shared" si="1661"/>
        <v/>
      </c>
      <c r="AF2178" s="699" t="str">
        <f t="shared" si="1662"/>
        <v/>
      </c>
      <c r="AG2178" s="699"/>
      <c r="AH2178" s="699"/>
      <c r="AI2178" s="512">
        <f>IF(H2178="credit",0,IF(AE2178="free",0,IF(AE2178="me",0,IF(G2178&gt;0,(VLOOKUP(A2178,'Discount Lookup'!J:K,2)*G2178),0))))</f>
        <v>0</v>
      </c>
      <c r="AJ2178" s="513" t="str">
        <f t="shared" ca="1" si="1663"/>
        <v/>
      </c>
      <c r="AK2178" s="700" t="str">
        <f t="shared" si="1664"/>
        <v/>
      </c>
      <c r="AL2178" s="700"/>
      <c r="AM2178" s="505" t="str">
        <f t="shared" si="1665"/>
        <v/>
      </c>
      <c r="AN2178" s="506"/>
      <c r="AO2178" s="507"/>
      <c r="AP2178" s="507"/>
      <c r="AQ2178" s="507"/>
      <c r="AR2178" s="507"/>
      <c r="AS2178" s="507"/>
      <c r="AT2178" s="507"/>
      <c r="AU2178" s="507"/>
      <c r="AV2178" s="225"/>
      <c r="AW2178" s="508"/>
      <c r="AX2178" s="225"/>
      <c r="AY2178" s="225"/>
      <c r="AZ2178" s="225"/>
      <c r="BA2178" s="225"/>
      <c r="BB2178" s="225"/>
      <c r="BC2178" s="56"/>
      <c r="BD2178" s="56"/>
      <c r="BE2178" s="56"/>
      <c r="BF2178" s="107" t="str">
        <f t="shared" si="1666"/>
        <v>https://www.google.com/search?tbm=isch&amp;q=3%20G6</v>
      </c>
      <c r="BG2178" s="107" t="str">
        <f t="shared" si="1667"/>
        <v>L</v>
      </c>
      <c r="BH2178" s="254"/>
      <c r="BI2178" s="254"/>
    </row>
    <row r="2179" spans="1:61" customFormat="1" ht="17.25" thickBot="1" x14ac:dyDescent="0.3">
      <c r="A2179" s="524" t="s">
        <v>4205</v>
      </c>
      <c r="B2179" s="245"/>
      <c r="C2179" s="677"/>
      <c r="D2179" s="499"/>
      <c r="E2179" s="499"/>
      <c r="F2179" s="500"/>
      <c r="G2179" s="501"/>
      <c r="H2179" s="502"/>
      <c r="I2179" s="246"/>
      <c r="J2179" s="247"/>
      <c r="K2179" s="503"/>
      <c r="L2179" s="544"/>
      <c r="M2179" s="544"/>
      <c r="N2179" s="500"/>
      <c r="O2179" s="500"/>
      <c r="P2179" s="500"/>
      <c r="Q2179" s="500"/>
      <c r="R2179" s="500"/>
      <c r="S2179" s="669" t="s">
        <v>4980</v>
      </c>
      <c r="T2179" s="508">
        <f t="shared" si="1655"/>
        <v>0</v>
      </c>
      <c r="U2179" s="225" t="str">
        <f>IF(NOT(ISNUMBER(G2179)), "", VLOOKUP(A2179,'Discount Lookup'!D:E,2,FALSE)*G2179)</f>
        <v/>
      </c>
      <c r="V2179" s="225" t="str">
        <f>IF(NOT(ISNUMBER(G2179)), "", VLOOKUP(A2179,'Discount Lookup'!G:H,2,FALSE)*G2179)</f>
        <v/>
      </c>
      <c r="W2179" s="508">
        <f t="shared" si="1656"/>
        <v>0</v>
      </c>
      <c r="X2179" s="508">
        <f t="shared" si="1657"/>
        <v>0</v>
      </c>
      <c r="Y2179" s="509" t="b">
        <f t="shared" si="1658"/>
        <v>0</v>
      </c>
      <c r="Z2179" s="510">
        <f t="shared" si="1659"/>
        <v>0</v>
      </c>
      <c r="AA2179" s="511"/>
      <c r="AB2179" s="511" t="str">
        <f t="shared" si="1660"/>
        <v/>
      </c>
      <c r="AC2179" s="698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698"/>
      <c r="AE2179" s="631" t="str">
        <f t="shared" si="1661"/>
        <v/>
      </c>
      <c r="AF2179" s="699" t="str">
        <f t="shared" si="1662"/>
        <v/>
      </c>
      <c r="AG2179" s="699"/>
      <c r="AH2179" s="699"/>
      <c r="AI2179" s="512">
        <f>IF(H2179="credit",0,IF(AE2179="free",0,IF(AE2179="me",0,IF(G2179&gt;0,(VLOOKUP(A2179,'Discount Lookup'!J:K,2)*G2179),0))))</f>
        <v>0</v>
      </c>
      <c r="AJ2179" s="513" t="str">
        <f t="shared" ca="1" si="1663"/>
        <v/>
      </c>
      <c r="AK2179" s="700" t="str">
        <f t="shared" si="1664"/>
        <v/>
      </c>
      <c r="AL2179" s="700"/>
      <c r="AM2179" s="505" t="str">
        <f t="shared" si="1665"/>
        <v/>
      </c>
      <c r="AN2179" s="506"/>
      <c r="AO2179" s="507"/>
      <c r="AP2179" s="507"/>
      <c r="AQ2179" s="507"/>
      <c r="AR2179" s="507"/>
      <c r="AS2179" s="507"/>
      <c r="AT2179" s="507"/>
      <c r="AU2179" s="507"/>
      <c r="AV2179" s="225"/>
      <c r="AW2179" s="508"/>
      <c r="AX2179" s="225"/>
      <c r="AY2179" s="225"/>
      <c r="AZ2179" s="225"/>
      <c r="BA2179" s="225"/>
      <c r="BB2179" s="225"/>
      <c r="BC2179" s="56"/>
      <c r="BD2179" s="56"/>
      <c r="BE2179" s="56"/>
      <c r="BF2179" s="107" t="str">
        <f t="shared" si="1666"/>
        <v>https://www.google.com/search?tbm=isch&amp;q=Lemon%20Princess%20has%20Lemon%20Yellow%20to%20Chartreuse%20foliage%2C%20some%20Orange-Red%20tones%20in%20fall.%20Summer%20bloom%2C%20on%20new%20wood%2C%20so%20prune%20late%20winter%20</v>
      </c>
      <c r="BG2179" s="107" t="str">
        <f t="shared" si="1667"/>
        <v>L</v>
      </c>
      <c r="BH2179" s="254"/>
      <c r="BI2179" s="254"/>
    </row>
    <row r="2180" spans="1:61" customFormat="1" ht="18" x14ac:dyDescent="0.25">
      <c r="A2180" s="523" t="s">
        <v>5445</v>
      </c>
      <c r="B2180" s="235"/>
      <c r="C2180" s="676"/>
      <c r="D2180" s="255" t="s">
        <v>1250</v>
      </c>
      <c r="E2180" s="236"/>
      <c r="F2180" s="236"/>
      <c r="G2180" s="236"/>
      <c r="H2180" s="582" t="s">
        <v>4247</v>
      </c>
      <c r="I2180" s="498" t="s">
        <v>3010</v>
      </c>
      <c r="J2180" s="237"/>
      <c r="K2180" s="237"/>
      <c r="L2180" s="274"/>
      <c r="M2180" s="668" t="s">
        <v>4962</v>
      </c>
      <c r="N2180" s="681" t="str">
        <f>IF(AND(ISTEXT($A2180), ISERROR($A2180+0)), HYPERLINK($BF2180, "Images"), "")</f>
        <v>Images</v>
      </c>
      <c r="O2180" s="663" t="s">
        <v>4974</v>
      </c>
      <c r="P2180" s="253"/>
      <c r="Q2180" s="238"/>
      <c r="R2180" s="239"/>
      <c r="S2180" s="275"/>
      <c r="T2180" s="508">
        <f t="shared" si="1655"/>
        <v>0</v>
      </c>
      <c r="U2180" s="225" t="str">
        <f>IF(NOT(ISNUMBER(G2180)), "", VLOOKUP(A2180,'Discount Lookup'!D:E,2,FALSE)*G2180)</f>
        <v/>
      </c>
      <c r="V2180" s="225" t="str">
        <f>IF(NOT(ISNUMBER(G2180)), "", VLOOKUP(A2180,'Discount Lookup'!G:H,2,FALSE)*G2180)</f>
        <v/>
      </c>
      <c r="W2180" s="508">
        <f t="shared" si="1656"/>
        <v>0</v>
      </c>
      <c r="X2180" s="508" t="str">
        <f t="shared" si="1657"/>
        <v>Bright Yellow, darker center</v>
      </c>
      <c r="Y2180" s="509" t="b">
        <f t="shared" si="1658"/>
        <v>0</v>
      </c>
      <c r="Z2180" s="510">
        <f t="shared" si="1659"/>
        <v>0</v>
      </c>
      <c r="AA2180" s="511"/>
      <c r="AB2180" s="511" t="str">
        <f t="shared" si="1660"/>
        <v/>
      </c>
      <c r="AC2180" s="698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698"/>
      <c r="AE2180" s="631" t="str">
        <f t="shared" si="1661"/>
        <v/>
      </c>
      <c r="AF2180" s="699" t="str">
        <f t="shared" si="1662"/>
        <v/>
      </c>
      <c r="AG2180" s="699"/>
      <c r="AH2180" s="699"/>
      <c r="AI2180" s="512">
        <f>IF(H2180="credit",0,IF(AE2180="free",0,IF(AE2180="me",0,IF(G2180&gt;0,(VLOOKUP(A2180,'Discount Lookup'!J:K,2)*G2180),0))))</f>
        <v>0</v>
      </c>
      <c r="AJ2180" s="513" t="str">
        <f t="shared" ca="1" si="1663"/>
        <v/>
      </c>
      <c r="AK2180" s="700" t="str">
        <f t="shared" si="1664"/>
        <v/>
      </c>
      <c r="AL2180" s="700"/>
      <c r="AM2180" s="505" t="str">
        <f t="shared" si="1665"/>
        <v/>
      </c>
      <c r="AN2180" s="506"/>
      <c r="AO2180" s="507"/>
      <c r="AP2180" s="507"/>
      <c r="AQ2180" s="507"/>
      <c r="AR2180" s="507"/>
      <c r="AS2180" s="507"/>
      <c r="AT2180" s="507"/>
      <c r="AU2180" s="507"/>
      <c r="AV2180" s="225"/>
      <c r="AW2180" s="508"/>
      <c r="AX2180" s="225"/>
      <c r="AY2180" s="225"/>
      <c r="AZ2180" s="225"/>
      <c r="BA2180" s="225"/>
      <c r="BB2180" s="225"/>
      <c r="BC2180" s="56"/>
      <c r="BD2180" s="56"/>
      <c r="BE2180" s="56"/>
      <c r="BF2180" s="107" t="str">
        <f t="shared" si="1666"/>
        <v>https://www.google.com/search?tbm=isch&amp;q=Lemon%20Sunblaze%C2%AE%20Rose%20Rosa%20%27Meilpiquet%27%20PP%2335452</v>
      </c>
      <c r="BG2180" s="107" t="str">
        <f t="shared" si="1667"/>
        <v>L</v>
      </c>
      <c r="BH2180" s="254"/>
      <c r="BI2180" s="254"/>
    </row>
    <row r="2181" spans="1:61" customFormat="1" ht="15.75" x14ac:dyDescent="0.25">
      <c r="A2181" s="276">
        <v>3</v>
      </c>
      <c r="B2181" s="240" t="s">
        <v>291</v>
      </c>
      <c r="C2181" s="241" t="s">
        <v>4712</v>
      </c>
      <c r="D2181" s="242" t="s">
        <v>312</v>
      </c>
      <c r="E2181" s="243">
        <v>30.95</v>
      </c>
      <c r="F2181" s="517" t="s">
        <v>293</v>
      </c>
      <c r="G2181" s="232">
        <v>0</v>
      </c>
      <c r="H2181" s="661" t="str">
        <f>IF(G2181=0,"",IF(F2181="Buy",IF(G2181=1,"plant","plants"),IF(F2181&gt;0.01,"warranty","Error")))</f>
        <v/>
      </c>
      <c r="I2181" s="244">
        <f>IF(H2181="free",0,IF(H2181="credit",((E2181*(F2181))*G2181*-1),IF(F2181="Buy",(E2181*G2181),((E2181*(1-F2181))*G2181))))</f>
        <v>0</v>
      </c>
      <c r="J2181" s="244">
        <f>IF(H2181="warranty",0,(I2181*(_xlfn.SINGLE(SalesTaxPercentage))))</f>
        <v>0</v>
      </c>
      <c r="K2181" s="696">
        <f t="shared" ref="K2181" si="1694">I2181+J2181</f>
        <v>0</v>
      </c>
      <c r="L2181" s="696"/>
      <c r="M2181" s="659" t="str">
        <f>IF(AND(G2181&gt;0,E2181=0),"WARNING - no PRICE inserted",IF(H2181="free"," FREE ~ no charge this plant",IF(H2181="credit",CONCATENATE(" -$",ROUND(K2181*(1-T2GDiscount)*-1,2)," CREDIT after discount"),IF(T2GDiscount=0,"",IF(G2181=0,"",IF(F2181="Buy",CONCATENATE(" $",ROUND(K2181*(1-T2GDiscount),2)," with ",(T2GDiscount*100),"% discount"),CONCATENATE(" $",ROUND(K2181*(1-T2GDiscount),2)," with ",((T2GDiscount*100+F2181*100)-(T2GDiscount*100*F2181)),IF(F2181&gt;0,"% discounts",IF(NoWarrantyDiscount&gt;0,"% discounts","% discount")))))))))</f>
        <v/>
      </c>
      <c r="N2181" s="660"/>
      <c r="O2181" s="233"/>
      <c r="P2181" s="233"/>
      <c r="Q2181" s="233"/>
      <c r="R2181" s="233"/>
      <c r="S2181" s="233"/>
      <c r="T2181" s="508">
        <f t="shared" si="1655"/>
        <v>0</v>
      </c>
      <c r="U2181" s="225">
        <f>IF(NOT(ISNUMBER(G2181)), "", VLOOKUP(A2181,'Discount Lookup'!D:E,2,FALSE)*G2181)</f>
        <v>0</v>
      </c>
      <c r="V2181" s="225">
        <f>IF(NOT(ISNUMBER(G2181)), "", VLOOKUP(A2181,'Discount Lookup'!G:H,2,FALSE)*G2181)</f>
        <v>0</v>
      </c>
      <c r="W2181" s="508">
        <f t="shared" si="1656"/>
        <v>0</v>
      </c>
      <c r="X2181" s="508">
        <f t="shared" si="1657"/>
        <v>0</v>
      </c>
      <c r="Y2181" s="509" t="b">
        <f t="shared" si="1658"/>
        <v>0</v>
      </c>
      <c r="Z2181" s="510">
        <f t="shared" si="1659"/>
        <v>0</v>
      </c>
      <c r="AA2181" s="511"/>
      <c r="AB2181" s="511" t="str">
        <f t="shared" si="1660"/>
        <v/>
      </c>
      <c r="AC2181" s="698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698"/>
      <c r="AE2181" s="631" t="str">
        <f t="shared" si="1661"/>
        <v/>
      </c>
      <c r="AF2181" s="699" t="str">
        <f t="shared" si="1662"/>
        <v/>
      </c>
      <c r="AG2181" s="699"/>
      <c r="AH2181" s="699"/>
      <c r="AI2181" s="512">
        <f>IF(H2181="credit",0,IF(AE2181="free",0,IF(AE2181="me",0,IF(G2181&gt;0,(VLOOKUP(A2181,'Discount Lookup'!J:K,2)*G2181),0))))</f>
        <v>0</v>
      </c>
      <c r="AJ2181" s="513" t="str">
        <f t="shared" ca="1" si="1663"/>
        <v/>
      </c>
      <c r="AK2181" s="700" t="str">
        <f t="shared" si="1664"/>
        <v/>
      </c>
      <c r="AL2181" s="700"/>
      <c r="AM2181" s="505" t="str">
        <f t="shared" si="1665"/>
        <v/>
      </c>
      <c r="AN2181" s="506"/>
      <c r="AO2181" s="507"/>
      <c r="AP2181" s="507"/>
      <c r="AQ2181" s="507"/>
      <c r="AR2181" s="507"/>
      <c r="AS2181" s="507"/>
      <c r="AT2181" s="507"/>
      <c r="AU2181" s="507"/>
      <c r="AV2181" s="225"/>
      <c r="AW2181" s="508"/>
      <c r="AX2181" s="225"/>
      <c r="AY2181" s="225"/>
      <c r="AZ2181" s="225"/>
      <c r="BA2181" s="225"/>
      <c r="BB2181" s="225"/>
      <c r="BC2181" s="56"/>
      <c r="BD2181" s="56"/>
      <c r="BE2181" s="56"/>
      <c r="BF2181" s="107" t="str">
        <f t="shared" si="1666"/>
        <v>https://www.google.com/search?tbm=isch&amp;q=3%20G2</v>
      </c>
      <c r="BG2181" s="107" t="str">
        <f t="shared" si="1667"/>
        <v>L</v>
      </c>
      <c r="BH2181" s="254"/>
      <c r="BI2181" s="254"/>
    </row>
    <row r="2182" spans="1:61" customFormat="1" ht="17.25" thickBot="1" x14ac:dyDescent="0.3">
      <c r="A2182" s="524" t="s">
        <v>4113</v>
      </c>
      <c r="B2182" s="245"/>
      <c r="C2182" s="677"/>
      <c r="D2182" s="499"/>
      <c r="E2182" s="499"/>
      <c r="F2182" s="500"/>
      <c r="G2182" s="501"/>
      <c r="H2182" s="502"/>
      <c r="I2182" s="246"/>
      <c r="J2182" s="247"/>
      <c r="K2182" s="503"/>
      <c r="L2182" s="544"/>
      <c r="M2182" s="544"/>
      <c r="N2182" s="500"/>
      <c r="O2182" s="500"/>
      <c r="P2182" s="500"/>
      <c r="Q2182" s="500"/>
      <c r="R2182" s="500"/>
      <c r="S2182" s="669" t="s">
        <v>4980</v>
      </c>
      <c r="T2182" s="508">
        <f t="shared" si="1655"/>
        <v>0</v>
      </c>
      <c r="U2182" s="225" t="str">
        <f>IF(NOT(ISNUMBER(G2182)), "", VLOOKUP(A2182,'Discount Lookup'!D:E,2,FALSE)*G2182)</f>
        <v/>
      </c>
      <c r="V2182" s="225" t="str">
        <f>IF(NOT(ISNUMBER(G2182)), "", VLOOKUP(A2182,'Discount Lookup'!G:H,2,FALSE)*G2182)</f>
        <v/>
      </c>
      <c r="W2182" s="508">
        <f t="shared" si="1656"/>
        <v>0</v>
      </c>
      <c r="X2182" s="508">
        <f t="shared" si="1657"/>
        <v>0</v>
      </c>
      <c r="Y2182" s="509" t="b">
        <f t="shared" si="1658"/>
        <v>0</v>
      </c>
      <c r="Z2182" s="510">
        <f t="shared" si="1659"/>
        <v>0</v>
      </c>
      <c r="AA2182" s="511"/>
      <c r="AB2182" s="511" t="str">
        <f t="shared" si="1660"/>
        <v/>
      </c>
      <c r="AC2182" s="698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698"/>
      <c r="AE2182" s="631" t="str">
        <f t="shared" si="1661"/>
        <v/>
      </c>
      <c r="AF2182" s="699" t="str">
        <f t="shared" si="1662"/>
        <v/>
      </c>
      <c r="AG2182" s="699"/>
      <c r="AH2182" s="699"/>
      <c r="AI2182" s="512">
        <f>IF(H2182="credit",0,IF(AE2182="free",0,IF(AE2182="me",0,IF(G2182&gt;0,(VLOOKUP(A2182,'Discount Lookup'!J:K,2)*G2182),0))))</f>
        <v>0</v>
      </c>
      <c r="AJ2182" s="513" t="str">
        <f t="shared" ca="1" si="1663"/>
        <v/>
      </c>
      <c r="AK2182" s="700" t="str">
        <f t="shared" si="1664"/>
        <v/>
      </c>
      <c r="AL2182" s="700"/>
      <c r="AM2182" s="505" t="str">
        <f t="shared" si="1665"/>
        <v/>
      </c>
      <c r="AN2182" s="506"/>
      <c r="AO2182" s="507"/>
      <c r="AP2182" s="507"/>
      <c r="AQ2182" s="507"/>
      <c r="AR2182" s="507"/>
      <c r="AS2182" s="507"/>
      <c r="AT2182" s="507"/>
      <c r="AU2182" s="507"/>
      <c r="AV2182" s="225"/>
      <c r="AW2182" s="508"/>
      <c r="AX2182" s="225"/>
      <c r="AY2182" s="225"/>
      <c r="AZ2182" s="225"/>
      <c r="BA2182" s="225"/>
      <c r="BB2182" s="225"/>
      <c r="BC2182" s="56"/>
      <c r="BD2182" s="56"/>
      <c r="BE2182" s="56"/>
      <c r="BF2182" s="107" t="str">
        <f t="shared" si="1666"/>
        <v>https://www.google.com/search?tbm=isch&amp;q=Lemon%20Sunblaze%20blooms%20are%20%22tiny%20works%20of%20art%22.%20Subtle%20fragrance.%20Deadhead%20as%20needed.%20Thorny%20%28rabbits%20may%20still%20nibble%29.%20Cut%20back%20annually%20</v>
      </c>
      <c r="BG2182" s="107" t="str">
        <f t="shared" si="1667"/>
        <v>L</v>
      </c>
      <c r="BH2182" s="254"/>
      <c r="BI2182" s="254"/>
    </row>
    <row r="2183" spans="1:61" customFormat="1" ht="18" x14ac:dyDescent="0.25">
      <c r="A2183" s="521" t="s">
        <v>1251</v>
      </c>
      <c r="B2183" s="477"/>
      <c r="C2183" s="674"/>
      <c r="D2183" s="478" t="s">
        <v>1252</v>
      </c>
      <c r="E2183" s="479"/>
      <c r="F2183" s="479"/>
      <c r="G2183" s="479"/>
      <c r="H2183" s="582" t="s">
        <v>506</v>
      </c>
      <c r="I2183" s="480" t="s">
        <v>2888</v>
      </c>
      <c r="J2183" s="479"/>
      <c r="K2183" s="479"/>
      <c r="L2183" s="560"/>
      <c r="M2183" s="671" t="s">
        <v>4985</v>
      </c>
      <c r="N2183" s="680" t="str">
        <f>IF(AND(ISTEXT($A2183), ISERROR($A2183+0)), HYPERLINK($BF2183, "Images"), "")</f>
        <v>Images</v>
      </c>
      <c r="O2183" s="662" t="s">
        <v>4969</v>
      </c>
      <c r="P2183" s="482"/>
      <c r="Q2183" s="483"/>
      <c r="R2183" s="483"/>
      <c r="S2183" s="484"/>
      <c r="T2183" s="508">
        <f t="shared" si="1655"/>
        <v>0</v>
      </c>
      <c r="U2183" s="225" t="str">
        <f>IF(NOT(ISNUMBER(G2183)), "", VLOOKUP(A2183,'Discount Lookup'!D:E,2,FALSE)*G2183)</f>
        <v/>
      </c>
      <c r="V2183" s="225" t="str">
        <f>IF(NOT(ISNUMBER(G2183)), "", VLOOKUP(A2183,'Discount Lookup'!G:H,2,FALSE)*G2183)</f>
        <v/>
      </c>
      <c r="W2183" s="508">
        <f t="shared" si="1656"/>
        <v>0</v>
      </c>
      <c r="X2183" s="508" t="str">
        <f t="shared" si="1657"/>
        <v>Green &amp; Yellow foliage</v>
      </c>
      <c r="Y2183" s="509" t="b">
        <f t="shared" si="1658"/>
        <v>0</v>
      </c>
      <c r="Z2183" s="510">
        <f t="shared" si="1659"/>
        <v>0</v>
      </c>
      <c r="AA2183" s="511"/>
      <c r="AB2183" s="511" t="str">
        <f t="shared" si="1660"/>
        <v/>
      </c>
      <c r="AC2183" s="698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698"/>
      <c r="AE2183" s="631" t="str">
        <f t="shared" si="1661"/>
        <v/>
      </c>
      <c r="AF2183" s="699" t="str">
        <f t="shared" si="1662"/>
        <v/>
      </c>
      <c r="AG2183" s="699"/>
      <c r="AH2183" s="699"/>
      <c r="AI2183" s="512">
        <f>IF(H2183="credit",0,IF(AE2183="free",0,IF(AE2183="me",0,IF(G2183&gt;0,(VLOOKUP(A2183,'Discount Lookup'!J:K,2)*G2183),0))))</f>
        <v>0</v>
      </c>
      <c r="AJ2183" s="513" t="str">
        <f t="shared" ca="1" si="1663"/>
        <v/>
      </c>
      <c r="AK2183" s="700" t="str">
        <f t="shared" si="1664"/>
        <v/>
      </c>
      <c r="AL2183" s="700"/>
      <c r="AM2183" s="505" t="str">
        <f t="shared" si="1665"/>
        <v/>
      </c>
      <c r="AN2183" s="506"/>
      <c r="AO2183" s="507"/>
      <c r="AP2183" s="507"/>
      <c r="AQ2183" s="507"/>
      <c r="AR2183" s="507"/>
      <c r="AS2183" s="507"/>
      <c r="AT2183" s="507"/>
      <c r="AU2183" s="507"/>
      <c r="AV2183" s="225"/>
      <c r="AW2183" s="508"/>
      <c r="AX2183" s="225"/>
      <c r="AY2183" s="225"/>
      <c r="AZ2183" s="225"/>
      <c r="BA2183" s="225"/>
      <c r="BB2183" s="225"/>
      <c r="BC2183" s="56"/>
      <c r="BD2183" s="56"/>
      <c r="BE2183" s="56"/>
      <c r="BF2183" s="107" t="str">
        <f t="shared" si="1666"/>
        <v>https://www.google.com/search?tbm=isch&amp;q=Leopard%20Plant%20Farfugium%20japonicum</v>
      </c>
      <c r="BG2183" s="107" t="str">
        <f t="shared" si="1667"/>
        <v>L</v>
      </c>
      <c r="BH2183" s="254"/>
      <c r="BI2183" s="254"/>
    </row>
    <row r="2184" spans="1:61" customFormat="1" ht="15.75" x14ac:dyDescent="0.25">
      <c r="A2184" s="485">
        <v>7</v>
      </c>
      <c r="B2184" s="486" t="s">
        <v>291</v>
      </c>
      <c r="C2184" s="487" t="s">
        <v>1253</v>
      </c>
      <c r="D2184" s="488" t="s">
        <v>300</v>
      </c>
      <c r="E2184" s="489">
        <v>91.95</v>
      </c>
      <c r="F2184" s="516" t="s">
        <v>293</v>
      </c>
      <c r="G2184" s="232">
        <v>0</v>
      </c>
      <c r="H2184" s="658" t="str">
        <f>IF(G2184=0,"",IF(F2184="Buy",IF(G2184=1,"plant","plants"),IF(F2184&gt;0.01,"warranty","Error")))</f>
        <v/>
      </c>
      <c r="I2184" s="490">
        <f>IF(H2184="free",0,IF(H2184="credit",((E2184*(F2184))*G2184*-1),IF(F2184="Buy",(E2184*G2184),((E2184*(1-F2184))*G2184))))</f>
        <v>0</v>
      </c>
      <c r="J2184" s="490">
        <f>IF(H2184="warranty",0,(I2184*(_xlfn.SINGLE(SalesTaxPercentage))))</f>
        <v>0</v>
      </c>
      <c r="K2184" s="695">
        <f t="shared" ref="K2184" si="1695">I2184+J2184</f>
        <v>0</v>
      </c>
      <c r="L2184" s="695"/>
      <c r="M2184" s="659" t="str">
        <f>IF(AND(G2184&gt;0,E2184=0),"WARNING - no PRICE inserted",IF(H2184="free"," FREE ~ no charge this plant",IF(H2184="credit",CONCATENATE(" -$",ROUND(K2184*(1-T2GDiscount)*-1,2)," CREDIT after discount"),IF(T2GDiscount=0,"",IF(G2184=0,"",IF(F2184="Buy",CONCATENATE(" $",ROUND(K2184*(1-T2GDiscount),2)," with ",(T2GDiscount*100),"% discount"),CONCATENATE(" $",ROUND(K2184*(1-T2GDiscount),2)," with ",((T2GDiscount*100+F2184*100)-(T2GDiscount*100*F2184)),IF(F2184&gt;0,"% discounts",IF(NoWarrantyDiscount&gt;0,"% discounts","% discount")))))))))</f>
        <v/>
      </c>
      <c r="N2184" s="660"/>
      <c r="O2184" s="233"/>
      <c r="P2184" s="233"/>
      <c r="Q2184" s="233"/>
      <c r="R2184" s="233"/>
      <c r="S2184" s="233"/>
      <c r="T2184" s="508">
        <f t="shared" si="1655"/>
        <v>0</v>
      </c>
      <c r="U2184" s="225">
        <f>IF(NOT(ISNUMBER(G2184)), "", VLOOKUP(A2184,'Discount Lookup'!D:E,2,FALSE)*G2184)</f>
        <v>0</v>
      </c>
      <c r="V2184" s="225">
        <f>IF(NOT(ISNUMBER(G2184)), "", VLOOKUP(A2184,'Discount Lookup'!G:H,2,FALSE)*G2184)</f>
        <v>0</v>
      </c>
      <c r="W2184" s="508">
        <f t="shared" si="1656"/>
        <v>0</v>
      </c>
      <c r="X2184" s="508">
        <f t="shared" si="1657"/>
        <v>0</v>
      </c>
      <c r="Y2184" s="509" t="b">
        <f t="shared" si="1658"/>
        <v>0</v>
      </c>
      <c r="Z2184" s="510">
        <f t="shared" si="1659"/>
        <v>0</v>
      </c>
      <c r="AA2184" s="511"/>
      <c r="AB2184" s="511" t="str">
        <f t="shared" si="1660"/>
        <v/>
      </c>
      <c r="AC2184" s="698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698"/>
      <c r="AE2184" s="631" t="str">
        <f t="shared" si="1661"/>
        <v/>
      </c>
      <c r="AF2184" s="699" t="str">
        <f t="shared" si="1662"/>
        <v/>
      </c>
      <c r="AG2184" s="699"/>
      <c r="AH2184" s="699"/>
      <c r="AI2184" s="512">
        <f>IF(H2184="credit",0,IF(AE2184="free",0,IF(AE2184="me",0,IF(G2184&gt;0,(VLOOKUP(A2184,'Discount Lookup'!J:K,2)*G2184),0))))</f>
        <v>0</v>
      </c>
      <c r="AJ2184" s="513" t="str">
        <f t="shared" ca="1" si="1663"/>
        <v/>
      </c>
      <c r="AK2184" s="700" t="str">
        <f t="shared" si="1664"/>
        <v/>
      </c>
      <c r="AL2184" s="700"/>
      <c r="AM2184" s="505" t="str">
        <f t="shared" si="1665"/>
        <v/>
      </c>
      <c r="AN2184" s="506"/>
      <c r="AO2184" s="507"/>
      <c r="AP2184" s="507"/>
      <c r="AQ2184" s="507"/>
      <c r="AR2184" s="507"/>
      <c r="AS2184" s="507"/>
      <c r="AT2184" s="507"/>
      <c r="AU2184" s="507"/>
      <c r="AV2184" s="225"/>
      <c r="AW2184" s="508"/>
      <c r="AX2184" s="225"/>
      <c r="AY2184" s="225"/>
      <c r="AZ2184" s="225"/>
      <c r="BA2184" s="225"/>
      <c r="BB2184" s="225"/>
      <c r="BC2184" s="56"/>
      <c r="BD2184" s="56"/>
      <c r="BE2184" s="56"/>
      <c r="BF2184" s="107" t="str">
        <f t="shared" si="1666"/>
        <v>https://www.google.com/search?tbm=isch&amp;q=7%20G6</v>
      </c>
      <c r="BG2184" s="107" t="str">
        <f t="shared" si="1667"/>
        <v>L</v>
      </c>
      <c r="BH2184" s="254"/>
      <c r="BI2184" s="254"/>
    </row>
    <row r="2185" spans="1:61" customFormat="1" ht="16.5" thickBot="1" x14ac:dyDescent="0.3">
      <c r="A2185" s="672" t="s">
        <v>5161</v>
      </c>
      <c r="B2185" s="491"/>
      <c r="C2185" s="675"/>
      <c r="D2185" s="491"/>
      <c r="E2185" s="491"/>
      <c r="F2185" s="492"/>
      <c r="G2185" s="493"/>
      <c r="H2185" s="491"/>
      <c r="I2185" s="234"/>
      <c r="J2185" s="234"/>
      <c r="K2185" s="494"/>
      <c r="L2185" s="543"/>
      <c r="M2185" s="561"/>
      <c r="N2185" s="495"/>
      <c r="O2185" s="496"/>
      <c r="P2185" s="497"/>
      <c r="Q2185" s="495"/>
      <c r="R2185" s="495"/>
      <c r="S2185" s="277"/>
      <c r="T2185" s="508">
        <f t="shared" si="1655"/>
        <v>0</v>
      </c>
      <c r="U2185" s="225" t="str">
        <f>IF(NOT(ISNUMBER(G2185)), "", VLOOKUP(A2185,'Discount Lookup'!D:E,2,FALSE)*G2185)</f>
        <v/>
      </c>
      <c r="V2185" s="225" t="str">
        <f>IF(NOT(ISNUMBER(G2185)), "", VLOOKUP(A2185,'Discount Lookup'!G:H,2,FALSE)*G2185)</f>
        <v/>
      </c>
      <c r="W2185" s="508">
        <f t="shared" si="1656"/>
        <v>0</v>
      </c>
      <c r="X2185" s="508">
        <f t="shared" si="1657"/>
        <v>0</v>
      </c>
      <c r="Y2185" s="509" t="b">
        <f t="shared" si="1658"/>
        <v>0</v>
      </c>
      <c r="Z2185" s="510">
        <f t="shared" si="1659"/>
        <v>0</v>
      </c>
      <c r="AA2185" s="511"/>
      <c r="AB2185" s="511" t="str">
        <f t="shared" si="1660"/>
        <v/>
      </c>
      <c r="AC2185" s="698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698"/>
      <c r="AE2185" s="631" t="str">
        <f t="shared" si="1661"/>
        <v/>
      </c>
      <c r="AF2185" s="699" t="str">
        <f t="shared" si="1662"/>
        <v/>
      </c>
      <c r="AG2185" s="699"/>
      <c r="AH2185" s="699"/>
      <c r="AI2185" s="512">
        <f>IF(H2185="credit",0,IF(AE2185="free",0,IF(AE2185="me",0,IF(G2185&gt;0,(VLOOKUP(A2185,'Discount Lookup'!J:K,2)*G2185),0))))</f>
        <v>0</v>
      </c>
      <c r="AJ2185" s="513" t="str">
        <f t="shared" ca="1" si="1663"/>
        <v/>
      </c>
      <c r="AK2185" s="700" t="str">
        <f t="shared" si="1664"/>
        <v/>
      </c>
      <c r="AL2185" s="700"/>
      <c r="AM2185" s="505" t="str">
        <f t="shared" si="1665"/>
        <v/>
      </c>
      <c r="AN2185" s="506"/>
      <c r="AO2185" s="507"/>
      <c r="AP2185" s="507"/>
      <c r="AQ2185" s="507"/>
      <c r="AR2185" s="507"/>
      <c r="AS2185" s="507"/>
      <c r="AT2185" s="507"/>
      <c r="AU2185" s="507"/>
      <c r="AV2185" s="225"/>
      <c r="AW2185" s="508"/>
      <c r="AX2185" s="225"/>
      <c r="AY2185" s="225"/>
      <c r="AZ2185" s="225"/>
      <c r="BA2185" s="225"/>
      <c r="BB2185" s="225"/>
      <c r="BC2185" s="56"/>
      <c r="BD2185" s="56"/>
      <c r="BE2185" s="56"/>
      <c r="BF2185" s="107" t="str">
        <f t="shared" si="1666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185" s="107" t="str">
        <f t="shared" si="1667"/>
        <v>m</v>
      </c>
      <c r="BH2185" s="254"/>
      <c r="BI2185" s="254"/>
    </row>
    <row r="2186" spans="1:61" customFormat="1" ht="18" x14ac:dyDescent="0.25">
      <c r="A2186" s="523" t="s">
        <v>5446</v>
      </c>
      <c r="B2186" s="235"/>
      <c r="C2186" s="676"/>
      <c r="D2186" s="255" t="s">
        <v>1254</v>
      </c>
      <c r="E2186" s="236"/>
      <c r="F2186" s="236"/>
      <c r="G2186" s="236"/>
      <c r="H2186" s="582" t="s">
        <v>483</v>
      </c>
      <c r="I2186" s="498" t="s">
        <v>3113</v>
      </c>
      <c r="J2186" s="237"/>
      <c r="K2186" s="237"/>
      <c r="L2186" s="274"/>
      <c r="M2186" s="670" t="s">
        <v>4973</v>
      </c>
      <c r="N2186" s="681" t="str">
        <f>IF(AND(ISTEXT($A2186), ISERROR($A2186+0)), HYPERLINK($BF2186, "Images"), "")</f>
        <v>Images</v>
      </c>
      <c r="O2186" s="663" t="s">
        <v>4974</v>
      </c>
      <c r="P2186" s="253"/>
      <c r="Q2186" s="238"/>
      <c r="R2186" s="239"/>
      <c r="S2186" s="275" t="s">
        <v>305</v>
      </c>
      <c r="T2186" s="508">
        <f t="shared" si="1655"/>
        <v>0</v>
      </c>
      <c r="U2186" s="225" t="str">
        <f>IF(NOT(ISNUMBER(G2186)), "", VLOOKUP(A2186,'Discount Lookup'!D:E,2,FALSE)*G2186)</f>
        <v/>
      </c>
      <c r="V2186" s="225" t="str">
        <f>IF(NOT(ISNUMBER(G2186)), "", VLOOKUP(A2186,'Discount Lookup'!G:H,2,FALSE)*G2186)</f>
        <v/>
      </c>
      <c r="W2186" s="508">
        <f t="shared" si="1656"/>
        <v>0</v>
      </c>
      <c r="X2186" s="508" t="str">
        <f t="shared" si="1657"/>
        <v>White bloom ages to Pink</v>
      </c>
      <c r="Y2186" s="509" t="b">
        <f t="shared" si="1658"/>
        <v>0</v>
      </c>
      <c r="Z2186" s="510">
        <f t="shared" si="1659"/>
        <v>0</v>
      </c>
      <c r="AA2186" s="511"/>
      <c r="AB2186" s="511" t="str">
        <f t="shared" si="1660"/>
        <v/>
      </c>
      <c r="AC2186" s="698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698"/>
      <c r="AE2186" s="631" t="str">
        <f t="shared" si="1661"/>
        <v/>
      </c>
      <c r="AF2186" s="699" t="str">
        <f t="shared" si="1662"/>
        <v/>
      </c>
      <c r="AG2186" s="699"/>
      <c r="AH2186" s="699"/>
      <c r="AI2186" s="512">
        <f>IF(H2186="credit",0,IF(AE2186="free",0,IF(AE2186="me",0,IF(G2186&gt;0,(VLOOKUP(A2186,'Discount Lookup'!J:K,2)*G2186),0))))</f>
        <v>0</v>
      </c>
      <c r="AJ2186" s="513" t="str">
        <f t="shared" ca="1" si="1663"/>
        <v/>
      </c>
      <c r="AK2186" s="700" t="str">
        <f t="shared" si="1664"/>
        <v/>
      </c>
      <c r="AL2186" s="700"/>
      <c r="AM2186" s="505" t="str">
        <f t="shared" si="1665"/>
        <v/>
      </c>
      <c r="AN2186" s="506"/>
      <c r="AO2186" s="507"/>
      <c r="AP2186" s="507"/>
      <c r="AQ2186" s="507"/>
      <c r="AR2186" s="507"/>
      <c r="AS2186" s="507"/>
      <c r="AT2186" s="507"/>
      <c r="AU2186" s="507"/>
      <c r="AV2186" s="225"/>
      <c r="AW2186" s="508"/>
      <c r="AX2186" s="225"/>
      <c r="AY2186" s="225"/>
      <c r="AZ2186" s="225"/>
      <c r="BA2186" s="225"/>
      <c r="BB2186" s="225"/>
      <c r="BC2186" s="56"/>
      <c r="BD2186" s="56"/>
      <c r="BE2186" s="56"/>
      <c r="BF2186" s="107" t="str">
        <f t="shared" si="1666"/>
        <v>https://www.google.com/search?tbm=isch&amp;q=Li%27l%20Annie%20Oakleaf%E2%84%A2%20Hydrangea%20Hyd.%20quercifolia%20%27Oakann1588%27%20PP%2336030</v>
      </c>
      <c r="BG2186" s="107" t="str">
        <f t="shared" si="1667"/>
        <v>L</v>
      </c>
      <c r="BH2186" s="254"/>
      <c r="BI2186" s="254"/>
    </row>
    <row r="2187" spans="1:61" customFormat="1" ht="15.75" x14ac:dyDescent="0.25">
      <c r="A2187" s="276">
        <v>3</v>
      </c>
      <c r="B2187" s="240" t="s">
        <v>291</v>
      </c>
      <c r="C2187" s="241" t="s">
        <v>329</v>
      </c>
      <c r="D2187" s="242" t="s">
        <v>312</v>
      </c>
      <c r="E2187" s="243">
        <v>30.95</v>
      </c>
      <c r="F2187" s="517" t="s">
        <v>293</v>
      </c>
      <c r="G2187" s="232">
        <v>0</v>
      </c>
      <c r="H2187" s="661" t="str">
        <f>IF(G2187=0,"",IF(F2187="Buy",IF(G2187=1,"plant","plants"),IF(F2187&gt;0.01,"warranty","Error")))</f>
        <v/>
      </c>
      <c r="I2187" s="244">
        <f>IF(H2187="free",0,IF(H2187="credit",((E2187*(F2187))*G2187*-1),IF(F2187="Buy",(E2187*G2187),((E2187*(1-F2187))*G2187))))</f>
        <v>0</v>
      </c>
      <c r="J2187" s="244">
        <f>IF(H2187="warranty",0,(I2187*(_xlfn.SINGLE(SalesTaxPercentage))))</f>
        <v>0</v>
      </c>
      <c r="K2187" s="696">
        <f t="shared" ref="K2187" si="1696">I2187+J2187</f>
        <v>0</v>
      </c>
      <c r="L2187" s="696"/>
      <c r="M2187" s="659" t="str">
        <f>IF(AND(G2187&gt;0,E2187=0),"WARNING - no PRICE inserted",IF(H2187="free"," FREE ~ no charge this plant",IF(H2187="credit",CONCATENATE(" -$",ROUND(K2187*(1-T2GDiscount)*-1,2)," CREDIT after discount"),IF(T2GDiscount=0,"",IF(G2187=0,"",IF(F2187="Buy",CONCATENATE(" $",ROUND(K2187*(1-T2GDiscount),2)," with ",(T2GDiscount*100),"% discount"),CONCATENATE(" $",ROUND(K2187*(1-T2GDiscount),2)," with ",((T2GDiscount*100+F2187*100)-(T2GDiscount*100*F2187)),IF(F2187&gt;0,"% discounts",IF(NoWarrantyDiscount&gt;0,"% discounts","% discount")))))))))</f>
        <v/>
      </c>
      <c r="N2187" s="660"/>
      <c r="O2187" s="233"/>
      <c r="P2187" s="233"/>
      <c r="Q2187" s="233"/>
      <c r="R2187" s="233"/>
      <c r="S2187" s="233"/>
      <c r="T2187" s="508">
        <f t="shared" si="1655"/>
        <v>0</v>
      </c>
      <c r="U2187" s="225">
        <f>IF(NOT(ISNUMBER(G2187)), "", VLOOKUP(A2187,'Discount Lookup'!D:E,2,FALSE)*G2187)</f>
        <v>0</v>
      </c>
      <c r="V2187" s="225">
        <f>IF(NOT(ISNUMBER(G2187)), "", VLOOKUP(A2187,'Discount Lookup'!G:H,2,FALSE)*G2187)</f>
        <v>0</v>
      </c>
      <c r="W2187" s="508">
        <f t="shared" si="1656"/>
        <v>0</v>
      </c>
      <c r="X2187" s="508">
        <f t="shared" si="1657"/>
        <v>0</v>
      </c>
      <c r="Y2187" s="509" t="b">
        <f t="shared" si="1658"/>
        <v>0</v>
      </c>
      <c r="Z2187" s="510">
        <f t="shared" si="1659"/>
        <v>0</v>
      </c>
      <c r="AA2187" s="511"/>
      <c r="AB2187" s="511" t="str">
        <f t="shared" si="1660"/>
        <v/>
      </c>
      <c r="AC2187" s="698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698"/>
      <c r="AE2187" s="631" t="str">
        <f t="shared" si="1661"/>
        <v/>
      </c>
      <c r="AF2187" s="699" t="str">
        <f t="shared" si="1662"/>
        <v/>
      </c>
      <c r="AG2187" s="699"/>
      <c r="AH2187" s="699"/>
      <c r="AI2187" s="512">
        <f>IF(H2187="credit",0,IF(AE2187="free",0,IF(AE2187="me",0,IF(G2187&gt;0,(VLOOKUP(A2187,'Discount Lookup'!J:K,2)*G2187),0))))</f>
        <v>0</v>
      </c>
      <c r="AJ2187" s="513" t="str">
        <f t="shared" ca="1" si="1663"/>
        <v/>
      </c>
      <c r="AK2187" s="700" t="str">
        <f t="shared" si="1664"/>
        <v/>
      </c>
      <c r="AL2187" s="700"/>
      <c r="AM2187" s="505" t="str">
        <f t="shared" si="1665"/>
        <v/>
      </c>
      <c r="AN2187" s="506"/>
      <c r="AO2187" s="507"/>
      <c r="AP2187" s="507"/>
      <c r="AQ2187" s="507"/>
      <c r="AR2187" s="507"/>
      <c r="AS2187" s="507"/>
      <c r="AT2187" s="507"/>
      <c r="AU2187" s="507"/>
      <c r="AV2187" s="225"/>
      <c r="AW2187" s="508"/>
      <c r="AX2187" s="225"/>
      <c r="AY2187" s="225"/>
      <c r="AZ2187" s="225"/>
      <c r="BA2187" s="225"/>
      <c r="BB2187" s="225"/>
      <c r="BC2187" s="56"/>
      <c r="BD2187" s="56"/>
      <c r="BE2187" s="56"/>
      <c r="BF2187" s="107" t="str">
        <f t="shared" si="1666"/>
        <v>https://www.google.com/search?tbm=isch&amp;q=3%20G2</v>
      </c>
      <c r="BG2187" s="107" t="str">
        <f t="shared" si="1667"/>
        <v>L</v>
      </c>
      <c r="BH2187" s="254"/>
      <c r="BI2187" s="254"/>
    </row>
    <row r="2188" spans="1:61" customFormat="1" ht="17.25" thickBot="1" x14ac:dyDescent="0.3">
      <c r="A2188" s="673" t="s">
        <v>5162</v>
      </c>
      <c r="B2188" s="245"/>
      <c r="C2188" s="677"/>
      <c r="D2188" s="499"/>
      <c r="E2188" s="499"/>
      <c r="F2188" s="500"/>
      <c r="G2188" s="501"/>
      <c r="H2188" s="502"/>
      <c r="I2188" s="246"/>
      <c r="J2188" s="247"/>
      <c r="K2188" s="503"/>
      <c r="L2188" s="544"/>
      <c r="M2188" s="544"/>
      <c r="N2188" s="500"/>
      <c r="O2188" s="500"/>
      <c r="P2188" s="500"/>
      <c r="Q2188" s="500"/>
      <c r="R2188" s="500"/>
      <c r="S2188" s="278"/>
      <c r="T2188" s="508">
        <f t="shared" si="1655"/>
        <v>0</v>
      </c>
      <c r="U2188" s="225" t="str">
        <f>IF(NOT(ISNUMBER(G2188)), "", VLOOKUP(A2188,'Discount Lookup'!D:E,2,FALSE)*G2188)</f>
        <v/>
      </c>
      <c r="V2188" s="225" t="str">
        <f>IF(NOT(ISNUMBER(G2188)), "", VLOOKUP(A2188,'Discount Lookup'!G:H,2,FALSE)*G2188)</f>
        <v/>
      </c>
      <c r="W2188" s="508">
        <f t="shared" si="1656"/>
        <v>0</v>
      </c>
      <c r="X2188" s="508">
        <f t="shared" si="1657"/>
        <v>0</v>
      </c>
      <c r="Y2188" s="509" t="b">
        <f t="shared" si="1658"/>
        <v>0</v>
      </c>
      <c r="Z2188" s="510">
        <f t="shared" si="1659"/>
        <v>0</v>
      </c>
      <c r="AA2188" s="511"/>
      <c r="AB2188" s="511" t="str">
        <f t="shared" si="1660"/>
        <v/>
      </c>
      <c r="AC2188" s="698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698"/>
      <c r="AE2188" s="631" t="str">
        <f t="shared" si="1661"/>
        <v/>
      </c>
      <c r="AF2188" s="699" t="str">
        <f t="shared" si="1662"/>
        <v/>
      </c>
      <c r="AG2188" s="699"/>
      <c r="AH2188" s="699"/>
      <c r="AI2188" s="512">
        <f>IF(H2188="credit",0,IF(AE2188="free",0,IF(AE2188="me",0,IF(G2188&gt;0,(VLOOKUP(A2188,'Discount Lookup'!J:K,2)*G2188),0))))</f>
        <v>0</v>
      </c>
      <c r="AJ2188" s="513" t="str">
        <f t="shared" ca="1" si="1663"/>
        <v/>
      </c>
      <c r="AK2188" s="700" t="str">
        <f t="shared" si="1664"/>
        <v/>
      </c>
      <c r="AL2188" s="700"/>
      <c r="AM2188" s="505" t="str">
        <f t="shared" si="1665"/>
        <v/>
      </c>
      <c r="AN2188" s="506"/>
      <c r="AO2188" s="507"/>
      <c r="AP2188" s="507"/>
      <c r="AQ2188" s="507"/>
      <c r="AR2188" s="507"/>
      <c r="AS2188" s="507"/>
      <c r="AT2188" s="507"/>
      <c r="AU2188" s="507"/>
      <c r="AV2188" s="225"/>
      <c r="AW2188" s="508"/>
      <c r="AX2188" s="225"/>
      <c r="AY2188" s="225"/>
      <c r="AZ2188" s="225"/>
      <c r="BA2188" s="225"/>
      <c r="BB2188" s="225"/>
      <c r="BC2188" s="56"/>
      <c r="BD2188" s="56"/>
      <c r="BE2188" s="56"/>
      <c r="BF2188" s="107" t="str">
        <f t="shared" si="1666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188" s="107" t="str">
        <f t="shared" si="1667"/>
        <v>m</v>
      </c>
      <c r="BH2188" s="254"/>
      <c r="BI2188" s="254"/>
    </row>
    <row r="2189" spans="1:61" customFormat="1" ht="18" x14ac:dyDescent="0.25">
      <c r="A2189" s="523" t="s">
        <v>5601</v>
      </c>
      <c r="B2189" s="235"/>
      <c r="C2189" s="676"/>
      <c r="D2189" s="255" t="s">
        <v>1255</v>
      </c>
      <c r="E2189" s="236"/>
      <c r="F2189" s="236"/>
      <c r="G2189" s="236"/>
      <c r="H2189" s="582" t="s">
        <v>1858</v>
      </c>
      <c r="I2189" s="498" t="s">
        <v>3108</v>
      </c>
      <c r="J2189" s="237"/>
      <c r="K2189" s="237"/>
      <c r="L2189" s="274"/>
      <c r="M2189" s="668" t="s">
        <v>4975</v>
      </c>
      <c r="N2189" s="681" t="str">
        <f>IF(AND(ISTEXT($A2189), ISERROR($A2189+0)), HYPERLINK($BF2189, "Images"), "")</f>
        <v>Images</v>
      </c>
      <c r="O2189" s="663" t="s">
        <v>4967</v>
      </c>
      <c r="P2189" s="253"/>
      <c r="Q2189" s="238"/>
      <c r="R2189" s="239"/>
      <c r="S2189" s="275"/>
      <c r="T2189" s="508">
        <f t="shared" si="1655"/>
        <v>0</v>
      </c>
      <c r="U2189" s="225" t="str">
        <f>IF(NOT(ISNUMBER(G2189)), "", VLOOKUP(A2189,'Discount Lookup'!D:E,2,FALSE)*G2189)</f>
        <v/>
      </c>
      <c r="V2189" s="225" t="str">
        <f>IF(NOT(ISNUMBER(G2189)), "", VLOOKUP(A2189,'Discount Lookup'!G:H,2,FALSE)*G2189)</f>
        <v/>
      </c>
      <c r="W2189" s="508">
        <f t="shared" si="1656"/>
        <v>0</v>
      </c>
      <c r="X2189" s="508" t="str">
        <f t="shared" si="1657"/>
        <v>Lime Green ages to Pink</v>
      </c>
      <c r="Y2189" s="509" t="b">
        <f t="shared" si="1658"/>
        <v>0</v>
      </c>
      <c r="Z2189" s="510">
        <f t="shared" si="1659"/>
        <v>0</v>
      </c>
      <c r="AA2189" s="511"/>
      <c r="AB2189" s="511" t="str">
        <f t="shared" si="1660"/>
        <v/>
      </c>
      <c r="AC2189" s="698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698"/>
      <c r="AE2189" s="631" t="str">
        <f t="shared" si="1661"/>
        <v/>
      </c>
      <c r="AF2189" s="699" t="str">
        <f t="shared" si="1662"/>
        <v/>
      </c>
      <c r="AG2189" s="699"/>
      <c r="AH2189" s="699"/>
      <c r="AI2189" s="512">
        <f>IF(H2189="credit",0,IF(AE2189="free",0,IF(AE2189="me",0,IF(G2189&gt;0,(VLOOKUP(A2189,'Discount Lookup'!J:K,2)*G2189),0))))</f>
        <v>0</v>
      </c>
      <c r="AJ2189" s="513" t="str">
        <f t="shared" ca="1" si="1663"/>
        <v/>
      </c>
      <c r="AK2189" s="700" t="str">
        <f t="shared" si="1664"/>
        <v/>
      </c>
      <c r="AL2189" s="700"/>
      <c r="AM2189" s="505" t="str">
        <f t="shared" si="1665"/>
        <v/>
      </c>
      <c r="AN2189" s="506"/>
      <c r="AO2189" s="507"/>
      <c r="AP2189" s="507"/>
      <c r="AQ2189" s="507"/>
      <c r="AR2189" s="507"/>
      <c r="AS2189" s="507"/>
      <c r="AT2189" s="507"/>
      <c r="AU2189" s="507"/>
      <c r="AV2189" s="225"/>
      <c r="AW2189" s="508"/>
      <c r="AX2189" s="225"/>
      <c r="AY2189" s="225"/>
      <c r="AZ2189" s="225"/>
      <c r="BA2189" s="225"/>
      <c r="BB2189" s="225"/>
      <c r="BC2189" s="56"/>
      <c r="BD2189" s="56"/>
      <c r="BE2189" s="56"/>
      <c r="BF2189" s="107" t="str">
        <f t="shared" si="1666"/>
        <v>https://www.google.com/search?tbm=isch&amp;q=Limelight%20Prime%C2%AE%20Hydrangea%20%28PW%C2%AE%29%20Hyd.%20paniculata%20%27SMNHPPH%27%20PP%2332511</v>
      </c>
      <c r="BG2189" s="107" t="str">
        <f t="shared" si="1667"/>
        <v>L</v>
      </c>
      <c r="BH2189" s="254"/>
      <c r="BI2189" s="254"/>
    </row>
    <row r="2190" spans="1:61" customFormat="1" ht="15.75" x14ac:dyDescent="0.25">
      <c r="A2190" s="276">
        <v>3</v>
      </c>
      <c r="B2190" s="240" t="s">
        <v>291</v>
      </c>
      <c r="C2190" s="241" t="s">
        <v>4426</v>
      </c>
      <c r="D2190" s="242" t="s">
        <v>292</v>
      </c>
      <c r="E2190" s="243">
        <v>40.950000000000003</v>
      </c>
      <c r="F2190" s="517" t="s">
        <v>293</v>
      </c>
      <c r="G2190" s="232">
        <v>0</v>
      </c>
      <c r="H2190" s="661" t="str">
        <f>IF(G2190=0,"",IF(F2190="Buy",IF(G2190=1,"plant","plants"),IF(F2190&gt;0.01,"warranty","Error")))</f>
        <v/>
      </c>
      <c r="I2190" s="244">
        <f>IF(H2190="free",0,IF(H2190="credit",((E2190*(F2190))*G2190*-1),IF(F2190="Buy",(E2190*G2190),((E2190*(1-F2190))*G2190))))</f>
        <v>0</v>
      </c>
      <c r="J2190" s="244">
        <f>IF(H2190="warranty",0,(I2190*(_xlfn.SINGLE(SalesTaxPercentage))))</f>
        <v>0</v>
      </c>
      <c r="K2190" s="696">
        <f t="shared" ref="K2190" si="1697">I2190+J2190</f>
        <v>0</v>
      </c>
      <c r="L2190" s="696"/>
      <c r="M2190" s="659" t="str">
        <f>IF(AND(G2190&gt;0,E2190=0),"WARNING - no PRICE inserted",IF(H2190="free"," FREE ~ no charge this plant",IF(H2190="credit",CONCATENATE(" -$",ROUND(K2190*(1-T2GDiscount)*-1,2)," CREDIT after discount"),IF(T2GDiscount=0,"",IF(G2190=0,"",IF(F2190="Buy",CONCATENATE(" $",ROUND(K2190*(1-T2GDiscount),2)," with ",(T2GDiscount*100),"% discount"),CONCATENATE(" $",ROUND(K2190*(1-T2GDiscount),2)," with ",((T2GDiscount*100+F2190*100)-(T2GDiscount*100*F2190)),IF(F2190&gt;0,"% discounts",IF(NoWarrantyDiscount&gt;0,"% discounts","% discount")))))))))</f>
        <v/>
      </c>
      <c r="N2190" s="660"/>
      <c r="O2190" s="233"/>
      <c r="P2190" s="233"/>
      <c r="Q2190" s="233"/>
      <c r="R2190" s="233"/>
      <c r="S2190" s="233"/>
      <c r="T2190" s="508">
        <f t="shared" ref="T2190:T2253" si="1698">E2190*G2190</f>
        <v>0</v>
      </c>
      <c r="U2190" s="225">
        <f>IF(NOT(ISNUMBER(G2190)), "", VLOOKUP(A2190,'Discount Lookup'!D:E,2,FALSE)*G2190)</f>
        <v>0</v>
      </c>
      <c r="V2190" s="225">
        <f>IF(NOT(ISNUMBER(G2190)), "", VLOOKUP(A2190,'Discount Lookup'!G:H,2,FALSE)*G2190)</f>
        <v>0</v>
      </c>
      <c r="W2190" s="508">
        <f t="shared" ref="W2190:W2253" si="1699">IF(H2190="credit",0,E2190*(SalesTaxPercentage)*G2190)</f>
        <v>0</v>
      </c>
      <c r="X2190" s="508">
        <f t="shared" ref="X2190:X2253" si="1700">I2190</f>
        <v>0</v>
      </c>
      <c r="Y2190" s="509" t="b">
        <f t="shared" ref="Y2190:Y2253" si="1701">IF(AE2190="T2G",0,IF(H2190="credit",0,IF(G2190&gt;0,IF(AE2190="me","",G2190))))</f>
        <v>0</v>
      </c>
      <c r="Z2190" s="510">
        <f t="shared" ref="Z2190:Z2253" si="1702">IF(H2190="credit",G2190,0)</f>
        <v>0</v>
      </c>
      <c r="AA2190" s="511"/>
      <c r="AB2190" s="511" t="str">
        <f t="shared" ref="AB2190:AB2253" si="1703">IF(AE2190="T2G","by Trees2Go",IF(H2190="credit","CREDIT only ~",IF(AND(K2190="",AE2190=OR(PlanterYesMe="No",PlanterYesMe="N",PlanterYesMe="me")),"not THIS line⇨",IF(AND(K2190="images",AE2190="me"),"not THIS line⇨",IF(H2190="credit","",IF(G2190=0,"",IF(AE2190="me","",IF(OR(PlanterYesMe="No",PlanterYesMe="N",PlanterYesMe="me"),"",IF(AE2190="free","warranty",IF(OR(PlanterYesMe="yes",PlanterYesMe="y"),"Edison install:","to install:"))))))))))</f>
        <v/>
      </c>
      <c r="AC2190" s="698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698"/>
      <c r="AE2190" s="631" t="str">
        <f t="shared" ref="AE2190:AE2253" si="1704">IF(H2190="credit","",IF(G2190=0,"",IF(OR(PlanterYesMe="No",PlanterYesMe="N",PlanterYesMe="me"),"me",IF(H2190="warranty","free",IF(OR(PlanterYesMe="yes",PlanterYesMe="y"),"ELP","")))))</f>
        <v/>
      </c>
      <c r="AF2190" s="699" t="str">
        <f t="shared" ref="AF2190:AF2253" si="1705">IF(OR(PlanterYesMe="No",PlanterYesMe="N",PlanterYesMe="me"),"",IF(H2190="credit","",IF(G2190&gt;0,(CONCATENATE((G2190)," quantity, ",(A2190)," ",B2190)),"")))</f>
        <v/>
      </c>
      <c r="AG2190" s="699"/>
      <c r="AH2190" s="699"/>
      <c r="AI2190" s="512">
        <f>IF(H2190="credit",0,IF(AE2190="free",0,IF(AE2190="me",0,IF(G2190&gt;0,(VLOOKUP(A2190,'Discount Lookup'!J:K,2)*G2190),0))))</f>
        <v>0</v>
      </c>
      <c r="AJ2190" s="513" t="str">
        <f t="shared" ref="AJ2190:AJ2253" ca="1" si="1706">IF(AND(ISREF(H2190),H2190="credit"),"",IF(AND(AND(OFFSET(G2190,0,0)=0,OFFSET(G2190,1,0)&gt;0,ISNUMBER(OFFSET(AC2190,1,0)),OFFSET(AC2190,1,0)&gt;0),OR(PlanterYesMe="yes",PlanterYesMe="y")),"T2G+ELP=",IF(AND(OFFSET(G2190,0,0)=0,OFFSET(G2190,1,0)&gt;0,ISNUMBER(OFFSET(AC2190,1,0)),OFFSET(AC2190,1,0)&gt;0),"if T2G+ELP=",IF(AND(OFFSET(G2190,0,0)=0,OFFSET(G2190,1,0)&gt;0),"T2G Subtotal",IF(H2190="credit","",IF(G2190=0,"",IF(AE2190="free",(K2190*(1-T2GDiscount)),IF(OR(PlanterYesMe="No",PlanterYesMe="N",PlanterYesMe="me"),(K2190*(1-T2GDiscount)),IF(OR(AE2190="me",AE2190="T2G"),(K2190*(1-T2GDiscount)),(K2190*(1-T2GDiscount))+AC2190)))))))))</f>
        <v/>
      </c>
      <c r="AK2190" s="700" t="str">
        <f t="shared" ref="AK2190:AK2253" si="1707">IF(H2190="credit","",IF(G2190=0,"",IF(OR(AE2190="me",AE2190="T2G"),"  delivery-only",IF(OR(PlanterYesMe="No",PlanterYesMe="N",PlanterYesMe="me"),"  delivery-only",CONCATENATE(" $",ROUND(AJ2190/G2190,2)," each")))))</f>
        <v/>
      </c>
      <c r="AL2190" s="700"/>
      <c r="AM2190" s="505" t="str">
        <f t="shared" ref="AM2190:AM2253" si="1708">IF(H2190="credit","",IF(AE2190="free","      ~ discounts included, no tax or planting fee applies ~",IF(G2190=0,"",IF(OR(PlanterYesMe="No",PlanterYesMe="N",PlanterYesMe="me"),CONCATENATE(" $",ROUND(AJ2190/G2190,2)," per plant, with tax &amp; discount"),IF(OR(AE2190="me",AE2190="T2G"),CONCATENATE(" $",ROUND(AJ2190/G2190,2)," per plant, with tax &amp; discount"),CONCATENATE("= $",ROUND((K2190*(1-T2GDiscount))/G2190,2)," per plant + $",AC2190/G2190,(" per planting      ~ includes tax &amp; discounts ~")))))))</f>
        <v/>
      </c>
      <c r="AN2190" s="506"/>
      <c r="AO2190" s="507"/>
      <c r="AP2190" s="507"/>
      <c r="AQ2190" s="507"/>
      <c r="AR2190" s="507"/>
      <c r="AS2190" s="507"/>
      <c r="AT2190" s="507"/>
      <c r="AU2190" s="507"/>
      <c r="AV2190" s="225"/>
      <c r="AW2190" s="508"/>
      <c r="AX2190" s="225"/>
      <c r="AY2190" s="225"/>
      <c r="AZ2190" s="225"/>
      <c r="BA2190" s="225"/>
      <c r="BB2190" s="225"/>
      <c r="BC2190" s="56"/>
      <c r="BD2190" s="56"/>
      <c r="BE2190" s="56"/>
      <c r="BF2190" s="107" t="str">
        <f t="shared" ref="BF2190:BF2253" si="1709">"https://www.google.com/search?tbm=isch&amp;q=" &amp; _xlfn.ENCODEURL($A2190 &amp; " " &amp; $D2190)</f>
        <v>https://www.google.com/search?tbm=isch&amp;q=3%20G4</v>
      </c>
      <c r="BG2190" s="107" t="str">
        <f t="shared" ref="BG2190:BG2253" si="1710">IF(ISTEXT(A2190),LEFT(A2190,1),BG2189)</f>
        <v>L</v>
      </c>
      <c r="BH2190" s="254"/>
      <c r="BI2190" s="254"/>
    </row>
    <row r="2191" spans="1:61" customFormat="1" ht="15.75" x14ac:dyDescent="0.25">
      <c r="A2191" s="276">
        <v>3</v>
      </c>
      <c r="B2191" s="240" t="s">
        <v>291</v>
      </c>
      <c r="C2191" s="241" t="s">
        <v>4910</v>
      </c>
      <c r="D2191" s="242" t="s">
        <v>312</v>
      </c>
      <c r="E2191" s="243">
        <v>42.95</v>
      </c>
      <c r="F2191" s="517" t="s">
        <v>293</v>
      </c>
      <c r="G2191" s="232">
        <v>0</v>
      </c>
      <c r="H2191" s="661" t="str">
        <f>IF(G2191=0,"",IF(F2191="Buy",IF(G2191=1,"plant","plants"),IF(F2191&gt;0.01,"warranty","Error")))</f>
        <v/>
      </c>
      <c r="I2191" s="244">
        <f>IF(H2191="free",0,IF(H2191="credit",((E2191*(F2191))*G2191*-1),IF(F2191="Buy",(E2191*G2191),((E2191*(1-F2191))*G2191))))</f>
        <v>0</v>
      </c>
      <c r="J2191" s="244">
        <f>IF(H2191="warranty",0,(I2191*(_xlfn.SINGLE(SalesTaxPercentage))))</f>
        <v>0</v>
      </c>
      <c r="K2191" s="696">
        <f t="shared" ref="K2191" si="1711">I2191+J2191</f>
        <v>0</v>
      </c>
      <c r="L2191" s="696"/>
      <c r="M2191" s="659" t="str">
        <f>IF(AND(G2191&gt;0,E2191=0),"WARNING - no PRICE inserted",IF(H2191="free"," FREE ~ no charge this plant",IF(H2191="credit",CONCATENATE(" -$",ROUND(K2191*(1-T2GDiscount)*-1,2)," CREDIT after discount"),IF(T2GDiscount=0,"",IF(G2191=0,"",IF(F2191="Buy",CONCATENATE(" $",ROUND(K2191*(1-T2GDiscount),2)," with ",(T2GDiscount*100),"% discount"),CONCATENATE(" $",ROUND(K2191*(1-T2GDiscount),2)," with ",((T2GDiscount*100+F2191*100)-(T2GDiscount*100*F2191)),IF(F2191&gt;0,"% discounts",IF(NoWarrantyDiscount&gt;0,"% discounts","% discount")))))))))</f>
        <v/>
      </c>
      <c r="N2191" s="660"/>
      <c r="O2191" s="233"/>
      <c r="P2191" s="233"/>
      <c r="Q2191" s="233"/>
      <c r="R2191" s="233"/>
      <c r="S2191" s="233"/>
      <c r="T2191" s="508">
        <f t="shared" si="1698"/>
        <v>0</v>
      </c>
      <c r="U2191" s="225">
        <f>IF(NOT(ISNUMBER(G2191)), "", VLOOKUP(A2191,'Discount Lookup'!D:E,2,FALSE)*G2191)</f>
        <v>0</v>
      </c>
      <c r="V2191" s="225">
        <f>IF(NOT(ISNUMBER(G2191)), "", VLOOKUP(A2191,'Discount Lookup'!G:H,2,FALSE)*G2191)</f>
        <v>0</v>
      </c>
      <c r="W2191" s="508">
        <f t="shared" si="1699"/>
        <v>0</v>
      </c>
      <c r="X2191" s="508">
        <f t="shared" si="1700"/>
        <v>0</v>
      </c>
      <c r="Y2191" s="509" t="b">
        <f t="shared" si="1701"/>
        <v>0</v>
      </c>
      <c r="Z2191" s="510">
        <f t="shared" si="1702"/>
        <v>0</v>
      </c>
      <c r="AA2191" s="511"/>
      <c r="AB2191" s="511" t="str">
        <f t="shared" si="1703"/>
        <v/>
      </c>
      <c r="AC2191" s="698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698"/>
      <c r="AE2191" s="631" t="str">
        <f t="shared" si="1704"/>
        <v/>
      </c>
      <c r="AF2191" s="699" t="str">
        <f t="shared" si="1705"/>
        <v/>
      </c>
      <c r="AG2191" s="699"/>
      <c r="AH2191" s="699"/>
      <c r="AI2191" s="512">
        <f>IF(H2191="credit",0,IF(AE2191="free",0,IF(AE2191="me",0,IF(G2191&gt;0,(VLOOKUP(A2191,'Discount Lookup'!J:K,2)*G2191),0))))</f>
        <v>0</v>
      </c>
      <c r="AJ2191" s="513" t="str">
        <f t="shared" ca="1" si="1706"/>
        <v/>
      </c>
      <c r="AK2191" s="700" t="str">
        <f t="shared" si="1707"/>
        <v/>
      </c>
      <c r="AL2191" s="700"/>
      <c r="AM2191" s="505" t="str">
        <f t="shared" si="1708"/>
        <v/>
      </c>
      <c r="AN2191" s="506"/>
      <c r="AO2191" s="507"/>
      <c r="AP2191" s="507"/>
      <c r="AQ2191" s="507"/>
      <c r="AR2191" s="507"/>
      <c r="AS2191" s="507"/>
      <c r="AT2191" s="507"/>
      <c r="AU2191" s="507"/>
      <c r="AV2191" s="225"/>
      <c r="AW2191" s="508"/>
      <c r="AX2191" s="225"/>
      <c r="AY2191" s="225"/>
      <c r="AZ2191" s="225"/>
      <c r="BA2191" s="225"/>
      <c r="BB2191" s="225"/>
      <c r="BC2191" s="56"/>
      <c r="BD2191" s="56"/>
      <c r="BE2191" s="56"/>
      <c r="BF2191" s="107" t="str">
        <f t="shared" si="1709"/>
        <v>https://www.google.com/search?tbm=isch&amp;q=3%20G2</v>
      </c>
      <c r="BG2191" s="107" t="str">
        <f t="shared" si="1710"/>
        <v>L</v>
      </c>
      <c r="BH2191" s="254"/>
      <c r="BI2191" s="254"/>
    </row>
    <row r="2192" spans="1:61" customFormat="1" ht="15.75" x14ac:dyDescent="0.25">
      <c r="A2192" s="276">
        <v>3</v>
      </c>
      <c r="B2192" s="240" t="s">
        <v>291</v>
      </c>
      <c r="C2192" s="241" t="s">
        <v>3998</v>
      </c>
      <c r="D2192" s="242" t="s">
        <v>299</v>
      </c>
      <c r="E2192" s="243">
        <v>42.95</v>
      </c>
      <c r="F2192" s="517" t="s">
        <v>293</v>
      </c>
      <c r="G2192" s="232">
        <v>0</v>
      </c>
      <c r="H2192" s="661" t="str">
        <f>IF(G2192=0,"",IF(F2192="Buy",IF(G2192=1,"plant","plants"),IF(F2192&gt;0.01,"warranty","Error")))</f>
        <v/>
      </c>
      <c r="I2192" s="244">
        <f>IF(H2192="free",0,IF(H2192="credit",((E2192*(F2192))*G2192*-1),IF(F2192="Buy",(E2192*G2192),((E2192*(1-F2192))*G2192))))</f>
        <v>0</v>
      </c>
      <c r="J2192" s="244">
        <f>IF(H2192="warranty",0,(I2192*(_xlfn.SINGLE(SalesTaxPercentage))))</f>
        <v>0</v>
      </c>
      <c r="K2192" s="696">
        <f t="shared" ref="K2192" si="1712">I2192+J2192</f>
        <v>0</v>
      </c>
      <c r="L2192" s="696"/>
      <c r="M2192" s="659" t="str">
        <f>IF(AND(G2192&gt;0,E2192=0),"WARNING - no PRICE inserted",IF(H2192="free"," FREE ~ no charge this plant",IF(H2192="credit",CONCATENATE(" -$",ROUND(K2192*(1-T2GDiscount)*-1,2)," CREDIT after discount"),IF(T2GDiscount=0,"",IF(G2192=0,"",IF(F2192="Buy",CONCATENATE(" $",ROUND(K2192*(1-T2GDiscount),2)," with ",(T2GDiscount*100),"% discount"),CONCATENATE(" $",ROUND(K2192*(1-T2GDiscount),2)," with ",((T2GDiscount*100+F2192*100)-(T2GDiscount*100*F2192)),IF(F2192&gt;0,"% discounts",IF(NoWarrantyDiscount&gt;0,"% discounts","% discount")))))))))</f>
        <v/>
      </c>
      <c r="N2192" s="660"/>
      <c r="O2192" s="233"/>
      <c r="P2192" s="233"/>
      <c r="Q2192" s="233"/>
      <c r="R2192" s="233"/>
      <c r="S2192" s="233"/>
      <c r="T2192" s="508">
        <f t="shared" si="1698"/>
        <v>0</v>
      </c>
      <c r="U2192" s="225">
        <f>IF(NOT(ISNUMBER(G2192)), "", VLOOKUP(A2192,'Discount Lookup'!D:E,2,FALSE)*G2192)</f>
        <v>0</v>
      </c>
      <c r="V2192" s="225">
        <f>IF(NOT(ISNUMBER(G2192)), "", VLOOKUP(A2192,'Discount Lookup'!G:H,2,FALSE)*G2192)</f>
        <v>0</v>
      </c>
      <c r="W2192" s="508">
        <f t="shared" si="1699"/>
        <v>0</v>
      </c>
      <c r="X2192" s="508">
        <f t="shared" si="1700"/>
        <v>0</v>
      </c>
      <c r="Y2192" s="509" t="b">
        <f t="shared" si="1701"/>
        <v>0</v>
      </c>
      <c r="Z2192" s="510">
        <f t="shared" si="1702"/>
        <v>0</v>
      </c>
      <c r="AA2192" s="511"/>
      <c r="AB2192" s="511" t="str">
        <f t="shared" si="1703"/>
        <v/>
      </c>
      <c r="AC2192" s="698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698"/>
      <c r="AE2192" s="631" t="str">
        <f t="shared" si="1704"/>
        <v/>
      </c>
      <c r="AF2192" s="699" t="str">
        <f t="shared" si="1705"/>
        <v/>
      </c>
      <c r="AG2192" s="699"/>
      <c r="AH2192" s="699"/>
      <c r="AI2192" s="512">
        <f>IF(H2192="credit",0,IF(AE2192="free",0,IF(AE2192="me",0,IF(G2192&gt;0,(VLOOKUP(A2192,'Discount Lookup'!J:K,2)*G2192),0))))</f>
        <v>0</v>
      </c>
      <c r="AJ2192" s="513" t="str">
        <f t="shared" ca="1" si="1706"/>
        <v/>
      </c>
      <c r="AK2192" s="700" t="str">
        <f t="shared" si="1707"/>
        <v/>
      </c>
      <c r="AL2192" s="700"/>
      <c r="AM2192" s="505" t="str">
        <f t="shared" si="1708"/>
        <v/>
      </c>
      <c r="AN2192" s="506"/>
      <c r="AO2192" s="507"/>
      <c r="AP2192" s="507"/>
      <c r="AQ2192" s="507"/>
      <c r="AR2192" s="507"/>
      <c r="AS2192" s="507"/>
      <c r="AT2192" s="507"/>
      <c r="AU2192" s="507"/>
      <c r="AV2192" s="225"/>
      <c r="AW2192" s="508"/>
      <c r="AX2192" s="225"/>
      <c r="AY2192" s="225"/>
      <c r="AZ2192" s="225"/>
      <c r="BA2192" s="225"/>
      <c r="BB2192" s="225"/>
      <c r="BC2192" s="56"/>
      <c r="BD2192" s="56"/>
      <c r="BE2192" s="56"/>
      <c r="BF2192" s="107" t="str">
        <f t="shared" si="1709"/>
        <v>https://www.google.com/search?tbm=isch&amp;q=3%20G5</v>
      </c>
      <c r="BG2192" s="107" t="str">
        <f t="shared" si="1710"/>
        <v>L</v>
      </c>
      <c r="BH2192" s="254"/>
      <c r="BI2192" s="254"/>
    </row>
    <row r="2193" spans="1:61" customFormat="1" ht="15.75" x14ac:dyDescent="0.25">
      <c r="A2193" s="276">
        <v>7</v>
      </c>
      <c r="B2193" s="240" t="s">
        <v>291</v>
      </c>
      <c r="C2193" s="241" t="s">
        <v>1256</v>
      </c>
      <c r="D2193" s="242" t="s">
        <v>300</v>
      </c>
      <c r="E2193" s="243">
        <v>109.95</v>
      </c>
      <c r="F2193" s="517" t="s">
        <v>293</v>
      </c>
      <c r="G2193" s="232">
        <v>0</v>
      </c>
      <c r="H2193" s="661" t="str">
        <f>IF(G2193=0,"",IF(F2193="Buy",IF(G2193=1,"plant","plants"),IF(F2193&gt;0.01,"warranty","Error")))</f>
        <v/>
      </c>
      <c r="I2193" s="244">
        <f>IF(H2193="free",0,IF(H2193="credit",((E2193*(F2193))*G2193*-1),IF(F2193="Buy",(E2193*G2193),((E2193*(1-F2193))*G2193))))</f>
        <v>0</v>
      </c>
      <c r="J2193" s="244">
        <f>IF(H2193="warranty",0,(I2193*(_xlfn.SINGLE(SalesTaxPercentage))))</f>
        <v>0</v>
      </c>
      <c r="K2193" s="696">
        <f t="shared" ref="K2193" si="1713">I2193+J2193</f>
        <v>0</v>
      </c>
      <c r="L2193" s="696"/>
      <c r="M2193" s="659" t="str">
        <f>IF(AND(G2193&gt;0,E2193=0),"WARNING - no PRICE inserted",IF(H2193="free"," FREE ~ no charge this plant",IF(H2193="credit",CONCATENATE(" -$",ROUND(K2193*(1-T2GDiscount)*-1,2)," CREDIT after discount"),IF(T2GDiscount=0,"",IF(G2193=0,"",IF(F2193="Buy",CONCATENATE(" $",ROUND(K2193*(1-T2GDiscount),2)," with ",(T2GDiscount*100),"% discount"),CONCATENATE(" $",ROUND(K2193*(1-T2GDiscount),2)," with ",((T2GDiscount*100+F2193*100)-(T2GDiscount*100*F2193)),IF(F2193&gt;0,"% discounts",IF(NoWarrantyDiscount&gt;0,"% discounts","% discount")))))))))</f>
        <v/>
      </c>
      <c r="N2193" s="660"/>
      <c r="O2193" s="233"/>
      <c r="P2193" s="233"/>
      <c r="Q2193" s="233"/>
      <c r="R2193" s="233"/>
      <c r="S2193" s="233"/>
      <c r="T2193" s="508">
        <f t="shared" si="1698"/>
        <v>0</v>
      </c>
      <c r="U2193" s="225">
        <f>IF(NOT(ISNUMBER(G2193)), "", VLOOKUP(A2193,'Discount Lookup'!D:E,2,FALSE)*G2193)</f>
        <v>0</v>
      </c>
      <c r="V2193" s="225">
        <f>IF(NOT(ISNUMBER(G2193)), "", VLOOKUP(A2193,'Discount Lookup'!G:H,2,FALSE)*G2193)</f>
        <v>0</v>
      </c>
      <c r="W2193" s="508">
        <f t="shared" si="1699"/>
        <v>0</v>
      </c>
      <c r="X2193" s="508">
        <f t="shared" si="1700"/>
        <v>0</v>
      </c>
      <c r="Y2193" s="509" t="b">
        <f t="shared" si="1701"/>
        <v>0</v>
      </c>
      <c r="Z2193" s="510">
        <f t="shared" si="1702"/>
        <v>0</v>
      </c>
      <c r="AA2193" s="511"/>
      <c r="AB2193" s="511" t="str">
        <f t="shared" si="1703"/>
        <v/>
      </c>
      <c r="AC2193" s="698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698"/>
      <c r="AE2193" s="631" t="str">
        <f t="shared" si="1704"/>
        <v/>
      </c>
      <c r="AF2193" s="699" t="str">
        <f t="shared" si="1705"/>
        <v/>
      </c>
      <c r="AG2193" s="699"/>
      <c r="AH2193" s="699"/>
      <c r="AI2193" s="512">
        <f>IF(H2193="credit",0,IF(AE2193="free",0,IF(AE2193="me",0,IF(G2193&gt;0,(VLOOKUP(A2193,'Discount Lookup'!J:K,2)*G2193),0))))</f>
        <v>0</v>
      </c>
      <c r="AJ2193" s="513" t="str">
        <f t="shared" ca="1" si="1706"/>
        <v/>
      </c>
      <c r="AK2193" s="700" t="str">
        <f t="shared" si="1707"/>
        <v/>
      </c>
      <c r="AL2193" s="700"/>
      <c r="AM2193" s="505" t="str">
        <f t="shared" si="1708"/>
        <v/>
      </c>
      <c r="AN2193" s="506"/>
      <c r="AO2193" s="507"/>
      <c r="AP2193" s="507"/>
      <c r="AQ2193" s="507"/>
      <c r="AR2193" s="507"/>
      <c r="AS2193" s="507"/>
      <c r="AT2193" s="507"/>
      <c r="AU2193" s="507"/>
      <c r="AV2193" s="225"/>
      <c r="AW2193" s="508"/>
      <c r="AX2193" s="225"/>
      <c r="AY2193" s="225"/>
      <c r="AZ2193" s="225"/>
      <c r="BA2193" s="225"/>
      <c r="BB2193" s="225"/>
      <c r="BC2193" s="56"/>
      <c r="BD2193" s="56"/>
      <c r="BE2193" s="56"/>
      <c r="BF2193" s="107" t="str">
        <f t="shared" si="1709"/>
        <v>https://www.google.com/search?tbm=isch&amp;q=7%20G6</v>
      </c>
      <c r="BG2193" s="107" t="str">
        <f t="shared" si="1710"/>
        <v>L</v>
      </c>
      <c r="BH2193" s="254"/>
      <c r="BI2193" s="254"/>
    </row>
    <row r="2194" spans="1:61" customFormat="1" ht="15.75" x14ac:dyDescent="0.25">
      <c r="A2194" s="276">
        <v>15</v>
      </c>
      <c r="B2194" s="240" t="s">
        <v>291</v>
      </c>
      <c r="C2194" s="241" t="s">
        <v>1257</v>
      </c>
      <c r="D2194" s="242" t="s">
        <v>300</v>
      </c>
      <c r="E2194" s="243">
        <v>333.95</v>
      </c>
      <c r="F2194" s="517" t="s">
        <v>293</v>
      </c>
      <c r="G2194" s="232">
        <v>0</v>
      </c>
      <c r="H2194" s="661" t="str">
        <f>IF(G2194=0,"",IF(F2194="Buy",IF(G2194=1,"plant","plants"),IF(F2194&gt;0.01,"warranty","Error")))</f>
        <v/>
      </c>
      <c r="I2194" s="244">
        <f>IF(H2194="free",0,IF(H2194="credit",((E2194*(F2194))*G2194*-1),IF(F2194="Buy",(E2194*G2194),((E2194*(1-F2194))*G2194))))</f>
        <v>0</v>
      </c>
      <c r="J2194" s="244">
        <f>IF(H2194="warranty",0,(I2194*(_xlfn.SINGLE(SalesTaxPercentage))))</f>
        <v>0</v>
      </c>
      <c r="K2194" s="696">
        <f t="shared" ref="K2194" si="1714">I2194+J2194</f>
        <v>0</v>
      </c>
      <c r="L2194" s="696"/>
      <c r="M2194" s="659" t="str">
        <f>IF(AND(G2194&gt;0,E2194=0),"WARNING - no PRICE inserted",IF(H2194="free"," FREE ~ no charge this plant",IF(H2194="credit",CONCATENATE(" -$",ROUND(K2194*(1-T2GDiscount)*-1,2)," CREDIT after discount"),IF(T2GDiscount=0,"",IF(G2194=0,"",IF(F2194="Buy",CONCATENATE(" $",ROUND(K2194*(1-T2GDiscount),2)," with ",(T2GDiscount*100),"% discount"),CONCATENATE(" $",ROUND(K2194*(1-T2GDiscount),2)," with ",((T2GDiscount*100+F2194*100)-(T2GDiscount*100*F2194)),IF(F2194&gt;0,"% discounts",IF(NoWarrantyDiscount&gt;0,"% discounts","% discount")))))))))</f>
        <v/>
      </c>
      <c r="N2194" s="660"/>
      <c r="O2194" s="233"/>
      <c r="P2194" s="233"/>
      <c r="Q2194" s="233"/>
      <c r="R2194" s="233"/>
      <c r="S2194" s="233"/>
      <c r="T2194" s="508">
        <f t="shared" si="1698"/>
        <v>0</v>
      </c>
      <c r="U2194" s="225">
        <f>IF(NOT(ISNUMBER(G2194)), "", VLOOKUP(A2194,'Discount Lookup'!D:E,2,FALSE)*G2194)</f>
        <v>0</v>
      </c>
      <c r="V2194" s="225">
        <f>IF(NOT(ISNUMBER(G2194)), "", VLOOKUP(A2194,'Discount Lookup'!G:H,2,FALSE)*G2194)</f>
        <v>0</v>
      </c>
      <c r="W2194" s="508">
        <f t="shared" si="1699"/>
        <v>0</v>
      </c>
      <c r="X2194" s="508">
        <f t="shared" si="1700"/>
        <v>0</v>
      </c>
      <c r="Y2194" s="509" t="b">
        <f t="shared" si="1701"/>
        <v>0</v>
      </c>
      <c r="Z2194" s="510">
        <f t="shared" si="1702"/>
        <v>0</v>
      </c>
      <c r="AA2194" s="511"/>
      <c r="AB2194" s="511" t="str">
        <f t="shared" si="1703"/>
        <v/>
      </c>
      <c r="AC2194" s="698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698"/>
      <c r="AE2194" s="631" t="str">
        <f t="shared" si="1704"/>
        <v/>
      </c>
      <c r="AF2194" s="699" t="str">
        <f t="shared" si="1705"/>
        <v/>
      </c>
      <c r="AG2194" s="699"/>
      <c r="AH2194" s="699"/>
      <c r="AI2194" s="512">
        <f>IF(H2194="credit",0,IF(AE2194="free",0,IF(AE2194="me",0,IF(G2194&gt;0,(VLOOKUP(A2194,'Discount Lookup'!J:K,2)*G2194),0))))</f>
        <v>0</v>
      </c>
      <c r="AJ2194" s="513" t="str">
        <f t="shared" ca="1" si="1706"/>
        <v/>
      </c>
      <c r="AK2194" s="700" t="str">
        <f t="shared" si="1707"/>
        <v/>
      </c>
      <c r="AL2194" s="700"/>
      <c r="AM2194" s="505" t="str">
        <f t="shared" si="1708"/>
        <v/>
      </c>
      <c r="AN2194" s="506"/>
      <c r="AO2194" s="507"/>
      <c r="AP2194" s="507"/>
      <c r="AQ2194" s="507"/>
      <c r="AR2194" s="507"/>
      <c r="AS2194" s="507"/>
      <c r="AT2194" s="507"/>
      <c r="AU2194" s="507"/>
      <c r="AV2194" s="225"/>
      <c r="AW2194" s="508"/>
      <c r="AX2194" s="225"/>
      <c r="AY2194" s="225"/>
      <c r="AZ2194" s="225"/>
      <c r="BA2194" s="225"/>
      <c r="BB2194" s="225"/>
      <c r="BC2194" s="56"/>
      <c r="BD2194" s="56"/>
      <c r="BE2194" s="56"/>
      <c r="BF2194" s="107" t="str">
        <f t="shared" si="1709"/>
        <v>https://www.google.com/search?tbm=isch&amp;q=15%20G6</v>
      </c>
      <c r="BG2194" s="107" t="str">
        <f t="shared" si="1710"/>
        <v>L</v>
      </c>
      <c r="BH2194" s="254"/>
      <c r="BI2194" s="254"/>
    </row>
    <row r="2195" spans="1:61" customFormat="1" ht="17.25" thickBot="1" x14ac:dyDescent="0.3">
      <c r="A2195" s="524" t="s">
        <v>4114</v>
      </c>
      <c r="B2195" s="245"/>
      <c r="C2195" s="677"/>
      <c r="D2195" s="499"/>
      <c r="E2195" s="499"/>
      <c r="F2195" s="500"/>
      <c r="G2195" s="501"/>
      <c r="H2195" s="502"/>
      <c r="I2195" s="246"/>
      <c r="J2195" s="247"/>
      <c r="K2195" s="503"/>
      <c r="L2195" s="544"/>
      <c r="M2195" s="544"/>
      <c r="N2195" s="500"/>
      <c r="O2195" s="500"/>
      <c r="P2195" s="500"/>
      <c r="Q2195" s="500"/>
      <c r="R2195" s="500"/>
      <c r="S2195" s="278"/>
      <c r="T2195" s="508">
        <f t="shared" si="1698"/>
        <v>0</v>
      </c>
      <c r="U2195" s="225" t="str">
        <f>IF(NOT(ISNUMBER(G2195)), "", VLOOKUP(A2195,'Discount Lookup'!D:E,2,FALSE)*G2195)</f>
        <v/>
      </c>
      <c r="V2195" s="225" t="str">
        <f>IF(NOT(ISNUMBER(G2195)), "", VLOOKUP(A2195,'Discount Lookup'!G:H,2,FALSE)*G2195)</f>
        <v/>
      </c>
      <c r="W2195" s="508">
        <f t="shared" si="1699"/>
        <v>0</v>
      </c>
      <c r="X2195" s="508">
        <f t="shared" si="1700"/>
        <v>0</v>
      </c>
      <c r="Y2195" s="509" t="b">
        <f t="shared" si="1701"/>
        <v>0</v>
      </c>
      <c r="Z2195" s="510">
        <f t="shared" si="1702"/>
        <v>0</v>
      </c>
      <c r="AA2195" s="511"/>
      <c r="AB2195" s="511" t="str">
        <f t="shared" si="1703"/>
        <v/>
      </c>
      <c r="AC2195" s="698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698"/>
      <c r="AE2195" s="631" t="str">
        <f t="shared" si="1704"/>
        <v/>
      </c>
      <c r="AF2195" s="699" t="str">
        <f t="shared" si="1705"/>
        <v/>
      </c>
      <c r="AG2195" s="699"/>
      <c r="AH2195" s="699"/>
      <c r="AI2195" s="512">
        <f>IF(H2195="credit",0,IF(AE2195="free",0,IF(AE2195="me",0,IF(G2195&gt;0,(VLOOKUP(A2195,'Discount Lookup'!J:K,2)*G2195),0))))</f>
        <v>0</v>
      </c>
      <c r="AJ2195" s="513" t="str">
        <f t="shared" ca="1" si="1706"/>
        <v/>
      </c>
      <c r="AK2195" s="700" t="str">
        <f t="shared" si="1707"/>
        <v/>
      </c>
      <c r="AL2195" s="700"/>
      <c r="AM2195" s="505" t="str">
        <f t="shared" si="1708"/>
        <v/>
      </c>
      <c r="AN2195" s="506"/>
      <c r="AO2195" s="507"/>
      <c r="AP2195" s="507"/>
      <c r="AQ2195" s="507"/>
      <c r="AR2195" s="507"/>
      <c r="AS2195" s="507"/>
      <c r="AT2195" s="507"/>
      <c r="AU2195" s="507"/>
      <c r="AV2195" s="225"/>
      <c r="AW2195" s="508"/>
      <c r="AX2195" s="225"/>
      <c r="AY2195" s="225"/>
      <c r="AZ2195" s="225"/>
      <c r="BA2195" s="225"/>
      <c r="BB2195" s="225"/>
      <c r="BC2195" s="56"/>
      <c r="BD2195" s="56"/>
      <c r="BE2195" s="56"/>
      <c r="BF2195" s="107" t="str">
        <f t="shared" si="1709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195" s="107" t="str">
        <f t="shared" si="1710"/>
        <v>L</v>
      </c>
      <c r="BH2195" s="254"/>
      <c r="BI2195" s="254"/>
    </row>
    <row r="2196" spans="1:61" customFormat="1" ht="18" x14ac:dyDescent="0.25">
      <c r="A2196" s="523" t="s">
        <v>5447</v>
      </c>
      <c r="B2196" s="235"/>
      <c r="C2196" s="676"/>
      <c r="D2196" s="255" t="s">
        <v>1258</v>
      </c>
      <c r="E2196" s="236"/>
      <c r="F2196" s="236"/>
      <c r="G2196" s="236"/>
      <c r="H2196" s="582" t="s">
        <v>467</v>
      </c>
      <c r="I2196" s="498" t="s">
        <v>3117</v>
      </c>
      <c r="J2196" s="237"/>
      <c r="K2196" s="237"/>
      <c r="L2196" s="274"/>
      <c r="M2196" s="668" t="s">
        <v>4975</v>
      </c>
      <c r="N2196" s="681" t="str">
        <f>IF(AND(ISTEXT($A2196), ISERROR($A2196+0)), HYPERLINK($BF2196, "Images"), "")</f>
        <v>Images</v>
      </c>
      <c r="O2196" s="663" t="s">
        <v>4967</v>
      </c>
      <c r="P2196" s="253"/>
      <c r="Q2196" s="238"/>
      <c r="R2196" s="239"/>
      <c r="S2196" s="275"/>
      <c r="T2196" s="508">
        <f t="shared" si="1698"/>
        <v>0</v>
      </c>
      <c r="U2196" s="225" t="str">
        <f>IF(NOT(ISNUMBER(G2196)), "", VLOOKUP(A2196,'Discount Lookup'!D:E,2,FALSE)*G2196)</f>
        <v/>
      </c>
      <c r="V2196" s="225" t="str">
        <f>IF(NOT(ISNUMBER(G2196)), "", VLOOKUP(A2196,'Discount Lookup'!G:H,2,FALSE)*G2196)</f>
        <v/>
      </c>
      <c r="W2196" s="508">
        <f t="shared" si="1699"/>
        <v>0</v>
      </c>
      <c r="X2196" s="508" t="str">
        <f t="shared" si="1700"/>
        <v>Lime Green ages to White</v>
      </c>
      <c r="Y2196" s="509" t="b">
        <f t="shared" si="1701"/>
        <v>0</v>
      </c>
      <c r="Z2196" s="510">
        <f t="shared" si="1702"/>
        <v>0</v>
      </c>
      <c r="AA2196" s="511"/>
      <c r="AB2196" s="511" t="str">
        <f t="shared" si="1703"/>
        <v/>
      </c>
      <c r="AC2196" s="698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698"/>
      <c r="AE2196" s="631" t="str">
        <f t="shared" si="1704"/>
        <v/>
      </c>
      <c r="AF2196" s="699" t="str">
        <f t="shared" si="1705"/>
        <v/>
      </c>
      <c r="AG2196" s="699"/>
      <c r="AH2196" s="699"/>
      <c r="AI2196" s="512">
        <f>IF(H2196="credit",0,IF(AE2196="free",0,IF(AE2196="me",0,IF(G2196&gt;0,(VLOOKUP(A2196,'Discount Lookup'!J:K,2)*G2196),0))))</f>
        <v>0</v>
      </c>
      <c r="AJ2196" s="513" t="str">
        <f t="shared" ca="1" si="1706"/>
        <v/>
      </c>
      <c r="AK2196" s="700" t="str">
        <f t="shared" si="1707"/>
        <v/>
      </c>
      <c r="AL2196" s="700"/>
      <c r="AM2196" s="505" t="str">
        <f t="shared" si="1708"/>
        <v/>
      </c>
      <c r="AN2196" s="506"/>
      <c r="AO2196" s="507"/>
      <c r="AP2196" s="507"/>
      <c r="AQ2196" s="507"/>
      <c r="AR2196" s="507"/>
      <c r="AS2196" s="507"/>
      <c r="AT2196" s="507"/>
      <c r="AU2196" s="507"/>
      <c r="AV2196" s="225"/>
      <c r="AW2196" s="508"/>
      <c r="AX2196" s="225"/>
      <c r="AY2196" s="225"/>
      <c r="AZ2196" s="225"/>
      <c r="BA2196" s="225"/>
      <c r="BB2196" s="225"/>
      <c r="BC2196" s="56"/>
      <c r="BD2196" s="56"/>
      <c r="BE2196" s="56"/>
      <c r="BF2196" s="107" t="str">
        <f t="shared" si="1709"/>
        <v>https://www.google.com/search?tbm=isch&amp;q=Limelight%C2%AE%20Hydrangea%20Hyd.%20paniculata%20%27Limelight%27%20PP%2312874</v>
      </c>
      <c r="BG2196" s="107" t="str">
        <f t="shared" si="1710"/>
        <v>L</v>
      </c>
      <c r="BH2196" s="254"/>
      <c r="BI2196" s="254"/>
    </row>
    <row r="2197" spans="1:61" customFormat="1" ht="15.75" x14ac:dyDescent="0.25">
      <c r="A2197" s="276">
        <v>3</v>
      </c>
      <c r="B2197" s="240" t="s">
        <v>291</v>
      </c>
      <c r="C2197" s="241" t="s">
        <v>3044</v>
      </c>
      <c r="D2197" s="242" t="s">
        <v>312</v>
      </c>
      <c r="E2197" s="243">
        <v>34.950000000000003</v>
      </c>
      <c r="F2197" s="517" t="s">
        <v>293</v>
      </c>
      <c r="G2197" s="232">
        <v>0</v>
      </c>
      <c r="H2197" s="661" t="str">
        <f t="shared" ref="H2197:H2203" si="1715">IF(G2197=0,"",IF(F2197="Buy",IF(G2197=1,"plant","plants"),IF(F2197&gt;0.01,"warranty","Error")))</f>
        <v/>
      </c>
      <c r="I2197" s="244">
        <f t="shared" ref="I2197:I2203" si="1716">IF(H2197="free",0,IF(H2197="credit",((E2197*(F2197))*G2197*-1),IF(F2197="Buy",(E2197*G2197),((E2197*(1-F2197))*G2197))))</f>
        <v>0</v>
      </c>
      <c r="J2197" s="244">
        <f t="shared" ref="J2197:J2203" si="1717">IF(H2197="warranty",0,(I2197*(_xlfn.SINGLE(SalesTaxPercentage))))</f>
        <v>0</v>
      </c>
      <c r="K2197" s="696">
        <f t="shared" ref="K2197" si="1718">I2197+J2197</f>
        <v>0</v>
      </c>
      <c r="L2197" s="696"/>
      <c r="M2197" s="659" t="str">
        <f t="shared" ref="M2197:M2203" si="1719">IF(AND(G2197&gt;0,E2197=0),"WARNING - no PRICE inserted",IF(H2197="free"," FREE ~ no charge this plant",IF(H2197="credit",CONCATENATE(" -$",ROUND(K2197*(1-T2GDiscount)*-1,2)," CREDIT after discount"),IF(T2GDiscount=0,"",IF(G2197=0,"",IF(F2197="Buy",CONCATENATE(" $",ROUND(K2197*(1-T2GDiscount),2)," with ",(T2GDiscount*100),"% discount"),CONCATENATE(" $",ROUND(K2197*(1-T2GDiscount),2)," with ",((T2GDiscount*100+F2197*100)-(T2GDiscount*100*F2197)),IF(F2197&gt;0,"% discounts",IF(NoWarrantyDiscount&gt;0,"% discounts","% discount")))))))))</f>
        <v/>
      </c>
      <c r="N2197" s="660"/>
      <c r="O2197" s="233"/>
      <c r="P2197" s="233"/>
      <c r="Q2197" s="233"/>
      <c r="R2197" s="233"/>
      <c r="S2197" s="233"/>
      <c r="T2197" s="508">
        <f t="shared" si="1698"/>
        <v>0</v>
      </c>
      <c r="U2197" s="225">
        <f>IF(NOT(ISNUMBER(G2197)), "", VLOOKUP(A2197,'Discount Lookup'!D:E,2,FALSE)*G2197)</f>
        <v>0</v>
      </c>
      <c r="V2197" s="225">
        <f>IF(NOT(ISNUMBER(G2197)), "", VLOOKUP(A2197,'Discount Lookup'!G:H,2,FALSE)*G2197)</f>
        <v>0</v>
      </c>
      <c r="W2197" s="508">
        <f t="shared" si="1699"/>
        <v>0</v>
      </c>
      <c r="X2197" s="508">
        <f t="shared" si="1700"/>
        <v>0</v>
      </c>
      <c r="Y2197" s="509" t="b">
        <f t="shared" si="1701"/>
        <v>0</v>
      </c>
      <c r="Z2197" s="510">
        <f t="shared" si="1702"/>
        <v>0</v>
      </c>
      <c r="AA2197" s="511"/>
      <c r="AB2197" s="511" t="str">
        <f t="shared" si="1703"/>
        <v/>
      </c>
      <c r="AC2197" s="698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698"/>
      <c r="AE2197" s="631" t="str">
        <f t="shared" si="1704"/>
        <v/>
      </c>
      <c r="AF2197" s="699" t="str">
        <f t="shared" si="1705"/>
        <v/>
      </c>
      <c r="AG2197" s="699"/>
      <c r="AH2197" s="699"/>
      <c r="AI2197" s="512">
        <f>IF(H2197="credit",0,IF(AE2197="free",0,IF(AE2197="me",0,IF(G2197&gt;0,(VLOOKUP(A2197,'Discount Lookup'!J:K,2)*G2197),0))))</f>
        <v>0</v>
      </c>
      <c r="AJ2197" s="513" t="str">
        <f t="shared" ca="1" si="1706"/>
        <v/>
      </c>
      <c r="AK2197" s="700" t="str">
        <f t="shared" si="1707"/>
        <v/>
      </c>
      <c r="AL2197" s="700"/>
      <c r="AM2197" s="505" t="str">
        <f t="shared" si="1708"/>
        <v/>
      </c>
      <c r="AN2197" s="506"/>
      <c r="AO2197" s="507"/>
      <c r="AP2197" s="507"/>
      <c r="AQ2197" s="507"/>
      <c r="AR2197" s="507"/>
      <c r="AS2197" s="507"/>
      <c r="AT2197" s="507"/>
      <c r="AU2197" s="507"/>
      <c r="AV2197" s="225"/>
      <c r="AW2197" s="508"/>
      <c r="AX2197" s="225"/>
      <c r="AY2197" s="225"/>
      <c r="AZ2197" s="225"/>
      <c r="BA2197" s="225"/>
      <c r="BB2197" s="225"/>
      <c r="BC2197" s="56"/>
      <c r="BD2197" s="56"/>
      <c r="BE2197" s="56"/>
      <c r="BF2197" s="107" t="str">
        <f t="shared" si="1709"/>
        <v>https://www.google.com/search?tbm=isch&amp;q=3%20G2</v>
      </c>
      <c r="BG2197" s="107" t="str">
        <f t="shared" si="1710"/>
        <v>L</v>
      </c>
      <c r="BH2197" s="254"/>
      <c r="BI2197" s="254"/>
    </row>
    <row r="2198" spans="1:61" customFormat="1" ht="15.75" x14ac:dyDescent="0.25">
      <c r="A2198" s="276">
        <v>7</v>
      </c>
      <c r="B2198" s="240" t="s">
        <v>291</v>
      </c>
      <c r="C2198" s="241" t="s">
        <v>4622</v>
      </c>
      <c r="D2198" s="242" t="s">
        <v>297</v>
      </c>
      <c r="E2198" s="243">
        <v>56.95</v>
      </c>
      <c r="F2198" s="517" t="s">
        <v>293</v>
      </c>
      <c r="G2198" s="232">
        <v>0</v>
      </c>
      <c r="H2198" s="661" t="str">
        <f t="shared" si="1715"/>
        <v/>
      </c>
      <c r="I2198" s="244">
        <f t="shared" si="1716"/>
        <v>0</v>
      </c>
      <c r="J2198" s="244">
        <f t="shared" si="1717"/>
        <v>0</v>
      </c>
      <c r="K2198" s="696">
        <f t="shared" ref="K2198" si="1720">I2198+J2198</f>
        <v>0</v>
      </c>
      <c r="L2198" s="696"/>
      <c r="M2198" s="659" t="str">
        <f t="shared" si="1719"/>
        <v/>
      </c>
      <c r="N2198" s="660"/>
      <c r="O2198" s="233"/>
      <c r="P2198" s="233"/>
      <c r="Q2198" s="233"/>
      <c r="R2198" s="233"/>
      <c r="S2198" s="233"/>
      <c r="T2198" s="508">
        <f t="shared" si="1698"/>
        <v>0</v>
      </c>
      <c r="U2198" s="225">
        <f>IF(NOT(ISNUMBER(G2198)), "", VLOOKUP(A2198,'Discount Lookup'!D:E,2,FALSE)*G2198)</f>
        <v>0</v>
      </c>
      <c r="V2198" s="225">
        <f>IF(NOT(ISNUMBER(G2198)), "", VLOOKUP(A2198,'Discount Lookup'!G:H,2,FALSE)*G2198)</f>
        <v>0</v>
      </c>
      <c r="W2198" s="508">
        <f t="shared" si="1699"/>
        <v>0</v>
      </c>
      <c r="X2198" s="508">
        <f t="shared" si="1700"/>
        <v>0</v>
      </c>
      <c r="Y2198" s="509" t="b">
        <f t="shared" si="1701"/>
        <v>0</v>
      </c>
      <c r="Z2198" s="510">
        <f t="shared" si="1702"/>
        <v>0</v>
      </c>
      <c r="AA2198" s="511"/>
      <c r="AB2198" s="511" t="str">
        <f t="shared" si="1703"/>
        <v/>
      </c>
      <c r="AC2198" s="698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698"/>
      <c r="AE2198" s="631" t="str">
        <f t="shared" si="1704"/>
        <v/>
      </c>
      <c r="AF2198" s="699" t="str">
        <f t="shared" si="1705"/>
        <v/>
      </c>
      <c r="AG2198" s="699"/>
      <c r="AH2198" s="699"/>
      <c r="AI2198" s="512">
        <f>IF(H2198="credit",0,IF(AE2198="free",0,IF(AE2198="me",0,IF(G2198&gt;0,(VLOOKUP(A2198,'Discount Lookup'!J:K,2)*G2198),0))))</f>
        <v>0</v>
      </c>
      <c r="AJ2198" s="513" t="str">
        <f t="shared" ca="1" si="1706"/>
        <v/>
      </c>
      <c r="AK2198" s="700" t="str">
        <f t="shared" si="1707"/>
        <v/>
      </c>
      <c r="AL2198" s="700"/>
      <c r="AM2198" s="505" t="str">
        <f t="shared" si="1708"/>
        <v/>
      </c>
      <c r="AN2198" s="506"/>
      <c r="AO2198" s="507"/>
      <c r="AP2198" s="507"/>
      <c r="AQ2198" s="507"/>
      <c r="AR2198" s="507"/>
      <c r="AS2198" s="507"/>
      <c r="AT2198" s="507"/>
      <c r="AU2198" s="507"/>
      <c r="AV2198" s="225"/>
      <c r="AW2198" s="508"/>
      <c r="AX2198" s="225"/>
      <c r="AY2198" s="225"/>
      <c r="AZ2198" s="225"/>
      <c r="BA2198" s="225"/>
      <c r="BB2198" s="225"/>
      <c r="BC2198" s="56"/>
      <c r="BD2198" s="56"/>
      <c r="BE2198" s="56"/>
      <c r="BF2198" s="107" t="str">
        <f t="shared" si="1709"/>
        <v>https://www.google.com/search?tbm=isch&amp;q=7%20G3</v>
      </c>
      <c r="BG2198" s="107" t="str">
        <f t="shared" si="1710"/>
        <v>L</v>
      </c>
      <c r="BH2198" s="254"/>
      <c r="BI2198" s="254"/>
    </row>
    <row r="2199" spans="1:61" customFormat="1" ht="15.75" x14ac:dyDescent="0.25">
      <c r="A2199" s="276">
        <v>7</v>
      </c>
      <c r="B2199" s="240" t="s">
        <v>291</v>
      </c>
      <c r="C2199" s="241" t="s">
        <v>4911</v>
      </c>
      <c r="D2199" s="242" t="s">
        <v>292</v>
      </c>
      <c r="E2199" s="243">
        <v>86.95</v>
      </c>
      <c r="F2199" s="517" t="s">
        <v>293</v>
      </c>
      <c r="G2199" s="232">
        <v>0</v>
      </c>
      <c r="H2199" s="661" t="str">
        <f t="shared" si="1715"/>
        <v/>
      </c>
      <c r="I2199" s="244">
        <f t="shared" si="1716"/>
        <v>0</v>
      </c>
      <c r="J2199" s="244">
        <f t="shared" si="1717"/>
        <v>0</v>
      </c>
      <c r="K2199" s="696">
        <f t="shared" ref="K2199" si="1721">I2199+J2199</f>
        <v>0</v>
      </c>
      <c r="L2199" s="696"/>
      <c r="M2199" s="659" t="str">
        <f t="shared" si="1719"/>
        <v/>
      </c>
      <c r="N2199" s="660"/>
      <c r="O2199" s="233"/>
      <c r="P2199" s="233"/>
      <c r="Q2199" s="233"/>
      <c r="R2199" s="233"/>
      <c r="S2199" s="233"/>
      <c r="T2199" s="508">
        <f t="shared" si="1698"/>
        <v>0</v>
      </c>
      <c r="U2199" s="225">
        <f>IF(NOT(ISNUMBER(G2199)), "", VLOOKUP(A2199,'Discount Lookup'!D:E,2,FALSE)*G2199)</f>
        <v>0</v>
      </c>
      <c r="V2199" s="225">
        <f>IF(NOT(ISNUMBER(G2199)), "", VLOOKUP(A2199,'Discount Lookup'!G:H,2,FALSE)*G2199)</f>
        <v>0</v>
      </c>
      <c r="W2199" s="508">
        <f t="shared" si="1699"/>
        <v>0</v>
      </c>
      <c r="X2199" s="508">
        <f t="shared" si="1700"/>
        <v>0</v>
      </c>
      <c r="Y2199" s="509" t="b">
        <f t="shared" si="1701"/>
        <v>0</v>
      </c>
      <c r="Z2199" s="510">
        <f t="shared" si="1702"/>
        <v>0</v>
      </c>
      <c r="AA2199" s="511"/>
      <c r="AB2199" s="511" t="str">
        <f t="shared" si="1703"/>
        <v/>
      </c>
      <c r="AC2199" s="698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698"/>
      <c r="AE2199" s="631" t="str">
        <f t="shared" si="1704"/>
        <v/>
      </c>
      <c r="AF2199" s="699" t="str">
        <f t="shared" si="1705"/>
        <v/>
      </c>
      <c r="AG2199" s="699"/>
      <c r="AH2199" s="699"/>
      <c r="AI2199" s="512">
        <f>IF(H2199="credit",0,IF(AE2199="free",0,IF(AE2199="me",0,IF(G2199&gt;0,(VLOOKUP(A2199,'Discount Lookup'!J:K,2)*G2199),0))))</f>
        <v>0</v>
      </c>
      <c r="AJ2199" s="513" t="str">
        <f t="shared" ca="1" si="1706"/>
        <v/>
      </c>
      <c r="AK2199" s="700" t="str">
        <f t="shared" si="1707"/>
        <v/>
      </c>
      <c r="AL2199" s="700"/>
      <c r="AM2199" s="505" t="str">
        <f t="shared" si="1708"/>
        <v/>
      </c>
      <c r="AN2199" s="506"/>
      <c r="AO2199" s="507"/>
      <c r="AP2199" s="507"/>
      <c r="AQ2199" s="507"/>
      <c r="AR2199" s="507"/>
      <c r="AS2199" s="507"/>
      <c r="AT2199" s="507"/>
      <c r="AU2199" s="507"/>
      <c r="AV2199" s="225"/>
      <c r="AW2199" s="508"/>
      <c r="AX2199" s="225"/>
      <c r="AY2199" s="225"/>
      <c r="AZ2199" s="225"/>
      <c r="BA2199" s="225"/>
      <c r="BB2199" s="225"/>
      <c r="BC2199" s="56"/>
      <c r="BD2199" s="56"/>
      <c r="BE2199" s="56"/>
      <c r="BF2199" s="107" t="str">
        <f t="shared" si="1709"/>
        <v>https://www.google.com/search?tbm=isch&amp;q=7%20G4</v>
      </c>
      <c r="BG2199" s="107" t="str">
        <f t="shared" si="1710"/>
        <v>L</v>
      </c>
      <c r="BH2199" s="254"/>
      <c r="BI2199" s="254"/>
    </row>
    <row r="2200" spans="1:61" customFormat="1" ht="15.75" x14ac:dyDescent="0.25">
      <c r="A2200" s="276">
        <v>7</v>
      </c>
      <c r="B2200" s="240" t="s">
        <v>291</v>
      </c>
      <c r="C2200" s="241" t="s">
        <v>1259</v>
      </c>
      <c r="D2200" s="242" t="s">
        <v>297</v>
      </c>
      <c r="E2200" s="243">
        <v>119.95</v>
      </c>
      <c r="F2200" s="517" t="s">
        <v>293</v>
      </c>
      <c r="G2200" s="232">
        <v>0</v>
      </c>
      <c r="H2200" s="661" t="str">
        <f t="shared" si="1715"/>
        <v/>
      </c>
      <c r="I2200" s="244">
        <f t="shared" si="1716"/>
        <v>0</v>
      </c>
      <c r="J2200" s="244">
        <f t="shared" si="1717"/>
        <v>0</v>
      </c>
      <c r="K2200" s="696">
        <f t="shared" ref="K2200" si="1722">I2200+J2200</f>
        <v>0</v>
      </c>
      <c r="L2200" s="696"/>
      <c r="M2200" s="659" t="str">
        <f t="shared" si="1719"/>
        <v/>
      </c>
      <c r="N2200" s="660"/>
      <c r="O2200" s="233"/>
      <c r="P2200" s="233"/>
      <c r="Q2200" s="233"/>
      <c r="R2200" s="233"/>
      <c r="S2200" s="233"/>
      <c r="T2200" s="508">
        <f t="shared" si="1698"/>
        <v>0</v>
      </c>
      <c r="U2200" s="225">
        <f>IF(NOT(ISNUMBER(G2200)), "", VLOOKUP(A2200,'Discount Lookup'!D:E,2,FALSE)*G2200)</f>
        <v>0</v>
      </c>
      <c r="V2200" s="225">
        <f>IF(NOT(ISNUMBER(G2200)), "", VLOOKUP(A2200,'Discount Lookup'!G:H,2,FALSE)*G2200)</f>
        <v>0</v>
      </c>
      <c r="W2200" s="508">
        <f t="shared" si="1699"/>
        <v>0</v>
      </c>
      <c r="X2200" s="508">
        <f t="shared" si="1700"/>
        <v>0</v>
      </c>
      <c r="Y2200" s="509" t="b">
        <f t="shared" si="1701"/>
        <v>0</v>
      </c>
      <c r="Z2200" s="510">
        <f t="shared" si="1702"/>
        <v>0</v>
      </c>
      <c r="AA2200" s="511"/>
      <c r="AB2200" s="511" t="str">
        <f t="shared" si="1703"/>
        <v/>
      </c>
      <c r="AC2200" s="698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698"/>
      <c r="AE2200" s="631" t="str">
        <f t="shared" si="1704"/>
        <v/>
      </c>
      <c r="AF2200" s="699" t="str">
        <f t="shared" si="1705"/>
        <v/>
      </c>
      <c r="AG2200" s="699"/>
      <c r="AH2200" s="699"/>
      <c r="AI2200" s="512">
        <f>IF(H2200="credit",0,IF(AE2200="free",0,IF(AE2200="me",0,IF(G2200&gt;0,(VLOOKUP(A2200,'Discount Lookup'!J:K,2)*G2200),0))))</f>
        <v>0</v>
      </c>
      <c r="AJ2200" s="513" t="str">
        <f t="shared" ca="1" si="1706"/>
        <v/>
      </c>
      <c r="AK2200" s="700" t="str">
        <f t="shared" si="1707"/>
        <v/>
      </c>
      <c r="AL2200" s="700"/>
      <c r="AM2200" s="505" t="str">
        <f t="shared" si="1708"/>
        <v/>
      </c>
      <c r="AN2200" s="506"/>
      <c r="AO2200" s="507"/>
      <c r="AP2200" s="507"/>
      <c r="AQ2200" s="507"/>
      <c r="AR2200" s="507"/>
      <c r="AS2200" s="507"/>
      <c r="AT2200" s="507"/>
      <c r="AU2200" s="507"/>
      <c r="AV2200" s="225"/>
      <c r="AW2200" s="508"/>
      <c r="AX2200" s="225"/>
      <c r="AY2200" s="225"/>
      <c r="AZ2200" s="225"/>
      <c r="BA2200" s="225"/>
      <c r="BB2200" s="225"/>
      <c r="BC2200" s="56"/>
      <c r="BD2200" s="56"/>
      <c r="BE2200" s="56"/>
      <c r="BF2200" s="107" t="str">
        <f t="shared" si="1709"/>
        <v>https://www.google.com/search?tbm=isch&amp;q=7%20G3</v>
      </c>
      <c r="BG2200" s="107" t="str">
        <f t="shared" si="1710"/>
        <v>L</v>
      </c>
      <c r="BH2200" s="254"/>
      <c r="BI2200" s="254"/>
    </row>
    <row r="2201" spans="1:61" customFormat="1" ht="27" x14ac:dyDescent="0.25">
      <c r="A2201" s="276">
        <v>7</v>
      </c>
      <c r="B2201" s="240" t="s">
        <v>291</v>
      </c>
      <c r="C2201" s="241" t="s">
        <v>4425</v>
      </c>
      <c r="D2201" s="242" t="s">
        <v>292</v>
      </c>
      <c r="E2201" s="243">
        <v>173.95</v>
      </c>
      <c r="F2201" s="517" t="s">
        <v>293</v>
      </c>
      <c r="G2201" s="232">
        <v>0</v>
      </c>
      <c r="H2201" s="661" t="str">
        <f t="shared" si="1715"/>
        <v/>
      </c>
      <c r="I2201" s="244">
        <f t="shared" si="1716"/>
        <v>0</v>
      </c>
      <c r="J2201" s="244">
        <f t="shared" si="1717"/>
        <v>0</v>
      </c>
      <c r="K2201" s="696">
        <f t="shared" ref="K2201" si="1723">I2201+J2201</f>
        <v>0</v>
      </c>
      <c r="L2201" s="696"/>
      <c r="M2201" s="659" t="str">
        <f t="shared" si="1719"/>
        <v/>
      </c>
      <c r="N2201" s="660"/>
      <c r="O2201" s="233"/>
      <c r="P2201" s="233"/>
      <c r="Q2201" s="233"/>
      <c r="R2201" s="233"/>
      <c r="S2201" s="233"/>
      <c r="T2201" s="508">
        <f t="shared" si="1698"/>
        <v>0</v>
      </c>
      <c r="U2201" s="225">
        <f>IF(NOT(ISNUMBER(G2201)), "", VLOOKUP(A2201,'Discount Lookup'!D:E,2,FALSE)*G2201)</f>
        <v>0</v>
      </c>
      <c r="V2201" s="225">
        <f>IF(NOT(ISNUMBER(G2201)), "", VLOOKUP(A2201,'Discount Lookup'!G:H,2,FALSE)*G2201)</f>
        <v>0</v>
      </c>
      <c r="W2201" s="508">
        <f t="shared" si="1699"/>
        <v>0</v>
      </c>
      <c r="X2201" s="508">
        <f t="shared" si="1700"/>
        <v>0</v>
      </c>
      <c r="Y2201" s="509" t="b">
        <f t="shared" si="1701"/>
        <v>0</v>
      </c>
      <c r="Z2201" s="510">
        <f t="shared" si="1702"/>
        <v>0</v>
      </c>
      <c r="AA2201" s="511"/>
      <c r="AB2201" s="511" t="str">
        <f t="shared" si="1703"/>
        <v/>
      </c>
      <c r="AC2201" s="698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698"/>
      <c r="AE2201" s="631" t="str">
        <f t="shared" si="1704"/>
        <v/>
      </c>
      <c r="AF2201" s="699" t="str">
        <f t="shared" si="1705"/>
        <v/>
      </c>
      <c r="AG2201" s="699"/>
      <c r="AH2201" s="699"/>
      <c r="AI2201" s="512">
        <f>IF(H2201="credit",0,IF(AE2201="free",0,IF(AE2201="me",0,IF(G2201&gt;0,(VLOOKUP(A2201,'Discount Lookup'!J:K,2)*G2201),0))))</f>
        <v>0</v>
      </c>
      <c r="AJ2201" s="513" t="str">
        <f t="shared" ca="1" si="1706"/>
        <v/>
      </c>
      <c r="AK2201" s="700" t="str">
        <f t="shared" si="1707"/>
        <v/>
      </c>
      <c r="AL2201" s="700"/>
      <c r="AM2201" s="505" t="str">
        <f t="shared" si="1708"/>
        <v/>
      </c>
      <c r="AN2201" s="506"/>
      <c r="AO2201" s="507"/>
      <c r="AP2201" s="507"/>
      <c r="AQ2201" s="507"/>
      <c r="AR2201" s="507"/>
      <c r="AS2201" s="507"/>
      <c r="AT2201" s="507"/>
      <c r="AU2201" s="507"/>
      <c r="AV2201" s="225"/>
      <c r="AW2201" s="508"/>
      <c r="AX2201" s="225"/>
      <c r="AY2201" s="225"/>
      <c r="AZ2201" s="225"/>
      <c r="BA2201" s="225"/>
      <c r="BB2201" s="225"/>
      <c r="BC2201" s="56"/>
      <c r="BD2201" s="56"/>
      <c r="BE2201" s="56"/>
      <c r="BF2201" s="107" t="str">
        <f t="shared" si="1709"/>
        <v>https://www.google.com/search?tbm=isch&amp;q=7%20G4</v>
      </c>
      <c r="BG2201" s="107" t="str">
        <f t="shared" si="1710"/>
        <v>L</v>
      </c>
      <c r="BH2201" s="254"/>
      <c r="BI2201" s="254"/>
    </row>
    <row r="2202" spans="1:61" customFormat="1" ht="15.75" x14ac:dyDescent="0.25">
      <c r="A2202" s="276">
        <v>15</v>
      </c>
      <c r="B2202" s="240" t="s">
        <v>291</v>
      </c>
      <c r="C2202" s="241" t="s">
        <v>4777</v>
      </c>
      <c r="D2202" s="242" t="s">
        <v>292</v>
      </c>
      <c r="E2202" s="243">
        <v>321.95</v>
      </c>
      <c r="F2202" s="517" t="s">
        <v>293</v>
      </c>
      <c r="G2202" s="232">
        <v>0</v>
      </c>
      <c r="H2202" s="661" t="str">
        <f t="shared" si="1715"/>
        <v/>
      </c>
      <c r="I2202" s="244">
        <f t="shared" si="1716"/>
        <v>0</v>
      </c>
      <c r="J2202" s="244">
        <f t="shared" si="1717"/>
        <v>0</v>
      </c>
      <c r="K2202" s="696">
        <f t="shared" ref="K2202" si="1724">I2202+J2202</f>
        <v>0</v>
      </c>
      <c r="L2202" s="696"/>
      <c r="M2202" s="659" t="str">
        <f t="shared" si="1719"/>
        <v/>
      </c>
      <c r="N2202" s="660"/>
      <c r="O2202" s="233"/>
      <c r="P2202" s="233"/>
      <c r="Q2202" s="233"/>
      <c r="R2202" s="233"/>
      <c r="S2202" s="233"/>
      <c r="T2202" s="508">
        <f t="shared" si="1698"/>
        <v>0</v>
      </c>
      <c r="U2202" s="225">
        <f>IF(NOT(ISNUMBER(G2202)), "", VLOOKUP(A2202,'Discount Lookup'!D:E,2,FALSE)*G2202)</f>
        <v>0</v>
      </c>
      <c r="V2202" s="225">
        <f>IF(NOT(ISNUMBER(G2202)), "", VLOOKUP(A2202,'Discount Lookup'!G:H,2,FALSE)*G2202)</f>
        <v>0</v>
      </c>
      <c r="W2202" s="508">
        <f t="shared" si="1699"/>
        <v>0</v>
      </c>
      <c r="X2202" s="508">
        <f t="shared" si="1700"/>
        <v>0</v>
      </c>
      <c r="Y2202" s="509" t="b">
        <f t="shared" si="1701"/>
        <v>0</v>
      </c>
      <c r="Z2202" s="510">
        <f t="shared" si="1702"/>
        <v>0</v>
      </c>
      <c r="AA2202" s="511"/>
      <c r="AB2202" s="511" t="str">
        <f t="shared" si="1703"/>
        <v/>
      </c>
      <c r="AC2202" s="698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698"/>
      <c r="AE2202" s="631" t="str">
        <f t="shared" si="1704"/>
        <v/>
      </c>
      <c r="AF2202" s="699" t="str">
        <f t="shared" si="1705"/>
        <v/>
      </c>
      <c r="AG2202" s="699"/>
      <c r="AH2202" s="699"/>
      <c r="AI2202" s="512">
        <f>IF(H2202="credit",0,IF(AE2202="free",0,IF(AE2202="me",0,IF(G2202&gt;0,(VLOOKUP(A2202,'Discount Lookup'!J:K,2)*G2202),0))))</f>
        <v>0</v>
      </c>
      <c r="AJ2202" s="513" t="str">
        <f t="shared" ca="1" si="1706"/>
        <v/>
      </c>
      <c r="AK2202" s="700" t="str">
        <f t="shared" si="1707"/>
        <v/>
      </c>
      <c r="AL2202" s="700"/>
      <c r="AM2202" s="505" t="str">
        <f t="shared" si="1708"/>
        <v/>
      </c>
      <c r="AN2202" s="506"/>
      <c r="AO2202" s="507"/>
      <c r="AP2202" s="507"/>
      <c r="AQ2202" s="507"/>
      <c r="AR2202" s="507"/>
      <c r="AS2202" s="507"/>
      <c r="AT2202" s="507"/>
      <c r="AU2202" s="507"/>
      <c r="AV2202" s="225"/>
      <c r="AW2202" s="508"/>
      <c r="AX2202" s="225"/>
      <c r="AY2202" s="225"/>
      <c r="AZ2202" s="225"/>
      <c r="BA2202" s="225"/>
      <c r="BB2202" s="225"/>
      <c r="BC2202" s="56"/>
      <c r="BD2202" s="56"/>
      <c r="BE2202" s="56"/>
      <c r="BF2202" s="107" t="str">
        <f t="shared" si="1709"/>
        <v>https://www.google.com/search?tbm=isch&amp;q=15%20G4</v>
      </c>
      <c r="BG2202" s="107" t="str">
        <f t="shared" si="1710"/>
        <v>L</v>
      </c>
      <c r="BH2202" s="254"/>
      <c r="BI2202" s="254"/>
    </row>
    <row r="2203" spans="1:61" customFormat="1" ht="27" x14ac:dyDescent="0.25">
      <c r="A2203" s="276">
        <v>25</v>
      </c>
      <c r="B2203" s="240" t="s">
        <v>291</v>
      </c>
      <c r="C2203" s="241" t="s">
        <v>3611</v>
      </c>
      <c r="D2203" s="242" t="s">
        <v>292</v>
      </c>
      <c r="E2203" s="243">
        <v>454.95</v>
      </c>
      <c r="F2203" s="517" t="s">
        <v>293</v>
      </c>
      <c r="G2203" s="232">
        <v>0</v>
      </c>
      <c r="H2203" s="661" t="str">
        <f t="shared" si="1715"/>
        <v/>
      </c>
      <c r="I2203" s="244">
        <f t="shared" si="1716"/>
        <v>0</v>
      </c>
      <c r="J2203" s="244">
        <f t="shared" si="1717"/>
        <v>0</v>
      </c>
      <c r="K2203" s="696">
        <f t="shared" ref="K2203" si="1725">I2203+J2203</f>
        <v>0</v>
      </c>
      <c r="L2203" s="696"/>
      <c r="M2203" s="659" t="str">
        <f t="shared" si="1719"/>
        <v/>
      </c>
      <c r="N2203" s="660"/>
      <c r="O2203" s="233"/>
      <c r="P2203" s="233"/>
      <c r="Q2203" s="233"/>
      <c r="R2203" s="233"/>
      <c r="S2203" s="233"/>
      <c r="T2203" s="508">
        <f t="shared" si="1698"/>
        <v>0</v>
      </c>
      <c r="U2203" s="225">
        <f>IF(NOT(ISNUMBER(G2203)), "", VLOOKUP(A2203,'Discount Lookup'!D:E,2,FALSE)*G2203)</f>
        <v>0</v>
      </c>
      <c r="V2203" s="225">
        <f>IF(NOT(ISNUMBER(G2203)), "", VLOOKUP(A2203,'Discount Lookup'!G:H,2,FALSE)*G2203)</f>
        <v>0</v>
      </c>
      <c r="W2203" s="508">
        <f t="shared" si="1699"/>
        <v>0</v>
      </c>
      <c r="X2203" s="508">
        <f t="shared" si="1700"/>
        <v>0</v>
      </c>
      <c r="Y2203" s="509" t="b">
        <f t="shared" si="1701"/>
        <v>0</v>
      </c>
      <c r="Z2203" s="510">
        <f t="shared" si="1702"/>
        <v>0</v>
      </c>
      <c r="AA2203" s="511"/>
      <c r="AB2203" s="511" t="str">
        <f t="shared" si="1703"/>
        <v/>
      </c>
      <c r="AC2203" s="698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698"/>
      <c r="AE2203" s="631" t="str">
        <f t="shared" si="1704"/>
        <v/>
      </c>
      <c r="AF2203" s="699" t="str">
        <f t="shared" si="1705"/>
        <v/>
      </c>
      <c r="AG2203" s="699"/>
      <c r="AH2203" s="699"/>
      <c r="AI2203" s="512">
        <f>IF(H2203="credit",0,IF(AE2203="free",0,IF(AE2203="me",0,IF(G2203&gt;0,(VLOOKUP(A2203,'Discount Lookup'!J:K,2)*G2203),0))))</f>
        <v>0</v>
      </c>
      <c r="AJ2203" s="513" t="str">
        <f t="shared" ca="1" si="1706"/>
        <v/>
      </c>
      <c r="AK2203" s="700" t="str">
        <f t="shared" si="1707"/>
        <v/>
      </c>
      <c r="AL2203" s="700"/>
      <c r="AM2203" s="505" t="str">
        <f t="shared" si="1708"/>
        <v/>
      </c>
      <c r="AN2203" s="506"/>
      <c r="AO2203" s="507"/>
      <c r="AP2203" s="507"/>
      <c r="AQ2203" s="507"/>
      <c r="AR2203" s="507"/>
      <c r="AS2203" s="507"/>
      <c r="AT2203" s="507"/>
      <c r="AU2203" s="507"/>
      <c r="AV2203" s="225"/>
      <c r="AW2203" s="508"/>
      <c r="AX2203" s="225"/>
      <c r="AY2203" s="225"/>
      <c r="AZ2203" s="225"/>
      <c r="BA2203" s="225"/>
      <c r="BB2203" s="225"/>
      <c r="BC2203" s="56"/>
      <c r="BD2203" s="56"/>
      <c r="BE2203" s="56"/>
      <c r="BF2203" s="107" t="str">
        <f t="shared" si="1709"/>
        <v>https://www.google.com/search?tbm=isch&amp;q=25%20G4</v>
      </c>
      <c r="BG2203" s="107" t="str">
        <f t="shared" si="1710"/>
        <v>L</v>
      </c>
      <c r="BH2203" s="254"/>
      <c r="BI2203" s="254"/>
    </row>
    <row r="2204" spans="1:61" customFormat="1" ht="17.25" thickBot="1" x14ac:dyDescent="0.3">
      <c r="A2204" s="524" t="s">
        <v>4115</v>
      </c>
      <c r="B2204" s="245"/>
      <c r="C2204" s="677"/>
      <c r="D2204" s="499"/>
      <c r="E2204" s="499"/>
      <c r="F2204" s="500"/>
      <c r="G2204" s="501"/>
      <c r="H2204" s="502"/>
      <c r="I2204" s="246"/>
      <c r="J2204" s="247"/>
      <c r="K2204" s="503"/>
      <c r="L2204" s="544"/>
      <c r="M2204" s="544"/>
      <c r="N2204" s="500"/>
      <c r="O2204" s="500"/>
      <c r="P2204" s="500"/>
      <c r="Q2204" s="500"/>
      <c r="R2204" s="500"/>
      <c r="S2204" s="278"/>
      <c r="T2204" s="508">
        <f t="shared" si="1698"/>
        <v>0</v>
      </c>
      <c r="U2204" s="225" t="str">
        <f>IF(NOT(ISNUMBER(G2204)), "", VLOOKUP(A2204,'Discount Lookup'!D:E,2,FALSE)*G2204)</f>
        <v/>
      </c>
      <c r="V2204" s="225" t="str">
        <f>IF(NOT(ISNUMBER(G2204)), "", VLOOKUP(A2204,'Discount Lookup'!G:H,2,FALSE)*G2204)</f>
        <v/>
      </c>
      <c r="W2204" s="508">
        <f t="shared" si="1699"/>
        <v>0</v>
      </c>
      <c r="X2204" s="508">
        <f t="shared" si="1700"/>
        <v>0</v>
      </c>
      <c r="Y2204" s="509" t="b">
        <f t="shared" si="1701"/>
        <v>0</v>
      </c>
      <c r="Z2204" s="510">
        <f t="shared" si="1702"/>
        <v>0</v>
      </c>
      <c r="AA2204" s="511"/>
      <c r="AB2204" s="511" t="str">
        <f t="shared" si="1703"/>
        <v/>
      </c>
      <c r="AC2204" s="698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698"/>
      <c r="AE2204" s="631" t="str">
        <f t="shared" si="1704"/>
        <v/>
      </c>
      <c r="AF2204" s="699" t="str">
        <f t="shared" si="1705"/>
        <v/>
      </c>
      <c r="AG2204" s="699"/>
      <c r="AH2204" s="699"/>
      <c r="AI2204" s="512">
        <f>IF(H2204="credit",0,IF(AE2204="free",0,IF(AE2204="me",0,IF(G2204&gt;0,(VLOOKUP(A2204,'Discount Lookup'!J:K,2)*G2204),0))))</f>
        <v>0</v>
      </c>
      <c r="AJ2204" s="513" t="str">
        <f t="shared" ca="1" si="1706"/>
        <v/>
      </c>
      <c r="AK2204" s="700" t="str">
        <f t="shared" si="1707"/>
        <v/>
      </c>
      <c r="AL2204" s="700"/>
      <c r="AM2204" s="505" t="str">
        <f t="shared" si="1708"/>
        <v/>
      </c>
      <c r="AN2204" s="506"/>
      <c r="AO2204" s="507"/>
      <c r="AP2204" s="507"/>
      <c r="AQ2204" s="507"/>
      <c r="AR2204" s="507"/>
      <c r="AS2204" s="507"/>
      <c r="AT2204" s="507"/>
      <c r="AU2204" s="507"/>
      <c r="AV2204" s="225"/>
      <c r="AW2204" s="508"/>
      <c r="AX2204" s="225"/>
      <c r="AY2204" s="225"/>
      <c r="AZ2204" s="225"/>
      <c r="BA2204" s="225"/>
      <c r="BB2204" s="225"/>
      <c r="BC2204" s="56"/>
      <c r="BD2204" s="56"/>
      <c r="BE2204" s="56"/>
      <c r="BF2204" s="107" t="str">
        <f t="shared" si="1709"/>
        <v>https://www.google.com/search?tbm=isch&amp;q=Limelight%20has%20Green%20foliage.%20All%20%22Hardy%22%20Hydrangea%20have%20cone-shaped%20flowers%20on%20new%20wood.%20Flowers%20change%20color%20with%20age.%20Extremely%20cold-hardy%20</v>
      </c>
      <c r="BG2204" s="107" t="str">
        <f t="shared" si="1710"/>
        <v>L</v>
      </c>
      <c r="BH2204" s="254"/>
      <c r="BI2204" s="254"/>
    </row>
    <row r="2205" spans="1:61" customFormat="1" ht="18" x14ac:dyDescent="0.25">
      <c r="A2205" s="521" t="s">
        <v>5602</v>
      </c>
      <c r="B2205" s="477"/>
      <c r="C2205" s="674"/>
      <c r="D2205" s="478" t="s">
        <v>877</v>
      </c>
      <c r="E2205" s="479"/>
      <c r="F2205" s="479"/>
      <c r="G2205" s="479"/>
      <c r="H2205" s="582" t="s">
        <v>463</v>
      </c>
      <c r="I2205" s="480" t="s">
        <v>2645</v>
      </c>
      <c r="J2205" s="479"/>
      <c r="K2205" s="479"/>
      <c r="L2205" s="560"/>
      <c r="M2205" s="666" t="s">
        <v>4966</v>
      </c>
      <c r="N2205" s="680" t="str">
        <f>IF(AND(ISTEXT($A2205), ISERROR($A2205+0)), HYPERLINK($BF2205, "Images"), "")</f>
        <v>Images</v>
      </c>
      <c r="O2205" s="662" t="s">
        <v>4969</v>
      </c>
      <c r="P2205" s="482"/>
      <c r="Q2205" s="483"/>
      <c r="R2205" s="483"/>
      <c r="S2205" s="484"/>
      <c r="T2205" s="508">
        <f t="shared" si="1698"/>
        <v>0</v>
      </c>
      <c r="U2205" s="225" t="str">
        <f>IF(NOT(ISNUMBER(G2205)), "", VLOOKUP(A2205,'Discount Lookup'!D:E,2,FALSE)*G2205)</f>
        <v/>
      </c>
      <c r="V2205" s="225" t="str">
        <f>IF(NOT(ISNUMBER(G2205)), "", VLOOKUP(A2205,'Discount Lookup'!G:H,2,FALSE)*G2205)</f>
        <v/>
      </c>
      <c r="W2205" s="508">
        <f t="shared" si="1699"/>
        <v>0</v>
      </c>
      <c r="X2205" s="508" t="str">
        <f t="shared" si="1700"/>
        <v>Glossy Dark Green foliage</v>
      </c>
      <c r="Y2205" s="509" t="b">
        <f t="shared" si="1701"/>
        <v>0</v>
      </c>
      <c r="Z2205" s="510">
        <f t="shared" si="1702"/>
        <v>0</v>
      </c>
      <c r="AA2205" s="511"/>
      <c r="AB2205" s="511" t="str">
        <f t="shared" si="1703"/>
        <v/>
      </c>
      <c r="AC2205" s="698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698"/>
      <c r="AE2205" s="631" t="str">
        <f t="shared" si="1704"/>
        <v/>
      </c>
      <c r="AF2205" s="699" t="str">
        <f t="shared" si="1705"/>
        <v/>
      </c>
      <c r="AG2205" s="699"/>
      <c r="AH2205" s="699"/>
      <c r="AI2205" s="512">
        <f>IF(H2205="credit",0,IF(AE2205="free",0,IF(AE2205="me",0,IF(G2205&gt;0,(VLOOKUP(A2205,'Discount Lookup'!J:K,2)*G2205),0))))</f>
        <v>0</v>
      </c>
      <c r="AJ2205" s="513" t="str">
        <f t="shared" ca="1" si="1706"/>
        <v/>
      </c>
      <c r="AK2205" s="700" t="str">
        <f t="shared" si="1707"/>
        <v/>
      </c>
      <c r="AL2205" s="700"/>
      <c r="AM2205" s="505" t="str">
        <f t="shared" si="1708"/>
        <v/>
      </c>
      <c r="AN2205" s="506"/>
      <c r="AO2205" s="507"/>
      <c r="AP2205" s="507"/>
      <c r="AQ2205" s="507"/>
      <c r="AR2205" s="507"/>
      <c r="AS2205" s="507"/>
      <c r="AT2205" s="507"/>
      <c r="AU2205" s="507"/>
      <c r="AV2205" s="225"/>
      <c r="AW2205" s="508"/>
      <c r="AX2205" s="225"/>
      <c r="AY2205" s="225"/>
      <c r="AZ2205" s="225"/>
      <c r="BA2205" s="225"/>
      <c r="BB2205" s="225"/>
      <c r="BC2205" s="56"/>
      <c r="BD2205" s="56"/>
      <c r="BE2205" s="56"/>
      <c r="BF2205" s="107" t="str">
        <f t="shared" si="1709"/>
        <v>https://www.google.com/search?tbm=isch&amp;q=Linebacker%E2%84%A2%20Distylium%20%28FE%C2%AE%29%20Distylium%20%27PIIDIST-IV%27%20PP%2325984</v>
      </c>
      <c r="BG2205" s="107" t="str">
        <f t="shared" si="1710"/>
        <v>L</v>
      </c>
      <c r="BH2205" s="254"/>
      <c r="BI2205" s="254"/>
    </row>
    <row r="2206" spans="1:61" customFormat="1" ht="15.75" x14ac:dyDescent="0.25">
      <c r="A2206" s="485">
        <v>3</v>
      </c>
      <c r="B2206" s="486" t="s">
        <v>291</v>
      </c>
      <c r="C2206" s="487" t="s">
        <v>15</v>
      </c>
      <c r="D2206" s="488" t="s">
        <v>312</v>
      </c>
      <c r="E2206" s="489">
        <v>33.950000000000003</v>
      </c>
      <c r="F2206" s="516" t="s">
        <v>293</v>
      </c>
      <c r="G2206" s="232">
        <v>0</v>
      </c>
      <c r="H2206" s="658" t="str">
        <f>IF(G2206=0,"",IF(F2206="Buy",IF(G2206=1,"plant","plants"),IF(F2206&gt;0.01,"warranty","Error")))</f>
        <v/>
      </c>
      <c r="I2206" s="490">
        <f>IF(H2206="free",0,IF(H2206="credit",((E2206*(F2206))*G2206*-1),IF(F2206="Buy",(E2206*G2206),((E2206*(1-F2206))*G2206))))</f>
        <v>0</v>
      </c>
      <c r="J2206" s="490">
        <f>IF(H2206="warranty",0,(I2206*(_xlfn.SINGLE(SalesTaxPercentage))))</f>
        <v>0</v>
      </c>
      <c r="K2206" s="695">
        <f t="shared" ref="K2206" si="1726">I2206+J2206</f>
        <v>0</v>
      </c>
      <c r="L2206" s="695"/>
      <c r="M2206" s="659" t="str">
        <f>IF(AND(G2206&gt;0,E2206=0),"WARNING - no PRICE inserted",IF(H2206="free"," FREE ~ no charge this plant",IF(H2206="credit",CONCATENATE(" -$",ROUND(K2206*(1-T2GDiscount)*-1,2)," CREDIT after discount"),IF(T2GDiscount=0,"",IF(G2206=0,"",IF(F2206="Buy",CONCATENATE(" $",ROUND(K2206*(1-T2GDiscount),2)," with ",(T2GDiscount*100),"% discount"),CONCATENATE(" $",ROUND(K2206*(1-T2GDiscount),2)," with ",((T2GDiscount*100+F2206*100)-(T2GDiscount*100*F2206)),IF(F2206&gt;0,"% discounts",IF(NoWarrantyDiscount&gt;0,"% discounts","% discount")))))))))</f>
        <v/>
      </c>
      <c r="N2206" s="660"/>
      <c r="O2206" s="233"/>
      <c r="P2206" s="233"/>
      <c r="Q2206" s="233"/>
      <c r="R2206" s="233"/>
      <c r="S2206" s="233"/>
      <c r="T2206" s="508">
        <f t="shared" si="1698"/>
        <v>0</v>
      </c>
      <c r="U2206" s="225">
        <f>IF(NOT(ISNUMBER(G2206)), "", VLOOKUP(A2206,'Discount Lookup'!D:E,2,FALSE)*G2206)</f>
        <v>0</v>
      </c>
      <c r="V2206" s="225">
        <f>IF(NOT(ISNUMBER(G2206)), "", VLOOKUP(A2206,'Discount Lookup'!G:H,2,FALSE)*G2206)</f>
        <v>0</v>
      </c>
      <c r="W2206" s="508">
        <f t="shared" si="1699"/>
        <v>0</v>
      </c>
      <c r="X2206" s="508">
        <f t="shared" si="1700"/>
        <v>0</v>
      </c>
      <c r="Y2206" s="509" t="b">
        <f t="shared" si="1701"/>
        <v>0</v>
      </c>
      <c r="Z2206" s="510">
        <f t="shared" si="1702"/>
        <v>0</v>
      </c>
      <c r="AA2206" s="511"/>
      <c r="AB2206" s="511" t="str">
        <f t="shared" si="1703"/>
        <v/>
      </c>
      <c r="AC2206" s="698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698"/>
      <c r="AE2206" s="631" t="str">
        <f t="shared" si="1704"/>
        <v/>
      </c>
      <c r="AF2206" s="699" t="str">
        <f t="shared" si="1705"/>
        <v/>
      </c>
      <c r="AG2206" s="699"/>
      <c r="AH2206" s="699"/>
      <c r="AI2206" s="512">
        <f>IF(H2206="credit",0,IF(AE2206="free",0,IF(AE2206="me",0,IF(G2206&gt;0,(VLOOKUP(A2206,'Discount Lookup'!J:K,2)*G2206),0))))</f>
        <v>0</v>
      </c>
      <c r="AJ2206" s="513" t="str">
        <f t="shared" ca="1" si="1706"/>
        <v/>
      </c>
      <c r="AK2206" s="700" t="str">
        <f t="shared" si="1707"/>
        <v/>
      </c>
      <c r="AL2206" s="700"/>
      <c r="AM2206" s="505" t="str">
        <f t="shared" si="1708"/>
        <v/>
      </c>
      <c r="AN2206" s="506"/>
      <c r="AO2206" s="507"/>
      <c r="AP2206" s="507"/>
      <c r="AQ2206" s="507"/>
      <c r="AR2206" s="507"/>
      <c r="AS2206" s="507"/>
      <c r="AT2206" s="507"/>
      <c r="AU2206" s="507"/>
      <c r="AV2206" s="225"/>
      <c r="AW2206" s="508"/>
      <c r="AX2206" s="225"/>
      <c r="AY2206" s="225"/>
      <c r="AZ2206" s="225"/>
      <c r="BA2206" s="225"/>
      <c r="BB2206" s="225"/>
      <c r="BC2206" s="56"/>
      <c r="BD2206" s="56"/>
      <c r="BE2206" s="56"/>
      <c r="BF2206" s="107" t="str">
        <f t="shared" si="1709"/>
        <v>https://www.google.com/search?tbm=isch&amp;q=3%20G2</v>
      </c>
      <c r="BG2206" s="107" t="str">
        <f t="shared" si="1710"/>
        <v>L</v>
      </c>
      <c r="BH2206" s="254"/>
      <c r="BI2206" s="254"/>
    </row>
    <row r="2207" spans="1:61" customFormat="1" ht="15.75" x14ac:dyDescent="0.25">
      <c r="A2207" s="485">
        <v>3</v>
      </c>
      <c r="B2207" s="486" t="s">
        <v>291</v>
      </c>
      <c r="C2207" s="487" t="s">
        <v>2749</v>
      </c>
      <c r="D2207" s="488" t="s">
        <v>299</v>
      </c>
      <c r="E2207" s="489">
        <v>36.950000000000003</v>
      </c>
      <c r="F2207" s="516" t="s">
        <v>293</v>
      </c>
      <c r="G2207" s="232">
        <v>0</v>
      </c>
      <c r="H2207" s="658" t="str">
        <f>IF(G2207=0,"",IF(F2207="Buy",IF(G2207=1,"plant","plants"),IF(F2207&gt;0.01,"warranty","Error")))</f>
        <v/>
      </c>
      <c r="I2207" s="490">
        <f>IF(H2207="free",0,IF(H2207="credit",((E2207*(F2207))*G2207*-1),IF(F2207="Buy",(E2207*G2207),((E2207*(1-F2207))*G2207))))</f>
        <v>0</v>
      </c>
      <c r="J2207" s="490">
        <f>IF(H2207="warranty",0,(I2207*(_xlfn.SINGLE(SalesTaxPercentage))))</f>
        <v>0</v>
      </c>
      <c r="K2207" s="695">
        <f t="shared" ref="K2207" si="1727">I2207+J2207</f>
        <v>0</v>
      </c>
      <c r="L2207" s="695"/>
      <c r="M2207" s="659" t="str">
        <f>IF(AND(G2207&gt;0,E2207=0),"WARNING - no PRICE inserted",IF(H2207="free"," FREE ~ no charge this plant",IF(H2207="credit",CONCATENATE(" -$",ROUND(K2207*(1-T2GDiscount)*-1,2)," CREDIT after discount"),IF(T2GDiscount=0,"",IF(G2207=0,"",IF(F2207="Buy",CONCATENATE(" $",ROUND(K2207*(1-T2GDiscount),2)," with ",(T2GDiscount*100),"% discount"),CONCATENATE(" $",ROUND(K2207*(1-T2GDiscount),2)," with ",((T2GDiscount*100+F2207*100)-(T2GDiscount*100*F2207)),IF(F2207&gt;0,"% discounts",IF(NoWarrantyDiscount&gt;0,"% discounts","% discount")))))))))</f>
        <v/>
      </c>
      <c r="N2207" s="660"/>
      <c r="O2207" s="233"/>
      <c r="P2207" s="233"/>
      <c r="Q2207" s="233"/>
      <c r="R2207" s="233"/>
      <c r="S2207" s="233"/>
      <c r="T2207" s="508">
        <f t="shared" si="1698"/>
        <v>0</v>
      </c>
      <c r="U2207" s="225">
        <f>IF(NOT(ISNUMBER(G2207)), "", VLOOKUP(A2207,'Discount Lookup'!D:E,2,FALSE)*G2207)</f>
        <v>0</v>
      </c>
      <c r="V2207" s="225">
        <f>IF(NOT(ISNUMBER(G2207)), "", VLOOKUP(A2207,'Discount Lookup'!G:H,2,FALSE)*G2207)</f>
        <v>0</v>
      </c>
      <c r="W2207" s="508">
        <f t="shared" si="1699"/>
        <v>0</v>
      </c>
      <c r="X2207" s="508">
        <f t="shared" si="1700"/>
        <v>0</v>
      </c>
      <c r="Y2207" s="509" t="b">
        <f t="shared" si="1701"/>
        <v>0</v>
      </c>
      <c r="Z2207" s="510">
        <f t="shared" si="1702"/>
        <v>0</v>
      </c>
      <c r="AA2207" s="511"/>
      <c r="AB2207" s="511" t="str">
        <f t="shared" si="1703"/>
        <v/>
      </c>
      <c r="AC2207" s="698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698"/>
      <c r="AE2207" s="631" t="str">
        <f t="shared" si="1704"/>
        <v/>
      </c>
      <c r="AF2207" s="699" t="str">
        <f t="shared" si="1705"/>
        <v/>
      </c>
      <c r="AG2207" s="699"/>
      <c r="AH2207" s="699"/>
      <c r="AI2207" s="512">
        <f>IF(H2207="credit",0,IF(AE2207="free",0,IF(AE2207="me",0,IF(G2207&gt;0,(VLOOKUP(A2207,'Discount Lookup'!J:K,2)*G2207),0))))</f>
        <v>0</v>
      </c>
      <c r="AJ2207" s="513" t="str">
        <f t="shared" ca="1" si="1706"/>
        <v/>
      </c>
      <c r="AK2207" s="700" t="str">
        <f t="shared" si="1707"/>
        <v/>
      </c>
      <c r="AL2207" s="700"/>
      <c r="AM2207" s="505" t="str">
        <f t="shared" si="1708"/>
        <v/>
      </c>
      <c r="AN2207" s="506"/>
      <c r="AO2207" s="507"/>
      <c r="AP2207" s="507"/>
      <c r="AQ2207" s="507"/>
      <c r="AR2207" s="507"/>
      <c r="AS2207" s="507"/>
      <c r="AT2207" s="507"/>
      <c r="AU2207" s="507"/>
      <c r="AV2207" s="225"/>
      <c r="AW2207" s="508"/>
      <c r="AX2207" s="225"/>
      <c r="AY2207" s="225"/>
      <c r="AZ2207" s="225"/>
      <c r="BA2207" s="225"/>
      <c r="BB2207" s="225"/>
      <c r="BC2207" s="56"/>
      <c r="BD2207" s="56"/>
      <c r="BE2207" s="56"/>
      <c r="BF2207" s="107" t="str">
        <f t="shared" si="1709"/>
        <v>https://www.google.com/search?tbm=isch&amp;q=3%20G5</v>
      </c>
      <c r="BG2207" s="107" t="str">
        <f t="shared" si="1710"/>
        <v>L</v>
      </c>
      <c r="BH2207" s="254"/>
      <c r="BI2207" s="254"/>
    </row>
    <row r="2208" spans="1:61" customFormat="1" ht="15.75" x14ac:dyDescent="0.25">
      <c r="A2208" s="485">
        <v>7</v>
      </c>
      <c r="B2208" s="486" t="s">
        <v>291</v>
      </c>
      <c r="C2208" s="487" t="s">
        <v>4912</v>
      </c>
      <c r="D2208" s="488" t="s">
        <v>297</v>
      </c>
      <c r="E2208" s="489">
        <v>95.95</v>
      </c>
      <c r="F2208" s="516" t="s">
        <v>293</v>
      </c>
      <c r="G2208" s="232">
        <v>0</v>
      </c>
      <c r="H2208" s="658" t="str">
        <f>IF(G2208=0,"",IF(F2208="Buy",IF(G2208=1,"plant","plants"),IF(F2208&gt;0.01,"warranty","Error")))</f>
        <v/>
      </c>
      <c r="I2208" s="490">
        <f>IF(H2208="free",0,IF(H2208="credit",((E2208*(F2208))*G2208*-1),IF(F2208="Buy",(E2208*G2208),((E2208*(1-F2208))*G2208))))</f>
        <v>0</v>
      </c>
      <c r="J2208" s="490">
        <f>IF(H2208="warranty",0,(I2208*(_xlfn.SINGLE(SalesTaxPercentage))))</f>
        <v>0</v>
      </c>
      <c r="K2208" s="695">
        <f t="shared" ref="K2208" si="1728">I2208+J2208</f>
        <v>0</v>
      </c>
      <c r="L2208" s="695"/>
      <c r="M2208" s="659" t="str">
        <f>IF(AND(G2208&gt;0,E2208=0),"WARNING - no PRICE inserted",IF(H2208="free"," FREE ~ no charge this plant",IF(H2208="credit",CONCATENATE(" -$",ROUND(K2208*(1-T2GDiscount)*-1,2)," CREDIT after discount"),IF(T2GDiscount=0,"",IF(G2208=0,"",IF(F2208="Buy",CONCATENATE(" $",ROUND(K2208*(1-T2GDiscount),2)," with ",(T2GDiscount*100),"% discount"),CONCATENATE(" $",ROUND(K2208*(1-T2GDiscount),2)," with ",((T2GDiscount*100+F2208*100)-(T2GDiscount*100*F2208)),IF(F2208&gt;0,"% discounts",IF(NoWarrantyDiscount&gt;0,"% discounts","% discount")))))))))</f>
        <v/>
      </c>
      <c r="N2208" s="660"/>
      <c r="O2208" s="233"/>
      <c r="P2208" s="233"/>
      <c r="Q2208" s="233"/>
      <c r="R2208" s="233"/>
      <c r="S2208" s="233"/>
      <c r="T2208" s="508">
        <f t="shared" si="1698"/>
        <v>0</v>
      </c>
      <c r="U2208" s="225">
        <f>IF(NOT(ISNUMBER(G2208)), "", VLOOKUP(A2208,'Discount Lookup'!D:E,2,FALSE)*G2208)</f>
        <v>0</v>
      </c>
      <c r="V2208" s="225">
        <f>IF(NOT(ISNUMBER(G2208)), "", VLOOKUP(A2208,'Discount Lookup'!G:H,2,FALSE)*G2208)</f>
        <v>0</v>
      </c>
      <c r="W2208" s="508">
        <f t="shared" si="1699"/>
        <v>0</v>
      </c>
      <c r="X2208" s="508">
        <f t="shared" si="1700"/>
        <v>0</v>
      </c>
      <c r="Y2208" s="509" t="b">
        <f t="shared" si="1701"/>
        <v>0</v>
      </c>
      <c r="Z2208" s="510">
        <f t="shared" si="1702"/>
        <v>0</v>
      </c>
      <c r="AA2208" s="511"/>
      <c r="AB2208" s="511" t="str">
        <f t="shared" si="1703"/>
        <v/>
      </c>
      <c r="AC2208" s="698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698"/>
      <c r="AE2208" s="631" t="str">
        <f t="shared" si="1704"/>
        <v/>
      </c>
      <c r="AF2208" s="699" t="str">
        <f t="shared" si="1705"/>
        <v/>
      </c>
      <c r="AG2208" s="699"/>
      <c r="AH2208" s="699"/>
      <c r="AI2208" s="512">
        <f>IF(H2208="credit",0,IF(AE2208="free",0,IF(AE2208="me",0,IF(G2208&gt;0,(VLOOKUP(A2208,'Discount Lookup'!J:K,2)*G2208),0))))</f>
        <v>0</v>
      </c>
      <c r="AJ2208" s="513" t="str">
        <f t="shared" ca="1" si="1706"/>
        <v/>
      </c>
      <c r="AK2208" s="700" t="str">
        <f t="shared" si="1707"/>
        <v/>
      </c>
      <c r="AL2208" s="700"/>
      <c r="AM2208" s="505" t="str">
        <f t="shared" si="1708"/>
        <v/>
      </c>
      <c r="AN2208" s="506"/>
      <c r="AO2208" s="507"/>
      <c r="AP2208" s="507"/>
      <c r="AQ2208" s="507"/>
      <c r="AR2208" s="507"/>
      <c r="AS2208" s="507"/>
      <c r="AT2208" s="507"/>
      <c r="AU2208" s="507"/>
      <c r="AV2208" s="225"/>
      <c r="AW2208" s="508"/>
      <c r="AX2208" s="225"/>
      <c r="AY2208" s="225"/>
      <c r="AZ2208" s="225"/>
      <c r="BA2208" s="225"/>
      <c r="BB2208" s="225"/>
      <c r="BC2208" s="56"/>
      <c r="BD2208" s="56"/>
      <c r="BE2208" s="56"/>
      <c r="BF2208" s="107" t="str">
        <f t="shared" si="1709"/>
        <v>https://www.google.com/search?tbm=isch&amp;q=7%20G3</v>
      </c>
      <c r="BG2208" s="107" t="str">
        <f t="shared" si="1710"/>
        <v>L</v>
      </c>
      <c r="BH2208" s="254"/>
      <c r="BI2208" s="254"/>
    </row>
    <row r="2209" spans="1:61" customFormat="1" ht="15.75" x14ac:dyDescent="0.25">
      <c r="A2209" s="485">
        <v>7</v>
      </c>
      <c r="B2209" s="486" t="s">
        <v>291</v>
      </c>
      <c r="C2209" s="487" t="s">
        <v>3466</v>
      </c>
      <c r="D2209" s="488" t="s">
        <v>292</v>
      </c>
      <c r="E2209" s="489">
        <v>95.95</v>
      </c>
      <c r="F2209" s="516" t="s">
        <v>293</v>
      </c>
      <c r="G2209" s="232">
        <v>0</v>
      </c>
      <c r="H2209" s="658" t="str">
        <f>IF(G2209=0,"",IF(F2209="Buy",IF(G2209=1,"plant","plants"),IF(F2209&gt;0.01,"warranty","Error")))</f>
        <v/>
      </c>
      <c r="I2209" s="490">
        <f>IF(H2209="free",0,IF(H2209="credit",((E2209*(F2209))*G2209*-1),IF(F2209="Buy",(E2209*G2209),((E2209*(1-F2209))*G2209))))</f>
        <v>0</v>
      </c>
      <c r="J2209" s="490">
        <f>IF(H2209="warranty",0,(I2209*(_xlfn.SINGLE(SalesTaxPercentage))))</f>
        <v>0</v>
      </c>
      <c r="K2209" s="695">
        <f t="shared" ref="K2209" si="1729">I2209+J2209</f>
        <v>0</v>
      </c>
      <c r="L2209" s="695"/>
      <c r="M2209" s="659" t="str">
        <f>IF(AND(G2209&gt;0,E2209=0),"WARNING - no PRICE inserted",IF(H2209="free"," FREE ~ no charge this plant",IF(H2209="credit",CONCATENATE(" -$",ROUND(K2209*(1-T2GDiscount)*-1,2)," CREDIT after discount"),IF(T2GDiscount=0,"",IF(G2209=0,"",IF(F2209="Buy",CONCATENATE(" $",ROUND(K2209*(1-T2GDiscount),2)," with ",(T2GDiscount*100),"% discount"),CONCATENATE(" $",ROUND(K2209*(1-T2GDiscount),2)," with ",((T2GDiscount*100+F2209*100)-(T2GDiscount*100*F2209)),IF(F2209&gt;0,"% discounts",IF(NoWarrantyDiscount&gt;0,"% discounts","% discount")))))))))</f>
        <v/>
      </c>
      <c r="N2209" s="660"/>
      <c r="O2209" s="233"/>
      <c r="P2209" s="233"/>
      <c r="Q2209" s="233"/>
      <c r="R2209" s="233"/>
      <c r="S2209" s="233"/>
      <c r="T2209" s="508">
        <f t="shared" si="1698"/>
        <v>0</v>
      </c>
      <c r="U2209" s="225">
        <f>IF(NOT(ISNUMBER(G2209)), "", VLOOKUP(A2209,'Discount Lookup'!D:E,2,FALSE)*G2209)</f>
        <v>0</v>
      </c>
      <c r="V2209" s="225">
        <f>IF(NOT(ISNUMBER(G2209)), "", VLOOKUP(A2209,'Discount Lookup'!G:H,2,FALSE)*G2209)</f>
        <v>0</v>
      </c>
      <c r="W2209" s="508">
        <f t="shared" si="1699"/>
        <v>0</v>
      </c>
      <c r="X2209" s="508">
        <f t="shared" si="1700"/>
        <v>0</v>
      </c>
      <c r="Y2209" s="509" t="b">
        <f t="shared" si="1701"/>
        <v>0</v>
      </c>
      <c r="Z2209" s="510">
        <f t="shared" si="1702"/>
        <v>0</v>
      </c>
      <c r="AA2209" s="511"/>
      <c r="AB2209" s="511" t="str">
        <f t="shared" si="1703"/>
        <v/>
      </c>
      <c r="AC2209" s="698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698"/>
      <c r="AE2209" s="631" t="str">
        <f t="shared" si="1704"/>
        <v/>
      </c>
      <c r="AF2209" s="699" t="str">
        <f t="shared" si="1705"/>
        <v/>
      </c>
      <c r="AG2209" s="699"/>
      <c r="AH2209" s="699"/>
      <c r="AI2209" s="512">
        <f>IF(H2209="credit",0,IF(AE2209="free",0,IF(AE2209="me",0,IF(G2209&gt;0,(VLOOKUP(A2209,'Discount Lookup'!J:K,2)*G2209),0))))</f>
        <v>0</v>
      </c>
      <c r="AJ2209" s="513" t="str">
        <f t="shared" ca="1" si="1706"/>
        <v/>
      </c>
      <c r="AK2209" s="700" t="str">
        <f t="shared" si="1707"/>
        <v/>
      </c>
      <c r="AL2209" s="700"/>
      <c r="AM2209" s="505" t="str">
        <f t="shared" si="1708"/>
        <v/>
      </c>
      <c r="AN2209" s="506"/>
      <c r="AO2209" s="507"/>
      <c r="AP2209" s="507"/>
      <c r="AQ2209" s="507"/>
      <c r="AR2209" s="507"/>
      <c r="AS2209" s="507"/>
      <c r="AT2209" s="507"/>
      <c r="AU2209" s="507"/>
      <c r="AV2209" s="225"/>
      <c r="AW2209" s="508"/>
      <c r="AX2209" s="225"/>
      <c r="AY2209" s="225"/>
      <c r="AZ2209" s="225"/>
      <c r="BA2209" s="225"/>
      <c r="BB2209" s="225"/>
      <c r="BC2209" s="56"/>
      <c r="BD2209" s="56"/>
      <c r="BE2209" s="56"/>
      <c r="BF2209" s="107" t="str">
        <f t="shared" si="1709"/>
        <v>https://www.google.com/search?tbm=isch&amp;q=7%20G4</v>
      </c>
      <c r="BG2209" s="107" t="str">
        <f t="shared" si="1710"/>
        <v>L</v>
      </c>
      <c r="BH2209" s="254"/>
      <c r="BI2209" s="254"/>
    </row>
    <row r="2210" spans="1:61" customFormat="1" ht="15.75" x14ac:dyDescent="0.25">
      <c r="A2210" s="485">
        <v>15</v>
      </c>
      <c r="B2210" s="486" t="s">
        <v>291</v>
      </c>
      <c r="C2210" s="487" t="s">
        <v>3467</v>
      </c>
      <c r="D2210" s="488" t="s">
        <v>292</v>
      </c>
      <c r="E2210" s="489">
        <v>299.95</v>
      </c>
      <c r="F2210" s="516" t="s">
        <v>293</v>
      </c>
      <c r="G2210" s="232">
        <v>0</v>
      </c>
      <c r="H2210" s="658" t="str">
        <f>IF(G2210=0,"",IF(F2210="Buy",IF(G2210=1,"plant","plants"),IF(F2210&gt;0.01,"warranty","Error")))</f>
        <v/>
      </c>
      <c r="I2210" s="490">
        <f>IF(H2210="free",0,IF(H2210="credit",((E2210*(F2210))*G2210*-1),IF(F2210="Buy",(E2210*G2210),((E2210*(1-F2210))*G2210))))</f>
        <v>0</v>
      </c>
      <c r="J2210" s="490">
        <f>IF(H2210="warranty",0,(I2210*(_xlfn.SINGLE(SalesTaxPercentage))))</f>
        <v>0</v>
      </c>
      <c r="K2210" s="695">
        <f t="shared" ref="K2210" si="1730">I2210+J2210</f>
        <v>0</v>
      </c>
      <c r="L2210" s="695"/>
      <c r="M2210" s="659" t="str">
        <f>IF(AND(G2210&gt;0,E2210=0),"WARNING - no PRICE inserted",IF(H2210="free"," FREE ~ no charge this plant",IF(H2210="credit",CONCATENATE(" -$",ROUND(K2210*(1-T2GDiscount)*-1,2)," CREDIT after discount"),IF(T2GDiscount=0,"",IF(G2210=0,"",IF(F2210="Buy",CONCATENATE(" $",ROUND(K2210*(1-T2GDiscount),2)," with ",(T2GDiscount*100),"% discount"),CONCATENATE(" $",ROUND(K2210*(1-T2GDiscount),2)," with ",((T2GDiscount*100+F2210*100)-(T2GDiscount*100*F2210)),IF(F2210&gt;0,"% discounts",IF(NoWarrantyDiscount&gt;0,"% discounts","% discount")))))))))</f>
        <v/>
      </c>
      <c r="N2210" s="660"/>
      <c r="O2210" s="233"/>
      <c r="P2210" s="233"/>
      <c r="Q2210" s="233"/>
      <c r="R2210" s="233"/>
      <c r="S2210" s="233"/>
      <c r="T2210" s="508">
        <f t="shared" si="1698"/>
        <v>0</v>
      </c>
      <c r="U2210" s="225">
        <f>IF(NOT(ISNUMBER(G2210)), "", VLOOKUP(A2210,'Discount Lookup'!D:E,2,FALSE)*G2210)</f>
        <v>0</v>
      </c>
      <c r="V2210" s="225">
        <f>IF(NOT(ISNUMBER(G2210)), "", VLOOKUP(A2210,'Discount Lookup'!G:H,2,FALSE)*G2210)</f>
        <v>0</v>
      </c>
      <c r="W2210" s="508">
        <f t="shared" si="1699"/>
        <v>0</v>
      </c>
      <c r="X2210" s="508">
        <f t="shared" si="1700"/>
        <v>0</v>
      </c>
      <c r="Y2210" s="509" t="b">
        <f t="shared" si="1701"/>
        <v>0</v>
      </c>
      <c r="Z2210" s="510">
        <f t="shared" si="1702"/>
        <v>0</v>
      </c>
      <c r="AA2210" s="511"/>
      <c r="AB2210" s="511" t="str">
        <f t="shared" si="1703"/>
        <v/>
      </c>
      <c r="AC2210" s="698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698"/>
      <c r="AE2210" s="631" t="str">
        <f t="shared" si="1704"/>
        <v/>
      </c>
      <c r="AF2210" s="699" t="str">
        <f t="shared" si="1705"/>
        <v/>
      </c>
      <c r="AG2210" s="699"/>
      <c r="AH2210" s="699"/>
      <c r="AI2210" s="512">
        <f>IF(H2210="credit",0,IF(AE2210="free",0,IF(AE2210="me",0,IF(G2210&gt;0,(VLOOKUP(A2210,'Discount Lookup'!J:K,2)*G2210),0))))</f>
        <v>0</v>
      </c>
      <c r="AJ2210" s="513" t="str">
        <f t="shared" ca="1" si="1706"/>
        <v/>
      </c>
      <c r="AK2210" s="700" t="str">
        <f t="shared" si="1707"/>
        <v/>
      </c>
      <c r="AL2210" s="700"/>
      <c r="AM2210" s="505" t="str">
        <f t="shared" si="1708"/>
        <v/>
      </c>
      <c r="AN2210" s="506"/>
      <c r="AO2210" s="507"/>
      <c r="AP2210" s="507"/>
      <c r="AQ2210" s="507"/>
      <c r="AR2210" s="507"/>
      <c r="AS2210" s="507"/>
      <c r="AT2210" s="507"/>
      <c r="AU2210" s="507"/>
      <c r="AV2210" s="225"/>
      <c r="AW2210" s="508"/>
      <c r="AX2210" s="225"/>
      <c r="AY2210" s="225"/>
      <c r="AZ2210" s="225"/>
      <c r="BA2210" s="225"/>
      <c r="BB2210" s="225"/>
      <c r="BC2210" s="56"/>
      <c r="BD2210" s="56"/>
      <c r="BE2210" s="56"/>
      <c r="BF2210" s="107" t="str">
        <f t="shared" si="1709"/>
        <v>https://www.google.com/search?tbm=isch&amp;q=15%20G4</v>
      </c>
      <c r="BG2210" s="107" t="str">
        <f t="shared" si="1710"/>
        <v>L</v>
      </c>
      <c r="BH2210" s="254"/>
      <c r="BI2210" s="254"/>
    </row>
    <row r="2211" spans="1:61" customFormat="1" ht="16.5" thickBot="1" x14ac:dyDescent="0.3">
      <c r="A2211" s="522" t="s">
        <v>2646</v>
      </c>
      <c r="B2211" s="491"/>
      <c r="C2211" s="675"/>
      <c r="D2211" s="491"/>
      <c r="E2211" s="491"/>
      <c r="F2211" s="492"/>
      <c r="G2211" s="493"/>
      <c r="H2211" s="491"/>
      <c r="I2211" s="234"/>
      <c r="J2211" s="234"/>
      <c r="K2211" s="494"/>
      <c r="L2211" s="543"/>
      <c r="M2211" s="561"/>
      <c r="N2211" s="495"/>
      <c r="O2211" s="496"/>
      <c r="P2211" s="497"/>
      <c r="Q2211" s="495"/>
      <c r="R2211" s="495"/>
      <c r="S2211" s="667" t="s">
        <v>4968</v>
      </c>
      <c r="T2211" s="508">
        <f t="shared" si="1698"/>
        <v>0</v>
      </c>
      <c r="U2211" s="225" t="str">
        <f>IF(NOT(ISNUMBER(G2211)), "", VLOOKUP(A2211,'Discount Lookup'!D:E,2,FALSE)*G2211)</f>
        <v/>
      </c>
      <c r="V2211" s="225" t="str">
        <f>IF(NOT(ISNUMBER(G2211)), "", VLOOKUP(A2211,'Discount Lookup'!G:H,2,FALSE)*G2211)</f>
        <v/>
      </c>
      <c r="W2211" s="508">
        <f t="shared" si="1699"/>
        <v>0</v>
      </c>
      <c r="X2211" s="508">
        <f t="shared" si="1700"/>
        <v>0</v>
      </c>
      <c r="Y2211" s="509" t="b">
        <f t="shared" si="1701"/>
        <v>0</v>
      </c>
      <c r="Z2211" s="510">
        <f t="shared" si="1702"/>
        <v>0</v>
      </c>
      <c r="AA2211" s="511"/>
      <c r="AB2211" s="511" t="str">
        <f t="shared" si="1703"/>
        <v/>
      </c>
      <c r="AC2211" s="698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698"/>
      <c r="AE2211" s="631" t="str">
        <f t="shared" si="1704"/>
        <v/>
      </c>
      <c r="AF2211" s="699" t="str">
        <f t="shared" si="1705"/>
        <v/>
      </c>
      <c r="AG2211" s="699"/>
      <c r="AH2211" s="699"/>
      <c r="AI2211" s="512">
        <f>IF(H2211="credit",0,IF(AE2211="free",0,IF(AE2211="me",0,IF(G2211&gt;0,(VLOOKUP(A2211,'Discount Lookup'!J:K,2)*G2211),0))))</f>
        <v>0</v>
      </c>
      <c r="AJ2211" s="513" t="str">
        <f t="shared" ca="1" si="1706"/>
        <v/>
      </c>
      <c r="AK2211" s="700" t="str">
        <f t="shared" si="1707"/>
        <v/>
      </c>
      <c r="AL2211" s="700"/>
      <c r="AM2211" s="505" t="str">
        <f t="shared" si="1708"/>
        <v/>
      </c>
      <c r="AN2211" s="506"/>
      <c r="AO2211" s="507"/>
      <c r="AP2211" s="507"/>
      <c r="AQ2211" s="507"/>
      <c r="AR2211" s="507"/>
      <c r="AS2211" s="507"/>
      <c r="AT2211" s="507"/>
      <c r="AU2211" s="507"/>
      <c r="AV2211" s="225"/>
      <c r="AW2211" s="508"/>
      <c r="AX2211" s="225"/>
      <c r="AY2211" s="225"/>
      <c r="AZ2211" s="225"/>
      <c r="BA2211" s="225"/>
      <c r="BB2211" s="225"/>
      <c r="BC2211" s="56"/>
      <c r="BD2211" s="56"/>
      <c r="BE2211" s="56"/>
      <c r="BF2211" s="107" t="str">
        <f t="shared" si="1709"/>
        <v>https://www.google.com/search?tbm=isch&amp;q=Linebacker%20has%20Reddish%20spring%20flush.%20Subtle%20Red%20late-winter%20flowers.%20Heat%20and%20drought%20tolerant.%20Good%20sub%20for%20Cherry%20Laurel%20</v>
      </c>
      <c r="BG2211" s="107" t="str">
        <f t="shared" si="1710"/>
        <v>L</v>
      </c>
      <c r="BH2211" s="254"/>
      <c r="BI2211" s="254"/>
    </row>
    <row r="2212" spans="1:61" customFormat="1" ht="18" x14ac:dyDescent="0.25">
      <c r="A2212" s="523" t="s">
        <v>1260</v>
      </c>
      <c r="B2212" s="235"/>
      <c r="C2212" s="676"/>
      <c r="D2212" s="255" t="s">
        <v>1261</v>
      </c>
      <c r="E2212" s="236"/>
      <c r="F2212" s="236"/>
      <c r="G2212" s="236"/>
      <c r="H2212" s="582" t="s">
        <v>321</v>
      </c>
      <c r="I2212" s="498" t="s">
        <v>2097</v>
      </c>
      <c r="J2212" s="237"/>
      <c r="K2212" s="237"/>
      <c r="L2212" s="274"/>
      <c r="M2212" s="668" t="s">
        <v>4975</v>
      </c>
      <c r="N2212" s="681" t="str">
        <f>IF(AND(ISTEXT($A2212), ISERROR($A2212+0)), HYPERLINK($BF2212, "Images"), "")</f>
        <v>Images</v>
      </c>
      <c r="O2212" s="663" t="s">
        <v>4967</v>
      </c>
      <c r="P2212" s="253"/>
      <c r="Q2212" s="238"/>
      <c r="R2212" s="239"/>
      <c r="S2212" s="275"/>
      <c r="T2212" s="508">
        <f t="shared" si="1698"/>
        <v>0</v>
      </c>
      <c r="U2212" s="225" t="str">
        <f>IF(NOT(ISNUMBER(G2212)), "", VLOOKUP(A2212,'Discount Lookup'!D:E,2,FALSE)*G2212)</f>
        <v/>
      </c>
      <c r="V2212" s="225" t="str">
        <f>IF(NOT(ISNUMBER(G2212)), "", VLOOKUP(A2212,'Discount Lookup'!G:H,2,FALSE)*G2212)</f>
        <v/>
      </c>
      <c r="W2212" s="508">
        <f t="shared" si="1699"/>
        <v>0</v>
      </c>
      <c r="X2212" s="508" t="str">
        <f t="shared" si="1700"/>
        <v>Deep Green foliage</v>
      </c>
      <c r="Y2212" s="509" t="b">
        <f t="shared" si="1701"/>
        <v>0</v>
      </c>
      <c r="Z2212" s="510">
        <f t="shared" si="1702"/>
        <v>0</v>
      </c>
      <c r="AA2212" s="511"/>
      <c r="AB2212" s="511" t="str">
        <f t="shared" si="1703"/>
        <v/>
      </c>
      <c r="AC2212" s="698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698"/>
      <c r="AE2212" s="631" t="str">
        <f t="shared" si="1704"/>
        <v/>
      </c>
      <c r="AF2212" s="699" t="str">
        <f t="shared" si="1705"/>
        <v/>
      </c>
      <c r="AG2212" s="699"/>
      <c r="AH2212" s="699"/>
      <c r="AI2212" s="512">
        <f>IF(H2212="credit",0,IF(AE2212="free",0,IF(AE2212="me",0,IF(G2212&gt;0,(VLOOKUP(A2212,'Discount Lookup'!J:K,2)*G2212),0))))</f>
        <v>0</v>
      </c>
      <c r="AJ2212" s="513" t="str">
        <f t="shared" ca="1" si="1706"/>
        <v/>
      </c>
      <c r="AK2212" s="700" t="str">
        <f t="shared" si="1707"/>
        <v/>
      </c>
      <c r="AL2212" s="700"/>
      <c r="AM2212" s="505" t="str">
        <f t="shared" si="1708"/>
        <v/>
      </c>
      <c r="AN2212" s="506"/>
      <c r="AO2212" s="507"/>
      <c r="AP2212" s="507"/>
      <c r="AQ2212" s="507"/>
      <c r="AR2212" s="507"/>
      <c r="AS2212" s="507"/>
      <c r="AT2212" s="507"/>
      <c r="AU2212" s="507"/>
      <c r="AV2212" s="225"/>
      <c r="AW2212" s="508"/>
      <c r="AX2212" s="225"/>
      <c r="AY2212" s="225"/>
      <c r="AZ2212" s="225"/>
      <c r="BA2212" s="225"/>
      <c r="BB2212" s="225"/>
      <c r="BC2212" s="56"/>
      <c r="BD2212" s="56"/>
      <c r="BE2212" s="56"/>
      <c r="BF2212" s="107" t="str">
        <f t="shared" si="1709"/>
        <v>https://www.google.com/search?tbm=isch&amp;q=Lion%27s%20Head%20Japanese%20Maple%20Acer%20palmatum%20%27Shishigashira%27</v>
      </c>
      <c r="BG2212" s="107" t="str">
        <f t="shared" si="1710"/>
        <v>L</v>
      </c>
      <c r="BH2212" s="254"/>
      <c r="BI2212" s="254"/>
    </row>
    <row r="2213" spans="1:61" customFormat="1" ht="27" x14ac:dyDescent="0.25">
      <c r="A2213" s="276">
        <v>7</v>
      </c>
      <c r="B2213" s="240" t="s">
        <v>291</v>
      </c>
      <c r="C2213" s="241" t="s">
        <v>3612</v>
      </c>
      <c r="D2213" s="242" t="s">
        <v>292</v>
      </c>
      <c r="E2213" s="243">
        <v>252.95</v>
      </c>
      <c r="F2213" s="517" t="s">
        <v>293</v>
      </c>
      <c r="G2213" s="232">
        <v>0</v>
      </c>
      <c r="H2213" s="661" t="str">
        <f>IF(G2213=0,"",IF(F2213="Buy",IF(G2213=1,"plant","plants"),IF(F2213&gt;0.01,"warranty","Error")))</f>
        <v/>
      </c>
      <c r="I2213" s="244">
        <f>IF(H2213="free",0,IF(H2213="credit",((E2213*(F2213))*G2213*-1),IF(F2213="Buy",(E2213*G2213),((E2213*(1-F2213))*G2213))))</f>
        <v>0</v>
      </c>
      <c r="J2213" s="244">
        <f>IF(H2213="warranty",0,(I2213*(_xlfn.SINGLE(SalesTaxPercentage))))</f>
        <v>0</v>
      </c>
      <c r="K2213" s="696">
        <f t="shared" ref="K2213" si="1731">I2213+J2213</f>
        <v>0</v>
      </c>
      <c r="L2213" s="696"/>
      <c r="M2213" s="659" t="str">
        <f>IF(AND(G2213&gt;0,E2213=0),"WARNING - no PRICE inserted",IF(H2213="free"," FREE ~ no charge this plant",IF(H2213="credit",CONCATENATE(" -$",ROUND(K2213*(1-T2GDiscount)*-1,2)," CREDIT after discount"),IF(T2GDiscount=0,"",IF(G2213=0,"",IF(F2213="Buy",CONCATENATE(" $",ROUND(K2213*(1-T2GDiscount),2)," with ",(T2GDiscount*100),"% discount"),CONCATENATE(" $",ROUND(K2213*(1-T2GDiscount),2)," with ",((T2GDiscount*100+F2213*100)-(T2GDiscount*100*F2213)),IF(F2213&gt;0,"% discounts",IF(NoWarrantyDiscount&gt;0,"% discounts","% discount")))))))))</f>
        <v/>
      </c>
      <c r="N2213" s="660"/>
      <c r="O2213" s="233"/>
      <c r="P2213" s="233"/>
      <c r="Q2213" s="233"/>
      <c r="R2213" s="233"/>
      <c r="S2213" s="233"/>
      <c r="T2213" s="508">
        <f t="shared" si="1698"/>
        <v>0</v>
      </c>
      <c r="U2213" s="225">
        <f>IF(NOT(ISNUMBER(G2213)), "", VLOOKUP(A2213,'Discount Lookup'!D:E,2,FALSE)*G2213)</f>
        <v>0</v>
      </c>
      <c r="V2213" s="225">
        <f>IF(NOT(ISNUMBER(G2213)), "", VLOOKUP(A2213,'Discount Lookup'!G:H,2,FALSE)*G2213)</f>
        <v>0</v>
      </c>
      <c r="W2213" s="508">
        <f t="shared" si="1699"/>
        <v>0</v>
      </c>
      <c r="X2213" s="508">
        <f t="shared" si="1700"/>
        <v>0</v>
      </c>
      <c r="Y2213" s="509" t="b">
        <f t="shared" si="1701"/>
        <v>0</v>
      </c>
      <c r="Z2213" s="510">
        <f t="shared" si="1702"/>
        <v>0</v>
      </c>
      <c r="AA2213" s="511"/>
      <c r="AB2213" s="511" t="str">
        <f t="shared" si="1703"/>
        <v/>
      </c>
      <c r="AC2213" s="698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698"/>
      <c r="AE2213" s="631" t="str">
        <f t="shared" si="1704"/>
        <v/>
      </c>
      <c r="AF2213" s="699" t="str">
        <f t="shared" si="1705"/>
        <v/>
      </c>
      <c r="AG2213" s="699"/>
      <c r="AH2213" s="699"/>
      <c r="AI2213" s="512">
        <f>IF(H2213="credit",0,IF(AE2213="free",0,IF(AE2213="me",0,IF(G2213&gt;0,(VLOOKUP(A2213,'Discount Lookup'!J:K,2)*G2213),0))))</f>
        <v>0</v>
      </c>
      <c r="AJ2213" s="513" t="str">
        <f t="shared" ca="1" si="1706"/>
        <v/>
      </c>
      <c r="AK2213" s="700" t="str">
        <f t="shared" si="1707"/>
        <v/>
      </c>
      <c r="AL2213" s="700"/>
      <c r="AM2213" s="505" t="str">
        <f t="shared" si="1708"/>
        <v/>
      </c>
      <c r="AN2213" s="506"/>
      <c r="AO2213" s="507"/>
      <c r="AP2213" s="507"/>
      <c r="AQ2213" s="507"/>
      <c r="AR2213" s="507"/>
      <c r="AS2213" s="507"/>
      <c r="AT2213" s="507"/>
      <c r="AU2213" s="507"/>
      <c r="AV2213" s="225"/>
      <c r="AW2213" s="508"/>
      <c r="AX2213" s="225"/>
      <c r="AY2213" s="225"/>
      <c r="AZ2213" s="225"/>
      <c r="BA2213" s="225"/>
      <c r="BB2213" s="225"/>
      <c r="BC2213" s="56"/>
      <c r="BD2213" s="56"/>
      <c r="BE2213" s="56"/>
      <c r="BF2213" s="107" t="str">
        <f t="shared" si="1709"/>
        <v>https://www.google.com/search?tbm=isch&amp;q=7%20G4</v>
      </c>
      <c r="BG2213" s="107" t="str">
        <f t="shared" si="1710"/>
        <v>L</v>
      </c>
      <c r="BH2213" s="254"/>
      <c r="BI2213" s="254"/>
    </row>
    <row r="2214" spans="1:61" customFormat="1" ht="15.75" x14ac:dyDescent="0.25">
      <c r="A2214" s="276">
        <v>15</v>
      </c>
      <c r="B2214" s="240" t="s">
        <v>291</v>
      </c>
      <c r="C2214" s="241" t="s">
        <v>3383</v>
      </c>
      <c r="D2214" s="242" t="s">
        <v>292</v>
      </c>
      <c r="E2214" s="243">
        <v>496.95</v>
      </c>
      <c r="F2214" s="517" t="s">
        <v>293</v>
      </c>
      <c r="G2214" s="232">
        <v>0</v>
      </c>
      <c r="H2214" s="661" t="str">
        <f>IF(G2214=0,"",IF(F2214="Buy",IF(G2214=1,"plant","plants"),IF(F2214&gt;0.01,"warranty","Error")))</f>
        <v/>
      </c>
      <c r="I2214" s="244">
        <f>IF(H2214="free",0,IF(H2214="credit",((E2214*(F2214))*G2214*-1),IF(F2214="Buy",(E2214*G2214),((E2214*(1-F2214))*G2214))))</f>
        <v>0</v>
      </c>
      <c r="J2214" s="244">
        <f>IF(H2214="warranty",0,(I2214*(_xlfn.SINGLE(SalesTaxPercentage))))</f>
        <v>0</v>
      </c>
      <c r="K2214" s="696">
        <f t="shared" ref="K2214" si="1732">I2214+J2214</f>
        <v>0</v>
      </c>
      <c r="L2214" s="696"/>
      <c r="M2214" s="659" t="str">
        <f>IF(AND(G2214&gt;0,E2214=0),"WARNING - no PRICE inserted",IF(H2214="free"," FREE ~ no charge this plant",IF(H2214="credit",CONCATENATE(" -$",ROUND(K2214*(1-T2GDiscount)*-1,2)," CREDIT after discount"),IF(T2GDiscount=0,"",IF(G2214=0,"",IF(F2214="Buy",CONCATENATE(" $",ROUND(K2214*(1-T2GDiscount),2)," with ",(T2GDiscount*100),"% discount"),CONCATENATE(" $",ROUND(K2214*(1-T2GDiscount),2)," with ",((T2GDiscount*100+F2214*100)-(T2GDiscount*100*F2214)),IF(F2214&gt;0,"% discounts",IF(NoWarrantyDiscount&gt;0,"% discounts","% discount")))))))))</f>
        <v/>
      </c>
      <c r="N2214" s="660"/>
      <c r="O2214" s="233"/>
      <c r="P2214" s="233"/>
      <c r="Q2214" s="233"/>
      <c r="R2214" s="233"/>
      <c r="S2214" s="233"/>
      <c r="T2214" s="508">
        <f t="shared" si="1698"/>
        <v>0</v>
      </c>
      <c r="U2214" s="225">
        <f>IF(NOT(ISNUMBER(G2214)), "", VLOOKUP(A2214,'Discount Lookup'!D:E,2,FALSE)*G2214)</f>
        <v>0</v>
      </c>
      <c r="V2214" s="225">
        <f>IF(NOT(ISNUMBER(G2214)), "", VLOOKUP(A2214,'Discount Lookup'!G:H,2,FALSE)*G2214)</f>
        <v>0</v>
      </c>
      <c r="W2214" s="508">
        <f t="shared" si="1699"/>
        <v>0</v>
      </c>
      <c r="X2214" s="508">
        <f t="shared" si="1700"/>
        <v>0</v>
      </c>
      <c r="Y2214" s="509" t="b">
        <f t="shared" si="1701"/>
        <v>0</v>
      </c>
      <c r="Z2214" s="510">
        <f t="shared" si="1702"/>
        <v>0</v>
      </c>
      <c r="AA2214" s="511"/>
      <c r="AB2214" s="511" t="str">
        <f t="shared" si="1703"/>
        <v/>
      </c>
      <c r="AC2214" s="698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698"/>
      <c r="AE2214" s="631" t="str">
        <f t="shared" si="1704"/>
        <v/>
      </c>
      <c r="AF2214" s="699" t="str">
        <f t="shared" si="1705"/>
        <v/>
      </c>
      <c r="AG2214" s="699"/>
      <c r="AH2214" s="699"/>
      <c r="AI2214" s="512">
        <f>IF(H2214="credit",0,IF(AE2214="free",0,IF(AE2214="me",0,IF(G2214&gt;0,(VLOOKUP(A2214,'Discount Lookup'!J:K,2)*G2214),0))))</f>
        <v>0</v>
      </c>
      <c r="AJ2214" s="513" t="str">
        <f t="shared" ca="1" si="1706"/>
        <v/>
      </c>
      <c r="AK2214" s="700" t="str">
        <f t="shared" si="1707"/>
        <v/>
      </c>
      <c r="AL2214" s="700"/>
      <c r="AM2214" s="505" t="str">
        <f t="shared" si="1708"/>
        <v/>
      </c>
      <c r="AN2214" s="506"/>
      <c r="AO2214" s="507"/>
      <c r="AP2214" s="507"/>
      <c r="AQ2214" s="507"/>
      <c r="AR2214" s="507"/>
      <c r="AS2214" s="507"/>
      <c r="AT2214" s="507"/>
      <c r="AU2214" s="507"/>
      <c r="AV2214" s="225"/>
      <c r="AW2214" s="508"/>
      <c r="AX2214" s="225"/>
      <c r="AY2214" s="225"/>
      <c r="AZ2214" s="225"/>
      <c r="BA2214" s="225"/>
      <c r="BB2214" s="225"/>
      <c r="BC2214" s="56"/>
      <c r="BD2214" s="56"/>
      <c r="BE2214" s="56"/>
      <c r="BF2214" s="107" t="str">
        <f t="shared" si="1709"/>
        <v>https://www.google.com/search?tbm=isch&amp;q=15%20G4</v>
      </c>
      <c r="BG2214" s="107" t="str">
        <f t="shared" si="1710"/>
        <v>L</v>
      </c>
      <c r="BH2214" s="254"/>
      <c r="BI2214" s="254"/>
    </row>
    <row r="2215" spans="1:61" customFormat="1" ht="15.75" x14ac:dyDescent="0.25">
      <c r="A2215" s="276">
        <v>20</v>
      </c>
      <c r="B2215" s="240" t="s">
        <v>291</v>
      </c>
      <c r="C2215" s="241" t="s">
        <v>3613</v>
      </c>
      <c r="D2215" s="242" t="s">
        <v>292</v>
      </c>
      <c r="E2215" s="243">
        <v>586.95000000000005</v>
      </c>
      <c r="F2215" s="517" t="s">
        <v>293</v>
      </c>
      <c r="G2215" s="232">
        <v>0</v>
      </c>
      <c r="H2215" s="661" t="str">
        <f>IF(G2215=0,"",IF(F2215="Buy",IF(G2215=1,"plant","plants"),IF(F2215&gt;0.01,"warranty","Error")))</f>
        <v/>
      </c>
      <c r="I2215" s="244">
        <f>IF(H2215="free",0,IF(H2215="credit",((E2215*(F2215))*G2215*-1),IF(F2215="Buy",(E2215*G2215),((E2215*(1-F2215))*G2215))))</f>
        <v>0</v>
      </c>
      <c r="J2215" s="244">
        <f>IF(H2215="warranty",0,(I2215*(_xlfn.SINGLE(SalesTaxPercentage))))</f>
        <v>0</v>
      </c>
      <c r="K2215" s="696">
        <f t="shared" ref="K2215" si="1733">I2215+J2215</f>
        <v>0</v>
      </c>
      <c r="L2215" s="696"/>
      <c r="M2215" s="659" t="str">
        <f>IF(AND(G2215&gt;0,E2215=0),"WARNING - no PRICE inserted",IF(H2215="free"," FREE ~ no charge this plant",IF(H2215="credit",CONCATENATE(" -$",ROUND(K2215*(1-T2GDiscount)*-1,2)," CREDIT after discount"),IF(T2GDiscount=0,"",IF(G2215=0,"",IF(F2215="Buy",CONCATENATE(" $",ROUND(K2215*(1-T2GDiscount),2)," with ",(T2GDiscount*100),"% discount"),CONCATENATE(" $",ROUND(K2215*(1-T2GDiscount),2)," with ",((T2GDiscount*100+F2215*100)-(T2GDiscount*100*F2215)),IF(F2215&gt;0,"% discounts",IF(NoWarrantyDiscount&gt;0,"% discounts","% discount")))))))))</f>
        <v/>
      </c>
      <c r="N2215" s="660"/>
      <c r="O2215" s="233"/>
      <c r="P2215" s="233"/>
      <c r="Q2215" s="233"/>
      <c r="R2215" s="233"/>
      <c r="S2215" s="233"/>
      <c r="T2215" s="508">
        <f t="shared" si="1698"/>
        <v>0</v>
      </c>
      <c r="U2215" s="225">
        <f>IF(NOT(ISNUMBER(G2215)), "", VLOOKUP(A2215,'Discount Lookup'!D:E,2,FALSE)*G2215)</f>
        <v>0</v>
      </c>
      <c r="V2215" s="225">
        <f>IF(NOT(ISNUMBER(G2215)), "", VLOOKUP(A2215,'Discount Lookup'!G:H,2,FALSE)*G2215)</f>
        <v>0</v>
      </c>
      <c r="W2215" s="508">
        <f t="shared" si="1699"/>
        <v>0</v>
      </c>
      <c r="X2215" s="508">
        <f t="shared" si="1700"/>
        <v>0</v>
      </c>
      <c r="Y2215" s="509" t="b">
        <f t="shared" si="1701"/>
        <v>0</v>
      </c>
      <c r="Z2215" s="510">
        <f t="shared" si="1702"/>
        <v>0</v>
      </c>
      <c r="AA2215" s="511"/>
      <c r="AB2215" s="511" t="str">
        <f t="shared" si="1703"/>
        <v/>
      </c>
      <c r="AC2215" s="698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698"/>
      <c r="AE2215" s="631" t="str">
        <f t="shared" si="1704"/>
        <v/>
      </c>
      <c r="AF2215" s="699" t="str">
        <f t="shared" si="1705"/>
        <v/>
      </c>
      <c r="AG2215" s="699"/>
      <c r="AH2215" s="699"/>
      <c r="AI2215" s="512">
        <f>IF(H2215="credit",0,IF(AE2215="free",0,IF(AE2215="me",0,IF(G2215&gt;0,(VLOOKUP(A2215,'Discount Lookup'!J:K,2)*G2215),0))))</f>
        <v>0</v>
      </c>
      <c r="AJ2215" s="513" t="str">
        <f t="shared" ca="1" si="1706"/>
        <v/>
      </c>
      <c r="AK2215" s="700" t="str">
        <f t="shared" si="1707"/>
        <v/>
      </c>
      <c r="AL2215" s="700"/>
      <c r="AM2215" s="505" t="str">
        <f t="shared" si="1708"/>
        <v/>
      </c>
      <c r="AN2215" s="506"/>
      <c r="AO2215" s="507"/>
      <c r="AP2215" s="507"/>
      <c r="AQ2215" s="507"/>
      <c r="AR2215" s="507"/>
      <c r="AS2215" s="507"/>
      <c r="AT2215" s="507"/>
      <c r="AU2215" s="507"/>
      <c r="AV2215" s="225"/>
      <c r="AW2215" s="508"/>
      <c r="AX2215" s="225"/>
      <c r="AY2215" s="225"/>
      <c r="AZ2215" s="225"/>
      <c r="BA2215" s="225"/>
      <c r="BB2215" s="225"/>
      <c r="BC2215" s="56"/>
      <c r="BD2215" s="56"/>
      <c r="BE2215" s="56"/>
      <c r="BF2215" s="107" t="str">
        <f t="shared" si="1709"/>
        <v>https://www.google.com/search?tbm=isch&amp;q=20%20G4</v>
      </c>
      <c r="BG2215" s="107" t="str">
        <f t="shared" si="1710"/>
        <v>L</v>
      </c>
      <c r="BH2215" s="254"/>
      <c r="BI2215" s="254"/>
    </row>
    <row r="2216" spans="1:61" customFormat="1" ht="15.75" x14ac:dyDescent="0.25">
      <c r="A2216" s="276">
        <v>25</v>
      </c>
      <c r="B2216" s="240" t="s">
        <v>291</v>
      </c>
      <c r="C2216" s="241" t="s">
        <v>3614</v>
      </c>
      <c r="D2216" s="242" t="s">
        <v>292</v>
      </c>
      <c r="E2216" s="243">
        <v>934.95</v>
      </c>
      <c r="F2216" s="517" t="s">
        <v>293</v>
      </c>
      <c r="G2216" s="232">
        <v>0</v>
      </c>
      <c r="H2216" s="661" t="str">
        <f>IF(G2216=0,"",IF(F2216="Buy",IF(G2216=1,"plant","plants"),IF(F2216&gt;0.01,"warranty","Error")))</f>
        <v/>
      </c>
      <c r="I2216" s="244">
        <f>IF(H2216="free",0,IF(H2216="credit",((E2216*(F2216))*G2216*-1),IF(F2216="Buy",(E2216*G2216),((E2216*(1-F2216))*G2216))))</f>
        <v>0</v>
      </c>
      <c r="J2216" s="244">
        <f>IF(H2216="warranty",0,(I2216*(_xlfn.SINGLE(SalesTaxPercentage))))</f>
        <v>0</v>
      </c>
      <c r="K2216" s="696">
        <f t="shared" ref="K2216" si="1734">I2216+J2216</f>
        <v>0</v>
      </c>
      <c r="L2216" s="696"/>
      <c r="M2216" s="659" t="str">
        <f>IF(AND(G2216&gt;0,E2216=0),"WARNING - no PRICE inserted",IF(H2216="free"," FREE ~ no charge this plant",IF(H2216="credit",CONCATENATE(" -$",ROUND(K2216*(1-T2GDiscount)*-1,2)," CREDIT after discount"),IF(T2GDiscount=0,"",IF(G2216=0,"",IF(F2216="Buy",CONCATENATE(" $",ROUND(K2216*(1-T2GDiscount),2)," with ",(T2GDiscount*100),"% discount"),CONCATENATE(" $",ROUND(K2216*(1-T2GDiscount),2)," with ",((T2GDiscount*100+F2216*100)-(T2GDiscount*100*F2216)),IF(F2216&gt;0,"% discounts",IF(NoWarrantyDiscount&gt;0,"% discounts","% discount")))))))))</f>
        <v/>
      </c>
      <c r="N2216" s="660"/>
      <c r="O2216" s="233"/>
      <c r="P2216" s="233"/>
      <c r="Q2216" s="233"/>
      <c r="R2216" s="233"/>
      <c r="S2216" s="233"/>
      <c r="T2216" s="508">
        <f t="shared" si="1698"/>
        <v>0</v>
      </c>
      <c r="U2216" s="225">
        <f>IF(NOT(ISNUMBER(G2216)), "", VLOOKUP(A2216,'Discount Lookup'!D:E,2,FALSE)*G2216)</f>
        <v>0</v>
      </c>
      <c r="V2216" s="225">
        <f>IF(NOT(ISNUMBER(G2216)), "", VLOOKUP(A2216,'Discount Lookup'!G:H,2,FALSE)*G2216)</f>
        <v>0</v>
      </c>
      <c r="W2216" s="508">
        <f t="shared" si="1699"/>
        <v>0</v>
      </c>
      <c r="X2216" s="508">
        <f t="shared" si="1700"/>
        <v>0</v>
      </c>
      <c r="Y2216" s="509" t="b">
        <f t="shared" si="1701"/>
        <v>0</v>
      </c>
      <c r="Z2216" s="510">
        <f t="shared" si="1702"/>
        <v>0</v>
      </c>
      <c r="AA2216" s="511"/>
      <c r="AB2216" s="511" t="str">
        <f t="shared" si="1703"/>
        <v/>
      </c>
      <c r="AC2216" s="698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698"/>
      <c r="AE2216" s="631" t="str">
        <f t="shared" si="1704"/>
        <v/>
      </c>
      <c r="AF2216" s="699" t="str">
        <f t="shared" si="1705"/>
        <v/>
      </c>
      <c r="AG2216" s="699"/>
      <c r="AH2216" s="699"/>
      <c r="AI2216" s="512">
        <f>IF(H2216="credit",0,IF(AE2216="free",0,IF(AE2216="me",0,IF(G2216&gt;0,(VLOOKUP(A2216,'Discount Lookup'!J:K,2)*G2216),0))))</f>
        <v>0</v>
      </c>
      <c r="AJ2216" s="513" t="str">
        <f t="shared" ca="1" si="1706"/>
        <v/>
      </c>
      <c r="AK2216" s="700" t="str">
        <f t="shared" si="1707"/>
        <v/>
      </c>
      <c r="AL2216" s="700"/>
      <c r="AM2216" s="505" t="str">
        <f t="shared" si="1708"/>
        <v/>
      </c>
      <c r="AN2216" s="506"/>
      <c r="AO2216" s="507"/>
      <c r="AP2216" s="507"/>
      <c r="AQ2216" s="507"/>
      <c r="AR2216" s="507"/>
      <c r="AS2216" s="507"/>
      <c r="AT2216" s="507"/>
      <c r="AU2216" s="507"/>
      <c r="AV2216" s="225"/>
      <c r="AW2216" s="508"/>
      <c r="AX2216" s="225"/>
      <c r="AY2216" s="225"/>
      <c r="AZ2216" s="225"/>
      <c r="BA2216" s="225"/>
      <c r="BB2216" s="225"/>
      <c r="BC2216" s="56"/>
      <c r="BD2216" s="56"/>
      <c r="BE2216" s="56"/>
      <c r="BF2216" s="107" t="str">
        <f t="shared" si="1709"/>
        <v>https://www.google.com/search?tbm=isch&amp;q=25%20G4</v>
      </c>
      <c r="BG2216" s="107" t="str">
        <f t="shared" si="1710"/>
        <v>L</v>
      </c>
      <c r="BH2216" s="254"/>
      <c r="BI2216" s="254"/>
    </row>
    <row r="2217" spans="1:61" customFormat="1" ht="17.25" thickBot="1" x14ac:dyDescent="0.3">
      <c r="A2217" s="524" t="s">
        <v>2159</v>
      </c>
      <c r="B2217" s="245"/>
      <c r="C2217" s="677"/>
      <c r="D2217" s="499"/>
      <c r="E2217" s="499"/>
      <c r="F2217" s="500"/>
      <c r="G2217" s="501"/>
      <c r="H2217" s="502"/>
      <c r="I2217" s="246"/>
      <c r="J2217" s="247"/>
      <c r="K2217" s="503"/>
      <c r="L2217" s="544"/>
      <c r="M2217" s="544"/>
      <c r="N2217" s="500"/>
      <c r="O2217" s="500"/>
      <c r="P2217" s="500"/>
      <c r="Q2217" s="500"/>
      <c r="R2217" s="500"/>
      <c r="S2217" s="278"/>
      <c r="T2217" s="508">
        <f t="shared" si="1698"/>
        <v>0</v>
      </c>
      <c r="U2217" s="225" t="str">
        <f>IF(NOT(ISNUMBER(G2217)), "", VLOOKUP(A2217,'Discount Lookup'!D:E,2,FALSE)*G2217)</f>
        <v/>
      </c>
      <c r="V2217" s="225" t="str">
        <f>IF(NOT(ISNUMBER(G2217)), "", VLOOKUP(A2217,'Discount Lookup'!G:H,2,FALSE)*G2217)</f>
        <v/>
      </c>
      <c r="W2217" s="508">
        <f t="shared" si="1699"/>
        <v>0</v>
      </c>
      <c r="X2217" s="508">
        <f t="shared" si="1700"/>
        <v>0</v>
      </c>
      <c r="Y2217" s="509" t="b">
        <f t="shared" si="1701"/>
        <v>0</v>
      </c>
      <c r="Z2217" s="510">
        <f t="shared" si="1702"/>
        <v>0</v>
      </c>
      <c r="AA2217" s="511"/>
      <c r="AB2217" s="511" t="str">
        <f t="shared" si="1703"/>
        <v/>
      </c>
      <c r="AC2217" s="698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698"/>
      <c r="AE2217" s="631" t="str">
        <f t="shared" si="1704"/>
        <v/>
      </c>
      <c r="AF2217" s="699" t="str">
        <f t="shared" si="1705"/>
        <v/>
      </c>
      <c r="AG2217" s="699"/>
      <c r="AH2217" s="699"/>
      <c r="AI2217" s="512">
        <f>IF(H2217="credit",0,IF(AE2217="free",0,IF(AE2217="me",0,IF(G2217&gt;0,(VLOOKUP(A2217,'Discount Lookup'!J:K,2)*G2217),0))))</f>
        <v>0</v>
      </c>
      <c r="AJ2217" s="513" t="str">
        <f t="shared" ca="1" si="1706"/>
        <v/>
      </c>
      <c r="AK2217" s="700" t="str">
        <f t="shared" si="1707"/>
        <v/>
      </c>
      <c r="AL2217" s="700"/>
      <c r="AM2217" s="505" t="str">
        <f t="shared" si="1708"/>
        <v/>
      </c>
      <c r="AN2217" s="506"/>
      <c r="AO2217" s="507"/>
      <c r="AP2217" s="507"/>
      <c r="AQ2217" s="507"/>
      <c r="AR2217" s="507"/>
      <c r="AS2217" s="507"/>
      <c r="AT2217" s="507"/>
      <c r="AU2217" s="507"/>
      <c r="AV2217" s="225"/>
      <c r="AW2217" s="508"/>
      <c r="AX2217" s="225"/>
      <c r="AY2217" s="225"/>
      <c r="AZ2217" s="225"/>
      <c r="BA2217" s="225"/>
      <c r="BB2217" s="225"/>
      <c r="BC2217" s="56"/>
      <c r="BD2217" s="56"/>
      <c r="BE2217" s="56"/>
      <c r="BF2217" s="107" t="str">
        <f t="shared" si="1709"/>
        <v>https://www.google.com/search?tbm=isch&amp;q=Lion%27s%20Head%20named%20for%20dense%20tufts%20of%20curled%20leaves%20resembling%20a%20lion%27s%20mane.%20Late%20fall%20coloring%20is%20Gold-Orange-Crimson%20</v>
      </c>
      <c r="BG2217" s="107" t="str">
        <f t="shared" si="1710"/>
        <v>L</v>
      </c>
      <c r="BH2217" s="254"/>
      <c r="BI2217" s="254"/>
    </row>
    <row r="2218" spans="1:61" customFormat="1" ht="18" x14ac:dyDescent="0.25">
      <c r="A2218" s="523" t="s">
        <v>1262</v>
      </c>
      <c r="B2218" s="235"/>
      <c r="C2218" s="676"/>
      <c r="D2218" s="255" t="s">
        <v>1263</v>
      </c>
      <c r="E2218" s="236"/>
      <c r="F2218" s="236"/>
      <c r="G2218" s="236"/>
      <c r="H2218" s="582" t="s">
        <v>765</v>
      </c>
      <c r="I2218" s="498" t="s">
        <v>3026</v>
      </c>
      <c r="J2218" s="237"/>
      <c r="K2218" s="237"/>
      <c r="L2218" s="274"/>
      <c r="M2218" s="668" t="s">
        <v>4962</v>
      </c>
      <c r="N2218" s="681" t="str">
        <f>IF(AND(ISTEXT($A2218), ISERROR($A2218+0)), HYPERLINK($BF2218, "Images"), "")</f>
        <v>Images</v>
      </c>
      <c r="O2218" s="663" t="s">
        <v>4969</v>
      </c>
      <c r="P2218" s="253"/>
      <c r="Q2218" s="238"/>
      <c r="R2218" s="239"/>
      <c r="S2218" s="275" t="s">
        <v>305</v>
      </c>
      <c r="T2218" s="508">
        <f t="shared" si="1698"/>
        <v>0</v>
      </c>
      <c r="U2218" s="225" t="str">
        <f>IF(NOT(ISNUMBER(G2218)), "", VLOOKUP(A2218,'Discount Lookup'!D:E,2,FALSE)*G2218)</f>
        <v/>
      </c>
      <c r="V2218" s="225" t="str">
        <f>IF(NOT(ISNUMBER(G2218)), "", VLOOKUP(A2218,'Discount Lookup'!G:H,2,FALSE)*G2218)</f>
        <v/>
      </c>
      <c r="W2218" s="508">
        <f t="shared" si="1699"/>
        <v>0</v>
      </c>
      <c r="X2218" s="508" t="str">
        <f t="shared" si="1700"/>
        <v>Blue-Green blades, Silvery tones</v>
      </c>
      <c r="Y2218" s="509" t="b">
        <f t="shared" si="1701"/>
        <v>0</v>
      </c>
      <c r="Z2218" s="510">
        <f t="shared" si="1702"/>
        <v>0</v>
      </c>
      <c r="AA2218" s="511"/>
      <c r="AB2218" s="511" t="str">
        <f t="shared" si="1703"/>
        <v/>
      </c>
      <c r="AC2218" s="698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698"/>
      <c r="AE2218" s="631" t="str">
        <f t="shared" si="1704"/>
        <v/>
      </c>
      <c r="AF2218" s="699" t="str">
        <f t="shared" si="1705"/>
        <v/>
      </c>
      <c r="AG2218" s="699"/>
      <c r="AH2218" s="699"/>
      <c r="AI2218" s="512">
        <f>IF(H2218="credit",0,IF(AE2218="free",0,IF(AE2218="me",0,IF(G2218&gt;0,(VLOOKUP(A2218,'Discount Lookup'!J:K,2)*G2218),0))))</f>
        <v>0</v>
      </c>
      <c r="AJ2218" s="513" t="str">
        <f t="shared" ca="1" si="1706"/>
        <v/>
      </c>
      <c r="AK2218" s="700" t="str">
        <f t="shared" si="1707"/>
        <v/>
      </c>
      <c r="AL2218" s="700"/>
      <c r="AM2218" s="505" t="str">
        <f t="shared" si="1708"/>
        <v/>
      </c>
      <c r="AN2218" s="506"/>
      <c r="AO2218" s="507"/>
      <c r="AP2218" s="507"/>
      <c r="AQ2218" s="507"/>
      <c r="AR2218" s="507"/>
      <c r="AS2218" s="507"/>
      <c r="AT2218" s="507"/>
      <c r="AU2218" s="507"/>
      <c r="AV2218" s="225"/>
      <c r="AW2218" s="508"/>
      <c r="AX2218" s="225"/>
      <c r="AY2218" s="225"/>
      <c r="AZ2218" s="225"/>
      <c r="BA2218" s="225"/>
      <c r="BB2218" s="225"/>
      <c r="BC2218" s="56"/>
      <c r="BD2218" s="56"/>
      <c r="BE2218" s="56"/>
      <c r="BF2218" s="107" t="str">
        <f t="shared" si="1709"/>
        <v>https://www.google.com/search?tbm=isch&amp;q=Little%20Bluestem%20Grass%20Schizachyrium%20scoparium</v>
      </c>
      <c r="BG2218" s="107" t="str">
        <f t="shared" si="1710"/>
        <v>L</v>
      </c>
      <c r="BH2218" s="254"/>
      <c r="BI2218" s="254"/>
    </row>
    <row r="2219" spans="1:61" customFormat="1" ht="15.75" x14ac:dyDescent="0.25">
      <c r="A2219" s="276">
        <v>1</v>
      </c>
      <c r="B2219" s="240" t="s">
        <v>291</v>
      </c>
      <c r="C2219" s="241"/>
      <c r="D2219" s="242" t="s">
        <v>312</v>
      </c>
      <c r="E2219" s="243">
        <v>15.95</v>
      </c>
      <c r="F2219" s="517" t="s">
        <v>293</v>
      </c>
      <c r="G2219" s="232">
        <v>0</v>
      </c>
      <c r="H2219" s="661" t="str">
        <f>IF(G2219=0,"",IF(F2219="Buy",IF(G2219=1,"plant","plants"),IF(F2219&gt;0.01,"warranty","Error")))</f>
        <v/>
      </c>
      <c r="I2219" s="244">
        <f>IF(H2219="free",0,IF(H2219="credit",((E2219*(F2219))*G2219*-1),IF(F2219="Buy",(E2219*G2219),((E2219*(1-F2219))*G2219))))</f>
        <v>0</v>
      </c>
      <c r="J2219" s="244">
        <f>IF(H2219="warranty",0,(I2219*(_xlfn.SINGLE(SalesTaxPercentage))))</f>
        <v>0</v>
      </c>
      <c r="K2219" s="696">
        <f t="shared" ref="K2219" si="1735">I2219+J2219</f>
        <v>0</v>
      </c>
      <c r="L2219" s="696"/>
      <c r="M2219" s="659" t="str">
        <f>IF(AND(G2219&gt;0,E2219=0),"WARNING - no PRICE inserted",IF(H2219="free"," FREE ~ no charge this plant",IF(H2219="credit",CONCATENATE(" -$",ROUND(K2219*(1-T2GDiscount)*-1,2)," CREDIT after discount"),IF(T2GDiscount=0,"",IF(G2219=0,"",IF(F2219="Buy",CONCATENATE(" $",ROUND(K2219*(1-T2GDiscount),2)," with ",(T2GDiscount*100),"% discount"),CONCATENATE(" $",ROUND(K2219*(1-T2GDiscount),2)," with ",((T2GDiscount*100+F2219*100)-(T2GDiscount*100*F2219)),IF(F2219&gt;0,"% discounts",IF(NoWarrantyDiscount&gt;0,"% discounts","% discount")))))))))</f>
        <v/>
      </c>
      <c r="N2219" s="660"/>
      <c r="O2219" s="233"/>
      <c r="P2219" s="233"/>
      <c r="Q2219" s="233"/>
      <c r="R2219" s="233"/>
      <c r="S2219" s="233"/>
      <c r="T2219" s="508">
        <f t="shared" si="1698"/>
        <v>0</v>
      </c>
      <c r="U2219" s="225">
        <f>IF(NOT(ISNUMBER(G2219)), "", VLOOKUP(A2219,'Discount Lookup'!D:E,2,FALSE)*G2219)</f>
        <v>0</v>
      </c>
      <c r="V2219" s="225">
        <f>IF(NOT(ISNUMBER(G2219)), "", VLOOKUP(A2219,'Discount Lookup'!G:H,2,FALSE)*G2219)</f>
        <v>0</v>
      </c>
      <c r="W2219" s="508">
        <f t="shared" si="1699"/>
        <v>0</v>
      </c>
      <c r="X2219" s="508">
        <f t="shared" si="1700"/>
        <v>0</v>
      </c>
      <c r="Y2219" s="509" t="b">
        <f t="shared" si="1701"/>
        <v>0</v>
      </c>
      <c r="Z2219" s="510">
        <f t="shared" si="1702"/>
        <v>0</v>
      </c>
      <c r="AA2219" s="511"/>
      <c r="AB2219" s="511" t="str">
        <f t="shared" si="1703"/>
        <v/>
      </c>
      <c r="AC2219" s="698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698"/>
      <c r="AE2219" s="631" t="str">
        <f t="shared" si="1704"/>
        <v/>
      </c>
      <c r="AF2219" s="699" t="str">
        <f t="shared" si="1705"/>
        <v/>
      </c>
      <c r="AG2219" s="699"/>
      <c r="AH2219" s="699"/>
      <c r="AI2219" s="512">
        <f>IF(H2219="credit",0,IF(AE2219="free",0,IF(AE2219="me",0,IF(G2219&gt;0,(VLOOKUP(A2219,'Discount Lookup'!J:K,2)*G2219),0))))</f>
        <v>0</v>
      </c>
      <c r="AJ2219" s="513" t="str">
        <f t="shared" ca="1" si="1706"/>
        <v/>
      </c>
      <c r="AK2219" s="700" t="str">
        <f t="shared" si="1707"/>
        <v/>
      </c>
      <c r="AL2219" s="700"/>
      <c r="AM2219" s="505" t="str">
        <f t="shared" si="1708"/>
        <v/>
      </c>
      <c r="AN2219" s="506"/>
      <c r="AO2219" s="507"/>
      <c r="AP2219" s="507"/>
      <c r="AQ2219" s="507"/>
      <c r="AR2219" s="507"/>
      <c r="AS2219" s="507"/>
      <c r="AT2219" s="507"/>
      <c r="AU2219" s="507"/>
      <c r="AV2219" s="225"/>
      <c r="AW2219" s="508"/>
      <c r="AX2219" s="225"/>
      <c r="AY2219" s="225"/>
      <c r="AZ2219" s="225"/>
      <c r="BA2219" s="225"/>
      <c r="BB2219" s="225"/>
      <c r="BC2219" s="56"/>
      <c r="BD2219" s="56"/>
      <c r="BE2219" s="56"/>
      <c r="BF2219" s="107" t="str">
        <f t="shared" si="1709"/>
        <v>https://www.google.com/search?tbm=isch&amp;q=1%20G2</v>
      </c>
      <c r="BG2219" s="107" t="str">
        <f t="shared" si="1710"/>
        <v>L</v>
      </c>
      <c r="BH2219" s="254"/>
      <c r="BI2219" s="254"/>
    </row>
    <row r="2220" spans="1:61" customFormat="1" ht="15.75" x14ac:dyDescent="0.25">
      <c r="A2220" s="276">
        <v>1</v>
      </c>
      <c r="B2220" s="240" t="s">
        <v>291</v>
      </c>
      <c r="C2220" s="241"/>
      <c r="D2220" s="242" t="s">
        <v>300</v>
      </c>
      <c r="E2220" s="243">
        <v>18.95</v>
      </c>
      <c r="F2220" s="517" t="s">
        <v>293</v>
      </c>
      <c r="G2220" s="232">
        <v>0</v>
      </c>
      <c r="H2220" s="661" t="str">
        <f>IF(G2220=0,"",IF(F2220="Buy",IF(G2220=1,"plant","plants"),IF(F2220&gt;0.01,"warranty","Error")))</f>
        <v/>
      </c>
      <c r="I2220" s="244">
        <f>IF(H2220="free",0,IF(H2220="credit",((E2220*(F2220))*G2220*-1),IF(F2220="Buy",(E2220*G2220),((E2220*(1-F2220))*G2220))))</f>
        <v>0</v>
      </c>
      <c r="J2220" s="244">
        <f>IF(H2220="warranty",0,(I2220*(_xlfn.SINGLE(SalesTaxPercentage))))</f>
        <v>0</v>
      </c>
      <c r="K2220" s="696">
        <f t="shared" ref="K2220" si="1736">I2220+J2220</f>
        <v>0</v>
      </c>
      <c r="L2220" s="696"/>
      <c r="M2220" s="659" t="str">
        <f>IF(AND(G2220&gt;0,E2220=0),"WARNING - no PRICE inserted",IF(H2220="free"," FREE ~ no charge this plant",IF(H2220="credit",CONCATENATE(" -$",ROUND(K2220*(1-T2GDiscount)*-1,2)," CREDIT after discount"),IF(T2GDiscount=0,"",IF(G2220=0,"",IF(F2220="Buy",CONCATENATE(" $",ROUND(K2220*(1-T2GDiscount),2)," with ",(T2GDiscount*100),"% discount"),CONCATENATE(" $",ROUND(K2220*(1-T2GDiscount),2)," with ",((T2GDiscount*100+F2220*100)-(T2GDiscount*100*F2220)),IF(F2220&gt;0,"% discounts",IF(NoWarrantyDiscount&gt;0,"% discounts","% discount")))))))))</f>
        <v/>
      </c>
      <c r="N2220" s="660"/>
      <c r="O2220" s="233"/>
      <c r="P2220" s="233"/>
      <c r="Q2220" s="233"/>
      <c r="R2220" s="233"/>
      <c r="S2220" s="233"/>
      <c r="T2220" s="508">
        <f t="shared" si="1698"/>
        <v>0</v>
      </c>
      <c r="U2220" s="225">
        <f>IF(NOT(ISNUMBER(G2220)), "", VLOOKUP(A2220,'Discount Lookup'!D:E,2,FALSE)*G2220)</f>
        <v>0</v>
      </c>
      <c r="V2220" s="225">
        <f>IF(NOT(ISNUMBER(G2220)), "", VLOOKUP(A2220,'Discount Lookup'!G:H,2,FALSE)*G2220)</f>
        <v>0</v>
      </c>
      <c r="W2220" s="508">
        <f t="shared" si="1699"/>
        <v>0</v>
      </c>
      <c r="X2220" s="508">
        <f t="shared" si="1700"/>
        <v>0</v>
      </c>
      <c r="Y2220" s="509" t="b">
        <f t="shared" si="1701"/>
        <v>0</v>
      </c>
      <c r="Z2220" s="510">
        <f t="shared" si="1702"/>
        <v>0</v>
      </c>
      <c r="AA2220" s="511"/>
      <c r="AB2220" s="511" t="str">
        <f t="shared" si="1703"/>
        <v/>
      </c>
      <c r="AC2220" s="698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698"/>
      <c r="AE2220" s="631" t="str">
        <f t="shared" si="1704"/>
        <v/>
      </c>
      <c r="AF2220" s="699" t="str">
        <f t="shared" si="1705"/>
        <v/>
      </c>
      <c r="AG2220" s="699"/>
      <c r="AH2220" s="699"/>
      <c r="AI2220" s="512">
        <f>IF(H2220="credit",0,IF(AE2220="free",0,IF(AE2220="me",0,IF(G2220&gt;0,(VLOOKUP(A2220,'Discount Lookup'!J:K,2)*G2220),0))))</f>
        <v>0</v>
      </c>
      <c r="AJ2220" s="513" t="str">
        <f t="shared" ca="1" si="1706"/>
        <v/>
      </c>
      <c r="AK2220" s="700" t="str">
        <f t="shared" si="1707"/>
        <v/>
      </c>
      <c r="AL2220" s="700"/>
      <c r="AM2220" s="505" t="str">
        <f t="shared" si="1708"/>
        <v/>
      </c>
      <c r="AN2220" s="506"/>
      <c r="AO2220" s="507"/>
      <c r="AP2220" s="507"/>
      <c r="AQ2220" s="507"/>
      <c r="AR2220" s="507"/>
      <c r="AS2220" s="507"/>
      <c r="AT2220" s="507"/>
      <c r="AU2220" s="507"/>
      <c r="AV2220" s="225"/>
      <c r="AW2220" s="508"/>
      <c r="AX2220" s="225"/>
      <c r="AY2220" s="225"/>
      <c r="AZ2220" s="225"/>
      <c r="BA2220" s="225"/>
      <c r="BB2220" s="225"/>
      <c r="BC2220" s="56"/>
      <c r="BD2220" s="56"/>
      <c r="BE2220" s="56"/>
      <c r="BF2220" s="107" t="str">
        <f t="shared" si="1709"/>
        <v>https://www.google.com/search?tbm=isch&amp;q=1%20G6</v>
      </c>
      <c r="BG2220" s="107" t="str">
        <f t="shared" si="1710"/>
        <v>L</v>
      </c>
      <c r="BH2220" s="254"/>
      <c r="BI2220" s="254"/>
    </row>
    <row r="2221" spans="1:61" customFormat="1" ht="17.25" thickBot="1" x14ac:dyDescent="0.3">
      <c r="A2221" s="524" t="s">
        <v>3079</v>
      </c>
      <c r="B2221" s="245"/>
      <c r="C2221" s="677"/>
      <c r="D2221" s="499"/>
      <c r="E2221" s="499"/>
      <c r="F2221" s="500"/>
      <c r="G2221" s="501"/>
      <c r="H2221" s="502"/>
      <c r="I2221" s="246"/>
      <c r="J2221" s="247"/>
      <c r="K2221" s="503"/>
      <c r="L2221" s="544"/>
      <c r="M2221" s="544"/>
      <c r="N2221" s="500"/>
      <c r="O2221" s="500"/>
      <c r="P2221" s="500"/>
      <c r="Q2221" s="500"/>
      <c r="R2221" s="500"/>
      <c r="S2221" s="669" t="s">
        <v>5008</v>
      </c>
      <c r="T2221" s="508">
        <f t="shared" si="1698"/>
        <v>0</v>
      </c>
      <c r="U2221" s="225" t="str">
        <f>IF(NOT(ISNUMBER(G2221)), "", VLOOKUP(A2221,'Discount Lookup'!D:E,2,FALSE)*G2221)</f>
        <v/>
      </c>
      <c r="V2221" s="225" t="str">
        <f>IF(NOT(ISNUMBER(G2221)), "", VLOOKUP(A2221,'Discount Lookup'!G:H,2,FALSE)*G2221)</f>
        <v/>
      </c>
      <c r="W2221" s="508">
        <f t="shared" si="1699"/>
        <v>0</v>
      </c>
      <c r="X2221" s="508">
        <f t="shared" si="1700"/>
        <v>0</v>
      </c>
      <c r="Y2221" s="509" t="b">
        <f t="shared" si="1701"/>
        <v>0</v>
      </c>
      <c r="Z2221" s="510">
        <f t="shared" si="1702"/>
        <v>0</v>
      </c>
      <c r="AA2221" s="511"/>
      <c r="AB2221" s="511" t="str">
        <f t="shared" si="1703"/>
        <v/>
      </c>
      <c r="AC2221" s="698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698"/>
      <c r="AE2221" s="631" t="str">
        <f t="shared" si="1704"/>
        <v/>
      </c>
      <c r="AF2221" s="699" t="str">
        <f t="shared" si="1705"/>
        <v/>
      </c>
      <c r="AG2221" s="699"/>
      <c r="AH2221" s="699"/>
      <c r="AI2221" s="512">
        <f>IF(H2221="credit",0,IF(AE2221="free",0,IF(AE2221="me",0,IF(G2221&gt;0,(VLOOKUP(A2221,'Discount Lookup'!J:K,2)*G2221),0))))</f>
        <v>0</v>
      </c>
      <c r="AJ2221" s="513" t="str">
        <f t="shared" ca="1" si="1706"/>
        <v/>
      </c>
      <c r="AK2221" s="700" t="str">
        <f t="shared" si="1707"/>
        <v/>
      </c>
      <c r="AL2221" s="700"/>
      <c r="AM2221" s="505" t="str">
        <f t="shared" si="1708"/>
        <v/>
      </c>
      <c r="AN2221" s="506"/>
      <c r="AO2221" s="507"/>
      <c r="AP2221" s="507"/>
      <c r="AQ2221" s="507"/>
      <c r="AR2221" s="507"/>
      <c r="AS2221" s="507"/>
      <c r="AT2221" s="507"/>
      <c r="AU2221" s="507"/>
      <c r="AV2221" s="225"/>
      <c r="AW2221" s="508"/>
      <c r="AX2221" s="225"/>
      <c r="AY2221" s="225"/>
      <c r="AZ2221" s="225"/>
      <c r="BA2221" s="225"/>
      <c r="BB2221" s="225"/>
      <c r="BC2221" s="56"/>
      <c r="BD2221" s="56"/>
      <c r="BE2221" s="56"/>
      <c r="BF2221" s="107" t="str">
        <f t="shared" si="1709"/>
        <v>https://www.google.com/search?tbm=isch&amp;q=Little%20Bluestem%20has%20Silvery-White%20fluffy%20seedheads%20that%20persist.%20Coppery-Red%20fall%20color%20gives%20way%20to%20Tan%20stems%20</v>
      </c>
      <c r="BG2221" s="107" t="str">
        <f t="shared" si="1710"/>
        <v>L</v>
      </c>
      <c r="BH2221" s="254"/>
      <c r="BI2221" s="254"/>
    </row>
    <row r="2222" spans="1:61" customFormat="1" ht="18" x14ac:dyDescent="0.25">
      <c r="A2222" s="523" t="s">
        <v>3027</v>
      </c>
      <c r="B2222" s="235"/>
      <c r="C2222" s="676"/>
      <c r="D2222" s="255" t="s">
        <v>1264</v>
      </c>
      <c r="E2222" s="236"/>
      <c r="F2222" s="236"/>
      <c r="G2222" s="236"/>
      <c r="H2222" s="582" t="s">
        <v>4248</v>
      </c>
      <c r="I2222" s="498" t="s">
        <v>3021</v>
      </c>
      <c r="J2222" s="237"/>
      <c r="K2222" s="237"/>
      <c r="L2222" s="274"/>
      <c r="M2222" s="668" t="s">
        <v>4962</v>
      </c>
      <c r="N2222" s="681" t="str">
        <f>IF(AND(ISTEXT($A2222), ISERROR($A2222+0)), HYPERLINK($BF2222, "Images"), "")</f>
        <v>Images</v>
      </c>
      <c r="O2222" s="663" t="s">
        <v>4969</v>
      </c>
      <c r="P2222" s="253"/>
      <c r="Q2222" s="238"/>
      <c r="R2222" s="239"/>
      <c r="S2222" s="275"/>
      <c r="T2222" s="508">
        <f t="shared" si="1698"/>
        <v>0</v>
      </c>
      <c r="U2222" s="225" t="str">
        <f>IF(NOT(ISNUMBER(G2222)), "", VLOOKUP(A2222,'Discount Lookup'!D:E,2,FALSE)*G2222)</f>
        <v/>
      </c>
      <c r="V2222" s="225" t="str">
        <f>IF(NOT(ISNUMBER(G2222)), "", VLOOKUP(A2222,'Discount Lookup'!G:H,2,FALSE)*G2222)</f>
        <v/>
      </c>
      <c r="W2222" s="508">
        <f t="shared" si="1699"/>
        <v>0</v>
      </c>
      <c r="X2222" s="508" t="str">
        <f t="shared" si="1700"/>
        <v>Green blades</v>
      </c>
      <c r="Y2222" s="509" t="b">
        <f t="shared" si="1701"/>
        <v>0</v>
      </c>
      <c r="Z2222" s="510">
        <f t="shared" si="1702"/>
        <v>0</v>
      </c>
      <c r="AA2222" s="511"/>
      <c r="AB2222" s="511" t="str">
        <f t="shared" si="1703"/>
        <v/>
      </c>
      <c r="AC2222" s="698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698"/>
      <c r="AE2222" s="631" t="str">
        <f t="shared" si="1704"/>
        <v/>
      </c>
      <c r="AF2222" s="699" t="str">
        <f t="shared" si="1705"/>
        <v/>
      </c>
      <c r="AG2222" s="699"/>
      <c r="AH2222" s="699"/>
      <c r="AI2222" s="512">
        <f>IF(H2222="credit",0,IF(AE2222="free",0,IF(AE2222="me",0,IF(G2222&gt;0,(VLOOKUP(A2222,'Discount Lookup'!J:K,2)*G2222),0))))</f>
        <v>0</v>
      </c>
      <c r="AJ2222" s="513" t="str">
        <f t="shared" ca="1" si="1706"/>
        <v/>
      </c>
      <c r="AK2222" s="700" t="str">
        <f t="shared" si="1707"/>
        <v/>
      </c>
      <c r="AL2222" s="700"/>
      <c r="AM2222" s="505" t="str">
        <f t="shared" si="1708"/>
        <v/>
      </c>
      <c r="AN2222" s="506"/>
      <c r="AO2222" s="507"/>
      <c r="AP2222" s="507"/>
      <c r="AQ2222" s="507"/>
      <c r="AR2222" s="507"/>
      <c r="AS2222" s="507"/>
      <c r="AT2222" s="507"/>
      <c r="AU2222" s="507"/>
      <c r="AV2222" s="225"/>
      <c r="AW2222" s="508"/>
      <c r="AX2222" s="225"/>
      <c r="AY2222" s="225"/>
      <c r="AZ2222" s="225"/>
      <c r="BA2222" s="225"/>
      <c r="BB2222" s="225"/>
      <c r="BC2222" s="56"/>
      <c r="BD2222" s="56"/>
      <c r="BE2222" s="56"/>
      <c r="BF2222" s="107" t="str">
        <f t="shared" si="1709"/>
        <v>https://www.google.com/search?tbm=isch&amp;q=Little%20Bunny%20Fountain%20Grass%20Pennisetum%20alopecuroides%20%27Little%20Bunny%27</v>
      </c>
      <c r="BG2222" s="107" t="str">
        <f t="shared" si="1710"/>
        <v>L</v>
      </c>
      <c r="BH2222" s="254"/>
      <c r="BI2222" s="254"/>
    </row>
    <row r="2223" spans="1:61" customFormat="1" ht="15.75" x14ac:dyDescent="0.25">
      <c r="A2223" s="276">
        <v>1</v>
      </c>
      <c r="B2223" s="240" t="s">
        <v>291</v>
      </c>
      <c r="C2223" s="241"/>
      <c r="D2223" s="242" t="s">
        <v>312</v>
      </c>
      <c r="E2223" s="243">
        <v>13.95</v>
      </c>
      <c r="F2223" s="517" t="s">
        <v>293</v>
      </c>
      <c r="G2223" s="232">
        <v>0</v>
      </c>
      <c r="H2223" s="661" t="str">
        <f>IF(G2223=0,"",IF(F2223="Buy",IF(G2223=1,"plant","plants"),IF(F2223&gt;0.01,"warranty","Error")))</f>
        <v/>
      </c>
      <c r="I2223" s="244">
        <f>IF(H2223="free",0,IF(H2223="credit",((E2223*(F2223))*G2223*-1),IF(F2223="Buy",(E2223*G2223),((E2223*(1-F2223))*G2223))))</f>
        <v>0</v>
      </c>
      <c r="J2223" s="244">
        <f>IF(H2223="warranty",0,(I2223*(_xlfn.SINGLE(SalesTaxPercentage))))</f>
        <v>0</v>
      </c>
      <c r="K2223" s="696">
        <f t="shared" ref="K2223" si="1737">I2223+J2223</f>
        <v>0</v>
      </c>
      <c r="L2223" s="696"/>
      <c r="M2223" s="659" t="str">
        <f>IF(AND(G2223&gt;0,E2223=0),"WARNING - no PRICE inserted",IF(H2223="free"," FREE ~ no charge this plant",IF(H2223="credit",CONCATENATE(" -$",ROUND(K2223*(1-T2GDiscount)*-1,2)," CREDIT after discount"),IF(T2GDiscount=0,"",IF(G2223=0,"",IF(F2223="Buy",CONCATENATE(" $",ROUND(K2223*(1-T2GDiscount),2)," with ",(T2GDiscount*100),"% discount"),CONCATENATE(" $",ROUND(K2223*(1-T2GDiscount),2)," with ",((T2GDiscount*100+F2223*100)-(T2GDiscount*100*F2223)),IF(F2223&gt;0,"% discounts",IF(NoWarrantyDiscount&gt;0,"% discounts","% discount")))))))))</f>
        <v/>
      </c>
      <c r="N2223" s="660"/>
      <c r="O2223" s="233"/>
      <c r="P2223" s="233"/>
      <c r="Q2223" s="233"/>
      <c r="R2223" s="233"/>
      <c r="S2223" s="233"/>
      <c r="T2223" s="508">
        <f t="shared" si="1698"/>
        <v>0</v>
      </c>
      <c r="U2223" s="225">
        <f>IF(NOT(ISNUMBER(G2223)), "", VLOOKUP(A2223,'Discount Lookup'!D:E,2,FALSE)*G2223)</f>
        <v>0</v>
      </c>
      <c r="V2223" s="225">
        <f>IF(NOT(ISNUMBER(G2223)), "", VLOOKUP(A2223,'Discount Lookup'!G:H,2,FALSE)*G2223)</f>
        <v>0</v>
      </c>
      <c r="W2223" s="508">
        <f t="shared" si="1699"/>
        <v>0</v>
      </c>
      <c r="X2223" s="508">
        <f t="shared" si="1700"/>
        <v>0</v>
      </c>
      <c r="Y2223" s="509" t="b">
        <f t="shared" si="1701"/>
        <v>0</v>
      </c>
      <c r="Z2223" s="510">
        <f t="shared" si="1702"/>
        <v>0</v>
      </c>
      <c r="AA2223" s="511"/>
      <c r="AB2223" s="511" t="str">
        <f t="shared" si="1703"/>
        <v/>
      </c>
      <c r="AC2223" s="698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698"/>
      <c r="AE2223" s="631" t="str">
        <f t="shared" si="1704"/>
        <v/>
      </c>
      <c r="AF2223" s="699" t="str">
        <f t="shared" si="1705"/>
        <v/>
      </c>
      <c r="AG2223" s="699"/>
      <c r="AH2223" s="699"/>
      <c r="AI2223" s="512">
        <f>IF(H2223="credit",0,IF(AE2223="free",0,IF(AE2223="me",0,IF(G2223&gt;0,(VLOOKUP(A2223,'Discount Lookup'!J:K,2)*G2223),0))))</f>
        <v>0</v>
      </c>
      <c r="AJ2223" s="513" t="str">
        <f t="shared" ca="1" si="1706"/>
        <v/>
      </c>
      <c r="AK2223" s="700" t="str">
        <f t="shared" si="1707"/>
        <v/>
      </c>
      <c r="AL2223" s="700"/>
      <c r="AM2223" s="505" t="str">
        <f t="shared" si="1708"/>
        <v/>
      </c>
      <c r="AN2223" s="506"/>
      <c r="AO2223" s="507"/>
      <c r="AP2223" s="507"/>
      <c r="AQ2223" s="507"/>
      <c r="AR2223" s="507"/>
      <c r="AS2223" s="507"/>
      <c r="AT2223" s="507"/>
      <c r="AU2223" s="507"/>
      <c r="AV2223" s="225"/>
      <c r="AW2223" s="508"/>
      <c r="AX2223" s="225"/>
      <c r="AY2223" s="225"/>
      <c r="AZ2223" s="225"/>
      <c r="BA2223" s="225"/>
      <c r="BB2223" s="225"/>
      <c r="BC2223" s="56"/>
      <c r="BD2223" s="56"/>
      <c r="BE2223" s="56"/>
      <c r="BF2223" s="107" t="str">
        <f t="shared" si="1709"/>
        <v>https://www.google.com/search?tbm=isch&amp;q=1%20G2</v>
      </c>
      <c r="BG2223" s="107" t="str">
        <f t="shared" si="1710"/>
        <v>L</v>
      </c>
      <c r="BH2223" s="254"/>
      <c r="BI2223" s="254"/>
    </row>
    <row r="2224" spans="1:61" customFormat="1" ht="15.75" x14ac:dyDescent="0.25">
      <c r="A2224" s="276">
        <v>3</v>
      </c>
      <c r="B2224" s="240" t="s">
        <v>291</v>
      </c>
      <c r="C2224" s="241"/>
      <c r="D2224" s="242" t="s">
        <v>298</v>
      </c>
      <c r="E2224" s="243">
        <v>25.95</v>
      </c>
      <c r="F2224" s="517" t="s">
        <v>293</v>
      </c>
      <c r="G2224" s="232">
        <v>0</v>
      </c>
      <c r="H2224" s="661" t="str">
        <f>IF(G2224=0,"",IF(F2224="Buy",IF(G2224=1,"plant","plants"),IF(F2224&gt;0.01,"warranty","Error")))</f>
        <v/>
      </c>
      <c r="I2224" s="244">
        <f>IF(H2224="free",0,IF(H2224="credit",((E2224*(F2224))*G2224*-1),IF(F2224="Buy",(E2224*G2224),((E2224*(1-F2224))*G2224))))</f>
        <v>0</v>
      </c>
      <c r="J2224" s="244">
        <f>IF(H2224="warranty",0,(I2224*(_xlfn.SINGLE(SalesTaxPercentage))))</f>
        <v>0</v>
      </c>
      <c r="K2224" s="696">
        <f t="shared" ref="K2224" si="1738">I2224+J2224</f>
        <v>0</v>
      </c>
      <c r="L2224" s="696"/>
      <c r="M2224" s="659" t="str">
        <f>IF(AND(G2224&gt;0,E2224=0),"WARNING - no PRICE inserted",IF(H2224="free"," FREE ~ no charge this plant",IF(H2224="credit",CONCATENATE(" -$",ROUND(K2224*(1-T2GDiscount)*-1,2)," CREDIT after discount"),IF(T2GDiscount=0,"",IF(G2224=0,"",IF(F2224="Buy",CONCATENATE(" $",ROUND(K2224*(1-T2GDiscount),2)," with ",(T2GDiscount*100),"% discount"),CONCATENATE(" $",ROUND(K2224*(1-T2GDiscount),2)," with ",((T2GDiscount*100+F2224*100)-(T2GDiscount*100*F2224)),IF(F2224&gt;0,"% discounts",IF(NoWarrantyDiscount&gt;0,"% discounts","% discount")))))))))</f>
        <v/>
      </c>
      <c r="N2224" s="660"/>
      <c r="O2224" s="233"/>
      <c r="P2224" s="233"/>
      <c r="Q2224" s="233"/>
      <c r="R2224" s="233"/>
      <c r="S2224" s="233"/>
      <c r="T2224" s="508">
        <f t="shared" si="1698"/>
        <v>0</v>
      </c>
      <c r="U2224" s="225">
        <f>IF(NOT(ISNUMBER(G2224)), "", VLOOKUP(A2224,'Discount Lookup'!D:E,2,FALSE)*G2224)</f>
        <v>0</v>
      </c>
      <c r="V2224" s="225">
        <f>IF(NOT(ISNUMBER(G2224)), "", VLOOKUP(A2224,'Discount Lookup'!G:H,2,FALSE)*G2224)</f>
        <v>0</v>
      </c>
      <c r="W2224" s="508">
        <f t="shared" si="1699"/>
        <v>0</v>
      </c>
      <c r="X2224" s="508">
        <f t="shared" si="1700"/>
        <v>0</v>
      </c>
      <c r="Y2224" s="509" t="b">
        <f t="shared" si="1701"/>
        <v>0</v>
      </c>
      <c r="Z2224" s="510">
        <f t="shared" si="1702"/>
        <v>0</v>
      </c>
      <c r="AA2224" s="511"/>
      <c r="AB2224" s="511" t="str">
        <f t="shared" si="1703"/>
        <v/>
      </c>
      <c r="AC2224" s="698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698"/>
      <c r="AE2224" s="631" t="str">
        <f t="shared" si="1704"/>
        <v/>
      </c>
      <c r="AF2224" s="699" t="str">
        <f t="shared" si="1705"/>
        <v/>
      </c>
      <c r="AG2224" s="699"/>
      <c r="AH2224" s="699"/>
      <c r="AI2224" s="512">
        <f>IF(H2224="credit",0,IF(AE2224="free",0,IF(AE2224="me",0,IF(G2224&gt;0,(VLOOKUP(A2224,'Discount Lookup'!J:K,2)*G2224),0))))</f>
        <v>0</v>
      </c>
      <c r="AJ2224" s="513" t="str">
        <f t="shared" ca="1" si="1706"/>
        <v/>
      </c>
      <c r="AK2224" s="700" t="str">
        <f t="shared" si="1707"/>
        <v/>
      </c>
      <c r="AL2224" s="700"/>
      <c r="AM2224" s="505" t="str">
        <f t="shared" si="1708"/>
        <v/>
      </c>
      <c r="AN2224" s="506"/>
      <c r="AO2224" s="507"/>
      <c r="AP2224" s="507"/>
      <c r="AQ2224" s="507"/>
      <c r="AR2224" s="507"/>
      <c r="AS2224" s="507"/>
      <c r="AT2224" s="507"/>
      <c r="AU2224" s="507"/>
      <c r="AV2224" s="225"/>
      <c r="AW2224" s="508"/>
      <c r="AX2224" s="225"/>
      <c r="AY2224" s="225"/>
      <c r="AZ2224" s="225"/>
      <c r="BA2224" s="225"/>
      <c r="BB2224" s="225"/>
      <c r="BC2224" s="56"/>
      <c r="BD2224" s="56"/>
      <c r="BE2224" s="56"/>
      <c r="BF2224" s="107" t="str">
        <f t="shared" si="1709"/>
        <v>https://www.google.com/search?tbm=isch&amp;q=3%20G1</v>
      </c>
      <c r="BG2224" s="107" t="str">
        <f t="shared" si="1710"/>
        <v>L</v>
      </c>
      <c r="BH2224" s="254"/>
      <c r="BI2224" s="254"/>
    </row>
    <row r="2225" spans="1:61" customFormat="1" ht="17.25" thickBot="1" x14ac:dyDescent="0.3">
      <c r="A2225" s="524" t="s">
        <v>3080</v>
      </c>
      <c r="B2225" s="245"/>
      <c r="C2225" s="677"/>
      <c r="D2225" s="499"/>
      <c r="E2225" s="499"/>
      <c r="F2225" s="500"/>
      <c r="G2225" s="501"/>
      <c r="H2225" s="502"/>
      <c r="I2225" s="246"/>
      <c r="J2225" s="247"/>
      <c r="K2225" s="503"/>
      <c r="L2225" s="544"/>
      <c r="M2225" s="544"/>
      <c r="N2225" s="500"/>
      <c r="O2225" s="500"/>
      <c r="P2225" s="500"/>
      <c r="Q2225" s="500"/>
      <c r="R2225" s="500"/>
      <c r="S2225" s="669" t="s">
        <v>5003</v>
      </c>
      <c r="T2225" s="508">
        <f t="shared" si="1698"/>
        <v>0</v>
      </c>
      <c r="U2225" s="225" t="str">
        <f>IF(NOT(ISNUMBER(G2225)), "", VLOOKUP(A2225,'Discount Lookup'!D:E,2,FALSE)*G2225)</f>
        <v/>
      </c>
      <c r="V2225" s="225" t="str">
        <f>IF(NOT(ISNUMBER(G2225)), "", VLOOKUP(A2225,'Discount Lookup'!G:H,2,FALSE)*G2225)</f>
        <v/>
      </c>
      <c r="W2225" s="508">
        <f t="shared" si="1699"/>
        <v>0</v>
      </c>
      <c r="X2225" s="508">
        <f t="shared" si="1700"/>
        <v>0</v>
      </c>
      <c r="Y2225" s="509" t="b">
        <f t="shared" si="1701"/>
        <v>0</v>
      </c>
      <c r="Z2225" s="510">
        <f t="shared" si="1702"/>
        <v>0</v>
      </c>
      <c r="AA2225" s="511"/>
      <c r="AB2225" s="511" t="str">
        <f t="shared" si="1703"/>
        <v/>
      </c>
      <c r="AC2225" s="698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698"/>
      <c r="AE2225" s="631" t="str">
        <f t="shared" si="1704"/>
        <v/>
      </c>
      <c r="AF2225" s="699" t="str">
        <f t="shared" si="1705"/>
        <v/>
      </c>
      <c r="AG2225" s="699"/>
      <c r="AH2225" s="699"/>
      <c r="AI2225" s="512">
        <f>IF(H2225="credit",0,IF(AE2225="free",0,IF(AE2225="me",0,IF(G2225&gt;0,(VLOOKUP(A2225,'Discount Lookup'!J:K,2)*G2225),0))))</f>
        <v>0</v>
      </c>
      <c r="AJ2225" s="513" t="str">
        <f t="shared" ca="1" si="1706"/>
        <v/>
      </c>
      <c r="AK2225" s="700" t="str">
        <f t="shared" si="1707"/>
        <v/>
      </c>
      <c r="AL2225" s="700"/>
      <c r="AM2225" s="505" t="str">
        <f t="shared" si="1708"/>
        <v/>
      </c>
      <c r="AN2225" s="506"/>
      <c r="AO2225" s="507"/>
      <c r="AP2225" s="507"/>
      <c r="AQ2225" s="507"/>
      <c r="AR2225" s="507"/>
      <c r="AS2225" s="507"/>
      <c r="AT2225" s="507"/>
      <c r="AU2225" s="507"/>
      <c r="AV2225" s="225"/>
      <c r="AW2225" s="508"/>
      <c r="AX2225" s="225"/>
      <c r="AY2225" s="225"/>
      <c r="AZ2225" s="225"/>
      <c r="BA2225" s="225"/>
      <c r="BB2225" s="225"/>
      <c r="BC2225" s="56"/>
      <c r="BD2225" s="56"/>
      <c r="BE2225" s="56"/>
      <c r="BF2225" s="107" t="str">
        <f t="shared" si="1709"/>
        <v>https://www.google.com/search?tbm=isch&amp;q=Little%20Bunny%20has%20early%2C%20fluffy%2C%20Pale%20White%20to%20Tan%20bottlebrush-like%20plumes.%20Blades%20turn%20Yellow-Orange%2C%20then%20Tan-Beige%20in%20winter%20</v>
      </c>
      <c r="BG2225" s="107" t="str">
        <f t="shared" si="1710"/>
        <v>L</v>
      </c>
      <c r="BH2225" s="254"/>
      <c r="BI2225" s="254"/>
    </row>
    <row r="2226" spans="1:61" customFormat="1" ht="18" x14ac:dyDescent="0.25">
      <c r="A2226" s="521" t="s">
        <v>1265</v>
      </c>
      <c r="B2226" s="477"/>
      <c r="C2226" s="674"/>
      <c r="D2226" s="478" t="s">
        <v>1266</v>
      </c>
      <c r="E2226" s="479"/>
      <c r="F2226" s="479"/>
      <c r="G2226" s="479"/>
      <c r="H2226" s="582" t="s">
        <v>304</v>
      </c>
      <c r="I2226" s="480" t="s">
        <v>654</v>
      </c>
      <c r="J2226" s="479"/>
      <c r="K2226" s="479"/>
      <c r="L2226" s="560"/>
      <c r="M2226" s="666" t="s">
        <v>4966</v>
      </c>
      <c r="N2226" s="680" t="str">
        <f>IF(AND(ISTEXT($A2226), ISERROR($A2226+0)), HYPERLINK($BF2226, "Images"), "")</f>
        <v>Images</v>
      </c>
      <c r="O2226" s="662" t="s">
        <v>4967</v>
      </c>
      <c r="P2226" s="482"/>
      <c r="Q2226" s="483"/>
      <c r="R2226" s="483"/>
      <c r="S2226" s="484" t="s">
        <v>305</v>
      </c>
      <c r="T2226" s="508">
        <f t="shared" si="1698"/>
        <v>0</v>
      </c>
      <c r="U2226" s="225" t="str">
        <f>IF(NOT(ISNUMBER(G2226)), "", VLOOKUP(A2226,'Discount Lookup'!D:E,2,FALSE)*G2226)</f>
        <v/>
      </c>
      <c r="V2226" s="225" t="str">
        <f>IF(NOT(ISNUMBER(G2226)), "", VLOOKUP(A2226,'Discount Lookup'!G:H,2,FALSE)*G2226)</f>
        <v/>
      </c>
      <c r="W2226" s="508">
        <f t="shared" si="1699"/>
        <v>0</v>
      </c>
      <c r="X2226" s="508" t="str">
        <f t="shared" si="1700"/>
        <v>White bloom</v>
      </c>
      <c r="Y2226" s="509" t="b">
        <f t="shared" si="1701"/>
        <v>0</v>
      </c>
      <c r="Z2226" s="510">
        <f t="shared" si="1702"/>
        <v>0</v>
      </c>
      <c r="AA2226" s="511"/>
      <c r="AB2226" s="511" t="str">
        <f t="shared" si="1703"/>
        <v/>
      </c>
      <c r="AC2226" s="698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698"/>
      <c r="AE2226" s="631" t="str">
        <f t="shared" si="1704"/>
        <v/>
      </c>
      <c r="AF2226" s="699" t="str">
        <f t="shared" si="1705"/>
        <v/>
      </c>
      <c r="AG2226" s="699"/>
      <c r="AH2226" s="699"/>
      <c r="AI2226" s="512">
        <f>IF(H2226="credit",0,IF(AE2226="free",0,IF(AE2226="me",0,IF(G2226&gt;0,(VLOOKUP(A2226,'Discount Lookup'!J:K,2)*G2226),0))))</f>
        <v>0</v>
      </c>
      <c r="AJ2226" s="513" t="str">
        <f t="shared" ca="1" si="1706"/>
        <v/>
      </c>
      <c r="AK2226" s="700" t="str">
        <f t="shared" si="1707"/>
        <v/>
      </c>
      <c r="AL2226" s="700"/>
      <c r="AM2226" s="505" t="str">
        <f t="shared" si="1708"/>
        <v/>
      </c>
      <c r="AN2226" s="506"/>
      <c r="AO2226" s="507"/>
      <c r="AP2226" s="507"/>
      <c r="AQ2226" s="507"/>
      <c r="AR2226" s="507"/>
      <c r="AS2226" s="507"/>
      <c r="AT2226" s="507"/>
      <c r="AU2226" s="507"/>
      <c r="AV2226" s="225"/>
      <c r="AW2226" s="508"/>
      <c r="AX2226" s="225"/>
      <c r="AY2226" s="225"/>
      <c r="AZ2226" s="225"/>
      <c r="BA2226" s="225"/>
      <c r="BB2226" s="225"/>
      <c r="BC2226" s="56"/>
      <c r="BD2226" s="56"/>
      <c r="BE2226" s="56"/>
      <c r="BF2226" s="107" t="str">
        <f t="shared" si="1709"/>
        <v>https://www.google.com/search?tbm=isch&amp;q=Little%20Gem%20Magnolia%20Magnolia%20grandiflora%20%27Little%20Gem%27</v>
      </c>
      <c r="BG2226" s="107" t="str">
        <f t="shared" si="1710"/>
        <v>L</v>
      </c>
      <c r="BH2226" s="254"/>
      <c r="BI2226" s="254"/>
    </row>
    <row r="2227" spans="1:61" customFormat="1" ht="15.75" x14ac:dyDescent="0.25">
      <c r="A2227" s="485">
        <v>7</v>
      </c>
      <c r="B2227" s="486" t="s">
        <v>291</v>
      </c>
      <c r="C2227" s="487" t="s">
        <v>2763</v>
      </c>
      <c r="D2227" s="488" t="s">
        <v>299</v>
      </c>
      <c r="E2227" s="489">
        <v>91.95</v>
      </c>
      <c r="F2227" s="516" t="s">
        <v>293</v>
      </c>
      <c r="G2227" s="232">
        <v>0</v>
      </c>
      <c r="H2227" s="658" t="str">
        <f t="shared" ref="H2227:H2236" si="1739">IF(G2227=0,"",IF(F2227="Buy",IF(G2227=1,"plant","plants"),IF(F2227&gt;0.01,"warranty","Error")))</f>
        <v/>
      </c>
      <c r="I2227" s="490">
        <f t="shared" ref="I2227:I2236" si="1740">IF(H2227="free",0,IF(H2227="credit",((E2227*(F2227))*G2227*-1),IF(F2227="Buy",(E2227*G2227),((E2227*(1-F2227))*G2227))))</f>
        <v>0</v>
      </c>
      <c r="J2227" s="490">
        <f t="shared" ref="J2227:J2236" si="1741">IF(H2227="warranty",0,(I2227*(_xlfn.SINGLE(SalesTaxPercentage))))</f>
        <v>0</v>
      </c>
      <c r="K2227" s="695">
        <f t="shared" ref="K2227" si="1742">I2227+J2227</f>
        <v>0</v>
      </c>
      <c r="L2227" s="695"/>
      <c r="M2227" s="659" t="str">
        <f t="shared" ref="M2227:M2236" si="1743">IF(AND(G2227&gt;0,E2227=0),"WARNING - no PRICE inserted",IF(H2227="free"," FREE ~ no charge this plant",IF(H2227="credit",CONCATENATE(" -$",ROUND(K2227*(1-T2GDiscount)*-1,2)," CREDIT after discount"),IF(T2GDiscount=0,"",IF(G2227=0,"",IF(F2227="Buy",CONCATENATE(" $",ROUND(K2227*(1-T2GDiscount),2)," with ",(T2GDiscount*100),"% discount"),CONCATENATE(" $",ROUND(K2227*(1-T2GDiscount),2)," with ",((T2GDiscount*100+F2227*100)-(T2GDiscount*100*F2227)),IF(F2227&gt;0,"% discounts",IF(NoWarrantyDiscount&gt;0,"% discounts","% discount")))))))))</f>
        <v/>
      </c>
      <c r="N2227" s="660"/>
      <c r="O2227" s="233"/>
      <c r="P2227" s="233"/>
      <c r="Q2227" s="233"/>
      <c r="R2227" s="233"/>
      <c r="S2227" s="233"/>
      <c r="T2227" s="508">
        <f t="shared" si="1698"/>
        <v>0</v>
      </c>
      <c r="U2227" s="225">
        <f>IF(NOT(ISNUMBER(G2227)), "", VLOOKUP(A2227,'Discount Lookup'!D:E,2,FALSE)*G2227)</f>
        <v>0</v>
      </c>
      <c r="V2227" s="225">
        <f>IF(NOT(ISNUMBER(G2227)), "", VLOOKUP(A2227,'Discount Lookup'!G:H,2,FALSE)*G2227)</f>
        <v>0</v>
      </c>
      <c r="W2227" s="508">
        <f t="shared" si="1699"/>
        <v>0</v>
      </c>
      <c r="X2227" s="508">
        <f t="shared" si="1700"/>
        <v>0</v>
      </c>
      <c r="Y2227" s="509" t="b">
        <f t="shared" si="1701"/>
        <v>0</v>
      </c>
      <c r="Z2227" s="510">
        <f t="shared" si="1702"/>
        <v>0</v>
      </c>
      <c r="AA2227" s="511"/>
      <c r="AB2227" s="511" t="str">
        <f t="shared" si="1703"/>
        <v/>
      </c>
      <c r="AC2227" s="698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698"/>
      <c r="AE2227" s="631" t="str">
        <f t="shared" si="1704"/>
        <v/>
      </c>
      <c r="AF2227" s="699" t="str">
        <f t="shared" si="1705"/>
        <v/>
      </c>
      <c r="AG2227" s="699"/>
      <c r="AH2227" s="699"/>
      <c r="AI2227" s="512">
        <f>IF(H2227="credit",0,IF(AE2227="free",0,IF(AE2227="me",0,IF(G2227&gt;0,(VLOOKUP(A2227,'Discount Lookup'!J:K,2)*G2227),0))))</f>
        <v>0</v>
      </c>
      <c r="AJ2227" s="513" t="str">
        <f t="shared" ca="1" si="1706"/>
        <v/>
      </c>
      <c r="AK2227" s="700" t="str">
        <f t="shared" si="1707"/>
        <v/>
      </c>
      <c r="AL2227" s="700"/>
      <c r="AM2227" s="505" t="str">
        <f t="shared" si="1708"/>
        <v/>
      </c>
      <c r="AN2227" s="506"/>
      <c r="AO2227" s="507"/>
      <c r="AP2227" s="507"/>
      <c r="AQ2227" s="507"/>
      <c r="AR2227" s="507"/>
      <c r="AS2227" s="507"/>
      <c r="AT2227" s="507"/>
      <c r="AU2227" s="507"/>
      <c r="AV2227" s="225"/>
      <c r="AW2227" s="508"/>
      <c r="AX2227" s="225"/>
      <c r="AY2227" s="225"/>
      <c r="AZ2227" s="225"/>
      <c r="BA2227" s="225"/>
      <c r="BB2227" s="225"/>
      <c r="BC2227" s="56"/>
      <c r="BD2227" s="56"/>
      <c r="BE2227" s="56"/>
      <c r="BF2227" s="107" t="str">
        <f t="shared" si="1709"/>
        <v>https://www.google.com/search?tbm=isch&amp;q=7%20G5</v>
      </c>
      <c r="BG2227" s="107" t="str">
        <f t="shared" si="1710"/>
        <v>L</v>
      </c>
      <c r="BH2227" s="254"/>
      <c r="BI2227" s="254"/>
    </row>
    <row r="2228" spans="1:61" customFormat="1" ht="15.75" x14ac:dyDescent="0.25">
      <c r="A2228" s="485">
        <v>7</v>
      </c>
      <c r="B2228" s="486" t="s">
        <v>291</v>
      </c>
      <c r="C2228" s="487" t="s">
        <v>3615</v>
      </c>
      <c r="D2228" s="488" t="s">
        <v>292</v>
      </c>
      <c r="E2228" s="489">
        <v>102.95</v>
      </c>
      <c r="F2228" s="516" t="s">
        <v>293</v>
      </c>
      <c r="G2228" s="232">
        <v>0</v>
      </c>
      <c r="H2228" s="658" t="str">
        <f t="shared" si="1739"/>
        <v/>
      </c>
      <c r="I2228" s="490">
        <f t="shared" si="1740"/>
        <v>0</v>
      </c>
      <c r="J2228" s="490">
        <f t="shared" si="1741"/>
        <v>0</v>
      </c>
      <c r="K2228" s="695">
        <f t="shared" ref="K2228" si="1744">I2228+J2228</f>
        <v>0</v>
      </c>
      <c r="L2228" s="695"/>
      <c r="M2228" s="659" t="str">
        <f t="shared" si="1743"/>
        <v/>
      </c>
      <c r="N2228" s="660"/>
      <c r="O2228" s="233"/>
      <c r="P2228" s="233"/>
      <c r="Q2228" s="233"/>
      <c r="R2228" s="233"/>
      <c r="S2228" s="233"/>
      <c r="T2228" s="508">
        <f t="shared" si="1698"/>
        <v>0</v>
      </c>
      <c r="U2228" s="225">
        <f>IF(NOT(ISNUMBER(G2228)), "", VLOOKUP(A2228,'Discount Lookup'!D:E,2,FALSE)*G2228)</f>
        <v>0</v>
      </c>
      <c r="V2228" s="225">
        <f>IF(NOT(ISNUMBER(G2228)), "", VLOOKUP(A2228,'Discount Lookup'!G:H,2,FALSE)*G2228)</f>
        <v>0</v>
      </c>
      <c r="W2228" s="508">
        <f t="shared" si="1699"/>
        <v>0</v>
      </c>
      <c r="X2228" s="508">
        <f t="shared" si="1700"/>
        <v>0</v>
      </c>
      <c r="Y2228" s="509" t="b">
        <f t="shared" si="1701"/>
        <v>0</v>
      </c>
      <c r="Z2228" s="510">
        <f t="shared" si="1702"/>
        <v>0</v>
      </c>
      <c r="AA2228" s="511"/>
      <c r="AB2228" s="511" t="str">
        <f t="shared" si="1703"/>
        <v/>
      </c>
      <c r="AC2228" s="698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698"/>
      <c r="AE2228" s="631" t="str">
        <f t="shared" si="1704"/>
        <v/>
      </c>
      <c r="AF2228" s="699" t="str">
        <f t="shared" si="1705"/>
        <v/>
      </c>
      <c r="AG2228" s="699"/>
      <c r="AH2228" s="699"/>
      <c r="AI2228" s="512">
        <f>IF(H2228="credit",0,IF(AE2228="free",0,IF(AE2228="me",0,IF(G2228&gt;0,(VLOOKUP(A2228,'Discount Lookup'!J:K,2)*G2228),0))))</f>
        <v>0</v>
      </c>
      <c r="AJ2228" s="513" t="str">
        <f t="shared" ca="1" si="1706"/>
        <v/>
      </c>
      <c r="AK2228" s="700" t="str">
        <f t="shared" si="1707"/>
        <v/>
      </c>
      <c r="AL2228" s="700"/>
      <c r="AM2228" s="505" t="str">
        <f t="shared" si="1708"/>
        <v/>
      </c>
      <c r="AN2228" s="506"/>
      <c r="AO2228" s="507"/>
      <c r="AP2228" s="507"/>
      <c r="AQ2228" s="507"/>
      <c r="AR2228" s="507"/>
      <c r="AS2228" s="507"/>
      <c r="AT2228" s="507"/>
      <c r="AU2228" s="507"/>
      <c r="AV2228" s="225"/>
      <c r="AW2228" s="508"/>
      <c r="AX2228" s="225"/>
      <c r="AY2228" s="225"/>
      <c r="AZ2228" s="225"/>
      <c r="BA2228" s="225"/>
      <c r="BB2228" s="225"/>
      <c r="BC2228" s="56"/>
      <c r="BD2228" s="56"/>
      <c r="BE2228" s="56"/>
      <c r="BF2228" s="107" t="str">
        <f t="shared" si="1709"/>
        <v>https://www.google.com/search?tbm=isch&amp;q=7%20G4</v>
      </c>
      <c r="BG2228" s="107" t="str">
        <f t="shared" si="1710"/>
        <v>L</v>
      </c>
      <c r="BH2228" s="254"/>
      <c r="BI2228" s="254"/>
    </row>
    <row r="2229" spans="1:61" customFormat="1" ht="15.75" x14ac:dyDescent="0.25">
      <c r="A2229" s="485">
        <v>15</v>
      </c>
      <c r="B2229" s="486" t="s">
        <v>291</v>
      </c>
      <c r="C2229" s="487" t="s">
        <v>3452</v>
      </c>
      <c r="D2229" s="488" t="s">
        <v>292</v>
      </c>
      <c r="E2229" s="489">
        <v>183.95</v>
      </c>
      <c r="F2229" s="516" t="s">
        <v>293</v>
      </c>
      <c r="G2229" s="232">
        <v>0</v>
      </c>
      <c r="H2229" s="658" t="str">
        <f t="shared" si="1739"/>
        <v/>
      </c>
      <c r="I2229" s="490">
        <f t="shared" si="1740"/>
        <v>0</v>
      </c>
      <c r="J2229" s="490">
        <f t="shared" si="1741"/>
        <v>0</v>
      </c>
      <c r="K2229" s="695">
        <f t="shared" ref="K2229" si="1745">I2229+J2229</f>
        <v>0</v>
      </c>
      <c r="L2229" s="695"/>
      <c r="M2229" s="659" t="str">
        <f t="shared" si="1743"/>
        <v/>
      </c>
      <c r="N2229" s="660"/>
      <c r="O2229" s="233"/>
      <c r="P2229" s="233"/>
      <c r="Q2229" s="233"/>
      <c r="R2229" s="233"/>
      <c r="S2229" s="233"/>
      <c r="T2229" s="508">
        <f t="shared" si="1698"/>
        <v>0</v>
      </c>
      <c r="U2229" s="225">
        <f>IF(NOT(ISNUMBER(G2229)), "", VLOOKUP(A2229,'Discount Lookup'!D:E,2,FALSE)*G2229)</f>
        <v>0</v>
      </c>
      <c r="V2229" s="225">
        <f>IF(NOT(ISNUMBER(G2229)), "", VLOOKUP(A2229,'Discount Lookup'!G:H,2,FALSE)*G2229)</f>
        <v>0</v>
      </c>
      <c r="W2229" s="508">
        <f t="shared" si="1699"/>
        <v>0</v>
      </c>
      <c r="X2229" s="508">
        <f t="shared" si="1700"/>
        <v>0</v>
      </c>
      <c r="Y2229" s="509" t="b">
        <f t="shared" si="1701"/>
        <v>0</v>
      </c>
      <c r="Z2229" s="510">
        <f t="shared" si="1702"/>
        <v>0</v>
      </c>
      <c r="AA2229" s="511"/>
      <c r="AB2229" s="511" t="str">
        <f t="shared" si="1703"/>
        <v/>
      </c>
      <c r="AC2229" s="698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698"/>
      <c r="AE2229" s="631" t="str">
        <f t="shared" si="1704"/>
        <v/>
      </c>
      <c r="AF2229" s="699" t="str">
        <f t="shared" si="1705"/>
        <v/>
      </c>
      <c r="AG2229" s="699"/>
      <c r="AH2229" s="699"/>
      <c r="AI2229" s="512">
        <f>IF(H2229="credit",0,IF(AE2229="free",0,IF(AE2229="me",0,IF(G2229&gt;0,(VLOOKUP(A2229,'Discount Lookup'!J:K,2)*G2229),0))))</f>
        <v>0</v>
      </c>
      <c r="AJ2229" s="513" t="str">
        <f t="shared" ca="1" si="1706"/>
        <v/>
      </c>
      <c r="AK2229" s="700" t="str">
        <f t="shared" si="1707"/>
        <v/>
      </c>
      <c r="AL2229" s="700"/>
      <c r="AM2229" s="505" t="str">
        <f t="shared" si="1708"/>
        <v/>
      </c>
      <c r="AN2229" s="506"/>
      <c r="AO2229" s="507"/>
      <c r="AP2229" s="507"/>
      <c r="AQ2229" s="507"/>
      <c r="AR2229" s="507"/>
      <c r="AS2229" s="507"/>
      <c r="AT2229" s="507"/>
      <c r="AU2229" s="507"/>
      <c r="AV2229" s="225"/>
      <c r="AW2229" s="508"/>
      <c r="AX2229" s="225"/>
      <c r="AY2229" s="225"/>
      <c r="AZ2229" s="225"/>
      <c r="BA2229" s="225"/>
      <c r="BB2229" s="225"/>
      <c r="BC2229" s="56"/>
      <c r="BD2229" s="56"/>
      <c r="BE2229" s="56"/>
      <c r="BF2229" s="107" t="str">
        <f t="shared" si="1709"/>
        <v>https://www.google.com/search?tbm=isch&amp;q=15%20G4</v>
      </c>
      <c r="BG2229" s="107" t="str">
        <f t="shared" si="1710"/>
        <v>L</v>
      </c>
      <c r="BH2229" s="254"/>
      <c r="BI2229" s="254"/>
    </row>
    <row r="2230" spans="1:61" customFormat="1" ht="27" x14ac:dyDescent="0.25">
      <c r="A2230" s="485">
        <v>30</v>
      </c>
      <c r="B2230" s="486" t="s">
        <v>291</v>
      </c>
      <c r="C2230" s="487" t="s">
        <v>2764</v>
      </c>
      <c r="D2230" s="488" t="s">
        <v>299</v>
      </c>
      <c r="E2230" s="489">
        <v>247.95</v>
      </c>
      <c r="F2230" s="516" t="s">
        <v>293</v>
      </c>
      <c r="G2230" s="232">
        <v>0</v>
      </c>
      <c r="H2230" s="658" t="str">
        <f t="shared" si="1739"/>
        <v/>
      </c>
      <c r="I2230" s="490">
        <f t="shared" si="1740"/>
        <v>0</v>
      </c>
      <c r="J2230" s="490">
        <f t="shared" si="1741"/>
        <v>0</v>
      </c>
      <c r="K2230" s="695">
        <f t="shared" ref="K2230" si="1746">I2230+J2230</f>
        <v>0</v>
      </c>
      <c r="L2230" s="695"/>
      <c r="M2230" s="659" t="str">
        <f t="shared" si="1743"/>
        <v/>
      </c>
      <c r="N2230" s="660"/>
      <c r="O2230" s="233"/>
      <c r="P2230" s="233"/>
      <c r="Q2230" s="233"/>
      <c r="R2230" s="233"/>
      <c r="S2230" s="233"/>
      <c r="T2230" s="508">
        <f t="shared" si="1698"/>
        <v>0</v>
      </c>
      <c r="U2230" s="225">
        <f>IF(NOT(ISNUMBER(G2230)), "", VLOOKUP(A2230,'Discount Lookup'!D:E,2,FALSE)*G2230)</f>
        <v>0</v>
      </c>
      <c r="V2230" s="225">
        <f>IF(NOT(ISNUMBER(G2230)), "", VLOOKUP(A2230,'Discount Lookup'!G:H,2,FALSE)*G2230)</f>
        <v>0</v>
      </c>
      <c r="W2230" s="508">
        <f t="shared" si="1699"/>
        <v>0</v>
      </c>
      <c r="X2230" s="508">
        <f t="shared" si="1700"/>
        <v>0</v>
      </c>
      <c r="Y2230" s="509" t="b">
        <f t="shared" si="1701"/>
        <v>0</v>
      </c>
      <c r="Z2230" s="510">
        <f t="shared" si="1702"/>
        <v>0</v>
      </c>
      <c r="AA2230" s="511"/>
      <c r="AB2230" s="511" t="str">
        <f t="shared" si="1703"/>
        <v/>
      </c>
      <c r="AC2230" s="698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698"/>
      <c r="AE2230" s="631" t="str">
        <f t="shared" si="1704"/>
        <v/>
      </c>
      <c r="AF2230" s="699" t="str">
        <f t="shared" si="1705"/>
        <v/>
      </c>
      <c r="AG2230" s="699"/>
      <c r="AH2230" s="699"/>
      <c r="AI2230" s="512">
        <f>IF(H2230="credit",0,IF(AE2230="free",0,IF(AE2230="me",0,IF(G2230&gt;0,(VLOOKUP(A2230,'Discount Lookup'!J:K,2)*G2230),0))))</f>
        <v>0</v>
      </c>
      <c r="AJ2230" s="513" t="str">
        <f t="shared" ca="1" si="1706"/>
        <v/>
      </c>
      <c r="AK2230" s="700" t="str">
        <f t="shared" si="1707"/>
        <v/>
      </c>
      <c r="AL2230" s="700"/>
      <c r="AM2230" s="505" t="str">
        <f t="shared" si="1708"/>
        <v/>
      </c>
      <c r="AN2230" s="506"/>
      <c r="AO2230" s="507"/>
      <c r="AP2230" s="507"/>
      <c r="AQ2230" s="507"/>
      <c r="AR2230" s="507"/>
      <c r="AS2230" s="507"/>
      <c r="AT2230" s="507"/>
      <c r="AU2230" s="507"/>
      <c r="AV2230" s="225"/>
      <c r="AW2230" s="508"/>
      <c r="AX2230" s="225"/>
      <c r="AY2230" s="225"/>
      <c r="AZ2230" s="225"/>
      <c r="BA2230" s="225"/>
      <c r="BB2230" s="225"/>
      <c r="BC2230" s="56"/>
      <c r="BD2230" s="56"/>
      <c r="BE2230" s="56"/>
      <c r="BF2230" s="107" t="str">
        <f t="shared" si="1709"/>
        <v>https://www.google.com/search?tbm=isch&amp;q=30%20G5</v>
      </c>
      <c r="BG2230" s="107" t="str">
        <f t="shared" si="1710"/>
        <v>L</v>
      </c>
      <c r="BH2230" s="254"/>
      <c r="BI2230" s="254"/>
    </row>
    <row r="2231" spans="1:61" customFormat="1" ht="27" x14ac:dyDescent="0.25">
      <c r="A2231" s="485">
        <v>15</v>
      </c>
      <c r="B2231" s="486" t="s">
        <v>291</v>
      </c>
      <c r="C2231" s="487" t="s">
        <v>3616</v>
      </c>
      <c r="D2231" s="488" t="s">
        <v>292</v>
      </c>
      <c r="E2231" s="489">
        <v>376.95</v>
      </c>
      <c r="F2231" s="516" t="s">
        <v>293</v>
      </c>
      <c r="G2231" s="232">
        <v>0</v>
      </c>
      <c r="H2231" s="658" t="str">
        <f t="shared" si="1739"/>
        <v/>
      </c>
      <c r="I2231" s="490">
        <f t="shared" si="1740"/>
        <v>0</v>
      </c>
      <c r="J2231" s="490">
        <f t="shared" si="1741"/>
        <v>0</v>
      </c>
      <c r="K2231" s="695">
        <f t="shared" ref="K2231" si="1747">I2231+J2231</f>
        <v>0</v>
      </c>
      <c r="L2231" s="695"/>
      <c r="M2231" s="659" t="str">
        <f t="shared" si="1743"/>
        <v/>
      </c>
      <c r="N2231" s="660"/>
      <c r="O2231" s="233"/>
      <c r="P2231" s="233"/>
      <c r="Q2231" s="233"/>
      <c r="R2231" s="233"/>
      <c r="S2231" s="233"/>
      <c r="T2231" s="508">
        <f t="shared" si="1698"/>
        <v>0</v>
      </c>
      <c r="U2231" s="225">
        <f>IF(NOT(ISNUMBER(G2231)), "", VLOOKUP(A2231,'Discount Lookup'!D:E,2,FALSE)*G2231)</f>
        <v>0</v>
      </c>
      <c r="V2231" s="225">
        <f>IF(NOT(ISNUMBER(G2231)), "", VLOOKUP(A2231,'Discount Lookup'!G:H,2,FALSE)*G2231)</f>
        <v>0</v>
      </c>
      <c r="W2231" s="508">
        <f t="shared" si="1699"/>
        <v>0</v>
      </c>
      <c r="X2231" s="508">
        <f t="shared" si="1700"/>
        <v>0</v>
      </c>
      <c r="Y2231" s="509" t="b">
        <f t="shared" si="1701"/>
        <v>0</v>
      </c>
      <c r="Z2231" s="510">
        <f t="shared" si="1702"/>
        <v>0</v>
      </c>
      <c r="AA2231" s="511"/>
      <c r="AB2231" s="511" t="str">
        <f t="shared" si="1703"/>
        <v/>
      </c>
      <c r="AC2231" s="698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698"/>
      <c r="AE2231" s="631" t="str">
        <f t="shared" si="1704"/>
        <v/>
      </c>
      <c r="AF2231" s="699" t="str">
        <f t="shared" si="1705"/>
        <v/>
      </c>
      <c r="AG2231" s="699"/>
      <c r="AH2231" s="699"/>
      <c r="AI2231" s="512">
        <f>IF(H2231="credit",0,IF(AE2231="free",0,IF(AE2231="me",0,IF(G2231&gt;0,(VLOOKUP(A2231,'Discount Lookup'!J:K,2)*G2231),0))))</f>
        <v>0</v>
      </c>
      <c r="AJ2231" s="513" t="str">
        <f t="shared" ca="1" si="1706"/>
        <v/>
      </c>
      <c r="AK2231" s="700" t="str">
        <f t="shared" si="1707"/>
        <v/>
      </c>
      <c r="AL2231" s="700"/>
      <c r="AM2231" s="505" t="str">
        <f t="shared" si="1708"/>
        <v/>
      </c>
      <c r="AN2231" s="506"/>
      <c r="AO2231" s="507"/>
      <c r="AP2231" s="507"/>
      <c r="AQ2231" s="507"/>
      <c r="AR2231" s="507"/>
      <c r="AS2231" s="507"/>
      <c r="AT2231" s="507"/>
      <c r="AU2231" s="507"/>
      <c r="AV2231" s="225"/>
      <c r="AW2231" s="508"/>
      <c r="AX2231" s="225"/>
      <c r="AY2231" s="225"/>
      <c r="AZ2231" s="225"/>
      <c r="BA2231" s="225"/>
      <c r="BB2231" s="225"/>
      <c r="BC2231" s="56"/>
      <c r="BD2231" s="56"/>
      <c r="BE2231" s="56"/>
      <c r="BF2231" s="107" t="str">
        <f t="shared" si="1709"/>
        <v>https://www.google.com/search?tbm=isch&amp;q=15%20G4</v>
      </c>
      <c r="BG2231" s="107" t="str">
        <f t="shared" si="1710"/>
        <v>L</v>
      </c>
      <c r="BH2231" s="254"/>
      <c r="BI2231" s="254"/>
    </row>
    <row r="2232" spans="1:61" customFormat="1" ht="15.75" x14ac:dyDescent="0.25">
      <c r="A2232" s="485">
        <v>25</v>
      </c>
      <c r="B2232" s="486" t="s">
        <v>291</v>
      </c>
      <c r="C2232" s="487" t="s">
        <v>3617</v>
      </c>
      <c r="D2232" s="488" t="s">
        <v>292</v>
      </c>
      <c r="E2232" s="489">
        <v>385.95</v>
      </c>
      <c r="F2232" s="516" t="s">
        <v>293</v>
      </c>
      <c r="G2232" s="232">
        <v>0</v>
      </c>
      <c r="H2232" s="658" t="str">
        <f t="shared" si="1739"/>
        <v/>
      </c>
      <c r="I2232" s="490">
        <f t="shared" si="1740"/>
        <v>0</v>
      </c>
      <c r="J2232" s="490">
        <f t="shared" si="1741"/>
        <v>0</v>
      </c>
      <c r="K2232" s="695">
        <f t="shared" ref="K2232" si="1748">I2232+J2232</f>
        <v>0</v>
      </c>
      <c r="L2232" s="695"/>
      <c r="M2232" s="659" t="str">
        <f t="shared" si="1743"/>
        <v/>
      </c>
      <c r="N2232" s="660"/>
      <c r="O2232" s="233"/>
      <c r="P2232" s="233"/>
      <c r="Q2232" s="233"/>
      <c r="R2232" s="233"/>
      <c r="S2232" s="233"/>
      <c r="T2232" s="508">
        <f t="shared" si="1698"/>
        <v>0</v>
      </c>
      <c r="U2232" s="225">
        <f>IF(NOT(ISNUMBER(G2232)), "", VLOOKUP(A2232,'Discount Lookup'!D:E,2,FALSE)*G2232)</f>
        <v>0</v>
      </c>
      <c r="V2232" s="225">
        <f>IF(NOT(ISNUMBER(G2232)), "", VLOOKUP(A2232,'Discount Lookup'!G:H,2,FALSE)*G2232)</f>
        <v>0</v>
      </c>
      <c r="W2232" s="508">
        <f t="shared" si="1699"/>
        <v>0</v>
      </c>
      <c r="X2232" s="508">
        <f t="shared" si="1700"/>
        <v>0</v>
      </c>
      <c r="Y2232" s="509" t="b">
        <f t="shared" si="1701"/>
        <v>0</v>
      </c>
      <c r="Z2232" s="510">
        <f t="shared" si="1702"/>
        <v>0</v>
      </c>
      <c r="AA2232" s="511"/>
      <c r="AB2232" s="511" t="str">
        <f t="shared" si="1703"/>
        <v/>
      </c>
      <c r="AC2232" s="698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698"/>
      <c r="AE2232" s="631" t="str">
        <f t="shared" si="1704"/>
        <v/>
      </c>
      <c r="AF2232" s="699" t="str">
        <f t="shared" si="1705"/>
        <v/>
      </c>
      <c r="AG2232" s="699"/>
      <c r="AH2232" s="699"/>
      <c r="AI2232" s="512">
        <f>IF(H2232="credit",0,IF(AE2232="free",0,IF(AE2232="me",0,IF(G2232&gt;0,(VLOOKUP(A2232,'Discount Lookup'!J:K,2)*G2232),0))))</f>
        <v>0</v>
      </c>
      <c r="AJ2232" s="513" t="str">
        <f t="shared" ca="1" si="1706"/>
        <v/>
      </c>
      <c r="AK2232" s="700" t="str">
        <f t="shared" si="1707"/>
        <v/>
      </c>
      <c r="AL2232" s="700"/>
      <c r="AM2232" s="505" t="str">
        <f t="shared" si="1708"/>
        <v/>
      </c>
      <c r="AN2232" s="506"/>
      <c r="AO2232" s="507"/>
      <c r="AP2232" s="507"/>
      <c r="AQ2232" s="507"/>
      <c r="AR2232" s="507"/>
      <c r="AS2232" s="507"/>
      <c r="AT2232" s="507"/>
      <c r="AU2232" s="507"/>
      <c r="AV2232" s="225"/>
      <c r="AW2232" s="508"/>
      <c r="AX2232" s="225"/>
      <c r="AY2232" s="225"/>
      <c r="AZ2232" s="225"/>
      <c r="BA2232" s="225"/>
      <c r="BB2232" s="225"/>
      <c r="BC2232" s="56"/>
      <c r="BD2232" s="56"/>
      <c r="BE2232" s="56"/>
      <c r="BF2232" s="107" t="str">
        <f t="shared" si="1709"/>
        <v>https://www.google.com/search?tbm=isch&amp;q=25%20G4</v>
      </c>
      <c r="BG2232" s="107" t="str">
        <f t="shared" si="1710"/>
        <v>L</v>
      </c>
      <c r="BH2232" s="254"/>
      <c r="BI2232" s="254"/>
    </row>
    <row r="2233" spans="1:61" customFormat="1" ht="15.75" x14ac:dyDescent="0.25">
      <c r="A2233" s="485">
        <v>25</v>
      </c>
      <c r="B2233" s="486" t="s">
        <v>291</v>
      </c>
      <c r="C2233" s="487" t="s">
        <v>3618</v>
      </c>
      <c r="D2233" s="488" t="s">
        <v>292</v>
      </c>
      <c r="E2233" s="489">
        <v>559.95000000000005</v>
      </c>
      <c r="F2233" s="516" t="s">
        <v>293</v>
      </c>
      <c r="G2233" s="232">
        <v>0</v>
      </c>
      <c r="H2233" s="658" t="str">
        <f t="shared" si="1739"/>
        <v/>
      </c>
      <c r="I2233" s="490">
        <f t="shared" si="1740"/>
        <v>0</v>
      </c>
      <c r="J2233" s="490">
        <f t="shared" si="1741"/>
        <v>0</v>
      </c>
      <c r="K2233" s="695">
        <f t="shared" ref="K2233" si="1749">I2233+J2233</f>
        <v>0</v>
      </c>
      <c r="L2233" s="695"/>
      <c r="M2233" s="659" t="str">
        <f t="shared" si="1743"/>
        <v/>
      </c>
      <c r="N2233" s="660"/>
      <c r="O2233" s="233"/>
      <c r="P2233" s="233"/>
      <c r="Q2233" s="233"/>
      <c r="R2233" s="233"/>
      <c r="S2233" s="233"/>
      <c r="T2233" s="508">
        <f t="shared" si="1698"/>
        <v>0</v>
      </c>
      <c r="U2233" s="225">
        <f>IF(NOT(ISNUMBER(G2233)), "", VLOOKUP(A2233,'Discount Lookup'!D:E,2,FALSE)*G2233)</f>
        <v>0</v>
      </c>
      <c r="V2233" s="225">
        <f>IF(NOT(ISNUMBER(G2233)), "", VLOOKUP(A2233,'Discount Lookup'!G:H,2,FALSE)*G2233)</f>
        <v>0</v>
      </c>
      <c r="W2233" s="508">
        <f t="shared" si="1699"/>
        <v>0</v>
      </c>
      <c r="X2233" s="508">
        <f t="shared" si="1700"/>
        <v>0</v>
      </c>
      <c r="Y2233" s="509" t="b">
        <f t="shared" si="1701"/>
        <v>0</v>
      </c>
      <c r="Z2233" s="510">
        <f t="shared" si="1702"/>
        <v>0</v>
      </c>
      <c r="AA2233" s="511"/>
      <c r="AB2233" s="511" t="str">
        <f t="shared" si="1703"/>
        <v/>
      </c>
      <c r="AC2233" s="698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698"/>
      <c r="AE2233" s="631" t="str">
        <f t="shared" si="1704"/>
        <v/>
      </c>
      <c r="AF2233" s="699" t="str">
        <f t="shared" si="1705"/>
        <v/>
      </c>
      <c r="AG2233" s="699"/>
      <c r="AH2233" s="699"/>
      <c r="AI2233" s="512">
        <f>IF(H2233="credit",0,IF(AE2233="free",0,IF(AE2233="me",0,IF(G2233&gt;0,(VLOOKUP(A2233,'Discount Lookup'!J:K,2)*G2233),0))))</f>
        <v>0</v>
      </c>
      <c r="AJ2233" s="513" t="str">
        <f t="shared" ca="1" si="1706"/>
        <v/>
      </c>
      <c r="AK2233" s="700" t="str">
        <f t="shared" si="1707"/>
        <v/>
      </c>
      <c r="AL2233" s="700"/>
      <c r="AM2233" s="505" t="str">
        <f t="shared" si="1708"/>
        <v/>
      </c>
      <c r="AN2233" s="506"/>
      <c r="AO2233" s="507"/>
      <c r="AP2233" s="507"/>
      <c r="AQ2233" s="507"/>
      <c r="AR2233" s="507"/>
      <c r="AS2233" s="507"/>
      <c r="AT2233" s="507"/>
      <c r="AU2233" s="507"/>
      <c r="AV2233" s="225"/>
      <c r="AW2233" s="508"/>
      <c r="AX2233" s="225"/>
      <c r="AY2233" s="225"/>
      <c r="AZ2233" s="225"/>
      <c r="BA2233" s="225"/>
      <c r="BB2233" s="225"/>
      <c r="BC2233" s="56"/>
      <c r="BD2233" s="56"/>
      <c r="BE2233" s="56"/>
      <c r="BF2233" s="107" t="str">
        <f t="shared" si="1709"/>
        <v>https://www.google.com/search?tbm=isch&amp;q=25%20G4</v>
      </c>
      <c r="BG2233" s="107" t="str">
        <f t="shared" si="1710"/>
        <v>L</v>
      </c>
      <c r="BH2233" s="254"/>
      <c r="BI2233" s="254"/>
    </row>
    <row r="2234" spans="1:61" customFormat="1" ht="15.75" x14ac:dyDescent="0.25">
      <c r="A2234" s="485">
        <v>45</v>
      </c>
      <c r="B2234" s="486" t="s">
        <v>291</v>
      </c>
      <c r="C2234" s="487" t="s">
        <v>3999</v>
      </c>
      <c r="D2234" s="488" t="s">
        <v>300</v>
      </c>
      <c r="E2234" s="489">
        <v>745.95</v>
      </c>
      <c r="F2234" s="516" t="s">
        <v>293</v>
      </c>
      <c r="G2234" s="232">
        <v>0</v>
      </c>
      <c r="H2234" s="658" t="str">
        <f t="shared" si="1739"/>
        <v/>
      </c>
      <c r="I2234" s="490">
        <f t="shared" si="1740"/>
        <v>0</v>
      </c>
      <c r="J2234" s="490">
        <f t="shared" si="1741"/>
        <v>0</v>
      </c>
      <c r="K2234" s="695">
        <f t="shared" ref="K2234" si="1750">I2234+J2234</f>
        <v>0</v>
      </c>
      <c r="L2234" s="695"/>
      <c r="M2234" s="659" t="str">
        <f t="shared" si="1743"/>
        <v/>
      </c>
      <c r="N2234" s="660"/>
      <c r="O2234" s="233"/>
      <c r="P2234" s="233"/>
      <c r="Q2234" s="233"/>
      <c r="R2234" s="233"/>
      <c r="S2234" s="233"/>
      <c r="T2234" s="508">
        <f t="shared" si="1698"/>
        <v>0</v>
      </c>
      <c r="U2234" s="225">
        <f>IF(NOT(ISNUMBER(G2234)), "", VLOOKUP(A2234,'Discount Lookup'!D:E,2,FALSE)*G2234)</f>
        <v>0</v>
      </c>
      <c r="V2234" s="225">
        <f>IF(NOT(ISNUMBER(G2234)), "", VLOOKUP(A2234,'Discount Lookup'!G:H,2,FALSE)*G2234)</f>
        <v>0</v>
      </c>
      <c r="W2234" s="508">
        <f t="shared" si="1699"/>
        <v>0</v>
      </c>
      <c r="X2234" s="508">
        <f t="shared" si="1700"/>
        <v>0</v>
      </c>
      <c r="Y2234" s="509" t="b">
        <f t="shared" si="1701"/>
        <v>0</v>
      </c>
      <c r="Z2234" s="510">
        <f t="shared" si="1702"/>
        <v>0</v>
      </c>
      <c r="AA2234" s="511"/>
      <c r="AB2234" s="511" t="str">
        <f t="shared" si="1703"/>
        <v/>
      </c>
      <c r="AC2234" s="698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698"/>
      <c r="AE2234" s="631" t="str">
        <f t="shared" si="1704"/>
        <v/>
      </c>
      <c r="AF2234" s="699" t="str">
        <f t="shared" si="1705"/>
        <v/>
      </c>
      <c r="AG2234" s="699"/>
      <c r="AH2234" s="699"/>
      <c r="AI2234" s="512">
        <f>IF(H2234="credit",0,IF(AE2234="free",0,IF(AE2234="me",0,IF(G2234&gt;0,(VLOOKUP(A2234,'Discount Lookup'!J:K,2)*G2234),0))))</f>
        <v>0</v>
      </c>
      <c r="AJ2234" s="513" t="str">
        <f t="shared" ca="1" si="1706"/>
        <v/>
      </c>
      <c r="AK2234" s="700" t="str">
        <f t="shared" si="1707"/>
        <v/>
      </c>
      <c r="AL2234" s="700"/>
      <c r="AM2234" s="505" t="str">
        <f t="shared" si="1708"/>
        <v/>
      </c>
      <c r="AN2234" s="506"/>
      <c r="AO2234" s="507"/>
      <c r="AP2234" s="507"/>
      <c r="AQ2234" s="507"/>
      <c r="AR2234" s="507"/>
      <c r="AS2234" s="507"/>
      <c r="AT2234" s="507"/>
      <c r="AU2234" s="507"/>
      <c r="AV2234" s="225"/>
      <c r="AW2234" s="508"/>
      <c r="AX2234" s="225"/>
      <c r="AY2234" s="225"/>
      <c r="AZ2234" s="225"/>
      <c r="BA2234" s="225"/>
      <c r="BB2234" s="225"/>
      <c r="BC2234" s="56"/>
      <c r="BD2234" s="56"/>
      <c r="BE2234" s="56"/>
      <c r="BF2234" s="107" t="str">
        <f t="shared" si="1709"/>
        <v>https://www.google.com/search?tbm=isch&amp;q=45%20G6</v>
      </c>
      <c r="BG2234" s="107" t="str">
        <f t="shared" si="1710"/>
        <v>L</v>
      </c>
      <c r="BH2234" s="254"/>
      <c r="BI2234" s="254"/>
    </row>
    <row r="2235" spans="1:61" customFormat="1" ht="40.5" x14ac:dyDescent="0.25">
      <c r="A2235" s="485">
        <v>65</v>
      </c>
      <c r="B2235" s="486" t="s">
        <v>291</v>
      </c>
      <c r="C2235" s="487" t="s">
        <v>3619</v>
      </c>
      <c r="D2235" s="488" t="s">
        <v>292</v>
      </c>
      <c r="E2235" s="489">
        <v>903.95</v>
      </c>
      <c r="F2235" s="516" t="s">
        <v>293</v>
      </c>
      <c r="G2235" s="232">
        <v>0</v>
      </c>
      <c r="H2235" s="658" t="str">
        <f t="shared" si="1739"/>
        <v/>
      </c>
      <c r="I2235" s="490">
        <f t="shared" si="1740"/>
        <v>0</v>
      </c>
      <c r="J2235" s="490">
        <f t="shared" si="1741"/>
        <v>0</v>
      </c>
      <c r="K2235" s="695">
        <f t="shared" ref="K2235" si="1751">I2235+J2235</f>
        <v>0</v>
      </c>
      <c r="L2235" s="695"/>
      <c r="M2235" s="659" t="str">
        <f t="shared" si="1743"/>
        <v/>
      </c>
      <c r="N2235" s="660"/>
      <c r="O2235" s="233"/>
      <c r="P2235" s="233"/>
      <c r="Q2235" s="233"/>
      <c r="R2235" s="233"/>
      <c r="S2235" s="233"/>
      <c r="T2235" s="508">
        <f t="shared" si="1698"/>
        <v>0</v>
      </c>
      <c r="U2235" s="225">
        <f>IF(NOT(ISNUMBER(G2235)), "", VLOOKUP(A2235,'Discount Lookup'!D:E,2,FALSE)*G2235)</f>
        <v>0</v>
      </c>
      <c r="V2235" s="225">
        <f>IF(NOT(ISNUMBER(G2235)), "", VLOOKUP(A2235,'Discount Lookup'!G:H,2,FALSE)*G2235)</f>
        <v>0</v>
      </c>
      <c r="W2235" s="508">
        <f t="shared" si="1699"/>
        <v>0</v>
      </c>
      <c r="X2235" s="508">
        <f t="shared" si="1700"/>
        <v>0</v>
      </c>
      <c r="Y2235" s="509" t="b">
        <f t="shared" si="1701"/>
        <v>0</v>
      </c>
      <c r="Z2235" s="510">
        <f t="shared" si="1702"/>
        <v>0</v>
      </c>
      <c r="AA2235" s="511"/>
      <c r="AB2235" s="511" t="str">
        <f t="shared" si="1703"/>
        <v/>
      </c>
      <c r="AC2235" s="698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698"/>
      <c r="AE2235" s="631" t="str">
        <f t="shared" si="1704"/>
        <v/>
      </c>
      <c r="AF2235" s="699" t="str">
        <f t="shared" si="1705"/>
        <v/>
      </c>
      <c r="AG2235" s="699"/>
      <c r="AH2235" s="699"/>
      <c r="AI2235" s="512">
        <f>IF(H2235="credit",0,IF(AE2235="free",0,IF(AE2235="me",0,IF(G2235&gt;0,(VLOOKUP(A2235,'Discount Lookup'!J:K,2)*G2235),0))))</f>
        <v>0</v>
      </c>
      <c r="AJ2235" s="513" t="str">
        <f t="shared" ca="1" si="1706"/>
        <v/>
      </c>
      <c r="AK2235" s="700" t="str">
        <f t="shared" si="1707"/>
        <v/>
      </c>
      <c r="AL2235" s="700"/>
      <c r="AM2235" s="505" t="str">
        <f t="shared" si="1708"/>
        <v/>
      </c>
      <c r="AN2235" s="506"/>
      <c r="AO2235" s="507"/>
      <c r="AP2235" s="507"/>
      <c r="AQ2235" s="507"/>
      <c r="AR2235" s="507"/>
      <c r="AS2235" s="507"/>
      <c r="AT2235" s="507"/>
      <c r="AU2235" s="507"/>
      <c r="AV2235" s="225"/>
      <c r="AW2235" s="508"/>
      <c r="AX2235" s="225"/>
      <c r="AY2235" s="225"/>
      <c r="AZ2235" s="225"/>
      <c r="BA2235" s="225"/>
      <c r="BB2235" s="225"/>
      <c r="BC2235" s="56"/>
      <c r="BD2235" s="56"/>
      <c r="BE2235" s="56"/>
      <c r="BF2235" s="107" t="str">
        <f t="shared" si="1709"/>
        <v>https://www.google.com/search?tbm=isch&amp;q=65%20G4</v>
      </c>
      <c r="BG2235" s="107" t="str">
        <f t="shared" si="1710"/>
        <v>L</v>
      </c>
      <c r="BH2235" s="254"/>
      <c r="BI2235" s="254"/>
    </row>
    <row r="2236" spans="1:61" customFormat="1" ht="15.75" x14ac:dyDescent="0.25">
      <c r="A2236" s="485">
        <v>100</v>
      </c>
      <c r="B2236" s="486" t="s">
        <v>291</v>
      </c>
      <c r="C2236" s="487" t="s">
        <v>1636</v>
      </c>
      <c r="D2236" s="488" t="s">
        <v>300</v>
      </c>
      <c r="E2236" s="489">
        <v>1102.95</v>
      </c>
      <c r="F2236" s="516" t="s">
        <v>293</v>
      </c>
      <c r="G2236" s="232">
        <v>0</v>
      </c>
      <c r="H2236" s="658" t="str">
        <f t="shared" si="1739"/>
        <v/>
      </c>
      <c r="I2236" s="490">
        <f t="shared" si="1740"/>
        <v>0</v>
      </c>
      <c r="J2236" s="490">
        <f t="shared" si="1741"/>
        <v>0</v>
      </c>
      <c r="K2236" s="695">
        <f t="shared" ref="K2236" si="1752">I2236+J2236</f>
        <v>0</v>
      </c>
      <c r="L2236" s="695"/>
      <c r="M2236" s="659" t="str">
        <f t="shared" si="1743"/>
        <v/>
      </c>
      <c r="N2236" s="660"/>
      <c r="O2236" s="233"/>
      <c r="P2236" s="233"/>
      <c r="Q2236" s="233"/>
      <c r="R2236" s="233"/>
      <c r="S2236" s="233"/>
      <c r="T2236" s="508">
        <f t="shared" si="1698"/>
        <v>0</v>
      </c>
      <c r="U2236" s="225">
        <f>IF(NOT(ISNUMBER(G2236)), "", VLOOKUP(A2236,'Discount Lookup'!D:E,2,FALSE)*G2236)</f>
        <v>0</v>
      </c>
      <c r="V2236" s="225">
        <f>IF(NOT(ISNUMBER(G2236)), "", VLOOKUP(A2236,'Discount Lookup'!G:H,2,FALSE)*G2236)</f>
        <v>0</v>
      </c>
      <c r="W2236" s="508">
        <f t="shared" si="1699"/>
        <v>0</v>
      </c>
      <c r="X2236" s="508">
        <f t="shared" si="1700"/>
        <v>0</v>
      </c>
      <c r="Y2236" s="509" t="b">
        <f t="shared" si="1701"/>
        <v>0</v>
      </c>
      <c r="Z2236" s="510">
        <f t="shared" si="1702"/>
        <v>0</v>
      </c>
      <c r="AA2236" s="511"/>
      <c r="AB2236" s="511" t="str">
        <f t="shared" si="1703"/>
        <v/>
      </c>
      <c r="AC2236" s="698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698"/>
      <c r="AE2236" s="631" t="str">
        <f t="shared" si="1704"/>
        <v/>
      </c>
      <c r="AF2236" s="699" t="str">
        <f t="shared" si="1705"/>
        <v/>
      </c>
      <c r="AG2236" s="699"/>
      <c r="AH2236" s="699"/>
      <c r="AI2236" s="512">
        <f>IF(H2236="credit",0,IF(AE2236="free",0,IF(AE2236="me",0,IF(G2236&gt;0,(VLOOKUP(A2236,'Discount Lookup'!J:K,2)*G2236),0))))</f>
        <v>0</v>
      </c>
      <c r="AJ2236" s="513" t="str">
        <f t="shared" ca="1" si="1706"/>
        <v/>
      </c>
      <c r="AK2236" s="700" t="str">
        <f t="shared" si="1707"/>
        <v/>
      </c>
      <c r="AL2236" s="700"/>
      <c r="AM2236" s="505" t="str">
        <f t="shared" si="1708"/>
        <v/>
      </c>
      <c r="AN2236" s="506"/>
      <c r="AO2236" s="507"/>
      <c r="AP2236" s="507"/>
      <c r="AQ2236" s="507"/>
      <c r="AR2236" s="507"/>
      <c r="AS2236" s="507"/>
      <c r="AT2236" s="507"/>
      <c r="AU2236" s="507"/>
      <c r="AV2236" s="225"/>
      <c r="AW2236" s="508"/>
      <c r="AX2236" s="225"/>
      <c r="AY2236" s="225"/>
      <c r="AZ2236" s="225"/>
      <c r="BA2236" s="225"/>
      <c r="BB2236" s="225"/>
      <c r="BC2236" s="56"/>
      <c r="BD2236" s="56"/>
      <c r="BE2236" s="56"/>
      <c r="BF2236" s="107" t="str">
        <f t="shared" si="1709"/>
        <v>https://www.google.com/search?tbm=isch&amp;q=100%20G6</v>
      </c>
      <c r="BG2236" s="107" t="str">
        <f t="shared" si="1710"/>
        <v>L</v>
      </c>
      <c r="BH2236" s="254"/>
      <c r="BI2236" s="254"/>
    </row>
    <row r="2237" spans="1:61" customFormat="1" ht="17.25" thickBot="1" x14ac:dyDescent="0.3">
      <c r="A2237" s="672" t="s">
        <v>5163</v>
      </c>
      <c r="B2237" s="491"/>
      <c r="C2237" s="675"/>
      <c r="D2237" s="491"/>
      <c r="E2237" s="491"/>
      <c r="F2237" s="492"/>
      <c r="G2237" s="493"/>
      <c r="H2237" s="491"/>
      <c r="I2237" s="234"/>
      <c r="J2237" s="234"/>
      <c r="K2237" s="494"/>
      <c r="L2237" s="543"/>
      <c r="M2237" s="561"/>
      <c r="N2237" s="495"/>
      <c r="O2237" s="496"/>
      <c r="P2237" s="497"/>
      <c r="Q2237" s="495"/>
      <c r="R2237" s="495"/>
      <c r="S2237" s="667" t="s">
        <v>4984</v>
      </c>
      <c r="T2237" s="508">
        <f t="shared" si="1698"/>
        <v>0</v>
      </c>
      <c r="U2237" s="225" t="str">
        <f>IF(NOT(ISNUMBER(G2237)), "", VLOOKUP(A2237,'Discount Lookup'!D:E,2,FALSE)*G2237)</f>
        <v/>
      </c>
      <c r="V2237" s="225" t="str">
        <f>IF(NOT(ISNUMBER(G2237)), "", VLOOKUP(A2237,'Discount Lookup'!G:H,2,FALSE)*G2237)</f>
        <v/>
      </c>
      <c r="W2237" s="508">
        <f t="shared" si="1699"/>
        <v>0</v>
      </c>
      <c r="X2237" s="508">
        <f t="shared" si="1700"/>
        <v>0</v>
      </c>
      <c r="Y2237" s="509" t="b">
        <f t="shared" si="1701"/>
        <v>0</v>
      </c>
      <c r="Z2237" s="510">
        <f t="shared" si="1702"/>
        <v>0</v>
      </c>
      <c r="AA2237" s="511"/>
      <c r="AB2237" s="511" t="str">
        <f t="shared" si="1703"/>
        <v/>
      </c>
      <c r="AC2237" s="698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698"/>
      <c r="AE2237" s="631" t="str">
        <f t="shared" si="1704"/>
        <v/>
      </c>
      <c r="AF2237" s="699" t="str">
        <f t="shared" si="1705"/>
        <v/>
      </c>
      <c r="AG2237" s="699"/>
      <c r="AH2237" s="699"/>
      <c r="AI2237" s="512">
        <f>IF(H2237="credit",0,IF(AE2237="free",0,IF(AE2237="me",0,IF(G2237&gt;0,(VLOOKUP(A2237,'Discount Lookup'!J:K,2)*G2237),0))))</f>
        <v>0</v>
      </c>
      <c r="AJ2237" s="513" t="str">
        <f t="shared" ca="1" si="1706"/>
        <v/>
      </c>
      <c r="AK2237" s="700" t="str">
        <f t="shared" si="1707"/>
        <v/>
      </c>
      <c r="AL2237" s="700"/>
      <c r="AM2237" s="505" t="str">
        <f t="shared" si="1708"/>
        <v/>
      </c>
      <c r="AN2237" s="506"/>
      <c r="AO2237" s="507"/>
      <c r="AP2237" s="507"/>
      <c r="AQ2237" s="507"/>
      <c r="AR2237" s="507"/>
      <c r="AS2237" s="507"/>
      <c r="AT2237" s="507"/>
      <c r="AU2237" s="507"/>
      <c r="AV2237" s="225"/>
      <c r="AW2237" s="508"/>
      <c r="AX2237" s="225"/>
      <c r="AY2237" s="225"/>
      <c r="AZ2237" s="225"/>
      <c r="BA2237" s="225"/>
      <c r="BB2237" s="225"/>
      <c r="BC2237" s="56"/>
      <c r="BD2237" s="56"/>
      <c r="BE2237" s="56"/>
      <c r="BF2237" s="107" t="str">
        <f t="shared" si="1709"/>
        <v>https://www.google.com/search?tbm=isch&amp;q=moist%20sites%F0%9F%92%A7OK%2C%20Little%20Gem%20is%20not%20as%20little%20as%20people%20might%20think.%20Fragrant%20</v>
      </c>
      <c r="BG2237" s="107" t="str">
        <f t="shared" si="1710"/>
        <v>m</v>
      </c>
      <c r="BH2237" s="254"/>
      <c r="BI2237" s="254"/>
    </row>
    <row r="2238" spans="1:61" customFormat="1" ht="18" x14ac:dyDescent="0.25">
      <c r="A2238" s="521" t="s">
        <v>1268</v>
      </c>
      <c r="B2238" s="477"/>
      <c r="C2238" s="674"/>
      <c r="D2238" s="478" t="s">
        <v>1269</v>
      </c>
      <c r="E2238" s="479"/>
      <c r="F2238" s="479"/>
      <c r="G2238" s="479"/>
      <c r="H2238" s="582" t="s">
        <v>441</v>
      </c>
      <c r="I2238" s="480" t="s">
        <v>2644</v>
      </c>
      <c r="J2238" s="479"/>
      <c r="K2238" s="479"/>
      <c r="L2238" s="560"/>
      <c r="M2238" s="666" t="s">
        <v>4966</v>
      </c>
      <c r="N2238" s="680" t="str">
        <f>IF(AND(ISTEXT($A2238), ISERROR($A2238+0)), HYPERLINK($BF2238, "Images"), "")</f>
        <v>Images</v>
      </c>
      <c r="O2238" s="662" t="s">
        <v>4974</v>
      </c>
      <c r="P2238" s="482"/>
      <c r="Q2238" s="483"/>
      <c r="R2238" s="483"/>
      <c r="S2238" s="484"/>
      <c r="T2238" s="508">
        <f t="shared" si="1698"/>
        <v>0</v>
      </c>
      <c r="U2238" s="225" t="str">
        <f>IF(NOT(ISNUMBER(G2238)), "", VLOOKUP(A2238,'Discount Lookup'!D:E,2,FALSE)*G2238)</f>
        <v/>
      </c>
      <c r="V2238" s="225" t="str">
        <f>IF(NOT(ISNUMBER(G2238)), "", VLOOKUP(A2238,'Discount Lookup'!G:H,2,FALSE)*G2238)</f>
        <v/>
      </c>
      <c r="W2238" s="508">
        <f t="shared" si="1699"/>
        <v>0</v>
      </c>
      <c r="X2238" s="508" t="str">
        <f t="shared" si="1700"/>
        <v>Emerald Green foliage</v>
      </c>
      <c r="Y2238" s="509" t="b">
        <f t="shared" si="1701"/>
        <v>0</v>
      </c>
      <c r="Z2238" s="510">
        <f t="shared" si="1702"/>
        <v>0</v>
      </c>
      <c r="AA2238" s="511"/>
      <c r="AB2238" s="511" t="str">
        <f t="shared" si="1703"/>
        <v/>
      </c>
      <c r="AC2238" s="698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698"/>
      <c r="AE2238" s="631" t="str">
        <f t="shared" si="1704"/>
        <v/>
      </c>
      <c r="AF2238" s="699" t="str">
        <f t="shared" si="1705"/>
        <v/>
      </c>
      <c r="AG2238" s="699"/>
      <c r="AH2238" s="699"/>
      <c r="AI2238" s="512">
        <f>IF(H2238="credit",0,IF(AE2238="free",0,IF(AE2238="me",0,IF(G2238&gt;0,(VLOOKUP(A2238,'Discount Lookup'!J:K,2)*G2238),0))))</f>
        <v>0</v>
      </c>
      <c r="AJ2238" s="513" t="str">
        <f t="shared" ca="1" si="1706"/>
        <v/>
      </c>
      <c r="AK2238" s="700" t="str">
        <f t="shared" si="1707"/>
        <v/>
      </c>
      <c r="AL2238" s="700"/>
      <c r="AM2238" s="505" t="str">
        <f t="shared" si="1708"/>
        <v/>
      </c>
      <c r="AN2238" s="506"/>
      <c r="AO2238" s="507"/>
      <c r="AP2238" s="507"/>
      <c r="AQ2238" s="507"/>
      <c r="AR2238" s="507"/>
      <c r="AS2238" s="507"/>
      <c r="AT2238" s="507"/>
      <c r="AU2238" s="507"/>
      <c r="AV2238" s="225"/>
      <c r="AW2238" s="508"/>
      <c r="AX2238" s="225"/>
      <c r="AY2238" s="225"/>
      <c r="AZ2238" s="225"/>
      <c r="BA2238" s="225"/>
      <c r="BB2238" s="225"/>
      <c r="BC2238" s="56"/>
      <c r="BD2238" s="56"/>
      <c r="BE2238" s="56"/>
      <c r="BF2238" s="107" t="str">
        <f t="shared" si="1709"/>
        <v>https://www.google.com/search?tbm=isch&amp;q=Little%20Giant%20Arborvitae%20Thuja%20occidentalis%20%27Little%20Giant%27</v>
      </c>
      <c r="BG2238" s="107" t="str">
        <f t="shared" si="1710"/>
        <v>L</v>
      </c>
      <c r="BH2238" s="254"/>
      <c r="BI2238" s="254"/>
    </row>
    <row r="2239" spans="1:61" customFormat="1" ht="15.75" x14ac:dyDescent="0.25">
      <c r="A2239" s="485">
        <v>3</v>
      </c>
      <c r="B2239" s="486" t="s">
        <v>291</v>
      </c>
      <c r="C2239" s="487" t="s">
        <v>3265</v>
      </c>
      <c r="D2239" s="488" t="s">
        <v>299</v>
      </c>
      <c r="E2239" s="489">
        <v>34.950000000000003</v>
      </c>
      <c r="F2239" s="516" t="s">
        <v>293</v>
      </c>
      <c r="G2239" s="232">
        <v>0</v>
      </c>
      <c r="H2239" s="658" t="str">
        <f>IF(G2239=0,"",IF(F2239="Buy",IF(G2239=1,"plant","plants"),IF(F2239&gt;0.01,"warranty","Error")))</f>
        <v/>
      </c>
      <c r="I2239" s="490">
        <f>IF(H2239="free",0,IF(H2239="credit",((E2239*(F2239))*G2239*-1),IF(F2239="Buy",(E2239*G2239),((E2239*(1-F2239))*G2239))))</f>
        <v>0</v>
      </c>
      <c r="J2239" s="490">
        <f>IF(H2239="warranty",0,(I2239*(_xlfn.SINGLE(SalesTaxPercentage))))</f>
        <v>0</v>
      </c>
      <c r="K2239" s="695">
        <f t="shared" ref="K2239" si="1753">I2239+J2239</f>
        <v>0</v>
      </c>
      <c r="L2239" s="695"/>
      <c r="M2239" s="659" t="str">
        <f>IF(AND(G2239&gt;0,E2239=0),"WARNING - no PRICE inserted",IF(H2239="free"," FREE ~ no charge this plant",IF(H2239="credit",CONCATENATE(" -$",ROUND(K2239*(1-T2GDiscount)*-1,2)," CREDIT after discount"),IF(T2GDiscount=0,"",IF(G2239=0,"",IF(F2239="Buy",CONCATENATE(" $",ROUND(K2239*(1-T2GDiscount),2)," with ",(T2GDiscount*100),"% discount"),CONCATENATE(" $",ROUND(K2239*(1-T2GDiscount),2)," with ",((T2GDiscount*100+F2239*100)-(T2GDiscount*100*F2239)),IF(F2239&gt;0,"% discounts",IF(NoWarrantyDiscount&gt;0,"% discounts","% discount")))))))))</f>
        <v/>
      </c>
      <c r="N2239" s="660"/>
      <c r="O2239" s="233"/>
      <c r="P2239" s="233"/>
      <c r="Q2239" s="233"/>
      <c r="R2239" s="233"/>
      <c r="S2239" s="233"/>
      <c r="T2239" s="508">
        <f t="shared" si="1698"/>
        <v>0</v>
      </c>
      <c r="U2239" s="225">
        <f>IF(NOT(ISNUMBER(G2239)), "", VLOOKUP(A2239,'Discount Lookup'!D:E,2,FALSE)*G2239)</f>
        <v>0</v>
      </c>
      <c r="V2239" s="225">
        <f>IF(NOT(ISNUMBER(G2239)), "", VLOOKUP(A2239,'Discount Lookup'!G:H,2,FALSE)*G2239)</f>
        <v>0</v>
      </c>
      <c r="W2239" s="508">
        <f t="shared" si="1699"/>
        <v>0</v>
      </c>
      <c r="X2239" s="508">
        <f t="shared" si="1700"/>
        <v>0</v>
      </c>
      <c r="Y2239" s="509" t="b">
        <f t="shared" si="1701"/>
        <v>0</v>
      </c>
      <c r="Z2239" s="510">
        <f t="shared" si="1702"/>
        <v>0</v>
      </c>
      <c r="AA2239" s="511"/>
      <c r="AB2239" s="511" t="str">
        <f t="shared" si="1703"/>
        <v/>
      </c>
      <c r="AC2239" s="698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698"/>
      <c r="AE2239" s="631" t="str">
        <f t="shared" si="1704"/>
        <v/>
      </c>
      <c r="AF2239" s="699" t="str">
        <f t="shared" si="1705"/>
        <v/>
      </c>
      <c r="AG2239" s="699"/>
      <c r="AH2239" s="699"/>
      <c r="AI2239" s="512">
        <f>IF(H2239="credit",0,IF(AE2239="free",0,IF(AE2239="me",0,IF(G2239&gt;0,(VLOOKUP(A2239,'Discount Lookup'!J:K,2)*G2239),0))))</f>
        <v>0</v>
      </c>
      <c r="AJ2239" s="513" t="str">
        <f t="shared" ca="1" si="1706"/>
        <v/>
      </c>
      <c r="AK2239" s="700" t="str">
        <f t="shared" si="1707"/>
        <v/>
      </c>
      <c r="AL2239" s="700"/>
      <c r="AM2239" s="505" t="str">
        <f t="shared" si="1708"/>
        <v/>
      </c>
      <c r="AN2239" s="506"/>
      <c r="AO2239" s="507"/>
      <c r="AP2239" s="507"/>
      <c r="AQ2239" s="507"/>
      <c r="AR2239" s="507"/>
      <c r="AS2239" s="507"/>
      <c r="AT2239" s="507"/>
      <c r="AU2239" s="507"/>
      <c r="AV2239" s="225"/>
      <c r="AW2239" s="508"/>
      <c r="AX2239" s="225"/>
      <c r="AY2239" s="225"/>
      <c r="AZ2239" s="225"/>
      <c r="BA2239" s="225"/>
      <c r="BB2239" s="225"/>
      <c r="BC2239" s="56"/>
      <c r="BD2239" s="56"/>
      <c r="BE2239" s="56"/>
      <c r="BF2239" s="107" t="str">
        <f t="shared" si="1709"/>
        <v>https://www.google.com/search?tbm=isch&amp;q=3%20G5</v>
      </c>
      <c r="BG2239" s="107" t="str">
        <f t="shared" si="1710"/>
        <v>L</v>
      </c>
      <c r="BH2239" s="254"/>
      <c r="BI2239" s="254"/>
    </row>
    <row r="2240" spans="1:61" customFormat="1" ht="17.25" thickBot="1" x14ac:dyDescent="0.3">
      <c r="A2240" s="522" t="s">
        <v>2905</v>
      </c>
      <c r="B2240" s="491"/>
      <c r="C2240" s="675"/>
      <c r="D2240" s="491"/>
      <c r="E2240" s="491"/>
      <c r="F2240" s="492"/>
      <c r="G2240" s="493"/>
      <c r="H2240" s="491"/>
      <c r="I2240" s="234"/>
      <c r="J2240" s="234"/>
      <c r="K2240" s="494"/>
      <c r="L2240" s="543"/>
      <c r="M2240" s="561"/>
      <c r="N2240" s="495"/>
      <c r="O2240" s="496"/>
      <c r="P2240" s="497"/>
      <c r="Q2240" s="495"/>
      <c r="R2240" s="495"/>
      <c r="S2240" s="667" t="s">
        <v>4984</v>
      </c>
      <c r="T2240" s="508">
        <f t="shared" si="1698"/>
        <v>0</v>
      </c>
      <c r="U2240" s="225" t="str">
        <f>IF(NOT(ISNUMBER(G2240)), "", VLOOKUP(A2240,'Discount Lookup'!D:E,2,FALSE)*G2240)</f>
        <v/>
      </c>
      <c r="V2240" s="225" t="str">
        <f>IF(NOT(ISNUMBER(G2240)), "", VLOOKUP(A2240,'Discount Lookup'!G:H,2,FALSE)*G2240)</f>
        <v/>
      </c>
      <c r="W2240" s="508">
        <f t="shared" si="1699"/>
        <v>0</v>
      </c>
      <c r="X2240" s="508">
        <f t="shared" si="1700"/>
        <v>0</v>
      </c>
      <c r="Y2240" s="509" t="b">
        <f t="shared" si="1701"/>
        <v>0</v>
      </c>
      <c r="Z2240" s="510">
        <f t="shared" si="1702"/>
        <v>0</v>
      </c>
      <c r="AA2240" s="511"/>
      <c r="AB2240" s="511" t="str">
        <f t="shared" si="1703"/>
        <v/>
      </c>
      <c r="AC2240" s="698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698"/>
      <c r="AE2240" s="631" t="str">
        <f t="shared" si="1704"/>
        <v/>
      </c>
      <c r="AF2240" s="699" t="str">
        <f t="shared" si="1705"/>
        <v/>
      </c>
      <c r="AG2240" s="699"/>
      <c r="AH2240" s="699"/>
      <c r="AI2240" s="512">
        <f>IF(H2240="credit",0,IF(AE2240="free",0,IF(AE2240="me",0,IF(G2240&gt;0,(VLOOKUP(A2240,'Discount Lookup'!J:K,2)*G2240),0))))</f>
        <v>0</v>
      </c>
      <c r="AJ2240" s="513" t="str">
        <f t="shared" ca="1" si="1706"/>
        <v/>
      </c>
      <c r="AK2240" s="700" t="str">
        <f t="shared" si="1707"/>
        <v/>
      </c>
      <c r="AL2240" s="700"/>
      <c r="AM2240" s="505" t="str">
        <f t="shared" si="1708"/>
        <v/>
      </c>
      <c r="AN2240" s="506"/>
      <c r="AO2240" s="507"/>
      <c r="AP2240" s="507"/>
      <c r="AQ2240" s="507"/>
      <c r="AR2240" s="507"/>
      <c r="AS2240" s="507"/>
      <c r="AT2240" s="507"/>
      <c r="AU2240" s="507"/>
      <c r="AV2240" s="225"/>
      <c r="AW2240" s="508"/>
      <c r="AX2240" s="225"/>
      <c r="AY2240" s="225"/>
      <c r="AZ2240" s="225"/>
      <c r="BA2240" s="225"/>
      <c r="BB2240" s="225"/>
      <c r="BC2240" s="56"/>
      <c r="BD2240" s="56"/>
      <c r="BE2240" s="56"/>
      <c r="BF2240" s="107" t="str">
        <f t="shared" si="1709"/>
        <v>https://www.google.com/search?tbm=isch&amp;q=Little%20Giant%20forms%20a%20dense%2C%20perfectly%20round%20globe%20of%20soft%20foliage%2C%20requiring%20little%20to%20no%20pruning.%20Color%20holds%20through%20winter%20</v>
      </c>
      <c r="BG2240" s="107" t="str">
        <f t="shared" si="1710"/>
        <v>L</v>
      </c>
      <c r="BH2240" s="254"/>
      <c r="BI2240" s="254"/>
    </row>
    <row r="2241" spans="1:61" customFormat="1" ht="18" x14ac:dyDescent="0.25">
      <c r="A2241" s="523" t="s">
        <v>5603</v>
      </c>
      <c r="B2241" s="235"/>
      <c r="C2241" s="676"/>
      <c r="D2241" s="255" t="s">
        <v>1578</v>
      </c>
      <c r="E2241" s="236"/>
      <c r="F2241" s="236"/>
      <c r="G2241" s="236"/>
      <c r="H2241" s="582" t="s">
        <v>720</v>
      </c>
      <c r="I2241" s="498" t="s">
        <v>654</v>
      </c>
      <c r="J2241" s="237"/>
      <c r="K2241" s="237"/>
      <c r="L2241" s="274"/>
      <c r="M2241" s="668" t="s">
        <v>4964</v>
      </c>
      <c r="N2241" s="681" t="str">
        <f>IF(AND(ISTEXT($A2241), ISERROR($A2241+0)), HYPERLINK($BF2241, "Images"), "")</f>
        <v>Images</v>
      </c>
      <c r="O2241" s="663" t="s">
        <v>4967</v>
      </c>
      <c r="P2241" s="253"/>
      <c r="Q2241" s="238"/>
      <c r="R2241" s="239"/>
      <c r="S2241" s="275" t="s">
        <v>305</v>
      </c>
      <c r="T2241" s="508">
        <f t="shared" si="1698"/>
        <v>0</v>
      </c>
      <c r="U2241" s="225" t="str">
        <f>IF(NOT(ISNUMBER(G2241)), "", VLOOKUP(A2241,'Discount Lookup'!D:E,2,FALSE)*G2241)</f>
        <v/>
      </c>
      <c r="V2241" s="225" t="str">
        <f>IF(NOT(ISNUMBER(G2241)), "", VLOOKUP(A2241,'Discount Lookup'!G:H,2,FALSE)*G2241)</f>
        <v/>
      </c>
      <c r="W2241" s="508">
        <f t="shared" si="1699"/>
        <v>0</v>
      </c>
      <c r="X2241" s="508" t="str">
        <f t="shared" si="1700"/>
        <v>White bloom</v>
      </c>
      <c r="Y2241" s="509" t="b">
        <f t="shared" si="1701"/>
        <v>0</v>
      </c>
      <c r="Z2241" s="510">
        <f t="shared" si="1702"/>
        <v>0</v>
      </c>
      <c r="AA2241" s="511"/>
      <c r="AB2241" s="511" t="str">
        <f t="shared" si="1703"/>
        <v/>
      </c>
      <c r="AC2241" s="698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698"/>
      <c r="AE2241" s="631" t="str">
        <f t="shared" si="1704"/>
        <v/>
      </c>
      <c r="AF2241" s="699" t="str">
        <f t="shared" si="1705"/>
        <v/>
      </c>
      <c r="AG2241" s="699"/>
      <c r="AH2241" s="699"/>
      <c r="AI2241" s="512">
        <f>IF(H2241="credit",0,IF(AE2241="free",0,IF(AE2241="me",0,IF(G2241&gt;0,(VLOOKUP(A2241,'Discount Lookup'!J:K,2)*G2241),0))))</f>
        <v>0</v>
      </c>
      <c r="AJ2241" s="513" t="str">
        <f t="shared" ca="1" si="1706"/>
        <v/>
      </c>
      <c r="AK2241" s="700" t="str">
        <f t="shared" si="1707"/>
        <v/>
      </c>
      <c r="AL2241" s="700"/>
      <c r="AM2241" s="505" t="str">
        <f t="shared" si="1708"/>
        <v/>
      </c>
      <c r="AN2241" s="506"/>
      <c r="AO2241" s="507"/>
      <c r="AP2241" s="507"/>
      <c r="AQ2241" s="507"/>
      <c r="AR2241" s="507"/>
      <c r="AS2241" s="507"/>
      <c r="AT2241" s="507"/>
      <c r="AU2241" s="507"/>
      <c r="AV2241" s="225"/>
      <c r="AW2241" s="508"/>
      <c r="AX2241" s="225"/>
      <c r="AY2241" s="225"/>
      <c r="AZ2241" s="225"/>
      <c r="BA2241" s="225"/>
      <c r="BB2241" s="225"/>
      <c r="BC2241" s="56"/>
      <c r="BD2241" s="56"/>
      <c r="BE2241" s="56"/>
      <c r="BF2241" s="107" t="str">
        <f t="shared" si="1709"/>
        <v>https://www.google.com/search?tbm=isch&amp;q=Little%20Henry%C2%AE%20Virginia%20Sweetspire%20%28PW%C2%AE%29%20Itea%20virginica%20%27Sprich%27%20PP%2310988</v>
      </c>
      <c r="BG2241" s="107" t="str">
        <f t="shared" si="1710"/>
        <v>L</v>
      </c>
      <c r="BH2241" s="254"/>
      <c r="BI2241" s="254"/>
    </row>
    <row r="2242" spans="1:61" customFormat="1" ht="15.75" x14ac:dyDescent="0.25">
      <c r="A2242" s="276">
        <v>3</v>
      </c>
      <c r="B2242" s="240" t="s">
        <v>291</v>
      </c>
      <c r="C2242" s="241"/>
      <c r="D2242" s="242" t="s">
        <v>298</v>
      </c>
      <c r="E2242" s="243">
        <v>36.950000000000003</v>
      </c>
      <c r="F2242" s="517" t="s">
        <v>293</v>
      </c>
      <c r="G2242" s="232">
        <v>0</v>
      </c>
      <c r="H2242" s="661" t="str">
        <f>IF(G2242=0,"",IF(F2242="Buy",IF(G2242=1,"plant","plants"),IF(F2242&gt;0.01,"warranty","Error")))</f>
        <v/>
      </c>
      <c r="I2242" s="244">
        <f>IF(H2242="free",0,IF(H2242="credit",((E2242*(F2242))*G2242*-1),IF(F2242="Buy",(E2242*G2242),((E2242*(1-F2242))*G2242))))</f>
        <v>0</v>
      </c>
      <c r="J2242" s="244">
        <f>IF(H2242="warranty",0,(I2242*(_xlfn.SINGLE(SalesTaxPercentage))))</f>
        <v>0</v>
      </c>
      <c r="K2242" s="696">
        <f t="shared" ref="K2242" si="1754">I2242+J2242</f>
        <v>0</v>
      </c>
      <c r="L2242" s="696"/>
      <c r="M2242" s="659" t="str">
        <f>IF(AND(G2242&gt;0,E2242=0),"WARNING - no PRICE inserted",IF(H2242="free"," FREE ~ no charge this plant",IF(H2242="credit",CONCATENATE(" -$",ROUND(K2242*(1-T2GDiscount)*-1,2)," CREDIT after discount"),IF(T2GDiscount=0,"",IF(G2242=0,"",IF(F2242="Buy",CONCATENATE(" $",ROUND(K2242*(1-T2GDiscount),2)," with ",(T2GDiscount*100),"% discount"),CONCATENATE(" $",ROUND(K2242*(1-T2GDiscount),2)," with ",((T2GDiscount*100+F2242*100)-(T2GDiscount*100*F2242)),IF(F2242&gt;0,"% discounts",IF(NoWarrantyDiscount&gt;0,"% discounts","% discount")))))))))</f>
        <v/>
      </c>
      <c r="N2242" s="660"/>
      <c r="O2242" s="233"/>
      <c r="P2242" s="233"/>
      <c r="Q2242" s="233"/>
      <c r="R2242" s="233"/>
      <c r="S2242" s="233"/>
      <c r="T2242" s="508">
        <f t="shared" si="1698"/>
        <v>0</v>
      </c>
      <c r="U2242" s="225">
        <f>IF(NOT(ISNUMBER(G2242)), "", VLOOKUP(A2242,'Discount Lookup'!D:E,2,FALSE)*G2242)</f>
        <v>0</v>
      </c>
      <c r="V2242" s="225">
        <f>IF(NOT(ISNUMBER(G2242)), "", VLOOKUP(A2242,'Discount Lookup'!G:H,2,FALSE)*G2242)</f>
        <v>0</v>
      </c>
      <c r="W2242" s="508">
        <f t="shared" si="1699"/>
        <v>0</v>
      </c>
      <c r="X2242" s="508">
        <f t="shared" si="1700"/>
        <v>0</v>
      </c>
      <c r="Y2242" s="509" t="b">
        <f t="shared" si="1701"/>
        <v>0</v>
      </c>
      <c r="Z2242" s="510">
        <f t="shared" si="1702"/>
        <v>0</v>
      </c>
      <c r="AA2242" s="511"/>
      <c r="AB2242" s="511" t="str">
        <f t="shared" si="1703"/>
        <v/>
      </c>
      <c r="AC2242" s="698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698"/>
      <c r="AE2242" s="631" t="str">
        <f t="shared" si="1704"/>
        <v/>
      </c>
      <c r="AF2242" s="699" t="str">
        <f t="shared" si="1705"/>
        <v/>
      </c>
      <c r="AG2242" s="699"/>
      <c r="AH2242" s="699"/>
      <c r="AI2242" s="512">
        <f>IF(H2242="credit",0,IF(AE2242="free",0,IF(AE2242="me",0,IF(G2242&gt;0,(VLOOKUP(A2242,'Discount Lookup'!J:K,2)*G2242),0))))</f>
        <v>0</v>
      </c>
      <c r="AJ2242" s="513" t="str">
        <f t="shared" ca="1" si="1706"/>
        <v/>
      </c>
      <c r="AK2242" s="700" t="str">
        <f t="shared" si="1707"/>
        <v/>
      </c>
      <c r="AL2242" s="700"/>
      <c r="AM2242" s="505" t="str">
        <f t="shared" si="1708"/>
        <v/>
      </c>
      <c r="AN2242" s="506"/>
      <c r="AO2242" s="507"/>
      <c r="AP2242" s="507"/>
      <c r="AQ2242" s="507"/>
      <c r="AR2242" s="507"/>
      <c r="AS2242" s="507"/>
      <c r="AT2242" s="507"/>
      <c r="AU2242" s="507"/>
      <c r="AV2242" s="225"/>
      <c r="AW2242" s="508"/>
      <c r="AX2242" s="225"/>
      <c r="AY2242" s="225"/>
      <c r="AZ2242" s="225"/>
      <c r="BA2242" s="225"/>
      <c r="BB2242" s="225"/>
      <c r="BC2242" s="56"/>
      <c r="BD2242" s="56"/>
      <c r="BE2242" s="56"/>
      <c r="BF2242" s="107" t="str">
        <f t="shared" si="1709"/>
        <v>https://www.google.com/search?tbm=isch&amp;q=3%20G1</v>
      </c>
      <c r="BG2242" s="107" t="str">
        <f t="shared" si="1710"/>
        <v>L</v>
      </c>
      <c r="BH2242" s="254"/>
      <c r="BI2242" s="254"/>
    </row>
    <row r="2243" spans="1:61" customFormat="1" ht="15.75" x14ac:dyDescent="0.25">
      <c r="A2243" s="276">
        <v>3</v>
      </c>
      <c r="B2243" s="240" t="s">
        <v>291</v>
      </c>
      <c r="C2243" s="241" t="s">
        <v>4913</v>
      </c>
      <c r="D2243" s="242" t="s">
        <v>312</v>
      </c>
      <c r="E2243" s="243">
        <v>38.950000000000003</v>
      </c>
      <c r="F2243" s="517" t="s">
        <v>293</v>
      </c>
      <c r="G2243" s="232">
        <v>0</v>
      </c>
      <c r="H2243" s="661" t="str">
        <f>IF(G2243=0,"",IF(F2243="Buy",IF(G2243=1,"plant","plants"),IF(F2243&gt;0.01,"warranty","Error")))</f>
        <v/>
      </c>
      <c r="I2243" s="244">
        <f>IF(H2243="free",0,IF(H2243="credit",((E2243*(F2243))*G2243*-1),IF(F2243="Buy",(E2243*G2243),((E2243*(1-F2243))*G2243))))</f>
        <v>0</v>
      </c>
      <c r="J2243" s="244">
        <f>IF(H2243="warranty",0,(I2243*(_xlfn.SINGLE(SalesTaxPercentage))))</f>
        <v>0</v>
      </c>
      <c r="K2243" s="696">
        <f t="shared" ref="K2243" si="1755">I2243+J2243</f>
        <v>0</v>
      </c>
      <c r="L2243" s="696"/>
      <c r="M2243" s="659" t="str">
        <f>IF(AND(G2243&gt;0,E2243=0),"WARNING - no PRICE inserted",IF(H2243="free"," FREE ~ no charge this plant",IF(H2243="credit",CONCATENATE(" -$",ROUND(K2243*(1-T2GDiscount)*-1,2)," CREDIT after discount"),IF(T2GDiscount=0,"",IF(G2243=0,"",IF(F2243="Buy",CONCATENATE(" $",ROUND(K2243*(1-T2GDiscount),2)," with ",(T2GDiscount*100),"% discount"),CONCATENATE(" $",ROUND(K2243*(1-T2GDiscount),2)," with ",((T2GDiscount*100+F2243*100)-(T2GDiscount*100*F2243)),IF(F2243&gt;0,"% discounts",IF(NoWarrantyDiscount&gt;0,"% discounts","% discount")))))))))</f>
        <v/>
      </c>
      <c r="N2243" s="660"/>
      <c r="O2243" s="233"/>
      <c r="P2243" s="233"/>
      <c r="Q2243" s="233"/>
      <c r="R2243" s="233"/>
      <c r="S2243" s="233"/>
      <c r="T2243" s="508">
        <f t="shared" si="1698"/>
        <v>0</v>
      </c>
      <c r="U2243" s="225">
        <f>IF(NOT(ISNUMBER(G2243)), "", VLOOKUP(A2243,'Discount Lookup'!D:E,2,FALSE)*G2243)</f>
        <v>0</v>
      </c>
      <c r="V2243" s="225">
        <f>IF(NOT(ISNUMBER(G2243)), "", VLOOKUP(A2243,'Discount Lookup'!G:H,2,FALSE)*G2243)</f>
        <v>0</v>
      </c>
      <c r="W2243" s="508">
        <f t="shared" si="1699"/>
        <v>0</v>
      </c>
      <c r="X2243" s="508">
        <f t="shared" si="1700"/>
        <v>0</v>
      </c>
      <c r="Y2243" s="509" t="b">
        <f t="shared" si="1701"/>
        <v>0</v>
      </c>
      <c r="Z2243" s="510">
        <f t="shared" si="1702"/>
        <v>0</v>
      </c>
      <c r="AA2243" s="511"/>
      <c r="AB2243" s="511" t="str">
        <f t="shared" si="1703"/>
        <v/>
      </c>
      <c r="AC2243" s="698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698"/>
      <c r="AE2243" s="631" t="str">
        <f t="shared" si="1704"/>
        <v/>
      </c>
      <c r="AF2243" s="699" t="str">
        <f t="shared" si="1705"/>
        <v/>
      </c>
      <c r="AG2243" s="699"/>
      <c r="AH2243" s="699"/>
      <c r="AI2243" s="512">
        <f>IF(H2243="credit",0,IF(AE2243="free",0,IF(AE2243="me",0,IF(G2243&gt;0,(VLOOKUP(A2243,'Discount Lookup'!J:K,2)*G2243),0))))</f>
        <v>0</v>
      </c>
      <c r="AJ2243" s="513" t="str">
        <f t="shared" ca="1" si="1706"/>
        <v/>
      </c>
      <c r="AK2243" s="700" t="str">
        <f t="shared" si="1707"/>
        <v/>
      </c>
      <c r="AL2243" s="700"/>
      <c r="AM2243" s="505" t="str">
        <f t="shared" si="1708"/>
        <v/>
      </c>
      <c r="AN2243" s="506"/>
      <c r="AO2243" s="507"/>
      <c r="AP2243" s="507"/>
      <c r="AQ2243" s="507"/>
      <c r="AR2243" s="507"/>
      <c r="AS2243" s="507"/>
      <c r="AT2243" s="507"/>
      <c r="AU2243" s="507"/>
      <c r="AV2243" s="225"/>
      <c r="AW2243" s="508"/>
      <c r="AX2243" s="225"/>
      <c r="AY2243" s="225"/>
      <c r="AZ2243" s="225"/>
      <c r="BA2243" s="225"/>
      <c r="BB2243" s="225"/>
      <c r="BC2243" s="56"/>
      <c r="BD2243" s="56"/>
      <c r="BE2243" s="56"/>
      <c r="BF2243" s="107" t="str">
        <f t="shared" si="1709"/>
        <v>https://www.google.com/search?tbm=isch&amp;q=3%20G2</v>
      </c>
      <c r="BG2243" s="107" t="str">
        <f t="shared" si="1710"/>
        <v>L</v>
      </c>
      <c r="BH2243" s="254"/>
      <c r="BI2243" s="254"/>
    </row>
    <row r="2244" spans="1:61" customFormat="1" ht="15.75" x14ac:dyDescent="0.25">
      <c r="A2244" s="276">
        <v>3</v>
      </c>
      <c r="B2244" s="240" t="s">
        <v>291</v>
      </c>
      <c r="C2244" s="241" t="s">
        <v>4679</v>
      </c>
      <c r="D2244" s="242" t="s">
        <v>300</v>
      </c>
      <c r="E2244" s="243">
        <v>46.95</v>
      </c>
      <c r="F2244" s="517" t="s">
        <v>293</v>
      </c>
      <c r="G2244" s="232">
        <v>0</v>
      </c>
      <c r="H2244" s="661" t="str">
        <f>IF(G2244=0,"",IF(F2244="Buy",IF(G2244=1,"plant","plants"),IF(F2244&gt;0.01,"warranty","Error")))</f>
        <v/>
      </c>
      <c r="I2244" s="244">
        <f>IF(H2244="free",0,IF(H2244="credit",((E2244*(F2244))*G2244*-1),IF(F2244="Buy",(E2244*G2244),((E2244*(1-F2244))*G2244))))</f>
        <v>0</v>
      </c>
      <c r="J2244" s="244">
        <f>IF(H2244="warranty",0,(I2244*(_xlfn.SINGLE(SalesTaxPercentage))))</f>
        <v>0</v>
      </c>
      <c r="K2244" s="696">
        <f t="shared" ref="K2244" si="1756">I2244+J2244</f>
        <v>0</v>
      </c>
      <c r="L2244" s="696"/>
      <c r="M2244" s="659" t="str">
        <f>IF(AND(G2244&gt;0,E2244=0),"WARNING - no PRICE inserted",IF(H2244="free"," FREE ~ no charge this plant",IF(H2244="credit",CONCATENATE(" -$",ROUND(K2244*(1-T2GDiscount)*-1,2)," CREDIT after discount"),IF(T2GDiscount=0,"",IF(G2244=0,"",IF(F2244="Buy",CONCATENATE(" $",ROUND(K2244*(1-T2GDiscount),2)," with ",(T2GDiscount*100),"% discount"),CONCATENATE(" $",ROUND(K2244*(1-T2GDiscount),2)," with ",((T2GDiscount*100+F2244*100)-(T2GDiscount*100*F2244)),IF(F2244&gt;0,"% discounts",IF(NoWarrantyDiscount&gt;0,"% discounts","% discount")))))))))</f>
        <v/>
      </c>
      <c r="N2244" s="660"/>
      <c r="O2244" s="233"/>
      <c r="P2244" s="233"/>
      <c r="Q2244" s="233"/>
      <c r="R2244" s="233"/>
      <c r="S2244" s="233"/>
      <c r="T2244" s="508">
        <f t="shared" si="1698"/>
        <v>0</v>
      </c>
      <c r="U2244" s="225">
        <f>IF(NOT(ISNUMBER(G2244)), "", VLOOKUP(A2244,'Discount Lookup'!D:E,2,FALSE)*G2244)</f>
        <v>0</v>
      </c>
      <c r="V2244" s="225">
        <f>IF(NOT(ISNUMBER(G2244)), "", VLOOKUP(A2244,'Discount Lookup'!G:H,2,FALSE)*G2244)</f>
        <v>0</v>
      </c>
      <c r="W2244" s="508">
        <f t="shared" si="1699"/>
        <v>0</v>
      </c>
      <c r="X2244" s="508">
        <f t="shared" si="1700"/>
        <v>0</v>
      </c>
      <c r="Y2244" s="509" t="b">
        <f t="shared" si="1701"/>
        <v>0</v>
      </c>
      <c r="Z2244" s="510">
        <f t="shared" si="1702"/>
        <v>0</v>
      </c>
      <c r="AA2244" s="511"/>
      <c r="AB2244" s="511" t="str">
        <f t="shared" si="1703"/>
        <v/>
      </c>
      <c r="AC2244" s="698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698"/>
      <c r="AE2244" s="631" t="str">
        <f t="shared" si="1704"/>
        <v/>
      </c>
      <c r="AF2244" s="699" t="str">
        <f t="shared" si="1705"/>
        <v/>
      </c>
      <c r="AG2244" s="699"/>
      <c r="AH2244" s="699"/>
      <c r="AI2244" s="512">
        <f>IF(H2244="credit",0,IF(AE2244="free",0,IF(AE2244="me",0,IF(G2244&gt;0,(VLOOKUP(A2244,'Discount Lookup'!J:K,2)*G2244),0))))</f>
        <v>0</v>
      </c>
      <c r="AJ2244" s="513" t="str">
        <f t="shared" ca="1" si="1706"/>
        <v/>
      </c>
      <c r="AK2244" s="700" t="str">
        <f t="shared" si="1707"/>
        <v/>
      </c>
      <c r="AL2244" s="700"/>
      <c r="AM2244" s="505" t="str">
        <f t="shared" si="1708"/>
        <v/>
      </c>
      <c r="AN2244" s="506"/>
      <c r="AO2244" s="507"/>
      <c r="AP2244" s="507"/>
      <c r="AQ2244" s="507"/>
      <c r="AR2244" s="507"/>
      <c r="AS2244" s="507"/>
      <c r="AT2244" s="507"/>
      <c r="AU2244" s="507"/>
      <c r="AV2244" s="225"/>
      <c r="AW2244" s="508"/>
      <c r="AX2244" s="225"/>
      <c r="AY2244" s="225"/>
      <c r="AZ2244" s="225"/>
      <c r="BA2244" s="225"/>
      <c r="BB2244" s="225"/>
      <c r="BC2244" s="56"/>
      <c r="BD2244" s="56"/>
      <c r="BE2244" s="56"/>
      <c r="BF2244" s="107" t="str">
        <f t="shared" si="1709"/>
        <v>https://www.google.com/search?tbm=isch&amp;q=3%20G6</v>
      </c>
      <c r="BG2244" s="107" t="str">
        <f t="shared" si="1710"/>
        <v>L</v>
      </c>
      <c r="BH2244" s="254"/>
      <c r="BI2244" s="254"/>
    </row>
    <row r="2245" spans="1:61" customFormat="1" ht="17.25" thickBot="1" x14ac:dyDescent="0.3">
      <c r="A2245" s="673" t="s">
        <v>5164</v>
      </c>
      <c r="B2245" s="245"/>
      <c r="C2245" s="677"/>
      <c r="D2245" s="499"/>
      <c r="E2245" s="499"/>
      <c r="F2245" s="500"/>
      <c r="G2245" s="501"/>
      <c r="H2245" s="502"/>
      <c r="I2245" s="246"/>
      <c r="J2245" s="247"/>
      <c r="K2245" s="503"/>
      <c r="L2245" s="544"/>
      <c r="M2245" s="544"/>
      <c r="N2245" s="500"/>
      <c r="O2245" s="500"/>
      <c r="P2245" s="500"/>
      <c r="Q2245" s="500"/>
      <c r="R2245" s="500"/>
      <c r="S2245" s="669" t="s">
        <v>4996</v>
      </c>
      <c r="T2245" s="508">
        <f t="shared" si="1698"/>
        <v>0</v>
      </c>
      <c r="U2245" s="225" t="str">
        <f>IF(NOT(ISNUMBER(G2245)), "", VLOOKUP(A2245,'Discount Lookup'!D:E,2,FALSE)*G2245)</f>
        <v/>
      </c>
      <c r="V2245" s="225" t="str">
        <f>IF(NOT(ISNUMBER(G2245)), "", VLOOKUP(A2245,'Discount Lookup'!G:H,2,FALSE)*G2245)</f>
        <v/>
      </c>
      <c r="W2245" s="508">
        <f t="shared" si="1699"/>
        <v>0</v>
      </c>
      <c r="X2245" s="508">
        <f t="shared" si="1700"/>
        <v>0</v>
      </c>
      <c r="Y2245" s="509" t="b">
        <f t="shared" si="1701"/>
        <v>0</v>
      </c>
      <c r="Z2245" s="510">
        <f t="shared" si="1702"/>
        <v>0</v>
      </c>
      <c r="AA2245" s="511"/>
      <c r="AB2245" s="511" t="str">
        <f t="shared" si="1703"/>
        <v/>
      </c>
      <c r="AC2245" s="698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698"/>
      <c r="AE2245" s="631" t="str">
        <f t="shared" si="1704"/>
        <v/>
      </c>
      <c r="AF2245" s="699" t="str">
        <f t="shared" si="1705"/>
        <v/>
      </c>
      <c r="AG2245" s="699"/>
      <c r="AH2245" s="699"/>
      <c r="AI2245" s="512">
        <f>IF(H2245="credit",0,IF(AE2245="free",0,IF(AE2245="me",0,IF(G2245&gt;0,(VLOOKUP(A2245,'Discount Lookup'!J:K,2)*G2245),0))))</f>
        <v>0</v>
      </c>
      <c r="AJ2245" s="513" t="str">
        <f t="shared" ca="1" si="1706"/>
        <v/>
      </c>
      <c r="AK2245" s="700" t="str">
        <f t="shared" si="1707"/>
        <v/>
      </c>
      <c r="AL2245" s="700"/>
      <c r="AM2245" s="505" t="str">
        <f t="shared" si="1708"/>
        <v/>
      </c>
      <c r="AN2245" s="506"/>
      <c r="AO2245" s="507"/>
      <c r="AP2245" s="507"/>
      <c r="AQ2245" s="507"/>
      <c r="AR2245" s="507"/>
      <c r="AS2245" s="507"/>
      <c r="AT2245" s="507"/>
      <c r="AU2245" s="507"/>
      <c r="AV2245" s="225"/>
      <c r="AW2245" s="508"/>
      <c r="AX2245" s="225"/>
      <c r="AY2245" s="225"/>
      <c r="AZ2245" s="225"/>
      <c r="BA2245" s="225"/>
      <c r="BB2245" s="225"/>
      <c r="BC2245" s="56"/>
      <c r="BD2245" s="56"/>
      <c r="BE2245" s="56"/>
      <c r="BF2245" s="107" t="str">
        <f t="shared" si="1709"/>
        <v>https://www.google.com/search?tbm=isch&amp;q=moist%20sites%F0%9F%92%A7GOOD%2C%20Little%20Henry%20is%20a%20dwarf%20cultivar%2C%20with%20arching%20branches%20that%20adorn%20with%20blooms%20late%20spring%20into%20summer.%20Fragrant%20</v>
      </c>
      <c r="BG2245" s="107" t="str">
        <f t="shared" si="1710"/>
        <v>m</v>
      </c>
      <c r="BH2245" s="254"/>
      <c r="BI2245" s="254"/>
    </row>
    <row r="2246" spans="1:61" customFormat="1" ht="18" x14ac:dyDescent="0.25">
      <c r="A2246" s="523" t="s">
        <v>1270</v>
      </c>
      <c r="B2246" s="235"/>
      <c r="C2246" s="676"/>
      <c r="D2246" s="255" t="s">
        <v>1271</v>
      </c>
      <c r="E2246" s="236"/>
      <c r="F2246" s="236"/>
      <c r="G2246" s="236"/>
      <c r="H2246" s="582" t="s">
        <v>474</v>
      </c>
      <c r="I2246" s="498" t="s">
        <v>3113</v>
      </c>
      <c r="J2246" s="237"/>
      <c r="K2246" s="237"/>
      <c r="L2246" s="274"/>
      <c r="M2246" s="668" t="s">
        <v>4975</v>
      </c>
      <c r="N2246" s="681" t="str">
        <f>IF(AND(ISTEXT($A2246), ISERROR($A2246+0)), HYPERLINK($BF2246, "Images"), "")</f>
        <v>Images</v>
      </c>
      <c r="O2246" s="663" t="s">
        <v>4967</v>
      </c>
      <c r="P2246" s="253"/>
      <c r="Q2246" s="238"/>
      <c r="R2246" s="239"/>
      <c r="S2246" s="275"/>
      <c r="T2246" s="508">
        <f t="shared" si="1698"/>
        <v>0</v>
      </c>
      <c r="U2246" s="225" t="str">
        <f>IF(NOT(ISNUMBER(G2246)), "", VLOOKUP(A2246,'Discount Lookup'!D:E,2,FALSE)*G2246)</f>
        <v/>
      </c>
      <c r="V2246" s="225" t="str">
        <f>IF(NOT(ISNUMBER(G2246)), "", VLOOKUP(A2246,'Discount Lookup'!G:H,2,FALSE)*G2246)</f>
        <v/>
      </c>
      <c r="W2246" s="508">
        <f t="shared" si="1699"/>
        <v>0</v>
      </c>
      <c r="X2246" s="508" t="str">
        <f t="shared" si="1700"/>
        <v>White bloom ages to Pink</v>
      </c>
      <c r="Y2246" s="509" t="b">
        <f t="shared" si="1701"/>
        <v>0</v>
      </c>
      <c r="Z2246" s="510">
        <f t="shared" si="1702"/>
        <v>0</v>
      </c>
      <c r="AA2246" s="511"/>
      <c r="AB2246" s="511" t="str">
        <f t="shared" si="1703"/>
        <v/>
      </c>
      <c r="AC2246" s="698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698"/>
      <c r="AE2246" s="631" t="str">
        <f t="shared" si="1704"/>
        <v/>
      </c>
      <c r="AF2246" s="699" t="str">
        <f t="shared" si="1705"/>
        <v/>
      </c>
      <c r="AG2246" s="699"/>
      <c r="AH2246" s="699"/>
      <c r="AI2246" s="512">
        <f>IF(H2246="credit",0,IF(AE2246="free",0,IF(AE2246="me",0,IF(G2246&gt;0,(VLOOKUP(A2246,'Discount Lookup'!J:K,2)*G2246),0))))</f>
        <v>0</v>
      </c>
      <c r="AJ2246" s="513" t="str">
        <f t="shared" ca="1" si="1706"/>
        <v/>
      </c>
      <c r="AK2246" s="700" t="str">
        <f t="shared" si="1707"/>
        <v/>
      </c>
      <c r="AL2246" s="700"/>
      <c r="AM2246" s="505" t="str">
        <f t="shared" si="1708"/>
        <v/>
      </c>
      <c r="AN2246" s="506"/>
      <c r="AO2246" s="507"/>
      <c r="AP2246" s="507"/>
      <c r="AQ2246" s="507"/>
      <c r="AR2246" s="507"/>
      <c r="AS2246" s="507"/>
      <c r="AT2246" s="507"/>
      <c r="AU2246" s="507"/>
      <c r="AV2246" s="225"/>
      <c r="AW2246" s="508"/>
      <c r="AX2246" s="225"/>
      <c r="AY2246" s="225"/>
      <c r="AZ2246" s="225"/>
      <c r="BA2246" s="225"/>
      <c r="BB2246" s="225"/>
      <c r="BC2246" s="56"/>
      <c r="BD2246" s="56"/>
      <c r="BE2246" s="56"/>
      <c r="BF2246" s="107" t="str">
        <f t="shared" si="1709"/>
        <v>https://www.google.com/search?tbm=isch&amp;q=Little%20Hottie%20Hydrangea%20Hyd.%20paniculata%20%27Bailpanone%27%20PP%2332549</v>
      </c>
      <c r="BG2246" s="107" t="str">
        <f t="shared" si="1710"/>
        <v>L</v>
      </c>
      <c r="BH2246" s="254"/>
      <c r="BI2246" s="254"/>
    </row>
    <row r="2247" spans="1:61" customFormat="1" ht="27" x14ac:dyDescent="0.25">
      <c r="A2247" s="276">
        <v>3</v>
      </c>
      <c r="B2247" s="240" t="s">
        <v>291</v>
      </c>
      <c r="C2247" s="241" t="s">
        <v>4778</v>
      </c>
      <c r="D2247" s="242" t="s">
        <v>292</v>
      </c>
      <c r="E2247" s="243">
        <v>50.95</v>
      </c>
      <c r="F2247" s="517" t="s">
        <v>293</v>
      </c>
      <c r="G2247" s="232">
        <v>0</v>
      </c>
      <c r="H2247" s="661" t="str">
        <f>IF(G2247=0,"",IF(F2247="Buy",IF(G2247=1,"plant","plants"),IF(F2247&gt;0.01,"warranty","Error")))</f>
        <v/>
      </c>
      <c r="I2247" s="244">
        <f>IF(H2247="free",0,IF(H2247="credit",((E2247*(F2247))*G2247*-1),IF(F2247="Buy",(E2247*G2247),((E2247*(1-F2247))*G2247))))</f>
        <v>0</v>
      </c>
      <c r="J2247" s="244">
        <f>IF(H2247="warranty",0,(I2247*(_xlfn.SINGLE(SalesTaxPercentage))))</f>
        <v>0</v>
      </c>
      <c r="K2247" s="696">
        <f t="shared" ref="K2247" si="1757">I2247+J2247</f>
        <v>0</v>
      </c>
      <c r="L2247" s="696"/>
      <c r="M2247" s="659" t="str">
        <f>IF(AND(G2247&gt;0,E2247=0),"WARNING - no PRICE inserted",IF(H2247="free"," FREE ~ no charge this plant",IF(H2247="credit",CONCATENATE(" -$",ROUND(K2247*(1-T2GDiscount)*-1,2)," CREDIT after discount"),IF(T2GDiscount=0,"",IF(G2247=0,"",IF(F2247="Buy",CONCATENATE(" $",ROUND(K2247*(1-T2GDiscount),2)," with ",(T2GDiscount*100),"% discount"),CONCATENATE(" $",ROUND(K2247*(1-T2GDiscount),2)," with ",((T2GDiscount*100+F2247*100)-(T2GDiscount*100*F2247)),IF(F2247&gt;0,"% discounts",IF(NoWarrantyDiscount&gt;0,"% discounts","% discount")))))))))</f>
        <v/>
      </c>
      <c r="N2247" s="660"/>
      <c r="O2247" s="233"/>
      <c r="P2247" s="233"/>
      <c r="Q2247" s="233"/>
      <c r="R2247" s="233"/>
      <c r="S2247" s="233"/>
      <c r="T2247" s="508">
        <f t="shared" si="1698"/>
        <v>0</v>
      </c>
      <c r="U2247" s="225">
        <f>IF(NOT(ISNUMBER(G2247)), "", VLOOKUP(A2247,'Discount Lookup'!D:E,2,FALSE)*G2247)</f>
        <v>0</v>
      </c>
      <c r="V2247" s="225">
        <f>IF(NOT(ISNUMBER(G2247)), "", VLOOKUP(A2247,'Discount Lookup'!G:H,2,FALSE)*G2247)</f>
        <v>0</v>
      </c>
      <c r="W2247" s="508">
        <f t="shared" si="1699"/>
        <v>0</v>
      </c>
      <c r="X2247" s="508">
        <f t="shared" si="1700"/>
        <v>0</v>
      </c>
      <c r="Y2247" s="509" t="b">
        <f t="shared" si="1701"/>
        <v>0</v>
      </c>
      <c r="Z2247" s="510">
        <f t="shared" si="1702"/>
        <v>0</v>
      </c>
      <c r="AA2247" s="511"/>
      <c r="AB2247" s="511" t="str">
        <f t="shared" si="1703"/>
        <v/>
      </c>
      <c r="AC2247" s="698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698"/>
      <c r="AE2247" s="631" t="str">
        <f t="shared" si="1704"/>
        <v/>
      </c>
      <c r="AF2247" s="699" t="str">
        <f t="shared" si="1705"/>
        <v/>
      </c>
      <c r="AG2247" s="699"/>
      <c r="AH2247" s="699"/>
      <c r="AI2247" s="512">
        <f>IF(H2247="credit",0,IF(AE2247="free",0,IF(AE2247="me",0,IF(G2247&gt;0,(VLOOKUP(A2247,'Discount Lookup'!J:K,2)*G2247),0))))</f>
        <v>0</v>
      </c>
      <c r="AJ2247" s="513" t="str">
        <f t="shared" ca="1" si="1706"/>
        <v/>
      </c>
      <c r="AK2247" s="700" t="str">
        <f t="shared" si="1707"/>
        <v/>
      </c>
      <c r="AL2247" s="700"/>
      <c r="AM2247" s="505" t="str">
        <f t="shared" si="1708"/>
        <v/>
      </c>
      <c r="AN2247" s="506"/>
      <c r="AO2247" s="507"/>
      <c r="AP2247" s="507"/>
      <c r="AQ2247" s="507"/>
      <c r="AR2247" s="507"/>
      <c r="AS2247" s="507"/>
      <c r="AT2247" s="507"/>
      <c r="AU2247" s="507"/>
      <c r="AV2247" s="225"/>
      <c r="AW2247" s="508"/>
      <c r="AX2247" s="225"/>
      <c r="AY2247" s="225"/>
      <c r="AZ2247" s="225"/>
      <c r="BA2247" s="225"/>
      <c r="BB2247" s="225"/>
      <c r="BC2247" s="56"/>
      <c r="BD2247" s="56"/>
      <c r="BE2247" s="56"/>
      <c r="BF2247" s="107" t="str">
        <f t="shared" si="1709"/>
        <v>https://www.google.com/search?tbm=isch&amp;q=3%20G4</v>
      </c>
      <c r="BG2247" s="107" t="str">
        <f t="shared" si="1710"/>
        <v>L</v>
      </c>
      <c r="BH2247" s="254"/>
      <c r="BI2247" s="254"/>
    </row>
    <row r="2248" spans="1:61" customFormat="1" ht="15.75" x14ac:dyDescent="0.25">
      <c r="A2248" s="276">
        <v>7</v>
      </c>
      <c r="B2248" s="240" t="s">
        <v>291</v>
      </c>
      <c r="C2248" s="241" t="s">
        <v>3620</v>
      </c>
      <c r="D2248" s="242" t="s">
        <v>292</v>
      </c>
      <c r="E2248" s="243">
        <v>91.95</v>
      </c>
      <c r="F2248" s="517" t="s">
        <v>293</v>
      </c>
      <c r="G2248" s="232">
        <v>0</v>
      </c>
      <c r="H2248" s="661" t="str">
        <f>IF(G2248=0,"",IF(F2248="Buy",IF(G2248=1,"plant","plants"),IF(F2248&gt;0.01,"warranty","Error")))</f>
        <v/>
      </c>
      <c r="I2248" s="244">
        <f>IF(H2248="free",0,IF(H2248="credit",((E2248*(F2248))*G2248*-1),IF(F2248="Buy",(E2248*G2248),((E2248*(1-F2248))*G2248))))</f>
        <v>0</v>
      </c>
      <c r="J2248" s="244">
        <f>IF(H2248="warranty",0,(I2248*(_xlfn.SINGLE(SalesTaxPercentage))))</f>
        <v>0</v>
      </c>
      <c r="K2248" s="696">
        <f t="shared" ref="K2248" si="1758">I2248+J2248</f>
        <v>0</v>
      </c>
      <c r="L2248" s="696"/>
      <c r="M2248" s="659" t="str">
        <f>IF(AND(G2248&gt;0,E2248=0),"WARNING - no PRICE inserted",IF(H2248="free"," FREE ~ no charge this plant",IF(H2248="credit",CONCATENATE(" -$",ROUND(K2248*(1-T2GDiscount)*-1,2)," CREDIT after discount"),IF(T2GDiscount=0,"",IF(G2248=0,"",IF(F2248="Buy",CONCATENATE(" $",ROUND(K2248*(1-T2GDiscount),2)," with ",(T2GDiscount*100),"% discount"),CONCATENATE(" $",ROUND(K2248*(1-T2GDiscount),2)," with ",((T2GDiscount*100+F2248*100)-(T2GDiscount*100*F2248)),IF(F2248&gt;0,"% discounts",IF(NoWarrantyDiscount&gt;0,"% discounts","% discount")))))))))</f>
        <v/>
      </c>
      <c r="N2248" s="660"/>
      <c r="O2248" s="233"/>
      <c r="P2248" s="233"/>
      <c r="Q2248" s="233"/>
      <c r="R2248" s="233"/>
      <c r="S2248" s="233"/>
      <c r="T2248" s="508">
        <f t="shared" si="1698"/>
        <v>0</v>
      </c>
      <c r="U2248" s="225">
        <f>IF(NOT(ISNUMBER(G2248)), "", VLOOKUP(A2248,'Discount Lookup'!D:E,2,FALSE)*G2248)</f>
        <v>0</v>
      </c>
      <c r="V2248" s="225">
        <f>IF(NOT(ISNUMBER(G2248)), "", VLOOKUP(A2248,'Discount Lookup'!G:H,2,FALSE)*G2248)</f>
        <v>0</v>
      </c>
      <c r="W2248" s="508">
        <f t="shared" si="1699"/>
        <v>0</v>
      </c>
      <c r="X2248" s="508">
        <f t="shared" si="1700"/>
        <v>0</v>
      </c>
      <c r="Y2248" s="509" t="b">
        <f t="shared" si="1701"/>
        <v>0</v>
      </c>
      <c r="Z2248" s="510">
        <f t="shared" si="1702"/>
        <v>0</v>
      </c>
      <c r="AA2248" s="511"/>
      <c r="AB2248" s="511" t="str">
        <f t="shared" si="1703"/>
        <v/>
      </c>
      <c r="AC2248" s="698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698"/>
      <c r="AE2248" s="631" t="str">
        <f t="shared" si="1704"/>
        <v/>
      </c>
      <c r="AF2248" s="699" t="str">
        <f t="shared" si="1705"/>
        <v/>
      </c>
      <c r="AG2248" s="699"/>
      <c r="AH2248" s="699"/>
      <c r="AI2248" s="512">
        <f>IF(H2248="credit",0,IF(AE2248="free",0,IF(AE2248="me",0,IF(G2248&gt;0,(VLOOKUP(A2248,'Discount Lookup'!J:K,2)*G2248),0))))</f>
        <v>0</v>
      </c>
      <c r="AJ2248" s="513" t="str">
        <f t="shared" ca="1" si="1706"/>
        <v/>
      </c>
      <c r="AK2248" s="700" t="str">
        <f t="shared" si="1707"/>
        <v/>
      </c>
      <c r="AL2248" s="700"/>
      <c r="AM2248" s="505" t="str">
        <f t="shared" si="1708"/>
        <v/>
      </c>
      <c r="AN2248" s="506"/>
      <c r="AO2248" s="507"/>
      <c r="AP2248" s="507"/>
      <c r="AQ2248" s="507"/>
      <c r="AR2248" s="507"/>
      <c r="AS2248" s="507"/>
      <c r="AT2248" s="507"/>
      <c r="AU2248" s="507"/>
      <c r="AV2248" s="225"/>
      <c r="AW2248" s="508"/>
      <c r="AX2248" s="225"/>
      <c r="AY2248" s="225"/>
      <c r="AZ2248" s="225"/>
      <c r="BA2248" s="225"/>
      <c r="BB2248" s="225"/>
      <c r="BC2248" s="56"/>
      <c r="BD2248" s="56"/>
      <c r="BE2248" s="56"/>
      <c r="BF2248" s="107" t="str">
        <f t="shared" si="1709"/>
        <v>https://www.google.com/search?tbm=isch&amp;q=7%20G4</v>
      </c>
      <c r="BG2248" s="107" t="str">
        <f t="shared" si="1710"/>
        <v>L</v>
      </c>
      <c r="BH2248" s="254"/>
      <c r="BI2248" s="254"/>
    </row>
    <row r="2249" spans="1:61" customFormat="1" ht="17.25" thickBot="1" x14ac:dyDescent="0.3">
      <c r="A2249" s="524" t="s">
        <v>3118</v>
      </c>
      <c r="B2249" s="245"/>
      <c r="C2249" s="677"/>
      <c r="D2249" s="499"/>
      <c r="E2249" s="499"/>
      <c r="F2249" s="500"/>
      <c r="G2249" s="501"/>
      <c r="H2249" s="502"/>
      <c r="I2249" s="246"/>
      <c r="J2249" s="247"/>
      <c r="K2249" s="503"/>
      <c r="L2249" s="544"/>
      <c r="M2249" s="544"/>
      <c r="N2249" s="500"/>
      <c r="O2249" s="500"/>
      <c r="P2249" s="500"/>
      <c r="Q2249" s="500"/>
      <c r="R2249" s="500"/>
      <c r="S2249" s="278"/>
      <c r="T2249" s="508">
        <f t="shared" si="1698"/>
        <v>0</v>
      </c>
      <c r="U2249" s="225" t="str">
        <f>IF(NOT(ISNUMBER(G2249)), "", VLOOKUP(A2249,'Discount Lookup'!D:E,2,FALSE)*G2249)</f>
        <v/>
      </c>
      <c r="V2249" s="225" t="str">
        <f>IF(NOT(ISNUMBER(G2249)), "", VLOOKUP(A2249,'Discount Lookup'!G:H,2,FALSE)*G2249)</f>
        <v/>
      </c>
      <c r="W2249" s="508">
        <f t="shared" si="1699"/>
        <v>0</v>
      </c>
      <c r="X2249" s="508">
        <f t="shared" si="1700"/>
        <v>0</v>
      </c>
      <c r="Y2249" s="509" t="b">
        <f t="shared" si="1701"/>
        <v>0</v>
      </c>
      <c r="Z2249" s="510">
        <f t="shared" si="1702"/>
        <v>0</v>
      </c>
      <c r="AA2249" s="511"/>
      <c r="AB2249" s="511" t="str">
        <f t="shared" si="1703"/>
        <v/>
      </c>
      <c r="AC2249" s="698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698"/>
      <c r="AE2249" s="631" t="str">
        <f t="shared" si="1704"/>
        <v/>
      </c>
      <c r="AF2249" s="699" t="str">
        <f t="shared" si="1705"/>
        <v/>
      </c>
      <c r="AG2249" s="699"/>
      <c r="AH2249" s="699"/>
      <c r="AI2249" s="512">
        <f>IF(H2249="credit",0,IF(AE2249="free",0,IF(AE2249="me",0,IF(G2249&gt;0,(VLOOKUP(A2249,'Discount Lookup'!J:K,2)*G2249),0))))</f>
        <v>0</v>
      </c>
      <c r="AJ2249" s="513" t="str">
        <f t="shared" ca="1" si="1706"/>
        <v/>
      </c>
      <c r="AK2249" s="700" t="str">
        <f t="shared" si="1707"/>
        <v/>
      </c>
      <c r="AL2249" s="700"/>
      <c r="AM2249" s="505" t="str">
        <f t="shared" si="1708"/>
        <v/>
      </c>
      <c r="AN2249" s="506"/>
      <c r="AO2249" s="507"/>
      <c r="AP2249" s="507"/>
      <c r="AQ2249" s="507"/>
      <c r="AR2249" s="507"/>
      <c r="AS2249" s="507"/>
      <c r="AT2249" s="507"/>
      <c r="AU2249" s="507"/>
      <c r="AV2249" s="225"/>
      <c r="AW2249" s="508"/>
      <c r="AX2249" s="225"/>
      <c r="AY2249" s="225"/>
      <c r="AZ2249" s="225"/>
      <c r="BA2249" s="225"/>
      <c r="BB2249" s="225"/>
      <c r="BC2249" s="56"/>
      <c r="BD2249" s="56"/>
      <c r="BE2249" s="56"/>
      <c r="BF2249" s="107" t="str">
        <f t="shared" si="1709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249" s="107" t="str">
        <f t="shared" si="1710"/>
        <v>L</v>
      </c>
      <c r="BH2249" s="254"/>
      <c r="BI2249" s="254"/>
    </row>
    <row r="2250" spans="1:61" customFormat="1" ht="18" x14ac:dyDescent="0.25">
      <c r="A2250" s="523" t="s">
        <v>1272</v>
      </c>
      <c r="B2250" s="235"/>
      <c r="C2250" s="676"/>
      <c r="D2250" s="255" t="s">
        <v>1273</v>
      </c>
      <c r="E2250" s="236"/>
      <c r="F2250" s="236"/>
      <c r="G2250" s="236"/>
      <c r="H2250" s="582" t="s">
        <v>769</v>
      </c>
      <c r="I2250" s="498" t="s">
        <v>2093</v>
      </c>
      <c r="J2250" s="237"/>
      <c r="K2250" s="237"/>
      <c r="L2250" s="274"/>
      <c r="M2250" s="668" t="s">
        <v>4962</v>
      </c>
      <c r="N2250" s="681" t="str">
        <f>IF(AND(ISTEXT($A2250), ISERROR($A2250+0)), HYPERLINK($BF2250, "Images"), "")</f>
        <v>Images</v>
      </c>
      <c r="O2250" s="663" t="s">
        <v>4969</v>
      </c>
      <c r="P2250" s="253"/>
      <c r="Q2250" s="238"/>
      <c r="R2250" s="239"/>
      <c r="S2250" s="275" t="s">
        <v>305</v>
      </c>
      <c r="T2250" s="508">
        <f t="shared" si="1698"/>
        <v>0</v>
      </c>
      <c r="U2250" s="225" t="str">
        <f>IF(NOT(ISNUMBER(G2250)), "", VLOOKUP(A2250,'Discount Lookup'!D:E,2,FALSE)*G2250)</f>
        <v/>
      </c>
      <c r="V2250" s="225" t="str">
        <f>IF(NOT(ISNUMBER(G2250)), "", VLOOKUP(A2250,'Discount Lookup'!G:H,2,FALSE)*G2250)</f>
        <v/>
      </c>
      <c r="W2250" s="508">
        <f t="shared" si="1699"/>
        <v>0</v>
      </c>
      <c r="X2250" s="508" t="str">
        <f t="shared" si="1700"/>
        <v>Dark Green foliage</v>
      </c>
      <c r="Y2250" s="509" t="b">
        <f t="shared" si="1701"/>
        <v>0</v>
      </c>
      <c r="Z2250" s="510">
        <f t="shared" si="1702"/>
        <v>0</v>
      </c>
      <c r="AA2250" s="511"/>
      <c r="AB2250" s="511" t="str">
        <f t="shared" si="1703"/>
        <v/>
      </c>
      <c r="AC2250" s="698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698"/>
      <c r="AE2250" s="631" t="str">
        <f t="shared" si="1704"/>
        <v/>
      </c>
      <c r="AF2250" s="699" t="str">
        <f t="shared" si="1705"/>
        <v/>
      </c>
      <c r="AG2250" s="699"/>
      <c r="AH2250" s="699"/>
      <c r="AI2250" s="512">
        <f>IF(H2250="credit",0,IF(AE2250="free",0,IF(AE2250="me",0,IF(G2250&gt;0,(VLOOKUP(A2250,'Discount Lookup'!J:K,2)*G2250),0))))</f>
        <v>0</v>
      </c>
      <c r="AJ2250" s="513" t="str">
        <f t="shared" ca="1" si="1706"/>
        <v/>
      </c>
      <c r="AK2250" s="700" t="str">
        <f t="shared" si="1707"/>
        <v/>
      </c>
      <c r="AL2250" s="700"/>
      <c r="AM2250" s="505" t="str">
        <f t="shared" si="1708"/>
        <v/>
      </c>
      <c r="AN2250" s="506"/>
      <c r="AO2250" s="507"/>
      <c r="AP2250" s="507"/>
      <c r="AQ2250" s="507"/>
      <c r="AR2250" s="507"/>
      <c r="AS2250" s="507"/>
      <c r="AT2250" s="507"/>
      <c r="AU2250" s="507"/>
      <c r="AV2250" s="225"/>
      <c r="AW2250" s="508"/>
      <c r="AX2250" s="225"/>
      <c r="AY2250" s="225"/>
      <c r="AZ2250" s="225"/>
      <c r="BA2250" s="225"/>
      <c r="BB2250" s="225"/>
      <c r="BC2250" s="56"/>
      <c r="BD2250" s="56"/>
      <c r="BE2250" s="56"/>
      <c r="BF2250" s="107" t="str">
        <f t="shared" si="1709"/>
        <v>https://www.google.com/search?tbm=isch&amp;q=Little%20King%20Dwarf%20River%20Birch%20Betula%20nigra%20%27Little%20King%27</v>
      </c>
      <c r="BG2250" s="107" t="str">
        <f t="shared" si="1710"/>
        <v>L</v>
      </c>
      <c r="BH2250" s="254"/>
      <c r="BI2250" s="254"/>
    </row>
    <row r="2251" spans="1:61" customFormat="1" ht="15.75" x14ac:dyDescent="0.25">
      <c r="A2251" s="276">
        <v>7</v>
      </c>
      <c r="B2251" s="240" t="s">
        <v>291</v>
      </c>
      <c r="C2251" s="241" t="s">
        <v>3621</v>
      </c>
      <c r="D2251" s="242" t="s">
        <v>292</v>
      </c>
      <c r="E2251" s="243">
        <v>102.95</v>
      </c>
      <c r="F2251" s="517" t="s">
        <v>293</v>
      </c>
      <c r="G2251" s="232">
        <v>0</v>
      </c>
      <c r="H2251" s="661" t="str">
        <f>IF(G2251=0,"",IF(F2251="Buy",IF(G2251=1,"plant","plants"),IF(F2251&gt;0.01,"warranty","Error")))</f>
        <v/>
      </c>
      <c r="I2251" s="244">
        <f>IF(H2251="free",0,IF(H2251="credit",((E2251*(F2251))*G2251*-1),IF(F2251="Buy",(E2251*G2251),((E2251*(1-F2251))*G2251))))</f>
        <v>0</v>
      </c>
      <c r="J2251" s="244">
        <f>IF(H2251="warranty",0,(I2251*(_xlfn.SINGLE(SalesTaxPercentage))))</f>
        <v>0</v>
      </c>
      <c r="K2251" s="696">
        <f t="shared" ref="K2251" si="1759">I2251+J2251</f>
        <v>0</v>
      </c>
      <c r="L2251" s="696"/>
      <c r="M2251" s="659" t="str">
        <f>IF(AND(G2251&gt;0,E2251=0),"WARNING - no PRICE inserted",IF(H2251="free"," FREE ~ no charge this plant",IF(H2251="credit",CONCATENATE(" -$",ROUND(K2251*(1-T2GDiscount)*-1,2)," CREDIT after discount"),IF(T2GDiscount=0,"",IF(G2251=0,"",IF(F2251="Buy",CONCATENATE(" $",ROUND(K2251*(1-T2GDiscount),2)," with ",(T2GDiscount*100),"% discount"),CONCATENATE(" $",ROUND(K2251*(1-T2GDiscount),2)," with ",((T2GDiscount*100+F2251*100)-(T2GDiscount*100*F2251)),IF(F2251&gt;0,"% discounts",IF(NoWarrantyDiscount&gt;0,"% discounts","% discount")))))))))</f>
        <v/>
      </c>
      <c r="N2251" s="660"/>
      <c r="O2251" s="233"/>
      <c r="P2251" s="233"/>
      <c r="Q2251" s="233"/>
      <c r="R2251" s="233"/>
      <c r="S2251" s="233"/>
      <c r="T2251" s="508">
        <f t="shared" si="1698"/>
        <v>0</v>
      </c>
      <c r="U2251" s="225">
        <f>IF(NOT(ISNUMBER(G2251)), "", VLOOKUP(A2251,'Discount Lookup'!D:E,2,FALSE)*G2251)</f>
        <v>0</v>
      </c>
      <c r="V2251" s="225">
        <f>IF(NOT(ISNUMBER(G2251)), "", VLOOKUP(A2251,'Discount Lookup'!G:H,2,FALSE)*G2251)</f>
        <v>0</v>
      </c>
      <c r="W2251" s="508">
        <f t="shared" si="1699"/>
        <v>0</v>
      </c>
      <c r="X2251" s="508">
        <f t="shared" si="1700"/>
        <v>0</v>
      </c>
      <c r="Y2251" s="509" t="b">
        <f t="shared" si="1701"/>
        <v>0</v>
      </c>
      <c r="Z2251" s="510">
        <f t="shared" si="1702"/>
        <v>0</v>
      </c>
      <c r="AA2251" s="511"/>
      <c r="AB2251" s="511" t="str">
        <f t="shared" si="1703"/>
        <v/>
      </c>
      <c r="AC2251" s="698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698"/>
      <c r="AE2251" s="631" t="str">
        <f t="shared" si="1704"/>
        <v/>
      </c>
      <c r="AF2251" s="699" t="str">
        <f t="shared" si="1705"/>
        <v/>
      </c>
      <c r="AG2251" s="699"/>
      <c r="AH2251" s="699"/>
      <c r="AI2251" s="512">
        <f>IF(H2251="credit",0,IF(AE2251="free",0,IF(AE2251="me",0,IF(G2251&gt;0,(VLOOKUP(A2251,'Discount Lookup'!J:K,2)*G2251),0))))</f>
        <v>0</v>
      </c>
      <c r="AJ2251" s="513" t="str">
        <f t="shared" ca="1" si="1706"/>
        <v/>
      </c>
      <c r="AK2251" s="700" t="str">
        <f t="shared" si="1707"/>
        <v/>
      </c>
      <c r="AL2251" s="700"/>
      <c r="AM2251" s="505" t="str">
        <f t="shared" si="1708"/>
        <v/>
      </c>
      <c r="AN2251" s="506"/>
      <c r="AO2251" s="507"/>
      <c r="AP2251" s="507"/>
      <c r="AQ2251" s="507"/>
      <c r="AR2251" s="507"/>
      <c r="AS2251" s="507"/>
      <c r="AT2251" s="507"/>
      <c r="AU2251" s="507"/>
      <c r="AV2251" s="225"/>
      <c r="AW2251" s="508"/>
      <c r="AX2251" s="225"/>
      <c r="AY2251" s="225"/>
      <c r="AZ2251" s="225"/>
      <c r="BA2251" s="225"/>
      <c r="BB2251" s="225"/>
      <c r="BC2251" s="56"/>
      <c r="BD2251" s="56"/>
      <c r="BE2251" s="56"/>
      <c r="BF2251" s="107" t="str">
        <f t="shared" si="1709"/>
        <v>https://www.google.com/search?tbm=isch&amp;q=7%20G4</v>
      </c>
      <c r="BG2251" s="107" t="str">
        <f t="shared" si="1710"/>
        <v>L</v>
      </c>
      <c r="BH2251" s="254"/>
      <c r="BI2251" s="254"/>
    </row>
    <row r="2252" spans="1:61" customFormat="1" ht="15.75" x14ac:dyDescent="0.25">
      <c r="A2252" s="276">
        <v>15</v>
      </c>
      <c r="B2252" s="240" t="s">
        <v>291</v>
      </c>
      <c r="C2252" s="241" t="s">
        <v>3622</v>
      </c>
      <c r="D2252" s="242" t="s">
        <v>292</v>
      </c>
      <c r="E2252" s="243">
        <v>219.95</v>
      </c>
      <c r="F2252" s="517" t="s">
        <v>293</v>
      </c>
      <c r="G2252" s="232">
        <v>0</v>
      </c>
      <c r="H2252" s="661" t="str">
        <f>IF(G2252=0,"",IF(F2252="Buy",IF(G2252=1,"plant","plants"),IF(F2252&gt;0.01,"warranty","Error")))</f>
        <v/>
      </c>
      <c r="I2252" s="244">
        <f>IF(H2252="free",0,IF(H2252="credit",((E2252*(F2252))*G2252*-1),IF(F2252="Buy",(E2252*G2252),((E2252*(1-F2252))*G2252))))</f>
        <v>0</v>
      </c>
      <c r="J2252" s="244">
        <f>IF(H2252="warranty",0,(I2252*(_xlfn.SINGLE(SalesTaxPercentage))))</f>
        <v>0</v>
      </c>
      <c r="K2252" s="696">
        <f t="shared" ref="K2252" si="1760">I2252+J2252</f>
        <v>0</v>
      </c>
      <c r="L2252" s="696"/>
      <c r="M2252" s="659" t="str">
        <f>IF(AND(G2252&gt;0,E2252=0),"WARNING - no PRICE inserted",IF(H2252="free"," FREE ~ no charge this plant",IF(H2252="credit",CONCATENATE(" -$",ROUND(K2252*(1-T2GDiscount)*-1,2)," CREDIT after discount"),IF(T2GDiscount=0,"",IF(G2252=0,"",IF(F2252="Buy",CONCATENATE(" $",ROUND(K2252*(1-T2GDiscount),2)," with ",(T2GDiscount*100),"% discount"),CONCATENATE(" $",ROUND(K2252*(1-T2GDiscount),2)," with ",((T2GDiscount*100+F2252*100)-(T2GDiscount*100*F2252)),IF(F2252&gt;0,"% discounts",IF(NoWarrantyDiscount&gt;0,"% discounts","% discount")))))))))</f>
        <v/>
      </c>
      <c r="N2252" s="660"/>
      <c r="O2252" s="233"/>
      <c r="P2252" s="233"/>
      <c r="Q2252" s="233"/>
      <c r="R2252" s="233"/>
      <c r="S2252" s="233"/>
      <c r="T2252" s="508">
        <f t="shared" si="1698"/>
        <v>0</v>
      </c>
      <c r="U2252" s="225">
        <f>IF(NOT(ISNUMBER(G2252)), "", VLOOKUP(A2252,'Discount Lookup'!D:E,2,FALSE)*G2252)</f>
        <v>0</v>
      </c>
      <c r="V2252" s="225">
        <f>IF(NOT(ISNUMBER(G2252)), "", VLOOKUP(A2252,'Discount Lookup'!G:H,2,FALSE)*G2252)</f>
        <v>0</v>
      </c>
      <c r="W2252" s="508">
        <f t="shared" si="1699"/>
        <v>0</v>
      </c>
      <c r="X2252" s="508">
        <f t="shared" si="1700"/>
        <v>0</v>
      </c>
      <c r="Y2252" s="509" t="b">
        <f t="shared" si="1701"/>
        <v>0</v>
      </c>
      <c r="Z2252" s="510">
        <f t="shared" si="1702"/>
        <v>0</v>
      </c>
      <c r="AA2252" s="511"/>
      <c r="AB2252" s="511" t="str">
        <f t="shared" si="1703"/>
        <v/>
      </c>
      <c r="AC2252" s="698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698"/>
      <c r="AE2252" s="631" t="str">
        <f t="shared" si="1704"/>
        <v/>
      </c>
      <c r="AF2252" s="699" t="str">
        <f t="shared" si="1705"/>
        <v/>
      </c>
      <c r="AG2252" s="699"/>
      <c r="AH2252" s="699"/>
      <c r="AI2252" s="512">
        <f>IF(H2252="credit",0,IF(AE2252="free",0,IF(AE2252="me",0,IF(G2252&gt;0,(VLOOKUP(A2252,'Discount Lookup'!J:K,2)*G2252),0))))</f>
        <v>0</v>
      </c>
      <c r="AJ2252" s="513" t="str">
        <f t="shared" ca="1" si="1706"/>
        <v/>
      </c>
      <c r="AK2252" s="700" t="str">
        <f t="shared" si="1707"/>
        <v/>
      </c>
      <c r="AL2252" s="700"/>
      <c r="AM2252" s="505" t="str">
        <f t="shared" si="1708"/>
        <v/>
      </c>
      <c r="AN2252" s="506"/>
      <c r="AO2252" s="507"/>
      <c r="AP2252" s="507"/>
      <c r="AQ2252" s="507"/>
      <c r="AR2252" s="507"/>
      <c r="AS2252" s="507"/>
      <c r="AT2252" s="507"/>
      <c r="AU2252" s="507"/>
      <c r="AV2252" s="225"/>
      <c r="AW2252" s="508"/>
      <c r="AX2252" s="225"/>
      <c r="AY2252" s="225"/>
      <c r="AZ2252" s="225"/>
      <c r="BA2252" s="225"/>
      <c r="BB2252" s="225"/>
      <c r="BC2252" s="56"/>
      <c r="BD2252" s="56"/>
      <c r="BE2252" s="56"/>
      <c r="BF2252" s="107" t="str">
        <f t="shared" si="1709"/>
        <v>https://www.google.com/search?tbm=isch&amp;q=15%20G4</v>
      </c>
      <c r="BG2252" s="107" t="str">
        <f t="shared" si="1710"/>
        <v>L</v>
      </c>
      <c r="BH2252" s="254"/>
      <c r="BI2252" s="254"/>
    </row>
    <row r="2253" spans="1:61" customFormat="1" ht="27" x14ac:dyDescent="0.25">
      <c r="A2253" s="276">
        <v>15</v>
      </c>
      <c r="B2253" s="240" t="s">
        <v>291</v>
      </c>
      <c r="C2253" s="241" t="s">
        <v>3623</v>
      </c>
      <c r="D2253" s="242" t="s">
        <v>292</v>
      </c>
      <c r="E2253" s="243">
        <v>219.95</v>
      </c>
      <c r="F2253" s="517" t="s">
        <v>293</v>
      </c>
      <c r="G2253" s="232">
        <v>0</v>
      </c>
      <c r="H2253" s="661" t="str">
        <f>IF(G2253=0,"",IF(F2253="Buy",IF(G2253=1,"plant","plants"),IF(F2253&gt;0.01,"warranty","Error")))</f>
        <v/>
      </c>
      <c r="I2253" s="244">
        <f>IF(H2253="free",0,IF(H2253="credit",((E2253*(F2253))*G2253*-1),IF(F2253="Buy",(E2253*G2253),((E2253*(1-F2253))*G2253))))</f>
        <v>0</v>
      </c>
      <c r="J2253" s="244">
        <f>IF(H2253="warranty",0,(I2253*(_xlfn.SINGLE(SalesTaxPercentage))))</f>
        <v>0</v>
      </c>
      <c r="K2253" s="696">
        <f t="shared" ref="K2253" si="1761">I2253+J2253</f>
        <v>0</v>
      </c>
      <c r="L2253" s="696"/>
      <c r="M2253" s="659" t="str">
        <f>IF(AND(G2253&gt;0,E2253=0),"WARNING - no PRICE inserted",IF(H2253="free"," FREE ~ no charge this plant",IF(H2253="credit",CONCATENATE(" -$",ROUND(K2253*(1-T2GDiscount)*-1,2)," CREDIT after discount"),IF(T2GDiscount=0,"",IF(G2253=0,"",IF(F2253="Buy",CONCATENATE(" $",ROUND(K2253*(1-T2GDiscount),2)," with ",(T2GDiscount*100),"% discount"),CONCATENATE(" $",ROUND(K2253*(1-T2GDiscount),2)," with ",((T2GDiscount*100+F2253*100)-(T2GDiscount*100*F2253)),IF(F2253&gt;0,"% discounts",IF(NoWarrantyDiscount&gt;0,"% discounts","% discount")))))))))</f>
        <v/>
      </c>
      <c r="N2253" s="660"/>
      <c r="O2253" s="233"/>
      <c r="P2253" s="233"/>
      <c r="Q2253" s="233"/>
      <c r="R2253" s="233"/>
      <c r="S2253" s="233"/>
      <c r="T2253" s="508">
        <f t="shared" si="1698"/>
        <v>0</v>
      </c>
      <c r="U2253" s="225">
        <f>IF(NOT(ISNUMBER(G2253)), "", VLOOKUP(A2253,'Discount Lookup'!D:E,2,FALSE)*G2253)</f>
        <v>0</v>
      </c>
      <c r="V2253" s="225">
        <f>IF(NOT(ISNUMBER(G2253)), "", VLOOKUP(A2253,'Discount Lookup'!G:H,2,FALSE)*G2253)</f>
        <v>0</v>
      </c>
      <c r="W2253" s="508">
        <f t="shared" si="1699"/>
        <v>0</v>
      </c>
      <c r="X2253" s="508">
        <f t="shared" si="1700"/>
        <v>0</v>
      </c>
      <c r="Y2253" s="509" t="b">
        <f t="shared" si="1701"/>
        <v>0</v>
      </c>
      <c r="Z2253" s="510">
        <f t="shared" si="1702"/>
        <v>0</v>
      </c>
      <c r="AA2253" s="511"/>
      <c r="AB2253" s="511" t="str">
        <f t="shared" si="1703"/>
        <v/>
      </c>
      <c r="AC2253" s="698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698"/>
      <c r="AE2253" s="631" t="str">
        <f t="shared" si="1704"/>
        <v/>
      </c>
      <c r="AF2253" s="699" t="str">
        <f t="shared" si="1705"/>
        <v/>
      </c>
      <c r="AG2253" s="699"/>
      <c r="AH2253" s="699"/>
      <c r="AI2253" s="512">
        <f>IF(H2253="credit",0,IF(AE2253="free",0,IF(AE2253="me",0,IF(G2253&gt;0,(VLOOKUP(A2253,'Discount Lookup'!J:K,2)*G2253),0))))</f>
        <v>0</v>
      </c>
      <c r="AJ2253" s="513" t="str">
        <f t="shared" ca="1" si="1706"/>
        <v/>
      </c>
      <c r="AK2253" s="700" t="str">
        <f t="shared" si="1707"/>
        <v/>
      </c>
      <c r="AL2253" s="700"/>
      <c r="AM2253" s="505" t="str">
        <f t="shared" si="1708"/>
        <v/>
      </c>
      <c r="AN2253" s="506"/>
      <c r="AO2253" s="507"/>
      <c r="AP2253" s="507"/>
      <c r="AQ2253" s="507"/>
      <c r="AR2253" s="507"/>
      <c r="AS2253" s="507"/>
      <c r="AT2253" s="507"/>
      <c r="AU2253" s="507"/>
      <c r="AV2253" s="225"/>
      <c r="AW2253" s="508"/>
      <c r="AX2253" s="225"/>
      <c r="AY2253" s="225"/>
      <c r="AZ2253" s="225"/>
      <c r="BA2253" s="225"/>
      <c r="BB2253" s="225"/>
      <c r="BC2253" s="56"/>
      <c r="BD2253" s="56"/>
      <c r="BE2253" s="56"/>
      <c r="BF2253" s="107" t="str">
        <f t="shared" si="1709"/>
        <v>https://www.google.com/search?tbm=isch&amp;q=15%20G4</v>
      </c>
      <c r="BG2253" s="107" t="str">
        <f t="shared" si="1710"/>
        <v>L</v>
      </c>
      <c r="BH2253" s="254"/>
      <c r="BI2253" s="254"/>
    </row>
    <row r="2254" spans="1:61" customFormat="1" ht="27" x14ac:dyDescent="0.25">
      <c r="A2254" s="276">
        <v>25</v>
      </c>
      <c r="B2254" s="240" t="s">
        <v>291</v>
      </c>
      <c r="C2254" s="241" t="s">
        <v>3624</v>
      </c>
      <c r="D2254" s="242" t="s">
        <v>292</v>
      </c>
      <c r="E2254" s="243">
        <v>298.95</v>
      </c>
      <c r="F2254" s="517" t="s">
        <v>293</v>
      </c>
      <c r="G2254" s="232">
        <v>0</v>
      </c>
      <c r="H2254" s="661" t="str">
        <f>IF(G2254=0,"",IF(F2254="Buy",IF(G2254=1,"plant","plants"),IF(F2254&gt;0.01,"warranty","Error")))</f>
        <v/>
      </c>
      <c r="I2254" s="244">
        <f>IF(H2254="free",0,IF(H2254="credit",((E2254*(F2254))*G2254*-1),IF(F2254="Buy",(E2254*G2254),((E2254*(1-F2254))*G2254))))</f>
        <v>0</v>
      </c>
      <c r="J2254" s="244">
        <f>IF(H2254="warranty",0,(I2254*(_xlfn.SINGLE(SalesTaxPercentage))))</f>
        <v>0</v>
      </c>
      <c r="K2254" s="696">
        <f t="shared" ref="K2254" si="1762">I2254+J2254</f>
        <v>0</v>
      </c>
      <c r="L2254" s="696"/>
      <c r="M2254" s="659" t="str">
        <f>IF(AND(G2254&gt;0,E2254=0),"WARNING - no PRICE inserted",IF(H2254="free"," FREE ~ no charge this plant",IF(H2254="credit",CONCATENATE(" -$",ROUND(K2254*(1-T2GDiscount)*-1,2)," CREDIT after discount"),IF(T2GDiscount=0,"",IF(G2254=0,"",IF(F2254="Buy",CONCATENATE(" $",ROUND(K2254*(1-T2GDiscount),2)," with ",(T2GDiscount*100),"% discount"),CONCATENATE(" $",ROUND(K2254*(1-T2GDiscount),2)," with ",((T2GDiscount*100+F2254*100)-(T2GDiscount*100*F2254)),IF(F2254&gt;0,"% discounts",IF(NoWarrantyDiscount&gt;0,"% discounts","% discount")))))))))</f>
        <v/>
      </c>
      <c r="N2254" s="660"/>
      <c r="O2254" s="233"/>
      <c r="P2254" s="233"/>
      <c r="Q2254" s="233"/>
      <c r="R2254" s="233"/>
      <c r="S2254" s="233"/>
      <c r="T2254" s="508">
        <f t="shared" ref="T2254:T2317" si="1763">E2254*G2254</f>
        <v>0</v>
      </c>
      <c r="U2254" s="225">
        <f>IF(NOT(ISNUMBER(G2254)), "", VLOOKUP(A2254,'Discount Lookup'!D:E,2,FALSE)*G2254)</f>
        <v>0</v>
      </c>
      <c r="V2254" s="225">
        <f>IF(NOT(ISNUMBER(G2254)), "", VLOOKUP(A2254,'Discount Lookup'!G:H,2,FALSE)*G2254)</f>
        <v>0</v>
      </c>
      <c r="W2254" s="508">
        <f t="shared" ref="W2254:W2317" si="1764">IF(H2254="credit",0,E2254*(SalesTaxPercentage)*G2254)</f>
        <v>0</v>
      </c>
      <c r="X2254" s="508">
        <f t="shared" ref="X2254:X2317" si="1765">I2254</f>
        <v>0</v>
      </c>
      <c r="Y2254" s="509" t="b">
        <f t="shared" ref="Y2254:Y2317" si="1766">IF(AE2254="T2G",0,IF(H2254="credit",0,IF(G2254&gt;0,IF(AE2254="me","",G2254))))</f>
        <v>0</v>
      </c>
      <c r="Z2254" s="510">
        <f t="shared" ref="Z2254:Z2317" si="1767">IF(H2254="credit",G2254,0)</f>
        <v>0</v>
      </c>
      <c r="AA2254" s="511"/>
      <c r="AB2254" s="511" t="str">
        <f t="shared" ref="AB2254:AB2317" si="1768">IF(AE2254="T2G","by Trees2Go",IF(H2254="credit","CREDIT only ~",IF(AND(K2254="",AE2254=OR(PlanterYesMe="No",PlanterYesMe="N",PlanterYesMe="me")),"not THIS line⇨",IF(AND(K2254="images",AE2254="me"),"not THIS line⇨",IF(H2254="credit","",IF(G2254=0,"",IF(AE2254="me","",IF(OR(PlanterYesMe="No",PlanterYesMe="N",PlanterYesMe="me"),"",IF(AE2254="free","warranty",IF(OR(PlanterYesMe="yes",PlanterYesMe="y"),"Edison install:","to install:"))))))))))</f>
        <v/>
      </c>
      <c r="AC2254" s="698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698"/>
      <c r="AE2254" s="631" t="str">
        <f t="shared" ref="AE2254:AE2317" si="1769">IF(H2254="credit","",IF(G2254=0,"",IF(OR(PlanterYesMe="No",PlanterYesMe="N",PlanterYesMe="me"),"me",IF(H2254="warranty","free",IF(OR(PlanterYesMe="yes",PlanterYesMe="y"),"ELP","")))))</f>
        <v/>
      </c>
      <c r="AF2254" s="699" t="str">
        <f t="shared" ref="AF2254:AF2317" si="1770">IF(OR(PlanterYesMe="No",PlanterYesMe="N",PlanterYesMe="me"),"",IF(H2254="credit","",IF(G2254&gt;0,(CONCATENATE((G2254)," quantity, ",(A2254)," ",B2254)),"")))</f>
        <v/>
      </c>
      <c r="AG2254" s="699"/>
      <c r="AH2254" s="699"/>
      <c r="AI2254" s="512">
        <f>IF(H2254="credit",0,IF(AE2254="free",0,IF(AE2254="me",0,IF(G2254&gt;0,(VLOOKUP(A2254,'Discount Lookup'!J:K,2)*G2254),0))))</f>
        <v>0</v>
      </c>
      <c r="AJ2254" s="513" t="str">
        <f t="shared" ref="AJ2254:AJ2317" ca="1" si="1771">IF(AND(ISREF(H2254),H2254="credit"),"",IF(AND(AND(OFFSET(G2254,0,0)=0,OFFSET(G2254,1,0)&gt;0,ISNUMBER(OFFSET(AC2254,1,0)),OFFSET(AC2254,1,0)&gt;0),OR(PlanterYesMe="yes",PlanterYesMe="y")),"T2G+ELP=",IF(AND(OFFSET(G2254,0,0)=0,OFFSET(G2254,1,0)&gt;0,ISNUMBER(OFFSET(AC2254,1,0)),OFFSET(AC2254,1,0)&gt;0),"if T2G+ELP=",IF(AND(OFFSET(G2254,0,0)=0,OFFSET(G2254,1,0)&gt;0),"T2G Subtotal",IF(H2254="credit","",IF(G2254=0,"",IF(AE2254="free",(K2254*(1-T2GDiscount)),IF(OR(PlanterYesMe="No",PlanterYesMe="N",PlanterYesMe="me"),(K2254*(1-T2GDiscount)),IF(OR(AE2254="me",AE2254="T2G"),(K2254*(1-T2GDiscount)),(K2254*(1-T2GDiscount))+AC2254)))))))))</f>
        <v/>
      </c>
      <c r="AK2254" s="700" t="str">
        <f t="shared" ref="AK2254:AK2317" si="1772">IF(H2254="credit","",IF(G2254=0,"",IF(OR(AE2254="me",AE2254="T2G"),"  delivery-only",IF(OR(PlanterYesMe="No",PlanterYesMe="N",PlanterYesMe="me"),"  delivery-only",CONCATENATE(" $",ROUND(AJ2254/G2254,2)," each")))))</f>
        <v/>
      </c>
      <c r="AL2254" s="700"/>
      <c r="AM2254" s="505" t="str">
        <f t="shared" ref="AM2254:AM2317" si="1773">IF(H2254="credit","",IF(AE2254="free","      ~ discounts included, no tax or planting fee applies ~",IF(G2254=0,"",IF(OR(PlanterYesMe="No",PlanterYesMe="N",PlanterYesMe="me"),CONCATENATE(" $",ROUND(AJ2254/G2254,2)," per plant, with tax &amp; discount"),IF(OR(AE2254="me",AE2254="T2G"),CONCATENATE(" $",ROUND(AJ2254/G2254,2)," per plant, with tax &amp; discount"),CONCATENATE("= $",ROUND((K2254*(1-T2GDiscount))/G2254,2)," per plant + $",AC2254/G2254,(" per planting      ~ includes tax &amp; discounts ~")))))))</f>
        <v/>
      </c>
      <c r="AN2254" s="506"/>
      <c r="AO2254" s="507"/>
      <c r="AP2254" s="507"/>
      <c r="AQ2254" s="507"/>
      <c r="AR2254" s="507"/>
      <c r="AS2254" s="507"/>
      <c r="AT2254" s="507"/>
      <c r="AU2254" s="507"/>
      <c r="AV2254" s="225"/>
      <c r="AW2254" s="508"/>
      <c r="AX2254" s="225"/>
      <c r="AY2254" s="225"/>
      <c r="AZ2254" s="225"/>
      <c r="BA2254" s="225"/>
      <c r="BB2254" s="225"/>
      <c r="BC2254" s="56"/>
      <c r="BD2254" s="56"/>
      <c r="BE2254" s="56"/>
      <c r="BF2254" s="107" t="str">
        <f t="shared" ref="BF2254:BF2317" si="1774">"https://www.google.com/search?tbm=isch&amp;q=" &amp; _xlfn.ENCODEURL($A2254 &amp; " " &amp; $D2254)</f>
        <v>https://www.google.com/search?tbm=isch&amp;q=25%20G4</v>
      </c>
      <c r="BG2254" s="107" t="str">
        <f t="shared" ref="BG2254:BG2317" si="1775">IF(ISTEXT(A2254),LEFT(A2254,1),BG2253)</f>
        <v>L</v>
      </c>
      <c r="BH2254" s="254"/>
      <c r="BI2254" s="254"/>
    </row>
    <row r="2255" spans="1:61" customFormat="1" ht="17.25" thickBot="1" x14ac:dyDescent="0.3">
      <c r="A2255" s="673" t="s">
        <v>5165</v>
      </c>
      <c r="B2255" s="245"/>
      <c r="C2255" s="677"/>
      <c r="D2255" s="499"/>
      <c r="E2255" s="499"/>
      <c r="F2255" s="500"/>
      <c r="G2255" s="501"/>
      <c r="H2255" s="502"/>
      <c r="I2255" s="246"/>
      <c r="J2255" s="247"/>
      <c r="K2255" s="503"/>
      <c r="L2255" s="544"/>
      <c r="M2255" s="544"/>
      <c r="N2255" s="500"/>
      <c r="O2255" s="500"/>
      <c r="P2255" s="500"/>
      <c r="Q2255" s="500"/>
      <c r="R2255" s="500"/>
      <c r="S2255" s="669" t="s">
        <v>4972</v>
      </c>
      <c r="T2255" s="508">
        <f t="shared" si="1763"/>
        <v>0</v>
      </c>
      <c r="U2255" s="225" t="str">
        <f>IF(NOT(ISNUMBER(G2255)), "", VLOOKUP(A2255,'Discount Lookup'!D:E,2,FALSE)*G2255)</f>
        <v/>
      </c>
      <c r="V2255" s="225" t="str">
        <f>IF(NOT(ISNUMBER(G2255)), "", VLOOKUP(A2255,'Discount Lookup'!G:H,2,FALSE)*G2255)</f>
        <v/>
      </c>
      <c r="W2255" s="508">
        <f t="shared" si="1764"/>
        <v>0</v>
      </c>
      <c r="X2255" s="508">
        <f t="shared" si="1765"/>
        <v>0</v>
      </c>
      <c r="Y2255" s="509" t="b">
        <f t="shared" si="1766"/>
        <v>0</v>
      </c>
      <c r="Z2255" s="510">
        <f t="shared" si="1767"/>
        <v>0</v>
      </c>
      <c r="AA2255" s="511"/>
      <c r="AB2255" s="511" t="str">
        <f t="shared" si="1768"/>
        <v/>
      </c>
      <c r="AC2255" s="698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698"/>
      <c r="AE2255" s="631" t="str">
        <f t="shared" si="1769"/>
        <v/>
      </c>
      <c r="AF2255" s="699" t="str">
        <f t="shared" si="1770"/>
        <v/>
      </c>
      <c r="AG2255" s="699"/>
      <c r="AH2255" s="699"/>
      <c r="AI2255" s="512">
        <f>IF(H2255="credit",0,IF(AE2255="free",0,IF(AE2255="me",0,IF(G2255&gt;0,(VLOOKUP(A2255,'Discount Lookup'!J:K,2)*G2255),0))))</f>
        <v>0</v>
      </c>
      <c r="AJ2255" s="513" t="str">
        <f t="shared" ca="1" si="1771"/>
        <v/>
      </c>
      <c r="AK2255" s="700" t="str">
        <f t="shared" si="1772"/>
        <v/>
      </c>
      <c r="AL2255" s="700"/>
      <c r="AM2255" s="505" t="str">
        <f t="shared" si="1773"/>
        <v/>
      </c>
      <c r="AN2255" s="506"/>
      <c r="AO2255" s="507"/>
      <c r="AP2255" s="507"/>
      <c r="AQ2255" s="507"/>
      <c r="AR2255" s="507"/>
      <c r="AS2255" s="507"/>
      <c r="AT2255" s="507"/>
      <c r="AU2255" s="507"/>
      <c r="AV2255" s="225"/>
      <c r="AW2255" s="508"/>
      <c r="AX2255" s="225"/>
      <c r="AY2255" s="225"/>
      <c r="AZ2255" s="225"/>
      <c r="BA2255" s="225"/>
      <c r="BB2255" s="225"/>
      <c r="BC2255" s="56"/>
      <c r="BD2255" s="56"/>
      <c r="BE2255" s="56"/>
      <c r="BF2255" s="107" t="str">
        <f t="shared" si="1774"/>
        <v>https://www.google.com/search?tbm=isch&amp;q=moist%20sites%F0%9F%92%A7BEST%2C%20Little%20King%20has%20Creamy-White%20to%20Salmon-Pink%20to%20Reddish-Brown%20peeling%20bark.%20Yellow%20fall%20foliage.%20Tolerates%20drier%20soils%20</v>
      </c>
      <c r="BG2255" s="107" t="str">
        <f t="shared" si="1775"/>
        <v>m</v>
      </c>
      <c r="BH2255" s="254"/>
      <c r="BI2255" s="254"/>
    </row>
    <row r="2256" spans="1:61" customFormat="1" ht="18" x14ac:dyDescent="0.25">
      <c r="A2256" s="523" t="s">
        <v>4623</v>
      </c>
      <c r="B2256" s="235"/>
      <c r="C2256" s="676"/>
      <c r="D2256" s="255" t="s">
        <v>4624</v>
      </c>
      <c r="E2256" s="236"/>
      <c r="F2256" s="236"/>
      <c r="G2256" s="236"/>
      <c r="H2256" s="582" t="s">
        <v>507</v>
      </c>
      <c r="I2256" s="498" t="s">
        <v>4625</v>
      </c>
      <c r="J2256" s="237"/>
      <c r="K2256" s="237"/>
      <c r="L2256" s="274"/>
      <c r="M2256" s="668" t="s">
        <v>4962</v>
      </c>
      <c r="N2256" s="681" t="str">
        <f>IF(AND(ISTEXT($A2256), ISERROR($A2256+0)), HYPERLINK($BF2256, "Images"), "")</f>
        <v>Images</v>
      </c>
      <c r="O2256" s="663" t="s">
        <v>4969</v>
      </c>
      <c r="P2256" s="253"/>
      <c r="Q2256" s="238"/>
      <c r="R2256" s="239"/>
      <c r="S2256" s="275"/>
      <c r="T2256" s="508">
        <f t="shared" si="1763"/>
        <v>0</v>
      </c>
      <c r="U2256" s="225" t="str">
        <f>IF(NOT(ISNUMBER(G2256)), "", VLOOKUP(A2256,'Discount Lookup'!D:E,2,FALSE)*G2256)</f>
        <v/>
      </c>
      <c r="V2256" s="225" t="str">
        <f>IF(NOT(ISNUMBER(G2256)), "", VLOOKUP(A2256,'Discount Lookup'!G:H,2,FALSE)*G2256)</f>
        <v/>
      </c>
      <c r="W2256" s="508">
        <f t="shared" si="1764"/>
        <v>0</v>
      </c>
      <c r="X2256" s="508" t="str">
        <f t="shared" si="1765"/>
        <v>Silvery-Green blades</v>
      </c>
      <c r="Y2256" s="509" t="b">
        <f t="shared" si="1766"/>
        <v>0</v>
      </c>
      <c r="Z2256" s="510">
        <f t="shared" si="1767"/>
        <v>0</v>
      </c>
      <c r="AA2256" s="511"/>
      <c r="AB2256" s="511" t="str">
        <f t="shared" si="1768"/>
        <v/>
      </c>
      <c r="AC2256" s="698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698"/>
      <c r="AE2256" s="631" t="str">
        <f t="shared" si="1769"/>
        <v/>
      </c>
      <c r="AF2256" s="699" t="str">
        <f t="shared" si="1770"/>
        <v/>
      </c>
      <c r="AG2256" s="699"/>
      <c r="AH2256" s="699"/>
      <c r="AI2256" s="512">
        <f>IF(H2256="credit",0,IF(AE2256="free",0,IF(AE2256="me",0,IF(G2256&gt;0,(VLOOKUP(A2256,'Discount Lookup'!J:K,2)*G2256),0))))</f>
        <v>0</v>
      </c>
      <c r="AJ2256" s="513" t="str">
        <f t="shared" ca="1" si="1771"/>
        <v/>
      </c>
      <c r="AK2256" s="700" t="str">
        <f t="shared" si="1772"/>
        <v/>
      </c>
      <c r="AL2256" s="700"/>
      <c r="AM2256" s="505" t="str">
        <f t="shared" si="1773"/>
        <v/>
      </c>
      <c r="AN2256" s="506"/>
      <c r="AO2256" s="507"/>
      <c r="AP2256" s="507"/>
      <c r="AQ2256" s="507"/>
      <c r="AR2256" s="507"/>
      <c r="AS2256" s="507"/>
      <c r="AT2256" s="507"/>
      <c r="AU2256" s="507"/>
      <c r="AV2256" s="225"/>
      <c r="AW2256" s="508"/>
      <c r="AX2256" s="225"/>
      <c r="AY2256" s="225"/>
      <c r="AZ2256" s="225"/>
      <c r="BA2256" s="225"/>
      <c r="BB2256" s="225"/>
      <c r="BC2256" s="56"/>
      <c r="BD2256" s="56"/>
      <c r="BE2256" s="56"/>
      <c r="BF2256" s="107" t="str">
        <f t="shared" si="1774"/>
        <v>https://www.google.com/search?tbm=isch&amp;q=Little%20Kitten%20Maiden%20Grass%20Miscanthus%20sinensis%20%27Little%20Kitten%27</v>
      </c>
      <c r="BG2256" s="107" t="str">
        <f t="shared" si="1775"/>
        <v>L</v>
      </c>
      <c r="BH2256" s="254"/>
      <c r="BI2256" s="254"/>
    </row>
    <row r="2257" spans="1:61" customFormat="1" ht="15.75" x14ac:dyDescent="0.25">
      <c r="A2257" s="276">
        <v>1</v>
      </c>
      <c r="B2257" s="240" t="s">
        <v>291</v>
      </c>
      <c r="C2257" s="241"/>
      <c r="D2257" s="242" t="s">
        <v>312</v>
      </c>
      <c r="E2257" s="243">
        <v>13.95</v>
      </c>
      <c r="F2257" s="517" t="s">
        <v>293</v>
      </c>
      <c r="G2257" s="232">
        <v>0</v>
      </c>
      <c r="H2257" s="661" t="str">
        <f>IF(G2257=0,"",IF(F2257="Buy",IF(G2257=1,"plant","plants"),IF(F2257&gt;0.01,"warranty","Error")))</f>
        <v/>
      </c>
      <c r="I2257" s="244">
        <f>IF(H2257="free",0,IF(H2257="credit",((E2257*(F2257))*G2257*-1),IF(F2257="Buy",(E2257*G2257),((E2257*(1-F2257))*G2257))))</f>
        <v>0</v>
      </c>
      <c r="J2257" s="244">
        <f>IF(H2257="warranty",0,(I2257*(_xlfn.SINGLE(SalesTaxPercentage))))</f>
        <v>0</v>
      </c>
      <c r="K2257" s="696">
        <f t="shared" ref="K2257" si="1776">I2257+J2257</f>
        <v>0</v>
      </c>
      <c r="L2257" s="696"/>
      <c r="M2257" s="659" t="str">
        <f>IF(AND(G2257&gt;0,E2257=0),"WARNING - no PRICE inserted",IF(H2257="free"," FREE ~ no charge this plant",IF(H2257="credit",CONCATENATE(" -$",ROUND(K2257*(1-T2GDiscount)*-1,2)," CREDIT after discount"),IF(T2GDiscount=0,"",IF(G2257=0,"",IF(F2257="Buy",CONCATENATE(" $",ROUND(K2257*(1-T2GDiscount),2)," with ",(T2GDiscount*100),"% discount"),CONCATENATE(" $",ROUND(K2257*(1-T2GDiscount),2)," with ",((T2GDiscount*100+F2257*100)-(T2GDiscount*100*F2257)),IF(F2257&gt;0,"% discounts",IF(NoWarrantyDiscount&gt;0,"% discounts","% discount")))))))))</f>
        <v/>
      </c>
      <c r="N2257" s="660"/>
      <c r="O2257" s="233"/>
      <c r="P2257" s="233"/>
      <c r="Q2257" s="233"/>
      <c r="R2257" s="233"/>
      <c r="S2257" s="233"/>
      <c r="T2257" s="508">
        <f t="shared" si="1763"/>
        <v>0</v>
      </c>
      <c r="U2257" s="225">
        <f>IF(NOT(ISNUMBER(G2257)), "", VLOOKUP(A2257,'Discount Lookup'!D:E,2,FALSE)*G2257)</f>
        <v>0</v>
      </c>
      <c r="V2257" s="225">
        <f>IF(NOT(ISNUMBER(G2257)), "", VLOOKUP(A2257,'Discount Lookup'!G:H,2,FALSE)*G2257)</f>
        <v>0</v>
      </c>
      <c r="W2257" s="508">
        <f t="shared" si="1764"/>
        <v>0</v>
      </c>
      <c r="X2257" s="508">
        <f t="shared" si="1765"/>
        <v>0</v>
      </c>
      <c r="Y2257" s="509" t="b">
        <f t="shared" si="1766"/>
        <v>0</v>
      </c>
      <c r="Z2257" s="510">
        <f t="shared" si="1767"/>
        <v>0</v>
      </c>
      <c r="AA2257" s="511"/>
      <c r="AB2257" s="511" t="str">
        <f t="shared" si="1768"/>
        <v/>
      </c>
      <c r="AC2257" s="698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698"/>
      <c r="AE2257" s="631" t="str">
        <f t="shared" si="1769"/>
        <v/>
      </c>
      <c r="AF2257" s="699" t="str">
        <f t="shared" si="1770"/>
        <v/>
      </c>
      <c r="AG2257" s="699"/>
      <c r="AH2257" s="699"/>
      <c r="AI2257" s="512">
        <f>IF(H2257="credit",0,IF(AE2257="free",0,IF(AE2257="me",0,IF(G2257&gt;0,(VLOOKUP(A2257,'Discount Lookup'!J:K,2)*G2257),0))))</f>
        <v>0</v>
      </c>
      <c r="AJ2257" s="513" t="str">
        <f t="shared" ca="1" si="1771"/>
        <v/>
      </c>
      <c r="AK2257" s="700" t="str">
        <f t="shared" si="1772"/>
        <v/>
      </c>
      <c r="AL2257" s="700"/>
      <c r="AM2257" s="505" t="str">
        <f t="shared" si="1773"/>
        <v/>
      </c>
      <c r="AN2257" s="506"/>
      <c r="AO2257" s="507"/>
      <c r="AP2257" s="507"/>
      <c r="AQ2257" s="507"/>
      <c r="AR2257" s="507"/>
      <c r="AS2257" s="507"/>
      <c r="AT2257" s="507"/>
      <c r="AU2257" s="507"/>
      <c r="AV2257" s="225"/>
      <c r="AW2257" s="508"/>
      <c r="AX2257" s="225"/>
      <c r="AY2257" s="225"/>
      <c r="AZ2257" s="225"/>
      <c r="BA2257" s="225"/>
      <c r="BB2257" s="225"/>
      <c r="BC2257" s="56"/>
      <c r="BD2257" s="56"/>
      <c r="BE2257" s="56"/>
      <c r="BF2257" s="107" t="str">
        <f t="shared" si="1774"/>
        <v>https://www.google.com/search?tbm=isch&amp;q=1%20G2</v>
      </c>
      <c r="BG2257" s="107" t="str">
        <f t="shared" si="1775"/>
        <v>L</v>
      </c>
      <c r="BH2257" s="254"/>
      <c r="BI2257" s="254"/>
    </row>
    <row r="2258" spans="1:61" customFormat="1" ht="17.25" thickBot="1" x14ac:dyDescent="0.3">
      <c r="A2258" s="524" t="s">
        <v>4626</v>
      </c>
      <c r="B2258" s="245"/>
      <c r="C2258" s="677"/>
      <c r="D2258" s="499"/>
      <c r="E2258" s="499"/>
      <c r="F2258" s="500"/>
      <c r="G2258" s="501"/>
      <c r="H2258" s="502"/>
      <c r="I2258" s="246"/>
      <c r="J2258" s="247"/>
      <c r="K2258" s="503"/>
      <c r="L2258" s="544"/>
      <c r="M2258" s="544"/>
      <c r="N2258" s="500"/>
      <c r="O2258" s="500"/>
      <c r="P2258" s="500"/>
      <c r="Q2258" s="500"/>
      <c r="R2258" s="500"/>
      <c r="S2258" s="669" t="s">
        <v>4991</v>
      </c>
      <c r="T2258" s="508">
        <f t="shared" si="1763"/>
        <v>0</v>
      </c>
      <c r="U2258" s="225" t="str">
        <f>IF(NOT(ISNUMBER(G2258)), "", VLOOKUP(A2258,'Discount Lookup'!D:E,2,FALSE)*G2258)</f>
        <v/>
      </c>
      <c r="V2258" s="225" t="str">
        <f>IF(NOT(ISNUMBER(G2258)), "", VLOOKUP(A2258,'Discount Lookup'!G:H,2,FALSE)*G2258)</f>
        <v/>
      </c>
      <c r="W2258" s="508">
        <f t="shared" si="1764"/>
        <v>0</v>
      </c>
      <c r="X2258" s="508">
        <f t="shared" si="1765"/>
        <v>0</v>
      </c>
      <c r="Y2258" s="509" t="b">
        <f t="shared" si="1766"/>
        <v>0</v>
      </c>
      <c r="Z2258" s="510">
        <f t="shared" si="1767"/>
        <v>0</v>
      </c>
      <c r="AA2258" s="511"/>
      <c r="AB2258" s="511" t="str">
        <f t="shared" si="1768"/>
        <v/>
      </c>
      <c r="AC2258" s="698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698"/>
      <c r="AE2258" s="631" t="str">
        <f t="shared" si="1769"/>
        <v/>
      </c>
      <c r="AF2258" s="699" t="str">
        <f t="shared" si="1770"/>
        <v/>
      </c>
      <c r="AG2258" s="699"/>
      <c r="AH2258" s="699"/>
      <c r="AI2258" s="512">
        <f>IF(H2258="credit",0,IF(AE2258="free",0,IF(AE2258="me",0,IF(G2258&gt;0,(VLOOKUP(A2258,'Discount Lookup'!J:K,2)*G2258),0))))</f>
        <v>0</v>
      </c>
      <c r="AJ2258" s="513" t="str">
        <f t="shared" ca="1" si="1771"/>
        <v/>
      </c>
      <c r="AK2258" s="700" t="str">
        <f t="shared" si="1772"/>
        <v/>
      </c>
      <c r="AL2258" s="700"/>
      <c r="AM2258" s="505" t="str">
        <f t="shared" si="1773"/>
        <v/>
      </c>
      <c r="AN2258" s="506"/>
      <c r="AO2258" s="507"/>
      <c r="AP2258" s="507"/>
      <c r="AQ2258" s="507"/>
      <c r="AR2258" s="507"/>
      <c r="AS2258" s="507"/>
      <c r="AT2258" s="507"/>
      <c r="AU2258" s="507"/>
      <c r="AV2258" s="225"/>
      <c r="AW2258" s="508"/>
      <c r="AX2258" s="225"/>
      <c r="AY2258" s="225"/>
      <c r="AZ2258" s="225"/>
      <c r="BA2258" s="225"/>
      <c r="BB2258" s="225"/>
      <c r="BC2258" s="56"/>
      <c r="BD2258" s="56"/>
      <c r="BE2258" s="56"/>
      <c r="BF2258" s="107" t="str">
        <f t="shared" si="1774"/>
        <v>https://www.google.com/search?tbm=isch&amp;q=Little%20Kitten%27s%20graceful%20Silvery-White%20plumes%20emerge%20late%20summer%20with%20a%20Pink-Red%20flush%2C%20then%20turn%20Golden-Yellow%20to%20Tan%20for%20winter%20</v>
      </c>
      <c r="BG2258" s="107" t="str">
        <f t="shared" si="1775"/>
        <v>L</v>
      </c>
      <c r="BH2258" s="254"/>
      <c r="BI2258" s="254"/>
    </row>
    <row r="2259" spans="1:61" customFormat="1" ht="18" x14ac:dyDescent="0.25">
      <c r="A2259" s="523" t="s">
        <v>5604</v>
      </c>
      <c r="B2259" s="235"/>
      <c r="C2259" s="676"/>
      <c r="D2259" s="255" t="s">
        <v>4000</v>
      </c>
      <c r="E2259" s="236"/>
      <c r="F2259" s="236"/>
      <c r="G2259" s="236"/>
      <c r="H2259" s="582" t="s">
        <v>474</v>
      </c>
      <c r="I2259" s="498" t="s">
        <v>4001</v>
      </c>
      <c r="J2259" s="237"/>
      <c r="K2259" s="237"/>
      <c r="L2259" s="274"/>
      <c r="M2259" s="668" t="s">
        <v>4975</v>
      </c>
      <c r="N2259" s="681" t="str">
        <f>IF(AND(ISTEXT($A2259), ISERROR($A2259+0)), HYPERLINK($BF2259, "Images"), "")</f>
        <v>Images</v>
      </c>
      <c r="O2259" s="663" t="s">
        <v>4967</v>
      </c>
      <c r="P2259" s="253"/>
      <c r="Q2259" s="238"/>
      <c r="R2259" s="239"/>
      <c r="S2259" s="275"/>
      <c r="T2259" s="508">
        <f t="shared" si="1763"/>
        <v>0</v>
      </c>
      <c r="U2259" s="225" t="str">
        <f>IF(NOT(ISNUMBER(G2259)), "", VLOOKUP(A2259,'Discount Lookup'!D:E,2,FALSE)*G2259)</f>
        <v/>
      </c>
      <c r="V2259" s="225" t="str">
        <f>IF(NOT(ISNUMBER(G2259)), "", VLOOKUP(A2259,'Discount Lookup'!G:H,2,FALSE)*G2259)</f>
        <v/>
      </c>
      <c r="W2259" s="508">
        <f t="shared" si="1764"/>
        <v>0</v>
      </c>
      <c r="X2259" s="508" t="str">
        <f t="shared" si="1765"/>
        <v>Lime Green ages to Pink-Red</v>
      </c>
      <c r="Y2259" s="509" t="b">
        <f t="shared" si="1766"/>
        <v>0</v>
      </c>
      <c r="Z2259" s="510">
        <f t="shared" si="1767"/>
        <v>0</v>
      </c>
      <c r="AA2259" s="511"/>
      <c r="AB2259" s="511" t="str">
        <f t="shared" si="1768"/>
        <v/>
      </c>
      <c r="AC2259" s="698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698"/>
      <c r="AE2259" s="631" t="str">
        <f t="shared" si="1769"/>
        <v/>
      </c>
      <c r="AF2259" s="699" t="str">
        <f t="shared" si="1770"/>
        <v/>
      </c>
      <c r="AG2259" s="699"/>
      <c r="AH2259" s="699"/>
      <c r="AI2259" s="512">
        <f>IF(H2259="credit",0,IF(AE2259="free",0,IF(AE2259="me",0,IF(G2259&gt;0,(VLOOKUP(A2259,'Discount Lookup'!J:K,2)*G2259),0))))</f>
        <v>0</v>
      </c>
      <c r="AJ2259" s="513" t="str">
        <f t="shared" ca="1" si="1771"/>
        <v/>
      </c>
      <c r="AK2259" s="700" t="str">
        <f t="shared" si="1772"/>
        <v/>
      </c>
      <c r="AL2259" s="700"/>
      <c r="AM2259" s="505" t="str">
        <f t="shared" si="1773"/>
        <v/>
      </c>
      <c r="AN2259" s="506"/>
      <c r="AO2259" s="507"/>
      <c r="AP2259" s="507"/>
      <c r="AQ2259" s="507"/>
      <c r="AR2259" s="507"/>
      <c r="AS2259" s="507"/>
      <c r="AT2259" s="507"/>
      <c r="AU2259" s="507"/>
      <c r="AV2259" s="225"/>
      <c r="AW2259" s="508"/>
      <c r="AX2259" s="225"/>
      <c r="AY2259" s="225"/>
      <c r="AZ2259" s="225"/>
      <c r="BA2259" s="225"/>
      <c r="BB2259" s="225"/>
      <c r="BC2259" s="56"/>
      <c r="BD2259" s="56"/>
      <c r="BE2259" s="56"/>
      <c r="BF2259" s="107" t="str">
        <f t="shared" si="1774"/>
        <v>https://www.google.com/search?tbm=isch&amp;q=Little%20Lime%20Punch%C2%AE%20Hydrangea%20%28PW%C2%AE%29%20Hyd.%20paniculata%20%27SMNHPH%27%20PP%2333207</v>
      </c>
      <c r="BG2259" s="107" t="str">
        <f t="shared" si="1775"/>
        <v>L</v>
      </c>
      <c r="BH2259" s="254"/>
      <c r="BI2259" s="254"/>
    </row>
    <row r="2260" spans="1:61" customFormat="1" ht="15.75" x14ac:dyDescent="0.25">
      <c r="A2260" s="276">
        <v>3</v>
      </c>
      <c r="B2260" s="240" t="s">
        <v>291</v>
      </c>
      <c r="C2260" s="241" t="s">
        <v>4779</v>
      </c>
      <c r="D2260" s="242" t="s">
        <v>292</v>
      </c>
      <c r="E2260" s="243">
        <v>42.95</v>
      </c>
      <c r="F2260" s="517" t="s">
        <v>293</v>
      </c>
      <c r="G2260" s="232">
        <v>0</v>
      </c>
      <c r="H2260" s="661" t="str">
        <f>IF(G2260=0,"",IF(F2260="Buy",IF(G2260=1,"plant","plants"),IF(F2260&gt;0.01,"warranty","Error")))</f>
        <v/>
      </c>
      <c r="I2260" s="244">
        <f>IF(H2260="free",0,IF(H2260="credit",((E2260*(F2260))*G2260*-1),IF(F2260="Buy",(E2260*G2260),((E2260*(1-F2260))*G2260))))</f>
        <v>0</v>
      </c>
      <c r="J2260" s="244">
        <f>IF(H2260="warranty",0,(I2260*(_xlfn.SINGLE(SalesTaxPercentage))))</f>
        <v>0</v>
      </c>
      <c r="K2260" s="696">
        <f t="shared" ref="K2260" si="1777">I2260+J2260</f>
        <v>0</v>
      </c>
      <c r="L2260" s="696"/>
      <c r="M2260" s="659" t="str">
        <f>IF(AND(G2260&gt;0,E2260=0),"WARNING - no PRICE inserted",IF(H2260="free"," FREE ~ no charge this plant",IF(H2260="credit",CONCATENATE(" -$",ROUND(K2260*(1-T2GDiscount)*-1,2)," CREDIT after discount"),IF(T2GDiscount=0,"",IF(G2260=0,"",IF(F2260="Buy",CONCATENATE(" $",ROUND(K2260*(1-T2GDiscount),2)," with ",(T2GDiscount*100),"% discount"),CONCATENATE(" $",ROUND(K2260*(1-T2GDiscount),2)," with ",((T2GDiscount*100+F2260*100)-(T2GDiscount*100*F2260)),IF(F2260&gt;0,"% discounts",IF(NoWarrantyDiscount&gt;0,"% discounts","% discount")))))))))</f>
        <v/>
      </c>
      <c r="N2260" s="660"/>
      <c r="O2260" s="233"/>
      <c r="P2260" s="233"/>
      <c r="Q2260" s="233"/>
      <c r="R2260" s="233"/>
      <c r="S2260" s="233"/>
      <c r="T2260" s="508">
        <f t="shared" si="1763"/>
        <v>0</v>
      </c>
      <c r="U2260" s="225">
        <f>IF(NOT(ISNUMBER(G2260)), "", VLOOKUP(A2260,'Discount Lookup'!D:E,2,FALSE)*G2260)</f>
        <v>0</v>
      </c>
      <c r="V2260" s="225">
        <f>IF(NOT(ISNUMBER(G2260)), "", VLOOKUP(A2260,'Discount Lookup'!G:H,2,FALSE)*G2260)</f>
        <v>0</v>
      </c>
      <c r="W2260" s="508">
        <f t="shared" si="1764"/>
        <v>0</v>
      </c>
      <c r="X2260" s="508">
        <f t="shared" si="1765"/>
        <v>0</v>
      </c>
      <c r="Y2260" s="509" t="b">
        <f t="shared" si="1766"/>
        <v>0</v>
      </c>
      <c r="Z2260" s="510">
        <f t="shared" si="1767"/>
        <v>0</v>
      </c>
      <c r="AA2260" s="511"/>
      <c r="AB2260" s="511" t="str">
        <f t="shared" si="1768"/>
        <v/>
      </c>
      <c r="AC2260" s="698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698"/>
      <c r="AE2260" s="631" t="str">
        <f t="shared" si="1769"/>
        <v/>
      </c>
      <c r="AF2260" s="699" t="str">
        <f t="shared" si="1770"/>
        <v/>
      </c>
      <c r="AG2260" s="699"/>
      <c r="AH2260" s="699"/>
      <c r="AI2260" s="512">
        <f>IF(H2260="credit",0,IF(AE2260="free",0,IF(AE2260="me",0,IF(G2260&gt;0,(VLOOKUP(A2260,'Discount Lookup'!J:K,2)*G2260),0))))</f>
        <v>0</v>
      </c>
      <c r="AJ2260" s="513" t="str">
        <f t="shared" ca="1" si="1771"/>
        <v/>
      </c>
      <c r="AK2260" s="700" t="str">
        <f t="shared" si="1772"/>
        <v/>
      </c>
      <c r="AL2260" s="700"/>
      <c r="AM2260" s="505" t="str">
        <f t="shared" si="1773"/>
        <v/>
      </c>
      <c r="AN2260" s="506"/>
      <c r="AO2260" s="507"/>
      <c r="AP2260" s="507"/>
      <c r="AQ2260" s="507"/>
      <c r="AR2260" s="507"/>
      <c r="AS2260" s="507"/>
      <c r="AT2260" s="507"/>
      <c r="AU2260" s="507"/>
      <c r="AV2260" s="225"/>
      <c r="AW2260" s="508"/>
      <c r="AX2260" s="225"/>
      <c r="AY2260" s="225"/>
      <c r="AZ2260" s="225"/>
      <c r="BA2260" s="225"/>
      <c r="BB2260" s="225"/>
      <c r="BC2260" s="56"/>
      <c r="BD2260" s="56"/>
      <c r="BE2260" s="56"/>
      <c r="BF2260" s="107" t="str">
        <f t="shared" si="1774"/>
        <v>https://www.google.com/search?tbm=isch&amp;q=3%20G4</v>
      </c>
      <c r="BG2260" s="107" t="str">
        <f t="shared" si="1775"/>
        <v>L</v>
      </c>
      <c r="BH2260" s="254"/>
      <c r="BI2260" s="254"/>
    </row>
    <row r="2261" spans="1:61" customFormat="1" ht="15.75" x14ac:dyDescent="0.25">
      <c r="A2261" s="276">
        <v>3</v>
      </c>
      <c r="B2261" s="240" t="s">
        <v>291</v>
      </c>
      <c r="C2261" s="241" t="s">
        <v>4002</v>
      </c>
      <c r="D2261" s="242" t="s">
        <v>299</v>
      </c>
      <c r="E2261" s="243">
        <v>42.95</v>
      </c>
      <c r="F2261" s="517" t="s">
        <v>293</v>
      </c>
      <c r="G2261" s="232">
        <v>0</v>
      </c>
      <c r="H2261" s="661" t="str">
        <f>IF(G2261=0,"",IF(F2261="Buy",IF(G2261=1,"plant","plants"),IF(F2261&gt;0.01,"warranty","Error")))</f>
        <v/>
      </c>
      <c r="I2261" s="244">
        <f>IF(H2261="free",0,IF(H2261="credit",((E2261*(F2261))*G2261*-1),IF(F2261="Buy",(E2261*G2261),((E2261*(1-F2261))*G2261))))</f>
        <v>0</v>
      </c>
      <c r="J2261" s="244">
        <f>IF(H2261="warranty",0,(I2261*(_xlfn.SINGLE(SalesTaxPercentage))))</f>
        <v>0</v>
      </c>
      <c r="K2261" s="696">
        <f t="shared" ref="K2261" si="1778">I2261+J2261</f>
        <v>0</v>
      </c>
      <c r="L2261" s="696"/>
      <c r="M2261" s="659" t="str">
        <f>IF(AND(G2261&gt;0,E2261=0),"WARNING - no PRICE inserted",IF(H2261="free"," FREE ~ no charge this plant",IF(H2261="credit",CONCATENATE(" -$",ROUND(K2261*(1-T2GDiscount)*-1,2)," CREDIT after discount"),IF(T2GDiscount=0,"",IF(G2261=0,"",IF(F2261="Buy",CONCATENATE(" $",ROUND(K2261*(1-T2GDiscount),2)," with ",(T2GDiscount*100),"% discount"),CONCATENATE(" $",ROUND(K2261*(1-T2GDiscount),2)," with ",((T2GDiscount*100+F2261*100)-(T2GDiscount*100*F2261)),IF(F2261&gt;0,"% discounts",IF(NoWarrantyDiscount&gt;0,"% discounts","% discount")))))))))</f>
        <v/>
      </c>
      <c r="N2261" s="660"/>
      <c r="O2261" s="233"/>
      <c r="P2261" s="233"/>
      <c r="Q2261" s="233"/>
      <c r="R2261" s="233"/>
      <c r="S2261" s="233"/>
      <c r="T2261" s="508">
        <f t="shared" si="1763"/>
        <v>0</v>
      </c>
      <c r="U2261" s="225">
        <f>IF(NOT(ISNUMBER(G2261)), "", VLOOKUP(A2261,'Discount Lookup'!D:E,2,FALSE)*G2261)</f>
        <v>0</v>
      </c>
      <c r="V2261" s="225">
        <f>IF(NOT(ISNUMBER(G2261)), "", VLOOKUP(A2261,'Discount Lookup'!G:H,2,FALSE)*G2261)</f>
        <v>0</v>
      </c>
      <c r="W2261" s="508">
        <f t="shared" si="1764"/>
        <v>0</v>
      </c>
      <c r="X2261" s="508">
        <f t="shared" si="1765"/>
        <v>0</v>
      </c>
      <c r="Y2261" s="509" t="b">
        <f t="shared" si="1766"/>
        <v>0</v>
      </c>
      <c r="Z2261" s="510">
        <f t="shared" si="1767"/>
        <v>0</v>
      </c>
      <c r="AA2261" s="511"/>
      <c r="AB2261" s="511" t="str">
        <f t="shared" si="1768"/>
        <v/>
      </c>
      <c r="AC2261" s="698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698"/>
      <c r="AE2261" s="631" t="str">
        <f t="shared" si="1769"/>
        <v/>
      </c>
      <c r="AF2261" s="699" t="str">
        <f t="shared" si="1770"/>
        <v/>
      </c>
      <c r="AG2261" s="699"/>
      <c r="AH2261" s="699"/>
      <c r="AI2261" s="512">
        <f>IF(H2261="credit",0,IF(AE2261="free",0,IF(AE2261="me",0,IF(G2261&gt;0,(VLOOKUP(A2261,'Discount Lookup'!J:K,2)*G2261),0))))</f>
        <v>0</v>
      </c>
      <c r="AJ2261" s="513" t="str">
        <f t="shared" ca="1" si="1771"/>
        <v/>
      </c>
      <c r="AK2261" s="700" t="str">
        <f t="shared" si="1772"/>
        <v/>
      </c>
      <c r="AL2261" s="700"/>
      <c r="AM2261" s="505" t="str">
        <f t="shared" si="1773"/>
        <v/>
      </c>
      <c r="AN2261" s="506"/>
      <c r="AO2261" s="507"/>
      <c r="AP2261" s="507"/>
      <c r="AQ2261" s="507"/>
      <c r="AR2261" s="507"/>
      <c r="AS2261" s="507"/>
      <c r="AT2261" s="507"/>
      <c r="AU2261" s="507"/>
      <c r="AV2261" s="225"/>
      <c r="AW2261" s="508"/>
      <c r="AX2261" s="225"/>
      <c r="AY2261" s="225"/>
      <c r="AZ2261" s="225"/>
      <c r="BA2261" s="225"/>
      <c r="BB2261" s="225"/>
      <c r="BC2261" s="56"/>
      <c r="BD2261" s="56"/>
      <c r="BE2261" s="56"/>
      <c r="BF2261" s="107" t="str">
        <f t="shared" si="1774"/>
        <v>https://www.google.com/search?tbm=isch&amp;q=3%20G5</v>
      </c>
      <c r="BG2261" s="107" t="str">
        <f t="shared" si="1775"/>
        <v>L</v>
      </c>
      <c r="BH2261" s="254"/>
      <c r="BI2261" s="254"/>
    </row>
    <row r="2262" spans="1:61" customFormat="1" ht="27" x14ac:dyDescent="0.25">
      <c r="A2262" s="276">
        <v>7</v>
      </c>
      <c r="B2262" s="240" t="s">
        <v>291</v>
      </c>
      <c r="C2262" s="241" t="s">
        <v>4914</v>
      </c>
      <c r="D2262" s="242" t="s">
        <v>292</v>
      </c>
      <c r="E2262" s="243">
        <v>180.95</v>
      </c>
      <c r="F2262" s="517" t="s">
        <v>293</v>
      </c>
      <c r="G2262" s="232">
        <v>0</v>
      </c>
      <c r="H2262" s="661" t="str">
        <f>IF(G2262=0,"",IF(F2262="Buy",IF(G2262=1,"plant","plants"),IF(F2262&gt;0.01,"warranty","Error")))</f>
        <v/>
      </c>
      <c r="I2262" s="244">
        <f>IF(H2262="free",0,IF(H2262="credit",((E2262*(F2262))*G2262*-1),IF(F2262="Buy",(E2262*G2262),((E2262*(1-F2262))*G2262))))</f>
        <v>0</v>
      </c>
      <c r="J2262" s="244">
        <f>IF(H2262="warranty",0,(I2262*(_xlfn.SINGLE(SalesTaxPercentage))))</f>
        <v>0</v>
      </c>
      <c r="K2262" s="696">
        <f t="shared" ref="K2262" si="1779">I2262+J2262</f>
        <v>0</v>
      </c>
      <c r="L2262" s="696"/>
      <c r="M2262" s="659" t="str">
        <f>IF(AND(G2262&gt;0,E2262=0),"WARNING - no PRICE inserted",IF(H2262="free"," FREE ~ no charge this plant",IF(H2262="credit",CONCATENATE(" -$",ROUND(K2262*(1-T2GDiscount)*-1,2)," CREDIT after discount"),IF(T2GDiscount=0,"",IF(G2262=0,"",IF(F2262="Buy",CONCATENATE(" $",ROUND(K2262*(1-T2GDiscount),2)," with ",(T2GDiscount*100),"% discount"),CONCATENATE(" $",ROUND(K2262*(1-T2GDiscount),2)," with ",((T2GDiscount*100+F2262*100)-(T2GDiscount*100*F2262)),IF(F2262&gt;0,"% discounts",IF(NoWarrantyDiscount&gt;0,"% discounts","% discount")))))))))</f>
        <v/>
      </c>
      <c r="N2262" s="660"/>
      <c r="O2262" s="233"/>
      <c r="P2262" s="233"/>
      <c r="Q2262" s="233"/>
      <c r="R2262" s="233"/>
      <c r="S2262" s="233"/>
      <c r="T2262" s="508">
        <f t="shared" si="1763"/>
        <v>0</v>
      </c>
      <c r="U2262" s="225">
        <f>IF(NOT(ISNUMBER(G2262)), "", VLOOKUP(A2262,'Discount Lookup'!D:E,2,FALSE)*G2262)</f>
        <v>0</v>
      </c>
      <c r="V2262" s="225">
        <f>IF(NOT(ISNUMBER(G2262)), "", VLOOKUP(A2262,'Discount Lookup'!G:H,2,FALSE)*G2262)</f>
        <v>0</v>
      </c>
      <c r="W2262" s="508">
        <f t="shared" si="1764"/>
        <v>0</v>
      </c>
      <c r="X2262" s="508">
        <f t="shared" si="1765"/>
        <v>0</v>
      </c>
      <c r="Y2262" s="509" t="b">
        <f t="shared" si="1766"/>
        <v>0</v>
      </c>
      <c r="Z2262" s="510">
        <f t="shared" si="1767"/>
        <v>0</v>
      </c>
      <c r="AA2262" s="511"/>
      <c r="AB2262" s="511" t="str">
        <f t="shared" si="1768"/>
        <v/>
      </c>
      <c r="AC2262" s="698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698"/>
      <c r="AE2262" s="631" t="str">
        <f t="shared" si="1769"/>
        <v/>
      </c>
      <c r="AF2262" s="699" t="str">
        <f t="shared" si="1770"/>
        <v/>
      </c>
      <c r="AG2262" s="699"/>
      <c r="AH2262" s="699"/>
      <c r="AI2262" s="512">
        <f>IF(H2262="credit",0,IF(AE2262="free",0,IF(AE2262="me",0,IF(G2262&gt;0,(VLOOKUP(A2262,'Discount Lookup'!J:K,2)*G2262),0))))</f>
        <v>0</v>
      </c>
      <c r="AJ2262" s="513" t="str">
        <f t="shared" ca="1" si="1771"/>
        <v/>
      </c>
      <c r="AK2262" s="700" t="str">
        <f t="shared" si="1772"/>
        <v/>
      </c>
      <c r="AL2262" s="700"/>
      <c r="AM2262" s="505" t="str">
        <f t="shared" si="1773"/>
        <v/>
      </c>
      <c r="AN2262" s="506"/>
      <c r="AO2262" s="507"/>
      <c r="AP2262" s="507"/>
      <c r="AQ2262" s="507"/>
      <c r="AR2262" s="507"/>
      <c r="AS2262" s="507"/>
      <c r="AT2262" s="507"/>
      <c r="AU2262" s="507"/>
      <c r="AV2262" s="225"/>
      <c r="AW2262" s="508"/>
      <c r="AX2262" s="225"/>
      <c r="AY2262" s="225"/>
      <c r="AZ2262" s="225"/>
      <c r="BA2262" s="225"/>
      <c r="BB2262" s="225"/>
      <c r="BC2262" s="56"/>
      <c r="BD2262" s="56"/>
      <c r="BE2262" s="56"/>
      <c r="BF2262" s="107" t="str">
        <f t="shared" si="1774"/>
        <v>https://www.google.com/search?tbm=isch&amp;q=7%20G4</v>
      </c>
      <c r="BG2262" s="107" t="str">
        <f t="shared" si="1775"/>
        <v>L</v>
      </c>
      <c r="BH2262" s="254"/>
      <c r="BI2262" s="254"/>
    </row>
    <row r="2263" spans="1:61" customFormat="1" ht="17.25" thickBot="1" x14ac:dyDescent="0.3">
      <c r="A2263" s="524" t="s">
        <v>4116</v>
      </c>
      <c r="B2263" s="245"/>
      <c r="C2263" s="677"/>
      <c r="D2263" s="499"/>
      <c r="E2263" s="499"/>
      <c r="F2263" s="500"/>
      <c r="G2263" s="501"/>
      <c r="H2263" s="502"/>
      <c r="I2263" s="246"/>
      <c r="J2263" s="247"/>
      <c r="K2263" s="503"/>
      <c r="L2263" s="544"/>
      <c r="M2263" s="544"/>
      <c r="N2263" s="500"/>
      <c r="O2263" s="500"/>
      <c r="P2263" s="500"/>
      <c r="Q2263" s="500"/>
      <c r="R2263" s="500"/>
      <c r="S2263" s="278"/>
      <c r="T2263" s="508">
        <f t="shared" si="1763"/>
        <v>0</v>
      </c>
      <c r="U2263" s="225" t="str">
        <f>IF(NOT(ISNUMBER(G2263)), "", VLOOKUP(A2263,'Discount Lookup'!D:E,2,FALSE)*G2263)</f>
        <v/>
      </c>
      <c r="V2263" s="225" t="str">
        <f>IF(NOT(ISNUMBER(G2263)), "", VLOOKUP(A2263,'Discount Lookup'!G:H,2,FALSE)*G2263)</f>
        <v/>
      </c>
      <c r="W2263" s="508">
        <f t="shared" si="1764"/>
        <v>0</v>
      </c>
      <c r="X2263" s="508">
        <f t="shared" si="1765"/>
        <v>0</v>
      </c>
      <c r="Y2263" s="509" t="b">
        <f t="shared" si="1766"/>
        <v>0</v>
      </c>
      <c r="Z2263" s="510">
        <f t="shared" si="1767"/>
        <v>0</v>
      </c>
      <c r="AA2263" s="511"/>
      <c r="AB2263" s="511" t="str">
        <f t="shared" si="1768"/>
        <v/>
      </c>
      <c r="AC2263" s="698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698"/>
      <c r="AE2263" s="631" t="str">
        <f t="shared" si="1769"/>
        <v/>
      </c>
      <c r="AF2263" s="699" t="str">
        <f t="shared" si="1770"/>
        <v/>
      </c>
      <c r="AG2263" s="699"/>
      <c r="AH2263" s="699"/>
      <c r="AI2263" s="512">
        <f>IF(H2263="credit",0,IF(AE2263="free",0,IF(AE2263="me",0,IF(G2263&gt;0,(VLOOKUP(A2263,'Discount Lookup'!J:K,2)*G2263),0))))</f>
        <v>0</v>
      </c>
      <c r="AJ2263" s="513" t="str">
        <f t="shared" ca="1" si="1771"/>
        <v/>
      </c>
      <c r="AK2263" s="700" t="str">
        <f t="shared" si="1772"/>
        <v/>
      </c>
      <c r="AL2263" s="700"/>
      <c r="AM2263" s="505" t="str">
        <f t="shared" si="1773"/>
        <v/>
      </c>
      <c r="AN2263" s="506"/>
      <c r="AO2263" s="507"/>
      <c r="AP2263" s="507"/>
      <c r="AQ2263" s="507"/>
      <c r="AR2263" s="507"/>
      <c r="AS2263" s="507"/>
      <c r="AT2263" s="507"/>
      <c r="AU2263" s="507"/>
      <c r="AV2263" s="225"/>
      <c r="AW2263" s="508"/>
      <c r="AX2263" s="225"/>
      <c r="AY2263" s="225"/>
      <c r="AZ2263" s="225"/>
      <c r="BA2263" s="225"/>
      <c r="BB2263" s="225"/>
      <c r="BC2263" s="56"/>
      <c r="BD2263" s="56"/>
      <c r="BE2263" s="56"/>
      <c r="BF2263" s="107" t="str">
        <f t="shared" si="1774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263" s="107" t="str">
        <f t="shared" si="1775"/>
        <v>L</v>
      </c>
      <c r="BH2263" s="254"/>
      <c r="BI2263" s="254"/>
    </row>
    <row r="2264" spans="1:61" customFormat="1" ht="18" x14ac:dyDescent="0.25">
      <c r="A2264" s="523" t="s">
        <v>5605</v>
      </c>
      <c r="B2264" s="235"/>
      <c r="C2264" s="676"/>
      <c r="D2264" s="255" t="s">
        <v>1274</v>
      </c>
      <c r="E2264" s="236"/>
      <c r="F2264" s="236"/>
      <c r="G2264" s="236"/>
      <c r="H2264" s="582" t="s">
        <v>474</v>
      </c>
      <c r="I2264" s="498" t="s">
        <v>3108</v>
      </c>
      <c r="J2264" s="237"/>
      <c r="K2264" s="237"/>
      <c r="L2264" s="274"/>
      <c r="M2264" s="668" t="s">
        <v>4975</v>
      </c>
      <c r="N2264" s="681" t="str">
        <f>IF(AND(ISTEXT($A2264), ISERROR($A2264+0)), HYPERLINK($BF2264, "Images"), "")</f>
        <v>Images</v>
      </c>
      <c r="O2264" s="663" t="s">
        <v>4967</v>
      </c>
      <c r="P2264" s="253"/>
      <c r="Q2264" s="238"/>
      <c r="R2264" s="239"/>
      <c r="S2264" s="275"/>
      <c r="T2264" s="508">
        <f t="shared" si="1763"/>
        <v>0</v>
      </c>
      <c r="U2264" s="225" t="str">
        <f>IF(NOT(ISNUMBER(G2264)), "", VLOOKUP(A2264,'Discount Lookup'!D:E,2,FALSE)*G2264)</f>
        <v/>
      </c>
      <c r="V2264" s="225" t="str">
        <f>IF(NOT(ISNUMBER(G2264)), "", VLOOKUP(A2264,'Discount Lookup'!G:H,2,FALSE)*G2264)</f>
        <v/>
      </c>
      <c r="W2264" s="508">
        <f t="shared" si="1764"/>
        <v>0</v>
      </c>
      <c r="X2264" s="508" t="str">
        <f t="shared" si="1765"/>
        <v>Lime Green ages to Pink</v>
      </c>
      <c r="Y2264" s="509" t="b">
        <f t="shared" si="1766"/>
        <v>0</v>
      </c>
      <c r="Z2264" s="510">
        <f t="shared" si="1767"/>
        <v>0</v>
      </c>
      <c r="AA2264" s="511"/>
      <c r="AB2264" s="511" t="str">
        <f t="shared" si="1768"/>
        <v/>
      </c>
      <c r="AC2264" s="698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698"/>
      <c r="AE2264" s="631" t="str">
        <f t="shared" si="1769"/>
        <v/>
      </c>
      <c r="AF2264" s="699" t="str">
        <f t="shared" si="1770"/>
        <v/>
      </c>
      <c r="AG2264" s="699"/>
      <c r="AH2264" s="699"/>
      <c r="AI2264" s="512">
        <f>IF(H2264="credit",0,IF(AE2264="free",0,IF(AE2264="me",0,IF(G2264&gt;0,(VLOOKUP(A2264,'Discount Lookup'!J:K,2)*G2264),0))))</f>
        <v>0</v>
      </c>
      <c r="AJ2264" s="513" t="str">
        <f t="shared" ca="1" si="1771"/>
        <v/>
      </c>
      <c r="AK2264" s="700" t="str">
        <f t="shared" si="1772"/>
        <v/>
      </c>
      <c r="AL2264" s="700"/>
      <c r="AM2264" s="505" t="str">
        <f t="shared" si="1773"/>
        <v/>
      </c>
      <c r="AN2264" s="506"/>
      <c r="AO2264" s="507"/>
      <c r="AP2264" s="507"/>
      <c r="AQ2264" s="507"/>
      <c r="AR2264" s="507"/>
      <c r="AS2264" s="507"/>
      <c r="AT2264" s="507"/>
      <c r="AU2264" s="507"/>
      <c r="AV2264" s="225"/>
      <c r="AW2264" s="508"/>
      <c r="AX2264" s="225"/>
      <c r="AY2264" s="225"/>
      <c r="AZ2264" s="225"/>
      <c r="BA2264" s="225"/>
      <c r="BB2264" s="225"/>
      <c r="BC2264" s="56"/>
      <c r="BD2264" s="56"/>
      <c r="BE2264" s="56"/>
      <c r="BF2264" s="107" t="str">
        <f t="shared" si="1774"/>
        <v>https://www.google.com/search?tbm=isch&amp;q=Little%20Lime%C2%AE%20Hydrangea%20%28PW%C2%AE%29%20Hyd.%20paniculata%20%27Jane%27%20PP%2322330</v>
      </c>
      <c r="BG2264" s="107" t="str">
        <f t="shared" si="1775"/>
        <v>L</v>
      </c>
      <c r="BH2264" s="254"/>
      <c r="BI2264" s="254"/>
    </row>
    <row r="2265" spans="1:61" customFormat="1" ht="15.75" x14ac:dyDescent="0.25">
      <c r="A2265" s="276">
        <v>3</v>
      </c>
      <c r="B2265" s="240" t="s">
        <v>291</v>
      </c>
      <c r="C2265" s="241"/>
      <c r="D2265" s="242" t="s">
        <v>298</v>
      </c>
      <c r="E2265" s="243">
        <v>39.950000000000003</v>
      </c>
      <c r="F2265" s="517" t="s">
        <v>293</v>
      </c>
      <c r="G2265" s="232">
        <v>0</v>
      </c>
      <c r="H2265" s="661" t="str">
        <f t="shared" ref="H2265:H2271" si="1780">IF(G2265=0,"",IF(F2265="Buy",IF(G2265=1,"plant","plants"),IF(F2265&gt;0.01,"warranty","Error")))</f>
        <v/>
      </c>
      <c r="I2265" s="244">
        <f t="shared" ref="I2265:I2271" si="1781">IF(H2265="free",0,IF(H2265="credit",((E2265*(F2265))*G2265*-1),IF(F2265="Buy",(E2265*G2265),((E2265*(1-F2265))*G2265))))</f>
        <v>0</v>
      </c>
      <c r="J2265" s="244">
        <f t="shared" ref="J2265:J2271" si="1782">IF(H2265="warranty",0,(I2265*(_xlfn.SINGLE(SalesTaxPercentage))))</f>
        <v>0</v>
      </c>
      <c r="K2265" s="696">
        <f t="shared" ref="K2265" si="1783">I2265+J2265</f>
        <v>0</v>
      </c>
      <c r="L2265" s="696"/>
      <c r="M2265" s="659" t="str">
        <f t="shared" ref="M2265:M2271" si="1784">IF(AND(G2265&gt;0,E2265=0),"WARNING - no PRICE inserted",IF(H2265="free"," FREE ~ no charge this plant",IF(H2265="credit",CONCATENATE(" -$",ROUND(K2265*(1-T2GDiscount)*-1,2)," CREDIT after discount"),IF(T2GDiscount=0,"",IF(G2265=0,"",IF(F2265="Buy",CONCATENATE(" $",ROUND(K2265*(1-T2GDiscount),2)," with ",(T2GDiscount*100),"% discount"),CONCATENATE(" $",ROUND(K2265*(1-T2GDiscount),2)," with ",((T2GDiscount*100+F2265*100)-(T2GDiscount*100*F2265)),IF(F2265&gt;0,"% discounts",IF(NoWarrantyDiscount&gt;0,"% discounts","% discount")))))))))</f>
        <v/>
      </c>
      <c r="N2265" s="660"/>
      <c r="O2265" s="233"/>
      <c r="P2265" s="233"/>
      <c r="Q2265" s="233"/>
      <c r="R2265" s="233"/>
      <c r="S2265" s="233"/>
      <c r="T2265" s="508">
        <f t="shared" si="1763"/>
        <v>0</v>
      </c>
      <c r="U2265" s="225">
        <f>IF(NOT(ISNUMBER(G2265)), "", VLOOKUP(A2265,'Discount Lookup'!D:E,2,FALSE)*G2265)</f>
        <v>0</v>
      </c>
      <c r="V2265" s="225">
        <f>IF(NOT(ISNUMBER(G2265)), "", VLOOKUP(A2265,'Discount Lookup'!G:H,2,FALSE)*G2265)</f>
        <v>0</v>
      </c>
      <c r="W2265" s="508">
        <f t="shared" si="1764"/>
        <v>0</v>
      </c>
      <c r="X2265" s="508">
        <f t="shared" si="1765"/>
        <v>0</v>
      </c>
      <c r="Y2265" s="509" t="b">
        <f t="shared" si="1766"/>
        <v>0</v>
      </c>
      <c r="Z2265" s="510">
        <f t="shared" si="1767"/>
        <v>0</v>
      </c>
      <c r="AA2265" s="511"/>
      <c r="AB2265" s="511" t="str">
        <f t="shared" si="1768"/>
        <v/>
      </c>
      <c r="AC2265" s="698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698"/>
      <c r="AE2265" s="631" t="str">
        <f t="shared" si="1769"/>
        <v/>
      </c>
      <c r="AF2265" s="699" t="str">
        <f t="shared" si="1770"/>
        <v/>
      </c>
      <c r="AG2265" s="699"/>
      <c r="AH2265" s="699"/>
      <c r="AI2265" s="512">
        <f>IF(H2265="credit",0,IF(AE2265="free",0,IF(AE2265="me",0,IF(G2265&gt;0,(VLOOKUP(A2265,'Discount Lookup'!J:K,2)*G2265),0))))</f>
        <v>0</v>
      </c>
      <c r="AJ2265" s="513" t="str">
        <f t="shared" ca="1" si="1771"/>
        <v/>
      </c>
      <c r="AK2265" s="700" t="str">
        <f t="shared" si="1772"/>
        <v/>
      </c>
      <c r="AL2265" s="700"/>
      <c r="AM2265" s="505" t="str">
        <f t="shared" si="1773"/>
        <v/>
      </c>
      <c r="AN2265" s="506"/>
      <c r="AO2265" s="507"/>
      <c r="AP2265" s="507"/>
      <c r="AQ2265" s="507"/>
      <c r="AR2265" s="507"/>
      <c r="AS2265" s="507"/>
      <c r="AT2265" s="507"/>
      <c r="AU2265" s="507"/>
      <c r="AV2265" s="225"/>
      <c r="AW2265" s="508"/>
      <c r="AX2265" s="225"/>
      <c r="AY2265" s="225"/>
      <c r="AZ2265" s="225"/>
      <c r="BA2265" s="225"/>
      <c r="BB2265" s="225"/>
      <c r="BC2265" s="56"/>
      <c r="BD2265" s="56"/>
      <c r="BE2265" s="56"/>
      <c r="BF2265" s="107" t="str">
        <f t="shared" si="1774"/>
        <v>https://www.google.com/search?tbm=isch&amp;q=3%20G1</v>
      </c>
      <c r="BG2265" s="107" t="str">
        <f t="shared" si="1775"/>
        <v>L</v>
      </c>
      <c r="BH2265" s="254"/>
      <c r="BI2265" s="254"/>
    </row>
    <row r="2266" spans="1:61" customFormat="1" ht="15.75" x14ac:dyDescent="0.25">
      <c r="A2266" s="276">
        <v>3</v>
      </c>
      <c r="B2266" s="240" t="s">
        <v>291</v>
      </c>
      <c r="C2266" s="241" t="s">
        <v>4501</v>
      </c>
      <c r="D2266" s="242" t="s">
        <v>312</v>
      </c>
      <c r="E2266" s="243">
        <v>41.95</v>
      </c>
      <c r="F2266" s="517" t="s">
        <v>293</v>
      </c>
      <c r="G2266" s="232">
        <v>0</v>
      </c>
      <c r="H2266" s="661" t="str">
        <f t="shared" si="1780"/>
        <v/>
      </c>
      <c r="I2266" s="244">
        <f t="shared" si="1781"/>
        <v>0</v>
      </c>
      <c r="J2266" s="244">
        <f t="shared" si="1782"/>
        <v>0</v>
      </c>
      <c r="K2266" s="696">
        <f t="shared" ref="K2266" si="1785">I2266+J2266</f>
        <v>0</v>
      </c>
      <c r="L2266" s="696"/>
      <c r="M2266" s="659" t="str">
        <f t="shared" si="1784"/>
        <v/>
      </c>
      <c r="N2266" s="660"/>
      <c r="O2266" s="233"/>
      <c r="P2266" s="233"/>
      <c r="Q2266" s="233"/>
      <c r="R2266" s="233"/>
      <c r="S2266" s="233"/>
      <c r="T2266" s="508">
        <f t="shared" si="1763"/>
        <v>0</v>
      </c>
      <c r="U2266" s="225">
        <f>IF(NOT(ISNUMBER(G2266)), "", VLOOKUP(A2266,'Discount Lookup'!D:E,2,FALSE)*G2266)</f>
        <v>0</v>
      </c>
      <c r="V2266" s="225">
        <f>IF(NOT(ISNUMBER(G2266)), "", VLOOKUP(A2266,'Discount Lookup'!G:H,2,FALSE)*G2266)</f>
        <v>0</v>
      </c>
      <c r="W2266" s="508">
        <f t="shared" si="1764"/>
        <v>0</v>
      </c>
      <c r="X2266" s="508">
        <f t="shared" si="1765"/>
        <v>0</v>
      </c>
      <c r="Y2266" s="509" t="b">
        <f t="shared" si="1766"/>
        <v>0</v>
      </c>
      <c r="Z2266" s="510">
        <f t="shared" si="1767"/>
        <v>0</v>
      </c>
      <c r="AA2266" s="511"/>
      <c r="AB2266" s="511" t="str">
        <f t="shared" si="1768"/>
        <v/>
      </c>
      <c r="AC2266" s="698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698"/>
      <c r="AE2266" s="631" t="str">
        <f t="shared" si="1769"/>
        <v/>
      </c>
      <c r="AF2266" s="699" t="str">
        <f t="shared" si="1770"/>
        <v/>
      </c>
      <c r="AG2266" s="699"/>
      <c r="AH2266" s="699"/>
      <c r="AI2266" s="512">
        <f>IF(H2266="credit",0,IF(AE2266="free",0,IF(AE2266="me",0,IF(G2266&gt;0,(VLOOKUP(A2266,'Discount Lookup'!J:K,2)*G2266),0))))</f>
        <v>0</v>
      </c>
      <c r="AJ2266" s="513" t="str">
        <f t="shared" ca="1" si="1771"/>
        <v/>
      </c>
      <c r="AK2266" s="700" t="str">
        <f t="shared" si="1772"/>
        <v/>
      </c>
      <c r="AL2266" s="700"/>
      <c r="AM2266" s="505" t="str">
        <f t="shared" si="1773"/>
        <v/>
      </c>
      <c r="AN2266" s="506"/>
      <c r="AO2266" s="507"/>
      <c r="AP2266" s="507"/>
      <c r="AQ2266" s="507"/>
      <c r="AR2266" s="507"/>
      <c r="AS2266" s="507"/>
      <c r="AT2266" s="507"/>
      <c r="AU2266" s="507"/>
      <c r="AV2266" s="225"/>
      <c r="AW2266" s="508"/>
      <c r="AX2266" s="225"/>
      <c r="AY2266" s="225"/>
      <c r="AZ2266" s="225"/>
      <c r="BA2266" s="225"/>
      <c r="BB2266" s="225"/>
      <c r="BC2266" s="56"/>
      <c r="BD2266" s="56"/>
      <c r="BE2266" s="56"/>
      <c r="BF2266" s="107" t="str">
        <f t="shared" si="1774"/>
        <v>https://www.google.com/search?tbm=isch&amp;q=3%20G2</v>
      </c>
      <c r="BG2266" s="107" t="str">
        <f t="shared" si="1775"/>
        <v>L</v>
      </c>
      <c r="BH2266" s="254"/>
      <c r="BI2266" s="254"/>
    </row>
    <row r="2267" spans="1:61" customFormat="1" ht="15.75" x14ac:dyDescent="0.25">
      <c r="A2267" s="276">
        <v>3</v>
      </c>
      <c r="B2267" s="240" t="s">
        <v>291</v>
      </c>
      <c r="C2267" s="241" t="s">
        <v>2160</v>
      </c>
      <c r="D2267" s="242" t="s">
        <v>299</v>
      </c>
      <c r="E2267" s="243">
        <v>42.95</v>
      </c>
      <c r="F2267" s="517" t="s">
        <v>293</v>
      </c>
      <c r="G2267" s="232">
        <v>0</v>
      </c>
      <c r="H2267" s="661" t="str">
        <f t="shared" si="1780"/>
        <v/>
      </c>
      <c r="I2267" s="244">
        <f t="shared" si="1781"/>
        <v>0</v>
      </c>
      <c r="J2267" s="244">
        <f t="shared" si="1782"/>
        <v>0</v>
      </c>
      <c r="K2267" s="696">
        <f t="shared" ref="K2267" si="1786">I2267+J2267</f>
        <v>0</v>
      </c>
      <c r="L2267" s="696"/>
      <c r="M2267" s="659" t="str">
        <f t="shared" si="1784"/>
        <v/>
      </c>
      <c r="N2267" s="660"/>
      <c r="O2267" s="233"/>
      <c r="P2267" s="233"/>
      <c r="Q2267" s="233"/>
      <c r="R2267" s="233"/>
      <c r="S2267" s="233"/>
      <c r="T2267" s="508">
        <f t="shared" si="1763"/>
        <v>0</v>
      </c>
      <c r="U2267" s="225">
        <f>IF(NOT(ISNUMBER(G2267)), "", VLOOKUP(A2267,'Discount Lookup'!D:E,2,FALSE)*G2267)</f>
        <v>0</v>
      </c>
      <c r="V2267" s="225">
        <f>IF(NOT(ISNUMBER(G2267)), "", VLOOKUP(A2267,'Discount Lookup'!G:H,2,FALSE)*G2267)</f>
        <v>0</v>
      </c>
      <c r="W2267" s="508">
        <f t="shared" si="1764"/>
        <v>0</v>
      </c>
      <c r="X2267" s="508">
        <f t="shared" si="1765"/>
        <v>0</v>
      </c>
      <c r="Y2267" s="509" t="b">
        <f t="shared" si="1766"/>
        <v>0</v>
      </c>
      <c r="Z2267" s="510">
        <f t="shared" si="1767"/>
        <v>0</v>
      </c>
      <c r="AA2267" s="511"/>
      <c r="AB2267" s="511" t="str">
        <f t="shared" si="1768"/>
        <v/>
      </c>
      <c r="AC2267" s="698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698"/>
      <c r="AE2267" s="631" t="str">
        <f t="shared" si="1769"/>
        <v/>
      </c>
      <c r="AF2267" s="699" t="str">
        <f t="shared" si="1770"/>
        <v/>
      </c>
      <c r="AG2267" s="699"/>
      <c r="AH2267" s="699"/>
      <c r="AI2267" s="512">
        <f>IF(H2267="credit",0,IF(AE2267="free",0,IF(AE2267="me",0,IF(G2267&gt;0,(VLOOKUP(A2267,'Discount Lookup'!J:K,2)*G2267),0))))</f>
        <v>0</v>
      </c>
      <c r="AJ2267" s="513" t="str">
        <f t="shared" ca="1" si="1771"/>
        <v/>
      </c>
      <c r="AK2267" s="700" t="str">
        <f t="shared" si="1772"/>
        <v/>
      </c>
      <c r="AL2267" s="700"/>
      <c r="AM2267" s="505" t="str">
        <f t="shared" si="1773"/>
        <v/>
      </c>
      <c r="AN2267" s="506"/>
      <c r="AO2267" s="507"/>
      <c r="AP2267" s="507"/>
      <c r="AQ2267" s="507"/>
      <c r="AR2267" s="507"/>
      <c r="AS2267" s="507"/>
      <c r="AT2267" s="507"/>
      <c r="AU2267" s="507"/>
      <c r="AV2267" s="225"/>
      <c r="AW2267" s="508"/>
      <c r="AX2267" s="225"/>
      <c r="AY2267" s="225"/>
      <c r="AZ2267" s="225"/>
      <c r="BA2267" s="225"/>
      <c r="BB2267" s="225"/>
      <c r="BC2267" s="56"/>
      <c r="BD2267" s="56"/>
      <c r="BE2267" s="56"/>
      <c r="BF2267" s="107" t="str">
        <f t="shared" si="1774"/>
        <v>https://www.google.com/search?tbm=isch&amp;q=3%20G5</v>
      </c>
      <c r="BG2267" s="107" t="str">
        <f t="shared" si="1775"/>
        <v>L</v>
      </c>
      <c r="BH2267" s="254"/>
      <c r="BI2267" s="254"/>
    </row>
    <row r="2268" spans="1:61" customFormat="1" ht="15.75" x14ac:dyDescent="0.25">
      <c r="A2268" s="276">
        <v>5</v>
      </c>
      <c r="B2268" s="240" t="s">
        <v>291</v>
      </c>
      <c r="C2268" s="241" t="s">
        <v>2221</v>
      </c>
      <c r="D2268" s="242" t="s">
        <v>300</v>
      </c>
      <c r="E2268" s="243">
        <v>64.95</v>
      </c>
      <c r="F2268" s="517" t="s">
        <v>293</v>
      </c>
      <c r="G2268" s="232">
        <v>0</v>
      </c>
      <c r="H2268" s="661" t="str">
        <f t="shared" si="1780"/>
        <v/>
      </c>
      <c r="I2268" s="244">
        <f t="shared" si="1781"/>
        <v>0</v>
      </c>
      <c r="J2268" s="244">
        <f t="shared" si="1782"/>
        <v>0</v>
      </c>
      <c r="K2268" s="696">
        <f t="shared" ref="K2268" si="1787">I2268+J2268</f>
        <v>0</v>
      </c>
      <c r="L2268" s="696"/>
      <c r="M2268" s="659" t="str">
        <f t="shared" si="1784"/>
        <v/>
      </c>
      <c r="N2268" s="660"/>
      <c r="O2268" s="233"/>
      <c r="P2268" s="233"/>
      <c r="Q2268" s="233"/>
      <c r="R2268" s="233"/>
      <c r="S2268" s="233"/>
      <c r="T2268" s="508">
        <f t="shared" si="1763"/>
        <v>0</v>
      </c>
      <c r="U2268" s="225">
        <f>IF(NOT(ISNUMBER(G2268)), "", VLOOKUP(A2268,'Discount Lookup'!D:E,2,FALSE)*G2268)</f>
        <v>0</v>
      </c>
      <c r="V2268" s="225">
        <f>IF(NOT(ISNUMBER(G2268)), "", VLOOKUP(A2268,'Discount Lookup'!G:H,2,FALSE)*G2268)</f>
        <v>0</v>
      </c>
      <c r="W2268" s="508">
        <f t="shared" si="1764"/>
        <v>0</v>
      </c>
      <c r="X2268" s="508">
        <f t="shared" si="1765"/>
        <v>0</v>
      </c>
      <c r="Y2268" s="509" t="b">
        <f t="shared" si="1766"/>
        <v>0</v>
      </c>
      <c r="Z2268" s="510">
        <f t="shared" si="1767"/>
        <v>0</v>
      </c>
      <c r="AA2268" s="511"/>
      <c r="AB2268" s="511" t="str">
        <f t="shared" si="1768"/>
        <v/>
      </c>
      <c r="AC2268" s="698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698"/>
      <c r="AE2268" s="631" t="str">
        <f t="shared" si="1769"/>
        <v/>
      </c>
      <c r="AF2268" s="699" t="str">
        <f t="shared" si="1770"/>
        <v/>
      </c>
      <c r="AG2268" s="699"/>
      <c r="AH2268" s="699"/>
      <c r="AI2268" s="512">
        <f>IF(H2268="credit",0,IF(AE2268="free",0,IF(AE2268="me",0,IF(G2268&gt;0,(VLOOKUP(A2268,'Discount Lookup'!J:K,2)*G2268),0))))</f>
        <v>0</v>
      </c>
      <c r="AJ2268" s="513" t="str">
        <f t="shared" ca="1" si="1771"/>
        <v/>
      </c>
      <c r="AK2268" s="700" t="str">
        <f t="shared" si="1772"/>
        <v/>
      </c>
      <c r="AL2268" s="700"/>
      <c r="AM2268" s="505" t="str">
        <f t="shared" si="1773"/>
        <v/>
      </c>
      <c r="AN2268" s="506"/>
      <c r="AO2268" s="507"/>
      <c r="AP2268" s="507"/>
      <c r="AQ2268" s="507"/>
      <c r="AR2268" s="507"/>
      <c r="AS2268" s="507"/>
      <c r="AT2268" s="507"/>
      <c r="AU2268" s="507"/>
      <c r="AV2268" s="225"/>
      <c r="AW2268" s="508"/>
      <c r="AX2268" s="225"/>
      <c r="AY2268" s="225"/>
      <c r="AZ2268" s="225"/>
      <c r="BA2268" s="225"/>
      <c r="BB2268" s="225"/>
      <c r="BC2268" s="56"/>
      <c r="BD2268" s="56"/>
      <c r="BE2268" s="56"/>
      <c r="BF2268" s="107" t="str">
        <f t="shared" si="1774"/>
        <v>https://www.google.com/search?tbm=isch&amp;q=5%20G6</v>
      </c>
      <c r="BG2268" s="107" t="str">
        <f t="shared" si="1775"/>
        <v>L</v>
      </c>
      <c r="BH2268" s="254"/>
      <c r="BI2268" s="254"/>
    </row>
    <row r="2269" spans="1:61" customFormat="1" ht="15.75" x14ac:dyDescent="0.25">
      <c r="A2269" s="276">
        <v>7</v>
      </c>
      <c r="B2269" s="240" t="s">
        <v>291</v>
      </c>
      <c r="C2269" s="241" t="s">
        <v>4780</v>
      </c>
      <c r="D2269" s="242" t="s">
        <v>292</v>
      </c>
      <c r="E2269" s="243">
        <v>86.95</v>
      </c>
      <c r="F2269" s="517" t="s">
        <v>293</v>
      </c>
      <c r="G2269" s="232">
        <v>0</v>
      </c>
      <c r="H2269" s="661" t="str">
        <f t="shared" si="1780"/>
        <v/>
      </c>
      <c r="I2269" s="244">
        <f t="shared" si="1781"/>
        <v>0</v>
      </c>
      <c r="J2269" s="244">
        <f t="shared" si="1782"/>
        <v>0</v>
      </c>
      <c r="K2269" s="696">
        <f t="shared" ref="K2269" si="1788">I2269+J2269</f>
        <v>0</v>
      </c>
      <c r="L2269" s="696"/>
      <c r="M2269" s="659" t="str">
        <f t="shared" si="1784"/>
        <v/>
      </c>
      <c r="N2269" s="660"/>
      <c r="O2269" s="233"/>
      <c r="P2269" s="233"/>
      <c r="Q2269" s="233"/>
      <c r="R2269" s="233"/>
      <c r="S2269" s="233"/>
      <c r="T2269" s="508">
        <f t="shared" si="1763"/>
        <v>0</v>
      </c>
      <c r="U2269" s="225">
        <f>IF(NOT(ISNUMBER(G2269)), "", VLOOKUP(A2269,'Discount Lookup'!D:E,2,FALSE)*G2269)</f>
        <v>0</v>
      </c>
      <c r="V2269" s="225">
        <f>IF(NOT(ISNUMBER(G2269)), "", VLOOKUP(A2269,'Discount Lookup'!G:H,2,FALSE)*G2269)</f>
        <v>0</v>
      </c>
      <c r="W2269" s="508">
        <f t="shared" si="1764"/>
        <v>0</v>
      </c>
      <c r="X2269" s="508">
        <f t="shared" si="1765"/>
        <v>0</v>
      </c>
      <c r="Y2269" s="509" t="b">
        <f t="shared" si="1766"/>
        <v>0</v>
      </c>
      <c r="Z2269" s="510">
        <f t="shared" si="1767"/>
        <v>0</v>
      </c>
      <c r="AA2269" s="511"/>
      <c r="AB2269" s="511" t="str">
        <f t="shared" si="1768"/>
        <v/>
      </c>
      <c r="AC2269" s="698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698"/>
      <c r="AE2269" s="631" t="str">
        <f t="shared" si="1769"/>
        <v/>
      </c>
      <c r="AF2269" s="699" t="str">
        <f t="shared" si="1770"/>
        <v/>
      </c>
      <c r="AG2269" s="699"/>
      <c r="AH2269" s="699"/>
      <c r="AI2269" s="512">
        <f>IF(H2269="credit",0,IF(AE2269="free",0,IF(AE2269="me",0,IF(G2269&gt;0,(VLOOKUP(A2269,'Discount Lookup'!J:K,2)*G2269),0))))</f>
        <v>0</v>
      </c>
      <c r="AJ2269" s="513" t="str">
        <f t="shared" ca="1" si="1771"/>
        <v/>
      </c>
      <c r="AK2269" s="700" t="str">
        <f t="shared" si="1772"/>
        <v/>
      </c>
      <c r="AL2269" s="700"/>
      <c r="AM2269" s="505" t="str">
        <f t="shared" si="1773"/>
        <v/>
      </c>
      <c r="AN2269" s="506"/>
      <c r="AO2269" s="507"/>
      <c r="AP2269" s="507"/>
      <c r="AQ2269" s="507"/>
      <c r="AR2269" s="507"/>
      <c r="AS2269" s="507"/>
      <c r="AT2269" s="507"/>
      <c r="AU2269" s="507"/>
      <c r="AV2269" s="225"/>
      <c r="AW2269" s="508"/>
      <c r="AX2269" s="225"/>
      <c r="AY2269" s="225"/>
      <c r="AZ2269" s="225"/>
      <c r="BA2269" s="225"/>
      <c r="BB2269" s="225"/>
      <c r="BC2269" s="56"/>
      <c r="BD2269" s="56"/>
      <c r="BE2269" s="56"/>
      <c r="BF2269" s="107" t="str">
        <f t="shared" si="1774"/>
        <v>https://www.google.com/search?tbm=isch&amp;q=7%20G4</v>
      </c>
      <c r="BG2269" s="107" t="str">
        <f t="shared" si="1775"/>
        <v>L</v>
      </c>
      <c r="BH2269" s="254"/>
      <c r="BI2269" s="254"/>
    </row>
    <row r="2270" spans="1:61" customFormat="1" ht="15.75" x14ac:dyDescent="0.25">
      <c r="A2270" s="276">
        <v>7</v>
      </c>
      <c r="B2270" s="240" t="s">
        <v>291</v>
      </c>
      <c r="C2270" s="241" t="s">
        <v>4527</v>
      </c>
      <c r="D2270" s="242" t="s">
        <v>297</v>
      </c>
      <c r="E2270" s="243">
        <v>170.95</v>
      </c>
      <c r="F2270" s="517" t="s">
        <v>293</v>
      </c>
      <c r="G2270" s="232">
        <v>0</v>
      </c>
      <c r="H2270" s="661" t="str">
        <f t="shared" si="1780"/>
        <v/>
      </c>
      <c r="I2270" s="244">
        <f t="shared" si="1781"/>
        <v>0</v>
      </c>
      <c r="J2270" s="244">
        <f t="shared" si="1782"/>
        <v>0</v>
      </c>
      <c r="K2270" s="696">
        <f t="shared" ref="K2270" si="1789">I2270+J2270</f>
        <v>0</v>
      </c>
      <c r="L2270" s="696"/>
      <c r="M2270" s="659" t="str">
        <f t="shared" si="1784"/>
        <v/>
      </c>
      <c r="N2270" s="660"/>
      <c r="O2270" s="233"/>
      <c r="P2270" s="233"/>
      <c r="Q2270" s="233"/>
      <c r="R2270" s="233"/>
      <c r="S2270" s="233"/>
      <c r="T2270" s="508">
        <f t="shared" si="1763"/>
        <v>0</v>
      </c>
      <c r="U2270" s="225">
        <f>IF(NOT(ISNUMBER(G2270)), "", VLOOKUP(A2270,'Discount Lookup'!D:E,2,FALSE)*G2270)</f>
        <v>0</v>
      </c>
      <c r="V2270" s="225">
        <f>IF(NOT(ISNUMBER(G2270)), "", VLOOKUP(A2270,'Discount Lookup'!G:H,2,FALSE)*G2270)</f>
        <v>0</v>
      </c>
      <c r="W2270" s="508">
        <f t="shared" si="1764"/>
        <v>0</v>
      </c>
      <c r="X2270" s="508">
        <f t="shared" si="1765"/>
        <v>0</v>
      </c>
      <c r="Y2270" s="509" t="b">
        <f t="shared" si="1766"/>
        <v>0</v>
      </c>
      <c r="Z2270" s="510">
        <f t="shared" si="1767"/>
        <v>0</v>
      </c>
      <c r="AA2270" s="511"/>
      <c r="AB2270" s="511" t="str">
        <f t="shared" si="1768"/>
        <v/>
      </c>
      <c r="AC2270" s="698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698"/>
      <c r="AE2270" s="631" t="str">
        <f t="shared" si="1769"/>
        <v/>
      </c>
      <c r="AF2270" s="699" t="str">
        <f t="shared" si="1770"/>
        <v/>
      </c>
      <c r="AG2270" s="699"/>
      <c r="AH2270" s="699"/>
      <c r="AI2270" s="512">
        <f>IF(H2270="credit",0,IF(AE2270="free",0,IF(AE2270="me",0,IF(G2270&gt;0,(VLOOKUP(A2270,'Discount Lookup'!J:K,2)*G2270),0))))</f>
        <v>0</v>
      </c>
      <c r="AJ2270" s="513" t="str">
        <f t="shared" ca="1" si="1771"/>
        <v/>
      </c>
      <c r="AK2270" s="700" t="str">
        <f t="shared" si="1772"/>
        <v/>
      </c>
      <c r="AL2270" s="700"/>
      <c r="AM2270" s="505" t="str">
        <f t="shared" si="1773"/>
        <v/>
      </c>
      <c r="AN2270" s="506"/>
      <c r="AO2270" s="507"/>
      <c r="AP2270" s="507"/>
      <c r="AQ2270" s="507"/>
      <c r="AR2270" s="507"/>
      <c r="AS2270" s="507"/>
      <c r="AT2270" s="507"/>
      <c r="AU2270" s="507"/>
      <c r="AV2270" s="225"/>
      <c r="AW2270" s="508"/>
      <c r="AX2270" s="225"/>
      <c r="AY2270" s="225"/>
      <c r="AZ2270" s="225"/>
      <c r="BA2270" s="225"/>
      <c r="BB2270" s="225"/>
      <c r="BC2270" s="56"/>
      <c r="BD2270" s="56"/>
      <c r="BE2270" s="56"/>
      <c r="BF2270" s="107" t="str">
        <f t="shared" si="1774"/>
        <v>https://www.google.com/search?tbm=isch&amp;q=7%20G3</v>
      </c>
      <c r="BG2270" s="107" t="str">
        <f t="shared" si="1775"/>
        <v>L</v>
      </c>
      <c r="BH2270" s="254"/>
      <c r="BI2270" s="254"/>
    </row>
    <row r="2271" spans="1:61" customFormat="1" ht="15.75" x14ac:dyDescent="0.25">
      <c r="A2271" s="276">
        <v>10</v>
      </c>
      <c r="B2271" s="240" t="s">
        <v>291</v>
      </c>
      <c r="C2271" s="241" t="s">
        <v>2222</v>
      </c>
      <c r="D2271" s="242" t="s">
        <v>300</v>
      </c>
      <c r="E2271" s="243">
        <v>181.95</v>
      </c>
      <c r="F2271" s="517" t="s">
        <v>293</v>
      </c>
      <c r="G2271" s="232">
        <v>0</v>
      </c>
      <c r="H2271" s="661" t="str">
        <f t="shared" si="1780"/>
        <v/>
      </c>
      <c r="I2271" s="244">
        <f t="shared" si="1781"/>
        <v>0</v>
      </c>
      <c r="J2271" s="244">
        <f t="shared" si="1782"/>
        <v>0</v>
      </c>
      <c r="K2271" s="696">
        <f t="shared" ref="K2271" si="1790">I2271+J2271</f>
        <v>0</v>
      </c>
      <c r="L2271" s="696"/>
      <c r="M2271" s="659" t="str">
        <f t="shared" si="1784"/>
        <v/>
      </c>
      <c r="N2271" s="660"/>
      <c r="O2271" s="233"/>
      <c r="P2271" s="233"/>
      <c r="Q2271" s="233"/>
      <c r="R2271" s="233"/>
      <c r="S2271" s="233"/>
      <c r="T2271" s="508">
        <f t="shared" si="1763"/>
        <v>0</v>
      </c>
      <c r="U2271" s="225">
        <f>IF(NOT(ISNUMBER(G2271)), "", VLOOKUP(A2271,'Discount Lookup'!D:E,2,FALSE)*G2271)</f>
        <v>0</v>
      </c>
      <c r="V2271" s="225">
        <f>IF(NOT(ISNUMBER(G2271)), "", VLOOKUP(A2271,'Discount Lookup'!G:H,2,FALSE)*G2271)</f>
        <v>0</v>
      </c>
      <c r="W2271" s="508">
        <f t="shared" si="1764"/>
        <v>0</v>
      </c>
      <c r="X2271" s="508">
        <f t="shared" si="1765"/>
        <v>0</v>
      </c>
      <c r="Y2271" s="509" t="b">
        <f t="shared" si="1766"/>
        <v>0</v>
      </c>
      <c r="Z2271" s="510">
        <f t="shared" si="1767"/>
        <v>0</v>
      </c>
      <c r="AA2271" s="511"/>
      <c r="AB2271" s="511" t="str">
        <f t="shared" si="1768"/>
        <v/>
      </c>
      <c r="AC2271" s="698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698"/>
      <c r="AE2271" s="631" t="str">
        <f t="shared" si="1769"/>
        <v/>
      </c>
      <c r="AF2271" s="699" t="str">
        <f t="shared" si="1770"/>
        <v/>
      </c>
      <c r="AG2271" s="699"/>
      <c r="AH2271" s="699"/>
      <c r="AI2271" s="512">
        <f>IF(H2271="credit",0,IF(AE2271="free",0,IF(AE2271="me",0,IF(G2271&gt;0,(VLOOKUP(A2271,'Discount Lookup'!J:K,2)*G2271),0))))</f>
        <v>0</v>
      </c>
      <c r="AJ2271" s="513" t="str">
        <f t="shared" ca="1" si="1771"/>
        <v/>
      </c>
      <c r="AK2271" s="700" t="str">
        <f t="shared" si="1772"/>
        <v/>
      </c>
      <c r="AL2271" s="700"/>
      <c r="AM2271" s="505" t="str">
        <f t="shared" si="1773"/>
        <v/>
      </c>
      <c r="AN2271" s="506"/>
      <c r="AO2271" s="507"/>
      <c r="AP2271" s="507"/>
      <c r="AQ2271" s="507"/>
      <c r="AR2271" s="507"/>
      <c r="AS2271" s="507"/>
      <c r="AT2271" s="507"/>
      <c r="AU2271" s="507"/>
      <c r="AV2271" s="225"/>
      <c r="AW2271" s="508"/>
      <c r="AX2271" s="225"/>
      <c r="AY2271" s="225"/>
      <c r="AZ2271" s="225"/>
      <c r="BA2271" s="225"/>
      <c r="BB2271" s="225"/>
      <c r="BC2271" s="56"/>
      <c r="BD2271" s="56"/>
      <c r="BE2271" s="56"/>
      <c r="BF2271" s="107" t="str">
        <f t="shared" si="1774"/>
        <v>https://www.google.com/search?tbm=isch&amp;q=10%20G6</v>
      </c>
      <c r="BG2271" s="107" t="str">
        <f t="shared" si="1775"/>
        <v>L</v>
      </c>
      <c r="BH2271" s="254"/>
      <c r="BI2271" s="254"/>
    </row>
    <row r="2272" spans="1:61" customFormat="1" ht="17.25" thickBot="1" x14ac:dyDescent="0.3">
      <c r="A2272" s="524" t="s">
        <v>4117</v>
      </c>
      <c r="B2272" s="245"/>
      <c r="C2272" s="677"/>
      <c r="D2272" s="499"/>
      <c r="E2272" s="499"/>
      <c r="F2272" s="500"/>
      <c r="G2272" s="501"/>
      <c r="H2272" s="502"/>
      <c r="I2272" s="246"/>
      <c r="J2272" s="247"/>
      <c r="K2272" s="503"/>
      <c r="L2272" s="544"/>
      <c r="M2272" s="544"/>
      <c r="N2272" s="500"/>
      <c r="O2272" s="500"/>
      <c r="P2272" s="500"/>
      <c r="Q2272" s="500"/>
      <c r="R2272" s="500"/>
      <c r="S2272" s="278"/>
      <c r="T2272" s="508">
        <f t="shared" si="1763"/>
        <v>0</v>
      </c>
      <c r="U2272" s="225" t="str">
        <f>IF(NOT(ISNUMBER(G2272)), "", VLOOKUP(A2272,'Discount Lookup'!D:E,2,FALSE)*G2272)</f>
        <v/>
      </c>
      <c r="V2272" s="225" t="str">
        <f>IF(NOT(ISNUMBER(G2272)), "", VLOOKUP(A2272,'Discount Lookup'!G:H,2,FALSE)*G2272)</f>
        <v/>
      </c>
      <c r="W2272" s="508">
        <f t="shared" si="1764"/>
        <v>0</v>
      </c>
      <c r="X2272" s="508">
        <f t="shared" si="1765"/>
        <v>0</v>
      </c>
      <c r="Y2272" s="509" t="b">
        <f t="shared" si="1766"/>
        <v>0</v>
      </c>
      <c r="Z2272" s="510">
        <f t="shared" si="1767"/>
        <v>0</v>
      </c>
      <c r="AA2272" s="511"/>
      <c r="AB2272" s="511" t="str">
        <f t="shared" si="1768"/>
        <v/>
      </c>
      <c r="AC2272" s="698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698"/>
      <c r="AE2272" s="631" t="str">
        <f t="shared" si="1769"/>
        <v/>
      </c>
      <c r="AF2272" s="699" t="str">
        <f t="shared" si="1770"/>
        <v/>
      </c>
      <c r="AG2272" s="699"/>
      <c r="AH2272" s="699"/>
      <c r="AI2272" s="512">
        <f>IF(H2272="credit",0,IF(AE2272="free",0,IF(AE2272="me",0,IF(G2272&gt;0,(VLOOKUP(A2272,'Discount Lookup'!J:K,2)*G2272),0))))</f>
        <v>0</v>
      </c>
      <c r="AJ2272" s="513" t="str">
        <f t="shared" ca="1" si="1771"/>
        <v/>
      </c>
      <c r="AK2272" s="700" t="str">
        <f t="shared" si="1772"/>
        <v/>
      </c>
      <c r="AL2272" s="700"/>
      <c r="AM2272" s="505" t="str">
        <f t="shared" si="1773"/>
        <v/>
      </c>
      <c r="AN2272" s="506"/>
      <c r="AO2272" s="507"/>
      <c r="AP2272" s="507"/>
      <c r="AQ2272" s="507"/>
      <c r="AR2272" s="507"/>
      <c r="AS2272" s="507"/>
      <c r="AT2272" s="507"/>
      <c r="AU2272" s="507"/>
      <c r="AV2272" s="225"/>
      <c r="AW2272" s="508"/>
      <c r="AX2272" s="225"/>
      <c r="AY2272" s="225"/>
      <c r="AZ2272" s="225"/>
      <c r="BA2272" s="225"/>
      <c r="BB2272" s="225"/>
      <c r="BC2272" s="56"/>
      <c r="BD2272" s="56"/>
      <c r="BE2272" s="56"/>
      <c r="BF2272" s="107" t="str">
        <f t="shared" si="1774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272" s="107" t="str">
        <f t="shared" si="1775"/>
        <v>L</v>
      </c>
      <c r="BH2272" s="254"/>
      <c r="BI2272" s="254"/>
    </row>
    <row r="2273" spans="1:61" customFormat="1" ht="18" x14ac:dyDescent="0.25">
      <c r="A2273" s="523" t="s">
        <v>4338</v>
      </c>
      <c r="B2273" s="235"/>
      <c r="C2273" s="676"/>
      <c r="D2273" s="255" t="s">
        <v>4339</v>
      </c>
      <c r="E2273" s="236"/>
      <c r="F2273" s="236"/>
      <c r="G2273" s="236"/>
      <c r="H2273" s="582" t="s">
        <v>316</v>
      </c>
      <c r="I2273" s="498" t="s">
        <v>2103</v>
      </c>
      <c r="J2273" s="237"/>
      <c r="K2273" s="237"/>
      <c r="L2273" s="274"/>
      <c r="M2273" s="668" t="s">
        <v>4975</v>
      </c>
      <c r="N2273" s="681" t="str">
        <f>IF(AND(ISTEXT($A2273), ISERROR($A2273+0)), HYPERLINK($BF2273, "Images"), "")</f>
        <v>Images</v>
      </c>
      <c r="O2273" s="663" t="s">
        <v>4974</v>
      </c>
      <c r="P2273" s="253"/>
      <c r="Q2273" s="238"/>
      <c r="R2273" s="239"/>
      <c r="S2273" s="275"/>
      <c r="T2273" s="508">
        <f t="shared" si="1763"/>
        <v>0</v>
      </c>
      <c r="U2273" s="225" t="str">
        <f>IF(NOT(ISNUMBER(G2273)), "", VLOOKUP(A2273,'Discount Lookup'!D:E,2,FALSE)*G2273)</f>
        <v/>
      </c>
      <c r="V2273" s="225" t="str">
        <f>IF(NOT(ISNUMBER(G2273)), "", VLOOKUP(A2273,'Discount Lookup'!G:H,2,FALSE)*G2273)</f>
        <v/>
      </c>
      <c r="W2273" s="508">
        <f t="shared" si="1764"/>
        <v>0</v>
      </c>
      <c r="X2273" s="508" t="str">
        <f t="shared" si="1765"/>
        <v>Soft Pink to White bloom</v>
      </c>
      <c r="Y2273" s="509" t="b">
        <f t="shared" si="1766"/>
        <v>0</v>
      </c>
      <c r="Z2273" s="510">
        <f t="shared" si="1767"/>
        <v>0</v>
      </c>
      <c r="AA2273" s="511"/>
      <c r="AB2273" s="511" t="str">
        <f t="shared" si="1768"/>
        <v/>
      </c>
      <c r="AC2273" s="698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698"/>
      <c r="AE2273" s="631" t="str">
        <f t="shared" si="1769"/>
        <v/>
      </c>
      <c r="AF2273" s="699" t="str">
        <f t="shared" si="1770"/>
        <v/>
      </c>
      <c r="AG2273" s="699"/>
      <c r="AH2273" s="699"/>
      <c r="AI2273" s="512">
        <f>IF(H2273="credit",0,IF(AE2273="free",0,IF(AE2273="me",0,IF(G2273&gt;0,(VLOOKUP(A2273,'Discount Lookup'!J:K,2)*G2273),0))))</f>
        <v>0</v>
      </c>
      <c r="AJ2273" s="513" t="str">
        <f t="shared" ca="1" si="1771"/>
        <v/>
      </c>
      <c r="AK2273" s="700" t="str">
        <f t="shared" si="1772"/>
        <v/>
      </c>
      <c r="AL2273" s="700"/>
      <c r="AM2273" s="505" t="str">
        <f t="shared" si="1773"/>
        <v/>
      </c>
      <c r="AN2273" s="506"/>
      <c r="AO2273" s="507"/>
      <c r="AP2273" s="507"/>
      <c r="AQ2273" s="507"/>
      <c r="AR2273" s="507"/>
      <c r="AS2273" s="507"/>
      <c r="AT2273" s="507"/>
      <c r="AU2273" s="507"/>
      <c r="AV2273" s="225"/>
      <c r="AW2273" s="508"/>
      <c r="AX2273" s="225"/>
      <c r="AY2273" s="225"/>
      <c r="AZ2273" s="225"/>
      <c r="BA2273" s="225"/>
      <c r="BB2273" s="225"/>
      <c r="BC2273" s="56"/>
      <c r="BD2273" s="56"/>
      <c r="BE2273" s="56"/>
      <c r="BF2273" s="107" t="str">
        <f t="shared" si="1774"/>
        <v>https://www.google.com/search?tbm=isch&amp;q=Little%20Mimi%20Magnolia%20Magnolia%20x%20%27Patience%27</v>
      </c>
      <c r="BG2273" s="107" t="str">
        <f t="shared" si="1775"/>
        <v>L</v>
      </c>
      <c r="BH2273" s="254"/>
      <c r="BI2273" s="254"/>
    </row>
    <row r="2274" spans="1:61" customFormat="1" ht="15.75" x14ac:dyDescent="0.25">
      <c r="A2274" s="276">
        <v>7</v>
      </c>
      <c r="B2274" s="240" t="s">
        <v>291</v>
      </c>
      <c r="C2274" s="241" t="s">
        <v>4340</v>
      </c>
      <c r="D2274" s="242" t="s">
        <v>292</v>
      </c>
      <c r="E2274" s="243">
        <v>123.95</v>
      </c>
      <c r="F2274" s="517" t="s">
        <v>293</v>
      </c>
      <c r="G2274" s="232">
        <v>0</v>
      </c>
      <c r="H2274" s="661" t="str">
        <f>IF(G2274=0,"",IF(F2274="Buy",IF(G2274=1,"plant","plants"),IF(F2274&gt;0.01,"warranty","Error")))</f>
        <v/>
      </c>
      <c r="I2274" s="244">
        <f>IF(H2274="free",0,IF(H2274="credit",((E2274*(F2274))*G2274*-1),IF(F2274="Buy",(E2274*G2274),((E2274*(1-F2274))*G2274))))</f>
        <v>0</v>
      </c>
      <c r="J2274" s="244">
        <f>IF(H2274="warranty",0,(I2274*(_xlfn.SINGLE(SalesTaxPercentage))))</f>
        <v>0</v>
      </c>
      <c r="K2274" s="696">
        <f t="shared" ref="K2274" si="1791">I2274+J2274</f>
        <v>0</v>
      </c>
      <c r="L2274" s="696"/>
      <c r="M2274" s="659" t="str">
        <f>IF(AND(G2274&gt;0,E2274=0),"WARNING - no PRICE inserted",IF(H2274="free"," FREE ~ no charge this plant",IF(H2274="credit",CONCATENATE(" -$",ROUND(K2274*(1-T2GDiscount)*-1,2)," CREDIT after discount"),IF(T2GDiscount=0,"",IF(G2274=0,"",IF(F2274="Buy",CONCATENATE(" $",ROUND(K2274*(1-T2GDiscount),2)," with ",(T2GDiscount*100),"% discount"),CONCATENATE(" $",ROUND(K2274*(1-T2GDiscount),2)," with ",((T2GDiscount*100+F2274*100)-(T2GDiscount*100*F2274)),IF(F2274&gt;0,"% discounts",IF(NoWarrantyDiscount&gt;0,"% discounts","% discount")))))))))</f>
        <v/>
      </c>
      <c r="N2274" s="660"/>
      <c r="O2274" s="233"/>
      <c r="P2274" s="233"/>
      <c r="Q2274" s="233"/>
      <c r="R2274" s="233"/>
      <c r="S2274" s="233"/>
      <c r="T2274" s="508">
        <f t="shared" si="1763"/>
        <v>0</v>
      </c>
      <c r="U2274" s="225">
        <f>IF(NOT(ISNUMBER(G2274)), "", VLOOKUP(A2274,'Discount Lookup'!D:E,2,FALSE)*G2274)</f>
        <v>0</v>
      </c>
      <c r="V2274" s="225">
        <f>IF(NOT(ISNUMBER(G2274)), "", VLOOKUP(A2274,'Discount Lookup'!G:H,2,FALSE)*G2274)</f>
        <v>0</v>
      </c>
      <c r="W2274" s="508">
        <f t="shared" si="1764"/>
        <v>0</v>
      </c>
      <c r="X2274" s="508">
        <f t="shared" si="1765"/>
        <v>0</v>
      </c>
      <c r="Y2274" s="509" t="b">
        <f t="shared" si="1766"/>
        <v>0</v>
      </c>
      <c r="Z2274" s="510">
        <f t="shared" si="1767"/>
        <v>0</v>
      </c>
      <c r="AA2274" s="511"/>
      <c r="AB2274" s="511" t="str">
        <f t="shared" si="1768"/>
        <v/>
      </c>
      <c r="AC2274" s="698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698"/>
      <c r="AE2274" s="631" t="str">
        <f t="shared" si="1769"/>
        <v/>
      </c>
      <c r="AF2274" s="699" t="str">
        <f t="shared" si="1770"/>
        <v/>
      </c>
      <c r="AG2274" s="699"/>
      <c r="AH2274" s="699"/>
      <c r="AI2274" s="512">
        <f>IF(H2274="credit",0,IF(AE2274="free",0,IF(AE2274="me",0,IF(G2274&gt;0,(VLOOKUP(A2274,'Discount Lookup'!J:K,2)*G2274),0))))</f>
        <v>0</v>
      </c>
      <c r="AJ2274" s="513" t="str">
        <f t="shared" ca="1" si="1771"/>
        <v/>
      </c>
      <c r="AK2274" s="700" t="str">
        <f t="shared" si="1772"/>
        <v/>
      </c>
      <c r="AL2274" s="700"/>
      <c r="AM2274" s="505" t="str">
        <f t="shared" si="1773"/>
        <v/>
      </c>
      <c r="AN2274" s="506"/>
      <c r="AO2274" s="507"/>
      <c r="AP2274" s="507"/>
      <c r="AQ2274" s="507"/>
      <c r="AR2274" s="507"/>
      <c r="AS2274" s="507"/>
      <c r="AT2274" s="507"/>
      <c r="AU2274" s="507"/>
      <c r="AV2274" s="225"/>
      <c r="AW2274" s="508"/>
      <c r="AX2274" s="225"/>
      <c r="AY2274" s="225"/>
      <c r="AZ2274" s="225"/>
      <c r="BA2274" s="225"/>
      <c r="BB2274" s="225"/>
      <c r="BC2274" s="56"/>
      <c r="BD2274" s="56"/>
      <c r="BE2274" s="56"/>
      <c r="BF2274" s="107" t="str">
        <f t="shared" si="1774"/>
        <v>https://www.google.com/search?tbm=isch&amp;q=7%20G4</v>
      </c>
      <c r="BG2274" s="107" t="str">
        <f t="shared" si="1775"/>
        <v>L</v>
      </c>
      <c r="BH2274" s="254"/>
      <c r="BI2274" s="254"/>
    </row>
    <row r="2275" spans="1:61" customFormat="1" ht="17.25" thickBot="1" x14ac:dyDescent="0.3">
      <c r="A2275" s="524" t="s">
        <v>4341</v>
      </c>
      <c r="B2275" s="245"/>
      <c r="C2275" s="677"/>
      <c r="D2275" s="499"/>
      <c r="E2275" s="499"/>
      <c r="F2275" s="500"/>
      <c r="G2275" s="501"/>
      <c r="H2275" s="502"/>
      <c r="I2275" s="246"/>
      <c r="J2275" s="247"/>
      <c r="K2275" s="503"/>
      <c r="L2275" s="544"/>
      <c r="M2275" s="544"/>
      <c r="N2275" s="500"/>
      <c r="O2275" s="500"/>
      <c r="P2275" s="500"/>
      <c r="Q2275" s="500"/>
      <c r="R2275" s="500"/>
      <c r="S2275" s="278"/>
      <c r="T2275" s="508">
        <f t="shared" si="1763"/>
        <v>0</v>
      </c>
      <c r="U2275" s="225" t="str">
        <f>IF(NOT(ISNUMBER(G2275)), "", VLOOKUP(A2275,'Discount Lookup'!D:E,2,FALSE)*G2275)</f>
        <v/>
      </c>
      <c r="V2275" s="225" t="str">
        <f>IF(NOT(ISNUMBER(G2275)), "", VLOOKUP(A2275,'Discount Lookup'!G:H,2,FALSE)*G2275)</f>
        <v/>
      </c>
      <c r="W2275" s="508">
        <f t="shared" si="1764"/>
        <v>0</v>
      </c>
      <c r="X2275" s="508">
        <f t="shared" si="1765"/>
        <v>0</v>
      </c>
      <c r="Y2275" s="509" t="b">
        <f t="shared" si="1766"/>
        <v>0</v>
      </c>
      <c r="Z2275" s="510">
        <f t="shared" si="1767"/>
        <v>0</v>
      </c>
      <c r="AA2275" s="511"/>
      <c r="AB2275" s="511" t="str">
        <f t="shared" si="1768"/>
        <v/>
      </c>
      <c r="AC2275" s="698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698"/>
      <c r="AE2275" s="631" t="str">
        <f t="shared" si="1769"/>
        <v/>
      </c>
      <c r="AF2275" s="699" t="str">
        <f t="shared" si="1770"/>
        <v/>
      </c>
      <c r="AG2275" s="699"/>
      <c r="AH2275" s="699"/>
      <c r="AI2275" s="512">
        <f>IF(H2275="credit",0,IF(AE2275="free",0,IF(AE2275="me",0,IF(G2275&gt;0,(VLOOKUP(A2275,'Discount Lookup'!J:K,2)*G2275),0))))</f>
        <v>0</v>
      </c>
      <c r="AJ2275" s="513" t="str">
        <f t="shared" ca="1" si="1771"/>
        <v/>
      </c>
      <c r="AK2275" s="700" t="str">
        <f t="shared" si="1772"/>
        <v/>
      </c>
      <c r="AL2275" s="700"/>
      <c r="AM2275" s="505" t="str">
        <f t="shared" si="1773"/>
        <v/>
      </c>
      <c r="AN2275" s="506"/>
      <c r="AO2275" s="507"/>
      <c r="AP2275" s="507"/>
      <c r="AQ2275" s="507"/>
      <c r="AR2275" s="507"/>
      <c r="AS2275" s="507"/>
      <c r="AT2275" s="507"/>
      <c r="AU2275" s="507"/>
      <c r="AV2275" s="225"/>
      <c r="AW2275" s="508"/>
      <c r="AX2275" s="225"/>
      <c r="AY2275" s="225"/>
      <c r="AZ2275" s="225"/>
      <c r="BA2275" s="225"/>
      <c r="BB2275" s="225"/>
      <c r="BC2275" s="56"/>
      <c r="BD2275" s="56"/>
      <c r="BE2275" s="56"/>
      <c r="BF2275" s="107" t="str">
        <f t="shared" si="1774"/>
        <v>https://www.google.com/search?tbm=isch&amp;q=Little%20Mimi%20is%20noted%20for%20its%20sweet-scented%20flowers%20that%20bloom%20in%20spring%20and%20sporadically%20through%20the%20summer%20</v>
      </c>
      <c r="BG2275" s="107" t="str">
        <f t="shared" si="1775"/>
        <v>L</v>
      </c>
      <c r="BH2275" s="254"/>
      <c r="BI2275" s="254"/>
    </row>
    <row r="2276" spans="1:61" customFormat="1" ht="18" x14ac:dyDescent="0.25">
      <c r="A2276" s="523" t="s">
        <v>1275</v>
      </c>
      <c r="B2276" s="235"/>
      <c r="C2276" s="676"/>
      <c r="D2276" s="255" t="s">
        <v>1276</v>
      </c>
      <c r="E2276" s="236"/>
      <c r="F2276" s="236"/>
      <c r="G2276" s="236"/>
      <c r="H2276" s="582" t="s">
        <v>359</v>
      </c>
      <c r="I2276" s="498" t="s">
        <v>2093</v>
      </c>
      <c r="J2276" s="237"/>
      <c r="K2276" s="237"/>
      <c r="L2276" s="274"/>
      <c r="M2276" s="668" t="s">
        <v>4962</v>
      </c>
      <c r="N2276" s="681" t="str">
        <f>IF(AND(ISTEXT($A2276), ISERROR($A2276+0)), HYPERLINK($BF2276, "Images"), "")</f>
        <v>Images</v>
      </c>
      <c r="O2276" s="663" t="s">
        <v>4974</v>
      </c>
      <c r="P2276" s="253"/>
      <c r="Q2276" s="238"/>
      <c r="R2276" s="239"/>
      <c r="S2276" s="275"/>
      <c r="T2276" s="508">
        <f t="shared" si="1763"/>
        <v>0</v>
      </c>
      <c r="U2276" s="225" t="str">
        <f>IF(NOT(ISNUMBER(G2276)), "", VLOOKUP(A2276,'Discount Lookup'!D:E,2,FALSE)*G2276)</f>
        <v/>
      </c>
      <c r="V2276" s="225" t="str">
        <f>IF(NOT(ISNUMBER(G2276)), "", VLOOKUP(A2276,'Discount Lookup'!G:H,2,FALSE)*G2276)</f>
        <v/>
      </c>
      <c r="W2276" s="508">
        <f t="shared" si="1764"/>
        <v>0</v>
      </c>
      <c r="X2276" s="508" t="str">
        <f t="shared" si="1765"/>
        <v>Dark Green foliage</v>
      </c>
      <c r="Y2276" s="509" t="b">
        <f t="shared" si="1766"/>
        <v>0</v>
      </c>
      <c r="Z2276" s="510">
        <f t="shared" si="1767"/>
        <v>0</v>
      </c>
      <c r="AA2276" s="511"/>
      <c r="AB2276" s="511" t="str">
        <f t="shared" si="1768"/>
        <v/>
      </c>
      <c r="AC2276" s="698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698"/>
      <c r="AE2276" s="631" t="str">
        <f t="shared" si="1769"/>
        <v/>
      </c>
      <c r="AF2276" s="699" t="str">
        <f t="shared" si="1770"/>
        <v/>
      </c>
      <c r="AG2276" s="699"/>
      <c r="AH2276" s="699"/>
      <c r="AI2276" s="512">
        <f>IF(H2276="credit",0,IF(AE2276="free",0,IF(AE2276="me",0,IF(G2276&gt;0,(VLOOKUP(A2276,'Discount Lookup'!J:K,2)*G2276),0))))</f>
        <v>0</v>
      </c>
      <c r="AJ2276" s="513" t="str">
        <f t="shared" ca="1" si="1771"/>
        <v/>
      </c>
      <c r="AK2276" s="700" t="str">
        <f t="shared" si="1772"/>
        <v/>
      </c>
      <c r="AL2276" s="700"/>
      <c r="AM2276" s="505" t="str">
        <f t="shared" si="1773"/>
        <v/>
      </c>
      <c r="AN2276" s="506"/>
      <c r="AO2276" s="507"/>
      <c r="AP2276" s="507"/>
      <c r="AQ2276" s="507"/>
      <c r="AR2276" s="507"/>
      <c r="AS2276" s="507"/>
      <c r="AT2276" s="507"/>
      <c r="AU2276" s="507"/>
      <c r="AV2276" s="225"/>
      <c r="AW2276" s="508"/>
      <c r="AX2276" s="225"/>
      <c r="AY2276" s="225"/>
      <c r="AZ2276" s="225"/>
      <c r="BA2276" s="225"/>
      <c r="BB2276" s="225"/>
      <c r="BC2276" s="56"/>
      <c r="BD2276" s="56"/>
      <c r="BE2276" s="56"/>
      <c r="BF2276" s="107" t="str">
        <f t="shared" si="1774"/>
        <v>https://www.google.com/search?tbm=isch&amp;q=Little%20Miss%20Figgy%20Fig%20Ficus%20carica%20%27MAJOAM%27%20PP%2327929</v>
      </c>
      <c r="BG2276" s="107" t="str">
        <f t="shared" si="1775"/>
        <v>L</v>
      </c>
      <c r="BH2276" s="254"/>
      <c r="BI2276" s="254"/>
    </row>
    <row r="2277" spans="1:61" customFormat="1" ht="15.75" x14ac:dyDescent="0.25">
      <c r="A2277" s="276">
        <v>3</v>
      </c>
      <c r="B2277" s="240" t="s">
        <v>291</v>
      </c>
      <c r="C2277" s="241" t="s">
        <v>4781</v>
      </c>
      <c r="D2277" s="242" t="s">
        <v>312</v>
      </c>
      <c r="E2277" s="243">
        <v>36.950000000000003</v>
      </c>
      <c r="F2277" s="517" t="s">
        <v>293</v>
      </c>
      <c r="G2277" s="232">
        <v>0</v>
      </c>
      <c r="H2277" s="661" t="str">
        <f>IF(G2277=0,"",IF(F2277="Buy",IF(G2277=1,"plant","plants"),IF(F2277&gt;0.01,"warranty","Error")))</f>
        <v/>
      </c>
      <c r="I2277" s="244">
        <f>IF(H2277="free",0,IF(H2277="credit",((E2277*(F2277))*G2277*-1),IF(F2277="Buy",(E2277*G2277),((E2277*(1-F2277))*G2277))))</f>
        <v>0</v>
      </c>
      <c r="J2277" s="244">
        <f>IF(H2277="warranty",0,(I2277*(_xlfn.SINGLE(SalesTaxPercentage))))</f>
        <v>0</v>
      </c>
      <c r="K2277" s="696">
        <f t="shared" ref="K2277" si="1792">I2277+J2277</f>
        <v>0</v>
      </c>
      <c r="L2277" s="696"/>
      <c r="M2277" s="659" t="str">
        <f>IF(AND(G2277&gt;0,E2277=0),"WARNING - no PRICE inserted",IF(H2277="free"," FREE ~ no charge this plant",IF(H2277="credit",CONCATENATE(" -$",ROUND(K2277*(1-T2GDiscount)*-1,2)," CREDIT after discount"),IF(T2GDiscount=0,"",IF(G2277=0,"",IF(F2277="Buy",CONCATENATE(" $",ROUND(K2277*(1-T2GDiscount),2)," with ",(T2GDiscount*100),"% discount"),CONCATENATE(" $",ROUND(K2277*(1-T2GDiscount),2)," with ",((T2GDiscount*100+F2277*100)-(T2GDiscount*100*F2277)),IF(F2277&gt;0,"% discounts",IF(NoWarrantyDiscount&gt;0,"% discounts","% discount")))))))))</f>
        <v/>
      </c>
      <c r="N2277" s="660"/>
      <c r="O2277" s="233"/>
      <c r="P2277" s="233"/>
      <c r="Q2277" s="233"/>
      <c r="R2277" s="233"/>
      <c r="S2277" s="233"/>
      <c r="T2277" s="508">
        <f t="shared" si="1763"/>
        <v>0</v>
      </c>
      <c r="U2277" s="225">
        <f>IF(NOT(ISNUMBER(G2277)), "", VLOOKUP(A2277,'Discount Lookup'!D:E,2,FALSE)*G2277)</f>
        <v>0</v>
      </c>
      <c r="V2277" s="225">
        <f>IF(NOT(ISNUMBER(G2277)), "", VLOOKUP(A2277,'Discount Lookup'!G:H,2,FALSE)*G2277)</f>
        <v>0</v>
      </c>
      <c r="W2277" s="508">
        <f t="shared" si="1764"/>
        <v>0</v>
      </c>
      <c r="X2277" s="508">
        <f t="shared" si="1765"/>
        <v>0</v>
      </c>
      <c r="Y2277" s="509" t="b">
        <f t="shared" si="1766"/>
        <v>0</v>
      </c>
      <c r="Z2277" s="510">
        <f t="shared" si="1767"/>
        <v>0</v>
      </c>
      <c r="AA2277" s="511"/>
      <c r="AB2277" s="511" t="str">
        <f t="shared" si="1768"/>
        <v/>
      </c>
      <c r="AC2277" s="698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698"/>
      <c r="AE2277" s="631" t="str">
        <f t="shared" si="1769"/>
        <v/>
      </c>
      <c r="AF2277" s="699" t="str">
        <f t="shared" si="1770"/>
        <v/>
      </c>
      <c r="AG2277" s="699"/>
      <c r="AH2277" s="699"/>
      <c r="AI2277" s="512">
        <f>IF(H2277="credit",0,IF(AE2277="free",0,IF(AE2277="me",0,IF(G2277&gt;0,(VLOOKUP(A2277,'Discount Lookup'!J:K,2)*G2277),0))))</f>
        <v>0</v>
      </c>
      <c r="AJ2277" s="513" t="str">
        <f t="shared" ca="1" si="1771"/>
        <v/>
      </c>
      <c r="AK2277" s="700" t="str">
        <f t="shared" si="1772"/>
        <v/>
      </c>
      <c r="AL2277" s="700"/>
      <c r="AM2277" s="505" t="str">
        <f t="shared" si="1773"/>
        <v/>
      </c>
      <c r="AN2277" s="506"/>
      <c r="AO2277" s="507"/>
      <c r="AP2277" s="507"/>
      <c r="AQ2277" s="507"/>
      <c r="AR2277" s="507"/>
      <c r="AS2277" s="507"/>
      <c r="AT2277" s="507"/>
      <c r="AU2277" s="507"/>
      <c r="AV2277" s="225"/>
      <c r="AW2277" s="508"/>
      <c r="AX2277" s="225"/>
      <c r="AY2277" s="225"/>
      <c r="AZ2277" s="225"/>
      <c r="BA2277" s="225"/>
      <c r="BB2277" s="225"/>
      <c r="BC2277" s="56"/>
      <c r="BD2277" s="56"/>
      <c r="BE2277" s="56"/>
      <c r="BF2277" s="107" t="str">
        <f t="shared" si="1774"/>
        <v>https://www.google.com/search?tbm=isch&amp;q=3%20G2</v>
      </c>
      <c r="BG2277" s="107" t="str">
        <f t="shared" si="1775"/>
        <v>L</v>
      </c>
      <c r="BH2277" s="254"/>
      <c r="BI2277" s="254"/>
    </row>
    <row r="2278" spans="1:61" customFormat="1" ht="17.25" thickBot="1" x14ac:dyDescent="0.3">
      <c r="A2278" s="524" t="s">
        <v>2427</v>
      </c>
      <c r="B2278" s="245"/>
      <c r="C2278" s="677"/>
      <c r="D2278" s="499"/>
      <c r="E2278" s="499"/>
      <c r="F2278" s="500"/>
      <c r="G2278" s="501"/>
      <c r="H2278" s="502"/>
      <c r="I2278" s="246"/>
      <c r="J2278" s="247"/>
      <c r="K2278" s="503"/>
      <c r="L2278" s="544"/>
      <c r="M2278" s="544"/>
      <c r="N2278" s="500"/>
      <c r="O2278" s="500"/>
      <c r="P2278" s="500"/>
      <c r="Q2278" s="500"/>
      <c r="R2278" s="500"/>
      <c r="S2278" s="669" t="s">
        <v>4996</v>
      </c>
      <c r="T2278" s="508">
        <f t="shared" si="1763"/>
        <v>0</v>
      </c>
      <c r="U2278" s="225" t="str">
        <f>IF(NOT(ISNUMBER(G2278)), "", VLOOKUP(A2278,'Discount Lookup'!D:E,2,FALSE)*G2278)</f>
        <v/>
      </c>
      <c r="V2278" s="225" t="str">
        <f>IF(NOT(ISNUMBER(G2278)), "", VLOOKUP(A2278,'Discount Lookup'!G:H,2,FALSE)*G2278)</f>
        <v/>
      </c>
      <c r="W2278" s="508">
        <f t="shared" si="1764"/>
        <v>0</v>
      </c>
      <c r="X2278" s="508">
        <f t="shared" si="1765"/>
        <v>0</v>
      </c>
      <c r="Y2278" s="509" t="b">
        <f t="shared" si="1766"/>
        <v>0</v>
      </c>
      <c r="Z2278" s="510">
        <f t="shared" si="1767"/>
        <v>0</v>
      </c>
      <c r="AA2278" s="511"/>
      <c r="AB2278" s="511" t="str">
        <f t="shared" si="1768"/>
        <v/>
      </c>
      <c r="AC2278" s="698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698"/>
      <c r="AE2278" s="631" t="str">
        <f t="shared" si="1769"/>
        <v/>
      </c>
      <c r="AF2278" s="699" t="str">
        <f t="shared" si="1770"/>
        <v/>
      </c>
      <c r="AG2278" s="699"/>
      <c r="AH2278" s="699"/>
      <c r="AI2278" s="512">
        <f>IF(H2278="credit",0,IF(AE2278="free",0,IF(AE2278="me",0,IF(G2278&gt;0,(VLOOKUP(A2278,'Discount Lookup'!J:K,2)*G2278),0))))</f>
        <v>0</v>
      </c>
      <c r="AJ2278" s="513" t="str">
        <f t="shared" ca="1" si="1771"/>
        <v/>
      </c>
      <c r="AK2278" s="700" t="str">
        <f t="shared" si="1772"/>
        <v/>
      </c>
      <c r="AL2278" s="700"/>
      <c r="AM2278" s="505" t="str">
        <f t="shared" si="1773"/>
        <v/>
      </c>
      <c r="AN2278" s="506"/>
      <c r="AO2278" s="507"/>
      <c r="AP2278" s="507"/>
      <c r="AQ2278" s="507"/>
      <c r="AR2278" s="507"/>
      <c r="AS2278" s="507"/>
      <c r="AT2278" s="507"/>
      <c r="AU2278" s="507"/>
      <c r="AV2278" s="225"/>
      <c r="AW2278" s="508"/>
      <c r="AX2278" s="225"/>
      <c r="AY2278" s="225"/>
      <c r="AZ2278" s="225"/>
      <c r="BA2278" s="225"/>
      <c r="BB2278" s="225"/>
      <c r="BC2278" s="56"/>
      <c r="BD2278" s="56"/>
      <c r="BE2278" s="56"/>
      <c r="BF2278" s="107" t="str">
        <f t="shared" si="1774"/>
        <v>https://www.google.com/search?tbm=isch&amp;q=Little%20Miss%20makes%20a%20great%20option%20for%20containerized%20growing%20in%20a%20tight%20space.%20Sweet%2C%20deep%20Burgundy%20fruit.%20Self-pollinating%2C%202%20crops%20per%20year%20</v>
      </c>
      <c r="BG2278" s="107" t="str">
        <f t="shared" si="1775"/>
        <v>L</v>
      </c>
      <c r="BH2278" s="254"/>
      <c r="BI2278" s="254"/>
    </row>
    <row r="2279" spans="1:61" customFormat="1" ht="18" x14ac:dyDescent="0.25">
      <c r="A2279" s="521" t="s">
        <v>4782</v>
      </c>
      <c r="B2279" s="477"/>
      <c r="C2279" s="674"/>
      <c r="D2279" s="478" t="s">
        <v>4783</v>
      </c>
      <c r="E2279" s="479"/>
      <c r="F2279" s="479"/>
      <c r="G2279" s="479"/>
      <c r="H2279" s="582" t="s">
        <v>720</v>
      </c>
      <c r="I2279" s="480" t="s">
        <v>2109</v>
      </c>
      <c r="J2279" s="479"/>
      <c r="K2279" s="479"/>
      <c r="L2279" s="560"/>
      <c r="M2279" s="666" t="s">
        <v>4966</v>
      </c>
      <c r="N2279" s="680" t="str">
        <f>IF(AND(ISTEXT($A2279), ISERROR($A2279+0)), HYPERLINK($BF2279, "Images"), "")</f>
        <v>Images</v>
      </c>
      <c r="O2279" s="662" t="s">
        <v>4969</v>
      </c>
      <c r="P2279" s="482"/>
      <c r="Q2279" s="483"/>
      <c r="R2279" s="483"/>
      <c r="S2279" s="484"/>
      <c r="T2279" s="508">
        <f t="shared" si="1763"/>
        <v>0</v>
      </c>
      <c r="U2279" s="225" t="str">
        <f>IF(NOT(ISNUMBER(G2279)), "", VLOOKUP(A2279,'Discount Lookup'!D:E,2,FALSE)*G2279)</f>
        <v/>
      </c>
      <c r="V2279" s="225" t="str">
        <f>IF(NOT(ISNUMBER(G2279)), "", VLOOKUP(A2279,'Discount Lookup'!G:H,2,FALSE)*G2279)</f>
        <v/>
      </c>
      <c r="W2279" s="508">
        <f t="shared" si="1764"/>
        <v>0</v>
      </c>
      <c r="X2279" s="508" t="str">
        <f t="shared" si="1765"/>
        <v>Green foliage</v>
      </c>
      <c r="Y2279" s="509" t="b">
        <f t="shared" si="1766"/>
        <v>0</v>
      </c>
      <c r="Z2279" s="510">
        <f t="shared" si="1767"/>
        <v>0</v>
      </c>
      <c r="AA2279" s="511"/>
      <c r="AB2279" s="511" t="str">
        <f t="shared" si="1768"/>
        <v/>
      </c>
      <c r="AC2279" s="698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698"/>
      <c r="AE2279" s="631" t="str">
        <f t="shared" si="1769"/>
        <v/>
      </c>
      <c r="AF2279" s="699" t="str">
        <f t="shared" si="1770"/>
        <v/>
      </c>
      <c r="AG2279" s="699"/>
      <c r="AH2279" s="699"/>
      <c r="AI2279" s="512">
        <f>IF(H2279="credit",0,IF(AE2279="free",0,IF(AE2279="me",0,IF(G2279&gt;0,(VLOOKUP(A2279,'Discount Lookup'!J:K,2)*G2279),0))))</f>
        <v>0</v>
      </c>
      <c r="AJ2279" s="513" t="str">
        <f t="shared" ca="1" si="1771"/>
        <v/>
      </c>
      <c r="AK2279" s="700" t="str">
        <f t="shared" si="1772"/>
        <v/>
      </c>
      <c r="AL2279" s="700"/>
      <c r="AM2279" s="505" t="str">
        <f t="shared" si="1773"/>
        <v/>
      </c>
      <c r="AN2279" s="506"/>
      <c r="AO2279" s="507"/>
      <c r="AP2279" s="507"/>
      <c r="AQ2279" s="507"/>
      <c r="AR2279" s="507"/>
      <c r="AS2279" s="507"/>
      <c r="AT2279" s="507"/>
      <c r="AU2279" s="507"/>
      <c r="AV2279" s="225"/>
      <c r="AW2279" s="508"/>
      <c r="AX2279" s="225"/>
      <c r="AY2279" s="225"/>
      <c r="AZ2279" s="225"/>
      <c r="BA2279" s="225"/>
      <c r="BB2279" s="225"/>
      <c r="BC2279" s="56"/>
      <c r="BD2279" s="56"/>
      <c r="BE2279" s="56"/>
      <c r="BF2279" s="107" t="str">
        <f t="shared" si="1774"/>
        <v>https://www.google.com/search?tbm=isch&amp;q=Little%20Missy%20Boxwood%20Buxus%20microphylla%20%27Little%20Missy%27</v>
      </c>
      <c r="BG2279" s="107" t="str">
        <f t="shared" si="1775"/>
        <v>L</v>
      </c>
      <c r="BH2279" s="254"/>
      <c r="BI2279" s="254"/>
    </row>
    <row r="2280" spans="1:61" customFormat="1" ht="27" x14ac:dyDescent="0.25">
      <c r="A2280" s="485">
        <v>5</v>
      </c>
      <c r="B2280" s="486" t="s">
        <v>291</v>
      </c>
      <c r="C2280" s="487" t="s">
        <v>4784</v>
      </c>
      <c r="D2280" s="488" t="s">
        <v>292</v>
      </c>
      <c r="E2280" s="489">
        <v>95.95</v>
      </c>
      <c r="F2280" s="516" t="s">
        <v>293</v>
      </c>
      <c r="G2280" s="232">
        <v>0</v>
      </c>
      <c r="H2280" s="658" t="str">
        <f>IF(G2280=0,"",IF(F2280="Buy",IF(G2280=1,"plant","plants"),IF(F2280&gt;0.01,"warranty","Error")))</f>
        <v/>
      </c>
      <c r="I2280" s="490">
        <f>IF(H2280="free",0,IF(H2280="credit",((E2280*(F2280))*G2280*-1),IF(F2280="Buy",(E2280*G2280),((E2280*(1-F2280))*G2280))))</f>
        <v>0</v>
      </c>
      <c r="J2280" s="490">
        <f>IF(H2280="warranty",0,(I2280*(_xlfn.SINGLE(SalesTaxPercentage))))</f>
        <v>0</v>
      </c>
      <c r="K2280" s="695">
        <f t="shared" ref="K2280" si="1793">I2280+J2280</f>
        <v>0</v>
      </c>
      <c r="L2280" s="695"/>
      <c r="M2280" s="659" t="str">
        <f>IF(AND(G2280&gt;0,E2280=0),"WARNING - no PRICE inserted",IF(H2280="free"," FREE ~ no charge this plant",IF(H2280="credit",CONCATENATE(" -$",ROUND(K2280*(1-T2GDiscount)*-1,2)," CREDIT after discount"),IF(T2GDiscount=0,"",IF(G2280=0,"",IF(F2280="Buy",CONCATENATE(" $",ROUND(K2280*(1-T2GDiscount),2)," with ",(T2GDiscount*100),"% discount"),CONCATENATE(" $",ROUND(K2280*(1-T2GDiscount),2)," with ",((T2GDiscount*100+F2280*100)-(T2GDiscount*100*F2280)),IF(F2280&gt;0,"% discounts",IF(NoWarrantyDiscount&gt;0,"% discounts","% discount")))))))))</f>
        <v/>
      </c>
      <c r="N2280" s="660"/>
      <c r="O2280" s="233"/>
      <c r="P2280" s="233"/>
      <c r="Q2280" s="233"/>
      <c r="R2280" s="233"/>
      <c r="S2280" s="233"/>
      <c r="T2280" s="508">
        <f t="shared" si="1763"/>
        <v>0</v>
      </c>
      <c r="U2280" s="225">
        <f>IF(NOT(ISNUMBER(G2280)), "", VLOOKUP(A2280,'Discount Lookup'!D:E,2,FALSE)*G2280)</f>
        <v>0</v>
      </c>
      <c r="V2280" s="225">
        <f>IF(NOT(ISNUMBER(G2280)), "", VLOOKUP(A2280,'Discount Lookup'!G:H,2,FALSE)*G2280)</f>
        <v>0</v>
      </c>
      <c r="W2280" s="508">
        <f t="shared" si="1764"/>
        <v>0</v>
      </c>
      <c r="X2280" s="508">
        <f t="shared" si="1765"/>
        <v>0</v>
      </c>
      <c r="Y2280" s="509" t="b">
        <f t="shared" si="1766"/>
        <v>0</v>
      </c>
      <c r="Z2280" s="510">
        <f t="shared" si="1767"/>
        <v>0</v>
      </c>
      <c r="AA2280" s="511"/>
      <c r="AB2280" s="511" t="str">
        <f t="shared" si="1768"/>
        <v/>
      </c>
      <c r="AC2280" s="698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698"/>
      <c r="AE2280" s="631" t="str">
        <f t="shared" si="1769"/>
        <v/>
      </c>
      <c r="AF2280" s="699" t="str">
        <f t="shared" si="1770"/>
        <v/>
      </c>
      <c r="AG2280" s="699"/>
      <c r="AH2280" s="699"/>
      <c r="AI2280" s="512">
        <f>IF(H2280="credit",0,IF(AE2280="free",0,IF(AE2280="me",0,IF(G2280&gt;0,(VLOOKUP(A2280,'Discount Lookup'!J:K,2)*G2280),0))))</f>
        <v>0</v>
      </c>
      <c r="AJ2280" s="513" t="str">
        <f t="shared" ca="1" si="1771"/>
        <v/>
      </c>
      <c r="AK2280" s="700" t="str">
        <f t="shared" si="1772"/>
        <v/>
      </c>
      <c r="AL2280" s="700"/>
      <c r="AM2280" s="505" t="str">
        <f t="shared" si="1773"/>
        <v/>
      </c>
      <c r="AN2280" s="506"/>
      <c r="AO2280" s="507"/>
      <c r="AP2280" s="507"/>
      <c r="AQ2280" s="507"/>
      <c r="AR2280" s="507"/>
      <c r="AS2280" s="507"/>
      <c r="AT2280" s="507"/>
      <c r="AU2280" s="507"/>
      <c r="AV2280" s="225"/>
      <c r="AW2280" s="508"/>
      <c r="AX2280" s="225"/>
      <c r="AY2280" s="225"/>
      <c r="AZ2280" s="225"/>
      <c r="BA2280" s="225"/>
      <c r="BB2280" s="225"/>
      <c r="BC2280" s="56"/>
      <c r="BD2280" s="56"/>
      <c r="BE2280" s="56"/>
      <c r="BF2280" s="107" t="str">
        <f t="shared" si="1774"/>
        <v>https://www.google.com/search?tbm=isch&amp;q=5%20G4</v>
      </c>
      <c r="BG2280" s="107" t="str">
        <f t="shared" si="1775"/>
        <v>L</v>
      </c>
      <c r="BH2280" s="254"/>
      <c r="BI2280" s="254"/>
    </row>
    <row r="2281" spans="1:61" customFormat="1" ht="16.5" thickBot="1" x14ac:dyDescent="0.3">
      <c r="A2281" s="522" t="s">
        <v>4785</v>
      </c>
      <c r="B2281" s="491"/>
      <c r="C2281" s="675"/>
      <c r="D2281" s="491"/>
      <c r="E2281" s="491"/>
      <c r="F2281" s="492"/>
      <c r="G2281" s="493"/>
      <c r="H2281" s="491"/>
      <c r="I2281" s="234"/>
      <c r="J2281" s="234"/>
      <c r="K2281" s="494"/>
      <c r="L2281" s="543"/>
      <c r="M2281" s="561"/>
      <c r="N2281" s="495"/>
      <c r="O2281" s="496"/>
      <c r="P2281" s="497"/>
      <c r="Q2281" s="495"/>
      <c r="R2281" s="495"/>
      <c r="S2281" s="667" t="s">
        <v>4968</v>
      </c>
      <c r="T2281" s="508">
        <f t="shared" si="1763"/>
        <v>0</v>
      </c>
      <c r="U2281" s="225" t="str">
        <f>IF(NOT(ISNUMBER(G2281)), "", VLOOKUP(A2281,'Discount Lookup'!D:E,2,FALSE)*G2281)</f>
        <v/>
      </c>
      <c r="V2281" s="225" t="str">
        <f>IF(NOT(ISNUMBER(G2281)), "", VLOOKUP(A2281,'Discount Lookup'!G:H,2,FALSE)*G2281)</f>
        <v/>
      </c>
      <c r="W2281" s="508">
        <f t="shared" si="1764"/>
        <v>0</v>
      </c>
      <c r="X2281" s="508">
        <f t="shared" si="1765"/>
        <v>0</v>
      </c>
      <c r="Y2281" s="509" t="b">
        <f t="shared" si="1766"/>
        <v>0</v>
      </c>
      <c r="Z2281" s="510">
        <f t="shared" si="1767"/>
        <v>0</v>
      </c>
      <c r="AA2281" s="511"/>
      <c r="AB2281" s="511" t="str">
        <f t="shared" si="1768"/>
        <v/>
      </c>
      <c r="AC2281" s="698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698"/>
      <c r="AE2281" s="631" t="str">
        <f t="shared" si="1769"/>
        <v/>
      </c>
      <c r="AF2281" s="699" t="str">
        <f t="shared" si="1770"/>
        <v/>
      </c>
      <c r="AG2281" s="699"/>
      <c r="AH2281" s="699"/>
      <c r="AI2281" s="512">
        <f>IF(H2281="credit",0,IF(AE2281="free",0,IF(AE2281="me",0,IF(G2281&gt;0,(VLOOKUP(A2281,'Discount Lookup'!J:K,2)*G2281),0))))</f>
        <v>0</v>
      </c>
      <c r="AJ2281" s="513" t="str">
        <f t="shared" ca="1" si="1771"/>
        <v/>
      </c>
      <c r="AK2281" s="700" t="str">
        <f t="shared" si="1772"/>
        <v/>
      </c>
      <c r="AL2281" s="700"/>
      <c r="AM2281" s="505" t="str">
        <f t="shared" si="1773"/>
        <v/>
      </c>
      <c r="AN2281" s="506"/>
      <c r="AO2281" s="507"/>
      <c r="AP2281" s="507"/>
      <c r="AQ2281" s="507"/>
      <c r="AR2281" s="507"/>
      <c r="AS2281" s="507"/>
      <c r="AT2281" s="507"/>
      <c r="AU2281" s="507"/>
      <c r="AV2281" s="225"/>
      <c r="AW2281" s="508"/>
      <c r="AX2281" s="225"/>
      <c r="AY2281" s="225"/>
      <c r="AZ2281" s="225"/>
      <c r="BA2281" s="225"/>
      <c r="BB2281" s="225"/>
      <c r="BC2281" s="56"/>
      <c r="BD2281" s="56"/>
      <c r="BE2281" s="56"/>
      <c r="BF2281" s="107" t="str">
        <f t="shared" si="1774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281" s="107" t="str">
        <f t="shared" si="1775"/>
        <v>L</v>
      </c>
      <c r="BH2281" s="254"/>
      <c r="BI2281" s="254"/>
    </row>
    <row r="2282" spans="1:61" customFormat="1" ht="18" x14ac:dyDescent="0.25">
      <c r="A2282" s="523" t="s">
        <v>4427</v>
      </c>
      <c r="B2282" s="235"/>
      <c r="C2282" s="676"/>
      <c r="D2282" s="255" t="s">
        <v>3191</v>
      </c>
      <c r="E2282" s="236"/>
      <c r="F2282" s="236"/>
      <c r="G2282" s="236"/>
      <c r="H2282" s="582" t="s">
        <v>2584</v>
      </c>
      <c r="I2282" s="498" t="s">
        <v>2118</v>
      </c>
      <c r="J2282" s="237"/>
      <c r="K2282" s="237"/>
      <c r="L2282" s="274"/>
      <c r="M2282" s="668" t="s">
        <v>4962</v>
      </c>
      <c r="N2282" s="681" t="str">
        <f>IF(AND(ISTEXT($A2282), ISERROR($A2282+0)), HYPERLINK($BF2282, "Images"), "")</f>
        <v>Images</v>
      </c>
      <c r="O2282" s="663" t="s">
        <v>4967</v>
      </c>
      <c r="P2282" s="253"/>
      <c r="Q2282" s="238"/>
      <c r="R2282" s="239"/>
      <c r="S2282" s="275"/>
      <c r="T2282" s="508">
        <f t="shared" si="1763"/>
        <v>0</v>
      </c>
      <c r="U2282" s="225" t="str">
        <f>IF(NOT(ISNUMBER(G2282)), "", VLOOKUP(A2282,'Discount Lookup'!D:E,2,FALSE)*G2282)</f>
        <v/>
      </c>
      <c r="V2282" s="225" t="str">
        <f>IF(NOT(ISNUMBER(G2282)), "", VLOOKUP(A2282,'Discount Lookup'!G:H,2,FALSE)*G2282)</f>
        <v/>
      </c>
      <c r="W2282" s="508">
        <f t="shared" si="1764"/>
        <v>0</v>
      </c>
      <c r="X2282" s="508" t="str">
        <f t="shared" si="1765"/>
        <v>Rose-Pink bloom</v>
      </c>
      <c r="Y2282" s="509" t="b">
        <f t="shared" si="1766"/>
        <v>0</v>
      </c>
      <c r="Z2282" s="510">
        <f t="shared" si="1767"/>
        <v>0</v>
      </c>
      <c r="AA2282" s="511"/>
      <c r="AB2282" s="511" t="str">
        <f t="shared" si="1768"/>
        <v/>
      </c>
      <c r="AC2282" s="698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698"/>
      <c r="AE2282" s="631" t="str">
        <f t="shared" si="1769"/>
        <v/>
      </c>
      <c r="AF2282" s="699" t="str">
        <f t="shared" si="1770"/>
        <v/>
      </c>
      <c r="AG2282" s="699"/>
      <c r="AH2282" s="699"/>
      <c r="AI2282" s="512">
        <f>IF(H2282="credit",0,IF(AE2282="free",0,IF(AE2282="me",0,IF(G2282&gt;0,(VLOOKUP(A2282,'Discount Lookup'!J:K,2)*G2282),0))))</f>
        <v>0</v>
      </c>
      <c r="AJ2282" s="513" t="str">
        <f t="shared" ca="1" si="1771"/>
        <v/>
      </c>
      <c r="AK2282" s="700" t="str">
        <f t="shared" si="1772"/>
        <v/>
      </c>
      <c r="AL2282" s="700"/>
      <c r="AM2282" s="505" t="str">
        <f t="shared" si="1773"/>
        <v/>
      </c>
      <c r="AN2282" s="506"/>
      <c r="AO2282" s="507"/>
      <c r="AP2282" s="507"/>
      <c r="AQ2282" s="507"/>
      <c r="AR2282" s="507"/>
      <c r="AS2282" s="507"/>
      <c r="AT2282" s="507"/>
      <c r="AU2282" s="507"/>
      <c r="AV2282" s="225"/>
      <c r="AW2282" s="508"/>
      <c r="AX2282" s="225"/>
      <c r="AY2282" s="225"/>
      <c r="AZ2282" s="225"/>
      <c r="BA2282" s="225"/>
      <c r="BB2282" s="225"/>
      <c r="BC2282" s="56"/>
      <c r="BD2282" s="56"/>
      <c r="BE2282" s="56"/>
      <c r="BF2282" s="107" t="str">
        <f t="shared" si="1774"/>
        <v>https://www.google.com/search?tbm=isch&amp;q=Little%20Princess%20Japanese%20Spirea%20Spiraea%20japonica%20%27Little%20Princess%27</v>
      </c>
      <c r="BG2282" s="107" t="str">
        <f t="shared" si="1775"/>
        <v>L</v>
      </c>
      <c r="BH2282" s="254"/>
      <c r="BI2282" s="254"/>
    </row>
    <row r="2283" spans="1:61" customFormat="1" ht="15.75" x14ac:dyDescent="0.25">
      <c r="A2283" s="276">
        <v>3</v>
      </c>
      <c r="B2283" s="240" t="s">
        <v>291</v>
      </c>
      <c r="C2283" s="241"/>
      <c r="D2283" s="242" t="s">
        <v>298</v>
      </c>
      <c r="E2283" s="243">
        <v>25.95</v>
      </c>
      <c r="F2283" s="517" t="s">
        <v>293</v>
      </c>
      <c r="G2283" s="232">
        <v>0</v>
      </c>
      <c r="H2283" s="661" t="str">
        <f>IF(G2283=0,"",IF(F2283="Buy",IF(G2283=1,"plant","plants"),IF(F2283&gt;0.01,"warranty","Error")))</f>
        <v/>
      </c>
      <c r="I2283" s="244">
        <f>IF(H2283="free",0,IF(H2283="credit",((E2283*(F2283))*G2283*-1),IF(F2283="Buy",(E2283*G2283),((E2283*(1-F2283))*G2283))))</f>
        <v>0</v>
      </c>
      <c r="J2283" s="244">
        <f>IF(H2283="warranty",0,(I2283*(_xlfn.SINGLE(SalesTaxPercentage))))</f>
        <v>0</v>
      </c>
      <c r="K2283" s="696">
        <f t="shared" ref="K2283" si="1794">I2283+J2283</f>
        <v>0</v>
      </c>
      <c r="L2283" s="696"/>
      <c r="M2283" s="659" t="str">
        <f>IF(AND(G2283&gt;0,E2283=0),"WARNING - no PRICE inserted",IF(H2283="free"," FREE ~ no charge this plant",IF(H2283="credit",CONCATENATE(" -$",ROUND(K2283*(1-T2GDiscount)*-1,2)," CREDIT after discount"),IF(T2GDiscount=0,"",IF(G2283=0,"",IF(F2283="Buy",CONCATENATE(" $",ROUND(K2283*(1-T2GDiscount),2)," with ",(T2GDiscount*100),"% discount"),CONCATENATE(" $",ROUND(K2283*(1-T2GDiscount),2)," with ",((T2GDiscount*100+F2283*100)-(T2GDiscount*100*F2283)),IF(F2283&gt;0,"% discounts",IF(NoWarrantyDiscount&gt;0,"% discounts","% discount")))))))))</f>
        <v/>
      </c>
      <c r="N2283" s="660"/>
      <c r="O2283" s="233"/>
      <c r="P2283" s="233"/>
      <c r="Q2283" s="233"/>
      <c r="R2283" s="233"/>
      <c r="S2283" s="233"/>
      <c r="T2283" s="508">
        <f t="shared" si="1763"/>
        <v>0</v>
      </c>
      <c r="U2283" s="225">
        <f>IF(NOT(ISNUMBER(G2283)), "", VLOOKUP(A2283,'Discount Lookup'!D:E,2,FALSE)*G2283)</f>
        <v>0</v>
      </c>
      <c r="V2283" s="225">
        <f>IF(NOT(ISNUMBER(G2283)), "", VLOOKUP(A2283,'Discount Lookup'!G:H,2,FALSE)*G2283)</f>
        <v>0</v>
      </c>
      <c r="W2283" s="508">
        <f t="shared" si="1764"/>
        <v>0</v>
      </c>
      <c r="X2283" s="508">
        <f t="shared" si="1765"/>
        <v>0</v>
      </c>
      <c r="Y2283" s="509" t="b">
        <f t="shared" si="1766"/>
        <v>0</v>
      </c>
      <c r="Z2283" s="510">
        <f t="shared" si="1767"/>
        <v>0</v>
      </c>
      <c r="AA2283" s="511"/>
      <c r="AB2283" s="511" t="str">
        <f t="shared" si="1768"/>
        <v/>
      </c>
      <c r="AC2283" s="698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698"/>
      <c r="AE2283" s="631" t="str">
        <f t="shared" si="1769"/>
        <v/>
      </c>
      <c r="AF2283" s="699" t="str">
        <f t="shared" si="1770"/>
        <v/>
      </c>
      <c r="AG2283" s="699"/>
      <c r="AH2283" s="699"/>
      <c r="AI2283" s="512">
        <f>IF(H2283="credit",0,IF(AE2283="free",0,IF(AE2283="me",0,IF(G2283&gt;0,(VLOOKUP(A2283,'Discount Lookup'!J:K,2)*G2283),0))))</f>
        <v>0</v>
      </c>
      <c r="AJ2283" s="513" t="str">
        <f t="shared" ca="1" si="1771"/>
        <v/>
      </c>
      <c r="AK2283" s="700" t="str">
        <f t="shared" si="1772"/>
        <v/>
      </c>
      <c r="AL2283" s="700"/>
      <c r="AM2283" s="505" t="str">
        <f t="shared" si="1773"/>
        <v/>
      </c>
      <c r="AN2283" s="506"/>
      <c r="AO2283" s="507"/>
      <c r="AP2283" s="507"/>
      <c r="AQ2283" s="507"/>
      <c r="AR2283" s="507"/>
      <c r="AS2283" s="507"/>
      <c r="AT2283" s="507"/>
      <c r="AU2283" s="507"/>
      <c r="AV2283" s="225"/>
      <c r="AW2283" s="508"/>
      <c r="AX2283" s="225"/>
      <c r="AY2283" s="225"/>
      <c r="AZ2283" s="225"/>
      <c r="BA2283" s="225"/>
      <c r="BB2283" s="225"/>
      <c r="BC2283" s="56"/>
      <c r="BD2283" s="56"/>
      <c r="BE2283" s="56"/>
      <c r="BF2283" s="107" t="str">
        <f t="shared" si="1774"/>
        <v>https://www.google.com/search?tbm=isch&amp;q=3%20G1</v>
      </c>
      <c r="BG2283" s="107" t="str">
        <f t="shared" si="1775"/>
        <v>L</v>
      </c>
      <c r="BH2283" s="254"/>
      <c r="BI2283" s="254"/>
    </row>
    <row r="2284" spans="1:61" customFormat="1" ht="15.75" x14ac:dyDescent="0.25">
      <c r="A2284" s="276">
        <v>3</v>
      </c>
      <c r="B2284" s="240" t="s">
        <v>291</v>
      </c>
      <c r="C2284" s="241" t="s">
        <v>3058</v>
      </c>
      <c r="D2284" s="242" t="s">
        <v>312</v>
      </c>
      <c r="E2284" s="243">
        <v>26.95</v>
      </c>
      <c r="F2284" s="517" t="s">
        <v>293</v>
      </c>
      <c r="G2284" s="232">
        <v>0</v>
      </c>
      <c r="H2284" s="661" t="str">
        <f>IF(G2284=0,"",IF(F2284="Buy",IF(G2284=1,"plant","plants"),IF(F2284&gt;0.01,"warranty","Error")))</f>
        <v/>
      </c>
      <c r="I2284" s="244">
        <f>IF(H2284="free",0,IF(H2284="credit",((E2284*(F2284))*G2284*-1),IF(F2284="Buy",(E2284*G2284),((E2284*(1-F2284))*G2284))))</f>
        <v>0</v>
      </c>
      <c r="J2284" s="244">
        <f>IF(H2284="warranty",0,(I2284*(_xlfn.SINGLE(SalesTaxPercentage))))</f>
        <v>0</v>
      </c>
      <c r="K2284" s="696">
        <f t="shared" ref="K2284" si="1795">I2284+J2284</f>
        <v>0</v>
      </c>
      <c r="L2284" s="696"/>
      <c r="M2284" s="659" t="str">
        <f>IF(AND(G2284&gt;0,E2284=0),"WARNING - no PRICE inserted",IF(H2284="free"," FREE ~ no charge this plant",IF(H2284="credit",CONCATENATE(" -$",ROUND(K2284*(1-T2GDiscount)*-1,2)," CREDIT after discount"),IF(T2GDiscount=0,"",IF(G2284=0,"",IF(F2284="Buy",CONCATENATE(" $",ROUND(K2284*(1-T2GDiscount),2)," with ",(T2GDiscount*100),"% discount"),CONCATENATE(" $",ROUND(K2284*(1-T2GDiscount),2)," with ",((T2GDiscount*100+F2284*100)-(T2GDiscount*100*F2284)),IF(F2284&gt;0,"% discounts",IF(NoWarrantyDiscount&gt;0,"% discounts","% discount")))))))))</f>
        <v/>
      </c>
      <c r="N2284" s="660"/>
      <c r="O2284" s="233"/>
      <c r="P2284" s="233"/>
      <c r="Q2284" s="233"/>
      <c r="R2284" s="233"/>
      <c r="S2284" s="233"/>
      <c r="T2284" s="508">
        <f t="shared" si="1763"/>
        <v>0</v>
      </c>
      <c r="U2284" s="225">
        <f>IF(NOT(ISNUMBER(G2284)), "", VLOOKUP(A2284,'Discount Lookup'!D:E,2,FALSE)*G2284)</f>
        <v>0</v>
      </c>
      <c r="V2284" s="225">
        <f>IF(NOT(ISNUMBER(G2284)), "", VLOOKUP(A2284,'Discount Lookup'!G:H,2,FALSE)*G2284)</f>
        <v>0</v>
      </c>
      <c r="W2284" s="508">
        <f t="shared" si="1764"/>
        <v>0</v>
      </c>
      <c r="X2284" s="508">
        <f t="shared" si="1765"/>
        <v>0</v>
      </c>
      <c r="Y2284" s="509" t="b">
        <f t="shared" si="1766"/>
        <v>0</v>
      </c>
      <c r="Z2284" s="510">
        <f t="shared" si="1767"/>
        <v>0</v>
      </c>
      <c r="AA2284" s="511"/>
      <c r="AB2284" s="511" t="str">
        <f t="shared" si="1768"/>
        <v/>
      </c>
      <c r="AC2284" s="698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698"/>
      <c r="AE2284" s="631" t="str">
        <f t="shared" si="1769"/>
        <v/>
      </c>
      <c r="AF2284" s="699" t="str">
        <f t="shared" si="1770"/>
        <v/>
      </c>
      <c r="AG2284" s="699"/>
      <c r="AH2284" s="699"/>
      <c r="AI2284" s="512">
        <f>IF(H2284="credit",0,IF(AE2284="free",0,IF(AE2284="me",0,IF(G2284&gt;0,(VLOOKUP(A2284,'Discount Lookup'!J:K,2)*G2284),0))))</f>
        <v>0</v>
      </c>
      <c r="AJ2284" s="513" t="str">
        <f t="shared" ca="1" si="1771"/>
        <v/>
      </c>
      <c r="AK2284" s="700" t="str">
        <f t="shared" si="1772"/>
        <v/>
      </c>
      <c r="AL2284" s="700"/>
      <c r="AM2284" s="505" t="str">
        <f t="shared" si="1773"/>
        <v/>
      </c>
      <c r="AN2284" s="506"/>
      <c r="AO2284" s="507"/>
      <c r="AP2284" s="507"/>
      <c r="AQ2284" s="507"/>
      <c r="AR2284" s="507"/>
      <c r="AS2284" s="507"/>
      <c r="AT2284" s="507"/>
      <c r="AU2284" s="507"/>
      <c r="AV2284" s="225"/>
      <c r="AW2284" s="508"/>
      <c r="AX2284" s="225"/>
      <c r="AY2284" s="225"/>
      <c r="AZ2284" s="225"/>
      <c r="BA2284" s="225"/>
      <c r="BB2284" s="225"/>
      <c r="BC2284" s="56"/>
      <c r="BD2284" s="56"/>
      <c r="BE2284" s="56"/>
      <c r="BF2284" s="107" t="str">
        <f t="shared" si="1774"/>
        <v>https://www.google.com/search?tbm=isch&amp;q=3%20G2</v>
      </c>
      <c r="BG2284" s="107" t="str">
        <f t="shared" si="1775"/>
        <v>L</v>
      </c>
      <c r="BH2284" s="254"/>
      <c r="BI2284" s="254"/>
    </row>
    <row r="2285" spans="1:61" customFormat="1" ht="17.25" thickBot="1" x14ac:dyDescent="0.3">
      <c r="A2285" s="524" t="s">
        <v>4206</v>
      </c>
      <c r="B2285" s="245"/>
      <c r="C2285" s="677"/>
      <c r="D2285" s="499"/>
      <c r="E2285" s="499"/>
      <c r="F2285" s="500"/>
      <c r="G2285" s="501"/>
      <c r="H2285" s="502"/>
      <c r="I2285" s="246"/>
      <c r="J2285" s="247"/>
      <c r="K2285" s="503"/>
      <c r="L2285" s="544"/>
      <c r="M2285" s="544"/>
      <c r="N2285" s="500"/>
      <c r="O2285" s="500"/>
      <c r="P2285" s="500"/>
      <c r="Q2285" s="500"/>
      <c r="R2285" s="500"/>
      <c r="S2285" s="669" t="s">
        <v>4980</v>
      </c>
      <c r="T2285" s="508">
        <f t="shared" si="1763"/>
        <v>0</v>
      </c>
      <c r="U2285" s="225" t="str">
        <f>IF(NOT(ISNUMBER(G2285)), "", VLOOKUP(A2285,'Discount Lookup'!D:E,2,FALSE)*G2285)</f>
        <v/>
      </c>
      <c r="V2285" s="225" t="str">
        <f>IF(NOT(ISNUMBER(G2285)), "", VLOOKUP(A2285,'Discount Lookup'!G:H,2,FALSE)*G2285)</f>
        <v/>
      </c>
      <c r="W2285" s="508">
        <f t="shared" si="1764"/>
        <v>0</v>
      </c>
      <c r="X2285" s="508">
        <f t="shared" si="1765"/>
        <v>0</v>
      </c>
      <c r="Y2285" s="509" t="b">
        <f t="shared" si="1766"/>
        <v>0</v>
      </c>
      <c r="Z2285" s="510">
        <f t="shared" si="1767"/>
        <v>0</v>
      </c>
      <c r="AA2285" s="511"/>
      <c r="AB2285" s="511" t="str">
        <f t="shared" si="1768"/>
        <v/>
      </c>
      <c r="AC2285" s="698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698"/>
      <c r="AE2285" s="631" t="str">
        <f t="shared" si="1769"/>
        <v/>
      </c>
      <c r="AF2285" s="699" t="str">
        <f t="shared" si="1770"/>
        <v/>
      </c>
      <c r="AG2285" s="699"/>
      <c r="AH2285" s="699"/>
      <c r="AI2285" s="512">
        <f>IF(H2285="credit",0,IF(AE2285="free",0,IF(AE2285="me",0,IF(G2285&gt;0,(VLOOKUP(A2285,'Discount Lookup'!J:K,2)*G2285),0))))</f>
        <v>0</v>
      </c>
      <c r="AJ2285" s="513" t="str">
        <f t="shared" ca="1" si="1771"/>
        <v/>
      </c>
      <c r="AK2285" s="700" t="str">
        <f t="shared" si="1772"/>
        <v/>
      </c>
      <c r="AL2285" s="700"/>
      <c r="AM2285" s="505" t="str">
        <f t="shared" si="1773"/>
        <v/>
      </c>
      <c r="AN2285" s="506"/>
      <c r="AO2285" s="507"/>
      <c r="AP2285" s="507"/>
      <c r="AQ2285" s="507"/>
      <c r="AR2285" s="507"/>
      <c r="AS2285" s="507"/>
      <c r="AT2285" s="507"/>
      <c r="AU2285" s="507"/>
      <c r="AV2285" s="225"/>
      <c r="AW2285" s="508"/>
      <c r="AX2285" s="225"/>
      <c r="AY2285" s="225"/>
      <c r="AZ2285" s="225"/>
      <c r="BA2285" s="225"/>
      <c r="BB2285" s="225"/>
      <c r="BC2285" s="56"/>
      <c r="BD2285" s="56"/>
      <c r="BE2285" s="56"/>
      <c r="BF2285" s="107" t="str">
        <f t="shared" si="1774"/>
        <v>https://www.google.com/search?tbm=isch&amp;q=Little%20Princess%20has%20Mint%20Green%20foliage%2C%20with%20some%20Reddish-Bronze-Copper%20tones%20in%20fall.%20Summer%20bloom%2C%20on%20new%20wood%2C%20so%20prune%20late%20winter%20</v>
      </c>
      <c r="BG2285" s="107" t="str">
        <f t="shared" si="1775"/>
        <v>L</v>
      </c>
      <c r="BH2285" s="254"/>
      <c r="BI2285" s="254"/>
    </row>
    <row r="2286" spans="1:61" customFormat="1" ht="18" x14ac:dyDescent="0.25">
      <c r="A2286" s="523" t="s">
        <v>4118</v>
      </c>
      <c r="B2286" s="235"/>
      <c r="C2286" s="676"/>
      <c r="D2286" s="255" t="s">
        <v>4119</v>
      </c>
      <c r="E2286" s="236"/>
      <c r="F2286" s="236"/>
      <c r="G2286" s="236"/>
      <c r="H2286" s="582" t="s">
        <v>463</v>
      </c>
      <c r="I2286" s="498" t="s">
        <v>665</v>
      </c>
      <c r="J2286" s="237"/>
      <c r="K2286" s="237"/>
      <c r="L2286" s="274"/>
      <c r="M2286" s="668" t="s">
        <v>4975</v>
      </c>
      <c r="N2286" s="681" t="str">
        <f>IF(AND(ISTEXT($A2286), ISERROR($A2286+0)), HYPERLINK($BF2286, "Images"), "")</f>
        <v>Images</v>
      </c>
      <c r="O2286" s="663" t="s">
        <v>4967</v>
      </c>
      <c r="P2286" s="253"/>
      <c r="Q2286" s="238"/>
      <c r="R2286" s="239"/>
      <c r="S2286" s="275"/>
      <c r="T2286" s="508">
        <f t="shared" si="1763"/>
        <v>0</v>
      </c>
      <c r="U2286" s="225" t="str">
        <f>IF(NOT(ISNUMBER(G2286)), "", VLOOKUP(A2286,'Discount Lookup'!D:E,2,FALSE)*G2286)</f>
        <v/>
      </c>
      <c r="V2286" s="225" t="str">
        <f>IF(NOT(ISNUMBER(G2286)), "", VLOOKUP(A2286,'Discount Lookup'!G:H,2,FALSE)*G2286)</f>
        <v/>
      </c>
      <c r="W2286" s="508">
        <f t="shared" si="1764"/>
        <v>0</v>
      </c>
      <c r="X2286" s="508" t="str">
        <f t="shared" si="1765"/>
        <v>Yellow bloom</v>
      </c>
      <c r="Y2286" s="509" t="b">
        <f t="shared" si="1766"/>
        <v>0</v>
      </c>
      <c r="Z2286" s="510">
        <f t="shared" si="1767"/>
        <v>0</v>
      </c>
      <c r="AA2286" s="511"/>
      <c r="AB2286" s="511" t="str">
        <f t="shared" si="1768"/>
        <v/>
      </c>
      <c r="AC2286" s="698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698"/>
      <c r="AE2286" s="631" t="str">
        <f t="shared" si="1769"/>
        <v/>
      </c>
      <c r="AF2286" s="699" t="str">
        <f t="shared" si="1770"/>
        <v/>
      </c>
      <c r="AG2286" s="699"/>
      <c r="AH2286" s="699"/>
      <c r="AI2286" s="512">
        <f>IF(H2286="credit",0,IF(AE2286="free",0,IF(AE2286="me",0,IF(G2286&gt;0,(VLOOKUP(A2286,'Discount Lookup'!J:K,2)*G2286),0))))</f>
        <v>0</v>
      </c>
      <c r="AJ2286" s="513" t="str">
        <f t="shared" ca="1" si="1771"/>
        <v/>
      </c>
      <c r="AK2286" s="700" t="str">
        <f t="shared" si="1772"/>
        <v/>
      </c>
      <c r="AL2286" s="700"/>
      <c r="AM2286" s="505" t="str">
        <f t="shared" si="1773"/>
        <v/>
      </c>
      <c r="AN2286" s="506"/>
      <c r="AO2286" s="507"/>
      <c r="AP2286" s="507"/>
      <c r="AQ2286" s="507"/>
      <c r="AR2286" s="507"/>
      <c r="AS2286" s="507"/>
      <c r="AT2286" s="507"/>
      <c r="AU2286" s="507"/>
      <c r="AV2286" s="225"/>
      <c r="AW2286" s="508"/>
      <c r="AX2286" s="225"/>
      <c r="AY2286" s="225"/>
      <c r="AZ2286" s="225"/>
      <c r="BA2286" s="225"/>
      <c r="BB2286" s="225"/>
      <c r="BC2286" s="56"/>
      <c r="BD2286" s="56"/>
      <c r="BE2286" s="56"/>
      <c r="BF2286" s="107" t="str">
        <f t="shared" si="1774"/>
        <v>https://www.google.com/search?tbm=isch&amp;q=Little%20Prospect%20Witch%20Hazel%20Hamamelis%20virginiana%20%27Little%20Prospect%27%27</v>
      </c>
      <c r="BG2286" s="107" t="str">
        <f t="shared" si="1775"/>
        <v>L</v>
      </c>
      <c r="BH2286" s="254"/>
      <c r="BI2286" s="254"/>
    </row>
    <row r="2287" spans="1:61" customFormat="1" ht="15.75" x14ac:dyDescent="0.25">
      <c r="A2287" s="276">
        <v>7</v>
      </c>
      <c r="B2287" s="240" t="s">
        <v>291</v>
      </c>
      <c r="C2287" s="241" t="s">
        <v>3533</v>
      </c>
      <c r="D2287" s="242" t="s">
        <v>292</v>
      </c>
      <c r="E2287" s="243">
        <v>146.94999999999999</v>
      </c>
      <c r="F2287" s="517" t="s">
        <v>293</v>
      </c>
      <c r="G2287" s="232">
        <v>0</v>
      </c>
      <c r="H2287" s="661" t="str">
        <f>IF(G2287=0,"",IF(F2287="Buy",IF(G2287=1,"plant","plants"),IF(F2287&gt;0.01,"warranty","Error")))</f>
        <v/>
      </c>
      <c r="I2287" s="244">
        <f>IF(H2287="free",0,IF(H2287="credit",((E2287*(F2287))*G2287*-1),IF(F2287="Buy",(E2287*G2287),((E2287*(1-F2287))*G2287))))</f>
        <v>0</v>
      </c>
      <c r="J2287" s="244">
        <f>IF(H2287="warranty",0,(I2287*(_xlfn.SINGLE(SalesTaxPercentage))))</f>
        <v>0</v>
      </c>
      <c r="K2287" s="696">
        <f t="shared" ref="K2287" si="1796">I2287+J2287</f>
        <v>0</v>
      </c>
      <c r="L2287" s="696"/>
      <c r="M2287" s="659" t="str">
        <f>IF(AND(G2287&gt;0,E2287=0),"WARNING - no PRICE inserted",IF(H2287="free"," FREE ~ no charge this plant",IF(H2287="credit",CONCATENATE(" -$",ROUND(K2287*(1-T2GDiscount)*-1,2)," CREDIT after discount"),IF(T2GDiscount=0,"",IF(G2287=0,"",IF(F2287="Buy",CONCATENATE(" $",ROUND(K2287*(1-T2GDiscount),2)," with ",(T2GDiscount*100),"% discount"),CONCATENATE(" $",ROUND(K2287*(1-T2GDiscount),2)," with ",((T2GDiscount*100+F2287*100)-(T2GDiscount*100*F2287)),IF(F2287&gt;0,"% discounts",IF(NoWarrantyDiscount&gt;0,"% discounts","% discount")))))))))</f>
        <v/>
      </c>
      <c r="N2287" s="660"/>
      <c r="O2287" s="233"/>
      <c r="P2287" s="233"/>
      <c r="Q2287" s="233"/>
      <c r="R2287" s="233"/>
      <c r="S2287" s="233"/>
      <c r="T2287" s="508">
        <f t="shared" si="1763"/>
        <v>0</v>
      </c>
      <c r="U2287" s="225">
        <f>IF(NOT(ISNUMBER(G2287)), "", VLOOKUP(A2287,'Discount Lookup'!D:E,2,FALSE)*G2287)</f>
        <v>0</v>
      </c>
      <c r="V2287" s="225">
        <f>IF(NOT(ISNUMBER(G2287)), "", VLOOKUP(A2287,'Discount Lookup'!G:H,2,FALSE)*G2287)</f>
        <v>0</v>
      </c>
      <c r="W2287" s="508">
        <f t="shared" si="1764"/>
        <v>0</v>
      </c>
      <c r="X2287" s="508">
        <f t="shared" si="1765"/>
        <v>0</v>
      </c>
      <c r="Y2287" s="509" t="b">
        <f t="shared" si="1766"/>
        <v>0</v>
      </c>
      <c r="Z2287" s="510">
        <f t="shared" si="1767"/>
        <v>0</v>
      </c>
      <c r="AA2287" s="511"/>
      <c r="AB2287" s="511" t="str">
        <f t="shared" si="1768"/>
        <v/>
      </c>
      <c r="AC2287" s="698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698"/>
      <c r="AE2287" s="631" t="str">
        <f t="shared" si="1769"/>
        <v/>
      </c>
      <c r="AF2287" s="699" t="str">
        <f t="shared" si="1770"/>
        <v/>
      </c>
      <c r="AG2287" s="699"/>
      <c r="AH2287" s="699"/>
      <c r="AI2287" s="512">
        <f>IF(H2287="credit",0,IF(AE2287="free",0,IF(AE2287="me",0,IF(G2287&gt;0,(VLOOKUP(A2287,'Discount Lookup'!J:K,2)*G2287),0))))</f>
        <v>0</v>
      </c>
      <c r="AJ2287" s="513" t="str">
        <f t="shared" ca="1" si="1771"/>
        <v/>
      </c>
      <c r="AK2287" s="700" t="str">
        <f t="shared" si="1772"/>
        <v/>
      </c>
      <c r="AL2287" s="700"/>
      <c r="AM2287" s="505" t="str">
        <f t="shared" si="1773"/>
        <v/>
      </c>
      <c r="AN2287" s="506"/>
      <c r="AO2287" s="507"/>
      <c r="AP2287" s="507"/>
      <c r="AQ2287" s="507"/>
      <c r="AR2287" s="507"/>
      <c r="AS2287" s="507"/>
      <c r="AT2287" s="507"/>
      <c r="AU2287" s="507"/>
      <c r="AV2287" s="225"/>
      <c r="AW2287" s="508"/>
      <c r="AX2287" s="225"/>
      <c r="AY2287" s="225"/>
      <c r="AZ2287" s="225"/>
      <c r="BA2287" s="225"/>
      <c r="BB2287" s="225"/>
      <c r="BC2287" s="56"/>
      <c r="BD2287" s="56"/>
      <c r="BE2287" s="56"/>
      <c r="BF2287" s="107" t="str">
        <f t="shared" si="1774"/>
        <v>https://www.google.com/search?tbm=isch&amp;q=7%20G4</v>
      </c>
      <c r="BG2287" s="107" t="str">
        <f t="shared" si="1775"/>
        <v>L</v>
      </c>
      <c r="BH2287" s="254"/>
      <c r="BI2287" s="254"/>
    </row>
    <row r="2288" spans="1:61" customFormat="1" ht="17.25" thickBot="1" x14ac:dyDescent="0.3">
      <c r="A2288" s="673" t="s">
        <v>5166</v>
      </c>
      <c r="B2288" s="245"/>
      <c r="C2288" s="677"/>
      <c r="D2288" s="499"/>
      <c r="E2288" s="499"/>
      <c r="F2288" s="500"/>
      <c r="G2288" s="501"/>
      <c r="H2288" s="502"/>
      <c r="I2288" s="246"/>
      <c r="J2288" s="247"/>
      <c r="K2288" s="503"/>
      <c r="L2288" s="544"/>
      <c r="M2288" s="544"/>
      <c r="N2288" s="500"/>
      <c r="O2288" s="500"/>
      <c r="P2288" s="500"/>
      <c r="Q2288" s="500"/>
      <c r="R2288" s="500"/>
      <c r="S2288" s="278"/>
      <c r="T2288" s="508">
        <f t="shared" si="1763"/>
        <v>0</v>
      </c>
      <c r="U2288" s="225" t="str">
        <f>IF(NOT(ISNUMBER(G2288)), "", VLOOKUP(A2288,'Discount Lookup'!D:E,2,FALSE)*G2288)</f>
        <v/>
      </c>
      <c r="V2288" s="225" t="str">
        <f>IF(NOT(ISNUMBER(G2288)), "", VLOOKUP(A2288,'Discount Lookup'!G:H,2,FALSE)*G2288)</f>
        <v/>
      </c>
      <c r="W2288" s="508">
        <f t="shared" si="1764"/>
        <v>0</v>
      </c>
      <c r="X2288" s="508">
        <f t="shared" si="1765"/>
        <v>0</v>
      </c>
      <c r="Y2288" s="509" t="b">
        <f t="shared" si="1766"/>
        <v>0</v>
      </c>
      <c r="Z2288" s="510">
        <f t="shared" si="1767"/>
        <v>0</v>
      </c>
      <c r="AA2288" s="511"/>
      <c r="AB2288" s="511" t="str">
        <f t="shared" si="1768"/>
        <v/>
      </c>
      <c r="AC2288" s="698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698"/>
      <c r="AE2288" s="631" t="str">
        <f t="shared" si="1769"/>
        <v/>
      </c>
      <c r="AF2288" s="699" t="str">
        <f t="shared" si="1770"/>
        <v/>
      </c>
      <c r="AG2288" s="699"/>
      <c r="AH2288" s="699"/>
      <c r="AI2288" s="512">
        <f>IF(H2288="credit",0,IF(AE2288="free",0,IF(AE2288="me",0,IF(G2288&gt;0,(VLOOKUP(A2288,'Discount Lookup'!J:K,2)*G2288),0))))</f>
        <v>0</v>
      </c>
      <c r="AJ2288" s="513" t="str">
        <f t="shared" ca="1" si="1771"/>
        <v/>
      </c>
      <c r="AK2288" s="700" t="str">
        <f t="shared" si="1772"/>
        <v/>
      </c>
      <c r="AL2288" s="700"/>
      <c r="AM2288" s="505" t="str">
        <f t="shared" si="1773"/>
        <v/>
      </c>
      <c r="AN2288" s="506"/>
      <c r="AO2288" s="507"/>
      <c r="AP2288" s="507"/>
      <c r="AQ2288" s="507"/>
      <c r="AR2288" s="507"/>
      <c r="AS2288" s="507"/>
      <c r="AT2288" s="507"/>
      <c r="AU2288" s="507"/>
      <c r="AV2288" s="225"/>
      <c r="AW2288" s="508"/>
      <c r="AX2288" s="225"/>
      <c r="AY2288" s="225"/>
      <c r="AZ2288" s="225"/>
      <c r="BA2288" s="225"/>
      <c r="BB2288" s="225"/>
      <c r="BC2288" s="56"/>
      <c r="BD2288" s="56"/>
      <c r="BE2288" s="56"/>
      <c r="BF2288" s="107" t="str">
        <f t="shared" si="1774"/>
        <v>https://www.google.com/search?tbm=isch&amp;q=moist%20sites%F0%9F%92%A7GOOD%2C%20Little%20Prospect%20has%20nice%20variegated%20foliage.%20Dainty%20blooms%20appear%20in%20fall%20</v>
      </c>
      <c r="BG2288" s="107" t="str">
        <f t="shared" si="1775"/>
        <v>m</v>
      </c>
      <c r="BH2288" s="254"/>
      <c r="BI2288" s="254"/>
    </row>
    <row r="2289" spans="1:61" customFormat="1" ht="18" x14ac:dyDescent="0.25">
      <c r="A2289" s="523" t="s">
        <v>5448</v>
      </c>
      <c r="B2289" s="235"/>
      <c r="C2289" s="676"/>
      <c r="D2289" s="255" t="s">
        <v>1277</v>
      </c>
      <c r="E2289" s="236"/>
      <c r="F2289" s="236"/>
      <c r="G2289" s="236"/>
      <c r="H2289" s="582" t="s">
        <v>474</v>
      </c>
      <c r="I2289" s="498" t="s">
        <v>3116</v>
      </c>
      <c r="J2289" s="237"/>
      <c r="K2289" s="237"/>
      <c r="L2289" s="274"/>
      <c r="M2289" s="668" t="s">
        <v>4975</v>
      </c>
      <c r="N2289" s="681" t="str">
        <f>IF(AND(ISTEXT($A2289), ISERROR($A2289+0)), HYPERLINK($BF2289, "Images"), "")</f>
        <v>Images</v>
      </c>
      <c r="O2289" s="663" t="s">
        <v>4967</v>
      </c>
      <c r="P2289" s="253"/>
      <c r="Q2289" s="238"/>
      <c r="R2289" s="239"/>
      <c r="S2289" s="275"/>
      <c r="T2289" s="508">
        <f t="shared" si="1763"/>
        <v>0</v>
      </c>
      <c r="U2289" s="225" t="str">
        <f>IF(NOT(ISNUMBER(G2289)), "", VLOOKUP(A2289,'Discount Lookup'!D:E,2,FALSE)*G2289)</f>
        <v/>
      </c>
      <c r="V2289" s="225" t="str">
        <f>IF(NOT(ISNUMBER(G2289)), "", VLOOKUP(A2289,'Discount Lookup'!G:H,2,FALSE)*G2289)</f>
        <v/>
      </c>
      <c r="W2289" s="508">
        <f t="shared" si="1764"/>
        <v>0</v>
      </c>
      <c r="X2289" s="508" t="str">
        <f t="shared" si="1765"/>
        <v>White ages to Pink-Red</v>
      </c>
      <c r="Y2289" s="509" t="b">
        <f t="shared" si="1766"/>
        <v>0</v>
      </c>
      <c r="Z2289" s="510">
        <f t="shared" si="1767"/>
        <v>0</v>
      </c>
      <c r="AA2289" s="511"/>
      <c r="AB2289" s="511" t="str">
        <f t="shared" si="1768"/>
        <v/>
      </c>
      <c r="AC2289" s="698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698"/>
      <c r="AE2289" s="631" t="str">
        <f t="shared" si="1769"/>
        <v/>
      </c>
      <c r="AF2289" s="699" t="str">
        <f t="shared" si="1770"/>
        <v/>
      </c>
      <c r="AG2289" s="699"/>
      <c r="AH2289" s="699"/>
      <c r="AI2289" s="512">
        <f>IF(H2289="credit",0,IF(AE2289="free",0,IF(AE2289="me",0,IF(G2289&gt;0,(VLOOKUP(A2289,'Discount Lookup'!J:K,2)*G2289),0))))</f>
        <v>0</v>
      </c>
      <c r="AJ2289" s="513" t="str">
        <f t="shared" ca="1" si="1771"/>
        <v/>
      </c>
      <c r="AK2289" s="700" t="str">
        <f t="shared" si="1772"/>
        <v/>
      </c>
      <c r="AL2289" s="700"/>
      <c r="AM2289" s="505" t="str">
        <f t="shared" si="1773"/>
        <v/>
      </c>
      <c r="AN2289" s="506"/>
      <c r="AO2289" s="507"/>
      <c r="AP2289" s="507"/>
      <c r="AQ2289" s="507"/>
      <c r="AR2289" s="507"/>
      <c r="AS2289" s="507"/>
      <c r="AT2289" s="507"/>
      <c r="AU2289" s="507"/>
      <c r="AV2289" s="225"/>
      <c r="AW2289" s="508"/>
      <c r="AX2289" s="225"/>
      <c r="AY2289" s="225"/>
      <c r="AZ2289" s="225"/>
      <c r="BA2289" s="225"/>
      <c r="BB2289" s="225"/>
      <c r="BC2289" s="56"/>
      <c r="BD2289" s="56"/>
      <c r="BE2289" s="56"/>
      <c r="BF2289" s="107" t="str">
        <f t="shared" si="1774"/>
        <v>https://www.google.com/search?tbm=isch&amp;q=Little%20Quick%20Fire%C2%AE%20Hydrangea%20Hyd.%20paniculata%20%27SMHPLQF%27%20USPP%2025%2C136</v>
      </c>
      <c r="BG2289" s="107" t="str">
        <f t="shared" si="1775"/>
        <v>L</v>
      </c>
      <c r="BH2289" s="254"/>
      <c r="BI2289" s="254"/>
    </row>
    <row r="2290" spans="1:61" customFormat="1" ht="15.75" x14ac:dyDescent="0.25">
      <c r="A2290" s="276">
        <v>3</v>
      </c>
      <c r="B2290" s="240" t="s">
        <v>291</v>
      </c>
      <c r="C2290" s="241" t="s">
        <v>2765</v>
      </c>
      <c r="D2290" s="242" t="s">
        <v>299</v>
      </c>
      <c r="E2290" s="243">
        <v>42.95</v>
      </c>
      <c r="F2290" s="517" t="s">
        <v>293</v>
      </c>
      <c r="G2290" s="232">
        <v>0</v>
      </c>
      <c r="H2290" s="661" t="str">
        <f>IF(G2290=0,"",IF(F2290="Buy",IF(G2290=1,"plant","plants"),IF(F2290&gt;0.01,"warranty","Error")))</f>
        <v/>
      </c>
      <c r="I2290" s="244">
        <f>IF(H2290="free",0,IF(H2290="credit",((E2290*(F2290))*G2290*-1),IF(F2290="Buy",(E2290*G2290),((E2290*(1-F2290))*G2290))))</f>
        <v>0</v>
      </c>
      <c r="J2290" s="244">
        <f>IF(H2290="warranty",0,(I2290*(_xlfn.SINGLE(SalesTaxPercentage))))</f>
        <v>0</v>
      </c>
      <c r="K2290" s="696">
        <f t="shared" ref="K2290" si="1797">I2290+J2290</f>
        <v>0</v>
      </c>
      <c r="L2290" s="696"/>
      <c r="M2290" s="659" t="str">
        <f>IF(AND(G2290&gt;0,E2290=0),"WARNING - no PRICE inserted",IF(H2290="free"," FREE ~ no charge this plant",IF(H2290="credit",CONCATENATE(" -$",ROUND(K2290*(1-T2GDiscount)*-1,2)," CREDIT after discount"),IF(T2GDiscount=0,"",IF(G2290=0,"",IF(F2290="Buy",CONCATENATE(" $",ROUND(K2290*(1-T2GDiscount),2)," with ",(T2GDiscount*100),"% discount"),CONCATENATE(" $",ROUND(K2290*(1-T2GDiscount),2)," with ",((T2GDiscount*100+F2290*100)-(T2GDiscount*100*F2290)),IF(F2290&gt;0,"% discounts",IF(NoWarrantyDiscount&gt;0,"% discounts","% discount")))))))))</f>
        <v/>
      </c>
      <c r="N2290" s="660"/>
      <c r="O2290" s="233"/>
      <c r="P2290" s="233"/>
      <c r="Q2290" s="233"/>
      <c r="R2290" s="233"/>
      <c r="S2290" s="233"/>
      <c r="T2290" s="508">
        <f t="shared" si="1763"/>
        <v>0</v>
      </c>
      <c r="U2290" s="225">
        <f>IF(NOT(ISNUMBER(G2290)), "", VLOOKUP(A2290,'Discount Lookup'!D:E,2,FALSE)*G2290)</f>
        <v>0</v>
      </c>
      <c r="V2290" s="225">
        <f>IF(NOT(ISNUMBER(G2290)), "", VLOOKUP(A2290,'Discount Lookup'!G:H,2,FALSE)*G2290)</f>
        <v>0</v>
      </c>
      <c r="W2290" s="508">
        <f t="shared" si="1764"/>
        <v>0</v>
      </c>
      <c r="X2290" s="508">
        <f t="shared" si="1765"/>
        <v>0</v>
      </c>
      <c r="Y2290" s="509" t="b">
        <f t="shared" si="1766"/>
        <v>0</v>
      </c>
      <c r="Z2290" s="510">
        <f t="shared" si="1767"/>
        <v>0</v>
      </c>
      <c r="AA2290" s="511"/>
      <c r="AB2290" s="511" t="str">
        <f t="shared" si="1768"/>
        <v/>
      </c>
      <c r="AC2290" s="698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698"/>
      <c r="AE2290" s="631" t="str">
        <f t="shared" si="1769"/>
        <v/>
      </c>
      <c r="AF2290" s="699" t="str">
        <f t="shared" si="1770"/>
        <v/>
      </c>
      <c r="AG2290" s="699"/>
      <c r="AH2290" s="699"/>
      <c r="AI2290" s="512">
        <f>IF(H2290="credit",0,IF(AE2290="free",0,IF(AE2290="me",0,IF(G2290&gt;0,(VLOOKUP(A2290,'Discount Lookup'!J:K,2)*G2290),0))))</f>
        <v>0</v>
      </c>
      <c r="AJ2290" s="513" t="str">
        <f t="shared" ca="1" si="1771"/>
        <v/>
      </c>
      <c r="AK2290" s="700" t="str">
        <f t="shared" si="1772"/>
        <v/>
      </c>
      <c r="AL2290" s="700"/>
      <c r="AM2290" s="505" t="str">
        <f t="shared" si="1773"/>
        <v/>
      </c>
      <c r="AN2290" s="506"/>
      <c r="AO2290" s="507"/>
      <c r="AP2290" s="507"/>
      <c r="AQ2290" s="507"/>
      <c r="AR2290" s="507"/>
      <c r="AS2290" s="507"/>
      <c r="AT2290" s="507"/>
      <c r="AU2290" s="507"/>
      <c r="AV2290" s="225"/>
      <c r="AW2290" s="508"/>
      <c r="AX2290" s="225"/>
      <c r="AY2290" s="225"/>
      <c r="AZ2290" s="225"/>
      <c r="BA2290" s="225"/>
      <c r="BB2290" s="225"/>
      <c r="BC2290" s="56"/>
      <c r="BD2290" s="56"/>
      <c r="BE2290" s="56"/>
      <c r="BF2290" s="107" t="str">
        <f t="shared" si="1774"/>
        <v>https://www.google.com/search?tbm=isch&amp;q=3%20G5</v>
      </c>
      <c r="BG2290" s="107" t="str">
        <f t="shared" si="1775"/>
        <v>L</v>
      </c>
      <c r="BH2290" s="254"/>
      <c r="BI2290" s="254"/>
    </row>
    <row r="2291" spans="1:61" customFormat="1" ht="17.25" thickBot="1" x14ac:dyDescent="0.3">
      <c r="A2291" s="524" t="s">
        <v>4120</v>
      </c>
      <c r="B2291" s="245"/>
      <c r="C2291" s="677"/>
      <c r="D2291" s="499"/>
      <c r="E2291" s="499"/>
      <c r="F2291" s="500"/>
      <c r="G2291" s="501"/>
      <c r="H2291" s="502"/>
      <c r="I2291" s="246"/>
      <c r="J2291" s="247"/>
      <c r="K2291" s="503"/>
      <c r="L2291" s="544"/>
      <c r="M2291" s="544"/>
      <c r="N2291" s="500"/>
      <c r="O2291" s="500"/>
      <c r="P2291" s="500"/>
      <c r="Q2291" s="500"/>
      <c r="R2291" s="500"/>
      <c r="S2291" s="278"/>
      <c r="T2291" s="508">
        <f t="shared" si="1763"/>
        <v>0</v>
      </c>
      <c r="U2291" s="225" t="str">
        <f>IF(NOT(ISNUMBER(G2291)), "", VLOOKUP(A2291,'Discount Lookup'!D:E,2,FALSE)*G2291)</f>
        <v/>
      </c>
      <c r="V2291" s="225" t="str">
        <f>IF(NOT(ISNUMBER(G2291)), "", VLOOKUP(A2291,'Discount Lookup'!G:H,2,FALSE)*G2291)</f>
        <v/>
      </c>
      <c r="W2291" s="508">
        <f t="shared" si="1764"/>
        <v>0</v>
      </c>
      <c r="X2291" s="508">
        <f t="shared" si="1765"/>
        <v>0</v>
      </c>
      <c r="Y2291" s="509" t="b">
        <f t="shared" si="1766"/>
        <v>0</v>
      </c>
      <c r="Z2291" s="510">
        <f t="shared" si="1767"/>
        <v>0</v>
      </c>
      <c r="AA2291" s="511"/>
      <c r="AB2291" s="511" t="str">
        <f t="shared" si="1768"/>
        <v/>
      </c>
      <c r="AC2291" s="698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698"/>
      <c r="AE2291" s="631" t="str">
        <f t="shared" si="1769"/>
        <v/>
      </c>
      <c r="AF2291" s="699" t="str">
        <f t="shared" si="1770"/>
        <v/>
      </c>
      <c r="AG2291" s="699"/>
      <c r="AH2291" s="699"/>
      <c r="AI2291" s="512">
        <f>IF(H2291="credit",0,IF(AE2291="free",0,IF(AE2291="me",0,IF(G2291&gt;0,(VLOOKUP(A2291,'Discount Lookup'!J:K,2)*G2291),0))))</f>
        <v>0</v>
      </c>
      <c r="AJ2291" s="513" t="str">
        <f t="shared" ca="1" si="1771"/>
        <v/>
      </c>
      <c r="AK2291" s="700" t="str">
        <f t="shared" si="1772"/>
        <v/>
      </c>
      <c r="AL2291" s="700"/>
      <c r="AM2291" s="505" t="str">
        <f t="shared" si="1773"/>
        <v/>
      </c>
      <c r="AN2291" s="506"/>
      <c r="AO2291" s="507"/>
      <c r="AP2291" s="507"/>
      <c r="AQ2291" s="507"/>
      <c r="AR2291" s="507"/>
      <c r="AS2291" s="507"/>
      <c r="AT2291" s="507"/>
      <c r="AU2291" s="507"/>
      <c r="AV2291" s="225"/>
      <c r="AW2291" s="508"/>
      <c r="AX2291" s="225"/>
      <c r="AY2291" s="225"/>
      <c r="AZ2291" s="225"/>
      <c r="BA2291" s="225"/>
      <c r="BB2291" s="225"/>
      <c r="BC2291" s="56"/>
      <c r="BD2291" s="56"/>
      <c r="BE2291" s="56"/>
      <c r="BF2291" s="107" t="str">
        <f t="shared" si="1774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291" s="107" t="str">
        <f t="shared" si="1775"/>
        <v>L</v>
      </c>
      <c r="BH2291" s="254"/>
      <c r="BI2291" s="254"/>
    </row>
    <row r="2292" spans="1:61" customFormat="1" ht="18" x14ac:dyDescent="0.25">
      <c r="A2292" s="521" t="s">
        <v>1278</v>
      </c>
      <c r="B2292" s="477"/>
      <c r="C2292" s="674"/>
      <c r="D2292" s="478" t="s">
        <v>1279</v>
      </c>
      <c r="E2292" s="479"/>
      <c r="F2292" s="479"/>
      <c r="G2292" s="479"/>
      <c r="H2292" s="582" t="s">
        <v>443</v>
      </c>
      <c r="I2292" s="480" t="s">
        <v>654</v>
      </c>
      <c r="J2292" s="479"/>
      <c r="K2292" s="479"/>
      <c r="L2292" s="560"/>
      <c r="M2292" s="666" t="s">
        <v>4966</v>
      </c>
      <c r="N2292" s="680" t="str">
        <f>IF(AND(ISTEXT($A2292), ISERROR($A2292+0)), HYPERLINK($BF2292, "Images"), "")</f>
        <v>Images</v>
      </c>
      <c r="O2292" s="662" t="s">
        <v>4967</v>
      </c>
      <c r="P2292" s="482"/>
      <c r="Q2292" s="483"/>
      <c r="R2292" s="483"/>
      <c r="S2292" s="484"/>
      <c r="T2292" s="508">
        <f t="shared" si="1763"/>
        <v>0</v>
      </c>
      <c r="U2292" s="225" t="str">
        <f>IF(NOT(ISNUMBER(G2292)), "", VLOOKUP(A2292,'Discount Lookup'!D:E,2,FALSE)*G2292)</f>
        <v/>
      </c>
      <c r="V2292" s="225" t="str">
        <f>IF(NOT(ISNUMBER(G2292)), "", VLOOKUP(A2292,'Discount Lookup'!G:H,2,FALSE)*G2292)</f>
        <v/>
      </c>
      <c r="W2292" s="508">
        <f t="shared" si="1764"/>
        <v>0</v>
      </c>
      <c r="X2292" s="508" t="str">
        <f t="shared" si="1765"/>
        <v>White bloom</v>
      </c>
      <c r="Y2292" s="509" t="b">
        <f t="shared" si="1766"/>
        <v>0</v>
      </c>
      <c r="Z2292" s="510">
        <f t="shared" si="1767"/>
        <v>0</v>
      </c>
      <c r="AA2292" s="511"/>
      <c r="AB2292" s="511" t="str">
        <f t="shared" si="1768"/>
        <v/>
      </c>
      <c r="AC2292" s="698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698"/>
      <c r="AE2292" s="631" t="str">
        <f t="shared" si="1769"/>
        <v/>
      </c>
      <c r="AF2292" s="699" t="str">
        <f t="shared" si="1770"/>
        <v/>
      </c>
      <c r="AG2292" s="699"/>
      <c r="AH2292" s="699"/>
      <c r="AI2292" s="512">
        <f>IF(H2292="credit",0,IF(AE2292="free",0,IF(AE2292="me",0,IF(G2292&gt;0,(VLOOKUP(A2292,'Discount Lookup'!J:K,2)*G2292),0))))</f>
        <v>0</v>
      </c>
      <c r="AJ2292" s="513" t="str">
        <f t="shared" ca="1" si="1771"/>
        <v/>
      </c>
      <c r="AK2292" s="700" t="str">
        <f t="shared" si="1772"/>
        <v/>
      </c>
      <c r="AL2292" s="700"/>
      <c r="AM2292" s="505" t="str">
        <f t="shared" si="1773"/>
        <v/>
      </c>
      <c r="AN2292" s="506"/>
      <c r="AO2292" s="507"/>
      <c r="AP2292" s="507"/>
      <c r="AQ2292" s="507"/>
      <c r="AR2292" s="507"/>
      <c r="AS2292" s="507"/>
      <c r="AT2292" s="507"/>
      <c r="AU2292" s="507"/>
      <c r="AV2292" s="225"/>
      <c r="AW2292" s="508"/>
      <c r="AX2292" s="225"/>
      <c r="AY2292" s="225"/>
      <c r="AZ2292" s="225"/>
      <c r="BA2292" s="225"/>
      <c r="BB2292" s="225"/>
      <c r="BC2292" s="56"/>
      <c r="BD2292" s="56"/>
      <c r="BE2292" s="56"/>
      <c r="BF2292" s="107" t="str">
        <f t="shared" si="1774"/>
        <v>https://www.google.com/search?tbm=isch&amp;q=Little%20Richard%20Abelia%20Abelia%20x%20grandiflora%20%27Little%20Richard%27</v>
      </c>
      <c r="BG2292" s="107" t="str">
        <f t="shared" si="1775"/>
        <v>L</v>
      </c>
      <c r="BH2292" s="254"/>
      <c r="BI2292" s="254"/>
    </row>
    <row r="2293" spans="1:61" customFormat="1" ht="15.75" x14ac:dyDescent="0.25">
      <c r="A2293" s="485">
        <v>3</v>
      </c>
      <c r="B2293" s="486" t="s">
        <v>291</v>
      </c>
      <c r="C2293" s="487" t="s">
        <v>1280</v>
      </c>
      <c r="D2293" s="488" t="s">
        <v>297</v>
      </c>
      <c r="E2293" s="489">
        <v>22.95</v>
      </c>
      <c r="F2293" s="516" t="s">
        <v>293</v>
      </c>
      <c r="G2293" s="232">
        <v>0</v>
      </c>
      <c r="H2293" s="658" t="str">
        <f>IF(G2293=0,"",IF(F2293="Buy",IF(G2293=1,"plant","plants"),IF(F2293&gt;0.01,"warranty","Error")))</f>
        <v/>
      </c>
      <c r="I2293" s="490">
        <f>IF(H2293="free",0,IF(H2293="credit",((E2293*(F2293))*G2293*-1),IF(F2293="Buy",(E2293*G2293),((E2293*(1-F2293))*G2293))))</f>
        <v>0</v>
      </c>
      <c r="J2293" s="490">
        <f>IF(H2293="warranty",0,(I2293*(_xlfn.SINGLE(SalesTaxPercentage))))</f>
        <v>0</v>
      </c>
      <c r="K2293" s="695">
        <f t="shared" ref="K2293" si="1798">I2293+J2293</f>
        <v>0</v>
      </c>
      <c r="L2293" s="695"/>
      <c r="M2293" s="659" t="str">
        <f>IF(AND(G2293&gt;0,E2293=0),"WARNING - no PRICE inserted",IF(H2293="free"," FREE ~ no charge this plant",IF(H2293="credit",CONCATENATE(" -$",ROUND(K2293*(1-T2GDiscount)*-1,2)," CREDIT after discount"),IF(T2GDiscount=0,"",IF(G2293=0,"",IF(F2293="Buy",CONCATENATE(" $",ROUND(K2293*(1-T2GDiscount),2)," with ",(T2GDiscount*100),"% discount"),CONCATENATE(" $",ROUND(K2293*(1-T2GDiscount),2)," with ",((T2GDiscount*100+F2293*100)-(T2GDiscount*100*F2293)),IF(F2293&gt;0,"% discounts",IF(NoWarrantyDiscount&gt;0,"% discounts","% discount")))))))))</f>
        <v/>
      </c>
      <c r="N2293" s="660"/>
      <c r="O2293" s="233"/>
      <c r="P2293" s="233"/>
      <c r="Q2293" s="233"/>
      <c r="R2293" s="233"/>
      <c r="S2293" s="233"/>
      <c r="T2293" s="508">
        <f t="shared" si="1763"/>
        <v>0</v>
      </c>
      <c r="U2293" s="225">
        <f>IF(NOT(ISNUMBER(G2293)), "", VLOOKUP(A2293,'Discount Lookup'!D:E,2,FALSE)*G2293)</f>
        <v>0</v>
      </c>
      <c r="V2293" s="225">
        <f>IF(NOT(ISNUMBER(G2293)), "", VLOOKUP(A2293,'Discount Lookup'!G:H,2,FALSE)*G2293)</f>
        <v>0</v>
      </c>
      <c r="W2293" s="508">
        <f t="shared" si="1764"/>
        <v>0</v>
      </c>
      <c r="X2293" s="508">
        <f t="shared" si="1765"/>
        <v>0</v>
      </c>
      <c r="Y2293" s="509" t="b">
        <f t="shared" si="1766"/>
        <v>0</v>
      </c>
      <c r="Z2293" s="510">
        <f t="shared" si="1767"/>
        <v>0</v>
      </c>
      <c r="AA2293" s="511"/>
      <c r="AB2293" s="511" t="str">
        <f t="shared" si="1768"/>
        <v/>
      </c>
      <c r="AC2293" s="698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698"/>
      <c r="AE2293" s="631" t="str">
        <f t="shared" si="1769"/>
        <v/>
      </c>
      <c r="AF2293" s="699" t="str">
        <f t="shared" si="1770"/>
        <v/>
      </c>
      <c r="AG2293" s="699"/>
      <c r="AH2293" s="699"/>
      <c r="AI2293" s="512">
        <f>IF(H2293="credit",0,IF(AE2293="free",0,IF(AE2293="me",0,IF(G2293&gt;0,(VLOOKUP(A2293,'Discount Lookup'!J:K,2)*G2293),0))))</f>
        <v>0</v>
      </c>
      <c r="AJ2293" s="513" t="str">
        <f t="shared" ca="1" si="1771"/>
        <v/>
      </c>
      <c r="AK2293" s="700" t="str">
        <f t="shared" si="1772"/>
        <v/>
      </c>
      <c r="AL2293" s="700"/>
      <c r="AM2293" s="505" t="str">
        <f t="shared" si="1773"/>
        <v/>
      </c>
      <c r="AN2293" s="506"/>
      <c r="AO2293" s="507"/>
      <c r="AP2293" s="507"/>
      <c r="AQ2293" s="507"/>
      <c r="AR2293" s="507"/>
      <c r="AS2293" s="507"/>
      <c r="AT2293" s="507"/>
      <c r="AU2293" s="507"/>
      <c r="AV2293" s="225"/>
      <c r="AW2293" s="508"/>
      <c r="AX2293" s="225"/>
      <c r="AY2293" s="225"/>
      <c r="AZ2293" s="225"/>
      <c r="BA2293" s="225"/>
      <c r="BB2293" s="225"/>
      <c r="BC2293" s="56"/>
      <c r="BD2293" s="56"/>
      <c r="BE2293" s="56"/>
      <c r="BF2293" s="107" t="str">
        <f t="shared" si="1774"/>
        <v>https://www.google.com/search?tbm=isch&amp;q=3%20G3</v>
      </c>
      <c r="BG2293" s="107" t="str">
        <f t="shared" si="1775"/>
        <v>L</v>
      </c>
      <c r="BH2293" s="254"/>
      <c r="BI2293" s="254"/>
    </row>
    <row r="2294" spans="1:61" customFormat="1" ht="15.75" x14ac:dyDescent="0.25">
      <c r="A2294" s="485">
        <v>3</v>
      </c>
      <c r="B2294" s="486" t="s">
        <v>291</v>
      </c>
      <c r="C2294" s="487" t="s">
        <v>9</v>
      </c>
      <c r="D2294" s="488" t="s">
        <v>298</v>
      </c>
      <c r="E2294" s="489">
        <v>25.95</v>
      </c>
      <c r="F2294" s="516" t="s">
        <v>293</v>
      </c>
      <c r="G2294" s="232">
        <v>0</v>
      </c>
      <c r="H2294" s="658" t="str">
        <f>IF(G2294=0,"",IF(F2294="Buy",IF(G2294=1,"plant","plants"),IF(F2294&gt;0.01,"warranty","Error")))</f>
        <v/>
      </c>
      <c r="I2294" s="490">
        <f>IF(H2294="free",0,IF(H2294="credit",((E2294*(F2294))*G2294*-1),IF(F2294="Buy",(E2294*G2294),((E2294*(1-F2294))*G2294))))</f>
        <v>0</v>
      </c>
      <c r="J2294" s="490">
        <f>IF(H2294="warranty",0,(I2294*(_xlfn.SINGLE(SalesTaxPercentage))))</f>
        <v>0</v>
      </c>
      <c r="K2294" s="695">
        <f t="shared" ref="K2294" si="1799">I2294+J2294</f>
        <v>0</v>
      </c>
      <c r="L2294" s="695"/>
      <c r="M2294" s="659" t="str">
        <f>IF(AND(G2294&gt;0,E2294=0),"WARNING - no PRICE inserted",IF(H2294="free"," FREE ~ no charge this plant",IF(H2294="credit",CONCATENATE(" -$",ROUND(K2294*(1-T2GDiscount)*-1,2)," CREDIT after discount"),IF(T2GDiscount=0,"",IF(G2294=0,"",IF(F2294="Buy",CONCATENATE(" $",ROUND(K2294*(1-T2GDiscount),2)," with ",(T2GDiscount*100),"% discount"),CONCATENATE(" $",ROUND(K2294*(1-T2GDiscount),2)," with ",((T2GDiscount*100+F2294*100)-(T2GDiscount*100*F2294)),IF(F2294&gt;0,"% discounts",IF(NoWarrantyDiscount&gt;0,"% discounts","% discount")))))))))</f>
        <v/>
      </c>
      <c r="N2294" s="660"/>
      <c r="O2294" s="233"/>
      <c r="P2294" s="233"/>
      <c r="Q2294" s="233"/>
      <c r="R2294" s="233"/>
      <c r="S2294" s="233"/>
      <c r="T2294" s="508">
        <f t="shared" si="1763"/>
        <v>0</v>
      </c>
      <c r="U2294" s="225">
        <f>IF(NOT(ISNUMBER(G2294)), "", VLOOKUP(A2294,'Discount Lookup'!D:E,2,FALSE)*G2294)</f>
        <v>0</v>
      </c>
      <c r="V2294" s="225">
        <f>IF(NOT(ISNUMBER(G2294)), "", VLOOKUP(A2294,'Discount Lookup'!G:H,2,FALSE)*G2294)</f>
        <v>0</v>
      </c>
      <c r="W2294" s="508">
        <f t="shared" si="1764"/>
        <v>0</v>
      </c>
      <c r="X2294" s="508">
        <f t="shared" si="1765"/>
        <v>0</v>
      </c>
      <c r="Y2294" s="509" t="b">
        <f t="shared" si="1766"/>
        <v>0</v>
      </c>
      <c r="Z2294" s="510">
        <f t="shared" si="1767"/>
        <v>0</v>
      </c>
      <c r="AA2294" s="511"/>
      <c r="AB2294" s="511" t="str">
        <f t="shared" si="1768"/>
        <v/>
      </c>
      <c r="AC2294" s="698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698"/>
      <c r="AE2294" s="631" t="str">
        <f t="shared" si="1769"/>
        <v/>
      </c>
      <c r="AF2294" s="699" t="str">
        <f t="shared" si="1770"/>
        <v/>
      </c>
      <c r="AG2294" s="699"/>
      <c r="AH2294" s="699"/>
      <c r="AI2294" s="512">
        <f>IF(H2294="credit",0,IF(AE2294="free",0,IF(AE2294="me",0,IF(G2294&gt;0,(VLOOKUP(A2294,'Discount Lookup'!J:K,2)*G2294),0))))</f>
        <v>0</v>
      </c>
      <c r="AJ2294" s="513" t="str">
        <f t="shared" ca="1" si="1771"/>
        <v/>
      </c>
      <c r="AK2294" s="700" t="str">
        <f t="shared" si="1772"/>
        <v/>
      </c>
      <c r="AL2294" s="700"/>
      <c r="AM2294" s="505" t="str">
        <f t="shared" si="1773"/>
        <v/>
      </c>
      <c r="AN2294" s="506"/>
      <c r="AO2294" s="507"/>
      <c r="AP2294" s="507"/>
      <c r="AQ2294" s="507"/>
      <c r="AR2294" s="507"/>
      <c r="AS2294" s="507"/>
      <c r="AT2294" s="507"/>
      <c r="AU2294" s="507"/>
      <c r="AV2294" s="225"/>
      <c r="AW2294" s="508"/>
      <c r="AX2294" s="225"/>
      <c r="AY2294" s="225"/>
      <c r="AZ2294" s="225"/>
      <c r="BA2294" s="225"/>
      <c r="BB2294" s="225"/>
      <c r="BC2294" s="56"/>
      <c r="BD2294" s="56"/>
      <c r="BE2294" s="56"/>
      <c r="BF2294" s="107" t="str">
        <f t="shared" si="1774"/>
        <v>https://www.google.com/search?tbm=isch&amp;q=3%20G1</v>
      </c>
      <c r="BG2294" s="107" t="str">
        <f t="shared" si="1775"/>
        <v>L</v>
      </c>
      <c r="BH2294" s="254"/>
      <c r="BI2294" s="254"/>
    </row>
    <row r="2295" spans="1:61" customFormat="1" ht="15.75" x14ac:dyDescent="0.25">
      <c r="A2295" s="485">
        <v>3</v>
      </c>
      <c r="B2295" s="486" t="s">
        <v>291</v>
      </c>
      <c r="C2295" s="487" t="s">
        <v>4680</v>
      </c>
      <c r="D2295" s="488" t="s">
        <v>299</v>
      </c>
      <c r="E2295" s="489">
        <v>27.95</v>
      </c>
      <c r="F2295" s="516" t="s">
        <v>293</v>
      </c>
      <c r="G2295" s="232">
        <v>0</v>
      </c>
      <c r="H2295" s="658" t="str">
        <f>IF(G2295=0,"",IF(F2295="Buy",IF(G2295=1,"plant","plants"),IF(F2295&gt;0.01,"warranty","Error")))</f>
        <v/>
      </c>
      <c r="I2295" s="490">
        <f>IF(H2295="free",0,IF(H2295="credit",((E2295*(F2295))*G2295*-1),IF(F2295="Buy",(E2295*G2295),((E2295*(1-F2295))*G2295))))</f>
        <v>0</v>
      </c>
      <c r="J2295" s="490">
        <f>IF(H2295="warranty",0,(I2295*(_xlfn.SINGLE(SalesTaxPercentage))))</f>
        <v>0</v>
      </c>
      <c r="K2295" s="695">
        <f t="shared" ref="K2295" si="1800">I2295+J2295</f>
        <v>0</v>
      </c>
      <c r="L2295" s="695"/>
      <c r="M2295" s="659" t="str">
        <f>IF(AND(G2295&gt;0,E2295=0),"WARNING - no PRICE inserted",IF(H2295="free"," FREE ~ no charge this plant",IF(H2295="credit",CONCATENATE(" -$",ROUND(K2295*(1-T2GDiscount)*-1,2)," CREDIT after discount"),IF(T2GDiscount=0,"",IF(G2295=0,"",IF(F2295="Buy",CONCATENATE(" $",ROUND(K2295*(1-T2GDiscount),2)," with ",(T2GDiscount*100),"% discount"),CONCATENATE(" $",ROUND(K2295*(1-T2GDiscount),2)," with ",((T2GDiscount*100+F2295*100)-(T2GDiscount*100*F2295)),IF(F2295&gt;0,"% discounts",IF(NoWarrantyDiscount&gt;0,"% discounts","% discount")))))))))</f>
        <v/>
      </c>
      <c r="N2295" s="660"/>
      <c r="O2295" s="233"/>
      <c r="P2295" s="233"/>
      <c r="Q2295" s="233"/>
      <c r="R2295" s="233"/>
      <c r="S2295" s="233"/>
      <c r="T2295" s="508">
        <f t="shared" si="1763"/>
        <v>0</v>
      </c>
      <c r="U2295" s="225">
        <f>IF(NOT(ISNUMBER(G2295)), "", VLOOKUP(A2295,'Discount Lookup'!D:E,2,FALSE)*G2295)</f>
        <v>0</v>
      </c>
      <c r="V2295" s="225">
        <f>IF(NOT(ISNUMBER(G2295)), "", VLOOKUP(A2295,'Discount Lookup'!G:H,2,FALSE)*G2295)</f>
        <v>0</v>
      </c>
      <c r="W2295" s="508">
        <f t="shared" si="1764"/>
        <v>0</v>
      </c>
      <c r="X2295" s="508">
        <f t="shared" si="1765"/>
        <v>0</v>
      </c>
      <c r="Y2295" s="509" t="b">
        <f t="shared" si="1766"/>
        <v>0</v>
      </c>
      <c r="Z2295" s="510">
        <f t="shared" si="1767"/>
        <v>0</v>
      </c>
      <c r="AA2295" s="511"/>
      <c r="AB2295" s="511" t="str">
        <f t="shared" si="1768"/>
        <v/>
      </c>
      <c r="AC2295" s="698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698"/>
      <c r="AE2295" s="631" t="str">
        <f t="shared" si="1769"/>
        <v/>
      </c>
      <c r="AF2295" s="699" t="str">
        <f t="shared" si="1770"/>
        <v/>
      </c>
      <c r="AG2295" s="699"/>
      <c r="AH2295" s="699"/>
      <c r="AI2295" s="512">
        <f>IF(H2295="credit",0,IF(AE2295="free",0,IF(AE2295="me",0,IF(G2295&gt;0,(VLOOKUP(A2295,'Discount Lookup'!J:K,2)*G2295),0))))</f>
        <v>0</v>
      </c>
      <c r="AJ2295" s="513" t="str">
        <f t="shared" ca="1" si="1771"/>
        <v/>
      </c>
      <c r="AK2295" s="700" t="str">
        <f t="shared" si="1772"/>
        <v/>
      </c>
      <c r="AL2295" s="700"/>
      <c r="AM2295" s="505" t="str">
        <f t="shared" si="1773"/>
        <v/>
      </c>
      <c r="AN2295" s="506"/>
      <c r="AO2295" s="507"/>
      <c r="AP2295" s="507"/>
      <c r="AQ2295" s="507"/>
      <c r="AR2295" s="507"/>
      <c r="AS2295" s="507"/>
      <c r="AT2295" s="507"/>
      <c r="AU2295" s="507"/>
      <c r="AV2295" s="225"/>
      <c r="AW2295" s="508"/>
      <c r="AX2295" s="225"/>
      <c r="AY2295" s="225"/>
      <c r="AZ2295" s="225"/>
      <c r="BA2295" s="225"/>
      <c r="BB2295" s="225"/>
      <c r="BC2295" s="56"/>
      <c r="BD2295" s="56"/>
      <c r="BE2295" s="56"/>
      <c r="BF2295" s="107" t="str">
        <f t="shared" si="1774"/>
        <v>https://www.google.com/search?tbm=isch&amp;q=3%20G5</v>
      </c>
      <c r="BG2295" s="107" t="str">
        <f t="shared" si="1775"/>
        <v>L</v>
      </c>
      <c r="BH2295" s="254"/>
      <c r="BI2295" s="254"/>
    </row>
    <row r="2296" spans="1:61" customFormat="1" ht="17.25" thickBot="1" x14ac:dyDescent="0.3">
      <c r="A2296" s="522" t="s">
        <v>2513</v>
      </c>
      <c r="B2296" s="491"/>
      <c r="C2296" s="675"/>
      <c r="D2296" s="491"/>
      <c r="E2296" s="491"/>
      <c r="F2296" s="492"/>
      <c r="G2296" s="493"/>
      <c r="H2296" s="491"/>
      <c r="I2296" s="234"/>
      <c r="J2296" s="234"/>
      <c r="K2296" s="494"/>
      <c r="L2296" s="543"/>
      <c r="M2296" s="561"/>
      <c r="N2296" s="495"/>
      <c r="O2296" s="496"/>
      <c r="P2296" s="497"/>
      <c r="Q2296" s="495"/>
      <c r="R2296" s="495"/>
      <c r="S2296" s="667" t="s">
        <v>4988</v>
      </c>
      <c r="T2296" s="508">
        <f t="shared" si="1763"/>
        <v>0</v>
      </c>
      <c r="U2296" s="225" t="str">
        <f>IF(NOT(ISNUMBER(G2296)), "", VLOOKUP(A2296,'Discount Lookup'!D:E,2,FALSE)*G2296)</f>
        <v/>
      </c>
      <c r="V2296" s="225" t="str">
        <f>IF(NOT(ISNUMBER(G2296)), "", VLOOKUP(A2296,'Discount Lookup'!G:H,2,FALSE)*G2296)</f>
        <v/>
      </c>
      <c r="W2296" s="508">
        <f t="shared" si="1764"/>
        <v>0</v>
      </c>
      <c r="X2296" s="508">
        <f t="shared" si="1765"/>
        <v>0</v>
      </c>
      <c r="Y2296" s="509" t="b">
        <f t="shared" si="1766"/>
        <v>0</v>
      </c>
      <c r="Z2296" s="510">
        <f t="shared" si="1767"/>
        <v>0</v>
      </c>
      <c r="AA2296" s="511"/>
      <c r="AB2296" s="511" t="str">
        <f t="shared" si="1768"/>
        <v/>
      </c>
      <c r="AC2296" s="698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698"/>
      <c r="AE2296" s="631" t="str">
        <f t="shared" si="1769"/>
        <v/>
      </c>
      <c r="AF2296" s="699" t="str">
        <f t="shared" si="1770"/>
        <v/>
      </c>
      <c r="AG2296" s="699"/>
      <c r="AH2296" s="699"/>
      <c r="AI2296" s="512">
        <f>IF(H2296="credit",0,IF(AE2296="free",0,IF(AE2296="me",0,IF(G2296&gt;0,(VLOOKUP(A2296,'Discount Lookup'!J:K,2)*G2296),0))))</f>
        <v>0</v>
      </c>
      <c r="AJ2296" s="513" t="str">
        <f t="shared" ca="1" si="1771"/>
        <v/>
      </c>
      <c r="AK2296" s="700" t="str">
        <f t="shared" si="1772"/>
        <v/>
      </c>
      <c r="AL2296" s="700"/>
      <c r="AM2296" s="505" t="str">
        <f t="shared" si="1773"/>
        <v/>
      </c>
      <c r="AN2296" s="506"/>
      <c r="AO2296" s="507"/>
      <c r="AP2296" s="507"/>
      <c r="AQ2296" s="507"/>
      <c r="AR2296" s="507"/>
      <c r="AS2296" s="507"/>
      <c r="AT2296" s="507"/>
      <c r="AU2296" s="507"/>
      <c r="AV2296" s="225"/>
      <c r="AW2296" s="508"/>
      <c r="AX2296" s="225"/>
      <c r="AY2296" s="225"/>
      <c r="AZ2296" s="225"/>
      <c r="BA2296" s="225"/>
      <c r="BB2296" s="225"/>
      <c r="BC2296" s="56"/>
      <c r="BD2296" s="56"/>
      <c r="BE2296" s="56"/>
      <c r="BF2296" s="107" t="str">
        <f t="shared" si="1774"/>
        <v>https://www.google.com/search?tbm=isch&amp;q=Little%20Richard%20foliage%20is%20Green%20with%20Copper%20edges%2C%20then%20changes%20to%20Bronze-Red%20hue%20in%20fall.%20Blooms%20May%20to%20frost.%20Fragrant%20</v>
      </c>
      <c r="BG2296" s="107" t="str">
        <f t="shared" si="1775"/>
        <v>L</v>
      </c>
      <c r="BH2296" s="254"/>
      <c r="BI2296" s="254"/>
    </row>
    <row r="2297" spans="1:61" customFormat="1" ht="18" x14ac:dyDescent="0.25">
      <c r="A2297" s="521" t="s">
        <v>1281</v>
      </c>
      <c r="B2297" s="477"/>
      <c r="C2297" s="674"/>
      <c r="D2297" s="478" t="s">
        <v>1282</v>
      </c>
      <c r="E2297" s="479"/>
      <c r="F2297" s="479"/>
      <c r="G2297" s="479"/>
      <c r="H2297" s="582" t="s">
        <v>810</v>
      </c>
      <c r="I2297" s="480" t="s">
        <v>2106</v>
      </c>
      <c r="J2297" s="479"/>
      <c r="K2297" s="479"/>
      <c r="L2297" s="560"/>
      <c r="M2297" s="666" t="s">
        <v>4966</v>
      </c>
      <c r="N2297" s="680" t="str">
        <f>IF(AND(ISTEXT($A2297), ISERROR($A2297+0)), HYPERLINK($BF2297, "Images"), "")</f>
        <v>Images</v>
      </c>
      <c r="O2297" s="662" t="s">
        <v>4974</v>
      </c>
      <c r="P2297" s="482"/>
      <c r="Q2297" s="483"/>
      <c r="R2297" s="483"/>
      <c r="S2297" s="484"/>
      <c r="T2297" s="508">
        <f t="shared" si="1763"/>
        <v>0</v>
      </c>
      <c r="U2297" s="225" t="str">
        <f>IF(NOT(ISNUMBER(G2297)), "", VLOOKUP(A2297,'Discount Lookup'!D:E,2,FALSE)*G2297)</f>
        <v/>
      </c>
      <c r="V2297" s="225" t="str">
        <f>IF(NOT(ISNUMBER(G2297)), "", VLOOKUP(A2297,'Discount Lookup'!G:H,2,FALSE)*G2297)</f>
        <v/>
      </c>
      <c r="W2297" s="508">
        <f t="shared" si="1764"/>
        <v>0</v>
      </c>
      <c r="X2297" s="508" t="str">
        <f t="shared" si="1765"/>
        <v>Bright Green foliage</v>
      </c>
      <c r="Y2297" s="509" t="b">
        <f t="shared" si="1766"/>
        <v>0</v>
      </c>
      <c r="Z2297" s="510">
        <f t="shared" si="1767"/>
        <v>0</v>
      </c>
      <c r="AA2297" s="511"/>
      <c r="AB2297" s="511" t="str">
        <f t="shared" si="1768"/>
        <v/>
      </c>
      <c r="AC2297" s="698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698"/>
      <c r="AE2297" s="631" t="str">
        <f t="shared" si="1769"/>
        <v/>
      </c>
      <c r="AF2297" s="699" t="str">
        <f t="shared" si="1770"/>
        <v/>
      </c>
      <c r="AG2297" s="699"/>
      <c r="AH2297" s="699"/>
      <c r="AI2297" s="512">
        <f>IF(H2297="credit",0,IF(AE2297="free",0,IF(AE2297="me",0,IF(G2297&gt;0,(VLOOKUP(A2297,'Discount Lookup'!J:K,2)*G2297),0))))</f>
        <v>0</v>
      </c>
      <c r="AJ2297" s="513" t="str">
        <f t="shared" ca="1" si="1771"/>
        <v/>
      </c>
      <c r="AK2297" s="700" t="str">
        <f t="shared" si="1772"/>
        <v/>
      </c>
      <c r="AL2297" s="700"/>
      <c r="AM2297" s="505" t="str">
        <f t="shared" si="1773"/>
        <v/>
      </c>
      <c r="AN2297" s="506"/>
      <c r="AO2297" s="507"/>
      <c r="AP2297" s="507"/>
      <c r="AQ2297" s="507"/>
      <c r="AR2297" s="507"/>
      <c r="AS2297" s="507"/>
      <c r="AT2297" s="507"/>
      <c r="AU2297" s="507"/>
      <c r="AV2297" s="225"/>
      <c r="AW2297" s="508"/>
      <c r="AX2297" s="225"/>
      <c r="AY2297" s="225"/>
      <c r="AZ2297" s="225"/>
      <c r="BA2297" s="225"/>
      <c r="BB2297" s="225"/>
      <c r="BC2297" s="56"/>
      <c r="BD2297" s="56"/>
      <c r="BE2297" s="56"/>
      <c r="BF2297" s="107" t="str">
        <f t="shared" si="1774"/>
        <v>https://www.google.com/search?tbm=isch&amp;q=Little%20Sprout%20Arborvitae%20Thuja%20occidentalis%20%27Little%20Sprout%27%20PP%2320354</v>
      </c>
      <c r="BG2297" s="107" t="str">
        <f t="shared" si="1775"/>
        <v>L</v>
      </c>
      <c r="BH2297" s="254"/>
      <c r="BI2297" s="254"/>
    </row>
    <row r="2298" spans="1:61" customFormat="1" ht="27" x14ac:dyDescent="0.25">
      <c r="A2298" s="485">
        <v>7</v>
      </c>
      <c r="B2298" s="486" t="s">
        <v>291</v>
      </c>
      <c r="C2298" s="487" t="s">
        <v>3625</v>
      </c>
      <c r="D2298" s="488" t="s">
        <v>292</v>
      </c>
      <c r="E2298" s="489">
        <v>79.95</v>
      </c>
      <c r="F2298" s="516" t="s">
        <v>293</v>
      </c>
      <c r="G2298" s="232">
        <v>0</v>
      </c>
      <c r="H2298" s="658" t="str">
        <f>IF(G2298=0,"",IF(F2298="Buy",IF(G2298=1,"plant","plants"),IF(F2298&gt;0.01,"warranty","Error")))</f>
        <v/>
      </c>
      <c r="I2298" s="490">
        <f>IF(H2298="free",0,IF(H2298="credit",((E2298*(F2298))*G2298*-1),IF(F2298="Buy",(E2298*G2298),((E2298*(1-F2298))*G2298))))</f>
        <v>0</v>
      </c>
      <c r="J2298" s="490">
        <f>IF(H2298="warranty",0,(I2298*(_xlfn.SINGLE(SalesTaxPercentage))))</f>
        <v>0</v>
      </c>
      <c r="K2298" s="695">
        <f t="shared" ref="K2298" si="1801">I2298+J2298</f>
        <v>0</v>
      </c>
      <c r="L2298" s="695"/>
      <c r="M2298" s="659" t="str">
        <f>IF(AND(G2298&gt;0,E2298=0),"WARNING - no PRICE inserted",IF(H2298="free"," FREE ~ no charge this plant",IF(H2298="credit",CONCATENATE(" -$",ROUND(K2298*(1-T2GDiscount)*-1,2)," CREDIT after discount"),IF(T2GDiscount=0,"",IF(G2298=0,"",IF(F2298="Buy",CONCATENATE(" $",ROUND(K2298*(1-T2GDiscount),2)," with ",(T2GDiscount*100),"% discount"),CONCATENATE(" $",ROUND(K2298*(1-T2GDiscount),2)," with ",((T2GDiscount*100+F2298*100)-(T2GDiscount*100*F2298)),IF(F2298&gt;0,"% discounts",IF(NoWarrantyDiscount&gt;0,"% discounts","% discount")))))))))</f>
        <v/>
      </c>
      <c r="N2298" s="660"/>
      <c r="O2298" s="233"/>
      <c r="P2298" s="233"/>
      <c r="Q2298" s="233"/>
      <c r="R2298" s="233"/>
      <c r="S2298" s="233"/>
      <c r="T2298" s="508">
        <f t="shared" si="1763"/>
        <v>0</v>
      </c>
      <c r="U2298" s="225">
        <f>IF(NOT(ISNUMBER(G2298)), "", VLOOKUP(A2298,'Discount Lookup'!D:E,2,FALSE)*G2298)</f>
        <v>0</v>
      </c>
      <c r="V2298" s="225">
        <f>IF(NOT(ISNUMBER(G2298)), "", VLOOKUP(A2298,'Discount Lookup'!G:H,2,FALSE)*G2298)</f>
        <v>0</v>
      </c>
      <c r="W2298" s="508">
        <f t="shared" si="1764"/>
        <v>0</v>
      </c>
      <c r="X2298" s="508">
        <f t="shared" si="1765"/>
        <v>0</v>
      </c>
      <c r="Y2298" s="509" t="b">
        <f t="shared" si="1766"/>
        <v>0</v>
      </c>
      <c r="Z2298" s="510">
        <f t="shared" si="1767"/>
        <v>0</v>
      </c>
      <c r="AA2298" s="511"/>
      <c r="AB2298" s="511" t="str">
        <f t="shared" si="1768"/>
        <v/>
      </c>
      <c r="AC2298" s="698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698"/>
      <c r="AE2298" s="631" t="str">
        <f t="shared" si="1769"/>
        <v/>
      </c>
      <c r="AF2298" s="699" t="str">
        <f t="shared" si="1770"/>
        <v/>
      </c>
      <c r="AG2298" s="699"/>
      <c r="AH2298" s="699"/>
      <c r="AI2298" s="512">
        <f>IF(H2298="credit",0,IF(AE2298="free",0,IF(AE2298="me",0,IF(G2298&gt;0,(VLOOKUP(A2298,'Discount Lookup'!J:K,2)*G2298),0))))</f>
        <v>0</v>
      </c>
      <c r="AJ2298" s="513" t="str">
        <f t="shared" ca="1" si="1771"/>
        <v/>
      </c>
      <c r="AK2298" s="700" t="str">
        <f t="shared" si="1772"/>
        <v/>
      </c>
      <c r="AL2298" s="700"/>
      <c r="AM2298" s="505" t="str">
        <f t="shared" si="1773"/>
        <v/>
      </c>
      <c r="AN2298" s="506"/>
      <c r="AO2298" s="507"/>
      <c r="AP2298" s="507"/>
      <c r="AQ2298" s="507"/>
      <c r="AR2298" s="507"/>
      <c r="AS2298" s="507"/>
      <c r="AT2298" s="507"/>
      <c r="AU2298" s="507"/>
      <c r="AV2298" s="225"/>
      <c r="AW2298" s="508"/>
      <c r="AX2298" s="225"/>
      <c r="AY2298" s="225"/>
      <c r="AZ2298" s="225"/>
      <c r="BA2298" s="225"/>
      <c r="BB2298" s="225"/>
      <c r="BC2298" s="56"/>
      <c r="BD2298" s="56"/>
      <c r="BE2298" s="56"/>
      <c r="BF2298" s="107" t="str">
        <f t="shared" si="1774"/>
        <v>https://www.google.com/search?tbm=isch&amp;q=7%20G4</v>
      </c>
      <c r="BG2298" s="107" t="str">
        <f t="shared" si="1775"/>
        <v>L</v>
      </c>
      <c r="BH2298" s="254"/>
      <c r="BI2298" s="254"/>
    </row>
    <row r="2299" spans="1:61" customFormat="1" ht="27" x14ac:dyDescent="0.25">
      <c r="A2299" s="485">
        <v>15</v>
      </c>
      <c r="B2299" s="486" t="s">
        <v>291</v>
      </c>
      <c r="C2299" s="487" t="s">
        <v>3626</v>
      </c>
      <c r="D2299" s="488" t="s">
        <v>292</v>
      </c>
      <c r="E2299" s="489">
        <v>169.95</v>
      </c>
      <c r="F2299" s="516" t="s">
        <v>293</v>
      </c>
      <c r="G2299" s="232">
        <v>0</v>
      </c>
      <c r="H2299" s="658" t="str">
        <f>IF(G2299=0,"",IF(F2299="Buy",IF(G2299=1,"plant","plants"),IF(F2299&gt;0.01,"warranty","Error")))</f>
        <v/>
      </c>
      <c r="I2299" s="490">
        <f>IF(H2299="free",0,IF(H2299="credit",((E2299*(F2299))*G2299*-1),IF(F2299="Buy",(E2299*G2299),((E2299*(1-F2299))*G2299))))</f>
        <v>0</v>
      </c>
      <c r="J2299" s="490">
        <f>IF(H2299="warranty",0,(I2299*(_xlfn.SINGLE(SalesTaxPercentage))))</f>
        <v>0</v>
      </c>
      <c r="K2299" s="695">
        <f t="shared" ref="K2299" si="1802">I2299+J2299</f>
        <v>0</v>
      </c>
      <c r="L2299" s="695"/>
      <c r="M2299" s="659" t="str">
        <f>IF(AND(G2299&gt;0,E2299=0),"WARNING - no PRICE inserted",IF(H2299="free"," FREE ~ no charge this plant",IF(H2299="credit",CONCATENATE(" -$",ROUND(K2299*(1-T2GDiscount)*-1,2)," CREDIT after discount"),IF(T2GDiscount=0,"",IF(G2299=0,"",IF(F2299="Buy",CONCATENATE(" $",ROUND(K2299*(1-T2GDiscount),2)," with ",(T2GDiscount*100),"% discount"),CONCATENATE(" $",ROUND(K2299*(1-T2GDiscount),2)," with ",((T2GDiscount*100+F2299*100)-(T2GDiscount*100*F2299)),IF(F2299&gt;0,"% discounts",IF(NoWarrantyDiscount&gt;0,"% discounts","% discount")))))))))</f>
        <v/>
      </c>
      <c r="N2299" s="660"/>
      <c r="O2299" s="233"/>
      <c r="P2299" s="233"/>
      <c r="Q2299" s="233"/>
      <c r="R2299" s="233"/>
      <c r="S2299" s="233"/>
      <c r="T2299" s="508">
        <f t="shared" si="1763"/>
        <v>0</v>
      </c>
      <c r="U2299" s="225">
        <f>IF(NOT(ISNUMBER(G2299)), "", VLOOKUP(A2299,'Discount Lookup'!D:E,2,FALSE)*G2299)</f>
        <v>0</v>
      </c>
      <c r="V2299" s="225">
        <f>IF(NOT(ISNUMBER(G2299)), "", VLOOKUP(A2299,'Discount Lookup'!G:H,2,FALSE)*G2299)</f>
        <v>0</v>
      </c>
      <c r="W2299" s="508">
        <f t="shared" si="1764"/>
        <v>0</v>
      </c>
      <c r="X2299" s="508">
        <f t="shared" si="1765"/>
        <v>0</v>
      </c>
      <c r="Y2299" s="509" t="b">
        <f t="shared" si="1766"/>
        <v>0</v>
      </c>
      <c r="Z2299" s="510">
        <f t="shared" si="1767"/>
        <v>0</v>
      </c>
      <c r="AA2299" s="511"/>
      <c r="AB2299" s="511" t="str">
        <f t="shared" si="1768"/>
        <v/>
      </c>
      <c r="AC2299" s="698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698"/>
      <c r="AE2299" s="631" t="str">
        <f t="shared" si="1769"/>
        <v/>
      </c>
      <c r="AF2299" s="699" t="str">
        <f t="shared" si="1770"/>
        <v/>
      </c>
      <c r="AG2299" s="699"/>
      <c r="AH2299" s="699"/>
      <c r="AI2299" s="512">
        <f>IF(H2299="credit",0,IF(AE2299="free",0,IF(AE2299="me",0,IF(G2299&gt;0,(VLOOKUP(A2299,'Discount Lookup'!J:K,2)*G2299),0))))</f>
        <v>0</v>
      </c>
      <c r="AJ2299" s="513" t="str">
        <f t="shared" ca="1" si="1771"/>
        <v/>
      </c>
      <c r="AK2299" s="700" t="str">
        <f t="shared" si="1772"/>
        <v/>
      </c>
      <c r="AL2299" s="700"/>
      <c r="AM2299" s="505" t="str">
        <f t="shared" si="1773"/>
        <v/>
      </c>
      <c r="AN2299" s="506"/>
      <c r="AO2299" s="507"/>
      <c r="AP2299" s="507"/>
      <c r="AQ2299" s="507"/>
      <c r="AR2299" s="507"/>
      <c r="AS2299" s="507"/>
      <c r="AT2299" s="507"/>
      <c r="AU2299" s="507"/>
      <c r="AV2299" s="225"/>
      <c r="AW2299" s="508"/>
      <c r="AX2299" s="225"/>
      <c r="AY2299" s="225"/>
      <c r="AZ2299" s="225"/>
      <c r="BA2299" s="225"/>
      <c r="BB2299" s="225"/>
      <c r="BC2299" s="56"/>
      <c r="BD2299" s="56"/>
      <c r="BE2299" s="56"/>
      <c r="BF2299" s="107" t="str">
        <f t="shared" si="1774"/>
        <v>https://www.google.com/search?tbm=isch&amp;q=15%20G4</v>
      </c>
      <c r="BG2299" s="107" t="str">
        <f t="shared" si="1775"/>
        <v>L</v>
      </c>
      <c r="BH2299" s="254"/>
      <c r="BI2299" s="254"/>
    </row>
    <row r="2300" spans="1:61" customFormat="1" ht="16.5" thickBot="1" x14ac:dyDescent="0.3">
      <c r="A2300" s="522" t="s">
        <v>2428</v>
      </c>
      <c r="B2300" s="491"/>
      <c r="C2300" s="675"/>
      <c r="D2300" s="491"/>
      <c r="E2300" s="491"/>
      <c r="F2300" s="492"/>
      <c r="G2300" s="493"/>
      <c r="H2300" s="491"/>
      <c r="I2300" s="234"/>
      <c r="J2300" s="234"/>
      <c r="K2300" s="494"/>
      <c r="L2300" s="543"/>
      <c r="M2300" s="561"/>
      <c r="N2300" s="495"/>
      <c r="O2300" s="496"/>
      <c r="P2300" s="497"/>
      <c r="Q2300" s="495"/>
      <c r="R2300" s="495"/>
      <c r="S2300" s="277"/>
      <c r="T2300" s="508">
        <f t="shared" si="1763"/>
        <v>0</v>
      </c>
      <c r="U2300" s="225" t="str">
        <f>IF(NOT(ISNUMBER(G2300)), "", VLOOKUP(A2300,'Discount Lookup'!D:E,2,FALSE)*G2300)</f>
        <v/>
      </c>
      <c r="V2300" s="225" t="str">
        <f>IF(NOT(ISNUMBER(G2300)), "", VLOOKUP(A2300,'Discount Lookup'!G:H,2,FALSE)*G2300)</f>
        <v/>
      </c>
      <c r="W2300" s="508">
        <f t="shared" si="1764"/>
        <v>0</v>
      </c>
      <c r="X2300" s="508">
        <f t="shared" si="1765"/>
        <v>0</v>
      </c>
      <c r="Y2300" s="509" t="b">
        <f t="shared" si="1766"/>
        <v>0</v>
      </c>
      <c r="Z2300" s="510">
        <f t="shared" si="1767"/>
        <v>0</v>
      </c>
      <c r="AA2300" s="511"/>
      <c r="AB2300" s="511" t="str">
        <f t="shared" si="1768"/>
        <v/>
      </c>
      <c r="AC2300" s="698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698"/>
      <c r="AE2300" s="631" t="str">
        <f t="shared" si="1769"/>
        <v/>
      </c>
      <c r="AF2300" s="699" t="str">
        <f t="shared" si="1770"/>
        <v/>
      </c>
      <c r="AG2300" s="699"/>
      <c r="AH2300" s="699"/>
      <c r="AI2300" s="512">
        <f>IF(H2300="credit",0,IF(AE2300="free",0,IF(AE2300="me",0,IF(G2300&gt;0,(VLOOKUP(A2300,'Discount Lookup'!J:K,2)*G2300),0))))</f>
        <v>0</v>
      </c>
      <c r="AJ2300" s="513" t="str">
        <f t="shared" ca="1" si="1771"/>
        <v/>
      </c>
      <c r="AK2300" s="700" t="str">
        <f t="shared" si="1772"/>
        <v/>
      </c>
      <c r="AL2300" s="700"/>
      <c r="AM2300" s="505" t="str">
        <f t="shared" si="1773"/>
        <v/>
      </c>
      <c r="AN2300" s="506"/>
      <c r="AO2300" s="507"/>
      <c r="AP2300" s="507"/>
      <c r="AQ2300" s="507"/>
      <c r="AR2300" s="507"/>
      <c r="AS2300" s="507"/>
      <c r="AT2300" s="507"/>
      <c r="AU2300" s="507"/>
      <c r="AV2300" s="225"/>
      <c r="AW2300" s="508"/>
      <c r="AX2300" s="225"/>
      <c r="AY2300" s="225"/>
      <c r="AZ2300" s="225"/>
      <c r="BA2300" s="225"/>
      <c r="BB2300" s="225"/>
      <c r="BC2300" s="56"/>
      <c r="BD2300" s="56"/>
      <c r="BE2300" s="56"/>
      <c r="BF2300" s="107" t="str">
        <f t="shared" si="1774"/>
        <v>https://www.google.com/search?tbm=isch&amp;q=Little%20Sprout%20offers%20tidy%2C%20globe-shaped%20greenery%20with%20year-round%20color%20and%20minimal%20upkeep.%20Reddish-Brown%20bark%20does%20not%20exfoliate%20</v>
      </c>
      <c r="BG2300" s="107" t="str">
        <f t="shared" si="1775"/>
        <v>L</v>
      </c>
      <c r="BH2300" s="254"/>
      <c r="BI2300" s="254"/>
    </row>
    <row r="2301" spans="1:61" customFormat="1" ht="18" x14ac:dyDescent="0.25">
      <c r="A2301" s="523" t="s">
        <v>3192</v>
      </c>
      <c r="B2301" s="235"/>
      <c r="C2301" s="676"/>
      <c r="D2301" s="255" t="s">
        <v>3193</v>
      </c>
      <c r="E2301" s="236"/>
      <c r="F2301" s="236"/>
      <c r="G2301" s="236"/>
      <c r="H2301" s="582" t="s">
        <v>2625</v>
      </c>
      <c r="I2301" s="498" t="s">
        <v>3287</v>
      </c>
      <c r="J2301" s="237"/>
      <c r="K2301" s="237"/>
      <c r="L2301" s="274"/>
      <c r="M2301" s="668" t="s">
        <v>4962</v>
      </c>
      <c r="N2301" s="681" t="str">
        <f>IF(AND(ISTEXT($A2301), ISERROR($A2301+0)), HYPERLINK($BF2301, "Images"), "")</f>
        <v>Images</v>
      </c>
      <c r="O2301" s="663" t="s">
        <v>4967</v>
      </c>
      <c r="P2301" s="253"/>
      <c r="Q2301" s="238"/>
      <c r="R2301" s="239"/>
      <c r="S2301" s="275"/>
      <c r="T2301" s="508">
        <f t="shared" si="1763"/>
        <v>0</v>
      </c>
      <c r="U2301" s="225" t="str">
        <f>IF(NOT(ISNUMBER(G2301)), "", VLOOKUP(A2301,'Discount Lookup'!D:E,2,FALSE)*G2301)</f>
        <v/>
      </c>
      <c r="V2301" s="225" t="str">
        <f>IF(NOT(ISNUMBER(G2301)), "", VLOOKUP(A2301,'Discount Lookup'!G:H,2,FALSE)*G2301)</f>
        <v/>
      </c>
      <c r="W2301" s="508">
        <f t="shared" si="1764"/>
        <v>0</v>
      </c>
      <c r="X2301" s="508" t="str">
        <f t="shared" si="1765"/>
        <v>Magenta-Purple bloom</v>
      </c>
      <c r="Y2301" s="509" t="b">
        <f t="shared" si="1766"/>
        <v>0</v>
      </c>
      <c r="Z2301" s="510">
        <f t="shared" si="1767"/>
        <v>0</v>
      </c>
      <c r="AA2301" s="511"/>
      <c r="AB2301" s="511" t="str">
        <f t="shared" si="1768"/>
        <v/>
      </c>
      <c r="AC2301" s="698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698"/>
      <c r="AE2301" s="631" t="str">
        <f t="shared" si="1769"/>
        <v/>
      </c>
      <c r="AF2301" s="699" t="str">
        <f t="shared" si="1770"/>
        <v/>
      </c>
      <c r="AG2301" s="699"/>
      <c r="AH2301" s="699"/>
      <c r="AI2301" s="512">
        <f>IF(H2301="credit",0,IF(AE2301="free",0,IF(AE2301="me",0,IF(G2301&gt;0,(VLOOKUP(A2301,'Discount Lookup'!J:K,2)*G2301),0))))</f>
        <v>0</v>
      </c>
      <c r="AJ2301" s="513" t="str">
        <f t="shared" ca="1" si="1771"/>
        <v/>
      </c>
      <c r="AK2301" s="700" t="str">
        <f t="shared" si="1772"/>
        <v/>
      </c>
      <c r="AL2301" s="700"/>
      <c r="AM2301" s="505" t="str">
        <f t="shared" si="1773"/>
        <v/>
      </c>
      <c r="AN2301" s="506"/>
      <c r="AO2301" s="507"/>
      <c r="AP2301" s="507"/>
      <c r="AQ2301" s="507"/>
      <c r="AR2301" s="507"/>
      <c r="AS2301" s="507"/>
      <c r="AT2301" s="507"/>
      <c r="AU2301" s="507"/>
      <c r="AV2301" s="225"/>
      <c r="AW2301" s="508"/>
      <c r="AX2301" s="225"/>
      <c r="AY2301" s="225"/>
      <c r="AZ2301" s="225"/>
      <c r="BA2301" s="225"/>
      <c r="BB2301" s="225"/>
      <c r="BC2301" s="56"/>
      <c r="BD2301" s="56"/>
      <c r="BE2301" s="56"/>
      <c r="BF2301" s="107" t="str">
        <f t="shared" si="1774"/>
        <v>https://www.google.com/search?tbm=isch&amp;q=Little%20Volcano%20Bush%20Clover%20Lespedeza%20thunbergii%20%27Little%20Volcano%27</v>
      </c>
      <c r="BG2301" s="107" t="str">
        <f t="shared" si="1775"/>
        <v>L</v>
      </c>
      <c r="BH2301" s="254"/>
      <c r="BI2301" s="254"/>
    </row>
    <row r="2302" spans="1:61" customFormat="1" ht="15.75" x14ac:dyDescent="0.25">
      <c r="A2302" s="276">
        <v>3</v>
      </c>
      <c r="B2302" s="240" t="s">
        <v>291</v>
      </c>
      <c r="C2302" s="241"/>
      <c r="D2302" s="242" t="s">
        <v>298</v>
      </c>
      <c r="E2302" s="243">
        <v>25.95</v>
      </c>
      <c r="F2302" s="517" t="s">
        <v>293</v>
      </c>
      <c r="G2302" s="232">
        <v>0</v>
      </c>
      <c r="H2302" s="661" t="str">
        <f>IF(G2302=0,"",IF(F2302="Buy",IF(G2302=1,"plant","plants"),IF(F2302&gt;0.01,"warranty","Error")))</f>
        <v/>
      </c>
      <c r="I2302" s="244">
        <f>IF(H2302="free",0,IF(H2302="credit",((E2302*(F2302))*G2302*-1),IF(F2302="Buy",(E2302*G2302),((E2302*(1-F2302))*G2302))))</f>
        <v>0</v>
      </c>
      <c r="J2302" s="244">
        <f>IF(H2302="warranty",0,(I2302*(_xlfn.SINGLE(SalesTaxPercentage))))</f>
        <v>0</v>
      </c>
      <c r="K2302" s="696">
        <f t="shared" ref="K2302" si="1803">I2302+J2302</f>
        <v>0</v>
      </c>
      <c r="L2302" s="696"/>
      <c r="M2302" s="659" t="str">
        <f>IF(AND(G2302&gt;0,E2302=0),"WARNING - no PRICE inserted",IF(H2302="free"," FREE ~ no charge this plant",IF(H2302="credit",CONCATENATE(" -$",ROUND(K2302*(1-T2GDiscount)*-1,2)," CREDIT after discount"),IF(T2GDiscount=0,"",IF(G2302=0,"",IF(F2302="Buy",CONCATENATE(" $",ROUND(K2302*(1-T2GDiscount),2)," with ",(T2GDiscount*100),"% discount"),CONCATENATE(" $",ROUND(K2302*(1-T2GDiscount),2)," with ",((T2GDiscount*100+F2302*100)-(T2GDiscount*100*F2302)),IF(F2302&gt;0,"% discounts",IF(NoWarrantyDiscount&gt;0,"% discounts","% discount")))))))))</f>
        <v/>
      </c>
      <c r="N2302" s="660"/>
      <c r="O2302" s="233"/>
      <c r="P2302" s="233"/>
      <c r="Q2302" s="233"/>
      <c r="R2302" s="233"/>
      <c r="S2302" s="233"/>
      <c r="T2302" s="508">
        <f t="shared" si="1763"/>
        <v>0</v>
      </c>
      <c r="U2302" s="225">
        <f>IF(NOT(ISNUMBER(G2302)), "", VLOOKUP(A2302,'Discount Lookup'!D:E,2,FALSE)*G2302)</f>
        <v>0</v>
      </c>
      <c r="V2302" s="225">
        <f>IF(NOT(ISNUMBER(G2302)), "", VLOOKUP(A2302,'Discount Lookup'!G:H,2,FALSE)*G2302)</f>
        <v>0</v>
      </c>
      <c r="W2302" s="508">
        <f t="shared" si="1764"/>
        <v>0</v>
      </c>
      <c r="X2302" s="508">
        <f t="shared" si="1765"/>
        <v>0</v>
      </c>
      <c r="Y2302" s="509" t="b">
        <f t="shared" si="1766"/>
        <v>0</v>
      </c>
      <c r="Z2302" s="510">
        <f t="shared" si="1767"/>
        <v>0</v>
      </c>
      <c r="AA2302" s="511"/>
      <c r="AB2302" s="511" t="str">
        <f t="shared" si="1768"/>
        <v/>
      </c>
      <c r="AC2302" s="698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698"/>
      <c r="AE2302" s="631" t="str">
        <f t="shared" si="1769"/>
        <v/>
      </c>
      <c r="AF2302" s="699" t="str">
        <f t="shared" si="1770"/>
        <v/>
      </c>
      <c r="AG2302" s="699"/>
      <c r="AH2302" s="699"/>
      <c r="AI2302" s="512">
        <f>IF(H2302="credit",0,IF(AE2302="free",0,IF(AE2302="me",0,IF(G2302&gt;0,(VLOOKUP(A2302,'Discount Lookup'!J:K,2)*G2302),0))))</f>
        <v>0</v>
      </c>
      <c r="AJ2302" s="513" t="str">
        <f t="shared" ca="1" si="1771"/>
        <v/>
      </c>
      <c r="AK2302" s="700" t="str">
        <f t="shared" si="1772"/>
        <v/>
      </c>
      <c r="AL2302" s="700"/>
      <c r="AM2302" s="505" t="str">
        <f t="shared" si="1773"/>
        <v/>
      </c>
      <c r="AN2302" s="506"/>
      <c r="AO2302" s="507"/>
      <c r="AP2302" s="507"/>
      <c r="AQ2302" s="507"/>
      <c r="AR2302" s="507"/>
      <c r="AS2302" s="507"/>
      <c r="AT2302" s="507"/>
      <c r="AU2302" s="507"/>
      <c r="AV2302" s="225"/>
      <c r="AW2302" s="508"/>
      <c r="AX2302" s="225"/>
      <c r="AY2302" s="225"/>
      <c r="AZ2302" s="225"/>
      <c r="BA2302" s="225"/>
      <c r="BB2302" s="225"/>
      <c r="BC2302" s="56"/>
      <c r="BD2302" s="56"/>
      <c r="BE2302" s="56"/>
      <c r="BF2302" s="107" t="str">
        <f t="shared" si="1774"/>
        <v>https://www.google.com/search?tbm=isch&amp;q=3%20G1</v>
      </c>
      <c r="BG2302" s="107" t="str">
        <f t="shared" si="1775"/>
        <v>L</v>
      </c>
      <c r="BH2302" s="254"/>
      <c r="BI2302" s="254"/>
    </row>
    <row r="2303" spans="1:61" customFormat="1" ht="15.75" x14ac:dyDescent="0.25">
      <c r="A2303" s="276">
        <v>7</v>
      </c>
      <c r="B2303" s="240" t="s">
        <v>291</v>
      </c>
      <c r="C2303" s="241" t="s">
        <v>17</v>
      </c>
      <c r="D2303" s="242" t="s">
        <v>298</v>
      </c>
      <c r="E2303" s="243">
        <v>56.95</v>
      </c>
      <c r="F2303" s="517" t="s">
        <v>293</v>
      </c>
      <c r="G2303" s="232">
        <v>0</v>
      </c>
      <c r="H2303" s="661" t="str">
        <f>IF(G2303=0,"",IF(F2303="Buy",IF(G2303=1,"plant","plants"),IF(F2303&gt;0.01,"warranty","Error")))</f>
        <v/>
      </c>
      <c r="I2303" s="244">
        <f>IF(H2303="free",0,IF(H2303="credit",((E2303*(F2303))*G2303*-1),IF(F2303="Buy",(E2303*G2303),((E2303*(1-F2303))*G2303))))</f>
        <v>0</v>
      </c>
      <c r="J2303" s="244">
        <f>IF(H2303="warranty",0,(I2303*(_xlfn.SINGLE(SalesTaxPercentage))))</f>
        <v>0</v>
      </c>
      <c r="K2303" s="696">
        <f t="shared" ref="K2303" si="1804">I2303+J2303</f>
        <v>0</v>
      </c>
      <c r="L2303" s="696"/>
      <c r="M2303" s="659" t="str">
        <f>IF(AND(G2303&gt;0,E2303=0),"WARNING - no PRICE inserted",IF(H2303="free"," FREE ~ no charge this plant",IF(H2303="credit",CONCATENATE(" -$",ROUND(K2303*(1-T2GDiscount)*-1,2)," CREDIT after discount"),IF(T2GDiscount=0,"",IF(G2303=0,"",IF(F2303="Buy",CONCATENATE(" $",ROUND(K2303*(1-T2GDiscount),2)," with ",(T2GDiscount*100),"% discount"),CONCATENATE(" $",ROUND(K2303*(1-T2GDiscount),2)," with ",((T2GDiscount*100+F2303*100)-(T2GDiscount*100*F2303)),IF(F2303&gt;0,"% discounts",IF(NoWarrantyDiscount&gt;0,"% discounts","% discount")))))))))</f>
        <v/>
      </c>
      <c r="N2303" s="660"/>
      <c r="O2303" s="233"/>
      <c r="P2303" s="233"/>
      <c r="Q2303" s="233"/>
      <c r="R2303" s="233"/>
      <c r="S2303" s="233"/>
      <c r="T2303" s="508">
        <f t="shared" si="1763"/>
        <v>0</v>
      </c>
      <c r="U2303" s="225">
        <f>IF(NOT(ISNUMBER(G2303)), "", VLOOKUP(A2303,'Discount Lookup'!D:E,2,FALSE)*G2303)</f>
        <v>0</v>
      </c>
      <c r="V2303" s="225">
        <f>IF(NOT(ISNUMBER(G2303)), "", VLOOKUP(A2303,'Discount Lookup'!G:H,2,FALSE)*G2303)</f>
        <v>0</v>
      </c>
      <c r="W2303" s="508">
        <f t="shared" si="1764"/>
        <v>0</v>
      </c>
      <c r="X2303" s="508">
        <f t="shared" si="1765"/>
        <v>0</v>
      </c>
      <c r="Y2303" s="509" t="b">
        <f t="shared" si="1766"/>
        <v>0</v>
      </c>
      <c r="Z2303" s="510">
        <f t="shared" si="1767"/>
        <v>0</v>
      </c>
      <c r="AA2303" s="511"/>
      <c r="AB2303" s="511" t="str">
        <f t="shared" si="1768"/>
        <v/>
      </c>
      <c r="AC2303" s="698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698"/>
      <c r="AE2303" s="631" t="str">
        <f t="shared" si="1769"/>
        <v/>
      </c>
      <c r="AF2303" s="699" t="str">
        <f t="shared" si="1770"/>
        <v/>
      </c>
      <c r="AG2303" s="699"/>
      <c r="AH2303" s="699"/>
      <c r="AI2303" s="512">
        <f>IF(H2303="credit",0,IF(AE2303="free",0,IF(AE2303="me",0,IF(G2303&gt;0,(VLOOKUP(A2303,'Discount Lookup'!J:K,2)*G2303),0))))</f>
        <v>0</v>
      </c>
      <c r="AJ2303" s="513" t="str">
        <f t="shared" ca="1" si="1771"/>
        <v/>
      </c>
      <c r="AK2303" s="700" t="str">
        <f t="shared" si="1772"/>
        <v/>
      </c>
      <c r="AL2303" s="700"/>
      <c r="AM2303" s="505" t="str">
        <f t="shared" si="1773"/>
        <v/>
      </c>
      <c r="AN2303" s="506"/>
      <c r="AO2303" s="507"/>
      <c r="AP2303" s="507"/>
      <c r="AQ2303" s="507"/>
      <c r="AR2303" s="507"/>
      <c r="AS2303" s="507"/>
      <c r="AT2303" s="507"/>
      <c r="AU2303" s="507"/>
      <c r="AV2303" s="225"/>
      <c r="AW2303" s="508"/>
      <c r="AX2303" s="225"/>
      <c r="AY2303" s="225"/>
      <c r="AZ2303" s="225"/>
      <c r="BA2303" s="225"/>
      <c r="BB2303" s="225"/>
      <c r="BC2303" s="56"/>
      <c r="BD2303" s="56"/>
      <c r="BE2303" s="56"/>
      <c r="BF2303" s="107" t="str">
        <f t="shared" si="1774"/>
        <v>https://www.google.com/search?tbm=isch&amp;q=7%20G1</v>
      </c>
      <c r="BG2303" s="107" t="str">
        <f t="shared" si="1775"/>
        <v>L</v>
      </c>
      <c r="BH2303" s="254"/>
      <c r="BI2303" s="254"/>
    </row>
    <row r="2304" spans="1:61" customFormat="1" ht="17.25" thickBot="1" x14ac:dyDescent="0.3">
      <c r="A2304" s="524" t="s">
        <v>3288</v>
      </c>
      <c r="B2304" s="245"/>
      <c r="C2304" s="677"/>
      <c r="D2304" s="499"/>
      <c r="E2304" s="499"/>
      <c r="F2304" s="500"/>
      <c r="G2304" s="501"/>
      <c r="H2304" s="502"/>
      <c r="I2304" s="246"/>
      <c r="J2304" s="247"/>
      <c r="K2304" s="503"/>
      <c r="L2304" s="544"/>
      <c r="M2304" s="544"/>
      <c r="N2304" s="500"/>
      <c r="O2304" s="500"/>
      <c r="P2304" s="500"/>
      <c r="Q2304" s="500"/>
      <c r="R2304" s="500"/>
      <c r="S2304" s="669" t="s">
        <v>4980</v>
      </c>
      <c r="T2304" s="508">
        <f t="shared" si="1763"/>
        <v>0</v>
      </c>
      <c r="U2304" s="225" t="str">
        <f>IF(NOT(ISNUMBER(G2304)), "", VLOOKUP(A2304,'Discount Lookup'!D:E,2,FALSE)*G2304)</f>
        <v/>
      </c>
      <c r="V2304" s="225" t="str">
        <f>IF(NOT(ISNUMBER(G2304)), "", VLOOKUP(A2304,'Discount Lookup'!G:H,2,FALSE)*G2304)</f>
        <v/>
      </c>
      <c r="W2304" s="508">
        <f t="shared" si="1764"/>
        <v>0</v>
      </c>
      <c r="X2304" s="508">
        <f t="shared" si="1765"/>
        <v>0</v>
      </c>
      <c r="Y2304" s="509" t="b">
        <f t="shared" si="1766"/>
        <v>0</v>
      </c>
      <c r="Z2304" s="510">
        <f t="shared" si="1767"/>
        <v>0</v>
      </c>
      <c r="AA2304" s="511"/>
      <c r="AB2304" s="511" t="str">
        <f t="shared" si="1768"/>
        <v/>
      </c>
      <c r="AC2304" s="698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698"/>
      <c r="AE2304" s="631" t="str">
        <f t="shared" si="1769"/>
        <v/>
      </c>
      <c r="AF2304" s="699" t="str">
        <f t="shared" si="1770"/>
        <v/>
      </c>
      <c r="AG2304" s="699"/>
      <c r="AH2304" s="699"/>
      <c r="AI2304" s="512">
        <f>IF(H2304="credit",0,IF(AE2304="free",0,IF(AE2304="me",0,IF(G2304&gt;0,(VLOOKUP(A2304,'Discount Lookup'!J:K,2)*G2304),0))))</f>
        <v>0</v>
      </c>
      <c r="AJ2304" s="513" t="str">
        <f t="shared" ca="1" si="1771"/>
        <v/>
      </c>
      <c r="AK2304" s="700" t="str">
        <f t="shared" si="1772"/>
        <v/>
      </c>
      <c r="AL2304" s="700"/>
      <c r="AM2304" s="505" t="str">
        <f t="shared" si="1773"/>
        <v/>
      </c>
      <c r="AN2304" s="506"/>
      <c r="AO2304" s="507"/>
      <c r="AP2304" s="507"/>
      <c r="AQ2304" s="507"/>
      <c r="AR2304" s="507"/>
      <c r="AS2304" s="507"/>
      <c r="AT2304" s="507"/>
      <c r="AU2304" s="507"/>
      <c r="AV2304" s="225"/>
      <c r="AW2304" s="508"/>
      <c r="AX2304" s="225"/>
      <c r="AY2304" s="225"/>
      <c r="AZ2304" s="225"/>
      <c r="BA2304" s="225"/>
      <c r="BB2304" s="225"/>
      <c r="BC2304" s="56"/>
      <c r="BD2304" s="56"/>
      <c r="BE2304" s="56"/>
      <c r="BF2304" s="107" t="str">
        <f t="shared" si="1774"/>
        <v>https://www.google.com/search?tbm=isch&amp;q=Little%20Volcano%20is%20a%20non-invasive%2C%20late-blooming%20shrub%20with%20cascading%20stems%20and%20vibrant%20pea-like%20flowers.%20Green%20foliage%20turns%20Yellow-Gold%20in%20fall%20</v>
      </c>
      <c r="BG2304" s="107" t="str">
        <f t="shared" si="1775"/>
        <v>L</v>
      </c>
      <c r="BH2304" s="254"/>
      <c r="BI2304" s="254"/>
    </row>
    <row r="2305" spans="1:61" customFormat="1" ht="18" x14ac:dyDescent="0.25">
      <c r="A2305" s="523" t="s">
        <v>1283</v>
      </c>
      <c r="B2305" s="235"/>
      <c r="C2305" s="676"/>
      <c r="D2305" s="255" t="s">
        <v>1284</v>
      </c>
      <c r="E2305" s="236"/>
      <c r="F2305" s="236"/>
      <c r="G2305" s="236"/>
      <c r="H2305" s="582" t="s">
        <v>1368</v>
      </c>
      <c r="I2305" s="498" t="s">
        <v>1933</v>
      </c>
      <c r="J2305" s="237"/>
      <c r="K2305" s="237"/>
      <c r="L2305" s="274"/>
      <c r="M2305" s="668" t="s">
        <v>4962</v>
      </c>
      <c r="N2305" s="681" t="str">
        <f>IF(AND(ISTEXT($A2305), ISERROR($A2305+0)), HYPERLINK($BF2305, "Images"), "")</f>
        <v>Images</v>
      </c>
      <c r="O2305" s="663" t="s">
        <v>4967</v>
      </c>
      <c r="P2305" s="253"/>
      <c r="Q2305" s="238"/>
      <c r="R2305" s="239"/>
      <c r="S2305" s="275" t="s">
        <v>305</v>
      </c>
      <c r="T2305" s="508">
        <f t="shared" si="1763"/>
        <v>0</v>
      </c>
      <c r="U2305" s="225" t="str">
        <f>IF(NOT(ISNUMBER(G2305)), "", VLOOKUP(A2305,'Discount Lookup'!D:E,2,FALSE)*G2305)</f>
        <v/>
      </c>
      <c r="V2305" s="225" t="str">
        <f>IF(NOT(ISNUMBER(G2305)), "", VLOOKUP(A2305,'Discount Lookup'!G:H,2,FALSE)*G2305)</f>
        <v/>
      </c>
      <c r="W2305" s="508">
        <f t="shared" si="1764"/>
        <v>0</v>
      </c>
      <c r="X2305" s="508" t="str">
        <f t="shared" si="1765"/>
        <v>Yellow bloom with Orange band</v>
      </c>
      <c r="Y2305" s="509" t="b">
        <f t="shared" si="1766"/>
        <v>0</v>
      </c>
      <c r="Z2305" s="510">
        <f t="shared" si="1767"/>
        <v>0</v>
      </c>
      <c r="AA2305" s="511"/>
      <c r="AB2305" s="511" t="str">
        <f t="shared" si="1768"/>
        <v/>
      </c>
      <c r="AC2305" s="698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698"/>
      <c r="AE2305" s="631" t="str">
        <f t="shared" si="1769"/>
        <v/>
      </c>
      <c r="AF2305" s="699" t="str">
        <f t="shared" si="1770"/>
        <v/>
      </c>
      <c r="AG2305" s="699"/>
      <c r="AH2305" s="699"/>
      <c r="AI2305" s="512">
        <f>IF(H2305="credit",0,IF(AE2305="free",0,IF(AE2305="me",0,IF(G2305&gt;0,(VLOOKUP(A2305,'Discount Lookup'!J:K,2)*G2305),0))))</f>
        <v>0</v>
      </c>
      <c r="AJ2305" s="513" t="str">
        <f t="shared" ca="1" si="1771"/>
        <v/>
      </c>
      <c r="AK2305" s="700" t="str">
        <f t="shared" si="1772"/>
        <v/>
      </c>
      <c r="AL2305" s="700"/>
      <c r="AM2305" s="505" t="str">
        <f t="shared" si="1773"/>
        <v/>
      </c>
      <c r="AN2305" s="506"/>
      <c r="AO2305" s="507"/>
      <c r="AP2305" s="507"/>
      <c r="AQ2305" s="507"/>
      <c r="AR2305" s="507"/>
      <c r="AS2305" s="507"/>
      <c r="AT2305" s="507"/>
      <c r="AU2305" s="507"/>
      <c r="AV2305" s="225"/>
      <c r="AW2305" s="508"/>
      <c r="AX2305" s="225"/>
      <c r="AY2305" s="225"/>
      <c r="AZ2305" s="225"/>
      <c r="BA2305" s="225"/>
      <c r="BB2305" s="225"/>
      <c r="BC2305" s="56"/>
      <c r="BD2305" s="56"/>
      <c r="BE2305" s="56"/>
      <c r="BF2305" s="107" t="str">
        <f t="shared" si="1774"/>
        <v>https://www.google.com/search?tbm=isch&amp;q=Little%20Volunteer%20Tulip%20Tree%20Liriodendron%20tulipfera%20%27Little%20Volunteer%27%20PP%2319581</v>
      </c>
      <c r="BG2305" s="107" t="str">
        <f t="shared" si="1775"/>
        <v>L</v>
      </c>
      <c r="BH2305" s="254"/>
      <c r="BI2305" s="254"/>
    </row>
    <row r="2306" spans="1:61" customFormat="1" ht="15.75" x14ac:dyDescent="0.25">
      <c r="A2306" s="276">
        <v>7</v>
      </c>
      <c r="B2306" s="240" t="s">
        <v>291</v>
      </c>
      <c r="C2306" s="241" t="s">
        <v>3627</v>
      </c>
      <c r="D2306" s="242" t="s">
        <v>292</v>
      </c>
      <c r="E2306" s="243">
        <v>132.94999999999999</v>
      </c>
      <c r="F2306" s="517" t="s">
        <v>293</v>
      </c>
      <c r="G2306" s="232">
        <v>0</v>
      </c>
      <c r="H2306" s="661" t="str">
        <f>IF(G2306=0,"",IF(F2306="Buy",IF(G2306=1,"plant","plants"),IF(F2306&gt;0.01,"warranty","Error")))</f>
        <v/>
      </c>
      <c r="I2306" s="244">
        <f>IF(H2306="free",0,IF(H2306="credit",((E2306*(F2306))*G2306*-1),IF(F2306="Buy",(E2306*G2306),((E2306*(1-F2306))*G2306))))</f>
        <v>0</v>
      </c>
      <c r="J2306" s="244">
        <f>IF(H2306="warranty",0,(I2306*(_xlfn.SINGLE(SalesTaxPercentage))))</f>
        <v>0</v>
      </c>
      <c r="K2306" s="696">
        <f t="shared" ref="K2306" si="1805">I2306+J2306</f>
        <v>0</v>
      </c>
      <c r="L2306" s="696"/>
      <c r="M2306" s="659" t="str">
        <f>IF(AND(G2306&gt;0,E2306=0),"WARNING - no PRICE inserted",IF(H2306="free"," FREE ~ no charge this plant",IF(H2306="credit",CONCATENATE(" -$",ROUND(K2306*(1-T2GDiscount)*-1,2)," CREDIT after discount"),IF(T2GDiscount=0,"",IF(G2306=0,"",IF(F2306="Buy",CONCATENATE(" $",ROUND(K2306*(1-T2GDiscount),2)," with ",(T2GDiscount*100),"% discount"),CONCATENATE(" $",ROUND(K2306*(1-T2GDiscount),2)," with ",((T2GDiscount*100+F2306*100)-(T2GDiscount*100*F2306)),IF(F2306&gt;0,"% discounts",IF(NoWarrantyDiscount&gt;0,"% discounts","% discount")))))))))</f>
        <v/>
      </c>
      <c r="N2306" s="660"/>
      <c r="O2306" s="233"/>
      <c r="P2306" s="233"/>
      <c r="Q2306" s="233"/>
      <c r="R2306" s="233"/>
      <c r="S2306" s="233"/>
      <c r="T2306" s="508">
        <f t="shared" si="1763"/>
        <v>0</v>
      </c>
      <c r="U2306" s="225">
        <f>IF(NOT(ISNUMBER(G2306)), "", VLOOKUP(A2306,'Discount Lookup'!D:E,2,FALSE)*G2306)</f>
        <v>0</v>
      </c>
      <c r="V2306" s="225">
        <f>IF(NOT(ISNUMBER(G2306)), "", VLOOKUP(A2306,'Discount Lookup'!G:H,2,FALSE)*G2306)</f>
        <v>0</v>
      </c>
      <c r="W2306" s="508">
        <f t="shared" si="1764"/>
        <v>0</v>
      </c>
      <c r="X2306" s="508">
        <f t="shared" si="1765"/>
        <v>0</v>
      </c>
      <c r="Y2306" s="509" t="b">
        <f t="shared" si="1766"/>
        <v>0</v>
      </c>
      <c r="Z2306" s="510">
        <f t="shared" si="1767"/>
        <v>0</v>
      </c>
      <c r="AA2306" s="511"/>
      <c r="AB2306" s="511" t="str">
        <f t="shared" si="1768"/>
        <v/>
      </c>
      <c r="AC2306" s="698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698"/>
      <c r="AE2306" s="631" t="str">
        <f t="shared" si="1769"/>
        <v/>
      </c>
      <c r="AF2306" s="699" t="str">
        <f t="shared" si="1770"/>
        <v/>
      </c>
      <c r="AG2306" s="699"/>
      <c r="AH2306" s="699"/>
      <c r="AI2306" s="512">
        <f>IF(H2306="credit",0,IF(AE2306="free",0,IF(AE2306="me",0,IF(G2306&gt;0,(VLOOKUP(A2306,'Discount Lookup'!J:K,2)*G2306),0))))</f>
        <v>0</v>
      </c>
      <c r="AJ2306" s="513" t="str">
        <f t="shared" ca="1" si="1771"/>
        <v/>
      </c>
      <c r="AK2306" s="700" t="str">
        <f t="shared" si="1772"/>
        <v/>
      </c>
      <c r="AL2306" s="700"/>
      <c r="AM2306" s="505" t="str">
        <f t="shared" si="1773"/>
        <v/>
      </c>
      <c r="AN2306" s="506"/>
      <c r="AO2306" s="507"/>
      <c r="AP2306" s="507"/>
      <c r="AQ2306" s="507"/>
      <c r="AR2306" s="507"/>
      <c r="AS2306" s="507"/>
      <c r="AT2306" s="507"/>
      <c r="AU2306" s="507"/>
      <c r="AV2306" s="225"/>
      <c r="AW2306" s="508"/>
      <c r="AX2306" s="225"/>
      <c r="AY2306" s="225"/>
      <c r="AZ2306" s="225"/>
      <c r="BA2306" s="225"/>
      <c r="BB2306" s="225"/>
      <c r="BC2306" s="56"/>
      <c r="BD2306" s="56"/>
      <c r="BE2306" s="56"/>
      <c r="BF2306" s="107" t="str">
        <f t="shared" si="1774"/>
        <v>https://www.google.com/search?tbm=isch&amp;q=7%20G4</v>
      </c>
      <c r="BG2306" s="107" t="str">
        <f t="shared" si="1775"/>
        <v>L</v>
      </c>
      <c r="BH2306" s="254"/>
      <c r="BI2306" s="254"/>
    </row>
    <row r="2307" spans="1:61" customFormat="1" ht="15.75" x14ac:dyDescent="0.25">
      <c r="A2307" s="276">
        <v>15</v>
      </c>
      <c r="B2307" s="240" t="s">
        <v>291</v>
      </c>
      <c r="C2307" s="241" t="s">
        <v>3628</v>
      </c>
      <c r="D2307" s="242" t="s">
        <v>292</v>
      </c>
      <c r="E2307" s="243">
        <v>215.95</v>
      </c>
      <c r="F2307" s="517" t="s">
        <v>293</v>
      </c>
      <c r="G2307" s="232">
        <v>0</v>
      </c>
      <c r="H2307" s="661" t="str">
        <f>IF(G2307=0,"",IF(F2307="Buy",IF(G2307=1,"plant","plants"),IF(F2307&gt;0.01,"warranty","Error")))</f>
        <v/>
      </c>
      <c r="I2307" s="244">
        <f>IF(H2307="free",0,IF(H2307="credit",((E2307*(F2307))*G2307*-1),IF(F2307="Buy",(E2307*G2307),((E2307*(1-F2307))*G2307))))</f>
        <v>0</v>
      </c>
      <c r="J2307" s="244">
        <f>IF(H2307="warranty",0,(I2307*(_xlfn.SINGLE(SalesTaxPercentage))))</f>
        <v>0</v>
      </c>
      <c r="K2307" s="696">
        <f t="shared" ref="K2307" si="1806">I2307+J2307</f>
        <v>0</v>
      </c>
      <c r="L2307" s="696"/>
      <c r="M2307" s="659" t="str">
        <f>IF(AND(G2307&gt;0,E2307=0),"WARNING - no PRICE inserted",IF(H2307="free"," FREE ~ no charge this plant",IF(H2307="credit",CONCATENATE(" -$",ROUND(K2307*(1-T2GDiscount)*-1,2)," CREDIT after discount"),IF(T2GDiscount=0,"",IF(G2307=0,"",IF(F2307="Buy",CONCATENATE(" $",ROUND(K2307*(1-T2GDiscount),2)," with ",(T2GDiscount*100),"% discount"),CONCATENATE(" $",ROUND(K2307*(1-T2GDiscount),2)," with ",((T2GDiscount*100+F2307*100)-(T2GDiscount*100*F2307)),IF(F2307&gt;0,"% discounts",IF(NoWarrantyDiscount&gt;0,"% discounts","% discount")))))))))</f>
        <v/>
      </c>
      <c r="N2307" s="660"/>
      <c r="O2307" s="233"/>
      <c r="P2307" s="233"/>
      <c r="Q2307" s="233"/>
      <c r="R2307" s="233"/>
      <c r="S2307" s="233"/>
      <c r="T2307" s="508">
        <f t="shared" si="1763"/>
        <v>0</v>
      </c>
      <c r="U2307" s="225">
        <f>IF(NOT(ISNUMBER(G2307)), "", VLOOKUP(A2307,'Discount Lookup'!D:E,2,FALSE)*G2307)</f>
        <v>0</v>
      </c>
      <c r="V2307" s="225">
        <f>IF(NOT(ISNUMBER(G2307)), "", VLOOKUP(A2307,'Discount Lookup'!G:H,2,FALSE)*G2307)</f>
        <v>0</v>
      </c>
      <c r="W2307" s="508">
        <f t="shared" si="1764"/>
        <v>0</v>
      </c>
      <c r="X2307" s="508">
        <f t="shared" si="1765"/>
        <v>0</v>
      </c>
      <c r="Y2307" s="509" t="b">
        <f t="shared" si="1766"/>
        <v>0</v>
      </c>
      <c r="Z2307" s="510">
        <f t="shared" si="1767"/>
        <v>0</v>
      </c>
      <c r="AA2307" s="511"/>
      <c r="AB2307" s="511" t="str">
        <f t="shared" si="1768"/>
        <v/>
      </c>
      <c r="AC2307" s="698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698"/>
      <c r="AE2307" s="631" t="str">
        <f t="shared" si="1769"/>
        <v/>
      </c>
      <c r="AF2307" s="699" t="str">
        <f t="shared" si="1770"/>
        <v/>
      </c>
      <c r="AG2307" s="699"/>
      <c r="AH2307" s="699"/>
      <c r="AI2307" s="512">
        <f>IF(H2307="credit",0,IF(AE2307="free",0,IF(AE2307="me",0,IF(G2307&gt;0,(VLOOKUP(A2307,'Discount Lookup'!J:K,2)*G2307),0))))</f>
        <v>0</v>
      </c>
      <c r="AJ2307" s="513" t="str">
        <f t="shared" ca="1" si="1771"/>
        <v/>
      </c>
      <c r="AK2307" s="700" t="str">
        <f t="shared" si="1772"/>
        <v/>
      </c>
      <c r="AL2307" s="700"/>
      <c r="AM2307" s="505" t="str">
        <f t="shared" si="1773"/>
        <v/>
      </c>
      <c r="AN2307" s="506"/>
      <c r="AO2307" s="507"/>
      <c r="AP2307" s="507"/>
      <c r="AQ2307" s="507"/>
      <c r="AR2307" s="507"/>
      <c r="AS2307" s="507"/>
      <c r="AT2307" s="507"/>
      <c r="AU2307" s="507"/>
      <c r="AV2307" s="225"/>
      <c r="AW2307" s="508"/>
      <c r="AX2307" s="225"/>
      <c r="AY2307" s="225"/>
      <c r="AZ2307" s="225"/>
      <c r="BA2307" s="225"/>
      <c r="BB2307" s="225"/>
      <c r="BC2307" s="56"/>
      <c r="BD2307" s="56"/>
      <c r="BE2307" s="56"/>
      <c r="BF2307" s="107" t="str">
        <f t="shared" si="1774"/>
        <v>https://www.google.com/search?tbm=isch&amp;q=15%20G4</v>
      </c>
      <c r="BG2307" s="107" t="str">
        <f t="shared" si="1775"/>
        <v>L</v>
      </c>
      <c r="BH2307" s="254"/>
      <c r="BI2307" s="254"/>
    </row>
    <row r="2308" spans="1:61" customFormat="1" ht="17.25" thickBot="1" x14ac:dyDescent="0.3">
      <c r="A2308" s="673" t="s">
        <v>5167</v>
      </c>
      <c r="B2308" s="245"/>
      <c r="C2308" s="677"/>
      <c r="D2308" s="499"/>
      <c r="E2308" s="499"/>
      <c r="F2308" s="500"/>
      <c r="G2308" s="501"/>
      <c r="H2308" s="502"/>
      <c r="I2308" s="246"/>
      <c r="J2308" s="247"/>
      <c r="K2308" s="503"/>
      <c r="L2308" s="544"/>
      <c r="M2308" s="544"/>
      <c r="N2308" s="500"/>
      <c r="O2308" s="500"/>
      <c r="P2308" s="500"/>
      <c r="Q2308" s="500"/>
      <c r="R2308" s="500"/>
      <c r="S2308" s="669" t="s">
        <v>5019</v>
      </c>
      <c r="T2308" s="508">
        <f t="shared" si="1763"/>
        <v>0</v>
      </c>
      <c r="U2308" s="225" t="str">
        <f>IF(NOT(ISNUMBER(G2308)), "", VLOOKUP(A2308,'Discount Lookup'!D:E,2,FALSE)*G2308)</f>
        <v/>
      </c>
      <c r="V2308" s="225" t="str">
        <f>IF(NOT(ISNUMBER(G2308)), "", VLOOKUP(A2308,'Discount Lookup'!G:H,2,FALSE)*G2308)</f>
        <v/>
      </c>
      <c r="W2308" s="508">
        <f t="shared" si="1764"/>
        <v>0</v>
      </c>
      <c r="X2308" s="508">
        <f t="shared" si="1765"/>
        <v>0</v>
      </c>
      <c r="Y2308" s="509" t="b">
        <f t="shared" si="1766"/>
        <v>0</v>
      </c>
      <c r="Z2308" s="510">
        <f t="shared" si="1767"/>
        <v>0</v>
      </c>
      <c r="AA2308" s="511"/>
      <c r="AB2308" s="511" t="str">
        <f t="shared" si="1768"/>
        <v/>
      </c>
      <c r="AC2308" s="698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698"/>
      <c r="AE2308" s="631" t="str">
        <f t="shared" si="1769"/>
        <v/>
      </c>
      <c r="AF2308" s="699" t="str">
        <f t="shared" si="1770"/>
        <v/>
      </c>
      <c r="AG2308" s="699"/>
      <c r="AH2308" s="699"/>
      <c r="AI2308" s="512">
        <f>IF(H2308="credit",0,IF(AE2308="free",0,IF(AE2308="me",0,IF(G2308&gt;0,(VLOOKUP(A2308,'Discount Lookup'!J:K,2)*G2308),0))))</f>
        <v>0</v>
      </c>
      <c r="AJ2308" s="513" t="str">
        <f t="shared" ca="1" si="1771"/>
        <v/>
      </c>
      <c r="AK2308" s="700" t="str">
        <f t="shared" si="1772"/>
        <v/>
      </c>
      <c r="AL2308" s="700"/>
      <c r="AM2308" s="505" t="str">
        <f t="shared" si="1773"/>
        <v/>
      </c>
      <c r="AN2308" s="506"/>
      <c r="AO2308" s="507"/>
      <c r="AP2308" s="507"/>
      <c r="AQ2308" s="507"/>
      <c r="AR2308" s="507"/>
      <c r="AS2308" s="507"/>
      <c r="AT2308" s="507"/>
      <c r="AU2308" s="507"/>
      <c r="AV2308" s="225"/>
      <c r="AW2308" s="508"/>
      <c r="AX2308" s="225"/>
      <c r="AY2308" s="225"/>
      <c r="AZ2308" s="225"/>
      <c r="BA2308" s="225"/>
      <c r="BB2308" s="225"/>
      <c r="BC2308" s="56"/>
      <c r="BD2308" s="56"/>
      <c r="BE2308" s="56"/>
      <c r="BF2308" s="107" t="str">
        <f t="shared" si="1774"/>
        <v>https://www.google.com/search?tbm=isch&amp;q=moist%20sites%F0%9F%92%A7GOOD%2C%20Little%20Volunteer%20bring%20Tulip%20trees%20to%20anyone%27s%20backyard%20with%20it%27s%20smaller%20form.%20Now%20we%20can%20see%20the%20blooms%21%20</v>
      </c>
      <c r="BG2308" s="107" t="str">
        <f t="shared" si="1775"/>
        <v>m</v>
      </c>
      <c r="BH2308" s="254"/>
      <c r="BI2308" s="254"/>
    </row>
    <row r="2309" spans="1:61" customFormat="1" ht="18" x14ac:dyDescent="0.25">
      <c r="A2309" s="523" t="s">
        <v>1285</v>
      </c>
      <c r="B2309" s="235"/>
      <c r="C2309" s="676"/>
      <c r="D2309" s="255" t="s">
        <v>1286</v>
      </c>
      <c r="E2309" s="236"/>
      <c r="F2309" s="236"/>
      <c r="G2309" s="236"/>
      <c r="H2309" s="582" t="s">
        <v>394</v>
      </c>
      <c r="I2309" s="498" t="s">
        <v>3028</v>
      </c>
      <c r="J2309" s="237"/>
      <c r="K2309" s="237"/>
      <c r="L2309" s="274"/>
      <c r="M2309" s="668" t="s">
        <v>4962</v>
      </c>
      <c r="N2309" s="681" t="str">
        <f>IF(AND(ISTEXT($A2309), ISERROR($A2309+0)), HYPERLINK($BF2309, "Images"), "")</f>
        <v>Images</v>
      </c>
      <c r="O2309" s="663" t="s">
        <v>4969</v>
      </c>
      <c r="P2309" s="253"/>
      <c r="Q2309" s="238"/>
      <c r="R2309" s="239"/>
      <c r="S2309" s="275"/>
      <c r="T2309" s="508">
        <f t="shared" si="1763"/>
        <v>0</v>
      </c>
      <c r="U2309" s="225" t="str">
        <f>IF(NOT(ISNUMBER(G2309)), "", VLOOKUP(A2309,'Discount Lookup'!D:E,2,FALSE)*G2309)</f>
        <v/>
      </c>
      <c r="V2309" s="225" t="str">
        <f>IF(NOT(ISNUMBER(G2309)), "", VLOOKUP(A2309,'Discount Lookup'!G:H,2,FALSE)*G2309)</f>
        <v/>
      </c>
      <c r="W2309" s="508">
        <f t="shared" si="1764"/>
        <v>0</v>
      </c>
      <c r="X2309" s="508" t="str">
        <f t="shared" si="1765"/>
        <v>Green blades &amp; Yellow bands</v>
      </c>
      <c r="Y2309" s="509" t="b">
        <f t="shared" si="1766"/>
        <v>0</v>
      </c>
      <c r="Z2309" s="510">
        <f t="shared" si="1767"/>
        <v>0</v>
      </c>
      <c r="AA2309" s="511"/>
      <c r="AB2309" s="511" t="str">
        <f t="shared" si="1768"/>
        <v/>
      </c>
      <c r="AC2309" s="698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698"/>
      <c r="AE2309" s="631" t="str">
        <f t="shared" si="1769"/>
        <v/>
      </c>
      <c r="AF2309" s="699" t="str">
        <f t="shared" si="1770"/>
        <v/>
      </c>
      <c r="AG2309" s="699"/>
      <c r="AH2309" s="699"/>
      <c r="AI2309" s="512">
        <f>IF(H2309="credit",0,IF(AE2309="free",0,IF(AE2309="me",0,IF(G2309&gt;0,(VLOOKUP(A2309,'Discount Lookup'!J:K,2)*G2309),0))))</f>
        <v>0</v>
      </c>
      <c r="AJ2309" s="513" t="str">
        <f t="shared" ca="1" si="1771"/>
        <v/>
      </c>
      <c r="AK2309" s="700" t="str">
        <f t="shared" si="1772"/>
        <v/>
      </c>
      <c r="AL2309" s="700"/>
      <c r="AM2309" s="505" t="str">
        <f t="shared" si="1773"/>
        <v/>
      </c>
      <c r="AN2309" s="506"/>
      <c r="AO2309" s="507"/>
      <c r="AP2309" s="507"/>
      <c r="AQ2309" s="507"/>
      <c r="AR2309" s="507"/>
      <c r="AS2309" s="507"/>
      <c r="AT2309" s="507"/>
      <c r="AU2309" s="507"/>
      <c r="AV2309" s="225"/>
      <c r="AW2309" s="508"/>
      <c r="AX2309" s="225"/>
      <c r="AY2309" s="225"/>
      <c r="AZ2309" s="225"/>
      <c r="BA2309" s="225"/>
      <c r="BB2309" s="225"/>
      <c r="BC2309" s="56"/>
      <c r="BD2309" s="56"/>
      <c r="BE2309" s="56"/>
      <c r="BF2309" s="107" t="str">
        <f t="shared" si="1774"/>
        <v>https://www.google.com/search?tbm=isch&amp;q=Little%20Zebra%20Grass%20Miscanthus%20sinensis%20%27Little%20Zebra%27%20PP%2313008</v>
      </c>
      <c r="BG2309" s="107" t="str">
        <f t="shared" si="1775"/>
        <v>L</v>
      </c>
      <c r="BH2309" s="254"/>
      <c r="BI2309" s="254"/>
    </row>
    <row r="2310" spans="1:61" customFormat="1" ht="15.75" x14ac:dyDescent="0.25">
      <c r="A2310" s="276">
        <v>3</v>
      </c>
      <c r="B2310" s="240" t="s">
        <v>291</v>
      </c>
      <c r="C2310" s="241" t="s">
        <v>4681</v>
      </c>
      <c r="D2310" s="242" t="s">
        <v>312</v>
      </c>
      <c r="E2310" s="243">
        <v>25.95</v>
      </c>
      <c r="F2310" s="517" t="s">
        <v>293</v>
      </c>
      <c r="G2310" s="232">
        <v>0</v>
      </c>
      <c r="H2310" s="661" t="str">
        <f>IF(G2310=0,"",IF(F2310="Buy",IF(G2310=1,"plant","plants"),IF(F2310&gt;0.01,"warranty","Error")))</f>
        <v/>
      </c>
      <c r="I2310" s="244">
        <f>IF(H2310="free",0,IF(H2310="credit",((E2310*(F2310))*G2310*-1),IF(F2310="Buy",(E2310*G2310),((E2310*(1-F2310))*G2310))))</f>
        <v>0</v>
      </c>
      <c r="J2310" s="244">
        <f>IF(H2310="warranty",0,(I2310*(_xlfn.SINGLE(SalesTaxPercentage))))</f>
        <v>0</v>
      </c>
      <c r="K2310" s="696">
        <f t="shared" ref="K2310" si="1807">I2310+J2310</f>
        <v>0</v>
      </c>
      <c r="L2310" s="696"/>
      <c r="M2310" s="659" t="str">
        <f>IF(AND(G2310&gt;0,E2310=0),"WARNING - no PRICE inserted",IF(H2310="free"," FREE ~ no charge this plant",IF(H2310="credit",CONCATENATE(" -$",ROUND(K2310*(1-T2GDiscount)*-1,2)," CREDIT after discount"),IF(T2GDiscount=0,"",IF(G2310=0,"",IF(F2310="Buy",CONCATENATE(" $",ROUND(K2310*(1-T2GDiscount),2)," with ",(T2GDiscount*100),"% discount"),CONCATENATE(" $",ROUND(K2310*(1-T2GDiscount),2)," with ",((T2GDiscount*100+F2310*100)-(T2GDiscount*100*F2310)),IF(F2310&gt;0,"% discounts",IF(NoWarrantyDiscount&gt;0,"% discounts","% discount")))))))))</f>
        <v/>
      </c>
      <c r="N2310" s="660"/>
      <c r="O2310" s="233"/>
      <c r="P2310" s="233"/>
      <c r="Q2310" s="233"/>
      <c r="R2310" s="233"/>
      <c r="S2310" s="233"/>
      <c r="T2310" s="508">
        <f t="shared" si="1763"/>
        <v>0</v>
      </c>
      <c r="U2310" s="225">
        <f>IF(NOT(ISNUMBER(G2310)), "", VLOOKUP(A2310,'Discount Lookup'!D:E,2,FALSE)*G2310)</f>
        <v>0</v>
      </c>
      <c r="V2310" s="225">
        <f>IF(NOT(ISNUMBER(G2310)), "", VLOOKUP(A2310,'Discount Lookup'!G:H,2,FALSE)*G2310)</f>
        <v>0</v>
      </c>
      <c r="W2310" s="508">
        <f t="shared" si="1764"/>
        <v>0</v>
      </c>
      <c r="X2310" s="508">
        <f t="shared" si="1765"/>
        <v>0</v>
      </c>
      <c r="Y2310" s="509" t="b">
        <f t="shared" si="1766"/>
        <v>0</v>
      </c>
      <c r="Z2310" s="510">
        <f t="shared" si="1767"/>
        <v>0</v>
      </c>
      <c r="AA2310" s="511"/>
      <c r="AB2310" s="511" t="str">
        <f t="shared" si="1768"/>
        <v/>
      </c>
      <c r="AC2310" s="698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698"/>
      <c r="AE2310" s="631" t="str">
        <f t="shared" si="1769"/>
        <v/>
      </c>
      <c r="AF2310" s="699" t="str">
        <f t="shared" si="1770"/>
        <v/>
      </c>
      <c r="AG2310" s="699"/>
      <c r="AH2310" s="699"/>
      <c r="AI2310" s="512">
        <f>IF(H2310="credit",0,IF(AE2310="free",0,IF(AE2310="me",0,IF(G2310&gt;0,(VLOOKUP(A2310,'Discount Lookup'!J:K,2)*G2310),0))))</f>
        <v>0</v>
      </c>
      <c r="AJ2310" s="513" t="str">
        <f t="shared" ca="1" si="1771"/>
        <v/>
      </c>
      <c r="AK2310" s="700" t="str">
        <f t="shared" si="1772"/>
        <v/>
      </c>
      <c r="AL2310" s="700"/>
      <c r="AM2310" s="505" t="str">
        <f t="shared" si="1773"/>
        <v/>
      </c>
      <c r="AN2310" s="506"/>
      <c r="AO2310" s="507"/>
      <c r="AP2310" s="507"/>
      <c r="AQ2310" s="507"/>
      <c r="AR2310" s="507"/>
      <c r="AS2310" s="507"/>
      <c r="AT2310" s="507"/>
      <c r="AU2310" s="507"/>
      <c r="AV2310" s="225"/>
      <c r="AW2310" s="508"/>
      <c r="AX2310" s="225"/>
      <c r="AY2310" s="225"/>
      <c r="AZ2310" s="225"/>
      <c r="BA2310" s="225"/>
      <c r="BB2310" s="225"/>
      <c r="BC2310" s="56"/>
      <c r="BD2310" s="56"/>
      <c r="BE2310" s="56"/>
      <c r="BF2310" s="107" t="str">
        <f t="shared" si="1774"/>
        <v>https://www.google.com/search?tbm=isch&amp;q=3%20G2</v>
      </c>
      <c r="BG2310" s="107" t="str">
        <f t="shared" si="1775"/>
        <v>L</v>
      </c>
      <c r="BH2310" s="254"/>
      <c r="BI2310" s="254"/>
    </row>
    <row r="2311" spans="1:61" customFormat="1" ht="15.75" x14ac:dyDescent="0.25">
      <c r="A2311" s="276">
        <v>3</v>
      </c>
      <c r="B2311" s="240" t="s">
        <v>291</v>
      </c>
      <c r="C2311" s="241"/>
      <c r="D2311" s="242" t="s">
        <v>312</v>
      </c>
      <c r="E2311" s="243">
        <v>25.95</v>
      </c>
      <c r="F2311" s="517" t="s">
        <v>293</v>
      </c>
      <c r="G2311" s="232">
        <v>0</v>
      </c>
      <c r="H2311" s="661" t="str">
        <f>IF(G2311=0,"",IF(F2311="Buy",IF(G2311=1,"plant","plants"),IF(F2311&gt;0.01,"warranty","Error")))</f>
        <v/>
      </c>
      <c r="I2311" s="244">
        <f>IF(H2311="free",0,IF(H2311="credit",((E2311*(F2311))*G2311*-1),IF(F2311="Buy",(E2311*G2311),((E2311*(1-F2311))*G2311))))</f>
        <v>0</v>
      </c>
      <c r="J2311" s="244">
        <f>IF(H2311="warranty",0,(I2311*(_xlfn.SINGLE(SalesTaxPercentage))))</f>
        <v>0</v>
      </c>
      <c r="K2311" s="696">
        <f t="shared" ref="K2311" si="1808">I2311+J2311</f>
        <v>0</v>
      </c>
      <c r="L2311" s="696"/>
      <c r="M2311" s="659" t="str">
        <f>IF(AND(G2311&gt;0,E2311=0),"WARNING - no PRICE inserted",IF(H2311="free"," FREE ~ no charge this plant",IF(H2311="credit",CONCATENATE(" -$",ROUND(K2311*(1-T2GDiscount)*-1,2)," CREDIT after discount"),IF(T2GDiscount=0,"",IF(G2311=0,"",IF(F2311="Buy",CONCATENATE(" $",ROUND(K2311*(1-T2GDiscount),2)," with ",(T2GDiscount*100),"% discount"),CONCATENATE(" $",ROUND(K2311*(1-T2GDiscount),2)," with ",((T2GDiscount*100+F2311*100)-(T2GDiscount*100*F2311)),IF(F2311&gt;0,"% discounts",IF(NoWarrantyDiscount&gt;0,"% discounts","% discount")))))))))</f>
        <v/>
      </c>
      <c r="N2311" s="660"/>
      <c r="O2311" s="233"/>
      <c r="P2311" s="233"/>
      <c r="Q2311" s="233"/>
      <c r="R2311" s="233"/>
      <c r="S2311" s="233"/>
      <c r="T2311" s="508">
        <f t="shared" si="1763"/>
        <v>0</v>
      </c>
      <c r="U2311" s="225">
        <f>IF(NOT(ISNUMBER(G2311)), "", VLOOKUP(A2311,'Discount Lookup'!D:E,2,FALSE)*G2311)</f>
        <v>0</v>
      </c>
      <c r="V2311" s="225">
        <f>IF(NOT(ISNUMBER(G2311)), "", VLOOKUP(A2311,'Discount Lookup'!G:H,2,FALSE)*G2311)</f>
        <v>0</v>
      </c>
      <c r="W2311" s="508">
        <f t="shared" si="1764"/>
        <v>0</v>
      </c>
      <c r="X2311" s="508">
        <f t="shared" si="1765"/>
        <v>0</v>
      </c>
      <c r="Y2311" s="509" t="b">
        <f t="shared" si="1766"/>
        <v>0</v>
      </c>
      <c r="Z2311" s="510">
        <f t="shared" si="1767"/>
        <v>0</v>
      </c>
      <c r="AA2311" s="511"/>
      <c r="AB2311" s="511" t="str">
        <f t="shared" si="1768"/>
        <v/>
      </c>
      <c r="AC2311" s="698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698"/>
      <c r="AE2311" s="631" t="str">
        <f t="shared" si="1769"/>
        <v/>
      </c>
      <c r="AF2311" s="699" t="str">
        <f t="shared" si="1770"/>
        <v/>
      </c>
      <c r="AG2311" s="699"/>
      <c r="AH2311" s="699"/>
      <c r="AI2311" s="512">
        <f>IF(H2311="credit",0,IF(AE2311="free",0,IF(AE2311="me",0,IF(G2311&gt;0,(VLOOKUP(A2311,'Discount Lookup'!J:K,2)*G2311),0))))</f>
        <v>0</v>
      </c>
      <c r="AJ2311" s="513" t="str">
        <f t="shared" ca="1" si="1771"/>
        <v/>
      </c>
      <c r="AK2311" s="700" t="str">
        <f t="shared" si="1772"/>
        <v/>
      </c>
      <c r="AL2311" s="700"/>
      <c r="AM2311" s="505" t="str">
        <f t="shared" si="1773"/>
        <v/>
      </c>
      <c r="AN2311" s="506"/>
      <c r="AO2311" s="507"/>
      <c r="AP2311" s="507"/>
      <c r="AQ2311" s="507"/>
      <c r="AR2311" s="507"/>
      <c r="AS2311" s="507"/>
      <c r="AT2311" s="507"/>
      <c r="AU2311" s="507"/>
      <c r="AV2311" s="225"/>
      <c r="AW2311" s="508"/>
      <c r="AX2311" s="225"/>
      <c r="AY2311" s="225"/>
      <c r="AZ2311" s="225"/>
      <c r="BA2311" s="225"/>
      <c r="BB2311" s="225"/>
      <c r="BC2311" s="56"/>
      <c r="BD2311" s="56"/>
      <c r="BE2311" s="56"/>
      <c r="BF2311" s="107" t="str">
        <f t="shared" si="1774"/>
        <v>https://www.google.com/search?tbm=isch&amp;q=3%20G2</v>
      </c>
      <c r="BG2311" s="107" t="str">
        <f t="shared" si="1775"/>
        <v>L</v>
      </c>
      <c r="BH2311" s="254"/>
      <c r="BI2311" s="254"/>
    </row>
    <row r="2312" spans="1:61" customFormat="1" ht="17.25" thickBot="1" x14ac:dyDescent="0.3">
      <c r="A2312" s="524" t="s">
        <v>3029</v>
      </c>
      <c r="B2312" s="245"/>
      <c r="C2312" s="677"/>
      <c r="D2312" s="499"/>
      <c r="E2312" s="499"/>
      <c r="F2312" s="500"/>
      <c r="G2312" s="501"/>
      <c r="H2312" s="502"/>
      <c r="I2312" s="246"/>
      <c r="J2312" s="247"/>
      <c r="K2312" s="503"/>
      <c r="L2312" s="544"/>
      <c r="M2312" s="544"/>
      <c r="N2312" s="500"/>
      <c r="O2312" s="500"/>
      <c r="P2312" s="500"/>
      <c r="Q2312" s="500"/>
      <c r="R2312" s="500"/>
      <c r="S2312" s="669" t="s">
        <v>4991</v>
      </c>
      <c r="T2312" s="508">
        <f t="shared" si="1763"/>
        <v>0</v>
      </c>
      <c r="U2312" s="225" t="str">
        <f>IF(NOT(ISNUMBER(G2312)), "", VLOOKUP(A2312,'Discount Lookup'!D:E,2,FALSE)*G2312)</f>
        <v/>
      </c>
      <c r="V2312" s="225" t="str">
        <f>IF(NOT(ISNUMBER(G2312)), "", VLOOKUP(A2312,'Discount Lookup'!G:H,2,FALSE)*G2312)</f>
        <v/>
      </c>
      <c r="W2312" s="508">
        <f t="shared" si="1764"/>
        <v>0</v>
      </c>
      <c r="X2312" s="508">
        <f t="shared" si="1765"/>
        <v>0</v>
      </c>
      <c r="Y2312" s="509" t="b">
        <f t="shared" si="1766"/>
        <v>0</v>
      </c>
      <c r="Z2312" s="510">
        <f t="shared" si="1767"/>
        <v>0</v>
      </c>
      <c r="AA2312" s="511"/>
      <c r="AB2312" s="511" t="str">
        <f t="shared" si="1768"/>
        <v/>
      </c>
      <c r="AC2312" s="698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698"/>
      <c r="AE2312" s="631" t="str">
        <f t="shared" si="1769"/>
        <v/>
      </c>
      <c r="AF2312" s="699" t="str">
        <f t="shared" si="1770"/>
        <v/>
      </c>
      <c r="AG2312" s="699"/>
      <c r="AH2312" s="699"/>
      <c r="AI2312" s="512">
        <f>IF(H2312="credit",0,IF(AE2312="free",0,IF(AE2312="me",0,IF(G2312&gt;0,(VLOOKUP(A2312,'Discount Lookup'!J:K,2)*G2312),0))))</f>
        <v>0</v>
      </c>
      <c r="AJ2312" s="513" t="str">
        <f t="shared" ca="1" si="1771"/>
        <v/>
      </c>
      <c r="AK2312" s="700" t="str">
        <f t="shared" si="1772"/>
        <v/>
      </c>
      <c r="AL2312" s="700"/>
      <c r="AM2312" s="505" t="str">
        <f t="shared" si="1773"/>
        <v/>
      </c>
      <c r="AN2312" s="506"/>
      <c r="AO2312" s="507"/>
      <c r="AP2312" s="507"/>
      <c r="AQ2312" s="507"/>
      <c r="AR2312" s="507"/>
      <c r="AS2312" s="507"/>
      <c r="AT2312" s="507"/>
      <c r="AU2312" s="507"/>
      <c r="AV2312" s="225"/>
      <c r="AW2312" s="508"/>
      <c r="AX2312" s="225"/>
      <c r="AY2312" s="225"/>
      <c r="AZ2312" s="225"/>
      <c r="BA2312" s="225"/>
      <c r="BB2312" s="225"/>
      <c r="BC2312" s="56"/>
      <c r="BD2312" s="56"/>
      <c r="BE2312" s="56"/>
      <c r="BF2312" s="107" t="str">
        <f t="shared" si="1774"/>
        <v>https://www.google.com/search?tbm=isch&amp;q=Little%20Zebra%20named%20for%20it%27s%20zebra-like%20foliage.%20Reddish-Purple%20plumes%20fade%20to%20a%20Creamy-Tan%20in%20winter%20</v>
      </c>
      <c r="BG2312" s="107" t="str">
        <f t="shared" si="1775"/>
        <v>L</v>
      </c>
      <c r="BH2312" s="254"/>
      <c r="BI2312" s="254"/>
    </row>
    <row r="2313" spans="1:61" customFormat="1" ht="18" x14ac:dyDescent="0.25">
      <c r="A2313" s="521" t="s">
        <v>1287</v>
      </c>
      <c r="B2313" s="477"/>
      <c r="C2313" s="674"/>
      <c r="D2313" s="478" t="s">
        <v>1288</v>
      </c>
      <c r="E2313" s="479"/>
      <c r="F2313" s="479"/>
      <c r="G2313" s="479"/>
      <c r="H2313" s="582" t="s">
        <v>1044</v>
      </c>
      <c r="I2313" s="480" t="s">
        <v>2228</v>
      </c>
      <c r="J2313" s="479"/>
      <c r="K2313" s="479"/>
      <c r="L2313" s="560"/>
      <c r="M2313" s="666" t="s">
        <v>4963</v>
      </c>
      <c r="N2313" s="680" t="str">
        <f>IF(AND(ISTEXT($A2313), ISERROR($A2313+0)), HYPERLINK($BF2313, "Images"), "")</f>
        <v>Images</v>
      </c>
      <c r="O2313" s="662" t="s">
        <v>4967</v>
      </c>
      <c r="P2313" s="482"/>
      <c r="Q2313" s="483"/>
      <c r="R2313" s="483"/>
      <c r="S2313" s="484" t="s">
        <v>305</v>
      </c>
      <c r="T2313" s="508">
        <f t="shared" si="1763"/>
        <v>0</v>
      </c>
      <c r="U2313" s="225" t="str">
        <f>IF(NOT(ISNUMBER(G2313)), "", VLOOKUP(A2313,'Discount Lookup'!D:E,2,FALSE)*G2313)</f>
        <v/>
      </c>
      <c r="V2313" s="225" t="str">
        <f>IF(NOT(ISNUMBER(G2313)), "", VLOOKUP(A2313,'Discount Lookup'!G:H,2,FALSE)*G2313)</f>
        <v/>
      </c>
      <c r="W2313" s="508">
        <f t="shared" si="1764"/>
        <v>0</v>
      </c>
      <c r="X2313" s="508" t="str">
        <f t="shared" si="1765"/>
        <v>Green needles</v>
      </c>
      <c r="Y2313" s="509" t="b">
        <f t="shared" si="1766"/>
        <v>0</v>
      </c>
      <c r="Z2313" s="510">
        <f t="shared" si="1767"/>
        <v>0</v>
      </c>
      <c r="AA2313" s="511"/>
      <c r="AB2313" s="511" t="str">
        <f t="shared" si="1768"/>
        <v/>
      </c>
      <c r="AC2313" s="698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698"/>
      <c r="AE2313" s="631" t="str">
        <f t="shared" si="1769"/>
        <v/>
      </c>
      <c r="AF2313" s="699" t="str">
        <f t="shared" si="1770"/>
        <v/>
      </c>
      <c r="AG2313" s="699"/>
      <c r="AH2313" s="699"/>
      <c r="AI2313" s="512">
        <f>IF(H2313="credit",0,IF(AE2313="free",0,IF(AE2313="me",0,IF(G2313&gt;0,(VLOOKUP(A2313,'Discount Lookup'!J:K,2)*G2313),0))))</f>
        <v>0</v>
      </c>
      <c r="AJ2313" s="513" t="str">
        <f t="shared" ca="1" si="1771"/>
        <v/>
      </c>
      <c r="AK2313" s="700" t="str">
        <f t="shared" si="1772"/>
        <v/>
      </c>
      <c r="AL2313" s="700"/>
      <c r="AM2313" s="505" t="str">
        <f t="shared" si="1773"/>
        <v/>
      </c>
      <c r="AN2313" s="506"/>
      <c r="AO2313" s="507"/>
      <c r="AP2313" s="507"/>
      <c r="AQ2313" s="507"/>
      <c r="AR2313" s="507"/>
      <c r="AS2313" s="507"/>
      <c r="AT2313" s="507"/>
      <c r="AU2313" s="507"/>
      <c r="AV2313" s="225"/>
      <c r="AW2313" s="508"/>
      <c r="AX2313" s="225"/>
      <c r="AY2313" s="225"/>
      <c r="AZ2313" s="225"/>
      <c r="BA2313" s="225"/>
      <c r="BB2313" s="225"/>
      <c r="BC2313" s="56"/>
      <c r="BD2313" s="56"/>
      <c r="BE2313" s="56"/>
      <c r="BF2313" s="107" t="str">
        <f t="shared" si="1774"/>
        <v>https://www.google.com/search?tbm=isch&amp;q=Loblolly%20Pine%20Pinus%20taeda</v>
      </c>
      <c r="BG2313" s="107" t="str">
        <f t="shared" si="1775"/>
        <v>L</v>
      </c>
      <c r="BH2313" s="254"/>
      <c r="BI2313" s="254"/>
    </row>
    <row r="2314" spans="1:61" customFormat="1" ht="15.75" x14ac:dyDescent="0.25">
      <c r="A2314" s="485">
        <v>3</v>
      </c>
      <c r="B2314" s="486" t="s">
        <v>291</v>
      </c>
      <c r="C2314" s="487" t="s">
        <v>4528</v>
      </c>
      <c r="D2314" s="488" t="s">
        <v>299</v>
      </c>
      <c r="E2314" s="489">
        <v>33.950000000000003</v>
      </c>
      <c r="F2314" s="516" t="s">
        <v>293</v>
      </c>
      <c r="G2314" s="232">
        <v>0</v>
      </c>
      <c r="H2314" s="658" t="str">
        <f>IF(G2314=0,"",IF(F2314="Buy",IF(G2314=1,"plant","plants"),IF(F2314&gt;0.01,"warranty","Error")))</f>
        <v/>
      </c>
      <c r="I2314" s="490">
        <f>IF(H2314="free",0,IF(H2314="credit",((E2314*(F2314))*G2314*-1),IF(F2314="Buy",(E2314*G2314),((E2314*(1-F2314))*G2314))))</f>
        <v>0</v>
      </c>
      <c r="J2314" s="490">
        <f>IF(H2314="warranty",0,(I2314*(_xlfn.SINGLE(SalesTaxPercentage))))</f>
        <v>0</v>
      </c>
      <c r="K2314" s="695">
        <f t="shared" ref="K2314" si="1809">I2314+J2314</f>
        <v>0</v>
      </c>
      <c r="L2314" s="695"/>
      <c r="M2314" s="659" t="str">
        <f>IF(AND(G2314&gt;0,E2314=0),"WARNING - no PRICE inserted",IF(H2314="free"," FREE ~ no charge this plant",IF(H2314="credit",CONCATENATE(" -$",ROUND(K2314*(1-T2GDiscount)*-1,2)," CREDIT after discount"),IF(T2GDiscount=0,"",IF(G2314=0,"",IF(F2314="Buy",CONCATENATE(" $",ROUND(K2314*(1-T2GDiscount),2)," with ",(T2GDiscount*100),"% discount"),CONCATENATE(" $",ROUND(K2314*(1-T2GDiscount),2)," with ",((T2GDiscount*100+F2314*100)-(T2GDiscount*100*F2314)),IF(F2314&gt;0,"% discounts",IF(NoWarrantyDiscount&gt;0,"% discounts","% discount")))))))))</f>
        <v/>
      </c>
      <c r="N2314" s="660"/>
      <c r="O2314" s="233"/>
      <c r="P2314" s="233"/>
      <c r="Q2314" s="233"/>
      <c r="R2314" s="233"/>
      <c r="S2314" s="233"/>
      <c r="T2314" s="508">
        <f t="shared" si="1763"/>
        <v>0</v>
      </c>
      <c r="U2314" s="225">
        <f>IF(NOT(ISNUMBER(G2314)), "", VLOOKUP(A2314,'Discount Lookup'!D:E,2,FALSE)*G2314)</f>
        <v>0</v>
      </c>
      <c r="V2314" s="225">
        <f>IF(NOT(ISNUMBER(G2314)), "", VLOOKUP(A2314,'Discount Lookup'!G:H,2,FALSE)*G2314)</f>
        <v>0</v>
      </c>
      <c r="W2314" s="508">
        <f t="shared" si="1764"/>
        <v>0</v>
      </c>
      <c r="X2314" s="508">
        <f t="shared" si="1765"/>
        <v>0</v>
      </c>
      <c r="Y2314" s="509" t="b">
        <f t="shared" si="1766"/>
        <v>0</v>
      </c>
      <c r="Z2314" s="510">
        <f t="shared" si="1767"/>
        <v>0</v>
      </c>
      <c r="AA2314" s="511"/>
      <c r="AB2314" s="511" t="str">
        <f t="shared" si="1768"/>
        <v/>
      </c>
      <c r="AC2314" s="698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698"/>
      <c r="AE2314" s="631" t="str">
        <f t="shared" si="1769"/>
        <v/>
      </c>
      <c r="AF2314" s="699" t="str">
        <f t="shared" si="1770"/>
        <v/>
      </c>
      <c r="AG2314" s="699"/>
      <c r="AH2314" s="699"/>
      <c r="AI2314" s="512">
        <f>IF(H2314="credit",0,IF(AE2314="free",0,IF(AE2314="me",0,IF(G2314&gt;0,(VLOOKUP(A2314,'Discount Lookup'!J:K,2)*G2314),0))))</f>
        <v>0</v>
      </c>
      <c r="AJ2314" s="513" t="str">
        <f t="shared" ca="1" si="1771"/>
        <v/>
      </c>
      <c r="AK2314" s="700" t="str">
        <f t="shared" si="1772"/>
        <v/>
      </c>
      <c r="AL2314" s="700"/>
      <c r="AM2314" s="505" t="str">
        <f t="shared" si="1773"/>
        <v/>
      </c>
      <c r="AN2314" s="506"/>
      <c r="AO2314" s="507"/>
      <c r="AP2314" s="507"/>
      <c r="AQ2314" s="507"/>
      <c r="AR2314" s="507"/>
      <c r="AS2314" s="507"/>
      <c r="AT2314" s="507"/>
      <c r="AU2314" s="507"/>
      <c r="AV2314" s="225"/>
      <c r="AW2314" s="508"/>
      <c r="AX2314" s="225"/>
      <c r="AY2314" s="225"/>
      <c r="AZ2314" s="225"/>
      <c r="BA2314" s="225"/>
      <c r="BB2314" s="225"/>
      <c r="BC2314" s="56"/>
      <c r="BD2314" s="56"/>
      <c r="BE2314" s="56"/>
      <c r="BF2314" s="107" t="str">
        <f t="shared" si="1774"/>
        <v>https://www.google.com/search?tbm=isch&amp;q=3%20G5</v>
      </c>
      <c r="BG2314" s="107" t="str">
        <f t="shared" si="1775"/>
        <v>L</v>
      </c>
      <c r="BH2314" s="254"/>
      <c r="BI2314" s="254"/>
    </row>
    <row r="2315" spans="1:61" customFormat="1" ht="15.75" x14ac:dyDescent="0.25">
      <c r="A2315" s="485">
        <v>7</v>
      </c>
      <c r="B2315" s="486" t="s">
        <v>291</v>
      </c>
      <c r="C2315" s="487" t="s">
        <v>3266</v>
      </c>
      <c r="D2315" s="488" t="s">
        <v>299</v>
      </c>
      <c r="E2315" s="489">
        <v>56.95</v>
      </c>
      <c r="F2315" s="516" t="s">
        <v>293</v>
      </c>
      <c r="G2315" s="232">
        <v>0</v>
      </c>
      <c r="H2315" s="658" t="str">
        <f>IF(G2315=0,"",IF(F2315="Buy",IF(G2315=1,"plant","plants"),IF(F2315&gt;0.01,"warranty","Error")))</f>
        <v/>
      </c>
      <c r="I2315" s="490">
        <f>IF(H2315="free",0,IF(H2315="credit",((E2315*(F2315))*G2315*-1),IF(F2315="Buy",(E2315*G2315),((E2315*(1-F2315))*G2315))))</f>
        <v>0</v>
      </c>
      <c r="J2315" s="490">
        <f>IF(H2315="warranty",0,(I2315*(_xlfn.SINGLE(SalesTaxPercentage))))</f>
        <v>0</v>
      </c>
      <c r="K2315" s="695">
        <f t="shared" ref="K2315" si="1810">I2315+J2315</f>
        <v>0</v>
      </c>
      <c r="L2315" s="695"/>
      <c r="M2315" s="659" t="str">
        <f>IF(AND(G2315&gt;0,E2315=0),"WARNING - no PRICE inserted",IF(H2315="free"," FREE ~ no charge this plant",IF(H2315="credit",CONCATENATE(" -$",ROUND(K2315*(1-T2GDiscount)*-1,2)," CREDIT after discount"),IF(T2GDiscount=0,"",IF(G2315=0,"",IF(F2315="Buy",CONCATENATE(" $",ROUND(K2315*(1-T2GDiscount),2)," with ",(T2GDiscount*100),"% discount"),CONCATENATE(" $",ROUND(K2315*(1-T2GDiscount),2)," with ",((T2GDiscount*100+F2315*100)-(T2GDiscount*100*F2315)),IF(F2315&gt;0,"% discounts",IF(NoWarrantyDiscount&gt;0,"% discounts","% discount")))))))))</f>
        <v/>
      </c>
      <c r="N2315" s="660"/>
      <c r="O2315" s="233"/>
      <c r="P2315" s="233"/>
      <c r="Q2315" s="233"/>
      <c r="R2315" s="233"/>
      <c r="S2315" s="233"/>
      <c r="T2315" s="508">
        <f t="shared" si="1763"/>
        <v>0</v>
      </c>
      <c r="U2315" s="225">
        <f>IF(NOT(ISNUMBER(G2315)), "", VLOOKUP(A2315,'Discount Lookup'!D:E,2,FALSE)*G2315)</f>
        <v>0</v>
      </c>
      <c r="V2315" s="225">
        <f>IF(NOT(ISNUMBER(G2315)), "", VLOOKUP(A2315,'Discount Lookup'!G:H,2,FALSE)*G2315)</f>
        <v>0</v>
      </c>
      <c r="W2315" s="508">
        <f t="shared" si="1764"/>
        <v>0</v>
      </c>
      <c r="X2315" s="508">
        <f t="shared" si="1765"/>
        <v>0</v>
      </c>
      <c r="Y2315" s="509" t="b">
        <f t="shared" si="1766"/>
        <v>0</v>
      </c>
      <c r="Z2315" s="510">
        <f t="shared" si="1767"/>
        <v>0</v>
      </c>
      <c r="AA2315" s="511"/>
      <c r="AB2315" s="511" t="str">
        <f t="shared" si="1768"/>
        <v/>
      </c>
      <c r="AC2315" s="698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698"/>
      <c r="AE2315" s="631" t="str">
        <f t="shared" si="1769"/>
        <v/>
      </c>
      <c r="AF2315" s="699" t="str">
        <f t="shared" si="1770"/>
        <v/>
      </c>
      <c r="AG2315" s="699"/>
      <c r="AH2315" s="699"/>
      <c r="AI2315" s="512">
        <f>IF(H2315="credit",0,IF(AE2315="free",0,IF(AE2315="me",0,IF(G2315&gt;0,(VLOOKUP(A2315,'Discount Lookup'!J:K,2)*G2315),0))))</f>
        <v>0</v>
      </c>
      <c r="AJ2315" s="513" t="str">
        <f t="shared" ca="1" si="1771"/>
        <v/>
      </c>
      <c r="AK2315" s="700" t="str">
        <f t="shared" si="1772"/>
        <v/>
      </c>
      <c r="AL2315" s="700"/>
      <c r="AM2315" s="505" t="str">
        <f t="shared" si="1773"/>
        <v/>
      </c>
      <c r="AN2315" s="506"/>
      <c r="AO2315" s="507"/>
      <c r="AP2315" s="507"/>
      <c r="AQ2315" s="507"/>
      <c r="AR2315" s="507"/>
      <c r="AS2315" s="507"/>
      <c r="AT2315" s="507"/>
      <c r="AU2315" s="507"/>
      <c r="AV2315" s="225"/>
      <c r="AW2315" s="508"/>
      <c r="AX2315" s="225"/>
      <c r="AY2315" s="225"/>
      <c r="AZ2315" s="225"/>
      <c r="BA2315" s="225"/>
      <c r="BB2315" s="225"/>
      <c r="BC2315" s="56"/>
      <c r="BD2315" s="56"/>
      <c r="BE2315" s="56"/>
      <c r="BF2315" s="107" t="str">
        <f t="shared" si="1774"/>
        <v>https://www.google.com/search?tbm=isch&amp;q=7%20G5</v>
      </c>
      <c r="BG2315" s="107" t="str">
        <f t="shared" si="1775"/>
        <v>L</v>
      </c>
      <c r="BH2315" s="254"/>
      <c r="BI2315" s="254"/>
    </row>
    <row r="2316" spans="1:61" customFormat="1" ht="15.75" x14ac:dyDescent="0.25">
      <c r="A2316" s="485">
        <v>7</v>
      </c>
      <c r="B2316" s="486" t="s">
        <v>291</v>
      </c>
      <c r="C2316" s="487" t="s">
        <v>3629</v>
      </c>
      <c r="D2316" s="488" t="s">
        <v>292</v>
      </c>
      <c r="E2316" s="489">
        <v>86.95</v>
      </c>
      <c r="F2316" s="516" t="s">
        <v>293</v>
      </c>
      <c r="G2316" s="232">
        <v>0</v>
      </c>
      <c r="H2316" s="658" t="str">
        <f>IF(G2316=0,"",IF(F2316="Buy",IF(G2316=1,"plant","plants"),IF(F2316&gt;0.01,"warranty","Error")))</f>
        <v/>
      </c>
      <c r="I2316" s="490">
        <f>IF(H2316="free",0,IF(H2316="credit",((E2316*(F2316))*G2316*-1),IF(F2316="Buy",(E2316*G2316),((E2316*(1-F2316))*G2316))))</f>
        <v>0</v>
      </c>
      <c r="J2316" s="490">
        <f>IF(H2316="warranty",0,(I2316*(_xlfn.SINGLE(SalesTaxPercentage))))</f>
        <v>0</v>
      </c>
      <c r="K2316" s="695">
        <f t="shared" ref="K2316" si="1811">I2316+J2316</f>
        <v>0</v>
      </c>
      <c r="L2316" s="695"/>
      <c r="M2316" s="659" t="str">
        <f>IF(AND(G2316&gt;0,E2316=0),"WARNING - no PRICE inserted",IF(H2316="free"," FREE ~ no charge this plant",IF(H2316="credit",CONCATENATE(" -$",ROUND(K2316*(1-T2GDiscount)*-1,2)," CREDIT after discount"),IF(T2GDiscount=0,"",IF(G2316=0,"",IF(F2316="Buy",CONCATENATE(" $",ROUND(K2316*(1-T2GDiscount),2)," with ",(T2GDiscount*100),"% discount"),CONCATENATE(" $",ROUND(K2316*(1-T2GDiscount),2)," with ",((T2GDiscount*100+F2316*100)-(T2GDiscount*100*F2316)),IF(F2316&gt;0,"% discounts",IF(NoWarrantyDiscount&gt;0,"% discounts","% discount")))))))))</f>
        <v/>
      </c>
      <c r="N2316" s="660"/>
      <c r="O2316" s="233"/>
      <c r="P2316" s="233"/>
      <c r="Q2316" s="233"/>
      <c r="R2316" s="233"/>
      <c r="S2316" s="233"/>
      <c r="T2316" s="508">
        <f t="shared" si="1763"/>
        <v>0</v>
      </c>
      <c r="U2316" s="225">
        <f>IF(NOT(ISNUMBER(G2316)), "", VLOOKUP(A2316,'Discount Lookup'!D:E,2,FALSE)*G2316)</f>
        <v>0</v>
      </c>
      <c r="V2316" s="225">
        <f>IF(NOT(ISNUMBER(G2316)), "", VLOOKUP(A2316,'Discount Lookup'!G:H,2,FALSE)*G2316)</f>
        <v>0</v>
      </c>
      <c r="W2316" s="508">
        <f t="shared" si="1764"/>
        <v>0</v>
      </c>
      <c r="X2316" s="508">
        <f t="shared" si="1765"/>
        <v>0</v>
      </c>
      <c r="Y2316" s="509" t="b">
        <f t="shared" si="1766"/>
        <v>0</v>
      </c>
      <c r="Z2316" s="510">
        <f t="shared" si="1767"/>
        <v>0</v>
      </c>
      <c r="AA2316" s="511"/>
      <c r="AB2316" s="511" t="str">
        <f t="shared" si="1768"/>
        <v/>
      </c>
      <c r="AC2316" s="698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698"/>
      <c r="AE2316" s="631" t="str">
        <f t="shared" si="1769"/>
        <v/>
      </c>
      <c r="AF2316" s="699" t="str">
        <f t="shared" si="1770"/>
        <v/>
      </c>
      <c r="AG2316" s="699"/>
      <c r="AH2316" s="699"/>
      <c r="AI2316" s="512">
        <f>IF(H2316="credit",0,IF(AE2316="free",0,IF(AE2316="me",0,IF(G2316&gt;0,(VLOOKUP(A2316,'Discount Lookup'!J:K,2)*G2316),0))))</f>
        <v>0</v>
      </c>
      <c r="AJ2316" s="513" t="str">
        <f t="shared" ca="1" si="1771"/>
        <v/>
      </c>
      <c r="AK2316" s="700" t="str">
        <f t="shared" si="1772"/>
        <v/>
      </c>
      <c r="AL2316" s="700"/>
      <c r="AM2316" s="505" t="str">
        <f t="shared" si="1773"/>
        <v/>
      </c>
      <c r="AN2316" s="506"/>
      <c r="AO2316" s="507"/>
      <c r="AP2316" s="507"/>
      <c r="AQ2316" s="507"/>
      <c r="AR2316" s="507"/>
      <c r="AS2316" s="507"/>
      <c r="AT2316" s="507"/>
      <c r="AU2316" s="507"/>
      <c r="AV2316" s="225"/>
      <c r="AW2316" s="508"/>
      <c r="AX2316" s="225"/>
      <c r="AY2316" s="225"/>
      <c r="AZ2316" s="225"/>
      <c r="BA2316" s="225"/>
      <c r="BB2316" s="225"/>
      <c r="BC2316" s="56"/>
      <c r="BD2316" s="56"/>
      <c r="BE2316" s="56"/>
      <c r="BF2316" s="107" t="str">
        <f t="shared" si="1774"/>
        <v>https://www.google.com/search?tbm=isch&amp;q=7%20G4</v>
      </c>
      <c r="BG2316" s="107" t="str">
        <f t="shared" si="1775"/>
        <v>L</v>
      </c>
      <c r="BH2316" s="254"/>
      <c r="BI2316" s="254"/>
    </row>
    <row r="2317" spans="1:61" customFormat="1" ht="15.75" x14ac:dyDescent="0.25">
      <c r="A2317" s="485">
        <v>15</v>
      </c>
      <c r="B2317" s="486" t="s">
        <v>291</v>
      </c>
      <c r="C2317" s="487" t="s">
        <v>2766</v>
      </c>
      <c r="D2317" s="488" t="s">
        <v>299</v>
      </c>
      <c r="E2317" s="489">
        <v>155.94999999999999</v>
      </c>
      <c r="F2317" s="516" t="s">
        <v>293</v>
      </c>
      <c r="G2317" s="232">
        <v>0</v>
      </c>
      <c r="H2317" s="658" t="str">
        <f>IF(G2317=0,"",IF(F2317="Buy",IF(G2317=1,"plant","plants"),IF(F2317&gt;0.01,"warranty","Error")))</f>
        <v/>
      </c>
      <c r="I2317" s="490">
        <f>IF(H2317="free",0,IF(H2317="credit",((E2317*(F2317))*G2317*-1),IF(F2317="Buy",(E2317*G2317),((E2317*(1-F2317))*G2317))))</f>
        <v>0</v>
      </c>
      <c r="J2317" s="490">
        <f>IF(H2317="warranty",0,(I2317*(_xlfn.SINGLE(SalesTaxPercentage))))</f>
        <v>0</v>
      </c>
      <c r="K2317" s="695">
        <f t="shared" ref="K2317" si="1812">I2317+J2317</f>
        <v>0</v>
      </c>
      <c r="L2317" s="695"/>
      <c r="M2317" s="659" t="str">
        <f>IF(AND(G2317&gt;0,E2317=0),"WARNING - no PRICE inserted",IF(H2317="free"," FREE ~ no charge this plant",IF(H2317="credit",CONCATENATE(" -$",ROUND(K2317*(1-T2GDiscount)*-1,2)," CREDIT after discount"),IF(T2GDiscount=0,"",IF(G2317=0,"",IF(F2317="Buy",CONCATENATE(" $",ROUND(K2317*(1-T2GDiscount),2)," with ",(T2GDiscount*100),"% discount"),CONCATENATE(" $",ROUND(K2317*(1-T2GDiscount),2)," with ",((T2GDiscount*100+F2317*100)-(T2GDiscount*100*F2317)),IF(F2317&gt;0,"% discounts",IF(NoWarrantyDiscount&gt;0,"% discounts","% discount")))))))))</f>
        <v/>
      </c>
      <c r="N2317" s="660"/>
      <c r="O2317" s="233"/>
      <c r="P2317" s="233"/>
      <c r="Q2317" s="233"/>
      <c r="R2317" s="233"/>
      <c r="S2317" s="233"/>
      <c r="T2317" s="508">
        <f t="shared" si="1763"/>
        <v>0</v>
      </c>
      <c r="U2317" s="225">
        <f>IF(NOT(ISNUMBER(G2317)), "", VLOOKUP(A2317,'Discount Lookup'!D:E,2,FALSE)*G2317)</f>
        <v>0</v>
      </c>
      <c r="V2317" s="225">
        <f>IF(NOT(ISNUMBER(G2317)), "", VLOOKUP(A2317,'Discount Lookup'!G:H,2,FALSE)*G2317)</f>
        <v>0</v>
      </c>
      <c r="W2317" s="508">
        <f t="shared" si="1764"/>
        <v>0</v>
      </c>
      <c r="X2317" s="508">
        <f t="shared" si="1765"/>
        <v>0</v>
      </c>
      <c r="Y2317" s="509" t="b">
        <f t="shared" si="1766"/>
        <v>0</v>
      </c>
      <c r="Z2317" s="510">
        <f t="shared" si="1767"/>
        <v>0</v>
      </c>
      <c r="AA2317" s="511"/>
      <c r="AB2317" s="511" t="str">
        <f t="shared" si="1768"/>
        <v/>
      </c>
      <c r="AC2317" s="698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698"/>
      <c r="AE2317" s="631" t="str">
        <f t="shared" si="1769"/>
        <v/>
      </c>
      <c r="AF2317" s="699" t="str">
        <f t="shared" si="1770"/>
        <v/>
      </c>
      <c r="AG2317" s="699"/>
      <c r="AH2317" s="699"/>
      <c r="AI2317" s="512">
        <f>IF(H2317="credit",0,IF(AE2317="free",0,IF(AE2317="me",0,IF(G2317&gt;0,(VLOOKUP(A2317,'Discount Lookup'!J:K,2)*G2317),0))))</f>
        <v>0</v>
      </c>
      <c r="AJ2317" s="513" t="str">
        <f t="shared" ca="1" si="1771"/>
        <v/>
      </c>
      <c r="AK2317" s="700" t="str">
        <f t="shared" si="1772"/>
        <v/>
      </c>
      <c r="AL2317" s="700"/>
      <c r="AM2317" s="505" t="str">
        <f t="shared" si="1773"/>
        <v/>
      </c>
      <c r="AN2317" s="506"/>
      <c r="AO2317" s="507"/>
      <c r="AP2317" s="507"/>
      <c r="AQ2317" s="507"/>
      <c r="AR2317" s="507"/>
      <c r="AS2317" s="507"/>
      <c r="AT2317" s="507"/>
      <c r="AU2317" s="507"/>
      <c r="AV2317" s="225"/>
      <c r="AW2317" s="508"/>
      <c r="AX2317" s="225"/>
      <c r="AY2317" s="225"/>
      <c r="AZ2317" s="225"/>
      <c r="BA2317" s="225"/>
      <c r="BB2317" s="225"/>
      <c r="BC2317" s="56"/>
      <c r="BD2317" s="56"/>
      <c r="BE2317" s="56"/>
      <c r="BF2317" s="107" t="str">
        <f t="shared" si="1774"/>
        <v>https://www.google.com/search?tbm=isch&amp;q=15%20G5</v>
      </c>
      <c r="BG2317" s="107" t="str">
        <f t="shared" si="1775"/>
        <v>L</v>
      </c>
      <c r="BH2317" s="254"/>
      <c r="BI2317" s="254"/>
    </row>
    <row r="2318" spans="1:61" customFormat="1" ht="17.25" thickBot="1" x14ac:dyDescent="0.3">
      <c r="A2318" s="672" t="s">
        <v>5168</v>
      </c>
      <c r="B2318" s="491"/>
      <c r="C2318" s="675"/>
      <c r="D2318" s="491"/>
      <c r="E2318" s="491"/>
      <c r="F2318" s="492"/>
      <c r="G2318" s="493"/>
      <c r="H2318" s="491"/>
      <c r="I2318" s="234"/>
      <c r="J2318" s="234"/>
      <c r="K2318" s="494"/>
      <c r="L2318" s="543"/>
      <c r="M2318" s="561"/>
      <c r="N2318" s="495"/>
      <c r="O2318" s="496"/>
      <c r="P2318" s="497"/>
      <c r="Q2318" s="495"/>
      <c r="R2318" s="495"/>
      <c r="S2318" s="667" t="s">
        <v>5000</v>
      </c>
      <c r="T2318" s="508">
        <f t="shared" ref="T2318:T2381" si="1813">E2318*G2318</f>
        <v>0</v>
      </c>
      <c r="U2318" s="225" t="str">
        <f>IF(NOT(ISNUMBER(G2318)), "", VLOOKUP(A2318,'Discount Lookup'!D:E,2,FALSE)*G2318)</f>
        <v/>
      </c>
      <c r="V2318" s="225" t="str">
        <f>IF(NOT(ISNUMBER(G2318)), "", VLOOKUP(A2318,'Discount Lookup'!G:H,2,FALSE)*G2318)</f>
        <v/>
      </c>
      <c r="W2318" s="508">
        <f t="shared" ref="W2318:W2381" si="1814">IF(H2318="credit",0,E2318*(SalesTaxPercentage)*G2318)</f>
        <v>0</v>
      </c>
      <c r="X2318" s="508">
        <f t="shared" ref="X2318:X2381" si="1815">I2318</f>
        <v>0</v>
      </c>
      <c r="Y2318" s="509" t="b">
        <f t="shared" ref="Y2318:Y2381" si="1816">IF(AE2318="T2G",0,IF(H2318="credit",0,IF(G2318&gt;0,IF(AE2318="me","",G2318))))</f>
        <v>0</v>
      </c>
      <c r="Z2318" s="510">
        <f t="shared" ref="Z2318:Z2381" si="1817">IF(H2318="credit",G2318,0)</f>
        <v>0</v>
      </c>
      <c r="AA2318" s="511"/>
      <c r="AB2318" s="511" t="str">
        <f t="shared" ref="AB2318:AB2381" si="1818">IF(AE2318="T2G","by Trees2Go",IF(H2318="credit","CREDIT only ~",IF(AND(K2318="",AE2318=OR(PlanterYesMe="No",PlanterYesMe="N",PlanterYesMe="me")),"not THIS line⇨",IF(AND(K2318="images",AE2318="me"),"not THIS line⇨",IF(H2318="credit","",IF(G2318=0,"",IF(AE2318="me","",IF(OR(PlanterYesMe="No",PlanterYesMe="N",PlanterYesMe="me"),"",IF(AE2318="free","warranty",IF(OR(PlanterYesMe="yes",PlanterYesMe="y"),"Edison install:","to install:"))))))))))</f>
        <v/>
      </c>
      <c r="AC2318" s="698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698"/>
      <c r="AE2318" s="631" t="str">
        <f t="shared" ref="AE2318:AE2381" si="1819">IF(H2318="credit","",IF(G2318=0,"",IF(OR(PlanterYesMe="No",PlanterYesMe="N",PlanterYesMe="me"),"me",IF(H2318="warranty","free",IF(OR(PlanterYesMe="yes",PlanterYesMe="y"),"ELP","")))))</f>
        <v/>
      </c>
      <c r="AF2318" s="699" t="str">
        <f t="shared" ref="AF2318:AF2381" si="1820">IF(OR(PlanterYesMe="No",PlanterYesMe="N",PlanterYesMe="me"),"",IF(H2318="credit","",IF(G2318&gt;0,(CONCATENATE((G2318)," quantity, ",(A2318)," ",B2318)),"")))</f>
        <v/>
      </c>
      <c r="AG2318" s="699"/>
      <c r="AH2318" s="699"/>
      <c r="AI2318" s="512">
        <f>IF(H2318="credit",0,IF(AE2318="free",0,IF(AE2318="me",0,IF(G2318&gt;0,(VLOOKUP(A2318,'Discount Lookup'!J:K,2)*G2318),0))))</f>
        <v>0</v>
      </c>
      <c r="AJ2318" s="513" t="str">
        <f t="shared" ref="AJ2318:AJ2381" ca="1" si="1821">IF(AND(ISREF(H2318),H2318="credit"),"",IF(AND(AND(OFFSET(G2318,0,0)=0,OFFSET(G2318,1,0)&gt;0,ISNUMBER(OFFSET(AC2318,1,0)),OFFSET(AC2318,1,0)&gt;0),OR(PlanterYesMe="yes",PlanterYesMe="y")),"T2G+ELP=",IF(AND(OFFSET(G2318,0,0)=0,OFFSET(G2318,1,0)&gt;0,ISNUMBER(OFFSET(AC2318,1,0)),OFFSET(AC2318,1,0)&gt;0),"if T2G+ELP=",IF(AND(OFFSET(G2318,0,0)=0,OFFSET(G2318,1,0)&gt;0),"T2G Subtotal",IF(H2318="credit","",IF(G2318=0,"",IF(AE2318="free",(K2318*(1-T2GDiscount)),IF(OR(PlanterYesMe="No",PlanterYesMe="N",PlanterYesMe="me"),(K2318*(1-T2GDiscount)),IF(OR(AE2318="me",AE2318="T2G"),(K2318*(1-T2GDiscount)),(K2318*(1-T2GDiscount))+AC2318)))))))))</f>
        <v/>
      </c>
      <c r="AK2318" s="700" t="str">
        <f t="shared" ref="AK2318:AK2381" si="1822">IF(H2318="credit","",IF(G2318=0,"",IF(OR(AE2318="me",AE2318="T2G"),"  delivery-only",IF(OR(PlanterYesMe="No",PlanterYesMe="N",PlanterYesMe="me"),"  delivery-only",CONCATENATE(" $",ROUND(AJ2318/G2318,2)," each")))))</f>
        <v/>
      </c>
      <c r="AL2318" s="700"/>
      <c r="AM2318" s="505" t="str">
        <f t="shared" ref="AM2318:AM2381" si="1823">IF(H2318="credit","",IF(AE2318="free","      ~ discounts included, no tax or planting fee applies ~",IF(G2318=0,"",IF(OR(PlanterYesMe="No",PlanterYesMe="N",PlanterYesMe="me"),CONCATENATE(" $",ROUND(AJ2318/G2318,2)," per plant, with tax &amp; discount"),IF(OR(AE2318="me",AE2318="T2G"),CONCATENATE(" $",ROUND(AJ2318/G2318,2)," per plant, with tax &amp; discount"),CONCATENATE("= $",ROUND((K2318*(1-T2GDiscount))/G2318,2)," per plant + $",AC2318/G2318,(" per planting      ~ includes tax &amp; discounts ~")))))))</f>
        <v/>
      </c>
      <c r="AN2318" s="506"/>
      <c r="AO2318" s="507"/>
      <c r="AP2318" s="507"/>
      <c r="AQ2318" s="507"/>
      <c r="AR2318" s="507"/>
      <c r="AS2318" s="507"/>
      <c r="AT2318" s="507"/>
      <c r="AU2318" s="507"/>
      <c r="AV2318" s="225"/>
      <c r="AW2318" s="508"/>
      <c r="AX2318" s="225"/>
      <c r="AY2318" s="225"/>
      <c r="AZ2318" s="225"/>
      <c r="BA2318" s="225"/>
      <c r="BB2318" s="225"/>
      <c r="BC2318" s="56"/>
      <c r="BD2318" s="56"/>
      <c r="BE2318" s="56"/>
      <c r="BF2318" s="107" t="str">
        <f t="shared" ref="BF2318:BF2381" si="1824">"https://www.google.com/search?tbm=isch&amp;q=" &amp; _xlfn.ENCODEURL($A2318 &amp; " " &amp; $D2318)</f>
        <v>https://www.google.com/search?tbm=isch&amp;q=moist%20sites%F0%9F%92%A7OK%2C%20Loblolly%20is%20a%20rare%20Pine%20that%20tolerates%20wet%2C%20clay%20soils.%20Also%20tolerates%20drier%20soils%20</v>
      </c>
      <c r="BG2318" s="107" t="str">
        <f t="shared" ref="BG2318:BG2381" si="1825">IF(ISTEXT(A2318),LEFT(A2318,1),BG2317)</f>
        <v>m</v>
      </c>
      <c r="BH2318" s="254"/>
      <c r="BI2318" s="254"/>
    </row>
    <row r="2319" spans="1:61" customFormat="1" ht="18" x14ac:dyDescent="0.25">
      <c r="A2319" s="523" t="s">
        <v>1289</v>
      </c>
      <c r="B2319" s="235"/>
      <c r="C2319" s="676"/>
      <c r="D2319" s="255" t="s">
        <v>1290</v>
      </c>
      <c r="E2319" s="236"/>
      <c r="F2319" s="236"/>
      <c r="G2319" s="236"/>
      <c r="H2319" s="582" t="s">
        <v>308</v>
      </c>
      <c r="I2319" s="498" t="s">
        <v>1365</v>
      </c>
      <c r="J2319" s="237"/>
      <c r="K2319" s="237"/>
      <c r="L2319" s="274"/>
      <c r="M2319" s="668" t="s">
        <v>4975</v>
      </c>
      <c r="N2319" s="681" t="str">
        <f>IF(AND(ISTEXT($A2319), ISERROR($A2319+0)), HYPERLINK($BF2319, "Images"), "")</f>
        <v>Images</v>
      </c>
      <c r="O2319" s="663" t="s">
        <v>4967</v>
      </c>
      <c r="P2319" s="253"/>
      <c r="Q2319" s="238"/>
      <c r="R2319" s="239"/>
      <c r="S2319" s="275"/>
      <c r="T2319" s="508">
        <f t="shared" si="1813"/>
        <v>0</v>
      </c>
      <c r="U2319" s="225" t="str">
        <f>IF(NOT(ISNUMBER(G2319)), "", VLOOKUP(A2319,'Discount Lookup'!D:E,2,FALSE)*G2319)</f>
        <v/>
      </c>
      <c r="V2319" s="225" t="str">
        <f>IF(NOT(ISNUMBER(G2319)), "", VLOOKUP(A2319,'Discount Lookup'!G:H,2,FALSE)*G2319)</f>
        <v/>
      </c>
      <c r="W2319" s="508">
        <f t="shared" si="1814"/>
        <v>0</v>
      </c>
      <c r="X2319" s="508" t="str">
        <f t="shared" si="1815"/>
        <v>Lemon-Yellow bloom</v>
      </c>
      <c r="Y2319" s="509" t="b">
        <f t="shared" si="1816"/>
        <v>0</v>
      </c>
      <c r="Z2319" s="510">
        <f t="shared" si="1817"/>
        <v>0</v>
      </c>
      <c r="AA2319" s="511"/>
      <c r="AB2319" s="511" t="str">
        <f t="shared" si="1818"/>
        <v/>
      </c>
      <c r="AC2319" s="698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698"/>
      <c r="AE2319" s="631" t="str">
        <f t="shared" si="1819"/>
        <v/>
      </c>
      <c r="AF2319" s="699" t="str">
        <f t="shared" si="1820"/>
        <v/>
      </c>
      <c r="AG2319" s="699"/>
      <c r="AH2319" s="699"/>
      <c r="AI2319" s="512">
        <f>IF(H2319="credit",0,IF(AE2319="free",0,IF(AE2319="me",0,IF(G2319&gt;0,(VLOOKUP(A2319,'Discount Lookup'!J:K,2)*G2319),0))))</f>
        <v>0</v>
      </c>
      <c r="AJ2319" s="513" t="str">
        <f t="shared" ca="1" si="1821"/>
        <v/>
      </c>
      <c r="AK2319" s="700" t="str">
        <f t="shared" si="1822"/>
        <v/>
      </c>
      <c r="AL2319" s="700"/>
      <c r="AM2319" s="505" t="str">
        <f t="shared" si="1823"/>
        <v/>
      </c>
      <c r="AN2319" s="506"/>
      <c r="AO2319" s="507"/>
      <c r="AP2319" s="507"/>
      <c r="AQ2319" s="507"/>
      <c r="AR2319" s="507"/>
      <c r="AS2319" s="507"/>
      <c r="AT2319" s="507"/>
      <c r="AU2319" s="507"/>
      <c r="AV2319" s="225"/>
      <c r="AW2319" s="508"/>
      <c r="AX2319" s="225"/>
      <c r="AY2319" s="225"/>
      <c r="AZ2319" s="225"/>
      <c r="BA2319" s="225"/>
      <c r="BB2319" s="225"/>
      <c r="BC2319" s="56"/>
      <c r="BD2319" s="56"/>
      <c r="BE2319" s="56"/>
      <c r="BF2319" s="107" t="str">
        <f t="shared" si="1824"/>
        <v>https://www.google.com/search?tbm=isch&amp;q=Lois%20Magnolia%20Magnolia%20x%20brooklynensis%20%27Lois%27</v>
      </c>
      <c r="BG2319" s="107" t="str">
        <f t="shared" si="1825"/>
        <v>L</v>
      </c>
      <c r="BH2319" s="254"/>
      <c r="BI2319" s="254"/>
    </row>
    <row r="2320" spans="1:61" customFormat="1" ht="15.75" x14ac:dyDescent="0.25">
      <c r="A2320" s="276">
        <v>7</v>
      </c>
      <c r="B2320" s="240" t="s">
        <v>291</v>
      </c>
      <c r="C2320" s="241" t="s">
        <v>3630</v>
      </c>
      <c r="D2320" s="242" t="s">
        <v>292</v>
      </c>
      <c r="E2320" s="243">
        <v>118.95</v>
      </c>
      <c r="F2320" s="517" t="s">
        <v>293</v>
      </c>
      <c r="G2320" s="232">
        <v>0</v>
      </c>
      <c r="H2320" s="661" t="str">
        <f>IF(G2320=0,"",IF(F2320="Buy",IF(G2320=1,"plant","plants"),IF(F2320&gt;0.01,"warranty","Error")))</f>
        <v/>
      </c>
      <c r="I2320" s="244">
        <f>IF(H2320="free",0,IF(H2320="credit",((E2320*(F2320))*G2320*-1),IF(F2320="Buy",(E2320*G2320),((E2320*(1-F2320))*G2320))))</f>
        <v>0</v>
      </c>
      <c r="J2320" s="244">
        <f>IF(H2320="warranty",0,(I2320*(_xlfn.SINGLE(SalesTaxPercentage))))</f>
        <v>0</v>
      </c>
      <c r="K2320" s="696">
        <f t="shared" ref="K2320" si="1826">I2320+J2320</f>
        <v>0</v>
      </c>
      <c r="L2320" s="696"/>
      <c r="M2320" s="659" t="str">
        <f>IF(AND(G2320&gt;0,E2320=0),"WARNING - no PRICE inserted",IF(H2320="free"," FREE ~ no charge this plant",IF(H2320="credit",CONCATENATE(" -$",ROUND(K2320*(1-T2GDiscount)*-1,2)," CREDIT after discount"),IF(T2GDiscount=0,"",IF(G2320=0,"",IF(F2320="Buy",CONCATENATE(" $",ROUND(K2320*(1-T2GDiscount),2)," with ",(T2GDiscount*100),"% discount"),CONCATENATE(" $",ROUND(K2320*(1-T2GDiscount),2)," with ",((T2GDiscount*100+F2320*100)-(T2GDiscount*100*F2320)),IF(F2320&gt;0,"% discounts",IF(NoWarrantyDiscount&gt;0,"% discounts","% discount")))))))))</f>
        <v/>
      </c>
      <c r="N2320" s="660"/>
      <c r="O2320" s="233"/>
      <c r="P2320" s="233"/>
      <c r="Q2320" s="233"/>
      <c r="R2320" s="233"/>
      <c r="S2320" s="233"/>
      <c r="T2320" s="508">
        <f t="shared" si="1813"/>
        <v>0</v>
      </c>
      <c r="U2320" s="225">
        <f>IF(NOT(ISNUMBER(G2320)), "", VLOOKUP(A2320,'Discount Lookup'!D:E,2,FALSE)*G2320)</f>
        <v>0</v>
      </c>
      <c r="V2320" s="225">
        <f>IF(NOT(ISNUMBER(G2320)), "", VLOOKUP(A2320,'Discount Lookup'!G:H,2,FALSE)*G2320)</f>
        <v>0</v>
      </c>
      <c r="W2320" s="508">
        <f t="shared" si="1814"/>
        <v>0</v>
      </c>
      <c r="X2320" s="508">
        <f t="shared" si="1815"/>
        <v>0</v>
      </c>
      <c r="Y2320" s="509" t="b">
        <f t="shared" si="1816"/>
        <v>0</v>
      </c>
      <c r="Z2320" s="510">
        <f t="shared" si="1817"/>
        <v>0</v>
      </c>
      <c r="AA2320" s="511"/>
      <c r="AB2320" s="511" t="str">
        <f t="shared" si="1818"/>
        <v/>
      </c>
      <c r="AC2320" s="698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698"/>
      <c r="AE2320" s="631" t="str">
        <f t="shared" si="1819"/>
        <v/>
      </c>
      <c r="AF2320" s="699" t="str">
        <f t="shared" si="1820"/>
        <v/>
      </c>
      <c r="AG2320" s="699"/>
      <c r="AH2320" s="699"/>
      <c r="AI2320" s="512">
        <f>IF(H2320="credit",0,IF(AE2320="free",0,IF(AE2320="me",0,IF(G2320&gt;0,(VLOOKUP(A2320,'Discount Lookup'!J:K,2)*G2320),0))))</f>
        <v>0</v>
      </c>
      <c r="AJ2320" s="513" t="str">
        <f t="shared" ca="1" si="1821"/>
        <v/>
      </c>
      <c r="AK2320" s="700" t="str">
        <f t="shared" si="1822"/>
        <v/>
      </c>
      <c r="AL2320" s="700"/>
      <c r="AM2320" s="505" t="str">
        <f t="shared" si="1823"/>
        <v/>
      </c>
      <c r="AN2320" s="506"/>
      <c r="AO2320" s="507"/>
      <c r="AP2320" s="507"/>
      <c r="AQ2320" s="507"/>
      <c r="AR2320" s="507"/>
      <c r="AS2320" s="507"/>
      <c r="AT2320" s="507"/>
      <c r="AU2320" s="507"/>
      <c r="AV2320" s="225"/>
      <c r="AW2320" s="508"/>
      <c r="AX2320" s="225"/>
      <c r="AY2320" s="225"/>
      <c r="AZ2320" s="225"/>
      <c r="BA2320" s="225"/>
      <c r="BB2320" s="225"/>
      <c r="BC2320" s="56"/>
      <c r="BD2320" s="56"/>
      <c r="BE2320" s="56"/>
      <c r="BF2320" s="107" t="str">
        <f t="shared" si="1824"/>
        <v>https://www.google.com/search?tbm=isch&amp;q=7%20G4</v>
      </c>
      <c r="BG2320" s="107" t="str">
        <f t="shared" si="1825"/>
        <v>L</v>
      </c>
      <c r="BH2320" s="254"/>
      <c r="BI2320" s="254"/>
    </row>
    <row r="2321" spans="1:61" customFormat="1" ht="15.75" x14ac:dyDescent="0.25">
      <c r="A2321" s="276">
        <v>15</v>
      </c>
      <c r="B2321" s="240" t="s">
        <v>291</v>
      </c>
      <c r="C2321" s="241" t="s">
        <v>3631</v>
      </c>
      <c r="D2321" s="242" t="s">
        <v>292</v>
      </c>
      <c r="E2321" s="243">
        <v>183.95</v>
      </c>
      <c r="F2321" s="517" t="s">
        <v>293</v>
      </c>
      <c r="G2321" s="232">
        <v>0</v>
      </c>
      <c r="H2321" s="661" t="str">
        <f>IF(G2321=0,"",IF(F2321="Buy",IF(G2321=1,"plant","plants"),IF(F2321&gt;0.01,"warranty","Error")))</f>
        <v/>
      </c>
      <c r="I2321" s="244">
        <f>IF(H2321="free",0,IF(H2321="credit",((E2321*(F2321))*G2321*-1),IF(F2321="Buy",(E2321*G2321),((E2321*(1-F2321))*G2321))))</f>
        <v>0</v>
      </c>
      <c r="J2321" s="244">
        <f>IF(H2321="warranty",0,(I2321*(_xlfn.SINGLE(SalesTaxPercentage))))</f>
        <v>0</v>
      </c>
      <c r="K2321" s="696">
        <f t="shared" ref="K2321" si="1827">I2321+J2321</f>
        <v>0</v>
      </c>
      <c r="L2321" s="696"/>
      <c r="M2321" s="659" t="str">
        <f>IF(AND(G2321&gt;0,E2321=0),"WARNING - no PRICE inserted",IF(H2321="free"," FREE ~ no charge this plant",IF(H2321="credit",CONCATENATE(" -$",ROUND(K2321*(1-T2GDiscount)*-1,2)," CREDIT after discount"),IF(T2GDiscount=0,"",IF(G2321=0,"",IF(F2321="Buy",CONCATENATE(" $",ROUND(K2321*(1-T2GDiscount),2)," with ",(T2GDiscount*100),"% discount"),CONCATENATE(" $",ROUND(K2321*(1-T2GDiscount),2)," with ",((T2GDiscount*100+F2321*100)-(T2GDiscount*100*F2321)),IF(F2321&gt;0,"% discounts",IF(NoWarrantyDiscount&gt;0,"% discounts","% discount")))))))))</f>
        <v/>
      </c>
      <c r="N2321" s="660"/>
      <c r="O2321" s="233"/>
      <c r="P2321" s="233"/>
      <c r="Q2321" s="233"/>
      <c r="R2321" s="233"/>
      <c r="S2321" s="233"/>
      <c r="T2321" s="508">
        <f t="shared" si="1813"/>
        <v>0</v>
      </c>
      <c r="U2321" s="225">
        <f>IF(NOT(ISNUMBER(G2321)), "", VLOOKUP(A2321,'Discount Lookup'!D:E,2,FALSE)*G2321)</f>
        <v>0</v>
      </c>
      <c r="V2321" s="225">
        <f>IF(NOT(ISNUMBER(G2321)), "", VLOOKUP(A2321,'Discount Lookup'!G:H,2,FALSE)*G2321)</f>
        <v>0</v>
      </c>
      <c r="W2321" s="508">
        <f t="shared" si="1814"/>
        <v>0</v>
      </c>
      <c r="X2321" s="508">
        <f t="shared" si="1815"/>
        <v>0</v>
      </c>
      <c r="Y2321" s="509" t="b">
        <f t="shared" si="1816"/>
        <v>0</v>
      </c>
      <c r="Z2321" s="510">
        <f t="shared" si="1817"/>
        <v>0</v>
      </c>
      <c r="AA2321" s="511"/>
      <c r="AB2321" s="511" t="str">
        <f t="shared" si="1818"/>
        <v/>
      </c>
      <c r="AC2321" s="698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698"/>
      <c r="AE2321" s="631" t="str">
        <f t="shared" si="1819"/>
        <v/>
      </c>
      <c r="AF2321" s="699" t="str">
        <f t="shared" si="1820"/>
        <v/>
      </c>
      <c r="AG2321" s="699"/>
      <c r="AH2321" s="699"/>
      <c r="AI2321" s="512">
        <f>IF(H2321="credit",0,IF(AE2321="free",0,IF(AE2321="me",0,IF(G2321&gt;0,(VLOOKUP(A2321,'Discount Lookup'!J:K,2)*G2321),0))))</f>
        <v>0</v>
      </c>
      <c r="AJ2321" s="513" t="str">
        <f t="shared" ca="1" si="1821"/>
        <v/>
      </c>
      <c r="AK2321" s="700" t="str">
        <f t="shared" si="1822"/>
        <v/>
      </c>
      <c r="AL2321" s="700"/>
      <c r="AM2321" s="505" t="str">
        <f t="shared" si="1823"/>
        <v/>
      </c>
      <c r="AN2321" s="506"/>
      <c r="AO2321" s="507"/>
      <c r="AP2321" s="507"/>
      <c r="AQ2321" s="507"/>
      <c r="AR2321" s="507"/>
      <c r="AS2321" s="507"/>
      <c r="AT2321" s="507"/>
      <c r="AU2321" s="507"/>
      <c r="AV2321" s="225"/>
      <c r="AW2321" s="508"/>
      <c r="AX2321" s="225"/>
      <c r="AY2321" s="225"/>
      <c r="AZ2321" s="225"/>
      <c r="BA2321" s="225"/>
      <c r="BB2321" s="225"/>
      <c r="BC2321" s="56"/>
      <c r="BD2321" s="56"/>
      <c r="BE2321" s="56"/>
      <c r="BF2321" s="107" t="str">
        <f t="shared" si="1824"/>
        <v>https://www.google.com/search?tbm=isch&amp;q=15%20G4</v>
      </c>
      <c r="BG2321" s="107" t="str">
        <f t="shared" si="1825"/>
        <v>L</v>
      </c>
      <c r="BH2321" s="254"/>
      <c r="BI2321" s="254"/>
    </row>
    <row r="2322" spans="1:61" customFormat="1" ht="17.25" thickBot="1" x14ac:dyDescent="0.3">
      <c r="A2322" s="524" t="s">
        <v>2429</v>
      </c>
      <c r="B2322" s="245"/>
      <c r="C2322" s="677"/>
      <c r="D2322" s="499"/>
      <c r="E2322" s="499"/>
      <c r="F2322" s="500"/>
      <c r="G2322" s="501"/>
      <c r="H2322" s="502"/>
      <c r="I2322" s="246"/>
      <c r="J2322" s="247"/>
      <c r="K2322" s="503"/>
      <c r="L2322" s="544"/>
      <c r="M2322" s="544"/>
      <c r="N2322" s="500"/>
      <c r="O2322" s="500"/>
      <c r="P2322" s="500"/>
      <c r="Q2322" s="500"/>
      <c r="R2322" s="500"/>
      <c r="S2322" s="278"/>
      <c r="T2322" s="508">
        <f t="shared" si="1813"/>
        <v>0</v>
      </c>
      <c r="U2322" s="225" t="str">
        <f>IF(NOT(ISNUMBER(G2322)), "", VLOOKUP(A2322,'Discount Lookup'!D:E,2,FALSE)*G2322)</f>
        <v/>
      </c>
      <c r="V2322" s="225" t="str">
        <f>IF(NOT(ISNUMBER(G2322)), "", VLOOKUP(A2322,'Discount Lookup'!G:H,2,FALSE)*G2322)</f>
        <v/>
      </c>
      <c r="W2322" s="508">
        <f t="shared" si="1814"/>
        <v>0</v>
      </c>
      <c r="X2322" s="508">
        <f t="shared" si="1815"/>
        <v>0</v>
      </c>
      <c r="Y2322" s="509" t="b">
        <f t="shared" si="1816"/>
        <v>0</v>
      </c>
      <c r="Z2322" s="510">
        <f t="shared" si="1817"/>
        <v>0</v>
      </c>
      <c r="AA2322" s="511"/>
      <c r="AB2322" s="511" t="str">
        <f t="shared" si="1818"/>
        <v/>
      </c>
      <c r="AC2322" s="698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698"/>
      <c r="AE2322" s="631" t="str">
        <f t="shared" si="1819"/>
        <v/>
      </c>
      <c r="AF2322" s="699" t="str">
        <f t="shared" si="1820"/>
        <v/>
      </c>
      <c r="AG2322" s="699"/>
      <c r="AH2322" s="699"/>
      <c r="AI2322" s="512">
        <f>IF(H2322="credit",0,IF(AE2322="free",0,IF(AE2322="me",0,IF(G2322&gt;0,(VLOOKUP(A2322,'Discount Lookup'!J:K,2)*G2322),0))))</f>
        <v>0</v>
      </c>
      <c r="AJ2322" s="513" t="str">
        <f t="shared" ca="1" si="1821"/>
        <v/>
      </c>
      <c r="AK2322" s="700" t="str">
        <f t="shared" si="1822"/>
        <v/>
      </c>
      <c r="AL2322" s="700"/>
      <c r="AM2322" s="505" t="str">
        <f t="shared" si="1823"/>
        <v/>
      </c>
      <c r="AN2322" s="506"/>
      <c r="AO2322" s="507"/>
      <c r="AP2322" s="507"/>
      <c r="AQ2322" s="507"/>
      <c r="AR2322" s="507"/>
      <c r="AS2322" s="507"/>
      <c r="AT2322" s="507"/>
      <c r="AU2322" s="507"/>
      <c r="AV2322" s="225"/>
      <c r="AW2322" s="508"/>
      <c r="AX2322" s="225"/>
      <c r="AY2322" s="225"/>
      <c r="AZ2322" s="225"/>
      <c r="BA2322" s="225"/>
      <c r="BB2322" s="225"/>
      <c r="BC2322" s="56"/>
      <c r="BD2322" s="56"/>
      <c r="BE2322" s="56"/>
      <c r="BF2322" s="107" t="str">
        <f t="shared" si="1824"/>
        <v>https://www.google.com/search?tbm=isch&amp;q=Lois%20grown%20for%20beautiful%2C%20clear%20Yellow%20flowers.%20Late%20blooming%2C%20to%20avoid%20frost%20</v>
      </c>
      <c r="BG2322" s="107" t="str">
        <f t="shared" si="1825"/>
        <v>L</v>
      </c>
      <c r="BH2322" s="254"/>
      <c r="BI2322" s="254"/>
    </row>
    <row r="2323" spans="1:61" customFormat="1" ht="18" x14ac:dyDescent="0.25">
      <c r="A2323" s="521" t="s">
        <v>1291</v>
      </c>
      <c r="B2323" s="477"/>
      <c r="C2323" s="674"/>
      <c r="D2323" s="478" t="s">
        <v>1292</v>
      </c>
      <c r="E2323" s="479"/>
      <c r="F2323" s="479"/>
      <c r="G2323" s="479"/>
      <c r="H2323" s="582" t="s">
        <v>2105</v>
      </c>
      <c r="I2323" s="480" t="s">
        <v>2228</v>
      </c>
      <c r="J2323" s="479"/>
      <c r="K2323" s="479"/>
      <c r="L2323" s="560"/>
      <c r="M2323" s="666" t="s">
        <v>4963</v>
      </c>
      <c r="N2323" s="680" t="str">
        <f>IF(AND(ISTEXT($A2323), ISERROR($A2323+0)), HYPERLINK($BF2323, "Images"), "")</f>
        <v>Images</v>
      </c>
      <c r="O2323" s="662" t="s">
        <v>4967</v>
      </c>
      <c r="P2323" s="482"/>
      <c r="Q2323" s="483"/>
      <c r="R2323" s="483"/>
      <c r="S2323" s="484" t="s">
        <v>305</v>
      </c>
      <c r="T2323" s="508">
        <f t="shared" si="1813"/>
        <v>0</v>
      </c>
      <c r="U2323" s="225" t="str">
        <f>IF(NOT(ISNUMBER(G2323)), "", VLOOKUP(A2323,'Discount Lookup'!D:E,2,FALSE)*G2323)</f>
        <v/>
      </c>
      <c r="V2323" s="225" t="str">
        <f>IF(NOT(ISNUMBER(G2323)), "", VLOOKUP(A2323,'Discount Lookup'!G:H,2,FALSE)*G2323)</f>
        <v/>
      </c>
      <c r="W2323" s="508">
        <f t="shared" si="1814"/>
        <v>0</v>
      </c>
      <c r="X2323" s="508" t="str">
        <f t="shared" si="1815"/>
        <v>Green needles</v>
      </c>
      <c r="Y2323" s="509" t="b">
        <f t="shared" si="1816"/>
        <v>0</v>
      </c>
      <c r="Z2323" s="510">
        <f t="shared" si="1817"/>
        <v>0</v>
      </c>
      <c r="AA2323" s="511"/>
      <c r="AB2323" s="511" t="str">
        <f t="shared" si="1818"/>
        <v/>
      </c>
      <c r="AC2323" s="698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698"/>
      <c r="AE2323" s="631" t="str">
        <f t="shared" si="1819"/>
        <v/>
      </c>
      <c r="AF2323" s="699" t="str">
        <f t="shared" si="1820"/>
        <v/>
      </c>
      <c r="AG2323" s="699"/>
      <c r="AH2323" s="699"/>
      <c r="AI2323" s="512">
        <f>IF(H2323="credit",0,IF(AE2323="free",0,IF(AE2323="me",0,IF(G2323&gt;0,(VLOOKUP(A2323,'Discount Lookup'!J:K,2)*G2323),0))))</f>
        <v>0</v>
      </c>
      <c r="AJ2323" s="513" t="str">
        <f t="shared" ca="1" si="1821"/>
        <v/>
      </c>
      <c r="AK2323" s="700" t="str">
        <f t="shared" si="1822"/>
        <v/>
      </c>
      <c r="AL2323" s="700"/>
      <c r="AM2323" s="505" t="str">
        <f t="shared" si="1823"/>
        <v/>
      </c>
      <c r="AN2323" s="506"/>
      <c r="AO2323" s="507"/>
      <c r="AP2323" s="507"/>
      <c r="AQ2323" s="507"/>
      <c r="AR2323" s="507"/>
      <c r="AS2323" s="507"/>
      <c r="AT2323" s="507"/>
      <c r="AU2323" s="507"/>
      <c r="AV2323" s="225"/>
      <c r="AW2323" s="508"/>
      <c r="AX2323" s="225"/>
      <c r="AY2323" s="225"/>
      <c r="AZ2323" s="225"/>
      <c r="BA2323" s="225"/>
      <c r="BB2323" s="225"/>
      <c r="BC2323" s="56"/>
      <c r="BD2323" s="56"/>
      <c r="BE2323" s="56"/>
      <c r="BF2323" s="107" t="str">
        <f t="shared" si="1824"/>
        <v>https://www.google.com/search?tbm=isch&amp;q=Longleaf%20Pine%20Pinus%20palustris</v>
      </c>
      <c r="BG2323" s="107" t="str">
        <f t="shared" si="1825"/>
        <v>L</v>
      </c>
      <c r="BH2323" s="254"/>
      <c r="BI2323" s="254"/>
    </row>
    <row r="2324" spans="1:61" customFormat="1" ht="15.75" x14ac:dyDescent="0.25">
      <c r="A2324" s="485">
        <v>3</v>
      </c>
      <c r="B2324" s="486" t="s">
        <v>291</v>
      </c>
      <c r="C2324" s="487" t="s">
        <v>4529</v>
      </c>
      <c r="D2324" s="488" t="s">
        <v>299</v>
      </c>
      <c r="E2324" s="489">
        <v>33.950000000000003</v>
      </c>
      <c r="F2324" s="516" t="s">
        <v>293</v>
      </c>
      <c r="G2324" s="232">
        <v>0</v>
      </c>
      <c r="H2324" s="658" t="str">
        <f>IF(G2324=0,"",IF(F2324="Buy",IF(G2324=1,"plant","plants"),IF(F2324&gt;0.01,"warranty","Error")))</f>
        <v/>
      </c>
      <c r="I2324" s="490">
        <f>IF(H2324="free",0,IF(H2324="credit",((E2324*(F2324))*G2324*-1),IF(F2324="Buy",(E2324*G2324),((E2324*(1-F2324))*G2324))))</f>
        <v>0</v>
      </c>
      <c r="J2324" s="490">
        <f>IF(H2324="warranty",0,(I2324*(_xlfn.SINGLE(SalesTaxPercentage))))</f>
        <v>0</v>
      </c>
      <c r="K2324" s="695">
        <f t="shared" ref="K2324" si="1828">I2324+J2324</f>
        <v>0</v>
      </c>
      <c r="L2324" s="695"/>
      <c r="M2324" s="659" t="str">
        <f>IF(AND(G2324&gt;0,E2324=0),"WARNING - no PRICE inserted",IF(H2324="free"," FREE ~ no charge this plant",IF(H2324="credit",CONCATENATE(" -$",ROUND(K2324*(1-T2GDiscount)*-1,2)," CREDIT after discount"),IF(T2GDiscount=0,"",IF(G2324=0,"",IF(F2324="Buy",CONCATENATE(" $",ROUND(K2324*(1-T2GDiscount),2)," with ",(T2GDiscount*100),"% discount"),CONCATENATE(" $",ROUND(K2324*(1-T2GDiscount),2)," with ",((T2GDiscount*100+F2324*100)-(T2GDiscount*100*F2324)),IF(F2324&gt;0,"% discounts",IF(NoWarrantyDiscount&gt;0,"% discounts","% discount")))))))))</f>
        <v/>
      </c>
      <c r="N2324" s="660"/>
      <c r="O2324" s="233"/>
      <c r="P2324" s="233"/>
      <c r="Q2324" s="233"/>
      <c r="R2324" s="233"/>
      <c r="S2324" s="233"/>
      <c r="T2324" s="508">
        <f t="shared" si="1813"/>
        <v>0</v>
      </c>
      <c r="U2324" s="225">
        <f>IF(NOT(ISNUMBER(G2324)), "", VLOOKUP(A2324,'Discount Lookup'!D:E,2,FALSE)*G2324)</f>
        <v>0</v>
      </c>
      <c r="V2324" s="225">
        <f>IF(NOT(ISNUMBER(G2324)), "", VLOOKUP(A2324,'Discount Lookup'!G:H,2,FALSE)*G2324)</f>
        <v>0</v>
      </c>
      <c r="W2324" s="508">
        <f t="shared" si="1814"/>
        <v>0</v>
      </c>
      <c r="X2324" s="508">
        <f t="shared" si="1815"/>
        <v>0</v>
      </c>
      <c r="Y2324" s="509" t="b">
        <f t="shared" si="1816"/>
        <v>0</v>
      </c>
      <c r="Z2324" s="510">
        <f t="shared" si="1817"/>
        <v>0</v>
      </c>
      <c r="AA2324" s="511"/>
      <c r="AB2324" s="511" t="str">
        <f t="shared" si="1818"/>
        <v/>
      </c>
      <c r="AC2324" s="698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698"/>
      <c r="AE2324" s="631" t="str">
        <f t="shared" si="1819"/>
        <v/>
      </c>
      <c r="AF2324" s="699" t="str">
        <f t="shared" si="1820"/>
        <v/>
      </c>
      <c r="AG2324" s="699"/>
      <c r="AH2324" s="699"/>
      <c r="AI2324" s="512">
        <f>IF(H2324="credit",0,IF(AE2324="free",0,IF(AE2324="me",0,IF(G2324&gt;0,(VLOOKUP(A2324,'Discount Lookup'!J:K,2)*G2324),0))))</f>
        <v>0</v>
      </c>
      <c r="AJ2324" s="513" t="str">
        <f t="shared" ca="1" si="1821"/>
        <v/>
      </c>
      <c r="AK2324" s="700" t="str">
        <f t="shared" si="1822"/>
        <v/>
      </c>
      <c r="AL2324" s="700"/>
      <c r="AM2324" s="505" t="str">
        <f t="shared" si="1823"/>
        <v/>
      </c>
      <c r="AN2324" s="506"/>
      <c r="AO2324" s="507"/>
      <c r="AP2324" s="507"/>
      <c r="AQ2324" s="507"/>
      <c r="AR2324" s="507"/>
      <c r="AS2324" s="507"/>
      <c r="AT2324" s="507"/>
      <c r="AU2324" s="507"/>
      <c r="AV2324" s="225"/>
      <c r="AW2324" s="508"/>
      <c r="AX2324" s="225"/>
      <c r="AY2324" s="225"/>
      <c r="AZ2324" s="225"/>
      <c r="BA2324" s="225"/>
      <c r="BB2324" s="225"/>
      <c r="BC2324" s="56"/>
      <c r="BD2324" s="56"/>
      <c r="BE2324" s="56"/>
      <c r="BF2324" s="107" t="str">
        <f t="shared" si="1824"/>
        <v>https://www.google.com/search?tbm=isch&amp;q=3%20G5</v>
      </c>
      <c r="BG2324" s="107" t="str">
        <f t="shared" si="1825"/>
        <v>L</v>
      </c>
      <c r="BH2324" s="254"/>
      <c r="BI2324" s="254"/>
    </row>
    <row r="2325" spans="1:61" customFormat="1" ht="15.75" x14ac:dyDescent="0.25">
      <c r="A2325" s="485">
        <v>7</v>
      </c>
      <c r="B2325" s="486" t="s">
        <v>291</v>
      </c>
      <c r="C2325" s="487" t="s">
        <v>3266</v>
      </c>
      <c r="D2325" s="488" t="s">
        <v>299</v>
      </c>
      <c r="E2325" s="489">
        <v>68.95</v>
      </c>
      <c r="F2325" s="516" t="s">
        <v>293</v>
      </c>
      <c r="G2325" s="232">
        <v>0</v>
      </c>
      <c r="H2325" s="658" t="str">
        <f>IF(G2325=0,"",IF(F2325="Buy",IF(G2325=1,"plant","plants"),IF(F2325&gt;0.01,"warranty","Error")))</f>
        <v/>
      </c>
      <c r="I2325" s="490">
        <f>IF(H2325="free",0,IF(H2325="credit",((E2325*(F2325))*G2325*-1),IF(F2325="Buy",(E2325*G2325),((E2325*(1-F2325))*G2325))))</f>
        <v>0</v>
      </c>
      <c r="J2325" s="490">
        <f>IF(H2325="warranty",0,(I2325*(_xlfn.SINGLE(SalesTaxPercentage))))</f>
        <v>0</v>
      </c>
      <c r="K2325" s="695">
        <f t="shared" ref="K2325" si="1829">I2325+J2325</f>
        <v>0</v>
      </c>
      <c r="L2325" s="695"/>
      <c r="M2325" s="659" t="str">
        <f>IF(AND(G2325&gt;0,E2325=0),"WARNING - no PRICE inserted",IF(H2325="free"," FREE ~ no charge this plant",IF(H2325="credit",CONCATENATE(" -$",ROUND(K2325*(1-T2GDiscount)*-1,2)," CREDIT after discount"),IF(T2GDiscount=0,"",IF(G2325=0,"",IF(F2325="Buy",CONCATENATE(" $",ROUND(K2325*(1-T2GDiscount),2)," with ",(T2GDiscount*100),"% discount"),CONCATENATE(" $",ROUND(K2325*(1-T2GDiscount),2)," with ",((T2GDiscount*100+F2325*100)-(T2GDiscount*100*F2325)),IF(F2325&gt;0,"% discounts",IF(NoWarrantyDiscount&gt;0,"% discounts","% discount")))))))))</f>
        <v/>
      </c>
      <c r="N2325" s="660"/>
      <c r="O2325" s="233"/>
      <c r="P2325" s="233"/>
      <c r="Q2325" s="233"/>
      <c r="R2325" s="233"/>
      <c r="S2325" s="233"/>
      <c r="T2325" s="508">
        <f t="shared" si="1813"/>
        <v>0</v>
      </c>
      <c r="U2325" s="225">
        <f>IF(NOT(ISNUMBER(G2325)), "", VLOOKUP(A2325,'Discount Lookup'!D:E,2,FALSE)*G2325)</f>
        <v>0</v>
      </c>
      <c r="V2325" s="225">
        <f>IF(NOT(ISNUMBER(G2325)), "", VLOOKUP(A2325,'Discount Lookup'!G:H,2,FALSE)*G2325)</f>
        <v>0</v>
      </c>
      <c r="W2325" s="508">
        <f t="shared" si="1814"/>
        <v>0</v>
      </c>
      <c r="X2325" s="508">
        <f t="shared" si="1815"/>
        <v>0</v>
      </c>
      <c r="Y2325" s="509" t="b">
        <f t="shared" si="1816"/>
        <v>0</v>
      </c>
      <c r="Z2325" s="510">
        <f t="shared" si="1817"/>
        <v>0</v>
      </c>
      <c r="AA2325" s="511"/>
      <c r="AB2325" s="511" t="str">
        <f t="shared" si="1818"/>
        <v/>
      </c>
      <c r="AC2325" s="698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698"/>
      <c r="AE2325" s="631" t="str">
        <f t="shared" si="1819"/>
        <v/>
      </c>
      <c r="AF2325" s="699" t="str">
        <f t="shared" si="1820"/>
        <v/>
      </c>
      <c r="AG2325" s="699"/>
      <c r="AH2325" s="699"/>
      <c r="AI2325" s="512">
        <f>IF(H2325="credit",0,IF(AE2325="free",0,IF(AE2325="me",0,IF(G2325&gt;0,(VLOOKUP(A2325,'Discount Lookup'!J:K,2)*G2325),0))))</f>
        <v>0</v>
      </c>
      <c r="AJ2325" s="513" t="str">
        <f t="shared" ca="1" si="1821"/>
        <v/>
      </c>
      <c r="AK2325" s="700" t="str">
        <f t="shared" si="1822"/>
        <v/>
      </c>
      <c r="AL2325" s="700"/>
      <c r="AM2325" s="505" t="str">
        <f t="shared" si="1823"/>
        <v/>
      </c>
      <c r="AN2325" s="506"/>
      <c r="AO2325" s="507"/>
      <c r="AP2325" s="507"/>
      <c r="AQ2325" s="507"/>
      <c r="AR2325" s="507"/>
      <c r="AS2325" s="507"/>
      <c r="AT2325" s="507"/>
      <c r="AU2325" s="507"/>
      <c r="AV2325" s="225"/>
      <c r="AW2325" s="508"/>
      <c r="AX2325" s="225"/>
      <c r="AY2325" s="225"/>
      <c r="AZ2325" s="225"/>
      <c r="BA2325" s="225"/>
      <c r="BB2325" s="225"/>
      <c r="BC2325" s="56"/>
      <c r="BD2325" s="56"/>
      <c r="BE2325" s="56"/>
      <c r="BF2325" s="107" t="str">
        <f t="shared" si="1824"/>
        <v>https://www.google.com/search?tbm=isch&amp;q=7%20G5</v>
      </c>
      <c r="BG2325" s="107" t="str">
        <f t="shared" si="1825"/>
        <v>L</v>
      </c>
      <c r="BH2325" s="254"/>
      <c r="BI2325" s="254"/>
    </row>
    <row r="2326" spans="1:61" customFormat="1" ht="17.25" thickBot="1" x14ac:dyDescent="0.3">
      <c r="A2326" s="522" t="s">
        <v>2161</v>
      </c>
      <c r="B2326" s="491"/>
      <c r="C2326" s="675"/>
      <c r="D2326" s="491"/>
      <c r="E2326" s="491"/>
      <c r="F2326" s="492"/>
      <c r="G2326" s="493"/>
      <c r="H2326" s="491"/>
      <c r="I2326" s="234"/>
      <c r="J2326" s="234"/>
      <c r="K2326" s="494"/>
      <c r="L2326" s="543"/>
      <c r="M2326" s="561"/>
      <c r="N2326" s="495"/>
      <c r="O2326" s="496"/>
      <c r="P2326" s="497"/>
      <c r="Q2326" s="495"/>
      <c r="R2326" s="495"/>
      <c r="S2326" s="667" t="s">
        <v>5000</v>
      </c>
      <c r="T2326" s="508">
        <f t="shared" si="1813"/>
        <v>0</v>
      </c>
      <c r="U2326" s="225" t="str">
        <f>IF(NOT(ISNUMBER(G2326)), "", VLOOKUP(A2326,'Discount Lookup'!D:E,2,FALSE)*G2326)</f>
        <v/>
      </c>
      <c r="V2326" s="225" t="str">
        <f>IF(NOT(ISNUMBER(G2326)), "", VLOOKUP(A2326,'Discount Lookup'!G:H,2,FALSE)*G2326)</f>
        <v/>
      </c>
      <c r="W2326" s="508">
        <f t="shared" si="1814"/>
        <v>0</v>
      </c>
      <c r="X2326" s="508">
        <f t="shared" si="1815"/>
        <v>0</v>
      </c>
      <c r="Y2326" s="509" t="b">
        <f t="shared" si="1816"/>
        <v>0</v>
      </c>
      <c r="Z2326" s="510">
        <f t="shared" si="1817"/>
        <v>0</v>
      </c>
      <c r="AA2326" s="511"/>
      <c r="AB2326" s="511" t="str">
        <f t="shared" si="1818"/>
        <v/>
      </c>
      <c r="AC2326" s="698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698"/>
      <c r="AE2326" s="631" t="str">
        <f t="shared" si="1819"/>
        <v/>
      </c>
      <c r="AF2326" s="699" t="str">
        <f t="shared" si="1820"/>
        <v/>
      </c>
      <c r="AG2326" s="699"/>
      <c r="AH2326" s="699"/>
      <c r="AI2326" s="512">
        <f>IF(H2326="credit",0,IF(AE2326="free",0,IF(AE2326="me",0,IF(G2326&gt;0,(VLOOKUP(A2326,'Discount Lookup'!J:K,2)*G2326),0))))</f>
        <v>0</v>
      </c>
      <c r="AJ2326" s="513" t="str">
        <f t="shared" ca="1" si="1821"/>
        <v/>
      </c>
      <c r="AK2326" s="700" t="str">
        <f t="shared" si="1822"/>
        <v/>
      </c>
      <c r="AL2326" s="700"/>
      <c r="AM2326" s="505" t="str">
        <f t="shared" si="1823"/>
        <v/>
      </c>
      <c r="AN2326" s="506"/>
      <c r="AO2326" s="507"/>
      <c r="AP2326" s="507"/>
      <c r="AQ2326" s="507"/>
      <c r="AR2326" s="507"/>
      <c r="AS2326" s="507"/>
      <c r="AT2326" s="507"/>
      <c r="AU2326" s="507"/>
      <c r="AV2326" s="225"/>
      <c r="AW2326" s="508"/>
      <c r="AX2326" s="225"/>
      <c r="AY2326" s="225"/>
      <c r="AZ2326" s="225"/>
      <c r="BA2326" s="225"/>
      <c r="BB2326" s="225"/>
      <c r="BC2326" s="56"/>
      <c r="BD2326" s="56"/>
      <c r="BE2326" s="56"/>
      <c r="BF2326" s="107" t="str">
        <f t="shared" si="1824"/>
        <v>https://www.google.com/search?tbm=isch&amp;q=Longleaf%20is%20state%20tree%20of%20NC%20%28Dogwood%20is%20state%20flower%29.%20Cones%20are%20the%20largest%20of%20any%20Pine%20around%20here%20</v>
      </c>
      <c r="BG2326" s="107" t="str">
        <f t="shared" si="1825"/>
        <v>L</v>
      </c>
      <c r="BH2326" s="254"/>
      <c r="BI2326" s="254"/>
    </row>
    <row r="2327" spans="1:61" customFormat="1" ht="18" x14ac:dyDescent="0.25">
      <c r="A2327" s="521" t="s">
        <v>1293</v>
      </c>
      <c r="B2327" s="477"/>
      <c r="C2327" s="674"/>
      <c r="D2327" s="478" t="s">
        <v>1294</v>
      </c>
      <c r="E2327" s="479"/>
      <c r="F2327" s="479"/>
      <c r="G2327" s="479"/>
      <c r="H2327" s="582" t="s">
        <v>366</v>
      </c>
      <c r="I2327" s="480" t="s">
        <v>827</v>
      </c>
      <c r="J2327" s="479"/>
      <c r="K2327" s="479"/>
      <c r="L2327" s="560"/>
      <c r="M2327" s="666" t="s">
        <v>4963</v>
      </c>
      <c r="N2327" s="680" t="str">
        <f>IF(AND(ISTEXT($A2327), ISERROR($A2327+0)), HYPERLINK($BF2327, "Images"), "")</f>
        <v>Images</v>
      </c>
      <c r="O2327" s="662" t="s">
        <v>4969</v>
      </c>
      <c r="P2327" s="482"/>
      <c r="Q2327" s="483"/>
      <c r="R2327" s="483"/>
      <c r="S2327" s="484"/>
      <c r="T2327" s="508">
        <f t="shared" si="1813"/>
        <v>0</v>
      </c>
      <c r="U2327" s="225" t="str">
        <f>IF(NOT(ISNUMBER(G2327)), "", VLOOKUP(A2327,'Discount Lookup'!D:E,2,FALSE)*G2327)</f>
        <v/>
      </c>
      <c r="V2327" s="225" t="str">
        <f>IF(NOT(ISNUMBER(G2327)), "", VLOOKUP(A2327,'Discount Lookup'!G:H,2,FALSE)*G2327)</f>
        <v/>
      </c>
      <c r="W2327" s="508">
        <f t="shared" si="1814"/>
        <v>0</v>
      </c>
      <c r="X2327" s="508" t="str">
        <f t="shared" si="1815"/>
        <v>Creamy White bloom</v>
      </c>
      <c r="Y2327" s="509" t="b">
        <f t="shared" si="1816"/>
        <v>0</v>
      </c>
      <c r="Z2327" s="510">
        <f t="shared" si="1817"/>
        <v>0</v>
      </c>
      <c r="AA2327" s="511"/>
      <c r="AB2327" s="511" t="str">
        <f t="shared" si="1818"/>
        <v/>
      </c>
      <c r="AC2327" s="698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698"/>
      <c r="AE2327" s="631" t="str">
        <f t="shared" si="1819"/>
        <v/>
      </c>
      <c r="AF2327" s="699" t="str">
        <f t="shared" si="1820"/>
        <v/>
      </c>
      <c r="AG2327" s="699"/>
      <c r="AH2327" s="699"/>
      <c r="AI2327" s="512">
        <f>IF(H2327="credit",0,IF(AE2327="free",0,IF(AE2327="me",0,IF(G2327&gt;0,(VLOOKUP(A2327,'Discount Lookup'!J:K,2)*G2327),0))))</f>
        <v>0</v>
      </c>
      <c r="AJ2327" s="513" t="str">
        <f t="shared" ca="1" si="1821"/>
        <v/>
      </c>
      <c r="AK2327" s="700" t="str">
        <f t="shared" si="1822"/>
        <v/>
      </c>
      <c r="AL2327" s="700"/>
      <c r="AM2327" s="505" t="str">
        <f t="shared" si="1823"/>
        <v/>
      </c>
      <c r="AN2327" s="506"/>
      <c r="AO2327" s="507"/>
      <c r="AP2327" s="507"/>
      <c r="AQ2327" s="507"/>
      <c r="AR2327" s="507"/>
      <c r="AS2327" s="507"/>
      <c r="AT2327" s="507"/>
      <c r="AU2327" s="507"/>
      <c r="AV2327" s="225"/>
      <c r="AW2327" s="508"/>
      <c r="AX2327" s="225"/>
      <c r="AY2327" s="225"/>
      <c r="AZ2327" s="225"/>
      <c r="BA2327" s="225"/>
      <c r="BB2327" s="225"/>
      <c r="BC2327" s="56"/>
      <c r="BD2327" s="56"/>
      <c r="BE2327" s="56"/>
      <c r="BF2327" s="107" t="str">
        <f t="shared" si="1824"/>
        <v>https://www.google.com/search?tbm=isch&amp;q=Loquat%2C%20Japanese%20Plum%20Eriobotrya%20japonica</v>
      </c>
      <c r="BG2327" s="107" t="str">
        <f t="shared" si="1825"/>
        <v>L</v>
      </c>
      <c r="BH2327" s="254"/>
      <c r="BI2327" s="254"/>
    </row>
    <row r="2328" spans="1:61" customFormat="1" ht="15.75" x14ac:dyDescent="0.25">
      <c r="A2328" s="485">
        <v>15</v>
      </c>
      <c r="B2328" s="486" t="s">
        <v>291</v>
      </c>
      <c r="C2328" s="487" t="s">
        <v>3081</v>
      </c>
      <c r="D2328" s="488" t="s">
        <v>300</v>
      </c>
      <c r="E2328" s="489">
        <v>170.95</v>
      </c>
      <c r="F2328" s="516" t="s">
        <v>293</v>
      </c>
      <c r="G2328" s="232">
        <v>0</v>
      </c>
      <c r="H2328" s="658" t="str">
        <f>IF(G2328=0,"",IF(F2328="Buy",IF(G2328=1,"plant","plants"),IF(F2328&gt;0.01,"warranty","Error")))</f>
        <v/>
      </c>
      <c r="I2328" s="490">
        <f>IF(H2328="free",0,IF(H2328="credit",((E2328*(F2328))*G2328*-1),IF(F2328="Buy",(E2328*G2328),((E2328*(1-F2328))*G2328))))</f>
        <v>0</v>
      </c>
      <c r="J2328" s="490">
        <f>IF(H2328="warranty",0,(I2328*(_xlfn.SINGLE(SalesTaxPercentage))))</f>
        <v>0</v>
      </c>
      <c r="K2328" s="695">
        <f t="shared" ref="K2328" si="1830">I2328+J2328</f>
        <v>0</v>
      </c>
      <c r="L2328" s="695"/>
      <c r="M2328" s="659" t="str">
        <f>IF(AND(G2328&gt;0,E2328=0),"WARNING - no PRICE inserted",IF(H2328="free"," FREE ~ no charge this plant",IF(H2328="credit",CONCATENATE(" -$",ROUND(K2328*(1-T2GDiscount)*-1,2)," CREDIT after discount"),IF(T2GDiscount=0,"",IF(G2328=0,"",IF(F2328="Buy",CONCATENATE(" $",ROUND(K2328*(1-T2GDiscount),2)," with ",(T2GDiscount*100),"% discount"),CONCATENATE(" $",ROUND(K2328*(1-T2GDiscount),2)," with ",((T2GDiscount*100+F2328*100)-(T2GDiscount*100*F2328)),IF(F2328&gt;0,"% discounts",IF(NoWarrantyDiscount&gt;0,"% discounts","% discount")))))))))</f>
        <v/>
      </c>
      <c r="N2328" s="660"/>
      <c r="O2328" s="233"/>
      <c r="P2328" s="233"/>
      <c r="Q2328" s="233"/>
      <c r="R2328" s="233"/>
      <c r="S2328" s="233"/>
      <c r="T2328" s="508">
        <f t="shared" si="1813"/>
        <v>0</v>
      </c>
      <c r="U2328" s="225">
        <f>IF(NOT(ISNUMBER(G2328)), "", VLOOKUP(A2328,'Discount Lookup'!D:E,2,FALSE)*G2328)</f>
        <v>0</v>
      </c>
      <c r="V2328" s="225">
        <f>IF(NOT(ISNUMBER(G2328)), "", VLOOKUP(A2328,'Discount Lookup'!G:H,2,FALSE)*G2328)</f>
        <v>0</v>
      </c>
      <c r="W2328" s="508">
        <f t="shared" si="1814"/>
        <v>0</v>
      </c>
      <c r="X2328" s="508">
        <f t="shared" si="1815"/>
        <v>0</v>
      </c>
      <c r="Y2328" s="509" t="b">
        <f t="shared" si="1816"/>
        <v>0</v>
      </c>
      <c r="Z2328" s="510">
        <f t="shared" si="1817"/>
        <v>0</v>
      </c>
      <c r="AA2328" s="511"/>
      <c r="AB2328" s="511" t="str">
        <f t="shared" si="1818"/>
        <v/>
      </c>
      <c r="AC2328" s="698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698"/>
      <c r="AE2328" s="631" t="str">
        <f t="shared" si="1819"/>
        <v/>
      </c>
      <c r="AF2328" s="699" t="str">
        <f t="shared" si="1820"/>
        <v/>
      </c>
      <c r="AG2328" s="699"/>
      <c r="AH2328" s="699"/>
      <c r="AI2328" s="512">
        <f>IF(H2328="credit",0,IF(AE2328="free",0,IF(AE2328="me",0,IF(G2328&gt;0,(VLOOKUP(A2328,'Discount Lookup'!J:K,2)*G2328),0))))</f>
        <v>0</v>
      </c>
      <c r="AJ2328" s="513" t="str">
        <f t="shared" ca="1" si="1821"/>
        <v/>
      </c>
      <c r="AK2328" s="700" t="str">
        <f t="shared" si="1822"/>
        <v/>
      </c>
      <c r="AL2328" s="700"/>
      <c r="AM2328" s="505" t="str">
        <f t="shared" si="1823"/>
        <v/>
      </c>
      <c r="AN2328" s="506"/>
      <c r="AO2328" s="507"/>
      <c r="AP2328" s="507"/>
      <c r="AQ2328" s="507"/>
      <c r="AR2328" s="507"/>
      <c r="AS2328" s="507"/>
      <c r="AT2328" s="507"/>
      <c r="AU2328" s="507"/>
      <c r="AV2328" s="225"/>
      <c r="AW2328" s="508"/>
      <c r="AX2328" s="225"/>
      <c r="AY2328" s="225"/>
      <c r="AZ2328" s="225"/>
      <c r="BA2328" s="225"/>
      <c r="BB2328" s="225"/>
      <c r="BC2328" s="56"/>
      <c r="BD2328" s="56"/>
      <c r="BE2328" s="56"/>
      <c r="BF2328" s="107" t="str">
        <f t="shared" si="1824"/>
        <v>https://www.google.com/search?tbm=isch&amp;q=15%20G6</v>
      </c>
      <c r="BG2328" s="107" t="str">
        <f t="shared" si="1825"/>
        <v>L</v>
      </c>
      <c r="BH2328" s="254"/>
      <c r="BI2328" s="254"/>
    </row>
    <row r="2329" spans="1:61" customFormat="1" ht="16.5" thickBot="1" x14ac:dyDescent="0.3">
      <c r="A2329" s="522" t="s">
        <v>2430</v>
      </c>
      <c r="B2329" s="491"/>
      <c r="C2329" s="675"/>
      <c r="D2329" s="491"/>
      <c r="E2329" s="491"/>
      <c r="F2329" s="492"/>
      <c r="G2329" s="493"/>
      <c r="H2329" s="491"/>
      <c r="I2329" s="234"/>
      <c r="J2329" s="234"/>
      <c r="K2329" s="494"/>
      <c r="L2329" s="543"/>
      <c r="M2329" s="561"/>
      <c r="N2329" s="495"/>
      <c r="O2329" s="496"/>
      <c r="P2329" s="497"/>
      <c r="Q2329" s="495"/>
      <c r="R2329" s="495"/>
      <c r="S2329" s="277"/>
      <c r="T2329" s="508">
        <f t="shared" si="1813"/>
        <v>0</v>
      </c>
      <c r="U2329" s="225" t="str">
        <f>IF(NOT(ISNUMBER(G2329)), "", VLOOKUP(A2329,'Discount Lookup'!D:E,2,FALSE)*G2329)</f>
        <v/>
      </c>
      <c r="V2329" s="225" t="str">
        <f>IF(NOT(ISNUMBER(G2329)), "", VLOOKUP(A2329,'Discount Lookup'!G:H,2,FALSE)*G2329)</f>
        <v/>
      </c>
      <c r="W2329" s="508">
        <f t="shared" si="1814"/>
        <v>0</v>
      </c>
      <c r="X2329" s="508">
        <f t="shared" si="1815"/>
        <v>0</v>
      </c>
      <c r="Y2329" s="509" t="b">
        <f t="shared" si="1816"/>
        <v>0</v>
      </c>
      <c r="Z2329" s="510">
        <f t="shared" si="1817"/>
        <v>0</v>
      </c>
      <c r="AA2329" s="511"/>
      <c r="AB2329" s="511" t="str">
        <f t="shared" si="1818"/>
        <v/>
      </c>
      <c r="AC2329" s="698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698"/>
      <c r="AE2329" s="631" t="str">
        <f t="shared" si="1819"/>
        <v/>
      </c>
      <c r="AF2329" s="699" t="str">
        <f t="shared" si="1820"/>
        <v/>
      </c>
      <c r="AG2329" s="699"/>
      <c r="AH2329" s="699"/>
      <c r="AI2329" s="512">
        <f>IF(H2329="credit",0,IF(AE2329="free",0,IF(AE2329="me",0,IF(G2329&gt;0,(VLOOKUP(A2329,'Discount Lookup'!J:K,2)*G2329),0))))</f>
        <v>0</v>
      </c>
      <c r="AJ2329" s="513" t="str">
        <f t="shared" ca="1" si="1821"/>
        <v/>
      </c>
      <c r="AK2329" s="700" t="str">
        <f t="shared" si="1822"/>
        <v/>
      </c>
      <c r="AL2329" s="700"/>
      <c r="AM2329" s="505" t="str">
        <f t="shared" si="1823"/>
        <v/>
      </c>
      <c r="AN2329" s="506"/>
      <c r="AO2329" s="507"/>
      <c r="AP2329" s="507"/>
      <c r="AQ2329" s="507"/>
      <c r="AR2329" s="507"/>
      <c r="AS2329" s="507"/>
      <c r="AT2329" s="507"/>
      <c r="AU2329" s="507"/>
      <c r="AV2329" s="225"/>
      <c r="AW2329" s="508"/>
      <c r="AX2329" s="225"/>
      <c r="AY2329" s="225"/>
      <c r="AZ2329" s="225"/>
      <c r="BA2329" s="225"/>
      <c r="BB2329" s="225"/>
      <c r="BC2329" s="56"/>
      <c r="BD2329" s="56"/>
      <c r="BE2329" s="56"/>
      <c r="BF2329" s="107" t="str">
        <f t="shared" si="1824"/>
        <v>https://www.google.com/search?tbm=isch&amp;q=Loquat%20flesh%20is%20succulent%2C%20sweet%2C%20tangy%2C%20and%20tastes%20like%20mix%20of%20peach%2C%20citrus%20%26%20mild%20mango.%20Fragrant%20blooms%20</v>
      </c>
      <c r="BG2329" s="107" t="str">
        <f t="shared" si="1825"/>
        <v>L</v>
      </c>
      <c r="BH2329" s="254"/>
      <c r="BI2329" s="254"/>
    </row>
    <row r="2330" spans="1:61" customFormat="1" ht="18" x14ac:dyDescent="0.25">
      <c r="A2330" s="523" t="s">
        <v>5606</v>
      </c>
      <c r="B2330" s="235"/>
      <c r="C2330" s="676"/>
      <c r="D2330" s="255" t="s">
        <v>1295</v>
      </c>
      <c r="E2330" s="236"/>
      <c r="F2330" s="236"/>
      <c r="G2330" s="236"/>
      <c r="H2330" s="582" t="s">
        <v>3275</v>
      </c>
      <c r="I2330" s="498" t="s">
        <v>654</v>
      </c>
      <c r="J2330" s="237"/>
      <c r="K2330" s="237"/>
      <c r="L2330" s="274"/>
      <c r="M2330" s="668" t="s">
        <v>4975</v>
      </c>
      <c r="N2330" s="681" t="str">
        <f>IF(AND(ISTEXT($A2330), ISERROR($A2330+0)), HYPERLINK($BF2330, "Images"), "")</f>
        <v>Images</v>
      </c>
      <c r="O2330" s="663" t="s">
        <v>4967</v>
      </c>
      <c r="P2330" s="253"/>
      <c r="Q2330" s="238"/>
      <c r="R2330" s="239"/>
      <c r="S2330" s="275" t="s">
        <v>305</v>
      </c>
      <c r="T2330" s="508">
        <f t="shared" si="1813"/>
        <v>0</v>
      </c>
      <c r="U2330" s="225" t="str">
        <f>IF(NOT(ISNUMBER(G2330)), "", VLOOKUP(A2330,'Discount Lookup'!D:E,2,FALSE)*G2330)</f>
        <v/>
      </c>
      <c r="V2330" s="225" t="str">
        <f>IF(NOT(ISNUMBER(G2330)), "", VLOOKUP(A2330,'Discount Lookup'!G:H,2,FALSE)*G2330)</f>
        <v/>
      </c>
      <c r="W2330" s="508">
        <f t="shared" si="1814"/>
        <v>0</v>
      </c>
      <c r="X2330" s="508" t="str">
        <f t="shared" si="1815"/>
        <v>White bloom</v>
      </c>
      <c r="Y2330" s="509" t="b">
        <f t="shared" si="1816"/>
        <v>0</v>
      </c>
      <c r="Z2330" s="510">
        <f t="shared" si="1817"/>
        <v>0</v>
      </c>
      <c r="AA2330" s="511"/>
      <c r="AB2330" s="511" t="str">
        <f t="shared" si="1818"/>
        <v/>
      </c>
      <c r="AC2330" s="698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698"/>
      <c r="AE2330" s="631" t="str">
        <f t="shared" si="1819"/>
        <v/>
      </c>
      <c r="AF2330" s="699" t="str">
        <f t="shared" si="1820"/>
        <v/>
      </c>
      <c r="AG2330" s="699"/>
      <c r="AH2330" s="699"/>
      <c r="AI2330" s="512">
        <f>IF(H2330="credit",0,IF(AE2330="free",0,IF(AE2330="me",0,IF(G2330&gt;0,(VLOOKUP(A2330,'Discount Lookup'!J:K,2)*G2330),0))))</f>
        <v>0</v>
      </c>
      <c r="AJ2330" s="513" t="str">
        <f t="shared" ca="1" si="1821"/>
        <v/>
      </c>
      <c r="AK2330" s="700" t="str">
        <f t="shared" si="1822"/>
        <v/>
      </c>
      <c r="AL2330" s="700"/>
      <c r="AM2330" s="505" t="str">
        <f t="shared" si="1823"/>
        <v/>
      </c>
      <c r="AN2330" s="506"/>
      <c r="AO2330" s="507"/>
      <c r="AP2330" s="507"/>
      <c r="AQ2330" s="507"/>
      <c r="AR2330" s="507"/>
      <c r="AS2330" s="507"/>
      <c r="AT2330" s="507"/>
      <c r="AU2330" s="507"/>
      <c r="AV2330" s="225"/>
      <c r="AW2330" s="508"/>
      <c r="AX2330" s="225"/>
      <c r="AY2330" s="225"/>
      <c r="AZ2330" s="225"/>
      <c r="BA2330" s="225"/>
      <c r="BB2330" s="225"/>
      <c r="BC2330" s="56"/>
      <c r="BD2330" s="56"/>
      <c r="BE2330" s="56"/>
      <c r="BF2330" s="107" t="str">
        <f t="shared" si="1824"/>
        <v>https://www.google.com/search?tbm=isch&amp;q=Low%20Scape%20Mound%C2%AE%20Aronia%20%28PW%C2%AE%29%20Aronia%20melanocarpa%20%27UCONNAM165%27%20PP%2328789</v>
      </c>
      <c r="BG2330" s="107" t="str">
        <f t="shared" si="1825"/>
        <v>L</v>
      </c>
      <c r="BH2330" s="254"/>
      <c r="BI2330" s="254"/>
    </row>
    <row r="2331" spans="1:61" customFormat="1" ht="15.75" x14ac:dyDescent="0.25">
      <c r="A2331" s="276">
        <v>3</v>
      </c>
      <c r="B2331" s="240" t="s">
        <v>291</v>
      </c>
      <c r="C2331" s="241"/>
      <c r="D2331" s="242" t="s">
        <v>298</v>
      </c>
      <c r="E2331" s="243">
        <v>39.950000000000003</v>
      </c>
      <c r="F2331" s="517" t="s">
        <v>293</v>
      </c>
      <c r="G2331" s="232">
        <v>0</v>
      </c>
      <c r="H2331" s="661" t="str">
        <f>IF(G2331=0,"",IF(F2331="Buy",IF(G2331=1,"plant","plants"),IF(F2331&gt;0.01,"warranty","Error")))</f>
        <v/>
      </c>
      <c r="I2331" s="244">
        <f>IF(H2331="free",0,IF(H2331="credit",((E2331*(F2331))*G2331*-1),IF(F2331="Buy",(E2331*G2331),((E2331*(1-F2331))*G2331))))</f>
        <v>0</v>
      </c>
      <c r="J2331" s="244">
        <f>IF(H2331="warranty",0,(I2331*(_xlfn.SINGLE(SalesTaxPercentage))))</f>
        <v>0</v>
      </c>
      <c r="K2331" s="696">
        <f t="shared" ref="K2331" si="1831">I2331+J2331</f>
        <v>0</v>
      </c>
      <c r="L2331" s="696"/>
      <c r="M2331" s="659" t="str">
        <f>IF(AND(G2331&gt;0,E2331=0),"WARNING - no PRICE inserted",IF(H2331="free"," FREE ~ no charge this plant",IF(H2331="credit",CONCATENATE(" -$",ROUND(K2331*(1-T2GDiscount)*-1,2)," CREDIT after discount"),IF(T2GDiscount=0,"",IF(G2331=0,"",IF(F2331="Buy",CONCATENATE(" $",ROUND(K2331*(1-T2GDiscount),2)," with ",(T2GDiscount*100),"% discount"),CONCATENATE(" $",ROUND(K2331*(1-T2GDiscount),2)," with ",((T2GDiscount*100+F2331*100)-(T2GDiscount*100*F2331)),IF(F2331&gt;0,"% discounts",IF(NoWarrantyDiscount&gt;0,"% discounts","% discount")))))))))</f>
        <v/>
      </c>
      <c r="N2331" s="660"/>
      <c r="O2331" s="233"/>
      <c r="P2331" s="233"/>
      <c r="Q2331" s="233"/>
      <c r="R2331" s="233"/>
      <c r="S2331" s="233"/>
      <c r="T2331" s="508">
        <f t="shared" si="1813"/>
        <v>0</v>
      </c>
      <c r="U2331" s="225">
        <f>IF(NOT(ISNUMBER(G2331)), "", VLOOKUP(A2331,'Discount Lookup'!D:E,2,FALSE)*G2331)</f>
        <v>0</v>
      </c>
      <c r="V2331" s="225">
        <f>IF(NOT(ISNUMBER(G2331)), "", VLOOKUP(A2331,'Discount Lookup'!G:H,2,FALSE)*G2331)</f>
        <v>0</v>
      </c>
      <c r="W2331" s="508">
        <f t="shared" si="1814"/>
        <v>0</v>
      </c>
      <c r="X2331" s="508">
        <f t="shared" si="1815"/>
        <v>0</v>
      </c>
      <c r="Y2331" s="509" t="b">
        <f t="shared" si="1816"/>
        <v>0</v>
      </c>
      <c r="Z2331" s="510">
        <f t="shared" si="1817"/>
        <v>0</v>
      </c>
      <c r="AA2331" s="511"/>
      <c r="AB2331" s="511" t="str">
        <f t="shared" si="1818"/>
        <v/>
      </c>
      <c r="AC2331" s="698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698"/>
      <c r="AE2331" s="631" t="str">
        <f t="shared" si="1819"/>
        <v/>
      </c>
      <c r="AF2331" s="699" t="str">
        <f t="shared" si="1820"/>
        <v/>
      </c>
      <c r="AG2331" s="699"/>
      <c r="AH2331" s="699"/>
      <c r="AI2331" s="512">
        <f>IF(H2331="credit",0,IF(AE2331="free",0,IF(AE2331="me",0,IF(G2331&gt;0,(VLOOKUP(A2331,'Discount Lookup'!J:K,2)*G2331),0))))</f>
        <v>0</v>
      </c>
      <c r="AJ2331" s="513" t="str">
        <f t="shared" ca="1" si="1821"/>
        <v/>
      </c>
      <c r="AK2331" s="700" t="str">
        <f t="shared" si="1822"/>
        <v/>
      </c>
      <c r="AL2331" s="700"/>
      <c r="AM2331" s="505" t="str">
        <f t="shared" si="1823"/>
        <v/>
      </c>
      <c r="AN2331" s="506"/>
      <c r="AO2331" s="507"/>
      <c r="AP2331" s="507"/>
      <c r="AQ2331" s="507"/>
      <c r="AR2331" s="507"/>
      <c r="AS2331" s="507"/>
      <c r="AT2331" s="507"/>
      <c r="AU2331" s="507"/>
      <c r="AV2331" s="225"/>
      <c r="AW2331" s="508"/>
      <c r="AX2331" s="225"/>
      <c r="AY2331" s="225"/>
      <c r="AZ2331" s="225"/>
      <c r="BA2331" s="225"/>
      <c r="BB2331" s="225"/>
      <c r="BC2331" s="56"/>
      <c r="BD2331" s="56"/>
      <c r="BE2331" s="56"/>
      <c r="BF2331" s="107" t="str">
        <f t="shared" si="1824"/>
        <v>https://www.google.com/search?tbm=isch&amp;q=3%20G1</v>
      </c>
      <c r="BG2331" s="107" t="str">
        <f t="shared" si="1825"/>
        <v>L</v>
      </c>
      <c r="BH2331" s="254"/>
      <c r="BI2331" s="254"/>
    </row>
    <row r="2332" spans="1:61" customFormat="1" ht="27" x14ac:dyDescent="0.25">
      <c r="A2332" s="276">
        <v>3</v>
      </c>
      <c r="B2332" s="240" t="s">
        <v>291</v>
      </c>
      <c r="C2332" s="241" t="s">
        <v>4530</v>
      </c>
      <c r="D2332" s="242" t="s">
        <v>299</v>
      </c>
      <c r="E2332" s="243">
        <v>42.95</v>
      </c>
      <c r="F2332" s="517" t="s">
        <v>293</v>
      </c>
      <c r="G2332" s="232">
        <v>0</v>
      </c>
      <c r="H2332" s="661" t="str">
        <f>IF(G2332=0,"",IF(F2332="Buy",IF(G2332=1,"plant","plants"),IF(F2332&gt;0.01,"warranty","Error")))</f>
        <v/>
      </c>
      <c r="I2332" s="244">
        <f>IF(H2332="free",0,IF(H2332="credit",((E2332*(F2332))*G2332*-1),IF(F2332="Buy",(E2332*G2332),((E2332*(1-F2332))*G2332))))</f>
        <v>0</v>
      </c>
      <c r="J2332" s="244">
        <f>IF(H2332="warranty",0,(I2332*(_xlfn.SINGLE(SalesTaxPercentage))))</f>
        <v>0</v>
      </c>
      <c r="K2332" s="696">
        <f t="shared" ref="K2332" si="1832">I2332+J2332</f>
        <v>0</v>
      </c>
      <c r="L2332" s="696"/>
      <c r="M2332" s="659" t="str">
        <f>IF(AND(G2332&gt;0,E2332=0),"WARNING - no PRICE inserted",IF(H2332="free"," FREE ~ no charge this plant",IF(H2332="credit",CONCATENATE(" -$",ROUND(K2332*(1-T2GDiscount)*-1,2)," CREDIT after discount"),IF(T2GDiscount=0,"",IF(G2332=0,"",IF(F2332="Buy",CONCATENATE(" $",ROUND(K2332*(1-T2GDiscount),2)," with ",(T2GDiscount*100),"% discount"),CONCATENATE(" $",ROUND(K2332*(1-T2GDiscount),2)," with ",((T2GDiscount*100+F2332*100)-(T2GDiscount*100*F2332)),IF(F2332&gt;0,"% discounts",IF(NoWarrantyDiscount&gt;0,"% discounts","% discount")))))))))</f>
        <v/>
      </c>
      <c r="N2332" s="660"/>
      <c r="O2332" s="233"/>
      <c r="P2332" s="233"/>
      <c r="Q2332" s="233"/>
      <c r="R2332" s="233"/>
      <c r="S2332" s="233"/>
      <c r="T2332" s="508">
        <f t="shared" si="1813"/>
        <v>0</v>
      </c>
      <c r="U2332" s="225">
        <f>IF(NOT(ISNUMBER(G2332)), "", VLOOKUP(A2332,'Discount Lookup'!D:E,2,FALSE)*G2332)</f>
        <v>0</v>
      </c>
      <c r="V2332" s="225">
        <f>IF(NOT(ISNUMBER(G2332)), "", VLOOKUP(A2332,'Discount Lookup'!G:H,2,FALSE)*G2332)</f>
        <v>0</v>
      </c>
      <c r="W2332" s="508">
        <f t="shared" si="1814"/>
        <v>0</v>
      </c>
      <c r="X2332" s="508">
        <f t="shared" si="1815"/>
        <v>0</v>
      </c>
      <c r="Y2332" s="509" t="b">
        <f t="shared" si="1816"/>
        <v>0</v>
      </c>
      <c r="Z2332" s="510">
        <f t="shared" si="1817"/>
        <v>0</v>
      </c>
      <c r="AA2332" s="511"/>
      <c r="AB2332" s="511" t="str">
        <f t="shared" si="1818"/>
        <v/>
      </c>
      <c r="AC2332" s="698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698"/>
      <c r="AE2332" s="631" t="str">
        <f t="shared" si="1819"/>
        <v/>
      </c>
      <c r="AF2332" s="699" t="str">
        <f t="shared" si="1820"/>
        <v/>
      </c>
      <c r="AG2332" s="699"/>
      <c r="AH2332" s="699"/>
      <c r="AI2332" s="512">
        <f>IF(H2332="credit",0,IF(AE2332="free",0,IF(AE2332="me",0,IF(G2332&gt;0,(VLOOKUP(A2332,'Discount Lookup'!J:K,2)*G2332),0))))</f>
        <v>0</v>
      </c>
      <c r="AJ2332" s="513" t="str">
        <f t="shared" ca="1" si="1821"/>
        <v/>
      </c>
      <c r="AK2332" s="700" t="str">
        <f t="shared" si="1822"/>
        <v/>
      </c>
      <c r="AL2332" s="700"/>
      <c r="AM2332" s="505" t="str">
        <f t="shared" si="1823"/>
        <v/>
      </c>
      <c r="AN2332" s="506"/>
      <c r="AO2332" s="507"/>
      <c r="AP2332" s="507"/>
      <c r="AQ2332" s="507"/>
      <c r="AR2332" s="507"/>
      <c r="AS2332" s="507"/>
      <c r="AT2332" s="507"/>
      <c r="AU2332" s="507"/>
      <c r="AV2332" s="225"/>
      <c r="AW2332" s="508"/>
      <c r="AX2332" s="225"/>
      <c r="AY2332" s="225"/>
      <c r="AZ2332" s="225"/>
      <c r="BA2332" s="225"/>
      <c r="BB2332" s="225"/>
      <c r="BC2332" s="56"/>
      <c r="BD2332" s="56"/>
      <c r="BE2332" s="56"/>
      <c r="BF2332" s="107" t="str">
        <f t="shared" si="1824"/>
        <v>https://www.google.com/search?tbm=isch&amp;q=3%20G5</v>
      </c>
      <c r="BG2332" s="107" t="str">
        <f t="shared" si="1825"/>
        <v>L</v>
      </c>
      <c r="BH2332" s="254"/>
      <c r="BI2332" s="254"/>
    </row>
    <row r="2333" spans="1:61" customFormat="1" ht="15.75" x14ac:dyDescent="0.25">
      <c r="A2333" s="276">
        <v>3</v>
      </c>
      <c r="B2333" s="240" t="s">
        <v>291</v>
      </c>
      <c r="C2333" s="241" t="s">
        <v>4003</v>
      </c>
      <c r="D2333" s="242" t="s">
        <v>300</v>
      </c>
      <c r="E2333" s="243">
        <v>47.95</v>
      </c>
      <c r="F2333" s="517" t="s">
        <v>293</v>
      </c>
      <c r="G2333" s="232">
        <v>0</v>
      </c>
      <c r="H2333" s="661" t="str">
        <f>IF(G2333=0,"",IF(F2333="Buy",IF(G2333=1,"plant","plants"),IF(F2333&gt;0.01,"warranty","Error")))</f>
        <v/>
      </c>
      <c r="I2333" s="244">
        <f>IF(H2333="free",0,IF(H2333="credit",((E2333*(F2333))*G2333*-1),IF(F2333="Buy",(E2333*G2333),((E2333*(1-F2333))*G2333))))</f>
        <v>0</v>
      </c>
      <c r="J2333" s="244">
        <f>IF(H2333="warranty",0,(I2333*(_xlfn.SINGLE(SalesTaxPercentage))))</f>
        <v>0</v>
      </c>
      <c r="K2333" s="696">
        <f t="shared" ref="K2333" si="1833">I2333+J2333</f>
        <v>0</v>
      </c>
      <c r="L2333" s="696"/>
      <c r="M2333" s="659" t="str">
        <f>IF(AND(G2333&gt;0,E2333=0),"WARNING - no PRICE inserted",IF(H2333="free"," FREE ~ no charge this plant",IF(H2333="credit",CONCATENATE(" -$",ROUND(K2333*(1-T2GDiscount)*-1,2)," CREDIT after discount"),IF(T2GDiscount=0,"",IF(G2333=0,"",IF(F2333="Buy",CONCATENATE(" $",ROUND(K2333*(1-T2GDiscount),2)," with ",(T2GDiscount*100),"% discount"),CONCATENATE(" $",ROUND(K2333*(1-T2GDiscount),2)," with ",((T2GDiscount*100+F2333*100)-(T2GDiscount*100*F2333)),IF(F2333&gt;0,"% discounts",IF(NoWarrantyDiscount&gt;0,"% discounts","% discount")))))))))</f>
        <v/>
      </c>
      <c r="N2333" s="660"/>
      <c r="O2333" s="233"/>
      <c r="P2333" s="233"/>
      <c r="Q2333" s="233"/>
      <c r="R2333" s="233"/>
      <c r="S2333" s="233"/>
      <c r="T2333" s="508">
        <f t="shared" si="1813"/>
        <v>0</v>
      </c>
      <c r="U2333" s="225">
        <f>IF(NOT(ISNUMBER(G2333)), "", VLOOKUP(A2333,'Discount Lookup'!D:E,2,FALSE)*G2333)</f>
        <v>0</v>
      </c>
      <c r="V2333" s="225">
        <f>IF(NOT(ISNUMBER(G2333)), "", VLOOKUP(A2333,'Discount Lookup'!G:H,2,FALSE)*G2333)</f>
        <v>0</v>
      </c>
      <c r="W2333" s="508">
        <f t="shared" si="1814"/>
        <v>0</v>
      </c>
      <c r="X2333" s="508">
        <f t="shared" si="1815"/>
        <v>0</v>
      </c>
      <c r="Y2333" s="509" t="b">
        <f t="shared" si="1816"/>
        <v>0</v>
      </c>
      <c r="Z2333" s="510">
        <f t="shared" si="1817"/>
        <v>0</v>
      </c>
      <c r="AA2333" s="511"/>
      <c r="AB2333" s="511" t="str">
        <f t="shared" si="1818"/>
        <v/>
      </c>
      <c r="AC2333" s="698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698"/>
      <c r="AE2333" s="631" t="str">
        <f t="shared" si="1819"/>
        <v/>
      </c>
      <c r="AF2333" s="699" t="str">
        <f t="shared" si="1820"/>
        <v/>
      </c>
      <c r="AG2333" s="699"/>
      <c r="AH2333" s="699"/>
      <c r="AI2333" s="512">
        <f>IF(H2333="credit",0,IF(AE2333="free",0,IF(AE2333="me",0,IF(G2333&gt;0,(VLOOKUP(A2333,'Discount Lookup'!J:K,2)*G2333),0))))</f>
        <v>0</v>
      </c>
      <c r="AJ2333" s="513" t="str">
        <f t="shared" ca="1" si="1821"/>
        <v/>
      </c>
      <c r="AK2333" s="700" t="str">
        <f t="shared" si="1822"/>
        <v/>
      </c>
      <c r="AL2333" s="700"/>
      <c r="AM2333" s="505" t="str">
        <f t="shared" si="1823"/>
        <v/>
      </c>
      <c r="AN2333" s="506"/>
      <c r="AO2333" s="507"/>
      <c r="AP2333" s="507"/>
      <c r="AQ2333" s="507"/>
      <c r="AR2333" s="507"/>
      <c r="AS2333" s="507"/>
      <c r="AT2333" s="507"/>
      <c r="AU2333" s="507"/>
      <c r="AV2333" s="225"/>
      <c r="AW2333" s="508"/>
      <c r="AX2333" s="225"/>
      <c r="AY2333" s="225"/>
      <c r="AZ2333" s="225"/>
      <c r="BA2333" s="225"/>
      <c r="BB2333" s="225"/>
      <c r="BC2333" s="56"/>
      <c r="BD2333" s="56"/>
      <c r="BE2333" s="56"/>
      <c r="BF2333" s="107" t="str">
        <f t="shared" si="1824"/>
        <v>https://www.google.com/search?tbm=isch&amp;q=3%20G6</v>
      </c>
      <c r="BG2333" s="107" t="str">
        <f t="shared" si="1825"/>
        <v>L</v>
      </c>
      <c r="BH2333" s="254"/>
      <c r="BI2333" s="254"/>
    </row>
    <row r="2334" spans="1:61" customFormat="1" ht="17.25" thickBot="1" x14ac:dyDescent="0.3">
      <c r="A2334" s="673" t="s">
        <v>5169</v>
      </c>
      <c r="B2334" s="245"/>
      <c r="C2334" s="677"/>
      <c r="D2334" s="499"/>
      <c r="E2334" s="499"/>
      <c r="F2334" s="500"/>
      <c r="G2334" s="501"/>
      <c r="H2334" s="502"/>
      <c r="I2334" s="246"/>
      <c r="J2334" s="247"/>
      <c r="K2334" s="503"/>
      <c r="L2334" s="544"/>
      <c r="M2334" s="544"/>
      <c r="N2334" s="500"/>
      <c r="O2334" s="500"/>
      <c r="P2334" s="500"/>
      <c r="Q2334" s="500"/>
      <c r="R2334" s="500"/>
      <c r="S2334" s="669" t="s">
        <v>4972</v>
      </c>
      <c r="T2334" s="508">
        <f t="shared" si="1813"/>
        <v>0</v>
      </c>
      <c r="U2334" s="225" t="str">
        <f>IF(NOT(ISNUMBER(G2334)), "", VLOOKUP(A2334,'Discount Lookup'!D:E,2,FALSE)*G2334)</f>
        <v/>
      </c>
      <c r="V2334" s="225" t="str">
        <f>IF(NOT(ISNUMBER(G2334)), "", VLOOKUP(A2334,'Discount Lookup'!G:H,2,FALSE)*G2334)</f>
        <v/>
      </c>
      <c r="W2334" s="508">
        <f t="shared" si="1814"/>
        <v>0</v>
      </c>
      <c r="X2334" s="508">
        <f t="shared" si="1815"/>
        <v>0</v>
      </c>
      <c r="Y2334" s="509" t="b">
        <f t="shared" si="1816"/>
        <v>0</v>
      </c>
      <c r="Z2334" s="510">
        <f t="shared" si="1817"/>
        <v>0</v>
      </c>
      <c r="AA2334" s="511"/>
      <c r="AB2334" s="511" t="str">
        <f t="shared" si="1818"/>
        <v/>
      </c>
      <c r="AC2334" s="698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698"/>
      <c r="AE2334" s="631" t="str">
        <f t="shared" si="1819"/>
        <v/>
      </c>
      <c r="AF2334" s="699" t="str">
        <f t="shared" si="1820"/>
        <v/>
      </c>
      <c r="AG2334" s="699"/>
      <c r="AH2334" s="699"/>
      <c r="AI2334" s="512">
        <f>IF(H2334="credit",0,IF(AE2334="free",0,IF(AE2334="me",0,IF(G2334&gt;0,(VLOOKUP(A2334,'Discount Lookup'!J:K,2)*G2334),0))))</f>
        <v>0</v>
      </c>
      <c r="AJ2334" s="513" t="str">
        <f t="shared" ca="1" si="1821"/>
        <v/>
      </c>
      <c r="AK2334" s="700" t="str">
        <f t="shared" si="1822"/>
        <v/>
      </c>
      <c r="AL2334" s="700"/>
      <c r="AM2334" s="505" t="str">
        <f t="shared" si="1823"/>
        <v/>
      </c>
      <c r="AN2334" s="506"/>
      <c r="AO2334" s="507"/>
      <c r="AP2334" s="507"/>
      <c r="AQ2334" s="507"/>
      <c r="AR2334" s="507"/>
      <c r="AS2334" s="507"/>
      <c r="AT2334" s="507"/>
      <c r="AU2334" s="507"/>
      <c r="AV2334" s="225"/>
      <c r="AW2334" s="508"/>
      <c r="AX2334" s="225"/>
      <c r="AY2334" s="225"/>
      <c r="AZ2334" s="225"/>
      <c r="BA2334" s="225"/>
      <c r="BB2334" s="225"/>
      <c r="BC2334" s="56"/>
      <c r="BD2334" s="56"/>
      <c r="BE2334" s="56"/>
      <c r="BF2334" s="107" t="str">
        <f t="shared" si="1824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2334" s="107" t="str">
        <f t="shared" si="1825"/>
        <v>m</v>
      </c>
      <c r="BH2334" s="254"/>
      <c r="BI2334" s="254"/>
    </row>
    <row r="2335" spans="1:61" customFormat="1" ht="18" x14ac:dyDescent="0.25">
      <c r="A2335" s="523" t="s">
        <v>5607</v>
      </c>
      <c r="B2335" s="235"/>
      <c r="C2335" s="676"/>
      <c r="D2335" s="255" t="s">
        <v>2540</v>
      </c>
      <c r="E2335" s="236"/>
      <c r="F2335" s="236"/>
      <c r="G2335" s="236"/>
      <c r="H2335" s="582" t="s">
        <v>359</v>
      </c>
      <c r="I2335" s="498" t="s">
        <v>654</v>
      </c>
      <c r="J2335" s="237"/>
      <c r="K2335" s="237"/>
      <c r="L2335" s="274"/>
      <c r="M2335" s="668" t="s">
        <v>4975</v>
      </c>
      <c r="N2335" s="681" t="str">
        <f>IF(AND(ISTEXT($A2335), ISERROR($A2335+0)), HYPERLINK($BF2335, "Images"), "")</f>
        <v>Images</v>
      </c>
      <c r="O2335" s="663" t="s">
        <v>4967</v>
      </c>
      <c r="P2335" s="253"/>
      <c r="Q2335" s="238"/>
      <c r="R2335" s="239"/>
      <c r="S2335" s="275" t="s">
        <v>305</v>
      </c>
      <c r="T2335" s="508">
        <f t="shared" si="1813"/>
        <v>0</v>
      </c>
      <c r="U2335" s="225" t="str">
        <f>IF(NOT(ISNUMBER(G2335)), "", VLOOKUP(A2335,'Discount Lookup'!D:E,2,FALSE)*G2335)</f>
        <v/>
      </c>
      <c r="V2335" s="225" t="str">
        <f>IF(NOT(ISNUMBER(G2335)), "", VLOOKUP(A2335,'Discount Lookup'!G:H,2,FALSE)*G2335)</f>
        <v/>
      </c>
      <c r="W2335" s="508">
        <f t="shared" si="1814"/>
        <v>0</v>
      </c>
      <c r="X2335" s="508" t="str">
        <f t="shared" si="1815"/>
        <v>White bloom</v>
      </c>
      <c r="Y2335" s="509" t="b">
        <f t="shared" si="1816"/>
        <v>0</v>
      </c>
      <c r="Z2335" s="510">
        <f t="shared" si="1817"/>
        <v>0</v>
      </c>
      <c r="AA2335" s="511"/>
      <c r="AB2335" s="511" t="str">
        <f t="shared" si="1818"/>
        <v/>
      </c>
      <c r="AC2335" s="698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698"/>
      <c r="AE2335" s="631" t="str">
        <f t="shared" si="1819"/>
        <v/>
      </c>
      <c r="AF2335" s="699" t="str">
        <f t="shared" si="1820"/>
        <v/>
      </c>
      <c r="AG2335" s="699"/>
      <c r="AH2335" s="699"/>
      <c r="AI2335" s="512">
        <f>IF(H2335="credit",0,IF(AE2335="free",0,IF(AE2335="me",0,IF(G2335&gt;0,(VLOOKUP(A2335,'Discount Lookup'!J:K,2)*G2335),0))))</f>
        <v>0</v>
      </c>
      <c r="AJ2335" s="513" t="str">
        <f t="shared" ca="1" si="1821"/>
        <v/>
      </c>
      <c r="AK2335" s="700" t="str">
        <f t="shared" si="1822"/>
        <v/>
      </c>
      <c r="AL2335" s="700"/>
      <c r="AM2335" s="505" t="str">
        <f t="shared" si="1823"/>
        <v/>
      </c>
      <c r="AN2335" s="506"/>
      <c r="AO2335" s="507"/>
      <c r="AP2335" s="507"/>
      <c r="AQ2335" s="507"/>
      <c r="AR2335" s="507"/>
      <c r="AS2335" s="507"/>
      <c r="AT2335" s="507"/>
      <c r="AU2335" s="507"/>
      <c r="AV2335" s="225"/>
      <c r="AW2335" s="508"/>
      <c r="AX2335" s="225"/>
      <c r="AY2335" s="225"/>
      <c r="AZ2335" s="225"/>
      <c r="BA2335" s="225"/>
      <c r="BB2335" s="225"/>
      <c r="BC2335" s="56"/>
      <c r="BD2335" s="56"/>
      <c r="BE2335" s="56"/>
      <c r="BF2335" s="107" t="str">
        <f t="shared" si="1824"/>
        <v>https://www.google.com/search?tbm=isch&amp;q=Low%20Scape%20Snowfire%C2%AE%20Chokeberry%20%28PW%C2%AE%29%20Aronia%20melanocarpa%20%27SMNAMPEM%27%20PP%2334116</v>
      </c>
      <c r="BG2335" s="107" t="str">
        <f t="shared" si="1825"/>
        <v>L</v>
      </c>
      <c r="BH2335" s="254"/>
      <c r="BI2335" s="254"/>
    </row>
    <row r="2336" spans="1:61" customFormat="1" ht="15.75" x14ac:dyDescent="0.25">
      <c r="A2336" s="276">
        <v>1</v>
      </c>
      <c r="B2336" s="240" t="s">
        <v>291</v>
      </c>
      <c r="C2336" s="241" t="s">
        <v>4786</v>
      </c>
      <c r="D2336" s="242" t="s">
        <v>312</v>
      </c>
      <c r="E2336" s="243">
        <v>32.950000000000003</v>
      </c>
      <c r="F2336" s="517" t="s">
        <v>293</v>
      </c>
      <c r="G2336" s="232">
        <v>0</v>
      </c>
      <c r="H2336" s="661" t="str">
        <f>IF(G2336=0,"",IF(F2336="Buy",IF(G2336=1,"plant","plants"),IF(F2336&gt;0.01,"warranty","Error")))</f>
        <v/>
      </c>
      <c r="I2336" s="244">
        <f>IF(H2336="free",0,IF(H2336="credit",((E2336*(F2336))*G2336*-1),IF(F2336="Buy",(E2336*G2336),((E2336*(1-F2336))*G2336))))</f>
        <v>0</v>
      </c>
      <c r="J2336" s="244">
        <f>IF(H2336="warranty",0,(I2336*(_xlfn.SINGLE(SalesTaxPercentage))))</f>
        <v>0</v>
      </c>
      <c r="K2336" s="696">
        <f t="shared" ref="K2336" si="1834">I2336+J2336</f>
        <v>0</v>
      </c>
      <c r="L2336" s="696"/>
      <c r="M2336" s="659" t="str">
        <f>IF(AND(G2336&gt;0,E2336=0),"WARNING - no PRICE inserted",IF(H2336="free"," FREE ~ no charge this plant",IF(H2336="credit",CONCATENATE(" -$",ROUND(K2336*(1-T2GDiscount)*-1,2)," CREDIT after discount"),IF(T2GDiscount=0,"",IF(G2336=0,"",IF(F2336="Buy",CONCATENATE(" $",ROUND(K2336*(1-T2GDiscount),2)," with ",(T2GDiscount*100),"% discount"),CONCATENATE(" $",ROUND(K2336*(1-T2GDiscount),2)," with ",((T2GDiscount*100+F2336*100)-(T2GDiscount*100*F2336)),IF(F2336&gt;0,"% discounts",IF(NoWarrantyDiscount&gt;0,"% discounts","% discount")))))))))</f>
        <v/>
      </c>
      <c r="N2336" s="660"/>
      <c r="O2336" s="233"/>
      <c r="P2336" s="233"/>
      <c r="Q2336" s="233"/>
      <c r="R2336" s="233"/>
      <c r="S2336" s="233"/>
      <c r="T2336" s="508">
        <f t="shared" si="1813"/>
        <v>0</v>
      </c>
      <c r="U2336" s="225">
        <f>IF(NOT(ISNUMBER(G2336)), "", VLOOKUP(A2336,'Discount Lookup'!D:E,2,FALSE)*G2336)</f>
        <v>0</v>
      </c>
      <c r="V2336" s="225">
        <f>IF(NOT(ISNUMBER(G2336)), "", VLOOKUP(A2336,'Discount Lookup'!G:H,2,FALSE)*G2336)</f>
        <v>0</v>
      </c>
      <c r="W2336" s="508">
        <f t="shared" si="1814"/>
        <v>0</v>
      </c>
      <c r="X2336" s="508">
        <f t="shared" si="1815"/>
        <v>0</v>
      </c>
      <c r="Y2336" s="509" t="b">
        <f t="shared" si="1816"/>
        <v>0</v>
      </c>
      <c r="Z2336" s="510">
        <f t="shared" si="1817"/>
        <v>0</v>
      </c>
      <c r="AA2336" s="511"/>
      <c r="AB2336" s="511" t="str">
        <f t="shared" si="1818"/>
        <v/>
      </c>
      <c r="AC2336" s="698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698"/>
      <c r="AE2336" s="631" t="str">
        <f t="shared" si="1819"/>
        <v/>
      </c>
      <c r="AF2336" s="699" t="str">
        <f t="shared" si="1820"/>
        <v/>
      </c>
      <c r="AG2336" s="699"/>
      <c r="AH2336" s="699"/>
      <c r="AI2336" s="512">
        <f>IF(H2336="credit",0,IF(AE2336="free",0,IF(AE2336="me",0,IF(G2336&gt;0,(VLOOKUP(A2336,'Discount Lookup'!J:K,2)*G2336),0))))</f>
        <v>0</v>
      </c>
      <c r="AJ2336" s="513" t="str">
        <f t="shared" ca="1" si="1821"/>
        <v/>
      </c>
      <c r="AK2336" s="700" t="str">
        <f t="shared" si="1822"/>
        <v/>
      </c>
      <c r="AL2336" s="700"/>
      <c r="AM2336" s="505" t="str">
        <f t="shared" si="1823"/>
        <v/>
      </c>
      <c r="AN2336" s="506"/>
      <c r="AO2336" s="507"/>
      <c r="AP2336" s="507"/>
      <c r="AQ2336" s="507"/>
      <c r="AR2336" s="507"/>
      <c r="AS2336" s="507"/>
      <c r="AT2336" s="507"/>
      <c r="AU2336" s="507"/>
      <c r="AV2336" s="225"/>
      <c r="AW2336" s="508"/>
      <c r="AX2336" s="225"/>
      <c r="AY2336" s="225"/>
      <c r="AZ2336" s="225"/>
      <c r="BA2336" s="225"/>
      <c r="BB2336" s="225"/>
      <c r="BC2336" s="56"/>
      <c r="BD2336" s="56"/>
      <c r="BE2336" s="56"/>
      <c r="BF2336" s="107" t="str">
        <f t="shared" si="1824"/>
        <v>https://www.google.com/search?tbm=isch&amp;q=1%20G2</v>
      </c>
      <c r="BG2336" s="107" t="str">
        <f t="shared" si="1825"/>
        <v>L</v>
      </c>
      <c r="BH2336" s="254"/>
      <c r="BI2336" s="254"/>
    </row>
    <row r="2337" spans="1:61" customFormat="1" ht="17.25" thickBot="1" x14ac:dyDescent="0.3">
      <c r="A2337" s="673" t="s">
        <v>5170</v>
      </c>
      <c r="B2337" s="245"/>
      <c r="C2337" s="677"/>
      <c r="D2337" s="499"/>
      <c r="E2337" s="499"/>
      <c r="F2337" s="500"/>
      <c r="G2337" s="501"/>
      <c r="H2337" s="502"/>
      <c r="I2337" s="246"/>
      <c r="J2337" s="247"/>
      <c r="K2337" s="503"/>
      <c r="L2337" s="544"/>
      <c r="M2337" s="544"/>
      <c r="N2337" s="500"/>
      <c r="O2337" s="500"/>
      <c r="P2337" s="500"/>
      <c r="Q2337" s="500"/>
      <c r="R2337" s="500"/>
      <c r="S2337" s="669" t="s">
        <v>4996</v>
      </c>
      <c r="T2337" s="508">
        <f t="shared" si="1813"/>
        <v>0</v>
      </c>
      <c r="U2337" s="225" t="str">
        <f>IF(NOT(ISNUMBER(G2337)), "", VLOOKUP(A2337,'Discount Lookup'!D:E,2,FALSE)*G2337)</f>
        <v/>
      </c>
      <c r="V2337" s="225" t="str">
        <f>IF(NOT(ISNUMBER(G2337)), "", VLOOKUP(A2337,'Discount Lookup'!G:H,2,FALSE)*G2337)</f>
        <v/>
      </c>
      <c r="W2337" s="508">
        <f t="shared" si="1814"/>
        <v>0</v>
      </c>
      <c r="X2337" s="508">
        <f t="shared" si="1815"/>
        <v>0</v>
      </c>
      <c r="Y2337" s="509" t="b">
        <f t="shared" si="1816"/>
        <v>0</v>
      </c>
      <c r="Z2337" s="510">
        <f t="shared" si="1817"/>
        <v>0</v>
      </c>
      <c r="AA2337" s="511"/>
      <c r="AB2337" s="511" t="str">
        <f t="shared" si="1818"/>
        <v/>
      </c>
      <c r="AC2337" s="698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698"/>
      <c r="AE2337" s="631" t="str">
        <f t="shared" si="1819"/>
        <v/>
      </c>
      <c r="AF2337" s="699" t="str">
        <f t="shared" si="1820"/>
        <v/>
      </c>
      <c r="AG2337" s="699"/>
      <c r="AH2337" s="699"/>
      <c r="AI2337" s="512">
        <f>IF(H2337="credit",0,IF(AE2337="free",0,IF(AE2337="me",0,IF(G2337&gt;0,(VLOOKUP(A2337,'Discount Lookup'!J:K,2)*G2337),0))))</f>
        <v>0</v>
      </c>
      <c r="AJ2337" s="513" t="str">
        <f t="shared" ca="1" si="1821"/>
        <v/>
      </c>
      <c r="AK2337" s="700" t="str">
        <f t="shared" si="1822"/>
        <v/>
      </c>
      <c r="AL2337" s="700"/>
      <c r="AM2337" s="505" t="str">
        <f t="shared" si="1823"/>
        <v/>
      </c>
      <c r="AN2337" s="506"/>
      <c r="AO2337" s="507"/>
      <c r="AP2337" s="507"/>
      <c r="AQ2337" s="507"/>
      <c r="AR2337" s="507"/>
      <c r="AS2337" s="507"/>
      <c r="AT2337" s="507"/>
      <c r="AU2337" s="507"/>
      <c r="AV2337" s="225"/>
      <c r="AW2337" s="508"/>
      <c r="AX2337" s="225"/>
      <c r="AY2337" s="225"/>
      <c r="AZ2337" s="225"/>
      <c r="BA2337" s="225"/>
      <c r="BB2337" s="225"/>
      <c r="BC2337" s="56"/>
      <c r="BD2337" s="56"/>
      <c r="BE2337" s="56"/>
      <c r="BF2337" s="107" t="str">
        <f t="shared" si="1824"/>
        <v>https://www.google.com/search?tbm=isch&amp;q=moist%20sites%F0%9F%92%A7GOOD%2C%20Low%20Scape%20Snowfire%20valued%20for%20its%20spring%20flowers%2C%20brilliant%20Red%20fall%20foliage%2C%20and%20persistent%20Black%20berries%20</v>
      </c>
      <c r="BG2337" s="107" t="str">
        <f t="shared" si="1825"/>
        <v>m</v>
      </c>
      <c r="BH2337" s="254"/>
      <c r="BI2337" s="254"/>
    </row>
    <row r="2338" spans="1:61" customFormat="1" ht="18" x14ac:dyDescent="0.25">
      <c r="A2338" s="523" t="s">
        <v>5608</v>
      </c>
      <c r="B2338" s="235"/>
      <c r="C2338" s="676"/>
      <c r="D2338" s="255" t="s">
        <v>1296</v>
      </c>
      <c r="E2338" s="236"/>
      <c r="F2338" s="236"/>
      <c r="G2338" s="236"/>
      <c r="H2338" s="582" t="s">
        <v>463</v>
      </c>
      <c r="I2338" s="498" t="s">
        <v>654</v>
      </c>
      <c r="J2338" s="237"/>
      <c r="K2338" s="237"/>
      <c r="L2338" s="274"/>
      <c r="M2338" s="668" t="s">
        <v>4962</v>
      </c>
      <c r="N2338" s="681" t="str">
        <f>IF(AND(ISTEXT($A2338), ISERROR($A2338+0)), HYPERLINK($BF2338, "Images"), "")</f>
        <v>Images</v>
      </c>
      <c r="O2338" s="663" t="s">
        <v>4967</v>
      </c>
      <c r="P2338" s="253"/>
      <c r="Q2338" s="238"/>
      <c r="R2338" s="239"/>
      <c r="S2338" s="275"/>
      <c r="T2338" s="508">
        <f t="shared" si="1813"/>
        <v>0</v>
      </c>
      <c r="U2338" s="225" t="str">
        <f>IF(NOT(ISNUMBER(G2338)), "", VLOOKUP(A2338,'Discount Lookup'!D:E,2,FALSE)*G2338)</f>
        <v/>
      </c>
      <c r="V2338" s="225" t="str">
        <f>IF(NOT(ISNUMBER(G2338)), "", VLOOKUP(A2338,'Discount Lookup'!G:H,2,FALSE)*G2338)</f>
        <v/>
      </c>
      <c r="W2338" s="508">
        <f t="shared" si="1814"/>
        <v>0</v>
      </c>
      <c r="X2338" s="508" t="str">
        <f t="shared" si="1815"/>
        <v>White bloom</v>
      </c>
      <c r="Y2338" s="509" t="b">
        <f t="shared" si="1816"/>
        <v>0</v>
      </c>
      <c r="Z2338" s="510">
        <f t="shared" si="1817"/>
        <v>0</v>
      </c>
      <c r="AA2338" s="511"/>
      <c r="AB2338" s="511" t="str">
        <f t="shared" si="1818"/>
        <v/>
      </c>
      <c r="AC2338" s="698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698"/>
      <c r="AE2338" s="631" t="str">
        <f t="shared" si="1819"/>
        <v/>
      </c>
      <c r="AF2338" s="699" t="str">
        <f t="shared" si="1820"/>
        <v/>
      </c>
      <c r="AG2338" s="699"/>
      <c r="AH2338" s="699"/>
      <c r="AI2338" s="512">
        <f>IF(H2338="credit",0,IF(AE2338="free",0,IF(AE2338="me",0,IF(G2338&gt;0,(VLOOKUP(A2338,'Discount Lookup'!J:K,2)*G2338),0))))</f>
        <v>0</v>
      </c>
      <c r="AJ2338" s="513" t="str">
        <f t="shared" ca="1" si="1821"/>
        <v/>
      </c>
      <c r="AK2338" s="700" t="str">
        <f t="shared" si="1822"/>
        <v/>
      </c>
      <c r="AL2338" s="700"/>
      <c r="AM2338" s="505" t="str">
        <f t="shared" si="1823"/>
        <v/>
      </c>
      <c r="AN2338" s="506"/>
      <c r="AO2338" s="507"/>
      <c r="AP2338" s="507"/>
      <c r="AQ2338" s="507"/>
      <c r="AR2338" s="507"/>
      <c r="AS2338" s="507"/>
      <c r="AT2338" s="507"/>
      <c r="AU2338" s="507"/>
      <c r="AV2338" s="225"/>
      <c r="AW2338" s="508"/>
      <c r="AX2338" s="225"/>
      <c r="AY2338" s="225"/>
      <c r="AZ2338" s="225"/>
      <c r="BA2338" s="225"/>
      <c r="BB2338" s="225"/>
      <c r="BC2338" s="56"/>
      <c r="BD2338" s="56"/>
      <c r="BE2338" s="56"/>
      <c r="BF2338" s="107" t="str">
        <f t="shared" si="1824"/>
        <v>https://www.google.com/search?tbm=isch&amp;q=Lunar%20Magic%E2%84%A2%20Crape%20Myrtle%20%28FE%C2%AE%29%20Lagerstroemia%20%27BAILLAGONE%27%20PP%2330360</v>
      </c>
      <c r="BG2338" s="107" t="str">
        <f t="shared" si="1825"/>
        <v>L</v>
      </c>
      <c r="BH2338" s="254"/>
      <c r="BI2338" s="254"/>
    </row>
    <row r="2339" spans="1:61" customFormat="1" ht="15.75" x14ac:dyDescent="0.25">
      <c r="A2339" s="276">
        <v>3</v>
      </c>
      <c r="B2339" s="240" t="s">
        <v>291</v>
      </c>
      <c r="C2339" s="241" t="s">
        <v>2722</v>
      </c>
      <c r="D2339" s="242" t="s">
        <v>299</v>
      </c>
      <c r="E2339" s="243">
        <v>36.950000000000003</v>
      </c>
      <c r="F2339" s="517" t="s">
        <v>293</v>
      </c>
      <c r="G2339" s="232">
        <v>0</v>
      </c>
      <c r="H2339" s="661" t="str">
        <f>IF(G2339=0,"",IF(F2339="Buy",IF(G2339=1,"plant","plants"),IF(F2339&gt;0.01,"warranty","Error")))</f>
        <v/>
      </c>
      <c r="I2339" s="244">
        <f>IF(H2339="free",0,IF(H2339="credit",((E2339*(F2339))*G2339*-1),IF(F2339="Buy",(E2339*G2339),((E2339*(1-F2339))*G2339))))</f>
        <v>0</v>
      </c>
      <c r="J2339" s="244">
        <f>IF(H2339="warranty",0,(I2339*(_xlfn.SINGLE(SalesTaxPercentage))))</f>
        <v>0</v>
      </c>
      <c r="K2339" s="696">
        <f t="shared" ref="K2339" si="1835">I2339+J2339</f>
        <v>0</v>
      </c>
      <c r="L2339" s="696"/>
      <c r="M2339" s="659" t="str">
        <f>IF(AND(G2339&gt;0,E2339=0),"WARNING - no PRICE inserted",IF(H2339="free"," FREE ~ no charge this plant",IF(H2339="credit",CONCATENATE(" -$",ROUND(K2339*(1-T2GDiscount)*-1,2)," CREDIT after discount"),IF(T2GDiscount=0,"",IF(G2339=0,"",IF(F2339="Buy",CONCATENATE(" $",ROUND(K2339*(1-T2GDiscount),2)," with ",(T2GDiscount*100),"% discount"),CONCATENATE(" $",ROUND(K2339*(1-T2GDiscount),2)," with ",((T2GDiscount*100+F2339*100)-(T2GDiscount*100*F2339)),IF(F2339&gt;0,"% discounts",IF(NoWarrantyDiscount&gt;0,"% discounts","% discount")))))))))</f>
        <v/>
      </c>
      <c r="N2339" s="660"/>
      <c r="O2339" s="233"/>
      <c r="P2339" s="233"/>
      <c r="Q2339" s="233"/>
      <c r="R2339" s="233"/>
      <c r="S2339" s="233"/>
      <c r="T2339" s="508">
        <f t="shared" si="1813"/>
        <v>0</v>
      </c>
      <c r="U2339" s="225">
        <f>IF(NOT(ISNUMBER(G2339)), "", VLOOKUP(A2339,'Discount Lookup'!D:E,2,FALSE)*G2339)</f>
        <v>0</v>
      </c>
      <c r="V2339" s="225">
        <f>IF(NOT(ISNUMBER(G2339)), "", VLOOKUP(A2339,'Discount Lookup'!G:H,2,FALSE)*G2339)</f>
        <v>0</v>
      </c>
      <c r="W2339" s="508">
        <f t="shared" si="1814"/>
        <v>0</v>
      </c>
      <c r="X2339" s="508">
        <f t="shared" si="1815"/>
        <v>0</v>
      </c>
      <c r="Y2339" s="509" t="b">
        <f t="shared" si="1816"/>
        <v>0</v>
      </c>
      <c r="Z2339" s="510">
        <f t="shared" si="1817"/>
        <v>0</v>
      </c>
      <c r="AA2339" s="511"/>
      <c r="AB2339" s="511" t="str">
        <f t="shared" si="1818"/>
        <v/>
      </c>
      <c r="AC2339" s="698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698"/>
      <c r="AE2339" s="631" t="str">
        <f t="shared" si="1819"/>
        <v/>
      </c>
      <c r="AF2339" s="699" t="str">
        <f t="shared" si="1820"/>
        <v/>
      </c>
      <c r="AG2339" s="699"/>
      <c r="AH2339" s="699"/>
      <c r="AI2339" s="512">
        <f>IF(H2339="credit",0,IF(AE2339="free",0,IF(AE2339="me",0,IF(G2339&gt;0,(VLOOKUP(A2339,'Discount Lookup'!J:K,2)*G2339),0))))</f>
        <v>0</v>
      </c>
      <c r="AJ2339" s="513" t="str">
        <f t="shared" ca="1" si="1821"/>
        <v/>
      </c>
      <c r="AK2339" s="700" t="str">
        <f t="shared" si="1822"/>
        <v/>
      </c>
      <c r="AL2339" s="700"/>
      <c r="AM2339" s="505" t="str">
        <f t="shared" si="1823"/>
        <v/>
      </c>
      <c r="AN2339" s="506"/>
      <c r="AO2339" s="507"/>
      <c r="AP2339" s="507"/>
      <c r="AQ2339" s="507"/>
      <c r="AR2339" s="507"/>
      <c r="AS2339" s="507"/>
      <c r="AT2339" s="507"/>
      <c r="AU2339" s="507"/>
      <c r="AV2339" s="225"/>
      <c r="AW2339" s="508"/>
      <c r="AX2339" s="225"/>
      <c r="AY2339" s="225"/>
      <c r="AZ2339" s="225"/>
      <c r="BA2339" s="225"/>
      <c r="BB2339" s="225"/>
      <c r="BC2339" s="56"/>
      <c r="BD2339" s="56"/>
      <c r="BE2339" s="56"/>
      <c r="BF2339" s="107" t="str">
        <f t="shared" si="1824"/>
        <v>https://www.google.com/search?tbm=isch&amp;q=3%20G5</v>
      </c>
      <c r="BG2339" s="107" t="str">
        <f t="shared" si="1825"/>
        <v>L</v>
      </c>
      <c r="BH2339" s="254"/>
      <c r="BI2339" s="254"/>
    </row>
    <row r="2340" spans="1:61" customFormat="1" ht="15.75" x14ac:dyDescent="0.25">
      <c r="A2340" s="276">
        <v>7</v>
      </c>
      <c r="B2340" s="240" t="s">
        <v>291</v>
      </c>
      <c r="C2340" s="241" t="s">
        <v>2162</v>
      </c>
      <c r="D2340" s="242" t="s">
        <v>299</v>
      </c>
      <c r="E2340" s="243">
        <v>68.95</v>
      </c>
      <c r="F2340" s="517" t="s">
        <v>293</v>
      </c>
      <c r="G2340" s="232">
        <v>0</v>
      </c>
      <c r="H2340" s="661" t="str">
        <f>IF(G2340=0,"",IF(F2340="Buy",IF(G2340=1,"plant","plants"),IF(F2340&gt;0.01,"warranty","Error")))</f>
        <v/>
      </c>
      <c r="I2340" s="244">
        <f>IF(H2340="free",0,IF(H2340="credit",((E2340*(F2340))*G2340*-1),IF(F2340="Buy",(E2340*G2340),((E2340*(1-F2340))*G2340))))</f>
        <v>0</v>
      </c>
      <c r="J2340" s="244">
        <f>IF(H2340="warranty",0,(I2340*(_xlfn.SINGLE(SalesTaxPercentage))))</f>
        <v>0</v>
      </c>
      <c r="K2340" s="696">
        <f t="shared" ref="K2340" si="1836">I2340+J2340</f>
        <v>0</v>
      </c>
      <c r="L2340" s="696"/>
      <c r="M2340" s="659" t="str">
        <f>IF(AND(G2340&gt;0,E2340=0),"WARNING - no PRICE inserted",IF(H2340="free"," FREE ~ no charge this plant",IF(H2340="credit",CONCATENATE(" -$",ROUND(K2340*(1-T2GDiscount)*-1,2)," CREDIT after discount"),IF(T2GDiscount=0,"",IF(G2340=0,"",IF(F2340="Buy",CONCATENATE(" $",ROUND(K2340*(1-T2GDiscount),2)," with ",(T2GDiscount*100),"% discount"),CONCATENATE(" $",ROUND(K2340*(1-T2GDiscount),2)," with ",((T2GDiscount*100+F2340*100)-(T2GDiscount*100*F2340)),IF(F2340&gt;0,"% discounts",IF(NoWarrantyDiscount&gt;0,"% discounts","% discount")))))))))</f>
        <v/>
      </c>
      <c r="N2340" s="660"/>
      <c r="O2340" s="233"/>
      <c r="P2340" s="233"/>
      <c r="Q2340" s="233"/>
      <c r="R2340" s="233"/>
      <c r="S2340" s="233"/>
      <c r="T2340" s="508">
        <f t="shared" si="1813"/>
        <v>0</v>
      </c>
      <c r="U2340" s="225">
        <f>IF(NOT(ISNUMBER(G2340)), "", VLOOKUP(A2340,'Discount Lookup'!D:E,2,FALSE)*G2340)</f>
        <v>0</v>
      </c>
      <c r="V2340" s="225">
        <f>IF(NOT(ISNUMBER(G2340)), "", VLOOKUP(A2340,'Discount Lookup'!G:H,2,FALSE)*G2340)</f>
        <v>0</v>
      </c>
      <c r="W2340" s="508">
        <f t="shared" si="1814"/>
        <v>0</v>
      </c>
      <c r="X2340" s="508">
        <f t="shared" si="1815"/>
        <v>0</v>
      </c>
      <c r="Y2340" s="509" t="b">
        <f t="shared" si="1816"/>
        <v>0</v>
      </c>
      <c r="Z2340" s="510">
        <f t="shared" si="1817"/>
        <v>0</v>
      </c>
      <c r="AA2340" s="511"/>
      <c r="AB2340" s="511" t="str">
        <f t="shared" si="1818"/>
        <v/>
      </c>
      <c r="AC2340" s="698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698"/>
      <c r="AE2340" s="631" t="str">
        <f t="shared" si="1819"/>
        <v/>
      </c>
      <c r="AF2340" s="699" t="str">
        <f t="shared" si="1820"/>
        <v/>
      </c>
      <c r="AG2340" s="699"/>
      <c r="AH2340" s="699"/>
      <c r="AI2340" s="512">
        <f>IF(H2340="credit",0,IF(AE2340="free",0,IF(AE2340="me",0,IF(G2340&gt;0,(VLOOKUP(A2340,'Discount Lookup'!J:K,2)*G2340),0))))</f>
        <v>0</v>
      </c>
      <c r="AJ2340" s="513" t="str">
        <f t="shared" ca="1" si="1821"/>
        <v/>
      </c>
      <c r="AK2340" s="700" t="str">
        <f t="shared" si="1822"/>
        <v/>
      </c>
      <c r="AL2340" s="700"/>
      <c r="AM2340" s="505" t="str">
        <f t="shared" si="1823"/>
        <v/>
      </c>
      <c r="AN2340" s="506"/>
      <c r="AO2340" s="507"/>
      <c r="AP2340" s="507"/>
      <c r="AQ2340" s="507"/>
      <c r="AR2340" s="507"/>
      <c r="AS2340" s="507"/>
      <c r="AT2340" s="507"/>
      <c r="AU2340" s="507"/>
      <c r="AV2340" s="225"/>
      <c r="AW2340" s="508"/>
      <c r="AX2340" s="225"/>
      <c r="AY2340" s="225"/>
      <c r="AZ2340" s="225"/>
      <c r="BA2340" s="225"/>
      <c r="BB2340" s="225"/>
      <c r="BC2340" s="56"/>
      <c r="BD2340" s="56"/>
      <c r="BE2340" s="56"/>
      <c r="BF2340" s="107" t="str">
        <f t="shared" si="1824"/>
        <v>https://www.google.com/search?tbm=isch&amp;q=7%20G5</v>
      </c>
      <c r="BG2340" s="107" t="str">
        <f t="shared" si="1825"/>
        <v>L</v>
      </c>
      <c r="BH2340" s="254"/>
      <c r="BI2340" s="254"/>
    </row>
    <row r="2341" spans="1:61" customFormat="1" ht="17.25" thickBot="1" x14ac:dyDescent="0.3">
      <c r="A2341" s="524" t="s">
        <v>4121</v>
      </c>
      <c r="B2341" s="245"/>
      <c r="C2341" s="677"/>
      <c r="D2341" s="499"/>
      <c r="E2341" s="499"/>
      <c r="F2341" s="500"/>
      <c r="G2341" s="501"/>
      <c r="H2341" s="502"/>
      <c r="I2341" s="246"/>
      <c r="J2341" s="247"/>
      <c r="K2341" s="503"/>
      <c r="L2341" s="544"/>
      <c r="M2341" s="544"/>
      <c r="N2341" s="500"/>
      <c r="O2341" s="500"/>
      <c r="P2341" s="500"/>
      <c r="Q2341" s="500"/>
      <c r="R2341" s="500"/>
      <c r="S2341" s="278"/>
      <c r="T2341" s="508">
        <f t="shared" si="1813"/>
        <v>0</v>
      </c>
      <c r="U2341" s="225" t="str">
        <f>IF(NOT(ISNUMBER(G2341)), "", VLOOKUP(A2341,'Discount Lookup'!D:E,2,FALSE)*G2341)</f>
        <v/>
      </c>
      <c r="V2341" s="225" t="str">
        <f>IF(NOT(ISNUMBER(G2341)), "", VLOOKUP(A2341,'Discount Lookup'!G:H,2,FALSE)*G2341)</f>
        <v/>
      </c>
      <c r="W2341" s="508">
        <f t="shared" si="1814"/>
        <v>0</v>
      </c>
      <c r="X2341" s="508">
        <f t="shared" si="1815"/>
        <v>0</v>
      </c>
      <c r="Y2341" s="509" t="b">
        <f t="shared" si="1816"/>
        <v>0</v>
      </c>
      <c r="Z2341" s="510">
        <f t="shared" si="1817"/>
        <v>0</v>
      </c>
      <c r="AA2341" s="511"/>
      <c r="AB2341" s="511" t="str">
        <f t="shared" si="1818"/>
        <v/>
      </c>
      <c r="AC2341" s="698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698"/>
      <c r="AE2341" s="631" t="str">
        <f t="shared" si="1819"/>
        <v/>
      </c>
      <c r="AF2341" s="699" t="str">
        <f t="shared" si="1820"/>
        <v/>
      </c>
      <c r="AG2341" s="699"/>
      <c r="AH2341" s="699"/>
      <c r="AI2341" s="512">
        <f>IF(H2341="credit",0,IF(AE2341="free",0,IF(AE2341="me",0,IF(G2341&gt;0,(VLOOKUP(A2341,'Discount Lookup'!J:K,2)*G2341),0))))</f>
        <v>0</v>
      </c>
      <c r="AJ2341" s="513" t="str">
        <f t="shared" ca="1" si="1821"/>
        <v/>
      </c>
      <c r="AK2341" s="700" t="str">
        <f t="shared" si="1822"/>
        <v/>
      </c>
      <c r="AL2341" s="700"/>
      <c r="AM2341" s="505" t="str">
        <f t="shared" si="1823"/>
        <v/>
      </c>
      <c r="AN2341" s="506"/>
      <c r="AO2341" s="507"/>
      <c r="AP2341" s="507"/>
      <c r="AQ2341" s="507"/>
      <c r="AR2341" s="507"/>
      <c r="AS2341" s="507"/>
      <c r="AT2341" s="507"/>
      <c r="AU2341" s="507"/>
      <c r="AV2341" s="225"/>
      <c r="AW2341" s="508"/>
      <c r="AX2341" s="225"/>
      <c r="AY2341" s="225"/>
      <c r="AZ2341" s="225"/>
      <c r="BA2341" s="225"/>
      <c r="BB2341" s="225"/>
      <c r="BC2341" s="56"/>
      <c r="BD2341" s="56"/>
      <c r="BE2341" s="56"/>
      <c r="BF2341" s="107" t="str">
        <f t="shared" si="1824"/>
        <v>https://www.google.com/search?tbm=isch&amp;q=Lunar%20Magic%20is%20named%20for%20the%20contrast%20of%20the%20pure%20White%20bloom%20against%20the%20dark%20Maroon%20foliage%20%28deep%20Green%20late%20season%29%20</v>
      </c>
      <c r="BG2341" s="107" t="str">
        <f t="shared" si="1825"/>
        <v>L</v>
      </c>
      <c r="BH2341" s="254"/>
      <c r="BI2341" s="254"/>
    </row>
    <row r="2342" spans="1:61" customFormat="1" ht="18" x14ac:dyDescent="0.25">
      <c r="A2342" s="523" t="s">
        <v>1297</v>
      </c>
      <c r="B2342" s="235"/>
      <c r="C2342" s="676"/>
      <c r="D2342" s="255" t="s">
        <v>1298</v>
      </c>
      <c r="E2342" s="236"/>
      <c r="F2342" s="236"/>
      <c r="G2342" s="236"/>
      <c r="H2342" s="582" t="s">
        <v>1299</v>
      </c>
      <c r="I2342" s="498" t="s">
        <v>660</v>
      </c>
      <c r="J2342" s="237"/>
      <c r="K2342" s="237"/>
      <c r="L2342" s="274"/>
      <c r="M2342" s="668" t="s">
        <v>4975</v>
      </c>
      <c r="N2342" s="681" t="str">
        <f>IF(AND(ISTEXT($A2342), ISERROR($A2342+0)), HYPERLINK($BF2342, "Images"), "")</f>
        <v>Images</v>
      </c>
      <c r="O2342" s="663" t="s">
        <v>4967</v>
      </c>
      <c r="P2342" s="253"/>
      <c r="Q2342" s="238"/>
      <c r="R2342" s="239"/>
      <c r="S2342" s="275"/>
      <c r="T2342" s="508">
        <f t="shared" si="1813"/>
        <v>0</v>
      </c>
      <c r="U2342" s="225" t="str">
        <f>IF(NOT(ISNUMBER(G2342)), "", VLOOKUP(A2342,'Discount Lookup'!D:E,2,FALSE)*G2342)</f>
        <v/>
      </c>
      <c r="V2342" s="225" t="str">
        <f>IF(NOT(ISNUMBER(G2342)), "", VLOOKUP(A2342,'Discount Lookup'!G:H,2,FALSE)*G2342)</f>
        <v/>
      </c>
      <c r="W2342" s="508">
        <f t="shared" si="1814"/>
        <v>0</v>
      </c>
      <c r="X2342" s="508" t="str">
        <f t="shared" si="1815"/>
        <v>Golden Yellow bloom</v>
      </c>
      <c r="Y2342" s="509" t="b">
        <f t="shared" si="1816"/>
        <v>0</v>
      </c>
      <c r="Z2342" s="510">
        <f t="shared" si="1817"/>
        <v>0</v>
      </c>
      <c r="AA2342" s="511"/>
      <c r="AB2342" s="511" t="str">
        <f t="shared" si="1818"/>
        <v/>
      </c>
      <c r="AC2342" s="698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698"/>
      <c r="AE2342" s="631" t="str">
        <f t="shared" si="1819"/>
        <v/>
      </c>
      <c r="AF2342" s="699" t="str">
        <f t="shared" si="1820"/>
        <v/>
      </c>
      <c r="AG2342" s="699"/>
      <c r="AH2342" s="699"/>
      <c r="AI2342" s="512">
        <f>IF(H2342="credit",0,IF(AE2342="free",0,IF(AE2342="me",0,IF(G2342&gt;0,(VLOOKUP(A2342,'Discount Lookup'!J:K,2)*G2342),0))))</f>
        <v>0</v>
      </c>
      <c r="AJ2342" s="513" t="str">
        <f t="shared" ca="1" si="1821"/>
        <v/>
      </c>
      <c r="AK2342" s="700" t="str">
        <f t="shared" si="1822"/>
        <v/>
      </c>
      <c r="AL2342" s="700"/>
      <c r="AM2342" s="505" t="str">
        <f t="shared" si="1823"/>
        <v/>
      </c>
      <c r="AN2342" s="506"/>
      <c r="AO2342" s="507"/>
      <c r="AP2342" s="507"/>
      <c r="AQ2342" s="507"/>
      <c r="AR2342" s="507"/>
      <c r="AS2342" s="507"/>
      <c r="AT2342" s="507"/>
      <c r="AU2342" s="507"/>
      <c r="AV2342" s="225"/>
      <c r="AW2342" s="508"/>
      <c r="AX2342" s="225"/>
      <c r="AY2342" s="225"/>
      <c r="AZ2342" s="225"/>
      <c r="BA2342" s="225"/>
      <c r="BB2342" s="225"/>
      <c r="BC2342" s="56"/>
      <c r="BD2342" s="56"/>
      <c r="BE2342" s="56"/>
      <c r="BF2342" s="107" t="str">
        <f t="shared" si="1824"/>
        <v>https://www.google.com/search?tbm=isch&amp;q=Lynwood%20Gold%20Forsythia%20Forsythia%20x%20intermedia%20%27Lynwood%20Variety%27</v>
      </c>
      <c r="BG2342" s="107" t="str">
        <f t="shared" si="1825"/>
        <v>L</v>
      </c>
      <c r="BH2342" s="254"/>
      <c r="BI2342" s="254"/>
    </row>
    <row r="2343" spans="1:61" customFormat="1" ht="15.75" x14ac:dyDescent="0.25">
      <c r="A2343" s="276">
        <v>3</v>
      </c>
      <c r="B2343" s="240" t="s">
        <v>291</v>
      </c>
      <c r="C2343" s="241" t="s">
        <v>2720</v>
      </c>
      <c r="D2343" s="242" t="s">
        <v>297</v>
      </c>
      <c r="E2343" s="243">
        <v>22.95</v>
      </c>
      <c r="F2343" s="517" t="s">
        <v>293</v>
      </c>
      <c r="G2343" s="232">
        <v>0</v>
      </c>
      <c r="H2343" s="661" t="str">
        <f>IF(G2343=0,"",IF(F2343="Buy",IF(G2343=1,"plant","plants"),IF(F2343&gt;0.01,"warranty","Error")))</f>
        <v/>
      </c>
      <c r="I2343" s="244">
        <f>IF(H2343="free",0,IF(H2343="credit",((E2343*(F2343))*G2343*-1),IF(F2343="Buy",(E2343*G2343),((E2343*(1-F2343))*G2343))))</f>
        <v>0</v>
      </c>
      <c r="J2343" s="244">
        <f>IF(H2343="warranty",0,(I2343*(_xlfn.SINGLE(SalesTaxPercentage))))</f>
        <v>0</v>
      </c>
      <c r="K2343" s="696">
        <f t="shared" ref="K2343" si="1837">I2343+J2343</f>
        <v>0</v>
      </c>
      <c r="L2343" s="696"/>
      <c r="M2343" s="659" t="str">
        <f>IF(AND(G2343&gt;0,E2343=0),"WARNING - no PRICE inserted",IF(H2343="free"," FREE ~ no charge this plant",IF(H2343="credit",CONCATENATE(" -$",ROUND(K2343*(1-T2GDiscount)*-1,2)," CREDIT after discount"),IF(T2GDiscount=0,"",IF(G2343=0,"",IF(F2343="Buy",CONCATENATE(" $",ROUND(K2343*(1-T2GDiscount),2)," with ",(T2GDiscount*100),"% discount"),CONCATENATE(" $",ROUND(K2343*(1-T2GDiscount),2)," with ",((T2GDiscount*100+F2343*100)-(T2GDiscount*100*F2343)),IF(F2343&gt;0,"% discounts",IF(NoWarrantyDiscount&gt;0,"% discounts","% discount")))))))))</f>
        <v/>
      </c>
      <c r="N2343" s="660"/>
      <c r="O2343" s="233"/>
      <c r="P2343" s="233"/>
      <c r="Q2343" s="233"/>
      <c r="R2343" s="233"/>
      <c r="S2343" s="233"/>
      <c r="T2343" s="508">
        <f t="shared" si="1813"/>
        <v>0</v>
      </c>
      <c r="U2343" s="225">
        <f>IF(NOT(ISNUMBER(G2343)), "", VLOOKUP(A2343,'Discount Lookup'!D:E,2,FALSE)*G2343)</f>
        <v>0</v>
      </c>
      <c r="V2343" s="225">
        <f>IF(NOT(ISNUMBER(G2343)), "", VLOOKUP(A2343,'Discount Lookup'!G:H,2,FALSE)*G2343)</f>
        <v>0</v>
      </c>
      <c r="W2343" s="508">
        <f t="shared" si="1814"/>
        <v>0</v>
      </c>
      <c r="X2343" s="508">
        <f t="shared" si="1815"/>
        <v>0</v>
      </c>
      <c r="Y2343" s="509" t="b">
        <f t="shared" si="1816"/>
        <v>0</v>
      </c>
      <c r="Z2343" s="510">
        <f t="shared" si="1817"/>
        <v>0</v>
      </c>
      <c r="AA2343" s="511"/>
      <c r="AB2343" s="511" t="str">
        <f t="shared" si="1818"/>
        <v/>
      </c>
      <c r="AC2343" s="698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698"/>
      <c r="AE2343" s="631" t="str">
        <f t="shared" si="1819"/>
        <v/>
      </c>
      <c r="AF2343" s="699" t="str">
        <f t="shared" si="1820"/>
        <v/>
      </c>
      <c r="AG2343" s="699"/>
      <c r="AH2343" s="699"/>
      <c r="AI2343" s="512">
        <f>IF(H2343="credit",0,IF(AE2343="free",0,IF(AE2343="me",0,IF(G2343&gt;0,(VLOOKUP(A2343,'Discount Lookup'!J:K,2)*G2343),0))))</f>
        <v>0</v>
      </c>
      <c r="AJ2343" s="513" t="str">
        <f t="shared" ca="1" si="1821"/>
        <v/>
      </c>
      <c r="AK2343" s="700" t="str">
        <f t="shared" si="1822"/>
        <v/>
      </c>
      <c r="AL2343" s="700"/>
      <c r="AM2343" s="505" t="str">
        <f t="shared" si="1823"/>
        <v/>
      </c>
      <c r="AN2343" s="506"/>
      <c r="AO2343" s="507"/>
      <c r="AP2343" s="507"/>
      <c r="AQ2343" s="507"/>
      <c r="AR2343" s="507"/>
      <c r="AS2343" s="507"/>
      <c r="AT2343" s="507"/>
      <c r="AU2343" s="507"/>
      <c r="AV2343" s="225"/>
      <c r="AW2343" s="508"/>
      <c r="AX2343" s="225"/>
      <c r="AY2343" s="225"/>
      <c r="AZ2343" s="225"/>
      <c r="BA2343" s="225"/>
      <c r="BB2343" s="225"/>
      <c r="BC2343" s="56"/>
      <c r="BD2343" s="56"/>
      <c r="BE2343" s="56"/>
      <c r="BF2343" s="107" t="str">
        <f t="shared" si="1824"/>
        <v>https://www.google.com/search?tbm=isch&amp;q=3%20G3</v>
      </c>
      <c r="BG2343" s="107" t="str">
        <f t="shared" si="1825"/>
        <v>L</v>
      </c>
      <c r="BH2343" s="254"/>
      <c r="BI2343" s="254"/>
    </row>
    <row r="2344" spans="1:61" customFormat="1" ht="15.75" x14ac:dyDescent="0.25">
      <c r="A2344" s="276">
        <v>3</v>
      </c>
      <c r="B2344" s="240" t="s">
        <v>291</v>
      </c>
      <c r="C2344" s="241" t="s">
        <v>1300</v>
      </c>
      <c r="D2344" s="242" t="s">
        <v>300</v>
      </c>
      <c r="E2344" s="243">
        <v>24.95</v>
      </c>
      <c r="F2344" s="517" t="s">
        <v>293</v>
      </c>
      <c r="G2344" s="232">
        <v>0</v>
      </c>
      <c r="H2344" s="661" t="str">
        <f>IF(G2344=0,"",IF(F2344="Buy",IF(G2344=1,"plant","plants"),IF(F2344&gt;0.01,"warranty","Error")))</f>
        <v/>
      </c>
      <c r="I2344" s="244">
        <f>IF(H2344="free",0,IF(H2344="credit",((E2344*(F2344))*G2344*-1),IF(F2344="Buy",(E2344*G2344),((E2344*(1-F2344))*G2344))))</f>
        <v>0</v>
      </c>
      <c r="J2344" s="244">
        <f>IF(H2344="warranty",0,(I2344*(_xlfn.SINGLE(SalesTaxPercentage))))</f>
        <v>0</v>
      </c>
      <c r="K2344" s="696">
        <f t="shared" ref="K2344" si="1838">I2344+J2344</f>
        <v>0</v>
      </c>
      <c r="L2344" s="696"/>
      <c r="M2344" s="659" t="str">
        <f>IF(AND(G2344&gt;0,E2344=0),"WARNING - no PRICE inserted",IF(H2344="free"," FREE ~ no charge this plant",IF(H2344="credit",CONCATENATE(" -$",ROUND(K2344*(1-T2GDiscount)*-1,2)," CREDIT after discount"),IF(T2GDiscount=0,"",IF(G2344=0,"",IF(F2344="Buy",CONCATENATE(" $",ROUND(K2344*(1-T2GDiscount),2)," with ",(T2GDiscount*100),"% discount"),CONCATENATE(" $",ROUND(K2344*(1-T2GDiscount),2)," with ",((T2GDiscount*100+F2344*100)-(T2GDiscount*100*F2344)),IF(F2344&gt;0,"% discounts",IF(NoWarrantyDiscount&gt;0,"% discounts","% discount")))))))))</f>
        <v/>
      </c>
      <c r="N2344" s="660"/>
      <c r="O2344" s="233"/>
      <c r="P2344" s="233"/>
      <c r="Q2344" s="233"/>
      <c r="R2344" s="233"/>
      <c r="S2344" s="233"/>
      <c r="T2344" s="508">
        <f t="shared" si="1813"/>
        <v>0</v>
      </c>
      <c r="U2344" s="225">
        <f>IF(NOT(ISNUMBER(G2344)), "", VLOOKUP(A2344,'Discount Lookup'!D:E,2,FALSE)*G2344)</f>
        <v>0</v>
      </c>
      <c r="V2344" s="225">
        <f>IF(NOT(ISNUMBER(G2344)), "", VLOOKUP(A2344,'Discount Lookup'!G:H,2,FALSE)*G2344)</f>
        <v>0</v>
      </c>
      <c r="W2344" s="508">
        <f t="shared" si="1814"/>
        <v>0</v>
      </c>
      <c r="X2344" s="508">
        <f t="shared" si="1815"/>
        <v>0</v>
      </c>
      <c r="Y2344" s="509" t="b">
        <f t="shared" si="1816"/>
        <v>0</v>
      </c>
      <c r="Z2344" s="510">
        <f t="shared" si="1817"/>
        <v>0</v>
      </c>
      <c r="AA2344" s="511"/>
      <c r="AB2344" s="511" t="str">
        <f t="shared" si="1818"/>
        <v/>
      </c>
      <c r="AC2344" s="698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698"/>
      <c r="AE2344" s="631" t="str">
        <f t="shared" si="1819"/>
        <v/>
      </c>
      <c r="AF2344" s="699" t="str">
        <f t="shared" si="1820"/>
        <v/>
      </c>
      <c r="AG2344" s="699"/>
      <c r="AH2344" s="699"/>
      <c r="AI2344" s="512">
        <f>IF(H2344="credit",0,IF(AE2344="free",0,IF(AE2344="me",0,IF(G2344&gt;0,(VLOOKUP(A2344,'Discount Lookup'!J:K,2)*G2344),0))))</f>
        <v>0</v>
      </c>
      <c r="AJ2344" s="513" t="str">
        <f t="shared" ca="1" si="1821"/>
        <v/>
      </c>
      <c r="AK2344" s="700" t="str">
        <f t="shared" si="1822"/>
        <v/>
      </c>
      <c r="AL2344" s="700"/>
      <c r="AM2344" s="505" t="str">
        <f t="shared" si="1823"/>
        <v/>
      </c>
      <c r="AN2344" s="506"/>
      <c r="AO2344" s="507"/>
      <c r="AP2344" s="507"/>
      <c r="AQ2344" s="507"/>
      <c r="AR2344" s="507"/>
      <c r="AS2344" s="507"/>
      <c r="AT2344" s="507"/>
      <c r="AU2344" s="507"/>
      <c r="AV2344" s="225"/>
      <c r="AW2344" s="508"/>
      <c r="AX2344" s="225"/>
      <c r="AY2344" s="225"/>
      <c r="AZ2344" s="225"/>
      <c r="BA2344" s="225"/>
      <c r="BB2344" s="225"/>
      <c r="BC2344" s="56"/>
      <c r="BD2344" s="56"/>
      <c r="BE2344" s="56"/>
      <c r="BF2344" s="107" t="str">
        <f t="shared" si="1824"/>
        <v>https://www.google.com/search?tbm=isch&amp;q=3%20G6</v>
      </c>
      <c r="BG2344" s="107" t="str">
        <f t="shared" si="1825"/>
        <v>L</v>
      </c>
      <c r="BH2344" s="254"/>
      <c r="BI2344" s="254"/>
    </row>
    <row r="2345" spans="1:61" customFormat="1" ht="15.75" x14ac:dyDescent="0.25">
      <c r="A2345" s="276">
        <v>3</v>
      </c>
      <c r="B2345" s="240" t="s">
        <v>291</v>
      </c>
      <c r="C2345" s="241"/>
      <c r="D2345" s="242" t="s">
        <v>298</v>
      </c>
      <c r="E2345" s="243">
        <v>25.95</v>
      </c>
      <c r="F2345" s="517" t="s">
        <v>293</v>
      </c>
      <c r="G2345" s="232">
        <v>0</v>
      </c>
      <c r="H2345" s="661" t="str">
        <f>IF(G2345=0,"",IF(F2345="Buy",IF(G2345=1,"plant","plants"),IF(F2345&gt;0.01,"warranty","Error")))</f>
        <v/>
      </c>
      <c r="I2345" s="244">
        <f>IF(H2345="free",0,IF(H2345="credit",((E2345*(F2345))*G2345*-1),IF(F2345="Buy",(E2345*G2345),((E2345*(1-F2345))*G2345))))</f>
        <v>0</v>
      </c>
      <c r="J2345" s="244">
        <f>IF(H2345="warranty",0,(I2345*(_xlfn.SINGLE(SalesTaxPercentage))))</f>
        <v>0</v>
      </c>
      <c r="K2345" s="696">
        <f t="shared" ref="K2345" si="1839">I2345+J2345</f>
        <v>0</v>
      </c>
      <c r="L2345" s="696"/>
      <c r="M2345" s="659" t="str">
        <f>IF(AND(G2345&gt;0,E2345=0),"WARNING - no PRICE inserted",IF(H2345="free"," FREE ~ no charge this plant",IF(H2345="credit",CONCATENATE(" -$",ROUND(K2345*(1-T2GDiscount)*-1,2)," CREDIT after discount"),IF(T2GDiscount=0,"",IF(G2345=0,"",IF(F2345="Buy",CONCATENATE(" $",ROUND(K2345*(1-T2GDiscount),2)," with ",(T2GDiscount*100),"% discount"),CONCATENATE(" $",ROUND(K2345*(1-T2GDiscount),2)," with ",((T2GDiscount*100+F2345*100)-(T2GDiscount*100*F2345)),IF(F2345&gt;0,"% discounts",IF(NoWarrantyDiscount&gt;0,"% discounts","% discount")))))))))</f>
        <v/>
      </c>
      <c r="N2345" s="660"/>
      <c r="O2345" s="233"/>
      <c r="P2345" s="233"/>
      <c r="Q2345" s="233"/>
      <c r="R2345" s="233"/>
      <c r="S2345" s="233"/>
      <c r="T2345" s="508">
        <f t="shared" si="1813"/>
        <v>0</v>
      </c>
      <c r="U2345" s="225">
        <f>IF(NOT(ISNUMBER(G2345)), "", VLOOKUP(A2345,'Discount Lookup'!D:E,2,FALSE)*G2345)</f>
        <v>0</v>
      </c>
      <c r="V2345" s="225">
        <f>IF(NOT(ISNUMBER(G2345)), "", VLOOKUP(A2345,'Discount Lookup'!G:H,2,FALSE)*G2345)</f>
        <v>0</v>
      </c>
      <c r="W2345" s="508">
        <f t="shared" si="1814"/>
        <v>0</v>
      </c>
      <c r="X2345" s="508">
        <f t="shared" si="1815"/>
        <v>0</v>
      </c>
      <c r="Y2345" s="509" t="b">
        <f t="shared" si="1816"/>
        <v>0</v>
      </c>
      <c r="Z2345" s="510">
        <f t="shared" si="1817"/>
        <v>0</v>
      </c>
      <c r="AA2345" s="511"/>
      <c r="AB2345" s="511" t="str">
        <f t="shared" si="1818"/>
        <v/>
      </c>
      <c r="AC2345" s="698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698"/>
      <c r="AE2345" s="631" t="str">
        <f t="shared" si="1819"/>
        <v/>
      </c>
      <c r="AF2345" s="699" t="str">
        <f t="shared" si="1820"/>
        <v/>
      </c>
      <c r="AG2345" s="699"/>
      <c r="AH2345" s="699"/>
      <c r="AI2345" s="512">
        <f>IF(H2345="credit",0,IF(AE2345="free",0,IF(AE2345="me",0,IF(G2345&gt;0,(VLOOKUP(A2345,'Discount Lookup'!J:K,2)*G2345),0))))</f>
        <v>0</v>
      </c>
      <c r="AJ2345" s="513" t="str">
        <f t="shared" ca="1" si="1821"/>
        <v/>
      </c>
      <c r="AK2345" s="700" t="str">
        <f t="shared" si="1822"/>
        <v/>
      </c>
      <c r="AL2345" s="700"/>
      <c r="AM2345" s="505" t="str">
        <f t="shared" si="1823"/>
        <v/>
      </c>
      <c r="AN2345" s="506"/>
      <c r="AO2345" s="507"/>
      <c r="AP2345" s="507"/>
      <c r="AQ2345" s="507"/>
      <c r="AR2345" s="507"/>
      <c r="AS2345" s="507"/>
      <c r="AT2345" s="507"/>
      <c r="AU2345" s="507"/>
      <c r="AV2345" s="225"/>
      <c r="AW2345" s="508"/>
      <c r="AX2345" s="225"/>
      <c r="AY2345" s="225"/>
      <c r="AZ2345" s="225"/>
      <c r="BA2345" s="225"/>
      <c r="BB2345" s="225"/>
      <c r="BC2345" s="56"/>
      <c r="BD2345" s="56"/>
      <c r="BE2345" s="56"/>
      <c r="BF2345" s="107" t="str">
        <f t="shared" si="1824"/>
        <v>https://www.google.com/search?tbm=isch&amp;q=3%20G1</v>
      </c>
      <c r="BG2345" s="107" t="str">
        <f t="shared" si="1825"/>
        <v>L</v>
      </c>
      <c r="BH2345" s="254"/>
      <c r="BI2345" s="254"/>
    </row>
    <row r="2346" spans="1:61" customFormat="1" ht="15.75" x14ac:dyDescent="0.25">
      <c r="A2346" s="276">
        <v>3</v>
      </c>
      <c r="B2346" s="240" t="s">
        <v>291</v>
      </c>
      <c r="C2346" s="241"/>
      <c r="D2346" s="242" t="s">
        <v>312</v>
      </c>
      <c r="E2346" s="243">
        <v>26.95</v>
      </c>
      <c r="F2346" s="517" t="s">
        <v>293</v>
      </c>
      <c r="G2346" s="232">
        <v>0</v>
      </c>
      <c r="H2346" s="661" t="str">
        <f>IF(G2346=0,"",IF(F2346="Buy",IF(G2346=1,"plant","plants"),IF(F2346&gt;0.01,"warranty","Error")))</f>
        <v/>
      </c>
      <c r="I2346" s="244">
        <f>IF(H2346="free",0,IF(H2346="credit",((E2346*(F2346))*G2346*-1),IF(F2346="Buy",(E2346*G2346),((E2346*(1-F2346))*G2346))))</f>
        <v>0</v>
      </c>
      <c r="J2346" s="244">
        <f>IF(H2346="warranty",0,(I2346*(_xlfn.SINGLE(SalesTaxPercentage))))</f>
        <v>0</v>
      </c>
      <c r="K2346" s="696">
        <f t="shared" ref="K2346" si="1840">I2346+J2346</f>
        <v>0</v>
      </c>
      <c r="L2346" s="696"/>
      <c r="M2346" s="659" t="str">
        <f>IF(AND(G2346&gt;0,E2346=0),"WARNING - no PRICE inserted",IF(H2346="free"," FREE ~ no charge this plant",IF(H2346="credit",CONCATENATE(" -$",ROUND(K2346*(1-T2GDiscount)*-1,2)," CREDIT after discount"),IF(T2GDiscount=0,"",IF(G2346=0,"",IF(F2346="Buy",CONCATENATE(" $",ROUND(K2346*(1-T2GDiscount),2)," with ",(T2GDiscount*100),"% discount"),CONCATENATE(" $",ROUND(K2346*(1-T2GDiscount),2)," with ",((T2GDiscount*100+F2346*100)-(T2GDiscount*100*F2346)),IF(F2346&gt;0,"% discounts",IF(NoWarrantyDiscount&gt;0,"% discounts","% discount")))))))))</f>
        <v/>
      </c>
      <c r="N2346" s="660"/>
      <c r="O2346" s="233"/>
      <c r="P2346" s="233"/>
      <c r="Q2346" s="233"/>
      <c r="R2346" s="233"/>
      <c r="S2346" s="233"/>
      <c r="T2346" s="508">
        <f t="shared" si="1813"/>
        <v>0</v>
      </c>
      <c r="U2346" s="225">
        <f>IF(NOT(ISNUMBER(G2346)), "", VLOOKUP(A2346,'Discount Lookup'!D:E,2,FALSE)*G2346)</f>
        <v>0</v>
      </c>
      <c r="V2346" s="225">
        <f>IF(NOT(ISNUMBER(G2346)), "", VLOOKUP(A2346,'Discount Lookup'!G:H,2,FALSE)*G2346)</f>
        <v>0</v>
      </c>
      <c r="W2346" s="508">
        <f t="shared" si="1814"/>
        <v>0</v>
      </c>
      <c r="X2346" s="508">
        <f t="shared" si="1815"/>
        <v>0</v>
      </c>
      <c r="Y2346" s="509" t="b">
        <f t="shared" si="1816"/>
        <v>0</v>
      </c>
      <c r="Z2346" s="510">
        <f t="shared" si="1817"/>
        <v>0</v>
      </c>
      <c r="AA2346" s="511"/>
      <c r="AB2346" s="511" t="str">
        <f t="shared" si="1818"/>
        <v/>
      </c>
      <c r="AC2346" s="698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698"/>
      <c r="AE2346" s="631" t="str">
        <f t="shared" si="1819"/>
        <v/>
      </c>
      <c r="AF2346" s="699" t="str">
        <f t="shared" si="1820"/>
        <v/>
      </c>
      <c r="AG2346" s="699"/>
      <c r="AH2346" s="699"/>
      <c r="AI2346" s="512">
        <f>IF(H2346="credit",0,IF(AE2346="free",0,IF(AE2346="me",0,IF(G2346&gt;0,(VLOOKUP(A2346,'Discount Lookup'!J:K,2)*G2346),0))))</f>
        <v>0</v>
      </c>
      <c r="AJ2346" s="513" t="str">
        <f t="shared" ca="1" si="1821"/>
        <v/>
      </c>
      <c r="AK2346" s="700" t="str">
        <f t="shared" si="1822"/>
        <v/>
      </c>
      <c r="AL2346" s="700"/>
      <c r="AM2346" s="505" t="str">
        <f t="shared" si="1823"/>
        <v/>
      </c>
      <c r="AN2346" s="506"/>
      <c r="AO2346" s="507"/>
      <c r="AP2346" s="507"/>
      <c r="AQ2346" s="507"/>
      <c r="AR2346" s="507"/>
      <c r="AS2346" s="507"/>
      <c r="AT2346" s="507"/>
      <c r="AU2346" s="507"/>
      <c r="AV2346" s="225"/>
      <c r="AW2346" s="508"/>
      <c r="AX2346" s="225"/>
      <c r="AY2346" s="225"/>
      <c r="AZ2346" s="225"/>
      <c r="BA2346" s="225"/>
      <c r="BB2346" s="225"/>
      <c r="BC2346" s="56"/>
      <c r="BD2346" s="56"/>
      <c r="BE2346" s="56"/>
      <c r="BF2346" s="107" t="str">
        <f t="shared" si="1824"/>
        <v>https://www.google.com/search?tbm=isch&amp;q=3%20G2</v>
      </c>
      <c r="BG2346" s="107" t="str">
        <f t="shared" si="1825"/>
        <v>L</v>
      </c>
      <c r="BH2346" s="254"/>
      <c r="BI2346" s="254"/>
    </row>
    <row r="2347" spans="1:61" customFormat="1" ht="16.5" x14ac:dyDescent="0.25">
      <c r="A2347" s="524" t="s">
        <v>2431</v>
      </c>
      <c r="B2347" s="245"/>
      <c r="C2347" s="677"/>
      <c r="D2347" s="499"/>
      <c r="E2347" s="499"/>
      <c r="F2347" s="500"/>
      <c r="G2347" s="501"/>
      <c r="H2347" s="502"/>
      <c r="I2347" s="246"/>
      <c r="J2347" s="247"/>
      <c r="K2347" s="503"/>
      <c r="L2347" s="544"/>
      <c r="M2347" s="544"/>
      <c r="N2347" s="500"/>
      <c r="O2347" s="500"/>
      <c r="P2347" s="500"/>
      <c r="Q2347" s="500"/>
      <c r="R2347" s="500"/>
      <c r="S2347" s="669" t="s">
        <v>4996</v>
      </c>
      <c r="T2347" s="508">
        <f t="shared" si="1813"/>
        <v>0</v>
      </c>
      <c r="U2347" s="225" t="str">
        <f>IF(NOT(ISNUMBER(G2347)), "", VLOOKUP(A2347,'Discount Lookup'!D:E,2,FALSE)*G2347)</f>
        <v/>
      </c>
      <c r="V2347" s="225" t="str">
        <f>IF(NOT(ISNUMBER(G2347)), "", VLOOKUP(A2347,'Discount Lookup'!G:H,2,FALSE)*G2347)</f>
        <v/>
      </c>
      <c r="W2347" s="508">
        <f t="shared" si="1814"/>
        <v>0</v>
      </c>
      <c r="X2347" s="508">
        <f t="shared" si="1815"/>
        <v>0</v>
      </c>
      <c r="Y2347" s="509" t="b">
        <f t="shared" si="1816"/>
        <v>0</v>
      </c>
      <c r="Z2347" s="510">
        <f t="shared" si="1817"/>
        <v>0</v>
      </c>
      <c r="AA2347" s="511"/>
      <c r="AB2347" s="511" t="str">
        <f t="shared" si="1818"/>
        <v/>
      </c>
      <c r="AC2347" s="698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698"/>
      <c r="AE2347" s="631" t="str">
        <f t="shared" si="1819"/>
        <v/>
      </c>
      <c r="AF2347" s="699" t="str">
        <f t="shared" si="1820"/>
        <v/>
      </c>
      <c r="AG2347" s="699"/>
      <c r="AH2347" s="699"/>
      <c r="AI2347" s="512">
        <f>IF(H2347="credit",0,IF(AE2347="free",0,IF(AE2347="me",0,IF(G2347&gt;0,(VLOOKUP(A2347,'Discount Lookup'!J:K,2)*G2347),0))))</f>
        <v>0</v>
      </c>
      <c r="AJ2347" s="513" t="str">
        <f t="shared" ca="1" si="1821"/>
        <v/>
      </c>
      <c r="AK2347" s="700" t="str">
        <f t="shared" si="1822"/>
        <v/>
      </c>
      <c r="AL2347" s="700"/>
      <c r="AM2347" s="505" t="str">
        <f t="shared" si="1823"/>
        <v/>
      </c>
      <c r="AN2347" s="506"/>
      <c r="AO2347" s="507"/>
      <c r="AP2347" s="507"/>
      <c r="AQ2347" s="507"/>
      <c r="AR2347" s="507"/>
      <c r="AS2347" s="507"/>
      <c r="AT2347" s="507"/>
      <c r="AU2347" s="507"/>
      <c r="AV2347" s="225"/>
      <c r="AW2347" s="508"/>
      <c r="AX2347" s="225"/>
      <c r="AY2347" s="225"/>
      <c r="AZ2347" s="225"/>
      <c r="BA2347" s="225"/>
      <c r="BB2347" s="225"/>
      <c r="BC2347" s="56"/>
      <c r="BD2347" s="56"/>
      <c r="BE2347" s="56"/>
      <c r="BF2347" s="107" t="str">
        <f t="shared" si="1824"/>
        <v>https://www.google.com/search?tbm=isch&amp;q=Lynnwood%20Gold%20is%20a%20smaller%20%27Border%20Forsythia%27.%20Dark%20green%20foliage%20replaces%20blooms%2C%20turning%20gold%20to%20purple%20in%20fall%20</v>
      </c>
      <c r="BG2347" s="107" t="str">
        <f t="shared" si="1825"/>
        <v>L</v>
      </c>
      <c r="BH2347" s="254"/>
      <c r="BI2347" s="254"/>
    </row>
    <row r="2348" spans="1:61" customFormat="1" ht="45.75" thickBot="1" x14ac:dyDescent="0.35">
      <c r="A2348" s="525" t="s">
        <v>1301</v>
      </c>
      <c r="B2348" s="248"/>
      <c r="C2348" s="678" t="s">
        <v>673</v>
      </c>
      <c r="D2348" s="249"/>
      <c r="E2348" s="249"/>
      <c r="F2348" s="249"/>
      <c r="G2348" s="249"/>
      <c r="H2348" s="250"/>
      <c r="I2348" s="249"/>
      <c r="J2348" s="249"/>
      <c r="K2348" s="526" t="s">
        <v>2840</v>
      </c>
      <c r="L2348" s="279"/>
      <c r="M2348" s="251"/>
      <c r="S2348" s="504" t="s">
        <v>2841</v>
      </c>
      <c r="T2348" s="508">
        <f t="shared" si="1813"/>
        <v>0</v>
      </c>
      <c r="U2348" s="225" t="str">
        <f>IF(NOT(ISNUMBER(G2348)), "", VLOOKUP(A2348,'Discount Lookup'!D:E,2,FALSE)*G2348)</f>
        <v/>
      </c>
      <c r="V2348" s="225" t="str">
        <f>IF(NOT(ISNUMBER(G2348)), "", VLOOKUP(A2348,'Discount Lookup'!G:H,2,FALSE)*G2348)</f>
        <v/>
      </c>
      <c r="W2348" s="508">
        <f t="shared" si="1814"/>
        <v>0</v>
      </c>
      <c r="X2348" s="508">
        <f t="shared" si="1815"/>
        <v>0</v>
      </c>
      <c r="Y2348" s="509" t="b">
        <f t="shared" si="1816"/>
        <v>0</v>
      </c>
      <c r="Z2348" s="510">
        <f t="shared" si="1817"/>
        <v>0</v>
      </c>
      <c r="AA2348" s="511"/>
      <c r="AB2348" s="511" t="str">
        <f t="shared" si="1818"/>
        <v/>
      </c>
      <c r="AC2348" s="698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698"/>
      <c r="AE2348" s="631" t="str">
        <f t="shared" si="1819"/>
        <v/>
      </c>
      <c r="AF2348" s="699" t="str">
        <f t="shared" si="1820"/>
        <v/>
      </c>
      <c r="AG2348" s="699"/>
      <c r="AH2348" s="699"/>
      <c r="AI2348" s="512">
        <f>IF(H2348="credit",0,IF(AE2348="free",0,IF(AE2348="me",0,IF(G2348&gt;0,(VLOOKUP(A2348,'Discount Lookup'!J:K,2)*G2348),0))))</f>
        <v>0</v>
      </c>
      <c r="AJ2348" s="513" t="str">
        <f t="shared" ca="1" si="1821"/>
        <v/>
      </c>
      <c r="AK2348" s="700" t="str">
        <f t="shared" si="1822"/>
        <v/>
      </c>
      <c r="AL2348" s="700"/>
      <c r="AM2348" s="505" t="str">
        <f t="shared" si="1823"/>
        <v/>
      </c>
      <c r="AN2348" s="506"/>
      <c r="AO2348" s="507"/>
      <c r="AP2348" s="507"/>
      <c r="AQ2348" s="507"/>
      <c r="AR2348" s="507"/>
      <c r="AS2348" s="507"/>
      <c r="AT2348" s="507"/>
      <c r="AU2348" s="507"/>
      <c r="AV2348" s="225"/>
      <c r="AW2348" s="508"/>
      <c r="AX2348" s="225"/>
      <c r="AY2348" s="225"/>
      <c r="AZ2348" s="225"/>
      <c r="BA2348" s="225"/>
      <c r="BB2348" s="225"/>
      <c r="BC2348" s="56"/>
      <c r="BD2348" s="56"/>
      <c r="BE2348" s="56"/>
      <c r="BF2348" s="107" t="str">
        <f t="shared" si="1824"/>
        <v>https://www.google.com/search?tbm=isch&amp;q=M%20</v>
      </c>
      <c r="BG2348" s="107" t="str">
        <f t="shared" si="1825"/>
        <v>M</v>
      </c>
      <c r="BH2348" s="254"/>
      <c r="BI2348" s="254"/>
    </row>
    <row r="2349" spans="1:61" customFormat="1" ht="18" x14ac:dyDescent="0.25">
      <c r="A2349" s="523" t="s">
        <v>5449</v>
      </c>
      <c r="B2349" s="235"/>
      <c r="C2349" s="676"/>
      <c r="D2349" s="255" t="s">
        <v>2532</v>
      </c>
      <c r="E2349" s="236"/>
      <c r="F2349" s="236"/>
      <c r="G2349" s="236"/>
      <c r="H2349" s="582" t="s">
        <v>508</v>
      </c>
      <c r="I2349" s="498" t="s">
        <v>1378</v>
      </c>
      <c r="J2349" s="237"/>
      <c r="K2349" s="237"/>
      <c r="L2349" s="274"/>
      <c r="M2349" s="668" t="s">
        <v>4962</v>
      </c>
      <c r="N2349" s="681" t="str">
        <f>IF(AND(ISTEXT($A2349), ISERROR($A2349+0)), HYPERLINK($BF2349, "Images"), "")</f>
        <v>Images</v>
      </c>
      <c r="O2349" s="663" t="s">
        <v>4967</v>
      </c>
      <c r="P2349" s="253"/>
      <c r="Q2349" s="238"/>
      <c r="R2349" s="239"/>
      <c r="S2349" s="275"/>
      <c r="T2349" s="508">
        <f t="shared" si="1813"/>
        <v>0</v>
      </c>
      <c r="U2349" s="225" t="str">
        <f>IF(NOT(ISNUMBER(G2349)), "", VLOOKUP(A2349,'Discount Lookup'!D:E,2,FALSE)*G2349)</f>
        <v/>
      </c>
      <c r="V2349" s="225" t="str">
        <f>IF(NOT(ISNUMBER(G2349)), "", VLOOKUP(A2349,'Discount Lookup'!G:H,2,FALSE)*G2349)</f>
        <v/>
      </c>
      <c r="W2349" s="508">
        <f t="shared" si="1814"/>
        <v>0</v>
      </c>
      <c r="X2349" s="508" t="str">
        <f t="shared" si="1815"/>
        <v>Bright Pink bloom</v>
      </c>
      <c r="Y2349" s="509" t="b">
        <f t="shared" si="1816"/>
        <v>0</v>
      </c>
      <c r="Z2349" s="510">
        <f t="shared" si="1817"/>
        <v>0</v>
      </c>
      <c r="AA2349" s="511"/>
      <c r="AB2349" s="511" t="str">
        <f t="shared" si="1818"/>
        <v/>
      </c>
      <c r="AC2349" s="698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698"/>
      <c r="AE2349" s="631" t="str">
        <f t="shared" si="1819"/>
        <v/>
      </c>
      <c r="AF2349" s="699" t="str">
        <f t="shared" si="1820"/>
        <v/>
      </c>
      <c r="AG2349" s="699"/>
      <c r="AH2349" s="699"/>
      <c r="AI2349" s="512">
        <f>IF(H2349="credit",0,IF(AE2349="free",0,IF(AE2349="me",0,IF(G2349&gt;0,(VLOOKUP(A2349,'Discount Lookup'!J:K,2)*G2349),0))))</f>
        <v>0</v>
      </c>
      <c r="AJ2349" s="513" t="str">
        <f t="shared" ca="1" si="1821"/>
        <v/>
      </c>
      <c r="AK2349" s="700" t="str">
        <f t="shared" si="1822"/>
        <v/>
      </c>
      <c r="AL2349" s="700"/>
      <c r="AM2349" s="505" t="str">
        <f t="shared" si="1823"/>
        <v/>
      </c>
      <c r="AN2349" s="506"/>
      <c r="AO2349" s="507"/>
      <c r="AP2349" s="507"/>
      <c r="AQ2349" s="507"/>
      <c r="AR2349" s="507"/>
      <c r="AS2349" s="507"/>
      <c r="AT2349" s="507"/>
      <c r="AU2349" s="507"/>
      <c r="AV2349" s="225"/>
      <c r="AW2349" s="508"/>
      <c r="AX2349" s="225"/>
      <c r="AY2349" s="225"/>
      <c r="AZ2349" s="225"/>
      <c r="BA2349" s="225"/>
      <c r="BB2349" s="225"/>
      <c r="BC2349" s="56"/>
      <c r="BD2349" s="56"/>
      <c r="BE2349" s="56"/>
      <c r="BF2349" s="107" t="str">
        <f t="shared" si="1824"/>
        <v>https://www.google.com/search?tbm=isch&amp;q=Magic%20Carpet%E2%84%A2%20Spirea%20Spiraea%20x%20bumalda%20%27Walbuma%27%20PP%239363Exp.</v>
      </c>
      <c r="BG2349" s="107" t="str">
        <f t="shared" si="1825"/>
        <v>M</v>
      </c>
      <c r="BH2349" s="254"/>
      <c r="BI2349" s="254"/>
    </row>
    <row r="2350" spans="1:61" customFormat="1" ht="15.75" x14ac:dyDescent="0.25">
      <c r="A2350" s="276">
        <v>3</v>
      </c>
      <c r="B2350" s="240" t="s">
        <v>291</v>
      </c>
      <c r="C2350" s="241"/>
      <c r="D2350" s="242" t="s">
        <v>312</v>
      </c>
      <c r="E2350" s="243">
        <v>29.95</v>
      </c>
      <c r="F2350" s="517" t="s">
        <v>293</v>
      </c>
      <c r="G2350" s="232">
        <v>0</v>
      </c>
      <c r="H2350" s="661" t="str">
        <f>IF(G2350=0,"",IF(F2350="Buy",IF(G2350=1,"plant","plants"),IF(F2350&gt;0.01,"warranty","Error")))</f>
        <v/>
      </c>
      <c r="I2350" s="244">
        <f>IF(H2350="free",0,IF(H2350="credit",((E2350*(F2350))*G2350*-1),IF(F2350="Buy",(E2350*G2350),((E2350*(1-F2350))*G2350))))</f>
        <v>0</v>
      </c>
      <c r="J2350" s="244">
        <f>IF(H2350="warranty",0,(I2350*(_xlfn.SINGLE(SalesTaxPercentage))))</f>
        <v>0</v>
      </c>
      <c r="K2350" s="696">
        <f t="shared" ref="K2350" si="1841">I2350+J2350</f>
        <v>0</v>
      </c>
      <c r="L2350" s="696"/>
      <c r="M2350" s="659" t="str">
        <f>IF(AND(G2350&gt;0,E2350=0),"WARNING - no PRICE inserted",IF(H2350="free"," FREE ~ no charge this plant",IF(H2350="credit",CONCATENATE(" -$",ROUND(K2350*(1-T2GDiscount)*-1,2)," CREDIT after discount"),IF(T2GDiscount=0,"",IF(G2350=0,"",IF(F2350="Buy",CONCATENATE(" $",ROUND(K2350*(1-T2GDiscount),2)," with ",(T2GDiscount*100),"% discount"),CONCATENATE(" $",ROUND(K2350*(1-T2GDiscount),2)," with ",((T2GDiscount*100+F2350*100)-(T2GDiscount*100*F2350)),IF(F2350&gt;0,"% discounts",IF(NoWarrantyDiscount&gt;0,"% discounts","% discount")))))))))</f>
        <v/>
      </c>
      <c r="N2350" s="660"/>
      <c r="O2350" s="233"/>
      <c r="P2350" s="233"/>
      <c r="Q2350" s="233"/>
      <c r="R2350" s="233"/>
      <c r="S2350" s="233"/>
      <c r="T2350" s="508">
        <f t="shared" si="1813"/>
        <v>0</v>
      </c>
      <c r="U2350" s="225">
        <f>IF(NOT(ISNUMBER(G2350)), "", VLOOKUP(A2350,'Discount Lookup'!D:E,2,FALSE)*G2350)</f>
        <v>0</v>
      </c>
      <c r="V2350" s="225">
        <f>IF(NOT(ISNUMBER(G2350)), "", VLOOKUP(A2350,'Discount Lookup'!G:H,2,FALSE)*G2350)</f>
        <v>0</v>
      </c>
      <c r="W2350" s="508">
        <f t="shared" si="1814"/>
        <v>0</v>
      </c>
      <c r="X2350" s="508">
        <f t="shared" si="1815"/>
        <v>0</v>
      </c>
      <c r="Y2350" s="509" t="b">
        <f t="shared" si="1816"/>
        <v>0</v>
      </c>
      <c r="Z2350" s="510">
        <f t="shared" si="1817"/>
        <v>0</v>
      </c>
      <c r="AA2350" s="511"/>
      <c r="AB2350" s="511" t="str">
        <f t="shared" si="1818"/>
        <v/>
      </c>
      <c r="AC2350" s="698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698"/>
      <c r="AE2350" s="631" t="str">
        <f t="shared" si="1819"/>
        <v/>
      </c>
      <c r="AF2350" s="699" t="str">
        <f t="shared" si="1820"/>
        <v/>
      </c>
      <c r="AG2350" s="699"/>
      <c r="AH2350" s="699"/>
      <c r="AI2350" s="512">
        <f>IF(H2350="credit",0,IF(AE2350="free",0,IF(AE2350="me",0,IF(G2350&gt;0,(VLOOKUP(A2350,'Discount Lookup'!J:K,2)*G2350),0))))</f>
        <v>0</v>
      </c>
      <c r="AJ2350" s="513" t="str">
        <f t="shared" ca="1" si="1821"/>
        <v/>
      </c>
      <c r="AK2350" s="700" t="str">
        <f t="shared" si="1822"/>
        <v/>
      </c>
      <c r="AL2350" s="700"/>
      <c r="AM2350" s="505" t="str">
        <f t="shared" si="1823"/>
        <v/>
      </c>
      <c r="AN2350" s="506"/>
      <c r="AO2350" s="507"/>
      <c r="AP2350" s="507"/>
      <c r="AQ2350" s="507"/>
      <c r="AR2350" s="507"/>
      <c r="AS2350" s="507"/>
      <c r="AT2350" s="507"/>
      <c r="AU2350" s="507"/>
      <c r="AV2350" s="225"/>
      <c r="AW2350" s="508"/>
      <c r="AX2350" s="225"/>
      <c r="AY2350" s="225"/>
      <c r="AZ2350" s="225"/>
      <c r="BA2350" s="225"/>
      <c r="BB2350" s="225"/>
      <c r="BC2350" s="56"/>
      <c r="BD2350" s="56"/>
      <c r="BE2350" s="56"/>
      <c r="BF2350" s="107" t="str">
        <f t="shared" si="1824"/>
        <v>https://www.google.com/search?tbm=isch&amp;q=3%20G2</v>
      </c>
      <c r="BG2350" s="107" t="str">
        <f t="shared" si="1825"/>
        <v>M</v>
      </c>
      <c r="BH2350" s="254"/>
      <c r="BI2350" s="254"/>
    </row>
    <row r="2351" spans="1:61" customFormat="1" ht="17.25" thickBot="1" x14ac:dyDescent="0.3">
      <c r="A2351" s="524" t="s">
        <v>4282</v>
      </c>
      <c r="B2351" s="245"/>
      <c r="C2351" s="677"/>
      <c r="D2351" s="499"/>
      <c r="E2351" s="499"/>
      <c r="F2351" s="500"/>
      <c r="G2351" s="501"/>
      <c r="H2351" s="502"/>
      <c r="I2351" s="246"/>
      <c r="J2351" s="247"/>
      <c r="K2351" s="503"/>
      <c r="L2351" s="544"/>
      <c r="M2351" s="544"/>
      <c r="N2351" s="500"/>
      <c r="O2351" s="500"/>
      <c r="P2351" s="500"/>
      <c r="Q2351" s="500"/>
      <c r="R2351" s="500"/>
      <c r="S2351" s="669" t="s">
        <v>4980</v>
      </c>
      <c r="T2351" s="508">
        <f t="shared" si="1813"/>
        <v>0</v>
      </c>
      <c r="U2351" s="225" t="str">
        <f>IF(NOT(ISNUMBER(G2351)), "", VLOOKUP(A2351,'Discount Lookup'!D:E,2,FALSE)*G2351)</f>
        <v/>
      </c>
      <c r="V2351" s="225" t="str">
        <f>IF(NOT(ISNUMBER(G2351)), "", VLOOKUP(A2351,'Discount Lookup'!G:H,2,FALSE)*G2351)</f>
        <v/>
      </c>
      <c r="W2351" s="508">
        <f t="shared" si="1814"/>
        <v>0</v>
      </c>
      <c r="X2351" s="508">
        <f t="shared" si="1815"/>
        <v>0</v>
      </c>
      <c r="Y2351" s="509" t="b">
        <f t="shared" si="1816"/>
        <v>0</v>
      </c>
      <c r="Z2351" s="510">
        <f t="shared" si="1817"/>
        <v>0</v>
      </c>
      <c r="AA2351" s="511"/>
      <c r="AB2351" s="511" t="str">
        <f t="shared" si="1818"/>
        <v/>
      </c>
      <c r="AC2351" s="698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698"/>
      <c r="AE2351" s="631" t="str">
        <f t="shared" si="1819"/>
        <v/>
      </c>
      <c r="AF2351" s="699" t="str">
        <f t="shared" si="1820"/>
        <v/>
      </c>
      <c r="AG2351" s="699"/>
      <c r="AH2351" s="699"/>
      <c r="AI2351" s="512">
        <f>IF(H2351="credit",0,IF(AE2351="free",0,IF(AE2351="me",0,IF(G2351&gt;0,(VLOOKUP(A2351,'Discount Lookup'!J:K,2)*G2351),0))))</f>
        <v>0</v>
      </c>
      <c r="AJ2351" s="513" t="str">
        <f t="shared" ca="1" si="1821"/>
        <v/>
      </c>
      <c r="AK2351" s="700" t="str">
        <f t="shared" si="1822"/>
        <v/>
      </c>
      <c r="AL2351" s="700"/>
      <c r="AM2351" s="505" t="str">
        <f t="shared" si="1823"/>
        <v/>
      </c>
      <c r="AN2351" s="506"/>
      <c r="AO2351" s="507"/>
      <c r="AP2351" s="507"/>
      <c r="AQ2351" s="507"/>
      <c r="AR2351" s="507"/>
      <c r="AS2351" s="507"/>
      <c r="AT2351" s="507"/>
      <c r="AU2351" s="507"/>
      <c r="AV2351" s="225"/>
      <c r="AW2351" s="508"/>
      <c r="AX2351" s="225"/>
      <c r="AY2351" s="225"/>
      <c r="AZ2351" s="225"/>
      <c r="BA2351" s="225"/>
      <c r="BB2351" s="225"/>
      <c r="BC2351" s="56"/>
      <c r="BD2351" s="56"/>
      <c r="BE2351" s="56"/>
      <c r="BF2351" s="107" t="str">
        <f t="shared" si="1824"/>
        <v>https://www.google.com/search?tbm=isch&amp;q=Magic%20Carpet%20has%20Golden-Yellow%20foliage%20%26%20Red%20tips.%20Russet%20to%20Orange-Red%20in%20fall.%20Non-Japanese%2C%20blooms%20on%20old%20wood%2C%20prune%20right%20after%20bloom%20</v>
      </c>
      <c r="BG2351" s="107" t="str">
        <f t="shared" si="1825"/>
        <v>M</v>
      </c>
      <c r="BH2351" s="254"/>
      <c r="BI2351" s="254"/>
    </row>
    <row r="2352" spans="1:61" customFormat="1" ht="18" x14ac:dyDescent="0.25">
      <c r="A2352" s="523" t="s">
        <v>4531</v>
      </c>
      <c r="B2352" s="235"/>
      <c r="C2352" s="676"/>
      <c r="D2352" s="255" t="s">
        <v>4532</v>
      </c>
      <c r="E2352" s="236"/>
      <c r="F2352" s="236"/>
      <c r="G2352" s="236"/>
      <c r="H2352" s="582" t="s">
        <v>1398</v>
      </c>
      <c r="I2352" s="498" t="s">
        <v>4533</v>
      </c>
      <c r="J2352" s="237"/>
      <c r="K2352" s="237"/>
      <c r="L2352" s="274"/>
      <c r="M2352" s="668" t="s">
        <v>4962</v>
      </c>
      <c r="N2352" s="681" t="str">
        <f>IF(AND(ISTEXT($A2352), ISERROR($A2352+0)), HYPERLINK($BF2352, "Images"), "")</f>
        <v>Images</v>
      </c>
      <c r="O2352" s="663" t="s">
        <v>4969</v>
      </c>
      <c r="P2352" s="253"/>
      <c r="Q2352" s="238"/>
      <c r="R2352" s="239"/>
      <c r="S2352" s="275"/>
      <c r="T2352" s="508">
        <f t="shared" si="1813"/>
        <v>0</v>
      </c>
      <c r="U2352" s="225" t="str">
        <f>IF(NOT(ISNUMBER(G2352)), "", VLOOKUP(A2352,'Discount Lookup'!D:E,2,FALSE)*G2352)</f>
        <v/>
      </c>
      <c r="V2352" s="225" t="str">
        <f>IF(NOT(ISNUMBER(G2352)), "", VLOOKUP(A2352,'Discount Lookup'!G:H,2,FALSE)*G2352)</f>
        <v/>
      </c>
      <c r="W2352" s="508">
        <f t="shared" si="1814"/>
        <v>0</v>
      </c>
      <c r="X2352" s="508" t="str">
        <f t="shared" si="1815"/>
        <v>Green blades &amp; Silvery midrib</v>
      </c>
      <c r="Y2352" s="509" t="b">
        <f t="shared" si="1816"/>
        <v>0</v>
      </c>
      <c r="Z2352" s="510">
        <f t="shared" si="1817"/>
        <v>0</v>
      </c>
      <c r="AA2352" s="511"/>
      <c r="AB2352" s="511" t="str">
        <f t="shared" si="1818"/>
        <v/>
      </c>
      <c r="AC2352" s="698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698"/>
      <c r="AE2352" s="631" t="str">
        <f t="shared" si="1819"/>
        <v/>
      </c>
      <c r="AF2352" s="699" t="str">
        <f t="shared" si="1820"/>
        <v/>
      </c>
      <c r="AG2352" s="699"/>
      <c r="AH2352" s="699"/>
      <c r="AI2352" s="512">
        <f>IF(H2352="credit",0,IF(AE2352="free",0,IF(AE2352="me",0,IF(G2352&gt;0,(VLOOKUP(A2352,'Discount Lookup'!J:K,2)*G2352),0))))</f>
        <v>0</v>
      </c>
      <c r="AJ2352" s="513" t="str">
        <f t="shared" ca="1" si="1821"/>
        <v/>
      </c>
      <c r="AK2352" s="700" t="str">
        <f t="shared" si="1822"/>
        <v/>
      </c>
      <c r="AL2352" s="700"/>
      <c r="AM2352" s="505" t="str">
        <f t="shared" si="1823"/>
        <v/>
      </c>
      <c r="AN2352" s="506"/>
      <c r="AO2352" s="507"/>
      <c r="AP2352" s="507"/>
      <c r="AQ2352" s="507"/>
      <c r="AR2352" s="507"/>
      <c r="AS2352" s="507"/>
      <c r="AT2352" s="507"/>
      <c r="AU2352" s="507"/>
      <c r="AV2352" s="225"/>
      <c r="AW2352" s="508"/>
      <c r="AX2352" s="225"/>
      <c r="AY2352" s="225"/>
      <c r="AZ2352" s="225"/>
      <c r="BA2352" s="225"/>
      <c r="BB2352" s="225"/>
      <c r="BC2352" s="56"/>
      <c r="BD2352" s="56"/>
      <c r="BE2352" s="56"/>
      <c r="BF2352" s="107" t="str">
        <f t="shared" si="1824"/>
        <v>https://www.google.com/search?tbm=isch&amp;q=Maiden%20Grass%20Miscanthus%20sinensis</v>
      </c>
      <c r="BG2352" s="107" t="str">
        <f t="shared" si="1825"/>
        <v>M</v>
      </c>
      <c r="BH2352" s="254"/>
      <c r="BI2352" s="254"/>
    </row>
    <row r="2353" spans="1:61" customFormat="1" ht="15.75" x14ac:dyDescent="0.25">
      <c r="A2353" s="276">
        <v>3</v>
      </c>
      <c r="B2353" s="240" t="s">
        <v>291</v>
      </c>
      <c r="C2353" s="241"/>
      <c r="D2353" s="242" t="s">
        <v>300</v>
      </c>
      <c r="E2353" s="243">
        <v>29.95</v>
      </c>
      <c r="F2353" s="517" t="s">
        <v>293</v>
      </c>
      <c r="G2353" s="232">
        <v>0</v>
      </c>
      <c r="H2353" s="661" t="str">
        <f>IF(G2353=0,"",IF(F2353="Buy",IF(G2353=1,"plant","plants"),IF(F2353&gt;0.01,"warranty","Error")))</f>
        <v/>
      </c>
      <c r="I2353" s="244">
        <f>IF(H2353="free",0,IF(H2353="credit",((E2353*(F2353))*G2353*-1),IF(F2353="Buy",(E2353*G2353),((E2353*(1-F2353))*G2353))))</f>
        <v>0</v>
      </c>
      <c r="J2353" s="244">
        <f>IF(H2353="warranty",0,(I2353*(_xlfn.SINGLE(SalesTaxPercentage))))</f>
        <v>0</v>
      </c>
      <c r="K2353" s="696">
        <f t="shared" ref="K2353" si="1842">I2353+J2353</f>
        <v>0</v>
      </c>
      <c r="L2353" s="696"/>
      <c r="M2353" s="659" t="str">
        <f>IF(AND(G2353&gt;0,E2353=0),"WARNING - no PRICE inserted",IF(H2353="free"," FREE ~ no charge this plant",IF(H2353="credit",CONCATENATE(" -$",ROUND(K2353*(1-T2GDiscount)*-1,2)," CREDIT after discount"),IF(T2GDiscount=0,"",IF(G2353=0,"",IF(F2353="Buy",CONCATENATE(" $",ROUND(K2353*(1-T2GDiscount),2)," with ",(T2GDiscount*100),"% discount"),CONCATENATE(" $",ROUND(K2353*(1-T2GDiscount),2)," with ",((T2GDiscount*100+F2353*100)-(T2GDiscount*100*F2353)),IF(F2353&gt;0,"% discounts",IF(NoWarrantyDiscount&gt;0,"% discounts","% discount")))))))))</f>
        <v/>
      </c>
      <c r="N2353" s="660"/>
      <c r="O2353" s="233"/>
      <c r="P2353" s="233"/>
      <c r="Q2353" s="233"/>
      <c r="R2353" s="233"/>
      <c r="S2353" s="233"/>
      <c r="T2353" s="508">
        <f t="shared" si="1813"/>
        <v>0</v>
      </c>
      <c r="U2353" s="225">
        <f>IF(NOT(ISNUMBER(G2353)), "", VLOOKUP(A2353,'Discount Lookup'!D:E,2,FALSE)*G2353)</f>
        <v>0</v>
      </c>
      <c r="V2353" s="225">
        <f>IF(NOT(ISNUMBER(G2353)), "", VLOOKUP(A2353,'Discount Lookup'!G:H,2,FALSE)*G2353)</f>
        <v>0</v>
      </c>
      <c r="W2353" s="508">
        <f t="shared" si="1814"/>
        <v>0</v>
      </c>
      <c r="X2353" s="508">
        <f t="shared" si="1815"/>
        <v>0</v>
      </c>
      <c r="Y2353" s="509" t="b">
        <f t="shared" si="1816"/>
        <v>0</v>
      </c>
      <c r="Z2353" s="510">
        <f t="shared" si="1817"/>
        <v>0</v>
      </c>
      <c r="AA2353" s="511"/>
      <c r="AB2353" s="511" t="str">
        <f t="shared" si="1818"/>
        <v/>
      </c>
      <c r="AC2353" s="698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698"/>
      <c r="AE2353" s="631" t="str">
        <f t="shared" si="1819"/>
        <v/>
      </c>
      <c r="AF2353" s="699" t="str">
        <f t="shared" si="1820"/>
        <v/>
      </c>
      <c r="AG2353" s="699"/>
      <c r="AH2353" s="699"/>
      <c r="AI2353" s="512">
        <f>IF(H2353="credit",0,IF(AE2353="free",0,IF(AE2353="me",0,IF(G2353&gt;0,(VLOOKUP(A2353,'Discount Lookup'!J:K,2)*G2353),0))))</f>
        <v>0</v>
      </c>
      <c r="AJ2353" s="513" t="str">
        <f t="shared" ca="1" si="1821"/>
        <v/>
      </c>
      <c r="AK2353" s="700" t="str">
        <f t="shared" si="1822"/>
        <v/>
      </c>
      <c r="AL2353" s="700"/>
      <c r="AM2353" s="505" t="str">
        <f t="shared" si="1823"/>
        <v/>
      </c>
      <c r="AN2353" s="506"/>
      <c r="AO2353" s="507"/>
      <c r="AP2353" s="507"/>
      <c r="AQ2353" s="507"/>
      <c r="AR2353" s="507"/>
      <c r="AS2353" s="507"/>
      <c r="AT2353" s="507"/>
      <c r="AU2353" s="507"/>
      <c r="AV2353" s="225"/>
      <c r="AW2353" s="508"/>
      <c r="AX2353" s="225"/>
      <c r="AY2353" s="225"/>
      <c r="AZ2353" s="225"/>
      <c r="BA2353" s="225"/>
      <c r="BB2353" s="225"/>
      <c r="BC2353" s="56"/>
      <c r="BD2353" s="56"/>
      <c r="BE2353" s="56"/>
      <c r="BF2353" s="107" t="str">
        <f t="shared" si="1824"/>
        <v>https://www.google.com/search?tbm=isch&amp;q=3%20G6</v>
      </c>
      <c r="BG2353" s="107" t="str">
        <f t="shared" si="1825"/>
        <v>M</v>
      </c>
      <c r="BH2353" s="254"/>
      <c r="BI2353" s="254"/>
    </row>
    <row r="2354" spans="1:61" customFormat="1" ht="17.25" thickBot="1" x14ac:dyDescent="0.3">
      <c r="A2354" s="524" t="s">
        <v>4534</v>
      </c>
      <c r="B2354" s="245"/>
      <c r="C2354" s="677"/>
      <c r="D2354" s="499"/>
      <c r="E2354" s="499"/>
      <c r="F2354" s="500"/>
      <c r="G2354" s="501"/>
      <c r="H2354" s="502"/>
      <c r="I2354" s="246"/>
      <c r="J2354" s="247"/>
      <c r="K2354" s="503"/>
      <c r="L2354" s="544"/>
      <c r="M2354" s="544"/>
      <c r="N2354" s="500"/>
      <c r="O2354" s="500"/>
      <c r="P2354" s="500"/>
      <c r="Q2354" s="500"/>
      <c r="R2354" s="500"/>
      <c r="S2354" s="669" t="s">
        <v>4991</v>
      </c>
      <c r="T2354" s="508">
        <f t="shared" si="1813"/>
        <v>0</v>
      </c>
      <c r="U2354" s="225" t="str">
        <f>IF(NOT(ISNUMBER(G2354)), "", VLOOKUP(A2354,'Discount Lookup'!D:E,2,FALSE)*G2354)</f>
        <v/>
      </c>
      <c r="V2354" s="225" t="str">
        <f>IF(NOT(ISNUMBER(G2354)), "", VLOOKUP(A2354,'Discount Lookup'!G:H,2,FALSE)*G2354)</f>
        <v/>
      </c>
      <c r="W2354" s="508">
        <f t="shared" si="1814"/>
        <v>0</v>
      </c>
      <c r="X2354" s="508">
        <f t="shared" si="1815"/>
        <v>0</v>
      </c>
      <c r="Y2354" s="509" t="b">
        <f t="shared" si="1816"/>
        <v>0</v>
      </c>
      <c r="Z2354" s="510">
        <f t="shared" si="1817"/>
        <v>0</v>
      </c>
      <c r="AA2354" s="511"/>
      <c r="AB2354" s="511" t="str">
        <f t="shared" si="1818"/>
        <v/>
      </c>
      <c r="AC2354" s="698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698"/>
      <c r="AE2354" s="631" t="str">
        <f t="shared" si="1819"/>
        <v/>
      </c>
      <c r="AF2354" s="699" t="str">
        <f t="shared" si="1820"/>
        <v/>
      </c>
      <c r="AG2354" s="699"/>
      <c r="AH2354" s="699"/>
      <c r="AI2354" s="512">
        <f>IF(H2354="credit",0,IF(AE2354="free",0,IF(AE2354="me",0,IF(G2354&gt;0,(VLOOKUP(A2354,'Discount Lookup'!J:K,2)*G2354),0))))</f>
        <v>0</v>
      </c>
      <c r="AJ2354" s="513" t="str">
        <f t="shared" ca="1" si="1821"/>
        <v/>
      </c>
      <c r="AK2354" s="700" t="str">
        <f t="shared" si="1822"/>
        <v/>
      </c>
      <c r="AL2354" s="700"/>
      <c r="AM2354" s="505" t="str">
        <f t="shared" si="1823"/>
        <v/>
      </c>
      <c r="AN2354" s="506"/>
      <c r="AO2354" s="507"/>
      <c r="AP2354" s="507"/>
      <c r="AQ2354" s="507"/>
      <c r="AR2354" s="507"/>
      <c r="AS2354" s="507"/>
      <c r="AT2354" s="507"/>
      <c r="AU2354" s="507"/>
      <c r="AV2354" s="225"/>
      <c r="AW2354" s="508"/>
      <c r="AX2354" s="225"/>
      <c r="AY2354" s="225"/>
      <c r="AZ2354" s="225"/>
      <c r="BA2354" s="225"/>
      <c r="BB2354" s="225"/>
      <c r="BC2354" s="56"/>
      <c r="BD2354" s="56"/>
      <c r="BE2354" s="56"/>
      <c r="BF2354" s="107" t="str">
        <f t="shared" si="1824"/>
        <v>https://www.google.com/search?tbm=isch&amp;q=Maiden%20Grass%20adds%20graceful%20texture%20and%20movement%20with%20its%20tall%20arching%20leaves%20and%20Coppery-Pink%20plumes%20that%20persist%20for%20winter%20interest%20</v>
      </c>
      <c r="BG2354" s="107" t="str">
        <f t="shared" si="1825"/>
        <v>M</v>
      </c>
      <c r="BH2354" s="254"/>
      <c r="BI2354" s="254"/>
    </row>
    <row r="2355" spans="1:61" customFormat="1" ht="18" x14ac:dyDescent="0.25">
      <c r="A2355" s="523" t="s">
        <v>1302</v>
      </c>
      <c r="B2355" s="235"/>
      <c r="C2355" s="676"/>
      <c r="D2355" s="255" t="s">
        <v>1303</v>
      </c>
      <c r="E2355" s="236"/>
      <c r="F2355" s="236"/>
      <c r="G2355" s="236"/>
      <c r="H2355" s="582" t="s">
        <v>833</v>
      </c>
      <c r="I2355" s="498" t="s">
        <v>3289</v>
      </c>
      <c r="J2355" s="237"/>
      <c r="K2355" s="237"/>
      <c r="L2355" s="274"/>
      <c r="M2355" s="668" t="s">
        <v>4962</v>
      </c>
      <c r="N2355" s="681" t="str">
        <f>IF(AND(ISTEXT($A2355), ISERROR($A2355+0)), HYPERLINK($BF2355, "Images"), "")</f>
        <v>Images</v>
      </c>
      <c r="O2355" s="663" t="s">
        <v>4967</v>
      </c>
      <c r="P2355" s="253"/>
      <c r="Q2355" s="238"/>
      <c r="R2355" s="239"/>
      <c r="S2355" s="275" t="s">
        <v>305</v>
      </c>
      <c r="T2355" s="508">
        <f t="shared" si="1813"/>
        <v>0</v>
      </c>
      <c r="U2355" s="225" t="str">
        <f>IF(NOT(ISNUMBER(G2355)), "", VLOOKUP(A2355,'Discount Lookup'!D:E,2,FALSE)*G2355)</f>
        <v/>
      </c>
      <c r="V2355" s="225" t="str">
        <f>IF(NOT(ISNUMBER(G2355)), "", VLOOKUP(A2355,'Discount Lookup'!G:H,2,FALSE)*G2355)</f>
        <v/>
      </c>
      <c r="W2355" s="508">
        <f t="shared" si="1814"/>
        <v>0</v>
      </c>
      <c r="X2355" s="508" t="str">
        <f t="shared" si="1815"/>
        <v>Coral-Red-Orange bloom</v>
      </c>
      <c r="Y2355" s="509" t="b">
        <f t="shared" si="1816"/>
        <v>0</v>
      </c>
      <c r="Z2355" s="510">
        <f t="shared" si="1817"/>
        <v>0</v>
      </c>
      <c r="AA2355" s="511"/>
      <c r="AB2355" s="511" t="str">
        <f t="shared" si="1818"/>
        <v/>
      </c>
      <c r="AC2355" s="698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698"/>
      <c r="AE2355" s="631" t="str">
        <f t="shared" si="1819"/>
        <v/>
      </c>
      <c r="AF2355" s="699" t="str">
        <f t="shared" si="1820"/>
        <v/>
      </c>
      <c r="AG2355" s="699"/>
      <c r="AH2355" s="699"/>
      <c r="AI2355" s="512">
        <f>IF(H2355="credit",0,IF(AE2355="free",0,IF(AE2355="me",0,IF(G2355&gt;0,(VLOOKUP(A2355,'Discount Lookup'!J:K,2)*G2355),0))))</f>
        <v>0</v>
      </c>
      <c r="AJ2355" s="513" t="str">
        <f t="shared" ca="1" si="1821"/>
        <v/>
      </c>
      <c r="AK2355" s="700" t="str">
        <f t="shared" si="1822"/>
        <v/>
      </c>
      <c r="AL2355" s="700"/>
      <c r="AM2355" s="505" t="str">
        <f t="shared" si="1823"/>
        <v/>
      </c>
      <c r="AN2355" s="506"/>
      <c r="AO2355" s="507"/>
      <c r="AP2355" s="507"/>
      <c r="AQ2355" s="507"/>
      <c r="AR2355" s="507"/>
      <c r="AS2355" s="507"/>
      <c r="AT2355" s="507"/>
      <c r="AU2355" s="507"/>
      <c r="AV2355" s="225"/>
      <c r="AW2355" s="508"/>
      <c r="AX2355" s="225"/>
      <c r="AY2355" s="225"/>
      <c r="AZ2355" s="225"/>
      <c r="BA2355" s="225"/>
      <c r="BB2355" s="225"/>
      <c r="BC2355" s="56"/>
      <c r="BD2355" s="56"/>
      <c r="BE2355" s="56"/>
      <c r="BF2355" s="107" t="str">
        <f t="shared" si="1824"/>
        <v>https://www.google.com/search?tbm=isch&amp;q=Major%20Wheeler%20Coral%20Honeysuckle%20Lonicera%20sempervirens%20%27Major%20Wheeler%27</v>
      </c>
      <c r="BG2355" s="107" t="str">
        <f t="shared" si="1825"/>
        <v>M</v>
      </c>
      <c r="BH2355" s="254"/>
      <c r="BI2355" s="254"/>
    </row>
    <row r="2356" spans="1:61" customFormat="1" ht="15.75" x14ac:dyDescent="0.25">
      <c r="A2356" s="276">
        <v>3</v>
      </c>
      <c r="B2356" s="240" t="s">
        <v>291</v>
      </c>
      <c r="C2356" s="241"/>
      <c r="D2356" s="242" t="s">
        <v>298</v>
      </c>
      <c r="E2356" s="243">
        <v>30.95</v>
      </c>
      <c r="F2356" s="517" t="s">
        <v>293</v>
      </c>
      <c r="G2356" s="232">
        <v>0</v>
      </c>
      <c r="H2356" s="661" t="str">
        <f>IF(G2356=0,"",IF(F2356="Buy",IF(G2356=1,"plant","plants"),IF(F2356&gt;0.01,"warranty","Error")))</f>
        <v/>
      </c>
      <c r="I2356" s="244">
        <f>IF(H2356="free",0,IF(H2356="credit",((E2356*(F2356))*G2356*-1),IF(F2356="Buy",(E2356*G2356),((E2356*(1-F2356))*G2356))))</f>
        <v>0</v>
      </c>
      <c r="J2356" s="244">
        <f>IF(H2356="warranty",0,(I2356*(_xlfn.SINGLE(SalesTaxPercentage))))</f>
        <v>0</v>
      </c>
      <c r="K2356" s="696">
        <f t="shared" ref="K2356" si="1843">I2356+J2356</f>
        <v>0</v>
      </c>
      <c r="L2356" s="696"/>
      <c r="M2356" s="659" t="str">
        <f>IF(AND(G2356&gt;0,E2356=0),"WARNING - no PRICE inserted",IF(H2356="free"," FREE ~ no charge this plant",IF(H2356="credit",CONCATENATE(" -$",ROUND(K2356*(1-T2GDiscount)*-1,2)," CREDIT after discount"),IF(T2GDiscount=0,"",IF(G2356=0,"",IF(F2356="Buy",CONCATENATE(" $",ROUND(K2356*(1-T2GDiscount),2)," with ",(T2GDiscount*100),"% discount"),CONCATENATE(" $",ROUND(K2356*(1-T2GDiscount),2)," with ",((T2GDiscount*100+F2356*100)-(T2GDiscount*100*F2356)),IF(F2356&gt;0,"% discounts",IF(NoWarrantyDiscount&gt;0,"% discounts","% discount")))))))))</f>
        <v/>
      </c>
      <c r="N2356" s="660"/>
      <c r="O2356" s="233"/>
      <c r="P2356" s="233"/>
      <c r="Q2356" s="233"/>
      <c r="R2356" s="233"/>
      <c r="S2356" s="233"/>
      <c r="T2356" s="508">
        <f t="shared" si="1813"/>
        <v>0</v>
      </c>
      <c r="U2356" s="225">
        <f>IF(NOT(ISNUMBER(G2356)), "", VLOOKUP(A2356,'Discount Lookup'!D:E,2,FALSE)*G2356)</f>
        <v>0</v>
      </c>
      <c r="V2356" s="225">
        <f>IF(NOT(ISNUMBER(G2356)), "", VLOOKUP(A2356,'Discount Lookup'!G:H,2,FALSE)*G2356)</f>
        <v>0</v>
      </c>
      <c r="W2356" s="508">
        <f t="shared" si="1814"/>
        <v>0</v>
      </c>
      <c r="X2356" s="508">
        <f t="shared" si="1815"/>
        <v>0</v>
      </c>
      <c r="Y2356" s="509" t="b">
        <f t="shared" si="1816"/>
        <v>0</v>
      </c>
      <c r="Z2356" s="510">
        <f t="shared" si="1817"/>
        <v>0</v>
      </c>
      <c r="AA2356" s="511"/>
      <c r="AB2356" s="511" t="str">
        <f t="shared" si="1818"/>
        <v/>
      </c>
      <c r="AC2356" s="698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698"/>
      <c r="AE2356" s="631" t="str">
        <f t="shared" si="1819"/>
        <v/>
      </c>
      <c r="AF2356" s="699" t="str">
        <f t="shared" si="1820"/>
        <v/>
      </c>
      <c r="AG2356" s="699"/>
      <c r="AH2356" s="699"/>
      <c r="AI2356" s="512">
        <f>IF(H2356="credit",0,IF(AE2356="free",0,IF(AE2356="me",0,IF(G2356&gt;0,(VLOOKUP(A2356,'Discount Lookup'!J:K,2)*G2356),0))))</f>
        <v>0</v>
      </c>
      <c r="AJ2356" s="513" t="str">
        <f t="shared" ca="1" si="1821"/>
        <v/>
      </c>
      <c r="AK2356" s="700" t="str">
        <f t="shared" si="1822"/>
        <v/>
      </c>
      <c r="AL2356" s="700"/>
      <c r="AM2356" s="505" t="str">
        <f t="shared" si="1823"/>
        <v/>
      </c>
      <c r="AN2356" s="506"/>
      <c r="AO2356" s="507"/>
      <c r="AP2356" s="507"/>
      <c r="AQ2356" s="507"/>
      <c r="AR2356" s="507"/>
      <c r="AS2356" s="507"/>
      <c r="AT2356" s="507"/>
      <c r="AU2356" s="507"/>
      <c r="AV2356" s="225"/>
      <c r="AW2356" s="508"/>
      <c r="AX2356" s="225"/>
      <c r="AY2356" s="225"/>
      <c r="AZ2356" s="225"/>
      <c r="BA2356" s="225"/>
      <c r="BB2356" s="225"/>
      <c r="BC2356" s="56"/>
      <c r="BD2356" s="56"/>
      <c r="BE2356" s="56"/>
      <c r="BF2356" s="107" t="str">
        <f t="shared" si="1824"/>
        <v>https://www.google.com/search?tbm=isch&amp;q=3%20G1</v>
      </c>
      <c r="BG2356" s="107" t="str">
        <f t="shared" si="1825"/>
        <v>M</v>
      </c>
      <c r="BH2356" s="254"/>
      <c r="BI2356" s="254"/>
    </row>
    <row r="2357" spans="1:61" customFormat="1" ht="15.75" x14ac:dyDescent="0.25">
      <c r="A2357" s="276">
        <v>3</v>
      </c>
      <c r="B2357" s="240" t="s">
        <v>291</v>
      </c>
      <c r="C2357" s="241"/>
      <c r="D2357" s="242" t="s">
        <v>312</v>
      </c>
      <c r="E2357" s="243">
        <v>32.950000000000003</v>
      </c>
      <c r="F2357" s="517" t="s">
        <v>293</v>
      </c>
      <c r="G2357" s="232">
        <v>0</v>
      </c>
      <c r="H2357" s="661" t="str">
        <f>IF(G2357=0,"",IF(F2357="Buy",IF(G2357=1,"plant","plants"),IF(F2357&gt;0.01,"warranty","Error")))</f>
        <v/>
      </c>
      <c r="I2357" s="244">
        <f>IF(H2357="free",0,IF(H2357="credit",((E2357*(F2357))*G2357*-1),IF(F2357="Buy",(E2357*G2357),((E2357*(1-F2357))*G2357))))</f>
        <v>0</v>
      </c>
      <c r="J2357" s="244">
        <f>IF(H2357="warranty",0,(I2357*(_xlfn.SINGLE(SalesTaxPercentage))))</f>
        <v>0</v>
      </c>
      <c r="K2357" s="696">
        <f t="shared" ref="K2357" si="1844">I2357+J2357</f>
        <v>0</v>
      </c>
      <c r="L2357" s="696"/>
      <c r="M2357" s="659" t="str">
        <f>IF(AND(G2357&gt;0,E2357=0),"WARNING - no PRICE inserted",IF(H2357="free"," FREE ~ no charge this plant",IF(H2357="credit",CONCATENATE(" -$",ROUND(K2357*(1-T2GDiscount)*-1,2)," CREDIT after discount"),IF(T2GDiscount=0,"",IF(G2357=0,"",IF(F2357="Buy",CONCATENATE(" $",ROUND(K2357*(1-T2GDiscount),2)," with ",(T2GDiscount*100),"% discount"),CONCATENATE(" $",ROUND(K2357*(1-T2GDiscount),2)," with ",((T2GDiscount*100+F2357*100)-(T2GDiscount*100*F2357)),IF(F2357&gt;0,"% discounts",IF(NoWarrantyDiscount&gt;0,"% discounts","% discount")))))))))</f>
        <v/>
      </c>
      <c r="N2357" s="660"/>
      <c r="O2357" s="233"/>
      <c r="P2357" s="233"/>
      <c r="Q2357" s="233"/>
      <c r="R2357" s="233"/>
      <c r="S2357" s="233"/>
      <c r="T2357" s="508">
        <f t="shared" si="1813"/>
        <v>0</v>
      </c>
      <c r="U2357" s="225">
        <f>IF(NOT(ISNUMBER(G2357)), "", VLOOKUP(A2357,'Discount Lookup'!D:E,2,FALSE)*G2357)</f>
        <v>0</v>
      </c>
      <c r="V2357" s="225">
        <f>IF(NOT(ISNUMBER(G2357)), "", VLOOKUP(A2357,'Discount Lookup'!G:H,2,FALSE)*G2357)</f>
        <v>0</v>
      </c>
      <c r="W2357" s="508">
        <f t="shared" si="1814"/>
        <v>0</v>
      </c>
      <c r="X2357" s="508">
        <f t="shared" si="1815"/>
        <v>0</v>
      </c>
      <c r="Y2357" s="509" t="b">
        <f t="shared" si="1816"/>
        <v>0</v>
      </c>
      <c r="Z2357" s="510">
        <f t="shared" si="1817"/>
        <v>0</v>
      </c>
      <c r="AA2357" s="511"/>
      <c r="AB2357" s="511" t="str">
        <f t="shared" si="1818"/>
        <v/>
      </c>
      <c r="AC2357" s="698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698"/>
      <c r="AE2357" s="631" t="str">
        <f t="shared" si="1819"/>
        <v/>
      </c>
      <c r="AF2357" s="699" t="str">
        <f t="shared" si="1820"/>
        <v/>
      </c>
      <c r="AG2357" s="699"/>
      <c r="AH2357" s="699"/>
      <c r="AI2357" s="512">
        <f>IF(H2357="credit",0,IF(AE2357="free",0,IF(AE2357="me",0,IF(G2357&gt;0,(VLOOKUP(A2357,'Discount Lookup'!J:K,2)*G2357),0))))</f>
        <v>0</v>
      </c>
      <c r="AJ2357" s="513" t="str">
        <f t="shared" ca="1" si="1821"/>
        <v/>
      </c>
      <c r="AK2357" s="700" t="str">
        <f t="shared" si="1822"/>
        <v/>
      </c>
      <c r="AL2357" s="700"/>
      <c r="AM2357" s="505" t="str">
        <f t="shared" si="1823"/>
        <v/>
      </c>
      <c r="AN2357" s="506"/>
      <c r="AO2357" s="507"/>
      <c r="AP2357" s="507"/>
      <c r="AQ2357" s="507"/>
      <c r="AR2357" s="507"/>
      <c r="AS2357" s="507"/>
      <c r="AT2357" s="507"/>
      <c r="AU2357" s="507"/>
      <c r="AV2357" s="225"/>
      <c r="AW2357" s="508"/>
      <c r="AX2357" s="225"/>
      <c r="AY2357" s="225"/>
      <c r="AZ2357" s="225"/>
      <c r="BA2357" s="225"/>
      <c r="BB2357" s="225"/>
      <c r="BC2357" s="56"/>
      <c r="BD2357" s="56"/>
      <c r="BE2357" s="56"/>
      <c r="BF2357" s="107" t="str">
        <f t="shared" si="1824"/>
        <v>https://www.google.com/search?tbm=isch&amp;q=3%20G2</v>
      </c>
      <c r="BG2357" s="107" t="str">
        <f t="shared" si="1825"/>
        <v>M</v>
      </c>
      <c r="BH2357" s="254"/>
      <c r="BI2357" s="254"/>
    </row>
    <row r="2358" spans="1:61" customFormat="1" ht="17.25" thickBot="1" x14ac:dyDescent="0.3">
      <c r="A2358" s="524" t="s">
        <v>3290</v>
      </c>
      <c r="B2358" s="245"/>
      <c r="C2358" s="677"/>
      <c r="D2358" s="499"/>
      <c r="E2358" s="499"/>
      <c r="F2358" s="500"/>
      <c r="G2358" s="501"/>
      <c r="H2358" s="502"/>
      <c r="I2358" s="246"/>
      <c r="J2358" s="247"/>
      <c r="K2358" s="503"/>
      <c r="L2358" s="544"/>
      <c r="M2358" s="544"/>
      <c r="N2358" s="500"/>
      <c r="O2358" s="500"/>
      <c r="P2358" s="500"/>
      <c r="Q2358" s="500"/>
      <c r="R2358" s="500"/>
      <c r="S2358" s="278"/>
      <c r="T2358" s="508">
        <f t="shared" si="1813"/>
        <v>0</v>
      </c>
      <c r="U2358" s="225" t="str">
        <f>IF(NOT(ISNUMBER(G2358)), "", VLOOKUP(A2358,'Discount Lookup'!D:E,2,FALSE)*G2358)</f>
        <v/>
      </c>
      <c r="V2358" s="225" t="str">
        <f>IF(NOT(ISNUMBER(G2358)), "", VLOOKUP(A2358,'Discount Lookup'!G:H,2,FALSE)*G2358)</f>
        <v/>
      </c>
      <c r="W2358" s="508">
        <f t="shared" si="1814"/>
        <v>0</v>
      </c>
      <c r="X2358" s="508">
        <f t="shared" si="1815"/>
        <v>0</v>
      </c>
      <c r="Y2358" s="509" t="b">
        <f t="shared" si="1816"/>
        <v>0</v>
      </c>
      <c r="Z2358" s="510">
        <f t="shared" si="1817"/>
        <v>0</v>
      </c>
      <c r="AA2358" s="511"/>
      <c r="AB2358" s="511" t="str">
        <f t="shared" si="1818"/>
        <v/>
      </c>
      <c r="AC2358" s="698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698"/>
      <c r="AE2358" s="631" t="str">
        <f t="shared" si="1819"/>
        <v/>
      </c>
      <c r="AF2358" s="699" t="str">
        <f t="shared" si="1820"/>
        <v/>
      </c>
      <c r="AG2358" s="699"/>
      <c r="AH2358" s="699"/>
      <c r="AI2358" s="512">
        <f>IF(H2358="credit",0,IF(AE2358="free",0,IF(AE2358="me",0,IF(G2358&gt;0,(VLOOKUP(A2358,'Discount Lookup'!J:K,2)*G2358),0))))</f>
        <v>0</v>
      </c>
      <c r="AJ2358" s="513" t="str">
        <f t="shared" ca="1" si="1821"/>
        <v/>
      </c>
      <c r="AK2358" s="700" t="str">
        <f t="shared" si="1822"/>
        <v/>
      </c>
      <c r="AL2358" s="700"/>
      <c r="AM2358" s="505" t="str">
        <f t="shared" si="1823"/>
        <v/>
      </c>
      <c r="AN2358" s="506"/>
      <c r="AO2358" s="507"/>
      <c r="AP2358" s="507"/>
      <c r="AQ2358" s="507"/>
      <c r="AR2358" s="507"/>
      <c r="AS2358" s="507"/>
      <c r="AT2358" s="507"/>
      <c r="AU2358" s="507"/>
      <c r="AV2358" s="225"/>
      <c r="AW2358" s="508"/>
      <c r="AX2358" s="225"/>
      <c r="AY2358" s="225"/>
      <c r="AZ2358" s="225"/>
      <c r="BA2358" s="225"/>
      <c r="BB2358" s="225"/>
      <c r="BC2358" s="56"/>
      <c r="BD2358" s="56"/>
      <c r="BE2358" s="56"/>
      <c r="BF2358" s="107" t="str">
        <f t="shared" si="1824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358" s="107" t="str">
        <f t="shared" si="1825"/>
        <v>M</v>
      </c>
      <c r="BH2358" s="254"/>
      <c r="BI2358" s="254"/>
    </row>
    <row r="2359" spans="1:61" customFormat="1" ht="18" x14ac:dyDescent="0.25">
      <c r="A2359" s="521" t="s">
        <v>2986</v>
      </c>
      <c r="B2359" s="477"/>
      <c r="C2359" s="674"/>
      <c r="D2359" s="478" t="s">
        <v>1304</v>
      </c>
      <c r="E2359" s="479"/>
      <c r="F2359" s="479"/>
      <c r="G2359" s="479"/>
      <c r="H2359" s="582" t="s">
        <v>344</v>
      </c>
      <c r="I2359" s="480" t="s">
        <v>2093</v>
      </c>
      <c r="J2359" s="479"/>
      <c r="K2359" s="479"/>
      <c r="L2359" s="560"/>
      <c r="M2359" s="666" t="s">
        <v>4966</v>
      </c>
      <c r="N2359" s="680" t="str">
        <f>IF(AND(ISTEXT($A2359), ISERROR($A2359+0)), HYPERLINK($BF2359, "Images"), "")</f>
        <v>Images</v>
      </c>
      <c r="O2359" s="662" t="s">
        <v>4969</v>
      </c>
      <c r="P2359" s="482"/>
      <c r="Q2359" s="483"/>
      <c r="R2359" s="483"/>
      <c r="S2359" s="484"/>
      <c r="T2359" s="508">
        <f t="shared" si="1813"/>
        <v>0</v>
      </c>
      <c r="U2359" s="225" t="str">
        <f>IF(NOT(ISNUMBER(G2359)), "", VLOOKUP(A2359,'Discount Lookup'!D:E,2,FALSE)*G2359)</f>
        <v/>
      </c>
      <c r="V2359" s="225" t="str">
        <f>IF(NOT(ISNUMBER(G2359)), "", VLOOKUP(A2359,'Discount Lookup'!G:H,2,FALSE)*G2359)</f>
        <v/>
      </c>
      <c r="W2359" s="508">
        <f t="shared" si="1814"/>
        <v>0</v>
      </c>
      <c r="X2359" s="508" t="str">
        <f t="shared" si="1815"/>
        <v>Dark Green foliage</v>
      </c>
      <c r="Y2359" s="509" t="b">
        <f t="shared" si="1816"/>
        <v>0</v>
      </c>
      <c r="Z2359" s="510">
        <f t="shared" si="1817"/>
        <v>0</v>
      </c>
      <c r="AA2359" s="511"/>
      <c r="AB2359" s="511" t="str">
        <f t="shared" si="1818"/>
        <v/>
      </c>
      <c r="AC2359" s="698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698"/>
      <c r="AE2359" s="631" t="str">
        <f t="shared" si="1819"/>
        <v/>
      </c>
      <c r="AF2359" s="699" t="str">
        <f t="shared" si="1820"/>
        <v/>
      </c>
      <c r="AG2359" s="699"/>
      <c r="AH2359" s="699"/>
      <c r="AI2359" s="512">
        <f>IF(H2359="credit",0,IF(AE2359="free",0,IF(AE2359="me",0,IF(G2359&gt;0,(VLOOKUP(A2359,'Discount Lookup'!J:K,2)*G2359),0))))</f>
        <v>0</v>
      </c>
      <c r="AJ2359" s="513" t="str">
        <f t="shared" ca="1" si="1821"/>
        <v/>
      </c>
      <c r="AK2359" s="700" t="str">
        <f t="shared" si="1822"/>
        <v/>
      </c>
      <c r="AL2359" s="700"/>
      <c r="AM2359" s="505" t="str">
        <f t="shared" si="1823"/>
        <v/>
      </c>
      <c r="AN2359" s="506"/>
      <c r="AO2359" s="507"/>
      <c r="AP2359" s="507"/>
      <c r="AQ2359" s="507"/>
      <c r="AR2359" s="507"/>
      <c r="AS2359" s="507"/>
      <c r="AT2359" s="507"/>
      <c r="AU2359" s="507"/>
      <c r="AV2359" s="225"/>
      <c r="AW2359" s="508"/>
      <c r="AX2359" s="225"/>
      <c r="AY2359" s="225"/>
      <c r="AZ2359" s="225"/>
      <c r="BA2359" s="225"/>
      <c r="BB2359" s="225"/>
      <c r="BC2359" s="56"/>
      <c r="BD2359" s="56"/>
      <c r="BE2359" s="56"/>
      <c r="BF2359" s="107" t="str">
        <f t="shared" si="1824"/>
        <v>https://www.google.com/search?tbm=isch&amp;q=Maki%20Podocarpus%20Podocarpus%20macrophyllus%20%27Maki%27</v>
      </c>
      <c r="BG2359" s="107" t="str">
        <f t="shared" si="1825"/>
        <v>M</v>
      </c>
      <c r="BH2359" s="254"/>
      <c r="BI2359" s="254"/>
    </row>
    <row r="2360" spans="1:61" customFormat="1" ht="15.75" x14ac:dyDescent="0.25">
      <c r="A2360" s="485">
        <v>3</v>
      </c>
      <c r="B2360" s="486" t="s">
        <v>291</v>
      </c>
      <c r="C2360" s="487" t="s">
        <v>4004</v>
      </c>
      <c r="D2360" s="488" t="s">
        <v>312</v>
      </c>
      <c r="E2360" s="489">
        <v>22.95</v>
      </c>
      <c r="F2360" s="516" t="s">
        <v>293</v>
      </c>
      <c r="G2360" s="232">
        <v>0</v>
      </c>
      <c r="H2360" s="658" t="str">
        <f>IF(G2360=0,"",IF(F2360="Buy",IF(G2360=1,"plant","plants"),IF(F2360&gt;0.01,"warranty","Error")))</f>
        <v/>
      </c>
      <c r="I2360" s="490">
        <f>IF(H2360="free",0,IF(H2360="credit",((E2360*(F2360))*G2360*-1),IF(F2360="Buy",(E2360*G2360),((E2360*(1-F2360))*G2360))))</f>
        <v>0</v>
      </c>
      <c r="J2360" s="490">
        <f>IF(H2360="warranty",0,(I2360*(_xlfn.SINGLE(SalesTaxPercentage))))</f>
        <v>0</v>
      </c>
      <c r="K2360" s="695">
        <f t="shared" ref="K2360" si="1845">I2360+J2360</f>
        <v>0</v>
      </c>
      <c r="L2360" s="695"/>
      <c r="M2360" s="659" t="str">
        <f>IF(AND(G2360&gt;0,E2360=0),"WARNING - no PRICE inserted",IF(H2360="free"," FREE ~ no charge this plant",IF(H2360="credit",CONCATENATE(" -$",ROUND(K2360*(1-T2GDiscount)*-1,2)," CREDIT after discount"),IF(T2GDiscount=0,"",IF(G2360=0,"",IF(F2360="Buy",CONCATENATE(" $",ROUND(K2360*(1-T2GDiscount),2)," with ",(T2GDiscount*100),"% discount"),CONCATENATE(" $",ROUND(K2360*(1-T2GDiscount),2)," with ",((T2GDiscount*100+F2360*100)-(T2GDiscount*100*F2360)),IF(F2360&gt;0,"% discounts",IF(NoWarrantyDiscount&gt;0,"% discounts","% discount")))))))))</f>
        <v/>
      </c>
      <c r="N2360" s="660"/>
      <c r="O2360" s="233"/>
      <c r="P2360" s="233"/>
      <c r="Q2360" s="233"/>
      <c r="R2360" s="233"/>
      <c r="S2360" s="233"/>
      <c r="T2360" s="508">
        <f t="shared" si="1813"/>
        <v>0</v>
      </c>
      <c r="U2360" s="225">
        <f>IF(NOT(ISNUMBER(G2360)), "", VLOOKUP(A2360,'Discount Lookup'!D:E,2,FALSE)*G2360)</f>
        <v>0</v>
      </c>
      <c r="V2360" s="225">
        <f>IF(NOT(ISNUMBER(G2360)), "", VLOOKUP(A2360,'Discount Lookup'!G:H,2,FALSE)*G2360)</f>
        <v>0</v>
      </c>
      <c r="W2360" s="508">
        <f t="shared" si="1814"/>
        <v>0</v>
      </c>
      <c r="X2360" s="508">
        <f t="shared" si="1815"/>
        <v>0</v>
      </c>
      <c r="Y2360" s="509" t="b">
        <f t="shared" si="1816"/>
        <v>0</v>
      </c>
      <c r="Z2360" s="510">
        <f t="shared" si="1817"/>
        <v>0</v>
      </c>
      <c r="AA2360" s="511"/>
      <c r="AB2360" s="511" t="str">
        <f t="shared" si="1818"/>
        <v/>
      </c>
      <c r="AC2360" s="698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698"/>
      <c r="AE2360" s="631" t="str">
        <f t="shared" si="1819"/>
        <v/>
      </c>
      <c r="AF2360" s="699" t="str">
        <f t="shared" si="1820"/>
        <v/>
      </c>
      <c r="AG2360" s="699"/>
      <c r="AH2360" s="699"/>
      <c r="AI2360" s="512">
        <f>IF(H2360="credit",0,IF(AE2360="free",0,IF(AE2360="me",0,IF(G2360&gt;0,(VLOOKUP(A2360,'Discount Lookup'!J:K,2)*G2360),0))))</f>
        <v>0</v>
      </c>
      <c r="AJ2360" s="513" t="str">
        <f t="shared" ca="1" si="1821"/>
        <v/>
      </c>
      <c r="AK2360" s="700" t="str">
        <f t="shared" si="1822"/>
        <v/>
      </c>
      <c r="AL2360" s="700"/>
      <c r="AM2360" s="505" t="str">
        <f t="shared" si="1823"/>
        <v/>
      </c>
      <c r="AN2360" s="506"/>
      <c r="AO2360" s="507"/>
      <c r="AP2360" s="507"/>
      <c r="AQ2360" s="507"/>
      <c r="AR2360" s="507"/>
      <c r="AS2360" s="507"/>
      <c r="AT2360" s="507"/>
      <c r="AU2360" s="507"/>
      <c r="AV2360" s="225"/>
      <c r="AW2360" s="508"/>
      <c r="AX2360" s="225"/>
      <c r="AY2360" s="225"/>
      <c r="AZ2360" s="225"/>
      <c r="BA2360" s="225"/>
      <c r="BB2360" s="225"/>
      <c r="BC2360" s="56"/>
      <c r="BD2360" s="56"/>
      <c r="BE2360" s="56"/>
      <c r="BF2360" s="107" t="str">
        <f t="shared" si="1824"/>
        <v>https://www.google.com/search?tbm=isch&amp;q=3%20G2</v>
      </c>
      <c r="BG2360" s="107" t="str">
        <f t="shared" si="1825"/>
        <v>M</v>
      </c>
      <c r="BH2360" s="254"/>
      <c r="BI2360" s="254"/>
    </row>
    <row r="2361" spans="1:61" customFormat="1" ht="15.75" x14ac:dyDescent="0.25">
      <c r="A2361" s="485">
        <v>15</v>
      </c>
      <c r="B2361" s="486" t="s">
        <v>291</v>
      </c>
      <c r="C2361" s="487" t="s">
        <v>4005</v>
      </c>
      <c r="D2361" s="488" t="s">
        <v>300</v>
      </c>
      <c r="E2361" s="489">
        <v>173.95</v>
      </c>
      <c r="F2361" s="516" t="s">
        <v>293</v>
      </c>
      <c r="G2361" s="232">
        <v>0</v>
      </c>
      <c r="H2361" s="658" t="str">
        <f>IF(G2361=0,"",IF(F2361="Buy",IF(G2361=1,"plant","plants"),IF(F2361&gt;0.01,"warranty","Error")))</f>
        <v/>
      </c>
      <c r="I2361" s="490">
        <f>IF(H2361="free",0,IF(H2361="credit",((E2361*(F2361))*G2361*-1),IF(F2361="Buy",(E2361*G2361),((E2361*(1-F2361))*G2361))))</f>
        <v>0</v>
      </c>
      <c r="J2361" s="490">
        <f>IF(H2361="warranty",0,(I2361*(_xlfn.SINGLE(SalesTaxPercentage))))</f>
        <v>0</v>
      </c>
      <c r="K2361" s="695">
        <f t="shared" ref="K2361" si="1846">I2361+J2361</f>
        <v>0</v>
      </c>
      <c r="L2361" s="695"/>
      <c r="M2361" s="659" t="str">
        <f>IF(AND(G2361&gt;0,E2361=0),"WARNING - no PRICE inserted",IF(H2361="free"," FREE ~ no charge this plant",IF(H2361="credit",CONCATENATE(" -$",ROUND(K2361*(1-T2GDiscount)*-1,2)," CREDIT after discount"),IF(T2GDiscount=0,"",IF(G2361=0,"",IF(F2361="Buy",CONCATENATE(" $",ROUND(K2361*(1-T2GDiscount),2)," with ",(T2GDiscount*100),"% discount"),CONCATENATE(" $",ROUND(K2361*(1-T2GDiscount),2)," with ",((T2GDiscount*100+F2361*100)-(T2GDiscount*100*F2361)),IF(F2361&gt;0,"% discounts",IF(NoWarrantyDiscount&gt;0,"% discounts","% discount")))))))))</f>
        <v/>
      </c>
      <c r="N2361" s="660"/>
      <c r="O2361" s="233"/>
      <c r="P2361" s="233"/>
      <c r="Q2361" s="233"/>
      <c r="R2361" s="233"/>
      <c r="S2361" s="233"/>
      <c r="T2361" s="508">
        <f t="shared" si="1813"/>
        <v>0</v>
      </c>
      <c r="U2361" s="225">
        <f>IF(NOT(ISNUMBER(G2361)), "", VLOOKUP(A2361,'Discount Lookup'!D:E,2,FALSE)*G2361)</f>
        <v>0</v>
      </c>
      <c r="V2361" s="225">
        <f>IF(NOT(ISNUMBER(G2361)), "", VLOOKUP(A2361,'Discount Lookup'!G:H,2,FALSE)*G2361)</f>
        <v>0</v>
      </c>
      <c r="W2361" s="508">
        <f t="shared" si="1814"/>
        <v>0</v>
      </c>
      <c r="X2361" s="508">
        <f t="shared" si="1815"/>
        <v>0</v>
      </c>
      <c r="Y2361" s="509" t="b">
        <f t="shared" si="1816"/>
        <v>0</v>
      </c>
      <c r="Z2361" s="510">
        <f t="shared" si="1817"/>
        <v>0</v>
      </c>
      <c r="AA2361" s="511"/>
      <c r="AB2361" s="511" t="str">
        <f t="shared" si="1818"/>
        <v/>
      </c>
      <c r="AC2361" s="698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698"/>
      <c r="AE2361" s="631" t="str">
        <f t="shared" si="1819"/>
        <v/>
      </c>
      <c r="AF2361" s="699" t="str">
        <f t="shared" si="1820"/>
        <v/>
      </c>
      <c r="AG2361" s="699"/>
      <c r="AH2361" s="699"/>
      <c r="AI2361" s="512">
        <f>IF(H2361="credit",0,IF(AE2361="free",0,IF(AE2361="me",0,IF(G2361&gt;0,(VLOOKUP(A2361,'Discount Lookup'!J:K,2)*G2361),0))))</f>
        <v>0</v>
      </c>
      <c r="AJ2361" s="513" t="str">
        <f t="shared" ca="1" si="1821"/>
        <v/>
      </c>
      <c r="AK2361" s="700" t="str">
        <f t="shared" si="1822"/>
        <v/>
      </c>
      <c r="AL2361" s="700"/>
      <c r="AM2361" s="505" t="str">
        <f t="shared" si="1823"/>
        <v/>
      </c>
      <c r="AN2361" s="506"/>
      <c r="AO2361" s="507"/>
      <c r="AP2361" s="507"/>
      <c r="AQ2361" s="507"/>
      <c r="AR2361" s="507"/>
      <c r="AS2361" s="507"/>
      <c r="AT2361" s="507"/>
      <c r="AU2361" s="507"/>
      <c r="AV2361" s="225"/>
      <c r="AW2361" s="508"/>
      <c r="AX2361" s="225"/>
      <c r="AY2361" s="225"/>
      <c r="AZ2361" s="225"/>
      <c r="BA2361" s="225"/>
      <c r="BB2361" s="225"/>
      <c r="BC2361" s="56"/>
      <c r="BD2361" s="56"/>
      <c r="BE2361" s="56"/>
      <c r="BF2361" s="107" t="str">
        <f t="shared" si="1824"/>
        <v>https://www.google.com/search?tbm=isch&amp;q=15%20G6</v>
      </c>
      <c r="BG2361" s="107" t="str">
        <f t="shared" si="1825"/>
        <v>M</v>
      </c>
      <c r="BH2361" s="254"/>
      <c r="BI2361" s="254"/>
    </row>
    <row r="2362" spans="1:61" customFormat="1" ht="16.5" thickBot="1" x14ac:dyDescent="0.3">
      <c r="A2362" s="522" t="s">
        <v>2432</v>
      </c>
      <c r="B2362" s="491"/>
      <c r="C2362" s="675"/>
      <c r="D2362" s="491"/>
      <c r="E2362" s="491"/>
      <c r="F2362" s="492"/>
      <c r="G2362" s="493"/>
      <c r="H2362" s="491"/>
      <c r="I2362" s="234"/>
      <c r="J2362" s="234"/>
      <c r="K2362" s="494"/>
      <c r="L2362" s="543"/>
      <c r="M2362" s="561"/>
      <c r="N2362" s="495"/>
      <c r="O2362" s="496"/>
      <c r="P2362" s="497"/>
      <c r="Q2362" s="495"/>
      <c r="R2362" s="495"/>
      <c r="S2362" s="277"/>
      <c r="T2362" s="508">
        <f t="shared" si="1813"/>
        <v>0</v>
      </c>
      <c r="U2362" s="225" t="str">
        <f>IF(NOT(ISNUMBER(G2362)), "", VLOOKUP(A2362,'Discount Lookup'!D:E,2,FALSE)*G2362)</f>
        <v/>
      </c>
      <c r="V2362" s="225" t="str">
        <f>IF(NOT(ISNUMBER(G2362)), "", VLOOKUP(A2362,'Discount Lookup'!G:H,2,FALSE)*G2362)</f>
        <v/>
      </c>
      <c r="W2362" s="508">
        <f t="shared" si="1814"/>
        <v>0</v>
      </c>
      <c r="X2362" s="508">
        <f t="shared" si="1815"/>
        <v>0</v>
      </c>
      <c r="Y2362" s="509" t="b">
        <f t="shared" si="1816"/>
        <v>0</v>
      </c>
      <c r="Z2362" s="510">
        <f t="shared" si="1817"/>
        <v>0</v>
      </c>
      <c r="AA2362" s="511"/>
      <c r="AB2362" s="511" t="str">
        <f t="shared" si="1818"/>
        <v/>
      </c>
      <c r="AC2362" s="698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698"/>
      <c r="AE2362" s="631" t="str">
        <f t="shared" si="1819"/>
        <v/>
      </c>
      <c r="AF2362" s="699" t="str">
        <f t="shared" si="1820"/>
        <v/>
      </c>
      <c r="AG2362" s="699"/>
      <c r="AH2362" s="699"/>
      <c r="AI2362" s="512">
        <f>IF(H2362="credit",0,IF(AE2362="free",0,IF(AE2362="me",0,IF(G2362&gt;0,(VLOOKUP(A2362,'Discount Lookup'!J:K,2)*G2362),0))))</f>
        <v>0</v>
      </c>
      <c r="AJ2362" s="513" t="str">
        <f t="shared" ca="1" si="1821"/>
        <v/>
      </c>
      <c r="AK2362" s="700" t="str">
        <f t="shared" si="1822"/>
        <v/>
      </c>
      <c r="AL2362" s="700"/>
      <c r="AM2362" s="505" t="str">
        <f t="shared" si="1823"/>
        <v/>
      </c>
      <c r="AN2362" s="506"/>
      <c r="AO2362" s="507"/>
      <c r="AP2362" s="507"/>
      <c r="AQ2362" s="507"/>
      <c r="AR2362" s="507"/>
      <c r="AS2362" s="507"/>
      <c r="AT2362" s="507"/>
      <c r="AU2362" s="507"/>
      <c r="AV2362" s="225"/>
      <c r="AW2362" s="508"/>
      <c r="AX2362" s="225"/>
      <c r="AY2362" s="225"/>
      <c r="AZ2362" s="225"/>
      <c r="BA2362" s="225"/>
      <c r="BB2362" s="225"/>
      <c r="BC2362" s="56"/>
      <c r="BD2362" s="56"/>
      <c r="BE2362" s="56"/>
      <c r="BF2362" s="107" t="str">
        <f t="shared" si="1824"/>
        <v>https://www.google.com/search?tbm=isch&amp;q=Maki%20is%20dense%2C%20upright%2C%20and%20drought%20tolerant.%20Needle-like%20foliage%20is%20fragrant%20when%20crushed.%20Smooth%20Gray-Brown%20bark%20lightly%20fissures%20with%20age%20</v>
      </c>
      <c r="BG2362" s="107" t="str">
        <f t="shared" si="1825"/>
        <v>M</v>
      </c>
      <c r="BH2362" s="254"/>
      <c r="BI2362" s="254"/>
    </row>
    <row r="2363" spans="1:61" customFormat="1" ht="18" x14ac:dyDescent="0.25">
      <c r="A2363" s="521" t="s">
        <v>2609</v>
      </c>
      <c r="B2363" s="477"/>
      <c r="C2363" s="674"/>
      <c r="D2363" s="478" t="s">
        <v>2610</v>
      </c>
      <c r="E2363" s="479"/>
      <c r="F2363" s="479"/>
      <c r="G2363" s="479"/>
      <c r="H2363" s="582" t="s">
        <v>506</v>
      </c>
      <c r="I2363" s="480" t="s">
        <v>2611</v>
      </c>
      <c r="J2363" s="479"/>
      <c r="K2363" s="479"/>
      <c r="L2363" s="560"/>
      <c r="M2363" s="671" t="s">
        <v>4985</v>
      </c>
      <c r="N2363" s="680" t="str">
        <f>IF(AND(ISTEXT($A2363), ISERROR($A2363+0)), HYPERLINK($BF2363, "Images"), "")</f>
        <v>Images</v>
      </c>
      <c r="O2363" s="662" t="s">
        <v>4974</v>
      </c>
      <c r="P2363" s="482"/>
      <c r="Q2363" s="483"/>
      <c r="R2363" s="483"/>
      <c r="S2363" s="484"/>
      <c r="T2363" s="508">
        <f t="shared" si="1813"/>
        <v>0</v>
      </c>
      <c r="U2363" s="225" t="str">
        <f>IF(NOT(ISNUMBER(G2363)), "", VLOOKUP(A2363,'Discount Lookup'!D:E,2,FALSE)*G2363)</f>
        <v/>
      </c>
      <c r="V2363" s="225" t="str">
        <f>IF(NOT(ISNUMBER(G2363)), "", VLOOKUP(A2363,'Discount Lookup'!G:H,2,FALSE)*G2363)</f>
        <v/>
      </c>
      <c r="W2363" s="508">
        <f t="shared" si="1814"/>
        <v>0</v>
      </c>
      <c r="X2363" s="508" t="str">
        <f t="shared" si="1815"/>
        <v>White bloom, Purple margins</v>
      </c>
      <c r="Y2363" s="509" t="b">
        <f t="shared" si="1816"/>
        <v>0</v>
      </c>
      <c r="Z2363" s="510">
        <f t="shared" si="1817"/>
        <v>0</v>
      </c>
      <c r="AA2363" s="511"/>
      <c r="AB2363" s="511" t="str">
        <f t="shared" si="1818"/>
        <v/>
      </c>
      <c r="AC2363" s="698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698"/>
      <c r="AE2363" s="631" t="str">
        <f t="shared" si="1819"/>
        <v/>
      </c>
      <c r="AF2363" s="699" t="str">
        <f t="shared" si="1820"/>
        <v/>
      </c>
      <c r="AG2363" s="699"/>
      <c r="AH2363" s="699"/>
      <c r="AI2363" s="512">
        <f>IF(H2363="credit",0,IF(AE2363="free",0,IF(AE2363="me",0,IF(G2363&gt;0,(VLOOKUP(A2363,'Discount Lookup'!J:K,2)*G2363),0))))</f>
        <v>0</v>
      </c>
      <c r="AJ2363" s="513" t="str">
        <f t="shared" ca="1" si="1821"/>
        <v/>
      </c>
      <c r="AK2363" s="700" t="str">
        <f t="shared" si="1822"/>
        <v/>
      </c>
      <c r="AL2363" s="700"/>
      <c r="AM2363" s="505" t="str">
        <f t="shared" si="1823"/>
        <v/>
      </c>
      <c r="AN2363" s="506"/>
      <c r="AO2363" s="507"/>
      <c r="AP2363" s="507"/>
      <c r="AQ2363" s="507"/>
      <c r="AR2363" s="507"/>
      <c r="AS2363" s="507"/>
      <c r="AT2363" s="507"/>
      <c r="AU2363" s="507"/>
      <c r="AV2363" s="225"/>
      <c r="AW2363" s="508"/>
      <c r="AX2363" s="225"/>
      <c r="AY2363" s="225"/>
      <c r="AZ2363" s="225"/>
      <c r="BA2363" s="225"/>
      <c r="BB2363" s="225"/>
      <c r="BC2363" s="56"/>
      <c r="BD2363" s="56"/>
      <c r="BE2363" s="56"/>
      <c r="BF2363" s="107" t="str">
        <f t="shared" si="1824"/>
        <v>https://www.google.com/search?tbm=isch&amp;q=Mangetsu%20Azalea%20Rhod.%20%27Mangetsu%27</v>
      </c>
      <c r="BG2363" s="107" t="str">
        <f t="shared" si="1825"/>
        <v>M</v>
      </c>
      <c r="BH2363" s="254"/>
      <c r="BI2363" s="254"/>
    </row>
    <row r="2364" spans="1:61" customFormat="1" ht="15.75" x14ac:dyDescent="0.25">
      <c r="A2364" s="485">
        <v>3</v>
      </c>
      <c r="B2364" s="486" t="s">
        <v>291</v>
      </c>
      <c r="C2364" s="487" t="s">
        <v>445</v>
      </c>
      <c r="D2364" s="488" t="s">
        <v>298</v>
      </c>
      <c r="E2364" s="489">
        <v>25.95</v>
      </c>
      <c r="F2364" s="516" t="s">
        <v>293</v>
      </c>
      <c r="G2364" s="232">
        <v>0</v>
      </c>
      <c r="H2364" s="658" t="str">
        <f>IF(G2364=0,"",IF(F2364="Buy",IF(G2364=1,"plant","plants"),IF(F2364&gt;0.01,"warranty","Error")))</f>
        <v/>
      </c>
      <c r="I2364" s="490">
        <f>IF(H2364="free",0,IF(H2364="credit",((E2364*(F2364))*G2364*-1),IF(F2364="Buy",(E2364*G2364),((E2364*(1-F2364))*G2364))))</f>
        <v>0</v>
      </c>
      <c r="J2364" s="490">
        <f>IF(H2364="warranty",0,(I2364*(_xlfn.SINGLE(SalesTaxPercentage))))</f>
        <v>0</v>
      </c>
      <c r="K2364" s="695">
        <f t="shared" ref="K2364" si="1847">I2364+J2364</f>
        <v>0</v>
      </c>
      <c r="L2364" s="695"/>
      <c r="M2364" s="659" t="str">
        <f>IF(AND(G2364&gt;0,E2364=0),"WARNING - no PRICE inserted",IF(H2364="free"," FREE ~ no charge this plant",IF(H2364="credit",CONCATENATE(" -$",ROUND(K2364*(1-T2GDiscount)*-1,2)," CREDIT after discount"),IF(T2GDiscount=0,"",IF(G2364=0,"",IF(F2364="Buy",CONCATENATE(" $",ROUND(K2364*(1-T2GDiscount),2)," with ",(T2GDiscount*100),"% discount"),CONCATENATE(" $",ROUND(K2364*(1-T2GDiscount),2)," with ",((T2GDiscount*100+F2364*100)-(T2GDiscount*100*F2364)),IF(F2364&gt;0,"% discounts",IF(NoWarrantyDiscount&gt;0,"% discounts","% discount")))))))))</f>
        <v/>
      </c>
      <c r="N2364" s="660"/>
      <c r="O2364" s="233"/>
      <c r="P2364" s="233"/>
      <c r="Q2364" s="233"/>
      <c r="R2364" s="233"/>
      <c r="S2364" s="233"/>
      <c r="T2364" s="508">
        <f t="shared" si="1813"/>
        <v>0</v>
      </c>
      <c r="U2364" s="225">
        <f>IF(NOT(ISNUMBER(G2364)), "", VLOOKUP(A2364,'Discount Lookup'!D:E,2,FALSE)*G2364)</f>
        <v>0</v>
      </c>
      <c r="V2364" s="225">
        <f>IF(NOT(ISNUMBER(G2364)), "", VLOOKUP(A2364,'Discount Lookup'!G:H,2,FALSE)*G2364)</f>
        <v>0</v>
      </c>
      <c r="W2364" s="508">
        <f t="shared" si="1814"/>
        <v>0</v>
      </c>
      <c r="X2364" s="508">
        <f t="shared" si="1815"/>
        <v>0</v>
      </c>
      <c r="Y2364" s="509" t="b">
        <f t="shared" si="1816"/>
        <v>0</v>
      </c>
      <c r="Z2364" s="510">
        <f t="shared" si="1817"/>
        <v>0</v>
      </c>
      <c r="AA2364" s="511"/>
      <c r="AB2364" s="511" t="str">
        <f t="shared" si="1818"/>
        <v/>
      </c>
      <c r="AC2364" s="698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698"/>
      <c r="AE2364" s="631" t="str">
        <f t="shared" si="1819"/>
        <v/>
      </c>
      <c r="AF2364" s="699" t="str">
        <f t="shared" si="1820"/>
        <v/>
      </c>
      <c r="AG2364" s="699"/>
      <c r="AH2364" s="699"/>
      <c r="AI2364" s="512">
        <f>IF(H2364="credit",0,IF(AE2364="free",0,IF(AE2364="me",0,IF(G2364&gt;0,(VLOOKUP(A2364,'Discount Lookup'!J:K,2)*G2364),0))))</f>
        <v>0</v>
      </c>
      <c r="AJ2364" s="513" t="str">
        <f t="shared" ca="1" si="1821"/>
        <v/>
      </c>
      <c r="AK2364" s="700" t="str">
        <f t="shared" si="1822"/>
        <v/>
      </c>
      <c r="AL2364" s="700"/>
      <c r="AM2364" s="505" t="str">
        <f t="shared" si="1823"/>
        <v/>
      </c>
      <c r="AN2364" s="506"/>
      <c r="AO2364" s="507"/>
      <c r="AP2364" s="507"/>
      <c r="AQ2364" s="507"/>
      <c r="AR2364" s="507"/>
      <c r="AS2364" s="507"/>
      <c r="AT2364" s="507"/>
      <c r="AU2364" s="507"/>
      <c r="AV2364" s="225"/>
      <c r="AW2364" s="508"/>
      <c r="AX2364" s="225"/>
      <c r="AY2364" s="225"/>
      <c r="AZ2364" s="225"/>
      <c r="BA2364" s="225"/>
      <c r="BB2364" s="225"/>
      <c r="BC2364" s="56"/>
      <c r="BD2364" s="56"/>
      <c r="BE2364" s="56"/>
      <c r="BF2364" s="107" t="str">
        <f t="shared" si="1824"/>
        <v>https://www.google.com/search?tbm=isch&amp;q=3%20G1</v>
      </c>
      <c r="BG2364" s="107" t="str">
        <f t="shared" si="1825"/>
        <v>M</v>
      </c>
      <c r="BH2364" s="254"/>
      <c r="BI2364" s="254"/>
    </row>
    <row r="2365" spans="1:61" customFormat="1" ht="17.25" thickBot="1" x14ac:dyDescent="0.3">
      <c r="A2365" s="522" t="s">
        <v>2612</v>
      </c>
      <c r="B2365" s="491"/>
      <c r="C2365" s="675"/>
      <c r="D2365" s="491"/>
      <c r="E2365" s="491"/>
      <c r="F2365" s="492"/>
      <c r="G2365" s="493"/>
      <c r="H2365" s="491"/>
      <c r="I2365" s="234"/>
      <c r="J2365" s="234"/>
      <c r="K2365" s="494"/>
      <c r="L2365" s="543"/>
      <c r="M2365" s="561"/>
      <c r="N2365" s="495"/>
      <c r="O2365" s="496"/>
      <c r="P2365" s="497"/>
      <c r="Q2365" s="495"/>
      <c r="R2365" s="495"/>
      <c r="S2365" s="667" t="s">
        <v>4988</v>
      </c>
      <c r="T2365" s="508">
        <f t="shared" si="1813"/>
        <v>0</v>
      </c>
      <c r="U2365" s="225" t="str">
        <f>IF(NOT(ISNUMBER(G2365)), "", VLOOKUP(A2365,'Discount Lookup'!D:E,2,FALSE)*G2365)</f>
        <v/>
      </c>
      <c r="V2365" s="225" t="str">
        <f>IF(NOT(ISNUMBER(G2365)), "", VLOOKUP(A2365,'Discount Lookup'!G:H,2,FALSE)*G2365)</f>
        <v/>
      </c>
      <c r="W2365" s="508">
        <f t="shared" si="1814"/>
        <v>0</v>
      </c>
      <c r="X2365" s="508">
        <f t="shared" si="1815"/>
        <v>0</v>
      </c>
      <c r="Y2365" s="509" t="b">
        <f t="shared" si="1816"/>
        <v>0</v>
      </c>
      <c r="Z2365" s="510">
        <f t="shared" si="1817"/>
        <v>0</v>
      </c>
      <c r="AA2365" s="511"/>
      <c r="AB2365" s="511" t="str">
        <f t="shared" si="1818"/>
        <v/>
      </c>
      <c r="AC2365" s="698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698"/>
      <c r="AE2365" s="631" t="str">
        <f t="shared" si="1819"/>
        <v/>
      </c>
      <c r="AF2365" s="699" t="str">
        <f t="shared" si="1820"/>
        <v/>
      </c>
      <c r="AG2365" s="699"/>
      <c r="AH2365" s="699"/>
      <c r="AI2365" s="512">
        <f>IF(H2365="credit",0,IF(AE2365="free",0,IF(AE2365="me",0,IF(G2365&gt;0,(VLOOKUP(A2365,'Discount Lookup'!J:K,2)*G2365),0))))</f>
        <v>0</v>
      </c>
      <c r="AJ2365" s="513" t="str">
        <f t="shared" ca="1" si="1821"/>
        <v/>
      </c>
      <c r="AK2365" s="700" t="str">
        <f t="shared" si="1822"/>
        <v/>
      </c>
      <c r="AL2365" s="700"/>
      <c r="AM2365" s="505" t="str">
        <f t="shared" si="1823"/>
        <v/>
      </c>
      <c r="AN2365" s="506"/>
      <c r="AO2365" s="507"/>
      <c r="AP2365" s="507"/>
      <c r="AQ2365" s="507"/>
      <c r="AR2365" s="507"/>
      <c r="AS2365" s="507"/>
      <c r="AT2365" s="507"/>
      <c r="AU2365" s="507"/>
      <c r="AV2365" s="225"/>
      <c r="AW2365" s="508"/>
      <c r="AX2365" s="225"/>
      <c r="AY2365" s="225"/>
      <c r="AZ2365" s="225"/>
      <c r="BA2365" s="225"/>
      <c r="BB2365" s="225"/>
      <c r="BC2365" s="56"/>
      <c r="BD2365" s="56"/>
      <c r="BE2365" s="56"/>
      <c r="BF2365" s="107" t="str">
        <f t="shared" si="1824"/>
        <v>https://www.google.com/search?tbm=isch&amp;q=Mangetsu%20is%20a%20compact%2C%20tiered%20evergreen%20cultivar%20with%20delicate%20bi-color%20blooms%20that%20appear%20in%20spring%20and%20sporadically%20in%20fall%20</v>
      </c>
      <c r="BG2365" s="107" t="str">
        <f t="shared" si="1825"/>
        <v>M</v>
      </c>
      <c r="BH2365" s="254"/>
      <c r="BI2365" s="254"/>
    </row>
    <row r="2366" spans="1:61" customFormat="1" ht="18" x14ac:dyDescent="0.25">
      <c r="A2366" s="521" t="s">
        <v>1306</v>
      </c>
      <c r="B2366" s="477"/>
      <c r="C2366" s="674"/>
      <c r="D2366" s="478" t="s">
        <v>1307</v>
      </c>
      <c r="E2366" s="479"/>
      <c r="F2366" s="479"/>
      <c r="G2366" s="479"/>
      <c r="H2366" s="582" t="s">
        <v>471</v>
      </c>
      <c r="I2366" s="480" t="s">
        <v>2093</v>
      </c>
      <c r="J2366" s="479"/>
      <c r="K2366" s="479"/>
      <c r="L2366" s="560"/>
      <c r="M2366" s="666" t="s">
        <v>4966</v>
      </c>
      <c r="N2366" s="680" t="str">
        <f>IF(AND(ISTEXT($A2366), ISERROR($A2366+0)), HYPERLINK($BF2366, "Images"), "")</f>
        <v>Images</v>
      </c>
      <c r="O2366" s="662" t="s">
        <v>4974</v>
      </c>
      <c r="P2366" s="482"/>
      <c r="Q2366" s="483"/>
      <c r="R2366" s="483"/>
      <c r="S2366" s="484"/>
      <c r="T2366" s="508">
        <f t="shared" si="1813"/>
        <v>0</v>
      </c>
      <c r="U2366" s="225" t="str">
        <f>IF(NOT(ISNUMBER(G2366)), "", VLOOKUP(A2366,'Discount Lookup'!D:E,2,FALSE)*G2366)</f>
        <v/>
      </c>
      <c r="V2366" s="225" t="str">
        <f>IF(NOT(ISNUMBER(G2366)), "", VLOOKUP(A2366,'Discount Lookup'!G:H,2,FALSE)*G2366)</f>
        <v/>
      </c>
      <c r="W2366" s="508">
        <f t="shared" si="1814"/>
        <v>0</v>
      </c>
      <c r="X2366" s="508" t="str">
        <f t="shared" si="1815"/>
        <v>Dark Green foliage</v>
      </c>
      <c r="Y2366" s="509" t="b">
        <f t="shared" si="1816"/>
        <v>0</v>
      </c>
      <c r="Z2366" s="510">
        <f t="shared" si="1817"/>
        <v>0</v>
      </c>
      <c r="AA2366" s="511"/>
      <c r="AB2366" s="511" t="str">
        <f t="shared" si="1818"/>
        <v/>
      </c>
      <c r="AC2366" s="698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698"/>
      <c r="AE2366" s="631" t="str">
        <f t="shared" si="1819"/>
        <v/>
      </c>
      <c r="AF2366" s="699" t="str">
        <f t="shared" si="1820"/>
        <v/>
      </c>
      <c r="AG2366" s="699"/>
      <c r="AH2366" s="699"/>
      <c r="AI2366" s="512">
        <f>IF(H2366="credit",0,IF(AE2366="free",0,IF(AE2366="me",0,IF(G2366&gt;0,(VLOOKUP(A2366,'Discount Lookup'!J:K,2)*G2366),0))))</f>
        <v>0</v>
      </c>
      <c r="AJ2366" s="513" t="str">
        <f t="shared" ca="1" si="1821"/>
        <v/>
      </c>
      <c r="AK2366" s="700" t="str">
        <f t="shared" si="1822"/>
        <v/>
      </c>
      <c r="AL2366" s="700"/>
      <c r="AM2366" s="505" t="str">
        <f t="shared" si="1823"/>
        <v/>
      </c>
      <c r="AN2366" s="506"/>
      <c r="AO2366" s="507"/>
      <c r="AP2366" s="507"/>
      <c r="AQ2366" s="507"/>
      <c r="AR2366" s="507"/>
      <c r="AS2366" s="507"/>
      <c r="AT2366" s="507"/>
      <c r="AU2366" s="507"/>
      <c r="AV2366" s="225"/>
      <c r="AW2366" s="508"/>
      <c r="AX2366" s="225"/>
      <c r="AY2366" s="225"/>
      <c r="AZ2366" s="225"/>
      <c r="BA2366" s="225"/>
      <c r="BB2366" s="225"/>
      <c r="BC2366" s="56"/>
      <c r="BD2366" s="56"/>
      <c r="BE2366" s="56"/>
      <c r="BF2366" s="107" t="str">
        <f t="shared" si="1824"/>
        <v>https://www.google.com/search?tbm=isch&amp;q=Manhattan%20Euonymus%20Euonymus%20kiautschovicus%20%27Manhattan%27</v>
      </c>
      <c r="BG2366" s="107" t="str">
        <f t="shared" si="1825"/>
        <v>M</v>
      </c>
      <c r="BH2366" s="254"/>
      <c r="BI2366" s="254"/>
    </row>
    <row r="2367" spans="1:61" customFormat="1" ht="15.75" x14ac:dyDescent="0.25">
      <c r="A2367" s="485">
        <v>3</v>
      </c>
      <c r="B2367" s="486" t="s">
        <v>291</v>
      </c>
      <c r="C2367" s="487" t="s">
        <v>1308</v>
      </c>
      <c r="D2367" s="488" t="s">
        <v>297</v>
      </c>
      <c r="E2367" s="489">
        <v>20.95</v>
      </c>
      <c r="F2367" s="516" t="s">
        <v>293</v>
      </c>
      <c r="G2367" s="232">
        <v>0</v>
      </c>
      <c r="H2367" s="658" t="str">
        <f>IF(G2367=0,"",IF(F2367="Buy",IF(G2367=1,"plant","plants"),IF(F2367&gt;0.01,"warranty","Error")))</f>
        <v/>
      </c>
      <c r="I2367" s="490">
        <f>IF(H2367="free",0,IF(H2367="credit",((E2367*(F2367))*G2367*-1),IF(F2367="Buy",(E2367*G2367),((E2367*(1-F2367))*G2367))))</f>
        <v>0</v>
      </c>
      <c r="J2367" s="490">
        <f>IF(H2367="warranty",0,(I2367*(_xlfn.SINGLE(SalesTaxPercentage))))</f>
        <v>0</v>
      </c>
      <c r="K2367" s="695">
        <f t="shared" ref="K2367" si="1848">I2367+J2367</f>
        <v>0</v>
      </c>
      <c r="L2367" s="695"/>
      <c r="M2367" s="659" t="str">
        <f>IF(AND(G2367&gt;0,E2367=0),"WARNING - no PRICE inserted",IF(H2367="free"," FREE ~ no charge this plant",IF(H2367="credit",CONCATENATE(" -$",ROUND(K2367*(1-T2GDiscount)*-1,2)," CREDIT after discount"),IF(T2GDiscount=0,"",IF(G2367=0,"",IF(F2367="Buy",CONCATENATE(" $",ROUND(K2367*(1-T2GDiscount),2)," with ",(T2GDiscount*100),"% discount"),CONCATENATE(" $",ROUND(K2367*(1-T2GDiscount),2)," with ",((T2GDiscount*100+F2367*100)-(T2GDiscount*100*F2367)),IF(F2367&gt;0,"% discounts",IF(NoWarrantyDiscount&gt;0,"% discounts","% discount")))))))))</f>
        <v/>
      </c>
      <c r="N2367" s="660"/>
      <c r="O2367" s="233"/>
      <c r="P2367" s="233"/>
      <c r="Q2367" s="233"/>
      <c r="R2367" s="233"/>
      <c r="S2367" s="233"/>
      <c r="T2367" s="508">
        <f t="shared" si="1813"/>
        <v>0</v>
      </c>
      <c r="U2367" s="225">
        <f>IF(NOT(ISNUMBER(G2367)), "", VLOOKUP(A2367,'Discount Lookup'!D:E,2,FALSE)*G2367)</f>
        <v>0</v>
      </c>
      <c r="V2367" s="225">
        <f>IF(NOT(ISNUMBER(G2367)), "", VLOOKUP(A2367,'Discount Lookup'!G:H,2,FALSE)*G2367)</f>
        <v>0</v>
      </c>
      <c r="W2367" s="508">
        <f t="shared" si="1814"/>
        <v>0</v>
      </c>
      <c r="X2367" s="508">
        <f t="shared" si="1815"/>
        <v>0</v>
      </c>
      <c r="Y2367" s="509" t="b">
        <f t="shared" si="1816"/>
        <v>0</v>
      </c>
      <c r="Z2367" s="510">
        <f t="shared" si="1817"/>
        <v>0</v>
      </c>
      <c r="AA2367" s="511"/>
      <c r="AB2367" s="511" t="str">
        <f t="shared" si="1818"/>
        <v/>
      </c>
      <c r="AC2367" s="698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698"/>
      <c r="AE2367" s="631" t="str">
        <f t="shared" si="1819"/>
        <v/>
      </c>
      <c r="AF2367" s="699" t="str">
        <f t="shared" si="1820"/>
        <v/>
      </c>
      <c r="AG2367" s="699"/>
      <c r="AH2367" s="699"/>
      <c r="AI2367" s="512">
        <f>IF(H2367="credit",0,IF(AE2367="free",0,IF(AE2367="me",0,IF(G2367&gt;0,(VLOOKUP(A2367,'Discount Lookup'!J:K,2)*G2367),0))))</f>
        <v>0</v>
      </c>
      <c r="AJ2367" s="513" t="str">
        <f t="shared" ca="1" si="1821"/>
        <v/>
      </c>
      <c r="AK2367" s="700" t="str">
        <f t="shared" si="1822"/>
        <v/>
      </c>
      <c r="AL2367" s="700"/>
      <c r="AM2367" s="505" t="str">
        <f t="shared" si="1823"/>
        <v/>
      </c>
      <c r="AN2367" s="506"/>
      <c r="AO2367" s="507"/>
      <c r="AP2367" s="507"/>
      <c r="AQ2367" s="507"/>
      <c r="AR2367" s="507"/>
      <c r="AS2367" s="507"/>
      <c r="AT2367" s="507"/>
      <c r="AU2367" s="507"/>
      <c r="AV2367" s="225"/>
      <c r="AW2367" s="508"/>
      <c r="AX2367" s="225"/>
      <c r="AY2367" s="225"/>
      <c r="AZ2367" s="225"/>
      <c r="BA2367" s="225"/>
      <c r="BB2367" s="225"/>
      <c r="BC2367" s="56"/>
      <c r="BD2367" s="56"/>
      <c r="BE2367" s="56"/>
      <c r="BF2367" s="107" t="str">
        <f t="shared" si="1824"/>
        <v>https://www.google.com/search?tbm=isch&amp;q=3%20G3</v>
      </c>
      <c r="BG2367" s="107" t="str">
        <f t="shared" si="1825"/>
        <v>M</v>
      </c>
      <c r="BH2367" s="254"/>
      <c r="BI2367" s="254"/>
    </row>
    <row r="2368" spans="1:61" customFormat="1" ht="17.25" thickBot="1" x14ac:dyDescent="0.3">
      <c r="A2368" s="522" t="s">
        <v>2960</v>
      </c>
      <c r="B2368" s="491"/>
      <c r="C2368" s="675"/>
      <c r="D2368" s="491"/>
      <c r="E2368" s="491"/>
      <c r="F2368" s="492"/>
      <c r="G2368" s="493"/>
      <c r="H2368" s="491"/>
      <c r="I2368" s="234"/>
      <c r="J2368" s="234"/>
      <c r="K2368" s="494"/>
      <c r="L2368" s="543"/>
      <c r="M2368" s="561"/>
      <c r="N2368" s="495"/>
      <c r="O2368" s="496"/>
      <c r="P2368" s="497"/>
      <c r="Q2368" s="495"/>
      <c r="R2368" s="495"/>
      <c r="S2368" s="667" t="s">
        <v>4984</v>
      </c>
      <c r="T2368" s="508">
        <f t="shared" si="1813"/>
        <v>0</v>
      </c>
      <c r="U2368" s="225" t="str">
        <f>IF(NOT(ISNUMBER(G2368)), "", VLOOKUP(A2368,'Discount Lookup'!D:E,2,FALSE)*G2368)</f>
        <v/>
      </c>
      <c r="V2368" s="225" t="str">
        <f>IF(NOT(ISNUMBER(G2368)), "", VLOOKUP(A2368,'Discount Lookup'!G:H,2,FALSE)*G2368)</f>
        <v/>
      </c>
      <c r="W2368" s="508">
        <f t="shared" si="1814"/>
        <v>0</v>
      </c>
      <c r="X2368" s="508">
        <f t="shared" si="1815"/>
        <v>0</v>
      </c>
      <c r="Y2368" s="509" t="b">
        <f t="shared" si="1816"/>
        <v>0</v>
      </c>
      <c r="Z2368" s="510">
        <f t="shared" si="1817"/>
        <v>0</v>
      </c>
      <c r="AA2368" s="511"/>
      <c r="AB2368" s="511" t="str">
        <f t="shared" si="1818"/>
        <v/>
      </c>
      <c r="AC2368" s="698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698"/>
      <c r="AE2368" s="631" t="str">
        <f t="shared" si="1819"/>
        <v/>
      </c>
      <c r="AF2368" s="699" t="str">
        <f t="shared" si="1820"/>
        <v/>
      </c>
      <c r="AG2368" s="699"/>
      <c r="AH2368" s="699"/>
      <c r="AI2368" s="512">
        <f>IF(H2368="credit",0,IF(AE2368="free",0,IF(AE2368="me",0,IF(G2368&gt;0,(VLOOKUP(A2368,'Discount Lookup'!J:K,2)*G2368),0))))</f>
        <v>0</v>
      </c>
      <c r="AJ2368" s="513" t="str">
        <f t="shared" ca="1" si="1821"/>
        <v/>
      </c>
      <c r="AK2368" s="700" t="str">
        <f t="shared" si="1822"/>
        <v/>
      </c>
      <c r="AL2368" s="700"/>
      <c r="AM2368" s="505" t="str">
        <f t="shared" si="1823"/>
        <v/>
      </c>
      <c r="AN2368" s="506"/>
      <c r="AO2368" s="507"/>
      <c r="AP2368" s="507"/>
      <c r="AQ2368" s="507"/>
      <c r="AR2368" s="507"/>
      <c r="AS2368" s="507"/>
      <c r="AT2368" s="507"/>
      <c r="AU2368" s="507"/>
      <c r="AV2368" s="225"/>
      <c r="AW2368" s="508"/>
      <c r="AX2368" s="225"/>
      <c r="AY2368" s="225"/>
      <c r="AZ2368" s="225"/>
      <c r="BA2368" s="225"/>
      <c r="BB2368" s="225"/>
      <c r="BC2368" s="56"/>
      <c r="BD2368" s="56"/>
      <c r="BE2368" s="56"/>
      <c r="BF2368" s="107" t="str">
        <f t="shared" si="1824"/>
        <v>https://www.google.com/search?tbm=isch&amp;q=Manhattan%20is%20a%20vigorous%20grower%2C%20valued%20for%20its%20dense%2C%20upright%20habit%20and%20its%20tolerance%20for%20pruning.%20Inconspicuous%2C%20small%20Greenish-White%20flowers%20</v>
      </c>
      <c r="BG2368" s="107" t="str">
        <f t="shared" si="1825"/>
        <v>M</v>
      </c>
      <c r="BH2368" s="254"/>
      <c r="BI2368" s="254"/>
    </row>
    <row r="2369" spans="1:61" customFormat="1" ht="18" x14ac:dyDescent="0.25">
      <c r="A2369" s="521" t="s">
        <v>2096</v>
      </c>
      <c r="B2369" s="477"/>
      <c r="C2369" s="674"/>
      <c r="D2369" s="478" t="s">
        <v>1309</v>
      </c>
      <c r="E2369" s="479"/>
      <c r="F2369" s="479"/>
      <c r="G2369" s="479"/>
      <c r="H2369" s="582" t="s">
        <v>1441</v>
      </c>
      <c r="I2369" s="480" t="s">
        <v>660</v>
      </c>
      <c r="J2369" s="479"/>
      <c r="K2369" s="479"/>
      <c r="L2369" s="560"/>
      <c r="M2369" s="666" t="s">
        <v>4966</v>
      </c>
      <c r="N2369" s="680" t="str">
        <f>IF(AND(ISTEXT($A2369), ISERROR($A2369+0)), HYPERLINK($BF2369, "Images"), "")</f>
        <v>Images</v>
      </c>
      <c r="O2369" s="662" t="s">
        <v>4969</v>
      </c>
      <c r="P2369" s="482"/>
      <c r="Q2369" s="483"/>
      <c r="R2369" s="483"/>
      <c r="S2369" s="484" t="s">
        <v>305</v>
      </c>
      <c r="T2369" s="508">
        <f t="shared" si="1813"/>
        <v>0</v>
      </c>
      <c r="U2369" s="225" t="str">
        <f>IF(NOT(ISNUMBER(G2369)), "", VLOOKUP(A2369,'Discount Lookup'!D:E,2,FALSE)*G2369)</f>
        <v/>
      </c>
      <c r="V2369" s="225" t="str">
        <f>IF(NOT(ISNUMBER(G2369)), "", VLOOKUP(A2369,'Discount Lookup'!G:H,2,FALSE)*G2369)</f>
        <v/>
      </c>
      <c r="W2369" s="508">
        <f t="shared" si="1814"/>
        <v>0</v>
      </c>
      <c r="X2369" s="508" t="str">
        <f t="shared" si="1815"/>
        <v>Golden Yellow bloom</v>
      </c>
      <c r="Y2369" s="509" t="b">
        <f t="shared" si="1816"/>
        <v>0</v>
      </c>
      <c r="Z2369" s="510">
        <f t="shared" si="1817"/>
        <v>0</v>
      </c>
      <c r="AA2369" s="511"/>
      <c r="AB2369" s="511" t="str">
        <f t="shared" si="1818"/>
        <v/>
      </c>
      <c r="AC2369" s="698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698"/>
      <c r="AE2369" s="631" t="str">
        <f t="shared" si="1819"/>
        <v/>
      </c>
      <c r="AF2369" s="699" t="str">
        <f t="shared" si="1820"/>
        <v/>
      </c>
      <c r="AG2369" s="699"/>
      <c r="AH2369" s="699"/>
      <c r="AI2369" s="512">
        <f>IF(H2369="credit",0,IF(AE2369="free",0,IF(AE2369="me",0,IF(G2369&gt;0,(VLOOKUP(A2369,'Discount Lookup'!J:K,2)*G2369),0))))</f>
        <v>0</v>
      </c>
      <c r="AJ2369" s="513" t="str">
        <f t="shared" ca="1" si="1821"/>
        <v/>
      </c>
      <c r="AK2369" s="700" t="str">
        <f t="shared" si="1822"/>
        <v/>
      </c>
      <c r="AL2369" s="700"/>
      <c r="AM2369" s="505" t="str">
        <f t="shared" si="1823"/>
        <v/>
      </c>
      <c r="AN2369" s="506"/>
      <c r="AO2369" s="507"/>
      <c r="AP2369" s="507"/>
      <c r="AQ2369" s="507"/>
      <c r="AR2369" s="507"/>
      <c r="AS2369" s="507"/>
      <c r="AT2369" s="507"/>
      <c r="AU2369" s="507"/>
      <c r="AV2369" s="225"/>
      <c r="AW2369" s="508"/>
      <c r="AX2369" s="225"/>
      <c r="AY2369" s="225"/>
      <c r="AZ2369" s="225"/>
      <c r="BA2369" s="225"/>
      <c r="BB2369" s="225"/>
      <c r="BC2369" s="56"/>
      <c r="BD2369" s="56"/>
      <c r="BE2369" s="56"/>
      <c r="BF2369" s="107" t="str">
        <f t="shared" si="1824"/>
        <v>https://www.google.com/search?tbm=isch&amp;q=Margarita%20Carolina%20Jessamine%20Vine%20Gelsemium%20sempervirens%20%27Margarita%27</v>
      </c>
      <c r="BG2369" s="107" t="str">
        <f t="shared" si="1825"/>
        <v>M</v>
      </c>
      <c r="BH2369" s="254"/>
      <c r="BI2369" s="254"/>
    </row>
    <row r="2370" spans="1:61" customFormat="1" ht="15.75" x14ac:dyDescent="0.25">
      <c r="A2370" s="485">
        <v>3</v>
      </c>
      <c r="B2370" s="486" t="s">
        <v>291</v>
      </c>
      <c r="C2370" s="487"/>
      <c r="D2370" s="488" t="s">
        <v>298</v>
      </c>
      <c r="E2370" s="489">
        <v>30.95</v>
      </c>
      <c r="F2370" s="516" t="s">
        <v>293</v>
      </c>
      <c r="G2370" s="232">
        <v>0</v>
      </c>
      <c r="H2370" s="658" t="str">
        <f>IF(G2370=0,"",IF(F2370="Buy",IF(G2370=1,"plant","plants"),IF(F2370&gt;0.01,"warranty","Error")))</f>
        <v/>
      </c>
      <c r="I2370" s="490">
        <f>IF(H2370="free",0,IF(H2370="credit",((E2370*(F2370))*G2370*-1),IF(F2370="Buy",(E2370*G2370),((E2370*(1-F2370))*G2370))))</f>
        <v>0</v>
      </c>
      <c r="J2370" s="490">
        <f>IF(H2370="warranty",0,(I2370*(_xlfn.SINGLE(SalesTaxPercentage))))</f>
        <v>0</v>
      </c>
      <c r="K2370" s="695">
        <f t="shared" ref="K2370" si="1849">I2370+J2370</f>
        <v>0</v>
      </c>
      <c r="L2370" s="695"/>
      <c r="M2370" s="659" t="str">
        <f>IF(AND(G2370&gt;0,E2370=0),"WARNING - no PRICE inserted",IF(H2370="free"," FREE ~ no charge this plant",IF(H2370="credit",CONCATENATE(" -$",ROUND(K2370*(1-T2GDiscount)*-1,2)," CREDIT after discount"),IF(T2GDiscount=0,"",IF(G2370=0,"",IF(F2370="Buy",CONCATENATE(" $",ROUND(K2370*(1-T2GDiscount),2)," with ",(T2GDiscount*100),"% discount"),CONCATENATE(" $",ROUND(K2370*(1-T2GDiscount),2)," with ",((T2GDiscount*100+F2370*100)-(T2GDiscount*100*F2370)),IF(F2370&gt;0,"% discounts",IF(NoWarrantyDiscount&gt;0,"% discounts","% discount")))))))))</f>
        <v/>
      </c>
      <c r="N2370" s="660"/>
      <c r="O2370" s="233"/>
      <c r="P2370" s="233"/>
      <c r="Q2370" s="233"/>
      <c r="R2370" s="233"/>
      <c r="S2370" s="233"/>
      <c r="T2370" s="508">
        <f t="shared" si="1813"/>
        <v>0</v>
      </c>
      <c r="U2370" s="225">
        <f>IF(NOT(ISNUMBER(G2370)), "", VLOOKUP(A2370,'Discount Lookup'!D:E,2,FALSE)*G2370)</f>
        <v>0</v>
      </c>
      <c r="V2370" s="225">
        <f>IF(NOT(ISNUMBER(G2370)), "", VLOOKUP(A2370,'Discount Lookup'!G:H,2,FALSE)*G2370)</f>
        <v>0</v>
      </c>
      <c r="W2370" s="508">
        <f t="shared" si="1814"/>
        <v>0</v>
      </c>
      <c r="X2370" s="508">
        <f t="shared" si="1815"/>
        <v>0</v>
      </c>
      <c r="Y2370" s="509" t="b">
        <f t="shared" si="1816"/>
        <v>0</v>
      </c>
      <c r="Z2370" s="510">
        <f t="shared" si="1817"/>
        <v>0</v>
      </c>
      <c r="AA2370" s="511"/>
      <c r="AB2370" s="511" t="str">
        <f t="shared" si="1818"/>
        <v/>
      </c>
      <c r="AC2370" s="698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698"/>
      <c r="AE2370" s="631" t="str">
        <f t="shared" si="1819"/>
        <v/>
      </c>
      <c r="AF2370" s="699" t="str">
        <f t="shared" si="1820"/>
        <v/>
      </c>
      <c r="AG2370" s="699"/>
      <c r="AH2370" s="699"/>
      <c r="AI2370" s="512">
        <f>IF(H2370="credit",0,IF(AE2370="free",0,IF(AE2370="me",0,IF(G2370&gt;0,(VLOOKUP(A2370,'Discount Lookup'!J:K,2)*G2370),0))))</f>
        <v>0</v>
      </c>
      <c r="AJ2370" s="513" t="str">
        <f t="shared" ca="1" si="1821"/>
        <v/>
      </c>
      <c r="AK2370" s="700" t="str">
        <f t="shared" si="1822"/>
        <v/>
      </c>
      <c r="AL2370" s="700"/>
      <c r="AM2370" s="505" t="str">
        <f t="shared" si="1823"/>
        <v/>
      </c>
      <c r="AN2370" s="506"/>
      <c r="AO2370" s="507"/>
      <c r="AP2370" s="507"/>
      <c r="AQ2370" s="507"/>
      <c r="AR2370" s="507"/>
      <c r="AS2370" s="507"/>
      <c r="AT2370" s="507"/>
      <c r="AU2370" s="507"/>
      <c r="AV2370" s="225"/>
      <c r="AW2370" s="508"/>
      <c r="AX2370" s="225"/>
      <c r="AY2370" s="225"/>
      <c r="AZ2370" s="225"/>
      <c r="BA2370" s="225"/>
      <c r="BB2370" s="225"/>
      <c r="BC2370" s="56"/>
      <c r="BD2370" s="56"/>
      <c r="BE2370" s="56"/>
      <c r="BF2370" s="107" t="str">
        <f t="shared" si="1824"/>
        <v>https://www.google.com/search?tbm=isch&amp;q=3%20G1</v>
      </c>
      <c r="BG2370" s="107" t="str">
        <f t="shared" si="1825"/>
        <v>M</v>
      </c>
      <c r="BH2370" s="254"/>
      <c r="BI2370" s="254"/>
    </row>
    <row r="2371" spans="1:61" customFormat="1" ht="15.75" x14ac:dyDescent="0.25">
      <c r="A2371" s="485">
        <v>3</v>
      </c>
      <c r="B2371" s="486" t="s">
        <v>291</v>
      </c>
      <c r="C2371" s="487"/>
      <c r="D2371" s="488" t="s">
        <v>312</v>
      </c>
      <c r="E2371" s="489">
        <v>30.95</v>
      </c>
      <c r="F2371" s="516" t="s">
        <v>293</v>
      </c>
      <c r="G2371" s="232">
        <v>0</v>
      </c>
      <c r="H2371" s="658" t="str">
        <f>IF(G2371=0,"",IF(F2371="Buy",IF(G2371=1,"plant","plants"),IF(F2371&gt;0.01,"warranty","Error")))</f>
        <v/>
      </c>
      <c r="I2371" s="490">
        <f>IF(H2371="free",0,IF(H2371="credit",((E2371*(F2371))*G2371*-1),IF(F2371="Buy",(E2371*G2371),((E2371*(1-F2371))*G2371))))</f>
        <v>0</v>
      </c>
      <c r="J2371" s="490">
        <f>IF(H2371="warranty",0,(I2371*(_xlfn.SINGLE(SalesTaxPercentage))))</f>
        <v>0</v>
      </c>
      <c r="K2371" s="695">
        <f t="shared" ref="K2371" si="1850">I2371+J2371</f>
        <v>0</v>
      </c>
      <c r="L2371" s="695"/>
      <c r="M2371" s="659" t="str">
        <f>IF(AND(G2371&gt;0,E2371=0),"WARNING - no PRICE inserted",IF(H2371="free"," FREE ~ no charge this plant",IF(H2371="credit",CONCATENATE(" -$",ROUND(K2371*(1-T2GDiscount)*-1,2)," CREDIT after discount"),IF(T2GDiscount=0,"",IF(G2371=0,"",IF(F2371="Buy",CONCATENATE(" $",ROUND(K2371*(1-T2GDiscount),2)," with ",(T2GDiscount*100),"% discount"),CONCATENATE(" $",ROUND(K2371*(1-T2GDiscount),2)," with ",((T2GDiscount*100+F2371*100)-(T2GDiscount*100*F2371)),IF(F2371&gt;0,"% discounts",IF(NoWarrantyDiscount&gt;0,"% discounts","% discount")))))))))</f>
        <v/>
      </c>
      <c r="N2371" s="660"/>
      <c r="O2371" s="233"/>
      <c r="P2371" s="233"/>
      <c r="Q2371" s="233"/>
      <c r="R2371" s="233"/>
      <c r="S2371" s="233"/>
      <c r="T2371" s="508">
        <f t="shared" si="1813"/>
        <v>0</v>
      </c>
      <c r="U2371" s="225">
        <f>IF(NOT(ISNUMBER(G2371)), "", VLOOKUP(A2371,'Discount Lookup'!D:E,2,FALSE)*G2371)</f>
        <v>0</v>
      </c>
      <c r="V2371" s="225">
        <f>IF(NOT(ISNUMBER(G2371)), "", VLOOKUP(A2371,'Discount Lookup'!G:H,2,FALSE)*G2371)</f>
        <v>0</v>
      </c>
      <c r="W2371" s="508">
        <f t="shared" si="1814"/>
        <v>0</v>
      </c>
      <c r="X2371" s="508">
        <f t="shared" si="1815"/>
        <v>0</v>
      </c>
      <c r="Y2371" s="509" t="b">
        <f t="shared" si="1816"/>
        <v>0</v>
      </c>
      <c r="Z2371" s="510">
        <f t="shared" si="1817"/>
        <v>0</v>
      </c>
      <c r="AA2371" s="511"/>
      <c r="AB2371" s="511" t="str">
        <f t="shared" si="1818"/>
        <v/>
      </c>
      <c r="AC2371" s="698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698"/>
      <c r="AE2371" s="631" t="str">
        <f t="shared" si="1819"/>
        <v/>
      </c>
      <c r="AF2371" s="699" t="str">
        <f t="shared" si="1820"/>
        <v/>
      </c>
      <c r="AG2371" s="699"/>
      <c r="AH2371" s="699"/>
      <c r="AI2371" s="512">
        <f>IF(H2371="credit",0,IF(AE2371="free",0,IF(AE2371="me",0,IF(G2371&gt;0,(VLOOKUP(A2371,'Discount Lookup'!J:K,2)*G2371),0))))</f>
        <v>0</v>
      </c>
      <c r="AJ2371" s="513" t="str">
        <f t="shared" ca="1" si="1821"/>
        <v/>
      </c>
      <c r="AK2371" s="700" t="str">
        <f t="shared" si="1822"/>
        <v/>
      </c>
      <c r="AL2371" s="700"/>
      <c r="AM2371" s="505" t="str">
        <f t="shared" si="1823"/>
        <v/>
      </c>
      <c r="AN2371" s="506"/>
      <c r="AO2371" s="507"/>
      <c r="AP2371" s="507"/>
      <c r="AQ2371" s="507"/>
      <c r="AR2371" s="507"/>
      <c r="AS2371" s="507"/>
      <c r="AT2371" s="507"/>
      <c r="AU2371" s="507"/>
      <c r="AV2371" s="225"/>
      <c r="AW2371" s="508"/>
      <c r="AX2371" s="225"/>
      <c r="AY2371" s="225"/>
      <c r="AZ2371" s="225"/>
      <c r="BA2371" s="225"/>
      <c r="BB2371" s="225"/>
      <c r="BC2371" s="56"/>
      <c r="BD2371" s="56"/>
      <c r="BE2371" s="56"/>
      <c r="BF2371" s="107" t="str">
        <f t="shared" si="1824"/>
        <v>https://www.google.com/search?tbm=isch&amp;q=3%20G2</v>
      </c>
      <c r="BG2371" s="107" t="str">
        <f t="shared" si="1825"/>
        <v>M</v>
      </c>
      <c r="BH2371" s="254"/>
      <c r="BI2371" s="254"/>
    </row>
    <row r="2372" spans="1:61" customFormat="1" ht="17.25" thickBot="1" x14ac:dyDescent="0.3">
      <c r="A2372" s="522" t="s">
        <v>3955</v>
      </c>
      <c r="B2372" s="491"/>
      <c r="C2372" s="675"/>
      <c r="D2372" s="491"/>
      <c r="E2372" s="491"/>
      <c r="F2372" s="492"/>
      <c r="G2372" s="493"/>
      <c r="H2372" s="491"/>
      <c r="I2372" s="234"/>
      <c r="J2372" s="234"/>
      <c r="K2372" s="494"/>
      <c r="L2372" s="543"/>
      <c r="M2372" s="561"/>
      <c r="N2372" s="495"/>
      <c r="O2372" s="496"/>
      <c r="P2372" s="497"/>
      <c r="Q2372" s="495"/>
      <c r="R2372" s="495"/>
      <c r="S2372" s="667" t="s">
        <v>4982</v>
      </c>
      <c r="T2372" s="508">
        <f t="shared" si="1813"/>
        <v>0</v>
      </c>
      <c r="U2372" s="225" t="str">
        <f>IF(NOT(ISNUMBER(G2372)), "", VLOOKUP(A2372,'Discount Lookup'!D:E,2,FALSE)*G2372)</f>
        <v/>
      </c>
      <c r="V2372" s="225" t="str">
        <f>IF(NOT(ISNUMBER(G2372)), "", VLOOKUP(A2372,'Discount Lookup'!G:H,2,FALSE)*G2372)</f>
        <v/>
      </c>
      <c r="W2372" s="508">
        <f t="shared" si="1814"/>
        <v>0</v>
      </c>
      <c r="X2372" s="508">
        <f t="shared" si="1815"/>
        <v>0</v>
      </c>
      <c r="Y2372" s="509" t="b">
        <f t="shared" si="1816"/>
        <v>0</v>
      </c>
      <c r="Z2372" s="510">
        <f t="shared" si="1817"/>
        <v>0</v>
      </c>
      <c r="AA2372" s="511"/>
      <c r="AB2372" s="511" t="str">
        <f t="shared" si="1818"/>
        <v/>
      </c>
      <c r="AC2372" s="698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698"/>
      <c r="AE2372" s="631" t="str">
        <f t="shared" si="1819"/>
        <v/>
      </c>
      <c r="AF2372" s="699" t="str">
        <f t="shared" si="1820"/>
        <v/>
      </c>
      <c r="AG2372" s="699"/>
      <c r="AH2372" s="699"/>
      <c r="AI2372" s="512">
        <f>IF(H2372="credit",0,IF(AE2372="free",0,IF(AE2372="me",0,IF(G2372&gt;0,(VLOOKUP(A2372,'Discount Lookup'!J:K,2)*G2372),0))))</f>
        <v>0</v>
      </c>
      <c r="AJ2372" s="513" t="str">
        <f t="shared" ca="1" si="1821"/>
        <v/>
      </c>
      <c r="AK2372" s="700" t="str">
        <f t="shared" si="1822"/>
        <v/>
      </c>
      <c r="AL2372" s="700"/>
      <c r="AM2372" s="505" t="str">
        <f t="shared" si="1823"/>
        <v/>
      </c>
      <c r="AN2372" s="506"/>
      <c r="AO2372" s="507"/>
      <c r="AP2372" s="507"/>
      <c r="AQ2372" s="507"/>
      <c r="AR2372" s="507"/>
      <c r="AS2372" s="507"/>
      <c r="AT2372" s="507"/>
      <c r="AU2372" s="507"/>
      <c r="AV2372" s="225"/>
      <c r="AW2372" s="508"/>
      <c r="AX2372" s="225"/>
      <c r="AY2372" s="225"/>
      <c r="AZ2372" s="225"/>
      <c r="BA2372" s="225"/>
      <c r="BB2372" s="225"/>
      <c r="BC2372" s="56"/>
      <c r="BD2372" s="56"/>
      <c r="BE2372" s="56"/>
      <c r="BF2372" s="107" t="str">
        <f t="shared" si="1824"/>
        <v>https://www.google.com/search?tbm=isch&amp;q=Margarita%20is%20notable%20for%20its%20excellent%20cold%20hardiness.%20Fragrant%2C%20somewhat%20larger%2C%20trumpet-shaped%20flowers%20appear%20in%20early%20spring%20</v>
      </c>
      <c r="BG2372" s="107" t="str">
        <f t="shared" si="1825"/>
        <v>M</v>
      </c>
      <c r="BH2372" s="254"/>
      <c r="BI2372" s="254"/>
    </row>
    <row r="2373" spans="1:61" customFormat="1" ht="18" x14ac:dyDescent="0.25">
      <c r="A2373" s="523" t="s">
        <v>1310</v>
      </c>
      <c r="B2373" s="235"/>
      <c r="C2373" s="676"/>
      <c r="D2373" s="255" t="s">
        <v>1311</v>
      </c>
      <c r="E2373" s="236"/>
      <c r="F2373" s="236"/>
      <c r="G2373" s="236"/>
      <c r="H2373" s="582" t="s">
        <v>873</v>
      </c>
      <c r="I2373" s="498" t="s">
        <v>2223</v>
      </c>
      <c r="J2373" s="237"/>
      <c r="K2373" s="237"/>
      <c r="L2373" s="274"/>
      <c r="M2373" s="668" t="s">
        <v>4962</v>
      </c>
      <c r="N2373" s="681" t="str">
        <f>IF(AND(ISTEXT($A2373), ISERROR($A2373+0)), HYPERLINK($BF2373, "Images"), "")</f>
        <v>Images</v>
      </c>
      <c r="O2373" s="663" t="s">
        <v>4969</v>
      </c>
      <c r="P2373" s="253"/>
      <c r="Q2373" s="238"/>
      <c r="R2373" s="239"/>
      <c r="S2373" s="275"/>
      <c r="T2373" s="508">
        <f t="shared" si="1813"/>
        <v>0</v>
      </c>
      <c r="U2373" s="225" t="str">
        <f>IF(NOT(ISNUMBER(G2373)), "", VLOOKUP(A2373,'Discount Lookup'!D:E,2,FALSE)*G2373)</f>
        <v/>
      </c>
      <c r="V2373" s="225" t="str">
        <f>IF(NOT(ISNUMBER(G2373)), "", VLOOKUP(A2373,'Discount Lookup'!G:H,2,FALSE)*G2373)</f>
        <v/>
      </c>
      <c r="W2373" s="508">
        <f t="shared" si="1814"/>
        <v>0</v>
      </c>
      <c r="X2373" s="508" t="str">
        <f t="shared" si="1815"/>
        <v>Chartreuse to Green foliage</v>
      </c>
      <c r="Y2373" s="509" t="b">
        <f t="shared" si="1816"/>
        <v>0</v>
      </c>
      <c r="Z2373" s="510">
        <f t="shared" si="1817"/>
        <v>0</v>
      </c>
      <c r="AA2373" s="511"/>
      <c r="AB2373" s="511" t="str">
        <f t="shared" si="1818"/>
        <v/>
      </c>
      <c r="AC2373" s="698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698"/>
      <c r="AE2373" s="631" t="str">
        <f t="shared" si="1819"/>
        <v/>
      </c>
      <c r="AF2373" s="699" t="str">
        <f t="shared" si="1820"/>
        <v/>
      </c>
      <c r="AG2373" s="699"/>
      <c r="AH2373" s="699"/>
      <c r="AI2373" s="512">
        <f>IF(H2373="credit",0,IF(AE2373="free",0,IF(AE2373="me",0,IF(G2373&gt;0,(VLOOKUP(A2373,'Discount Lookup'!J:K,2)*G2373),0))))</f>
        <v>0</v>
      </c>
      <c r="AJ2373" s="513" t="str">
        <f t="shared" ca="1" si="1821"/>
        <v/>
      </c>
      <c r="AK2373" s="700" t="str">
        <f t="shared" si="1822"/>
        <v/>
      </c>
      <c r="AL2373" s="700"/>
      <c r="AM2373" s="505" t="str">
        <f t="shared" si="1823"/>
        <v/>
      </c>
      <c r="AN2373" s="506"/>
      <c r="AO2373" s="507"/>
      <c r="AP2373" s="507"/>
      <c r="AQ2373" s="507"/>
      <c r="AR2373" s="507"/>
      <c r="AS2373" s="507"/>
      <c r="AT2373" s="507"/>
      <c r="AU2373" s="507"/>
      <c r="AV2373" s="225"/>
      <c r="AW2373" s="508"/>
      <c r="AX2373" s="225"/>
      <c r="AY2373" s="225"/>
      <c r="AZ2373" s="225"/>
      <c r="BA2373" s="225"/>
      <c r="BB2373" s="225"/>
      <c r="BC2373" s="56"/>
      <c r="BD2373" s="56"/>
      <c r="BE2373" s="56"/>
      <c r="BF2373" s="107" t="str">
        <f t="shared" si="1824"/>
        <v>https://www.google.com/search?tbm=isch&amp;q=Mariken%20Dwarf%20Ginkgo%20Ginkgo%20biloba%20%27Mariken%27</v>
      </c>
      <c r="BG2373" s="107" t="str">
        <f t="shared" si="1825"/>
        <v>M</v>
      </c>
      <c r="BH2373" s="254"/>
      <c r="BI2373" s="254"/>
    </row>
    <row r="2374" spans="1:61" customFormat="1" ht="15.75" x14ac:dyDescent="0.25">
      <c r="A2374" s="276">
        <v>7</v>
      </c>
      <c r="B2374" s="240" t="s">
        <v>291</v>
      </c>
      <c r="C2374" s="241" t="s">
        <v>3632</v>
      </c>
      <c r="D2374" s="242" t="s">
        <v>292</v>
      </c>
      <c r="E2374" s="243">
        <v>160.94999999999999</v>
      </c>
      <c r="F2374" s="517" t="s">
        <v>293</v>
      </c>
      <c r="G2374" s="232">
        <v>0</v>
      </c>
      <c r="H2374" s="661" t="str">
        <f>IF(G2374=0,"",IF(F2374="Buy",IF(G2374=1,"plant","plants"),IF(F2374&gt;0.01,"warranty","Error")))</f>
        <v/>
      </c>
      <c r="I2374" s="244">
        <f>IF(H2374="free",0,IF(H2374="credit",((E2374*(F2374))*G2374*-1),IF(F2374="Buy",(E2374*G2374),((E2374*(1-F2374))*G2374))))</f>
        <v>0</v>
      </c>
      <c r="J2374" s="244">
        <f>IF(H2374="warranty",0,(I2374*(_xlfn.SINGLE(SalesTaxPercentage))))</f>
        <v>0</v>
      </c>
      <c r="K2374" s="696">
        <f t="shared" ref="K2374" si="1851">I2374+J2374</f>
        <v>0</v>
      </c>
      <c r="L2374" s="696"/>
      <c r="M2374" s="659" t="str">
        <f>IF(AND(G2374&gt;0,E2374=0),"WARNING - no PRICE inserted",IF(H2374="free"," FREE ~ no charge this plant",IF(H2374="credit",CONCATENATE(" -$",ROUND(K2374*(1-T2GDiscount)*-1,2)," CREDIT after discount"),IF(T2GDiscount=0,"",IF(G2374=0,"",IF(F2374="Buy",CONCATENATE(" $",ROUND(K2374*(1-T2GDiscount),2)," with ",(T2GDiscount*100),"% discount"),CONCATENATE(" $",ROUND(K2374*(1-T2GDiscount),2)," with ",((T2GDiscount*100+F2374*100)-(T2GDiscount*100*F2374)),IF(F2374&gt;0,"% discounts",IF(NoWarrantyDiscount&gt;0,"% discounts","% discount")))))))))</f>
        <v/>
      </c>
      <c r="N2374" s="660"/>
      <c r="O2374" s="233"/>
      <c r="P2374" s="233"/>
      <c r="Q2374" s="233"/>
      <c r="R2374" s="233"/>
      <c r="S2374" s="233"/>
      <c r="T2374" s="508">
        <f t="shared" si="1813"/>
        <v>0</v>
      </c>
      <c r="U2374" s="225">
        <f>IF(NOT(ISNUMBER(G2374)), "", VLOOKUP(A2374,'Discount Lookup'!D:E,2,FALSE)*G2374)</f>
        <v>0</v>
      </c>
      <c r="V2374" s="225">
        <f>IF(NOT(ISNUMBER(G2374)), "", VLOOKUP(A2374,'Discount Lookup'!G:H,2,FALSE)*G2374)</f>
        <v>0</v>
      </c>
      <c r="W2374" s="508">
        <f t="shared" si="1814"/>
        <v>0</v>
      </c>
      <c r="X2374" s="508">
        <f t="shared" si="1815"/>
        <v>0</v>
      </c>
      <c r="Y2374" s="509" t="b">
        <f t="shared" si="1816"/>
        <v>0</v>
      </c>
      <c r="Z2374" s="510">
        <f t="shared" si="1817"/>
        <v>0</v>
      </c>
      <c r="AA2374" s="511"/>
      <c r="AB2374" s="511" t="str">
        <f t="shared" si="1818"/>
        <v/>
      </c>
      <c r="AC2374" s="698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698"/>
      <c r="AE2374" s="631" t="str">
        <f t="shared" si="1819"/>
        <v/>
      </c>
      <c r="AF2374" s="699" t="str">
        <f t="shared" si="1820"/>
        <v/>
      </c>
      <c r="AG2374" s="699"/>
      <c r="AH2374" s="699"/>
      <c r="AI2374" s="512">
        <f>IF(H2374="credit",0,IF(AE2374="free",0,IF(AE2374="me",0,IF(G2374&gt;0,(VLOOKUP(A2374,'Discount Lookup'!J:K,2)*G2374),0))))</f>
        <v>0</v>
      </c>
      <c r="AJ2374" s="513" t="str">
        <f t="shared" ca="1" si="1821"/>
        <v/>
      </c>
      <c r="AK2374" s="700" t="str">
        <f t="shared" si="1822"/>
        <v/>
      </c>
      <c r="AL2374" s="700"/>
      <c r="AM2374" s="505" t="str">
        <f t="shared" si="1823"/>
        <v/>
      </c>
      <c r="AN2374" s="506"/>
      <c r="AO2374" s="507"/>
      <c r="AP2374" s="507"/>
      <c r="AQ2374" s="507"/>
      <c r="AR2374" s="507"/>
      <c r="AS2374" s="507"/>
      <c r="AT2374" s="507"/>
      <c r="AU2374" s="507"/>
      <c r="AV2374" s="225"/>
      <c r="AW2374" s="508"/>
      <c r="AX2374" s="225"/>
      <c r="AY2374" s="225"/>
      <c r="AZ2374" s="225"/>
      <c r="BA2374" s="225"/>
      <c r="BB2374" s="225"/>
      <c r="BC2374" s="56"/>
      <c r="BD2374" s="56"/>
      <c r="BE2374" s="56"/>
      <c r="BF2374" s="107" t="str">
        <f t="shared" si="1824"/>
        <v>https://www.google.com/search?tbm=isch&amp;q=7%20G4</v>
      </c>
      <c r="BG2374" s="107" t="str">
        <f t="shared" si="1825"/>
        <v>M</v>
      </c>
      <c r="BH2374" s="254"/>
      <c r="BI2374" s="254"/>
    </row>
    <row r="2375" spans="1:61" customFormat="1" ht="17.25" thickBot="1" x14ac:dyDescent="0.3">
      <c r="A2375" s="524" t="s">
        <v>2433</v>
      </c>
      <c r="B2375" s="245"/>
      <c r="C2375" s="677"/>
      <c r="D2375" s="499"/>
      <c r="E2375" s="499"/>
      <c r="F2375" s="500"/>
      <c r="G2375" s="501"/>
      <c r="H2375" s="502"/>
      <c r="I2375" s="246"/>
      <c r="J2375" s="247"/>
      <c r="K2375" s="503"/>
      <c r="L2375" s="544"/>
      <c r="M2375" s="544"/>
      <c r="N2375" s="500"/>
      <c r="O2375" s="500"/>
      <c r="P2375" s="500"/>
      <c r="Q2375" s="500"/>
      <c r="R2375" s="500"/>
      <c r="S2375" s="669" t="s">
        <v>4993</v>
      </c>
      <c r="T2375" s="508">
        <f t="shared" si="1813"/>
        <v>0</v>
      </c>
      <c r="U2375" s="225" t="str">
        <f>IF(NOT(ISNUMBER(G2375)), "", VLOOKUP(A2375,'Discount Lookup'!D:E,2,FALSE)*G2375)</f>
        <v/>
      </c>
      <c r="V2375" s="225" t="str">
        <f>IF(NOT(ISNUMBER(G2375)), "", VLOOKUP(A2375,'Discount Lookup'!G:H,2,FALSE)*G2375)</f>
        <v/>
      </c>
      <c r="W2375" s="508">
        <f t="shared" si="1814"/>
        <v>0</v>
      </c>
      <c r="X2375" s="508">
        <f t="shared" si="1815"/>
        <v>0</v>
      </c>
      <c r="Y2375" s="509" t="b">
        <f t="shared" si="1816"/>
        <v>0</v>
      </c>
      <c r="Z2375" s="510">
        <f t="shared" si="1817"/>
        <v>0</v>
      </c>
      <c r="AA2375" s="511"/>
      <c r="AB2375" s="511" t="str">
        <f t="shared" si="1818"/>
        <v/>
      </c>
      <c r="AC2375" s="698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698"/>
      <c r="AE2375" s="631" t="str">
        <f t="shared" si="1819"/>
        <v/>
      </c>
      <c r="AF2375" s="699" t="str">
        <f t="shared" si="1820"/>
        <v/>
      </c>
      <c r="AG2375" s="699"/>
      <c r="AH2375" s="699"/>
      <c r="AI2375" s="512">
        <f>IF(H2375="credit",0,IF(AE2375="free",0,IF(AE2375="me",0,IF(G2375&gt;0,(VLOOKUP(A2375,'Discount Lookup'!J:K,2)*G2375),0))))</f>
        <v>0</v>
      </c>
      <c r="AJ2375" s="513" t="str">
        <f t="shared" ca="1" si="1821"/>
        <v/>
      </c>
      <c r="AK2375" s="700" t="str">
        <f t="shared" si="1822"/>
        <v/>
      </c>
      <c r="AL2375" s="700"/>
      <c r="AM2375" s="505" t="str">
        <f t="shared" si="1823"/>
        <v/>
      </c>
      <c r="AN2375" s="506"/>
      <c r="AO2375" s="507"/>
      <c r="AP2375" s="507"/>
      <c r="AQ2375" s="507"/>
      <c r="AR2375" s="507"/>
      <c r="AS2375" s="507"/>
      <c r="AT2375" s="507"/>
      <c r="AU2375" s="507"/>
      <c r="AV2375" s="225"/>
      <c r="AW2375" s="508"/>
      <c r="AX2375" s="225"/>
      <c r="AY2375" s="225"/>
      <c r="AZ2375" s="225"/>
      <c r="BA2375" s="225"/>
      <c r="BB2375" s="225"/>
      <c r="BC2375" s="56"/>
      <c r="BD2375" s="56"/>
      <c r="BE2375" s="56"/>
      <c r="BF2375" s="107" t="str">
        <f t="shared" si="1824"/>
        <v>https://www.google.com/search?tbm=isch&amp;q=Mariken%20Dwarf%20are%20all%20male%2C%20so%20no%20messy%20fruit.%20Distinctive%20fan-shpaed%20leaves%20and%20great%20Golden%20fall%20color%20</v>
      </c>
      <c r="BG2375" s="107" t="str">
        <f t="shared" si="1825"/>
        <v>M</v>
      </c>
      <c r="BH2375" s="254"/>
      <c r="BI2375" s="254"/>
    </row>
    <row r="2376" spans="1:61" customFormat="1" ht="18" x14ac:dyDescent="0.25">
      <c r="A2376" s="523" t="s">
        <v>5450</v>
      </c>
      <c r="B2376" s="235"/>
      <c r="C2376" s="676"/>
      <c r="D2376" s="255" t="s">
        <v>1312</v>
      </c>
      <c r="E2376" s="236"/>
      <c r="F2376" s="236"/>
      <c r="G2376" s="236"/>
      <c r="H2376" s="582" t="s">
        <v>1305</v>
      </c>
      <c r="I2376" s="498" t="s">
        <v>1313</v>
      </c>
      <c r="J2376" s="237"/>
      <c r="K2376" s="237"/>
      <c r="L2376" s="274"/>
      <c r="M2376" s="668" t="s">
        <v>4975</v>
      </c>
      <c r="N2376" s="681" t="str">
        <f>IF(AND(ISTEXT($A2376), ISERROR($A2376+0)), HYPERLINK($BF2376, "Images"), "")</f>
        <v>Images</v>
      </c>
      <c r="O2376" s="663" t="s">
        <v>4969</v>
      </c>
      <c r="P2376" s="253"/>
      <c r="Q2376" s="238"/>
      <c r="R2376" s="239"/>
      <c r="S2376" s="275"/>
      <c r="T2376" s="508">
        <f t="shared" si="1813"/>
        <v>0</v>
      </c>
      <c r="U2376" s="225" t="str">
        <f>IF(NOT(ISNUMBER(G2376)), "", VLOOKUP(A2376,'Discount Lookup'!D:E,2,FALSE)*G2376)</f>
        <v/>
      </c>
      <c r="V2376" s="225" t="str">
        <f>IF(NOT(ISNUMBER(G2376)), "", VLOOKUP(A2376,'Discount Lookup'!G:H,2,FALSE)*G2376)</f>
        <v/>
      </c>
      <c r="W2376" s="508">
        <f t="shared" si="1814"/>
        <v>0</v>
      </c>
      <c r="X2376" s="508" t="str">
        <f t="shared" si="1815"/>
        <v>Pale Pink bloom</v>
      </c>
      <c r="Y2376" s="509" t="b">
        <f t="shared" si="1816"/>
        <v>0</v>
      </c>
      <c r="Z2376" s="510">
        <f t="shared" si="1817"/>
        <v>0</v>
      </c>
      <c r="AA2376" s="511"/>
      <c r="AB2376" s="511" t="str">
        <f t="shared" si="1818"/>
        <v/>
      </c>
      <c r="AC2376" s="698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698"/>
      <c r="AE2376" s="631" t="str">
        <f t="shared" si="1819"/>
        <v/>
      </c>
      <c r="AF2376" s="699" t="str">
        <f t="shared" si="1820"/>
        <v/>
      </c>
      <c r="AG2376" s="699"/>
      <c r="AH2376" s="699"/>
      <c r="AI2376" s="512">
        <f>IF(H2376="credit",0,IF(AE2376="free",0,IF(AE2376="me",0,IF(G2376&gt;0,(VLOOKUP(A2376,'Discount Lookup'!J:K,2)*G2376),0))))</f>
        <v>0</v>
      </c>
      <c r="AJ2376" s="513" t="str">
        <f t="shared" ca="1" si="1821"/>
        <v/>
      </c>
      <c r="AK2376" s="700" t="str">
        <f t="shared" si="1822"/>
        <v/>
      </c>
      <c r="AL2376" s="700"/>
      <c r="AM2376" s="505" t="str">
        <f t="shared" si="1823"/>
        <v/>
      </c>
      <c r="AN2376" s="506"/>
      <c r="AO2376" s="507"/>
      <c r="AP2376" s="507"/>
      <c r="AQ2376" s="507"/>
      <c r="AR2376" s="507"/>
      <c r="AS2376" s="507"/>
      <c r="AT2376" s="507"/>
      <c r="AU2376" s="507"/>
      <c r="AV2376" s="225"/>
      <c r="AW2376" s="508"/>
      <c r="AX2376" s="225"/>
      <c r="AY2376" s="225"/>
      <c r="AZ2376" s="225"/>
      <c r="BA2376" s="225"/>
      <c r="BB2376" s="225"/>
      <c r="BC2376" s="56"/>
      <c r="BD2376" s="56"/>
      <c r="BE2376" s="56"/>
      <c r="BF2376" s="107" t="str">
        <f t="shared" si="1824"/>
        <v>https://www.google.com/search?tbm=isch&amp;q=Marley%27s%20Pink%20Parasol%C2%AE%20Japanese%20Snowbell%20Styrax%20japonicus%20%27JLWeeping%27%20PP%2323755</v>
      </c>
      <c r="BG2376" s="107" t="str">
        <f t="shared" si="1825"/>
        <v>M</v>
      </c>
      <c r="BH2376" s="254"/>
      <c r="BI2376" s="254"/>
    </row>
    <row r="2377" spans="1:61" customFormat="1" ht="15.75" x14ac:dyDescent="0.25">
      <c r="A2377" s="276">
        <v>7</v>
      </c>
      <c r="B2377" s="240" t="s">
        <v>291</v>
      </c>
      <c r="C2377" s="241" t="s">
        <v>3633</v>
      </c>
      <c r="D2377" s="242" t="s">
        <v>292</v>
      </c>
      <c r="E2377" s="243">
        <v>169.95</v>
      </c>
      <c r="F2377" s="517" t="s">
        <v>293</v>
      </c>
      <c r="G2377" s="232">
        <v>0</v>
      </c>
      <c r="H2377" s="661" t="str">
        <f>IF(G2377=0,"",IF(F2377="Buy",IF(G2377=1,"plant","plants"),IF(F2377&gt;0.01,"warranty","Error")))</f>
        <v/>
      </c>
      <c r="I2377" s="244">
        <f>IF(H2377="free",0,IF(H2377="credit",((E2377*(F2377))*G2377*-1),IF(F2377="Buy",(E2377*G2377),((E2377*(1-F2377))*G2377))))</f>
        <v>0</v>
      </c>
      <c r="J2377" s="244">
        <f>IF(H2377="warranty",0,(I2377*(_xlfn.SINGLE(SalesTaxPercentage))))</f>
        <v>0</v>
      </c>
      <c r="K2377" s="696">
        <f t="shared" ref="K2377" si="1852">I2377+J2377</f>
        <v>0</v>
      </c>
      <c r="L2377" s="696"/>
      <c r="M2377" s="659" t="str">
        <f>IF(AND(G2377&gt;0,E2377=0),"WARNING - no PRICE inserted",IF(H2377="free"," FREE ~ no charge this plant",IF(H2377="credit",CONCATENATE(" -$",ROUND(K2377*(1-T2GDiscount)*-1,2)," CREDIT after discount"),IF(T2GDiscount=0,"",IF(G2377=0,"",IF(F2377="Buy",CONCATENATE(" $",ROUND(K2377*(1-T2GDiscount),2)," with ",(T2GDiscount*100),"% discount"),CONCATENATE(" $",ROUND(K2377*(1-T2GDiscount),2)," with ",((T2GDiscount*100+F2377*100)-(T2GDiscount*100*F2377)),IF(F2377&gt;0,"% discounts",IF(NoWarrantyDiscount&gt;0,"% discounts","% discount")))))))))</f>
        <v/>
      </c>
      <c r="N2377" s="660"/>
      <c r="O2377" s="233"/>
      <c r="P2377" s="233"/>
      <c r="Q2377" s="233"/>
      <c r="R2377" s="233"/>
      <c r="S2377" s="233"/>
      <c r="T2377" s="508">
        <f t="shared" si="1813"/>
        <v>0</v>
      </c>
      <c r="U2377" s="225">
        <f>IF(NOT(ISNUMBER(G2377)), "", VLOOKUP(A2377,'Discount Lookup'!D:E,2,FALSE)*G2377)</f>
        <v>0</v>
      </c>
      <c r="V2377" s="225">
        <f>IF(NOT(ISNUMBER(G2377)), "", VLOOKUP(A2377,'Discount Lookup'!G:H,2,FALSE)*G2377)</f>
        <v>0</v>
      </c>
      <c r="W2377" s="508">
        <f t="shared" si="1814"/>
        <v>0</v>
      </c>
      <c r="X2377" s="508">
        <f t="shared" si="1815"/>
        <v>0</v>
      </c>
      <c r="Y2377" s="509" t="b">
        <f t="shared" si="1816"/>
        <v>0</v>
      </c>
      <c r="Z2377" s="510">
        <f t="shared" si="1817"/>
        <v>0</v>
      </c>
      <c r="AA2377" s="511"/>
      <c r="AB2377" s="511" t="str">
        <f t="shared" si="1818"/>
        <v/>
      </c>
      <c r="AC2377" s="698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698"/>
      <c r="AE2377" s="631" t="str">
        <f t="shared" si="1819"/>
        <v/>
      </c>
      <c r="AF2377" s="699" t="str">
        <f t="shared" si="1820"/>
        <v/>
      </c>
      <c r="AG2377" s="699"/>
      <c r="AH2377" s="699"/>
      <c r="AI2377" s="512">
        <f>IF(H2377="credit",0,IF(AE2377="free",0,IF(AE2377="me",0,IF(G2377&gt;0,(VLOOKUP(A2377,'Discount Lookup'!J:K,2)*G2377),0))))</f>
        <v>0</v>
      </c>
      <c r="AJ2377" s="513" t="str">
        <f t="shared" ca="1" si="1821"/>
        <v/>
      </c>
      <c r="AK2377" s="700" t="str">
        <f t="shared" si="1822"/>
        <v/>
      </c>
      <c r="AL2377" s="700"/>
      <c r="AM2377" s="505" t="str">
        <f t="shared" si="1823"/>
        <v/>
      </c>
      <c r="AN2377" s="506"/>
      <c r="AO2377" s="507"/>
      <c r="AP2377" s="507"/>
      <c r="AQ2377" s="507"/>
      <c r="AR2377" s="507"/>
      <c r="AS2377" s="507"/>
      <c r="AT2377" s="507"/>
      <c r="AU2377" s="507"/>
      <c r="AV2377" s="225"/>
      <c r="AW2377" s="508"/>
      <c r="AX2377" s="225"/>
      <c r="AY2377" s="225"/>
      <c r="AZ2377" s="225"/>
      <c r="BA2377" s="225"/>
      <c r="BB2377" s="225"/>
      <c r="BC2377" s="56"/>
      <c r="BD2377" s="56"/>
      <c r="BE2377" s="56"/>
      <c r="BF2377" s="107" t="str">
        <f t="shared" si="1824"/>
        <v>https://www.google.com/search?tbm=isch&amp;q=7%20G4</v>
      </c>
      <c r="BG2377" s="107" t="str">
        <f t="shared" si="1825"/>
        <v>M</v>
      </c>
      <c r="BH2377" s="254"/>
      <c r="BI2377" s="254"/>
    </row>
    <row r="2378" spans="1:61" customFormat="1" ht="15.75" x14ac:dyDescent="0.25">
      <c r="A2378" s="276">
        <v>10</v>
      </c>
      <c r="B2378" s="240" t="s">
        <v>291</v>
      </c>
      <c r="C2378" s="241" t="s">
        <v>3634</v>
      </c>
      <c r="D2378" s="242" t="s">
        <v>292</v>
      </c>
      <c r="E2378" s="243">
        <v>187.95</v>
      </c>
      <c r="F2378" s="517" t="s">
        <v>293</v>
      </c>
      <c r="G2378" s="232">
        <v>0</v>
      </c>
      <c r="H2378" s="661" t="str">
        <f>IF(G2378=0,"",IF(F2378="Buy",IF(G2378=1,"plant","plants"),IF(F2378&gt;0.01,"warranty","Error")))</f>
        <v/>
      </c>
      <c r="I2378" s="244">
        <f>IF(H2378="free",0,IF(H2378="credit",((E2378*(F2378))*G2378*-1),IF(F2378="Buy",(E2378*G2378),((E2378*(1-F2378))*G2378))))</f>
        <v>0</v>
      </c>
      <c r="J2378" s="244">
        <f>IF(H2378="warranty",0,(I2378*(_xlfn.SINGLE(SalesTaxPercentage))))</f>
        <v>0</v>
      </c>
      <c r="K2378" s="696">
        <f t="shared" ref="K2378" si="1853">I2378+J2378</f>
        <v>0</v>
      </c>
      <c r="L2378" s="696"/>
      <c r="M2378" s="659" t="str">
        <f>IF(AND(G2378&gt;0,E2378=0),"WARNING - no PRICE inserted",IF(H2378="free"," FREE ~ no charge this plant",IF(H2378="credit",CONCATENATE(" -$",ROUND(K2378*(1-T2GDiscount)*-1,2)," CREDIT after discount"),IF(T2GDiscount=0,"",IF(G2378=0,"",IF(F2378="Buy",CONCATENATE(" $",ROUND(K2378*(1-T2GDiscount),2)," with ",(T2GDiscount*100),"% discount"),CONCATENATE(" $",ROUND(K2378*(1-T2GDiscount),2)," with ",((T2GDiscount*100+F2378*100)-(T2GDiscount*100*F2378)),IF(F2378&gt;0,"% discounts",IF(NoWarrantyDiscount&gt;0,"% discounts","% discount")))))))))</f>
        <v/>
      </c>
      <c r="N2378" s="660"/>
      <c r="O2378" s="233"/>
      <c r="P2378" s="233"/>
      <c r="Q2378" s="233"/>
      <c r="R2378" s="233"/>
      <c r="S2378" s="233"/>
      <c r="T2378" s="508">
        <f t="shared" si="1813"/>
        <v>0</v>
      </c>
      <c r="U2378" s="225">
        <f>IF(NOT(ISNUMBER(G2378)), "", VLOOKUP(A2378,'Discount Lookup'!D:E,2,FALSE)*G2378)</f>
        <v>0</v>
      </c>
      <c r="V2378" s="225">
        <f>IF(NOT(ISNUMBER(G2378)), "", VLOOKUP(A2378,'Discount Lookup'!G:H,2,FALSE)*G2378)</f>
        <v>0</v>
      </c>
      <c r="W2378" s="508">
        <f t="shared" si="1814"/>
        <v>0</v>
      </c>
      <c r="X2378" s="508">
        <f t="shared" si="1815"/>
        <v>0</v>
      </c>
      <c r="Y2378" s="509" t="b">
        <f t="shared" si="1816"/>
        <v>0</v>
      </c>
      <c r="Z2378" s="510">
        <f t="shared" si="1817"/>
        <v>0</v>
      </c>
      <c r="AA2378" s="511"/>
      <c r="AB2378" s="511" t="str">
        <f t="shared" si="1818"/>
        <v/>
      </c>
      <c r="AC2378" s="698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698"/>
      <c r="AE2378" s="631" t="str">
        <f t="shared" si="1819"/>
        <v/>
      </c>
      <c r="AF2378" s="699" t="str">
        <f t="shared" si="1820"/>
        <v/>
      </c>
      <c r="AG2378" s="699"/>
      <c r="AH2378" s="699"/>
      <c r="AI2378" s="512">
        <f>IF(H2378="credit",0,IF(AE2378="free",0,IF(AE2378="me",0,IF(G2378&gt;0,(VLOOKUP(A2378,'Discount Lookup'!J:K,2)*G2378),0))))</f>
        <v>0</v>
      </c>
      <c r="AJ2378" s="513" t="str">
        <f t="shared" ca="1" si="1821"/>
        <v/>
      </c>
      <c r="AK2378" s="700" t="str">
        <f t="shared" si="1822"/>
        <v/>
      </c>
      <c r="AL2378" s="700"/>
      <c r="AM2378" s="505" t="str">
        <f t="shared" si="1823"/>
        <v/>
      </c>
      <c r="AN2378" s="506"/>
      <c r="AO2378" s="507"/>
      <c r="AP2378" s="507"/>
      <c r="AQ2378" s="507"/>
      <c r="AR2378" s="507"/>
      <c r="AS2378" s="507"/>
      <c r="AT2378" s="507"/>
      <c r="AU2378" s="507"/>
      <c r="AV2378" s="225"/>
      <c r="AW2378" s="508"/>
      <c r="AX2378" s="225"/>
      <c r="AY2378" s="225"/>
      <c r="AZ2378" s="225"/>
      <c r="BA2378" s="225"/>
      <c r="BB2378" s="225"/>
      <c r="BC2378" s="56"/>
      <c r="BD2378" s="56"/>
      <c r="BE2378" s="56"/>
      <c r="BF2378" s="107" t="str">
        <f t="shared" si="1824"/>
        <v>https://www.google.com/search?tbm=isch&amp;q=10%20G4</v>
      </c>
      <c r="BG2378" s="107" t="str">
        <f t="shared" si="1825"/>
        <v>M</v>
      </c>
      <c r="BH2378" s="254"/>
      <c r="BI2378" s="254"/>
    </row>
    <row r="2379" spans="1:61" customFormat="1" ht="15.75" x14ac:dyDescent="0.25">
      <c r="A2379" s="276">
        <v>15</v>
      </c>
      <c r="B2379" s="240" t="s">
        <v>291</v>
      </c>
      <c r="C2379" s="241" t="s">
        <v>3635</v>
      </c>
      <c r="D2379" s="242" t="s">
        <v>292</v>
      </c>
      <c r="E2379" s="243">
        <v>263.95</v>
      </c>
      <c r="F2379" s="517" t="s">
        <v>293</v>
      </c>
      <c r="G2379" s="232">
        <v>0</v>
      </c>
      <c r="H2379" s="661" t="str">
        <f>IF(G2379=0,"",IF(F2379="Buy",IF(G2379=1,"plant","plants"),IF(F2379&gt;0.01,"warranty","Error")))</f>
        <v/>
      </c>
      <c r="I2379" s="244">
        <f>IF(H2379="free",0,IF(H2379="credit",((E2379*(F2379))*G2379*-1),IF(F2379="Buy",(E2379*G2379),((E2379*(1-F2379))*G2379))))</f>
        <v>0</v>
      </c>
      <c r="J2379" s="244">
        <f>IF(H2379="warranty",0,(I2379*(_xlfn.SINGLE(SalesTaxPercentage))))</f>
        <v>0</v>
      </c>
      <c r="K2379" s="696">
        <f t="shared" ref="K2379" si="1854">I2379+J2379</f>
        <v>0</v>
      </c>
      <c r="L2379" s="696"/>
      <c r="M2379" s="659" t="str">
        <f>IF(AND(G2379&gt;0,E2379=0),"WARNING - no PRICE inserted",IF(H2379="free"," FREE ~ no charge this plant",IF(H2379="credit",CONCATENATE(" -$",ROUND(K2379*(1-T2GDiscount)*-1,2)," CREDIT after discount"),IF(T2GDiscount=0,"",IF(G2379=0,"",IF(F2379="Buy",CONCATENATE(" $",ROUND(K2379*(1-T2GDiscount),2)," with ",(T2GDiscount*100),"% discount"),CONCATENATE(" $",ROUND(K2379*(1-T2GDiscount),2)," with ",((T2GDiscount*100+F2379*100)-(T2GDiscount*100*F2379)),IF(F2379&gt;0,"% discounts",IF(NoWarrantyDiscount&gt;0,"% discounts","% discount")))))))))</f>
        <v/>
      </c>
      <c r="N2379" s="660"/>
      <c r="O2379" s="233"/>
      <c r="P2379" s="233"/>
      <c r="Q2379" s="233"/>
      <c r="R2379" s="233"/>
      <c r="S2379" s="233"/>
      <c r="T2379" s="508">
        <f t="shared" si="1813"/>
        <v>0</v>
      </c>
      <c r="U2379" s="225">
        <f>IF(NOT(ISNUMBER(G2379)), "", VLOOKUP(A2379,'Discount Lookup'!D:E,2,FALSE)*G2379)</f>
        <v>0</v>
      </c>
      <c r="V2379" s="225">
        <f>IF(NOT(ISNUMBER(G2379)), "", VLOOKUP(A2379,'Discount Lookup'!G:H,2,FALSE)*G2379)</f>
        <v>0</v>
      </c>
      <c r="W2379" s="508">
        <f t="shared" si="1814"/>
        <v>0</v>
      </c>
      <c r="X2379" s="508">
        <f t="shared" si="1815"/>
        <v>0</v>
      </c>
      <c r="Y2379" s="509" t="b">
        <f t="shared" si="1816"/>
        <v>0</v>
      </c>
      <c r="Z2379" s="510">
        <f t="shared" si="1817"/>
        <v>0</v>
      </c>
      <c r="AA2379" s="511"/>
      <c r="AB2379" s="511" t="str">
        <f t="shared" si="1818"/>
        <v/>
      </c>
      <c r="AC2379" s="698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698"/>
      <c r="AE2379" s="631" t="str">
        <f t="shared" si="1819"/>
        <v/>
      </c>
      <c r="AF2379" s="699" t="str">
        <f t="shared" si="1820"/>
        <v/>
      </c>
      <c r="AG2379" s="699"/>
      <c r="AH2379" s="699"/>
      <c r="AI2379" s="512">
        <f>IF(H2379="credit",0,IF(AE2379="free",0,IF(AE2379="me",0,IF(G2379&gt;0,(VLOOKUP(A2379,'Discount Lookup'!J:K,2)*G2379),0))))</f>
        <v>0</v>
      </c>
      <c r="AJ2379" s="513" t="str">
        <f t="shared" ca="1" si="1821"/>
        <v/>
      </c>
      <c r="AK2379" s="700" t="str">
        <f t="shared" si="1822"/>
        <v/>
      </c>
      <c r="AL2379" s="700"/>
      <c r="AM2379" s="505" t="str">
        <f t="shared" si="1823"/>
        <v/>
      </c>
      <c r="AN2379" s="506"/>
      <c r="AO2379" s="507"/>
      <c r="AP2379" s="507"/>
      <c r="AQ2379" s="507"/>
      <c r="AR2379" s="507"/>
      <c r="AS2379" s="507"/>
      <c r="AT2379" s="507"/>
      <c r="AU2379" s="507"/>
      <c r="AV2379" s="225"/>
      <c r="AW2379" s="508"/>
      <c r="AX2379" s="225"/>
      <c r="AY2379" s="225"/>
      <c r="AZ2379" s="225"/>
      <c r="BA2379" s="225"/>
      <c r="BB2379" s="225"/>
      <c r="BC2379" s="56"/>
      <c r="BD2379" s="56"/>
      <c r="BE2379" s="56"/>
      <c r="BF2379" s="107" t="str">
        <f t="shared" si="1824"/>
        <v>https://www.google.com/search?tbm=isch&amp;q=15%20G4</v>
      </c>
      <c r="BG2379" s="107" t="str">
        <f t="shared" si="1825"/>
        <v>M</v>
      </c>
      <c r="BH2379" s="254"/>
      <c r="BI2379" s="254"/>
    </row>
    <row r="2380" spans="1:61" customFormat="1" ht="15.75" x14ac:dyDescent="0.25">
      <c r="A2380" s="276">
        <v>15</v>
      </c>
      <c r="B2380" s="240" t="s">
        <v>291</v>
      </c>
      <c r="C2380" s="241" t="s">
        <v>4006</v>
      </c>
      <c r="D2380" s="242" t="s">
        <v>299</v>
      </c>
      <c r="E2380" s="243">
        <v>287.95</v>
      </c>
      <c r="F2380" s="517" t="s">
        <v>293</v>
      </c>
      <c r="G2380" s="232">
        <v>0</v>
      </c>
      <c r="H2380" s="661" t="str">
        <f>IF(G2380=0,"",IF(F2380="Buy",IF(G2380=1,"plant","plants"),IF(F2380&gt;0.01,"warranty","Error")))</f>
        <v/>
      </c>
      <c r="I2380" s="244">
        <f>IF(H2380="free",0,IF(H2380="credit",((E2380*(F2380))*G2380*-1),IF(F2380="Buy",(E2380*G2380),((E2380*(1-F2380))*G2380))))</f>
        <v>0</v>
      </c>
      <c r="J2380" s="244">
        <f>IF(H2380="warranty",0,(I2380*(_xlfn.SINGLE(SalesTaxPercentage))))</f>
        <v>0</v>
      </c>
      <c r="K2380" s="696">
        <f t="shared" ref="K2380" si="1855">I2380+J2380</f>
        <v>0</v>
      </c>
      <c r="L2380" s="696"/>
      <c r="M2380" s="659" t="str">
        <f>IF(AND(G2380&gt;0,E2380=0),"WARNING - no PRICE inserted",IF(H2380="free"," FREE ~ no charge this plant",IF(H2380="credit",CONCATENATE(" -$",ROUND(K2380*(1-T2GDiscount)*-1,2)," CREDIT after discount"),IF(T2GDiscount=0,"",IF(G2380=0,"",IF(F2380="Buy",CONCATENATE(" $",ROUND(K2380*(1-T2GDiscount),2)," with ",(T2GDiscount*100),"% discount"),CONCATENATE(" $",ROUND(K2380*(1-T2GDiscount),2)," with ",((T2GDiscount*100+F2380*100)-(T2GDiscount*100*F2380)),IF(F2380&gt;0,"% discounts",IF(NoWarrantyDiscount&gt;0,"% discounts","% discount")))))))))</f>
        <v/>
      </c>
      <c r="N2380" s="660"/>
      <c r="O2380" s="233"/>
      <c r="P2380" s="233"/>
      <c r="Q2380" s="233"/>
      <c r="R2380" s="233"/>
      <c r="S2380" s="233"/>
      <c r="T2380" s="508">
        <f t="shared" si="1813"/>
        <v>0</v>
      </c>
      <c r="U2380" s="225">
        <f>IF(NOT(ISNUMBER(G2380)), "", VLOOKUP(A2380,'Discount Lookup'!D:E,2,FALSE)*G2380)</f>
        <v>0</v>
      </c>
      <c r="V2380" s="225">
        <f>IF(NOT(ISNUMBER(G2380)), "", VLOOKUP(A2380,'Discount Lookup'!G:H,2,FALSE)*G2380)</f>
        <v>0</v>
      </c>
      <c r="W2380" s="508">
        <f t="shared" si="1814"/>
        <v>0</v>
      </c>
      <c r="X2380" s="508">
        <f t="shared" si="1815"/>
        <v>0</v>
      </c>
      <c r="Y2380" s="509" t="b">
        <f t="shared" si="1816"/>
        <v>0</v>
      </c>
      <c r="Z2380" s="510">
        <f t="shared" si="1817"/>
        <v>0</v>
      </c>
      <c r="AA2380" s="511"/>
      <c r="AB2380" s="511" t="str">
        <f t="shared" si="1818"/>
        <v/>
      </c>
      <c r="AC2380" s="698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698"/>
      <c r="AE2380" s="631" t="str">
        <f t="shared" si="1819"/>
        <v/>
      </c>
      <c r="AF2380" s="699" t="str">
        <f t="shared" si="1820"/>
        <v/>
      </c>
      <c r="AG2380" s="699"/>
      <c r="AH2380" s="699"/>
      <c r="AI2380" s="512">
        <f>IF(H2380="credit",0,IF(AE2380="free",0,IF(AE2380="me",0,IF(G2380&gt;0,(VLOOKUP(A2380,'Discount Lookup'!J:K,2)*G2380),0))))</f>
        <v>0</v>
      </c>
      <c r="AJ2380" s="513" t="str">
        <f t="shared" ca="1" si="1821"/>
        <v/>
      </c>
      <c r="AK2380" s="700" t="str">
        <f t="shared" si="1822"/>
        <v/>
      </c>
      <c r="AL2380" s="700"/>
      <c r="AM2380" s="505" t="str">
        <f t="shared" si="1823"/>
        <v/>
      </c>
      <c r="AN2380" s="506"/>
      <c r="AO2380" s="507"/>
      <c r="AP2380" s="507"/>
      <c r="AQ2380" s="507"/>
      <c r="AR2380" s="507"/>
      <c r="AS2380" s="507"/>
      <c r="AT2380" s="507"/>
      <c r="AU2380" s="507"/>
      <c r="AV2380" s="225"/>
      <c r="AW2380" s="508"/>
      <c r="AX2380" s="225"/>
      <c r="AY2380" s="225"/>
      <c r="AZ2380" s="225"/>
      <c r="BA2380" s="225"/>
      <c r="BB2380" s="225"/>
      <c r="BC2380" s="56"/>
      <c r="BD2380" s="56"/>
      <c r="BE2380" s="56"/>
      <c r="BF2380" s="107" t="str">
        <f t="shared" si="1824"/>
        <v>https://www.google.com/search?tbm=isch&amp;q=15%20G5</v>
      </c>
      <c r="BG2380" s="107" t="str">
        <f t="shared" si="1825"/>
        <v>M</v>
      </c>
      <c r="BH2380" s="254"/>
      <c r="BI2380" s="254"/>
    </row>
    <row r="2381" spans="1:61" customFormat="1" ht="27" x14ac:dyDescent="0.25">
      <c r="A2381" s="276">
        <v>25</v>
      </c>
      <c r="B2381" s="240" t="s">
        <v>291</v>
      </c>
      <c r="C2381" s="241" t="s">
        <v>3636</v>
      </c>
      <c r="D2381" s="242" t="s">
        <v>292</v>
      </c>
      <c r="E2381" s="243">
        <v>518.95000000000005</v>
      </c>
      <c r="F2381" s="517" t="s">
        <v>293</v>
      </c>
      <c r="G2381" s="232">
        <v>0</v>
      </c>
      <c r="H2381" s="661" t="str">
        <f>IF(G2381=0,"",IF(F2381="Buy",IF(G2381=1,"plant","plants"),IF(F2381&gt;0.01,"warranty","Error")))</f>
        <v/>
      </c>
      <c r="I2381" s="244">
        <f>IF(H2381="free",0,IF(H2381="credit",((E2381*(F2381))*G2381*-1),IF(F2381="Buy",(E2381*G2381),((E2381*(1-F2381))*G2381))))</f>
        <v>0</v>
      </c>
      <c r="J2381" s="244">
        <f>IF(H2381="warranty",0,(I2381*(_xlfn.SINGLE(SalesTaxPercentage))))</f>
        <v>0</v>
      </c>
      <c r="K2381" s="696">
        <f t="shared" ref="K2381" si="1856">I2381+J2381</f>
        <v>0</v>
      </c>
      <c r="L2381" s="696"/>
      <c r="M2381" s="659" t="str">
        <f>IF(AND(G2381&gt;0,E2381=0),"WARNING - no PRICE inserted",IF(H2381="free"," FREE ~ no charge this plant",IF(H2381="credit",CONCATENATE(" -$",ROUND(K2381*(1-T2GDiscount)*-1,2)," CREDIT after discount"),IF(T2GDiscount=0,"",IF(G2381=0,"",IF(F2381="Buy",CONCATENATE(" $",ROUND(K2381*(1-T2GDiscount),2)," with ",(T2GDiscount*100),"% discount"),CONCATENATE(" $",ROUND(K2381*(1-T2GDiscount),2)," with ",((T2GDiscount*100+F2381*100)-(T2GDiscount*100*F2381)),IF(F2381&gt;0,"% discounts",IF(NoWarrantyDiscount&gt;0,"% discounts","% discount")))))))))</f>
        <v/>
      </c>
      <c r="N2381" s="660"/>
      <c r="O2381" s="233"/>
      <c r="P2381" s="233"/>
      <c r="Q2381" s="233"/>
      <c r="R2381" s="233"/>
      <c r="S2381" s="233"/>
      <c r="T2381" s="508">
        <f t="shared" si="1813"/>
        <v>0</v>
      </c>
      <c r="U2381" s="225">
        <f>IF(NOT(ISNUMBER(G2381)), "", VLOOKUP(A2381,'Discount Lookup'!D:E,2,FALSE)*G2381)</f>
        <v>0</v>
      </c>
      <c r="V2381" s="225">
        <f>IF(NOT(ISNUMBER(G2381)), "", VLOOKUP(A2381,'Discount Lookup'!G:H,2,FALSE)*G2381)</f>
        <v>0</v>
      </c>
      <c r="W2381" s="508">
        <f t="shared" si="1814"/>
        <v>0</v>
      </c>
      <c r="X2381" s="508">
        <f t="shared" si="1815"/>
        <v>0</v>
      </c>
      <c r="Y2381" s="509" t="b">
        <f t="shared" si="1816"/>
        <v>0</v>
      </c>
      <c r="Z2381" s="510">
        <f t="shared" si="1817"/>
        <v>0</v>
      </c>
      <c r="AA2381" s="511"/>
      <c r="AB2381" s="511" t="str">
        <f t="shared" si="1818"/>
        <v/>
      </c>
      <c r="AC2381" s="698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698"/>
      <c r="AE2381" s="631" t="str">
        <f t="shared" si="1819"/>
        <v/>
      </c>
      <c r="AF2381" s="699" t="str">
        <f t="shared" si="1820"/>
        <v/>
      </c>
      <c r="AG2381" s="699"/>
      <c r="AH2381" s="699"/>
      <c r="AI2381" s="512">
        <f>IF(H2381="credit",0,IF(AE2381="free",0,IF(AE2381="me",0,IF(G2381&gt;0,(VLOOKUP(A2381,'Discount Lookup'!J:K,2)*G2381),0))))</f>
        <v>0</v>
      </c>
      <c r="AJ2381" s="513" t="str">
        <f t="shared" ca="1" si="1821"/>
        <v/>
      </c>
      <c r="AK2381" s="700" t="str">
        <f t="shared" si="1822"/>
        <v/>
      </c>
      <c r="AL2381" s="700"/>
      <c r="AM2381" s="505" t="str">
        <f t="shared" si="1823"/>
        <v/>
      </c>
      <c r="AN2381" s="506"/>
      <c r="AO2381" s="507"/>
      <c r="AP2381" s="507"/>
      <c r="AQ2381" s="507"/>
      <c r="AR2381" s="507"/>
      <c r="AS2381" s="507"/>
      <c r="AT2381" s="507"/>
      <c r="AU2381" s="507"/>
      <c r="AV2381" s="225"/>
      <c r="AW2381" s="508"/>
      <c r="AX2381" s="225"/>
      <c r="AY2381" s="225"/>
      <c r="AZ2381" s="225"/>
      <c r="BA2381" s="225"/>
      <c r="BB2381" s="225"/>
      <c r="BC2381" s="56"/>
      <c r="BD2381" s="56"/>
      <c r="BE2381" s="56"/>
      <c r="BF2381" s="107" t="str">
        <f t="shared" si="1824"/>
        <v>https://www.google.com/search?tbm=isch&amp;q=25%20G4</v>
      </c>
      <c r="BG2381" s="107" t="str">
        <f t="shared" si="1825"/>
        <v>M</v>
      </c>
      <c r="BH2381" s="254"/>
      <c r="BI2381" s="254"/>
    </row>
    <row r="2382" spans="1:61" customFormat="1" ht="17.25" thickBot="1" x14ac:dyDescent="0.3">
      <c r="A2382" s="673" t="s">
        <v>5171</v>
      </c>
      <c r="B2382" s="245"/>
      <c r="C2382" s="677"/>
      <c r="D2382" s="499"/>
      <c r="E2382" s="499"/>
      <c r="F2382" s="500"/>
      <c r="G2382" s="501"/>
      <c r="H2382" s="502"/>
      <c r="I2382" s="246"/>
      <c r="J2382" s="247"/>
      <c r="K2382" s="503"/>
      <c r="L2382" s="544"/>
      <c r="M2382" s="544"/>
      <c r="N2382" s="500"/>
      <c r="O2382" s="500"/>
      <c r="P2382" s="500"/>
      <c r="Q2382" s="500"/>
      <c r="R2382" s="500"/>
      <c r="S2382" s="669" t="s">
        <v>4972</v>
      </c>
      <c r="T2382" s="508">
        <f t="shared" ref="T2382:T2445" si="1857">E2382*G2382</f>
        <v>0</v>
      </c>
      <c r="U2382" s="225" t="str">
        <f>IF(NOT(ISNUMBER(G2382)), "", VLOOKUP(A2382,'Discount Lookup'!D:E,2,FALSE)*G2382)</f>
        <v/>
      </c>
      <c r="V2382" s="225" t="str">
        <f>IF(NOT(ISNUMBER(G2382)), "", VLOOKUP(A2382,'Discount Lookup'!G:H,2,FALSE)*G2382)</f>
        <v/>
      </c>
      <c r="W2382" s="508">
        <f t="shared" ref="W2382:W2445" si="1858">IF(H2382="credit",0,E2382*(SalesTaxPercentage)*G2382)</f>
        <v>0</v>
      </c>
      <c r="X2382" s="508">
        <f t="shared" ref="X2382:X2445" si="1859">I2382</f>
        <v>0</v>
      </c>
      <c r="Y2382" s="509" t="b">
        <f t="shared" ref="Y2382:Y2445" si="1860">IF(AE2382="T2G",0,IF(H2382="credit",0,IF(G2382&gt;0,IF(AE2382="me","",G2382))))</f>
        <v>0</v>
      </c>
      <c r="Z2382" s="510">
        <f t="shared" ref="Z2382:Z2445" si="1861">IF(H2382="credit",G2382,0)</f>
        <v>0</v>
      </c>
      <c r="AA2382" s="511"/>
      <c r="AB2382" s="511" t="str">
        <f t="shared" ref="AB2382:AB2445" si="1862">IF(AE2382="T2G","by Trees2Go",IF(H2382="credit","CREDIT only ~",IF(AND(K2382="",AE2382=OR(PlanterYesMe="No",PlanterYesMe="N",PlanterYesMe="me")),"not THIS line⇨",IF(AND(K2382="images",AE2382="me"),"not THIS line⇨",IF(H2382="credit","",IF(G2382=0,"",IF(AE2382="me","",IF(OR(PlanterYesMe="No",PlanterYesMe="N",PlanterYesMe="me"),"",IF(AE2382="free","warranty",IF(OR(PlanterYesMe="yes",PlanterYesMe="y"),"Edison install:","to install:"))))))))))</f>
        <v/>
      </c>
      <c r="AC2382" s="698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698"/>
      <c r="AE2382" s="631" t="str">
        <f t="shared" ref="AE2382:AE2445" si="1863">IF(H2382="credit","",IF(G2382=0,"",IF(OR(PlanterYesMe="No",PlanterYesMe="N",PlanterYesMe="me"),"me",IF(H2382="warranty","free",IF(OR(PlanterYesMe="yes",PlanterYesMe="y"),"ELP","")))))</f>
        <v/>
      </c>
      <c r="AF2382" s="699" t="str">
        <f t="shared" ref="AF2382:AF2445" si="1864">IF(OR(PlanterYesMe="No",PlanterYesMe="N",PlanterYesMe="me"),"",IF(H2382="credit","",IF(G2382&gt;0,(CONCATENATE((G2382)," quantity, ",(A2382)," ",B2382)),"")))</f>
        <v/>
      </c>
      <c r="AG2382" s="699"/>
      <c r="AH2382" s="699"/>
      <c r="AI2382" s="512">
        <f>IF(H2382="credit",0,IF(AE2382="free",0,IF(AE2382="me",0,IF(G2382&gt;0,(VLOOKUP(A2382,'Discount Lookup'!J:K,2)*G2382),0))))</f>
        <v>0</v>
      </c>
      <c r="AJ2382" s="513" t="str">
        <f t="shared" ref="AJ2382:AJ2445" ca="1" si="1865">IF(AND(ISREF(H2382),H2382="credit"),"",IF(AND(AND(OFFSET(G2382,0,0)=0,OFFSET(G2382,1,0)&gt;0,ISNUMBER(OFFSET(AC2382,1,0)),OFFSET(AC2382,1,0)&gt;0),OR(PlanterYesMe="yes",PlanterYesMe="y")),"T2G+ELP=",IF(AND(OFFSET(G2382,0,0)=0,OFFSET(G2382,1,0)&gt;0,ISNUMBER(OFFSET(AC2382,1,0)),OFFSET(AC2382,1,0)&gt;0),"if T2G+ELP=",IF(AND(OFFSET(G2382,0,0)=0,OFFSET(G2382,1,0)&gt;0),"T2G Subtotal",IF(H2382="credit","",IF(G2382=0,"",IF(AE2382="free",(K2382*(1-T2GDiscount)),IF(OR(PlanterYesMe="No",PlanterYesMe="N",PlanterYesMe="me"),(K2382*(1-T2GDiscount)),IF(OR(AE2382="me",AE2382="T2G"),(K2382*(1-T2GDiscount)),(K2382*(1-T2GDiscount))+AC2382)))))))))</f>
        <v/>
      </c>
      <c r="AK2382" s="700" t="str">
        <f t="shared" ref="AK2382:AK2445" si="1866">IF(H2382="credit","",IF(G2382=0,"",IF(OR(AE2382="me",AE2382="T2G"),"  delivery-only",IF(OR(PlanterYesMe="No",PlanterYesMe="N",PlanterYesMe="me"),"  delivery-only",CONCATENATE(" $",ROUND(AJ2382/G2382,2)," each")))))</f>
        <v/>
      </c>
      <c r="AL2382" s="700"/>
      <c r="AM2382" s="505" t="str">
        <f t="shared" ref="AM2382:AM2445" si="1867">IF(H2382="credit","",IF(AE2382="free","      ~ discounts included, no tax or planting fee applies ~",IF(G2382=0,"",IF(OR(PlanterYesMe="No",PlanterYesMe="N",PlanterYesMe="me"),CONCATENATE(" $",ROUND(AJ2382/G2382,2)," per plant, with tax &amp; discount"),IF(OR(AE2382="me",AE2382="T2G"),CONCATENATE(" $",ROUND(AJ2382/G2382,2)," per plant, with tax &amp; discount"),CONCATENATE("= $",ROUND((K2382*(1-T2GDiscount))/G2382,2)," per plant + $",AC2382/G2382,(" per planting      ~ includes tax &amp; discounts ~")))))))</f>
        <v/>
      </c>
      <c r="AN2382" s="506"/>
      <c r="AO2382" s="507"/>
      <c r="AP2382" s="507"/>
      <c r="AQ2382" s="507"/>
      <c r="AR2382" s="507"/>
      <c r="AS2382" s="507"/>
      <c r="AT2382" s="507"/>
      <c r="AU2382" s="507"/>
      <c r="AV2382" s="225"/>
      <c r="AW2382" s="508"/>
      <c r="AX2382" s="225"/>
      <c r="AY2382" s="225"/>
      <c r="AZ2382" s="225"/>
      <c r="BA2382" s="225"/>
      <c r="BB2382" s="225"/>
      <c r="BC2382" s="56"/>
      <c r="BD2382" s="56"/>
      <c r="BE2382" s="56"/>
      <c r="BF2382" s="107" t="str">
        <f t="shared" ref="BF2382:BF2445" si="1868">"https://www.google.com/search?tbm=isch&amp;q=" &amp; _xlfn.ENCODEURL($A2382 &amp; " " &amp; $D2382)</f>
        <v>https://www.google.com/search?tbm=isch&amp;q=moist%20sites%F0%9F%92%A7GOOD%2C%20Marley%27s%20Pink%20has%20a%20light%20sweet%20cotton%20candy%20fragrance%2C%20blooming%20in%20May%20%26%20June.%20Orange%20to%20yellow%20fall%20foliage%20</v>
      </c>
      <c r="BG2382" s="107" t="str">
        <f t="shared" ref="BG2382:BG2445" si="1869">IF(ISTEXT(A2382),LEFT(A2382,1),BG2381)</f>
        <v>m</v>
      </c>
      <c r="BH2382" s="254"/>
      <c r="BI2382" s="254"/>
    </row>
    <row r="2383" spans="1:61" customFormat="1" ht="18" x14ac:dyDescent="0.25">
      <c r="A2383" s="521" t="s">
        <v>1314</v>
      </c>
      <c r="B2383" s="477"/>
      <c r="C2383" s="674"/>
      <c r="D2383" s="478" t="s">
        <v>1315</v>
      </c>
      <c r="E2383" s="479"/>
      <c r="F2383" s="479"/>
      <c r="G2383" s="479"/>
      <c r="H2383" s="582" t="s">
        <v>471</v>
      </c>
      <c r="I2383" s="480" t="s">
        <v>2936</v>
      </c>
      <c r="J2383" s="479"/>
      <c r="K2383" s="479"/>
      <c r="L2383" s="560"/>
      <c r="M2383" s="671" t="s">
        <v>4985</v>
      </c>
      <c r="N2383" s="680" t="str">
        <f>IF(AND(ISTEXT($A2383), ISERROR($A2383+0)), HYPERLINK($BF2383, "Images"), "")</f>
        <v>Images</v>
      </c>
      <c r="O2383" s="662" t="s">
        <v>4969</v>
      </c>
      <c r="P2383" s="482"/>
      <c r="Q2383" s="483"/>
      <c r="R2383" s="483"/>
      <c r="S2383" s="484"/>
      <c r="T2383" s="508">
        <f t="shared" si="1857"/>
        <v>0</v>
      </c>
      <c r="U2383" s="225" t="str">
        <f>IF(NOT(ISNUMBER(G2383)), "", VLOOKUP(A2383,'Discount Lookup'!D:E,2,FALSE)*G2383)</f>
        <v/>
      </c>
      <c r="V2383" s="225" t="str">
        <f>IF(NOT(ISNUMBER(G2383)), "", VLOOKUP(A2383,'Discount Lookup'!G:H,2,FALSE)*G2383)</f>
        <v/>
      </c>
      <c r="W2383" s="508">
        <f t="shared" si="1858"/>
        <v>0</v>
      </c>
      <c r="X2383" s="508" t="str">
        <f t="shared" si="1859"/>
        <v>Green &amp; Gold foliage</v>
      </c>
      <c r="Y2383" s="509" t="b">
        <f t="shared" si="1860"/>
        <v>0</v>
      </c>
      <c r="Z2383" s="510">
        <f t="shared" si="1861"/>
        <v>0</v>
      </c>
      <c r="AA2383" s="511"/>
      <c r="AB2383" s="511" t="str">
        <f t="shared" si="1862"/>
        <v/>
      </c>
      <c r="AC2383" s="698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698"/>
      <c r="AE2383" s="631" t="str">
        <f t="shared" si="1863"/>
        <v/>
      </c>
      <c r="AF2383" s="699" t="str">
        <f t="shared" si="1864"/>
        <v/>
      </c>
      <c r="AG2383" s="699"/>
      <c r="AH2383" s="699"/>
      <c r="AI2383" s="512">
        <f>IF(H2383="credit",0,IF(AE2383="free",0,IF(AE2383="me",0,IF(G2383&gt;0,(VLOOKUP(A2383,'Discount Lookup'!J:K,2)*G2383),0))))</f>
        <v>0</v>
      </c>
      <c r="AJ2383" s="513" t="str">
        <f t="shared" ca="1" si="1865"/>
        <v/>
      </c>
      <c r="AK2383" s="700" t="str">
        <f t="shared" si="1866"/>
        <v/>
      </c>
      <c r="AL2383" s="700"/>
      <c r="AM2383" s="505" t="str">
        <f t="shared" si="1867"/>
        <v/>
      </c>
      <c r="AN2383" s="506"/>
      <c r="AO2383" s="507"/>
      <c r="AP2383" s="507"/>
      <c r="AQ2383" s="507"/>
      <c r="AR2383" s="507"/>
      <c r="AS2383" s="507"/>
      <c r="AT2383" s="507"/>
      <c r="AU2383" s="507"/>
      <c r="AV2383" s="225"/>
      <c r="AW2383" s="508"/>
      <c r="AX2383" s="225"/>
      <c r="AY2383" s="225"/>
      <c r="AZ2383" s="225"/>
      <c r="BA2383" s="225"/>
      <c r="BB2383" s="225"/>
      <c r="BC2383" s="56"/>
      <c r="BD2383" s="56"/>
      <c r="BE2383" s="56"/>
      <c r="BF2383" s="107" t="str">
        <f t="shared" si="1868"/>
        <v>https://www.google.com/search?tbm=isch&amp;q=Marmorata%20Aucuba%20Aucuba%20japonica%20%27Marmorata%27</v>
      </c>
      <c r="BG2383" s="107" t="str">
        <f t="shared" si="1869"/>
        <v>M</v>
      </c>
      <c r="BH2383" s="254"/>
      <c r="BI2383" s="254"/>
    </row>
    <row r="2384" spans="1:61" customFormat="1" ht="15.75" x14ac:dyDescent="0.25">
      <c r="A2384" s="485">
        <v>3</v>
      </c>
      <c r="B2384" s="486" t="s">
        <v>291</v>
      </c>
      <c r="C2384" s="487" t="s">
        <v>2767</v>
      </c>
      <c r="D2384" s="488" t="s">
        <v>299</v>
      </c>
      <c r="E2384" s="489">
        <v>35.950000000000003</v>
      </c>
      <c r="F2384" s="516" t="s">
        <v>293</v>
      </c>
      <c r="G2384" s="232">
        <v>0</v>
      </c>
      <c r="H2384" s="658" t="str">
        <f>IF(G2384=0,"",IF(F2384="Buy",IF(G2384=1,"plant","plants"),IF(F2384&gt;0.01,"warranty","Error")))</f>
        <v/>
      </c>
      <c r="I2384" s="490">
        <f>IF(H2384="free",0,IF(H2384="credit",((E2384*(F2384))*G2384*-1),IF(F2384="Buy",(E2384*G2384),((E2384*(1-F2384))*G2384))))</f>
        <v>0</v>
      </c>
      <c r="J2384" s="490">
        <f>IF(H2384="warranty",0,(I2384*(_xlfn.SINGLE(SalesTaxPercentage))))</f>
        <v>0</v>
      </c>
      <c r="K2384" s="695">
        <f t="shared" ref="K2384" si="1870">I2384+J2384</f>
        <v>0</v>
      </c>
      <c r="L2384" s="695"/>
      <c r="M2384" s="659" t="str">
        <f>IF(AND(G2384&gt;0,E2384=0),"WARNING - no PRICE inserted",IF(H2384="free"," FREE ~ no charge this plant",IF(H2384="credit",CONCATENATE(" -$",ROUND(K2384*(1-T2GDiscount)*-1,2)," CREDIT after discount"),IF(T2GDiscount=0,"",IF(G2384=0,"",IF(F2384="Buy",CONCATENATE(" $",ROUND(K2384*(1-T2GDiscount),2)," with ",(T2GDiscount*100),"% discount"),CONCATENATE(" $",ROUND(K2384*(1-T2GDiscount),2)," with ",((T2GDiscount*100+F2384*100)-(T2GDiscount*100*F2384)),IF(F2384&gt;0,"% discounts",IF(NoWarrantyDiscount&gt;0,"% discounts","% discount")))))))))</f>
        <v/>
      </c>
      <c r="N2384" s="660"/>
      <c r="O2384" s="233"/>
      <c r="P2384" s="233"/>
      <c r="Q2384" s="233"/>
      <c r="R2384" s="233"/>
      <c r="S2384" s="233"/>
      <c r="T2384" s="508">
        <f t="shared" si="1857"/>
        <v>0</v>
      </c>
      <c r="U2384" s="225">
        <f>IF(NOT(ISNUMBER(G2384)), "", VLOOKUP(A2384,'Discount Lookup'!D:E,2,FALSE)*G2384)</f>
        <v>0</v>
      </c>
      <c r="V2384" s="225">
        <f>IF(NOT(ISNUMBER(G2384)), "", VLOOKUP(A2384,'Discount Lookup'!G:H,2,FALSE)*G2384)</f>
        <v>0</v>
      </c>
      <c r="W2384" s="508">
        <f t="shared" si="1858"/>
        <v>0</v>
      </c>
      <c r="X2384" s="508">
        <f t="shared" si="1859"/>
        <v>0</v>
      </c>
      <c r="Y2384" s="509" t="b">
        <f t="shared" si="1860"/>
        <v>0</v>
      </c>
      <c r="Z2384" s="510">
        <f t="shared" si="1861"/>
        <v>0</v>
      </c>
      <c r="AA2384" s="511"/>
      <c r="AB2384" s="511" t="str">
        <f t="shared" si="1862"/>
        <v/>
      </c>
      <c r="AC2384" s="698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698"/>
      <c r="AE2384" s="631" t="str">
        <f t="shared" si="1863"/>
        <v/>
      </c>
      <c r="AF2384" s="699" t="str">
        <f t="shared" si="1864"/>
        <v/>
      </c>
      <c r="AG2384" s="699"/>
      <c r="AH2384" s="699"/>
      <c r="AI2384" s="512">
        <f>IF(H2384="credit",0,IF(AE2384="free",0,IF(AE2384="me",0,IF(G2384&gt;0,(VLOOKUP(A2384,'Discount Lookup'!J:K,2)*G2384),0))))</f>
        <v>0</v>
      </c>
      <c r="AJ2384" s="513" t="str">
        <f t="shared" ca="1" si="1865"/>
        <v/>
      </c>
      <c r="AK2384" s="700" t="str">
        <f t="shared" si="1866"/>
        <v/>
      </c>
      <c r="AL2384" s="700"/>
      <c r="AM2384" s="505" t="str">
        <f t="shared" si="1867"/>
        <v/>
      </c>
      <c r="AN2384" s="506"/>
      <c r="AO2384" s="507"/>
      <c r="AP2384" s="507"/>
      <c r="AQ2384" s="507"/>
      <c r="AR2384" s="507"/>
      <c r="AS2384" s="507"/>
      <c r="AT2384" s="507"/>
      <c r="AU2384" s="507"/>
      <c r="AV2384" s="225"/>
      <c r="AW2384" s="508"/>
      <c r="AX2384" s="225"/>
      <c r="AY2384" s="225"/>
      <c r="AZ2384" s="225"/>
      <c r="BA2384" s="225"/>
      <c r="BB2384" s="225"/>
      <c r="BC2384" s="56"/>
      <c r="BD2384" s="56"/>
      <c r="BE2384" s="56"/>
      <c r="BF2384" s="107" t="str">
        <f t="shared" si="1868"/>
        <v>https://www.google.com/search?tbm=isch&amp;q=3%20G5</v>
      </c>
      <c r="BG2384" s="107" t="str">
        <f t="shared" si="1869"/>
        <v>M</v>
      </c>
      <c r="BH2384" s="254"/>
      <c r="BI2384" s="254"/>
    </row>
    <row r="2385" spans="1:61" customFormat="1" ht="15.75" x14ac:dyDescent="0.25">
      <c r="A2385" s="485">
        <v>7</v>
      </c>
      <c r="B2385" s="486" t="s">
        <v>291</v>
      </c>
      <c r="C2385" s="487" t="s">
        <v>1316</v>
      </c>
      <c r="D2385" s="488" t="s">
        <v>299</v>
      </c>
      <c r="E2385" s="489">
        <v>79.95</v>
      </c>
      <c r="F2385" s="516" t="s">
        <v>293</v>
      </c>
      <c r="G2385" s="232">
        <v>0</v>
      </c>
      <c r="H2385" s="658" t="str">
        <f>IF(G2385=0,"",IF(F2385="Buy",IF(G2385=1,"plant","plants"),IF(F2385&gt;0.01,"warranty","Error")))</f>
        <v/>
      </c>
      <c r="I2385" s="490">
        <f>IF(H2385="free",0,IF(H2385="credit",((E2385*(F2385))*G2385*-1),IF(F2385="Buy",(E2385*G2385),((E2385*(1-F2385))*G2385))))</f>
        <v>0</v>
      </c>
      <c r="J2385" s="490">
        <f>IF(H2385="warranty",0,(I2385*(_xlfn.SINGLE(SalesTaxPercentage))))</f>
        <v>0</v>
      </c>
      <c r="K2385" s="695">
        <f t="shared" ref="K2385" si="1871">I2385+J2385</f>
        <v>0</v>
      </c>
      <c r="L2385" s="695"/>
      <c r="M2385" s="659" t="str">
        <f>IF(AND(G2385&gt;0,E2385=0),"WARNING - no PRICE inserted",IF(H2385="free"," FREE ~ no charge this plant",IF(H2385="credit",CONCATENATE(" -$",ROUND(K2385*(1-T2GDiscount)*-1,2)," CREDIT after discount"),IF(T2GDiscount=0,"",IF(G2385=0,"",IF(F2385="Buy",CONCATENATE(" $",ROUND(K2385*(1-T2GDiscount),2)," with ",(T2GDiscount*100),"% discount"),CONCATENATE(" $",ROUND(K2385*(1-T2GDiscount),2)," with ",((T2GDiscount*100+F2385*100)-(T2GDiscount*100*F2385)),IF(F2385&gt;0,"% discounts",IF(NoWarrantyDiscount&gt;0,"% discounts","% discount")))))))))</f>
        <v/>
      </c>
      <c r="N2385" s="660"/>
      <c r="O2385" s="233"/>
      <c r="P2385" s="233"/>
      <c r="Q2385" s="233"/>
      <c r="R2385" s="233"/>
      <c r="S2385" s="233"/>
      <c r="T2385" s="508">
        <f t="shared" si="1857"/>
        <v>0</v>
      </c>
      <c r="U2385" s="225">
        <f>IF(NOT(ISNUMBER(G2385)), "", VLOOKUP(A2385,'Discount Lookup'!D:E,2,FALSE)*G2385)</f>
        <v>0</v>
      </c>
      <c r="V2385" s="225">
        <f>IF(NOT(ISNUMBER(G2385)), "", VLOOKUP(A2385,'Discount Lookup'!G:H,2,FALSE)*G2385)</f>
        <v>0</v>
      </c>
      <c r="W2385" s="508">
        <f t="shared" si="1858"/>
        <v>0</v>
      </c>
      <c r="X2385" s="508">
        <f t="shared" si="1859"/>
        <v>0</v>
      </c>
      <c r="Y2385" s="509" t="b">
        <f t="shared" si="1860"/>
        <v>0</v>
      </c>
      <c r="Z2385" s="510">
        <f t="shared" si="1861"/>
        <v>0</v>
      </c>
      <c r="AA2385" s="511"/>
      <c r="AB2385" s="511" t="str">
        <f t="shared" si="1862"/>
        <v/>
      </c>
      <c r="AC2385" s="698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698"/>
      <c r="AE2385" s="631" t="str">
        <f t="shared" si="1863"/>
        <v/>
      </c>
      <c r="AF2385" s="699" t="str">
        <f t="shared" si="1864"/>
        <v/>
      </c>
      <c r="AG2385" s="699"/>
      <c r="AH2385" s="699"/>
      <c r="AI2385" s="512">
        <f>IF(H2385="credit",0,IF(AE2385="free",0,IF(AE2385="me",0,IF(G2385&gt;0,(VLOOKUP(A2385,'Discount Lookup'!J:K,2)*G2385),0))))</f>
        <v>0</v>
      </c>
      <c r="AJ2385" s="513" t="str">
        <f t="shared" ca="1" si="1865"/>
        <v/>
      </c>
      <c r="AK2385" s="700" t="str">
        <f t="shared" si="1866"/>
        <v/>
      </c>
      <c r="AL2385" s="700"/>
      <c r="AM2385" s="505" t="str">
        <f t="shared" si="1867"/>
        <v/>
      </c>
      <c r="AN2385" s="506"/>
      <c r="AO2385" s="507"/>
      <c r="AP2385" s="507"/>
      <c r="AQ2385" s="507"/>
      <c r="AR2385" s="507"/>
      <c r="AS2385" s="507"/>
      <c r="AT2385" s="507"/>
      <c r="AU2385" s="507"/>
      <c r="AV2385" s="225"/>
      <c r="AW2385" s="508"/>
      <c r="AX2385" s="225"/>
      <c r="AY2385" s="225"/>
      <c r="AZ2385" s="225"/>
      <c r="BA2385" s="225"/>
      <c r="BB2385" s="225"/>
      <c r="BC2385" s="56"/>
      <c r="BD2385" s="56"/>
      <c r="BE2385" s="56"/>
      <c r="BF2385" s="107" t="str">
        <f t="shared" si="1868"/>
        <v>https://www.google.com/search?tbm=isch&amp;q=7%20G5</v>
      </c>
      <c r="BG2385" s="107" t="str">
        <f t="shared" si="1869"/>
        <v>M</v>
      </c>
      <c r="BH2385" s="254"/>
      <c r="BI2385" s="254"/>
    </row>
    <row r="2386" spans="1:61" customFormat="1" ht="16.5" thickBot="1" x14ac:dyDescent="0.3">
      <c r="A2386" s="522" t="s">
        <v>2987</v>
      </c>
      <c r="B2386" s="491"/>
      <c r="C2386" s="675"/>
      <c r="D2386" s="491"/>
      <c r="E2386" s="491"/>
      <c r="F2386" s="492"/>
      <c r="G2386" s="493"/>
      <c r="H2386" s="491"/>
      <c r="I2386" s="234"/>
      <c r="J2386" s="234"/>
      <c r="K2386" s="494"/>
      <c r="L2386" s="543"/>
      <c r="M2386" s="561"/>
      <c r="N2386" s="495"/>
      <c r="O2386" s="496"/>
      <c r="P2386" s="497"/>
      <c r="Q2386" s="495"/>
      <c r="R2386" s="495"/>
      <c r="S2386" s="277"/>
      <c r="T2386" s="508">
        <f t="shared" si="1857"/>
        <v>0</v>
      </c>
      <c r="U2386" s="225" t="str">
        <f>IF(NOT(ISNUMBER(G2386)), "", VLOOKUP(A2386,'Discount Lookup'!D:E,2,FALSE)*G2386)</f>
        <v/>
      </c>
      <c r="V2386" s="225" t="str">
        <f>IF(NOT(ISNUMBER(G2386)), "", VLOOKUP(A2386,'Discount Lookup'!G:H,2,FALSE)*G2386)</f>
        <v/>
      </c>
      <c r="W2386" s="508">
        <f t="shared" si="1858"/>
        <v>0</v>
      </c>
      <c r="X2386" s="508">
        <f t="shared" si="1859"/>
        <v>0</v>
      </c>
      <c r="Y2386" s="509" t="b">
        <f t="shared" si="1860"/>
        <v>0</v>
      </c>
      <c r="Z2386" s="510">
        <f t="shared" si="1861"/>
        <v>0</v>
      </c>
      <c r="AA2386" s="511"/>
      <c r="AB2386" s="511" t="str">
        <f t="shared" si="1862"/>
        <v/>
      </c>
      <c r="AC2386" s="698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698"/>
      <c r="AE2386" s="631" t="str">
        <f t="shared" si="1863"/>
        <v/>
      </c>
      <c r="AF2386" s="699" t="str">
        <f t="shared" si="1864"/>
        <v/>
      </c>
      <c r="AG2386" s="699"/>
      <c r="AH2386" s="699"/>
      <c r="AI2386" s="512">
        <f>IF(H2386="credit",0,IF(AE2386="free",0,IF(AE2386="me",0,IF(G2386&gt;0,(VLOOKUP(A2386,'Discount Lookup'!J:K,2)*G2386),0))))</f>
        <v>0</v>
      </c>
      <c r="AJ2386" s="513" t="str">
        <f t="shared" ca="1" si="1865"/>
        <v/>
      </c>
      <c r="AK2386" s="700" t="str">
        <f t="shared" si="1866"/>
        <v/>
      </c>
      <c r="AL2386" s="700"/>
      <c r="AM2386" s="505" t="str">
        <f t="shared" si="1867"/>
        <v/>
      </c>
      <c r="AN2386" s="506"/>
      <c r="AO2386" s="507"/>
      <c r="AP2386" s="507"/>
      <c r="AQ2386" s="507"/>
      <c r="AR2386" s="507"/>
      <c r="AS2386" s="507"/>
      <c r="AT2386" s="507"/>
      <c r="AU2386" s="507"/>
      <c r="AV2386" s="225"/>
      <c r="AW2386" s="508"/>
      <c r="AX2386" s="225"/>
      <c r="AY2386" s="225"/>
      <c r="AZ2386" s="225"/>
      <c r="BA2386" s="225"/>
      <c r="BB2386" s="225"/>
      <c r="BC2386" s="56"/>
      <c r="BD2386" s="56"/>
      <c r="BE2386" s="56"/>
      <c r="BF2386" s="107" t="str">
        <f t="shared" si="1868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2386" s="107" t="str">
        <f t="shared" si="1869"/>
        <v>M</v>
      </c>
      <c r="BH2386" s="254"/>
      <c r="BI2386" s="254"/>
    </row>
    <row r="2387" spans="1:61" customFormat="1" ht="18" x14ac:dyDescent="0.25">
      <c r="A2387" s="521" t="s">
        <v>2768</v>
      </c>
      <c r="B2387" s="477"/>
      <c r="C2387" s="674"/>
      <c r="D2387" s="478" t="s">
        <v>2769</v>
      </c>
      <c r="E2387" s="479"/>
      <c r="F2387" s="479"/>
      <c r="G2387" s="479"/>
      <c r="H2387" s="582" t="s">
        <v>316</v>
      </c>
      <c r="I2387" s="480" t="s">
        <v>2770</v>
      </c>
      <c r="J2387" s="479"/>
      <c r="K2387" s="479"/>
      <c r="L2387" s="560"/>
      <c r="M2387" s="671" t="s">
        <v>4990</v>
      </c>
      <c r="N2387" s="680" t="str">
        <f>IF(AND(ISTEXT($A2387), ISERROR($A2387+0)), HYPERLINK($BF2387, "Images"), "")</f>
        <v>Images</v>
      </c>
      <c r="O2387" s="662" t="s">
        <v>4967</v>
      </c>
      <c r="P2387" s="482"/>
      <c r="Q2387" s="483"/>
      <c r="R2387" s="483"/>
      <c r="S2387" s="484"/>
      <c r="T2387" s="508">
        <f t="shared" si="1857"/>
        <v>0</v>
      </c>
      <c r="U2387" s="225" t="str">
        <f>IF(NOT(ISNUMBER(G2387)), "", VLOOKUP(A2387,'Discount Lookup'!D:E,2,FALSE)*G2387)</f>
        <v/>
      </c>
      <c r="V2387" s="225" t="str">
        <f>IF(NOT(ISNUMBER(G2387)), "", VLOOKUP(A2387,'Discount Lookup'!G:H,2,FALSE)*G2387)</f>
        <v/>
      </c>
      <c r="W2387" s="508">
        <f t="shared" si="1858"/>
        <v>0</v>
      </c>
      <c r="X2387" s="508" t="str">
        <f t="shared" si="1859"/>
        <v>Maroon-Red bloom</v>
      </c>
      <c r="Y2387" s="509" t="b">
        <f t="shared" si="1860"/>
        <v>0</v>
      </c>
      <c r="Z2387" s="510">
        <f t="shared" si="1861"/>
        <v>0</v>
      </c>
      <c r="AA2387" s="511"/>
      <c r="AB2387" s="511" t="str">
        <f t="shared" si="1862"/>
        <v/>
      </c>
      <c r="AC2387" s="698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698"/>
      <c r="AE2387" s="631" t="str">
        <f t="shared" si="1863"/>
        <v/>
      </c>
      <c r="AF2387" s="699" t="str">
        <f t="shared" si="1864"/>
        <v/>
      </c>
      <c r="AG2387" s="699"/>
      <c r="AH2387" s="699"/>
      <c r="AI2387" s="512">
        <f>IF(H2387="credit",0,IF(AE2387="free",0,IF(AE2387="me",0,IF(G2387&gt;0,(VLOOKUP(A2387,'Discount Lookup'!J:K,2)*G2387),0))))</f>
        <v>0</v>
      </c>
      <c r="AJ2387" s="513" t="str">
        <f t="shared" ca="1" si="1865"/>
        <v/>
      </c>
      <c r="AK2387" s="700" t="str">
        <f t="shared" si="1866"/>
        <v/>
      </c>
      <c r="AL2387" s="700"/>
      <c r="AM2387" s="505" t="str">
        <f t="shared" si="1867"/>
        <v/>
      </c>
      <c r="AN2387" s="506"/>
      <c r="AO2387" s="507"/>
      <c r="AP2387" s="507"/>
      <c r="AQ2387" s="507"/>
      <c r="AR2387" s="507"/>
      <c r="AS2387" s="507"/>
      <c r="AT2387" s="507"/>
      <c r="AU2387" s="507"/>
      <c r="AV2387" s="225"/>
      <c r="AW2387" s="508"/>
      <c r="AX2387" s="225"/>
      <c r="AY2387" s="225"/>
      <c r="AZ2387" s="225"/>
      <c r="BA2387" s="225"/>
      <c r="BB2387" s="225"/>
      <c r="BC2387" s="56"/>
      <c r="BD2387" s="56"/>
      <c r="BE2387" s="56"/>
      <c r="BF2387" s="107" t="str">
        <f t="shared" si="1868"/>
        <v>https://www.google.com/search?tbm=isch&amp;q=Maroon%20Mist%20Camellia%20Camellia%20x%20%27Maroon%20Mist%27</v>
      </c>
      <c r="BG2387" s="107" t="str">
        <f t="shared" si="1869"/>
        <v>M</v>
      </c>
      <c r="BH2387" s="254"/>
      <c r="BI2387" s="254"/>
    </row>
    <row r="2388" spans="1:61" customFormat="1" ht="27" x14ac:dyDescent="0.25">
      <c r="A2388" s="485">
        <v>7</v>
      </c>
      <c r="B2388" s="486" t="s">
        <v>291</v>
      </c>
      <c r="C2388" s="487" t="s">
        <v>3637</v>
      </c>
      <c r="D2388" s="488" t="s">
        <v>292</v>
      </c>
      <c r="E2388" s="489">
        <v>104.95</v>
      </c>
      <c r="F2388" s="516" t="s">
        <v>293</v>
      </c>
      <c r="G2388" s="232">
        <v>0</v>
      </c>
      <c r="H2388" s="658" t="str">
        <f>IF(G2388=0,"",IF(F2388="Buy",IF(G2388=1,"plant","plants"),IF(F2388&gt;0.01,"warranty","Error")))</f>
        <v/>
      </c>
      <c r="I2388" s="490">
        <f>IF(H2388="free",0,IF(H2388="credit",((E2388*(F2388))*G2388*-1),IF(F2388="Buy",(E2388*G2388),((E2388*(1-F2388))*G2388))))</f>
        <v>0</v>
      </c>
      <c r="J2388" s="490">
        <f>IF(H2388="warranty",0,(I2388*(_xlfn.SINGLE(SalesTaxPercentage))))</f>
        <v>0</v>
      </c>
      <c r="K2388" s="695">
        <f t="shared" ref="K2388" si="1872">I2388+J2388</f>
        <v>0</v>
      </c>
      <c r="L2388" s="695"/>
      <c r="M2388" s="659" t="str">
        <f>IF(AND(G2388&gt;0,E2388=0),"WARNING - no PRICE inserted",IF(H2388="free"," FREE ~ no charge this plant",IF(H2388="credit",CONCATENATE(" -$",ROUND(K2388*(1-T2GDiscount)*-1,2)," CREDIT after discount"),IF(T2GDiscount=0,"",IF(G2388=0,"",IF(F2388="Buy",CONCATENATE(" $",ROUND(K2388*(1-T2GDiscount),2)," with ",(T2GDiscount*100),"% discount"),CONCATENATE(" $",ROUND(K2388*(1-T2GDiscount),2)," with ",((T2GDiscount*100+F2388*100)-(T2GDiscount*100*F2388)),IF(F2388&gt;0,"% discounts",IF(NoWarrantyDiscount&gt;0,"% discounts","% discount")))))))))</f>
        <v/>
      </c>
      <c r="N2388" s="660"/>
      <c r="O2388" s="233"/>
      <c r="P2388" s="233"/>
      <c r="Q2388" s="233"/>
      <c r="R2388" s="233"/>
      <c r="S2388" s="233"/>
      <c r="T2388" s="508">
        <f t="shared" si="1857"/>
        <v>0</v>
      </c>
      <c r="U2388" s="225">
        <f>IF(NOT(ISNUMBER(G2388)), "", VLOOKUP(A2388,'Discount Lookup'!D:E,2,FALSE)*G2388)</f>
        <v>0</v>
      </c>
      <c r="V2388" s="225">
        <f>IF(NOT(ISNUMBER(G2388)), "", VLOOKUP(A2388,'Discount Lookup'!G:H,2,FALSE)*G2388)</f>
        <v>0</v>
      </c>
      <c r="W2388" s="508">
        <f t="shared" si="1858"/>
        <v>0</v>
      </c>
      <c r="X2388" s="508">
        <f t="shared" si="1859"/>
        <v>0</v>
      </c>
      <c r="Y2388" s="509" t="b">
        <f t="shared" si="1860"/>
        <v>0</v>
      </c>
      <c r="Z2388" s="510">
        <f t="shared" si="1861"/>
        <v>0</v>
      </c>
      <c r="AA2388" s="511"/>
      <c r="AB2388" s="511" t="str">
        <f t="shared" si="1862"/>
        <v/>
      </c>
      <c r="AC2388" s="698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698"/>
      <c r="AE2388" s="631" t="str">
        <f t="shared" si="1863"/>
        <v/>
      </c>
      <c r="AF2388" s="699" t="str">
        <f t="shared" si="1864"/>
        <v/>
      </c>
      <c r="AG2388" s="699"/>
      <c r="AH2388" s="699"/>
      <c r="AI2388" s="512">
        <f>IF(H2388="credit",0,IF(AE2388="free",0,IF(AE2388="me",0,IF(G2388&gt;0,(VLOOKUP(A2388,'Discount Lookup'!J:K,2)*G2388),0))))</f>
        <v>0</v>
      </c>
      <c r="AJ2388" s="513" t="str">
        <f t="shared" ca="1" si="1865"/>
        <v/>
      </c>
      <c r="AK2388" s="700" t="str">
        <f t="shared" si="1866"/>
        <v/>
      </c>
      <c r="AL2388" s="700"/>
      <c r="AM2388" s="505" t="str">
        <f t="shared" si="1867"/>
        <v/>
      </c>
      <c r="AN2388" s="506"/>
      <c r="AO2388" s="507"/>
      <c r="AP2388" s="507"/>
      <c r="AQ2388" s="507"/>
      <c r="AR2388" s="507"/>
      <c r="AS2388" s="507"/>
      <c r="AT2388" s="507"/>
      <c r="AU2388" s="507"/>
      <c r="AV2388" s="225"/>
      <c r="AW2388" s="508"/>
      <c r="AX2388" s="225"/>
      <c r="AY2388" s="225"/>
      <c r="AZ2388" s="225"/>
      <c r="BA2388" s="225"/>
      <c r="BB2388" s="225"/>
      <c r="BC2388" s="56"/>
      <c r="BD2388" s="56"/>
      <c r="BE2388" s="56"/>
      <c r="BF2388" s="107" t="str">
        <f t="shared" si="1868"/>
        <v>https://www.google.com/search?tbm=isch&amp;q=7%20G4</v>
      </c>
      <c r="BG2388" s="107" t="str">
        <f t="shared" si="1869"/>
        <v>M</v>
      </c>
      <c r="BH2388" s="254"/>
      <c r="BI2388" s="254"/>
    </row>
    <row r="2389" spans="1:61" customFormat="1" ht="17.25" thickBot="1" x14ac:dyDescent="0.3">
      <c r="A2389" s="522" t="s">
        <v>2771</v>
      </c>
      <c r="B2389" s="491"/>
      <c r="C2389" s="675"/>
      <c r="D2389" s="491"/>
      <c r="E2389" s="491"/>
      <c r="F2389" s="492"/>
      <c r="G2389" s="493"/>
      <c r="H2389" s="491"/>
      <c r="I2389" s="234"/>
      <c r="J2389" s="234"/>
      <c r="K2389" s="494"/>
      <c r="L2389" s="543"/>
      <c r="M2389" s="561"/>
      <c r="N2389" s="495"/>
      <c r="O2389" s="496"/>
      <c r="P2389" s="497"/>
      <c r="Q2389" s="495"/>
      <c r="R2389" s="495"/>
      <c r="S2389" s="667" t="s">
        <v>4986</v>
      </c>
      <c r="T2389" s="508">
        <f t="shared" si="1857"/>
        <v>0</v>
      </c>
      <c r="U2389" s="225" t="str">
        <f>IF(NOT(ISNUMBER(G2389)), "", VLOOKUP(A2389,'Discount Lookup'!D:E,2,FALSE)*G2389)</f>
        <v/>
      </c>
      <c r="V2389" s="225" t="str">
        <f>IF(NOT(ISNUMBER(G2389)), "", VLOOKUP(A2389,'Discount Lookup'!G:H,2,FALSE)*G2389)</f>
        <v/>
      </c>
      <c r="W2389" s="508">
        <f t="shared" si="1858"/>
        <v>0</v>
      </c>
      <c r="X2389" s="508">
        <f t="shared" si="1859"/>
        <v>0</v>
      </c>
      <c r="Y2389" s="509" t="b">
        <f t="shared" si="1860"/>
        <v>0</v>
      </c>
      <c r="Z2389" s="510">
        <f t="shared" si="1861"/>
        <v>0</v>
      </c>
      <c r="AA2389" s="511"/>
      <c r="AB2389" s="511" t="str">
        <f t="shared" si="1862"/>
        <v/>
      </c>
      <c r="AC2389" s="698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698"/>
      <c r="AE2389" s="631" t="str">
        <f t="shared" si="1863"/>
        <v/>
      </c>
      <c r="AF2389" s="699" t="str">
        <f t="shared" si="1864"/>
        <v/>
      </c>
      <c r="AG2389" s="699"/>
      <c r="AH2389" s="699"/>
      <c r="AI2389" s="512">
        <f>IF(H2389="credit",0,IF(AE2389="free",0,IF(AE2389="me",0,IF(G2389&gt;0,(VLOOKUP(A2389,'Discount Lookup'!J:K,2)*G2389),0))))</f>
        <v>0</v>
      </c>
      <c r="AJ2389" s="513" t="str">
        <f t="shared" ca="1" si="1865"/>
        <v/>
      </c>
      <c r="AK2389" s="700" t="str">
        <f t="shared" si="1866"/>
        <v/>
      </c>
      <c r="AL2389" s="700"/>
      <c r="AM2389" s="505" t="str">
        <f t="shared" si="1867"/>
        <v/>
      </c>
      <c r="AN2389" s="506"/>
      <c r="AO2389" s="507"/>
      <c r="AP2389" s="507"/>
      <c r="AQ2389" s="507"/>
      <c r="AR2389" s="507"/>
      <c r="AS2389" s="507"/>
      <c r="AT2389" s="507"/>
      <c r="AU2389" s="507"/>
      <c r="AV2389" s="225"/>
      <c r="AW2389" s="508"/>
      <c r="AX2389" s="225"/>
      <c r="AY2389" s="225"/>
      <c r="AZ2389" s="225"/>
      <c r="BA2389" s="225"/>
      <c r="BB2389" s="225"/>
      <c r="BC2389" s="56"/>
      <c r="BD2389" s="56"/>
      <c r="BE2389" s="56"/>
      <c r="BF2389" s="107" t="str">
        <f t="shared" si="1868"/>
        <v>https://www.google.com/search?tbm=isch&amp;q=Maroon%20Mist%20has%20single%20to%20semi-double%20blooms%20with%20bright%20Golden%20centers%20atop%20glossy%20evergreen%20foliage.%20Early%20spring%20bloom%20</v>
      </c>
      <c r="BG2389" s="107" t="str">
        <f t="shared" si="1869"/>
        <v>M</v>
      </c>
      <c r="BH2389" s="254"/>
      <c r="BI2389" s="254"/>
    </row>
    <row r="2390" spans="1:61" customFormat="1" ht="18" x14ac:dyDescent="0.25">
      <c r="A2390" s="523" t="s">
        <v>5609</v>
      </c>
      <c r="B2390" s="235"/>
      <c r="C2390" s="676"/>
      <c r="D2390" s="255" t="s">
        <v>573</v>
      </c>
      <c r="E2390" s="236"/>
      <c r="F2390" s="236"/>
      <c r="G2390" s="236"/>
      <c r="H2390" s="582" t="s">
        <v>810</v>
      </c>
      <c r="I2390" s="498" t="s">
        <v>3168</v>
      </c>
      <c r="J2390" s="237"/>
      <c r="K2390" s="237"/>
      <c r="L2390" s="274"/>
      <c r="M2390" s="668" t="s">
        <v>4962</v>
      </c>
      <c r="N2390" s="681" t="str">
        <f>IF(AND(ISTEXT($A2390), ISERROR($A2390+0)), HYPERLINK($BF2390, "Images"), "")</f>
        <v>Images</v>
      </c>
      <c r="O2390" s="663" t="s">
        <v>4967</v>
      </c>
      <c r="P2390" s="253"/>
      <c r="Q2390" s="238"/>
      <c r="R2390" s="239"/>
      <c r="S2390" s="275"/>
      <c r="T2390" s="508">
        <f t="shared" si="1857"/>
        <v>0</v>
      </c>
      <c r="U2390" s="225" t="str">
        <f>IF(NOT(ISNUMBER(G2390)), "", VLOOKUP(A2390,'Discount Lookup'!D:E,2,FALSE)*G2390)</f>
        <v/>
      </c>
      <c r="V2390" s="225" t="str">
        <f>IF(NOT(ISNUMBER(G2390)), "", VLOOKUP(A2390,'Discount Lookup'!G:H,2,FALSE)*G2390)</f>
        <v/>
      </c>
      <c r="W2390" s="508">
        <f t="shared" si="1858"/>
        <v>0</v>
      </c>
      <c r="X2390" s="508" t="str">
        <f t="shared" si="1859"/>
        <v>Deep Maroon-Red bloom</v>
      </c>
      <c r="Y2390" s="509" t="b">
        <f t="shared" si="1860"/>
        <v>0</v>
      </c>
      <c r="Z2390" s="510">
        <f t="shared" si="1861"/>
        <v>0</v>
      </c>
      <c r="AA2390" s="511"/>
      <c r="AB2390" s="511" t="str">
        <f t="shared" si="1862"/>
        <v/>
      </c>
      <c r="AC2390" s="698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698"/>
      <c r="AE2390" s="631" t="str">
        <f t="shared" si="1863"/>
        <v/>
      </c>
      <c r="AF2390" s="699" t="str">
        <f t="shared" si="1864"/>
        <v/>
      </c>
      <c r="AG2390" s="699"/>
      <c r="AH2390" s="699"/>
      <c r="AI2390" s="512">
        <f>IF(H2390="credit",0,IF(AE2390="free",0,IF(AE2390="me",0,IF(G2390&gt;0,(VLOOKUP(A2390,'Discount Lookup'!J:K,2)*G2390),0))))</f>
        <v>0</v>
      </c>
      <c r="AJ2390" s="513" t="str">
        <f t="shared" ca="1" si="1865"/>
        <v/>
      </c>
      <c r="AK2390" s="700" t="str">
        <f t="shared" si="1866"/>
        <v/>
      </c>
      <c r="AL2390" s="700"/>
      <c r="AM2390" s="505" t="str">
        <f t="shared" si="1867"/>
        <v/>
      </c>
      <c r="AN2390" s="506"/>
      <c r="AO2390" s="507"/>
      <c r="AP2390" s="507"/>
      <c r="AQ2390" s="507"/>
      <c r="AR2390" s="507"/>
      <c r="AS2390" s="507"/>
      <c r="AT2390" s="507"/>
      <c r="AU2390" s="507"/>
      <c r="AV2390" s="225"/>
      <c r="AW2390" s="508"/>
      <c r="AX2390" s="225"/>
      <c r="AY2390" s="225"/>
      <c r="AZ2390" s="225"/>
      <c r="BA2390" s="225"/>
      <c r="BB2390" s="225"/>
      <c r="BC2390" s="56"/>
      <c r="BD2390" s="56"/>
      <c r="BE2390" s="56"/>
      <c r="BF2390" s="107" t="str">
        <f t="shared" si="1868"/>
        <v>https://www.google.com/search?tbm=isch&amp;q=Maroon%20Swoon%C2%AE%20Weigela%20%28BE%C2%AE%29%20Weigela%20%27Slingco%202%27%20PP%2326841</v>
      </c>
      <c r="BG2390" s="107" t="str">
        <f t="shared" si="1869"/>
        <v>M</v>
      </c>
      <c r="BH2390" s="254"/>
      <c r="BI2390" s="254"/>
    </row>
    <row r="2391" spans="1:61" customFormat="1" ht="15.75" x14ac:dyDescent="0.25">
      <c r="A2391" s="276">
        <v>1</v>
      </c>
      <c r="B2391" s="240" t="s">
        <v>291</v>
      </c>
      <c r="C2391" s="241" t="s">
        <v>3048</v>
      </c>
      <c r="D2391" s="242" t="s">
        <v>312</v>
      </c>
      <c r="E2391" s="243">
        <v>32.950000000000003</v>
      </c>
      <c r="F2391" s="517" t="s">
        <v>293</v>
      </c>
      <c r="G2391" s="232">
        <v>0</v>
      </c>
      <c r="H2391" s="661" t="str">
        <f>IF(G2391=0,"",IF(F2391="Buy",IF(G2391=1,"plant","plants"),IF(F2391&gt;0.01,"warranty","Error")))</f>
        <v/>
      </c>
      <c r="I2391" s="244">
        <f>IF(H2391="free",0,IF(H2391="credit",((E2391*(F2391))*G2391*-1),IF(F2391="Buy",(E2391*G2391),((E2391*(1-F2391))*G2391))))</f>
        <v>0</v>
      </c>
      <c r="J2391" s="244">
        <f>IF(H2391="warranty",0,(I2391*(_xlfn.SINGLE(SalesTaxPercentage))))</f>
        <v>0</v>
      </c>
      <c r="K2391" s="696">
        <f t="shared" ref="K2391" si="1873">I2391+J2391</f>
        <v>0</v>
      </c>
      <c r="L2391" s="696"/>
      <c r="M2391" s="659" t="str">
        <f>IF(AND(G2391&gt;0,E2391=0),"WARNING - no PRICE inserted",IF(H2391="free"," FREE ~ no charge this plant",IF(H2391="credit",CONCATENATE(" -$",ROUND(K2391*(1-T2GDiscount)*-1,2)," CREDIT after discount"),IF(T2GDiscount=0,"",IF(G2391=0,"",IF(F2391="Buy",CONCATENATE(" $",ROUND(K2391*(1-T2GDiscount),2)," with ",(T2GDiscount*100),"% discount"),CONCATENATE(" $",ROUND(K2391*(1-T2GDiscount),2)," with ",((T2GDiscount*100+F2391*100)-(T2GDiscount*100*F2391)),IF(F2391&gt;0,"% discounts",IF(NoWarrantyDiscount&gt;0,"% discounts","% discount")))))))))</f>
        <v/>
      </c>
      <c r="N2391" s="660"/>
      <c r="O2391" s="233"/>
      <c r="P2391" s="233"/>
      <c r="Q2391" s="233"/>
      <c r="R2391" s="233"/>
      <c r="S2391" s="233"/>
      <c r="T2391" s="508">
        <f t="shared" si="1857"/>
        <v>0</v>
      </c>
      <c r="U2391" s="225">
        <f>IF(NOT(ISNUMBER(G2391)), "", VLOOKUP(A2391,'Discount Lookup'!D:E,2,FALSE)*G2391)</f>
        <v>0</v>
      </c>
      <c r="V2391" s="225">
        <f>IF(NOT(ISNUMBER(G2391)), "", VLOOKUP(A2391,'Discount Lookup'!G:H,2,FALSE)*G2391)</f>
        <v>0</v>
      </c>
      <c r="W2391" s="508">
        <f t="shared" si="1858"/>
        <v>0</v>
      </c>
      <c r="X2391" s="508">
        <f t="shared" si="1859"/>
        <v>0</v>
      </c>
      <c r="Y2391" s="509" t="b">
        <f t="shared" si="1860"/>
        <v>0</v>
      </c>
      <c r="Z2391" s="510">
        <f t="shared" si="1861"/>
        <v>0</v>
      </c>
      <c r="AA2391" s="511"/>
      <c r="AB2391" s="511" t="str">
        <f t="shared" si="1862"/>
        <v/>
      </c>
      <c r="AC2391" s="698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698"/>
      <c r="AE2391" s="631" t="str">
        <f t="shared" si="1863"/>
        <v/>
      </c>
      <c r="AF2391" s="699" t="str">
        <f t="shared" si="1864"/>
        <v/>
      </c>
      <c r="AG2391" s="699"/>
      <c r="AH2391" s="699"/>
      <c r="AI2391" s="512">
        <f>IF(H2391="credit",0,IF(AE2391="free",0,IF(AE2391="me",0,IF(G2391&gt;0,(VLOOKUP(A2391,'Discount Lookup'!J:K,2)*G2391),0))))</f>
        <v>0</v>
      </c>
      <c r="AJ2391" s="513" t="str">
        <f t="shared" ca="1" si="1865"/>
        <v/>
      </c>
      <c r="AK2391" s="700" t="str">
        <f t="shared" si="1866"/>
        <v/>
      </c>
      <c r="AL2391" s="700"/>
      <c r="AM2391" s="505" t="str">
        <f t="shared" si="1867"/>
        <v/>
      </c>
      <c r="AN2391" s="506"/>
      <c r="AO2391" s="507"/>
      <c r="AP2391" s="507"/>
      <c r="AQ2391" s="507"/>
      <c r="AR2391" s="507"/>
      <c r="AS2391" s="507"/>
      <c r="AT2391" s="507"/>
      <c r="AU2391" s="507"/>
      <c r="AV2391" s="225"/>
      <c r="AW2391" s="508"/>
      <c r="AX2391" s="225"/>
      <c r="AY2391" s="225"/>
      <c r="AZ2391" s="225"/>
      <c r="BA2391" s="225"/>
      <c r="BB2391" s="225"/>
      <c r="BC2391" s="56"/>
      <c r="BD2391" s="56"/>
      <c r="BE2391" s="56"/>
      <c r="BF2391" s="107" t="str">
        <f t="shared" si="1868"/>
        <v>https://www.google.com/search?tbm=isch&amp;q=1%20G2</v>
      </c>
      <c r="BG2391" s="107" t="str">
        <f t="shared" si="1869"/>
        <v>M</v>
      </c>
      <c r="BH2391" s="254"/>
      <c r="BI2391" s="254"/>
    </row>
    <row r="2392" spans="1:61" customFormat="1" ht="17.25" thickBot="1" x14ac:dyDescent="0.3">
      <c r="A2392" s="524" t="s">
        <v>4207</v>
      </c>
      <c r="B2392" s="245"/>
      <c r="C2392" s="677"/>
      <c r="D2392" s="499"/>
      <c r="E2392" s="499"/>
      <c r="F2392" s="500"/>
      <c r="G2392" s="501"/>
      <c r="H2392" s="502"/>
      <c r="I2392" s="246"/>
      <c r="J2392" s="247"/>
      <c r="K2392" s="503"/>
      <c r="L2392" s="544"/>
      <c r="M2392" s="544"/>
      <c r="N2392" s="500"/>
      <c r="O2392" s="500"/>
      <c r="P2392" s="500"/>
      <c r="Q2392" s="500"/>
      <c r="R2392" s="500"/>
      <c r="S2392" s="669" t="s">
        <v>5011</v>
      </c>
      <c r="T2392" s="508">
        <f t="shared" si="1857"/>
        <v>0</v>
      </c>
      <c r="U2392" s="225" t="str">
        <f>IF(NOT(ISNUMBER(G2392)), "", VLOOKUP(A2392,'Discount Lookup'!D:E,2,FALSE)*G2392)</f>
        <v/>
      </c>
      <c r="V2392" s="225" t="str">
        <f>IF(NOT(ISNUMBER(G2392)), "", VLOOKUP(A2392,'Discount Lookup'!G:H,2,FALSE)*G2392)</f>
        <v/>
      </c>
      <c r="W2392" s="508">
        <f t="shared" si="1858"/>
        <v>0</v>
      </c>
      <c r="X2392" s="508">
        <f t="shared" si="1859"/>
        <v>0</v>
      </c>
      <c r="Y2392" s="509" t="b">
        <f t="shared" si="1860"/>
        <v>0</v>
      </c>
      <c r="Z2392" s="510">
        <f t="shared" si="1861"/>
        <v>0</v>
      </c>
      <c r="AA2392" s="511"/>
      <c r="AB2392" s="511" t="str">
        <f t="shared" si="1862"/>
        <v/>
      </c>
      <c r="AC2392" s="698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698"/>
      <c r="AE2392" s="631" t="str">
        <f t="shared" si="1863"/>
        <v/>
      </c>
      <c r="AF2392" s="699" t="str">
        <f t="shared" si="1864"/>
        <v/>
      </c>
      <c r="AG2392" s="699"/>
      <c r="AH2392" s="699"/>
      <c r="AI2392" s="512">
        <f>IF(H2392="credit",0,IF(AE2392="free",0,IF(AE2392="me",0,IF(G2392&gt;0,(VLOOKUP(A2392,'Discount Lookup'!J:K,2)*G2392),0))))</f>
        <v>0</v>
      </c>
      <c r="AJ2392" s="513" t="str">
        <f t="shared" ca="1" si="1865"/>
        <v/>
      </c>
      <c r="AK2392" s="700" t="str">
        <f t="shared" si="1866"/>
        <v/>
      </c>
      <c r="AL2392" s="700"/>
      <c r="AM2392" s="505" t="str">
        <f t="shared" si="1867"/>
        <v/>
      </c>
      <c r="AN2392" s="506"/>
      <c r="AO2392" s="507"/>
      <c r="AP2392" s="507"/>
      <c r="AQ2392" s="507"/>
      <c r="AR2392" s="507"/>
      <c r="AS2392" s="507"/>
      <c r="AT2392" s="507"/>
      <c r="AU2392" s="507"/>
      <c r="AV2392" s="225"/>
      <c r="AW2392" s="508"/>
      <c r="AX2392" s="225"/>
      <c r="AY2392" s="225"/>
      <c r="AZ2392" s="225"/>
      <c r="BA2392" s="225"/>
      <c r="BB2392" s="225"/>
      <c r="BC2392" s="56"/>
      <c r="BD2392" s="56"/>
      <c r="BE2392" s="56"/>
      <c r="BF2392" s="107" t="str">
        <f t="shared" si="1868"/>
        <v>https://www.google.com/search?tbm=isch&amp;q=Maroon%20Swoon%20has%20Deep%20Green%20foliage%2C%20subtle%20Bronzing%20in%20fall.%20Trumpet-shaped%20flowers%20on%20old%20wood%E2%80%94prune%20right%20after%20spring%20bloom%20</v>
      </c>
      <c r="BG2392" s="107" t="str">
        <f t="shared" si="1869"/>
        <v>M</v>
      </c>
      <c r="BH2392" s="254"/>
      <c r="BI2392" s="254"/>
    </row>
    <row r="2393" spans="1:61" customFormat="1" ht="18" x14ac:dyDescent="0.25">
      <c r="A2393" s="521" t="s">
        <v>1317</v>
      </c>
      <c r="B2393" s="477"/>
      <c r="C2393" s="674"/>
      <c r="D2393" s="478" t="s">
        <v>1318</v>
      </c>
      <c r="E2393" s="479"/>
      <c r="F2393" s="479"/>
      <c r="G2393" s="479"/>
      <c r="H2393" s="582" t="s">
        <v>407</v>
      </c>
      <c r="I2393" s="480" t="s">
        <v>2097</v>
      </c>
      <c r="J2393" s="479"/>
      <c r="K2393" s="479"/>
      <c r="L2393" s="560"/>
      <c r="M2393" s="666" t="s">
        <v>4966</v>
      </c>
      <c r="N2393" s="680" t="str">
        <f>IF(AND(ISTEXT($A2393), ISERROR($A2393+0)), HYPERLINK($BF2393, "Images"), "")</f>
        <v>Images</v>
      </c>
      <c r="O2393" s="662" t="s">
        <v>4969</v>
      </c>
      <c r="P2393" s="482"/>
      <c r="Q2393" s="483"/>
      <c r="R2393" s="483"/>
      <c r="S2393" s="484"/>
      <c r="T2393" s="508">
        <f t="shared" si="1857"/>
        <v>0</v>
      </c>
      <c r="U2393" s="225" t="str">
        <f>IF(NOT(ISNUMBER(G2393)), "", VLOOKUP(A2393,'Discount Lookup'!D:E,2,FALSE)*G2393)</f>
        <v/>
      </c>
      <c r="V2393" s="225" t="str">
        <f>IF(NOT(ISNUMBER(G2393)), "", VLOOKUP(A2393,'Discount Lookup'!G:H,2,FALSE)*G2393)</f>
        <v/>
      </c>
      <c r="W2393" s="508">
        <f t="shared" si="1858"/>
        <v>0</v>
      </c>
      <c r="X2393" s="508" t="str">
        <f t="shared" si="1859"/>
        <v>Deep Green foliage</v>
      </c>
      <c r="Y2393" s="509" t="b">
        <f t="shared" si="1860"/>
        <v>0</v>
      </c>
      <c r="Z2393" s="510">
        <f t="shared" si="1861"/>
        <v>0</v>
      </c>
      <c r="AA2393" s="511"/>
      <c r="AB2393" s="511" t="str">
        <f t="shared" si="1862"/>
        <v/>
      </c>
      <c r="AC2393" s="698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698"/>
      <c r="AE2393" s="631" t="str">
        <f t="shared" si="1863"/>
        <v/>
      </c>
      <c r="AF2393" s="699" t="str">
        <f t="shared" si="1864"/>
        <v/>
      </c>
      <c r="AG2393" s="699"/>
      <c r="AH2393" s="699"/>
      <c r="AI2393" s="512">
        <f>IF(H2393="credit",0,IF(AE2393="free",0,IF(AE2393="me",0,IF(G2393&gt;0,(VLOOKUP(A2393,'Discount Lookup'!J:K,2)*G2393),0))))</f>
        <v>0</v>
      </c>
      <c r="AJ2393" s="513" t="str">
        <f t="shared" ca="1" si="1865"/>
        <v/>
      </c>
      <c r="AK2393" s="700" t="str">
        <f t="shared" si="1866"/>
        <v/>
      </c>
      <c r="AL2393" s="700"/>
      <c r="AM2393" s="505" t="str">
        <f t="shared" si="1867"/>
        <v/>
      </c>
      <c r="AN2393" s="506"/>
      <c r="AO2393" s="507"/>
      <c r="AP2393" s="507"/>
      <c r="AQ2393" s="507"/>
      <c r="AR2393" s="507"/>
      <c r="AS2393" s="507"/>
      <c r="AT2393" s="507"/>
      <c r="AU2393" s="507"/>
      <c r="AV2393" s="225"/>
      <c r="AW2393" s="508"/>
      <c r="AX2393" s="225"/>
      <c r="AY2393" s="225"/>
      <c r="AZ2393" s="225"/>
      <c r="BA2393" s="225"/>
      <c r="BB2393" s="225"/>
      <c r="BC2393" s="56"/>
      <c r="BD2393" s="56"/>
      <c r="BE2393" s="56"/>
      <c r="BF2393" s="107" t="str">
        <f t="shared" si="1868"/>
        <v>https://www.google.com/search?tbm=isch&amp;q=Mary%20Nell%20Holly%20Ilex%20%27Mary%20Nell%27</v>
      </c>
      <c r="BG2393" s="107" t="str">
        <f t="shared" si="1869"/>
        <v>M</v>
      </c>
      <c r="BH2393" s="254"/>
      <c r="BI2393" s="254"/>
    </row>
    <row r="2394" spans="1:61" customFormat="1" ht="15.75" x14ac:dyDescent="0.25">
      <c r="A2394" s="485">
        <v>15</v>
      </c>
      <c r="B2394" s="486" t="s">
        <v>291</v>
      </c>
      <c r="C2394" s="487" t="s">
        <v>4915</v>
      </c>
      <c r="D2394" s="488" t="s">
        <v>297</v>
      </c>
      <c r="E2394" s="489">
        <v>155.94999999999999</v>
      </c>
      <c r="F2394" s="516" t="s">
        <v>293</v>
      </c>
      <c r="G2394" s="232">
        <v>0</v>
      </c>
      <c r="H2394" s="658" t="str">
        <f>IF(G2394=0,"",IF(F2394="Buy",IF(G2394=1,"plant","plants"),IF(F2394&gt;0.01,"warranty","Error")))</f>
        <v/>
      </c>
      <c r="I2394" s="490">
        <f>IF(H2394="free",0,IF(H2394="credit",((E2394*(F2394))*G2394*-1),IF(F2394="Buy",(E2394*G2394),((E2394*(1-F2394))*G2394))))</f>
        <v>0</v>
      </c>
      <c r="J2394" s="490">
        <f>IF(H2394="warranty",0,(I2394*(_xlfn.SINGLE(SalesTaxPercentage))))</f>
        <v>0</v>
      </c>
      <c r="K2394" s="695">
        <f t="shared" ref="K2394" si="1874">I2394+J2394</f>
        <v>0</v>
      </c>
      <c r="L2394" s="695"/>
      <c r="M2394" s="659" t="str">
        <f>IF(AND(G2394&gt;0,E2394=0),"WARNING - no PRICE inserted",IF(H2394="free"," FREE ~ no charge this plant",IF(H2394="credit",CONCATENATE(" -$",ROUND(K2394*(1-T2GDiscount)*-1,2)," CREDIT after discount"),IF(T2GDiscount=0,"",IF(G2394=0,"",IF(F2394="Buy",CONCATENATE(" $",ROUND(K2394*(1-T2GDiscount),2)," with ",(T2GDiscount*100),"% discount"),CONCATENATE(" $",ROUND(K2394*(1-T2GDiscount),2)," with ",((T2GDiscount*100+F2394*100)-(T2GDiscount*100*F2394)),IF(F2394&gt;0,"% discounts",IF(NoWarrantyDiscount&gt;0,"% discounts","% discount")))))))))</f>
        <v/>
      </c>
      <c r="N2394" s="660"/>
      <c r="O2394" s="233"/>
      <c r="P2394" s="233"/>
      <c r="Q2394" s="233"/>
      <c r="R2394" s="233"/>
      <c r="S2394" s="233"/>
      <c r="T2394" s="508">
        <f t="shared" si="1857"/>
        <v>0</v>
      </c>
      <c r="U2394" s="225">
        <f>IF(NOT(ISNUMBER(G2394)), "", VLOOKUP(A2394,'Discount Lookup'!D:E,2,FALSE)*G2394)</f>
        <v>0</v>
      </c>
      <c r="V2394" s="225">
        <f>IF(NOT(ISNUMBER(G2394)), "", VLOOKUP(A2394,'Discount Lookup'!G:H,2,FALSE)*G2394)</f>
        <v>0</v>
      </c>
      <c r="W2394" s="508">
        <f t="shared" si="1858"/>
        <v>0</v>
      </c>
      <c r="X2394" s="508">
        <f t="shared" si="1859"/>
        <v>0</v>
      </c>
      <c r="Y2394" s="509" t="b">
        <f t="shared" si="1860"/>
        <v>0</v>
      </c>
      <c r="Z2394" s="510">
        <f t="shared" si="1861"/>
        <v>0</v>
      </c>
      <c r="AA2394" s="511"/>
      <c r="AB2394" s="511" t="str">
        <f t="shared" si="1862"/>
        <v/>
      </c>
      <c r="AC2394" s="698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698"/>
      <c r="AE2394" s="631" t="str">
        <f t="shared" si="1863"/>
        <v/>
      </c>
      <c r="AF2394" s="699" t="str">
        <f t="shared" si="1864"/>
        <v/>
      </c>
      <c r="AG2394" s="699"/>
      <c r="AH2394" s="699"/>
      <c r="AI2394" s="512">
        <f>IF(H2394="credit",0,IF(AE2394="free",0,IF(AE2394="me",0,IF(G2394&gt;0,(VLOOKUP(A2394,'Discount Lookup'!J:K,2)*G2394),0))))</f>
        <v>0</v>
      </c>
      <c r="AJ2394" s="513" t="str">
        <f t="shared" ca="1" si="1865"/>
        <v/>
      </c>
      <c r="AK2394" s="700" t="str">
        <f t="shared" si="1866"/>
        <v/>
      </c>
      <c r="AL2394" s="700"/>
      <c r="AM2394" s="505" t="str">
        <f t="shared" si="1867"/>
        <v/>
      </c>
      <c r="AN2394" s="506"/>
      <c r="AO2394" s="507"/>
      <c r="AP2394" s="507"/>
      <c r="AQ2394" s="507"/>
      <c r="AR2394" s="507"/>
      <c r="AS2394" s="507"/>
      <c r="AT2394" s="507"/>
      <c r="AU2394" s="507"/>
      <c r="AV2394" s="225"/>
      <c r="AW2394" s="508"/>
      <c r="AX2394" s="225"/>
      <c r="AY2394" s="225"/>
      <c r="AZ2394" s="225"/>
      <c r="BA2394" s="225"/>
      <c r="BB2394" s="225"/>
      <c r="BC2394" s="56"/>
      <c r="BD2394" s="56"/>
      <c r="BE2394" s="56"/>
      <c r="BF2394" s="107" t="str">
        <f t="shared" si="1868"/>
        <v>https://www.google.com/search?tbm=isch&amp;q=15%20G3</v>
      </c>
      <c r="BG2394" s="107" t="str">
        <f t="shared" si="1869"/>
        <v>M</v>
      </c>
      <c r="BH2394" s="254"/>
      <c r="BI2394" s="254"/>
    </row>
    <row r="2395" spans="1:61" customFormat="1" ht="17.25" thickBot="1" x14ac:dyDescent="0.3">
      <c r="A2395" s="522" t="s">
        <v>2163</v>
      </c>
      <c r="B2395" s="491"/>
      <c r="C2395" s="675"/>
      <c r="D2395" s="491"/>
      <c r="E2395" s="491"/>
      <c r="F2395" s="492"/>
      <c r="G2395" s="493"/>
      <c r="H2395" s="491"/>
      <c r="I2395" s="234"/>
      <c r="J2395" s="234"/>
      <c r="K2395" s="494"/>
      <c r="L2395" s="543"/>
      <c r="M2395" s="561"/>
      <c r="N2395" s="495"/>
      <c r="O2395" s="496"/>
      <c r="P2395" s="497"/>
      <c r="Q2395" s="495"/>
      <c r="R2395" s="495"/>
      <c r="S2395" s="667" t="s">
        <v>4982</v>
      </c>
      <c r="T2395" s="508">
        <f t="shared" si="1857"/>
        <v>0</v>
      </c>
      <c r="U2395" s="225" t="str">
        <f>IF(NOT(ISNUMBER(G2395)), "", VLOOKUP(A2395,'Discount Lookup'!D:E,2,FALSE)*G2395)</f>
        <v/>
      </c>
      <c r="V2395" s="225" t="str">
        <f>IF(NOT(ISNUMBER(G2395)), "", VLOOKUP(A2395,'Discount Lookup'!G:H,2,FALSE)*G2395)</f>
        <v/>
      </c>
      <c r="W2395" s="508">
        <f t="shared" si="1858"/>
        <v>0</v>
      </c>
      <c r="X2395" s="508">
        <f t="shared" si="1859"/>
        <v>0</v>
      </c>
      <c r="Y2395" s="509" t="b">
        <f t="shared" si="1860"/>
        <v>0</v>
      </c>
      <c r="Z2395" s="510">
        <f t="shared" si="1861"/>
        <v>0</v>
      </c>
      <c r="AA2395" s="511"/>
      <c r="AB2395" s="511" t="str">
        <f t="shared" si="1862"/>
        <v/>
      </c>
      <c r="AC2395" s="698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698"/>
      <c r="AE2395" s="631" t="str">
        <f t="shared" si="1863"/>
        <v/>
      </c>
      <c r="AF2395" s="699" t="str">
        <f t="shared" si="1864"/>
        <v/>
      </c>
      <c r="AG2395" s="699"/>
      <c r="AH2395" s="699"/>
      <c r="AI2395" s="512">
        <f>IF(H2395="credit",0,IF(AE2395="free",0,IF(AE2395="me",0,IF(G2395&gt;0,(VLOOKUP(A2395,'Discount Lookup'!J:K,2)*G2395),0))))</f>
        <v>0</v>
      </c>
      <c r="AJ2395" s="513" t="str">
        <f t="shared" ca="1" si="1865"/>
        <v/>
      </c>
      <c r="AK2395" s="700" t="str">
        <f t="shared" si="1866"/>
        <v/>
      </c>
      <c r="AL2395" s="700"/>
      <c r="AM2395" s="505" t="str">
        <f t="shared" si="1867"/>
        <v/>
      </c>
      <c r="AN2395" s="506"/>
      <c r="AO2395" s="507"/>
      <c r="AP2395" s="507"/>
      <c r="AQ2395" s="507"/>
      <c r="AR2395" s="507"/>
      <c r="AS2395" s="507"/>
      <c r="AT2395" s="507"/>
      <c r="AU2395" s="507"/>
      <c r="AV2395" s="225"/>
      <c r="AW2395" s="508"/>
      <c r="AX2395" s="225"/>
      <c r="AY2395" s="225"/>
      <c r="AZ2395" s="225"/>
      <c r="BA2395" s="225"/>
      <c r="BB2395" s="225"/>
      <c r="BC2395" s="56"/>
      <c r="BD2395" s="56"/>
      <c r="BE2395" s="56"/>
      <c r="BF2395" s="107" t="str">
        <f t="shared" si="1868"/>
        <v>https://www.google.com/search?tbm=isch&amp;q=Mary%20Nell%27s%20spiny%20foliage%20defends%20itself%20well.%20Requires%20a%20male%20pollinator%20for%20good%20berry%20set%20</v>
      </c>
      <c r="BG2395" s="107" t="str">
        <f t="shared" si="1869"/>
        <v>M</v>
      </c>
      <c r="BH2395" s="254"/>
      <c r="BI2395" s="254"/>
    </row>
    <row r="2396" spans="1:61" customFormat="1" ht="18" x14ac:dyDescent="0.25">
      <c r="A2396" s="523" t="s">
        <v>1319</v>
      </c>
      <c r="B2396" s="235"/>
      <c r="C2396" s="676"/>
      <c r="D2396" s="255" t="s">
        <v>1320</v>
      </c>
      <c r="E2396" s="236"/>
      <c r="F2396" s="236"/>
      <c r="G2396" s="236"/>
      <c r="H2396" s="582" t="s">
        <v>2947</v>
      </c>
      <c r="I2396" s="498" t="s">
        <v>4122</v>
      </c>
      <c r="J2396" s="237"/>
      <c r="K2396" s="237"/>
      <c r="L2396" s="274"/>
      <c r="M2396" s="668" t="s">
        <v>4975</v>
      </c>
      <c r="N2396" s="681" t="str">
        <f>IF(AND(ISTEXT($A2396), ISERROR($A2396+0)), HYPERLINK($BF2396, "Images"), "")</f>
        <v>Images</v>
      </c>
      <c r="O2396" s="663" t="s">
        <v>4967</v>
      </c>
      <c r="P2396" s="253"/>
      <c r="Q2396" s="238"/>
      <c r="R2396" s="239"/>
      <c r="S2396" s="275"/>
      <c r="T2396" s="508">
        <f t="shared" si="1857"/>
        <v>0</v>
      </c>
      <c r="U2396" s="225" t="str">
        <f>IF(NOT(ISNUMBER(G2396)), "", VLOOKUP(A2396,'Discount Lookup'!D:E,2,FALSE)*G2396)</f>
        <v/>
      </c>
      <c r="V2396" s="225" t="str">
        <f>IF(NOT(ISNUMBER(G2396)), "", VLOOKUP(A2396,'Discount Lookup'!G:H,2,FALSE)*G2396)</f>
        <v/>
      </c>
      <c r="W2396" s="508">
        <f t="shared" si="1858"/>
        <v>0</v>
      </c>
      <c r="X2396" s="508" t="str">
        <f t="shared" si="1859"/>
        <v>Indigo flower spikes</v>
      </c>
      <c r="Y2396" s="509" t="b">
        <f t="shared" si="1860"/>
        <v>0</v>
      </c>
      <c r="Z2396" s="510">
        <f t="shared" si="1861"/>
        <v>0</v>
      </c>
      <c r="AA2396" s="511"/>
      <c r="AB2396" s="511" t="str">
        <f t="shared" si="1862"/>
        <v/>
      </c>
      <c r="AC2396" s="698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698"/>
      <c r="AE2396" s="631" t="str">
        <f t="shared" si="1863"/>
        <v/>
      </c>
      <c r="AF2396" s="699" t="str">
        <f t="shared" si="1864"/>
        <v/>
      </c>
      <c r="AG2396" s="699"/>
      <c r="AH2396" s="699"/>
      <c r="AI2396" s="512">
        <f>IF(H2396="credit",0,IF(AE2396="free",0,IF(AE2396="me",0,IF(G2396&gt;0,(VLOOKUP(A2396,'Discount Lookup'!J:K,2)*G2396),0))))</f>
        <v>0</v>
      </c>
      <c r="AJ2396" s="513" t="str">
        <f t="shared" ca="1" si="1865"/>
        <v/>
      </c>
      <c r="AK2396" s="700" t="str">
        <f t="shared" si="1866"/>
        <v/>
      </c>
      <c r="AL2396" s="700"/>
      <c r="AM2396" s="505" t="str">
        <f t="shared" si="1867"/>
        <v/>
      </c>
      <c r="AN2396" s="506"/>
      <c r="AO2396" s="507"/>
      <c r="AP2396" s="507"/>
      <c r="AQ2396" s="507"/>
      <c r="AR2396" s="507"/>
      <c r="AS2396" s="507"/>
      <c r="AT2396" s="507"/>
      <c r="AU2396" s="507"/>
      <c r="AV2396" s="225"/>
      <c r="AW2396" s="508"/>
      <c r="AX2396" s="225"/>
      <c r="AY2396" s="225"/>
      <c r="AZ2396" s="225"/>
      <c r="BA2396" s="225"/>
      <c r="BB2396" s="225"/>
      <c r="BC2396" s="56"/>
      <c r="BD2396" s="56"/>
      <c r="BE2396" s="56"/>
      <c r="BF2396" s="107" t="str">
        <f t="shared" si="1868"/>
        <v>https://www.google.com/search?tbm=isch&amp;q=May%20Night%20Salvia%20Salvia%20nemorosa%20%27May%20Night%27</v>
      </c>
      <c r="BG2396" s="107" t="str">
        <f t="shared" si="1869"/>
        <v>M</v>
      </c>
      <c r="BH2396" s="254"/>
      <c r="BI2396" s="254"/>
    </row>
    <row r="2397" spans="1:61" customFormat="1" ht="15.75" x14ac:dyDescent="0.25">
      <c r="A2397" s="276">
        <v>1</v>
      </c>
      <c r="B2397" s="240" t="s">
        <v>291</v>
      </c>
      <c r="C2397" s="241"/>
      <c r="D2397" s="242" t="s">
        <v>300</v>
      </c>
      <c r="E2397" s="243">
        <v>21.95</v>
      </c>
      <c r="F2397" s="517" t="s">
        <v>293</v>
      </c>
      <c r="G2397" s="232">
        <v>0</v>
      </c>
      <c r="H2397" s="661" t="str">
        <f>IF(G2397=0,"",IF(F2397="Buy",IF(G2397=1,"plant","plants"),IF(F2397&gt;0.01,"warranty","Error")))</f>
        <v/>
      </c>
      <c r="I2397" s="244">
        <f>IF(H2397="free",0,IF(H2397="credit",((E2397*(F2397))*G2397*-1),IF(F2397="Buy",(E2397*G2397),((E2397*(1-F2397))*G2397))))</f>
        <v>0</v>
      </c>
      <c r="J2397" s="244">
        <f>IF(H2397="warranty",0,(I2397*(_xlfn.SINGLE(SalesTaxPercentage))))</f>
        <v>0</v>
      </c>
      <c r="K2397" s="696">
        <f t="shared" ref="K2397" si="1875">I2397+J2397</f>
        <v>0</v>
      </c>
      <c r="L2397" s="696"/>
      <c r="M2397" s="659" t="str">
        <f>IF(AND(G2397&gt;0,E2397=0),"WARNING - no PRICE inserted",IF(H2397="free"," FREE ~ no charge this plant",IF(H2397="credit",CONCATENATE(" -$",ROUND(K2397*(1-T2GDiscount)*-1,2)," CREDIT after discount"),IF(T2GDiscount=0,"",IF(G2397=0,"",IF(F2397="Buy",CONCATENATE(" $",ROUND(K2397*(1-T2GDiscount),2)," with ",(T2GDiscount*100),"% discount"),CONCATENATE(" $",ROUND(K2397*(1-T2GDiscount),2)," with ",((T2GDiscount*100+F2397*100)-(T2GDiscount*100*F2397)),IF(F2397&gt;0,"% discounts",IF(NoWarrantyDiscount&gt;0,"% discounts","% discount")))))))))</f>
        <v/>
      </c>
      <c r="N2397" s="660"/>
      <c r="O2397" s="233"/>
      <c r="P2397" s="233"/>
      <c r="Q2397" s="233"/>
      <c r="R2397" s="233"/>
      <c r="S2397" s="233"/>
      <c r="T2397" s="508">
        <f t="shared" si="1857"/>
        <v>0</v>
      </c>
      <c r="U2397" s="225">
        <f>IF(NOT(ISNUMBER(G2397)), "", VLOOKUP(A2397,'Discount Lookup'!D:E,2,FALSE)*G2397)</f>
        <v>0</v>
      </c>
      <c r="V2397" s="225">
        <f>IF(NOT(ISNUMBER(G2397)), "", VLOOKUP(A2397,'Discount Lookup'!G:H,2,FALSE)*G2397)</f>
        <v>0</v>
      </c>
      <c r="W2397" s="508">
        <f t="shared" si="1858"/>
        <v>0</v>
      </c>
      <c r="X2397" s="508">
        <f t="shared" si="1859"/>
        <v>0</v>
      </c>
      <c r="Y2397" s="509" t="b">
        <f t="shared" si="1860"/>
        <v>0</v>
      </c>
      <c r="Z2397" s="510">
        <f t="shared" si="1861"/>
        <v>0</v>
      </c>
      <c r="AA2397" s="511"/>
      <c r="AB2397" s="511" t="str">
        <f t="shared" si="1862"/>
        <v/>
      </c>
      <c r="AC2397" s="698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698"/>
      <c r="AE2397" s="631" t="str">
        <f t="shared" si="1863"/>
        <v/>
      </c>
      <c r="AF2397" s="699" t="str">
        <f t="shared" si="1864"/>
        <v/>
      </c>
      <c r="AG2397" s="699"/>
      <c r="AH2397" s="699"/>
      <c r="AI2397" s="512">
        <f>IF(H2397="credit",0,IF(AE2397="free",0,IF(AE2397="me",0,IF(G2397&gt;0,(VLOOKUP(A2397,'Discount Lookup'!J:K,2)*G2397),0))))</f>
        <v>0</v>
      </c>
      <c r="AJ2397" s="513" t="str">
        <f t="shared" ca="1" si="1865"/>
        <v/>
      </c>
      <c r="AK2397" s="700" t="str">
        <f t="shared" si="1866"/>
        <v/>
      </c>
      <c r="AL2397" s="700"/>
      <c r="AM2397" s="505" t="str">
        <f t="shared" si="1867"/>
        <v/>
      </c>
      <c r="AN2397" s="506"/>
      <c r="AO2397" s="507"/>
      <c r="AP2397" s="507"/>
      <c r="AQ2397" s="507"/>
      <c r="AR2397" s="507"/>
      <c r="AS2397" s="507"/>
      <c r="AT2397" s="507"/>
      <c r="AU2397" s="507"/>
      <c r="AV2397" s="225"/>
      <c r="AW2397" s="508"/>
      <c r="AX2397" s="225"/>
      <c r="AY2397" s="225"/>
      <c r="AZ2397" s="225"/>
      <c r="BA2397" s="225"/>
      <c r="BB2397" s="225"/>
      <c r="BC2397" s="56"/>
      <c r="BD2397" s="56"/>
      <c r="BE2397" s="56"/>
      <c r="BF2397" s="107" t="str">
        <f t="shared" si="1868"/>
        <v>https://www.google.com/search?tbm=isch&amp;q=1%20G6</v>
      </c>
      <c r="BG2397" s="107" t="str">
        <f t="shared" si="1869"/>
        <v>M</v>
      </c>
      <c r="BH2397" s="254"/>
      <c r="BI2397" s="254"/>
    </row>
    <row r="2398" spans="1:61" customFormat="1" ht="15.75" x14ac:dyDescent="0.25">
      <c r="A2398" s="276">
        <v>2</v>
      </c>
      <c r="B2398" s="240" t="s">
        <v>291</v>
      </c>
      <c r="C2398" s="241"/>
      <c r="D2398" s="242" t="s">
        <v>300</v>
      </c>
      <c r="E2398" s="243">
        <v>31.95</v>
      </c>
      <c r="F2398" s="517" t="s">
        <v>293</v>
      </c>
      <c r="G2398" s="232">
        <v>0</v>
      </c>
      <c r="H2398" s="661" t="str">
        <f>IF(G2398=0,"",IF(F2398="Buy",IF(G2398=1,"plant","plants"),IF(F2398&gt;0.01,"warranty","Error")))</f>
        <v/>
      </c>
      <c r="I2398" s="244">
        <f>IF(H2398="free",0,IF(H2398="credit",((E2398*(F2398))*G2398*-1),IF(F2398="Buy",(E2398*G2398),((E2398*(1-F2398))*G2398))))</f>
        <v>0</v>
      </c>
      <c r="J2398" s="244">
        <f>IF(H2398="warranty",0,(I2398*(_xlfn.SINGLE(SalesTaxPercentage))))</f>
        <v>0</v>
      </c>
      <c r="K2398" s="696">
        <f t="shared" ref="K2398" si="1876">I2398+J2398</f>
        <v>0</v>
      </c>
      <c r="L2398" s="696"/>
      <c r="M2398" s="659" t="str">
        <f>IF(AND(G2398&gt;0,E2398=0),"WARNING - no PRICE inserted",IF(H2398="free"," FREE ~ no charge this plant",IF(H2398="credit",CONCATENATE(" -$",ROUND(K2398*(1-T2GDiscount)*-1,2)," CREDIT after discount"),IF(T2GDiscount=0,"",IF(G2398=0,"",IF(F2398="Buy",CONCATENATE(" $",ROUND(K2398*(1-T2GDiscount),2)," with ",(T2GDiscount*100),"% discount"),CONCATENATE(" $",ROUND(K2398*(1-T2GDiscount),2)," with ",((T2GDiscount*100+F2398*100)-(T2GDiscount*100*F2398)),IF(F2398&gt;0,"% discounts",IF(NoWarrantyDiscount&gt;0,"% discounts","% discount")))))))))</f>
        <v/>
      </c>
      <c r="N2398" s="660"/>
      <c r="O2398" s="233"/>
      <c r="P2398" s="233"/>
      <c r="Q2398" s="233"/>
      <c r="R2398" s="233"/>
      <c r="S2398" s="233"/>
      <c r="T2398" s="508">
        <f t="shared" si="1857"/>
        <v>0</v>
      </c>
      <c r="U2398" s="225">
        <f>IF(NOT(ISNUMBER(G2398)), "", VLOOKUP(A2398,'Discount Lookup'!D:E,2,FALSE)*G2398)</f>
        <v>0</v>
      </c>
      <c r="V2398" s="225">
        <f>IF(NOT(ISNUMBER(G2398)), "", VLOOKUP(A2398,'Discount Lookup'!G:H,2,FALSE)*G2398)</f>
        <v>0</v>
      </c>
      <c r="W2398" s="508">
        <f t="shared" si="1858"/>
        <v>0</v>
      </c>
      <c r="X2398" s="508">
        <f t="shared" si="1859"/>
        <v>0</v>
      </c>
      <c r="Y2398" s="509" t="b">
        <f t="shared" si="1860"/>
        <v>0</v>
      </c>
      <c r="Z2398" s="510">
        <f t="shared" si="1861"/>
        <v>0</v>
      </c>
      <c r="AA2398" s="511"/>
      <c r="AB2398" s="511" t="str">
        <f t="shared" si="1862"/>
        <v/>
      </c>
      <c r="AC2398" s="698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698"/>
      <c r="AE2398" s="631" t="str">
        <f t="shared" si="1863"/>
        <v/>
      </c>
      <c r="AF2398" s="699" t="str">
        <f t="shared" si="1864"/>
        <v/>
      </c>
      <c r="AG2398" s="699"/>
      <c r="AH2398" s="699"/>
      <c r="AI2398" s="512">
        <f>IF(H2398="credit",0,IF(AE2398="free",0,IF(AE2398="me",0,IF(G2398&gt;0,(VLOOKUP(A2398,'Discount Lookup'!J:K,2)*G2398),0))))</f>
        <v>0</v>
      </c>
      <c r="AJ2398" s="513" t="str">
        <f t="shared" ca="1" si="1865"/>
        <v/>
      </c>
      <c r="AK2398" s="700" t="str">
        <f t="shared" si="1866"/>
        <v/>
      </c>
      <c r="AL2398" s="700"/>
      <c r="AM2398" s="505" t="str">
        <f t="shared" si="1867"/>
        <v/>
      </c>
      <c r="AN2398" s="506"/>
      <c r="AO2398" s="507"/>
      <c r="AP2398" s="507"/>
      <c r="AQ2398" s="507"/>
      <c r="AR2398" s="507"/>
      <c r="AS2398" s="507"/>
      <c r="AT2398" s="507"/>
      <c r="AU2398" s="507"/>
      <c r="AV2398" s="225"/>
      <c r="AW2398" s="508"/>
      <c r="AX2398" s="225"/>
      <c r="AY2398" s="225"/>
      <c r="AZ2398" s="225"/>
      <c r="BA2398" s="225"/>
      <c r="BB2398" s="225"/>
      <c r="BC2398" s="56"/>
      <c r="BD2398" s="56"/>
      <c r="BE2398" s="56"/>
      <c r="BF2398" s="107" t="str">
        <f t="shared" si="1868"/>
        <v>https://www.google.com/search?tbm=isch&amp;q=2%20G6</v>
      </c>
      <c r="BG2398" s="107" t="str">
        <f t="shared" si="1869"/>
        <v>M</v>
      </c>
      <c r="BH2398" s="254"/>
      <c r="BI2398" s="254"/>
    </row>
    <row r="2399" spans="1:61" customFormat="1" ht="17.25" thickBot="1" x14ac:dyDescent="0.3">
      <c r="A2399" s="524" t="s">
        <v>4123</v>
      </c>
      <c r="B2399" s="245"/>
      <c r="C2399" s="677"/>
      <c r="D2399" s="499"/>
      <c r="E2399" s="499"/>
      <c r="F2399" s="500"/>
      <c r="G2399" s="501"/>
      <c r="H2399" s="502"/>
      <c r="I2399" s="246"/>
      <c r="J2399" s="247"/>
      <c r="K2399" s="503"/>
      <c r="L2399" s="544"/>
      <c r="M2399" s="544"/>
      <c r="N2399" s="500"/>
      <c r="O2399" s="500"/>
      <c r="P2399" s="500"/>
      <c r="Q2399" s="500"/>
      <c r="R2399" s="500"/>
      <c r="S2399" s="669" t="s">
        <v>5020</v>
      </c>
      <c r="T2399" s="508">
        <f t="shared" si="1857"/>
        <v>0</v>
      </c>
      <c r="U2399" s="225" t="str">
        <f>IF(NOT(ISNUMBER(G2399)), "", VLOOKUP(A2399,'Discount Lookup'!D:E,2,FALSE)*G2399)</f>
        <v/>
      </c>
      <c r="V2399" s="225" t="str">
        <f>IF(NOT(ISNUMBER(G2399)), "", VLOOKUP(A2399,'Discount Lookup'!G:H,2,FALSE)*G2399)</f>
        <v/>
      </c>
      <c r="W2399" s="508">
        <f t="shared" si="1858"/>
        <v>0</v>
      </c>
      <c r="X2399" s="508">
        <f t="shared" si="1859"/>
        <v>0</v>
      </c>
      <c r="Y2399" s="509" t="b">
        <f t="shared" si="1860"/>
        <v>0</v>
      </c>
      <c r="Z2399" s="510">
        <f t="shared" si="1861"/>
        <v>0</v>
      </c>
      <c r="AA2399" s="511"/>
      <c r="AB2399" s="511" t="str">
        <f t="shared" si="1862"/>
        <v/>
      </c>
      <c r="AC2399" s="698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698"/>
      <c r="AE2399" s="631" t="str">
        <f t="shared" si="1863"/>
        <v/>
      </c>
      <c r="AF2399" s="699" t="str">
        <f t="shared" si="1864"/>
        <v/>
      </c>
      <c r="AG2399" s="699"/>
      <c r="AH2399" s="699"/>
      <c r="AI2399" s="512">
        <f>IF(H2399="credit",0,IF(AE2399="free",0,IF(AE2399="me",0,IF(G2399&gt;0,(VLOOKUP(A2399,'Discount Lookup'!J:K,2)*G2399),0))))</f>
        <v>0</v>
      </c>
      <c r="AJ2399" s="513" t="str">
        <f t="shared" ca="1" si="1865"/>
        <v/>
      </c>
      <c r="AK2399" s="700" t="str">
        <f t="shared" si="1866"/>
        <v/>
      </c>
      <c r="AL2399" s="700"/>
      <c r="AM2399" s="505" t="str">
        <f t="shared" si="1867"/>
        <v/>
      </c>
      <c r="AN2399" s="506"/>
      <c r="AO2399" s="507"/>
      <c r="AP2399" s="507"/>
      <c r="AQ2399" s="507"/>
      <c r="AR2399" s="507"/>
      <c r="AS2399" s="507"/>
      <c r="AT2399" s="507"/>
      <c r="AU2399" s="507"/>
      <c r="AV2399" s="225"/>
      <c r="AW2399" s="508"/>
      <c r="AX2399" s="225"/>
      <c r="AY2399" s="225"/>
      <c r="AZ2399" s="225"/>
      <c r="BA2399" s="225"/>
      <c r="BB2399" s="225"/>
      <c r="BC2399" s="56"/>
      <c r="BD2399" s="56"/>
      <c r="BE2399" s="56"/>
      <c r="BF2399" s="107" t="str">
        <f t="shared" si="1868"/>
        <v>https://www.google.com/search?tbm=isch&amp;q=May%20Night%20blooms%20very%20early%20%28late%20spring%29.%20Aromatic%20Dark%20Green%20foliage.%20Will%20rebloom%20with%20deadheading%0A%20</v>
      </c>
      <c r="BG2399" s="107" t="str">
        <f t="shared" si="1869"/>
        <v>M</v>
      </c>
      <c r="BH2399" s="254"/>
      <c r="BI2399" s="254"/>
    </row>
    <row r="2400" spans="1:61" customFormat="1" ht="18" x14ac:dyDescent="0.25">
      <c r="A2400" s="523" t="s">
        <v>5451</v>
      </c>
      <c r="B2400" s="235"/>
      <c r="C2400" s="676"/>
      <c r="D2400" s="255" t="s">
        <v>1321</v>
      </c>
      <c r="E2400" s="236"/>
      <c r="F2400" s="236"/>
      <c r="G2400" s="236"/>
      <c r="H2400" s="582" t="s">
        <v>1045</v>
      </c>
      <c r="I2400" s="498" t="s">
        <v>1522</v>
      </c>
      <c r="J2400" s="237"/>
      <c r="K2400" s="237"/>
      <c r="L2400" s="274"/>
      <c r="M2400" s="668" t="s">
        <v>4975</v>
      </c>
      <c r="N2400" s="681" t="str">
        <f>IF(AND(ISTEXT($A2400), ISERROR($A2400+0)), HYPERLINK($BF2400, "Images"), "")</f>
        <v>Images</v>
      </c>
      <c r="O2400" s="663" t="s">
        <v>4967</v>
      </c>
      <c r="P2400" s="253"/>
      <c r="Q2400" s="238"/>
      <c r="R2400" s="239"/>
      <c r="S2400" s="275"/>
      <c r="T2400" s="508">
        <f t="shared" si="1857"/>
        <v>0</v>
      </c>
      <c r="U2400" s="225" t="str">
        <f>IF(NOT(ISNUMBER(G2400)), "", VLOOKUP(A2400,'Discount Lookup'!D:E,2,FALSE)*G2400)</f>
        <v/>
      </c>
      <c r="V2400" s="225" t="str">
        <f>IF(NOT(ISNUMBER(G2400)), "", VLOOKUP(A2400,'Discount Lookup'!G:H,2,FALSE)*G2400)</f>
        <v/>
      </c>
      <c r="W2400" s="508">
        <f t="shared" si="1858"/>
        <v>0</v>
      </c>
      <c r="X2400" s="508" t="str">
        <f t="shared" si="1859"/>
        <v>Lavender-Pink bloom</v>
      </c>
      <c r="Y2400" s="509" t="b">
        <f t="shared" si="1860"/>
        <v>0</v>
      </c>
      <c r="Z2400" s="510">
        <f t="shared" si="1861"/>
        <v>0</v>
      </c>
      <c r="AA2400" s="511"/>
      <c r="AB2400" s="511" t="str">
        <f t="shared" si="1862"/>
        <v/>
      </c>
      <c r="AC2400" s="698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698"/>
      <c r="AE2400" s="631" t="str">
        <f t="shared" si="1863"/>
        <v/>
      </c>
      <c r="AF2400" s="699" t="str">
        <f t="shared" si="1864"/>
        <v/>
      </c>
      <c r="AG2400" s="699"/>
      <c r="AH2400" s="699"/>
      <c r="AI2400" s="512">
        <f>IF(H2400="credit",0,IF(AE2400="free",0,IF(AE2400="me",0,IF(G2400&gt;0,(VLOOKUP(A2400,'Discount Lookup'!J:K,2)*G2400),0))))</f>
        <v>0</v>
      </c>
      <c r="AJ2400" s="513" t="str">
        <f t="shared" ca="1" si="1865"/>
        <v/>
      </c>
      <c r="AK2400" s="700" t="str">
        <f t="shared" si="1866"/>
        <v/>
      </c>
      <c r="AL2400" s="700"/>
      <c r="AM2400" s="505" t="str">
        <f t="shared" si="1867"/>
        <v/>
      </c>
      <c r="AN2400" s="506"/>
      <c r="AO2400" s="507"/>
      <c r="AP2400" s="507"/>
      <c r="AQ2400" s="507"/>
      <c r="AR2400" s="507"/>
      <c r="AS2400" s="507"/>
      <c r="AT2400" s="507"/>
      <c r="AU2400" s="507"/>
      <c r="AV2400" s="225"/>
      <c r="AW2400" s="508"/>
      <c r="AX2400" s="225"/>
      <c r="AY2400" s="225"/>
      <c r="AZ2400" s="225"/>
      <c r="BA2400" s="225"/>
      <c r="BB2400" s="225"/>
      <c r="BC2400" s="56"/>
      <c r="BD2400" s="56"/>
      <c r="BE2400" s="56"/>
      <c r="BF2400" s="107" t="str">
        <f t="shared" si="1868"/>
        <v>https://www.google.com/search?tbm=isch&amp;q=Mercury%C2%AE%20Magnolia%20Magnolia%20%27NCMX1%27%20PP%2329218</v>
      </c>
      <c r="BG2400" s="107" t="str">
        <f t="shared" si="1869"/>
        <v>M</v>
      </c>
      <c r="BH2400" s="254"/>
      <c r="BI2400" s="254"/>
    </row>
    <row r="2401" spans="1:61" customFormat="1" ht="15.75" x14ac:dyDescent="0.25">
      <c r="A2401" s="276">
        <v>10</v>
      </c>
      <c r="B2401" s="240" t="s">
        <v>291</v>
      </c>
      <c r="C2401" s="241" t="s">
        <v>3638</v>
      </c>
      <c r="D2401" s="242" t="s">
        <v>292</v>
      </c>
      <c r="E2401" s="243">
        <v>173.95</v>
      </c>
      <c r="F2401" s="517" t="s">
        <v>293</v>
      </c>
      <c r="G2401" s="232">
        <v>0</v>
      </c>
      <c r="H2401" s="661" t="str">
        <f>IF(G2401=0,"",IF(F2401="Buy",IF(G2401=1,"plant","plants"),IF(F2401&gt;0.01,"warranty","Error")))</f>
        <v/>
      </c>
      <c r="I2401" s="244">
        <f>IF(H2401="free",0,IF(H2401="credit",((E2401*(F2401))*G2401*-1),IF(F2401="Buy",(E2401*G2401),((E2401*(1-F2401))*G2401))))</f>
        <v>0</v>
      </c>
      <c r="J2401" s="244">
        <f>IF(H2401="warranty",0,(I2401*(_xlfn.SINGLE(SalesTaxPercentage))))</f>
        <v>0</v>
      </c>
      <c r="K2401" s="696">
        <f t="shared" ref="K2401" si="1877">I2401+J2401</f>
        <v>0</v>
      </c>
      <c r="L2401" s="696"/>
      <c r="M2401" s="659" t="str">
        <f>IF(AND(G2401&gt;0,E2401=0),"WARNING - no PRICE inserted",IF(H2401="free"," FREE ~ no charge this plant",IF(H2401="credit",CONCATENATE(" -$",ROUND(K2401*(1-T2GDiscount)*-1,2)," CREDIT after discount"),IF(T2GDiscount=0,"",IF(G2401=0,"",IF(F2401="Buy",CONCATENATE(" $",ROUND(K2401*(1-T2GDiscount),2)," with ",(T2GDiscount*100),"% discount"),CONCATENATE(" $",ROUND(K2401*(1-T2GDiscount),2)," with ",((T2GDiscount*100+F2401*100)-(T2GDiscount*100*F2401)),IF(F2401&gt;0,"% discounts",IF(NoWarrantyDiscount&gt;0,"% discounts","% discount")))))))))</f>
        <v/>
      </c>
      <c r="N2401" s="660"/>
      <c r="O2401" s="233"/>
      <c r="P2401" s="233"/>
      <c r="Q2401" s="233"/>
      <c r="R2401" s="233"/>
      <c r="S2401" s="233"/>
      <c r="T2401" s="508">
        <f t="shared" si="1857"/>
        <v>0</v>
      </c>
      <c r="U2401" s="225">
        <f>IF(NOT(ISNUMBER(G2401)), "", VLOOKUP(A2401,'Discount Lookup'!D:E,2,FALSE)*G2401)</f>
        <v>0</v>
      </c>
      <c r="V2401" s="225">
        <f>IF(NOT(ISNUMBER(G2401)), "", VLOOKUP(A2401,'Discount Lookup'!G:H,2,FALSE)*G2401)</f>
        <v>0</v>
      </c>
      <c r="W2401" s="508">
        <f t="shared" si="1858"/>
        <v>0</v>
      </c>
      <c r="X2401" s="508">
        <f t="shared" si="1859"/>
        <v>0</v>
      </c>
      <c r="Y2401" s="509" t="b">
        <f t="shared" si="1860"/>
        <v>0</v>
      </c>
      <c r="Z2401" s="510">
        <f t="shared" si="1861"/>
        <v>0</v>
      </c>
      <c r="AA2401" s="511"/>
      <c r="AB2401" s="511" t="str">
        <f t="shared" si="1862"/>
        <v/>
      </c>
      <c r="AC2401" s="698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698"/>
      <c r="AE2401" s="631" t="str">
        <f t="shared" si="1863"/>
        <v/>
      </c>
      <c r="AF2401" s="699" t="str">
        <f t="shared" si="1864"/>
        <v/>
      </c>
      <c r="AG2401" s="699"/>
      <c r="AH2401" s="699"/>
      <c r="AI2401" s="512">
        <f>IF(H2401="credit",0,IF(AE2401="free",0,IF(AE2401="me",0,IF(G2401&gt;0,(VLOOKUP(A2401,'Discount Lookup'!J:K,2)*G2401),0))))</f>
        <v>0</v>
      </c>
      <c r="AJ2401" s="513" t="str">
        <f t="shared" ca="1" si="1865"/>
        <v/>
      </c>
      <c r="AK2401" s="700" t="str">
        <f t="shared" si="1866"/>
        <v/>
      </c>
      <c r="AL2401" s="700"/>
      <c r="AM2401" s="505" t="str">
        <f t="shared" si="1867"/>
        <v/>
      </c>
      <c r="AN2401" s="506"/>
      <c r="AO2401" s="507"/>
      <c r="AP2401" s="507"/>
      <c r="AQ2401" s="507"/>
      <c r="AR2401" s="507"/>
      <c r="AS2401" s="507"/>
      <c r="AT2401" s="507"/>
      <c r="AU2401" s="507"/>
      <c r="AV2401" s="225"/>
      <c r="AW2401" s="508"/>
      <c r="AX2401" s="225"/>
      <c r="AY2401" s="225"/>
      <c r="AZ2401" s="225"/>
      <c r="BA2401" s="225"/>
      <c r="BB2401" s="225"/>
      <c r="BC2401" s="56"/>
      <c r="BD2401" s="56"/>
      <c r="BE2401" s="56"/>
      <c r="BF2401" s="107" t="str">
        <f t="shared" si="1868"/>
        <v>https://www.google.com/search?tbm=isch&amp;q=10%20G4</v>
      </c>
      <c r="BG2401" s="107" t="str">
        <f t="shared" si="1869"/>
        <v>M</v>
      </c>
      <c r="BH2401" s="254"/>
      <c r="BI2401" s="254"/>
    </row>
    <row r="2402" spans="1:61" customFormat="1" ht="15.75" x14ac:dyDescent="0.25">
      <c r="A2402" s="276">
        <v>15</v>
      </c>
      <c r="B2402" s="240" t="s">
        <v>291</v>
      </c>
      <c r="C2402" s="241" t="s">
        <v>3639</v>
      </c>
      <c r="D2402" s="242" t="s">
        <v>292</v>
      </c>
      <c r="E2402" s="243">
        <v>192.95</v>
      </c>
      <c r="F2402" s="517" t="s">
        <v>293</v>
      </c>
      <c r="G2402" s="232">
        <v>0</v>
      </c>
      <c r="H2402" s="661" t="str">
        <f>IF(G2402=0,"",IF(F2402="Buy",IF(G2402=1,"plant","plants"),IF(F2402&gt;0.01,"warranty","Error")))</f>
        <v/>
      </c>
      <c r="I2402" s="244">
        <f>IF(H2402="free",0,IF(H2402="credit",((E2402*(F2402))*G2402*-1),IF(F2402="Buy",(E2402*G2402),((E2402*(1-F2402))*G2402))))</f>
        <v>0</v>
      </c>
      <c r="J2402" s="244">
        <f>IF(H2402="warranty",0,(I2402*(_xlfn.SINGLE(SalesTaxPercentage))))</f>
        <v>0</v>
      </c>
      <c r="K2402" s="696">
        <f t="shared" ref="K2402" si="1878">I2402+J2402</f>
        <v>0</v>
      </c>
      <c r="L2402" s="696"/>
      <c r="M2402" s="659" t="str">
        <f>IF(AND(G2402&gt;0,E2402=0),"WARNING - no PRICE inserted",IF(H2402="free"," FREE ~ no charge this plant",IF(H2402="credit",CONCATENATE(" -$",ROUND(K2402*(1-T2GDiscount)*-1,2)," CREDIT after discount"),IF(T2GDiscount=0,"",IF(G2402=0,"",IF(F2402="Buy",CONCATENATE(" $",ROUND(K2402*(1-T2GDiscount),2)," with ",(T2GDiscount*100),"% discount"),CONCATENATE(" $",ROUND(K2402*(1-T2GDiscount),2)," with ",((T2GDiscount*100+F2402*100)-(T2GDiscount*100*F2402)),IF(F2402&gt;0,"% discounts",IF(NoWarrantyDiscount&gt;0,"% discounts","% discount")))))))))</f>
        <v/>
      </c>
      <c r="N2402" s="660"/>
      <c r="O2402" s="233"/>
      <c r="P2402" s="233"/>
      <c r="Q2402" s="233"/>
      <c r="R2402" s="233"/>
      <c r="S2402" s="233"/>
      <c r="T2402" s="508">
        <f t="shared" si="1857"/>
        <v>0</v>
      </c>
      <c r="U2402" s="225">
        <f>IF(NOT(ISNUMBER(G2402)), "", VLOOKUP(A2402,'Discount Lookup'!D:E,2,FALSE)*G2402)</f>
        <v>0</v>
      </c>
      <c r="V2402" s="225">
        <f>IF(NOT(ISNUMBER(G2402)), "", VLOOKUP(A2402,'Discount Lookup'!G:H,2,FALSE)*G2402)</f>
        <v>0</v>
      </c>
      <c r="W2402" s="508">
        <f t="shared" si="1858"/>
        <v>0</v>
      </c>
      <c r="X2402" s="508">
        <f t="shared" si="1859"/>
        <v>0</v>
      </c>
      <c r="Y2402" s="509" t="b">
        <f t="shared" si="1860"/>
        <v>0</v>
      </c>
      <c r="Z2402" s="510">
        <f t="shared" si="1861"/>
        <v>0</v>
      </c>
      <c r="AA2402" s="511"/>
      <c r="AB2402" s="511" t="str">
        <f t="shared" si="1862"/>
        <v/>
      </c>
      <c r="AC2402" s="698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698"/>
      <c r="AE2402" s="631" t="str">
        <f t="shared" si="1863"/>
        <v/>
      </c>
      <c r="AF2402" s="699" t="str">
        <f t="shared" si="1864"/>
        <v/>
      </c>
      <c r="AG2402" s="699"/>
      <c r="AH2402" s="699"/>
      <c r="AI2402" s="512">
        <f>IF(H2402="credit",0,IF(AE2402="free",0,IF(AE2402="me",0,IF(G2402&gt;0,(VLOOKUP(A2402,'Discount Lookup'!J:K,2)*G2402),0))))</f>
        <v>0</v>
      </c>
      <c r="AJ2402" s="513" t="str">
        <f t="shared" ca="1" si="1865"/>
        <v/>
      </c>
      <c r="AK2402" s="700" t="str">
        <f t="shared" si="1866"/>
        <v/>
      </c>
      <c r="AL2402" s="700"/>
      <c r="AM2402" s="505" t="str">
        <f t="shared" si="1867"/>
        <v/>
      </c>
      <c r="AN2402" s="506"/>
      <c r="AO2402" s="507"/>
      <c r="AP2402" s="507"/>
      <c r="AQ2402" s="507"/>
      <c r="AR2402" s="507"/>
      <c r="AS2402" s="507"/>
      <c r="AT2402" s="507"/>
      <c r="AU2402" s="507"/>
      <c r="AV2402" s="225"/>
      <c r="AW2402" s="508"/>
      <c r="AX2402" s="225"/>
      <c r="AY2402" s="225"/>
      <c r="AZ2402" s="225"/>
      <c r="BA2402" s="225"/>
      <c r="BB2402" s="225"/>
      <c r="BC2402" s="56"/>
      <c r="BD2402" s="56"/>
      <c r="BE2402" s="56"/>
      <c r="BF2402" s="107" t="str">
        <f t="shared" si="1868"/>
        <v>https://www.google.com/search?tbm=isch&amp;q=15%20G4</v>
      </c>
      <c r="BG2402" s="107" t="str">
        <f t="shared" si="1869"/>
        <v>M</v>
      </c>
      <c r="BH2402" s="254"/>
      <c r="BI2402" s="254"/>
    </row>
    <row r="2403" spans="1:61" customFormat="1" ht="17.25" thickBot="1" x14ac:dyDescent="0.3">
      <c r="A2403" s="524" t="s">
        <v>4124</v>
      </c>
      <c r="B2403" s="245"/>
      <c r="C2403" s="677"/>
      <c r="D2403" s="499"/>
      <c r="E2403" s="499"/>
      <c r="F2403" s="500"/>
      <c r="G2403" s="501"/>
      <c r="H2403" s="502"/>
      <c r="I2403" s="246"/>
      <c r="J2403" s="247"/>
      <c r="K2403" s="503"/>
      <c r="L2403" s="544"/>
      <c r="M2403" s="544"/>
      <c r="N2403" s="500"/>
      <c r="O2403" s="500"/>
      <c r="P2403" s="500"/>
      <c r="Q2403" s="500"/>
      <c r="R2403" s="500"/>
      <c r="S2403" s="669" t="s">
        <v>4972</v>
      </c>
      <c r="T2403" s="508">
        <f t="shared" si="1857"/>
        <v>0</v>
      </c>
      <c r="U2403" s="225" t="str">
        <f>IF(NOT(ISNUMBER(G2403)), "", VLOOKUP(A2403,'Discount Lookup'!D:E,2,FALSE)*G2403)</f>
        <v/>
      </c>
      <c r="V2403" s="225" t="str">
        <f>IF(NOT(ISNUMBER(G2403)), "", VLOOKUP(A2403,'Discount Lookup'!G:H,2,FALSE)*G2403)</f>
        <v/>
      </c>
      <c r="W2403" s="508">
        <f t="shared" si="1858"/>
        <v>0</v>
      </c>
      <c r="X2403" s="508">
        <f t="shared" si="1859"/>
        <v>0</v>
      </c>
      <c r="Y2403" s="509" t="b">
        <f t="shared" si="1860"/>
        <v>0</v>
      </c>
      <c r="Z2403" s="510">
        <f t="shared" si="1861"/>
        <v>0</v>
      </c>
      <c r="AA2403" s="511"/>
      <c r="AB2403" s="511" t="str">
        <f t="shared" si="1862"/>
        <v/>
      </c>
      <c r="AC2403" s="698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698"/>
      <c r="AE2403" s="631" t="str">
        <f t="shared" si="1863"/>
        <v/>
      </c>
      <c r="AF2403" s="699" t="str">
        <f t="shared" si="1864"/>
        <v/>
      </c>
      <c r="AG2403" s="699"/>
      <c r="AH2403" s="699"/>
      <c r="AI2403" s="512">
        <f>IF(H2403="credit",0,IF(AE2403="free",0,IF(AE2403="me",0,IF(G2403&gt;0,(VLOOKUP(A2403,'Discount Lookup'!J:K,2)*G2403),0))))</f>
        <v>0</v>
      </c>
      <c r="AJ2403" s="513" t="str">
        <f t="shared" ca="1" si="1865"/>
        <v/>
      </c>
      <c r="AK2403" s="700" t="str">
        <f t="shared" si="1866"/>
        <v/>
      </c>
      <c r="AL2403" s="700"/>
      <c r="AM2403" s="505" t="str">
        <f t="shared" si="1867"/>
        <v/>
      </c>
      <c r="AN2403" s="506"/>
      <c r="AO2403" s="507"/>
      <c r="AP2403" s="507"/>
      <c r="AQ2403" s="507"/>
      <c r="AR2403" s="507"/>
      <c r="AS2403" s="507"/>
      <c r="AT2403" s="507"/>
      <c r="AU2403" s="507"/>
      <c r="AV2403" s="225"/>
      <c r="AW2403" s="508"/>
      <c r="AX2403" s="225"/>
      <c r="AY2403" s="225"/>
      <c r="AZ2403" s="225"/>
      <c r="BA2403" s="225"/>
      <c r="BB2403" s="225"/>
      <c r="BC2403" s="56"/>
      <c r="BD2403" s="56"/>
      <c r="BE2403" s="56"/>
      <c r="BF2403" s="107" t="str">
        <f t="shared" si="1868"/>
        <v>https://www.google.com/search?tbm=isch&amp;q=Mercury%20is%20semi-evergreen%2C%20keeping%20it%27s%20foliage%20in%20mild%20winter.%20Late%20bloomer%20avoids%20frost%20damage%20</v>
      </c>
      <c r="BG2403" s="107" t="str">
        <f t="shared" si="1869"/>
        <v>M</v>
      </c>
      <c r="BH2403" s="254"/>
      <c r="BI2403" s="254"/>
    </row>
    <row r="2404" spans="1:61" customFormat="1" ht="18" x14ac:dyDescent="0.25">
      <c r="A2404" s="523" t="s">
        <v>1322</v>
      </c>
      <c r="B2404" s="235"/>
      <c r="C2404" s="676"/>
      <c r="D2404" s="255" t="s">
        <v>1323</v>
      </c>
      <c r="E2404" s="236"/>
      <c r="F2404" s="236"/>
      <c r="G2404" s="236"/>
      <c r="H2404" s="582" t="s">
        <v>355</v>
      </c>
      <c r="I2404" s="498" t="s">
        <v>656</v>
      </c>
      <c r="J2404" s="237"/>
      <c r="K2404" s="237"/>
      <c r="L2404" s="274"/>
      <c r="M2404" s="668" t="s">
        <v>4975</v>
      </c>
      <c r="N2404" s="681" t="str">
        <f>IF(AND(ISTEXT($A2404), ISERROR($A2404+0)), HYPERLINK($BF2404, "Images"), "")</f>
        <v>Images</v>
      </c>
      <c r="O2404" s="663" t="s">
        <v>4974</v>
      </c>
      <c r="P2404" s="253"/>
      <c r="Q2404" s="238"/>
      <c r="R2404" s="239"/>
      <c r="S2404" s="275" t="s">
        <v>305</v>
      </c>
      <c r="T2404" s="508">
        <f t="shared" si="1857"/>
        <v>0</v>
      </c>
      <c r="U2404" s="225" t="str">
        <f>IF(NOT(ISNUMBER(G2404)), "", VLOOKUP(A2404,'Discount Lookup'!D:E,2,FALSE)*G2404)</f>
        <v/>
      </c>
      <c r="V2404" s="225" t="str">
        <f>IF(NOT(ISNUMBER(G2404)), "", VLOOKUP(A2404,'Discount Lookup'!G:H,2,FALSE)*G2404)</f>
        <v/>
      </c>
      <c r="W2404" s="508">
        <f t="shared" si="1858"/>
        <v>0</v>
      </c>
      <c r="X2404" s="508" t="str">
        <f t="shared" si="1859"/>
        <v>Pink bloom</v>
      </c>
      <c r="Y2404" s="509" t="b">
        <f t="shared" si="1860"/>
        <v>0</v>
      </c>
      <c r="Z2404" s="510">
        <f t="shared" si="1861"/>
        <v>0</v>
      </c>
      <c r="AA2404" s="511"/>
      <c r="AB2404" s="511" t="str">
        <f t="shared" si="1862"/>
        <v/>
      </c>
      <c r="AC2404" s="698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698"/>
      <c r="AE2404" s="631" t="str">
        <f t="shared" si="1863"/>
        <v/>
      </c>
      <c r="AF2404" s="699" t="str">
        <f t="shared" si="1864"/>
        <v/>
      </c>
      <c r="AG2404" s="699"/>
      <c r="AH2404" s="699"/>
      <c r="AI2404" s="512">
        <f>IF(H2404="credit",0,IF(AE2404="free",0,IF(AE2404="me",0,IF(G2404&gt;0,(VLOOKUP(A2404,'Discount Lookup'!J:K,2)*G2404),0))))</f>
        <v>0</v>
      </c>
      <c r="AJ2404" s="513" t="str">
        <f t="shared" ca="1" si="1865"/>
        <v/>
      </c>
      <c r="AK2404" s="700" t="str">
        <f t="shared" si="1866"/>
        <v/>
      </c>
      <c r="AL2404" s="700"/>
      <c r="AM2404" s="505" t="str">
        <f t="shared" si="1867"/>
        <v/>
      </c>
      <c r="AN2404" s="506"/>
      <c r="AO2404" s="507"/>
      <c r="AP2404" s="507"/>
      <c r="AQ2404" s="507"/>
      <c r="AR2404" s="507"/>
      <c r="AS2404" s="507"/>
      <c r="AT2404" s="507"/>
      <c r="AU2404" s="507"/>
      <c r="AV2404" s="225"/>
      <c r="AW2404" s="508"/>
      <c r="AX2404" s="225"/>
      <c r="AY2404" s="225"/>
      <c r="AZ2404" s="225"/>
      <c r="BA2404" s="225"/>
      <c r="BB2404" s="225"/>
      <c r="BC2404" s="56"/>
      <c r="BD2404" s="56"/>
      <c r="BE2404" s="56"/>
      <c r="BF2404" s="107" t="str">
        <f t="shared" si="1868"/>
        <v>https://www.google.com/search?tbm=isch&amp;q=Merlot%20Redbud%20Cercis%20canadensis%20%27Merlot%27%20PP%2322297</v>
      </c>
      <c r="BG2404" s="107" t="str">
        <f t="shared" si="1869"/>
        <v>M</v>
      </c>
      <c r="BH2404" s="254"/>
      <c r="BI2404" s="254"/>
    </row>
    <row r="2405" spans="1:61" customFormat="1" ht="15.75" x14ac:dyDescent="0.25">
      <c r="A2405" s="276">
        <v>7</v>
      </c>
      <c r="B2405" s="240" t="s">
        <v>291</v>
      </c>
      <c r="C2405" s="241" t="s">
        <v>4007</v>
      </c>
      <c r="D2405" s="242" t="s">
        <v>292</v>
      </c>
      <c r="E2405" s="243">
        <v>104.95</v>
      </c>
      <c r="F2405" s="517" t="s">
        <v>293</v>
      </c>
      <c r="G2405" s="232">
        <v>0</v>
      </c>
      <c r="H2405" s="661" t="str">
        <f>IF(G2405=0,"",IF(F2405="Buy",IF(G2405=1,"plant","plants"),IF(F2405&gt;0.01,"warranty","Error")))</f>
        <v/>
      </c>
      <c r="I2405" s="244">
        <f>IF(H2405="free",0,IF(H2405="credit",((E2405*(F2405))*G2405*-1),IF(F2405="Buy",(E2405*G2405),((E2405*(1-F2405))*G2405))))</f>
        <v>0</v>
      </c>
      <c r="J2405" s="244">
        <f>IF(H2405="warranty",0,(I2405*(_xlfn.SINGLE(SalesTaxPercentage))))</f>
        <v>0</v>
      </c>
      <c r="K2405" s="696">
        <f t="shared" ref="K2405" si="1879">I2405+J2405</f>
        <v>0</v>
      </c>
      <c r="L2405" s="696"/>
      <c r="M2405" s="659" t="str">
        <f>IF(AND(G2405&gt;0,E2405=0),"WARNING - no PRICE inserted",IF(H2405="free"," FREE ~ no charge this plant",IF(H2405="credit",CONCATENATE(" -$",ROUND(K2405*(1-T2GDiscount)*-1,2)," CREDIT after discount"),IF(T2GDiscount=0,"",IF(G2405=0,"",IF(F2405="Buy",CONCATENATE(" $",ROUND(K2405*(1-T2GDiscount),2)," with ",(T2GDiscount*100),"% discount"),CONCATENATE(" $",ROUND(K2405*(1-T2GDiscount),2)," with ",((T2GDiscount*100+F2405*100)-(T2GDiscount*100*F2405)),IF(F2405&gt;0,"% discounts",IF(NoWarrantyDiscount&gt;0,"% discounts","% discount")))))))))</f>
        <v/>
      </c>
      <c r="N2405" s="660"/>
      <c r="O2405" s="233"/>
      <c r="P2405" s="233"/>
      <c r="Q2405" s="233"/>
      <c r="R2405" s="233"/>
      <c r="S2405" s="233"/>
      <c r="T2405" s="508">
        <f t="shared" si="1857"/>
        <v>0</v>
      </c>
      <c r="U2405" s="225">
        <f>IF(NOT(ISNUMBER(G2405)), "", VLOOKUP(A2405,'Discount Lookup'!D:E,2,FALSE)*G2405)</f>
        <v>0</v>
      </c>
      <c r="V2405" s="225">
        <f>IF(NOT(ISNUMBER(G2405)), "", VLOOKUP(A2405,'Discount Lookup'!G:H,2,FALSE)*G2405)</f>
        <v>0</v>
      </c>
      <c r="W2405" s="508">
        <f t="shared" si="1858"/>
        <v>0</v>
      </c>
      <c r="X2405" s="508">
        <f t="shared" si="1859"/>
        <v>0</v>
      </c>
      <c r="Y2405" s="509" t="b">
        <f t="shared" si="1860"/>
        <v>0</v>
      </c>
      <c r="Z2405" s="510">
        <f t="shared" si="1861"/>
        <v>0</v>
      </c>
      <c r="AA2405" s="511"/>
      <c r="AB2405" s="511" t="str">
        <f t="shared" si="1862"/>
        <v/>
      </c>
      <c r="AC2405" s="698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698"/>
      <c r="AE2405" s="631" t="str">
        <f t="shared" si="1863"/>
        <v/>
      </c>
      <c r="AF2405" s="699" t="str">
        <f t="shared" si="1864"/>
        <v/>
      </c>
      <c r="AG2405" s="699"/>
      <c r="AH2405" s="699"/>
      <c r="AI2405" s="512">
        <f>IF(H2405="credit",0,IF(AE2405="free",0,IF(AE2405="me",0,IF(G2405&gt;0,(VLOOKUP(A2405,'Discount Lookup'!J:K,2)*G2405),0))))</f>
        <v>0</v>
      </c>
      <c r="AJ2405" s="513" t="str">
        <f t="shared" ca="1" si="1865"/>
        <v/>
      </c>
      <c r="AK2405" s="700" t="str">
        <f t="shared" si="1866"/>
        <v/>
      </c>
      <c r="AL2405" s="700"/>
      <c r="AM2405" s="505" t="str">
        <f t="shared" si="1867"/>
        <v/>
      </c>
      <c r="AN2405" s="506"/>
      <c r="AO2405" s="507"/>
      <c r="AP2405" s="507"/>
      <c r="AQ2405" s="507"/>
      <c r="AR2405" s="507"/>
      <c r="AS2405" s="507"/>
      <c r="AT2405" s="507"/>
      <c r="AU2405" s="507"/>
      <c r="AV2405" s="225"/>
      <c r="AW2405" s="508"/>
      <c r="AX2405" s="225"/>
      <c r="AY2405" s="225"/>
      <c r="AZ2405" s="225"/>
      <c r="BA2405" s="225"/>
      <c r="BB2405" s="225"/>
      <c r="BC2405" s="56"/>
      <c r="BD2405" s="56"/>
      <c r="BE2405" s="56"/>
      <c r="BF2405" s="107" t="str">
        <f t="shared" si="1868"/>
        <v>https://www.google.com/search?tbm=isch&amp;q=7%20G4</v>
      </c>
      <c r="BG2405" s="107" t="str">
        <f t="shared" si="1869"/>
        <v>M</v>
      </c>
      <c r="BH2405" s="254"/>
      <c r="BI2405" s="254"/>
    </row>
    <row r="2406" spans="1:61" customFormat="1" ht="15.75" x14ac:dyDescent="0.25">
      <c r="A2406" s="276">
        <v>10</v>
      </c>
      <c r="B2406" s="240" t="s">
        <v>291</v>
      </c>
      <c r="C2406" s="241" t="s">
        <v>821</v>
      </c>
      <c r="D2406" s="242" t="s">
        <v>312</v>
      </c>
      <c r="E2406" s="243">
        <v>146.94999999999999</v>
      </c>
      <c r="F2406" s="517" t="s">
        <v>293</v>
      </c>
      <c r="G2406" s="232">
        <v>0</v>
      </c>
      <c r="H2406" s="661" t="str">
        <f>IF(G2406=0,"",IF(F2406="Buy",IF(G2406=1,"plant","plants"),IF(F2406&gt;0.01,"warranty","Error")))</f>
        <v/>
      </c>
      <c r="I2406" s="244">
        <f>IF(H2406="free",0,IF(H2406="credit",((E2406*(F2406))*G2406*-1),IF(F2406="Buy",(E2406*G2406),((E2406*(1-F2406))*G2406))))</f>
        <v>0</v>
      </c>
      <c r="J2406" s="244">
        <f>IF(H2406="warranty",0,(I2406*(_xlfn.SINGLE(SalesTaxPercentage))))</f>
        <v>0</v>
      </c>
      <c r="K2406" s="696">
        <f t="shared" ref="K2406" si="1880">I2406+J2406</f>
        <v>0</v>
      </c>
      <c r="L2406" s="696"/>
      <c r="M2406" s="659" t="str">
        <f>IF(AND(G2406&gt;0,E2406=0),"WARNING - no PRICE inserted",IF(H2406="free"," FREE ~ no charge this plant",IF(H2406="credit",CONCATENATE(" -$",ROUND(K2406*(1-T2GDiscount)*-1,2)," CREDIT after discount"),IF(T2GDiscount=0,"",IF(G2406=0,"",IF(F2406="Buy",CONCATENATE(" $",ROUND(K2406*(1-T2GDiscount),2)," with ",(T2GDiscount*100),"% discount"),CONCATENATE(" $",ROUND(K2406*(1-T2GDiscount),2)," with ",((T2GDiscount*100+F2406*100)-(T2GDiscount*100*F2406)),IF(F2406&gt;0,"% discounts",IF(NoWarrantyDiscount&gt;0,"% discounts","% discount")))))))))</f>
        <v/>
      </c>
      <c r="N2406" s="660"/>
      <c r="O2406" s="233"/>
      <c r="P2406" s="233"/>
      <c r="Q2406" s="233"/>
      <c r="R2406" s="233"/>
      <c r="S2406" s="233"/>
      <c r="T2406" s="508">
        <f t="shared" si="1857"/>
        <v>0</v>
      </c>
      <c r="U2406" s="225">
        <f>IF(NOT(ISNUMBER(G2406)), "", VLOOKUP(A2406,'Discount Lookup'!D:E,2,FALSE)*G2406)</f>
        <v>0</v>
      </c>
      <c r="V2406" s="225">
        <f>IF(NOT(ISNUMBER(G2406)), "", VLOOKUP(A2406,'Discount Lookup'!G:H,2,FALSE)*G2406)</f>
        <v>0</v>
      </c>
      <c r="W2406" s="508">
        <f t="shared" si="1858"/>
        <v>0</v>
      </c>
      <c r="X2406" s="508">
        <f t="shared" si="1859"/>
        <v>0</v>
      </c>
      <c r="Y2406" s="509" t="b">
        <f t="shared" si="1860"/>
        <v>0</v>
      </c>
      <c r="Z2406" s="510">
        <f t="shared" si="1861"/>
        <v>0</v>
      </c>
      <c r="AA2406" s="511"/>
      <c r="AB2406" s="511" t="str">
        <f t="shared" si="1862"/>
        <v/>
      </c>
      <c r="AC2406" s="698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698"/>
      <c r="AE2406" s="631" t="str">
        <f t="shared" si="1863"/>
        <v/>
      </c>
      <c r="AF2406" s="699" t="str">
        <f t="shared" si="1864"/>
        <v/>
      </c>
      <c r="AG2406" s="699"/>
      <c r="AH2406" s="699"/>
      <c r="AI2406" s="512">
        <f>IF(H2406="credit",0,IF(AE2406="free",0,IF(AE2406="me",0,IF(G2406&gt;0,(VLOOKUP(A2406,'Discount Lookup'!J:K,2)*G2406),0))))</f>
        <v>0</v>
      </c>
      <c r="AJ2406" s="513" t="str">
        <f t="shared" ca="1" si="1865"/>
        <v/>
      </c>
      <c r="AK2406" s="700" t="str">
        <f t="shared" si="1866"/>
        <v/>
      </c>
      <c r="AL2406" s="700"/>
      <c r="AM2406" s="505" t="str">
        <f t="shared" si="1867"/>
        <v/>
      </c>
      <c r="AN2406" s="506"/>
      <c r="AO2406" s="507"/>
      <c r="AP2406" s="507"/>
      <c r="AQ2406" s="507"/>
      <c r="AR2406" s="507"/>
      <c r="AS2406" s="507"/>
      <c r="AT2406" s="507"/>
      <c r="AU2406" s="507"/>
      <c r="AV2406" s="225"/>
      <c r="AW2406" s="508"/>
      <c r="AX2406" s="225"/>
      <c r="AY2406" s="225"/>
      <c r="AZ2406" s="225"/>
      <c r="BA2406" s="225"/>
      <c r="BB2406" s="225"/>
      <c r="BC2406" s="56"/>
      <c r="BD2406" s="56"/>
      <c r="BE2406" s="56"/>
      <c r="BF2406" s="107" t="str">
        <f t="shared" si="1868"/>
        <v>https://www.google.com/search?tbm=isch&amp;q=10%20G2</v>
      </c>
      <c r="BG2406" s="107" t="str">
        <f t="shared" si="1869"/>
        <v>M</v>
      </c>
      <c r="BH2406" s="254"/>
      <c r="BI2406" s="254"/>
    </row>
    <row r="2407" spans="1:61" customFormat="1" ht="15.75" x14ac:dyDescent="0.25">
      <c r="A2407" s="276">
        <v>15</v>
      </c>
      <c r="B2407" s="240" t="s">
        <v>291</v>
      </c>
      <c r="C2407" s="241" t="s">
        <v>4787</v>
      </c>
      <c r="D2407" s="242" t="s">
        <v>292</v>
      </c>
      <c r="E2407" s="243">
        <v>178.95</v>
      </c>
      <c r="F2407" s="517" t="s">
        <v>293</v>
      </c>
      <c r="G2407" s="232">
        <v>0</v>
      </c>
      <c r="H2407" s="661" t="str">
        <f>IF(G2407=0,"",IF(F2407="Buy",IF(G2407=1,"plant","plants"),IF(F2407&gt;0.01,"warranty","Error")))</f>
        <v/>
      </c>
      <c r="I2407" s="244">
        <f>IF(H2407="free",0,IF(H2407="credit",((E2407*(F2407))*G2407*-1),IF(F2407="Buy",(E2407*G2407),((E2407*(1-F2407))*G2407))))</f>
        <v>0</v>
      </c>
      <c r="J2407" s="244">
        <f>IF(H2407="warranty",0,(I2407*(_xlfn.SINGLE(SalesTaxPercentage))))</f>
        <v>0</v>
      </c>
      <c r="K2407" s="696">
        <f t="shared" ref="K2407" si="1881">I2407+J2407</f>
        <v>0</v>
      </c>
      <c r="L2407" s="696"/>
      <c r="M2407" s="659" t="str">
        <f>IF(AND(G2407&gt;0,E2407=0),"WARNING - no PRICE inserted",IF(H2407="free"," FREE ~ no charge this plant",IF(H2407="credit",CONCATENATE(" -$",ROUND(K2407*(1-T2GDiscount)*-1,2)," CREDIT after discount"),IF(T2GDiscount=0,"",IF(G2407=0,"",IF(F2407="Buy",CONCATENATE(" $",ROUND(K2407*(1-T2GDiscount),2)," with ",(T2GDiscount*100),"% discount"),CONCATENATE(" $",ROUND(K2407*(1-T2GDiscount),2)," with ",((T2GDiscount*100+F2407*100)-(T2GDiscount*100*F2407)),IF(F2407&gt;0,"% discounts",IF(NoWarrantyDiscount&gt;0,"% discounts","% discount")))))))))</f>
        <v/>
      </c>
      <c r="N2407" s="660"/>
      <c r="O2407" s="233"/>
      <c r="P2407" s="233"/>
      <c r="Q2407" s="233"/>
      <c r="R2407" s="233"/>
      <c r="S2407" s="233"/>
      <c r="T2407" s="508">
        <f t="shared" si="1857"/>
        <v>0</v>
      </c>
      <c r="U2407" s="225">
        <f>IF(NOT(ISNUMBER(G2407)), "", VLOOKUP(A2407,'Discount Lookup'!D:E,2,FALSE)*G2407)</f>
        <v>0</v>
      </c>
      <c r="V2407" s="225">
        <f>IF(NOT(ISNUMBER(G2407)), "", VLOOKUP(A2407,'Discount Lookup'!G:H,2,FALSE)*G2407)</f>
        <v>0</v>
      </c>
      <c r="W2407" s="508">
        <f t="shared" si="1858"/>
        <v>0</v>
      </c>
      <c r="X2407" s="508">
        <f t="shared" si="1859"/>
        <v>0</v>
      </c>
      <c r="Y2407" s="509" t="b">
        <f t="shared" si="1860"/>
        <v>0</v>
      </c>
      <c r="Z2407" s="510">
        <f t="shared" si="1861"/>
        <v>0</v>
      </c>
      <c r="AA2407" s="511"/>
      <c r="AB2407" s="511" t="str">
        <f t="shared" si="1862"/>
        <v/>
      </c>
      <c r="AC2407" s="698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698"/>
      <c r="AE2407" s="631" t="str">
        <f t="shared" si="1863"/>
        <v/>
      </c>
      <c r="AF2407" s="699" t="str">
        <f t="shared" si="1864"/>
        <v/>
      </c>
      <c r="AG2407" s="699"/>
      <c r="AH2407" s="699"/>
      <c r="AI2407" s="512">
        <f>IF(H2407="credit",0,IF(AE2407="free",0,IF(AE2407="me",0,IF(G2407&gt;0,(VLOOKUP(A2407,'Discount Lookup'!J:K,2)*G2407),0))))</f>
        <v>0</v>
      </c>
      <c r="AJ2407" s="513" t="str">
        <f t="shared" ca="1" si="1865"/>
        <v/>
      </c>
      <c r="AK2407" s="700" t="str">
        <f t="shared" si="1866"/>
        <v/>
      </c>
      <c r="AL2407" s="700"/>
      <c r="AM2407" s="505" t="str">
        <f t="shared" si="1867"/>
        <v/>
      </c>
      <c r="AN2407" s="506"/>
      <c r="AO2407" s="507"/>
      <c r="AP2407" s="507"/>
      <c r="AQ2407" s="507"/>
      <c r="AR2407" s="507"/>
      <c r="AS2407" s="507"/>
      <c r="AT2407" s="507"/>
      <c r="AU2407" s="507"/>
      <c r="AV2407" s="225"/>
      <c r="AW2407" s="508"/>
      <c r="AX2407" s="225"/>
      <c r="AY2407" s="225"/>
      <c r="AZ2407" s="225"/>
      <c r="BA2407" s="225"/>
      <c r="BB2407" s="225"/>
      <c r="BC2407" s="56"/>
      <c r="BD2407" s="56"/>
      <c r="BE2407" s="56"/>
      <c r="BF2407" s="107" t="str">
        <f t="shared" si="1868"/>
        <v>https://www.google.com/search?tbm=isch&amp;q=15%20G4</v>
      </c>
      <c r="BG2407" s="107" t="str">
        <f t="shared" si="1869"/>
        <v>M</v>
      </c>
      <c r="BH2407" s="254"/>
      <c r="BI2407" s="254"/>
    </row>
    <row r="2408" spans="1:61" customFormat="1" ht="17.25" thickBot="1" x14ac:dyDescent="0.3">
      <c r="A2408" s="524" t="s">
        <v>2164</v>
      </c>
      <c r="B2408" s="245"/>
      <c r="C2408" s="677"/>
      <c r="D2408" s="499"/>
      <c r="E2408" s="499"/>
      <c r="F2408" s="500"/>
      <c r="G2408" s="501"/>
      <c r="H2408" s="502"/>
      <c r="I2408" s="246"/>
      <c r="J2408" s="247"/>
      <c r="K2408" s="503"/>
      <c r="L2408" s="544"/>
      <c r="M2408" s="544"/>
      <c r="N2408" s="500"/>
      <c r="O2408" s="500"/>
      <c r="P2408" s="500"/>
      <c r="Q2408" s="500"/>
      <c r="R2408" s="500"/>
      <c r="S2408" s="669" t="s">
        <v>4976</v>
      </c>
      <c r="T2408" s="508">
        <f t="shared" si="1857"/>
        <v>0</v>
      </c>
      <c r="U2408" s="225" t="str">
        <f>IF(NOT(ISNUMBER(G2408)), "", VLOOKUP(A2408,'Discount Lookup'!D:E,2,FALSE)*G2408)</f>
        <v/>
      </c>
      <c r="V2408" s="225" t="str">
        <f>IF(NOT(ISNUMBER(G2408)), "", VLOOKUP(A2408,'Discount Lookup'!G:H,2,FALSE)*G2408)</f>
        <v/>
      </c>
      <c r="W2408" s="508">
        <f t="shared" si="1858"/>
        <v>0</v>
      </c>
      <c r="X2408" s="508">
        <f t="shared" si="1859"/>
        <v>0</v>
      </c>
      <c r="Y2408" s="509" t="b">
        <f t="shared" si="1860"/>
        <v>0</v>
      </c>
      <c r="Z2408" s="510">
        <f t="shared" si="1861"/>
        <v>0</v>
      </c>
      <c r="AA2408" s="511"/>
      <c r="AB2408" s="511" t="str">
        <f t="shared" si="1862"/>
        <v/>
      </c>
      <c r="AC2408" s="698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698"/>
      <c r="AE2408" s="631" t="str">
        <f t="shared" si="1863"/>
        <v/>
      </c>
      <c r="AF2408" s="699" t="str">
        <f t="shared" si="1864"/>
        <v/>
      </c>
      <c r="AG2408" s="699"/>
      <c r="AH2408" s="699"/>
      <c r="AI2408" s="512">
        <f>IF(H2408="credit",0,IF(AE2408="free",0,IF(AE2408="me",0,IF(G2408&gt;0,(VLOOKUP(A2408,'Discount Lookup'!J:K,2)*G2408),0))))</f>
        <v>0</v>
      </c>
      <c r="AJ2408" s="513" t="str">
        <f t="shared" ca="1" si="1865"/>
        <v/>
      </c>
      <c r="AK2408" s="700" t="str">
        <f t="shared" si="1866"/>
        <v/>
      </c>
      <c r="AL2408" s="700"/>
      <c r="AM2408" s="505" t="str">
        <f t="shared" si="1867"/>
        <v/>
      </c>
      <c r="AN2408" s="506"/>
      <c r="AO2408" s="507"/>
      <c r="AP2408" s="507"/>
      <c r="AQ2408" s="507"/>
      <c r="AR2408" s="507"/>
      <c r="AS2408" s="507"/>
      <c r="AT2408" s="507"/>
      <c r="AU2408" s="507"/>
      <c r="AV2408" s="225"/>
      <c r="AW2408" s="508"/>
      <c r="AX2408" s="225"/>
      <c r="AY2408" s="225"/>
      <c r="AZ2408" s="225"/>
      <c r="BA2408" s="225"/>
      <c r="BB2408" s="225"/>
      <c r="BC2408" s="56"/>
      <c r="BD2408" s="56"/>
      <c r="BE2408" s="56"/>
      <c r="BF2408" s="107" t="str">
        <f t="shared" si="1868"/>
        <v>https://www.google.com/search?tbm=isch&amp;q=Merlot%20foliage%20is%20color%20of%20wine%20by%20same%20name.%20Keeps%20color%20longer%20than%20most%20Redbuds.%20</v>
      </c>
      <c r="BG2408" s="107" t="str">
        <f t="shared" si="1869"/>
        <v>M</v>
      </c>
      <c r="BH2408" s="254"/>
      <c r="BI2408" s="254"/>
    </row>
    <row r="2409" spans="1:61" customFormat="1" ht="18" x14ac:dyDescent="0.25">
      <c r="A2409" s="523" t="s">
        <v>1324</v>
      </c>
      <c r="B2409" s="235"/>
      <c r="C2409" s="676"/>
      <c r="D2409" s="255" t="s">
        <v>1325</v>
      </c>
      <c r="E2409" s="236"/>
      <c r="F2409" s="236"/>
      <c r="G2409" s="236"/>
      <c r="H2409" s="582" t="s">
        <v>506</v>
      </c>
      <c r="I2409" s="498" t="s">
        <v>1326</v>
      </c>
      <c r="J2409" s="237"/>
      <c r="K2409" s="237"/>
      <c r="L2409" s="274"/>
      <c r="M2409" s="668" t="s">
        <v>4975</v>
      </c>
      <c r="N2409" s="681" t="str">
        <f>IF(AND(ISTEXT($A2409), ISERROR($A2409+0)), HYPERLINK($BF2409, "Images"), "")</f>
        <v>Images</v>
      </c>
      <c r="O2409" s="663" t="s">
        <v>4969</v>
      </c>
      <c r="P2409" s="253"/>
      <c r="Q2409" s="238"/>
      <c r="R2409" s="239"/>
      <c r="S2409" s="275"/>
      <c r="T2409" s="508">
        <f t="shared" si="1857"/>
        <v>0</v>
      </c>
      <c r="U2409" s="225" t="str">
        <f>IF(NOT(ISNUMBER(G2409)), "", VLOOKUP(A2409,'Discount Lookup'!D:E,2,FALSE)*G2409)</f>
        <v/>
      </c>
      <c r="V2409" s="225" t="str">
        <f>IF(NOT(ISNUMBER(G2409)), "", VLOOKUP(A2409,'Discount Lookup'!G:H,2,FALSE)*G2409)</f>
        <v/>
      </c>
      <c r="W2409" s="508">
        <f t="shared" si="1858"/>
        <v>0</v>
      </c>
      <c r="X2409" s="508" t="str">
        <f t="shared" si="1859"/>
        <v>Yellow to Brown bloom</v>
      </c>
      <c r="Y2409" s="509" t="b">
        <f t="shared" si="1860"/>
        <v>0</v>
      </c>
      <c r="Z2409" s="510">
        <f t="shared" si="1861"/>
        <v>0</v>
      </c>
      <c r="AA2409" s="511"/>
      <c r="AB2409" s="511" t="str">
        <f t="shared" si="1862"/>
        <v/>
      </c>
      <c r="AC2409" s="698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698"/>
      <c r="AE2409" s="631" t="str">
        <f t="shared" si="1863"/>
        <v/>
      </c>
      <c r="AF2409" s="699" t="str">
        <f t="shared" si="1864"/>
        <v/>
      </c>
      <c r="AG2409" s="699"/>
      <c r="AH2409" s="699"/>
      <c r="AI2409" s="512">
        <f>IF(H2409="credit",0,IF(AE2409="free",0,IF(AE2409="me",0,IF(G2409&gt;0,(VLOOKUP(A2409,'Discount Lookup'!J:K,2)*G2409),0))))</f>
        <v>0</v>
      </c>
      <c r="AJ2409" s="513" t="str">
        <f t="shared" ca="1" si="1865"/>
        <v/>
      </c>
      <c r="AK2409" s="700" t="str">
        <f t="shared" si="1866"/>
        <v/>
      </c>
      <c r="AL2409" s="700"/>
      <c r="AM2409" s="505" t="str">
        <f t="shared" si="1867"/>
        <v/>
      </c>
      <c r="AN2409" s="506"/>
      <c r="AO2409" s="507"/>
      <c r="AP2409" s="507"/>
      <c r="AQ2409" s="507"/>
      <c r="AR2409" s="507"/>
      <c r="AS2409" s="507"/>
      <c r="AT2409" s="507"/>
      <c r="AU2409" s="507"/>
      <c r="AV2409" s="225"/>
      <c r="AW2409" s="508"/>
      <c r="AX2409" s="225"/>
      <c r="AY2409" s="225"/>
      <c r="AZ2409" s="225"/>
      <c r="BA2409" s="225"/>
      <c r="BB2409" s="225"/>
      <c r="BC2409" s="56"/>
      <c r="BD2409" s="56"/>
      <c r="BE2409" s="56"/>
      <c r="BF2409" s="107" t="str">
        <f t="shared" si="1868"/>
        <v>https://www.google.com/search?tbm=isch&amp;q=Mexican%20Feather%20Grass%20Nassella%20tenuissima</v>
      </c>
      <c r="BG2409" s="107" t="str">
        <f t="shared" si="1869"/>
        <v>M</v>
      </c>
      <c r="BH2409" s="254"/>
      <c r="BI2409" s="254"/>
    </row>
    <row r="2410" spans="1:61" customFormat="1" ht="15.75" x14ac:dyDescent="0.25">
      <c r="A2410" s="276">
        <v>1</v>
      </c>
      <c r="B2410" s="240" t="s">
        <v>291</v>
      </c>
      <c r="C2410" s="241"/>
      <c r="D2410" s="242" t="s">
        <v>298</v>
      </c>
      <c r="E2410" s="243">
        <v>9.9499999999999993</v>
      </c>
      <c r="F2410" s="517" t="s">
        <v>293</v>
      </c>
      <c r="G2410" s="232">
        <v>0</v>
      </c>
      <c r="H2410" s="661" t="str">
        <f>IF(G2410=0,"",IF(F2410="Buy",IF(G2410=1,"plant","plants"),IF(F2410&gt;0.01,"warranty","Error")))</f>
        <v/>
      </c>
      <c r="I2410" s="244">
        <f>IF(H2410="free",0,IF(H2410="credit",((E2410*(F2410))*G2410*-1),IF(F2410="Buy",(E2410*G2410),((E2410*(1-F2410))*G2410))))</f>
        <v>0</v>
      </c>
      <c r="J2410" s="244">
        <f>IF(H2410="warranty",0,(I2410*(_xlfn.SINGLE(SalesTaxPercentage))))</f>
        <v>0</v>
      </c>
      <c r="K2410" s="696">
        <f t="shared" ref="K2410" si="1882">I2410+J2410</f>
        <v>0</v>
      </c>
      <c r="L2410" s="696"/>
      <c r="M2410" s="659" t="str">
        <f>IF(AND(G2410&gt;0,E2410=0),"WARNING - no PRICE inserted",IF(H2410="free"," FREE ~ no charge this plant",IF(H2410="credit",CONCATENATE(" -$",ROUND(K2410*(1-T2GDiscount)*-1,2)," CREDIT after discount"),IF(T2GDiscount=0,"",IF(G2410=0,"",IF(F2410="Buy",CONCATENATE(" $",ROUND(K2410*(1-T2GDiscount),2)," with ",(T2GDiscount*100),"% discount"),CONCATENATE(" $",ROUND(K2410*(1-T2GDiscount),2)," with ",((T2GDiscount*100+F2410*100)-(T2GDiscount*100*F2410)),IF(F2410&gt;0,"% discounts",IF(NoWarrantyDiscount&gt;0,"% discounts","% discount")))))))))</f>
        <v/>
      </c>
      <c r="N2410" s="660"/>
      <c r="O2410" s="233"/>
      <c r="P2410" s="233"/>
      <c r="Q2410" s="233"/>
      <c r="R2410" s="233"/>
      <c r="S2410" s="233"/>
      <c r="T2410" s="508">
        <f t="shared" si="1857"/>
        <v>0</v>
      </c>
      <c r="U2410" s="225">
        <f>IF(NOT(ISNUMBER(G2410)), "", VLOOKUP(A2410,'Discount Lookup'!D:E,2,FALSE)*G2410)</f>
        <v>0</v>
      </c>
      <c r="V2410" s="225">
        <f>IF(NOT(ISNUMBER(G2410)), "", VLOOKUP(A2410,'Discount Lookup'!G:H,2,FALSE)*G2410)</f>
        <v>0</v>
      </c>
      <c r="W2410" s="508">
        <f t="shared" si="1858"/>
        <v>0</v>
      </c>
      <c r="X2410" s="508">
        <f t="shared" si="1859"/>
        <v>0</v>
      </c>
      <c r="Y2410" s="509" t="b">
        <f t="shared" si="1860"/>
        <v>0</v>
      </c>
      <c r="Z2410" s="510">
        <f t="shared" si="1861"/>
        <v>0</v>
      </c>
      <c r="AA2410" s="511"/>
      <c r="AB2410" s="511" t="str">
        <f t="shared" si="1862"/>
        <v/>
      </c>
      <c r="AC2410" s="698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698"/>
      <c r="AE2410" s="631" t="str">
        <f t="shared" si="1863"/>
        <v/>
      </c>
      <c r="AF2410" s="699" t="str">
        <f t="shared" si="1864"/>
        <v/>
      </c>
      <c r="AG2410" s="699"/>
      <c r="AH2410" s="699"/>
      <c r="AI2410" s="512">
        <f>IF(H2410="credit",0,IF(AE2410="free",0,IF(AE2410="me",0,IF(G2410&gt;0,(VLOOKUP(A2410,'Discount Lookup'!J:K,2)*G2410),0))))</f>
        <v>0</v>
      </c>
      <c r="AJ2410" s="513" t="str">
        <f t="shared" ca="1" si="1865"/>
        <v/>
      </c>
      <c r="AK2410" s="700" t="str">
        <f t="shared" si="1866"/>
        <v/>
      </c>
      <c r="AL2410" s="700"/>
      <c r="AM2410" s="505" t="str">
        <f t="shared" si="1867"/>
        <v/>
      </c>
      <c r="AN2410" s="506"/>
      <c r="AO2410" s="507"/>
      <c r="AP2410" s="507"/>
      <c r="AQ2410" s="507"/>
      <c r="AR2410" s="507"/>
      <c r="AS2410" s="507"/>
      <c r="AT2410" s="507"/>
      <c r="AU2410" s="507"/>
      <c r="AV2410" s="225"/>
      <c r="AW2410" s="508"/>
      <c r="AX2410" s="225"/>
      <c r="AY2410" s="225"/>
      <c r="AZ2410" s="225"/>
      <c r="BA2410" s="225"/>
      <c r="BB2410" s="225"/>
      <c r="BC2410" s="56"/>
      <c r="BD2410" s="56"/>
      <c r="BE2410" s="56"/>
      <c r="BF2410" s="107" t="str">
        <f t="shared" si="1868"/>
        <v>https://www.google.com/search?tbm=isch&amp;q=1%20G1</v>
      </c>
      <c r="BG2410" s="107" t="str">
        <f t="shared" si="1869"/>
        <v>M</v>
      </c>
      <c r="BH2410" s="254"/>
      <c r="BI2410" s="254"/>
    </row>
    <row r="2411" spans="1:61" customFormat="1" ht="17.25" thickBot="1" x14ac:dyDescent="0.3">
      <c r="A2411" s="524" t="s">
        <v>2434</v>
      </c>
      <c r="B2411" s="245"/>
      <c r="C2411" s="677"/>
      <c r="D2411" s="499"/>
      <c r="E2411" s="499"/>
      <c r="F2411" s="500"/>
      <c r="G2411" s="501"/>
      <c r="H2411" s="502"/>
      <c r="I2411" s="246"/>
      <c r="J2411" s="247"/>
      <c r="K2411" s="503"/>
      <c r="L2411" s="544"/>
      <c r="M2411" s="544"/>
      <c r="N2411" s="500"/>
      <c r="O2411" s="500"/>
      <c r="P2411" s="500"/>
      <c r="Q2411" s="500"/>
      <c r="R2411" s="500"/>
      <c r="S2411" s="669" t="s">
        <v>4993</v>
      </c>
      <c r="T2411" s="508">
        <f t="shared" si="1857"/>
        <v>0</v>
      </c>
      <c r="U2411" s="225" t="str">
        <f>IF(NOT(ISNUMBER(G2411)), "", VLOOKUP(A2411,'Discount Lookup'!D:E,2,FALSE)*G2411)</f>
        <v/>
      </c>
      <c r="V2411" s="225" t="str">
        <f>IF(NOT(ISNUMBER(G2411)), "", VLOOKUP(A2411,'Discount Lookup'!G:H,2,FALSE)*G2411)</f>
        <v/>
      </c>
      <c r="W2411" s="508">
        <f t="shared" si="1858"/>
        <v>0</v>
      </c>
      <c r="X2411" s="508">
        <f t="shared" si="1859"/>
        <v>0</v>
      </c>
      <c r="Y2411" s="509" t="b">
        <f t="shared" si="1860"/>
        <v>0</v>
      </c>
      <c r="Z2411" s="510">
        <f t="shared" si="1861"/>
        <v>0</v>
      </c>
      <c r="AA2411" s="511"/>
      <c r="AB2411" s="511" t="str">
        <f t="shared" si="1862"/>
        <v/>
      </c>
      <c r="AC2411" s="698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698"/>
      <c r="AE2411" s="631" t="str">
        <f t="shared" si="1863"/>
        <v/>
      </c>
      <c r="AF2411" s="699" t="str">
        <f t="shared" si="1864"/>
        <v/>
      </c>
      <c r="AG2411" s="699"/>
      <c r="AH2411" s="699"/>
      <c r="AI2411" s="512">
        <f>IF(H2411="credit",0,IF(AE2411="free",0,IF(AE2411="me",0,IF(G2411&gt;0,(VLOOKUP(A2411,'Discount Lookup'!J:K,2)*G2411),0))))</f>
        <v>0</v>
      </c>
      <c r="AJ2411" s="513" t="str">
        <f t="shared" ca="1" si="1865"/>
        <v/>
      </c>
      <c r="AK2411" s="700" t="str">
        <f t="shared" si="1866"/>
        <v/>
      </c>
      <c r="AL2411" s="700"/>
      <c r="AM2411" s="505" t="str">
        <f t="shared" si="1867"/>
        <v/>
      </c>
      <c r="AN2411" s="506"/>
      <c r="AO2411" s="507"/>
      <c r="AP2411" s="507"/>
      <c r="AQ2411" s="507"/>
      <c r="AR2411" s="507"/>
      <c r="AS2411" s="507"/>
      <c r="AT2411" s="507"/>
      <c r="AU2411" s="507"/>
      <c r="AV2411" s="225"/>
      <c r="AW2411" s="508"/>
      <c r="AX2411" s="225"/>
      <c r="AY2411" s="225"/>
      <c r="AZ2411" s="225"/>
      <c r="BA2411" s="225"/>
      <c r="BB2411" s="225"/>
      <c r="BC2411" s="56"/>
      <c r="BD2411" s="56"/>
      <c r="BE2411" s="56"/>
      <c r="BF2411" s="107" t="str">
        <f t="shared" si="1868"/>
        <v>https://www.google.com/search?tbm=isch&amp;q=Mexican%20Feather%20silvery%20thread-like%20foliage%20in%20late%20spring%2C%20turning%20golden%20brown%20toward%20fall%20</v>
      </c>
      <c r="BG2411" s="107" t="str">
        <f t="shared" si="1869"/>
        <v>M</v>
      </c>
      <c r="BH2411" s="254"/>
      <c r="BI2411" s="254"/>
    </row>
    <row r="2412" spans="1:61" customFormat="1" ht="18" x14ac:dyDescent="0.25">
      <c r="A2412" s="523" t="s">
        <v>5452</v>
      </c>
      <c r="B2412" s="235"/>
      <c r="C2412" s="676"/>
      <c r="D2412" s="255" t="s">
        <v>1327</v>
      </c>
      <c r="E2412" s="236"/>
      <c r="F2412" s="236"/>
      <c r="G2412" s="236"/>
      <c r="H2412" s="582" t="s">
        <v>508</v>
      </c>
      <c r="I2412" s="498" t="s">
        <v>2362</v>
      </c>
      <c r="J2412" s="237"/>
      <c r="K2412" s="237"/>
      <c r="L2412" s="274"/>
      <c r="M2412" s="668" t="s">
        <v>4962</v>
      </c>
      <c r="N2412" s="681" t="str">
        <f>IF(AND(ISTEXT($A2412), ISERROR($A2412+0)), HYPERLINK($BF2412, "Images"), "")</f>
        <v>Images</v>
      </c>
      <c r="O2412" s="663" t="s">
        <v>4971</v>
      </c>
      <c r="P2412" s="253"/>
      <c r="Q2412" s="238"/>
      <c r="R2412" s="239"/>
      <c r="S2412" s="275"/>
      <c r="T2412" s="508">
        <f t="shared" si="1857"/>
        <v>0</v>
      </c>
      <c r="U2412" s="225" t="str">
        <f>IF(NOT(ISNUMBER(G2412)), "", VLOOKUP(A2412,'Discount Lookup'!D:E,2,FALSE)*G2412)</f>
        <v/>
      </c>
      <c r="V2412" s="225" t="str">
        <f>IF(NOT(ISNUMBER(G2412)), "", VLOOKUP(A2412,'Discount Lookup'!G:H,2,FALSE)*G2412)</f>
        <v/>
      </c>
      <c r="W2412" s="508">
        <f t="shared" si="1858"/>
        <v>0</v>
      </c>
      <c r="X2412" s="508" t="str">
        <f t="shared" si="1859"/>
        <v>White to pale Pink bloom</v>
      </c>
      <c r="Y2412" s="509" t="b">
        <f t="shared" si="1860"/>
        <v>0</v>
      </c>
      <c r="Z2412" s="510">
        <f t="shared" si="1861"/>
        <v>0</v>
      </c>
      <c r="AA2412" s="511"/>
      <c r="AB2412" s="511" t="str">
        <f t="shared" si="1862"/>
        <v/>
      </c>
      <c r="AC2412" s="698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698"/>
      <c r="AE2412" s="631" t="str">
        <f t="shared" si="1863"/>
        <v/>
      </c>
      <c r="AF2412" s="699" t="str">
        <f t="shared" si="1864"/>
        <v/>
      </c>
      <c r="AG2412" s="699"/>
      <c r="AH2412" s="699"/>
      <c r="AI2412" s="512">
        <f>IF(H2412="credit",0,IF(AE2412="free",0,IF(AE2412="me",0,IF(G2412&gt;0,(VLOOKUP(A2412,'Discount Lookup'!J:K,2)*G2412),0))))</f>
        <v>0</v>
      </c>
      <c r="AJ2412" s="513" t="str">
        <f t="shared" ca="1" si="1865"/>
        <v/>
      </c>
      <c r="AK2412" s="700" t="str">
        <f t="shared" si="1866"/>
        <v/>
      </c>
      <c r="AL2412" s="700"/>
      <c r="AM2412" s="505" t="str">
        <f t="shared" si="1867"/>
        <v/>
      </c>
      <c r="AN2412" s="506"/>
      <c r="AO2412" s="507"/>
      <c r="AP2412" s="507"/>
      <c r="AQ2412" s="507"/>
      <c r="AR2412" s="507"/>
      <c r="AS2412" s="507"/>
      <c r="AT2412" s="507"/>
      <c r="AU2412" s="507"/>
      <c r="AV2412" s="225"/>
      <c r="AW2412" s="508"/>
      <c r="AX2412" s="225"/>
      <c r="AY2412" s="225"/>
      <c r="AZ2412" s="225"/>
      <c r="BA2412" s="225"/>
      <c r="BB2412" s="225"/>
      <c r="BC2412" s="56"/>
      <c r="BD2412" s="56"/>
      <c r="BE2412" s="56"/>
      <c r="BF2412" s="107" t="str">
        <f t="shared" si="1868"/>
        <v>https://www.google.com/search?tbm=isch&amp;q=Midnight%20Cascade%E2%84%A2%20Blueberry%20Vac.%20hybrid%20%27FC12-187%27%20PP%2332185</v>
      </c>
      <c r="BG2412" s="107" t="str">
        <f t="shared" si="1869"/>
        <v>M</v>
      </c>
      <c r="BH2412" s="254"/>
      <c r="BI2412" s="254"/>
    </row>
    <row r="2413" spans="1:61" customFormat="1" ht="15.75" x14ac:dyDescent="0.25">
      <c r="A2413" s="276">
        <v>1</v>
      </c>
      <c r="B2413" s="240" t="s">
        <v>291</v>
      </c>
      <c r="C2413" s="241" t="s">
        <v>3074</v>
      </c>
      <c r="D2413" s="242" t="s">
        <v>312</v>
      </c>
      <c r="E2413" s="243">
        <v>30.95</v>
      </c>
      <c r="F2413" s="517" t="s">
        <v>293</v>
      </c>
      <c r="G2413" s="232">
        <v>0</v>
      </c>
      <c r="H2413" s="661" t="str">
        <f>IF(G2413=0,"",IF(F2413="Buy",IF(G2413=1,"plant","plants"),IF(F2413&gt;0.01,"warranty","Error")))</f>
        <v/>
      </c>
      <c r="I2413" s="244">
        <f>IF(H2413="free",0,IF(H2413="credit",((E2413*(F2413))*G2413*-1),IF(F2413="Buy",(E2413*G2413),((E2413*(1-F2413))*G2413))))</f>
        <v>0</v>
      </c>
      <c r="J2413" s="244">
        <f>IF(H2413="warranty",0,(I2413*(_xlfn.SINGLE(SalesTaxPercentage))))</f>
        <v>0</v>
      </c>
      <c r="K2413" s="696">
        <f t="shared" ref="K2413" si="1883">I2413+J2413</f>
        <v>0</v>
      </c>
      <c r="L2413" s="696"/>
      <c r="M2413" s="659" t="str">
        <f>IF(AND(G2413&gt;0,E2413=0),"WARNING - no PRICE inserted",IF(H2413="free"," FREE ~ no charge this plant",IF(H2413="credit",CONCATENATE(" -$",ROUND(K2413*(1-T2GDiscount)*-1,2)," CREDIT after discount"),IF(T2GDiscount=0,"",IF(G2413=0,"",IF(F2413="Buy",CONCATENATE(" $",ROUND(K2413*(1-T2GDiscount),2)," with ",(T2GDiscount*100),"% discount"),CONCATENATE(" $",ROUND(K2413*(1-T2GDiscount),2)," with ",((T2GDiscount*100+F2413*100)-(T2GDiscount*100*F2413)),IF(F2413&gt;0,"% discounts",IF(NoWarrantyDiscount&gt;0,"% discounts","% discount")))))))))</f>
        <v/>
      </c>
      <c r="N2413" s="660"/>
      <c r="O2413" s="233"/>
      <c r="P2413" s="233"/>
      <c r="Q2413" s="233"/>
      <c r="R2413" s="233"/>
      <c r="S2413" s="233"/>
      <c r="T2413" s="508">
        <f t="shared" si="1857"/>
        <v>0</v>
      </c>
      <c r="U2413" s="225">
        <f>IF(NOT(ISNUMBER(G2413)), "", VLOOKUP(A2413,'Discount Lookup'!D:E,2,FALSE)*G2413)</f>
        <v>0</v>
      </c>
      <c r="V2413" s="225">
        <f>IF(NOT(ISNUMBER(G2413)), "", VLOOKUP(A2413,'Discount Lookup'!G:H,2,FALSE)*G2413)</f>
        <v>0</v>
      </c>
      <c r="W2413" s="508">
        <f t="shared" si="1858"/>
        <v>0</v>
      </c>
      <c r="X2413" s="508">
        <f t="shared" si="1859"/>
        <v>0</v>
      </c>
      <c r="Y2413" s="509" t="b">
        <f t="shared" si="1860"/>
        <v>0</v>
      </c>
      <c r="Z2413" s="510">
        <f t="shared" si="1861"/>
        <v>0</v>
      </c>
      <c r="AA2413" s="511"/>
      <c r="AB2413" s="511" t="str">
        <f t="shared" si="1862"/>
        <v/>
      </c>
      <c r="AC2413" s="698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698"/>
      <c r="AE2413" s="631" t="str">
        <f t="shared" si="1863"/>
        <v/>
      </c>
      <c r="AF2413" s="699" t="str">
        <f t="shared" si="1864"/>
        <v/>
      </c>
      <c r="AG2413" s="699"/>
      <c r="AH2413" s="699"/>
      <c r="AI2413" s="512">
        <f>IF(H2413="credit",0,IF(AE2413="free",0,IF(AE2413="me",0,IF(G2413&gt;0,(VLOOKUP(A2413,'Discount Lookup'!J:K,2)*G2413),0))))</f>
        <v>0</v>
      </c>
      <c r="AJ2413" s="513" t="str">
        <f t="shared" ca="1" si="1865"/>
        <v/>
      </c>
      <c r="AK2413" s="700" t="str">
        <f t="shared" si="1866"/>
        <v/>
      </c>
      <c r="AL2413" s="700"/>
      <c r="AM2413" s="505" t="str">
        <f t="shared" si="1867"/>
        <v/>
      </c>
      <c r="AN2413" s="506"/>
      <c r="AO2413" s="507"/>
      <c r="AP2413" s="507"/>
      <c r="AQ2413" s="507"/>
      <c r="AR2413" s="507"/>
      <c r="AS2413" s="507"/>
      <c r="AT2413" s="507"/>
      <c r="AU2413" s="507"/>
      <c r="AV2413" s="225"/>
      <c r="AW2413" s="508"/>
      <c r="AX2413" s="225"/>
      <c r="AY2413" s="225"/>
      <c r="AZ2413" s="225"/>
      <c r="BA2413" s="225"/>
      <c r="BB2413" s="225"/>
      <c r="BC2413" s="56"/>
      <c r="BD2413" s="56"/>
      <c r="BE2413" s="56"/>
      <c r="BF2413" s="107" t="str">
        <f t="shared" si="1868"/>
        <v>https://www.google.com/search?tbm=isch&amp;q=1%20G2</v>
      </c>
      <c r="BG2413" s="107" t="str">
        <f t="shared" si="1869"/>
        <v>M</v>
      </c>
      <c r="BH2413" s="254"/>
      <c r="BI2413" s="254"/>
    </row>
    <row r="2414" spans="1:61" customFormat="1" ht="17.25" thickBot="1" x14ac:dyDescent="0.3">
      <c r="A2414" s="673" t="s">
        <v>5172</v>
      </c>
      <c r="B2414" s="245"/>
      <c r="C2414" s="677"/>
      <c r="D2414" s="499"/>
      <c r="E2414" s="499"/>
      <c r="F2414" s="500"/>
      <c r="G2414" s="501"/>
      <c r="H2414" s="502"/>
      <c r="I2414" s="246"/>
      <c r="J2414" s="247"/>
      <c r="K2414" s="503"/>
      <c r="L2414" s="544"/>
      <c r="M2414" s="544"/>
      <c r="N2414" s="500"/>
      <c r="O2414" s="500"/>
      <c r="P2414" s="500"/>
      <c r="Q2414" s="500"/>
      <c r="R2414" s="500"/>
      <c r="S2414" s="669" t="s">
        <v>5021</v>
      </c>
      <c r="T2414" s="508">
        <f t="shared" si="1857"/>
        <v>0</v>
      </c>
      <c r="U2414" s="225" t="str">
        <f>IF(NOT(ISNUMBER(G2414)), "", VLOOKUP(A2414,'Discount Lookup'!D:E,2,FALSE)*G2414)</f>
        <v/>
      </c>
      <c r="V2414" s="225" t="str">
        <f>IF(NOT(ISNUMBER(G2414)), "", VLOOKUP(A2414,'Discount Lookup'!G:H,2,FALSE)*G2414)</f>
        <v/>
      </c>
      <c r="W2414" s="508">
        <f t="shared" si="1858"/>
        <v>0</v>
      </c>
      <c r="X2414" s="508">
        <f t="shared" si="1859"/>
        <v>0</v>
      </c>
      <c r="Y2414" s="509" t="b">
        <f t="shared" si="1860"/>
        <v>0</v>
      </c>
      <c r="Z2414" s="510">
        <f t="shared" si="1861"/>
        <v>0</v>
      </c>
      <c r="AA2414" s="511"/>
      <c r="AB2414" s="511" t="str">
        <f t="shared" si="1862"/>
        <v/>
      </c>
      <c r="AC2414" s="698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698"/>
      <c r="AE2414" s="631" t="str">
        <f t="shared" si="1863"/>
        <v/>
      </c>
      <c r="AF2414" s="699" t="str">
        <f t="shared" si="1864"/>
        <v/>
      </c>
      <c r="AG2414" s="699"/>
      <c r="AH2414" s="699"/>
      <c r="AI2414" s="512">
        <f>IF(H2414="credit",0,IF(AE2414="free",0,IF(AE2414="me",0,IF(G2414&gt;0,(VLOOKUP(A2414,'Discount Lookup'!J:K,2)*G2414),0))))</f>
        <v>0</v>
      </c>
      <c r="AJ2414" s="513" t="str">
        <f t="shared" ca="1" si="1865"/>
        <v/>
      </c>
      <c r="AK2414" s="700" t="str">
        <f t="shared" si="1866"/>
        <v/>
      </c>
      <c r="AL2414" s="700"/>
      <c r="AM2414" s="505" t="str">
        <f t="shared" si="1867"/>
        <v/>
      </c>
      <c r="AN2414" s="506"/>
      <c r="AO2414" s="507"/>
      <c r="AP2414" s="507"/>
      <c r="AQ2414" s="507"/>
      <c r="AR2414" s="507"/>
      <c r="AS2414" s="507"/>
      <c r="AT2414" s="507"/>
      <c r="AU2414" s="507"/>
      <c r="AV2414" s="225"/>
      <c r="AW2414" s="508"/>
      <c r="AX2414" s="225"/>
      <c r="AY2414" s="225"/>
      <c r="AZ2414" s="225"/>
      <c r="BA2414" s="225"/>
      <c r="BB2414" s="225"/>
      <c r="BC2414" s="56"/>
      <c r="BD2414" s="56"/>
      <c r="BE2414" s="56"/>
      <c r="BF2414" s="107" t="str">
        <f t="shared" si="1868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2414" s="107" t="str">
        <f t="shared" si="1869"/>
        <v>m</v>
      </c>
      <c r="BH2414" s="254"/>
      <c r="BI2414" s="254"/>
    </row>
    <row r="2415" spans="1:61" customFormat="1" ht="18" x14ac:dyDescent="0.25">
      <c r="A2415" s="523" t="s">
        <v>5453</v>
      </c>
      <c r="B2415" s="235"/>
      <c r="C2415" s="676"/>
      <c r="D2415" s="255" t="s">
        <v>1328</v>
      </c>
      <c r="E2415" s="236"/>
      <c r="F2415" s="236"/>
      <c r="G2415" s="236"/>
      <c r="H2415" s="582" t="s">
        <v>308</v>
      </c>
      <c r="I2415" s="498" t="s">
        <v>658</v>
      </c>
      <c r="J2415" s="237"/>
      <c r="K2415" s="237"/>
      <c r="L2415" s="274"/>
      <c r="M2415" s="668" t="s">
        <v>4975</v>
      </c>
      <c r="N2415" s="681" t="str">
        <f>IF(AND(ISTEXT($A2415), ISERROR($A2415+0)), HYPERLINK($BF2415, "Images"), "")</f>
        <v>Images</v>
      </c>
      <c r="O2415" s="663" t="s">
        <v>4974</v>
      </c>
      <c r="P2415" s="253"/>
      <c r="Q2415" s="238"/>
      <c r="R2415" s="239"/>
      <c r="S2415" s="275"/>
      <c r="T2415" s="508">
        <f t="shared" si="1857"/>
        <v>0</v>
      </c>
      <c r="U2415" s="225" t="str">
        <f>IF(NOT(ISNUMBER(G2415)), "", VLOOKUP(A2415,'Discount Lookup'!D:E,2,FALSE)*G2415)</f>
        <v/>
      </c>
      <c r="V2415" s="225" t="str">
        <f>IF(NOT(ISNUMBER(G2415)), "", VLOOKUP(A2415,'Discount Lookup'!G:H,2,FALSE)*G2415)</f>
        <v/>
      </c>
      <c r="W2415" s="508">
        <f t="shared" si="1858"/>
        <v>0</v>
      </c>
      <c r="X2415" s="508" t="str">
        <f t="shared" si="1859"/>
        <v>Light Pink bloom</v>
      </c>
      <c r="Y2415" s="509" t="b">
        <f t="shared" si="1860"/>
        <v>0</v>
      </c>
      <c r="Z2415" s="510">
        <f t="shared" si="1861"/>
        <v>0</v>
      </c>
      <c r="AA2415" s="511"/>
      <c r="AB2415" s="511" t="str">
        <f t="shared" si="1862"/>
        <v/>
      </c>
      <c r="AC2415" s="698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698"/>
      <c r="AE2415" s="631" t="str">
        <f t="shared" si="1863"/>
        <v/>
      </c>
      <c r="AF2415" s="699" t="str">
        <f t="shared" si="1864"/>
        <v/>
      </c>
      <c r="AG2415" s="699"/>
      <c r="AH2415" s="699"/>
      <c r="AI2415" s="512">
        <f>IF(H2415="credit",0,IF(AE2415="free",0,IF(AE2415="me",0,IF(G2415&gt;0,(VLOOKUP(A2415,'Discount Lookup'!J:K,2)*G2415),0))))</f>
        <v>0</v>
      </c>
      <c r="AJ2415" s="513" t="str">
        <f t="shared" ca="1" si="1865"/>
        <v/>
      </c>
      <c r="AK2415" s="700" t="str">
        <f t="shared" si="1866"/>
        <v/>
      </c>
      <c r="AL2415" s="700"/>
      <c r="AM2415" s="505" t="str">
        <f t="shared" si="1867"/>
        <v/>
      </c>
      <c r="AN2415" s="506"/>
      <c r="AO2415" s="507"/>
      <c r="AP2415" s="507"/>
      <c r="AQ2415" s="507"/>
      <c r="AR2415" s="507"/>
      <c r="AS2415" s="507"/>
      <c r="AT2415" s="507"/>
      <c r="AU2415" s="507"/>
      <c r="AV2415" s="225"/>
      <c r="AW2415" s="508"/>
      <c r="AX2415" s="225"/>
      <c r="AY2415" s="225"/>
      <c r="AZ2415" s="225"/>
      <c r="BA2415" s="225"/>
      <c r="BB2415" s="225"/>
      <c r="BC2415" s="56"/>
      <c r="BD2415" s="56"/>
      <c r="BE2415" s="56"/>
      <c r="BF2415" s="107" t="str">
        <f t="shared" si="1868"/>
        <v>https://www.google.com/search?tbm=isch&amp;q=Midnight%20Express%C2%AE%20Redbud%20Cercis%20canadensis%20%27RNI-RCC3%27%20PP%2334213</v>
      </c>
      <c r="BG2415" s="107" t="str">
        <f t="shared" si="1869"/>
        <v>M</v>
      </c>
      <c r="BH2415" s="254"/>
      <c r="BI2415" s="254"/>
    </row>
    <row r="2416" spans="1:61" customFormat="1" ht="15.75" x14ac:dyDescent="0.25">
      <c r="A2416" s="276">
        <v>10</v>
      </c>
      <c r="B2416" s="240" t="s">
        <v>291</v>
      </c>
      <c r="C2416" s="241" t="s">
        <v>3793</v>
      </c>
      <c r="D2416" s="242" t="s">
        <v>292</v>
      </c>
      <c r="E2416" s="243">
        <v>155.94999999999999</v>
      </c>
      <c r="F2416" s="517" t="s">
        <v>293</v>
      </c>
      <c r="G2416" s="232">
        <v>0</v>
      </c>
      <c r="H2416" s="661" t="str">
        <f>IF(G2416=0,"",IF(F2416="Buy",IF(G2416=1,"plant","plants"),IF(F2416&gt;0.01,"warranty","Error")))</f>
        <v/>
      </c>
      <c r="I2416" s="244">
        <f>IF(H2416="free",0,IF(H2416="credit",((E2416*(F2416))*G2416*-1),IF(F2416="Buy",(E2416*G2416),((E2416*(1-F2416))*G2416))))</f>
        <v>0</v>
      </c>
      <c r="J2416" s="244">
        <f>IF(H2416="warranty",0,(I2416*(_xlfn.SINGLE(SalesTaxPercentage))))</f>
        <v>0</v>
      </c>
      <c r="K2416" s="696">
        <f t="shared" ref="K2416" si="1884">I2416+J2416</f>
        <v>0</v>
      </c>
      <c r="L2416" s="696"/>
      <c r="M2416" s="659" t="str">
        <f>IF(AND(G2416&gt;0,E2416=0),"WARNING - no PRICE inserted",IF(H2416="free"," FREE ~ no charge this plant",IF(H2416="credit",CONCATENATE(" -$",ROUND(K2416*(1-T2GDiscount)*-1,2)," CREDIT after discount"),IF(T2GDiscount=0,"",IF(G2416=0,"",IF(F2416="Buy",CONCATENATE(" $",ROUND(K2416*(1-T2GDiscount),2)," with ",(T2GDiscount*100),"% discount"),CONCATENATE(" $",ROUND(K2416*(1-T2GDiscount),2)," with ",((T2GDiscount*100+F2416*100)-(T2GDiscount*100*F2416)),IF(F2416&gt;0,"% discounts",IF(NoWarrantyDiscount&gt;0,"% discounts","% discount")))))))))</f>
        <v/>
      </c>
      <c r="N2416" s="660"/>
      <c r="O2416" s="233"/>
      <c r="P2416" s="233"/>
      <c r="Q2416" s="233"/>
      <c r="R2416" s="233"/>
      <c r="S2416" s="233"/>
      <c r="T2416" s="508">
        <f t="shared" si="1857"/>
        <v>0</v>
      </c>
      <c r="U2416" s="225">
        <f>IF(NOT(ISNUMBER(G2416)), "", VLOOKUP(A2416,'Discount Lookup'!D:E,2,FALSE)*G2416)</f>
        <v>0</v>
      </c>
      <c r="V2416" s="225">
        <f>IF(NOT(ISNUMBER(G2416)), "", VLOOKUP(A2416,'Discount Lookup'!G:H,2,FALSE)*G2416)</f>
        <v>0</v>
      </c>
      <c r="W2416" s="508">
        <f t="shared" si="1858"/>
        <v>0</v>
      </c>
      <c r="X2416" s="508">
        <f t="shared" si="1859"/>
        <v>0</v>
      </c>
      <c r="Y2416" s="509" t="b">
        <f t="shared" si="1860"/>
        <v>0</v>
      </c>
      <c r="Z2416" s="510">
        <f t="shared" si="1861"/>
        <v>0</v>
      </c>
      <c r="AA2416" s="511"/>
      <c r="AB2416" s="511" t="str">
        <f t="shared" si="1862"/>
        <v/>
      </c>
      <c r="AC2416" s="698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698"/>
      <c r="AE2416" s="631" t="str">
        <f t="shared" si="1863"/>
        <v/>
      </c>
      <c r="AF2416" s="699" t="str">
        <f t="shared" si="1864"/>
        <v/>
      </c>
      <c r="AG2416" s="699"/>
      <c r="AH2416" s="699"/>
      <c r="AI2416" s="512">
        <f>IF(H2416="credit",0,IF(AE2416="free",0,IF(AE2416="me",0,IF(G2416&gt;0,(VLOOKUP(A2416,'Discount Lookup'!J:K,2)*G2416),0))))</f>
        <v>0</v>
      </c>
      <c r="AJ2416" s="513" t="str">
        <f t="shared" ca="1" si="1865"/>
        <v/>
      </c>
      <c r="AK2416" s="700" t="str">
        <f t="shared" si="1866"/>
        <v/>
      </c>
      <c r="AL2416" s="700"/>
      <c r="AM2416" s="505" t="str">
        <f t="shared" si="1867"/>
        <v/>
      </c>
      <c r="AN2416" s="506"/>
      <c r="AO2416" s="507"/>
      <c r="AP2416" s="507"/>
      <c r="AQ2416" s="507"/>
      <c r="AR2416" s="507"/>
      <c r="AS2416" s="507"/>
      <c r="AT2416" s="507"/>
      <c r="AU2416" s="507"/>
      <c r="AV2416" s="225"/>
      <c r="AW2416" s="508"/>
      <c r="AX2416" s="225"/>
      <c r="AY2416" s="225"/>
      <c r="AZ2416" s="225"/>
      <c r="BA2416" s="225"/>
      <c r="BB2416" s="225"/>
      <c r="BC2416" s="56"/>
      <c r="BD2416" s="56"/>
      <c r="BE2416" s="56"/>
      <c r="BF2416" s="107" t="str">
        <f t="shared" si="1868"/>
        <v>https://www.google.com/search?tbm=isch&amp;q=10%20G4</v>
      </c>
      <c r="BG2416" s="107" t="str">
        <f t="shared" si="1869"/>
        <v>M</v>
      </c>
      <c r="BH2416" s="254"/>
      <c r="BI2416" s="254"/>
    </row>
    <row r="2417" spans="1:61" customFormat="1" ht="17.25" thickBot="1" x14ac:dyDescent="0.3">
      <c r="A2417" s="524" t="s">
        <v>2165</v>
      </c>
      <c r="B2417" s="245"/>
      <c r="C2417" s="677"/>
      <c r="D2417" s="499"/>
      <c r="E2417" s="499"/>
      <c r="F2417" s="500"/>
      <c r="G2417" s="501"/>
      <c r="H2417" s="502"/>
      <c r="I2417" s="246"/>
      <c r="J2417" s="247"/>
      <c r="K2417" s="503"/>
      <c r="L2417" s="544"/>
      <c r="M2417" s="544"/>
      <c r="N2417" s="500"/>
      <c r="O2417" s="500"/>
      <c r="P2417" s="500"/>
      <c r="Q2417" s="500"/>
      <c r="R2417" s="500"/>
      <c r="S2417" s="669" t="s">
        <v>4976</v>
      </c>
      <c r="T2417" s="508">
        <f t="shared" si="1857"/>
        <v>0</v>
      </c>
      <c r="U2417" s="225" t="str">
        <f>IF(NOT(ISNUMBER(G2417)), "", VLOOKUP(A2417,'Discount Lookup'!D:E,2,FALSE)*G2417)</f>
        <v/>
      </c>
      <c r="V2417" s="225" t="str">
        <f>IF(NOT(ISNUMBER(G2417)), "", VLOOKUP(A2417,'Discount Lookup'!G:H,2,FALSE)*G2417)</f>
        <v/>
      </c>
      <c r="W2417" s="508">
        <f t="shared" si="1858"/>
        <v>0</v>
      </c>
      <c r="X2417" s="508">
        <f t="shared" si="1859"/>
        <v>0</v>
      </c>
      <c r="Y2417" s="509" t="b">
        <f t="shared" si="1860"/>
        <v>0</v>
      </c>
      <c r="Z2417" s="510">
        <f t="shared" si="1861"/>
        <v>0</v>
      </c>
      <c r="AA2417" s="511"/>
      <c r="AB2417" s="511" t="str">
        <f t="shared" si="1862"/>
        <v/>
      </c>
      <c r="AC2417" s="698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698"/>
      <c r="AE2417" s="631" t="str">
        <f t="shared" si="1863"/>
        <v/>
      </c>
      <c r="AF2417" s="699" t="str">
        <f t="shared" si="1864"/>
        <v/>
      </c>
      <c r="AG2417" s="699"/>
      <c r="AH2417" s="699"/>
      <c r="AI2417" s="512">
        <f>IF(H2417="credit",0,IF(AE2417="free",0,IF(AE2417="me",0,IF(G2417&gt;0,(VLOOKUP(A2417,'Discount Lookup'!J:K,2)*G2417),0))))</f>
        <v>0</v>
      </c>
      <c r="AJ2417" s="513" t="str">
        <f t="shared" ca="1" si="1865"/>
        <v/>
      </c>
      <c r="AK2417" s="700" t="str">
        <f t="shared" si="1866"/>
        <v/>
      </c>
      <c r="AL2417" s="700"/>
      <c r="AM2417" s="505" t="str">
        <f t="shared" si="1867"/>
        <v/>
      </c>
      <c r="AN2417" s="506"/>
      <c r="AO2417" s="507"/>
      <c r="AP2417" s="507"/>
      <c r="AQ2417" s="507"/>
      <c r="AR2417" s="507"/>
      <c r="AS2417" s="507"/>
      <c r="AT2417" s="507"/>
      <c r="AU2417" s="507"/>
      <c r="AV2417" s="225"/>
      <c r="AW2417" s="508"/>
      <c r="AX2417" s="225"/>
      <c r="AY2417" s="225"/>
      <c r="AZ2417" s="225"/>
      <c r="BA2417" s="225"/>
      <c r="BB2417" s="225"/>
      <c r="BC2417" s="56"/>
      <c r="BD2417" s="56"/>
      <c r="BE2417" s="56"/>
      <c r="BF2417" s="107" t="str">
        <f t="shared" si="1868"/>
        <v>https://www.google.com/search?tbm=isch&amp;q=Midnight%20Express%20has%20a%20straighter%20trunk%20than%20most%20redbuds.%20Deep%20burgundy%20foliage%20lasts%20longer%20than%20%27Forest%20Pansy%27.%20</v>
      </c>
      <c r="BG2417" s="107" t="str">
        <f t="shared" si="1869"/>
        <v>M</v>
      </c>
      <c r="BH2417" s="254"/>
      <c r="BI2417" s="254"/>
    </row>
    <row r="2418" spans="1:61" customFormat="1" ht="18" x14ac:dyDescent="0.25">
      <c r="A2418" s="523" t="s">
        <v>5454</v>
      </c>
      <c r="B2418" s="235"/>
      <c r="C2418" s="676"/>
      <c r="D2418" s="255" t="s">
        <v>1329</v>
      </c>
      <c r="E2418" s="236"/>
      <c r="F2418" s="236"/>
      <c r="G2418" s="236"/>
      <c r="H2418" s="582" t="s">
        <v>356</v>
      </c>
      <c r="I2418" s="498" t="s">
        <v>1330</v>
      </c>
      <c r="J2418" s="237"/>
      <c r="K2418" s="237"/>
      <c r="L2418" s="274"/>
      <c r="M2418" s="668" t="s">
        <v>4962</v>
      </c>
      <c r="N2418" s="681" t="str">
        <f>IF(AND(ISTEXT($A2418), ISERROR($A2418+0)), HYPERLINK($BF2418, "Images"), "")</f>
        <v>Images</v>
      </c>
      <c r="O2418" s="663" t="s">
        <v>4967</v>
      </c>
      <c r="P2418" s="253"/>
      <c r="Q2418" s="238"/>
      <c r="R2418" s="239"/>
      <c r="S2418" s="275"/>
      <c r="T2418" s="508">
        <f t="shared" si="1857"/>
        <v>0</v>
      </c>
      <c r="U2418" s="225" t="str">
        <f>IF(NOT(ISNUMBER(G2418)), "", VLOOKUP(A2418,'Discount Lookup'!D:E,2,FALSE)*G2418)</f>
        <v/>
      </c>
      <c r="V2418" s="225" t="str">
        <f>IF(NOT(ISNUMBER(G2418)), "", VLOOKUP(A2418,'Discount Lookup'!G:H,2,FALSE)*G2418)</f>
        <v/>
      </c>
      <c r="W2418" s="508">
        <f t="shared" si="1858"/>
        <v>0</v>
      </c>
      <c r="X2418" s="508" t="str">
        <f t="shared" si="1859"/>
        <v>Dark Pink bloom</v>
      </c>
      <c r="Y2418" s="509" t="b">
        <f t="shared" si="1860"/>
        <v>0</v>
      </c>
      <c r="Z2418" s="510">
        <f t="shared" si="1861"/>
        <v>0</v>
      </c>
      <c r="AA2418" s="511"/>
      <c r="AB2418" s="511" t="str">
        <f t="shared" si="1862"/>
        <v/>
      </c>
      <c r="AC2418" s="698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698"/>
      <c r="AE2418" s="631" t="str">
        <f t="shared" si="1863"/>
        <v/>
      </c>
      <c r="AF2418" s="699" t="str">
        <f t="shared" si="1864"/>
        <v/>
      </c>
      <c r="AG2418" s="699"/>
      <c r="AH2418" s="699"/>
      <c r="AI2418" s="512">
        <f>IF(H2418="credit",0,IF(AE2418="free",0,IF(AE2418="me",0,IF(G2418&gt;0,(VLOOKUP(A2418,'Discount Lookup'!J:K,2)*G2418),0))))</f>
        <v>0</v>
      </c>
      <c r="AJ2418" s="513" t="str">
        <f t="shared" ca="1" si="1865"/>
        <v/>
      </c>
      <c r="AK2418" s="700" t="str">
        <f t="shared" si="1866"/>
        <v/>
      </c>
      <c r="AL2418" s="700"/>
      <c r="AM2418" s="505" t="str">
        <f t="shared" si="1867"/>
        <v/>
      </c>
      <c r="AN2418" s="506"/>
      <c r="AO2418" s="507"/>
      <c r="AP2418" s="507"/>
      <c r="AQ2418" s="507"/>
      <c r="AR2418" s="507"/>
      <c r="AS2418" s="507"/>
      <c r="AT2418" s="507"/>
      <c r="AU2418" s="507"/>
      <c r="AV2418" s="225"/>
      <c r="AW2418" s="508"/>
      <c r="AX2418" s="225"/>
      <c r="AY2418" s="225"/>
      <c r="AZ2418" s="225"/>
      <c r="BA2418" s="225"/>
      <c r="BB2418" s="225"/>
      <c r="BC2418" s="56"/>
      <c r="BD2418" s="56"/>
      <c r="BE2418" s="56"/>
      <c r="BF2418" s="107" t="str">
        <f t="shared" si="1868"/>
        <v>https://www.google.com/search?tbm=isch&amp;q=Midnight%20Magic%E2%84%A2%20Crape%20Myrtle%20Lagerstroemia%20%27PIILAG-V%27%20PP%2325925</v>
      </c>
      <c r="BG2418" s="107" t="str">
        <f t="shared" si="1869"/>
        <v>M</v>
      </c>
      <c r="BH2418" s="254"/>
      <c r="BI2418" s="254"/>
    </row>
    <row r="2419" spans="1:61" customFormat="1" ht="15.75" x14ac:dyDescent="0.25">
      <c r="A2419" s="276">
        <v>7</v>
      </c>
      <c r="B2419" s="240" t="s">
        <v>291</v>
      </c>
      <c r="C2419" s="241" t="s">
        <v>2772</v>
      </c>
      <c r="D2419" s="242" t="s">
        <v>299</v>
      </c>
      <c r="E2419" s="243">
        <v>73.95</v>
      </c>
      <c r="F2419" s="517" t="s">
        <v>293</v>
      </c>
      <c r="G2419" s="232">
        <v>0</v>
      </c>
      <c r="H2419" s="661" t="str">
        <f>IF(G2419=0,"",IF(F2419="Buy",IF(G2419=1,"plant","plants"),IF(F2419&gt;0.01,"warranty","Error")))</f>
        <v/>
      </c>
      <c r="I2419" s="244">
        <f>IF(H2419="free",0,IF(H2419="credit",((E2419*(F2419))*G2419*-1),IF(F2419="Buy",(E2419*G2419),((E2419*(1-F2419))*G2419))))</f>
        <v>0</v>
      </c>
      <c r="J2419" s="244">
        <f>IF(H2419="warranty",0,(I2419*(_xlfn.SINGLE(SalesTaxPercentage))))</f>
        <v>0</v>
      </c>
      <c r="K2419" s="696">
        <f t="shared" ref="K2419" si="1885">I2419+J2419</f>
        <v>0</v>
      </c>
      <c r="L2419" s="696"/>
      <c r="M2419" s="659" t="str">
        <f>IF(AND(G2419&gt;0,E2419=0),"WARNING - no PRICE inserted",IF(H2419="free"," FREE ~ no charge this plant",IF(H2419="credit",CONCATENATE(" -$",ROUND(K2419*(1-T2GDiscount)*-1,2)," CREDIT after discount"),IF(T2GDiscount=0,"",IF(G2419=0,"",IF(F2419="Buy",CONCATENATE(" $",ROUND(K2419*(1-T2GDiscount),2)," with ",(T2GDiscount*100),"% discount"),CONCATENATE(" $",ROUND(K2419*(1-T2GDiscount),2)," with ",((T2GDiscount*100+F2419*100)-(T2GDiscount*100*F2419)),IF(F2419&gt;0,"% discounts",IF(NoWarrantyDiscount&gt;0,"% discounts","% discount")))))))))</f>
        <v/>
      </c>
      <c r="N2419" s="660"/>
      <c r="O2419" s="233"/>
      <c r="P2419" s="233"/>
      <c r="Q2419" s="233"/>
      <c r="R2419" s="233"/>
      <c r="S2419" s="233"/>
      <c r="T2419" s="508">
        <f t="shared" si="1857"/>
        <v>0</v>
      </c>
      <c r="U2419" s="225">
        <f>IF(NOT(ISNUMBER(G2419)), "", VLOOKUP(A2419,'Discount Lookup'!D:E,2,FALSE)*G2419)</f>
        <v>0</v>
      </c>
      <c r="V2419" s="225">
        <f>IF(NOT(ISNUMBER(G2419)), "", VLOOKUP(A2419,'Discount Lookup'!G:H,2,FALSE)*G2419)</f>
        <v>0</v>
      </c>
      <c r="W2419" s="508">
        <f t="shared" si="1858"/>
        <v>0</v>
      </c>
      <c r="X2419" s="508">
        <f t="shared" si="1859"/>
        <v>0</v>
      </c>
      <c r="Y2419" s="509" t="b">
        <f t="shared" si="1860"/>
        <v>0</v>
      </c>
      <c r="Z2419" s="510">
        <f t="shared" si="1861"/>
        <v>0</v>
      </c>
      <c r="AA2419" s="511"/>
      <c r="AB2419" s="511" t="str">
        <f t="shared" si="1862"/>
        <v/>
      </c>
      <c r="AC2419" s="698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698"/>
      <c r="AE2419" s="631" t="str">
        <f t="shared" si="1863"/>
        <v/>
      </c>
      <c r="AF2419" s="699" t="str">
        <f t="shared" si="1864"/>
        <v/>
      </c>
      <c r="AG2419" s="699"/>
      <c r="AH2419" s="699"/>
      <c r="AI2419" s="512">
        <f>IF(H2419="credit",0,IF(AE2419="free",0,IF(AE2419="me",0,IF(G2419&gt;0,(VLOOKUP(A2419,'Discount Lookup'!J:K,2)*G2419),0))))</f>
        <v>0</v>
      </c>
      <c r="AJ2419" s="513" t="str">
        <f t="shared" ca="1" si="1865"/>
        <v/>
      </c>
      <c r="AK2419" s="700" t="str">
        <f t="shared" si="1866"/>
        <v/>
      </c>
      <c r="AL2419" s="700"/>
      <c r="AM2419" s="505" t="str">
        <f t="shared" si="1867"/>
        <v/>
      </c>
      <c r="AN2419" s="506"/>
      <c r="AO2419" s="507"/>
      <c r="AP2419" s="507"/>
      <c r="AQ2419" s="507"/>
      <c r="AR2419" s="507"/>
      <c r="AS2419" s="507"/>
      <c r="AT2419" s="507"/>
      <c r="AU2419" s="507"/>
      <c r="AV2419" s="225"/>
      <c r="AW2419" s="508"/>
      <c r="AX2419" s="225"/>
      <c r="AY2419" s="225"/>
      <c r="AZ2419" s="225"/>
      <c r="BA2419" s="225"/>
      <c r="BB2419" s="225"/>
      <c r="BC2419" s="56"/>
      <c r="BD2419" s="56"/>
      <c r="BE2419" s="56"/>
      <c r="BF2419" s="107" t="str">
        <f t="shared" si="1868"/>
        <v>https://www.google.com/search?tbm=isch&amp;q=7%20G5</v>
      </c>
      <c r="BG2419" s="107" t="str">
        <f t="shared" si="1869"/>
        <v>M</v>
      </c>
      <c r="BH2419" s="254"/>
      <c r="BI2419" s="254"/>
    </row>
    <row r="2420" spans="1:61" customFormat="1" ht="17.25" thickBot="1" x14ac:dyDescent="0.3">
      <c r="A2420" s="524" t="s">
        <v>2166</v>
      </c>
      <c r="B2420" s="245"/>
      <c r="C2420" s="677"/>
      <c r="D2420" s="499"/>
      <c r="E2420" s="499"/>
      <c r="F2420" s="500"/>
      <c r="G2420" s="501"/>
      <c r="H2420" s="502"/>
      <c r="I2420" s="246"/>
      <c r="J2420" s="247"/>
      <c r="K2420" s="503"/>
      <c r="L2420" s="544"/>
      <c r="M2420" s="544"/>
      <c r="N2420" s="500"/>
      <c r="O2420" s="500"/>
      <c r="P2420" s="500"/>
      <c r="Q2420" s="500"/>
      <c r="R2420" s="500"/>
      <c r="S2420" s="278"/>
      <c r="T2420" s="508">
        <f t="shared" si="1857"/>
        <v>0</v>
      </c>
      <c r="U2420" s="225" t="str">
        <f>IF(NOT(ISNUMBER(G2420)), "", VLOOKUP(A2420,'Discount Lookup'!D:E,2,FALSE)*G2420)</f>
        <v/>
      </c>
      <c r="V2420" s="225" t="str">
        <f>IF(NOT(ISNUMBER(G2420)), "", VLOOKUP(A2420,'Discount Lookup'!G:H,2,FALSE)*G2420)</f>
        <v/>
      </c>
      <c r="W2420" s="508">
        <f t="shared" si="1858"/>
        <v>0</v>
      </c>
      <c r="X2420" s="508">
        <f t="shared" si="1859"/>
        <v>0</v>
      </c>
      <c r="Y2420" s="509" t="b">
        <f t="shared" si="1860"/>
        <v>0</v>
      </c>
      <c r="Z2420" s="510">
        <f t="shared" si="1861"/>
        <v>0</v>
      </c>
      <c r="AA2420" s="511"/>
      <c r="AB2420" s="511" t="str">
        <f t="shared" si="1862"/>
        <v/>
      </c>
      <c r="AC2420" s="698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698"/>
      <c r="AE2420" s="631" t="str">
        <f t="shared" si="1863"/>
        <v/>
      </c>
      <c r="AF2420" s="699" t="str">
        <f t="shared" si="1864"/>
        <v/>
      </c>
      <c r="AG2420" s="699"/>
      <c r="AH2420" s="699"/>
      <c r="AI2420" s="512">
        <f>IF(H2420="credit",0,IF(AE2420="free",0,IF(AE2420="me",0,IF(G2420&gt;0,(VLOOKUP(A2420,'Discount Lookup'!J:K,2)*G2420),0))))</f>
        <v>0</v>
      </c>
      <c r="AJ2420" s="513" t="str">
        <f t="shared" ca="1" si="1865"/>
        <v/>
      </c>
      <c r="AK2420" s="700" t="str">
        <f t="shared" si="1866"/>
        <v/>
      </c>
      <c r="AL2420" s="700"/>
      <c r="AM2420" s="505" t="str">
        <f t="shared" si="1867"/>
        <v/>
      </c>
      <c r="AN2420" s="506"/>
      <c r="AO2420" s="507"/>
      <c r="AP2420" s="507"/>
      <c r="AQ2420" s="507"/>
      <c r="AR2420" s="507"/>
      <c r="AS2420" s="507"/>
      <c r="AT2420" s="507"/>
      <c r="AU2420" s="507"/>
      <c r="AV2420" s="225"/>
      <c r="AW2420" s="508"/>
      <c r="AX2420" s="225"/>
      <c r="AY2420" s="225"/>
      <c r="AZ2420" s="225"/>
      <c r="BA2420" s="225"/>
      <c r="BB2420" s="225"/>
      <c r="BC2420" s="56"/>
      <c r="BD2420" s="56"/>
      <c r="BE2420" s="56"/>
      <c r="BF2420" s="107" t="str">
        <f t="shared" si="1868"/>
        <v>https://www.google.com/search?tbm=isch&amp;q=Midnight%20Magic%20has%20a%20purple-maroon%20foliage%20that%20really%20shows%20off%20the%20blooms%20</v>
      </c>
      <c r="BG2420" s="107" t="str">
        <f t="shared" si="1869"/>
        <v>M</v>
      </c>
      <c r="BH2420" s="254"/>
      <c r="BI2420" s="254"/>
    </row>
    <row r="2421" spans="1:61" customFormat="1" ht="18" x14ac:dyDescent="0.25">
      <c r="A2421" s="523" t="s">
        <v>5610</v>
      </c>
      <c r="B2421" s="235"/>
      <c r="C2421" s="676"/>
      <c r="D2421" s="255" t="s">
        <v>572</v>
      </c>
      <c r="E2421" s="236"/>
      <c r="F2421" s="236"/>
      <c r="G2421" s="236"/>
      <c r="H2421" s="582" t="s">
        <v>4249</v>
      </c>
      <c r="I2421" s="498" t="s">
        <v>2569</v>
      </c>
      <c r="J2421" s="237"/>
      <c r="K2421" s="237"/>
      <c r="L2421" s="274"/>
      <c r="M2421" s="668" t="s">
        <v>4962</v>
      </c>
      <c r="N2421" s="681" t="str">
        <f>IF(AND(ISTEXT($A2421), ISERROR($A2421+0)), HYPERLINK($BF2421, "Images"), "")</f>
        <v>Images</v>
      </c>
      <c r="O2421" s="663" t="s">
        <v>4967</v>
      </c>
      <c r="P2421" s="253"/>
      <c r="Q2421" s="238"/>
      <c r="R2421" s="239"/>
      <c r="S2421" s="275"/>
      <c r="T2421" s="508">
        <f t="shared" si="1857"/>
        <v>0</v>
      </c>
      <c r="U2421" s="225" t="str">
        <f>IF(NOT(ISNUMBER(G2421)), "", VLOOKUP(A2421,'Discount Lookup'!D:E,2,FALSE)*G2421)</f>
        <v/>
      </c>
      <c r="V2421" s="225" t="str">
        <f>IF(NOT(ISNUMBER(G2421)), "", VLOOKUP(A2421,'Discount Lookup'!G:H,2,FALSE)*G2421)</f>
        <v/>
      </c>
      <c r="W2421" s="508">
        <f t="shared" si="1858"/>
        <v>0</v>
      </c>
      <c r="X2421" s="508" t="str">
        <f t="shared" si="1859"/>
        <v>Soft Pink bloom</v>
      </c>
      <c r="Y2421" s="509" t="b">
        <f t="shared" si="1860"/>
        <v>0</v>
      </c>
      <c r="Z2421" s="510">
        <f t="shared" si="1861"/>
        <v>0</v>
      </c>
      <c r="AA2421" s="511"/>
      <c r="AB2421" s="511" t="str">
        <f t="shared" si="1862"/>
        <v/>
      </c>
      <c r="AC2421" s="698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698"/>
      <c r="AE2421" s="631" t="str">
        <f t="shared" si="1863"/>
        <v/>
      </c>
      <c r="AF2421" s="699" t="str">
        <f t="shared" si="1864"/>
        <v/>
      </c>
      <c r="AG2421" s="699"/>
      <c r="AH2421" s="699"/>
      <c r="AI2421" s="512">
        <f>IF(H2421="credit",0,IF(AE2421="free",0,IF(AE2421="me",0,IF(G2421&gt;0,(VLOOKUP(A2421,'Discount Lookup'!J:K,2)*G2421),0))))</f>
        <v>0</v>
      </c>
      <c r="AJ2421" s="513" t="str">
        <f t="shared" ca="1" si="1865"/>
        <v/>
      </c>
      <c r="AK2421" s="700" t="str">
        <f t="shared" si="1866"/>
        <v/>
      </c>
      <c r="AL2421" s="700"/>
      <c r="AM2421" s="505" t="str">
        <f t="shared" si="1867"/>
        <v/>
      </c>
      <c r="AN2421" s="506"/>
      <c r="AO2421" s="507"/>
      <c r="AP2421" s="507"/>
      <c r="AQ2421" s="507"/>
      <c r="AR2421" s="507"/>
      <c r="AS2421" s="507"/>
      <c r="AT2421" s="507"/>
      <c r="AU2421" s="507"/>
      <c r="AV2421" s="225"/>
      <c r="AW2421" s="508"/>
      <c r="AX2421" s="225"/>
      <c r="AY2421" s="225"/>
      <c r="AZ2421" s="225"/>
      <c r="BA2421" s="225"/>
      <c r="BB2421" s="225"/>
      <c r="BC2421" s="56"/>
      <c r="BD2421" s="56"/>
      <c r="BE2421" s="56"/>
      <c r="BF2421" s="107" t="str">
        <f t="shared" si="1868"/>
        <v>https://www.google.com/search?tbm=isch&amp;q=Midnight%20Sun%E2%84%A2%20Weigela%20%28BE%C2%AE%29%20Weigela%20florida%20%27Verweig9%27%20PP%2335146</v>
      </c>
      <c r="BG2421" s="107" t="str">
        <f t="shared" si="1869"/>
        <v>M</v>
      </c>
      <c r="BH2421" s="254"/>
      <c r="BI2421" s="254"/>
    </row>
    <row r="2422" spans="1:61" customFormat="1" ht="15.75" x14ac:dyDescent="0.25">
      <c r="A2422" s="276">
        <v>3</v>
      </c>
      <c r="B2422" s="240" t="s">
        <v>291</v>
      </c>
      <c r="C2422" s="241" t="s">
        <v>3248</v>
      </c>
      <c r="D2422" s="242" t="s">
        <v>312</v>
      </c>
      <c r="E2422" s="243">
        <v>40.950000000000003</v>
      </c>
      <c r="F2422" s="517" t="s">
        <v>293</v>
      </c>
      <c r="G2422" s="232">
        <v>0</v>
      </c>
      <c r="H2422" s="661" t="str">
        <f>IF(G2422=0,"",IF(F2422="Buy",IF(G2422=1,"plant","plants"),IF(F2422&gt;0.01,"warranty","Error")))</f>
        <v/>
      </c>
      <c r="I2422" s="244">
        <f>IF(H2422="free",0,IF(H2422="credit",((E2422*(F2422))*G2422*-1),IF(F2422="Buy",(E2422*G2422),((E2422*(1-F2422))*G2422))))</f>
        <v>0</v>
      </c>
      <c r="J2422" s="244">
        <f>IF(H2422="warranty",0,(I2422*(_xlfn.SINGLE(SalesTaxPercentage))))</f>
        <v>0</v>
      </c>
      <c r="K2422" s="696">
        <f t="shared" ref="K2422" si="1886">I2422+J2422</f>
        <v>0</v>
      </c>
      <c r="L2422" s="696"/>
      <c r="M2422" s="659" t="str">
        <f>IF(AND(G2422&gt;0,E2422=0),"WARNING - no PRICE inserted",IF(H2422="free"," FREE ~ no charge this plant",IF(H2422="credit",CONCATENATE(" -$",ROUND(K2422*(1-T2GDiscount)*-1,2)," CREDIT after discount"),IF(T2GDiscount=0,"",IF(G2422=0,"",IF(F2422="Buy",CONCATENATE(" $",ROUND(K2422*(1-T2GDiscount),2)," with ",(T2GDiscount*100),"% discount"),CONCATENATE(" $",ROUND(K2422*(1-T2GDiscount),2)," with ",((T2GDiscount*100+F2422*100)-(T2GDiscount*100*F2422)),IF(F2422&gt;0,"% discounts",IF(NoWarrantyDiscount&gt;0,"% discounts","% discount")))))))))</f>
        <v/>
      </c>
      <c r="N2422" s="660"/>
      <c r="O2422" s="233"/>
      <c r="P2422" s="233"/>
      <c r="Q2422" s="233"/>
      <c r="R2422" s="233"/>
      <c r="S2422" s="233"/>
      <c r="T2422" s="508">
        <f t="shared" si="1857"/>
        <v>0</v>
      </c>
      <c r="U2422" s="225">
        <f>IF(NOT(ISNUMBER(G2422)), "", VLOOKUP(A2422,'Discount Lookup'!D:E,2,FALSE)*G2422)</f>
        <v>0</v>
      </c>
      <c r="V2422" s="225">
        <f>IF(NOT(ISNUMBER(G2422)), "", VLOOKUP(A2422,'Discount Lookup'!G:H,2,FALSE)*G2422)</f>
        <v>0</v>
      </c>
      <c r="W2422" s="508">
        <f t="shared" si="1858"/>
        <v>0</v>
      </c>
      <c r="X2422" s="508">
        <f t="shared" si="1859"/>
        <v>0</v>
      </c>
      <c r="Y2422" s="509" t="b">
        <f t="shared" si="1860"/>
        <v>0</v>
      </c>
      <c r="Z2422" s="510">
        <f t="shared" si="1861"/>
        <v>0</v>
      </c>
      <c r="AA2422" s="511"/>
      <c r="AB2422" s="511" t="str">
        <f t="shared" si="1862"/>
        <v/>
      </c>
      <c r="AC2422" s="698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698"/>
      <c r="AE2422" s="631" t="str">
        <f t="shared" si="1863"/>
        <v/>
      </c>
      <c r="AF2422" s="699" t="str">
        <f t="shared" si="1864"/>
        <v/>
      </c>
      <c r="AG2422" s="699"/>
      <c r="AH2422" s="699"/>
      <c r="AI2422" s="512">
        <f>IF(H2422="credit",0,IF(AE2422="free",0,IF(AE2422="me",0,IF(G2422&gt;0,(VLOOKUP(A2422,'Discount Lookup'!J:K,2)*G2422),0))))</f>
        <v>0</v>
      </c>
      <c r="AJ2422" s="513" t="str">
        <f t="shared" ca="1" si="1865"/>
        <v/>
      </c>
      <c r="AK2422" s="700" t="str">
        <f t="shared" si="1866"/>
        <v/>
      </c>
      <c r="AL2422" s="700"/>
      <c r="AM2422" s="505" t="str">
        <f t="shared" si="1867"/>
        <v/>
      </c>
      <c r="AN2422" s="506"/>
      <c r="AO2422" s="507"/>
      <c r="AP2422" s="507"/>
      <c r="AQ2422" s="507"/>
      <c r="AR2422" s="507"/>
      <c r="AS2422" s="507"/>
      <c r="AT2422" s="507"/>
      <c r="AU2422" s="507"/>
      <c r="AV2422" s="225"/>
      <c r="AW2422" s="508"/>
      <c r="AX2422" s="225"/>
      <c r="AY2422" s="225"/>
      <c r="AZ2422" s="225"/>
      <c r="BA2422" s="225"/>
      <c r="BB2422" s="225"/>
      <c r="BC2422" s="56"/>
      <c r="BD2422" s="56"/>
      <c r="BE2422" s="56"/>
      <c r="BF2422" s="107" t="str">
        <f t="shared" si="1868"/>
        <v>https://www.google.com/search?tbm=isch&amp;q=3%20G2</v>
      </c>
      <c r="BG2422" s="107" t="str">
        <f t="shared" si="1869"/>
        <v>M</v>
      </c>
      <c r="BH2422" s="254"/>
      <c r="BI2422" s="254"/>
    </row>
    <row r="2423" spans="1:61" customFormat="1" ht="17.25" thickBot="1" x14ac:dyDescent="0.3">
      <c r="A2423" s="524" t="s">
        <v>4208</v>
      </c>
      <c r="B2423" s="245"/>
      <c r="C2423" s="677"/>
      <c r="D2423" s="499"/>
      <c r="E2423" s="499"/>
      <c r="F2423" s="500"/>
      <c r="G2423" s="501"/>
      <c r="H2423" s="502"/>
      <c r="I2423" s="246"/>
      <c r="J2423" s="247"/>
      <c r="K2423" s="503"/>
      <c r="L2423" s="544"/>
      <c r="M2423" s="544"/>
      <c r="N2423" s="500"/>
      <c r="O2423" s="500"/>
      <c r="P2423" s="500"/>
      <c r="Q2423" s="500"/>
      <c r="R2423" s="500"/>
      <c r="S2423" s="669" t="s">
        <v>5011</v>
      </c>
      <c r="T2423" s="508">
        <f t="shared" si="1857"/>
        <v>0</v>
      </c>
      <c r="U2423" s="225" t="str">
        <f>IF(NOT(ISNUMBER(G2423)), "", VLOOKUP(A2423,'Discount Lookup'!D:E,2,FALSE)*G2423)</f>
        <v/>
      </c>
      <c r="V2423" s="225" t="str">
        <f>IF(NOT(ISNUMBER(G2423)), "", VLOOKUP(A2423,'Discount Lookup'!G:H,2,FALSE)*G2423)</f>
        <v/>
      </c>
      <c r="W2423" s="508">
        <f t="shared" si="1858"/>
        <v>0</v>
      </c>
      <c r="X2423" s="508">
        <f t="shared" si="1859"/>
        <v>0</v>
      </c>
      <c r="Y2423" s="509" t="b">
        <f t="shared" si="1860"/>
        <v>0</v>
      </c>
      <c r="Z2423" s="510">
        <f t="shared" si="1861"/>
        <v>0</v>
      </c>
      <c r="AA2423" s="511"/>
      <c r="AB2423" s="511" t="str">
        <f t="shared" si="1862"/>
        <v/>
      </c>
      <c r="AC2423" s="698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698"/>
      <c r="AE2423" s="631" t="str">
        <f t="shared" si="1863"/>
        <v/>
      </c>
      <c r="AF2423" s="699" t="str">
        <f t="shared" si="1864"/>
        <v/>
      </c>
      <c r="AG2423" s="699"/>
      <c r="AH2423" s="699"/>
      <c r="AI2423" s="512">
        <f>IF(H2423="credit",0,IF(AE2423="free",0,IF(AE2423="me",0,IF(G2423&gt;0,(VLOOKUP(A2423,'Discount Lookup'!J:K,2)*G2423),0))))</f>
        <v>0</v>
      </c>
      <c r="AJ2423" s="513" t="str">
        <f t="shared" ca="1" si="1865"/>
        <v/>
      </c>
      <c r="AK2423" s="700" t="str">
        <f t="shared" si="1866"/>
        <v/>
      </c>
      <c r="AL2423" s="700"/>
      <c r="AM2423" s="505" t="str">
        <f t="shared" si="1867"/>
        <v/>
      </c>
      <c r="AN2423" s="506"/>
      <c r="AO2423" s="507"/>
      <c r="AP2423" s="507"/>
      <c r="AQ2423" s="507"/>
      <c r="AR2423" s="507"/>
      <c r="AS2423" s="507"/>
      <c r="AT2423" s="507"/>
      <c r="AU2423" s="507"/>
      <c r="AV2423" s="225"/>
      <c r="AW2423" s="508"/>
      <c r="AX2423" s="225"/>
      <c r="AY2423" s="225"/>
      <c r="AZ2423" s="225"/>
      <c r="BA2423" s="225"/>
      <c r="BB2423" s="225"/>
      <c r="BC2423" s="56"/>
      <c r="BD2423" s="56"/>
      <c r="BE2423" s="56"/>
      <c r="BF2423" s="107" t="str">
        <f t="shared" si="1868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2423" s="107" t="str">
        <f t="shared" si="1869"/>
        <v>M</v>
      </c>
      <c r="BH2423" s="254"/>
      <c r="BI2423" s="254"/>
    </row>
    <row r="2424" spans="1:61" customFormat="1" ht="18" x14ac:dyDescent="0.25">
      <c r="A2424" s="523" t="s">
        <v>1331</v>
      </c>
      <c r="B2424" s="235"/>
      <c r="C2424" s="676"/>
      <c r="D2424" s="255" t="s">
        <v>1332</v>
      </c>
      <c r="E2424" s="236"/>
      <c r="F2424" s="236"/>
      <c r="G2424" s="236"/>
      <c r="H2424" s="582" t="s">
        <v>356</v>
      </c>
      <c r="I2424" s="498" t="s">
        <v>2109</v>
      </c>
      <c r="J2424" s="237"/>
      <c r="K2424" s="237"/>
      <c r="L2424" s="274"/>
      <c r="M2424" s="668" t="s">
        <v>4975</v>
      </c>
      <c r="N2424" s="681" t="str">
        <f>IF(AND(ISTEXT($A2424), ISERROR($A2424+0)), HYPERLINK($BF2424, "Images"), "")</f>
        <v>Images</v>
      </c>
      <c r="O2424" s="663" t="s">
        <v>4967</v>
      </c>
      <c r="P2424" s="253"/>
      <c r="Q2424" s="238"/>
      <c r="R2424" s="239"/>
      <c r="S2424" s="275"/>
      <c r="T2424" s="508">
        <f t="shared" si="1857"/>
        <v>0</v>
      </c>
      <c r="U2424" s="225" t="str">
        <f>IF(NOT(ISNUMBER(G2424)), "", VLOOKUP(A2424,'Discount Lookup'!D:E,2,FALSE)*G2424)</f>
        <v/>
      </c>
      <c r="V2424" s="225" t="str">
        <f>IF(NOT(ISNUMBER(G2424)), "", VLOOKUP(A2424,'Discount Lookup'!G:H,2,FALSE)*G2424)</f>
        <v/>
      </c>
      <c r="W2424" s="508">
        <f t="shared" si="1858"/>
        <v>0</v>
      </c>
      <c r="X2424" s="508" t="str">
        <f t="shared" si="1859"/>
        <v>Green foliage</v>
      </c>
      <c r="Y2424" s="509" t="b">
        <f t="shared" si="1860"/>
        <v>0</v>
      </c>
      <c r="Z2424" s="510">
        <f t="shared" si="1861"/>
        <v>0</v>
      </c>
      <c r="AA2424" s="511"/>
      <c r="AB2424" s="511" t="str">
        <f t="shared" si="1862"/>
        <v/>
      </c>
      <c r="AC2424" s="698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698"/>
      <c r="AE2424" s="631" t="str">
        <f t="shared" si="1863"/>
        <v/>
      </c>
      <c r="AF2424" s="699" t="str">
        <f t="shared" si="1864"/>
        <v/>
      </c>
      <c r="AG2424" s="699"/>
      <c r="AH2424" s="699"/>
      <c r="AI2424" s="512">
        <f>IF(H2424="credit",0,IF(AE2424="free",0,IF(AE2424="me",0,IF(G2424&gt;0,(VLOOKUP(A2424,'Discount Lookup'!J:K,2)*G2424),0))))</f>
        <v>0</v>
      </c>
      <c r="AJ2424" s="513" t="str">
        <f t="shared" ca="1" si="1865"/>
        <v/>
      </c>
      <c r="AK2424" s="700" t="str">
        <f t="shared" si="1866"/>
        <v/>
      </c>
      <c r="AL2424" s="700"/>
      <c r="AM2424" s="505" t="str">
        <f t="shared" si="1867"/>
        <v/>
      </c>
      <c r="AN2424" s="506"/>
      <c r="AO2424" s="507"/>
      <c r="AP2424" s="507"/>
      <c r="AQ2424" s="507"/>
      <c r="AR2424" s="507"/>
      <c r="AS2424" s="507"/>
      <c r="AT2424" s="507"/>
      <c r="AU2424" s="507"/>
      <c r="AV2424" s="225"/>
      <c r="AW2424" s="508"/>
      <c r="AX2424" s="225"/>
      <c r="AY2424" s="225"/>
      <c r="AZ2424" s="225"/>
      <c r="BA2424" s="225"/>
      <c r="BB2424" s="225"/>
      <c r="BC2424" s="56"/>
      <c r="BD2424" s="56"/>
      <c r="BE2424" s="56"/>
      <c r="BF2424" s="107" t="str">
        <f t="shared" si="1868"/>
        <v>https://www.google.com/search?tbm=isch&amp;q=Mikawa%20Yatsubusa%20Japanese%20Maple%20Acer%20palmatum%20%27Mikawa%20Yatsubusa%27</v>
      </c>
      <c r="BG2424" s="107" t="str">
        <f t="shared" si="1869"/>
        <v>M</v>
      </c>
      <c r="BH2424" s="254"/>
      <c r="BI2424" s="254"/>
    </row>
    <row r="2425" spans="1:61" customFormat="1" ht="27" x14ac:dyDescent="0.25">
      <c r="A2425" s="276">
        <v>20</v>
      </c>
      <c r="B2425" s="240" t="s">
        <v>291</v>
      </c>
      <c r="C2425" s="241" t="s">
        <v>3640</v>
      </c>
      <c r="D2425" s="242" t="s">
        <v>292</v>
      </c>
      <c r="E2425" s="243">
        <v>631.95000000000005</v>
      </c>
      <c r="F2425" s="517" t="s">
        <v>293</v>
      </c>
      <c r="G2425" s="232">
        <v>0</v>
      </c>
      <c r="H2425" s="661" t="str">
        <f>IF(G2425=0,"",IF(F2425="Buy",IF(G2425=1,"plant","plants"),IF(F2425&gt;0.01,"warranty","Error")))</f>
        <v/>
      </c>
      <c r="I2425" s="244">
        <f>IF(H2425="free",0,IF(H2425="credit",((E2425*(F2425))*G2425*-1),IF(F2425="Buy",(E2425*G2425),((E2425*(1-F2425))*G2425))))</f>
        <v>0</v>
      </c>
      <c r="J2425" s="244">
        <f>IF(H2425="warranty",0,(I2425*(_xlfn.SINGLE(SalesTaxPercentage))))</f>
        <v>0</v>
      </c>
      <c r="K2425" s="696">
        <f t="shared" ref="K2425" si="1887">I2425+J2425</f>
        <v>0</v>
      </c>
      <c r="L2425" s="696"/>
      <c r="M2425" s="659" t="str">
        <f>IF(AND(G2425&gt;0,E2425=0),"WARNING - no PRICE inserted",IF(H2425="free"," FREE ~ no charge this plant",IF(H2425="credit",CONCATENATE(" -$",ROUND(K2425*(1-T2GDiscount)*-1,2)," CREDIT after discount"),IF(T2GDiscount=0,"",IF(G2425=0,"",IF(F2425="Buy",CONCATENATE(" $",ROUND(K2425*(1-T2GDiscount),2)," with ",(T2GDiscount*100),"% discount"),CONCATENATE(" $",ROUND(K2425*(1-T2GDiscount),2)," with ",((T2GDiscount*100+F2425*100)-(T2GDiscount*100*F2425)),IF(F2425&gt;0,"% discounts",IF(NoWarrantyDiscount&gt;0,"% discounts","% discount")))))))))</f>
        <v/>
      </c>
      <c r="N2425" s="660"/>
      <c r="O2425" s="233"/>
      <c r="P2425" s="233"/>
      <c r="Q2425" s="233"/>
      <c r="R2425" s="233"/>
      <c r="S2425" s="233"/>
      <c r="T2425" s="508">
        <f t="shared" si="1857"/>
        <v>0</v>
      </c>
      <c r="U2425" s="225">
        <f>IF(NOT(ISNUMBER(G2425)), "", VLOOKUP(A2425,'Discount Lookup'!D:E,2,FALSE)*G2425)</f>
        <v>0</v>
      </c>
      <c r="V2425" s="225">
        <f>IF(NOT(ISNUMBER(G2425)), "", VLOOKUP(A2425,'Discount Lookup'!G:H,2,FALSE)*G2425)</f>
        <v>0</v>
      </c>
      <c r="W2425" s="508">
        <f t="shared" si="1858"/>
        <v>0</v>
      </c>
      <c r="X2425" s="508">
        <f t="shared" si="1859"/>
        <v>0</v>
      </c>
      <c r="Y2425" s="509" t="b">
        <f t="shared" si="1860"/>
        <v>0</v>
      </c>
      <c r="Z2425" s="510">
        <f t="shared" si="1861"/>
        <v>0</v>
      </c>
      <c r="AA2425" s="511"/>
      <c r="AB2425" s="511" t="str">
        <f t="shared" si="1862"/>
        <v/>
      </c>
      <c r="AC2425" s="698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698"/>
      <c r="AE2425" s="631" t="str">
        <f t="shared" si="1863"/>
        <v/>
      </c>
      <c r="AF2425" s="699" t="str">
        <f t="shared" si="1864"/>
        <v/>
      </c>
      <c r="AG2425" s="699"/>
      <c r="AH2425" s="699"/>
      <c r="AI2425" s="512">
        <f>IF(H2425="credit",0,IF(AE2425="free",0,IF(AE2425="me",0,IF(G2425&gt;0,(VLOOKUP(A2425,'Discount Lookup'!J:K,2)*G2425),0))))</f>
        <v>0</v>
      </c>
      <c r="AJ2425" s="513" t="str">
        <f t="shared" ca="1" si="1865"/>
        <v/>
      </c>
      <c r="AK2425" s="700" t="str">
        <f t="shared" si="1866"/>
        <v/>
      </c>
      <c r="AL2425" s="700"/>
      <c r="AM2425" s="505" t="str">
        <f t="shared" si="1867"/>
        <v/>
      </c>
      <c r="AN2425" s="506"/>
      <c r="AO2425" s="507"/>
      <c r="AP2425" s="507"/>
      <c r="AQ2425" s="507"/>
      <c r="AR2425" s="507"/>
      <c r="AS2425" s="507"/>
      <c r="AT2425" s="507"/>
      <c r="AU2425" s="507"/>
      <c r="AV2425" s="225"/>
      <c r="AW2425" s="508"/>
      <c r="AX2425" s="225"/>
      <c r="AY2425" s="225"/>
      <c r="AZ2425" s="225"/>
      <c r="BA2425" s="225"/>
      <c r="BB2425" s="225"/>
      <c r="BC2425" s="56"/>
      <c r="BD2425" s="56"/>
      <c r="BE2425" s="56"/>
      <c r="BF2425" s="107" t="str">
        <f t="shared" si="1868"/>
        <v>https://www.google.com/search?tbm=isch&amp;q=20%20G4</v>
      </c>
      <c r="BG2425" s="107" t="str">
        <f t="shared" si="1869"/>
        <v>M</v>
      </c>
      <c r="BH2425" s="254"/>
      <c r="BI2425" s="254"/>
    </row>
    <row r="2426" spans="1:61" customFormat="1" ht="17.25" thickBot="1" x14ac:dyDescent="0.3">
      <c r="A2426" s="524" t="s">
        <v>2435</v>
      </c>
      <c r="B2426" s="245"/>
      <c r="C2426" s="677"/>
      <c r="D2426" s="499"/>
      <c r="E2426" s="499"/>
      <c r="F2426" s="500"/>
      <c r="G2426" s="501"/>
      <c r="H2426" s="502"/>
      <c r="I2426" s="246"/>
      <c r="J2426" s="247"/>
      <c r="K2426" s="503"/>
      <c r="L2426" s="544"/>
      <c r="M2426" s="544"/>
      <c r="N2426" s="500"/>
      <c r="O2426" s="500"/>
      <c r="P2426" s="500"/>
      <c r="Q2426" s="500"/>
      <c r="R2426" s="500"/>
      <c r="S2426" s="278"/>
      <c r="T2426" s="508">
        <f t="shared" si="1857"/>
        <v>0</v>
      </c>
      <c r="U2426" s="225" t="str">
        <f>IF(NOT(ISNUMBER(G2426)), "", VLOOKUP(A2426,'Discount Lookup'!D:E,2,FALSE)*G2426)</f>
        <v/>
      </c>
      <c r="V2426" s="225" t="str">
        <f>IF(NOT(ISNUMBER(G2426)), "", VLOOKUP(A2426,'Discount Lookup'!G:H,2,FALSE)*G2426)</f>
        <v/>
      </c>
      <c r="W2426" s="508">
        <f t="shared" si="1858"/>
        <v>0</v>
      </c>
      <c r="X2426" s="508">
        <f t="shared" si="1859"/>
        <v>0</v>
      </c>
      <c r="Y2426" s="509" t="b">
        <f t="shared" si="1860"/>
        <v>0</v>
      </c>
      <c r="Z2426" s="510">
        <f t="shared" si="1861"/>
        <v>0</v>
      </c>
      <c r="AA2426" s="511"/>
      <c r="AB2426" s="511" t="str">
        <f t="shared" si="1862"/>
        <v/>
      </c>
      <c r="AC2426" s="698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698"/>
      <c r="AE2426" s="631" t="str">
        <f t="shared" si="1863"/>
        <v/>
      </c>
      <c r="AF2426" s="699" t="str">
        <f t="shared" si="1864"/>
        <v/>
      </c>
      <c r="AG2426" s="699"/>
      <c r="AH2426" s="699"/>
      <c r="AI2426" s="512">
        <f>IF(H2426="credit",0,IF(AE2426="free",0,IF(AE2426="me",0,IF(G2426&gt;0,(VLOOKUP(A2426,'Discount Lookup'!J:K,2)*G2426),0))))</f>
        <v>0</v>
      </c>
      <c r="AJ2426" s="513" t="str">
        <f t="shared" ca="1" si="1865"/>
        <v/>
      </c>
      <c r="AK2426" s="700" t="str">
        <f t="shared" si="1866"/>
        <v/>
      </c>
      <c r="AL2426" s="700"/>
      <c r="AM2426" s="505" t="str">
        <f t="shared" si="1867"/>
        <v/>
      </c>
      <c r="AN2426" s="506"/>
      <c r="AO2426" s="507"/>
      <c r="AP2426" s="507"/>
      <c r="AQ2426" s="507"/>
      <c r="AR2426" s="507"/>
      <c r="AS2426" s="507"/>
      <c r="AT2426" s="507"/>
      <c r="AU2426" s="507"/>
      <c r="AV2426" s="225"/>
      <c r="AW2426" s="508"/>
      <c r="AX2426" s="225"/>
      <c r="AY2426" s="225"/>
      <c r="AZ2426" s="225"/>
      <c r="BA2426" s="225"/>
      <c r="BB2426" s="225"/>
      <c r="BC2426" s="56"/>
      <c r="BD2426" s="56"/>
      <c r="BE2426" s="56"/>
      <c r="BF2426" s="107" t="str">
        <f t="shared" si="1868"/>
        <v>https://www.google.com/search?tbm=isch&amp;q=Mikawa%20foliage%20emerges%20light%20green%2C%20darkens%2C%20then%20orange-yellow%20in%20autumn.%20More%20heat%20tolerant%20than%20most%20J.%20Maple%20</v>
      </c>
      <c r="BG2426" s="107" t="str">
        <f t="shared" si="1869"/>
        <v>M</v>
      </c>
      <c r="BH2426" s="254"/>
      <c r="BI2426" s="254"/>
    </row>
    <row r="2427" spans="1:61" customFormat="1" ht="18" x14ac:dyDescent="0.25">
      <c r="A2427" s="521" t="s">
        <v>5455</v>
      </c>
      <c r="B2427" s="477"/>
      <c r="C2427" s="674"/>
      <c r="D2427" s="478" t="s">
        <v>1334</v>
      </c>
      <c r="E2427" s="479"/>
      <c r="F2427" s="479"/>
      <c r="G2427" s="479"/>
      <c r="H2427" s="582" t="s">
        <v>1727</v>
      </c>
      <c r="I2427" s="480" t="s">
        <v>2649</v>
      </c>
      <c r="J2427" s="479"/>
      <c r="K2427" s="479"/>
      <c r="L2427" s="560"/>
      <c r="M2427" s="666" t="s">
        <v>4963</v>
      </c>
      <c r="N2427" s="680" t="str">
        <f>IF(AND(ISTEXT($A2427), ISERROR($A2427+0)), HYPERLINK($BF2427, "Images"), "")</f>
        <v>Images</v>
      </c>
      <c r="O2427" s="662" t="s">
        <v>4969</v>
      </c>
      <c r="P2427" s="482"/>
      <c r="Q2427" s="483"/>
      <c r="R2427" s="483"/>
      <c r="S2427" s="484"/>
      <c r="T2427" s="508">
        <f t="shared" si="1857"/>
        <v>0</v>
      </c>
      <c r="U2427" s="225" t="str">
        <f>IF(NOT(ISNUMBER(G2427)), "", VLOOKUP(A2427,'Discount Lookup'!D:E,2,FALSE)*G2427)</f>
        <v/>
      </c>
      <c r="V2427" s="225" t="str">
        <f>IF(NOT(ISNUMBER(G2427)), "", VLOOKUP(A2427,'Discount Lookup'!G:H,2,FALSE)*G2427)</f>
        <v/>
      </c>
      <c r="W2427" s="508">
        <f t="shared" si="1858"/>
        <v>0</v>
      </c>
      <c r="X2427" s="508" t="str">
        <f t="shared" si="1859"/>
        <v>Mint-Green foliage</v>
      </c>
      <c r="Y2427" s="509" t="b">
        <f t="shared" si="1860"/>
        <v>0</v>
      </c>
      <c r="Z2427" s="510">
        <f t="shared" si="1861"/>
        <v>0</v>
      </c>
      <c r="AA2427" s="511"/>
      <c r="AB2427" s="511" t="str">
        <f t="shared" si="1862"/>
        <v/>
      </c>
      <c r="AC2427" s="698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698"/>
      <c r="AE2427" s="631" t="str">
        <f t="shared" si="1863"/>
        <v/>
      </c>
      <c r="AF2427" s="699" t="str">
        <f t="shared" si="1864"/>
        <v/>
      </c>
      <c r="AG2427" s="699"/>
      <c r="AH2427" s="699"/>
      <c r="AI2427" s="512">
        <f>IF(H2427="credit",0,IF(AE2427="free",0,IF(AE2427="me",0,IF(G2427&gt;0,(VLOOKUP(A2427,'Discount Lookup'!J:K,2)*G2427),0))))</f>
        <v>0</v>
      </c>
      <c r="AJ2427" s="513" t="str">
        <f t="shared" ca="1" si="1865"/>
        <v/>
      </c>
      <c r="AK2427" s="700" t="str">
        <f t="shared" si="1866"/>
        <v/>
      </c>
      <c r="AL2427" s="700"/>
      <c r="AM2427" s="505" t="str">
        <f t="shared" si="1867"/>
        <v/>
      </c>
      <c r="AN2427" s="506"/>
      <c r="AO2427" s="507"/>
      <c r="AP2427" s="507"/>
      <c r="AQ2427" s="507"/>
      <c r="AR2427" s="507"/>
      <c r="AS2427" s="507"/>
      <c r="AT2427" s="507"/>
      <c r="AU2427" s="507"/>
      <c r="AV2427" s="225"/>
      <c r="AW2427" s="508"/>
      <c r="AX2427" s="225"/>
      <c r="AY2427" s="225"/>
      <c r="AZ2427" s="225"/>
      <c r="BA2427" s="225"/>
      <c r="BB2427" s="225"/>
      <c r="BC2427" s="56"/>
      <c r="BD2427" s="56"/>
      <c r="BE2427" s="56"/>
      <c r="BF2427" s="107" t="str">
        <f t="shared" si="1868"/>
        <v>https://www.google.com/search?tbm=isch&amp;q=Mint%20Julep%C2%AE%20Juniper%20Juniperus%20%C3%97%20pfitzeriana%20%27Mint%20Julep%27</v>
      </c>
      <c r="BG2427" s="107" t="str">
        <f t="shared" si="1869"/>
        <v>M</v>
      </c>
      <c r="BH2427" s="254"/>
      <c r="BI2427" s="254"/>
    </row>
    <row r="2428" spans="1:61" customFormat="1" ht="27" x14ac:dyDescent="0.25">
      <c r="A2428" s="485">
        <v>65</v>
      </c>
      <c r="B2428" s="486" t="s">
        <v>291</v>
      </c>
      <c r="C2428" s="487" t="s">
        <v>3641</v>
      </c>
      <c r="D2428" s="488" t="s">
        <v>292</v>
      </c>
      <c r="E2428" s="489">
        <v>1389.95</v>
      </c>
      <c r="F2428" s="516" t="s">
        <v>293</v>
      </c>
      <c r="G2428" s="232">
        <v>0</v>
      </c>
      <c r="H2428" s="658" t="str">
        <f>IF(G2428=0,"",IF(F2428="Buy",IF(G2428=1,"plant","plants"),IF(F2428&gt;0.01,"warranty","Error")))</f>
        <v/>
      </c>
      <c r="I2428" s="490">
        <f>IF(H2428="free",0,IF(H2428="credit",((E2428*(F2428))*G2428*-1),IF(F2428="Buy",(E2428*G2428),((E2428*(1-F2428))*G2428))))</f>
        <v>0</v>
      </c>
      <c r="J2428" s="490">
        <f>IF(H2428="warranty",0,(I2428*(_xlfn.SINGLE(SalesTaxPercentage))))</f>
        <v>0</v>
      </c>
      <c r="K2428" s="695">
        <f t="shared" ref="K2428" si="1888">I2428+J2428</f>
        <v>0</v>
      </c>
      <c r="L2428" s="695"/>
      <c r="M2428" s="659" t="str">
        <f>IF(AND(G2428&gt;0,E2428=0),"WARNING - no PRICE inserted",IF(H2428="free"," FREE ~ no charge this plant",IF(H2428="credit",CONCATENATE(" -$",ROUND(K2428*(1-T2GDiscount)*-1,2)," CREDIT after discount"),IF(T2GDiscount=0,"",IF(G2428=0,"",IF(F2428="Buy",CONCATENATE(" $",ROUND(K2428*(1-T2GDiscount),2)," with ",(T2GDiscount*100),"% discount"),CONCATENATE(" $",ROUND(K2428*(1-T2GDiscount),2)," with ",((T2GDiscount*100+F2428*100)-(T2GDiscount*100*F2428)),IF(F2428&gt;0,"% discounts",IF(NoWarrantyDiscount&gt;0,"% discounts","% discount")))))))))</f>
        <v/>
      </c>
      <c r="N2428" s="660"/>
      <c r="O2428" s="233"/>
      <c r="P2428" s="233"/>
      <c r="Q2428" s="233"/>
      <c r="R2428" s="233"/>
      <c r="S2428" s="233"/>
      <c r="T2428" s="508">
        <f t="shared" si="1857"/>
        <v>0</v>
      </c>
      <c r="U2428" s="225">
        <f>IF(NOT(ISNUMBER(G2428)), "", VLOOKUP(A2428,'Discount Lookup'!D:E,2,FALSE)*G2428)</f>
        <v>0</v>
      </c>
      <c r="V2428" s="225">
        <f>IF(NOT(ISNUMBER(G2428)), "", VLOOKUP(A2428,'Discount Lookup'!G:H,2,FALSE)*G2428)</f>
        <v>0</v>
      </c>
      <c r="W2428" s="508">
        <f t="shared" si="1858"/>
        <v>0</v>
      </c>
      <c r="X2428" s="508">
        <f t="shared" si="1859"/>
        <v>0</v>
      </c>
      <c r="Y2428" s="509" t="b">
        <f t="shared" si="1860"/>
        <v>0</v>
      </c>
      <c r="Z2428" s="510">
        <f t="shared" si="1861"/>
        <v>0</v>
      </c>
      <c r="AA2428" s="511"/>
      <c r="AB2428" s="511" t="str">
        <f t="shared" si="1862"/>
        <v/>
      </c>
      <c r="AC2428" s="698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698"/>
      <c r="AE2428" s="631" t="str">
        <f t="shared" si="1863"/>
        <v/>
      </c>
      <c r="AF2428" s="699" t="str">
        <f t="shared" si="1864"/>
        <v/>
      </c>
      <c r="AG2428" s="699"/>
      <c r="AH2428" s="699"/>
      <c r="AI2428" s="512">
        <f>IF(H2428="credit",0,IF(AE2428="free",0,IF(AE2428="me",0,IF(G2428&gt;0,(VLOOKUP(A2428,'Discount Lookup'!J:K,2)*G2428),0))))</f>
        <v>0</v>
      </c>
      <c r="AJ2428" s="513" t="str">
        <f t="shared" ca="1" si="1865"/>
        <v/>
      </c>
      <c r="AK2428" s="700" t="str">
        <f t="shared" si="1866"/>
        <v/>
      </c>
      <c r="AL2428" s="700"/>
      <c r="AM2428" s="505" t="str">
        <f t="shared" si="1867"/>
        <v/>
      </c>
      <c r="AN2428" s="506"/>
      <c r="AO2428" s="507"/>
      <c r="AP2428" s="507"/>
      <c r="AQ2428" s="507"/>
      <c r="AR2428" s="507"/>
      <c r="AS2428" s="507"/>
      <c r="AT2428" s="507"/>
      <c r="AU2428" s="507"/>
      <c r="AV2428" s="225"/>
      <c r="AW2428" s="508"/>
      <c r="AX2428" s="225"/>
      <c r="AY2428" s="225"/>
      <c r="AZ2428" s="225"/>
      <c r="BA2428" s="225"/>
      <c r="BB2428" s="225"/>
      <c r="BC2428" s="56"/>
      <c r="BD2428" s="56"/>
      <c r="BE2428" s="56"/>
      <c r="BF2428" s="107" t="str">
        <f t="shared" si="1868"/>
        <v>https://www.google.com/search?tbm=isch&amp;q=65%20G4</v>
      </c>
      <c r="BG2428" s="107" t="str">
        <f t="shared" si="1869"/>
        <v>M</v>
      </c>
      <c r="BH2428" s="254"/>
      <c r="BI2428" s="254"/>
    </row>
    <row r="2429" spans="1:61" customFormat="1" ht="17.25" thickBot="1" x14ac:dyDescent="0.3">
      <c r="A2429" s="522" t="s">
        <v>4125</v>
      </c>
      <c r="B2429" s="491"/>
      <c r="C2429" s="675"/>
      <c r="D2429" s="491"/>
      <c r="E2429" s="491"/>
      <c r="F2429" s="492"/>
      <c r="G2429" s="493"/>
      <c r="H2429" s="491"/>
      <c r="I2429" s="234"/>
      <c r="J2429" s="234"/>
      <c r="K2429" s="494"/>
      <c r="L2429" s="543"/>
      <c r="M2429" s="561"/>
      <c r="N2429" s="495"/>
      <c r="O2429" s="496"/>
      <c r="P2429" s="497"/>
      <c r="Q2429" s="495"/>
      <c r="R2429" s="495"/>
      <c r="S2429" s="667" t="s">
        <v>4982</v>
      </c>
      <c r="T2429" s="508">
        <f t="shared" si="1857"/>
        <v>0</v>
      </c>
      <c r="U2429" s="225" t="str">
        <f>IF(NOT(ISNUMBER(G2429)), "", VLOOKUP(A2429,'Discount Lookup'!D:E,2,FALSE)*G2429)</f>
        <v/>
      </c>
      <c r="V2429" s="225" t="str">
        <f>IF(NOT(ISNUMBER(G2429)), "", VLOOKUP(A2429,'Discount Lookup'!G:H,2,FALSE)*G2429)</f>
        <v/>
      </c>
      <c r="W2429" s="508">
        <f t="shared" si="1858"/>
        <v>0</v>
      </c>
      <c r="X2429" s="508">
        <f t="shared" si="1859"/>
        <v>0</v>
      </c>
      <c r="Y2429" s="509" t="b">
        <f t="shared" si="1860"/>
        <v>0</v>
      </c>
      <c r="Z2429" s="510">
        <f t="shared" si="1861"/>
        <v>0</v>
      </c>
      <c r="AA2429" s="511"/>
      <c r="AB2429" s="511" t="str">
        <f t="shared" si="1862"/>
        <v/>
      </c>
      <c r="AC2429" s="698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698"/>
      <c r="AE2429" s="631" t="str">
        <f t="shared" si="1863"/>
        <v/>
      </c>
      <c r="AF2429" s="699" t="str">
        <f t="shared" si="1864"/>
        <v/>
      </c>
      <c r="AG2429" s="699"/>
      <c r="AH2429" s="699"/>
      <c r="AI2429" s="512">
        <f>IF(H2429="credit",0,IF(AE2429="free",0,IF(AE2429="me",0,IF(G2429&gt;0,(VLOOKUP(A2429,'Discount Lookup'!J:K,2)*G2429),0))))</f>
        <v>0</v>
      </c>
      <c r="AJ2429" s="513" t="str">
        <f t="shared" ca="1" si="1865"/>
        <v/>
      </c>
      <c r="AK2429" s="700" t="str">
        <f t="shared" si="1866"/>
        <v/>
      </c>
      <c r="AL2429" s="700"/>
      <c r="AM2429" s="505" t="str">
        <f t="shared" si="1867"/>
        <v/>
      </c>
      <c r="AN2429" s="506"/>
      <c r="AO2429" s="507"/>
      <c r="AP2429" s="507"/>
      <c r="AQ2429" s="507"/>
      <c r="AR2429" s="507"/>
      <c r="AS2429" s="507"/>
      <c r="AT2429" s="507"/>
      <c r="AU2429" s="507"/>
      <c r="AV2429" s="225"/>
      <c r="AW2429" s="508"/>
      <c r="AX2429" s="225"/>
      <c r="AY2429" s="225"/>
      <c r="AZ2429" s="225"/>
      <c r="BA2429" s="225"/>
      <c r="BB2429" s="225"/>
      <c r="BC2429" s="56"/>
      <c r="BD2429" s="56"/>
      <c r="BE2429" s="56"/>
      <c r="BF2429" s="107" t="str">
        <f t="shared" si="1868"/>
        <v>https://www.google.com/search?tbm=isch&amp;q=Mint%20Julep%20Juniper%20has%20finely%20textured%20foliage%20on%20arching%20branches%20forming%20a%20fountain-like%20mound.%20Sun%2Fheat%2Fdrought%20tolerant%20</v>
      </c>
      <c r="BG2429" s="107" t="str">
        <f t="shared" si="1869"/>
        <v>M</v>
      </c>
      <c r="BH2429" s="254"/>
      <c r="BI2429" s="254"/>
    </row>
    <row r="2430" spans="1:61" customFormat="1" ht="18" x14ac:dyDescent="0.25">
      <c r="A2430" s="523" t="s">
        <v>1335</v>
      </c>
      <c r="B2430" s="235"/>
      <c r="C2430" s="676"/>
      <c r="D2430" s="255" t="s">
        <v>1336</v>
      </c>
      <c r="E2430" s="236"/>
      <c r="F2430" s="236"/>
      <c r="G2430" s="236"/>
      <c r="H2430" s="582" t="s">
        <v>4093</v>
      </c>
      <c r="I2430" s="498" t="s">
        <v>1349</v>
      </c>
      <c r="J2430" s="237"/>
      <c r="K2430" s="237"/>
      <c r="L2430" s="274"/>
      <c r="M2430" s="670" t="s">
        <v>4987</v>
      </c>
      <c r="N2430" s="681" t="str">
        <f>IF(AND(ISTEXT($A2430), ISERROR($A2430+0)), HYPERLINK($BF2430, "Images"), "")</f>
        <v>Images</v>
      </c>
      <c r="O2430" s="663" t="s">
        <v>4971</v>
      </c>
      <c r="P2430" s="253"/>
      <c r="Q2430" s="238"/>
      <c r="R2430" s="239"/>
      <c r="S2430" s="275"/>
      <c r="T2430" s="508">
        <f t="shared" si="1857"/>
        <v>0</v>
      </c>
      <c r="U2430" s="225" t="str">
        <f>IF(NOT(ISNUMBER(G2430)), "", VLOOKUP(A2430,'Discount Lookup'!D:E,2,FALSE)*G2430)</f>
        <v/>
      </c>
      <c r="V2430" s="225" t="str">
        <f>IF(NOT(ISNUMBER(G2430)), "", VLOOKUP(A2430,'Discount Lookup'!G:H,2,FALSE)*G2430)</f>
        <v/>
      </c>
      <c r="W2430" s="508">
        <f t="shared" si="1858"/>
        <v>0</v>
      </c>
      <c r="X2430" s="508" t="str">
        <f t="shared" si="1859"/>
        <v>Pale Lavender bloom</v>
      </c>
      <c r="Y2430" s="509" t="b">
        <f t="shared" si="1860"/>
        <v>0</v>
      </c>
      <c r="Z2430" s="510">
        <f t="shared" si="1861"/>
        <v>0</v>
      </c>
      <c r="AA2430" s="511"/>
      <c r="AB2430" s="511" t="str">
        <f t="shared" si="1862"/>
        <v/>
      </c>
      <c r="AC2430" s="698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698"/>
      <c r="AE2430" s="631" t="str">
        <f t="shared" si="1863"/>
        <v/>
      </c>
      <c r="AF2430" s="699" t="str">
        <f t="shared" si="1864"/>
        <v/>
      </c>
      <c r="AG2430" s="699"/>
      <c r="AH2430" s="699"/>
      <c r="AI2430" s="512">
        <f>IF(H2430="credit",0,IF(AE2430="free",0,IF(AE2430="me",0,IF(G2430&gt;0,(VLOOKUP(A2430,'Discount Lookup'!J:K,2)*G2430),0))))</f>
        <v>0</v>
      </c>
      <c r="AJ2430" s="513" t="str">
        <f t="shared" ca="1" si="1865"/>
        <v/>
      </c>
      <c r="AK2430" s="700" t="str">
        <f t="shared" si="1866"/>
        <v/>
      </c>
      <c r="AL2430" s="700"/>
      <c r="AM2430" s="505" t="str">
        <f t="shared" si="1867"/>
        <v/>
      </c>
      <c r="AN2430" s="506"/>
      <c r="AO2430" s="507"/>
      <c r="AP2430" s="507"/>
      <c r="AQ2430" s="507"/>
      <c r="AR2430" s="507"/>
      <c r="AS2430" s="507"/>
      <c r="AT2430" s="507"/>
      <c r="AU2430" s="507"/>
      <c r="AV2430" s="225"/>
      <c r="AW2430" s="508"/>
      <c r="AX2430" s="225"/>
      <c r="AY2430" s="225"/>
      <c r="AZ2430" s="225"/>
      <c r="BA2430" s="225"/>
      <c r="BB2430" s="225"/>
      <c r="BC2430" s="56"/>
      <c r="BD2430" s="56"/>
      <c r="BE2430" s="56"/>
      <c r="BF2430" s="107" t="str">
        <f t="shared" si="1868"/>
        <v>https://www.google.com/search?tbm=isch&amp;q=Minuteman%20Hosta%20Hosta%20%27Minuteman%27</v>
      </c>
      <c r="BG2430" s="107" t="str">
        <f t="shared" si="1869"/>
        <v>M</v>
      </c>
      <c r="BH2430" s="254"/>
      <c r="BI2430" s="254"/>
    </row>
    <row r="2431" spans="1:61" customFormat="1" ht="15.75" x14ac:dyDescent="0.25">
      <c r="A2431" s="276">
        <v>1</v>
      </c>
      <c r="B2431" s="240" t="s">
        <v>291</v>
      </c>
      <c r="C2431" s="241" t="s">
        <v>1337</v>
      </c>
      <c r="D2431" s="242" t="s">
        <v>299</v>
      </c>
      <c r="E2431" s="243">
        <v>10.95</v>
      </c>
      <c r="F2431" s="517" t="s">
        <v>293</v>
      </c>
      <c r="G2431" s="232">
        <v>0</v>
      </c>
      <c r="H2431" s="661" t="str">
        <f>IF(G2431=0,"",IF(F2431="Buy",IF(G2431=1,"plant","plants"),IF(F2431&gt;0.01,"warranty","Error")))</f>
        <v/>
      </c>
      <c r="I2431" s="244">
        <f>IF(H2431="free",0,IF(H2431="credit",((E2431*(F2431))*G2431*-1),IF(F2431="Buy",(E2431*G2431),((E2431*(1-F2431))*G2431))))</f>
        <v>0</v>
      </c>
      <c r="J2431" s="244">
        <f>IF(H2431="warranty",0,(I2431*(_xlfn.SINGLE(SalesTaxPercentage))))</f>
        <v>0</v>
      </c>
      <c r="K2431" s="696">
        <f t="shared" ref="K2431" si="1889">I2431+J2431</f>
        <v>0</v>
      </c>
      <c r="L2431" s="696"/>
      <c r="M2431" s="659" t="str">
        <f>IF(AND(G2431&gt;0,E2431=0),"WARNING - no PRICE inserted",IF(H2431="free"," FREE ~ no charge this plant",IF(H2431="credit",CONCATENATE(" -$",ROUND(K2431*(1-T2GDiscount)*-1,2)," CREDIT after discount"),IF(T2GDiscount=0,"",IF(G2431=0,"",IF(F2431="Buy",CONCATENATE(" $",ROUND(K2431*(1-T2GDiscount),2)," with ",(T2GDiscount*100),"% discount"),CONCATENATE(" $",ROUND(K2431*(1-T2GDiscount),2)," with ",((T2GDiscount*100+F2431*100)-(T2GDiscount*100*F2431)),IF(F2431&gt;0,"% discounts",IF(NoWarrantyDiscount&gt;0,"% discounts","% discount")))))))))</f>
        <v/>
      </c>
      <c r="N2431" s="660"/>
      <c r="O2431" s="233"/>
      <c r="P2431" s="233"/>
      <c r="Q2431" s="233"/>
      <c r="R2431" s="233"/>
      <c r="S2431" s="233"/>
      <c r="T2431" s="508">
        <f t="shared" si="1857"/>
        <v>0</v>
      </c>
      <c r="U2431" s="225">
        <f>IF(NOT(ISNUMBER(G2431)), "", VLOOKUP(A2431,'Discount Lookup'!D:E,2,FALSE)*G2431)</f>
        <v>0</v>
      </c>
      <c r="V2431" s="225">
        <f>IF(NOT(ISNUMBER(G2431)), "", VLOOKUP(A2431,'Discount Lookup'!G:H,2,FALSE)*G2431)</f>
        <v>0</v>
      </c>
      <c r="W2431" s="508">
        <f t="shared" si="1858"/>
        <v>0</v>
      </c>
      <c r="X2431" s="508">
        <f t="shared" si="1859"/>
        <v>0</v>
      </c>
      <c r="Y2431" s="509" t="b">
        <f t="shared" si="1860"/>
        <v>0</v>
      </c>
      <c r="Z2431" s="510">
        <f t="shared" si="1861"/>
        <v>0</v>
      </c>
      <c r="AA2431" s="511"/>
      <c r="AB2431" s="511" t="str">
        <f t="shared" si="1862"/>
        <v/>
      </c>
      <c r="AC2431" s="698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698"/>
      <c r="AE2431" s="631" t="str">
        <f t="shared" si="1863"/>
        <v/>
      </c>
      <c r="AF2431" s="699" t="str">
        <f t="shared" si="1864"/>
        <v/>
      </c>
      <c r="AG2431" s="699"/>
      <c r="AH2431" s="699"/>
      <c r="AI2431" s="512">
        <f>IF(H2431="credit",0,IF(AE2431="free",0,IF(AE2431="me",0,IF(G2431&gt;0,(VLOOKUP(A2431,'Discount Lookup'!J:K,2)*G2431),0))))</f>
        <v>0</v>
      </c>
      <c r="AJ2431" s="513" t="str">
        <f t="shared" ca="1" si="1865"/>
        <v/>
      </c>
      <c r="AK2431" s="700" t="str">
        <f t="shared" si="1866"/>
        <v/>
      </c>
      <c r="AL2431" s="700"/>
      <c r="AM2431" s="505" t="str">
        <f t="shared" si="1867"/>
        <v/>
      </c>
      <c r="AN2431" s="506"/>
      <c r="AO2431" s="507"/>
      <c r="AP2431" s="507"/>
      <c r="AQ2431" s="507"/>
      <c r="AR2431" s="507"/>
      <c r="AS2431" s="507"/>
      <c r="AT2431" s="507"/>
      <c r="AU2431" s="507"/>
      <c r="AV2431" s="225"/>
      <c r="AW2431" s="508"/>
      <c r="AX2431" s="225"/>
      <c r="AY2431" s="225"/>
      <c r="AZ2431" s="225"/>
      <c r="BA2431" s="225"/>
      <c r="BB2431" s="225"/>
      <c r="BC2431" s="56"/>
      <c r="BD2431" s="56"/>
      <c r="BE2431" s="56"/>
      <c r="BF2431" s="107" t="str">
        <f t="shared" si="1868"/>
        <v>https://www.google.com/search?tbm=isch&amp;q=1%20G5</v>
      </c>
      <c r="BG2431" s="107" t="str">
        <f t="shared" si="1869"/>
        <v>M</v>
      </c>
      <c r="BH2431" s="254"/>
      <c r="BI2431" s="254"/>
    </row>
    <row r="2432" spans="1:61" customFormat="1" ht="15.75" x14ac:dyDescent="0.25">
      <c r="A2432" s="276">
        <v>1</v>
      </c>
      <c r="B2432" s="240" t="s">
        <v>291</v>
      </c>
      <c r="C2432" s="241"/>
      <c r="D2432" s="242" t="s">
        <v>312</v>
      </c>
      <c r="E2432" s="243">
        <v>14.95</v>
      </c>
      <c r="F2432" s="517" t="s">
        <v>293</v>
      </c>
      <c r="G2432" s="232">
        <v>0</v>
      </c>
      <c r="H2432" s="661" t="str">
        <f>IF(G2432=0,"",IF(F2432="Buy",IF(G2432=1,"plant","plants"),IF(F2432&gt;0.01,"warranty","Error")))</f>
        <v/>
      </c>
      <c r="I2432" s="244">
        <f>IF(H2432="free",0,IF(H2432="credit",((E2432*(F2432))*G2432*-1),IF(F2432="Buy",(E2432*G2432),((E2432*(1-F2432))*G2432))))</f>
        <v>0</v>
      </c>
      <c r="J2432" s="244">
        <f>IF(H2432="warranty",0,(I2432*(_xlfn.SINGLE(SalesTaxPercentage))))</f>
        <v>0</v>
      </c>
      <c r="K2432" s="696">
        <f t="shared" ref="K2432" si="1890">I2432+J2432</f>
        <v>0</v>
      </c>
      <c r="L2432" s="696"/>
      <c r="M2432" s="659" t="str">
        <f>IF(AND(G2432&gt;0,E2432=0),"WARNING - no PRICE inserted",IF(H2432="free"," FREE ~ no charge this plant",IF(H2432="credit",CONCATENATE(" -$",ROUND(K2432*(1-T2GDiscount)*-1,2)," CREDIT after discount"),IF(T2GDiscount=0,"",IF(G2432=0,"",IF(F2432="Buy",CONCATENATE(" $",ROUND(K2432*(1-T2GDiscount),2)," with ",(T2GDiscount*100),"% discount"),CONCATENATE(" $",ROUND(K2432*(1-T2GDiscount),2)," with ",((T2GDiscount*100+F2432*100)-(T2GDiscount*100*F2432)),IF(F2432&gt;0,"% discounts",IF(NoWarrantyDiscount&gt;0,"% discounts","% discount")))))))))</f>
        <v/>
      </c>
      <c r="N2432" s="660"/>
      <c r="O2432" s="233"/>
      <c r="P2432" s="233"/>
      <c r="Q2432" s="233"/>
      <c r="R2432" s="233"/>
      <c r="S2432" s="233"/>
      <c r="T2432" s="508">
        <f t="shared" si="1857"/>
        <v>0</v>
      </c>
      <c r="U2432" s="225">
        <f>IF(NOT(ISNUMBER(G2432)), "", VLOOKUP(A2432,'Discount Lookup'!D:E,2,FALSE)*G2432)</f>
        <v>0</v>
      </c>
      <c r="V2432" s="225">
        <f>IF(NOT(ISNUMBER(G2432)), "", VLOOKUP(A2432,'Discount Lookup'!G:H,2,FALSE)*G2432)</f>
        <v>0</v>
      </c>
      <c r="W2432" s="508">
        <f t="shared" si="1858"/>
        <v>0</v>
      </c>
      <c r="X2432" s="508">
        <f t="shared" si="1859"/>
        <v>0</v>
      </c>
      <c r="Y2432" s="509" t="b">
        <f t="shared" si="1860"/>
        <v>0</v>
      </c>
      <c r="Z2432" s="510">
        <f t="shared" si="1861"/>
        <v>0</v>
      </c>
      <c r="AA2432" s="511"/>
      <c r="AB2432" s="511" t="str">
        <f t="shared" si="1862"/>
        <v/>
      </c>
      <c r="AC2432" s="698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698"/>
      <c r="AE2432" s="631" t="str">
        <f t="shared" si="1863"/>
        <v/>
      </c>
      <c r="AF2432" s="699" t="str">
        <f t="shared" si="1864"/>
        <v/>
      </c>
      <c r="AG2432" s="699"/>
      <c r="AH2432" s="699"/>
      <c r="AI2432" s="512">
        <f>IF(H2432="credit",0,IF(AE2432="free",0,IF(AE2432="me",0,IF(G2432&gt;0,(VLOOKUP(A2432,'Discount Lookup'!J:K,2)*G2432),0))))</f>
        <v>0</v>
      </c>
      <c r="AJ2432" s="513" t="str">
        <f t="shared" ca="1" si="1865"/>
        <v/>
      </c>
      <c r="AK2432" s="700" t="str">
        <f t="shared" si="1866"/>
        <v/>
      </c>
      <c r="AL2432" s="700"/>
      <c r="AM2432" s="505" t="str">
        <f t="shared" si="1867"/>
        <v/>
      </c>
      <c r="AN2432" s="506"/>
      <c r="AO2432" s="507"/>
      <c r="AP2432" s="507"/>
      <c r="AQ2432" s="507"/>
      <c r="AR2432" s="507"/>
      <c r="AS2432" s="507"/>
      <c r="AT2432" s="507"/>
      <c r="AU2432" s="507"/>
      <c r="AV2432" s="225"/>
      <c r="AW2432" s="508"/>
      <c r="AX2432" s="225"/>
      <c r="AY2432" s="225"/>
      <c r="AZ2432" s="225"/>
      <c r="BA2432" s="225"/>
      <c r="BB2432" s="225"/>
      <c r="BC2432" s="56"/>
      <c r="BD2432" s="56"/>
      <c r="BE2432" s="56"/>
      <c r="BF2432" s="107" t="str">
        <f t="shared" si="1868"/>
        <v>https://www.google.com/search?tbm=isch&amp;q=1%20G2</v>
      </c>
      <c r="BG2432" s="107" t="str">
        <f t="shared" si="1869"/>
        <v>M</v>
      </c>
      <c r="BH2432" s="254"/>
      <c r="BI2432" s="254"/>
    </row>
    <row r="2433" spans="1:61" customFormat="1" ht="17.25" thickBot="1" x14ac:dyDescent="0.3">
      <c r="A2433" s="673" t="s">
        <v>5173</v>
      </c>
      <c r="B2433" s="245"/>
      <c r="C2433" s="677"/>
      <c r="D2433" s="499"/>
      <c r="E2433" s="499"/>
      <c r="F2433" s="500"/>
      <c r="G2433" s="501"/>
      <c r="H2433" s="502"/>
      <c r="I2433" s="246"/>
      <c r="J2433" s="247"/>
      <c r="K2433" s="503"/>
      <c r="L2433" s="544"/>
      <c r="M2433" s="544"/>
      <c r="N2433" s="500"/>
      <c r="O2433" s="500"/>
      <c r="P2433" s="500"/>
      <c r="Q2433" s="500"/>
      <c r="R2433" s="500"/>
      <c r="S2433" s="669" t="s">
        <v>4977</v>
      </c>
      <c r="T2433" s="508">
        <f t="shared" si="1857"/>
        <v>0</v>
      </c>
      <c r="U2433" s="225" t="str">
        <f>IF(NOT(ISNUMBER(G2433)), "", VLOOKUP(A2433,'Discount Lookup'!D:E,2,FALSE)*G2433)</f>
        <v/>
      </c>
      <c r="V2433" s="225" t="str">
        <f>IF(NOT(ISNUMBER(G2433)), "", VLOOKUP(A2433,'Discount Lookup'!G:H,2,FALSE)*G2433)</f>
        <v/>
      </c>
      <c r="W2433" s="508">
        <f t="shared" si="1858"/>
        <v>0</v>
      </c>
      <c r="X2433" s="508">
        <f t="shared" si="1859"/>
        <v>0</v>
      </c>
      <c r="Y2433" s="509" t="b">
        <f t="shared" si="1860"/>
        <v>0</v>
      </c>
      <c r="Z2433" s="510">
        <f t="shared" si="1861"/>
        <v>0</v>
      </c>
      <c r="AA2433" s="511"/>
      <c r="AB2433" s="511" t="str">
        <f t="shared" si="1862"/>
        <v/>
      </c>
      <c r="AC2433" s="698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698"/>
      <c r="AE2433" s="631" t="str">
        <f t="shared" si="1863"/>
        <v/>
      </c>
      <c r="AF2433" s="699" t="str">
        <f t="shared" si="1864"/>
        <v/>
      </c>
      <c r="AG2433" s="699"/>
      <c r="AH2433" s="699"/>
      <c r="AI2433" s="512">
        <f>IF(H2433="credit",0,IF(AE2433="free",0,IF(AE2433="me",0,IF(G2433&gt;0,(VLOOKUP(A2433,'Discount Lookup'!J:K,2)*G2433),0))))</f>
        <v>0</v>
      </c>
      <c r="AJ2433" s="513" t="str">
        <f t="shared" ca="1" si="1865"/>
        <v/>
      </c>
      <c r="AK2433" s="700" t="str">
        <f t="shared" si="1866"/>
        <v/>
      </c>
      <c r="AL2433" s="700"/>
      <c r="AM2433" s="505" t="str">
        <f t="shared" si="1867"/>
        <v/>
      </c>
      <c r="AN2433" s="506"/>
      <c r="AO2433" s="507"/>
      <c r="AP2433" s="507"/>
      <c r="AQ2433" s="507"/>
      <c r="AR2433" s="507"/>
      <c r="AS2433" s="507"/>
      <c r="AT2433" s="507"/>
      <c r="AU2433" s="507"/>
      <c r="AV2433" s="225"/>
      <c r="AW2433" s="508"/>
      <c r="AX2433" s="225"/>
      <c r="AY2433" s="225"/>
      <c r="AZ2433" s="225"/>
      <c r="BA2433" s="225"/>
      <c r="BB2433" s="225"/>
      <c r="BC2433" s="56"/>
      <c r="BD2433" s="56"/>
      <c r="BE2433" s="56"/>
      <c r="BF2433" s="107" t="str">
        <f t="shared" si="1868"/>
        <v>https://www.google.com/search?tbm=isch&amp;q=moist%20sites%F0%9F%92%A7OK%2C%20Minuteman%20has%20large%2C%20heart-shaped%2C%20Dark%20Green%20leaves%20with%20a%20crisp%2C%20wide%20White%20margin%20</v>
      </c>
      <c r="BG2433" s="107" t="str">
        <f t="shared" si="1869"/>
        <v>m</v>
      </c>
      <c r="BH2433" s="254"/>
      <c r="BI2433" s="254"/>
    </row>
    <row r="2434" spans="1:61" customFormat="1" ht="18" x14ac:dyDescent="0.25">
      <c r="A2434" s="523" t="s">
        <v>1338</v>
      </c>
      <c r="B2434" s="235"/>
      <c r="C2434" s="676"/>
      <c r="D2434" s="255" t="s">
        <v>1339</v>
      </c>
      <c r="E2434" s="236"/>
      <c r="F2434" s="236"/>
      <c r="G2434" s="236"/>
      <c r="H2434" s="582" t="s">
        <v>326</v>
      </c>
      <c r="I2434" s="498" t="s">
        <v>1340</v>
      </c>
      <c r="J2434" s="237"/>
      <c r="K2434" s="237"/>
      <c r="L2434" s="274"/>
      <c r="M2434" s="668" t="s">
        <v>4962</v>
      </c>
      <c r="N2434" s="681" t="str">
        <f>IF(AND(ISTEXT($A2434), ISERROR($A2434+0)), HYPERLINK($BF2434, "Images"), "")</f>
        <v>Images</v>
      </c>
      <c r="O2434" s="663" t="s">
        <v>4967</v>
      </c>
      <c r="P2434" s="253"/>
      <c r="Q2434" s="238"/>
      <c r="R2434" s="239"/>
      <c r="S2434" s="275"/>
      <c r="T2434" s="508">
        <f t="shared" si="1857"/>
        <v>0</v>
      </c>
      <c r="U2434" s="225" t="str">
        <f>IF(NOT(ISNUMBER(G2434)), "", VLOOKUP(A2434,'Discount Lookup'!D:E,2,FALSE)*G2434)</f>
        <v/>
      </c>
      <c r="V2434" s="225" t="str">
        <f>IF(NOT(ISNUMBER(G2434)), "", VLOOKUP(A2434,'Discount Lookup'!G:H,2,FALSE)*G2434)</f>
        <v/>
      </c>
      <c r="W2434" s="508">
        <f t="shared" si="1858"/>
        <v>0</v>
      </c>
      <c r="X2434" s="508" t="str">
        <f t="shared" si="1859"/>
        <v>Red bloom, Yellow center</v>
      </c>
      <c r="Y2434" s="509" t="b">
        <f t="shared" si="1860"/>
        <v>0</v>
      </c>
      <c r="Z2434" s="510">
        <f t="shared" si="1861"/>
        <v>0</v>
      </c>
      <c r="AA2434" s="511"/>
      <c r="AB2434" s="511" t="str">
        <f t="shared" si="1862"/>
        <v/>
      </c>
      <c r="AC2434" s="698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698"/>
      <c r="AE2434" s="631" t="str">
        <f t="shared" si="1863"/>
        <v/>
      </c>
      <c r="AF2434" s="699" t="str">
        <f t="shared" si="1864"/>
        <v/>
      </c>
      <c r="AG2434" s="699"/>
      <c r="AH2434" s="699"/>
      <c r="AI2434" s="512">
        <f>IF(H2434="credit",0,IF(AE2434="free",0,IF(AE2434="me",0,IF(G2434&gt;0,(VLOOKUP(A2434,'Discount Lookup'!J:K,2)*G2434),0))))</f>
        <v>0</v>
      </c>
      <c r="AJ2434" s="513" t="str">
        <f t="shared" ca="1" si="1865"/>
        <v/>
      </c>
      <c r="AK2434" s="700" t="str">
        <f t="shared" si="1866"/>
        <v/>
      </c>
      <c r="AL2434" s="700"/>
      <c r="AM2434" s="505" t="str">
        <f t="shared" si="1867"/>
        <v/>
      </c>
      <c r="AN2434" s="506"/>
      <c r="AO2434" s="507"/>
      <c r="AP2434" s="507"/>
      <c r="AQ2434" s="507"/>
      <c r="AR2434" s="507"/>
      <c r="AS2434" s="507"/>
      <c r="AT2434" s="507"/>
      <c r="AU2434" s="507"/>
      <c r="AV2434" s="225"/>
      <c r="AW2434" s="508"/>
      <c r="AX2434" s="225"/>
      <c r="AY2434" s="225"/>
      <c r="AZ2434" s="225"/>
      <c r="BA2434" s="225"/>
      <c r="BB2434" s="225"/>
      <c r="BC2434" s="56"/>
      <c r="BD2434" s="56"/>
      <c r="BE2434" s="56"/>
      <c r="BF2434" s="107" t="str">
        <f t="shared" si="1868"/>
        <v>https://www.google.com/search?tbm=isch&amp;q=Miss%20Frances%20Crape%20Myrtle%20Lagerstroemia%20indica%20%27Miss%20Frances%27</v>
      </c>
      <c r="BG2434" s="107" t="str">
        <f t="shared" si="1869"/>
        <v>M</v>
      </c>
      <c r="BH2434" s="254"/>
      <c r="BI2434" s="254"/>
    </row>
    <row r="2435" spans="1:61" customFormat="1" ht="15.75" x14ac:dyDescent="0.25">
      <c r="A2435" s="276">
        <v>7</v>
      </c>
      <c r="B2435" s="240" t="s">
        <v>291</v>
      </c>
      <c r="C2435" s="241" t="s">
        <v>1341</v>
      </c>
      <c r="D2435" s="242" t="s">
        <v>299</v>
      </c>
      <c r="E2435" s="243">
        <v>68.95</v>
      </c>
      <c r="F2435" s="517" t="s">
        <v>293</v>
      </c>
      <c r="G2435" s="232">
        <v>0</v>
      </c>
      <c r="H2435" s="661" t="str">
        <f>IF(G2435=0,"",IF(F2435="Buy",IF(G2435=1,"plant","plants"),IF(F2435&gt;0.01,"warranty","Error")))</f>
        <v/>
      </c>
      <c r="I2435" s="244">
        <f>IF(H2435="free",0,IF(H2435="credit",((E2435*(F2435))*G2435*-1),IF(F2435="Buy",(E2435*G2435),((E2435*(1-F2435))*G2435))))</f>
        <v>0</v>
      </c>
      <c r="J2435" s="244">
        <f>IF(H2435="warranty",0,(I2435*(_xlfn.SINGLE(SalesTaxPercentage))))</f>
        <v>0</v>
      </c>
      <c r="K2435" s="696">
        <f t="shared" ref="K2435" si="1891">I2435+J2435</f>
        <v>0</v>
      </c>
      <c r="L2435" s="696"/>
      <c r="M2435" s="659" t="str">
        <f>IF(AND(G2435&gt;0,E2435=0),"WARNING - no PRICE inserted",IF(H2435="free"," FREE ~ no charge this plant",IF(H2435="credit",CONCATENATE(" -$",ROUND(K2435*(1-T2GDiscount)*-1,2)," CREDIT after discount"),IF(T2GDiscount=0,"",IF(G2435=0,"",IF(F2435="Buy",CONCATENATE(" $",ROUND(K2435*(1-T2GDiscount),2)," with ",(T2GDiscount*100),"% discount"),CONCATENATE(" $",ROUND(K2435*(1-T2GDiscount),2)," with ",((T2GDiscount*100+F2435*100)-(T2GDiscount*100*F2435)),IF(F2435&gt;0,"% discounts",IF(NoWarrantyDiscount&gt;0,"% discounts","% discount")))))))))</f>
        <v/>
      </c>
      <c r="N2435" s="660"/>
      <c r="O2435" s="233"/>
      <c r="P2435" s="233"/>
      <c r="Q2435" s="233"/>
      <c r="R2435" s="233"/>
      <c r="S2435" s="233"/>
      <c r="T2435" s="508">
        <f t="shared" si="1857"/>
        <v>0</v>
      </c>
      <c r="U2435" s="225">
        <f>IF(NOT(ISNUMBER(G2435)), "", VLOOKUP(A2435,'Discount Lookup'!D:E,2,FALSE)*G2435)</f>
        <v>0</v>
      </c>
      <c r="V2435" s="225">
        <f>IF(NOT(ISNUMBER(G2435)), "", VLOOKUP(A2435,'Discount Lookup'!G:H,2,FALSE)*G2435)</f>
        <v>0</v>
      </c>
      <c r="W2435" s="508">
        <f t="shared" si="1858"/>
        <v>0</v>
      </c>
      <c r="X2435" s="508">
        <f t="shared" si="1859"/>
        <v>0</v>
      </c>
      <c r="Y2435" s="509" t="b">
        <f t="shared" si="1860"/>
        <v>0</v>
      </c>
      <c r="Z2435" s="510">
        <f t="shared" si="1861"/>
        <v>0</v>
      </c>
      <c r="AA2435" s="511"/>
      <c r="AB2435" s="511" t="str">
        <f t="shared" si="1862"/>
        <v/>
      </c>
      <c r="AC2435" s="698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698"/>
      <c r="AE2435" s="631" t="str">
        <f t="shared" si="1863"/>
        <v/>
      </c>
      <c r="AF2435" s="699" t="str">
        <f t="shared" si="1864"/>
        <v/>
      </c>
      <c r="AG2435" s="699"/>
      <c r="AH2435" s="699"/>
      <c r="AI2435" s="512">
        <f>IF(H2435="credit",0,IF(AE2435="free",0,IF(AE2435="me",0,IF(G2435&gt;0,(VLOOKUP(A2435,'Discount Lookup'!J:K,2)*G2435),0))))</f>
        <v>0</v>
      </c>
      <c r="AJ2435" s="513" t="str">
        <f t="shared" ca="1" si="1865"/>
        <v/>
      </c>
      <c r="AK2435" s="700" t="str">
        <f t="shared" si="1866"/>
        <v/>
      </c>
      <c r="AL2435" s="700"/>
      <c r="AM2435" s="505" t="str">
        <f t="shared" si="1867"/>
        <v/>
      </c>
      <c r="AN2435" s="506"/>
      <c r="AO2435" s="507"/>
      <c r="AP2435" s="507"/>
      <c r="AQ2435" s="507"/>
      <c r="AR2435" s="507"/>
      <c r="AS2435" s="507"/>
      <c r="AT2435" s="507"/>
      <c r="AU2435" s="507"/>
      <c r="AV2435" s="225"/>
      <c r="AW2435" s="508"/>
      <c r="AX2435" s="225"/>
      <c r="AY2435" s="225"/>
      <c r="AZ2435" s="225"/>
      <c r="BA2435" s="225"/>
      <c r="BB2435" s="225"/>
      <c r="BC2435" s="56"/>
      <c r="BD2435" s="56"/>
      <c r="BE2435" s="56"/>
      <c r="BF2435" s="107" t="str">
        <f t="shared" si="1868"/>
        <v>https://www.google.com/search?tbm=isch&amp;q=7%20G5</v>
      </c>
      <c r="BG2435" s="107" t="str">
        <f t="shared" si="1869"/>
        <v>M</v>
      </c>
      <c r="BH2435" s="254"/>
      <c r="BI2435" s="254"/>
    </row>
    <row r="2436" spans="1:61" customFormat="1" ht="27" x14ac:dyDescent="0.25">
      <c r="A2436" s="276">
        <v>7</v>
      </c>
      <c r="B2436" s="240" t="s">
        <v>291</v>
      </c>
      <c r="C2436" s="241" t="s">
        <v>3642</v>
      </c>
      <c r="D2436" s="242" t="s">
        <v>292</v>
      </c>
      <c r="E2436" s="243">
        <v>91.95</v>
      </c>
      <c r="F2436" s="517" t="s">
        <v>293</v>
      </c>
      <c r="G2436" s="232">
        <v>0</v>
      </c>
      <c r="H2436" s="661" t="str">
        <f>IF(G2436=0,"",IF(F2436="Buy",IF(G2436=1,"plant","plants"),IF(F2436&gt;0.01,"warranty","Error")))</f>
        <v/>
      </c>
      <c r="I2436" s="244">
        <f>IF(H2436="free",0,IF(H2436="credit",((E2436*(F2436))*G2436*-1),IF(F2436="Buy",(E2436*G2436),((E2436*(1-F2436))*G2436))))</f>
        <v>0</v>
      </c>
      <c r="J2436" s="244">
        <f>IF(H2436="warranty",0,(I2436*(_xlfn.SINGLE(SalesTaxPercentage))))</f>
        <v>0</v>
      </c>
      <c r="K2436" s="696">
        <f t="shared" ref="K2436" si="1892">I2436+J2436</f>
        <v>0</v>
      </c>
      <c r="L2436" s="696"/>
      <c r="M2436" s="659" t="str">
        <f>IF(AND(G2436&gt;0,E2436=0),"WARNING - no PRICE inserted",IF(H2436="free"," FREE ~ no charge this plant",IF(H2436="credit",CONCATENATE(" -$",ROUND(K2436*(1-T2GDiscount)*-1,2)," CREDIT after discount"),IF(T2GDiscount=0,"",IF(G2436=0,"",IF(F2436="Buy",CONCATENATE(" $",ROUND(K2436*(1-T2GDiscount),2)," with ",(T2GDiscount*100),"% discount"),CONCATENATE(" $",ROUND(K2436*(1-T2GDiscount),2)," with ",((T2GDiscount*100+F2436*100)-(T2GDiscount*100*F2436)),IF(F2436&gt;0,"% discounts",IF(NoWarrantyDiscount&gt;0,"% discounts","% discount")))))))))</f>
        <v/>
      </c>
      <c r="N2436" s="660"/>
      <c r="O2436" s="233"/>
      <c r="P2436" s="233"/>
      <c r="Q2436" s="233"/>
      <c r="R2436" s="233"/>
      <c r="S2436" s="233"/>
      <c r="T2436" s="508">
        <f t="shared" si="1857"/>
        <v>0</v>
      </c>
      <c r="U2436" s="225">
        <f>IF(NOT(ISNUMBER(G2436)), "", VLOOKUP(A2436,'Discount Lookup'!D:E,2,FALSE)*G2436)</f>
        <v>0</v>
      </c>
      <c r="V2436" s="225">
        <f>IF(NOT(ISNUMBER(G2436)), "", VLOOKUP(A2436,'Discount Lookup'!G:H,2,FALSE)*G2436)</f>
        <v>0</v>
      </c>
      <c r="W2436" s="508">
        <f t="shared" si="1858"/>
        <v>0</v>
      </c>
      <c r="X2436" s="508">
        <f t="shared" si="1859"/>
        <v>0</v>
      </c>
      <c r="Y2436" s="509" t="b">
        <f t="shared" si="1860"/>
        <v>0</v>
      </c>
      <c r="Z2436" s="510">
        <f t="shared" si="1861"/>
        <v>0</v>
      </c>
      <c r="AA2436" s="511"/>
      <c r="AB2436" s="511" t="str">
        <f t="shared" si="1862"/>
        <v/>
      </c>
      <c r="AC2436" s="698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698"/>
      <c r="AE2436" s="631" t="str">
        <f t="shared" si="1863"/>
        <v/>
      </c>
      <c r="AF2436" s="699" t="str">
        <f t="shared" si="1864"/>
        <v/>
      </c>
      <c r="AG2436" s="699"/>
      <c r="AH2436" s="699"/>
      <c r="AI2436" s="512">
        <f>IF(H2436="credit",0,IF(AE2436="free",0,IF(AE2436="me",0,IF(G2436&gt;0,(VLOOKUP(A2436,'Discount Lookup'!J:K,2)*G2436),0))))</f>
        <v>0</v>
      </c>
      <c r="AJ2436" s="513" t="str">
        <f t="shared" ca="1" si="1865"/>
        <v/>
      </c>
      <c r="AK2436" s="700" t="str">
        <f t="shared" si="1866"/>
        <v/>
      </c>
      <c r="AL2436" s="700"/>
      <c r="AM2436" s="505" t="str">
        <f t="shared" si="1867"/>
        <v/>
      </c>
      <c r="AN2436" s="506"/>
      <c r="AO2436" s="507"/>
      <c r="AP2436" s="507"/>
      <c r="AQ2436" s="507"/>
      <c r="AR2436" s="507"/>
      <c r="AS2436" s="507"/>
      <c r="AT2436" s="507"/>
      <c r="AU2436" s="507"/>
      <c r="AV2436" s="225"/>
      <c r="AW2436" s="508"/>
      <c r="AX2436" s="225"/>
      <c r="AY2436" s="225"/>
      <c r="AZ2436" s="225"/>
      <c r="BA2436" s="225"/>
      <c r="BB2436" s="225"/>
      <c r="BC2436" s="56"/>
      <c r="BD2436" s="56"/>
      <c r="BE2436" s="56"/>
      <c r="BF2436" s="107" t="str">
        <f t="shared" si="1868"/>
        <v>https://www.google.com/search?tbm=isch&amp;q=7%20G4</v>
      </c>
      <c r="BG2436" s="107" t="str">
        <f t="shared" si="1869"/>
        <v>M</v>
      </c>
      <c r="BH2436" s="254"/>
      <c r="BI2436" s="254"/>
    </row>
    <row r="2437" spans="1:61" customFormat="1" ht="27" x14ac:dyDescent="0.25">
      <c r="A2437" s="276">
        <v>15</v>
      </c>
      <c r="B2437" s="240" t="s">
        <v>291</v>
      </c>
      <c r="C2437" s="241" t="s">
        <v>3643</v>
      </c>
      <c r="D2437" s="242" t="s">
        <v>292</v>
      </c>
      <c r="E2437" s="243">
        <v>164.95</v>
      </c>
      <c r="F2437" s="517" t="s">
        <v>293</v>
      </c>
      <c r="G2437" s="232">
        <v>0</v>
      </c>
      <c r="H2437" s="661" t="str">
        <f>IF(G2437=0,"",IF(F2437="Buy",IF(G2437=1,"plant","plants"),IF(F2437&gt;0.01,"warranty","Error")))</f>
        <v/>
      </c>
      <c r="I2437" s="244">
        <f>IF(H2437="free",0,IF(H2437="credit",((E2437*(F2437))*G2437*-1),IF(F2437="Buy",(E2437*G2437),((E2437*(1-F2437))*G2437))))</f>
        <v>0</v>
      </c>
      <c r="J2437" s="244">
        <f>IF(H2437="warranty",0,(I2437*(_xlfn.SINGLE(SalesTaxPercentage))))</f>
        <v>0</v>
      </c>
      <c r="K2437" s="696">
        <f t="shared" ref="K2437" si="1893">I2437+J2437</f>
        <v>0</v>
      </c>
      <c r="L2437" s="696"/>
      <c r="M2437" s="659" t="str">
        <f>IF(AND(G2437&gt;0,E2437=0),"WARNING - no PRICE inserted",IF(H2437="free"," FREE ~ no charge this plant",IF(H2437="credit",CONCATENATE(" -$",ROUND(K2437*(1-T2GDiscount)*-1,2)," CREDIT after discount"),IF(T2GDiscount=0,"",IF(G2437=0,"",IF(F2437="Buy",CONCATENATE(" $",ROUND(K2437*(1-T2GDiscount),2)," with ",(T2GDiscount*100),"% discount"),CONCATENATE(" $",ROUND(K2437*(1-T2GDiscount),2)," with ",((T2GDiscount*100+F2437*100)-(T2GDiscount*100*F2437)),IF(F2437&gt;0,"% discounts",IF(NoWarrantyDiscount&gt;0,"% discounts","% discount")))))))))</f>
        <v/>
      </c>
      <c r="N2437" s="660"/>
      <c r="O2437" s="233"/>
      <c r="P2437" s="233"/>
      <c r="Q2437" s="233"/>
      <c r="R2437" s="233"/>
      <c r="S2437" s="233"/>
      <c r="T2437" s="508">
        <f t="shared" si="1857"/>
        <v>0</v>
      </c>
      <c r="U2437" s="225">
        <f>IF(NOT(ISNUMBER(G2437)), "", VLOOKUP(A2437,'Discount Lookup'!D:E,2,FALSE)*G2437)</f>
        <v>0</v>
      </c>
      <c r="V2437" s="225">
        <f>IF(NOT(ISNUMBER(G2437)), "", VLOOKUP(A2437,'Discount Lookup'!G:H,2,FALSE)*G2437)</f>
        <v>0</v>
      </c>
      <c r="W2437" s="508">
        <f t="shared" si="1858"/>
        <v>0</v>
      </c>
      <c r="X2437" s="508">
        <f t="shared" si="1859"/>
        <v>0</v>
      </c>
      <c r="Y2437" s="509" t="b">
        <f t="shared" si="1860"/>
        <v>0</v>
      </c>
      <c r="Z2437" s="510">
        <f t="shared" si="1861"/>
        <v>0</v>
      </c>
      <c r="AA2437" s="511"/>
      <c r="AB2437" s="511" t="str">
        <f t="shared" si="1862"/>
        <v/>
      </c>
      <c r="AC2437" s="698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698"/>
      <c r="AE2437" s="631" t="str">
        <f t="shared" si="1863"/>
        <v/>
      </c>
      <c r="AF2437" s="699" t="str">
        <f t="shared" si="1864"/>
        <v/>
      </c>
      <c r="AG2437" s="699"/>
      <c r="AH2437" s="699"/>
      <c r="AI2437" s="512">
        <f>IF(H2437="credit",0,IF(AE2437="free",0,IF(AE2437="me",0,IF(G2437&gt;0,(VLOOKUP(A2437,'Discount Lookup'!J:K,2)*G2437),0))))</f>
        <v>0</v>
      </c>
      <c r="AJ2437" s="513" t="str">
        <f t="shared" ca="1" si="1865"/>
        <v/>
      </c>
      <c r="AK2437" s="700" t="str">
        <f t="shared" si="1866"/>
        <v/>
      </c>
      <c r="AL2437" s="700"/>
      <c r="AM2437" s="505" t="str">
        <f t="shared" si="1867"/>
        <v/>
      </c>
      <c r="AN2437" s="506"/>
      <c r="AO2437" s="507"/>
      <c r="AP2437" s="507"/>
      <c r="AQ2437" s="507"/>
      <c r="AR2437" s="507"/>
      <c r="AS2437" s="507"/>
      <c r="AT2437" s="507"/>
      <c r="AU2437" s="507"/>
      <c r="AV2437" s="225"/>
      <c r="AW2437" s="508"/>
      <c r="AX2437" s="225"/>
      <c r="AY2437" s="225"/>
      <c r="AZ2437" s="225"/>
      <c r="BA2437" s="225"/>
      <c r="BB2437" s="225"/>
      <c r="BC2437" s="56"/>
      <c r="BD2437" s="56"/>
      <c r="BE2437" s="56"/>
      <c r="BF2437" s="107" t="str">
        <f t="shared" si="1868"/>
        <v>https://www.google.com/search?tbm=isch&amp;q=15%20G4</v>
      </c>
      <c r="BG2437" s="107" t="str">
        <f t="shared" si="1869"/>
        <v>M</v>
      </c>
      <c r="BH2437" s="254"/>
      <c r="BI2437" s="254"/>
    </row>
    <row r="2438" spans="1:61" customFormat="1" ht="15.75" x14ac:dyDescent="0.25">
      <c r="A2438" s="276">
        <v>25</v>
      </c>
      <c r="B2438" s="240" t="s">
        <v>291</v>
      </c>
      <c r="C2438" s="241" t="s">
        <v>1408</v>
      </c>
      <c r="D2438" s="242" t="s">
        <v>300</v>
      </c>
      <c r="E2438" s="243">
        <v>314.95</v>
      </c>
      <c r="F2438" s="517" t="s">
        <v>293</v>
      </c>
      <c r="G2438" s="232">
        <v>0</v>
      </c>
      <c r="H2438" s="661" t="str">
        <f>IF(G2438=0,"",IF(F2438="Buy",IF(G2438=1,"plant","plants"),IF(F2438&gt;0.01,"warranty","Error")))</f>
        <v/>
      </c>
      <c r="I2438" s="244">
        <f>IF(H2438="free",0,IF(H2438="credit",((E2438*(F2438))*G2438*-1),IF(F2438="Buy",(E2438*G2438),((E2438*(1-F2438))*G2438))))</f>
        <v>0</v>
      </c>
      <c r="J2438" s="244">
        <f>IF(H2438="warranty",0,(I2438*(_xlfn.SINGLE(SalesTaxPercentage))))</f>
        <v>0</v>
      </c>
      <c r="K2438" s="696">
        <f t="shared" ref="K2438" si="1894">I2438+J2438</f>
        <v>0</v>
      </c>
      <c r="L2438" s="696"/>
      <c r="M2438" s="659" t="str">
        <f>IF(AND(G2438&gt;0,E2438=0),"WARNING - no PRICE inserted",IF(H2438="free"," FREE ~ no charge this plant",IF(H2438="credit",CONCATENATE(" -$",ROUND(K2438*(1-T2GDiscount)*-1,2)," CREDIT after discount"),IF(T2GDiscount=0,"",IF(G2438=0,"",IF(F2438="Buy",CONCATENATE(" $",ROUND(K2438*(1-T2GDiscount),2)," with ",(T2GDiscount*100),"% discount"),CONCATENATE(" $",ROUND(K2438*(1-T2GDiscount),2)," with ",((T2GDiscount*100+F2438*100)-(T2GDiscount*100*F2438)),IF(F2438&gt;0,"% discounts",IF(NoWarrantyDiscount&gt;0,"% discounts","% discount")))))))))</f>
        <v/>
      </c>
      <c r="N2438" s="660"/>
      <c r="O2438" s="233"/>
      <c r="P2438" s="233"/>
      <c r="Q2438" s="233"/>
      <c r="R2438" s="233"/>
      <c r="S2438" s="233"/>
      <c r="T2438" s="508">
        <f t="shared" si="1857"/>
        <v>0</v>
      </c>
      <c r="U2438" s="225">
        <f>IF(NOT(ISNUMBER(G2438)), "", VLOOKUP(A2438,'Discount Lookup'!D:E,2,FALSE)*G2438)</f>
        <v>0</v>
      </c>
      <c r="V2438" s="225">
        <f>IF(NOT(ISNUMBER(G2438)), "", VLOOKUP(A2438,'Discount Lookup'!G:H,2,FALSE)*G2438)</f>
        <v>0</v>
      </c>
      <c r="W2438" s="508">
        <f t="shared" si="1858"/>
        <v>0</v>
      </c>
      <c r="X2438" s="508">
        <f t="shared" si="1859"/>
        <v>0</v>
      </c>
      <c r="Y2438" s="509" t="b">
        <f t="shared" si="1860"/>
        <v>0</v>
      </c>
      <c r="Z2438" s="510">
        <f t="shared" si="1861"/>
        <v>0</v>
      </c>
      <c r="AA2438" s="511"/>
      <c r="AB2438" s="511" t="str">
        <f t="shared" si="1862"/>
        <v/>
      </c>
      <c r="AC2438" s="698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698"/>
      <c r="AE2438" s="631" t="str">
        <f t="shared" si="1863"/>
        <v/>
      </c>
      <c r="AF2438" s="699" t="str">
        <f t="shared" si="1864"/>
        <v/>
      </c>
      <c r="AG2438" s="699"/>
      <c r="AH2438" s="699"/>
      <c r="AI2438" s="512">
        <f>IF(H2438="credit",0,IF(AE2438="free",0,IF(AE2438="me",0,IF(G2438&gt;0,(VLOOKUP(A2438,'Discount Lookup'!J:K,2)*G2438),0))))</f>
        <v>0</v>
      </c>
      <c r="AJ2438" s="513" t="str">
        <f t="shared" ca="1" si="1865"/>
        <v/>
      </c>
      <c r="AK2438" s="700" t="str">
        <f t="shared" si="1866"/>
        <v/>
      </c>
      <c r="AL2438" s="700"/>
      <c r="AM2438" s="505" t="str">
        <f t="shared" si="1867"/>
        <v/>
      </c>
      <c r="AN2438" s="506"/>
      <c r="AO2438" s="507"/>
      <c r="AP2438" s="507"/>
      <c r="AQ2438" s="507"/>
      <c r="AR2438" s="507"/>
      <c r="AS2438" s="507"/>
      <c r="AT2438" s="507"/>
      <c r="AU2438" s="507"/>
      <c r="AV2438" s="225"/>
      <c r="AW2438" s="508"/>
      <c r="AX2438" s="225"/>
      <c r="AY2438" s="225"/>
      <c r="AZ2438" s="225"/>
      <c r="BA2438" s="225"/>
      <c r="BB2438" s="225"/>
      <c r="BC2438" s="56"/>
      <c r="BD2438" s="56"/>
      <c r="BE2438" s="56"/>
      <c r="BF2438" s="107" t="str">
        <f t="shared" si="1868"/>
        <v>https://www.google.com/search?tbm=isch&amp;q=25%20G6</v>
      </c>
      <c r="BG2438" s="107" t="str">
        <f t="shared" si="1869"/>
        <v>M</v>
      </c>
      <c r="BH2438" s="254"/>
      <c r="BI2438" s="254"/>
    </row>
    <row r="2439" spans="1:61" customFormat="1" ht="17.25" thickBot="1" x14ac:dyDescent="0.3">
      <c r="A2439" s="524" t="s">
        <v>2436</v>
      </c>
      <c r="B2439" s="245"/>
      <c r="C2439" s="677"/>
      <c r="D2439" s="499"/>
      <c r="E2439" s="499"/>
      <c r="F2439" s="500"/>
      <c r="G2439" s="501"/>
      <c r="H2439" s="502"/>
      <c r="I2439" s="246"/>
      <c r="J2439" s="247"/>
      <c r="K2439" s="503"/>
      <c r="L2439" s="544"/>
      <c r="M2439" s="544"/>
      <c r="N2439" s="500"/>
      <c r="O2439" s="500"/>
      <c r="P2439" s="500"/>
      <c r="Q2439" s="500"/>
      <c r="R2439" s="500"/>
      <c r="S2439" s="278"/>
      <c r="T2439" s="508">
        <f t="shared" si="1857"/>
        <v>0</v>
      </c>
      <c r="U2439" s="225" t="str">
        <f>IF(NOT(ISNUMBER(G2439)), "", VLOOKUP(A2439,'Discount Lookup'!D:E,2,FALSE)*G2439)</f>
        <v/>
      </c>
      <c r="V2439" s="225" t="str">
        <f>IF(NOT(ISNUMBER(G2439)), "", VLOOKUP(A2439,'Discount Lookup'!G:H,2,FALSE)*G2439)</f>
        <v/>
      </c>
      <c r="W2439" s="508">
        <f t="shared" si="1858"/>
        <v>0</v>
      </c>
      <c r="X2439" s="508">
        <f t="shared" si="1859"/>
        <v>0</v>
      </c>
      <c r="Y2439" s="509" t="b">
        <f t="shared" si="1860"/>
        <v>0</v>
      </c>
      <c r="Z2439" s="510">
        <f t="shared" si="1861"/>
        <v>0</v>
      </c>
      <c r="AA2439" s="511"/>
      <c r="AB2439" s="511" t="str">
        <f t="shared" si="1862"/>
        <v/>
      </c>
      <c r="AC2439" s="698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698"/>
      <c r="AE2439" s="631" t="str">
        <f t="shared" si="1863"/>
        <v/>
      </c>
      <c r="AF2439" s="699" t="str">
        <f t="shared" si="1864"/>
        <v/>
      </c>
      <c r="AG2439" s="699"/>
      <c r="AH2439" s="699"/>
      <c r="AI2439" s="512">
        <f>IF(H2439="credit",0,IF(AE2439="free",0,IF(AE2439="me",0,IF(G2439&gt;0,(VLOOKUP(A2439,'Discount Lookup'!J:K,2)*G2439),0))))</f>
        <v>0</v>
      </c>
      <c r="AJ2439" s="513" t="str">
        <f t="shared" ca="1" si="1865"/>
        <v/>
      </c>
      <c r="AK2439" s="700" t="str">
        <f t="shared" si="1866"/>
        <v/>
      </c>
      <c r="AL2439" s="700"/>
      <c r="AM2439" s="505" t="str">
        <f t="shared" si="1867"/>
        <v/>
      </c>
      <c r="AN2439" s="506"/>
      <c r="AO2439" s="507"/>
      <c r="AP2439" s="507"/>
      <c r="AQ2439" s="507"/>
      <c r="AR2439" s="507"/>
      <c r="AS2439" s="507"/>
      <c r="AT2439" s="507"/>
      <c r="AU2439" s="507"/>
      <c r="AV2439" s="225"/>
      <c r="AW2439" s="508"/>
      <c r="AX2439" s="225"/>
      <c r="AY2439" s="225"/>
      <c r="AZ2439" s="225"/>
      <c r="BA2439" s="225"/>
      <c r="BB2439" s="225"/>
      <c r="BC2439" s="56"/>
      <c r="BD2439" s="56"/>
      <c r="BE2439" s="56"/>
      <c r="BF2439" s="107" t="str">
        <f t="shared" si="1868"/>
        <v>https://www.google.com/search?tbm=isch&amp;q=Miss%20Frances%20blooms%20from%20June%20to%20August%2C%20then%20displays%20a%20nice%20maroon%20fall%20foliage%20</v>
      </c>
      <c r="BG2439" s="107" t="str">
        <f t="shared" si="1869"/>
        <v>M</v>
      </c>
      <c r="BH2439" s="254"/>
      <c r="BI2439" s="254"/>
    </row>
    <row r="2440" spans="1:61" customFormat="1" ht="18" x14ac:dyDescent="0.25">
      <c r="A2440" s="523" t="s">
        <v>1342</v>
      </c>
      <c r="B2440" s="235"/>
      <c r="C2440" s="676"/>
      <c r="D2440" s="255" t="s">
        <v>1343</v>
      </c>
      <c r="E2440" s="236"/>
      <c r="F2440" s="236"/>
      <c r="G2440" s="236"/>
      <c r="H2440" s="582" t="s">
        <v>356</v>
      </c>
      <c r="I2440" s="498" t="s">
        <v>1344</v>
      </c>
      <c r="J2440" s="237"/>
      <c r="K2440" s="237"/>
      <c r="L2440" s="274"/>
      <c r="M2440" s="668" t="s">
        <v>4962</v>
      </c>
      <c r="N2440" s="681" t="str">
        <f>IF(AND(ISTEXT($A2440), ISERROR($A2440+0)), HYPERLINK($BF2440, "Images"), "")</f>
        <v>Images</v>
      </c>
      <c r="O2440" s="663" t="s">
        <v>4967</v>
      </c>
      <c r="P2440" s="253"/>
      <c r="Q2440" s="238"/>
      <c r="R2440" s="239"/>
      <c r="S2440" s="275"/>
      <c r="T2440" s="508">
        <f t="shared" si="1857"/>
        <v>0</v>
      </c>
      <c r="U2440" s="225" t="str">
        <f>IF(NOT(ISNUMBER(G2440)), "", VLOOKUP(A2440,'Discount Lookup'!D:E,2,FALSE)*G2440)</f>
        <v/>
      </c>
      <c r="V2440" s="225" t="str">
        <f>IF(NOT(ISNUMBER(G2440)), "", VLOOKUP(A2440,'Discount Lookup'!G:H,2,FALSE)*G2440)</f>
        <v/>
      </c>
      <c r="W2440" s="508">
        <f t="shared" si="1858"/>
        <v>0</v>
      </c>
      <c r="X2440" s="508" t="str">
        <f t="shared" si="1859"/>
        <v>Orange-Pink-Yellow bloom</v>
      </c>
      <c r="Y2440" s="509" t="b">
        <f t="shared" si="1860"/>
        <v>0</v>
      </c>
      <c r="Z2440" s="510">
        <f t="shared" si="1861"/>
        <v>0</v>
      </c>
      <c r="AA2440" s="511"/>
      <c r="AB2440" s="511" t="str">
        <f t="shared" si="1862"/>
        <v/>
      </c>
      <c r="AC2440" s="698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698"/>
      <c r="AE2440" s="631" t="str">
        <f t="shared" si="1863"/>
        <v/>
      </c>
      <c r="AF2440" s="699" t="str">
        <f t="shared" si="1864"/>
        <v/>
      </c>
      <c r="AG2440" s="699"/>
      <c r="AH2440" s="699"/>
      <c r="AI2440" s="512">
        <f>IF(H2440="credit",0,IF(AE2440="free",0,IF(AE2440="me",0,IF(G2440&gt;0,(VLOOKUP(A2440,'Discount Lookup'!J:K,2)*G2440),0))))</f>
        <v>0</v>
      </c>
      <c r="AJ2440" s="513" t="str">
        <f t="shared" ca="1" si="1865"/>
        <v/>
      </c>
      <c r="AK2440" s="700" t="str">
        <f t="shared" si="1866"/>
        <v/>
      </c>
      <c r="AL2440" s="700"/>
      <c r="AM2440" s="505" t="str">
        <f t="shared" si="1867"/>
        <v/>
      </c>
      <c r="AN2440" s="506"/>
      <c r="AO2440" s="507"/>
      <c r="AP2440" s="507"/>
      <c r="AQ2440" s="507"/>
      <c r="AR2440" s="507"/>
      <c r="AS2440" s="507"/>
      <c r="AT2440" s="507"/>
      <c r="AU2440" s="507"/>
      <c r="AV2440" s="225"/>
      <c r="AW2440" s="508"/>
      <c r="AX2440" s="225"/>
      <c r="AY2440" s="225"/>
      <c r="AZ2440" s="225"/>
      <c r="BA2440" s="225"/>
      <c r="BB2440" s="225"/>
      <c r="BC2440" s="56"/>
      <c r="BD2440" s="56"/>
      <c r="BE2440" s="56"/>
      <c r="BF2440" s="107" t="str">
        <f t="shared" si="1868"/>
        <v>https://www.google.com/search?tbm=isch&amp;q=Miss%20Huff%20Lantana%20Lantana%20camara%20%27Miss%20Huff%27</v>
      </c>
      <c r="BG2440" s="107" t="str">
        <f t="shared" si="1869"/>
        <v>M</v>
      </c>
      <c r="BH2440" s="254"/>
      <c r="BI2440" s="254"/>
    </row>
    <row r="2441" spans="1:61" customFormat="1" ht="15.75" x14ac:dyDescent="0.25">
      <c r="A2441" s="276">
        <v>3</v>
      </c>
      <c r="B2441" s="240" t="s">
        <v>291</v>
      </c>
      <c r="C2441" s="241" t="s">
        <v>1345</v>
      </c>
      <c r="D2441" s="242" t="s">
        <v>300</v>
      </c>
      <c r="E2441" s="243">
        <v>31.95</v>
      </c>
      <c r="F2441" s="517" t="s">
        <v>293</v>
      </c>
      <c r="G2441" s="232">
        <v>0</v>
      </c>
      <c r="H2441" s="661" t="str">
        <f>IF(G2441=0,"",IF(F2441="Buy",IF(G2441=1,"plant","plants"),IF(F2441&gt;0.01,"warranty","Error")))</f>
        <v/>
      </c>
      <c r="I2441" s="244">
        <f>IF(H2441="free",0,IF(H2441="credit",((E2441*(F2441))*G2441*-1),IF(F2441="Buy",(E2441*G2441),((E2441*(1-F2441))*G2441))))</f>
        <v>0</v>
      </c>
      <c r="J2441" s="244">
        <f>IF(H2441="warranty",0,(I2441*(_xlfn.SINGLE(SalesTaxPercentage))))</f>
        <v>0</v>
      </c>
      <c r="K2441" s="696">
        <f t="shared" ref="K2441" si="1895">I2441+J2441</f>
        <v>0</v>
      </c>
      <c r="L2441" s="696"/>
      <c r="M2441" s="659" t="str">
        <f>IF(AND(G2441&gt;0,E2441=0),"WARNING - no PRICE inserted",IF(H2441="free"," FREE ~ no charge this plant",IF(H2441="credit",CONCATENATE(" -$",ROUND(K2441*(1-T2GDiscount)*-1,2)," CREDIT after discount"),IF(T2GDiscount=0,"",IF(G2441=0,"",IF(F2441="Buy",CONCATENATE(" $",ROUND(K2441*(1-T2GDiscount),2)," with ",(T2GDiscount*100),"% discount"),CONCATENATE(" $",ROUND(K2441*(1-T2GDiscount),2)," with ",((T2GDiscount*100+F2441*100)-(T2GDiscount*100*F2441)),IF(F2441&gt;0,"% discounts",IF(NoWarrantyDiscount&gt;0,"% discounts","% discount")))))))))</f>
        <v/>
      </c>
      <c r="N2441" s="660"/>
      <c r="O2441" s="233"/>
      <c r="P2441" s="233"/>
      <c r="Q2441" s="233"/>
      <c r="R2441" s="233"/>
      <c r="S2441" s="233"/>
      <c r="T2441" s="508">
        <f t="shared" si="1857"/>
        <v>0</v>
      </c>
      <c r="U2441" s="225">
        <f>IF(NOT(ISNUMBER(G2441)), "", VLOOKUP(A2441,'Discount Lookup'!D:E,2,FALSE)*G2441)</f>
        <v>0</v>
      </c>
      <c r="V2441" s="225">
        <f>IF(NOT(ISNUMBER(G2441)), "", VLOOKUP(A2441,'Discount Lookup'!G:H,2,FALSE)*G2441)</f>
        <v>0</v>
      </c>
      <c r="W2441" s="508">
        <f t="shared" si="1858"/>
        <v>0</v>
      </c>
      <c r="X2441" s="508">
        <f t="shared" si="1859"/>
        <v>0</v>
      </c>
      <c r="Y2441" s="509" t="b">
        <f t="shared" si="1860"/>
        <v>0</v>
      </c>
      <c r="Z2441" s="510">
        <f t="shared" si="1861"/>
        <v>0</v>
      </c>
      <c r="AA2441" s="511"/>
      <c r="AB2441" s="511" t="str">
        <f t="shared" si="1862"/>
        <v/>
      </c>
      <c r="AC2441" s="698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698"/>
      <c r="AE2441" s="631" t="str">
        <f t="shared" si="1863"/>
        <v/>
      </c>
      <c r="AF2441" s="699" t="str">
        <f t="shared" si="1864"/>
        <v/>
      </c>
      <c r="AG2441" s="699"/>
      <c r="AH2441" s="699"/>
      <c r="AI2441" s="512">
        <f>IF(H2441="credit",0,IF(AE2441="free",0,IF(AE2441="me",0,IF(G2441&gt;0,(VLOOKUP(A2441,'Discount Lookup'!J:K,2)*G2441),0))))</f>
        <v>0</v>
      </c>
      <c r="AJ2441" s="513" t="str">
        <f t="shared" ca="1" si="1865"/>
        <v/>
      </c>
      <c r="AK2441" s="700" t="str">
        <f t="shared" si="1866"/>
        <v/>
      </c>
      <c r="AL2441" s="700"/>
      <c r="AM2441" s="505" t="str">
        <f t="shared" si="1867"/>
        <v/>
      </c>
      <c r="AN2441" s="506"/>
      <c r="AO2441" s="507"/>
      <c r="AP2441" s="507"/>
      <c r="AQ2441" s="507"/>
      <c r="AR2441" s="507"/>
      <c r="AS2441" s="507"/>
      <c r="AT2441" s="507"/>
      <c r="AU2441" s="507"/>
      <c r="AV2441" s="225"/>
      <c r="AW2441" s="508"/>
      <c r="AX2441" s="225"/>
      <c r="AY2441" s="225"/>
      <c r="AZ2441" s="225"/>
      <c r="BA2441" s="225"/>
      <c r="BB2441" s="225"/>
      <c r="BC2441" s="56"/>
      <c r="BD2441" s="56"/>
      <c r="BE2441" s="56"/>
      <c r="BF2441" s="107" t="str">
        <f t="shared" si="1868"/>
        <v>https://www.google.com/search?tbm=isch&amp;q=3%20G6</v>
      </c>
      <c r="BG2441" s="107" t="str">
        <f t="shared" si="1869"/>
        <v>M</v>
      </c>
      <c r="BH2441" s="254"/>
      <c r="BI2441" s="254"/>
    </row>
    <row r="2442" spans="1:61" customFormat="1" ht="17.25" thickBot="1" x14ac:dyDescent="0.3">
      <c r="A2442" s="524" t="s">
        <v>2167</v>
      </c>
      <c r="B2442" s="245"/>
      <c r="C2442" s="677"/>
      <c r="D2442" s="499"/>
      <c r="E2442" s="499"/>
      <c r="F2442" s="500"/>
      <c r="G2442" s="501"/>
      <c r="H2442" s="502"/>
      <c r="I2442" s="246"/>
      <c r="J2442" s="247"/>
      <c r="K2442" s="503"/>
      <c r="L2442" s="544"/>
      <c r="M2442" s="544"/>
      <c r="N2442" s="500"/>
      <c r="O2442" s="500"/>
      <c r="P2442" s="500"/>
      <c r="Q2442" s="500"/>
      <c r="R2442" s="500"/>
      <c r="S2442" s="665" t="s">
        <v>5022</v>
      </c>
      <c r="T2442" s="508">
        <f t="shared" si="1857"/>
        <v>0</v>
      </c>
      <c r="U2442" s="225" t="str">
        <f>IF(NOT(ISNUMBER(G2442)), "", VLOOKUP(A2442,'Discount Lookup'!D:E,2,FALSE)*G2442)</f>
        <v/>
      </c>
      <c r="V2442" s="225" t="str">
        <f>IF(NOT(ISNUMBER(G2442)), "", VLOOKUP(A2442,'Discount Lookup'!G:H,2,FALSE)*G2442)</f>
        <v/>
      </c>
      <c r="W2442" s="508">
        <f t="shared" si="1858"/>
        <v>0</v>
      </c>
      <c r="X2442" s="508">
        <f t="shared" si="1859"/>
        <v>0</v>
      </c>
      <c r="Y2442" s="509" t="b">
        <f t="shared" si="1860"/>
        <v>0</v>
      </c>
      <c r="Z2442" s="510">
        <f t="shared" si="1861"/>
        <v>0</v>
      </c>
      <c r="AA2442" s="511"/>
      <c r="AB2442" s="511" t="str">
        <f t="shared" si="1862"/>
        <v/>
      </c>
      <c r="AC2442" s="698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698"/>
      <c r="AE2442" s="631" t="str">
        <f t="shared" si="1863"/>
        <v/>
      </c>
      <c r="AF2442" s="699" t="str">
        <f t="shared" si="1864"/>
        <v/>
      </c>
      <c r="AG2442" s="699"/>
      <c r="AH2442" s="699"/>
      <c r="AI2442" s="512">
        <f>IF(H2442="credit",0,IF(AE2442="free",0,IF(AE2442="me",0,IF(G2442&gt;0,(VLOOKUP(A2442,'Discount Lookup'!J:K,2)*G2442),0))))</f>
        <v>0</v>
      </c>
      <c r="AJ2442" s="513" t="str">
        <f t="shared" ca="1" si="1865"/>
        <v/>
      </c>
      <c r="AK2442" s="700" t="str">
        <f t="shared" si="1866"/>
        <v/>
      </c>
      <c r="AL2442" s="700"/>
      <c r="AM2442" s="505" t="str">
        <f t="shared" si="1867"/>
        <v/>
      </c>
      <c r="AN2442" s="506"/>
      <c r="AO2442" s="507"/>
      <c r="AP2442" s="507"/>
      <c r="AQ2442" s="507"/>
      <c r="AR2442" s="507"/>
      <c r="AS2442" s="507"/>
      <c r="AT2442" s="507"/>
      <c r="AU2442" s="507"/>
      <c r="AV2442" s="225"/>
      <c r="AW2442" s="508"/>
      <c r="AX2442" s="225"/>
      <c r="AY2442" s="225"/>
      <c r="AZ2442" s="225"/>
      <c r="BA2442" s="225"/>
      <c r="BB2442" s="225"/>
      <c r="BC2442" s="56"/>
      <c r="BD2442" s="56"/>
      <c r="BE2442" s="56"/>
      <c r="BF2442" s="107" t="str">
        <f t="shared" si="1868"/>
        <v>https://www.google.com/search?tbm=isch&amp;q=Miss%20Huff%20is%20the%20most%20cold%20hardy%20Lantana.%20May%20be%20evergreen%20in%20warm%20climates%3B%20an%20annual%20in%20cold%20climes%20</v>
      </c>
      <c r="BG2442" s="107" t="str">
        <f t="shared" si="1869"/>
        <v>M</v>
      </c>
      <c r="BH2442" s="254"/>
      <c r="BI2442" s="254"/>
    </row>
    <row r="2443" spans="1:61" customFormat="1" ht="18" x14ac:dyDescent="0.25">
      <c r="A2443" s="523" t="s">
        <v>1346</v>
      </c>
      <c r="B2443" s="235"/>
      <c r="C2443" s="676"/>
      <c r="D2443" s="255" t="s">
        <v>1347</v>
      </c>
      <c r="E2443" s="236"/>
      <c r="F2443" s="236"/>
      <c r="G2443" s="236"/>
      <c r="H2443" s="582" t="s">
        <v>1348</v>
      </c>
      <c r="I2443" s="498" t="s">
        <v>1349</v>
      </c>
      <c r="J2443" s="237"/>
      <c r="K2443" s="237"/>
      <c r="L2443" s="274"/>
      <c r="M2443" s="668" t="s">
        <v>4962</v>
      </c>
      <c r="N2443" s="681" t="str">
        <f>IF(AND(ISTEXT($A2443), ISERROR($A2443+0)), HYPERLINK($BF2443, "Images"), "")</f>
        <v>Images</v>
      </c>
      <c r="O2443" s="663" t="s">
        <v>4974</v>
      </c>
      <c r="P2443" s="253"/>
      <c r="Q2443" s="238"/>
      <c r="R2443" s="239"/>
      <c r="S2443" s="275"/>
      <c r="T2443" s="508">
        <f t="shared" si="1857"/>
        <v>0</v>
      </c>
      <c r="U2443" s="225" t="str">
        <f>IF(NOT(ISNUMBER(G2443)), "", VLOOKUP(A2443,'Discount Lookup'!D:E,2,FALSE)*G2443)</f>
        <v/>
      </c>
      <c r="V2443" s="225" t="str">
        <f>IF(NOT(ISNUMBER(G2443)), "", VLOOKUP(A2443,'Discount Lookup'!G:H,2,FALSE)*G2443)</f>
        <v/>
      </c>
      <c r="W2443" s="508">
        <f t="shared" si="1858"/>
        <v>0</v>
      </c>
      <c r="X2443" s="508" t="str">
        <f t="shared" si="1859"/>
        <v>Pale Lavender bloom</v>
      </c>
      <c r="Y2443" s="509" t="b">
        <f t="shared" si="1860"/>
        <v>0</v>
      </c>
      <c r="Z2443" s="510">
        <f t="shared" si="1861"/>
        <v>0</v>
      </c>
      <c r="AA2443" s="511"/>
      <c r="AB2443" s="511" t="str">
        <f t="shared" si="1862"/>
        <v/>
      </c>
      <c r="AC2443" s="698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698"/>
      <c r="AE2443" s="631" t="str">
        <f t="shared" si="1863"/>
        <v/>
      </c>
      <c r="AF2443" s="699" t="str">
        <f t="shared" si="1864"/>
        <v/>
      </c>
      <c r="AG2443" s="699"/>
      <c r="AH2443" s="699"/>
      <c r="AI2443" s="512">
        <f>IF(H2443="credit",0,IF(AE2443="free",0,IF(AE2443="me",0,IF(G2443&gt;0,(VLOOKUP(A2443,'Discount Lookup'!J:K,2)*G2443),0))))</f>
        <v>0</v>
      </c>
      <c r="AJ2443" s="513" t="str">
        <f t="shared" ca="1" si="1865"/>
        <v/>
      </c>
      <c r="AK2443" s="700" t="str">
        <f t="shared" si="1866"/>
        <v/>
      </c>
      <c r="AL2443" s="700"/>
      <c r="AM2443" s="505" t="str">
        <f t="shared" si="1867"/>
        <v/>
      </c>
      <c r="AN2443" s="506"/>
      <c r="AO2443" s="507"/>
      <c r="AP2443" s="507"/>
      <c r="AQ2443" s="507"/>
      <c r="AR2443" s="507"/>
      <c r="AS2443" s="507"/>
      <c r="AT2443" s="507"/>
      <c r="AU2443" s="507"/>
      <c r="AV2443" s="225"/>
      <c r="AW2443" s="508"/>
      <c r="AX2443" s="225"/>
      <c r="AY2443" s="225"/>
      <c r="AZ2443" s="225"/>
      <c r="BA2443" s="225"/>
      <c r="BB2443" s="225"/>
      <c r="BC2443" s="56"/>
      <c r="BD2443" s="56"/>
      <c r="BE2443" s="56"/>
      <c r="BF2443" s="107" t="str">
        <f t="shared" si="1868"/>
        <v>https://www.google.com/search?tbm=isch&amp;q=Miss%20Kim%20Lilac%20Syringa%20pubescens%20subsp.%20patula%20%27Miss%20Kim%27</v>
      </c>
      <c r="BG2443" s="107" t="str">
        <f t="shared" si="1869"/>
        <v>M</v>
      </c>
      <c r="BH2443" s="254"/>
      <c r="BI2443" s="254"/>
    </row>
    <row r="2444" spans="1:61" customFormat="1" ht="15.75" x14ac:dyDescent="0.25">
      <c r="A2444" s="276">
        <v>3</v>
      </c>
      <c r="B2444" s="240" t="s">
        <v>291</v>
      </c>
      <c r="C2444" s="241"/>
      <c r="D2444" s="242" t="s">
        <v>298</v>
      </c>
      <c r="E2444" s="243">
        <v>27.95</v>
      </c>
      <c r="F2444" s="517" t="s">
        <v>293</v>
      </c>
      <c r="G2444" s="232">
        <v>0</v>
      </c>
      <c r="H2444" s="661" t="str">
        <f>IF(G2444=0,"",IF(F2444="Buy",IF(G2444=1,"plant","plants"),IF(F2444&gt;0.01,"warranty","Error")))</f>
        <v/>
      </c>
      <c r="I2444" s="244">
        <f>IF(H2444="free",0,IF(H2444="credit",((E2444*(F2444))*G2444*-1),IF(F2444="Buy",(E2444*G2444),((E2444*(1-F2444))*G2444))))</f>
        <v>0</v>
      </c>
      <c r="J2444" s="244">
        <f>IF(H2444="warranty",0,(I2444*(_xlfn.SINGLE(SalesTaxPercentage))))</f>
        <v>0</v>
      </c>
      <c r="K2444" s="696">
        <f t="shared" ref="K2444" si="1896">I2444+J2444</f>
        <v>0</v>
      </c>
      <c r="L2444" s="696"/>
      <c r="M2444" s="659" t="str">
        <f>IF(AND(G2444&gt;0,E2444=0),"WARNING - no PRICE inserted",IF(H2444="free"," FREE ~ no charge this plant",IF(H2444="credit",CONCATENATE(" -$",ROUND(K2444*(1-T2GDiscount)*-1,2)," CREDIT after discount"),IF(T2GDiscount=0,"",IF(G2444=0,"",IF(F2444="Buy",CONCATENATE(" $",ROUND(K2444*(1-T2GDiscount),2)," with ",(T2GDiscount*100),"% discount"),CONCATENATE(" $",ROUND(K2444*(1-T2GDiscount),2)," with ",((T2GDiscount*100+F2444*100)-(T2GDiscount*100*F2444)),IF(F2444&gt;0,"% discounts",IF(NoWarrantyDiscount&gt;0,"% discounts","% discount")))))))))</f>
        <v/>
      </c>
      <c r="N2444" s="660"/>
      <c r="O2444" s="233"/>
      <c r="P2444" s="233"/>
      <c r="Q2444" s="233"/>
      <c r="R2444" s="233"/>
      <c r="S2444" s="233"/>
      <c r="T2444" s="508">
        <f t="shared" si="1857"/>
        <v>0</v>
      </c>
      <c r="U2444" s="225">
        <f>IF(NOT(ISNUMBER(G2444)), "", VLOOKUP(A2444,'Discount Lookup'!D:E,2,FALSE)*G2444)</f>
        <v>0</v>
      </c>
      <c r="V2444" s="225">
        <f>IF(NOT(ISNUMBER(G2444)), "", VLOOKUP(A2444,'Discount Lookup'!G:H,2,FALSE)*G2444)</f>
        <v>0</v>
      </c>
      <c r="W2444" s="508">
        <f t="shared" si="1858"/>
        <v>0</v>
      </c>
      <c r="X2444" s="508">
        <f t="shared" si="1859"/>
        <v>0</v>
      </c>
      <c r="Y2444" s="509" t="b">
        <f t="shared" si="1860"/>
        <v>0</v>
      </c>
      <c r="Z2444" s="510">
        <f t="shared" si="1861"/>
        <v>0</v>
      </c>
      <c r="AA2444" s="511"/>
      <c r="AB2444" s="511" t="str">
        <f t="shared" si="1862"/>
        <v/>
      </c>
      <c r="AC2444" s="698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698"/>
      <c r="AE2444" s="631" t="str">
        <f t="shared" si="1863"/>
        <v/>
      </c>
      <c r="AF2444" s="699" t="str">
        <f t="shared" si="1864"/>
        <v/>
      </c>
      <c r="AG2444" s="699"/>
      <c r="AH2444" s="699"/>
      <c r="AI2444" s="512">
        <f>IF(H2444="credit",0,IF(AE2444="free",0,IF(AE2444="me",0,IF(G2444&gt;0,(VLOOKUP(A2444,'Discount Lookup'!J:K,2)*G2444),0))))</f>
        <v>0</v>
      </c>
      <c r="AJ2444" s="513" t="str">
        <f t="shared" ca="1" si="1865"/>
        <v/>
      </c>
      <c r="AK2444" s="700" t="str">
        <f t="shared" si="1866"/>
        <v/>
      </c>
      <c r="AL2444" s="700"/>
      <c r="AM2444" s="505" t="str">
        <f t="shared" si="1867"/>
        <v/>
      </c>
      <c r="AN2444" s="506"/>
      <c r="AO2444" s="507"/>
      <c r="AP2444" s="507"/>
      <c r="AQ2444" s="507"/>
      <c r="AR2444" s="507"/>
      <c r="AS2444" s="507"/>
      <c r="AT2444" s="507"/>
      <c r="AU2444" s="507"/>
      <c r="AV2444" s="225"/>
      <c r="AW2444" s="508"/>
      <c r="AX2444" s="225"/>
      <c r="AY2444" s="225"/>
      <c r="AZ2444" s="225"/>
      <c r="BA2444" s="225"/>
      <c r="BB2444" s="225"/>
      <c r="BC2444" s="56"/>
      <c r="BD2444" s="56"/>
      <c r="BE2444" s="56"/>
      <c r="BF2444" s="107" t="str">
        <f t="shared" si="1868"/>
        <v>https://www.google.com/search?tbm=isch&amp;q=3%20G1</v>
      </c>
      <c r="BG2444" s="107" t="str">
        <f t="shared" si="1869"/>
        <v>M</v>
      </c>
      <c r="BH2444" s="254"/>
      <c r="BI2444" s="254"/>
    </row>
    <row r="2445" spans="1:61" customFormat="1" ht="15.75" x14ac:dyDescent="0.25">
      <c r="A2445" s="276">
        <v>7</v>
      </c>
      <c r="B2445" s="240" t="s">
        <v>291</v>
      </c>
      <c r="C2445" s="241" t="s">
        <v>3644</v>
      </c>
      <c r="D2445" s="242" t="s">
        <v>292</v>
      </c>
      <c r="E2445" s="243">
        <v>86.95</v>
      </c>
      <c r="F2445" s="517" t="s">
        <v>293</v>
      </c>
      <c r="G2445" s="232">
        <v>0</v>
      </c>
      <c r="H2445" s="661" t="str">
        <f>IF(G2445=0,"",IF(F2445="Buy",IF(G2445=1,"plant","plants"),IF(F2445&gt;0.01,"warranty","Error")))</f>
        <v/>
      </c>
      <c r="I2445" s="244">
        <f>IF(H2445="free",0,IF(H2445="credit",((E2445*(F2445))*G2445*-1),IF(F2445="Buy",(E2445*G2445),((E2445*(1-F2445))*G2445))))</f>
        <v>0</v>
      </c>
      <c r="J2445" s="244">
        <f>IF(H2445="warranty",0,(I2445*(_xlfn.SINGLE(SalesTaxPercentage))))</f>
        <v>0</v>
      </c>
      <c r="K2445" s="696">
        <f t="shared" ref="K2445" si="1897">I2445+J2445</f>
        <v>0</v>
      </c>
      <c r="L2445" s="696"/>
      <c r="M2445" s="659" t="str">
        <f>IF(AND(G2445&gt;0,E2445=0),"WARNING - no PRICE inserted",IF(H2445="free"," FREE ~ no charge this plant",IF(H2445="credit",CONCATENATE(" -$",ROUND(K2445*(1-T2GDiscount)*-1,2)," CREDIT after discount"),IF(T2GDiscount=0,"",IF(G2445=0,"",IF(F2445="Buy",CONCATENATE(" $",ROUND(K2445*(1-T2GDiscount),2)," with ",(T2GDiscount*100),"% discount"),CONCATENATE(" $",ROUND(K2445*(1-T2GDiscount),2)," with ",((T2GDiscount*100+F2445*100)-(T2GDiscount*100*F2445)),IF(F2445&gt;0,"% discounts",IF(NoWarrantyDiscount&gt;0,"% discounts","% discount")))))))))</f>
        <v/>
      </c>
      <c r="N2445" s="660"/>
      <c r="O2445" s="233"/>
      <c r="P2445" s="233"/>
      <c r="Q2445" s="233"/>
      <c r="R2445" s="233"/>
      <c r="S2445" s="233"/>
      <c r="T2445" s="508">
        <f t="shared" si="1857"/>
        <v>0</v>
      </c>
      <c r="U2445" s="225">
        <f>IF(NOT(ISNUMBER(G2445)), "", VLOOKUP(A2445,'Discount Lookup'!D:E,2,FALSE)*G2445)</f>
        <v>0</v>
      </c>
      <c r="V2445" s="225">
        <f>IF(NOT(ISNUMBER(G2445)), "", VLOOKUP(A2445,'Discount Lookup'!G:H,2,FALSE)*G2445)</f>
        <v>0</v>
      </c>
      <c r="W2445" s="508">
        <f t="shared" si="1858"/>
        <v>0</v>
      </c>
      <c r="X2445" s="508">
        <f t="shared" si="1859"/>
        <v>0</v>
      </c>
      <c r="Y2445" s="509" t="b">
        <f t="shared" si="1860"/>
        <v>0</v>
      </c>
      <c r="Z2445" s="510">
        <f t="shared" si="1861"/>
        <v>0</v>
      </c>
      <c r="AA2445" s="511"/>
      <c r="AB2445" s="511" t="str">
        <f t="shared" si="1862"/>
        <v/>
      </c>
      <c r="AC2445" s="698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698"/>
      <c r="AE2445" s="631" t="str">
        <f t="shared" si="1863"/>
        <v/>
      </c>
      <c r="AF2445" s="699" t="str">
        <f t="shared" si="1864"/>
        <v/>
      </c>
      <c r="AG2445" s="699"/>
      <c r="AH2445" s="699"/>
      <c r="AI2445" s="512">
        <f>IF(H2445="credit",0,IF(AE2445="free",0,IF(AE2445="me",0,IF(G2445&gt;0,(VLOOKUP(A2445,'Discount Lookup'!J:K,2)*G2445),0))))</f>
        <v>0</v>
      </c>
      <c r="AJ2445" s="513" t="str">
        <f t="shared" ca="1" si="1865"/>
        <v/>
      </c>
      <c r="AK2445" s="700" t="str">
        <f t="shared" si="1866"/>
        <v/>
      </c>
      <c r="AL2445" s="700"/>
      <c r="AM2445" s="505" t="str">
        <f t="shared" si="1867"/>
        <v/>
      </c>
      <c r="AN2445" s="506"/>
      <c r="AO2445" s="507"/>
      <c r="AP2445" s="507"/>
      <c r="AQ2445" s="507"/>
      <c r="AR2445" s="507"/>
      <c r="AS2445" s="507"/>
      <c r="AT2445" s="507"/>
      <c r="AU2445" s="507"/>
      <c r="AV2445" s="225"/>
      <c r="AW2445" s="508"/>
      <c r="AX2445" s="225"/>
      <c r="AY2445" s="225"/>
      <c r="AZ2445" s="225"/>
      <c r="BA2445" s="225"/>
      <c r="BB2445" s="225"/>
      <c r="BC2445" s="56"/>
      <c r="BD2445" s="56"/>
      <c r="BE2445" s="56"/>
      <c r="BF2445" s="107" t="str">
        <f t="shared" si="1868"/>
        <v>https://www.google.com/search?tbm=isch&amp;q=7%20G4</v>
      </c>
      <c r="BG2445" s="107" t="str">
        <f t="shared" si="1869"/>
        <v>M</v>
      </c>
      <c r="BH2445" s="254"/>
      <c r="BI2445" s="254"/>
    </row>
    <row r="2446" spans="1:61" customFormat="1" ht="27" x14ac:dyDescent="0.25">
      <c r="A2446" s="276">
        <v>7</v>
      </c>
      <c r="B2446" s="240" t="s">
        <v>291</v>
      </c>
      <c r="C2446" s="241" t="s">
        <v>3645</v>
      </c>
      <c r="D2446" s="242" t="s">
        <v>292</v>
      </c>
      <c r="E2446" s="243">
        <v>196.95</v>
      </c>
      <c r="F2446" s="517" t="s">
        <v>293</v>
      </c>
      <c r="G2446" s="232">
        <v>0</v>
      </c>
      <c r="H2446" s="661" t="str">
        <f>IF(G2446=0,"",IF(F2446="Buy",IF(G2446=1,"plant","plants"),IF(F2446&gt;0.01,"warranty","Error")))</f>
        <v/>
      </c>
      <c r="I2446" s="244">
        <f>IF(H2446="free",0,IF(H2446="credit",((E2446*(F2446))*G2446*-1),IF(F2446="Buy",(E2446*G2446),((E2446*(1-F2446))*G2446))))</f>
        <v>0</v>
      </c>
      <c r="J2446" s="244">
        <f>IF(H2446="warranty",0,(I2446*(_xlfn.SINGLE(SalesTaxPercentage))))</f>
        <v>0</v>
      </c>
      <c r="K2446" s="696">
        <f t="shared" ref="K2446" si="1898">I2446+J2446</f>
        <v>0</v>
      </c>
      <c r="L2446" s="696"/>
      <c r="M2446" s="659" t="str">
        <f>IF(AND(G2446&gt;0,E2446=0),"WARNING - no PRICE inserted",IF(H2446="free"," FREE ~ no charge this plant",IF(H2446="credit",CONCATENATE(" -$",ROUND(K2446*(1-T2GDiscount)*-1,2)," CREDIT after discount"),IF(T2GDiscount=0,"",IF(G2446=0,"",IF(F2446="Buy",CONCATENATE(" $",ROUND(K2446*(1-T2GDiscount),2)," with ",(T2GDiscount*100),"% discount"),CONCATENATE(" $",ROUND(K2446*(1-T2GDiscount),2)," with ",((T2GDiscount*100+F2446*100)-(T2GDiscount*100*F2446)),IF(F2446&gt;0,"% discounts",IF(NoWarrantyDiscount&gt;0,"% discounts","% discount")))))))))</f>
        <v/>
      </c>
      <c r="N2446" s="660"/>
      <c r="O2446" s="233"/>
      <c r="P2446" s="233"/>
      <c r="Q2446" s="233"/>
      <c r="R2446" s="233"/>
      <c r="S2446" s="233"/>
      <c r="T2446" s="508">
        <f t="shared" ref="T2446:T2509" si="1899">E2446*G2446</f>
        <v>0</v>
      </c>
      <c r="U2446" s="225">
        <f>IF(NOT(ISNUMBER(G2446)), "", VLOOKUP(A2446,'Discount Lookup'!D:E,2,FALSE)*G2446)</f>
        <v>0</v>
      </c>
      <c r="V2446" s="225">
        <f>IF(NOT(ISNUMBER(G2446)), "", VLOOKUP(A2446,'Discount Lookup'!G:H,2,FALSE)*G2446)</f>
        <v>0</v>
      </c>
      <c r="W2446" s="508">
        <f t="shared" ref="W2446:W2509" si="1900">IF(H2446="credit",0,E2446*(SalesTaxPercentage)*G2446)</f>
        <v>0</v>
      </c>
      <c r="X2446" s="508">
        <f t="shared" ref="X2446:X2509" si="1901">I2446</f>
        <v>0</v>
      </c>
      <c r="Y2446" s="509" t="b">
        <f t="shared" ref="Y2446:Y2509" si="1902">IF(AE2446="T2G",0,IF(H2446="credit",0,IF(G2446&gt;0,IF(AE2446="me","",G2446))))</f>
        <v>0</v>
      </c>
      <c r="Z2446" s="510">
        <f t="shared" ref="Z2446:Z2509" si="1903">IF(H2446="credit",G2446,0)</f>
        <v>0</v>
      </c>
      <c r="AA2446" s="511"/>
      <c r="AB2446" s="511" t="str">
        <f t="shared" ref="AB2446:AB2509" si="1904">IF(AE2446="T2G","by Trees2Go",IF(H2446="credit","CREDIT only ~",IF(AND(K2446="",AE2446=OR(PlanterYesMe="No",PlanterYesMe="N",PlanterYesMe="me")),"not THIS line⇨",IF(AND(K2446="images",AE2446="me"),"not THIS line⇨",IF(H2446="credit","",IF(G2446=0,"",IF(AE2446="me","",IF(OR(PlanterYesMe="No",PlanterYesMe="N",PlanterYesMe="me"),"",IF(AE2446="free","warranty",IF(OR(PlanterYesMe="yes",PlanterYesMe="y"),"Edison install:","to install:"))))))))))</f>
        <v/>
      </c>
      <c r="AC2446" s="698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698"/>
      <c r="AE2446" s="631" t="str">
        <f t="shared" ref="AE2446:AE2509" si="1905">IF(H2446="credit","",IF(G2446=0,"",IF(OR(PlanterYesMe="No",PlanterYesMe="N",PlanterYesMe="me"),"me",IF(H2446="warranty","free",IF(OR(PlanterYesMe="yes",PlanterYesMe="y"),"ELP","")))))</f>
        <v/>
      </c>
      <c r="AF2446" s="699" t="str">
        <f t="shared" ref="AF2446:AF2509" si="1906">IF(OR(PlanterYesMe="No",PlanterYesMe="N",PlanterYesMe="me"),"",IF(H2446="credit","",IF(G2446&gt;0,(CONCATENATE((G2446)," quantity, ",(A2446)," ",B2446)),"")))</f>
        <v/>
      </c>
      <c r="AG2446" s="699"/>
      <c r="AH2446" s="699"/>
      <c r="AI2446" s="512">
        <f>IF(H2446="credit",0,IF(AE2446="free",0,IF(AE2446="me",0,IF(G2446&gt;0,(VLOOKUP(A2446,'Discount Lookup'!J:K,2)*G2446),0))))</f>
        <v>0</v>
      </c>
      <c r="AJ2446" s="513" t="str">
        <f t="shared" ref="AJ2446:AJ2509" ca="1" si="1907">IF(AND(ISREF(H2446),H2446="credit"),"",IF(AND(AND(OFFSET(G2446,0,0)=0,OFFSET(G2446,1,0)&gt;0,ISNUMBER(OFFSET(AC2446,1,0)),OFFSET(AC2446,1,0)&gt;0),OR(PlanterYesMe="yes",PlanterYesMe="y")),"T2G+ELP=",IF(AND(OFFSET(G2446,0,0)=0,OFFSET(G2446,1,0)&gt;0,ISNUMBER(OFFSET(AC2446,1,0)),OFFSET(AC2446,1,0)&gt;0),"if T2G+ELP=",IF(AND(OFFSET(G2446,0,0)=0,OFFSET(G2446,1,0)&gt;0),"T2G Subtotal",IF(H2446="credit","",IF(G2446=0,"",IF(AE2446="free",(K2446*(1-T2GDiscount)),IF(OR(PlanterYesMe="No",PlanterYesMe="N",PlanterYesMe="me"),(K2446*(1-T2GDiscount)),IF(OR(AE2446="me",AE2446="T2G"),(K2446*(1-T2GDiscount)),(K2446*(1-T2GDiscount))+AC2446)))))))))</f>
        <v/>
      </c>
      <c r="AK2446" s="700" t="str">
        <f t="shared" ref="AK2446:AK2509" si="1908">IF(H2446="credit","",IF(G2446=0,"",IF(OR(AE2446="me",AE2446="T2G"),"  delivery-only",IF(OR(PlanterYesMe="No",PlanterYesMe="N",PlanterYesMe="me"),"  delivery-only",CONCATENATE(" $",ROUND(AJ2446/G2446,2)," each")))))</f>
        <v/>
      </c>
      <c r="AL2446" s="700"/>
      <c r="AM2446" s="505" t="str">
        <f t="shared" ref="AM2446:AM2509" si="1909">IF(H2446="credit","",IF(AE2446="free","      ~ discounts included, no tax or planting fee applies ~",IF(G2446=0,"",IF(OR(PlanterYesMe="No",PlanterYesMe="N",PlanterYesMe="me"),CONCATENATE(" $",ROUND(AJ2446/G2446,2)," per plant, with tax &amp; discount"),IF(OR(AE2446="me",AE2446="T2G"),CONCATENATE(" $",ROUND(AJ2446/G2446,2)," per plant, with tax &amp; discount"),CONCATENATE("= $",ROUND((K2446*(1-T2GDiscount))/G2446,2)," per plant + $",AC2446/G2446,(" per planting      ~ includes tax &amp; discounts ~")))))))</f>
        <v/>
      </c>
      <c r="AN2446" s="506"/>
      <c r="AO2446" s="507"/>
      <c r="AP2446" s="507"/>
      <c r="AQ2446" s="507"/>
      <c r="AR2446" s="507"/>
      <c r="AS2446" s="507"/>
      <c r="AT2446" s="507"/>
      <c r="AU2446" s="507"/>
      <c r="AV2446" s="225"/>
      <c r="AW2446" s="508"/>
      <c r="AX2446" s="225"/>
      <c r="AY2446" s="225"/>
      <c r="AZ2446" s="225"/>
      <c r="BA2446" s="225"/>
      <c r="BB2446" s="225"/>
      <c r="BC2446" s="56"/>
      <c r="BD2446" s="56"/>
      <c r="BE2446" s="56"/>
      <c r="BF2446" s="107" t="str">
        <f t="shared" ref="BF2446:BF2509" si="1910">"https://www.google.com/search?tbm=isch&amp;q=" &amp; _xlfn.ENCODEURL($A2446 &amp; " " &amp; $D2446)</f>
        <v>https://www.google.com/search?tbm=isch&amp;q=7%20G4</v>
      </c>
      <c r="BG2446" s="107" t="str">
        <f t="shared" ref="BG2446:BG2509" si="1911">IF(ISTEXT(A2446),LEFT(A2446,1),BG2445)</f>
        <v>M</v>
      </c>
      <c r="BH2446" s="254"/>
      <c r="BI2446" s="254"/>
    </row>
    <row r="2447" spans="1:61" customFormat="1" ht="17.25" thickBot="1" x14ac:dyDescent="0.3">
      <c r="A2447" s="524" t="s">
        <v>2168</v>
      </c>
      <c r="B2447" s="245"/>
      <c r="C2447" s="677"/>
      <c r="D2447" s="499"/>
      <c r="E2447" s="499"/>
      <c r="F2447" s="500"/>
      <c r="G2447" s="501"/>
      <c r="H2447" s="502"/>
      <c r="I2447" s="246"/>
      <c r="J2447" s="247"/>
      <c r="K2447" s="503"/>
      <c r="L2447" s="544"/>
      <c r="M2447" s="544"/>
      <c r="N2447" s="500"/>
      <c r="O2447" s="500"/>
      <c r="P2447" s="500"/>
      <c r="Q2447" s="500"/>
      <c r="R2447" s="500"/>
      <c r="S2447" s="278"/>
      <c r="T2447" s="508">
        <f t="shared" si="1899"/>
        <v>0</v>
      </c>
      <c r="U2447" s="225" t="str">
        <f>IF(NOT(ISNUMBER(G2447)), "", VLOOKUP(A2447,'Discount Lookup'!D:E,2,FALSE)*G2447)</f>
        <v/>
      </c>
      <c r="V2447" s="225" t="str">
        <f>IF(NOT(ISNUMBER(G2447)), "", VLOOKUP(A2447,'Discount Lookup'!G:H,2,FALSE)*G2447)</f>
        <v/>
      </c>
      <c r="W2447" s="508">
        <f t="shared" si="1900"/>
        <v>0</v>
      </c>
      <c r="X2447" s="508">
        <f t="shared" si="1901"/>
        <v>0</v>
      </c>
      <c r="Y2447" s="509" t="b">
        <f t="shared" si="1902"/>
        <v>0</v>
      </c>
      <c r="Z2447" s="510">
        <f t="shared" si="1903"/>
        <v>0</v>
      </c>
      <c r="AA2447" s="511"/>
      <c r="AB2447" s="511" t="str">
        <f t="shared" si="1904"/>
        <v/>
      </c>
      <c r="AC2447" s="698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698"/>
      <c r="AE2447" s="631" t="str">
        <f t="shared" si="1905"/>
        <v/>
      </c>
      <c r="AF2447" s="699" t="str">
        <f t="shared" si="1906"/>
        <v/>
      </c>
      <c r="AG2447" s="699"/>
      <c r="AH2447" s="699"/>
      <c r="AI2447" s="512">
        <f>IF(H2447="credit",0,IF(AE2447="free",0,IF(AE2447="me",0,IF(G2447&gt;0,(VLOOKUP(A2447,'Discount Lookup'!J:K,2)*G2447),0))))</f>
        <v>0</v>
      </c>
      <c r="AJ2447" s="513" t="str">
        <f t="shared" ca="1" si="1907"/>
        <v/>
      </c>
      <c r="AK2447" s="700" t="str">
        <f t="shared" si="1908"/>
        <v/>
      </c>
      <c r="AL2447" s="700"/>
      <c r="AM2447" s="505" t="str">
        <f t="shared" si="1909"/>
        <v/>
      </c>
      <c r="AN2447" s="506"/>
      <c r="AO2447" s="507"/>
      <c r="AP2447" s="507"/>
      <c r="AQ2447" s="507"/>
      <c r="AR2447" s="507"/>
      <c r="AS2447" s="507"/>
      <c r="AT2447" s="507"/>
      <c r="AU2447" s="507"/>
      <c r="AV2447" s="225"/>
      <c r="AW2447" s="508"/>
      <c r="AX2447" s="225"/>
      <c r="AY2447" s="225"/>
      <c r="AZ2447" s="225"/>
      <c r="BA2447" s="225"/>
      <c r="BB2447" s="225"/>
      <c r="BC2447" s="56"/>
      <c r="BD2447" s="56"/>
      <c r="BE2447" s="56"/>
      <c r="BF2447" s="107" t="str">
        <f t="shared" si="1910"/>
        <v>https://www.google.com/search?tbm=isch&amp;q=Miss%20Kim%20dark%20green%20foliage%20turns%20burgundy%20in%20fall.%20Fragrant%20</v>
      </c>
      <c r="BG2447" s="107" t="str">
        <f t="shared" si="1911"/>
        <v>M</v>
      </c>
      <c r="BH2447" s="254"/>
      <c r="BI2447" s="254"/>
    </row>
    <row r="2448" spans="1:61" customFormat="1" ht="18" x14ac:dyDescent="0.25">
      <c r="A2448" s="521" t="s">
        <v>5456</v>
      </c>
      <c r="B2448" s="477"/>
      <c r="C2448" s="674"/>
      <c r="D2448" s="478" t="s">
        <v>1350</v>
      </c>
      <c r="E2448" s="479"/>
      <c r="F2448" s="479"/>
      <c r="G2448" s="479"/>
      <c r="H2448" s="582" t="s">
        <v>720</v>
      </c>
      <c r="I2448" s="480" t="s">
        <v>2504</v>
      </c>
      <c r="J2448" s="479"/>
      <c r="K2448" s="479"/>
      <c r="L2448" s="560"/>
      <c r="M2448" s="666" t="s">
        <v>4966</v>
      </c>
      <c r="N2448" s="680" t="str">
        <f>IF(AND(ISTEXT($A2448), ISERROR($A2448+0)), HYPERLINK($BF2448, "Images"), "")</f>
        <v>Images</v>
      </c>
      <c r="O2448" s="662" t="s">
        <v>4969</v>
      </c>
      <c r="P2448" s="482"/>
      <c r="Q2448" s="483"/>
      <c r="R2448" s="483"/>
      <c r="S2448" s="484"/>
      <c r="T2448" s="508">
        <f t="shared" si="1899"/>
        <v>0</v>
      </c>
      <c r="U2448" s="225" t="str">
        <f>IF(NOT(ISNUMBER(G2448)), "", VLOOKUP(A2448,'Discount Lookup'!D:E,2,FALSE)*G2448)</f>
        <v/>
      </c>
      <c r="V2448" s="225" t="str">
        <f>IF(NOT(ISNUMBER(G2448)), "", VLOOKUP(A2448,'Discount Lookup'!G:H,2,FALSE)*G2448)</f>
        <v/>
      </c>
      <c r="W2448" s="508">
        <f t="shared" si="1900"/>
        <v>0</v>
      </c>
      <c r="X2448" s="508" t="str">
        <f t="shared" si="1901"/>
        <v>Light Pink to White</v>
      </c>
      <c r="Y2448" s="509" t="b">
        <f t="shared" si="1902"/>
        <v>0</v>
      </c>
      <c r="Z2448" s="510">
        <f t="shared" si="1903"/>
        <v>0</v>
      </c>
      <c r="AA2448" s="511"/>
      <c r="AB2448" s="511" t="str">
        <f t="shared" si="1904"/>
        <v/>
      </c>
      <c r="AC2448" s="698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698"/>
      <c r="AE2448" s="631" t="str">
        <f t="shared" si="1905"/>
        <v/>
      </c>
      <c r="AF2448" s="699" t="str">
        <f t="shared" si="1906"/>
        <v/>
      </c>
      <c r="AG2448" s="699"/>
      <c r="AH2448" s="699"/>
      <c r="AI2448" s="512">
        <f>IF(H2448="credit",0,IF(AE2448="free",0,IF(AE2448="me",0,IF(G2448&gt;0,(VLOOKUP(A2448,'Discount Lookup'!J:K,2)*G2448),0))))</f>
        <v>0</v>
      </c>
      <c r="AJ2448" s="513" t="str">
        <f t="shared" ca="1" si="1907"/>
        <v/>
      </c>
      <c r="AK2448" s="700" t="str">
        <f t="shared" si="1908"/>
        <v/>
      </c>
      <c r="AL2448" s="700"/>
      <c r="AM2448" s="505" t="str">
        <f t="shared" si="1909"/>
        <v/>
      </c>
      <c r="AN2448" s="506"/>
      <c r="AO2448" s="507"/>
      <c r="AP2448" s="507"/>
      <c r="AQ2448" s="507"/>
      <c r="AR2448" s="507"/>
      <c r="AS2448" s="507"/>
      <c r="AT2448" s="507"/>
      <c r="AU2448" s="507"/>
      <c r="AV2448" s="225"/>
      <c r="AW2448" s="508"/>
      <c r="AX2448" s="225"/>
      <c r="AY2448" s="225"/>
      <c r="AZ2448" s="225"/>
      <c r="BA2448" s="225"/>
      <c r="BB2448" s="225"/>
      <c r="BC2448" s="56"/>
      <c r="BD2448" s="56"/>
      <c r="BE2448" s="56"/>
      <c r="BF2448" s="107" t="str">
        <f t="shared" si="1910"/>
        <v>https://www.google.com/search?tbm=isch&amp;q=Miss%20Lemon%E2%84%A2%20Abelia%20Abelia%20x%20grandiflora%20%27Hopleys%27%20PP%2320682P2</v>
      </c>
      <c r="BG2448" s="107" t="str">
        <f t="shared" si="1911"/>
        <v>M</v>
      </c>
      <c r="BH2448" s="254"/>
      <c r="BI2448" s="254"/>
    </row>
    <row r="2449" spans="1:61" customFormat="1" ht="15.75" x14ac:dyDescent="0.25">
      <c r="A2449" s="485">
        <v>3</v>
      </c>
      <c r="B2449" s="486" t="s">
        <v>291</v>
      </c>
      <c r="C2449" s="487" t="s">
        <v>4535</v>
      </c>
      <c r="D2449" s="488" t="s">
        <v>297</v>
      </c>
      <c r="E2449" s="489">
        <v>26.95</v>
      </c>
      <c r="F2449" s="516" t="s">
        <v>293</v>
      </c>
      <c r="G2449" s="232">
        <v>0</v>
      </c>
      <c r="H2449" s="658" t="str">
        <f>IF(G2449=0,"",IF(F2449="Buy",IF(G2449=1,"plant","plants"),IF(F2449&gt;0.01,"warranty","Error")))</f>
        <v/>
      </c>
      <c r="I2449" s="490">
        <f>IF(H2449="free",0,IF(H2449="credit",((E2449*(F2449))*G2449*-1),IF(F2449="Buy",(E2449*G2449),((E2449*(1-F2449))*G2449))))</f>
        <v>0</v>
      </c>
      <c r="J2449" s="490">
        <f>IF(H2449="warranty",0,(I2449*(_xlfn.SINGLE(SalesTaxPercentage))))</f>
        <v>0</v>
      </c>
      <c r="K2449" s="695">
        <f t="shared" ref="K2449" si="1912">I2449+J2449</f>
        <v>0</v>
      </c>
      <c r="L2449" s="695"/>
      <c r="M2449" s="659" t="str">
        <f>IF(AND(G2449&gt;0,E2449=0),"WARNING - no PRICE inserted",IF(H2449="free"," FREE ~ no charge this plant",IF(H2449="credit",CONCATENATE(" -$",ROUND(K2449*(1-T2GDiscount)*-1,2)," CREDIT after discount"),IF(T2GDiscount=0,"",IF(G2449=0,"",IF(F2449="Buy",CONCATENATE(" $",ROUND(K2449*(1-T2GDiscount),2)," with ",(T2GDiscount*100),"% discount"),CONCATENATE(" $",ROUND(K2449*(1-T2GDiscount),2)," with ",((T2GDiscount*100+F2449*100)-(T2GDiscount*100*F2449)),IF(F2449&gt;0,"% discounts",IF(NoWarrantyDiscount&gt;0,"% discounts","% discount")))))))))</f>
        <v/>
      </c>
      <c r="N2449" s="660"/>
      <c r="O2449" s="233"/>
      <c r="P2449" s="233"/>
      <c r="Q2449" s="233"/>
      <c r="R2449" s="233"/>
      <c r="S2449" s="233"/>
      <c r="T2449" s="508">
        <f t="shared" si="1899"/>
        <v>0</v>
      </c>
      <c r="U2449" s="225">
        <f>IF(NOT(ISNUMBER(G2449)), "", VLOOKUP(A2449,'Discount Lookup'!D:E,2,FALSE)*G2449)</f>
        <v>0</v>
      </c>
      <c r="V2449" s="225">
        <f>IF(NOT(ISNUMBER(G2449)), "", VLOOKUP(A2449,'Discount Lookup'!G:H,2,FALSE)*G2449)</f>
        <v>0</v>
      </c>
      <c r="W2449" s="508">
        <f t="shared" si="1900"/>
        <v>0</v>
      </c>
      <c r="X2449" s="508">
        <f t="shared" si="1901"/>
        <v>0</v>
      </c>
      <c r="Y2449" s="509" t="b">
        <f t="shared" si="1902"/>
        <v>0</v>
      </c>
      <c r="Z2449" s="510">
        <f t="shared" si="1903"/>
        <v>0</v>
      </c>
      <c r="AA2449" s="511"/>
      <c r="AB2449" s="511" t="str">
        <f t="shared" si="1904"/>
        <v/>
      </c>
      <c r="AC2449" s="698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698"/>
      <c r="AE2449" s="631" t="str">
        <f t="shared" si="1905"/>
        <v/>
      </c>
      <c r="AF2449" s="699" t="str">
        <f t="shared" si="1906"/>
        <v/>
      </c>
      <c r="AG2449" s="699"/>
      <c r="AH2449" s="699"/>
      <c r="AI2449" s="512">
        <f>IF(H2449="credit",0,IF(AE2449="free",0,IF(AE2449="me",0,IF(G2449&gt;0,(VLOOKUP(A2449,'Discount Lookup'!J:K,2)*G2449),0))))</f>
        <v>0</v>
      </c>
      <c r="AJ2449" s="513" t="str">
        <f t="shared" ca="1" si="1907"/>
        <v/>
      </c>
      <c r="AK2449" s="700" t="str">
        <f t="shared" si="1908"/>
        <v/>
      </c>
      <c r="AL2449" s="700"/>
      <c r="AM2449" s="505" t="str">
        <f t="shared" si="1909"/>
        <v/>
      </c>
      <c r="AN2449" s="506"/>
      <c r="AO2449" s="507"/>
      <c r="AP2449" s="507"/>
      <c r="AQ2449" s="507"/>
      <c r="AR2449" s="507"/>
      <c r="AS2449" s="507"/>
      <c r="AT2449" s="507"/>
      <c r="AU2449" s="507"/>
      <c r="AV2449" s="225"/>
      <c r="AW2449" s="508"/>
      <c r="AX2449" s="225"/>
      <c r="AY2449" s="225"/>
      <c r="AZ2449" s="225"/>
      <c r="BA2449" s="225"/>
      <c r="BB2449" s="225"/>
      <c r="BC2449" s="56"/>
      <c r="BD2449" s="56"/>
      <c r="BE2449" s="56"/>
      <c r="BF2449" s="107" t="str">
        <f t="shared" si="1910"/>
        <v>https://www.google.com/search?tbm=isch&amp;q=3%20G3</v>
      </c>
      <c r="BG2449" s="107" t="str">
        <f t="shared" si="1911"/>
        <v>M</v>
      </c>
      <c r="BH2449" s="254"/>
      <c r="BI2449" s="254"/>
    </row>
    <row r="2450" spans="1:61" customFormat="1" ht="15.75" x14ac:dyDescent="0.25">
      <c r="A2450" s="485">
        <v>3</v>
      </c>
      <c r="B2450" s="486" t="s">
        <v>291</v>
      </c>
      <c r="C2450" s="487" t="s">
        <v>4765</v>
      </c>
      <c r="D2450" s="488" t="s">
        <v>312</v>
      </c>
      <c r="E2450" s="489">
        <v>34.950000000000003</v>
      </c>
      <c r="F2450" s="516" t="s">
        <v>293</v>
      </c>
      <c r="G2450" s="232">
        <v>0</v>
      </c>
      <c r="H2450" s="658" t="str">
        <f>IF(G2450=0,"",IF(F2450="Buy",IF(G2450=1,"plant","plants"),IF(F2450&gt;0.01,"warranty","Error")))</f>
        <v/>
      </c>
      <c r="I2450" s="490">
        <f>IF(H2450="free",0,IF(H2450="credit",((E2450*(F2450))*G2450*-1),IF(F2450="Buy",(E2450*G2450),((E2450*(1-F2450))*G2450))))</f>
        <v>0</v>
      </c>
      <c r="J2450" s="490">
        <f>IF(H2450="warranty",0,(I2450*(_xlfn.SINGLE(SalesTaxPercentage))))</f>
        <v>0</v>
      </c>
      <c r="K2450" s="695">
        <f t="shared" ref="K2450" si="1913">I2450+J2450</f>
        <v>0</v>
      </c>
      <c r="L2450" s="695"/>
      <c r="M2450" s="659" t="str">
        <f>IF(AND(G2450&gt;0,E2450=0),"WARNING - no PRICE inserted",IF(H2450="free"," FREE ~ no charge this plant",IF(H2450="credit",CONCATENATE(" -$",ROUND(K2450*(1-T2GDiscount)*-1,2)," CREDIT after discount"),IF(T2GDiscount=0,"",IF(G2450=0,"",IF(F2450="Buy",CONCATENATE(" $",ROUND(K2450*(1-T2GDiscount),2)," with ",(T2GDiscount*100),"% discount"),CONCATENATE(" $",ROUND(K2450*(1-T2GDiscount),2)," with ",((T2GDiscount*100+F2450*100)-(T2GDiscount*100*F2450)),IF(F2450&gt;0,"% discounts",IF(NoWarrantyDiscount&gt;0,"% discounts","% discount")))))))))</f>
        <v/>
      </c>
      <c r="N2450" s="660"/>
      <c r="O2450" s="233"/>
      <c r="P2450" s="233"/>
      <c r="Q2450" s="233"/>
      <c r="R2450" s="233"/>
      <c r="S2450" s="233"/>
      <c r="T2450" s="508">
        <f t="shared" si="1899"/>
        <v>0</v>
      </c>
      <c r="U2450" s="225">
        <f>IF(NOT(ISNUMBER(G2450)), "", VLOOKUP(A2450,'Discount Lookup'!D:E,2,FALSE)*G2450)</f>
        <v>0</v>
      </c>
      <c r="V2450" s="225">
        <f>IF(NOT(ISNUMBER(G2450)), "", VLOOKUP(A2450,'Discount Lookup'!G:H,2,FALSE)*G2450)</f>
        <v>0</v>
      </c>
      <c r="W2450" s="508">
        <f t="shared" si="1900"/>
        <v>0</v>
      </c>
      <c r="X2450" s="508">
        <f t="shared" si="1901"/>
        <v>0</v>
      </c>
      <c r="Y2450" s="509" t="b">
        <f t="shared" si="1902"/>
        <v>0</v>
      </c>
      <c r="Z2450" s="510">
        <f t="shared" si="1903"/>
        <v>0</v>
      </c>
      <c r="AA2450" s="511"/>
      <c r="AB2450" s="511" t="str">
        <f t="shared" si="1904"/>
        <v/>
      </c>
      <c r="AC2450" s="698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698"/>
      <c r="AE2450" s="631" t="str">
        <f t="shared" si="1905"/>
        <v/>
      </c>
      <c r="AF2450" s="699" t="str">
        <f t="shared" si="1906"/>
        <v/>
      </c>
      <c r="AG2450" s="699"/>
      <c r="AH2450" s="699"/>
      <c r="AI2450" s="512">
        <f>IF(H2450="credit",0,IF(AE2450="free",0,IF(AE2450="me",0,IF(G2450&gt;0,(VLOOKUP(A2450,'Discount Lookup'!J:K,2)*G2450),0))))</f>
        <v>0</v>
      </c>
      <c r="AJ2450" s="513" t="str">
        <f t="shared" ca="1" si="1907"/>
        <v/>
      </c>
      <c r="AK2450" s="700" t="str">
        <f t="shared" si="1908"/>
        <v/>
      </c>
      <c r="AL2450" s="700"/>
      <c r="AM2450" s="505" t="str">
        <f t="shared" si="1909"/>
        <v/>
      </c>
      <c r="AN2450" s="506"/>
      <c r="AO2450" s="507"/>
      <c r="AP2450" s="507"/>
      <c r="AQ2450" s="507"/>
      <c r="AR2450" s="507"/>
      <c r="AS2450" s="507"/>
      <c r="AT2450" s="507"/>
      <c r="AU2450" s="507"/>
      <c r="AV2450" s="225"/>
      <c r="AW2450" s="508"/>
      <c r="AX2450" s="225"/>
      <c r="AY2450" s="225"/>
      <c r="AZ2450" s="225"/>
      <c r="BA2450" s="225"/>
      <c r="BB2450" s="225"/>
      <c r="BC2450" s="56"/>
      <c r="BD2450" s="56"/>
      <c r="BE2450" s="56"/>
      <c r="BF2450" s="107" t="str">
        <f t="shared" si="1910"/>
        <v>https://www.google.com/search?tbm=isch&amp;q=3%20G2</v>
      </c>
      <c r="BG2450" s="107" t="str">
        <f t="shared" si="1911"/>
        <v>M</v>
      </c>
      <c r="BH2450" s="254"/>
      <c r="BI2450" s="254"/>
    </row>
    <row r="2451" spans="1:61" customFormat="1" ht="17.25" thickBot="1" x14ac:dyDescent="0.3">
      <c r="A2451" s="522" t="s">
        <v>4126</v>
      </c>
      <c r="B2451" s="491"/>
      <c r="C2451" s="675"/>
      <c r="D2451" s="491"/>
      <c r="E2451" s="491"/>
      <c r="F2451" s="492"/>
      <c r="G2451" s="493"/>
      <c r="H2451" s="491"/>
      <c r="I2451" s="234"/>
      <c r="J2451" s="234"/>
      <c r="K2451" s="494"/>
      <c r="L2451" s="543"/>
      <c r="M2451" s="561"/>
      <c r="N2451" s="495"/>
      <c r="O2451" s="496"/>
      <c r="P2451" s="497"/>
      <c r="Q2451" s="495"/>
      <c r="R2451" s="495"/>
      <c r="S2451" s="667" t="s">
        <v>4988</v>
      </c>
      <c r="T2451" s="508">
        <f t="shared" si="1899"/>
        <v>0</v>
      </c>
      <c r="U2451" s="225" t="str">
        <f>IF(NOT(ISNUMBER(G2451)), "", VLOOKUP(A2451,'Discount Lookup'!D:E,2,FALSE)*G2451)</f>
        <v/>
      </c>
      <c r="V2451" s="225" t="str">
        <f>IF(NOT(ISNUMBER(G2451)), "", VLOOKUP(A2451,'Discount Lookup'!G:H,2,FALSE)*G2451)</f>
        <v/>
      </c>
      <c r="W2451" s="508">
        <f t="shared" si="1900"/>
        <v>0</v>
      </c>
      <c r="X2451" s="508">
        <f t="shared" si="1901"/>
        <v>0</v>
      </c>
      <c r="Y2451" s="509" t="b">
        <f t="shared" si="1902"/>
        <v>0</v>
      </c>
      <c r="Z2451" s="510">
        <f t="shared" si="1903"/>
        <v>0</v>
      </c>
      <c r="AA2451" s="511"/>
      <c r="AB2451" s="511" t="str">
        <f t="shared" si="1904"/>
        <v/>
      </c>
      <c r="AC2451" s="698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698"/>
      <c r="AE2451" s="631" t="str">
        <f t="shared" si="1905"/>
        <v/>
      </c>
      <c r="AF2451" s="699" t="str">
        <f t="shared" si="1906"/>
        <v/>
      </c>
      <c r="AG2451" s="699"/>
      <c r="AH2451" s="699"/>
      <c r="AI2451" s="512">
        <f>IF(H2451="credit",0,IF(AE2451="free",0,IF(AE2451="me",0,IF(G2451&gt;0,(VLOOKUP(A2451,'Discount Lookup'!J:K,2)*G2451),0))))</f>
        <v>0</v>
      </c>
      <c r="AJ2451" s="513" t="str">
        <f t="shared" ca="1" si="1907"/>
        <v/>
      </c>
      <c r="AK2451" s="700" t="str">
        <f t="shared" si="1908"/>
        <v/>
      </c>
      <c r="AL2451" s="700"/>
      <c r="AM2451" s="505" t="str">
        <f t="shared" si="1909"/>
        <v/>
      </c>
      <c r="AN2451" s="506"/>
      <c r="AO2451" s="507"/>
      <c r="AP2451" s="507"/>
      <c r="AQ2451" s="507"/>
      <c r="AR2451" s="507"/>
      <c r="AS2451" s="507"/>
      <c r="AT2451" s="507"/>
      <c r="AU2451" s="507"/>
      <c r="AV2451" s="225"/>
      <c r="AW2451" s="508"/>
      <c r="AX2451" s="225"/>
      <c r="AY2451" s="225"/>
      <c r="AZ2451" s="225"/>
      <c r="BA2451" s="225"/>
      <c r="BB2451" s="225"/>
      <c r="BC2451" s="56"/>
      <c r="BD2451" s="56"/>
      <c r="BE2451" s="56"/>
      <c r="BF2451" s="107" t="str">
        <f t="shared" si="1910"/>
        <v>https://www.google.com/search?tbm=isch&amp;q=Miss%20Lemon%20dazzles%20with%20vibrant%20Golden-Yellow%20and%20Green%20variegated%20foliage%2C%20turning%20Purplish-Bronze%20in%20fall.%20Fragrant%20</v>
      </c>
      <c r="BG2451" s="107" t="str">
        <f t="shared" si="1911"/>
        <v>M</v>
      </c>
      <c r="BH2451" s="254"/>
      <c r="BI2451" s="254"/>
    </row>
    <row r="2452" spans="1:61" customFormat="1" ht="18" x14ac:dyDescent="0.25">
      <c r="A2452" s="523" t="s">
        <v>1351</v>
      </c>
      <c r="B2452" s="235"/>
      <c r="C2452" s="676"/>
      <c r="D2452" s="255" t="s">
        <v>1352</v>
      </c>
      <c r="E2452" s="236"/>
      <c r="F2452" s="236"/>
      <c r="G2452" s="236"/>
      <c r="H2452" s="582" t="s">
        <v>474</v>
      </c>
      <c r="I2452" s="498" t="s">
        <v>3150</v>
      </c>
      <c r="J2452" s="237"/>
      <c r="K2452" s="237"/>
      <c r="L2452" s="274"/>
      <c r="M2452" s="668" t="s">
        <v>4962</v>
      </c>
      <c r="N2452" s="681" t="str">
        <f>IF(AND(ISTEXT($A2452), ISERROR($A2452+0)), HYPERLINK($BF2452, "Images"), "")</f>
        <v>Images</v>
      </c>
      <c r="O2452" s="663" t="s">
        <v>4967</v>
      </c>
      <c r="P2452" s="253"/>
      <c r="Q2452" s="238"/>
      <c r="R2452" s="239"/>
      <c r="S2452" s="275"/>
      <c r="T2452" s="508">
        <f t="shared" si="1899"/>
        <v>0</v>
      </c>
      <c r="U2452" s="225" t="str">
        <f>IF(NOT(ISNUMBER(G2452)), "", VLOOKUP(A2452,'Discount Lookup'!D:E,2,FALSE)*G2452)</f>
        <v/>
      </c>
      <c r="V2452" s="225" t="str">
        <f>IF(NOT(ISNUMBER(G2452)), "", VLOOKUP(A2452,'Discount Lookup'!G:H,2,FALSE)*G2452)</f>
        <v/>
      </c>
      <c r="W2452" s="508">
        <f t="shared" si="1900"/>
        <v>0</v>
      </c>
      <c r="X2452" s="508" t="str">
        <f t="shared" si="1901"/>
        <v>Sangria-Red-Pink bloom</v>
      </c>
      <c r="Y2452" s="509" t="b">
        <f t="shared" si="1902"/>
        <v>0</v>
      </c>
      <c r="Z2452" s="510">
        <f t="shared" si="1903"/>
        <v>0</v>
      </c>
      <c r="AA2452" s="511"/>
      <c r="AB2452" s="511" t="str">
        <f t="shared" si="1904"/>
        <v/>
      </c>
      <c r="AC2452" s="698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698"/>
      <c r="AE2452" s="631" t="str">
        <f t="shared" si="1905"/>
        <v/>
      </c>
      <c r="AF2452" s="699" t="str">
        <f t="shared" si="1906"/>
        <v/>
      </c>
      <c r="AG2452" s="699"/>
      <c r="AH2452" s="699"/>
      <c r="AI2452" s="512">
        <f>IF(H2452="credit",0,IF(AE2452="free",0,IF(AE2452="me",0,IF(G2452&gt;0,(VLOOKUP(A2452,'Discount Lookup'!J:K,2)*G2452),0))))</f>
        <v>0</v>
      </c>
      <c r="AJ2452" s="513" t="str">
        <f t="shared" ca="1" si="1907"/>
        <v/>
      </c>
      <c r="AK2452" s="700" t="str">
        <f t="shared" si="1908"/>
        <v/>
      </c>
      <c r="AL2452" s="700"/>
      <c r="AM2452" s="505" t="str">
        <f t="shared" si="1909"/>
        <v/>
      </c>
      <c r="AN2452" s="506"/>
      <c r="AO2452" s="507"/>
      <c r="AP2452" s="507"/>
      <c r="AQ2452" s="507"/>
      <c r="AR2452" s="507"/>
      <c r="AS2452" s="507"/>
      <c r="AT2452" s="507"/>
      <c r="AU2452" s="507"/>
      <c r="AV2452" s="225"/>
      <c r="AW2452" s="508"/>
      <c r="AX2452" s="225"/>
      <c r="AY2452" s="225"/>
      <c r="AZ2452" s="225"/>
      <c r="BA2452" s="225"/>
      <c r="BB2452" s="225"/>
      <c r="BC2452" s="56"/>
      <c r="BD2452" s="56"/>
      <c r="BE2452" s="56"/>
      <c r="BF2452" s="107" t="str">
        <f t="shared" si="1910"/>
        <v>https://www.google.com/search?tbm=isch&amp;q=Miss%20Molly%20Butterfly%20Bush%20Buddleia%20%27Miss%20Molly%27%20PP%2323425</v>
      </c>
      <c r="BG2452" s="107" t="str">
        <f t="shared" si="1911"/>
        <v>M</v>
      </c>
      <c r="BH2452" s="254"/>
      <c r="BI2452" s="254"/>
    </row>
    <row r="2453" spans="1:61" customFormat="1" ht="15.75" x14ac:dyDescent="0.25">
      <c r="A2453" s="276">
        <v>3</v>
      </c>
      <c r="B2453" s="240" t="s">
        <v>291</v>
      </c>
      <c r="C2453" s="241" t="s">
        <v>2773</v>
      </c>
      <c r="D2453" s="242" t="s">
        <v>299</v>
      </c>
      <c r="E2453" s="243">
        <v>42.95</v>
      </c>
      <c r="F2453" s="517" t="s">
        <v>293</v>
      </c>
      <c r="G2453" s="232">
        <v>0</v>
      </c>
      <c r="H2453" s="661" t="str">
        <f>IF(G2453=0,"",IF(F2453="Buy",IF(G2453=1,"plant","plants"),IF(F2453&gt;0.01,"warranty","Error")))</f>
        <v/>
      </c>
      <c r="I2453" s="244">
        <f>IF(H2453="free",0,IF(H2453="credit",((E2453*(F2453))*G2453*-1),IF(F2453="Buy",(E2453*G2453),((E2453*(1-F2453))*G2453))))</f>
        <v>0</v>
      </c>
      <c r="J2453" s="244">
        <f>IF(H2453="warranty",0,(I2453*(_xlfn.SINGLE(SalesTaxPercentage))))</f>
        <v>0</v>
      </c>
      <c r="K2453" s="696">
        <f t="shared" ref="K2453" si="1914">I2453+J2453</f>
        <v>0</v>
      </c>
      <c r="L2453" s="696"/>
      <c r="M2453" s="659" t="str">
        <f>IF(AND(G2453&gt;0,E2453=0),"WARNING - no PRICE inserted",IF(H2453="free"," FREE ~ no charge this plant",IF(H2453="credit",CONCATENATE(" -$",ROUND(K2453*(1-T2GDiscount)*-1,2)," CREDIT after discount"),IF(T2GDiscount=0,"",IF(G2453=0,"",IF(F2453="Buy",CONCATENATE(" $",ROUND(K2453*(1-T2GDiscount),2)," with ",(T2GDiscount*100),"% discount"),CONCATENATE(" $",ROUND(K2453*(1-T2GDiscount),2)," with ",((T2GDiscount*100+F2453*100)-(T2GDiscount*100*F2453)),IF(F2453&gt;0,"% discounts",IF(NoWarrantyDiscount&gt;0,"% discounts","% discount")))))))))</f>
        <v/>
      </c>
      <c r="N2453" s="660"/>
      <c r="O2453" s="233"/>
      <c r="P2453" s="233"/>
      <c r="Q2453" s="233"/>
      <c r="R2453" s="233"/>
      <c r="S2453" s="233"/>
      <c r="T2453" s="508">
        <f t="shared" si="1899"/>
        <v>0</v>
      </c>
      <c r="U2453" s="225">
        <f>IF(NOT(ISNUMBER(G2453)), "", VLOOKUP(A2453,'Discount Lookup'!D:E,2,FALSE)*G2453)</f>
        <v>0</v>
      </c>
      <c r="V2453" s="225">
        <f>IF(NOT(ISNUMBER(G2453)), "", VLOOKUP(A2453,'Discount Lookup'!G:H,2,FALSE)*G2453)</f>
        <v>0</v>
      </c>
      <c r="W2453" s="508">
        <f t="shared" si="1900"/>
        <v>0</v>
      </c>
      <c r="X2453" s="508">
        <f t="shared" si="1901"/>
        <v>0</v>
      </c>
      <c r="Y2453" s="509" t="b">
        <f t="shared" si="1902"/>
        <v>0</v>
      </c>
      <c r="Z2453" s="510">
        <f t="shared" si="1903"/>
        <v>0</v>
      </c>
      <c r="AA2453" s="511"/>
      <c r="AB2453" s="511" t="str">
        <f t="shared" si="1904"/>
        <v/>
      </c>
      <c r="AC2453" s="698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698"/>
      <c r="AE2453" s="631" t="str">
        <f t="shared" si="1905"/>
        <v/>
      </c>
      <c r="AF2453" s="699" t="str">
        <f t="shared" si="1906"/>
        <v/>
      </c>
      <c r="AG2453" s="699"/>
      <c r="AH2453" s="699"/>
      <c r="AI2453" s="512">
        <f>IF(H2453="credit",0,IF(AE2453="free",0,IF(AE2453="me",0,IF(G2453&gt;0,(VLOOKUP(A2453,'Discount Lookup'!J:K,2)*G2453),0))))</f>
        <v>0</v>
      </c>
      <c r="AJ2453" s="513" t="str">
        <f t="shared" ca="1" si="1907"/>
        <v/>
      </c>
      <c r="AK2453" s="700" t="str">
        <f t="shared" si="1908"/>
        <v/>
      </c>
      <c r="AL2453" s="700"/>
      <c r="AM2453" s="505" t="str">
        <f t="shared" si="1909"/>
        <v/>
      </c>
      <c r="AN2453" s="506"/>
      <c r="AO2453" s="507"/>
      <c r="AP2453" s="507"/>
      <c r="AQ2453" s="507"/>
      <c r="AR2453" s="507"/>
      <c r="AS2453" s="507"/>
      <c r="AT2453" s="507"/>
      <c r="AU2453" s="507"/>
      <c r="AV2453" s="225"/>
      <c r="AW2453" s="508"/>
      <c r="AX2453" s="225"/>
      <c r="AY2453" s="225"/>
      <c r="AZ2453" s="225"/>
      <c r="BA2453" s="225"/>
      <c r="BB2453" s="225"/>
      <c r="BC2453" s="56"/>
      <c r="BD2453" s="56"/>
      <c r="BE2453" s="56"/>
      <c r="BF2453" s="107" t="str">
        <f t="shared" si="1910"/>
        <v>https://www.google.com/search?tbm=isch&amp;q=3%20G5</v>
      </c>
      <c r="BG2453" s="107" t="str">
        <f t="shared" si="1911"/>
        <v>M</v>
      </c>
      <c r="BH2453" s="254"/>
      <c r="BI2453" s="254"/>
    </row>
    <row r="2454" spans="1:61" customFormat="1" ht="17.25" thickBot="1" x14ac:dyDescent="0.3">
      <c r="A2454" s="524" t="s">
        <v>3151</v>
      </c>
      <c r="B2454" s="245"/>
      <c r="C2454" s="677"/>
      <c r="D2454" s="499"/>
      <c r="E2454" s="499"/>
      <c r="F2454" s="500"/>
      <c r="G2454" s="501"/>
      <c r="H2454" s="502"/>
      <c r="I2454" s="246"/>
      <c r="J2454" s="247"/>
      <c r="K2454" s="503"/>
      <c r="L2454" s="544"/>
      <c r="M2454" s="544"/>
      <c r="N2454" s="500"/>
      <c r="O2454" s="500"/>
      <c r="P2454" s="500"/>
      <c r="Q2454" s="500"/>
      <c r="R2454" s="500"/>
      <c r="S2454" s="669" t="s">
        <v>4980</v>
      </c>
      <c r="T2454" s="508">
        <f t="shared" si="1899"/>
        <v>0</v>
      </c>
      <c r="U2454" s="225" t="str">
        <f>IF(NOT(ISNUMBER(G2454)), "", VLOOKUP(A2454,'Discount Lookup'!D:E,2,FALSE)*G2454)</f>
        <v/>
      </c>
      <c r="V2454" s="225" t="str">
        <f>IF(NOT(ISNUMBER(G2454)), "", VLOOKUP(A2454,'Discount Lookup'!G:H,2,FALSE)*G2454)</f>
        <v/>
      </c>
      <c r="W2454" s="508">
        <f t="shared" si="1900"/>
        <v>0</v>
      </c>
      <c r="X2454" s="508">
        <f t="shared" si="1901"/>
        <v>0</v>
      </c>
      <c r="Y2454" s="509" t="b">
        <f t="shared" si="1902"/>
        <v>0</v>
      </c>
      <c r="Z2454" s="510">
        <f t="shared" si="1903"/>
        <v>0</v>
      </c>
      <c r="AA2454" s="511"/>
      <c r="AB2454" s="511" t="str">
        <f t="shared" si="1904"/>
        <v/>
      </c>
      <c r="AC2454" s="698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698"/>
      <c r="AE2454" s="631" t="str">
        <f t="shared" si="1905"/>
        <v/>
      </c>
      <c r="AF2454" s="699" t="str">
        <f t="shared" si="1906"/>
        <v/>
      </c>
      <c r="AG2454" s="699"/>
      <c r="AH2454" s="699"/>
      <c r="AI2454" s="512">
        <f>IF(H2454="credit",0,IF(AE2454="free",0,IF(AE2454="me",0,IF(G2454&gt;0,(VLOOKUP(A2454,'Discount Lookup'!J:K,2)*G2454),0))))</f>
        <v>0</v>
      </c>
      <c r="AJ2454" s="513" t="str">
        <f t="shared" ca="1" si="1907"/>
        <v/>
      </c>
      <c r="AK2454" s="700" t="str">
        <f t="shared" si="1908"/>
        <v/>
      </c>
      <c r="AL2454" s="700"/>
      <c r="AM2454" s="505" t="str">
        <f t="shared" si="1909"/>
        <v/>
      </c>
      <c r="AN2454" s="506"/>
      <c r="AO2454" s="507"/>
      <c r="AP2454" s="507"/>
      <c r="AQ2454" s="507"/>
      <c r="AR2454" s="507"/>
      <c r="AS2454" s="507"/>
      <c r="AT2454" s="507"/>
      <c r="AU2454" s="507"/>
      <c r="AV2454" s="225"/>
      <c r="AW2454" s="508"/>
      <c r="AX2454" s="225"/>
      <c r="AY2454" s="225"/>
      <c r="AZ2454" s="225"/>
      <c r="BA2454" s="225"/>
      <c r="BB2454" s="225"/>
      <c r="BC2454" s="56"/>
      <c r="BD2454" s="56"/>
      <c r="BE2454" s="56"/>
      <c r="BF2454" s="107" t="str">
        <f t="shared" si="1910"/>
        <v>https://www.google.com/search?tbm=isch&amp;q=Miss%20Molly%20has%20Gray-Green%20foliage%20and%20a%20fragrance.%20All%20BB%20bloom%20summer%20to%20frost%2C%20on%20new%20wood%2C%20so%20cut%20back%20hard%20late%20winter%20</v>
      </c>
      <c r="BG2454" s="107" t="str">
        <f t="shared" si="1911"/>
        <v>M</v>
      </c>
      <c r="BH2454" s="254"/>
      <c r="BI2454" s="254"/>
    </row>
    <row r="2455" spans="1:61" customFormat="1" ht="18" x14ac:dyDescent="0.25">
      <c r="A2455" s="521" t="s">
        <v>1353</v>
      </c>
      <c r="B2455" s="477"/>
      <c r="C2455" s="674"/>
      <c r="D2455" s="478" t="s">
        <v>1354</v>
      </c>
      <c r="E2455" s="479"/>
      <c r="F2455" s="479"/>
      <c r="G2455" s="479"/>
      <c r="H2455" s="582" t="s">
        <v>1045</v>
      </c>
      <c r="I2455" s="480" t="s">
        <v>2093</v>
      </c>
      <c r="J2455" s="479"/>
      <c r="K2455" s="479"/>
      <c r="L2455" s="560"/>
      <c r="M2455" s="666" t="s">
        <v>4966</v>
      </c>
      <c r="N2455" s="680" t="str">
        <f>IF(AND(ISTEXT($A2455), ISERROR($A2455+0)), HYPERLINK($BF2455, "Images"), "")</f>
        <v>Images</v>
      </c>
      <c r="O2455" s="662" t="s">
        <v>4967</v>
      </c>
      <c r="P2455" s="482"/>
      <c r="Q2455" s="483"/>
      <c r="R2455" s="483"/>
      <c r="S2455" s="484"/>
      <c r="T2455" s="508">
        <f t="shared" si="1899"/>
        <v>0</v>
      </c>
      <c r="U2455" s="225" t="str">
        <f>IF(NOT(ISNUMBER(G2455)), "", VLOOKUP(A2455,'Discount Lookup'!D:E,2,FALSE)*G2455)</f>
        <v/>
      </c>
      <c r="V2455" s="225" t="str">
        <f>IF(NOT(ISNUMBER(G2455)), "", VLOOKUP(A2455,'Discount Lookup'!G:H,2,FALSE)*G2455)</f>
        <v/>
      </c>
      <c r="W2455" s="508">
        <f t="shared" si="1900"/>
        <v>0</v>
      </c>
      <c r="X2455" s="508" t="str">
        <f t="shared" si="1901"/>
        <v>Dark Green foliage</v>
      </c>
      <c r="Y2455" s="509" t="b">
        <f t="shared" si="1902"/>
        <v>0</v>
      </c>
      <c r="Z2455" s="510">
        <f t="shared" si="1903"/>
        <v>0</v>
      </c>
      <c r="AA2455" s="511"/>
      <c r="AB2455" s="511" t="str">
        <f t="shared" si="1904"/>
        <v/>
      </c>
      <c r="AC2455" s="698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698"/>
      <c r="AE2455" s="631" t="str">
        <f t="shared" si="1905"/>
        <v/>
      </c>
      <c r="AF2455" s="699" t="str">
        <f t="shared" si="1906"/>
        <v/>
      </c>
      <c r="AG2455" s="699"/>
      <c r="AH2455" s="699"/>
      <c r="AI2455" s="512">
        <f>IF(H2455="credit",0,IF(AE2455="free",0,IF(AE2455="me",0,IF(G2455&gt;0,(VLOOKUP(A2455,'Discount Lookup'!J:K,2)*G2455),0))))</f>
        <v>0</v>
      </c>
      <c r="AJ2455" s="513" t="str">
        <f t="shared" ca="1" si="1907"/>
        <v/>
      </c>
      <c r="AK2455" s="700" t="str">
        <f t="shared" si="1908"/>
        <v/>
      </c>
      <c r="AL2455" s="700"/>
      <c r="AM2455" s="505" t="str">
        <f t="shared" si="1909"/>
        <v/>
      </c>
      <c r="AN2455" s="506"/>
      <c r="AO2455" s="507"/>
      <c r="AP2455" s="507"/>
      <c r="AQ2455" s="507"/>
      <c r="AR2455" s="507"/>
      <c r="AS2455" s="507"/>
      <c r="AT2455" s="507"/>
      <c r="AU2455" s="507"/>
      <c r="AV2455" s="225"/>
      <c r="AW2455" s="508"/>
      <c r="AX2455" s="225"/>
      <c r="AY2455" s="225"/>
      <c r="AZ2455" s="225"/>
      <c r="BA2455" s="225"/>
      <c r="BB2455" s="225"/>
      <c r="BC2455" s="56"/>
      <c r="BD2455" s="56"/>
      <c r="BE2455" s="56"/>
      <c r="BF2455" s="107" t="str">
        <f t="shared" si="1910"/>
        <v>https://www.google.com/search?tbm=isch&amp;q=Miss%20Patricia%20Holly%20Ilex%20x%20latifolia%20%27Miss%20Patricia%27</v>
      </c>
      <c r="BG2455" s="107" t="str">
        <f t="shared" si="1911"/>
        <v>M</v>
      </c>
      <c r="BH2455" s="254"/>
      <c r="BI2455" s="254"/>
    </row>
    <row r="2456" spans="1:61" customFormat="1" ht="15.75" x14ac:dyDescent="0.25">
      <c r="A2456" s="485">
        <v>3</v>
      </c>
      <c r="B2456" s="486" t="s">
        <v>291</v>
      </c>
      <c r="C2456" s="487" t="s">
        <v>2774</v>
      </c>
      <c r="D2456" s="488" t="s">
        <v>299</v>
      </c>
      <c r="E2456" s="489">
        <v>33.950000000000003</v>
      </c>
      <c r="F2456" s="516" t="s">
        <v>293</v>
      </c>
      <c r="G2456" s="232">
        <v>0</v>
      </c>
      <c r="H2456" s="658" t="str">
        <f t="shared" ref="H2456:H2464" si="1915">IF(G2456=0,"",IF(F2456="Buy",IF(G2456=1,"plant","plants"),IF(F2456&gt;0.01,"warranty","Error")))</f>
        <v/>
      </c>
      <c r="I2456" s="490">
        <f t="shared" ref="I2456:I2464" si="1916">IF(H2456="free",0,IF(H2456="credit",((E2456*(F2456))*G2456*-1),IF(F2456="Buy",(E2456*G2456),((E2456*(1-F2456))*G2456))))</f>
        <v>0</v>
      </c>
      <c r="J2456" s="490">
        <f t="shared" ref="J2456:J2464" si="1917">IF(H2456="warranty",0,(I2456*(_xlfn.SINGLE(SalesTaxPercentage))))</f>
        <v>0</v>
      </c>
      <c r="K2456" s="695">
        <f t="shared" ref="K2456" si="1918">I2456+J2456</f>
        <v>0</v>
      </c>
      <c r="L2456" s="695"/>
      <c r="M2456" s="659" t="str">
        <f t="shared" ref="M2456:M2464" si="1919">IF(AND(G2456&gt;0,E2456=0),"WARNING - no PRICE inserted",IF(H2456="free"," FREE ~ no charge this plant",IF(H2456="credit",CONCATENATE(" -$",ROUND(K2456*(1-T2GDiscount)*-1,2)," CREDIT after discount"),IF(T2GDiscount=0,"",IF(G2456=0,"",IF(F2456="Buy",CONCATENATE(" $",ROUND(K2456*(1-T2GDiscount),2)," with ",(T2GDiscount*100),"% discount"),CONCATENATE(" $",ROUND(K2456*(1-T2GDiscount),2)," with ",((T2GDiscount*100+F2456*100)-(T2GDiscount*100*F2456)),IF(F2456&gt;0,"% discounts",IF(NoWarrantyDiscount&gt;0,"% discounts","% discount")))))))))</f>
        <v/>
      </c>
      <c r="N2456" s="660"/>
      <c r="O2456" s="233"/>
      <c r="P2456" s="233"/>
      <c r="Q2456" s="233"/>
      <c r="R2456" s="233"/>
      <c r="S2456" s="233"/>
      <c r="T2456" s="508">
        <f t="shared" si="1899"/>
        <v>0</v>
      </c>
      <c r="U2456" s="225">
        <f>IF(NOT(ISNUMBER(G2456)), "", VLOOKUP(A2456,'Discount Lookup'!D:E,2,FALSE)*G2456)</f>
        <v>0</v>
      </c>
      <c r="V2456" s="225">
        <f>IF(NOT(ISNUMBER(G2456)), "", VLOOKUP(A2456,'Discount Lookup'!G:H,2,FALSE)*G2456)</f>
        <v>0</v>
      </c>
      <c r="W2456" s="508">
        <f t="shared" si="1900"/>
        <v>0</v>
      </c>
      <c r="X2456" s="508">
        <f t="shared" si="1901"/>
        <v>0</v>
      </c>
      <c r="Y2456" s="509" t="b">
        <f t="shared" si="1902"/>
        <v>0</v>
      </c>
      <c r="Z2456" s="510">
        <f t="shared" si="1903"/>
        <v>0</v>
      </c>
      <c r="AA2456" s="511"/>
      <c r="AB2456" s="511" t="str">
        <f t="shared" si="1904"/>
        <v/>
      </c>
      <c r="AC2456" s="698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698"/>
      <c r="AE2456" s="631" t="str">
        <f t="shared" si="1905"/>
        <v/>
      </c>
      <c r="AF2456" s="699" t="str">
        <f t="shared" si="1906"/>
        <v/>
      </c>
      <c r="AG2456" s="699"/>
      <c r="AH2456" s="699"/>
      <c r="AI2456" s="512">
        <f>IF(H2456="credit",0,IF(AE2456="free",0,IF(AE2456="me",0,IF(G2456&gt;0,(VLOOKUP(A2456,'Discount Lookup'!J:K,2)*G2456),0))))</f>
        <v>0</v>
      </c>
      <c r="AJ2456" s="513" t="str">
        <f t="shared" ca="1" si="1907"/>
        <v/>
      </c>
      <c r="AK2456" s="700" t="str">
        <f t="shared" si="1908"/>
        <v/>
      </c>
      <c r="AL2456" s="700"/>
      <c r="AM2456" s="505" t="str">
        <f t="shared" si="1909"/>
        <v/>
      </c>
      <c r="AN2456" s="506"/>
      <c r="AO2456" s="507"/>
      <c r="AP2456" s="507"/>
      <c r="AQ2456" s="507"/>
      <c r="AR2456" s="507"/>
      <c r="AS2456" s="507"/>
      <c r="AT2456" s="507"/>
      <c r="AU2456" s="507"/>
      <c r="AV2456" s="225"/>
      <c r="AW2456" s="508"/>
      <c r="AX2456" s="225"/>
      <c r="AY2456" s="225"/>
      <c r="AZ2456" s="225"/>
      <c r="BA2456" s="225"/>
      <c r="BB2456" s="225"/>
      <c r="BC2456" s="56"/>
      <c r="BD2456" s="56"/>
      <c r="BE2456" s="56"/>
      <c r="BF2456" s="107" t="str">
        <f t="shared" si="1910"/>
        <v>https://www.google.com/search?tbm=isch&amp;q=3%20G5</v>
      </c>
      <c r="BG2456" s="107" t="str">
        <f t="shared" si="1911"/>
        <v>M</v>
      </c>
      <c r="BH2456" s="254"/>
      <c r="BI2456" s="254"/>
    </row>
    <row r="2457" spans="1:61" customFormat="1" ht="15.75" x14ac:dyDescent="0.25">
      <c r="A2457" s="485">
        <v>7</v>
      </c>
      <c r="B2457" s="486" t="s">
        <v>291</v>
      </c>
      <c r="C2457" s="487" t="s">
        <v>1355</v>
      </c>
      <c r="D2457" s="488" t="s">
        <v>299</v>
      </c>
      <c r="E2457" s="489">
        <v>79.95</v>
      </c>
      <c r="F2457" s="516" t="s">
        <v>293</v>
      </c>
      <c r="G2457" s="232">
        <v>0</v>
      </c>
      <c r="H2457" s="658" t="str">
        <f t="shared" si="1915"/>
        <v/>
      </c>
      <c r="I2457" s="490">
        <f t="shared" si="1916"/>
        <v>0</v>
      </c>
      <c r="J2457" s="490">
        <f t="shared" si="1917"/>
        <v>0</v>
      </c>
      <c r="K2457" s="695">
        <f t="shared" ref="K2457" si="1920">I2457+J2457</f>
        <v>0</v>
      </c>
      <c r="L2457" s="695"/>
      <c r="M2457" s="659" t="str">
        <f t="shared" si="1919"/>
        <v/>
      </c>
      <c r="N2457" s="660"/>
      <c r="O2457" s="233"/>
      <c r="P2457" s="233"/>
      <c r="Q2457" s="233"/>
      <c r="R2457" s="233"/>
      <c r="S2457" s="233"/>
      <c r="T2457" s="508">
        <f t="shared" si="1899"/>
        <v>0</v>
      </c>
      <c r="U2457" s="225">
        <f>IF(NOT(ISNUMBER(G2457)), "", VLOOKUP(A2457,'Discount Lookup'!D:E,2,FALSE)*G2457)</f>
        <v>0</v>
      </c>
      <c r="V2457" s="225">
        <f>IF(NOT(ISNUMBER(G2457)), "", VLOOKUP(A2457,'Discount Lookup'!G:H,2,FALSE)*G2457)</f>
        <v>0</v>
      </c>
      <c r="W2457" s="508">
        <f t="shared" si="1900"/>
        <v>0</v>
      </c>
      <c r="X2457" s="508">
        <f t="shared" si="1901"/>
        <v>0</v>
      </c>
      <c r="Y2457" s="509" t="b">
        <f t="shared" si="1902"/>
        <v>0</v>
      </c>
      <c r="Z2457" s="510">
        <f t="shared" si="1903"/>
        <v>0</v>
      </c>
      <c r="AA2457" s="511"/>
      <c r="AB2457" s="511" t="str">
        <f t="shared" si="1904"/>
        <v/>
      </c>
      <c r="AC2457" s="698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698"/>
      <c r="AE2457" s="631" t="str">
        <f t="shared" si="1905"/>
        <v/>
      </c>
      <c r="AF2457" s="699" t="str">
        <f t="shared" si="1906"/>
        <v/>
      </c>
      <c r="AG2457" s="699"/>
      <c r="AH2457" s="699"/>
      <c r="AI2457" s="512">
        <f>IF(H2457="credit",0,IF(AE2457="free",0,IF(AE2457="me",0,IF(G2457&gt;0,(VLOOKUP(A2457,'Discount Lookup'!J:K,2)*G2457),0))))</f>
        <v>0</v>
      </c>
      <c r="AJ2457" s="513" t="str">
        <f t="shared" ca="1" si="1907"/>
        <v/>
      </c>
      <c r="AK2457" s="700" t="str">
        <f t="shared" si="1908"/>
        <v/>
      </c>
      <c r="AL2457" s="700"/>
      <c r="AM2457" s="505" t="str">
        <f t="shared" si="1909"/>
        <v/>
      </c>
      <c r="AN2457" s="506"/>
      <c r="AO2457" s="507"/>
      <c r="AP2457" s="507"/>
      <c r="AQ2457" s="507"/>
      <c r="AR2457" s="507"/>
      <c r="AS2457" s="507"/>
      <c r="AT2457" s="507"/>
      <c r="AU2457" s="507"/>
      <c r="AV2457" s="225"/>
      <c r="AW2457" s="508"/>
      <c r="AX2457" s="225"/>
      <c r="AY2457" s="225"/>
      <c r="AZ2457" s="225"/>
      <c r="BA2457" s="225"/>
      <c r="BB2457" s="225"/>
      <c r="BC2457" s="56"/>
      <c r="BD2457" s="56"/>
      <c r="BE2457" s="56"/>
      <c r="BF2457" s="107" t="str">
        <f t="shared" si="1910"/>
        <v>https://www.google.com/search?tbm=isch&amp;q=7%20G5</v>
      </c>
      <c r="BG2457" s="107" t="str">
        <f t="shared" si="1911"/>
        <v>M</v>
      </c>
      <c r="BH2457" s="254"/>
      <c r="BI2457" s="254"/>
    </row>
    <row r="2458" spans="1:61" customFormat="1" ht="15.75" x14ac:dyDescent="0.25">
      <c r="A2458" s="485">
        <v>7</v>
      </c>
      <c r="B2458" s="486" t="s">
        <v>291</v>
      </c>
      <c r="C2458" s="487" t="s">
        <v>3646</v>
      </c>
      <c r="D2458" s="488" t="s">
        <v>292</v>
      </c>
      <c r="E2458" s="489">
        <v>95.95</v>
      </c>
      <c r="F2458" s="516" t="s">
        <v>293</v>
      </c>
      <c r="G2458" s="232">
        <v>0</v>
      </c>
      <c r="H2458" s="658" t="str">
        <f t="shared" si="1915"/>
        <v/>
      </c>
      <c r="I2458" s="490">
        <f t="shared" si="1916"/>
        <v>0</v>
      </c>
      <c r="J2458" s="490">
        <f t="shared" si="1917"/>
        <v>0</v>
      </c>
      <c r="K2458" s="695">
        <f t="shared" ref="K2458" si="1921">I2458+J2458</f>
        <v>0</v>
      </c>
      <c r="L2458" s="695"/>
      <c r="M2458" s="659" t="str">
        <f t="shared" si="1919"/>
        <v/>
      </c>
      <c r="N2458" s="660"/>
      <c r="O2458" s="233"/>
      <c r="P2458" s="233"/>
      <c r="Q2458" s="233"/>
      <c r="R2458" s="233"/>
      <c r="S2458" s="233"/>
      <c r="T2458" s="508">
        <f t="shared" si="1899"/>
        <v>0</v>
      </c>
      <c r="U2458" s="225">
        <f>IF(NOT(ISNUMBER(G2458)), "", VLOOKUP(A2458,'Discount Lookup'!D:E,2,FALSE)*G2458)</f>
        <v>0</v>
      </c>
      <c r="V2458" s="225">
        <f>IF(NOT(ISNUMBER(G2458)), "", VLOOKUP(A2458,'Discount Lookup'!G:H,2,FALSE)*G2458)</f>
        <v>0</v>
      </c>
      <c r="W2458" s="508">
        <f t="shared" si="1900"/>
        <v>0</v>
      </c>
      <c r="X2458" s="508">
        <f t="shared" si="1901"/>
        <v>0</v>
      </c>
      <c r="Y2458" s="509" t="b">
        <f t="shared" si="1902"/>
        <v>0</v>
      </c>
      <c r="Z2458" s="510">
        <f t="shared" si="1903"/>
        <v>0</v>
      </c>
      <c r="AA2458" s="511"/>
      <c r="AB2458" s="511" t="str">
        <f t="shared" si="1904"/>
        <v/>
      </c>
      <c r="AC2458" s="698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698"/>
      <c r="AE2458" s="631" t="str">
        <f t="shared" si="1905"/>
        <v/>
      </c>
      <c r="AF2458" s="699" t="str">
        <f t="shared" si="1906"/>
        <v/>
      </c>
      <c r="AG2458" s="699"/>
      <c r="AH2458" s="699"/>
      <c r="AI2458" s="512">
        <f>IF(H2458="credit",0,IF(AE2458="free",0,IF(AE2458="me",0,IF(G2458&gt;0,(VLOOKUP(A2458,'Discount Lookup'!J:K,2)*G2458),0))))</f>
        <v>0</v>
      </c>
      <c r="AJ2458" s="513" t="str">
        <f t="shared" ca="1" si="1907"/>
        <v/>
      </c>
      <c r="AK2458" s="700" t="str">
        <f t="shared" si="1908"/>
        <v/>
      </c>
      <c r="AL2458" s="700"/>
      <c r="AM2458" s="505" t="str">
        <f t="shared" si="1909"/>
        <v/>
      </c>
      <c r="AN2458" s="506"/>
      <c r="AO2458" s="507"/>
      <c r="AP2458" s="507"/>
      <c r="AQ2458" s="507"/>
      <c r="AR2458" s="507"/>
      <c r="AS2458" s="507"/>
      <c r="AT2458" s="507"/>
      <c r="AU2458" s="507"/>
      <c r="AV2458" s="225"/>
      <c r="AW2458" s="508"/>
      <c r="AX2458" s="225"/>
      <c r="AY2458" s="225"/>
      <c r="AZ2458" s="225"/>
      <c r="BA2458" s="225"/>
      <c r="BB2458" s="225"/>
      <c r="BC2458" s="56"/>
      <c r="BD2458" s="56"/>
      <c r="BE2458" s="56"/>
      <c r="BF2458" s="107" t="str">
        <f t="shared" si="1910"/>
        <v>https://www.google.com/search?tbm=isch&amp;q=7%20G4</v>
      </c>
      <c r="BG2458" s="107" t="str">
        <f t="shared" si="1911"/>
        <v>M</v>
      </c>
      <c r="BH2458" s="254"/>
      <c r="BI2458" s="254"/>
    </row>
    <row r="2459" spans="1:61" customFormat="1" ht="15.75" x14ac:dyDescent="0.25">
      <c r="A2459" s="485">
        <v>15</v>
      </c>
      <c r="B2459" s="486" t="s">
        <v>291</v>
      </c>
      <c r="C2459" s="487" t="s">
        <v>4916</v>
      </c>
      <c r="D2459" s="488" t="s">
        <v>300</v>
      </c>
      <c r="E2459" s="489">
        <v>126.95</v>
      </c>
      <c r="F2459" s="516" t="s">
        <v>293</v>
      </c>
      <c r="G2459" s="232">
        <v>0</v>
      </c>
      <c r="H2459" s="658" t="str">
        <f t="shared" si="1915"/>
        <v/>
      </c>
      <c r="I2459" s="490">
        <f t="shared" si="1916"/>
        <v>0</v>
      </c>
      <c r="J2459" s="490">
        <f t="shared" si="1917"/>
        <v>0</v>
      </c>
      <c r="K2459" s="695">
        <f t="shared" ref="K2459" si="1922">I2459+J2459</f>
        <v>0</v>
      </c>
      <c r="L2459" s="695"/>
      <c r="M2459" s="659" t="str">
        <f t="shared" si="1919"/>
        <v/>
      </c>
      <c r="N2459" s="660"/>
      <c r="O2459" s="233"/>
      <c r="P2459" s="233"/>
      <c r="Q2459" s="233"/>
      <c r="R2459" s="233"/>
      <c r="S2459" s="233"/>
      <c r="T2459" s="508">
        <f t="shared" si="1899"/>
        <v>0</v>
      </c>
      <c r="U2459" s="225">
        <f>IF(NOT(ISNUMBER(G2459)), "", VLOOKUP(A2459,'Discount Lookup'!D:E,2,FALSE)*G2459)</f>
        <v>0</v>
      </c>
      <c r="V2459" s="225">
        <f>IF(NOT(ISNUMBER(G2459)), "", VLOOKUP(A2459,'Discount Lookup'!G:H,2,FALSE)*G2459)</f>
        <v>0</v>
      </c>
      <c r="W2459" s="508">
        <f t="shared" si="1900"/>
        <v>0</v>
      </c>
      <c r="X2459" s="508">
        <f t="shared" si="1901"/>
        <v>0</v>
      </c>
      <c r="Y2459" s="509" t="b">
        <f t="shared" si="1902"/>
        <v>0</v>
      </c>
      <c r="Z2459" s="510">
        <f t="shared" si="1903"/>
        <v>0</v>
      </c>
      <c r="AA2459" s="511"/>
      <c r="AB2459" s="511" t="str">
        <f t="shared" si="1904"/>
        <v/>
      </c>
      <c r="AC2459" s="698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698"/>
      <c r="AE2459" s="631" t="str">
        <f t="shared" si="1905"/>
        <v/>
      </c>
      <c r="AF2459" s="699" t="str">
        <f t="shared" si="1906"/>
        <v/>
      </c>
      <c r="AG2459" s="699"/>
      <c r="AH2459" s="699"/>
      <c r="AI2459" s="512">
        <f>IF(H2459="credit",0,IF(AE2459="free",0,IF(AE2459="me",0,IF(G2459&gt;0,(VLOOKUP(A2459,'Discount Lookup'!J:K,2)*G2459),0))))</f>
        <v>0</v>
      </c>
      <c r="AJ2459" s="513" t="str">
        <f t="shared" ca="1" si="1907"/>
        <v/>
      </c>
      <c r="AK2459" s="700" t="str">
        <f t="shared" si="1908"/>
        <v/>
      </c>
      <c r="AL2459" s="700"/>
      <c r="AM2459" s="505" t="str">
        <f t="shared" si="1909"/>
        <v/>
      </c>
      <c r="AN2459" s="506"/>
      <c r="AO2459" s="507"/>
      <c r="AP2459" s="507"/>
      <c r="AQ2459" s="507"/>
      <c r="AR2459" s="507"/>
      <c r="AS2459" s="507"/>
      <c r="AT2459" s="507"/>
      <c r="AU2459" s="507"/>
      <c r="AV2459" s="225"/>
      <c r="AW2459" s="508"/>
      <c r="AX2459" s="225"/>
      <c r="AY2459" s="225"/>
      <c r="AZ2459" s="225"/>
      <c r="BA2459" s="225"/>
      <c r="BB2459" s="225"/>
      <c r="BC2459" s="56"/>
      <c r="BD2459" s="56"/>
      <c r="BE2459" s="56"/>
      <c r="BF2459" s="107" t="str">
        <f t="shared" si="1910"/>
        <v>https://www.google.com/search?tbm=isch&amp;q=15%20G6</v>
      </c>
      <c r="BG2459" s="107" t="str">
        <f t="shared" si="1911"/>
        <v>M</v>
      </c>
      <c r="BH2459" s="254"/>
      <c r="BI2459" s="254"/>
    </row>
    <row r="2460" spans="1:61" customFormat="1" ht="15.75" x14ac:dyDescent="0.25">
      <c r="A2460" s="485">
        <v>15</v>
      </c>
      <c r="B2460" s="486" t="s">
        <v>291</v>
      </c>
      <c r="C2460" s="487" t="s">
        <v>1356</v>
      </c>
      <c r="D2460" s="488" t="s">
        <v>297</v>
      </c>
      <c r="E2460" s="489">
        <v>155.94999999999999</v>
      </c>
      <c r="F2460" s="516" t="s">
        <v>293</v>
      </c>
      <c r="G2460" s="232">
        <v>0</v>
      </c>
      <c r="H2460" s="658" t="str">
        <f t="shared" si="1915"/>
        <v/>
      </c>
      <c r="I2460" s="490">
        <f t="shared" si="1916"/>
        <v>0</v>
      </c>
      <c r="J2460" s="490">
        <f t="shared" si="1917"/>
        <v>0</v>
      </c>
      <c r="K2460" s="695">
        <f t="shared" ref="K2460" si="1923">I2460+J2460</f>
        <v>0</v>
      </c>
      <c r="L2460" s="695"/>
      <c r="M2460" s="659" t="str">
        <f t="shared" si="1919"/>
        <v/>
      </c>
      <c r="N2460" s="660"/>
      <c r="O2460" s="233"/>
      <c r="P2460" s="233"/>
      <c r="Q2460" s="233"/>
      <c r="R2460" s="233"/>
      <c r="S2460" s="233"/>
      <c r="T2460" s="508">
        <f t="shared" si="1899"/>
        <v>0</v>
      </c>
      <c r="U2460" s="225">
        <f>IF(NOT(ISNUMBER(G2460)), "", VLOOKUP(A2460,'Discount Lookup'!D:E,2,FALSE)*G2460)</f>
        <v>0</v>
      </c>
      <c r="V2460" s="225">
        <f>IF(NOT(ISNUMBER(G2460)), "", VLOOKUP(A2460,'Discount Lookup'!G:H,2,FALSE)*G2460)</f>
        <v>0</v>
      </c>
      <c r="W2460" s="508">
        <f t="shared" si="1900"/>
        <v>0</v>
      </c>
      <c r="X2460" s="508">
        <f t="shared" si="1901"/>
        <v>0</v>
      </c>
      <c r="Y2460" s="509" t="b">
        <f t="shared" si="1902"/>
        <v>0</v>
      </c>
      <c r="Z2460" s="510">
        <f t="shared" si="1903"/>
        <v>0</v>
      </c>
      <c r="AA2460" s="511"/>
      <c r="AB2460" s="511" t="str">
        <f t="shared" si="1904"/>
        <v/>
      </c>
      <c r="AC2460" s="698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698"/>
      <c r="AE2460" s="631" t="str">
        <f t="shared" si="1905"/>
        <v/>
      </c>
      <c r="AF2460" s="699" t="str">
        <f t="shared" si="1906"/>
        <v/>
      </c>
      <c r="AG2460" s="699"/>
      <c r="AH2460" s="699"/>
      <c r="AI2460" s="512">
        <f>IF(H2460="credit",0,IF(AE2460="free",0,IF(AE2460="me",0,IF(G2460&gt;0,(VLOOKUP(A2460,'Discount Lookup'!J:K,2)*G2460),0))))</f>
        <v>0</v>
      </c>
      <c r="AJ2460" s="513" t="str">
        <f t="shared" ca="1" si="1907"/>
        <v/>
      </c>
      <c r="AK2460" s="700" t="str">
        <f t="shared" si="1908"/>
        <v/>
      </c>
      <c r="AL2460" s="700"/>
      <c r="AM2460" s="505" t="str">
        <f t="shared" si="1909"/>
        <v/>
      </c>
      <c r="AN2460" s="506"/>
      <c r="AO2460" s="507"/>
      <c r="AP2460" s="507"/>
      <c r="AQ2460" s="507"/>
      <c r="AR2460" s="507"/>
      <c r="AS2460" s="507"/>
      <c r="AT2460" s="507"/>
      <c r="AU2460" s="507"/>
      <c r="AV2460" s="225"/>
      <c r="AW2460" s="508"/>
      <c r="AX2460" s="225"/>
      <c r="AY2460" s="225"/>
      <c r="AZ2460" s="225"/>
      <c r="BA2460" s="225"/>
      <c r="BB2460" s="225"/>
      <c r="BC2460" s="56"/>
      <c r="BD2460" s="56"/>
      <c r="BE2460" s="56"/>
      <c r="BF2460" s="107" t="str">
        <f t="shared" si="1910"/>
        <v>https://www.google.com/search?tbm=isch&amp;q=15%20G3</v>
      </c>
      <c r="BG2460" s="107" t="str">
        <f t="shared" si="1911"/>
        <v>M</v>
      </c>
      <c r="BH2460" s="254"/>
      <c r="BI2460" s="254"/>
    </row>
    <row r="2461" spans="1:61" customFormat="1" ht="15.75" x14ac:dyDescent="0.25">
      <c r="A2461" s="485">
        <v>15</v>
      </c>
      <c r="B2461" s="486" t="s">
        <v>291</v>
      </c>
      <c r="C2461" s="487" t="s">
        <v>4536</v>
      </c>
      <c r="D2461" s="488" t="s">
        <v>299</v>
      </c>
      <c r="E2461" s="489">
        <v>171.95</v>
      </c>
      <c r="F2461" s="516" t="s">
        <v>293</v>
      </c>
      <c r="G2461" s="232">
        <v>0</v>
      </c>
      <c r="H2461" s="658" t="str">
        <f t="shared" si="1915"/>
        <v/>
      </c>
      <c r="I2461" s="490">
        <f t="shared" si="1916"/>
        <v>0</v>
      </c>
      <c r="J2461" s="490">
        <f t="shared" si="1917"/>
        <v>0</v>
      </c>
      <c r="K2461" s="695">
        <f t="shared" ref="K2461" si="1924">I2461+J2461</f>
        <v>0</v>
      </c>
      <c r="L2461" s="695"/>
      <c r="M2461" s="659" t="str">
        <f t="shared" si="1919"/>
        <v/>
      </c>
      <c r="N2461" s="660"/>
      <c r="O2461" s="233"/>
      <c r="P2461" s="233"/>
      <c r="Q2461" s="233"/>
      <c r="R2461" s="233"/>
      <c r="S2461" s="233"/>
      <c r="T2461" s="508">
        <f t="shared" si="1899"/>
        <v>0</v>
      </c>
      <c r="U2461" s="225">
        <f>IF(NOT(ISNUMBER(G2461)), "", VLOOKUP(A2461,'Discount Lookup'!D:E,2,FALSE)*G2461)</f>
        <v>0</v>
      </c>
      <c r="V2461" s="225">
        <f>IF(NOT(ISNUMBER(G2461)), "", VLOOKUP(A2461,'Discount Lookup'!G:H,2,FALSE)*G2461)</f>
        <v>0</v>
      </c>
      <c r="W2461" s="508">
        <f t="shared" si="1900"/>
        <v>0</v>
      </c>
      <c r="X2461" s="508">
        <f t="shared" si="1901"/>
        <v>0</v>
      </c>
      <c r="Y2461" s="509" t="b">
        <f t="shared" si="1902"/>
        <v>0</v>
      </c>
      <c r="Z2461" s="510">
        <f t="shared" si="1903"/>
        <v>0</v>
      </c>
      <c r="AA2461" s="511"/>
      <c r="AB2461" s="511" t="str">
        <f t="shared" si="1904"/>
        <v/>
      </c>
      <c r="AC2461" s="698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698"/>
      <c r="AE2461" s="631" t="str">
        <f t="shared" si="1905"/>
        <v/>
      </c>
      <c r="AF2461" s="699" t="str">
        <f t="shared" si="1906"/>
        <v/>
      </c>
      <c r="AG2461" s="699"/>
      <c r="AH2461" s="699"/>
      <c r="AI2461" s="512">
        <f>IF(H2461="credit",0,IF(AE2461="free",0,IF(AE2461="me",0,IF(G2461&gt;0,(VLOOKUP(A2461,'Discount Lookup'!J:K,2)*G2461),0))))</f>
        <v>0</v>
      </c>
      <c r="AJ2461" s="513" t="str">
        <f t="shared" ca="1" si="1907"/>
        <v/>
      </c>
      <c r="AK2461" s="700" t="str">
        <f t="shared" si="1908"/>
        <v/>
      </c>
      <c r="AL2461" s="700"/>
      <c r="AM2461" s="505" t="str">
        <f t="shared" si="1909"/>
        <v/>
      </c>
      <c r="AN2461" s="506"/>
      <c r="AO2461" s="507"/>
      <c r="AP2461" s="507"/>
      <c r="AQ2461" s="507"/>
      <c r="AR2461" s="507"/>
      <c r="AS2461" s="507"/>
      <c r="AT2461" s="507"/>
      <c r="AU2461" s="507"/>
      <c r="AV2461" s="225"/>
      <c r="AW2461" s="508"/>
      <c r="AX2461" s="225"/>
      <c r="AY2461" s="225"/>
      <c r="AZ2461" s="225"/>
      <c r="BA2461" s="225"/>
      <c r="BB2461" s="225"/>
      <c r="BC2461" s="56"/>
      <c r="BD2461" s="56"/>
      <c r="BE2461" s="56"/>
      <c r="BF2461" s="107" t="str">
        <f t="shared" si="1910"/>
        <v>https://www.google.com/search?tbm=isch&amp;q=15%20G5</v>
      </c>
      <c r="BG2461" s="107" t="str">
        <f t="shared" si="1911"/>
        <v>M</v>
      </c>
      <c r="BH2461" s="254"/>
      <c r="BI2461" s="254"/>
    </row>
    <row r="2462" spans="1:61" customFormat="1" ht="15.75" x14ac:dyDescent="0.25">
      <c r="A2462" s="485">
        <v>15</v>
      </c>
      <c r="B2462" s="486" t="s">
        <v>291</v>
      </c>
      <c r="C2462" s="487" t="s">
        <v>4788</v>
      </c>
      <c r="D2462" s="488" t="s">
        <v>292</v>
      </c>
      <c r="E2462" s="489">
        <v>178.95</v>
      </c>
      <c r="F2462" s="516" t="s">
        <v>293</v>
      </c>
      <c r="G2462" s="232">
        <v>0</v>
      </c>
      <c r="H2462" s="658" t="str">
        <f t="shared" si="1915"/>
        <v/>
      </c>
      <c r="I2462" s="490">
        <f t="shared" si="1916"/>
        <v>0</v>
      </c>
      <c r="J2462" s="490">
        <f t="shared" si="1917"/>
        <v>0</v>
      </c>
      <c r="K2462" s="695">
        <f t="shared" ref="K2462" si="1925">I2462+J2462</f>
        <v>0</v>
      </c>
      <c r="L2462" s="695"/>
      <c r="M2462" s="659" t="str">
        <f t="shared" si="1919"/>
        <v/>
      </c>
      <c r="N2462" s="660"/>
      <c r="O2462" s="233"/>
      <c r="P2462" s="233"/>
      <c r="Q2462" s="233"/>
      <c r="R2462" s="233"/>
      <c r="S2462" s="233"/>
      <c r="T2462" s="508">
        <f t="shared" si="1899"/>
        <v>0</v>
      </c>
      <c r="U2462" s="225">
        <f>IF(NOT(ISNUMBER(G2462)), "", VLOOKUP(A2462,'Discount Lookup'!D:E,2,FALSE)*G2462)</f>
        <v>0</v>
      </c>
      <c r="V2462" s="225">
        <f>IF(NOT(ISNUMBER(G2462)), "", VLOOKUP(A2462,'Discount Lookup'!G:H,2,FALSE)*G2462)</f>
        <v>0</v>
      </c>
      <c r="W2462" s="508">
        <f t="shared" si="1900"/>
        <v>0</v>
      </c>
      <c r="X2462" s="508">
        <f t="shared" si="1901"/>
        <v>0</v>
      </c>
      <c r="Y2462" s="509" t="b">
        <f t="shared" si="1902"/>
        <v>0</v>
      </c>
      <c r="Z2462" s="510">
        <f t="shared" si="1903"/>
        <v>0</v>
      </c>
      <c r="AA2462" s="511"/>
      <c r="AB2462" s="511" t="str">
        <f t="shared" si="1904"/>
        <v/>
      </c>
      <c r="AC2462" s="698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698"/>
      <c r="AE2462" s="631" t="str">
        <f t="shared" si="1905"/>
        <v/>
      </c>
      <c r="AF2462" s="699" t="str">
        <f t="shared" si="1906"/>
        <v/>
      </c>
      <c r="AG2462" s="699"/>
      <c r="AH2462" s="699"/>
      <c r="AI2462" s="512">
        <f>IF(H2462="credit",0,IF(AE2462="free",0,IF(AE2462="me",0,IF(G2462&gt;0,(VLOOKUP(A2462,'Discount Lookup'!J:K,2)*G2462),0))))</f>
        <v>0</v>
      </c>
      <c r="AJ2462" s="513" t="str">
        <f t="shared" ca="1" si="1907"/>
        <v/>
      </c>
      <c r="AK2462" s="700" t="str">
        <f t="shared" si="1908"/>
        <v/>
      </c>
      <c r="AL2462" s="700"/>
      <c r="AM2462" s="505" t="str">
        <f t="shared" si="1909"/>
        <v/>
      </c>
      <c r="AN2462" s="506"/>
      <c r="AO2462" s="507"/>
      <c r="AP2462" s="507"/>
      <c r="AQ2462" s="507"/>
      <c r="AR2462" s="507"/>
      <c r="AS2462" s="507"/>
      <c r="AT2462" s="507"/>
      <c r="AU2462" s="507"/>
      <c r="AV2462" s="225"/>
      <c r="AW2462" s="508"/>
      <c r="AX2462" s="225"/>
      <c r="AY2462" s="225"/>
      <c r="AZ2462" s="225"/>
      <c r="BA2462" s="225"/>
      <c r="BB2462" s="225"/>
      <c r="BC2462" s="56"/>
      <c r="BD2462" s="56"/>
      <c r="BE2462" s="56"/>
      <c r="BF2462" s="107" t="str">
        <f t="shared" si="1910"/>
        <v>https://www.google.com/search?tbm=isch&amp;q=15%20G4</v>
      </c>
      <c r="BG2462" s="107" t="str">
        <f t="shared" si="1911"/>
        <v>M</v>
      </c>
      <c r="BH2462" s="254"/>
      <c r="BI2462" s="254"/>
    </row>
    <row r="2463" spans="1:61" customFormat="1" ht="27" x14ac:dyDescent="0.25">
      <c r="A2463" s="485">
        <v>15</v>
      </c>
      <c r="B2463" s="486" t="s">
        <v>291</v>
      </c>
      <c r="C2463" s="487" t="s">
        <v>4627</v>
      </c>
      <c r="D2463" s="488" t="s">
        <v>292</v>
      </c>
      <c r="E2463" s="489">
        <v>178.95</v>
      </c>
      <c r="F2463" s="516" t="s">
        <v>293</v>
      </c>
      <c r="G2463" s="232">
        <v>0</v>
      </c>
      <c r="H2463" s="658" t="str">
        <f t="shared" si="1915"/>
        <v/>
      </c>
      <c r="I2463" s="490">
        <f t="shared" si="1916"/>
        <v>0</v>
      </c>
      <c r="J2463" s="490">
        <f t="shared" si="1917"/>
        <v>0</v>
      </c>
      <c r="K2463" s="695">
        <f t="shared" ref="K2463" si="1926">I2463+J2463</f>
        <v>0</v>
      </c>
      <c r="L2463" s="695"/>
      <c r="M2463" s="659" t="str">
        <f t="shared" si="1919"/>
        <v/>
      </c>
      <c r="N2463" s="660"/>
      <c r="O2463" s="233"/>
      <c r="P2463" s="233"/>
      <c r="Q2463" s="233"/>
      <c r="R2463" s="233"/>
      <c r="S2463" s="233"/>
      <c r="T2463" s="508">
        <f t="shared" si="1899"/>
        <v>0</v>
      </c>
      <c r="U2463" s="225">
        <f>IF(NOT(ISNUMBER(G2463)), "", VLOOKUP(A2463,'Discount Lookup'!D:E,2,FALSE)*G2463)</f>
        <v>0</v>
      </c>
      <c r="V2463" s="225">
        <f>IF(NOT(ISNUMBER(G2463)), "", VLOOKUP(A2463,'Discount Lookup'!G:H,2,FALSE)*G2463)</f>
        <v>0</v>
      </c>
      <c r="W2463" s="508">
        <f t="shared" si="1900"/>
        <v>0</v>
      </c>
      <c r="X2463" s="508">
        <f t="shared" si="1901"/>
        <v>0</v>
      </c>
      <c r="Y2463" s="509" t="b">
        <f t="shared" si="1902"/>
        <v>0</v>
      </c>
      <c r="Z2463" s="510">
        <f t="shared" si="1903"/>
        <v>0</v>
      </c>
      <c r="AA2463" s="511"/>
      <c r="AB2463" s="511" t="str">
        <f t="shared" si="1904"/>
        <v/>
      </c>
      <c r="AC2463" s="698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698"/>
      <c r="AE2463" s="631" t="str">
        <f t="shared" si="1905"/>
        <v/>
      </c>
      <c r="AF2463" s="699" t="str">
        <f t="shared" si="1906"/>
        <v/>
      </c>
      <c r="AG2463" s="699"/>
      <c r="AH2463" s="699"/>
      <c r="AI2463" s="512">
        <f>IF(H2463="credit",0,IF(AE2463="free",0,IF(AE2463="me",0,IF(G2463&gt;0,(VLOOKUP(A2463,'Discount Lookup'!J:K,2)*G2463),0))))</f>
        <v>0</v>
      </c>
      <c r="AJ2463" s="513" t="str">
        <f t="shared" ca="1" si="1907"/>
        <v/>
      </c>
      <c r="AK2463" s="700" t="str">
        <f t="shared" si="1908"/>
        <v/>
      </c>
      <c r="AL2463" s="700"/>
      <c r="AM2463" s="505" t="str">
        <f t="shared" si="1909"/>
        <v/>
      </c>
      <c r="AN2463" s="506"/>
      <c r="AO2463" s="507"/>
      <c r="AP2463" s="507"/>
      <c r="AQ2463" s="507"/>
      <c r="AR2463" s="507"/>
      <c r="AS2463" s="507"/>
      <c r="AT2463" s="507"/>
      <c r="AU2463" s="507"/>
      <c r="AV2463" s="225"/>
      <c r="AW2463" s="508"/>
      <c r="AX2463" s="225"/>
      <c r="AY2463" s="225"/>
      <c r="AZ2463" s="225"/>
      <c r="BA2463" s="225"/>
      <c r="BB2463" s="225"/>
      <c r="BC2463" s="56"/>
      <c r="BD2463" s="56"/>
      <c r="BE2463" s="56"/>
      <c r="BF2463" s="107" t="str">
        <f t="shared" si="1910"/>
        <v>https://www.google.com/search?tbm=isch&amp;q=15%20G4</v>
      </c>
      <c r="BG2463" s="107" t="str">
        <f t="shared" si="1911"/>
        <v>M</v>
      </c>
      <c r="BH2463" s="254"/>
      <c r="BI2463" s="254"/>
    </row>
    <row r="2464" spans="1:61" customFormat="1" ht="15.75" x14ac:dyDescent="0.25">
      <c r="A2464" s="485">
        <v>30</v>
      </c>
      <c r="B2464" s="486" t="s">
        <v>291</v>
      </c>
      <c r="C2464" s="487" t="s">
        <v>2437</v>
      </c>
      <c r="D2464" s="488" t="s">
        <v>299</v>
      </c>
      <c r="E2464" s="489">
        <v>329.95</v>
      </c>
      <c r="F2464" s="516" t="s">
        <v>293</v>
      </c>
      <c r="G2464" s="232">
        <v>0</v>
      </c>
      <c r="H2464" s="658" t="str">
        <f t="shared" si="1915"/>
        <v/>
      </c>
      <c r="I2464" s="490">
        <f t="shared" si="1916"/>
        <v>0</v>
      </c>
      <c r="J2464" s="490">
        <f t="shared" si="1917"/>
        <v>0</v>
      </c>
      <c r="K2464" s="695">
        <f t="shared" ref="K2464" si="1927">I2464+J2464</f>
        <v>0</v>
      </c>
      <c r="L2464" s="695"/>
      <c r="M2464" s="659" t="str">
        <f t="shared" si="1919"/>
        <v/>
      </c>
      <c r="N2464" s="660"/>
      <c r="O2464" s="233"/>
      <c r="P2464" s="233"/>
      <c r="Q2464" s="233"/>
      <c r="R2464" s="233"/>
      <c r="S2464" s="233"/>
      <c r="T2464" s="508">
        <f t="shared" si="1899"/>
        <v>0</v>
      </c>
      <c r="U2464" s="225">
        <f>IF(NOT(ISNUMBER(G2464)), "", VLOOKUP(A2464,'Discount Lookup'!D:E,2,FALSE)*G2464)</f>
        <v>0</v>
      </c>
      <c r="V2464" s="225">
        <f>IF(NOT(ISNUMBER(G2464)), "", VLOOKUP(A2464,'Discount Lookup'!G:H,2,FALSE)*G2464)</f>
        <v>0</v>
      </c>
      <c r="W2464" s="508">
        <f t="shared" si="1900"/>
        <v>0</v>
      </c>
      <c r="X2464" s="508">
        <f t="shared" si="1901"/>
        <v>0</v>
      </c>
      <c r="Y2464" s="509" t="b">
        <f t="shared" si="1902"/>
        <v>0</v>
      </c>
      <c r="Z2464" s="510">
        <f t="shared" si="1903"/>
        <v>0</v>
      </c>
      <c r="AA2464" s="511"/>
      <c r="AB2464" s="511" t="str">
        <f t="shared" si="1904"/>
        <v/>
      </c>
      <c r="AC2464" s="698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698"/>
      <c r="AE2464" s="631" t="str">
        <f t="shared" si="1905"/>
        <v/>
      </c>
      <c r="AF2464" s="699" t="str">
        <f t="shared" si="1906"/>
        <v/>
      </c>
      <c r="AG2464" s="699"/>
      <c r="AH2464" s="699"/>
      <c r="AI2464" s="512">
        <f>IF(H2464="credit",0,IF(AE2464="free",0,IF(AE2464="me",0,IF(G2464&gt;0,(VLOOKUP(A2464,'Discount Lookup'!J:K,2)*G2464),0))))</f>
        <v>0</v>
      </c>
      <c r="AJ2464" s="513" t="str">
        <f t="shared" ca="1" si="1907"/>
        <v/>
      </c>
      <c r="AK2464" s="700" t="str">
        <f t="shared" si="1908"/>
        <v/>
      </c>
      <c r="AL2464" s="700"/>
      <c r="AM2464" s="505" t="str">
        <f t="shared" si="1909"/>
        <v/>
      </c>
      <c r="AN2464" s="506"/>
      <c r="AO2464" s="507"/>
      <c r="AP2464" s="507"/>
      <c r="AQ2464" s="507"/>
      <c r="AR2464" s="507"/>
      <c r="AS2464" s="507"/>
      <c r="AT2464" s="507"/>
      <c r="AU2464" s="507"/>
      <c r="AV2464" s="225"/>
      <c r="AW2464" s="508"/>
      <c r="AX2464" s="225"/>
      <c r="AY2464" s="225"/>
      <c r="AZ2464" s="225"/>
      <c r="BA2464" s="225"/>
      <c r="BB2464" s="225"/>
      <c r="BC2464" s="56"/>
      <c r="BD2464" s="56"/>
      <c r="BE2464" s="56"/>
      <c r="BF2464" s="107" t="str">
        <f t="shared" si="1910"/>
        <v>https://www.google.com/search?tbm=isch&amp;q=30%20G5</v>
      </c>
      <c r="BG2464" s="107" t="str">
        <f t="shared" si="1911"/>
        <v>M</v>
      </c>
      <c r="BH2464" s="254"/>
      <c r="BI2464" s="254"/>
    </row>
    <row r="2465" spans="1:61" customFormat="1" ht="17.25" thickBot="1" x14ac:dyDescent="0.3">
      <c r="A2465" s="522" t="s">
        <v>2906</v>
      </c>
      <c r="B2465" s="491"/>
      <c r="C2465" s="675"/>
      <c r="D2465" s="491"/>
      <c r="E2465" s="491"/>
      <c r="F2465" s="492"/>
      <c r="G2465" s="493"/>
      <c r="H2465" s="491"/>
      <c r="I2465" s="234"/>
      <c r="J2465" s="234"/>
      <c r="K2465" s="494"/>
      <c r="L2465" s="543"/>
      <c r="M2465" s="561"/>
      <c r="N2465" s="495"/>
      <c r="O2465" s="496"/>
      <c r="P2465" s="497"/>
      <c r="Q2465" s="495"/>
      <c r="R2465" s="495"/>
      <c r="S2465" s="667" t="s">
        <v>5000</v>
      </c>
      <c r="T2465" s="508">
        <f t="shared" si="1899"/>
        <v>0</v>
      </c>
      <c r="U2465" s="225" t="str">
        <f>IF(NOT(ISNUMBER(G2465)), "", VLOOKUP(A2465,'Discount Lookup'!D:E,2,FALSE)*G2465)</f>
        <v/>
      </c>
      <c r="V2465" s="225" t="str">
        <f>IF(NOT(ISNUMBER(G2465)), "", VLOOKUP(A2465,'Discount Lookup'!G:H,2,FALSE)*G2465)</f>
        <v/>
      </c>
      <c r="W2465" s="508">
        <f t="shared" si="1900"/>
        <v>0</v>
      </c>
      <c r="X2465" s="508">
        <f t="shared" si="1901"/>
        <v>0</v>
      </c>
      <c r="Y2465" s="509" t="b">
        <f t="shared" si="1902"/>
        <v>0</v>
      </c>
      <c r="Z2465" s="510">
        <f t="shared" si="1903"/>
        <v>0</v>
      </c>
      <c r="AA2465" s="511"/>
      <c r="AB2465" s="511" t="str">
        <f t="shared" si="1904"/>
        <v/>
      </c>
      <c r="AC2465" s="698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698"/>
      <c r="AE2465" s="631" t="str">
        <f t="shared" si="1905"/>
        <v/>
      </c>
      <c r="AF2465" s="699" t="str">
        <f t="shared" si="1906"/>
        <v/>
      </c>
      <c r="AG2465" s="699"/>
      <c r="AH2465" s="699"/>
      <c r="AI2465" s="512">
        <f>IF(H2465="credit",0,IF(AE2465="free",0,IF(AE2465="me",0,IF(G2465&gt;0,(VLOOKUP(A2465,'Discount Lookup'!J:K,2)*G2465),0))))</f>
        <v>0</v>
      </c>
      <c r="AJ2465" s="513" t="str">
        <f t="shared" ca="1" si="1907"/>
        <v/>
      </c>
      <c r="AK2465" s="700" t="str">
        <f t="shared" si="1908"/>
        <v/>
      </c>
      <c r="AL2465" s="700"/>
      <c r="AM2465" s="505" t="str">
        <f t="shared" si="1909"/>
        <v/>
      </c>
      <c r="AN2465" s="506"/>
      <c r="AO2465" s="507"/>
      <c r="AP2465" s="507"/>
      <c r="AQ2465" s="507"/>
      <c r="AR2465" s="507"/>
      <c r="AS2465" s="507"/>
      <c r="AT2465" s="507"/>
      <c r="AU2465" s="507"/>
      <c r="AV2465" s="225"/>
      <c r="AW2465" s="508"/>
      <c r="AX2465" s="225"/>
      <c r="AY2465" s="225"/>
      <c r="AZ2465" s="225"/>
      <c r="BA2465" s="225"/>
      <c r="BB2465" s="225"/>
      <c r="BC2465" s="56"/>
      <c r="BD2465" s="56"/>
      <c r="BE2465" s="56"/>
      <c r="BF2465" s="107" t="str">
        <f t="shared" si="1910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465" s="107" t="str">
        <f t="shared" si="1911"/>
        <v>M</v>
      </c>
      <c r="BH2465" s="254"/>
      <c r="BI2465" s="254"/>
    </row>
    <row r="2466" spans="1:61" customFormat="1" ht="18" x14ac:dyDescent="0.25">
      <c r="A2466" s="521" t="s">
        <v>5457</v>
      </c>
      <c r="B2466" s="477"/>
      <c r="C2466" s="674"/>
      <c r="D2466" s="478" t="s">
        <v>1357</v>
      </c>
      <c r="E2466" s="479"/>
      <c r="F2466" s="479"/>
      <c r="G2466" s="479"/>
      <c r="H2466" s="582" t="s">
        <v>443</v>
      </c>
      <c r="I2466" s="480" t="s">
        <v>2888</v>
      </c>
      <c r="J2466" s="479"/>
      <c r="K2466" s="479"/>
      <c r="L2466" s="560"/>
      <c r="M2466" s="671" t="s">
        <v>4985</v>
      </c>
      <c r="N2466" s="680" t="str">
        <f>IF(AND(ISTEXT($A2466), ISERROR($A2466+0)), HYPERLINK($BF2466, "Images"), "")</f>
        <v>Images</v>
      </c>
      <c r="O2466" s="662" t="s">
        <v>4969</v>
      </c>
      <c r="P2466" s="482"/>
      <c r="Q2466" s="483"/>
      <c r="R2466" s="483"/>
      <c r="S2466" s="484"/>
      <c r="T2466" s="508">
        <f t="shared" si="1899"/>
        <v>0</v>
      </c>
      <c r="U2466" s="225" t="str">
        <f>IF(NOT(ISNUMBER(G2466)), "", VLOOKUP(A2466,'Discount Lookup'!D:E,2,FALSE)*G2466)</f>
        <v/>
      </c>
      <c r="V2466" s="225" t="str">
        <f>IF(NOT(ISNUMBER(G2466)), "", VLOOKUP(A2466,'Discount Lookup'!G:H,2,FALSE)*G2466)</f>
        <v/>
      </c>
      <c r="W2466" s="508">
        <f t="shared" si="1900"/>
        <v>0</v>
      </c>
      <c r="X2466" s="508" t="str">
        <f t="shared" si="1901"/>
        <v>Green &amp; Yellow foliage</v>
      </c>
      <c r="Y2466" s="509" t="b">
        <f t="shared" si="1902"/>
        <v>0</v>
      </c>
      <c r="Z2466" s="510">
        <f t="shared" si="1903"/>
        <v>0</v>
      </c>
      <c r="AA2466" s="511"/>
      <c r="AB2466" s="511" t="str">
        <f t="shared" si="1904"/>
        <v/>
      </c>
      <c r="AC2466" s="698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698"/>
      <c r="AE2466" s="631" t="str">
        <f t="shared" si="1905"/>
        <v/>
      </c>
      <c r="AF2466" s="699" t="str">
        <f t="shared" si="1906"/>
        <v/>
      </c>
      <c r="AG2466" s="699"/>
      <c r="AH2466" s="699"/>
      <c r="AI2466" s="512">
        <f>IF(H2466="credit",0,IF(AE2466="free",0,IF(AE2466="me",0,IF(G2466&gt;0,(VLOOKUP(A2466,'Discount Lookup'!J:K,2)*G2466),0))))</f>
        <v>0</v>
      </c>
      <c r="AJ2466" s="513" t="str">
        <f t="shared" ca="1" si="1907"/>
        <v/>
      </c>
      <c r="AK2466" s="700" t="str">
        <f t="shared" si="1908"/>
        <v/>
      </c>
      <c r="AL2466" s="700"/>
      <c r="AM2466" s="505" t="str">
        <f t="shared" si="1909"/>
        <v/>
      </c>
      <c r="AN2466" s="506"/>
      <c r="AO2466" s="507"/>
      <c r="AP2466" s="507"/>
      <c r="AQ2466" s="507"/>
      <c r="AR2466" s="507"/>
      <c r="AS2466" s="507"/>
      <c r="AT2466" s="507"/>
      <c r="AU2466" s="507"/>
      <c r="AV2466" s="225"/>
      <c r="AW2466" s="508"/>
      <c r="AX2466" s="225"/>
      <c r="AY2466" s="225"/>
      <c r="AZ2466" s="225"/>
      <c r="BA2466" s="225"/>
      <c r="BB2466" s="225"/>
      <c r="BC2466" s="56"/>
      <c r="BD2466" s="56"/>
      <c r="BE2466" s="56"/>
      <c r="BF2466" s="107" t="str">
        <f t="shared" si="1910"/>
        <v>https://www.google.com/search?tbm=isch&amp;q=Mojo%C2%AE%20Pittosporum%20Pittosporum%20tobira%20%27CNI%20Three%27%20PP%2316188</v>
      </c>
      <c r="BG2466" s="107" t="str">
        <f t="shared" si="1911"/>
        <v>M</v>
      </c>
      <c r="BH2466" s="254"/>
      <c r="BI2466" s="254"/>
    </row>
    <row r="2467" spans="1:61" customFormat="1" ht="15.75" x14ac:dyDescent="0.25">
      <c r="A2467" s="485">
        <v>1</v>
      </c>
      <c r="B2467" s="486" t="s">
        <v>291</v>
      </c>
      <c r="C2467" s="487" t="s">
        <v>4917</v>
      </c>
      <c r="D2467" s="488" t="s">
        <v>312</v>
      </c>
      <c r="E2467" s="489">
        <v>33.950000000000003</v>
      </c>
      <c r="F2467" s="516" t="s">
        <v>293</v>
      </c>
      <c r="G2467" s="232">
        <v>0</v>
      </c>
      <c r="H2467" s="658" t="str">
        <f>IF(G2467=0,"",IF(F2467="Buy",IF(G2467=1,"plant","plants"),IF(F2467&gt;0.01,"warranty","Error")))</f>
        <v/>
      </c>
      <c r="I2467" s="490">
        <f>IF(H2467="free",0,IF(H2467="credit",((E2467*(F2467))*G2467*-1),IF(F2467="Buy",(E2467*G2467),((E2467*(1-F2467))*G2467))))</f>
        <v>0</v>
      </c>
      <c r="J2467" s="490">
        <f>IF(H2467="warranty",0,(I2467*(_xlfn.SINGLE(SalesTaxPercentage))))</f>
        <v>0</v>
      </c>
      <c r="K2467" s="695">
        <f t="shared" ref="K2467" si="1928">I2467+J2467</f>
        <v>0</v>
      </c>
      <c r="L2467" s="695"/>
      <c r="M2467" s="659" t="str">
        <f>IF(AND(G2467&gt;0,E2467=0),"WARNING - no PRICE inserted",IF(H2467="free"," FREE ~ no charge this plant",IF(H2467="credit",CONCATENATE(" -$",ROUND(K2467*(1-T2GDiscount)*-1,2)," CREDIT after discount"),IF(T2GDiscount=0,"",IF(G2467=0,"",IF(F2467="Buy",CONCATENATE(" $",ROUND(K2467*(1-T2GDiscount),2)," with ",(T2GDiscount*100),"% discount"),CONCATENATE(" $",ROUND(K2467*(1-T2GDiscount),2)," with ",((T2GDiscount*100+F2467*100)-(T2GDiscount*100*F2467)),IF(F2467&gt;0,"% discounts",IF(NoWarrantyDiscount&gt;0,"% discounts","% discount")))))))))</f>
        <v/>
      </c>
      <c r="N2467" s="660"/>
      <c r="O2467" s="233"/>
      <c r="P2467" s="233"/>
      <c r="Q2467" s="233"/>
      <c r="R2467" s="233"/>
      <c r="S2467" s="233"/>
      <c r="T2467" s="508">
        <f t="shared" si="1899"/>
        <v>0</v>
      </c>
      <c r="U2467" s="225">
        <f>IF(NOT(ISNUMBER(G2467)), "", VLOOKUP(A2467,'Discount Lookup'!D:E,2,FALSE)*G2467)</f>
        <v>0</v>
      </c>
      <c r="V2467" s="225">
        <f>IF(NOT(ISNUMBER(G2467)), "", VLOOKUP(A2467,'Discount Lookup'!G:H,2,FALSE)*G2467)</f>
        <v>0</v>
      </c>
      <c r="W2467" s="508">
        <f t="shared" si="1900"/>
        <v>0</v>
      </c>
      <c r="X2467" s="508">
        <f t="shared" si="1901"/>
        <v>0</v>
      </c>
      <c r="Y2467" s="509" t="b">
        <f t="shared" si="1902"/>
        <v>0</v>
      </c>
      <c r="Z2467" s="510">
        <f t="shared" si="1903"/>
        <v>0</v>
      </c>
      <c r="AA2467" s="511"/>
      <c r="AB2467" s="511" t="str">
        <f t="shared" si="1904"/>
        <v/>
      </c>
      <c r="AC2467" s="698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698"/>
      <c r="AE2467" s="631" t="str">
        <f t="shared" si="1905"/>
        <v/>
      </c>
      <c r="AF2467" s="699" t="str">
        <f t="shared" si="1906"/>
        <v/>
      </c>
      <c r="AG2467" s="699"/>
      <c r="AH2467" s="699"/>
      <c r="AI2467" s="512">
        <f>IF(H2467="credit",0,IF(AE2467="free",0,IF(AE2467="me",0,IF(G2467&gt;0,(VLOOKUP(A2467,'Discount Lookup'!J:K,2)*G2467),0))))</f>
        <v>0</v>
      </c>
      <c r="AJ2467" s="513" t="str">
        <f t="shared" ca="1" si="1907"/>
        <v/>
      </c>
      <c r="AK2467" s="700" t="str">
        <f t="shared" si="1908"/>
        <v/>
      </c>
      <c r="AL2467" s="700"/>
      <c r="AM2467" s="505" t="str">
        <f t="shared" si="1909"/>
        <v/>
      </c>
      <c r="AN2467" s="506"/>
      <c r="AO2467" s="507"/>
      <c r="AP2467" s="507"/>
      <c r="AQ2467" s="507"/>
      <c r="AR2467" s="507"/>
      <c r="AS2467" s="507"/>
      <c r="AT2467" s="507"/>
      <c r="AU2467" s="507"/>
      <c r="AV2467" s="225"/>
      <c r="AW2467" s="508"/>
      <c r="AX2467" s="225"/>
      <c r="AY2467" s="225"/>
      <c r="AZ2467" s="225"/>
      <c r="BA2467" s="225"/>
      <c r="BB2467" s="225"/>
      <c r="BC2467" s="56"/>
      <c r="BD2467" s="56"/>
      <c r="BE2467" s="56"/>
      <c r="BF2467" s="107" t="str">
        <f t="shared" si="1910"/>
        <v>https://www.google.com/search?tbm=isch&amp;q=1%20G2</v>
      </c>
      <c r="BG2467" s="107" t="str">
        <f t="shared" si="1911"/>
        <v>M</v>
      </c>
      <c r="BH2467" s="254"/>
      <c r="BI2467" s="254"/>
    </row>
    <row r="2468" spans="1:61" customFormat="1" ht="15.75" x14ac:dyDescent="0.25">
      <c r="A2468" s="485">
        <v>3</v>
      </c>
      <c r="B2468" s="486" t="s">
        <v>291</v>
      </c>
      <c r="C2468" s="487" t="s">
        <v>501</v>
      </c>
      <c r="D2468" s="488" t="s">
        <v>312</v>
      </c>
      <c r="E2468" s="489">
        <v>43.95</v>
      </c>
      <c r="F2468" s="516" t="s">
        <v>293</v>
      </c>
      <c r="G2468" s="232">
        <v>0</v>
      </c>
      <c r="H2468" s="658" t="str">
        <f>IF(G2468=0,"",IF(F2468="Buy",IF(G2468=1,"plant","plants"),IF(F2468&gt;0.01,"warranty","Error")))</f>
        <v/>
      </c>
      <c r="I2468" s="490">
        <f>IF(H2468="free",0,IF(H2468="credit",((E2468*(F2468))*G2468*-1),IF(F2468="Buy",(E2468*G2468),((E2468*(1-F2468))*G2468))))</f>
        <v>0</v>
      </c>
      <c r="J2468" s="490">
        <f>IF(H2468="warranty",0,(I2468*(_xlfn.SINGLE(SalesTaxPercentage))))</f>
        <v>0</v>
      </c>
      <c r="K2468" s="695">
        <f t="shared" ref="K2468" si="1929">I2468+J2468</f>
        <v>0</v>
      </c>
      <c r="L2468" s="695"/>
      <c r="M2468" s="659" t="str">
        <f>IF(AND(G2468&gt;0,E2468=0),"WARNING - no PRICE inserted",IF(H2468="free"," FREE ~ no charge this plant",IF(H2468="credit",CONCATENATE(" -$",ROUND(K2468*(1-T2GDiscount)*-1,2)," CREDIT after discount"),IF(T2GDiscount=0,"",IF(G2468=0,"",IF(F2468="Buy",CONCATENATE(" $",ROUND(K2468*(1-T2GDiscount),2)," with ",(T2GDiscount*100),"% discount"),CONCATENATE(" $",ROUND(K2468*(1-T2GDiscount),2)," with ",((T2GDiscount*100+F2468*100)-(T2GDiscount*100*F2468)),IF(F2468&gt;0,"% discounts",IF(NoWarrantyDiscount&gt;0,"% discounts","% discount")))))))))</f>
        <v/>
      </c>
      <c r="N2468" s="660"/>
      <c r="O2468" s="233"/>
      <c r="P2468" s="233"/>
      <c r="Q2468" s="233"/>
      <c r="R2468" s="233"/>
      <c r="S2468" s="233"/>
      <c r="T2468" s="508">
        <f t="shared" si="1899"/>
        <v>0</v>
      </c>
      <c r="U2468" s="225">
        <f>IF(NOT(ISNUMBER(G2468)), "", VLOOKUP(A2468,'Discount Lookup'!D:E,2,FALSE)*G2468)</f>
        <v>0</v>
      </c>
      <c r="V2468" s="225">
        <f>IF(NOT(ISNUMBER(G2468)), "", VLOOKUP(A2468,'Discount Lookup'!G:H,2,FALSE)*G2468)</f>
        <v>0</v>
      </c>
      <c r="W2468" s="508">
        <f t="shared" si="1900"/>
        <v>0</v>
      </c>
      <c r="X2468" s="508">
        <f t="shared" si="1901"/>
        <v>0</v>
      </c>
      <c r="Y2468" s="509" t="b">
        <f t="shared" si="1902"/>
        <v>0</v>
      </c>
      <c r="Z2468" s="510">
        <f t="shared" si="1903"/>
        <v>0</v>
      </c>
      <c r="AA2468" s="511"/>
      <c r="AB2468" s="511" t="str">
        <f t="shared" si="1904"/>
        <v/>
      </c>
      <c r="AC2468" s="698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698"/>
      <c r="AE2468" s="631" t="str">
        <f t="shared" si="1905"/>
        <v/>
      </c>
      <c r="AF2468" s="699" t="str">
        <f t="shared" si="1906"/>
        <v/>
      </c>
      <c r="AG2468" s="699"/>
      <c r="AH2468" s="699"/>
      <c r="AI2468" s="512">
        <f>IF(H2468="credit",0,IF(AE2468="free",0,IF(AE2468="me",0,IF(G2468&gt;0,(VLOOKUP(A2468,'Discount Lookup'!J:K,2)*G2468),0))))</f>
        <v>0</v>
      </c>
      <c r="AJ2468" s="513" t="str">
        <f t="shared" ca="1" si="1907"/>
        <v/>
      </c>
      <c r="AK2468" s="700" t="str">
        <f t="shared" si="1908"/>
        <v/>
      </c>
      <c r="AL2468" s="700"/>
      <c r="AM2468" s="505" t="str">
        <f t="shared" si="1909"/>
        <v/>
      </c>
      <c r="AN2468" s="506"/>
      <c r="AO2468" s="507"/>
      <c r="AP2468" s="507"/>
      <c r="AQ2468" s="507"/>
      <c r="AR2468" s="507"/>
      <c r="AS2468" s="507"/>
      <c r="AT2468" s="507"/>
      <c r="AU2468" s="507"/>
      <c r="AV2468" s="225"/>
      <c r="AW2468" s="508"/>
      <c r="AX2468" s="225"/>
      <c r="AY2468" s="225"/>
      <c r="AZ2468" s="225"/>
      <c r="BA2468" s="225"/>
      <c r="BB2468" s="225"/>
      <c r="BC2468" s="56"/>
      <c r="BD2468" s="56"/>
      <c r="BE2468" s="56"/>
      <c r="BF2468" s="107" t="str">
        <f t="shared" si="1910"/>
        <v>https://www.google.com/search?tbm=isch&amp;q=3%20G2</v>
      </c>
      <c r="BG2468" s="107" t="str">
        <f t="shared" si="1911"/>
        <v>M</v>
      </c>
      <c r="BH2468" s="254"/>
      <c r="BI2468" s="254"/>
    </row>
    <row r="2469" spans="1:61" customFormat="1" ht="16.5" thickBot="1" x14ac:dyDescent="0.3">
      <c r="A2469" s="522" t="s">
        <v>4127</v>
      </c>
      <c r="B2469" s="491"/>
      <c r="C2469" s="675"/>
      <c r="D2469" s="491"/>
      <c r="E2469" s="491"/>
      <c r="F2469" s="492"/>
      <c r="G2469" s="493"/>
      <c r="H2469" s="491"/>
      <c r="I2469" s="234"/>
      <c r="J2469" s="234"/>
      <c r="K2469" s="494"/>
      <c r="L2469" s="543"/>
      <c r="M2469" s="561"/>
      <c r="N2469" s="495"/>
      <c r="O2469" s="496"/>
      <c r="P2469" s="497"/>
      <c r="Q2469" s="495"/>
      <c r="R2469" s="495"/>
      <c r="S2469" s="667" t="s">
        <v>4968</v>
      </c>
      <c r="T2469" s="508">
        <f t="shared" si="1899"/>
        <v>0</v>
      </c>
      <c r="U2469" s="225" t="str">
        <f>IF(NOT(ISNUMBER(G2469)), "", VLOOKUP(A2469,'Discount Lookup'!D:E,2,FALSE)*G2469)</f>
        <v/>
      </c>
      <c r="V2469" s="225" t="str">
        <f>IF(NOT(ISNUMBER(G2469)), "", VLOOKUP(A2469,'Discount Lookup'!G:H,2,FALSE)*G2469)</f>
        <v/>
      </c>
      <c r="W2469" s="508">
        <f t="shared" si="1900"/>
        <v>0</v>
      </c>
      <c r="X2469" s="508">
        <f t="shared" si="1901"/>
        <v>0</v>
      </c>
      <c r="Y2469" s="509" t="b">
        <f t="shared" si="1902"/>
        <v>0</v>
      </c>
      <c r="Z2469" s="510">
        <f t="shared" si="1903"/>
        <v>0</v>
      </c>
      <c r="AA2469" s="511"/>
      <c r="AB2469" s="511" t="str">
        <f t="shared" si="1904"/>
        <v/>
      </c>
      <c r="AC2469" s="698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698"/>
      <c r="AE2469" s="631" t="str">
        <f t="shared" si="1905"/>
        <v/>
      </c>
      <c r="AF2469" s="699" t="str">
        <f t="shared" si="1906"/>
        <v/>
      </c>
      <c r="AG2469" s="699"/>
      <c r="AH2469" s="699"/>
      <c r="AI2469" s="512">
        <f>IF(H2469="credit",0,IF(AE2469="free",0,IF(AE2469="me",0,IF(G2469&gt;0,(VLOOKUP(A2469,'Discount Lookup'!J:K,2)*G2469),0))))</f>
        <v>0</v>
      </c>
      <c r="AJ2469" s="513" t="str">
        <f t="shared" ca="1" si="1907"/>
        <v/>
      </c>
      <c r="AK2469" s="700" t="str">
        <f t="shared" si="1908"/>
        <v/>
      </c>
      <c r="AL2469" s="700"/>
      <c r="AM2469" s="505" t="str">
        <f t="shared" si="1909"/>
        <v/>
      </c>
      <c r="AN2469" s="506"/>
      <c r="AO2469" s="507"/>
      <c r="AP2469" s="507"/>
      <c r="AQ2469" s="507"/>
      <c r="AR2469" s="507"/>
      <c r="AS2469" s="507"/>
      <c r="AT2469" s="507"/>
      <c r="AU2469" s="507"/>
      <c r="AV2469" s="225"/>
      <c r="AW2469" s="508"/>
      <c r="AX2469" s="225"/>
      <c r="AY2469" s="225"/>
      <c r="AZ2469" s="225"/>
      <c r="BA2469" s="225"/>
      <c r="BB2469" s="225"/>
      <c r="BC2469" s="56"/>
      <c r="BD2469" s="56"/>
      <c r="BE2469" s="56"/>
      <c r="BF2469" s="107" t="str">
        <f t="shared" si="1910"/>
        <v>https://www.google.com/search?tbm=isch&amp;q=Mojo%20dense%2C%20variegated%20foliage%20adds%20a%20consistent%20splash%20of%20color.%20Fragrant%20Creamy-White%20spring%20blooms%20smell%20like%20Orange%20blossoms%20</v>
      </c>
      <c r="BG2469" s="107" t="str">
        <f t="shared" si="1911"/>
        <v>M</v>
      </c>
      <c r="BH2469" s="254"/>
      <c r="BI2469" s="254"/>
    </row>
    <row r="2470" spans="1:61" customFormat="1" ht="18" x14ac:dyDescent="0.25">
      <c r="A2470" s="521" t="s">
        <v>5458</v>
      </c>
      <c r="B2470" s="477"/>
      <c r="C2470" s="674"/>
      <c r="D2470" s="478" t="s">
        <v>1358</v>
      </c>
      <c r="E2470" s="479"/>
      <c r="F2470" s="479"/>
      <c r="G2470" s="479"/>
      <c r="H2470" s="582" t="s">
        <v>407</v>
      </c>
      <c r="I2470" s="480" t="s">
        <v>2861</v>
      </c>
      <c r="J2470" s="479"/>
      <c r="K2470" s="479"/>
      <c r="L2470" s="560"/>
      <c r="M2470" s="666" t="s">
        <v>4966</v>
      </c>
      <c r="N2470" s="680" t="str">
        <f>IF(AND(ISTEXT($A2470), ISERROR($A2470+0)), HYPERLINK($BF2470, "Images"), "")</f>
        <v>Images</v>
      </c>
      <c r="O2470" s="662" t="s">
        <v>4969</v>
      </c>
      <c r="P2470" s="482"/>
      <c r="Q2470" s="483"/>
      <c r="R2470" s="483"/>
      <c r="S2470" s="484"/>
      <c r="T2470" s="508">
        <f t="shared" si="1899"/>
        <v>0</v>
      </c>
      <c r="U2470" s="225" t="str">
        <f>IF(NOT(ISNUMBER(G2470)), "", VLOOKUP(A2470,'Discount Lookup'!D:E,2,FALSE)*G2470)</f>
        <v/>
      </c>
      <c r="V2470" s="225" t="str">
        <f>IF(NOT(ISNUMBER(G2470)), "", VLOOKUP(A2470,'Discount Lookup'!G:H,2,FALSE)*G2470)</f>
        <v/>
      </c>
      <c r="W2470" s="508">
        <f t="shared" si="1900"/>
        <v>0</v>
      </c>
      <c r="X2470" s="508" t="str">
        <f t="shared" si="1901"/>
        <v>Dark Blue-Green</v>
      </c>
      <c r="Y2470" s="509" t="b">
        <f t="shared" si="1902"/>
        <v>0</v>
      </c>
      <c r="Z2470" s="510">
        <f t="shared" si="1903"/>
        <v>0</v>
      </c>
      <c r="AA2470" s="511"/>
      <c r="AB2470" s="511" t="str">
        <f t="shared" si="1904"/>
        <v/>
      </c>
      <c r="AC2470" s="698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698"/>
      <c r="AE2470" s="631" t="str">
        <f t="shared" si="1905"/>
        <v/>
      </c>
      <c r="AF2470" s="699" t="str">
        <f t="shared" si="1906"/>
        <v/>
      </c>
      <c r="AG2470" s="699"/>
      <c r="AH2470" s="699"/>
      <c r="AI2470" s="512">
        <f>IF(H2470="credit",0,IF(AE2470="free",0,IF(AE2470="me",0,IF(G2470&gt;0,(VLOOKUP(A2470,'Discount Lookup'!J:K,2)*G2470),0))))</f>
        <v>0</v>
      </c>
      <c r="AJ2470" s="513" t="str">
        <f t="shared" ca="1" si="1907"/>
        <v/>
      </c>
      <c r="AK2470" s="700" t="str">
        <f t="shared" si="1908"/>
        <v/>
      </c>
      <c r="AL2470" s="700"/>
      <c r="AM2470" s="505" t="str">
        <f t="shared" si="1909"/>
        <v/>
      </c>
      <c r="AN2470" s="506"/>
      <c r="AO2470" s="507"/>
      <c r="AP2470" s="507"/>
      <c r="AQ2470" s="507"/>
      <c r="AR2470" s="507"/>
      <c r="AS2470" s="507"/>
      <c r="AT2470" s="507"/>
      <c r="AU2470" s="507"/>
      <c r="AV2470" s="225"/>
      <c r="AW2470" s="508"/>
      <c r="AX2470" s="225"/>
      <c r="AY2470" s="225"/>
      <c r="AZ2470" s="225"/>
      <c r="BA2470" s="225"/>
      <c r="BB2470" s="225"/>
      <c r="BC2470" s="56"/>
      <c r="BD2470" s="56"/>
      <c r="BE2470" s="56"/>
      <c r="BF2470" s="107" t="str">
        <f t="shared" si="1910"/>
        <v>https://www.google.com/search?tbm=isch&amp;q=Monarch%E2%84%A2%20Holly%20Ilex%20%27EN-6%27%20PPAF</v>
      </c>
      <c r="BG2470" s="107" t="str">
        <f t="shared" si="1911"/>
        <v>M</v>
      </c>
      <c r="BH2470" s="254"/>
      <c r="BI2470" s="254"/>
    </row>
    <row r="2471" spans="1:61" customFormat="1" ht="15.75" x14ac:dyDescent="0.25">
      <c r="A2471" s="485">
        <v>15</v>
      </c>
      <c r="B2471" s="486" t="s">
        <v>291</v>
      </c>
      <c r="C2471" s="487" t="s">
        <v>3647</v>
      </c>
      <c r="D2471" s="488" t="s">
        <v>292</v>
      </c>
      <c r="E2471" s="489">
        <v>270.95</v>
      </c>
      <c r="F2471" s="516" t="s">
        <v>293</v>
      </c>
      <c r="G2471" s="232">
        <v>0</v>
      </c>
      <c r="H2471" s="658" t="str">
        <f>IF(G2471=0,"",IF(F2471="Buy",IF(G2471=1,"plant","plants"),IF(F2471&gt;0.01,"warranty","Error")))</f>
        <v/>
      </c>
      <c r="I2471" s="490">
        <f>IF(H2471="free",0,IF(H2471="credit",((E2471*(F2471))*G2471*-1),IF(F2471="Buy",(E2471*G2471),((E2471*(1-F2471))*G2471))))</f>
        <v>0</v>
      </c>
      <c r="J2471" s="490">
        <f>IF(H2471="warranty",0,(I2471*(_xlfn.SINGLE(SalesTaxPercentage))))</f>
        <v>0</v>
      </c>
      <c r="K2471" s="695">
        <f t="shared" ref="K2471" si="1930">I2471+J2471</f>
        <v>0</v>
      </c>
      <c r="L2471" s="695"/>
      <c r="M2471" s="659" t="str">
        <f>IF(AND(G2471&gt;0,E2471=0),"WARNING - no PRICE inserted",IF(H2471="free"," FREE ~ no charge this plant",IF(H2471="credit",CONCATENATE(" -$",ROUND(K2471*(1-T2GDiscount)*-1,2)," CREDIT after discount"),IF(T2GDiscount=0,"",IF(G2471=0,"",IF(F2471="Buy",CONCATENATE(" $",ROUND(K2471*(1-T2GDiscount),2)," with ",(T2GDiscount*100),"% discount"),CONCATENATE(" $",ROUND(K2471*(1-T2GDiscount),2)," with ",((T2GDiscount*100+F2471*100)-(T2GDiscount*100*F2471)),IF(F2471&gt;0,"% discounts",IF(NoWarrantyDiscount&gt;0,"% discounts","% discount")))))))))</f>
        <v/>
      </c>
      <c r="N2471" s="660"/>
      <c r="O2471" s="233"/>
      <c r="P2471" s="233"/>
      <c r="Q2471" s="233"/>
      <c r="R2471" s="233"/>
      <c r="S2471" s="233"/>
      <c r="T2471" s="508">
        <f t="shared" si="1899"/>
        <v>0</v>
      </c>
      <c r="U2471" s="225">
        <f>IF(NOT(ISNUMBER(G2471)), "", VLOOKUP(A2471,'Discount Lookup'!D:E,2,FALSE)*G2471)</f>
        <v>0</v>
      </c>
      <c r="V2471" s="225">
        <f>IF(NOT(ISNUMBER(G2471)), "", VLOOKUP(A2471,'Discount Lookup'!G:H,2,FALSE)*G2471)</f>
        <v>0</v>
      </c>
      <c r="W2471" s="508">
        <f t="shared" si="1900"/>
        <v>0</v>
      </c>
      <c r="X2471" s="508">
        <f t="shared" si="1901"/>
        <v>0</v>
      </c>
      <c r="Y2471" s="509" t="b">
        <f t="shared" si="1902"/>
        <v>0</v>
      </c>
      <c r="Z2471" s="510">
        <f t="shared" si="1903"/>
        <v>0</v>
      </c>
      <c r="AA2471" s="511"/>
      <c r="AB2471" s="511" t="str">
        <f t="shared" si="1904"/>
        <v/>
      </c>
      <c r="AC2471" s="698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698"/>
      <c r="AE2471" s="631" t="str">
        <f t="shared" si="1905"/>
        <v/>
      </c>
      <c r="AF2471" s="699" t="str">
        <f t="shared" si="1906"/>
        <v/>
      </c>
      <c r="AG2471" s="699"/>
      <c r="AH2471" s="699"/>
      <c r="AI2471" s="512">
        <f>IF(H2471="credit",0,IF(AE2471="free",0,IF(AE2471="me",0,IF(G2471&gt;0,(VLOOKUP(A2471,'Discount Lookup'!J:K,2)*G2471),0))))</f>
        <v>0</v>
      </c>
      <c r="AJ2471" s="513" t="str">
        <f t="shared" ca="1" si="1907"/>
        <v/>
      </c>
      <c r="AK2471" s="700" t="str">
        <f t="shared" si="1908"/>
        <v/>
      </c>
      <c r="AL2471" s="700"/>
      <c r="AM2471" s="505" t="str">
        <f t="shared" si="1909"/>
        <v/>
      </c>
      <c r="AN2471" s="506"/>
      <c r="AO2471" s="507"/>
      <c r="AP2471" s="507"/>
      <c r="AQ2471" s="507"/>
      <c r="AR2471" s="507"/>
      <c r="AS2471" s="507"/>
      <c r="AT2471" s="507"/>
      <c r="AU2471" s="507"/>
      <c r="AV2471" s="225"/>
      <c r="AW2471" s="508"/>
      <c r="AX2471" s="225"/>
      <c r="AY2471" s="225"/>
      <c r="AZ2471" s="225"/>
      <c r="BA2471" s="225"/>
      <c r="BB2471" s="225"/>
      <c r="BC2471" s="56"/>
      <c r="BD2471" s="56"/>
      <c r="BE2471" s="56"/>
      <c r="BF2471" s="107" t="str">
        <f t="shared" si="1910"/>
        <v>https://www.google.com/search?tbm=isch&amp;q=15%20G4</v>
      </c>
      <c r="BG2471" s="107" t="str">
        <f t="shared" si="1911"/>
        <v>M</v>
      </c>
      <c r="BH2471" s="254"/>
      <c r="BI2471" s="254"/>
    </row>
    <row r="2472" spans="1:61" customFormat="1" ht="17.25" thickBot="1" x14ac:dyDescent="0.3">
      <c r="A2472" s="522" t="s">
        <v>4128</v>
      </c>
      <c r="B2472" s="491"/>
      <c r="C2472" s="675"/>
      <c r="D2472" s="491"/>
      <c r="E2472" s="491"/>
      <c r="F2472" s="492"/>
      <c r="G2472" s="493"/>
      <c r="H2472" s="491"/>
      <c r="I2472" s="234"/>
      <c r="J2472" s="234"/>
      <c r="K2472" s="494"/>
      <c r="L2472" s="543"/>
      <c r="M2472" s="561"/>
      <c r="N2472" s="495"/>
      <c r="O2472" s="496"/>
      <c r="P2472" s="497"/>
      <c r="Q2472" s="495"/>
      <c r="R2472" s="495"/>
      <c r="S2472" s="667" t="s">
        <v>4984</v>
      </c>
      <c r="T2472" s="508">
        <f t="shared" si="1899"/>
        <v>0</v>
      </c>
      <c r="U2472" s="225" t="str">
        <f>IF(NOT(ISNUMBER(G2472)), "", VLOOKUP(A2472,'Discount Lookup'!D:E,2,FALSE)*G2472)</f>
        <v/>
      </c>
      <c r="V2472" s="225" t="str">
        <f>IF(NOT(ISNUMBER(G2472)), "", VLOOKUP(A2472,'Discount Lookup'!G:H,2,FALSE)*G2472)</f>
        <v/>
      </c>
      <c r="W2472" s="508">
        <f t="shared" si="1900"/>
        <v>0</v>
      </c>
      <c r="X2472" s="508">
        <f t="shared" si="1901"/>
        <v>0</v>
      </c>
      <c r="Y2472" s="509" t="b">
        <f t="shared" si="1902"/>
        <v>0</v>
      </c>
      <c r="Z2472" s="510">
        <f t="shared" si="1903"/>
        <v>0</v>
      </c>
      <c r="AA2472" s="511"/>
      <c r="AB2472" s="511" t="str">
        <f t="shared" si="1904"/>
        <v/>
      </c>
      <c r="AC2472" s="698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698"/>
      <c r="AE2472" s="631" t="str">
        <f t="shared" si="1905"/>
        <v/>
      </c>
      <c r="AF2472" s="699" t="str">
        <f t="shared" si="1906"/>
        <v/>
      </c>
      <c r="AG2472" s="699"/>
      <c r="AH2472" s="699"/>
      <c r="AI2472" s="512">
        <f>IF(H2472="credit",0,IF(AE2472="free",0,IF(AE2472="me",0,IF(G2472&gt;0,(VLOOKUP(A2472,'Discount Lookup'!J:K,2)*G2472),0))))</f>
        <v>0</v>
      </c>
      <c r="AJ2472" s="513" t="str">
        <f t="shared" ca="1" si="1907"/>
        <v/>
      </c>
      <c r="AK2472" s="700" t="str">
        <f t="shared" si="1908"/>
        <v/>
      </c>
      <c r="AL2472" s="700"/>
      <c r="AM2472" s="505" t="str">
        <f t="shared" si="1909"/>
        <v/>
      </c>
      <c r="AN2472" s="506"/>
      <c r="AO2472" s="507"/>
      <c r="AP2472" s="507"/>
      <c r="AQ2472" s="507"/>
      <c r="AR2472" s="507"/>
      <c r="AS2472" s="507"/>
      <c r="AT2472" s="507"/>
      <c r="AU2472" s="507"/>
      <c r="AV2472" s="225"/>
      <c r="AW2472" s="508"/>
      <c r="AX2472" s="225"/>
      <c r="AY2472" s="225"/>
      <c r="AZ2472" s="225"/>
      <c r="BA2472" s="225"/>
      <c r="BB2472" s="225"/>
      <c r="BC2472" s="56"/>
      <c r="BD2472" s="56"/>
      <c r="BE2472" s="56"/>
      <c r="BF2472" s="107" t="str">
        <f t="shared" si="1910"/>
        <v>https://www.google.com/search?tbm=isch&amp;q=Monarch%20Holly%20has%20a%20dense%20conical%20form%2C%20Good%20cold%2Fheat%20tolerance%20from%20its%20red%20and%20blue%20holly%20parentage.%20Brilliant%20Red%20fall%20berries%20</v>
      </c>
      <c r="BG2472" s="107" t="str">
        <f t="shared" si="1911"/>
        <v>M</v>
      </c>
      <c r="BH2472" s="254"/>
      <c r="BI2472" s="254"/>
    </row>
    <row r="2473" spans="1:61" customFormat="1" ht="18" x14ac:dyDescent="0.25">
      <c r="A2473" s="521" t="s">
        <v>4713</v>
      </c>
      <c r="B2473" s="477"/>
      <c r="C2473" s="674"/>
      <c r="D2473" s="478" t="s">
        <v>4714</v>
      </c>
      <c r="E2473" s="479"/>
      <c r="F2473" s="479"/>
      <c r="G2473" s="479"/>
      <c r="H2473" s="582" t="s">
        <v>1359</v>
      </c>
      <c r="I2473" s="480" t="s">
        <v>4715</v>
      </c>
      <c r="J2473" s="479"/>
      <c r="K2473" s="479"/>
      <c r="L2473" s="560"/>
      <c r="M2473" s="666" t="s">
        <v>4966</v>
      </c>
      <c r="N2473" s="680" t="str">
        <f>IF(AND(ISTEXT($A2473), ISERROR($A2473+0)), HYPERLINK($BF2473, "Images"), "")</f>
        <v>Images</v>
      </c>
      <c r="O2473" s="662" t="s">
        <v>4967</v>
      </c>
      <c r="P2473" s="482"/>
      <c r="Q2473" s="483"/>
      <c r="R2473" s="483"/>
      <c r="S2473" s="484"/>
      <c r="T2473" s="508">
        <f t="shared" si="1899"/>
        <v>0</v>
      </c>
      <c r="U2473" s="225" t="str">
        <f>IF(NOT(ISNUMBER(G2473)), "", VLOOKUP(A2473,'Discount Lookup'!D:E,2,FALSE)*G2473)</f>
        <v/>
      </c>
      <c r="V2473" s="225" t="str">
        <f>IF(NOT(ISNUMBER(G2473)), "", VLOOKUP(A2473,'Discount Lookup'!G:H,2,FALSE)*G2473)</f>
        <v/>
      </c>
      <c r="W2473" s="508">
        <f t="shared" si="1900"/>
        <v>0</v>
      </c>
      <c r="X2473" s="508" t="str">
        <f t="shared" si="1901"/>
        <v>Lilac-White bloom</v>
      </c>
      <c r="Y2473" s="509" t="b">
        <f t="shared" si="1902"/>
        <v>0</v>
      </c>
      <c r="Z2473" s="510">
        <f t="shared" si="1903"/>
        <v>0</v>
      </c>
      <c r="AA2473" s="511"/>
      <c r="AB2473" s="511" t="str">
        <f t="shared" si="1904"/>
        <v/>
      </c>
      <c r="AC2473" s="698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698"/>
      <c r="AE2473" s="631" t="str">
        <f t="shared" si="1905"/>
        <v/>
      </c>
      <c r="AF2473" s="699" t="str">
        <f t="shared" si="1906"/>
        <v/>
      </c>
      <c r="AG2473" s="699"/>
      <c r="AH2473" s="699"/>
      <c r="AI2473" s="512">
        <f>IF(H2473="credit",0,IF(AE2473="free",0,IF(AE2473="me",0,IF(G2473&gt;0,(VLOOKUP(A2473,'Discount Lookup'!J:K,2)*G2473),0))))</f>
        <v>0</v>
      </c>
      <c r="AJ2473" s="513" t="str">
        <f t="shared" ca="1" si="1907"/>
        <v/>
      </c>
      <c r="AK2473" s="700" t="str">
        <f t="shared" si="1908"/>
        <v/>
      </c>
      <c r="AL2473" s="700"/>
      <c r="AM2473" s="505" t="str">
        <f t="shared" si="1909"/>
        <v/>
      </c>
      <c r="AN2473" s="506"/>
      <c r="AO2473" s="507"/>
      <c r="AP2473" s="507"/>
      <c r="AQ2473" s="507"/>
      <c r="AR2473" s="507"/>
      <c r="AS2473" s="507"/>
      <c r="AT2473" s="507"/>
      <c r="AU2473" s="507"/>
      <c r="AV2473" s="225"/>
      <c r="AW2473" s="508"/>
      <c r="AX2473" s="225"/>
      <c r="AY2473" s="225"/>
      <c r="AZ2473" s="225"/>
      <c r="BA2473" s="225"/>
      <c r="BB2473" s="225"/>
      <c r="BC2473" s="56"/>
      <c r="BD2473" s="56"/>
      <c r="BE2473" s="56"/>
      <c r="BF2473" s="107" t="str">
        <f t="shared" si="1910"/>
        <v>https://www.google.com/search?tbm=isch&amp;q=Mondo%20Grass%20Ophiopogon%20japonicus</v>
      </c>
      <c r="BG2473" s="107" t="str">
        <f t="shared" si="1911"/>
        <v>M</v>
      </c>
      <c r="BH2473" s="254"/>
      <c r="BI2473" s="254"/>
    </row>
    <row r="2474" spans="1:61" customFormat="1" ht="15.75" x14ac:dyDescent="0.25">
      <c r="A2474" s="485">
        <v>1</v>
      </c>
      <c r="B2474" s="486" t="s">
        <v>291</v>
      </c>
      <c r="C2474" s="487"/>
      <c r="D2474" s="488" t="s">
        <v>312</v>
      </c>
      <c r="E2474" s="489">
        <v>11.95</v>
      </c>
      <c r="F2474" s="516" t="s">
        <v>293</v>
      </c>
      <c r="G2474" s="232">
        <v>0</v>
      </c>
      <c r="H2474" s="658" t="str">
        <f>IF(G2474=0,"",IF(F2474="Buy",IF(G2474=1,"plant","plants"),IF(F2474&gt;0.01,"warranty","Error")))</f>
        <v/>
      </c>
      <c r="I2474" s="490">
        <f>IF(H2474="free",0,IF(H2474="credit",((E2474*(F2474))*G2474*-1),IF(F2474="Buy",(E2474*G2474),((E2474*(1-F2474))*G2474))))</f>
        <v>0</v>
      </c>
      <c r="J2474" s="490">
        <f>IF(H2474="warranty",0,(I2474*(_xlfn.SINGLE(SalesTaxPercentage))))</f>
        <v>0</v>
      </c>
      <c r="K2474" s="695">
        <f t="shared" ref="K2474" si="1931">I2474+J2474</f>
        <v>0</v>
      </c>
      <c r="L2474" s="695"/>
      <c r="M2474" s="659" t="str">
        <f>IF(AND(G2474&gt;0,E2474=0),"WARNING - no PRICE inserted",IF(H2474="free"," FREE ~ no charge this plant",IF(H2474="credit",CONCATENATE(" -$",ROUND(K2474*(1-T2GDiscount)*-1,2)," CREDIT after discount"),IF(T2GDiscount=0,"",IF(G2474=0,"",IF(F2474="Buy",CONCATENATE(" $",ROUND(K2474*(1-T2GDiscount),2)," with ",(T2GDiscount*100),"% discount"),CONCATENATE(" $",ROUND(K2474*(1-T2GDiscount),2)," with ",((T2GDiscount*100+F2474*100)-(T2GDiscount*100*F2474)),IF(F2474&gt;0,"% discounts",IF(NoWarrantyDiscount&gt;0,"% discounts","% discount")))))))))</f>
        <v/>
      </c>
      <c r="N2474" s="660"/>
      <c r="O2474" s="233"/>
      <c r="P2474" s="233"/>
      <c r="Q2474" s="233"/>
      <c r="R2474" s="233"/>
      <c r="S2474" s="233"/>
      <c r="T2474" s="508">
        <f t="shared" si="1899"/>
        <v>0</v>
      </c>
      <c r="U2474" s="225">
        <f>IF(NOT(ISNUMBER(G2474)), "", VLOOKUP(A2474,'Discount Lookup'!D:E,2,FALSE)*G2474)</f>
        <v>0</v>
      </c>
      <c r="V2474" s="225">
        <f>IF(NOT(ISNUMBER(G2474)), "", VLOOKUP(A2474,'Discount Lookup'!G:H,2,FALSE)*G2474)</f>
        <v>0</v>
      </c>
      <c r="W2474" s="508">
        <f t="shared" si="1900"/>
        <v>0</v>
      </c>
      <c r="X2474" s="508">
        <f t="shared" si="1901"/>
        <v>0</v>
      </c>
      <c r="Y2474" s="509" t="b">
        <f t="shared" si="1902"/>
        <v>0</v>
      </c>
      <c r="Z2474" s="510">
        <f t="shared" si="1903"/>
        <v>0</v>
      </c>
      <c r="AA2474" s="511"/>
      <c r="AB2474" s="511" t="str">
        <f t="shared" si="1904"/>
        <v/>
      </c>
      <c r="AC2474" s="698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698"/>
      <c r="AE2474" s="631" t="str">
        <f t="shared" si="1905"/>
        <v/>
      </c>
      <c r="AF2474" s="699" t="str">
        <f t="shared" si="1906"/>
        <v/>
      </c>
      <c r="AG2474" s="699"/>
      <c r="AH2474" s="699"/>
      <c r="AI2474" s="512">
        <f>IF(H2474="credit",0,IF(AE2474="free",0,IF(AE2474="me",0,IF(G2474&gt;0,(VLOOKUP(A2474,'Discount Lookup'!J:K,2)*G2474),0))))</f>
        <v>0</v>
      </c>
      <c r="AJ2474" s="513" t="str">
        <f t="shared" ca="1" si="1907"/>
        <v/>
      </c>
      <c r="AK2474" s="700" t="str">
        <f t="shared" si="1908"/>
        <v/>
      </c>
      <c r="AL2474" s="700"/>
      <c r="AM2474" s="505" t="str">
        <f t="shared" si="1909"/>
        <v/>
      </c>
      <c r="AN2474" s="506"/>
      <c r="AO2474" s="507"/>
      <c r="AP2474" s="507"/>
      <c r="AQ2474" s="507"/>
      <c r="AR2474" s="507"/>
      <c r="AS2474" s="507"/>
      <c r="AT2474" s="507"/>
      <c r="AU2474" s="507"/>
      <c r="AV2474" s="225"/>
      <c r="AW2474" s="508"/>
      <c r="AX2474" s="225"/>
      <c r="AY2474" s="225"/>
      <c r="AZ2474" s="225"/>
      <c r="BA2474" s="225"/>
      <c r="BB2474" s="225"/>
      <c r="BC2474" s="56"/>
      <c r="BD2474" s="56"/>
      <c r="BE2474" s="56"/>
      <c r="BF2474" s="107" t="str">
        <f t="shared" si="1910"/>
        <v>https://www.google.com/search?tbm=isch&amp;q=1%20G2</v>
      </c>
      <c r="BG2474" s="107" t="str">
        <f t="shared" si="1911"/>
        <v>M</v>
      </c>
      <c r="BH2474" s="254"/>
      <c r="BI2474" s="254"/>
    </row>
    <row r="2475" spans="1:61" customFormat="1" ht="16.5" thickBot="1" x14ac:dyDescent="0.3">
      <c r="A2475" s="672" t="s">
        <v>5174</v>
      </c>
      <c r="B2475" s="491"/>
      <c r="C2475" s="675"/>
      <c r="D2475" s="491"/>
      <c r="E2475" s="491"/>
      <c r="F2475" s="492"/>
      <c r="G2475" s="493"/>
      <c r="H2475" s="491"/>
      <c r="I2475" s="234"/>
      <c r="J2475" s="234"/>
      <c r="K2475" s="494"/>
      <c r="L2475" s="543"/>
      <c r="M2475" s="561"/>
      <c r="N2475" s="495"/>
      <c r="O2475" s="496"/>
      <c r="P2475" s="497"/>
      <c r="Q2475" s="495"/>
      <c r="R2475" s="495"/>
      <c r="S2475" s="277"/>
      <c r="T2475" s="508">
        <f t="shared" si="1899"/>
        <v>0</v>
      </c>
      <c r="U2475" s="225" t="str">
        <f>IF(NOT(ISNUMBER(G2475)), "", VLOOKUP(A2475,'Discount Lookup'!D:E,2,FALSE)*G2475)</f>
        <v/>
      </c>
      <c r="V2475" s="225" t="str">
        <f>IF(NOT(ISNUMBER(G2475)), "", VLOOKUP(A2475,'Discount Lookup'!G:H,2,FALSE)*G2475)</f>
        <v/>
      </c>
      <c r="W2475" s="508">
        <f t="shared" si="1900"/>
        <v>0</v>
      </c>
      <c r="X2475" s="508">
        <f t="shared" si="1901"/>
        <v>0</v>
      </c>
      <c r="Y2475" s="509" t="b">
        <f t="shared" si="1902"/>
        <v>0</v>
      </c>
      <c r="Z2475" s="510">
        <f t="shared" si="1903"/>
        <v>0</v>
      </c>
      <c r="AA2475" s="511"/>
      <c r="AB2475" s="511" t="str">
        <f t="shared" si="1904"/>
        <v/>
      </c>
      <c r="AC2475" s="698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698"/>
      <c r="AE2475" s="631" t="str">
        <f t="shared" si="1905"/>
        <v/>
      </c>
      <c r="AF2475" s="699" t="str">
        <f t="shared" si="1906"/>
        <v/>
      </c>
      <c r="AG2475" s="699"/>
      <c r="AH2475" s="699"/>
      <c r="AI2475" s="512">
        <f>IF(H2475="credit",0,IF(AE2475="free",0,IF(AE2475="me",0,IF(G2475&gt;0,(VLOOKUP(A2475,'Discount Lookup'!J:K,2)*G2475),0))))</f>
        <v>0</v>
      </c>
      <c r="AJ2475" s="513" t="str">
        <f t="shared" ca="1" si="1907"/>
        <v/>
      </c>
      <c r="AK2475" s="700" t="str">
        <f t="shared" si="1908"/>
        <v/>
      </c>
      <c r="AL2475" s="700"/>
      <c r="AM2475" s="505" t="str">
        <f t="shared" si="1909"/>
        <v/>
      </c>
      <c r="AN2475" s="506"/>
      <c r="AO2475" s="507"/>
      <c r="AP2475" s="507"/>
      <c r="AQ2475" s="507"/>
      <c r="AR2475" s="507"/>
      <c r="AS2475" s="507"/>
      <c r="AT2475" s="507"/>
      <c r="AU2475" s="507"/>
      <c r="AV2475" s="225"/>
      <c r="AW2475" s="508"/>
      <c r="AX2475" s="225"/>
      <c r="AY2475" s="225"/>
      <c r="AZ2475" s="225"/>
      <c r="BA2475" s="225"/>
      <c r="BB2475" s="225"/>
      <c r="BC2475" s="56"/>
      <c r="BD2475" s="56"/>
      <c r="BE2475" s="56"/>
      <c r="BF2475" s="107" t="str">
        <f t="shared" si="1910"/>
        <v>https://www.google.com/search?tbm=isch&amp;q=moist%20sites%F0%9F%92%A7OK%2C%20Mondo%20has%20Dark%20Green%20foliage.%20Grass%20substitute%20for%20grass%2C%20as%20it%20tolerates%20foot%20traffic.%20Dark%20Purple%20to%20Black%20berries%20</v>
      </c>
      <c r="BG2475" s="107" t="str">
        <f t="shared" si="1911"/>
        <v>m</v>
      </c>
      <c r="BH2475" s="254"/>
      <c r="BI2475" s="254"/>
    </row>
    <row r="2476" spans="1:61" customFormat="1" ht="18" x14ac:dyDescent="0.25">
      <c r="A2476" s="521" t="s">
        <v>1360</v>
      </c>
      <c r="B2476" s="477"/>
      <c r="C2476" s="674"/>
      <c r="D2476" s="478" t="s">
        <v>1361</v>
      </c>
      <c r="E2476" s="479"/>
      <c r="F2476" s="479"/>
      <c r="G2476" s="479"/>
      <c r="H2476" s="582" t="s">
        <v>441</v>
      </c>
      <c r="I2476" s="480" t="s">
        <v>2515</v>
      </c>
      <c r="J2476" s="479"/>
      <c r="K2476" s="479"/>
      <c r="L2476" s="560"/>
      <c r="M2476" s="671" t="s">
        <v>4990</v>
      </c>
      <c r="N2476" s="680" t="str">
        <f>IF(AND(ISTEXT($A2476), ISERROR($A2476+0)), HYPERLINK($BF2476, "Images"), "")</f>
        <v>Images</v>
      </c>
      <c r="O2476" s="662" t="s">
        <v>4971</v>
      </c>
      <c r="P2476" s="482"/>
      <c r="Q2476" s="483"/>
      <c r="R2476" s="483"/>
      <c r="S2476" s="484" t="s">
        <v>305</v>
      </c>
      <c r="T2476" s="508">
        <f t="shared" si="1899"/>
        <v>0</v>
      </c>
      <c r="U2476" s="225" t="str">
        <f>IF(NOT(ISNUMBER(G2476)), "", VLOOKUP(A2476,'Discount Lookup'!D:E,2,FALSE)*G2476)</f>
        <v/>
      </c>
      <c r="V2476" s="225" t="str">
        <f>IF(NOT(ISNUMBER(G2476)), "", VLOOKUP(A2476,'Discount Lookup'!G:H,2,FALSE)*G2476)</f>
        <v/>
      </c>
      <c r="W2476" s="508">
        <f t="shared" si="1900"/>
        <v>0</v>
      </c>
      <c r="X2476" s="508" t="str">
        <f t="shared" si="1901"/>
        <v>Bluish-Green needles</v>
      </c>
      <c r="Y2476" s="509" t="b">
        <f t="shared" si="1902"/>
        <v>0</v>
      </c>
      <c r="Z2476" s="510">
        <f t="shared" si="1903"/>
        <v>0</v>
      </c>
      <c r="AA2476" s="511"/>
      <c r="AB2476" s="511" t="str">
        <f t="shared" si="1904"/>
        <v/>
      </c>
      <c r="AC2476" s="698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698"/>
      <c r="AE2476" s="631" t="str">
        <f t="shared" si="1905"/>
        <v/>
      </c>
      <c r="AF2476" s="699" t="str">
        <f t="shared" si="1906"/>
        <v/>
      </c>
      <c r="AG2476" s="699"/>
      <c r="AH2476" s="699"/>
      <c r="AI2476" s="512">
        <f>IF(H2476="credit",0,IF(AE2476="free",0,IF(AE2476="me",0,IF(G2476&gt;0,(VLOOKUP(A2476,'Discount Lookup'!J:K,2)*G2476),0))))</f>
        <v>0</v>
      </c>
      <c r="AJ2476" s="513" t="str">
        <f t="shared" ca="1" si="1907"/>
        <v/>
      </c>
      <c r="AK2476" s="700" t="str">
        <f t="shared" si="1908"/>
        <v/>
      </c>
      <c r="AL2476" s="700"/>
      <c r="AM2476" s="505" t="str">
        <f t="shared" si="1909"/>
        <v/>
      </c>
      <c r="AN2476" s="506"/>
      <c r="AO2476" s="507"/>
      <c r="AP2476" s="507"/>
      <c r="AQ2476" s="507"/>
      <c r="AR2476" s="507"/>
      <c r="AS2476" s="507"/>
      <c r="AT2476" s="507"/>
      <c r="AU2476" s="507"/>
      <c r="AV2476" s="225"/>
      <c r="AW2476" s="508"/>
      <c r="AX2476" s="225"/>
      <c r="AY2476" s="225"/>
      <c r="AZ2476" s="225"/>
      <c r="BA2476" s="225"/>
      <c r="BB2476" s="225"/>
      <c r="BC2476" s="56"/>
      <c r="BD2476" s="56"/>
      <c r="BE2476" s="56"/>
      <c r="BF2476" s="107" t="str">
        <f t="shared" si="1910"/>
        <v>https://www.google.com/search?tbm=isch&amp;q=Moon%20Frost%20Canadian%20Hemlock%20Tsuga%20canadensis%20%27Moon%20Frost%27</v>
      </c>
      <c r="BG2476" s="107" t="str">
        <f t="shared" si="1911"/>
        <v>M</v>
      </c>
      <c r="BH2476" s="254"/>
      <c r="BI2476" s="254"/>
    </row>
    <row r="2477" spans="1:61" customFormat="1" ht="27" x14ac:dyDescent="0.25">
      <c r="A2477" s="485">
        <v>7</v>
      </c>
      <c r="B2477" s="486" t="s">
        <v>291</v>
      </c>
      <c r="C2477" s="487" t="s">
        <v>4428</v>
      </c>
      <c r="D2477" s="488" t="s">
        <v>292</v>
      </c>
      <c r="E2477" s="489">
        <v>196.95</v>
      </c>
      <c r="F2477" s="516" t="s">
        <v>293</v>
      </c>
      <c r="G2477" s="232">
        <v>0</v>
      </c>
      <c r="H2477" s="658" t="str">
        <f>IF(G2477=0,"",IF(F2477="Buy",IF(G2477=1,"plant","plants"),IF(F2477&gt;0.01,"warranty","Error")))</f>
        <v/>
      </c>
      <c r="I2477" s="490">
        <f>IF(H2477="free",0,IF(H2477="credit",((E2477*(F2477))*G2477*-1),IF(F2477="Buy",(E2477*G2477),((E2477*(1-F2477))*G2477))))</f>
        <v>0</v>
      </c>
      <c r="J2477" s="490">
        <f>IF(H2477="warranty",0,(I2477*(_xlfn.SINGLE(SalesTaxPercentage))))</f>
        <v>0</v>
      </c>
      <c r="K2477" s="695">
        <f t="shared" ref="K2477" si="1932">I2477+J2477</f>
        <v>0</v>
      </c>
      <c r="L2477" s="695"/>
      <c r="M2477" s="659" t="str">
        <f>IF(AND(G2477&gt;0,E2477=0),"WARNING - no PRICE inserted",IF(H2477="free"," FREE ~ no charge this plant",IF(H2477="credit",CONCATENATE(" -$",ROUND(K2477*(1-T2GDiscount)*-1,2)," CREDIT after discount"),IF(T2GDiscount=0,"",IF(G2477=0,"",IF(F2477="Buy",CONCATENATE(" $",ROUND(K2477*(1-T2GDiscount),2)," with ",(T2GDiscount*100),"% discount"),CONCATENATE(" $",ROUND(K2477*(1-T2GDiscount),2)," with ",((T2GDiscount*100+F2477*100)-(T2GDiscount*100*F2477)),IF(F2477&gt;0,"% discounts",IF(NoWarrantyDiscount&gt;0,"% discounts","% discount")))))))))</f>
        <v/>
      </c>
      <c r="N2477" s="660"/>
      <c r="O2477" s="233"/>
      <c r="P2477" s="233"/>
      <c r="Q2477" s="233"/>
      <c r="R2477" s="233"/>
      <c r="S2477" s="233"/>
      <c r="T2477" s="508">
        <f t="shared" si="1899"/>
        <v>0</v>
      </c>
      <c r="U2477" s="225">
        <f>IF(NOT(ISNUMBER(G2477)), "", VLOOKUP(A2477,'Discount Lookup'!D:E,2,FALSE)*G2477)</f>
        <v>0</v>
      </c>
      <c r="V2477" s="225">
        <f>IF(NOT(ISNUMBER(G2477)), "", VLOOKUP(A2477,'Discount Lookup'!G:H,2,FALSE)*G2477)</f>
        <v>0</v>
      </c>
      <c r="W2477" s="508">
        <f t="shared" si="1900"/>
        <v>0</v>
      </c>
      <c r="X2477" s="508">
        <f t="shared" si="1901"/>
        <v>0</v>
      </c>
      <c r="Y2477" s="509" t="b">
        <f t="shared" si="1902"/>
        <v>0</v>
      </c>
      <c r="Z2477" s="510">
        <f t="shared" si="1903"/>
        <v>0</v>
      </c>
      <c r="AA2477" s="511"/>
      <c r="AB2477" s="511" t="str">
        <f t="shared" si="1904"/>
        <v/>
      </c>
      <c r="AC2477" s="698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698"/>
      <c r="AE2477" s="631" t="str">
        <f t="shared" si="1905"/>
        <v/>
      </c>
      <c r="AF2477" s="699" t="str">
        <f t="shared" si="1906"/>
        <v/>
      </c>
      <c r="AG2477" s="699"/>
      <c r="AH2477" s="699"/>
      <c r="AI2477" s="512">
        <f>IF(H2477="credit",0,IF(AE2477="free",0,IF(AE2477="me",0,IF(G2477&gt;0,(VLOOKUP(A2477,'Discount Lookup'!J:K,2)*G2477),0))))</f>
        <v>0</v>
      </c>
      <c r="AJ2477" s="513" t="str">
        <f t="shared" ca="1" si="1907"/>
        <v/>
      </c>
      <c r="AK2477" s="700" t="str">
        <f t="shared" si="1908"/>
        <v/>
      </c>
      <c r="AL2477" s="700"/>
      <c r="AM2477" s="505" t="str">
        <f t="shared" si="1909"/>
        <v/>
      </c>
      <c r="AN2477" s="506"/>
      <c r="AO2477" s="507"/>
      <c r="AP2477" s="507"/>
      <c r="AQ2477" s="507"/>
      <c r="AR2477" s="507"/>
      <c r="AS2477" s="507"/>
      <c r="AT2477" s="507"/>
      <c r="AU2477" s="507"/>
      <c r="AV2477" s="225"/>
      <c r="AW2477" s="508"/>
      <c r="AX2477" s="225"/>
      <c r="AY2477" s="225"/>
      <c r="AZ2477" s="225"/>
      <c r="BA2477" s="225"/>
      <c r="BB2477" s="225"/>
      <c r="BC2477" s="56"/>
      <c r="BD2477" s="56"/>
      <c r="BE2477" s="56"/>
      <c r="BF2477" s="107" t="str">
        <f t="shared" si="1910"/>
        <v>https://www.google.com/search?tbm=isch&amp;q=7%20G4</v>
      </c>
      <c r="BG2477" s="107" t="str">
        <f t="shared" si="1911"/>
        <v>M</v>
      </c>
      <c r="BH2477" s="254"/>
      <c r="BI2477" s="254"/>
    </row>
    <row r="2478" spans="1:61" customFormat="1" ht="16.5" thickBot="1" x14ac:dyDescent="0.3">
      <c r="A2478" s="672" t="s">
        <v>5175</v>
      </c>
      <c r="B2478" s="491"/>
      <c r="C2478" s="675"/>
      <c r="D2478" s="491"/>
      <c r="E2478" s="491"/>
      <c r="F2478" s="492"/>
      <c r="G2478" s="493"/>
      <c r="H2478" s="491"/>
      <c r="I2478" s="234"/>
      <c r="J2478" s="234"/>
      <c r="K2478" s="494"/>
      <c r="L2478" s="543"/>
      <c r="M2478" s="561"/>
      <c r="N2478" s="495"/>
      <c r="O2478" s="496"/>
      <c r="P2478" s="497"/>
      <c r="Q2478" s="495"/>
      <c r="R2478" s="495"/>
      <c r="S2478" s="277"/>
      <c r="T2478" s="508">
        <f t="shared" si="1899"/>
        <v>0</v>
      </c>
      <c r="U2478" s="225" t="str">
        <f>IF(NOT(ISNUMBER(G2478)), "", VLOOKUP(A2478,'Discount Lookup'!D:E,2,FALSE)*G2478)</f>
        <v/>
      </c>
      <c r="V2478" s="225" t="str">
        <f>IF(NOT(ISNUMBER(G2478)), "", VLOOKUP(A2478,'Discount Lookup'!G:H,2,FALSE)*G2478)</f>
        <v/>
      </c>
      <c r="W2478" s="508">
        <f t="shared" si="1900"/>
        <v>0</v>
      </c>
      <c r="X2478" s="508">
        <f t="shared" si="1901"/>
        <v>0</v>
      </c>
      <c r="Y2478" s="509" t="b">
        <f t="shared" si="1902"/>
        <v>0</v>
      </c>
      <c r="Z2478" s="510">
        <f t="shared" si="1903"/>
        <v>0</v>
      </c>
      <c r="AA2478" s="511"/>
      <c r="AB2478" s="511" t="str">
        <f t="shared" si="1904"/>
        <v/>
      </c>
      <c r="AC2478" s="698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698"/>
      <c r="AE2478" s="631" t="str">
        <f t="shared" si="1905"/>
        <v/>
      </c>
      <c r="AF2478" s="699" t="str">
        <f t="shared" si="1906"/>
        <v/>
      </c>
      <c r="AG2478" s="699"/>
      <c r="AH2478" s="699"/>
      <c r="AI2478" s="512">
        <f>IF(H2478="credit",0,IF(AE2478="free",0,IF(AE2478="me",0,IF(G2478&gt;0,(VLOOKUP(A2478,'Discount Lookup'!J:K,2)*G2478),0))))</f>
        <v>0</v>
      </c>
      <c r="AJ2478" s="513" t="str">
        <f t="shared" ca="1" si="1907"/>
        <v/>
      </c>
      <c r="AK2478" s="700" t="str">
        <f t="shared" si="1908"/>
        <v/>
      </c>
      <c r="AL2478" s="700"/>
      <c r="AM2478" s="505" t="str">
        <f t="shared" si="1909"/>
        <v/>
      </c>
      <c r="AN2478" s="506"/>
      <c r="AO2478" s="507"/>
      <c r="AP2478" s="507"/>
      <c r="AQ2478" s="507"/>
      <c r="AR2478" s="507"/>
      <c r="AS2478" s="507"/>
      <c r="AT2478" s="507"/>
      <c r="AU2478" s="507"/>
      <c r="AV2478" s="225"/>
      <c r="AW2478" s="508"/>
      <c r="AX2478" s="225"/>
      <c r="AY2478" s="225"/>
      <c r="AZ2478" s="225"/>
      <c r="BA2478" s="225"/>
      <c r="BB2478" s="225"/>
      <c r="BC2478" s="56"/>
      <c r="BD2478" s="56"/>
      <c r="BE2478" s="56"/>
      <c r="BF2478" s="107" t="str">
        <f t="shared" si="1910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478" s="107" t="str">
        <f t="shared" si="1911"/>
        <v>m</v>
      </c>
      <c r="BH2478" s="254"/>
      <c r="BI2478" s="254"/>
    </row>
    <row r="2479" spans="1:61" customFormat="1" ht="18" x14ac:dyDescent="0.25">
      <c r="A2479" s="521" t="s">
        <v>1362</v>
      </c>
      <c r="B2479" s="477"/>
      <c r="C2479" s="674"/>
      <c r="D2479" s="478" t="s">
        <v>1363</v>
      </c>
      <c r="E2479" s="479"/>
      <c r="F2479" s="479"/>
      <c r="G2479" s="479"/>
      <c r="H2479" s="582" t="s">
        <v>810</v>
      </c>
      <c r="I2479" s="480" t="s">
        <v>2284</v>
      </c>
      <c r="J2479" s="479"/>
      <c r="K2479" s="479"/>
      <c r="L2479" s="560"/>
      <c r="M2479" s="671" t="s">
        <v>4985</v>
      </c>
      <c r="N2479" s="680" t="str">
        <f>IF(AND(ISTEXT($A2479), ISERROR($A2479+0)), HYPERLINK($BF2479, "Images"), "")</f>
        <v>Images</v>
      </c>
      <c r="O2479" s="662" t="s">
        <v>4969</v>
      </c>
      <c r="P2479" s="482"/>
      <c r="Q2479" s="483"/>
      <c r="R2479" s="483"/>
      <c r="S2479" s="484"/>
      <c r="T2479" s="508">
        <f t="shared" si="1899"/>
        <v>0</v>
      </c>
      <c r="U2479" s="225" t="str">
        <f>IF(NOT(ISNUMBER(G2479)), "", VLOOKUP(A2479,'Discount Lookup'!D:E,2,FALSE)*G2479)</f>
        <v/>
      </c>
      <c r="V2479" s="225" t="str">
        <f>IF(NOT(ISNUMBER(G2479)), "", VLOOKUP(A2479,'Discount Lookup'!G:H,2,FALSE)*G2479)</f>
        <v/>
      </c>
      <c r="W2479" s="508">
        <f t="shared" si="1900"/>
        <v>0</v>
      </c>
      <c r="X2479" s="508" t="str">
        <f t="shared" si="1901"/>
        <v>Rich Green foliage</v>
      </c>
      <c r="Y2479" s="509" t="b">
        <f t="shared" si="1902"/>
        <v>0</v>
      </c>
      <c r="Z2479" s="510">
        <f t="shared" si="1903"/>
        <v>0</v>
      </c>
      <c r="AA2479" s="511"/>
      <c r="AB2479" s="511" t="str">
        <f t="shared" si="1904"/>
        <v/>
      </c>
      <c r="AC2479" s="698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698"/>
      <c r="AE2479" s="631" t="str">
        <f t="shared" si="1905"/>
        <v/>
      </c>
      <c r="AF2479" s="699" t="str">
        <f t="shared" si="1906"/>
        <v/>
      </c>
      <c r="AG2479" s="699"/>
      <c r="AH2479" s="699"/>
      <c r="AI2479" s="512">
        <f>IF(H2479="credit",0,IF(AE2479="free",0,IF(AE2479="me",0,IF(G2479&gt;0,(VLOOKUP(A2479,'Discount Lookup'!J:K,2)*G2479),0))))</f>
        <v>0</v>
      </c>
      <c r="AJ2479" s="513" t="str">
        <f t="shared" ca="1" si="1907"/>
        <v/>
      </c>
      <c r="AK2479" s="700" t="str">
        <f t="shared" si="1908"/>
        <v/>
      </c>
      <c r="AL2479" s="700"/>
      <c r="AM2479" s="505" t="str">
        <f t="shared" si="1909"/>
        <v/>
      </c>
      <c r="AN2479" s="506"/>
      <c r="AO2479" s="507"/>
      <c r="AP2479" s="507"/>
      <c r="AQ2479" s="507"/>
      <c r="AR2479" s="507"/>
      <c r="AS2479" s="507"/>
      <c r="AT2479" s="507"/>
      <c r="AU2479" s="507"/>
      <c r="AV2479" s="225"/>
      <c r="AW2479" s="508"/>
      <c r="AX2479" s="225"/>
      <c r="AY2479" s="225"/>
      <c r="AZ2479" s="225"/>
      <c r="BA2479" s="225"/>
      <c r="BB2479" s="225"/>
      <c r="BC2479" s="56"/>
      <c r="BD2479" s="56"/>
      <c r="BE2479" s="56"/>
      <c r="BF2479" s="107" t="str">
        <f t="shared" si="1910"/>
        <v>https://www.google.com/search?tbm=isch&amp;q=Moonbeam%20Anise%20Tree%20Illicium%20%27Moonbeam%27</v>
      </c>
      <c r="BG2479" s="107" t="str">
        <f t="shared" si="1911"/>
        <v>M</v>
      </c>
      <c r="BH2479" s="254"/>
      <c r="BI2479" s="254"/>
    </row>
    <row r="2480" spans="1:61" customFormat="1" ht="15.75" x14ac:dyDescent="0.25">
      <c r="A2480" s="485">
        <v>3</v>
      </c>
      <c r="B2480" s="486" t="s">
        <v>291</v>
      </c>
      <c r="C2480" s="487" t="s">
        <v>3648</v>
      </c>
      <c r="D2480" s="488" t="s">
        <v>292</v>
      </c>
      <c r="E2480" s="489">
        <v>38.950000000000003</v>
      </c>
      <c r="F2480" s="516" t="s">
        <v>293</v>
      </c>
      <c r="G2480" s="232">
        <v>0</v>
      </c>
      <c r="H2480" s="658" t="str">
        <f>IF(G2480=0,"",IF(F2480="Buy",IF(G2480=1,"plant","plants"),IF(F2480&gt;0.01,"warranty","Error")))</f>
        <v/>
      </c>
      <c r="I2480" s="490">
        <f>IF(H2480="free",0,IF(H2480="credit",((E2480*(F2480))*G2480*-1),IF(F2480="Buy",(E2480*G2480),((E2480*(1-F2480))*G2480))))</f>
        <v>0</v>
      </c>
      <c r="J2480" s="490">
        <f>IF(H2480="warranty",0,(I2480*(_xlfn.SINGLE(SalesTaxPercentage))))</f>
        <v>0</v>
      </c>
      <c r="K2480" s="695">
        <f t="shared" ref="K2480" si="1933">I2480+J2480</f>
        <v>0</v>
      </c>
      <c r="L2480" s="695"/>
      <c r="M2480" s="659" t="str">
        <f>IF(AND(G2480&gt;0,E2480=0),"WARNING - no PRICE inserted",IF(H2480="free"," FREE ~ no charge this plant",IF(H2480="credit",CONCATENATE(" -$",ROUND(K2480*(1-T2GDiscount)*-1,2)," CREDIT after discount"),IF(T2GDiscount=0,"",IF(G2480=0,"",IF(F2480="Buy",CONCATENATE(" $",ROUND(K2480*(1-T2GDiscount),2)," with ",(T2GDiscount*100),"% discount"),CONCATENATE(" $",ROUND(K2480*(1-T2GDiscount),2)," with ",((T2GDiscount*100+F2480*100)-(T2GDiscount*100*F2480)),IF(F2480&gt;0,"% discounts",IF(NoWarrantyDiscount&gt;0,"% discounts","% discount")))))))))</f>
        <v/>
      </c>
      <c r="N2480" s="660"/>
      <c r="O2480" s="233"/>
      <c r="P2480" s="233"/>
      <c r="Q2480" s="233"/>
      <c r="R2480" s="233"/>
      <c r="S2480" s="233"/>
      <c r="T2480" s="508">
        <f t="shared" si="1899"/>
        <v>0</v>
      </c>
      <c r="U2480" s="225">
        <f>IF(NOT(ISNUMBER(G2480)), "", VLOOKUP(A2480,'Discount Lookup'!D:E,2,FALSE)*G2480)</f>
        <v>0</v>
      </c>
      <c r="V2480" s="225">
        <f>IF(NOT(ISNUMBER(G2480)), "", VLOOKUP(A2480,'Discount Lookup'!G:H,2,FALSE)*G2480)</f>
        <v>0</v>
      </c>
      <c r="W2480" s="508">
        <f t="shared" si="1900"/>
        <v>0</v>
      </c>
      <c r="X2480" s="508">
        <f t="shared" si="1901"/>
        <v>0</v>
      </c>
      <c r="Y2480" s="509" t="b">
        <f t="shared" si="1902"/>
        <v>0</v>
      </c>
      <c r="Z2480" s="510">
        <f t="shared" si="1903"/>
        <v>0</v>
      </c>
      <c r="AA2480" s="511"/>
      <c r="AB2480" s="511" t="str">
        <f t="shared" si="1904"/>
        <v/>
      </c>
      <c r="AC2480" s="698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698"/>
      <c r="AE2480" s="631" t="str">
        <f t="shared" si="1905"/>
        <v/>
      </c>
      <c r="AF2480" s="699" t="str">
        <f t="shared" si="1906"/>
        <v/>
      </c>
      <c r="AG2480" s="699"/>
      <c r="AH2480" s="699"/>
      <c r="AI2480" s="512">
        <f>IF(H2480="credit",0,IF(AE2480="free",0,IF(AE2480="me",0,IF(G2480&gt;0,(VLOOKUP(A2480,'Discount Lookup'!J:K,2)*G2480),0))))</f>
        <v>0</v>
      </c>
      <c r="AJ2480" s="513" t="str">
        <f t="shared" ca="1" si="1907"/>
        <v/>
      </c>
      <c r="AK2480" s="700" t="str">
        <f t="shared" si="1908"/>
        <v/>
      </c>
      <c r="AL2480" s="700"/>
      <c r="AM2480" s="505" t="str">
        <f t="shared" si="1909"/>
        <v/>
      </c>
      <c r="AN2480" s="506"/>
      <c r="AO2480" s="507"/>
      <c r="AP2480" s="507"/>
      <c r="AQ2480" s="507"/>
      <c r="AR2480" s="507"/>
      <c r="AS2480" s="507"/>
      <c r="AT2480" s="507"/>
      <c r="AU2480" s="507"/>
      <c r="AV2480" s="225"/>
      <c r="AW2480" s="508"/>
      <c r="AX2480" s="225"/>
      <c r="AY2480" s="225"/>
      <c r="AZ2480" s="225"/>
      <c r="BA2480" s="225"/>
      <c r="BB2480" s="225"/>
      <c r="BC2480" s="56"/>
      <c r="BD2480" s="56"/>
      <c r="BE2480" s="56"/>
      <c r="BF2480" s="107" t="str">
        <f t="shared" si="1910"/>
        <v>https://www.google.com/search?tbm=isch&amp;q=3%20G4</v>
      </c>
      <c r="BG2480" s="107" t="str">
        <f t="shared" si="1911"/>
        <v>M</v>
      </c>
      <c r="BH2480" s="254"/>
      <c r="BI2480" s="254"/>
    </row>
    <row r="2481" spans="1:61" customFormat="1" ht="16.5" thickBot="1" x14ac:dyDescent="0.3">
      <c r="A2481" s="672" t="s">
        <v>5176</v>
      </c>
      <c r="B2481" s="491"/>
      <c r="C2481" s="675"/>
      <c r="D2481" s="491"/>
      <c r="E2481" s="491"/>
      <c r="F2481" s="492"/>
      <c r="G2481" s="493"/>
      <c r="H2481" s="491"/>
      <c r="I2481" s="234"/>
      <c r="J2481" s="234"/>
      <c r="K2481" s="494"/>
      <c r="L2481" s="543"/>
      <c r="M2481" s="561"/>
      <c r="N2481" s="495"/>
      <c r="O2481" s="496"/>
      <c r="P2481" s="497"/>
      <c r="Q2481" s="495"/>
      <c r="R2481" s="495"/>
      <c r="S2481" s="667" t="s">
        <v>4968</v>
      </c>
      <c r="T2481" s="508">
        <f t="shared" si="1899"/>
        <v>0</v>
      </c>
      <c r="U2481" s="225" t="str">
        <f>IF(NOT(ISNUMBER(G2481)), "", VLOOKUP(A2481,'Discount Lookup'!D:E,2,FALSE)*G2481)</f>
        <v/>
      </c>
      <c r="V2481" s="225" t="str">
        <f>IF(NOT(ISNUMBER(G2481)), "", VLOOKUP(A2481,'Discount Lookup'!G:H,2,FALSE)*G2481)</f>
        <v/>
      </c>
      <c r="W2481" s="508">
        <f t="shared" si="1900"/>
        <v>0</v>
      </c>
      <c r="X2481" s="508">
        <f t="shared" si="1901"/>
        <v>0</v>
      </c>
      <c r="Y2481" s="509" t="b">
        <f t="shared" si="1902"/>
        <v>0</v>
      </c>
      <c r="Z2481" s="510">
        <f t="shared" si="1903"/>
        <v>0</v>
      </c>
      <c r="AA2481" s="511"/>
      <c r="AB2481" s="511" t="str">
        <f t="shared" si="1904"/>
        <v/>
      </c>
      <c r="AC2481" s="698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698"/>
      <c r="AE2481" s="631" t="str">
        <f t="shared" si="1905"/>
        <v/>
      </c>
      <c r="AF2481" s="699" t="str">
        <f t="shared" si="1906"/>
        <v/>
      </c>
      <c r="AG2481" s="699"/>
      <c r="AH2481" s="699"/>
      <c r="AI2481" s="512">
        <f>IF(H2481="credit",0,IF(AE2481="free",0,IF(AE2481="me",0,IF(G2481&gt;0,(VLOOKUP(A2481,'Discount Lookup'!J:K,2)*G2481),0))))</f>
        <v>0</v>
      </c>
      <c r="AJ2481" s="513" t="str">
        <f t="shared" ca="1" si="1907"/>
        <v/>
      </c>
      <c r="AK2481" s="700" t="str">
        <f t="shared" si="1908"/>
        <v/>
      </c>
      <c r="AL2481" s="700"/>
      <c r="AM2481" s="505" t="str">
        <f t="shared" si="1909"/>
        <v/>
      </c>
      <c r="AN2481" s="506"/>
      <c r="AO2481" s="507"/>
      <c r="AP2481" s="507"/>
      <c r="AQ2481" s="507"/>
      <c r="AR2481" s="507"/>
      <c r="AS2481" s="507"/>
      <c r="AT2481" s="507"/>
      <c r="AU2481" s="507"/>
      <c r="AV2481" s="225"/>
      <c r="AW2481" s="508"/>
      <c r="AX2481" s="225"/>
      <c r="AY2481" s="225"/>
      <c r="AZ2481" s="225"/>
      <c r="BA2481" s="225"/>
      <c r="BB2481" s="225"/>
      <c r="BC2481" s="56"/>
      <c r="BD2481" s="56"/>
      <c r="BE2481" s="56"/>
      <c r="BF2481" s="107" t="str">
        <f t="shared" si="1910"/>
        <v>https://www.google.com/search?tbm=isch&amp;q=moist%20sites%F0%9F%92%A7OK%2C%20Moonbeam%20has%20luminous%20Yellow%20star-shaped%20blooms%20that%20look%20great%20against%20the%20Dark%20Green%20aromatic%20foliage%20</v>
      </c>
      <c r="BG2481" s="107" t="str">
        <f t="shared" si="1911"/>
        <v>m</v>
      </c>
      <c r="BH2481" s="254"/>
      <c r="BI2481" s="254"/>
    </row>
    <row r="2482" spans="1:61" customFormat="1" ht="18" x14ac:dyDescent="0.25">
      <c r="A2482" s="523" t="s">
        <v>1366</v>
      </c>
      <c r="B2482" s="235"/>
      <c r="C2482" s="676"/>
      <c r="D2482" s="255" t="s">
        <v>1367</v>
      </c>
      <c r="E2482" s="236"/>
      <c r="F2482" s="236"/>
      <c r="G2482" s="236"/>
      <c r="H2482" s="582" t="s">
        <v>1368</v>
      </c>
      <c r="I2482" s="498" t="s">
        <v>827</v>
      </c>
      <c r="J2482" s="237"/>
      <c r="K2482" s="237"/>
      <c r="L2482" s="274"/>
      <c r="M2482" s="668" t="s">
        <v>4975</v>
      </c>
      <c r="N2482" s="681" t="str">
        <f>IF(AND(ISTEXT($A2482), ISERROR($A2482+0)), HYPERLINK($BF2482, "Images"), "")</f>
        <v>Images</v>
      </c>
      <c r="O2482" s="663" t="s">
        <v>4967</v>
      </c>
      <c r="P2482" s="253"/>
      <c r="Q2482" s="238"/>
      <c r="R2482" s="239"/>
      <c r="S2482" s="275"/>
      <c r="T2482" s="508">
        <f t="shared" si="1899"/>
        <v>0</v>
      </c>
      <c r="U2482" s="225" t="str">
        <f>IF(NOT(ISNUMBER(G2482)), "", VLOOKUP(A2482,'Discount Lookup'!D:E,2,FALSE)*G2482)</f>
        <v/>
      </c>
      <c r="V2482" s="225" t="str">
        <f>IF(NOT(ISNUMBER(G2482)), "", VLOOKUP(A2482,'Discount Lookup'!G:H,2,FALSE)*G2482)</f>
        <v/>
      </c>
      <c r="W2482" s="508">
        <f t="shared" si="1900"/>
        <v>0</v>
      </c>
      <c r="X2482" s="508" t="str">
        <f t="shared" si="1901"/>
        <v>Creamy White bloom</v>
      </c>
      <c r="Y2482" s="509" t="b">
        <f t="shared" si="1902"/>
        <v>0</v>
      </c>
      <c r="Z2482" s="510">
        <f t="shared" si="1903"/>
        <v>0</v>
      </c>
      <c r="AA2482" s="511"/>
      <c r="AB2482" s="511" t="str">
        <f t="shared" si="1904"/>
        <v/>
      </c>
      <c r="AC2482" s="698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698"/>
      <c r="AE2482" s="631" t="str">
        <f t="shared" si="1905"/>
        <v/>
      </c>
      <c r="AF2482" s="699" t="str">
        <f t="shared" si="1906"/>
        <v/>
      </c>
      <c r="AG2482" s="699"/>
      <c r="AH2482" s="699"/>
      <c r="AI2482" s="512">
        <f>IF(H2482="credit",0,IF(AE2482="free",0,IF(AE2482="me",0,IF(G2482&gt;0,(VLOOKUP(A2482,'Discount Lookup'!J:K,2)*G2482),0))))</f>
        <v>0</v>
      </c>
      <c r="AJ2482" s="513" t="str">
        <f t="shared" ca="1" si="1907"/>
        <v/>
      </c>
      <c r="AK2482" s="700" t="str">
        <f t="shared" si="1908"/>
        <v/>
      </c>
      <c r="AL2482" s="700"/>
      <c r="AM2482" s="505" t="str">
        <f t="shared" si="1909"/>
        <v/>
      </c>
      <c r="AN2482" s="506"/>
      <c r="AO2482" s="507"/>
      <c r="AP2482" s="507"/>
      <c r="AQ2482" s="507"/>
      <c r="AR2482" s="507"/>
      <c r="AS2482" s="507"/>
      <c r="AT2482" s="507"/>
      <c r="AU2482" s="507"/>
      <c r="AV2482" s="225"/>
      <c r="AW2482" s="508"/>
      <c r="AX2482" s="225"/>
      <c r="AY2482" s="225"/>
      <c r="AZ2482" s="225"/>
      <c r="BA2482" s="225"/>
      <c r="BB2482" s="225"/>
      <c r="BC2482" s="56"/>
      <c r="BD2482" s="56"/>
      <c r="BE2482" s="56"/>
      <c r="BF2482" s="107" t="str">
        <f t="shared" si="1910"/>
        <v>https://www.google.com/search?tbm=isch&amp;q=Moonglow%20Magnolia%20Magnolia%20virginiana%20%27Jim%20Wilson%27%20PP%2312065</v>
      </c>
      <c r="BG2482" s="107" t="str">
        <f t="shared" si="1911"/>
        <v>M</v>
      </c>
      <c r="BH2482" s="254"/>
      <c r="BI2482" s="254"/>
    </row>
    <row r="2483" spans="1:61" customFormat="1" ht="15.75" x14ac:dyDescent="0.25">
      <c r="A2483" s="276">
        <v>7</v>
      </c>
      <c r="B2483" s="240" t="s">
        <v>291</v>
      </c>
      <c r="C2483" s="241" t="s">
        <v>3649</v>
      </c>
      <c r="D2483" s="242" t="s">
        <v>292</v>
      </c>
      <c r="E2483" s="243">
        <v>123.95</v>
      </c>
      <c r="F2483" s="517" t="s">
        <v>293</v>
      </c>
      <c r="G2483" s="232">
        <v>0</v>
      </c>
      <c r="H2483" s="661" t="str">
        <f>IF(G2483=0,"",IF(F2483="Buy",IF(G2483=1,"plant","plants"),IF(F2483&gt;0.01,"warranty","Error")))</f>
        <v/>
      </c>
      <c r="I2483" s="244">
        <f>IF(H2483="free",0,IF(H2483="credit",((E2483*(F2483))*G2483*-1),IF(F2483="Buy",(E2483*G2483),((E2483*(1-F2483))*G2483))))</f>
        <v>0</v>
      </c>
      <c r="J2483" s="244">
        <f>IF(H2483="warranty",0,(I2483*(_xlfn.SINGLE(SalesTaxPercentage))))</f>
        <v>0</v>
      </c>
      <c r="K2483" s="696">
        <f t="shared" ref="K2483" si="1934">I2483+J2483</f>
        <v>0</v>
      </c>
      <c r="L2483" s="696"/>
      <c r="M2483" s="659" t="str">
        <f>IF(AND(G2483&gt;0,E2483=0),"WARNING - no PRICE inserted",IF(H2483="free"," FREE ~ no charge this plant",IF(H2483="credit",CONCATENATE(" -$",ROUND(K2483*(1-T2GDiscount)*-1,2)," CREDIT after discount"),IF(T2GDiscount=0,"",IF(G2483=0,"",IF(F2483="Buy",CONCATENATE(" $",ROUND(K2483*(1-T2GDiscount),2)," with ",(T2GDiscount*100),"% discount"),CONCATENATE(" $",ROUND(K2483*(1-T2GDiscount),2)," with ",((T2GDiscount*100+F2483*100)-(T2GDiscount*100*F2483)),IF(F2483&gt;0,"% discounts",IF(NoWarrantyDiscount&gt;0,"% discounts","% discount")))))))))</f>
        <v/>
      </c>
      <c r="N2483" s="660"/>
      <c r="O2483" s="233"/>
      <c r="P2483" s="233"/>
      <c r="Q2483" s="233"/>
      <c r="R2483" s="233"/>
      <c r="S2483" s="233"/>
      <c r="T2483" s="508">
        <f t="shared" si="1899"/>
        <v>0</v>
      </c>
      <c r="U2483" s="225">
        <f>IF(NOT(ISNUMBER(G2483)), "", VLOOKUP(A2483,'Discount Lookup'!D:E,2,FALSE)*G2483)</f>
        <v>0</v>
      </c>
      <c r="V2483" s="225">
        <f>IF(NOT(ISNUMBER(G2483)), "", VLOOKUP(A2483,'Discount Lookup'!G:H,2,FALSE)*G2483)</f>
        <v>0</v>
      </c>
      <c r="W2483" s="508">
        <f t="shared" si="1900"/>
        <v>0</v>
      </c>
      <c r="X2483" s="508">
        <f t="shared" si="1901"/>
        <v>0</v>
      </c>
      <c r="Y2483" s="509" t="b">
        <f t="shared" si="1902"/>
        <v>0</v>
      </c>
      <c r="Z2483" s="510">
        <f t="shared" si="1903"/>
        <v>0</v>
      </c>
      <c r="AA2483" s="511"/>
      <c r="AB2483" s="511" t="str">
        <f t="shared" si="1904"/>
        <v/>
      </c>
      <c r="AC2483" s="698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698"/>
      <c r="AE2483" s="631" t="str">
        <f t="shared" si="1905"/>
        <v/>
      </c>
      <c r="AF2483" s="699" t="str">
        <f t="shared" si="1906"/>
        <v/>
      </c>
      <c r="AG2483" s="699"/>
      <c r="AH2483" s="699"/>
      <c r="AI2483" s="512">
        <f>IF(H2483="credit",0,IF(AE2483="free",0,IF(AE2483="me",0,IF(G2483&gt;0,(VLOOKUP(A2483,'Discount Lookup'!J:K,2)*G2483),0))))</f>
        <v>0</v>
      </c>
      <c r="AJ2483" s="513" t="str">
        <f t="shared" ca="1" si="1907"/>
        <v/>
      </c>
      <c r="AK2483" s="700" t="str">
        <f t="shared" si="1908"/>
        <v/>
      </c>
      <c r="AL2483" s="700"/>
      <c r="AM2483" s="505" t="str">
        <f t="shared" si="1909"/>
        <v/>
      </c>
      <c r="AN2483" s="506"/>
      <c r="AO2483" s="507"/>
      <c r="AP2483" s="507"/>
      <c r="AQ2483" s="507"/>
      <c r="AR2483" s="507"/>
      <c r="AS2483" s="507"/>
      <c r="AT2483" s="507"/>
      <c r="AU2483" s="507"/>
      <c r="AV2483" s="225"/>
      <c r="AW2483" s="508"/>
      <c r="AX2483" s="225"/>
      <c r="AY2483" s="225"/>
      <c r="AZ2483" s="225"/>
      <c r="BA2483" s="225"/>
      <c r="BB2483" s="225"/>
      <c r="BC2483" s="56"/>
      <c r="BD2483" s="56"/>
      <c r="BE2483" s="56"/>
      <c r="BF2483" s="107" t="str">
        <f t="shared" si="1910"/>
        <v>https://www.google.com/search?tbm=isch&amp;q=7%20G4</v>
      </c>
      <c r="BG2483" s="107" t="str">
        <f t="shared" si="1911"/>
        <v>M</v>
      </c>
      <c r="BH2483" s="254"/>
      <c r="BI2483" s="254"/>
    </row>
    <row r="2484" spans="1:61" customFormat="1" ht="15.75" x14ac:dyDescent="0.25">
      <c r="A2484" s="276">
        <v>7</v>
      </c>
      <c r="B2484" s="240" t="s">
        <v>291</v>
      </c>
      <c r="C2484" s="241" t="s">
        <v>3650</v>
      </c>
      <c r="D2484" s="242" t="s">
        <v>292</v>
      </c>
      <c r="E2484" s="243">
        <v>123.95</v>
      </c>
      <c r="F2484" s="517" t="s">
        <v>293</v>
      </c>
      <c r="G2484" s="232">
        <v>0</v>
      </c>
      <c r="H2484" s="661" t="str">
        <f>IF(G2484=0,"",IF(F2484="Buy",IF(G2484=1,"plant","plants"),IF(F2484&gt;0.01,"warranty","Error")))</f>
        <v/>
      </c>
      <c r="I2484" s="244">
        <f>IF(H2484="free",0,IF(H2484="credit",((E2484*(F2484))*G2484*-1),IF(F2484="Buy",(E2484*G2484),((E2484*(1-F2484))*G2484))))</f>
        <v>0</v>
      </c>
      <c r="J2484" s="244">
        <f>IF(H2484="warranty",0,(I2484*(_xlfn.SINGLE(SalesTaxPercentage))))</f>
        <v>0</v>
      </c>
      <c r="K2484" s="696">
        <f t="shared" ref="K2484" si="1935">I2484+J2484</f>
        <v>0</v>
      </c>
      <c r="L2484" s="696"/>
      <c r="M2484" s="659" t="str">
        <f>IF(AND(G2484&gt;0,E2484=0),"WARNING - no PRICE inserted",IF(H2484="free"," FREE ~ no charge this plant",IF(H2484="credit",CONCATENATE(" -$",ROUND(K2484*(1-T2GDiscount)*-1,2)," CREDIT after discount"),IF(T2GDiscount=0,"",IF(G2484=0,"",IF(F2484="Buy",CONCATENATE(" $",ROUND(K2484*(1-T2GDiscount),2)," with ",(T2GDiscount*100),"% discount"),CONCATENATE(" $",ROUND(K2484*(1-T2GDiscount),2)," with ",((T2GDiscount*100+F2484*100)-(T2GDiscount*100*F2484)),IF(F2484&gt;0,"% discounts",IF(NoWarrantyDiscount&gt;0,"% discounts","% discount")))))))))</f>
        <v/>
      </c>
      <c r="N2484" s="660"/>
      <c r="O2484" s="233"/>
      <c r="P2484" s="233"/>
      <c r="Q2484" s="233"/>
      <c r="R2484" s="233"/>
      <c r="S2484" s="233"/>
      <c r="T2484" s="508">
        <f t="shared" si="1899"/>
        <v>0</v>
      </c>
      <c r="U2484" s="225">
        <f>IF(NOT(ISNUMBER(G2484)), "", VLOOKUP(A2484,'Discount Lookup'!D:E,2,FALSE)*G2484)</f>
        <v>0</v>
      </c>
      <c r="V2484" s="225">
        <f>IF(NOT(ISNUMBER(G2484)), "", VLOOKUP(A2484,'Discount Lookup'!G:H,2,FALSE)*G2484)</f>
        <v>0</v>
      </c>
      <c r="W2484" s="508">
        <f t="shared" si="1900"/>
        <v>0</v>
      </c>
      <c r="X2484" s="508">
        <f t="shared" si="1901"/>
        <v>0</v>
      </c>
      <c r="Y2484" s="509" t="b">
        <f t="shared" si="1902"/>
        <v>0</v>
      </c>
      <c r="Z2484" s="510">
        <f t="shared" si="1903"/>
        <v>0</v>
      </c>
      <c r="AA2484" s="511"/>
      <c r="AB2484" s="511" t="str">
        <f t="shared" si="1904"/>
        <v/>
      </c>
      <c r="AC2484" s="698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698"/>
      <c r="AE2484" s="631" t="str">
        <f t="shared" si="1905"/>
        <v/>
      </c>
      <c r="AF2484" s="699" t="str">
        <f t="shared" si="1906"/>
        <v/>
      </c>
      <c r="AG2484" s="699"/>
      <c r="AH2484" s="699"/>
      <c r="AI2484" s="512">
        <f>IF(H2484="credit",0,IF(AE2484="free",0,IF(AE2484="me",0,IF(G2484&gt;0,(VLOOKUP(A2484,'Discount Lookup'!J:K,2)*G2484),0))))</f>
        <v>0</v>
      </c>
      <c r="AJ2484" s="513" t="str">
        <f t="shared" ca="1" si="1907"/>
        <v/>
      </c>
      <c r="AK2484" s="700" t="str">
        <f t="shared" si="1908"/>
        <v/>
      </c>
      <c r="AL2484" s="700"/>
      <c r="AM2484" s="505" t="str">
        <f t="shared" si="1909"/>
        <v/>
      </c>
      <c r="AN2484" s="506"/>
      <c r="AO2484" s="507"/>
      <c r="AP2484" s="507"/>
      <c r="AQ2484" s="507"/>
      <c r="AR2484" s="507"/>
      <c r="AS2484" s="507"/>
      <c r="AT2484" s="507"/>
      <c r="AU2484" s="507"/>
      <c r="AV2484" s="225"/>
      <c r="AW2484" s="508"/>
      <c r="AX2484" s="225"/>
      <c r="AY2484" s="225"/>
      <c r="AZ2484" s="225"/>
      <c r="BA2484" s="225"/>
      <c r="BB2484" s="225"/>
      <c r="BC2484" s="56"/>
      <c r="BD2484" s="56"/>
      <c r="BE2484" s="56"/>
      <c r="BF2484" s="107" t="str">
        <f t="shared" si="1910"/>
        <v>https://www.google.com/search?tbm=isch&amp;q=7%20G4</v>
      </c>
      <c r="BG2484" s="107" t="str">
        <f t="shared" si="1911"/>
        <v>M</v>
      </c>
      <c r="BH2484" s="254"/>
      <c r="BI2484" s="254"/>
    </row>
    <row r="2485" spans="1:61" customFormat="1" ht="15.75" x14ac:dyDescent="0.25">
      <c r="A2485" s="276">
        <v>15</v>
      </c>
      <c r="B2485" s="240" t="s">
        <v>291</v>
      </c>
      <c r="C2485" s="241" t="s">
        <v>4429</v>
      </c>
      <c r="D2485" s="242" t="s">
        <v>292</v>
      </c>
      <c r="E2485" s="243">
        <v>192.95</v>
      </c>
      <c r="F2485" s="517" t="s">
        <v>293</v>
      </c>
      <c r="G2485" s="232">
        <v>0</v>
      </c>
      <c r="H2485" s="661" t="str">
        <f>IF(G2485=0,"",IF(F2485="Buy",IF(G2485=1,"plant","plants"),IF(F2485&gt;0.01,"warranty","Error")))</f>
        <v/>
      </c>
      <c r="I2485" s="244">
        <f>IF(H2485="free",0,IF(H2485="credit",((E2485*(F2485))*G2485*-1),IF(F2485="Buy",(E2485*G2485),((E2485*(1-F2485))*G2485))))</f>
        <v>0</v>
      </c>
      <c r="J2485" s="244">
        <f>IF(H2485="warranty",0,(I2485*(_xlfn.SINGLE(SalesTaxPercentage))))</f>
        <v>0</v>
      </c>
      <c r="K2485" s="696">
        <f t="shared" ref="K2485" si="1936">I2485+J2485</f>
        <v>0</v>
      </c>
      <c r="L2485" s="696"/>
      <c r="M2485" s="659" t="str">
        <f>IF(AND(G2485&gt;0,E2485=0),"WARNING - no PRICE inserted",IF(H2485="free"," FREE ~ no charge this plant",IF(H2485="credit",CONCATENATE(" -$",ROUND(K2485*(1-T2GDiscount)*-1,2)," CREDIT after discount"),IF(T2GDiscount=0,"",IF(G2485=0,"",IF(F2485="Buy",CONCATENATE(" $",ROUND(K2485*(1-T2GDiscount),2)," with ",(T2GDiscount*100),"% discount"),CONCATENATE(" $",ROUND(K2485*(1-T2GDiscount),2)," with ",((T2GDiscount*100+F2485*100)-(T2GDiscount*100*F2485)),IF(F2485&gt;0,"% discounts",IF(NoWarrantyDiscount&gt;0,"% discounts","% discount")))))))))</f>
        <v/>
      </c>
      <c r="N2485" s="660"/>
      <c r="O2485" s="233"/>
      <c r="P2485" s="233"/>
      <c r="Q2485" s="233"/>
      <c r="R2485" s="233"/>
      <c r="S2485" s="233"/>
      <c r="T2485" s="508">
        <f t="shared" si="1899"/>
        <v>0</v>
      </c>
      <c r="U2485" s="225">
        <f>IF(NOT(ISNUMBER(G2485)), "", VLOOKUP(A2485,'Discount Lookup'!D:E,2,FALSE)*G2485)</f>
        <v>0</v>
      </c>
      <c r="V2485" s="225">
        <f>IF(NOT(ISNUMBER(G2485)), "", VLOOKUP(A2485,'Discount Lookup'!G:H,2,FALSE)*G2485)</f>
        <v>0</v>
      </c>
      <c r="W2485" s="508">
        <f t="shared" si="1900"/>
        <v>0</v>
      </c>
      <c r="X2485" s="508">
        <f t="shared" si="1901"/>
        <v>0</v>
      </c>
      <c r="Y2485" s="509" t="b">
        <f t="shared" si="1902"/>
        <v>0</v>
      </c>
      <c r="Z2485" s="510">
        <f t="shared" si="1903"/>
        <v>0</v>
      </c>
      <c r="AA2485" s="511"/>
      <c r="AB2485" s="511" t="str">
        <f t="shared" si="1904"/>
        <v/>
      </c>
      <c r="AC2485" s="698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698"/>
      <c r="AE2485" s="631" t="str">
        <f t="shared" si="1905"/>
        <v/>
      </c>
      <c r="AF2485" s="699" t="str">
        <f t="shared" si="1906"/>
        <v/>
      </c>
      <c r="AG2485" s="699"/>
      <c r="AH2485" s="699"/>
      <c r="AI2485" s="512">
        <f>IF(H2485="credit",0,IF(AE2485="free",0,IF(AE2485="me",0,IF(G2485&gt;0,(VLOOKUP(A2485,'Discount Lookup'!J:K,2)*G2485),0))))</f>
        <v>0</v>
      </c>
      <c r="AJ2485" s="513" t="str">
        <f t="shared" ca="1" si="1907"/>
        <v/>
      </c>
      <c r="AK2485" s="700" t="str">
        <f t="shared" si="1908"/>
        <v/>
      </c>
      <c r="AL2485" s="700"/>
      <c r="AM2485" s="505" t="str">
        <f t="shared" si="1909"/>
        <v/>
      </c>
      <c r="AN2485" s="506"/>
      <c r="AO2485" s="507"/>
      <c r="AP2485" s="507"/>
      <c r="AQ2485" s="507"/>
      <c r="AR2485" s="507"/>
      <c r="AS2485" s="507"/>
      <c r="AT2485" s="507"/>
      <c r="AU2485" s="507"/>
      <c r="AV2485" s="225"/>
      <c r="AW2485" s="508"/>
      <c r="AX2485" s="225"/>
      <c r="AY2485" s="225"/>
      <c r="AZ2485" s="225"/>
      <c r="BA2485" s="225"/>
      <c r="BB2485" s="225"/>
      <c r="BC2485" s="56"/>
      <c r="BD2485" s="56"/>
      <c r="BE2485" s="56"/>
      <c r="BF2485" s="107" t="str">
        <f t="shared" si="1910"/>
        <v>https://www.google.com/search?tbm=isch&amp;q=15%20G4</v>
      </c>
      <c r="BG2485" s="107" t="str">
        <f t="shared" si="1911"/>
        <v>M</v>
      </c>
      <c r="BH2485" s="254"/>
      <c r="BI2485" s="254"/>
    </row>
    <row r="2486" spans="1:61" customFormat="1" ht="27" x14ac:dyDescent="0.25">
      <c r="A2486" s="276">
        <v>15</v>
      </c>
      <c r="B2486" s="240" t="s">
        <v>291</v>
      </c>
      <c r="C2486" s="241" t="s">
        <v>3651</v>
      </c>
      <c r="D2486" s="242" t="s">
        <v>292</v>
      </c>
      <c r="E2486" s="243">
        <v>192.95</v>
      </c>
      <c r="F2486" s="517" t="s">
        <v>293</v>
      </c>
      <c r="G2486" s="232">
        <v>0</v>
      </c>
      <c r="H2486" s="661" t="str">
        <f>IF(G2486=0,"",IF(F2486="Buy",IF(G2486=1,"plant","plants"),IF(F2486&gt;0.01,"warranty","Error")))</f>
        <v/>
      </c>
      <c r="I2486" s="244">
        <f>IF(H2486="free",0,IF(H2486="credit",((E2486*(F2486))*G2486*-1),IF(F2486="Buy",(E2486*G2486),((E2486*(1-F2486))*G2486))))</f>
        <v>0</v>
      </c>
      <c r="J2486" s="244">
        <f>IF(H2486="warranty",0,(I2486*(_xlfn.SINGLE(SalesTaxPercentage))))</f>
        <v>0</v>
      </c>
      <c r="K2486" s="696">
        <f t="shared" ref="K2486" si="1937">I2486+J2486</f>
        <v>0</v>
      </c>
      <c r="L2486" s="696"/>
      <c r="M2486" s="659" t="str">
        <f>IF(AND(G2486&gt;0,E2486=0),"WARNING - no PRICE inserted",IF(H2486="free"," FREE ~ no charge this plant",IF(H2486="credit",CONCATENATE(" -$",ROUND(K2486*(1-T2GDiscount)*-1,2)," CREDIT after discount"),IF(T2GDiscount=0,"",IF(G2486=0,"",IF(F2486="Buy",CONCATENATE(" $",ROUND(K2486*(1-T2GDiscount),2)," with ",(T2GDiscount*100),"% discount"),CONCATENATE(" $",ROUND(K2486*(1-T2GDiscount),2)," with ",((T2GDiscount*100+F2486*100)-(T2GDiscount*100*F2486)),IF(F2486&gt;0,"% discounts",IF(NoWarrantyDiscount&gt;0,"% discounts","% discount")))))))))</f>
        <v/>
      </c>
      <c r="N2486" s="660"/>
      <c r="O2486" s="233"/>
      <c r="P2486" s="233"/>
      <c r="Q2486" s="233"/>
      <c r="R2486" s="233"/>
      <c r="S2486" s="233"/>
      <c r="T2486" s="508">
        <f t="shared" si="1899"/>
        <v>0</v>
      </c>
      <c r="U2486" s="225">
        <f>IF(NOT(ISNUMBER(G2486)), "", VLOOKUP(A2486,'Discount Lookup'!D:E,2,FALSE)*G2486)</f>
        <v>0</v>
      </c>
      <c r="V2486" s="225">
        <f>IF(NOT(ISNUMBER(G2486)), "", VLOOKUP(A2486,'Discount Lookup'!G:H,2,FALSE)*G2486)</f>
        <v>0</v>
      </c>
      <c r="W2486" s="508">
        <f t="shared" si="1900"/>
        <v>0</v>
      </c>
      <c r="X2486" s="508">
        <f t="shared" si="1901"/>
        <v>0</v>
      </c>
      <c r="Y2486" s="509" t="b">
        <f t="shared" si="1902"/>
        <v>0</v>
      </c>
      <c r="Z2486" s="510">
        <f t="shared" si="1903"/>
        <v>0</v>
      </c>
      <c r="AA2486" s="511"/>
      <c r="AB2486" s="511" t="str">
        <f t="shared" si="1904"/>
        <v/>
      </c>
      <c r="AC2486" s="698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698"/>
      <c r="AE2486" s="631" t="str">
        <f t="shared" si="1905"/>
        <v/>
      </c>
      <c r="AF2486" s="699" t="str">
        <f t="shared" si="1906"/>
        <v/>
      </c>
      <c r="AG2486" s="699"/>
      <c r="AH2486" s="699"/>
      <c r="AI2486" s="512">
        <f>IF(H2486="credit",0,IF(AE2486="free",0,IF(AE2486="me",0,IF(G2486&gt;0,(VLOOKUP(A2486,'Discount Lookup'!J:K,2)*G2486),0))))</f>
        <v>0</v>
      </c>
      <c r="AJ2486" s="513" t="str">
        <f t="shared" ca="1" si="1907"/>
        <v/>
      </c>
      <c r="AK2486" s="700" t="str">
        <f t="shared" si="1908"/>
        <v/>
      </c>
      <c r="AL2486" s="700"/>
      <c r="AM2486" s="505" t="str">
        <f t="shared" si="1909"/>
        <v/>
      </c>
      <c r="AN2486" s="506"/>
      <c r="AO2486" s="507"/>
      <c r="AP2486" s="507"/>
      <c r="AQ2486" s="507"/>
      <c r="AR2486" s="507"/>
      <c r="AS2486" s="507"/>
      <c r="AT2486" s="507"/>
      <c r="AU2486" s="507"/>
      <c r="AV2486" s="225"/>
      <c r="AW2486" s="508"/>
      <c r="AX2486" s="225"/>
      <c r="AY2486" s="225"/>
      <c r="AZ2486" s="225"/>
      <c r="BA2486" s="225"/>
      <c r="BB2486" s="225"/>
      <c r="BC2486" s="56"/>
      <c r="BD2486" s="56"/>
      <c r="BE2486" s="56"/>
      <c r="BF2486" s="107" t="str">
        <f t="shared" si="1910"/>
        <v>https://www.google.com/search?tbm=isch&amp;q=15%20G4</v>
      </c>
      <c r="BG2486" s="107" t="str">
        <f t="shared" si="1911"/>
        <v>M</v>
      </c>
      <c r="BH2486" s="254"/>
      <c r="BI2486" s="254"/>
    </row>
    <row r="2487" spans="1:61" customFormat="1" ht="15.75" x14ac:dyDescent="0.25">
      <c r="A2487" s="276">
        <v>25</v>
      </c>
      <c r="B2487" s="240" t="s">
        <v>291</v>
      </c>
      <c r="C2487" s="241" t="s">
        <v>4789</v>
      </c>
      <c r="D2487" s="242" t="s">
        <v>292</v>
      </c>
      <c r="E2487" s="243">
        <v>367.95</v>
      </c>
      <c r="F2487" s="517" t="s">
        <v>293</v>
      </c>
      <c r="G2487" s="232">
        <v>0</v>
      </c>
      <c r="H2487" s="661" t="str">
        <f>IF(G2487=0,"",IF(F2487="Buy",IF(G2487=1,"plant","plants"),IF(F2487&gt;0.01,"warranty","Error")))</f>
        <v/>
      </c>
      <c r="I2487" s="244">
        <f>IF(H2487="free",0,IF(H2487="credit",((E2487*(F2487))*G2487*-1),IF(F2487="Buy",(E2487*G2487),((E2487*(1-F2487))*G2487))))</f>
        <v>0</v>
      </c>
      <c r="J2487" s="244">
        <f>IF(H2487="warranty",0,(I2487*(_xlfn.SINGLE(SalesTaxPercentage))))</f>
        <v>0</v>
      </c>
      <c r="K2487" s="696">
        <f t="shared" ref="K2487" si="1938">I2487+J2487</f>
        <v>0</v>
      </c>
      <c r="L2487" s="696"/>
      <c r="M2487" s="659" t="str">
        <f>IF(AND(G2487&gt;0,E2487=0),"WARNING - no PRICE inserted",IF(H2487="free"," FREE ~ no charge this plant",IF(H2487="credit",CONCATENATE(" -$",ROUND(K2487*(1-T2GDiscount)*-1,2)," CREDIT after discount"),IF(T2GDiscount=0,"",IF(G2487=0,"",IF(F2487="Buy",CONCATENATE(" $",ROUND(K2487*(1-T2GDiscount),2)," with ",(T2GDiscount*100),"% discount"),CONCATENATE(" $",ROUND(K2487*(1-T2GDiscount),2)," with ",((T2GDiscount*100+F2487*100)-(T2GDiscount*100*F2487)),IF(F2487&gt;0,"% discounts",IF(NoWarrantyDiscount&gt;0,"% discounts","% discount")))))))))</f>
        <v/>
      </c>
      <c r="N2487" s="660"/>
      <c r="O2487" s="233"/>
      <c r="P2487" s="233"/>
      <c r="Q2487" s="233"/>
      <c r="R2487" s="233"/>
      <c r="S2487" s="233"/>
      <c r="T2487" s="508">
        <f t="shared" si="1899"/>
        <v>0</v>
      </c>
      <c r="U2487" s="225">
        <f>IF(NOT(ISNUMBER(G2487)), "", VLOOKUP(A2487,'Discount Lookup'!D:E,2,FALSE)*G2487)</f>
        <v>0</v>
      </c>
      <c r="V2487" s="225">
        <f>IF(NOT(ISNUMBER(G2487)), "", VLOOKUP(A2487,'Discount Lookup'!G:H,2,FALSE)*G2487)</f>
        <v>0</v>
      </c>
      <c r="W2487" s="508">
        <f t="shared" si="1900"/>
        <v>0</v>
      </c>
      <c r="X2487" s="508">
        <f t="shared" si="1901"/>
        <v>0</v>
      </c>
      <c r="Y2487" s="509" t="b">
        <f t="shared" si="1902"/>
        <v>0</v>
      </c>
      <c r="Z2487" s="510">
        <f t="shared" si="1903"/>
        <v>0</v>
      </c>
      <c r="AA2487" s="511"/>
      <c r="AB2487" s="511" t="str">
        <f t="shared" si="1904"/>
        <v/>
      </c>
      <c r="AC2487" s="698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698"/>
      <c r="AE2487" s="631" t="str">
        <f t="shared" si="1905"/>
        <v/>
      </c>
      <c r="AF2487" s="699" t="str">
        <f t="shared" si="1906"/>
        <v/>
      </c>
      <c r="AG2487" s="699"/>
      <c r="AH2487" s="699"/>
      <c r="AI2487" s="512">
        <f>IF(H2487="credit",0,IF(AE2487="free",0,IF(AE2487="me",0,IF(G2487&gt;0,(VLOOKUP(A2487,'Discount Lookup'!J:K,2)*G2487),0))))</f>
        <v>0</v>
      </c>
      <c r="AJ2487" s="513" t="str">
        <f t="shared" ca="1" si="1907"/>
        <v/>
      </c>
      <c r="AK2487" s="700" t="str">
        <f t="shared" si="1908"/>
        <v/>
      </c>
      <c r="AL2487" s="700"/>
      <c r="AM2487" s="505" t="str">
        <f t="shared" si="1909"/>
        <v/>
      </c>
      <c r="AN2487" s="506"/>
      <c r="AO2487" s="507"/>
      <c r="AP2487" s="507"/>
      <c r="AQ2487" s="507"/>
      <c r="AR2487" s="507"/>
      <c r="AS2487" s="507"/>
      <c r="AT2487" s="507"/>
      <c r="AU2487" s="507"/>
      <c r="AV2487" s="225"/>
      <c r="AW2487" s="508"/>
      <c r="AX2487" s="225"/>
      <c r="AY2487" s="225"/>
      <c r="AZ2487" s="225"/>
      <c r="BA2487" s="225"/>
      <c r="BB2487" s="225"/>
      <c r="BC2487" s="56"/>
      <c r="BD2487" s="56"/>
      <c r="BE2487" s="56"/>
      <c r="BF2487" s="107" t="str">
        <f t="shared" si="1910"/>
        <v>https://www.google.com/search?tbm=isch&amp;q=25%20G4</v>
      </c>
      <c r="BG2487" s="107" t="str">
        <f t="shared" si="1911"/>
        <v>M</v>
      </c>
      <c r="BH2487" s="254"/>
      <c r="BI2487" s="254"/>
    </row>
    <row r="2488" spans="1:61" customFormat="1" ht="17.25" thickBot="1" x14ac:dyDescent="0.3">
      <c r="A2488" s="673" t="s">
        <v>5177</v>
      </c>
      <c r="B2488" s="245"/>
      <c r="C2488" s="677"/>
      <c r="D2488" s="499"/>
      <c r="E2488" s="499"/>
      <c r="F2488" s="500"/>
      <c r="G2488" s="501"/>
      <c r="H2488" s="502"/>
      <c r="I2488" s="246"/>
      <c r="J2488" s="247"/>
      <c r="K2488" s="503"/>
      <c r="L2488" s="544"/>
      <c r="M2488" s="544"/>
      <c r="N2488" s="500"/>
      <c r="O2488" s="500"/>
      <c r="P2488" s="500"/>
      <c r="Q2488" s="500"/>
      <c r="R2488" s="500"/>
      <c r="S2488" s="669" t="s">
        <v>4976</v>
      </c>
      <c r="T2488" s="508">
        <f t="shared" si="1899"/>
        <v>0</v>
      </c>
      <c r="U2488" s="225" t="str">
        <f>IF(NOT(ISNUMBER(G2488)), "", VLOOKUP(A2488,'Discount Lookup'!D:E,2,FALSE)*G2488)</f>
        <v/>
      </c>
      <c r="V2488" s="225" t="str">
        <f>IF(NOT(ISNUMBER(G2488)), "", VLOOKUP(A2488,'Discount Lookup'!G:H,2,FALSE)*G2488)</f>
        <v/>
      </c>
      <c r="W2488" s="508">
        <f t="shared" si="1900"/>
        <v>0</v>
      </c>
      <c r="X2488" s="508">
        <f t="shared" si="1901"/>
        <v>0</v>
      </c>
      <c r="Y2488" s="509" t="b">
        <f t="shared" si="1902"/>
        <v>0</v>
      </c>
      <c r="Z2488" s="510">
        <f t="shared" si="1903"/>
        <v>0</v>
      </c>
      <c r="AA2488" s="511"/>
      <c r="AB2488" s="511" t="str">
        <f t="shared" si="1904"/>
        <v/>
      </c>
      <c r="AC2488" s="698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698"/>
      <c r="AE2488" s="631" t="str">
        <f t="shared" si="1905"/>
        <v/>
      </c>
      <c r="AF2488" s="699" t="str">
        <f t="shared" si="1906"/>
        <v/>
      </c>
      <c r="AG2488" s="699"/>
      <c r="AH2488" s="699"/>
      <c r="AI2488" s="512">
        <f>IF(H2488="credit",0,IF(AE2488="free",0,IF(AE2488="me",0,IF(G2488&gt;0,(VLOOKUP(A2488,'Discount Lookup'!J:K,2)*G2488),0))))</f>
        <v>0</v>
      </c>
      <c r="AJ2488" s="513" t="str">
        <f t="shared" ca="1" si="1907"/>
        <v/>
      </c>
      <c r="AK2488" s="700" t="str">
        <f t="shared" si="1908"/>
        <v/>
      </c>
      <c r="AL2488" s="700"/>
      <c r="AM2488" s="505" t="str">
        <f t="shared" si="1909"/>
        <v/>
      </c>
      <c r="AN2488" s="506"/>
      <c r="AO2488" s="507"/>
      <c r="AP2488" s="507"/>
      <c r="AQ2488" s="507"/>
      <c r="AR2488" s="507"/>
      <c r="AS2488" s="507"/>
      <c r="AT2488" s="507"/>
      <c r="AU2488" s="507"/>
      <c r="AV2488" s="225"/>
      <c r="AW2488" s="508"/>
      <c r="AX2488" s="225"/>
      <c r="AY2488" s="225"/>
      <c r="AZ2488" s="225"/>
      <c r="BA2488" s="225"/>
      <c r="BB2488" s="225"/>
      <c r="BC2488" s="56"/>
      <c r="BD2488" s="56"/>
      <c r="BE2488" s="56"/>
      <c r="BF2488" s="107" t="str">
        <f t="shared" si="1910"/>
        <v>https://www.google.com/search?tbm=isch&amp;q=wet%20sites%F0%9F%92%A7GOOD%2C%20Moonglow%20has%20Lemony%20fragrant%20blooms%20mid-spring.%20Dark%20Green%20leaves%20are%20Silvery-Green%20below%20</v>
      </c>
      <c r="BG2488" s="107" t="str">
        <f t="shared" si="1911"/>
        <v>w</v>
      </c>
      <c r="BH2488" s="254"/>
      <c r="BI2488" s="254"/>
    </row>
    <row r="2489" spans="1:61" customFormat="1" ht="18" x14ac:dyDescent="0.25">
      <c r="A2489" s="523" t="s">
        <v>5459</v>
      </c>
      <c r="B2489" s="235"/>
      <c r="C2489" s="676"/>
      <c r="D2489" s="255" t="s">
        <v>1369</v>
      </c>
      <c r="E2489" s="236"/>
      <c r="F2489" s="236"/>
      <c r="G2489" s="236"/>
      <c r="H2489" s="582" t="s">
        <v>905</v>
      </c>
      <c r="I2489" s="498" t="s">
        <v>1699</v>
      </c>
      <c r="J2489" s="237"/>
      <c r="K2489" s="237"/>
      <c r="L2489" s="274"/>
      <c r="M2489" s="668" t="s">
        <v>4962</v>
      </c>
      <c r="N2489" s="681" t="str">
        <f>IF(AND(ISTEXT($A2489), ISERROR($A2489+0)), HYPERLINK($BF2489, "Images"), "")</f>
        <v>Images</v>
      </c>
      <c r="O2489" s="663" t="s">
        <v>4974</v>
      </c>
      <c r="P2489" s="253"/>
      <c r="Q2489" s="238"/>
      <c r="R2489" s="239"/>
      <c r="S2489" s="275"/>
      <c r="T2489" s="508">
        <f t="shared" si="1899"/>
        <v>0</v>
      </c>
      <c r="U2489" s="225" t="str">
        <f>IF(NOT(ISNUMBER(G2489)), "", VLOOKUP(A2489,'Discount Lookup'!D:E,2,FALSE)*G2489)</f>
        <v/>
      </c>
      <c r="V2489" s="225" t="str">
        <f>IF(NOT(ISNUMBER(G2489)), "", VLOOKUP(A2489,'Discount Lookup'!G:H,2,FALSE)*G2489)</f>
        <v/>
      </c>
      <c r="W2489" s="508">
        <f t="shared" si="1900"/>
        <v>0</v>
      </c>
      <c r="X2489" s="508" t="str">
        <f t="shared" si="1901"/>
        <v>Creamy Yellow bloom</v>
      </c>
      <c r="Y2489" s="509" t="b">
        <f t="shared" si="1902"/>
        <v>0</v>
      </c>
      <c r="Z2489" s="510">
        <f t="shared" si="1903"/>
        <v>0</v>
      </c>
      <c r="AA2489" s="511"/>
      <c r="AB2489" s="511" t="str">
        <f t="shared" si="1904"/>
        <v/>
      </c>
      <c r="AC2489" s="698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698"/>
      <c r="AE2489" s="631" t="str">
        <f t="shared" si="1905"/>
        <v/>
      </c>
      <c r="AF2489" s="699" t="str">
        <f t="shared" si="1906"/>
        <v/>
      </c>
      <c r="AG2489" s="699"/>
      <c r="AH2489" s="699"/>
      <c r="AI2489" s="512">
        <f>IF(H2489="credit",0,IF(AE2489="free",0,IF(AE2489="me",0,IF(G2489&gt;0,(VLOOKUP(A2489,'Discount Lookup'!J:K,2)*G2489),0))))</f>
        <v>0</v>
      </c>
      <c r="AJ2489" s="513" t="str">
        <f t="shared" ca="1" si="1907"/>
        <v/>
      </c>
      <c r="AK2489" s="700" t="str">
        <f t="shared" si="1908"/>
        <v/>
      </c>
      <c r="AL2489" s="700"/>
      <c r="AM2489" s="505" t="str">
        <f t="shared" si="1909"/>
        <v/>
      </c>
      <c r="AN2489" s="506"/>
      <c r="AO2489" s="507"/>
      <c r="AP2489" s="507"/>
      <c r="AQ2489" s="507"/>
      <c r="AR2489" s="507"/>
      <c r="AS2489" s="507"/>
      <c r="AT2489" s="507"/>
      <c r="AU2489" s="507"/>
      <c r="AV2489" s="225"/>
      <c r="AW2489" s="508"/>
      <c r="AX2489" s="225"/>
      <c r="AY2489" s="225"/>
      <c r="AZ2489" s="225"/>
      <c r="BA2489" s="225"/>
      <c r="BB2489" s="225"/>
      <c r="BC2489" s="56"/>
      <c r="BD2489" s="56"/>
      <c r="BE2489" s="56"/>
      <c r="BF2489" s="107" t="str">
        <f t="shared" si="1910"/>
        <v>https://www.google.com/search?tbm=isch&amp;q=Moonlight%20Romantica%C2%AE%20Hybrid%20Tea%20Rose%20Rosa%20%27Meikaquinz%27%20PP%2330572</v>
      </c>
      <c r="BG2489" s="107" t="str">
        <f t="shared" si="1911"/>
        <v>M</v>
      </c>
      <c r="BH2489" s="254"/>
      <c r="BI2489" s="254"/>
    </row>
    <row r="2490" spans="1:61" customFormat="1" ht="15.75" x14ac:dyDescent="0.25">
      <c r="A2490" s="276">
        <v>3</v>
      </c>
      <c r="B2490" s="240" t="s">
        <v>291</v>
      </c>
      <c r="C2490" s="241" t="s">
        <v>2402</v>
      </c>
      <c r="D2490" s="242" t="s">
        <v>312</v>
      </c>
      <c r="E2490" s="243">
        <v>43.95</v>
      </c>
      <c r="F2490" s="517" t="s">
        <v>293</v>
      </c>
      <c r="G2490" s="232">
        <v>0</v>
      </c>
      <c r="H2490" s="661" t="str">
        <f>IF(G2490=0,"",IF(F2490="Buy",IF(G2490=1,"plant","plants"),IF(F2490&gt;0.01,"warranty","Error")))</f>
        <v/>
      </c>
      <c r="I2490" s="244">
        <f>IF(H2490="free",0,IF(H2490="credit",((E2490*(F2490))*G2490*-1),IF(F2490="Buy",(E2490*G2490),((E2490*(1-F2490))*G2490))))</f>
        <v>0</v>
      </c>
      <c r="J2490" s="244">
        <f>IF(H2490="warranty",0,(I2490*(_xlfn.SINGLE(SalesTaxPercentage))))</f>
        <v>0</v>
      </c>
      <c r="K2490" s="696">
        <f t="shared" ref="K2490" si="1939">I2490+J2490</f>
        <v>0</v>
      </c>
      <c r="L2490" s="696"/>
      <c r="M2490" s="659" t="str">
        <f>IF(AND(G2490&gt;0,E2490=0),"WARNING - no PRICE inserted",IF(H2490="free"," FREE ~ no charge this plant",IF(H2490="credit",CONCATENATE(" -$",ROUND(K2490*(1-T2GDiscount)*-1,2)," CREDIT after discount"),IF(T2GDiscount=0,"",IF(G2490=0,"",IF(F2490="Buy",CONCATENATE(" $",ROUND(K2490*(1-T2GDiscount),2)," with ",(T2GDiscount*100),"% discount"),CONCATENATE(" $",ROUND(K2490*(1-T2GDiscount),2)," with ",((T2GDiscount*100+F2490*100)-(T2GDiscount*100*F2490)),IF(F2490&gt;0,"% discounts",IF(NoWarrantyDiscount&gt;0,"% discounts","% discount")))))))))</f>
        <v/>
      </c>
      <c r="N2490" s="660"/>
      <c r="O2490" s="233"/>
      <c r="P2490" s="233"/>
      <c r="Q2490" s="233"/>
      <c r="R2490" s="233"/>
      <c r="S2490" s="233"/>
      <c r="T2490" s="508">
        <f t="shared" si="1899"/>
        <v>0</v>
      </c>
      <c r="U2490" s="225">
        <f>IF(NOT(ISNUMBER(G2490)), "", VLOOKUP(A2490,'Discount Lookup'!D:E,2,FALSE)*G2490)</f>
        <v>0</v>
      </c>
      <c r="V2490" s="225">
        <f>IF(NOT(ISNUMBER(G2490)), "", VLOOKUP(A2490,'Discount Lookup'!G:H,2,FALSE)*G2490)</f>
        <v>0</v>
      </c>
      <c r="W2490" s="508">
        <f t="shared" si="1900"/>
        <v>0</v>
      </c>
      <c r="X2490" s="508">
        <f t="shared" si="1901"/>
        <v>0</v>
      </c>
      <c r="Y2490" s="509" t="b">
        <f t="shared" si="1902"/>
        <v>0</v>
      </c>
      <c r="Z2490" s="510">
        <f t="shared" si="1903"/>
        <v>0</v>
      </c>
      <c r="AA2490" s="511"/>
      <c r="AB2490" s="511" t="str">
        <f t="shared" si="1904"/>
        <v/>
      </c>
      <c r="AC2490" s="698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698"/>
      <c r="AE2490" s="631" t="str">
        <f t="shared" si="1905"/>
        <v/>
      </c>
      <c r="AF2490" s="699" t="str">
        <f t="shared" si="1906"/>
        <v/>
      </c>
      <c r="AG2490" s="699"/>
      <c r="AH2490" s="699"/>
      <c r="AI2490" s="512">
        <f>IF(H2490="credit",0,IF(AE2490="free",0,IF(AE2490="me",0,IF(G2490&gt;0,(VLOOKUP(A2490,'Discount Lookup'!J:K,2)*G2490),0))))</f>
        <v>0</v>
      </c>
      <c r="AJ2490" s="513" t="str">
        <f t="shared" ca="1" si="1907"/>
        <v/>
      </c>
      <c r="AK2490" s="700" t="str">
        <f t="shared" si="1908"/>
        <v/>
      </c>
      <c r="AL2490" s="700"/>
      <c r="AM2490" s="505" t="str">
        <f t="shared" si="1909"/>
        <v/>
      </c>
      <c r="AN2490" s="506"/>
      <c r="AO2490" s="507"/>
      <c r="AP2490" s="507"/>
      <c r="AQ2490" s="507"/>
      <c r="AR2490" s="507"/>
      <c r="AS2490" s="507"/>
      <c r="AT2490" s="507"/>
      <c r="AU2490" s="507"/>
      <c r="AV2490" s="225"/>
      <c r="AW2490" s="508"/>
      <c r="AX2490" s="225"/>
      <c r="AY2490" s="225"/>
      <c r="AZ2490" s="225"/>
      <c r="BA2490" s="225"/>
      <c r="BB2490" s="225"/>
      <c r="BC2490" s="56"/>
      <c r="BD2490" s="56"/>
      <c r="BE2490" s="56"/>
      <c r="BF2490" s="107" t="str">
        <f t="shared" si="1910"/>
        <v>https://www.google.com/search?tbm=isch&amp;q=3%20G2</v>
      </c>
      <c r="BG2490" s="107" t="str">
        <f t="shared" si="1911"/>
        <v>M</v>
      </c>
      <c r="BH2490" s="254"/>
      <c r="BI2490" s="254"/>
    </row>
    <row r="2491" spans="1:61" customFormat="1" ht="17.25" thickBot="1" x14ac:dyDescent="0.3">
      <c r="A2491" s="524" t="s">
        <v>4129</v>
      </c>
      <c r="B2491" s="245"/>
      <c r="C2491" s="677"/>
      <c r="D2491" s="499"/>
      <c r="E2491" s="499"/>
      <c r="F2491" s="500"/>
      <c r="G2491" s="501"/>
      <c r="H2491" s="502"/>
      <c r="I2491" s="246"/>
      <c r="J2491" s="247"/>
      <c r="K2491" s="503"/>
      <c r="L2491" s="544"/>
      <c r="M2491" s="544"/>
      <c r="N2491" s="500"/>
      <c r="O2491" s="500"/>
      <c r="P2491" s="500"/>
      <c r="Q2491" s="500"/>
      <c r="R2491" s="500"/>
      <c r="S2491" s="669" t="s">
        <v>4980</v>
      </c>
      <c r="T2491" s="508">
        <f t="shared" si="1899"/>
        <v>0</v>
      </c>
      <c r="U2491" s="225" t="str">
        <f>IF(NOT(ISNUMBER(G2491)), "", VLOOKUP(A2491,'Discount Lookup'!D:E,2,FALSE)*G2491)</f>
        <v/>
      </c>
      <c r="V2491" s="225" t="str">
        <f>IF(NOT(ISNUMBER(G2491)), "", VLOOKUP(A2491,'Discount Lookup'!G:H,2,FALSE)*G2491)</f>
        <v/>
      </c>
      <c r="W2491" s="508">
        <f t="shared" si="1900"/>
        <v>0</v>
      </c>
      <c r="X2491" s="508">
        <f t="shared" si="1901"/>
        <v>0</v>
      </c>
      <c r="Y2491" s="509" t="b">
        <f t="shared" si="1902"/>
        <v>0</v>
      </c>
      <c r="Z2491" s="510">
        <f t="shared" si="1903"/>
        <v>0</v>
      </c>
      <c r="AA2491" s="511"/>
      <c r="AB2491" s="511" t="str">
        <f t="shared" si="1904"/>
        <v/>
      </c>
      <c r="AC2491" s="698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698"/>
      <c r="AE2491" s="631" t="str">
        <f t="shared" si="1905"/>
        <v/>
      </c>
      <c r="AF2491" s="699" t="str">
        <f t="shared" si="1906"/>
        <v/>
      </c>
      <c r="AG2491" s="699"/>
      <c r="AH2491" s="699"/>
      <c r="AI2491" s="512">
        <f>IF(H2491="credit",0,IF(AE2491="free",0,IF(AE2491="me",0,IF(G2491&gt;0,(VLOOKUP(A2491,'Discount Lookup'!J:K,2)*G2491),0))))</f>
        <v>0</v>
      </c>
      <c r="AJ2491" s="513" t="str">
        <f t="shared" ca="1" si="1907"/>
        <v/>
      </c>
      <c r="AK2491" s="700" t="str">
        <f t="shared" si="1908"/>
        <v/>
      </c>
      <c r="AL2491" s="700"/>
      <c r="AM2491" s="505" t="str">
        <f t="shared" si="1909"/>
        <v/>
      </c>
      <c r="AN2491" s="506"/>
      <c r="AO2491" s="507"/>
      <c r="AP2491" s="507"/>
      <c r="AQ2491" s="507"/>
      <c r="AR2491" s="507"/>
      <c r="AS2491" s="507"/>
      <c r="AT2491" s="507"/>
      <c r="AU2491" s="507"/>
      <c r="AV2491" s="225"/>
      <c r="AW2491" s="508"/>
      <c r="AX2491" s="225"/>
      <c r="AY2491" s="225"/>
      <c r="AZ2491" s="225"/>
      <c r="BA2491" s="225"/>
      <c r="BB2491" s="225"/>
      <c r="BC2491" s="56"/>
      <c r="BD2491" s="56"/>
      <c r="BE2491" s="56"/>
      <c r="BF2491" s="107" t="str">
        <f t="shared" si="1910"/>
        <v>https://www.google.com/search?tbm=isch&amp;q=Moonlight%20Romantica%20has%20a%20honey%20and%20fresh%20fruit%20fragrance.%20Deadhead%20as%20needed.%20Thorny%20%28rabbits%20may%20still%20nibble%29.%20Cut%20back%20annually%20</v>
      </c>
      <c r="BG2491" s="107" t="str">
        <f t="shared" si="1911"/>
        <v>M</v>
      </c>
      <c r="BH2491" s="254"/>
      <c r="BI2491" s="254"/>
    </row>
    <row r="2492" spans="1:61" customFormat="1" ht="18" x14ac:dyDescent="0.25">
      <c r="A2492" s="521" t="s">
        <v>5460</v>
      </c>
      <c r="B2492" s="477"/>
      <c r="C2492" s="674"/>
      <c r="D2492" s="478" t="s">
        <v>1370</v>
      </c>
      <c r="E2492" s="479"/>
      <c r="F2492" s="479"/>
      <c r="G2492" s="479"/>
      <c r="H2492" s="582" t="s">
        <v>483</v>
      </c>
      <c r="I2492" s="480" t="s">
        <v>654</v>
      </c>
      <c r="J2492" s="479"/>
      <c r="K2492" s="479"/>
      <c r="L2492" s="560"/>
      <c r="M2492" s="666" t="s">
        <v>4966</v>
      </c>
      <c r="N2492" s="680" t="str">
        <f>IF(AND(ISTEXT($A2492), ISERROR($A2492+0)), HYPERLINK($BF2492, "Images"), "")</f>
        <v>Images</v>
      </c>
      <c r="O2492" s="662" t="s">
        <v>4967</v>
      </c>
      <c r="P2492" s="482"/>
      <c r="Q2492" s="483"/>
      <c r="R2492" s="483"/>
      <c r="S2492" s="484"/>
      <c r="T2492" s="508">
        <f t="shared" si="1899"/>
        <v>0</v>
      </c>
      <c r="U2492" s="225" t="str">
        <f>IF(NOT(ISNUMBER(G2492)), "", VLOOKUP(A2492,'Discount Lookup'!D:E,2,FALSE)*G2492)</f>
        <v/>
      </c>
      <c r="V2492" s="225" t="str">
        <f>IF(NOT(ISNUMBER(G2492)), "", VLOOKUP(A2492,'Discount Lookup'!G:H,2,FALSE)*G2492)</f>
        <v/>
      </c>
      <c r="W2492" s="508">
        <f t="shared" si="1900"/>
        <v>0</v>
      </c>
      <c r="X2492" s="508" t="str">
        <f t="shared" si="1901"/>
        <v>White bloom</v>
      </c>
      <c r="Y2492" s="509" t="b">
        <f t="shared" si="1902"/>
        <v>0</v>
      </c>
      <c r="Z2492" s="510">
        <f t="shared" si="1903"/>
        <v>0</v>
      </c>
      <c r="AA2492" s="511"/>
      <c r="AB2492" s="511" t="str">
        <f t="shared" si="1904"/>
        <v/>
      </c>
      <c r="AC2492" s="698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698"/>
      <c r="AE2492" s="631" t="str">
        <f t="shared" si="1905"/>
        <v/>
      </c>
      <c r="AF2492" s="699" t="str">
        <f t="shared" si="1906"/>
        <v/>
      </c>
      <c r="AG2492" s="699"/>
      <c r="AH2492" s="699"/>
      <c r="AI2492" s="512">
        <f>IF(H2492="credit",0,IF(AE2492="free",0,IF(AE2492="me",0,IF(G2492&gt;0,(VLOOKUP(A2492,'Discount Lookup'!J:K,2)*G2492),0))))</f>
        <v>0</v>
      </c>
      <c r="AJ2492" s="513" t="str">
        <f t="shared" ca="1" si="1907"/>
        <v/>
      </c>
      <c r="AK2492" s="700" t="str">
        <f t="shared" si="1908"/>
        <v/>
      </c>
      <c r="AL2492" s="700"/>
      <c r="AM2492" s="505" t="str">
        <f t="shared" si="1909"/>
        <v/>
      </c>
      <c r="AN2492" s="506"/>
      <c r="AO2492" s="507"/>
      <c r="AP2492" s="507"/>
      <c r="AQ2492" s="507"/>
      <c r="AR2492" s="507"/>
      <c r="AS2492" s="507"/>
      <c r="AT2492" s="507"/>
      <c r="AU2492" s="507"/>
      <c r="AV2492" s="225"/>
      <c r="AW2492" s="508"/>
      <c r="AX2492" s="225"/>
      <c r="AY2492" s="225"/>
      <c r="AZ2492" s="225"/>
      <c r="BA2492" s="225"/>
      <c r="BB2492" s="225"/>
      <c r="BC2492" s="56"/>
      <c r="BD2492" s="56"/>
      <c r="BE2492" s="56"/>
      <c r="BF2492" s="107" t="str">
        <f t="shared" si="1910"/>
        <v>https://www.google.com/search?tbm=isch&amp;q=Moonlit%20Lace%C2%AE%20Viburnum%20Viburnum%20%27sPg-3-024%27</v>
      </c>
      <c r="BG2492" s="107" t="str">
        <f t="shared" si="1911"/>
        <v>M</v>
      </c>
      <c r="BH2492" s="254"/>
      <c r="BI2492" s="254"/>
    </row>
    <row r="2493" spans="1:61" customFormat="1" ht="15.75" x14ac:dyDescent="0.25">
      <c r="A2493" s="485">
        <v>3</v>
      </c>
      <c r="B2493" s="486" t="s">
        <v>291</v>
      </c>
      <c r="C2493" s="487" t="s">
        <v>1371</v>
      </c>
      <c r="D2493" s="488" t="s">
        <v>312</v>
      </c>
      <c r="E2493" s="489">
        <v>30.95</v>
      </c>
      <c r="F2493" s="516" t="s">
        <v>293</v>
      </c>
      <c r="G2493" s="232">
        <v>0</v>
      </c>
      <c r="H2493" s="658" t="str">
        <f>IF(G2493=0,"",IF(F2493="Buy",IF(G2493=1,"plant","plants"),IF(F2493&gt;0.01,"warranty","Error")))</f>
        <v/>
      </c>
      <c r="I2493" s="490">
        <f>IF(H2493="free",0,IF(H2493="credit",((E2493*(F2493))*G2493*-1),IF(F2493="Buy",(E2493*G2493),((E2493*(1-F2493))*G2493))))</f>
        <v>0</v>
      </c>
      <c r="J2493" s="490">
        <f>IF(H2493="warranty",0,(I2493*(_xlfn.SINGLE(SalesTaxPercentage))))</f>
        <v>0</v>
      </c>
      <c r="K2493" s="695">
        <f t="shared" ref="K2493" si="1940">I2493+J2493</f>
        <v>0</v>
      </c>
      <c r="L2493" s="695"/>
      <c r="M2493" s="659" t="str">
        <f>IF(AND(G2493&gt;0,E2493=0),"WARNING - no PRICE inserted",IF(H2493="free"," FREE ~ no charge this plant",IF(H2493="credit",CONCATENATE(" -$",ROUND(K2493*(1-T2GDiscount)*-1,2)," CREDIT after discount"),IF(T2GDiscount=0,"",IF(G2493=0,"",IF(F2493="Buy",CONCATENATE(" $",ROUND(K2493*(1-T2GDiscount),2)," with ",(T2GDiscount*100),"% discount"),CONCATENATE(" $",ROUND(K2493*(1-T2GDiscount),2)," with ",((T2GDiscount*100+F2493*100)-(T2GDiscount*100*F2493)),IF(F2493&gt;0,"% discounts",IF(NoWarrantyDiscount&gt;0,"% discounts","% discount")))))))))</f>
        <v/>
      </c>
      <c r="N2493" s="660"/>
      <c r="O2493" s="233"/>
      <c r="P2493" s="233"/>
      <c r="Q2493" s="233"/>
      <c r="R2493" s="233"/>
      <c r="S2493" s="233"/>
      <c r="T2493" s="508">
        <f t="shared" si="1899"/>
        <v>0</v>
      </c>
      <c r="U2493" s="225">
        <f>IF(NOT(ISNUMBER(G2493)), "", VLOOKUP(A2493,'Discount Lookup'!D:E,2,FALSE)*G2493)</f>
        <v>0</v>
      </c>
      <c r="V2493" s="225">
        <f>IF(NOT(ISNUMBER(G2493)), "", VLOOKUP(A2493,'Discount Lookup'!G:H,2,FALSE)*G2493)</f>
        <v>0</v>
      </c>
      <c r="W2493" s="508">
        <f t="shared" si="1900"/>
        <v>0</v>
      </c>
      <c r="X2493" s="508">
        <f t="shared" si="1901"/>
        <v>0</v>
      </c>
      <c r="Y2493" s="509" t="b">
        <f t="shared" si="1902"/>
        <v>0</v>
      </c>
      <c r="Z2493" s="510">
        <f t="shared" si="1903"/>
        <v>0</v>
      </c>
      <c r="AA2493" s="511"/>
      <c r="AB2493" s="511" t="str">
        <f t="shared" si="1904"/>
        <v/>
      </c>
      <c r="AC2493" s="698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698"/>
      <c r="AE2493" s="631" t="str">
        <f t="shared" si="1905"/>
        <v/>
      </c>
      <c r="AF2493" s="699" t="str">
        <f t="shared" si="1906"/>
        <v/>
      </c>
      <c r="AG2493" s="699"/>
      <c r="AH2493" s="699"/>
      <c r="AI2493" s="512">
        <f>IF(H2493="credit",0,IF(AE2493="free",0,IF(AE2493="me",0,IF(G2493&gt;0,(VLOOKUP(A2493,'Discount Lookup'!J:K,2)*G2493),0))))</f>
        <v>0</v>
      </c>
      <c r="AJ2493" s="513" t="str">
        <f t="shared" ca="1" si="1907"/>
        <v/>
      </c>
      <c r="AK2493" s="700" t="str">
        <f t="shared" si="1908"/>
        <v/>
      </c>
      <c r="AL2493" s="700"/>
      <c r="AM2493" s="505" t="str">
        <f t="shared" si="1909"/>
        <v/>
      </c>
      <c r="AN2493" s="506"/>
      <c r="AO2493" s="507"/>
      <c r="AP2493" s="507"/>
      <c r="AQ2493" s="507"/>
      <c r="AR2493" s="507"/>
      <c r="AS2493" s="507"/>
      <c r="AT2493" s="507"/>
      <c r="AU2493" s="507"/>
      <c r="AV2493" s="225"/>
      <c r="AW2493" s="508"/>
      <c r="AX2493" s="225"/>
      <c r="AY2493" s="225"/>
      <c r="AZ2493" s="225"/>
      <c r="BA2493" s="225"/>
      <c r="BB2493" s="225"/>
      <c r="BC2493" s="56"/>
      <c r="BD2493" s="56"/>
      <c r="BE2493" s="56"/>
      <c r="BF2493" s="107" t="str">
        <f t="shared" si="1910"/>
        <v>https://www.google.com/search?tbm=isch&amp;q=3%20G2</v>
      </c>
      <c r="BG2493" s="107" t="str">
        <f t="shared" si="1911"/>
        <v>M</v>
      </c>
      <c r="BH2493" s="254"/>
      <c r="BI2493" s="254"/>
    </row>
    <row r="2494" spans="1:61" customFormat="1" ht="15.75" x14ac:dyDescent="0.25">
      <c r="A2494" s="485">
        <v>3</v>
      </c>
      <c r="B2494" s="486" t="s">
        <v>291</v>
      </c>
      <c r="C2494" s="487" t="s">
        <v>3652</v>
      </c>
      <c r="D2494" s="488" t="s">
        <v>292</v>
      </c>
      <c r="E2494" s="489">
        <v>36.950000000000003</v>
      </c>
      <c r="F2494" s="516" t="s">
        <v>293</v>
      </c>
      <c r="G2494" s="232">
        <v>0</v>
      </c>
      <c r="H2494" s="658" t="str">
        <f>IF(G2494=0,"",IF(F2494="Buy",IF(G2494=1,"plant","plants"),IF(F2494&gt;0.01,"warranty","Error")))</f>
        <v/>
      </c>
      <c r="I2494" s="490">
        <f>IF(H2494="free",0,IF(H2494="credit",((E2494*(F2494))*G2494*-1),IF(F2494="Buy",(E2494*G2494),((E2494*(1-F2494))*G2494))))</f>
        <v>0</v>
      </c>
      <c r="J2494" s="490">
        <f>IF(H2494="warranty",0,(I2494*(_xlfn.SINGLE(SalesTaxPercentage))))</f>
        <v>0</v>
      </c>
      <c r="K2494" s="695">
        <f t="shared" ref="K2494" si="1941">I2494+J2494</f>
        <v>0</v>
      </c>
      <c r="L2494" s="695"/>
      <c r="M2494" s="659" t="str">
        <f>IF(AND(G2494&gt;0,E2494=0),"WARNING - no PRICE inserted",IF(H2494="free"," FREE ~ no charge this plant",IF(H2494="credit",CONCATENATE(" -$",ROUND(K2494*(1-T2GDiscount)*-1,2)," CREDIT after discount"),IF(T2GDiscount=0,"",IF(G2494=0,"",IF(F2494="Buy",CONCATENATE(" $",ROUND(K2494*(1-T2GDiscount),2)," with ",(T2GDiscount*100),"% discount"),CONCATENATE(" $",ROUND(K2494*(1-T2GDiscount),2)," with ",((T2GDiscount*100+F2494*100)-(T2GDiscount*100*F2494)),IF(F2494&gt;0,"% discounts",IF(NoWarrantyDiscount&gt;0,"% discounts","% discount")))))))))</f>
        <v/>
      </c>
      <c r="N2494" s="660"/>
      <c r="O2494" s="233"/>
      <c r="P2494" s="233"/>
      <c r="Q2494" s="233"/>
      <c r="R2494" s="233"/>
      <c r="S2494" s="233"/>
      <c r="T2494" s="508">
        <f t="shared" si="1899"/>
        <v>0</v>
      </c>
      <c r="U2494" s="225">
        <f>IF(NOT(ISNUMBER(G2494)), "", VLOOKUP(A2494,'Discount Lookup'!D:E,2,FALSE)*G2494)</f>
        <v>0</v>
      </c>
      <c r="V2494" s="225">
        <f>IF(NOT(ISNUMBER(G2494)), "", VLOOKUP(A2494,'Discount Lookup'!G:H,2,FALSE)*G2494)</f>
        <v>0</v>
      </c>
      <c r="W2494" s="508">
        <f t="shared" si="1900"/>
        <v>0</v>
      </c>
      <c r="X2494" s="508">
        <f t="shared" si="1901"/>
        <v>0</v>
      </c>
      <c r="Y2494" s="509" t="b">
        <f t="shared" si="1902"/>
        <v>0</v>
      </c>
      <c r="Z2494" s="510">
        <f t="shared" si="1903"/>
        <v>0</v>
      </c>
      <c r="AA2494" s="511"/>
      <c r="AB2494" s="511" t="str">
        <f t="shared" si="1904"/>
        <v/>
      </c>
      <c r="AC2494" s="698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698"/>
      <c r="AE2494" s="631" t="str">
        <f t="shared" si="1905"/>
        <v/>
      </c>
      <c r="AF2494" s="699" t="str">
        <f t="shared" si="1906"/>
        <v/>
      </c>
      <c r="AG2494" s="699"/>
      <c r="AH2494" s="699"/>
      <c r="AI2494" s="512">
        <f>IF(H2494="credit",0,IF(AE2494="free",0,IF(AE2494="me",0,IF(G2494&gt;0,(VLOOKUP(A2494,'Discount Lookup'!J:K,2)*G2494),0))))</f>
        <v>0</v>
      </c>
      <c r="AJ2494" s="513" t="str">
        <f t="shared" ca="1" si="1907"/>
        <v/>
      </c>
      <c r="AK2494" s="700" t="str">
        <f t="shared" si="1908"/>
        <v/>
      </c>
      <c r="AL2494" s="700"/>
      <c r="AM2494" s="505" t="str">
        <f t="shared" si="1909"/>
        <v/>
      </c>
      <c r="AN2494" s="506"/>
      <c r="AO2494" s="507"/>
      <c r="AP2494" s="507"/>
      <c r="AQ2494" s="507"/>
      <c r="AR2494" s="507"/>
      <c r="AS2494" s="507"/>
      <c r="AT2494" s="507"/>
      <c r="AU2494" s="507"/>
      <c r="AV2494" s="225"/>
      <c r="AW2494" s="508"/>
      <c r="AX2494" s="225"/>
      <c r="AY2494" s="225"/>
      <c r="AZ2494" s="225"/>
      <c r="BA2494" s="225"/>
      <c r="BB2494" s="225"/>
      <c r="BC2494" s="56"/>
      <c r="BD2494" s="56"/>
      <c r="BE2494" s="56"/>
      <c r="BF2494" s="107" t="str">
        <f t="shared" si="1910"/>
        <v>https://www.google.com/search?tbm=isch&amp;q=3%20G4</v>
      </c>
      <c r="BG2494" s="107" t="str">
        <f t="shared" si="1911"/>
        <v>M</v>
      </c>
      <c r="BH2494" s="254"/>
      <c r="BI2494" s="254"/>
    </row>
    <row r="2495" spans="1:61" customFormat="1" ht="27" x14ac:dyDescent="0.25">
      <c r="A2495" s="485">
        <v>3</v>
      </c>
      <c r="B2495" s="486" t="s">
        <v>291</v>
      </c>
      <c r="C2495" s="487" t="s">
        <v>4918</v>
      </c>
      <c r="D2495" s="488" t="s">
        <v>299</v>
      </c>
      <c r="E2495" s="489">
        <v>36.950000000000003</v>
      </c>
      <c r="F2495" s="516" t="s">
        <v>293</v>
      </c>
      <c r="G2495" s="232">
        <v>0</v>
      </c>
      <c r="H2495" s="658" t="str">
        <f>IF(G2495=0,"",IF(F2495="Buy",IF(G2495=1,"plant","plants"),IF(F2495&gt;0.01,"warranty","Error")))</f>
        <v/>
      </c>
      <c r="I2495" s="490">
        <f>IF(H2495="free",0,IF(H2495="credit",((E2495*(F2495))*G2495*-1),IF(F2495="Buy",(E2495*G2495),((E2495*(1-F2495))*G2495))))</f>
        <v>0</v>
      </c>
      <c r="J2495" s="490">
        <f>IF(H2495="warranty",0,(I2495*(_xlfn.SINGLE(SalesTaxPercentage))))</f>
        <v>0</v>
      </c>
      <c r="K2495" s="695">
        <f t="shared" ref="K2495" si="1942">I2495+J2495</f>
        <v>0</v>
      </c>
      <c r="L2495" s="695"/>
      <c r="M2495" s="659" t="str">
        <f>IF(AND(G2495&gt;0,E2495=0),"WARNING - no PRICE inserted",IF(H2495="free"," FREE ~ no charge this plant",IF(H2495="credit",CONCATENATE(" -$",ROUND(K2495*(1-T2GDiscount)*-1,2)," CREDIT after discount"),IF(T2GDiscount=0,"",IF(G2495=0,"",IF(F2495="Buy",CONCATENATE(" $",ROUND(K2495*(1-T2GDiscount),2)," with ",(T2GDiscount*100),"% discount"),CONCATENATE(" $",ROUND(K2495*(1-T2GDiscount),2)," with ",((T2GDiscount*100+F2495*100)-(T2GDiscount*100*F2495)),IF(F2495&gt;0,"% discounts",IF(NoWarrantyDiscount&gt;0,"% discounts","% discount")))))))))</f>
        <v/>
      </c>
      <c r="N2495" s="660"/>
      <c r="O2495" s="233"/>
      <c r="P2495" s="233"/>
      <c r="Q2495" s="233"/>
      <c r="R2495" s="233"/>
      <c r="S2495" s="233"/>
      <c r="T2495" s="508">
        <f t="shared" si="1899"/>
        <v>0</v>
      </c>
      <c r="U2495" s="225">
        <f>IF(NOT(ISNUMBER(G2495)), "", VLOOKUP(A2495,'Discount Lookup'!D:E,2,FALSE)*G2495)</f>
        <v>0</v>
      </c>
      <c r="V2495" s="225">
        <f>IF(NOT(ISNUMBER(G2495)), "", VLOOKUP(A2495,'Discount Lookup'!G:H,2,FALSE)*G2495)</f>
        <v>0</v>
      </c>
      <c r="W2495" s="508">
        <f t="shared" si="1900"/>
        <v>0</v>
      </c>
      <c r="X2495" s="508">
        <f t="shared" si="1901"/>
        <v>0</v>
      </c>
      <c r="Y2495" s="509" t="b">
        <f t="shared" si="1902"/>
        <v>0</v>
      </c>
      <c r="Z2495" s="510">
        <f t="shared" si="1903"/>
        <v>0</v>
      </c>
      <c r="AA2495" s="511"/>
      <c r="AB2495" s="511" t="str">
        <f t="shared" si="1904"/>
        <v/>
      </c>
      <c r="AC2495" s="698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698"/>
      <c r="AE2495" s="631" t="str">
        <f t="shared" si="1905"/>
        <v/>
      </c>
      <c r="AF2495" s="699" t="str">
        <f t="shared" si="1906"/>
        <v/>
      </c>
      <c r="AG2495" s="699"/>
      <c r="AH2495" s="699"/>
      <c r="AI2495" s="512">
        <f>IF(H2495="credit",0,IF(AE2495="free",0,IF(AE2495="me",0,IF(G2495&gt;0,(VLOOKUP(A2495,'Discount Lookup'!J:K,2)*G2495),0))))</f>
        <v>0</v>
      </c>
      <c r="AJ2495" s="513" t="str">
        <f t="shared" ca="1" si="1907"/>
        <v/>
      </c>
      <c r="AK2495" s="700" t="str">
        <f t="shared" si="1908"/>
        <v/>
      </c>
      <c r="AL2495" s="700"/>
      <c r="AM2495" s="505" t="str">
        <f t="shared" si="1909"/>
        <v/>
      </c>
      <c r="AN2495" s="506"/>
      <c r="AO2495" s="507"/>
      <c r="AP2495" s="507"/>
      <c r="AQ2495" s="507"/>
      <c r="AR2495" s="507"/>
      <c r="AS2495" s="507"/>
      <c r="AT2495" s="507"/>
      <c r="AU2495" s="507"/>
      <c r="AV2495" s="225"/>
      <c r="AW2495" s="508"/>
      <c r="AX2495" s="225"/>
      <c r="AY2495" s="225"/>
      <c r="AZ2495" s="225"/>
      <c r="BA2495" s="225"/>
      <c r="BB2495" s="225"/>
      <c r="BC2495" s="56"/>
      <c r="BD2495" s="56"/>
      <c r="BE2495" s="56"/>
      <c r="BF2495" s="107" t="str">
        <f t="shared" si="1910"/>
        <v>https://www.google.com/search?tbm=isch&amp;q=3%20G5</v>
      </c>
      <c r="BG2495" s="107" t="str">
        <f t="shared" si="1911"/>
        <v>M</v>
      </c>
      <c r="BH2495" s="254"/>
      <c r="BI2495" s="254"/>
    </row>
    <row r="2496" spans="1:61" customFormat="1" ht="15.75" x14ac:dyDescent="0.25">
      <c r="A2496" s="485">
        <v>7</v>
      </c>
      <c r="B2496" s="486" t="s">
        <v>291</v>
      </c>
      <c r="C2496" s="487" t="s">
        <v>3653</v>
      </c>
      <c r="D2496" s="488" t="s">
        <v>292</v>
      </c>
      <c r="E2496" s="489">
        <v>86.95</v>
      </c>
      <c r="F2496" s="516" t="s">
        <v>293</v>
      </c>
      <c r="G2496" s="232">
        <v>0</v>
      </c>
      <c r="H2496" s="658" t="str">
        <f>IF(G2496=0,"",IF(F2496="Buy",IF(G2496=1,"plant","plants"),IF(F2496&gt;0.01,"warranty","Error")))</f>
        <v/>
      </c>
      <c r="I2496" s="490">
        <f>IF(H2496="free",0,IF(H2496="credit",((E2496*(F2496))*G2496*-1),IF(F2496="Buy",(E2496*G2496),((E2496*(1-F2496))*G2496))))</f>
        <v>0</v>
      </c>
      <c r="J2496" s="490">
        <f>IF(H2496="warranty",0,(I2496*(_xlfn.SINGLE(SalesTaxPercentage))))</f>
        <v>0</v>
      </c>
      <c r="K2496" s="695">
        <f t="shared" ref="K2496" si="1943">I2496+J2496</f>
        <v>0</v>
      </c>
      <c r="L2496" s="695"/>
      <c r="M2496" s="659" t="str">
        <f>IF(AND(G2496&gt;0,E2496=0),"WARNING - no PRICE inserted",IF(H2496="free"," FREE ~ no charge this plant",IF(H2496="credit",CONCATENATE(" -$",ROUND(K2496*(1-T2GDiscount)*-1,2)," CREDIT after discount"),IF(T2GDiscount=0,"",IF(G2496=0,"",IF(F2496="Buy",CONCATENATE(" $",ROUND(K2496*(1-T2GDiscount),2)," with ",(T2GDiscount*100),"% discount"),CONCATENATE(" $",ROUND(K2496*(1-T2GDiscount),2)," with ",((T2GDiscount*100+F2496*100)-(T2GDiscount*100*F2496)),IF(F2496&gt;0,"% discounts",IF(NoWarrantyDiscount&gt;0,"% discounts","% discount")))))))))</f>
        <v/>
      </c>
      <c r="N2496" s="660"/>
      <c r="O2496" s="233"/>
      <c r="P2496" s="233"/>
      <c r="Q2496" s="233"/>
      <c r="R2496" s="233"/>
      <c r="S2496" s="233"/>
      <c r="T2496" s="508">
        <f t="shared" si="1899"/>
        <v>0</v>
      </c>
      <c r="U2496" s="225">
        <f>IF(NOT(ISNUMBER(G2496)), "", VLOOKUP(A2496,'Discount Lookup'!D:E,2,FALSE)*G2496)</f>
        <v>0</v>
      </c>
      <c r="V2496" s="225">
        <f>IF(NOT(ISNUMBER(G2496)), "", VLOOKUP(A2496,'Discount Lookup'!G:H,2,FALSE)*G2496)</f>
        <v>0</v>
      </c>
      <c r="W2496" s="508">
        <f t="shared" si="1900"/>
        <v>0</v>
      </c>
      <c r="X2496" s="508">
        <f t="shared" si="1901"/>
        <v>0</v>
      </c>
      <c r="Y2496" s="509" t="b">
        <f t="shared" si="1902"/>
        <v>0</v>
      </c>
      <c r="Z2496" s="510">
        <f t="shared" si="1903"/>
        <v>0</v>
      </c>
      <c r="AA2496" s="511"/>
      <c r="AB2496" s="511" t="str">
        <f t="shared" si="1904"/>
        <v/>
      </c>
      <c r="AC2496" s="698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698"/>
      <c r="AE2496" s="631" t="str">
        <f t="shared" si="1905"/>
        <v/>
      </c>
      <c r="AF2496" s="699" t="str">
        <f t="shared" si="1906"/>
        <v/>
      </c>
      <c r="AG2496" s="699"/>
      <c r="AH2496" s="699"/>
      <c r="AI2496" s="512">
        <f>IF(H2496="credit",0,IF(AE2496="free",0,IF(AE2496="me",0,IF(G2496&gt;0,(VLOOKUP(A2496,'Discount Lookup'!J:K,2)*G2496),0))))</f>
        <v>0</v>
      </c>
      <c r="AJ2496" s="513" t="str">
        <f t="shared" ca="1" si="1907"/>
        <v/>
      </c>
      <c r="AK2496" s="700" t="str">
        <f t="shared" si="1908"/>
        <v/>
      </c>
      <c r="AL2496" s="700"/>
      <c r="AM2496" s="505" t="str">
        <f t="shared" si="1909"/>
        <v/>
      </c>
      <c r="AN2496" s="506"/>
      <c r="AO2496" s="507"/>
      <c r="AP2496" s="507"/>
      <c r="AQ2496" s="507"/>
      <c r="AR2496" s="507"/>
      <c r="AS2496" s="507"/>
      <c r="AT2496" s="507"/>
      <c r="AU2496" s="507"/>
      <c r="AV2496" s="225"/>
      <c r="AW2496" s="508"/>
      <c r="AX2496" s="225"/>
      <c r="AY2496" s="225"/>
      <c r="AZ2496" s="225"/>
      <c r="BA2496" s="225"/>
      <c r="BB2496" s="225"/>
      <c r="BC2496" s="56"/>
      <c r="BD2496" s="56"/>
      <c r="BE2496" s="56"/>
      <c r="BF2496" s="107" t="str">
        <f t="shared" si="1910"/>
        <v>https://www.google.com/search?tbm=isch&amp;q=7%20G4</v>
      </c>
      <c r="BG2496" s="107" t="str">
        <f t="shared" si="1911"/>
        <v>M</v>
      </c>
      <c r="BH2496" s="254"/>
      <c r="BI2496" s="254"/>
    </row>
    <row r="2497" spans="1:61" customFormat="1" ht="15.75" x14ac:dyDescent="0.25">
      <c r="A2497" s="485">
        <v>7</v>
      </c>
      <c r="B2497" s="486" t="s">
        <v>291</v>
      </c>
      <c r="C2497" s="487" t="s">
        <v>4537</v>
      </c>
      <c r="D2497" s="488" t="s">
        <v>300</v>
      </c>
      <c r="E2497" s="489">
        <v>111.95</v>
      </c>
      <c r="F2497" s="516" t="s">
        <v>293</v>
      </c>
      <c r="G2497" s="232">
        <v>0</v>
      </c>
      <c r="H2497" s="658" t="str">
        <f>IF(G2497=0,"",IF(F2497="Buy",IF(G2497=1,"plant","plants"),IF(F2497&gt;0.01,"warranty","Error")))</f>
        <v/>
      </c>
      <c r="I2497" s="490">
        <f>IF(H2497="free",0,IF(H2497="credit",((E2497*(F2497))*G2497*-1),IF(F2497="Buy",(E2497*G2497),((E2497*(1-F2497))*G2497))))</f>
        <v>0</v>
      </c>
      <c r="J2497" s="490">
        <f>IF(H2497="warranty",0,(I2497*(_xlfn.SINGLE(SalesTaxPercentage))))</f>
        <v>0</v>
      </c>
      <c r="K2497" s="695">
        <f t="shared" ref="K2497" si="1944">I2497+J2497</f>
        <v>0</v>
      </c>
      <c r="L2497" s="695"/>
      <c r="M2497" s="659" t="str">
        <f>IF(AND(G2497&gt;0,E2497=0),"WARNING - no PRICE inserted",IF(H2497="free"," FREE ~ no charge this plant",IF(H2497="credit",CONCATENATE(" -$",ROUND(K2497*(1-T2GDiscount)*-1,2)," CREDIT after discount"),IF(T2GDiscount=0,"",IF(G2497=0,"",IF(F2497="Buy",CONCATENATE(" $",ROUND(K2497*(1-T2GDiscount),2)," with ",(T2GDiscount*100),"% discount"),CONCATENATE(" $",ROUND(K2497*(1-T2GDiscount),2)," with ",((T2GDiscount*100+F2497*100)-(T2GDiscount*100*F2497)),IF(F2497&gt;0,"% discounts",IF(NoWarrantyDiscount&gt;0,"% discounts","% discount")))))))))</f>
        <v/>
      </c>
      <c r="N2497" s="660"/>
      <c r="O2497" s="233"/>
      <c r="P2497" s="233"/>
      <c r="Q2497" s="233"/>
      <c r="R2497" s="233"/>
      <c r="S2497" s="233"/>
      <c r="T2497" s="508">
        <f t="shared" si="1899"/>
        <v>0</v>
      </c>
      <c r="U2497" s="225">
        <f>IF(NOT(ISNUMBER(G2497)), "", VLOOKUP(A2497,'Discount Lookup'!D:E,2,FALSE)*G2497)</f>
        <v>0</v>
      </c>
      <c r="V2497" s="225">
        <f>IF(NOT(ISNUMBER(G2497)), "", VLOOKUP(A2497,'Discount Lookup'!G:H,2,FALSE)*G2497)</f>
        <v>0</v>
      </c>
      <c r="W2497" s="508">
        <f t="shared" si="1900"/>
        <v>0</v>
      </c>
      <c r="X2497" s="508">
        <f t="shared" si="1901"/>
        <v>0</v>
      </c>
      <c r="Y2497" s="509" t="b">
        <f t="shared" si="1902"/>
        <v>0</v>
      </c>
      <c r="Z2497" s="510">
        <f t="shared" si="1903"/>
        <v>0</v>
      </c>
      <c r="AA2497" s="511"/>
      <c r="AB2497" s="511" t="str">
        <f t="shared" si="1904"/>
        <v/>
      </c>
      <c r="AC2497" s="698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698"/>
      <c r="AE2497" s="631" t="str">
        <f t="shared" si="1905"/>
        <v/>
      </c>
      <c r="AF2497" s="699" t="str">
        <f t="shared" si="1906"/>
        <v/>
      </c>
      <c r="AG2497" s="699"/>
      <c r="AH2497" s="699"/>
      <c r="AI2497" s="512">
        <f>IF(H2497="credit",0,IF(AE2497="free",0,IF(AE2497="me",0,IF(G2497&gt;0,(VLOOKUP(A2497,'Discount Lookup'!J:K,2)*G2497),0))))</f>
        <v>0</v>
      </c>
      <c r="AJ2497" s="513" t="str">
        <f t="shared" ca="1" si="1907"/>
        <v/>
      </c>
      <c r="AK2497" s="700" t="str">
        <f t="shared" si="1908"/>
        <v/>
      </c>
      <c r="AL2497" s="700"/>
      <c r="AM2497" s="505" t="str">
        <f t="shared" si="1909"/>
        <v/>
      </c>
      <c r="AN2497" s="506"/>
      <c r="AO2497" s="507"/>
      <c r="AP2497" s="507"/>
      <c r="AQ2497" s="507"/>
      <c r="AR2497" s="507"/>
      <c r="AS2497" s="507"/>
      <c r="AT2497" s="507"/>
      <c r="AU2497" s="507"/>
      <c r="AV2497" s="225"/>
      <c r="AW2497" s="508"/>
      <c r="AX2497" s="225"/>
      <c r="AY2497" s="225"/>
      <c r="AZ2497" s="225"/>
      <c r="BA2497" s="225"/>
      <c r="BB2497" s="225"/>
      <c r="BC2497" s="56"/>
      <c r="BD2497" s="56"/>
      <c r="BE2497" s="56"/>
      <c r="BF2497" s="107" t="str">
        <f t="shared" si="1910"/>
        <v>https://www.google.com/search?tbm=isch&amp;q=7%20G6</v>
      </c>
      <c r="BG2497" s="107" t="str">
        <f t="shared" si="1911"/>
        <v>M</v>
      </c>
      <c r="BH2497" s="254"/>
      <c r="BI2497" s="254"/>
    </row>
    <row r="2498" spans="1:61" customFormat="1" ht="17.25" thickBot="1" x14ac:dyDescent="0.3">
      <c r="A2498" s="522" t="s">
        <v>2684</v>
      </c>
      <c r="B2498" s="491"/>
      <c r="C2498" s="675"/>
      <c r="D2498" s="491"/>
      <c r="E2498" s="491"/>
      <c r="F2498" s="492"/>
      <c r="G2498" s="493"/>
      <c r="H2498" s="491"/>
      <c r="I2498" s="234"/>
      <c r="J2498" s="234"/>
      <c r="K2498" s="494"/>
      <c r="L2498" s="543"/>
      <c r="M2498" s="561"/>
      <c r="N2498" s="495"/>
      <c r="O2498" s="496"/>
      <c r="P2498" s="497"/>
      <c r="Q2498" s="495"/>
      <c r="R2498" s="495"/>
      <c r="S2498" s="667" t="s">
        <v>4986</v>
      </c>
      <c r="T2498" s="508">
        <f t="shared" si="1899"/>
        <v>0</v>
      </c>
      <c r="U2498" s="225" t="str">
        <f>IF(NOT(ISNUMBER(G2498)), "", VLOOKUP(A2498,'Discount Lookup'!D:E,2,FALSE)*G2498)</f>
        <v/>
      </c>
      <c r="V2498" s="225" t="str">
        <f>IF(NOT(ISNUMBER(G2498)), "", VLOOKUP(A2498,'Discount Lookup'!G:H,2,FALSE)*G2498)</f>
        <v/>
      </c>
      <c r="W2498" s="508">
        <f t="shared" si="1900"/>
        <v>0</v>
      </c>
      <c r="X2498" s="508">
        <f t="shared" si="1901"/>
        <v>0</v>
      </c>
      <c r="Y2498" s="509" t="b">
        <f t="shared" si="1902"/>
        <v>0</v>
      </c>
      <c r="Z2498" s="510">
        <f t="shared" si="1903"/>
        <v>0</v>
      </c>
      <c r="AA2498" s="511"/>
      <c r="AB2498" s="511" t="str">
        <f t="shared" si="1904"/>
        <v/>
      </c>
      <c r="AC2498" s="698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698"/>
      <c r="AE2498" s="631" t="str">
        <f t="shared" si="1905"/>
        <v/>
      </c>
      <c r="AF2498" s="699" t="str">
        <f t="shared" si="1906"/>
        <v/>
      </c>
      <c r="AG2498" s="699"/>
      <c r="AH2498" s="699"/>
      <c r="AI2498" s="512">
        <f>IF(H2498="credit",0,IF(AE2498="free",0,IF(AE2498="me",0,IF(G2498&gt;0,(VLOOKUP(A2498,'Discount Lookup'!J:K,2)*G2498),0))))</f>
        <v>0</v>
      </c>
      <c r="AJ2498" s="513" t="str">
        <f t="shared" ca="1" si="1907"/>
        <v/>
      </c>
      <c r="AK2498" s="700" t="str">
        <f t="shared" si="1908"/>
        <v/>
      </c>
      <c r="AL2498" s="700"/>
      <c r="AM2498" s="505" t="str">
        <f t="shared" si="1909"/>
        <v/>
      </c>
      <c r="AN2498" s="506"/>
      <c r="AO2498" s="507"/>
      <c r="AP2498" s="507"/>
      <c r="AQ2498" s="507"/>
      <c r="AR2498" s="507"/>
      <c r="AS2498" s="507"/>
      <c r="AT2498" s="507"/>
      <c r="AU2498" s="507"/>
      <c r="AV2498" s="225"/>
      <c r="AW2498" s="508"/>
      <c r="AX2498" s="225"/>
      <c r="AY2498" s="225"/>
      <c r="AZ2498" s="225"/>
      <c r="BA2498" s="225"/>
      <c r="BB2498" s="225"/>
      <c r="BC2498" s="56"/>
      <c r="BD2498" s="56"/>
      <c r="BE2498" s="56"/>
      <c r="BF2498" s="107" t="str">
        <f t="shared" si="1910"/>
        <v>https://www.google.com/search?tbm=isch&amp;q=Moonlit%20Lace%20has%20fragrant%20spring%20flowers.%20Glossy%2C%20Green%20foliage%20%28on%20Burgundy%20stems%29%20turns%20Burgundy%20in%20fall%20</v>
      </c>
      <c r="BG2498" s="107" t="str">
        <f t="shared" si="1911"/>
        <v>M</v>
      </c>
      <c r="BH2498" s="254"/>
      <c r="BI2498" s="254"/>
    </row>
    <row r="2499" spans="1:61" customFormat="1" ht="18" x14ac:dyDescent="0.25">
      <c r="A2499" s="523" t="s">
        <v>5461</v>
      </c>
      <c r="B2499" s="235"/>
      <c r="C2499" s="676"/>
      <c r="D2499" s="255" t="s">
        <v>1372</v>
      </c>
      <c r="E2499" s="236"/>
      <c r="F2499" s="236"/>
      <c r="G2499" s="236"/>
      <c r="H2499" s="582" t="s">
        <v>356</v>
      </c>
      <c r="I2499" s="498" t="s">
        <v>3108</v>
      </c>
      <c r="J2499" s="237"/>
      <c r="K2499" s="237"/>
      <c r="L2499" s="274"/>
      <c r="M2499" s="668" t="s">
        <v>4975</v>
      </c>
      <c r="N2499" s="681" t="str">
        <f>IF(AND(ISTEXT($A2499), ISERROR($A2499+0)), HYPERLINK($BF2499, "Images"), "")</f>
        <v>Images</v>
      </c>
      <c r="O2499" s="663" t="s">
        <v>4967</v>
      </c>
      <c r="P2499" s="253"/>
      <c r="Q2499" s="238"/>
      <c r="R2499" s="239"/>
      <c r="S2499" s="275"/>
      <c r="T2499" s="508">
        <f t="shared" si="1899"/>
        <v>0</v>
      </c>
      <c r="U2499" s="225" t="str">
        <f>IF(NOT(ISNUMBER(G2499)), "", VLOOKUP(A2499,'Discount Lookup'!D:E,2,FALSE)*G2499)</f>
        <v/>
      </c>
      <c r="V2499" s="225" t="str">
        <f>IF(NOT(ISNUMBER(G2499)), "", VLOOKUP(A2499,'Discount Lookup'!G:H,2,FALSE)*G2499)</f>
        <v/>
      </c>
      <c r="W2499" s="508">
        <f t="shared" si="1900"/>
        <v>0</v>
      </c>
      <c r="X2499" s="508" t="str">
        <f t="shared" si="1901"/>
        <v>Lime Green ages to Pink</v>
      </c>
      <c r="Y2499" s="509" t="b">
        <f t="shared" si="1902"/>
        <v>0</v>
      </c>
      <c r="Z2499" s="510">
        <f t="shared" si="1903"/>
        <v>0</v>
      </c>
      <c r="AA2499" s="511"/>
      <c r="AB2499" s="511" t="str">
        <f t="shared" si="1904"/>
        <v/>
      </c>
      <c r="AC2499" s="698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698"/>
      <c r="AE2499" s="631" t="str">
        <f t="shared" si="1905"/>
        <v/>
      </c>
      <c r="AF2499" s="699" t="str">
        <f t="shared" si="1906"/>
        <v/>
      </c>
      <c r="AG2499" s="699"/>
      <c r="AH2499" s="699"/>
      <c r="AI2499" s="512">
        <f>IF(H2499="credit",0,IF(AE2499="free",0,IF(AE2499="me",0,IF(G2499&gt;0,(VLOOKUP(A2499,'Discount Lookup'!J:K,2)*G2499),0))))</f>
        <v>0</v>
      </c>
      <c r="AJ2499" s="513" t="str">
        <f t="shared" ca="1" si="1907"/>
        <v/>
      </c>
      <c r="AK2499" s="700" t="str">
        <f t="shared" si="1908"/>
        <v/>
      </c>
      <c r="AL2499" s="700"/>
      <c r="AM2499" s="505" t="str">
        <f t="shared" si="1909"/>
        <v/>
      </c>
      <c r="AN2499" s="506"/>
      <c r="AO2499" s="507"/>
      <c r="AP2499" s="507"/>
      <c r="AQ2499" s="507"/>
      <c r="AR2499" s="507"/>
      <c r="AS2499" s="507"/>
      <c r="AT2499" s="507"/>
      <c r="AU2499" s="507"/>
      <c r="AV2499" s="225"/>
      <c r="AW2499" s="508"/>
      <c r="AX2499" s="225"/>
      <c r="AY2499" s="225"/>
      <c r="AZ2499" s="225"/>
      <c r="BA2499" s="225"/>
      <c r="BB2499" s="225"/>
      <c r="BC2499" s="56"/>
      <c r="BD2499" s="56"/>
      <c r="BE2499" s="56"/>
      <c r="BF2499" s="107" t="str">
        <f t="shared" si="1910"/>
        <v>https://www.google.com/search?tbm=isch&amp;q=Moonrock%E2%84%A2%20Hydrangea%20Hyd.%20paniculata%20%27Kolmakilima%27%20PP%2329853</v>
      </c>
      <c r="BG2499" s="107" t="str">
        <f t="shared" si="1911"/>
        <v>M</v>
      </c>
      <c r="BH2499" s="254"/>
      <c r="BI2499" s="254"/>
    </row>
    <row r="2500" spans="1:61" customFormat="1" ht="15.75" x14ac:dyDescent="0.25">
      <c r="A2500" s="276">
        <v>3</v>
      </c>
      <c r="B2500" s="240" t="s">
        <v>291</v>
      </c>
      <c r="C2500" s="241" t="s">
        <v>4919</v>
      </c>
      <c r="D2500" s="242" t="s">
        <v>312</v>
      </c>
      <c r="E2500" s="243">
        <v>32.950000000000003</v>
      </c>
      <c r="F2500" s="517" t="s">
        <v>293</v>
      </c>
      <c r="G2500" s="232">
        <v>0</v>
      </c>
      <c r="H2500" s="661" t="str">
        <f>IF(G2500=0,"",IF(F2500="Buy",IF(G2500=1,"plant","plants"),IF(F2500&gt;0.01,"warranty","Error")))</f>
        <v/>
      </c>
      <c r="I2500" s="244">
        <f>IF(H2500="free",0,IF(H2500="credit",((E2500*(F2500))*G2500*-1),IF(F2500="Buy",(E2500*G2500),((E2500*(1-F2500))*G2500))))</f>
        <v>0</v>
      </c>
      <c r="J2500" s="244">
        <f>IF(H2500="warranty",0,(I2500*(_xlfn.SINGLE(SalesTaxPercentage))))</f>
        <v>0</v>
      </c>
      <c r="K2500" s="696">
        <f t="shared" ref="K2500" si="1945">I2500+J2500</f>
        <v>0</v>
      </c>
      <c r="L2500" s="696"/>
      <c r="M2500" s="659" t="str">
        <f>IF(AND(G2500&gt;0,E2500=0),"WARNING - no PRICE inserted",IF(H2500="free"," FREE ~ no charge this plant",IF(H2500="credit",CONCATENATE(" -$",ROUND(K2500*(1-T2GDiscount)*-1,2)," CREDIT after discount"),IF(T2GDiscount=0,"",IF(G2500=0,"",IF(F2500="Buy",CONCATENATE(" $",ROUND(K2500*(1-T2GDiscount),2)," with ",(T2GDiscount*100),"% discount"),CONCATENATE(" $",ROUND(K2500*(1-T2GDiscount),2)," with ",((T2GDiscount*100+F2500*100)-(T2GDiscount*100*F2500)),IF(F2500&gt;0,"% discounts",IF(NoWarrantyDiscount&gt;0,"% discounts","% discount")))))))))</f>
        <v/>
      </c>
      <c r="N2500" s="660"/>
      <c r="O2500" s="233"/>
      <c r="P2500" s="233"/>
      <c r="Q2500" s="233"/>
      <c r="R2500" s="233"/>
      <c r="S2500" s="233"/>
      <c r="T2500" s="508">
        <f t="shared" si="1899"/>
        <v>0</v>
      </c>
      <c r="U2500" s="225">
        <f>IF(NOT(ISNUMBER(G2500)), "", VLOOKUP(A2500,'Discount Lookup'!D:E,2,FALSE)*G2500)</f>
        <v>0</v>
      </c>
      <c r="V2500" s="225">
        <f>IF(NOT(ISNUMBER(G2500)), "", VLOOKUP(A2500,'Discount Lookup'!G:H,2,FALSE)*G2500)</f>
        <v>0</v>
      </c>
      <c r="W2500" s="508">
        <f t="shared" si="1900"/>
        <v>0</v>
      </c>
      <c r="X2500" s="508">
        <f t="shared" si="1901"/>
        <v>0</v>
      </c>
      <c r="Y2500" s="509" t="b">
        <f t="shared" si="1902"/>
        <v>0</v>
      </c>
      <c r="Z2500" s="510">
        <f t="shared" si="1903"/>
        <v>0</v>
      </c>
      <c r="AA2500" s="511"/>
      <c r="AB2500" s="511" t="str">
        <f t="shared" si="1904"/>
        <v/>
      </c>
      <c r="AC2500" s="698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698"/>
      <c r="AE2500" s="631" t="str">
        <f t="shared" si="1905"/>
        <v/>
      </c>
      <c r="AF2500" s="699" t="str">
        <f t="shared" si="1906"/>
        <v/>
      </c>
      <c r="AG2500" s="699"/>
      <c r="AH2500" s="699"/>
      <c r="AI2500" s="512">
        <f>IF(H2500="credit",0,IF(AE2500="free",0,IF(AE2500="me",0,IF(G2500&gt;0,(VLOOKUP(A2500,'Discount Lookup'!J:K,2)*G2500),0))))</f>
        <v>0</v>
      </c>
      <c r="AJ2500" s="513" t="str">
        <f t="shared" ca="1" si="1907"/>
        <v/>
      </c>
      <c r="AK2500" s="700" t="str">
        <f t="shared" si="1908"/>
        <v/>
      </c>
      <c r="AL2500" s="700"/>
      <c r="AM2500" s="505" t="str">
        <f t="shared" si="1909"/>
        <v/>
      </c>
      <c r="AN2500" s="506"/>
      <c r="AO2500" s="507"/>
      <c r="AP2500" s="507"/>
      <c r="AQ2500" s="507"/>
      <c r="AR2500" s="507"/>
      <c r="AS2500" s="507"/>
      <c r="AT2500" s="507"/>
      <c r="AU2500" s="507"/>
      <c r="AV2500" s="225"/>
      <c r="AW2500" s="508"/>
      <c r="AX2500" s="225"/>
      <c r="AY2500" s="225"/>
      <c r="AZ2500" s="225"/>
      <c r="BA2500" s="225"/>
      <c r="BB2500" s="225"/>
      <c r="BC2500" s="56"/>
      <c r="BD2500" s="56"/>
      <c r="BE2500" s="56"/>
      <c r="BF2500" s="107" t="str">
        <f t="shared" si="1910"/>
        <v>https://www.google.com/search?tbm=isch&amp;q=3%20G2</v>
      </c>
      <c r="BG2500" s="107" t="str">
        <f t="shared" si="1911"/>
        <v>M</v>
      </c>
      <c r="BH2500" s="254"/>
      <c r="BI2500" s="254"/>
    </row>
    <row r="2501" spans="1:61" customFormat="1" ht="17.25" thickBot="1" x14ac:dyDescent="0.3">
      <c r="A2501" s="524" t="s">
        <v>4130</v>
      </c>
      <c r="B2501" s="245"/>
      <c r="C2501" s="677"/>
      <c r="D2501" s="499"/>
      <c r="E2501" s="499"/>
      <c r="F2501" s="500"/>
      <c r="G2501" s="501"/>
      <c r="H2501" s="502"/>
      <c r="I2501" s="246"/>
      <c r="J2501" s="247"/>
      <c r="K2501" s="503"/>
      <c r="L2501" s="544"/>
      <c r="M2501" s="544"/>
      <c r="N2501" s="500"/>
      <c r="O2501" s="500"/>
      <c r="P2501" s="500"/>
      <c r="Q2501" s="500"/>
      <c r="R2501" s="500"/>
      <c r="S2501" s="278"/>
      <c r="T2501" s="508">
        <f t="shared" si="1899"/>
        <v>0</v>
      </c>
      <c r="U2501" s="225" t="str">
        <f>IF(NOT(ISNUMBER(G2501)), "", VLOOKUP(A2501,'Discount Lookup'!D:E,2,FALSE)*G2501)</f>
        <v/>
      </c>
      <c r="V2501" s="225" t="str">
        <f>IF(NOT(ISNUMBER(G2501)), "", VLOOKUP(A2501,'Discount Lookup'!G:H,2,FALSE)*G2501)</f>
        <v/>
      </c>
      <c r="W2501" s="508">
        <f t="shared" si="1900"/>
        <v>0</v>
      </c>
      <c r="X2501" s="508">
        <f t="shared" si="1901"/>
        <v>0</v>
      </c>
      <c r="Y2501" s="509" t="b">
        <f t="shared" si="1902"/>
        <v>0</v>
      </c>
      <c r="Z2501" s="510">
        <f t="shared" si="1903"/>
        <v>0</v>
      </c>
      <c r="AA2501" s="511"/>
      <c r="AB2501" s="511" t="str">
        <f t="shared" si="1904"/>
        <v/>
      </c>
      <c r="AC2501" s="698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698"/>
      <c r="AE2501" s="631" t="str">
        <f t="shared" si="1905"/>
        <v/>
      </c>
      <c r="AF2501" s="699" t="str">
        <f t="shared" si="1906"/>
        <v/>
      </c>
      <c r="AG2501" s="699"/>
      <c r="AH2501" s="699"/>
      <c r="AI2501" s="512">
        <f>IF(H2501="credit",0,IF(AE2501="free",0,IF(AE2501="me",0,IF(G2501&gt;0,(VLOOKUP(A2501,'Discount Lookup'!J:K,2)*G2501),0))))</f>
        <v>0</v>
      </c>
      <c r="AJ2501" s="513" t="str">
        <f t="shared" ca="1" si="1907"/>
        <v/>
      </c>
      <c r="AK2501" s="700" t="str">
        <f t="shared" si="1908"/>
        <v/>
      </c>
      <c r="AL2501" s="700"/>
      <c r="AM2501" s="505" t="str">
        <f t="shared" si="1909"/>
        <v/>
      </c>
      <c r="AN2501" s="506"/>
      <c r="AO2501" s="507"/>
      <c r="AP2501" s="507"/>
      <c r="AQ2501" s="507"/>
      <c r="AR2501" s="507"/>
      <c r="AS2501" s="507"/>
      <c r="AT2501" s="507"/>
      <c r="AU2501" s="507"/>
      <c r="AV2501" s="225"/>
      <c r="AW2501" s="508"/>
      <c r="AX2501" s="225"/>
      <c r="AY2501" s="225"/>
      <c r="AZ2501" s="225"/>
      <c r="BA2501" s="225"/>
      <c r="BB2501" s="225"/>
      <c r="BC2501" s="56"/>
      <c r="BD2501" s="56"/>
      <c r="BE2501" s="56"/>
      <c r="BF2501" s="107" t="str">
        <f t="shared" si="1910"/>
        <v>https://www.google.com/search?tbm=isch&amp;q=Moonrock%20has%20Green%20foliage.%20All%20%22Hardy%22%20Hydrangea%20have%20cone-shaped%20flowers%20on%20new%20wood.%20Flowers%20change%20color%20with%20age.%20Extremely%20cold-hardy%20</v>
      </c>
      <c r="BG2501" s="107" t="str">
        <f t="shared" si="1911"/>
        <v>M</v>
      </c>
      <c r="BH2501" s="254"/>
      <c r="BI2501" s="254"/>
    </row>
    <row r="2502" spans="1:61" customFormat="1" ht="18" x14ac:dyDescent="0.25">
      <c r="A2502" s="523" t="s">
        <v>1373</v>
      </c>
      <c r="B2502" s="235"/>
      <c r="C2502" s="676"/>
      <c r="D2502" s="255" t="s">
        <v>1374</v>
      </c>
      <c r="E2502" s="236"/>
      <c r="F2502" s="236"/>
      <c r="G2502" s="236"/>
      <c r="H2502" s="582" t="s">
        <v>359</v>
      </c>
      <c r="I2502" s="498" t="s">
        <v>3030</v>
      </c>
      <c r="J2502" s="237"/>
      <c r="K2502" s="237"/>
      <c r="L2502" s="274"/>
      <c r="M2502" s="668" t="s">
        <v>4962</v>
      </c>
      <c r="N2502" s="681" t="str">
        <f>IF(AND(ISTEXT($A2502), ISERROR($A2502+0)), HYPERLINK($BF2502, "Images"), "")</f>
        <v>Images</v>
      </c>
      <c r="O2502" s="663" t="s">
        <v>4969</v>
      </c>
      <c r="P2502" s="253"/>
      <c r="Q2502" s="238"/>
      <c r="R2502" s="239"/>
      <c r="S2502" s="275"/>
      <c r="T2502" s="508">
        <f t="shared" si="1899"/>
        <v>0</v>
      </c>
      <c r="U2502" s="225" t="str">
        <f>IF(NOT(ISNUMBER(G2502)), "", VLOOKUP(A2502,'Discount Lookup'!D:E,2,FALSE)*G2502)</f>
        <v/>
      </c>
      <c r="V2502" s="225" t="str">
        <f>IF(NOT(ISNUMBER(G2502)), "", VLOOKUP(A2502,'Discount Lookup'!G:H,2,FALSE)*G2502)</f>
        <v/>
      </c>
      <c r="W2502" s="508">
        <f t="shared" si="1900"/>
        <v>0</v>
      </c>
      <c r="X2502" s="508" t="str">
        <f t="shared" si="1901"/>
        <v>Silvery-Green &amp; White margins</v>
      </c>
      <c r="Y2502" s="509" t="b">
        <f t="shared" si="1902"/>
        <v>0</v>
      </c>
      <c r="Z2502" s="510">
        <f t="shared" si="1903"/>
        <v>0</v>
      </c>
      <c r="AA2502" s="511"/>
      <c r="AB2502" s="511" t="str">
        <f t="shared" si="1904"/>
        <v/>
      </c>
      <c r="AC2502" s="698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698"/>
      <c r="AE2502" s="631" t="str">
        <f t="shared" si="1905"/>
        <v/>
      </c>
      <c r="AF2502" s="699" t="str">
        <f t="shared" si="1906"/>
        <v/>
      </c>
      <c r="AG2502" s="699"/>
      <c r="AH2502" s="699"/>
      <c r="AI2502" s="512">
        <f>IF(H2502="credit",0,IF(AE2502="free",0,IF(AE2502="me",0,IF(G2502&gt;0,(VLOOKUP(A2502,'Discount Lookup'!J:K,2)*G2502),0))))</f>
        <v>0</v>
      </c>
      <c r="AJ2502" s="513" t="str">
        <f t="shared" ca="1" si="1907"/>
        <v/>
      </c>
      <c r="AK2502" s="700" t="str">
        <f t="shared" si="1908"/>
        <v/>
      </c>
      <c r="AL2502" s="700"/>
      <c r="AM2502" s="505" t="str">
        <f t="shared" si="1909"/>
        <v/>
      </c>
      <c r="AN2502" s="506"/>
      <c r="AO2502" s="507"/>
      <c r="AP2502" s="507"/>
      <c r="AQ2502" s="507"/>
      <c r="AR2502" s="507"/>
      <c r="AS2502" s="507"/>
      <c r="AT2502" s="507"/>
      <c r="AU2502" s="507"/>
      <c r="AV2502" s="225"/>
      <c r="AW2502" s="508"/>
      <c r="AX2502" s="225"/>
      <c r="AY2502" s="225"/>
      <c r="AZ2502" s="225"/>
      <c r="BA2502" s="225"/>
      <c r="BB2502" s="225"/>
      <c r="BC2502" s="56"/>
      <c r="BD2502" s="56"/>
      <c r="BE2502" s="56"/>
      <c r="BF2502" s="107" t="str">
        <f t="shared" si="1910"/>
        <v>https://www.google.com/search?tbm=isch&amp;q=Morning%20Light%20Maiden%20Grass%20Miscanthus%20sinensis%20%27Morning%20Light%27</v>
      </c>
      <c r="BG2502" s="107" t="str">
        <f t="shared" si="1911"/>
        <v>M</v>
      </c>
      <c r="BH2502" s="254"/>
      <c r="BI2502" s="254"/>
    </row>
    <row r="2503" spans="1:61" customFormat="1" ht="15.75" x14ac:dyDescent="0.25">
      <c r="A2503" s="276">
        <v>3</v>
      </c>
      <c r="B2503" s="240" t="s">
        <v>291</v>
      </c>
      <c r="C2503" s="241"/>
      <c r="D2503" s="242" t="s">
        <v>312</v>
      </c>
      <c r="E2503" s="243">
        <v>25.95</v>
      </c>
      <c r="F2503" s="517" t="s">
        <v>293</v>
      </c>
      <c r="G2503" s="232">
        <v>0</v>
      </c>
      <c r="H2503" s="661" t="str">
        <f>IF(G2503=0,"",IF(F2503="Buy",IF(G2503=1,"plant","plants"),IF(F2503&gt;0.01,"warranty","Error")))</f>
        <v/>
      </c>
      <c r="I2503" s="244">
        <f>IF(H2503="free",0,IF(H2503="credit",((E2503*(F2503))*G2503*-1),IF(F2503="Buy",(E2503*G2503),((E2503*(1-F2503))*G2503))))</f>
        <v>0</v>
      </c>
      <c r="J2503" s="244">
        <f>IF(H2503="warranty",0,(I2503*(_xlfn.SINGLE(SalesTaxPercentage))))</f>
        <v>0</v>
      </c>
      <c r="K2503" s="696">
        <f t="shared" ref="K2503" si="1946">I2503+J2503</f>
        <v>0</v>
      </c>
      <c r="L2503" s="696"/>
      <c r="M2503" s="659" t="str">
        <f>IF(AND(G2503&gt;0,E2503=0),"WARNING - no PRICE inserted",IF(H2503="free"," FREE ~ no charge this plant",IF(H2503="credit",CONCATENATE(" -$",ROUND(K2503*(1-T2GDiscount)*-1,2)," CREDIT after discount"),IF(T2GDiscount=0,"",IF(G2503=0,"",IF(F2503="Buy",CONCATENATE(" $",ROUND(K2503*(1-T2GDiscount),2)," with ",(T2GDiscount*100),"% discount"),CONCATENATE(" $",ROUND(K2503*(1-T2GDiscount),2)," with ",((T2GDiscount*100+F2503*100)-(T2GDiscount*100*F2503)),IF(F2503&gt;0,"% discounts",IF(NoWarrantyDiscount&gt;0,"% discounts","% discount")))))))))</f>
        <v/>
      </c>
      <c r="N2503" s="660"/>
      <c r="O2503" s="233"/>
      <c r="P2503" s="233"/>
      <c r="Q2503" s="233"/>
      <c r="R2503" s="233"/>
      <c r="S2503" s="233"/>
      <c r="T2503" s="508">
        <f t="shared" si="1899"/>
        <v>0</v>
      </c>
      <c r="U2503" s="225">
        <f>IF(NOT(ISNUMBER(G2503)), "", VLOOKUP(A2503,'Discount Lookup'!D:E,2,FALSE)*G2503)</f>
        <v>0</v>
      </c>
      <c r="V2503" s="225">
        <f>IF(NOT(ISNUMBER(G2503)), "", VLOOKUP(A2503,'Discount Lookup'!G:H,2,FALSE)*G2503)</f>
        <v>0</v>
      </c>
      <c r="W2503" s="508">
        <f t="shared" si="1900"/>
        <v>0</v>
      </c>
      <c r="X2503" s="508">
        <f t="shared" si="1901"/>
        <v>0</v>
      </c>
      <c r="Y2503" s="509" t="b">
        <f t="shared" si="1902"/>
        <v>0</v>
      </c>
      <c r="Z2503" s="510">
        <f t="shared" si="1903"/>
        <v>0</v>
      </c>
      <c r="AA2503" s="511"/>
      <c r="AB2503" s="511" t="str">
        <f t="shared" si="1904"/>
        <v/>
      </c>
      <c r="AC2503" s="698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698"/>
      <c r="AE2503" s="631" t="str">
        <f t="shared" si="1905"/>
        <v/>
      </c>
      <c r="AF2503" s="699" t="str">
        <f t="shared" si="1906"/>
        <v/>
      </c>
      <c r="AG2503" s="699"/>
      <c r="AH2503" s="699"/>
      <c r="AI2503" s="512">
        <f>IF(H2503="credit",0,IF(AE2503="free",0,IF(AE2503="me",0,IF(G2503&gt;0,(VLOOKUP(A2503,'Discount Lookup'!J:K,2)*G2503),0))))</f>
        <v>0</v>
      </c>
      <c r="AJ2503" s="513" t="str">
        <f t="shared" ca="1" si="1907"/>
        <v/>
      </c>
      <c r="AK2503" s="700" t="str">
        <f t="shared" si="1908"/>
        <v/>
      </c>
      <c r="AL2503" s="700"/>
      <c r="AM2503" s="505" t="str">
        <f t="shared" si="1909"/>
        <v/>
      </c>
      <c r="AN2503" s="506"/>
      <c r="AO2503" s="507"/>
      <c r="AP2503" s="507"/>
      <c r="AQ2503" s="507"/>
      <c r="AR2503" s="507"/>
      <c r="AS2503" s="507"/>
      <c r="AT2503" s="507"/>
      <c r="AU2503" s="507"/>
      <c r="AV2503" s="225"/>
      <c r="AW2503" s="508"/>
      <c r="AX2503" s="225"/>
      <c r="AY2503" s="225"/>
      <c r="AZ2503" s="225"/>
      <c r="BA2503" s="225"/>
      <c r="BB2503" s="225"/>
      <c r="BC2503" s="56"/>
      <c r="BD2503" s="56"/>
      <c r="BE2503" s="56"/>
      <c r="BF2503" s="107" t="str">
        <f t="shared" si="1910"/>
        <v>https://www.google.com/search?tbm=isch&amp;q=3%20G2</v>
      </c>
      <c r="BG2503" s="107" t="str">
        <f t="shared" si="1911"/>
        <v>M</v>
      </c>
      <c r="BH2503" s="254"/>
      <c r="BI2503" s="254"/>
    </row>
    <row r="2504" spans="1:61" customFormat="1" ht="15.75" x14ac:dyDescent="0.25">
      <c r="A2504" s="276">
        <v>3</v>
      </c>
      <c r="B2504" s="240" t="s">
        <v>291</v>
      </c>
      <c r="C2504" s="241"/>
      <c r="D2504" s="242" t="s">
        <v>300</v>
      </c>
      <c r="E2504" s="243">
        <v>32.950000000000003</v>
      </c>
      <c r="F2504" s="517" t="s">
        <v>293</v>
      </c>
      <c r="G2504" s="232">
        <v>0</v>
      </c>
      <c r="H2504" s="661" t="str">
        <f>IF(G2504=0,"",IF(F2504="Buy",IF(G2504=1,"plant","plants"),IF(F2504&gt;0.01,"warranty","Error")))</f>
        <v/>
      </c>
      <c r="I2504" s="244">
        <f>IF(H2504="free",0,IF(H2504="credit",((E2504*(F2504))*G2504*-1),IF(F2504="Buy",(E2504*G2504),((E2504*(1-F2504))*G2504))))</f>
        <v>0</v>
      </c>
      <c r="J2504" s="244">
        <f>IF(H2504="warranty",0,(I2504*(_xlfn.SINGLE(SalesTaxPercentage))))</f>
        <v>0</v>
      </c>
      <c r="K2504" s="696">
        <f t="shared" ref="K2504" si="1947">I2504+J2504</f>
        <v>0</v>
      </c>
      <c r="L2504" s="696"/>
      <c r="M2504" s="659" t="str">
        <f>IF(AND(G2504&gt;0,E2504=0),"WARNING - no PRICE inserted",IF(H2504="free"," FREE ~ no charge this plant",IF(H2504="credit",CONCATENATE(" -$",ROUND(K2504*(1-T2GDiscount)*-1,2)," CREDIT after discount"),IF(T2GDiscount=0,"",IF(G2504=0,"",IF(F2504="Buy",CONCATENATE(" $",ROUND(K2504*(1-T2GDiscount),2)," with ",(T2GDiscount*100),"% discount"),CONCATENATE(" $",ROUND(K2504*(1-T2GDiscount),2)," with ",((T2GDiscount*100+F2504*100)-(T2GDiscount*100*F2504)),IF(F2504&gt;0,"% discounts",IF(NoWarrantyDiscount&gt;0,"% discounts","% discount")))))))))</f>
        <v/>
      </c>
      <c r="N2504" s="660"/>
      <c r="O2504" s="233"/>
      <c r="P2504" s="233"/>
      <c r="Q2504" s="233"/>
      <c r="R2504" s="233"/>
      <c r="S2504" s="233"/>
      <c r="T2504" s="508">
        <f t="shared" si="1899"/>
        <v>0</v>
      </c>
      <c r="U2504" s="225">
        <f>IF(NOT(ISNUMBER(G2504)), "", VLOOKUP(A2504,'Discount Lookup'!D:E,2,FALSE)*G2504)</f>
        <v>0</v>
      </c>
      <c r="V2504" s="225">
        <f>IF(NOT(ISNUMBER(G2504)), "", VLOOKUP(A2504,'Discount Lookup'!G:H,2,FALSE)*G2504)</f>
        <v>0</v>
      </c>
      <c r="W2504" s="508">
        <f t="shared" si="1900"/>
        <v>0</v>
      </c>
      <c r="X2504" s="508">
        <f t="shared" si="1901"/>
        <v>0</v>
      </c>
      <c r="Y2504" s="509" t="b">
        <f t="shared" si="1902"/>
        <v>0</v>
      </c>
      <c r="Z2504" s="510">
        <f t="shared" si="1903"/>
        <v>0</v>
      </c>
      <c r="AA2504" s="511"/>
      <c r="AB2504" s="511" t="str">
        <f t="shared" si="1904"/>
        <v/>
      </c>
      <c r="AC2504" s="698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698"/>
      <c r="AE2504" s="631" t="str">
        <f t="shared" si="1905"/>
        <v/>
      </c>
      <c r="AF2504" s="699" t="str">
        <f t="shared" si="1906"/>
        <v/>
      </c>
      <c r="AG2504" s="699"/>
      <c r="AH2504" s="699"/>
      <c r="AI2504" s="512">
        <f>IF(H2504="credit",0,IF(AE2504="free",0,IF(AE2504="me",0,IF(G2504&gt;0,(VLOOKUP(A2504,'Discount Lookup'!J:K,2)*G2504),0))))</f>
        <v>0</v>
      </c>
      <c r="AJ2504" s="513" t="str">
        <f t="shared" ca="1" si="1907"/>
        <v/>
      </c>
      <c r="AK2504" s="700" t="str">
        <f t="shared" si="1908"/>
        <v/>
      </c>
      <c r="AL2504" s="700"/>
      <c r="AM2504" s="505" t="str">
        <f t="shared" si="1909"/>
        <v/>
      </c>
      <c r="AN2504" s="506"/>
      <c r="AO2504" s="507"/>
      <c r="AP2504" s="507"/>
      <c r="AQ2504" s="507"/>
      <c r="AR2504" s="507"/>
      <c r="AS2504" s="507"/>
      <c r="AT2504" s="507"/>
      <c r="AU2504" s="507"/>
      <c r="AV2504" s="225"/>
      <c r="AW2504" s="508"/>
      <c r="AX2504" s="225"/>
      <c r="AY2504" s="225"/>
      <c r="AZ2504" s="225"/>
      <c r="BA2504" s="225"/>
      <c r="BB2504" s="225"/>
      <c r="BC2504" s="56"/>
      <c r="BD2504" s="56"/>
      <c r="BE2504" s="56"/>
      <c r="BF2504" s="107" t="str">
        <f t="shared" si="1910"/>
        <v>https://www.google.com/search?tbm=isch&amp;q=3%20G6</v>
      </c>
      <c r="BG2504" s="107" t="str">
        <f t="shared" si="1911"/>
        <v>M</v>
      </c>
      <c r="BH2504" s="254"/>
      <c r="BI2504" s="254"/>
    </row>
    <row r="2505" spans="1:61" customFormat="1" ht="17.25" thickBot="1" x14ac:dyDescent="0.3">
      <c r="A2505" s="524" t="s">
        <v>3031</v>
      </c>
      <c r="B2505" s="245"/>
      <c r="C2505" s="677"/>
      <c r="D2505" s="499"/>
      <c r="E2505" s="499"/>
      <c r="F2505" s="500"/>
      <c r="G2505" s="501"/>
      <c r="H2505" s="502"/>
      <c r="I2505" s="246"/>
      <c r="J2505" s="247"/>
      <c r="K2505" s="503"/>
      <c r="L2505" s="544"/>
      <c r="M2505" s="544"/>
      <c r="N2505" s="500"/>
      <c r="O2505" s="500"/>
      <c r="P2505" s="500"/>
      <c r="Q2505" s="500"/>
      <c r="R2505" s="500"/>
      <c r="S2505" s="669" t="s">
        <v>4991</v>
      </c>
      <c r="T2505" s="508">
        <f t="shared" si="1899"/>
        <v>0</v>
      </c>
      <c r="U2505" s="225" t="str">
        <f>IF(NOT(ISNUMBER(G2505)), "", VLOOKUP(A2505,'Discount Lookup'!D:E,2,FALSE)*G2505)</f>
        <v/>
      </c>
      <c r="V2505" s="225" t="str">
        <f>IF(NOT(ISNUMBER(G2505)), "", VLOOKUP(A2505,'Discount Lookup'!G:H,2,FALSE)*G2505)</f>
        <v/>
      </c>
      <c r="W2505" s="508">
        <f t="shared" si="1900"/>
        <v>0</v>
      </c>
      <c r="X2505" s="508">
        <f t="shared" si="1901"/>
        <v>0</v>
      </c>
      <c r="Y2505" s="509" t="b">
        <f t="shared" si="1902"/>
        <v>0</v>
      </c>
      <c r="Z2505" s="510">
        <f t="shared" si="1903"/>
        <v>0</v>
      </c>
      <c r="AA2505" s="511"/>
      <c r="AB2505" s="511" t="str">
        <f t="shared" si="1904"/>
        <v/>
      </c>
      <c r="AC2505" s="698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698"/>
      <c r="AE2505" s="631" t="str">
        <f t="shared" si="1905"/>
        <v/>
      </c>
      <c r="AF2505" s="699" t="str">
        <f t="shared" si="1906"/>
        <v/>
      </c>
      <c r="AG2505" s="699"/>
      <c r="AH2505" s="699"/>
      <c r="AI2505" s="512">
        <f>IF(H2505="credit",0,IF(AE2505="free",0,IF(AE2505="me",0,IF(G2505&gt;0,(VLOOKUP(A2505,'Discount Lookup'!J:K,2)*G2505),0))))</f>
        <v>0</v>
      </c>
      <c r="AJ2505" s="513" t="str">
        <f t="shared" ca="1" si="1907"/>
        <v/>
      </c>
      <c r="AK2505" s="700" t="str">
        <f t="shared" si="1908"/>
        <v/>
      </c>
      <c r="AL2505" s="700"/>
      <c r="AM2505" s="505" t="str">
        <f t="shared" si="1909"/>
        <v/>
      </c>
      <c r="AN2505" s="506"/>
      <c r="AO2505" s="507"/>
      <c r="AP2505" s="507"/>
      <c r="AQ2505" s="507"/>
      <c r="AR2505" s="507"/>
      <c r="AS2505" s="507"/>
      <c r="AT2505" s="507"/>
      <c r="AU2505" s="507"/>
      <c r="AV2505" s="225"/>
      <c r="AW2505" s="508"/>
      <c r="AX2505" s="225"/>
      <c r="AY2505" s="225"/>
      <c r="AZ2505" s="225"/>
      <c r="BA2505" s="225"/>
      <c r="BB2505" s="225"/>
      <c r="BC2505" s="56"/>
      <c r="BD2505" s="56"/>
      <c r="BE2505" s="56"/>
      <c r="BF2505" s="107" t="str">
        <f t="shared" si="1910"/>
        <v>https://www.google.com/search?tbm=isch&amp;q=Morning%20Light%20has%20Coppery-Red%20plumes%20in%20late%20summer%20to%20fall%2C%20maturing%20to%20Gold-Orange%2C%20then%20Silvery-Tan%20in%20winter%20</v>
      </c>
      <c r="BG2505" s="107" t="str">
        <f t="shared" si="1911"/>
        <v>M</v>
      </c>
      <c r="BH2505" s="254"/>
      <c r="BI2505" s="254"/>
    </row>
    <row r="2506" spans="1:61" customFormat="1" ht="18" x14ac:dyDescent="0.25">
      <c r="A2506" s="523" t="s">
        <v>1375</v>
      </c>
      <c r="B2506" s="235"/>
      <c r="C2506" s="676"/>
      <c r="D2506" s="255" t="s">
        <v>1376</v>
      </c>
      <c r="E2506" s="236"/>
      <c r="F2506" s="236"/>
      <c r="G2506" s="236"/>
      <c r="H2506" s="582" t="s">
        <v>356</v>
      </c>
      <c r="I2506" s="498" t="s">
        <v>654</v>
      </c>
      <c r="J2506" s="237"/>
      <c r="K2506" s="237"/>
      <c r="L2506" s="274"/>
      <c r="M2506" s="668" t="s">
        <v>4975</v>
      </c>
      <c r="N2506" s="681" t="str">
        <f>IF(AND(ISTEXT($A2506), ISERROR($A2506+0)), HYPERLINK($BF2506, "Images"), "")</f>
        <v>Images</v>
      </c>
      <c r="O2506" s="663" t="s">
        <v>4967</v>
      </c>
      <c r="P2506" s="253"/>
      <c r="Q2506" s="238"/>
      <c r="R2506" s="239"/>
      <c r="S2506" s="275" t="s">
        <v>305</v>
      </c>
      <c r="T2506" s="508">
        <f t="shared" si="1899"/>
        <v>0</v>
      </c>
      <c r="U2506" s="225" t="str">
        <f>IF(NOT(ISNUMBER(G2506)), "", VLOOKUP(A2506,'Discount Lookup'!D:E,2,FALSE)*G2506)</f>
        <v/>
      </c>
      <c r="V2506" s="225" t="str">
        <f>IF(NOT(ISNUMBER(G2506)), "", VLOOKUP(A2506,'Discount Lookup'!G:H,2,FALSE)*G2506)</f>
        <v/>
      </c>
      <c r="W2506" s="508">
        <f t="shared" si="1900"/>
        <v>0</v>
      </c>
      <c r="X2506" s="508" t="str">
        <f t="shared" si="1901"/>
        <v>White bloom</v>
      </c>
      <c r="Y2506" s="509" t="b">
        <f t="shared" si="1902"/>
        <v>0</v>
      </c>
      <c r="Z2506" s="510">
        <f t="shared" si="1903"/>
        <v>0</v>
      </c>
      <c r="AA2506" s="511"/>
      <c r="AB2506" s="511" t="str">
        <f t="shared" si="1904"/>
        <v/>
      </c>
      <c r="AC2506" s="698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698"/>
      <c r="AE2506" s="631" t="str">
        <f t="shared" si="1905"/>
        <v/>
      </c>
      <c r="AF2506" s="699" t="str">
        <f t="shared" si="1906"/>
        <v/>
      </c>
      <c r="AG2506" s="699"/>
      <c r="AH2506" s="699"/>
      <c r="AI2506" s="512">
        <f>IF(H2506="credit",0,IF(AE2506="free",0,IF(AE2506="me",0,IF(G2506&gt;0,(VLOOKUP(A2506,'Discount Lookup'!J:K,2)*G2506),0))))</f>
        <v>0</v>
      </c>
      <c r="AJ2506" s="513" t="str">
        <f t="shared" ca="1" si="1907"/>
        <v/>
      </c>
      <c r="AK2506" s="700" t="str">
        <f t="shared" si="1908"/>
        <v/>
      </c>
      <c r="AL2506" s="700"/>
      <c r="AM2506" s="505" t="str">
        <f t="shared" si="1909"/>
        <v/>
      </c>
      <c r="AN2506" s="506"/>
      <c r="AO2506" s="507"/>
      <c r="AP2506" s="507"/>
      <c r="AQ2506" s="507"/>
      <c r="AR2506" s="507"/>
      <c r="AS2506" s="507"/>
      <c r="AT2506" s="507"/>
      <c r="AU2506" s="507"/>
      <c r="AV2506" s="225"/>
      <c r="AW2506" s="508"/>
      <c r="AX2506" s="225"/>
      <c r="AY2506" s="225"/>
      <c r="AZ2506" s="225"/>
      <c r="BA2506" s="225"/>
      <c r="BB2506" s="225"/>
      <c r="BC2506" s="56"/>
      <c r="BD2506" s="56"/>
      <c r="BE2506" s="56"/>
      <c r="BF2506" s="107" t="str">
        <f t="shared" si="1910"/>
        <v>https://www.google.com/search?tbm=isch&amp;q=Mount%20Airy%20Fothergilla%20Fothergilla%20gardenii%20x%20major%20%27Mount%20Airy%27</v>
      </c>
      <c r="BG2506" s="107" t="str">
        <f t="shared" si="1911"/>
        <v>M</v>
      </c>
      <c r="BH2506" s="254"/>
      <c r="BI2506" s="254"/>
    </row>
    <row r="2507" spans="1:61" customFormat="1" ht="15.75" x14ac:dyDescent="0.25">
      <c r="A2507" s="276">
        <v>3</v>
      </c>
      <c r="B2507" s="240" t="s">
        <v>291</v>
      </c>
      <c r="C2507" s="241"/>
      <c r="D2507" s="242" t="s">
        <v>312</v>
      </c>
      <c r="E2507" s="243">
        <v>29.95</v>
      </c>
      <c r="F2507" s="517" t="s">
        <v>293</v>
      </c>
      <c r="G2507" s="232">
        <v>0</v>
      </c>
      <c r="H2507" s="661" t="str">
        <f>IF(G2507=0,"",IF(F2507="Buy",IF(G2507=1,"plant","plants"),IF(F2507&gt;0.01,"warranty","Error")))</f>
        <v/>
      </c>
      <c r="I2507" s="244">
        <f>IF(H2507="free",0,IF(H2507="credit",((E2507*(F2507))*G2507*-1),IF(F2507="Buy",(E2507*G2507),((E2507*(1-F2507))*G2507))))</f>
        <v>0</v>
      </c>
      <c r="J2507" s="244">
        <f>IF(H2507="warranty",0,(I2507*(_xlfn.SINGLE(SalesTaxPercentage))))</f>
        <v>0</v>
      </c>
      <c r="K2507" s="696">
        <f t="shared" ref="K2507" si="1948">I2507+J2507</f>
        <v>0</v>
      </c>
      <c r="L2507" s="696"/>
      <c r="M2507" s="659" t="str">
        <f>IF(AND(G2507&gt;0,E2507=0),"WARNING - no PRICE inserted",IF(H2507="free"," FREE ~ no charge this plant",IF(H2507="credit",CONCATENATE(" -$",ROUND(K2507*(1-T2GDiscount)*-1,2)," CREDIT after discount"),IF(T2GDiscount=0,"",IF(G2507=0,"",IF(F2507="Buy",CONCATENATE(" $",ROUND(K2507*(1-T2GDiscount),2)," with ",(T2GDiscount*100),"% discount"),CONCATENATE(" $",ROUND(K2507*(1-T2GDiscount),2)," with ",((T2GDiscount*100+F2507*100)-(T2GDiscount*100*F2507)),IF(F2507&gt;0,"% discounts",IF(NoWarrantyDiscount&gt;0,"% discounts","% discount")))))))))</f>
        <v/>
      </c>
      <c r="N2507" s="660"/>
      <c r="O2507" s="233"/>
      <c r="P2507" s="233"/>
      <c r="Q2507" s="233"/>
      <c r="R2507" s="233"/>
      <c r="S2507" s="233"/>
      <c r="T2507" s="508">
        <f t="shared" si="1899"/>
        <v>0</v>
      </c>
      <c r="U2507" s="225">
        <f>IF(NOT(ISNUMBER(G2507)), "", VLOOKUP(A2507,'Discount Lookup'!D:E,2,FALSE)*G2507)</f>
        <v>0</v>
      </c>
      <c r="V2507" s="225">
        <f>IF(NOT(ISNUMBER(G2507)), "", VLOOKUP(A2507,'Discount Lookup'!G:H,2,FALSE)*G2507)</f>
        <v>0</v>
      </c>
      <c r="W2507" s="508">
        <f t="shared" si="1900"/>
        <v>0</v>
      </c>
      <c r="X2507" s="508">
        <f t="shared" si="1901"/>
        <v>0</v>
      </c>
      <c r="Y2507" s="509" t="b">
        <f t="shared" si="1902"/>
        <v>0</v>
      </c>
      <c r="Z2507" s="510">
        <f t="shared" si="1903"/>
        <v>0</v>
      </c>
      <c r="AA2507" s="511"/>
      <c r="AB2507" s="511" t="str">
        <f t="shared" si="1904"/>
        <v/>
      </c>
      <c r="AC2507" s="698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698"/>
      <c r="AE2507" s="631" t="str">
        <f t="shared" si="1905"/>
        <v/>
      </c>
      <c r="AF2507" s="699" t="str">
        <f t="shared" si="1906"/>
        <v/>
      </c>
      <c r="AG2507" s="699"/>
      <c r="AH2507" s="699"/>
      <c r="AI2507" s="512">
        <f>IF(H2507="credit",0,IF(AE2507="free",0,IF(AE2507="me",0,IF(G2507&gt;0,(VLOOKUP(A2507,'Discount Lookup'!J:K,2)*G2507),0))))</f>
        <v>0</v>
      </c>
      <c r="AJ2507" s="513" t="str">
        <f t="shared" ca="1" si="1907"/>
        <v/>
      </c>
      <c r="AK2507" s="700" t="str">
        <f t="shared" si="1908"/>
        <v/>
      </c>
      <c r="AL2507" s="700"/>
      <c r="AM2507" s="505" t="str">
        <f t="shared" si="1909"/>
        <v/>
      </c>
      <c r="AN2507" s="506"/>
      <c r="AO2507" s="507"/>
      <c r="AP2507" s="507"/>
      <c r="AQ2507" s="507"/>
      <c r="AR2507" s="507"/>
      <c r="AS2507" s="507"/>
      <c r="AT2507" s="507"/>
      <c r="AU2507" s="507"/>
      <c r="AV2507" s="225"/>
      <c r="AW2507" s="508"/>
      <c r="AX2507" s="225"/>
      <c r="AY2507" s="225"/>
      <c r="AZ2507" s="225"/>
      <c r="BA2507" s="225"/>
      <c r="BB2507" s="225"/>
      <c r="BC2507" s="56"/>
      <c r="BD2507" s="56"/>
      <c r="BE2507" s="56"/>
      <c r="BF2507" s="107" t="str">
        <f t="shared" si="1910"/>
        <v>https://www.google.com/search?tbm=isch&amp;q=3%20G2</v>
      </c>
      <c r="BG2507" s="107" t="str">
        <f t="shared" si="1911"/>
        <v>M</v>
      </c>
      <c r="BH2507" s="254"/>
      <c r="BI2507" s="254"/>
    </row>
    <row r="2508" spans="1:61" customFormat="1" ht="15.75" x14ac:dyDescent="0.25">
      <c r="A2508" s="276">
        <v>7</v>
      </c>
      <c r="B2508" s="240" t="s">
        <v>291</v>
      </c>
      <c r="C2508" s="241" t="s">
        <v>1377</v>
      </c>
      <c r="D2508" s="242" t="s">
        <v>300</v>
      </c>
      <c r="E2508" s="243">
        <v>85.95</v>
      </c>
      <c r="F2508" s="517" t="s">
        <v>293</v>
      </c>
      <c r="G2508" s="232">
        <v>0</v>
      </c>
      <c r="H2508" s="661" t="str">
        <f>IF(G2508=0,"",IF(F2508="Buy",IF(G2508=1,"plant","plants"),IF(F2508&gt;0.01,"warranty","Error")))</f>
        <v/>
      </c>
      <c r="I2508" s="244">
        <f>IF(H2508="free",0,IF(H2508="credit",((E2508*(F2508))*G2508*-1),IF(F2508="Buy",(E2508*G2508),((E2508*(1-F2508))*G2508))))</f>
        <v>0</v>
      </c>
      <c r="J2508" s="244">
        <f>IF(H2508="warranty",0,(I2508*(_xlfn.SINGLE(SalesTaxPercentage))))</f>
        <v>0</v>
      </c>
      <c r="K2508" s="696">
        <f t="shared" ref="K2508" si="1949">I2508+J2508</f>
        <v>0</v>
      </c>
      <c r="L2508" s="696"/>
      <c r="M2508" s="659" t="str">
        <f>IF(AND(G2508&gt;0,E2508=0),"WARNING - no PRICE inserted",IF(H2508="free"," FREE ~ no charge this plant",IF(H2508="credit",CONCATENATE(" -$",ROUND(K2508*(1-T2GDiscount)*-1,2)," CREDIT after discount"),IF(T2GDiscount=0,"",IF(G2508=0,"",IF(F2508="Buy",CONCATENATE(" $",ROUND(K2508*(1-T2GDiscount),2)," with ",(T2GDiscount*100),"% discount"),CONCATENATE(" $",ROUND(K2508*(1-T2GDiscount),2)," with ",((T2GDiscount*100+F2508*100)-(T2GDiscount*100*F2508)),IF(F2508&gt;0,"% discounts",IF(NoWarrantyDiscount&gt;0,"% discounts","% discount")))))))))</f>
        <v/>
      </c>
      <c r="N2508" s="660"/>
      <c r="O2508" s="233"/>
      <c r="P2508" s="233"/>
      <c r="Q2508" s="233"/>
      <c r="R2508" s="233"/>
      <c r="S2508" s="233"/>
      <c r="T2508" s="508">
        <f t="shared" si="1899"/>
        <v>0</v>
      </c>
      <c r="U2508" s="225">
        <f>IF(NOT(ISNUMBER(G2508)), "", VLOOKUP(A2508,'Discount Lookup'!D:E,2,FALSE)*G2508)</f>
        <v>0</v>
      </c>
      <c r="V2508" s="225">
        <f>IF(NOT(ISNUMBER(G2508)), "", VLOOKUP(A2508,'Discount Lookup'!G:H,2,FALSE)*G2508)</f>
        <v>0</v>
      </c>
      <c r="W2508" s="508">
        <f t="shared" si="1900"/>
        <v>0</v>
      </c>
      <c r="X2508" s="508">
        <f t="shared" si="1901"/>
        <v>0</v>
      </c>
      <c r="Y2508" s="509" t="b">
        <f t="shared" si="1902"/>
        <v>0</v>
      </c>
      <c r="Z2508" s="510">
        <f t="shared" si="1903"/>
        <v>0</v>
      </c>
      <c r="AA2508" s="511"/>
      <c r="AB2508" s="511" t="str">
        <f t="shared" si="1904"/>
        <v/>
      </c>
      <c r="AC2508" s="698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698"/>
      <c r="AE2508" s="631" t="str">
        <f t="shared" si="1905"/>
        <v/>
      </c>
      <c r="AF2508" s="699" t="str">
        <f t="shared" si="1906"/>
        <v/>
      </c>
      <c r="AG2508" s="699"/>
      <c r="AH2508" s="699"/>
      <c r="AI2508" s="512">
        <f>IF(H2508="credit",0,IF(AE2508="free",0,IF(AE2508="me",0,IF(G2508&gt;0,(VLOOKUP(A2508,'Discount Lookup'!J:K,2)*G2508),0))))</f>
        <v>0</v>
      </c>
      <c r="AJ2508" s="513" t="str">
        <f t="shared" ca="1" si="1907"/>
        <v/>
      </c>
      <c r="AK2508" s="700" t="str">
        <f t="shared" si="1908"/>
        <v/>
      </c>
      <c r="AL2508" s="700"/>
      <c r="AM2508" s="505" t="str">
        <f t="shared" si="1909"/>
        <v/>
      </c>
      <c r="AN2508" s="506"/>
      <c r="AO2508" s="507"/>
      <c r="AP2508" s="507"/>
      <c r="AQ2508" s="507"/>
      <c r="AR2508" s="507"/>
      <c r="AS2508" s="507"/>
      <c r="AT2508" s="507"/>
      <c r="AU2508" s="507"/>
      <c r="AV2508" s="225"/>
      <c r="AW2508" s="508"/>
      <c r="AX2508" s="225"/>
      <c r="AY2508" s="225"/>
      <c r="AZ2508" s="225"/>
      <c r="BA2508" s="225"/>
      <c r="BB2508" s="225"/>
      <c r="BC2508" s="56"/>
      <c r="BD2508" s="56"/>
      <c r="BE2508" s="56"/>
      <c r="BF2508" s="107" t="str">
        <f t="shared" si="1910"/>
        <v>https://www.google.com/search?tbm=isch&amp;q=7%20G6</v>
      </c>
      <c r="BG2508" s="107" t="str">
        <f t="shared" si="1911"/>
        <v>M</v>
      </c>
      <c r="BH2508" s="254"/>
      <c r="BI2508" s="254"/>
    </row>
    <row r="2509" spans="1:61" customFormat="1" ht="17.25" thickBot="1" x14ac:dyDescent="0.3">
      <c r="A2509" s="673" t="s">
        <v>5178</v>
      </c>
      <c r="B2509" s="245"/>
      <c r="C2509" s="677"/>
      <c r="D2509" s="499"/>
      <c r="E2509" s="499"/>
      <c r="F2509" s="500"/>
      <c r="G2509" s="501"/>
      <c r="H2509" s="502"/>
      <c r="I2509" s="246"/>
      <c r="J2509" s="247"/>
      <c r="K2509" s="503"/>
      <c r="L2509" s="544"/>
      <c r="M2509" s="544"/>
      <c r="N2509" s="500"/>
      <c r="O2509" s="500"/>
      <c r="P2509" s="500"/>
      <c r="Q2509" s="500"/>
      <c r="R2509" s="500"/>
      <c r="S2509" s="669" t="s">
        <v>4996</v>
      </c>
      <c r="T2509" s="508">
        <f t="shared" si="1899"/>
        <v>0</v>
      </c>
      <c r="U2509" s="225" t="str">
        <f>IF(NOT(ISNUMBER(G2509)), "", VLOOKUP(A2509,'Discount Lookup'!D:E,2,FALSE)*G2509)</f>
        <v/>
      </c>
      <c r="V2509" s="225" t="str">
        <f>IF(NOT(ISNUMBER(G2509)), "", VLOOKUP(A2509,'Discount Lookup'!G:H,2,FALSE)*G2509)</f>
        <v/>
      </c>
      <c r="W2509" s="508">
        <f t="shared" si="1900"/>
        <v>0</v>
      </c>
      <c r="X2509" s="508">
        <f t="shared" si="1901"/>
        <v>0</v>
      </c>
      <c r="Y2509" s="509" t="b">
        <f t="shared" si="1902"/>
        <v>0</v>
      </c>
      <c r="Z2509" s="510">
        <f t="shared" si="1903"/>
        <v>0</v>
      </c>
      <c r="AA2509" s="511"/>
      <c r="AB2509" s="511" t="str">
        <f t="shared" si="1904"/>
        <v/>
      </c>
      <c r="AC2509" s="698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698"/>
      <c r="AE2509" s="631" t="str">
        <f t="shared" si="1905"/>
        <v/>
      </c>
      <c r="AF2509" s="699" t="str">
        <f t="shared" si="1906"/>
        <v/>
      </c>
      <c r="AG2509" s="699"/>
      <c r="AH2509" s="699"/>
      <c r="AI2509" s="512">
        <f>IF(H2509="credit",0,IF(AE2509="free",0,IF(AE2509="me",0,IF(G2509&gt;0,(VLOOKUP(A2509,'Discount Lookup'!J:K,2)*G2509),0))))</f>
        <v>0</v>
      </c>
      <c r="AJ2509" s="513" t="str">
        <f t="shared" ca="1" si="1907"/>
        <v/>
      </c>
      <c r="AK2509" s="700" t="str">
        <f t="shared" si="1908"/>
        <v/>
      </c>
      <c r="AL2509" s="700"/>
      <c r="AM2509" s="505" t="str">
        <f t="shared" si="1909"/>
        <v/>
      </c>
      <c r="AN2509" s="506"/>
      <c r="AO2509" s="507"/>
      <c r="AP2509" s="507"/>
      <c r="AQ2509" s="507"/>
      <c r="AR2509" s="507"/>
      <c r="AS2509" s="507"/>
      <c r="AT2509" s="507"/>
      <c r="AU2509" s="507"/>
      <c r="AV2509" s="225"/>
      <c r="AW2509" s="508"/>
      <c r="AX2509" s="225"/>
      <c r="AY2509" s="225"/>
      <c r="AZ2509" s="225"/>
      <c r="BA2509" s="225"/>
      <c r="BB2509" s="225"/>
      <c r="BC2509" s="56"/>
      <c r="BD2509" s="56"/>
      <c r="BE2509" s="56"/>
      <c r="BF2509" s="107" t="str">
        <f t="shared" si="1910"/>
        <v>https://www.google.com/search?tbm=isch&amp;q=moist%20sites%F0%9F%92%A7GOOD%2C%20Mount%20Airy%27s%20honey-scented%2C%20bottle-brush%20flowers%20emerge%20before%20Blue-Green%20foliage%20</v>
      </c>
      <c r="BG2509" s="107" t="str">
        <f t="shared" si="1911"/>
        <v>m</v>
      </c>
      <c r="BH2509" s="254"/>
      <c r="BI2509" s="254"/>
    </row>
    <row r="2510" spans="1:61" customFormat="1" ht="18" x14ac:dyDescent="0.25">
      <c r="A2510" s="521" t="s">
        <v>1379</v>
      </c>
      <c r="B2510" s="477"/>
      <c r="C2510" s="674"/>
      <c r="D2510" s="478" t="s">
        <v>1380</v>
      </c>
      <c r="E2510" s="479"/>
      <c r="F2510" s="479"/>
      <c r="G2510" s="479"/>
      <c r="H2510" s="582" t="s">
        <v>304</v>
      </c>
      <c r="I2510" s="480" t="s">
        <v>654</v>
      </c>
      <c r="J2510" s="479"/>
      <c r="K2510" s="479"/>
      <c r="L2510" s="560"/>
      <c r="M2510" s="666" t="s">
        <v>4966</v>
      </c>
      <c r="N2510" s="680" t="str">
        <f>IF(AND(ISTEXT($A2510), ISERROR($A2510+0)), HYPERLINK($BF2510, "Images"), "")</f>
        <v>Images</v>
      </c>
      <c r="O2510" s="662" t="s">
        <v>4967</v>
      </c>
      <c r="P2510" s="482"/>
      <c r="Q2510" s="483"/>
      <c r="R2510" s="483"/>
      <c r="S2510" s="484"/>
      <c r="T2510" s="508">
        <f t="shared" ref="T2510:T2573" si="1950">E2510*G2510</f>
        <v>0</v>
      </c>
      <c r="U2510" s="225" t="str">
        <f>IF(NOT(ISNUMBER(G2510)), "", VLOOKUP(A2510,'Discount Lookup'!D:E,2,FALSE)*G2510)</f>
        <v/>
      </c>
      <c r="V2510" s="225" t="str">
        <f>IF(NOT(ISNUMBER(G2510)), "", VLOOKUP(A2510,'Discount Lookup'!G:H,2,FALSE)*G2510)</f>
        <v/>
      </c>
      <c r="W2510" s="508">
        <f t="shared" ref="W2510:W2573" si="1951">IF(H2510="credit",0,E2510*(SalesTaxPercentage)*G2510)</f>
        <v>0</v>
      </c>
      <c r="X2510" s="508" t="str">
        <f t="shared" ref="X2510:X2573" si="1952">I2510</f>
        <v>White bloom</v>
      </c>
      <c r="Y2510" s="509" t="b">
        <f t="shared" ref="Y2510:Y2573" si="1953">IF(AE2510="T2G",0,IF(H2510="credit",0,IF(G2510&gt;0,IF(AE2510="me","",G2510))))</f>
        <v>0</v>
      </c>
      <c r="Z2510" s="510">
        <f t="shared" ref="Z2510:Z2573" si="1954">IF(H2510="credit",G2510,0)</f>
        <v>0</v>
      </c>
      <c r="AA2510" s="511"/>
      <c r="AB2510" s="511" t="str">
        <f t="shared" ref="AB2510:AB2573" si="1955">IF(AE2510="T2G","by Trees2Go",IF(H2510="credit","CREDIT only ~",IF(AND(K2510="",AE2510=OR(PlanterYesMe="No",PlanterYesMe="N",PlanterYesMe="me")),"not THIS line⇨",IF(AND(K2510="images",AE2510="me"),"not THIS line⇨",IF(H2510="credit","",IF(G2510=0,"",IF(AE2510="me","",IF(OR(PlanterYesMe="No",PlanterYesMe="N",PlanterYesMe="me"),"",IF(AE2510="free","warranty",IF(OR(PlanterYesMe="yes",PlanterYesMe="y"),"Edison install:","to install:"))))))))))</f>
        <v/>
      </c>
      <c r="AC2510" s="698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698"/>
      <c r="AE2510" s="631" t="str">
        <f t="shared" ref="AE2510:AE2573" si="1956">IF(H2510="credit","",IF(G2510=0,"",IF(OR(PlanterYesMe="No",PlanterYesMe="N",PlanterYesMe="me"),"me",IF(H2510="warranty","free",IF(OR(PlanterYesMe="yes",PlanterYesMe="y"),"ELP","")))))</f>
        <v/>
      </c>
      <c r="AF2510" s="699" t="str">
        <f t="shared" ref="AF2510:AF2573" si="1957">IF(OR(PlanterYesMe="No",PlanterYesMe="N",PlanterYesMe="me"),"",IF(H2510="credit","",IF(G2510&gt;0,(CONCATENATE((G2510)," quantity, ",(A2510)," ",B2510)),"")))</f>
        <v/>
      </c>
      <c r="AG2510" s="699"/>
      <c r="AH2510" s="699"/>
      <c r="AI2510" s="512">
        <f>IF(H2510="credit",0,IF(AE2510="free",0,IF(AE2510="me",0,IF(G2510&gt;0,(VLOOKUP(A2510,'Discount Lookup'!J:K,2)*G2510),0))))</f>
        <v>0</v>
      </c>
      <c r="AJ2510" s="513" t="str">
        <f t="shared" ref="AJ2510:AJ2573" ca="1" si="1958">IF(AND(ISREF(H2510),H2510="credit"),"",IF(AND(AND(OFFSET(G2510,0,0)=0,OFFSET(G2510,1,0)&gt;0,ISNUMBER(OFFSET(AC2510,1,0)),OFFSET(AC2510,1,0)&gt;0),OR(PlanterYesMe="yes",PlanterYesMe="y")),"T2G+ELP=",IF(AND(OFFSET(G2510,0,0)=0,OFFSET(G2510,1,0)&gt;0,ISNUMBER(OFFSET(AC2510,1,0)),OFFSET(AC2510,1,0)&gt;0),"if T2G+ELP=",IF(AND(OFFSET(G2510,0,0)=0,OFFSET(G2510,1,0)&gt;0),"T2G Subtotal",IF(H2510="credit","",IF(G2510=0,"",IF(AE2510="free",(K2510*(1-T2GDiscount)),IF(OR(PlanterYesMe="No",PlanterYesMe="N",PlanterYesMe="me"),(K2510*(1-T2GDiscount)),IF(OR(AE2510="me",AE2510="T2G"),(K2510*(1-T2GDiscount)),(K2510*(1-T2GDiscount))+AC2510)))))))))</f>
        <v/>
      </c>
      <c r="AK2510" s="700" t="str">
        <f t="shared" ref="AK2510:AK2573" si="1959">IF(H2510="credit","",IF(G2510=0,"",IF(OR(AE2510="me",AE2510="T2G"),"  delivery-only",IF(OR(PlanterYesMe="No",PlanterYesMe="N",PlanterYesMe="me"),"  delivery-only",CONCATENATE(" $",ROUND(AJ2510/G2510,2)," each")))))</f>
        <v/>
      </c>
      <c r="AL2510" s="700"/>
      <c r="AM2510" s="505" t="str">
        <f t="shared" ref="AM2510:AM2573" si="1960">IF(H2510="credit","",IF(AE2510="free","      ~ discounts included, no tax or planting fee applies ~",IF(G2510=0,"",IF(OR(PlanterYesMe="No",PlanterYesMe="N",PlanterYesMe="me"),CONCATENATE(" $",ROUND(AJ2510/G2510,2)," per plant, with tax &amp; discount"),IF(OR(AE2510="me",AE2510="T2G"),CONCATENATE(" $",ROUND(AJ2510/G2510,2)," per plant, with tax &amp; discount"),CONCATENATE("= $",ROUND((K2510*(1-T2GDiscount))/G2510,2)," per plant + $",AC2510/G2510,(" per planting      ~ includes tax &amp; discounts ~")))))))</f>
        <v/>
      </c>
      <c r="AN2510" s="506"/>
      <c r="AO2510" s="507"/>
      <c r="AP2510" s="507"/>
      <c r="AQ2510" s="507"/>
      <c r="AR2510" s="507"/>
      <c r="AS2510" s="507"/>
      <c r="AT2510" s="507"/>
      <c r="AU2510" s="507"/>
      <c r="AV2510" s="225"/>
      <c r="AW2510" s="508"/>
      <c r="AX2510" s="225"/>
      <c r="AY2510" s="225"/>
      <c r="AZ2510" s="225"/>
      <c r="BA2510" s="225"/>
      <c r="BB2510" s="225"/>
      <c r="BC2510" s="56"/>
      <c r="BD2510" s="56"/>
      <c r="BE2510" s="56"/>
      <c r="BF2510" s="107" t="str">
        <f t="shared" ref="BF2510:BF2573" si="1961">"https://www.google.com/search?tbm=isch&amp;q=" &amp; _xlfn.ENCODEURL($A2510 &amp; " " &amp; $D2510)</f>
        <v>https://www.google.com/search?tbm=isch&amp;q=Mountain%20Gordlinia%20Gordlinia%20grandiflora</v>
      </c>
      <c r="BG2510" s="107" t="str">
        <f t="shared" ref="BG2510:BG2573" si="1962">IF(ISTEXT(A2510),LEFT(A2510,1),BG2509)</f>
        <v>M</v>
      </c>
      <c r="BH2510" s="254"/>
      <c r="BI2510" s="254"/>
    </row>
    <row r="2511" spans="1:61" customFormat="1" ht="15.75" x14ac:dyDescent="0.25">
      <c r="A2511" s="485">
        <v>7</v>
      </c>
      <c r="B2511" s="486" t="s">
        <v>291</v>
      </c>
      <c r="C2511" s="487" t="s">
        <v>3672</v>
      </c>
      <c r="D2511" s="488" t="s">
        <v>292</v>
      </c>
      <c r="E2511" s="489">
        <v>109.95</v>
      </c>
      <c r="F2511" s="516" t="s">
        <v>293</v>
      </c>
      <c r="G2511" s="232">
        <v>0</v>
      </c>
      <c r="H2511" s="658" t="str">
        <f>IF(G2511=0,"",IF(F2511="Buy",IF(G2511=1,"plant","plants"),IF(F2511&gt;0.01,"warranty","Error")))</f>
        <v/>
      </c>
      <c r="I2511" s="490">
        <f>IF(H2511="free",0,IF(H2511="credit",((E2511*(F2511))*G2511*-1),IF(F2511="Buy",(E2511*G2511),((E2511*(1-F2511))*G2511))))</f>
        <v>0</v>
      </c>
      <c r="J2511" s="490">
        <f>IF(H2511="warranty",0,(I2511*(_xlfn.SINGLE(SalesTaxPercentage))))</f>
        <v>0</v>
      </c>
      <c r="K2511" s="695">
        <f t="shared" ref="K2511" si="1963">I2511+J2511</f>
        <v>0</v>
      </c>
      <c r="L2511" s="695"/>
      <c r="M2511" s="659" t="str">
        <f>IF(AND(G2511&gt;0,E2511=0),"WARNING - no PRICE inserted",IF(H2511="free"," FREE ~ no charge this plant",IF(H2511="credit",CONCATENATE(" -$",ROUND(K2511*(1-T2GDiscount)*-1,2)," CREDIT after discount"),IF(T2GDiscount=0,"",IF(G2511=0,"",IF(F2511="Buy",CONCATENATE(" $",ROUND(K2511*(1-T2GDiscount),2)," with ",(T2GDiscount*100),"% discount"),CONCATENATE(" $",ROUND(K2511*(1-T2GDiscount),2)," with ",((T2GDiscount*100+F2511*100)-(T2GDiscount*100*F2511)),IF(F2511&gt;0,"% discounts",IF(NoWarrantyDiscount&gt;0,"% discounts","% discount")))))))))</f>
        <v/>
      </c>
      <c r="N2511" s="660"/>
      <c r="O2511" s="233"/>
      <c r="P2511" s="233"/>
      <c r="Q2511" s="233"/>
      <c r="R2511" s="233"/>
      <c r="S2511" s="233"/>
      <c r="T2511" s="508">
        <f t="shared" si="1950"/>
        <v>0</v>
      </c>
      <c r="U2511" s="225">
        <f>IF(NOT(ISNUMBER(G2511)), "", VLOOKUP(A2511,'Discount Lookup'!D:E,2,FALSE)*G2511)</f>
        <v>0</v>
      </c>
      <c r="V2511" s="225">
        <f>IF(NOT(ISNUMBER(G2511)), "", VLOOKUP(A2511,'Discount Lookup'!G:H,2,FALSE)*G2511)</f>
        <v>0</v>
      </c>
      <c r="W2511" s="508">
        <f t="shared" si="1951"/>
        <v>0</v>
      </c>
      <c r="X2511" s="508">
        <f t="shared" si="1952"/>
        <v>0</v>
      </c>
      <c r="Y2511" s="509" t="b">
        <f t="shared" si="1953"/>
        <v>0</v>
      </c>
      <c r="Z2511" s="510">
        <f t="shared" si="1954"/>
        <v>0</v>
      </c>
      <c r="AA2511" s="511"/>
      <c r="AB2511" s="511" t="str">
        <f t="shared" si="1955"/>
        <v/>
      </c>
      <c r="AC2511" s="698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698"/>
      <c r="AE2511" s="631" t="str">
        <f t="shared" si="1956"/>
        <v/>
      </c>
      <c r="AF2511" s="699" t="str">
        <f t="shared" si="1957"/>
        <v/>
      </c>
      <c r="AG2511" s="699"/>
      <c r="AH2511" s="699"/>
      <c r="AI2511" s="512">
        <f>IF(H2511="credit",0,IF(AE2511="free",0,IF(AE2511="me",0,IF(G2511&gt;0,(VLOOKUP(A2511,'Discount Lookup'!J:K,2)*G2511),0))))</f>
        <v>0</v>
      </c>
      <c r="AJ2511" s="513" t="str">
        <f t="shared" ca="1" si="1958"/>
        <v/>
      </c>
      <c r="AK2511" s="700" t="str">
        <f t="shared" si="1959"/>
        <v/>
      </c>
      <c r="AL2511" s="700"/>
      <c r="AM2511" s="505" t="str">
        <f t="shared" si="1960"/>
        <v/>
      </c>
      <c r="AN2511" s="506"/>
      <c r="AO2511" s="507"/>
      <c r="AP2511" s="507"/>
      <c r="AQ2511" s="507"/>
      <c r="AR2511" s="507"/>
      <c r="AS2511" s="507"/>
      <c r="AT2511" s="507"/>
      <c r="AU2511" s="507"/>
      <c r="AV2511" s="225"/>
      <c r="AW2511" s="508"/>
      <c r="AX2511" s="225"/>
      <c r="AY2511" s="225"/>
      <c r="AZ2511" s="225"/>
      <c r="BA2511" s="225"/>
      <c r="BB2511" s="225"/>
      <c r="BC2511" s="56"/>
      <c r="BD2511" s="56"/>
      <c r="BE2511" s="56"/>
      <c r="BF2511" s="107" t="str">
        <f t="shared" si="1961"/>
        <v>https://www.google.com/search?tbm=isch&amp;q=7%20G4</v>
      </c>
      <c r="BG2511" s="107" t="str">
        <f t="shared" si="1962"/>
        <v>M</v>
      </c>
      <c r="BH2511" s="254"/>
      <c r="BI2511" s="254"/>
    </row>
    <row r="2512" spans="1:61" customFormat="1" ht="17.25" thickBot="1" x14ac:dyDescent="0.3">
      <c r="A2512" s="672" t="s">
        <v>5179</v>
      </c>
      <c r="B2512" s="491"/>
      <c r="C2512" s="675"/>
      <c r="D2512" s="491"/>
      <c r="E2512" s="491"/>
      <c r="F2512" s="492"/>
      <c r="G2512" s="493"/>
      <c r="H2512" s="491"/>
      <c r="I2512" s="234"/>
      <c r="J2512" s="234"/>
      <c r="K2512" s="494"/>
      <c r="L2512" s="543"/>
      <c r="M2512" s="561"/>
      <c r="N2512" s="495"/>
      <c r="O2512" s="496"/>
      <c r="P2512" s="497"/>
      <c r="Q2512" s="495"/>
      <c r="R2512" s="495"/>
      <c r="S2512" s="667" t="s">
        <v>4983</v>
      </c>
      <c r="T2512" s="508">
        <f t="shared" si="1950"/>
        <v>0</v>
      </c>
      <c r="U2512" s="225" t="str">
        <f>IF(NOT(ISNUMBER(G2512)), "", VLOOKUP(A2512,'Discount Lookup'!D:E,2,FALSE)*G2512)</f>
        <v/>
      </c>
      <c r="V2512" s="225" t="str">
        <f>IF(NOT(ISNUMBER(G2512)), "", VLOOKUP(A2512,'Discount Lookup'!G:H,2,FALSE)*G2512)</f>
        <v/>
      </c>
      <c r="W2512" s="508">
        <f t="shared" si="1951"/>
        <v>0</v>
      </c>
      <c r="X2512" s="508">
        <f t="shared" si="1952"/>
        <v>0</v>
      </c>
      <c r="Y2512" s="509" t="b">
        <f t="shared" si="1953"/>
        <v>0</v>
      </c>
      <c r="Z2512" s="510">
        <f t="shared" si="1954"/>
        <v>0</v>
      </c>
      <c r="AA2512" s="511"/>
      <c r="AB2512" s="511" t="str">
        <f t="shared" si="1955"/>
        <v/>
      </c>
      <c r="AC2512" s="698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698"/>
      <c r="AE2512" s="631" t="str">
        <f t="shared" si="1956"/>
        <v/>
      </c>
      <c r="AF2512" s="699" t="str">
        <f t="shared" si="1957"/>
        <v/>
      </c>
      <c r="AG2512" s="699"/>
      <c r="AH2512" s="699"/>
      <c r="AI2512" s="512">
        <f>IF(H2512="credit",0,IF(AE2512="free",0,IF(AE2512="me",0,IF(G2512&gt;0,(VLOOKUP(A2512,'Discount Lookup'!J:K,2)*G2512),0))))</f>
        <v>0</v>
      </c>
      <c r="AJ2512" s="513" t="str">
        <f t="shared" ca="1" si="1958"/>
        <v/>
      </c>
      <c r="AK2512" s="700" t="str">
        <f t="shared" si="1959"/>
        <v/>
      </c>
      <c r="AL2512" s="700"/>
      <c r="AM2512" s="505" t="str">
        <f t="shared" si="1960"/>
        <v/>
      </c>
      <c r="AN2512" s="506"/>
      <c r="AO2512" s="507"/>
      <c r="AP2512" s="507"/>
      <c r="AQ2512" s="507"/>
      <c r="AR2512" s="507"/>
      <c r="AS2512" s="507"/>
      <c r="AT2512" s="507"/>
      <c r="AU2512" s="507"/>
      <c r="AV2512" s="225"/>
      <c r="AW2512" s="508"/>
      <c r="AX2512" s="225"/>
      <c r="AY2512" s="225"/>
      <c r="AZ2512" s="225"/>
      <c r="BA2512" s="225"/>
      <c r="BB2512" s="225"/>
      <c r="BC2512" s="56"/>
      <c r="BD2512" s="56"/>
      <c r="BE2512" s="56"/>
      <c r="BF2512" s="107" t="str">
        <f t="shared" si="1961"/>
        <v>https://www.google.com/search?tbm=isch&amp;q=wet%20sites%F0%9F%92%A7GOOD%2C%20Mountain%20Gordlinia%20is%20semi-evergreen.%20Long%20lasting%20blooms%20are%20large%20and%20fragrant%20</v>
      </c>
      <c r="BG2512" s="107" t="str">
        <f t="shared" si="1962"/>
        <v>w</v>
      </c>
      <c r="BH2512" s="254"/>
      <c r="BI2512" s="254"/>
    </row>
    <row r="2513" spans="1:61" customFormat="1" ht="18" x14ac:dyDescent="0.25">
      <c r="A2513" s="521" t="s">
        <v>1381</v>
      </c>
      <c r="B2513" s="477"/>
      <c r="C2513" s="674"/>
      <c r="D2513" s="478" t="s">
        <v>1382</v>
      </c>
      <c r="E2513" s="479"/>
      <c r="F2513" s="479"/>
      <c r="G2513" s="479"/>
      <c r="H2513" s="582" t="s">
        <v>810</v>
      </c>
      <c r="I2513" s="480" t="s">
        <v>654</v>
      </c>
      <c r="J2513" s="479"/>
      <c r="K2513" s="479"/>
      <c r="L2513" s="560"/>
      <c r="M2513" s="666" t="s">
        <v>4965</v>
      </c>
      <c r="N2513" s="680" t="str">
        <f>IF(AND(ISTEXT($A2513), ISERROR($A2513+0)), HYPERLINK($BF2513, "Images"), "")</f>
        <v>Images</v>
      </c>
      <c r="O2513" s="662" t="s">
        <v>4969</v>
      </c>
      <c r="P2513" s="482"/>
      <c r="Q2513" s="483"/>
      <c r="R2513" s="483"/>
      <c r="S2513" s="484"/>
      <c r="T2513" s="508">
        <f t="shared" si="1950"/>
        <v>0</v>
      </c>
      <c r="U2513" s="225" t="str">
        <f>IF(NOT(ISNUMBER(G2513)), "", VLOOKUP(A2513,'Discount Lookup'!D:E,2,FALSE)*G2513)</f>
        <v/>
      </c>
      <c r="V2513" s="225" t="str">
        <f>IF(NOT(ISNUMBER(G2513)), "", VLOOKUP(A2513,'Discount Lookup'!G:H,2,FALSE)*G2513)</f>
        <v/>
      </c>
      <c r="W2513" s="508">
        <f t="shared" si="1951"/>
        <v>0</v>
      </c>
      <c r="X2513" s="508" t="str">
        <f t="shared" si="1952"/>
        <v>White bloom</v>
      </c>
      <c r="Y2513" s="509" t="b">
        <f t="shared" si="1953"/>
        <v>0</v>
      </c>
      <c r="Z2513" s="510">
        <f t="shared" si="1954"/>
        <v>0</v>
      </c>
      <c r="AA2513" s="511"/>
      <c r="AB2513" s="511" t="str">
        <f t="shared" si="1955"/>
        <v/>
      </c>
      <c r="AC2513" s="698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698"/>
      <c r="AE2513" s="631" t="str">
        <f t="shared" si="1956"/>
        <v/>
      </c>
      <c r="AF2513" s="699" t="str">
        <f t="shared" si="1957"/>
        <v/>
      </c>
      <c r="AG2513" s="699"/>
      <c r="AH2513" s="699"/>
      <c r="AI2513" s="512">
        <f>IF(H2513="credit",0,IF(AE2513="free",0,IF(AE2513="me",0,IF(G2513&gt;0,(VLOOKUP(A2513,'Discount Lookup'!J:K,2)*G2513),0))))</f>
        <v>0</v>
      </c>
      <c r="AJ2513" s="513" t="str">
        <f t="shared" ca="1" si="1958"/>
        <v/>
      </c>
      <c r="AK2513" s="700" t="str">
        <f t="shared" si="1959"/>
        <v/>
      </c>
      <c r="AL2513" s="700"/>
      <c r="AM2513" s="505" t="str">
        <f t="shared" si="1960"/>
        <v/>
      </c>
      <c r="AN2513" s="506"/>
      <c r="AO2513" s="507"/>
      <c r="AP2513" s="507"/>
      <c r="AQ2513" s="507"/>
      <c r="AR2513" s="507"/>
      <c r="AS2513" s="507"/>
      <c r="AT2513" s="507"/>
      <c r="AU2513" s="507"/>
      <c r="AV2513" s="225"/>
      <c r="AW2513" s="508"/>
      <c r="AX2513" s="225"/>
      <c r="AY2513" s="225"/>
      <c r="AZ2513" s="225"/>
      <c r="BA2513" s="225"/>
      <c r="BB2513" s="225"/>
      <c r="BC2513" s="56"/>
      <c r="BD2513" s="56"/>
      <c r="BE2513" s="56"/>
      <c r="BF2513" s="107" t="str">
        <f t="shared" si="1961"/>
        <v>https://www.google.com/search?tbm=isch&amp;q=Mountain%20Snow%20Japanese%20Pieris%20Pieris%20japonica%20%27Planow%27</v>
      </c>
      <c r="BG2513" s="107" t="str">
        <f t="shared" si="1962"/>
        <v>M</v>
      </c>
      <c r="BH2513" s="254"/>
      <c r="BI2513" s="254"/>
    </row>
    <row r="2514" spans="1:61" customFormat="1" ht="15.75" x14ac:dyDescent="0.25">
      <c r="A2514" s="485">
        <v>3</v>
      </c>
      <c r="B2514" s="486" t="s">
        <v>291</v>
      </c>
      <c r="C2514" s="487" t="s">
        <v>352</v>
      </c>
      <c r="D2514" s="488" t="s">
        <v>297</v>
      </c>
      <c r="E2514" s="489">
        <v>35.950000000000003</v>
      </c>
      <c r="F2514" s="516" t="s">
        <v>293</v>
      </c>
      <c r="G2514" s="232">
        <v>0</v>
      </c>
      <c r="H2514" s="658" t="str">
        <f>IF(G2514=0,"",IF(F2514="Buy",IF(G2514=1,"plant","plants"),IF(F2514&gt;0.01,"warranty","Error")))</f>
        <v/>
      </c>
      <c r="I2514" s="490">
        <f>IF(H2514="free",0,IF(H2514="credit",((E2514*(F2514))*G2514*-1),IF(F2514="Buy",(E2514*G2514),((E2514*(1-F2514))*G2514))))</f>
        <v>0</v>
      </c>
      <c r="J2514" s="490">
        <f>IF(H2514="warranty",0,(I2514*(_xlfn.SINGLE(SalesTaxPercentage))))</f>
        <v>0</v>
      </c>
      <c r="K2514" s="695">
        <f t="shared" ref="K2514" si="1964">I2514+J2514</f>
        <v>0</v>
      </c>
      <c r="L2514" s="695"/>
      <c r="M2514" s="659" t="str">
        <f>IF(AND(G2514&gt;0,E2514=0),"WARNING - no PRICE inserted",IF(H2514="free"," FREE ~ no charge this plant",IF(H2514="credit",CONCATENATE(" -$",ROUND(K2514*(1-T2GDiscount)*-1,2)," CREDIT after discount"),IF(T2GDiscount=0,"",IF(G2514=0,"",IF(F2514="Buy",CONCATENATE(" $",ROUND(K2514*(1-T2GDiscount),2)," with ",(T2GDiscount*100),"% discount"),CONCATENATE(" $",ROUND(K2514*(1-T2GDiscount),2)," with ",((T2GDiscount*100+F2514*100)-(T2GDiscount*100*F2514)),IF(F2514&gt;0,"% discounts",IF(NoWarrantyDiscount&gt;0,"% discounts","% discount")))))))))</f>
        <v/>
      </c>
      <c r="N2514" s="660"/>
      <c r="O2514" s="233"/>
      <c r="P2514" s="233"/>
      <c r="Q2514" s="233"/>
      <c r="R2514" s="233"/>
      <c r="S2514" s="233"/>
      <c r="T2514" s="508">
        <f t="shared" si="1950"/>
        <v>0</v>
      </c>
      <c r="U2514" s="225">
        <f>IF(NOT(ISNUMBER(G2514)), "", VLOOKUP(A2514,'Discount Lookup'!D:E,2,FALSE)*G2514)</f>
        <v>0</v>
      </c>
      <c r="V2514" s="225">
        <f>IF(NOT(ISNUMBER(G2514)), "", VLOOKUP(A2514,'Discount Lookup'!G:H,2,FALSE)*G2514)</f>
        <v>0</v>
      </c>
      <c r="W2514" s="508">
        <f t="shared" si="1951"/>
        <v>0</v>
      </c>
      <c r="X2514" s="508">
        <f t="shared" si="1952"/>
        <v>0</v>
      </c>
      <c r="Y2514" s="509" t="b">
        <f t="shared" si="1953"/>
        <v>0</v>
      </c>
      <c r="Z2514" s="510">
        <f t="shared" si="1954"/>
        <v>0</v>
      </c>
      <c r="AA2514" s="511"/>
      <c r="AB2514" s="511" t="str">
        <f t="shared" si="1955"/>
        <v/>
      </c>
      <c r="AC2514" s="698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698"/>
      <c r="AE2514" s="631" t="str">
        <f t="shared" si="1956"/>
        <v/>
      </c>
      <c r="AF2514" s="699" t="str">
        <f t="shared" si="1957"/>
        <v/>
      </c>
      <c r="AG2514" s="699"/>
      <c r="AH2514" s="699"/>
      <c r="AI2514" s="512">
        <f>IF(H2514="credit",0,IF(AE2514="free",0,IF(AE2514="me",0,IF(G2514&gt;0,(VLOOKUP(A2514,'Discount Lookup'!J:K,2)*G2514),0))))</f>
        <v>0</v>
      </c>
      <c r="AJ2514" s="513" t="str">
        <f t="shared" ca="1" si="1958"/>
        <v/>
      </c>
      <c r="AK2514" s="700" t="str">
        <f t="shared" si="1959"/>
        <v/>
      </c>
      <c r="AL2514" s="700"/>
      <c r="AM2514" s="505" t="str">
        <f t="shared" si="1960"/>
        <v/>
      </c>
      <c r="AN2514" s="506"/>
      <c r="AO2514" s="507"/>
      <c r="AP2514" s="507"/>
      <c r="AQ2514" s="507"/>
      <c r="AR2514" s="507"/>
      <c r="AS2514" s="507"/>
      <c r="AT2514" s="507"/>
      <c r="AU2514" s="507"/>
      <c r="AV2514" s="225"/>
      <c r="AW2514" s="508"/>
      <c r="AX2514" s="225"/>
      <c r="AY2514" s="225"/>
      <c r="AZ2514" s="225"/>
      <c r="BA2514" s="225"/>
      <c r="BB2514" s="225"/>
      <c r="BC2514" s="56"/>
      <c r="BD2514" s="56"/>
      <c r="BE2514" s="56"/>
      <c r="BF2514" s="107" t="str">
        <f t="shared" si="1961"/>
        <v>https://www.google.com/search?tbm=isch&amp;q=3%20G3</v>
      </c>
      <c r="BG2514" s="107" t="str">
        <f t="shared" si="1962"/>
        <v>M</v>
      </c>
      <c r="BH2514" s="254"/>
      <c r="BI2514" s="254"/>
    </row>
    <row r="2515" spans="1:61" customFormat="1" ht="17.25" thickBot="1" x14ac:dyDescent="0.3">
      <c r="A2515" s="672" t="s">
        <v>5180</v>
      </c>
      <c r="B2515" s="491"/>
      <c r="C2515" s="675"/>
      <c r="D2515" s="491"/>
      <c r="E2515" s="491"/>
      <c r="F2515" s="492"/>
      <c r="G2515" s="493"/>
      <c r="H2515" s="491"/>
      <c r="I2515" s="234"/>
      <c r="J2515" s="234"/>
      <c r="K2515" s="494"/>
      <c r="L2515" s="543"/>
      <c r="M2515" s="561"/>
      <c r="N2515" s="495"/>
      <c r="O2515" s="496"/>
      <c r="P2515" s="497"/>
      <c r="Q2515" s="495"/>
      <c r="R2515" s="495"/>
      <c r="S2515" s="667" t="s">
        <v>4986</v>
      </c>
      <c r="T2515" s="508">
        <f t="shared" si="1950"/>
        <v>0</v>
      </c>
      <c r="U2515" s="225" t="str">
        <f>IF(NOT(ISNUMBER(G2515)), "", VLOOKUP(A2515,'Discount Lookup'!D:E,2,FALSE)*G2515)</f>
        <v/>
      </c>
      <c r="V2515" s="225" t="str">
        <f>IF(NOT(ISNUMBER(G2515)), "", VLOOKUP(A2515,'Discount Lookup'!G:H,2,FALSE)*G2515)</f>
        <v/>
      </c>
      <c r="W2515" s="508">
        <f t="shared" si="1951"/>
        <v>0</v>
      </c>
      <c r="X2515" s="508">
        <f t="shared" si="1952"/>
        <v>0</v>
      </c>
      <c r="Y2515" s="509" t="b">
        <f t="shared" si="1953"/>
        <v>0</v>
      </c>
      <c r="Z2515" s="510">
        <f t="shared" si="1954"/>
        <v>0</v>
      </c>
      <c r="AA2515" s="511"/>
      <c r="AB2515" s="511" t="str">
        <f t="shared" si="1955"/>
        <v/>
      </c>
      <c r="AC2515" s="698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698"/>
      <c r="AE2515" s="631" t="str">
        <f t="shared" si="1956"/>
        <v/>
      </c>
      <c r="AF2515" s="699" t="str">
        <f t="shared" si="1957"/>
        <v/>
      </c>
      <c r="AG2515" s="699"/>
      <c r="AH2515" s="699"/>
      <c r="AI2515" s="512">
        <f>IF(H2515="credit",0,IF(AE2515="free",0,IF(AE2515="me",0,IF(G2515&gt;0,(VLOOKUP(A2515,'Discount Lookup'!J:K,2)*G2515),0))))</f>
        <v>0</v>
      </c>
      <c r="AJ2515" s="513" t="str">
        <f t="shared" ca="1" si="1958"/>
        <v/>
      </c>
      <c r="AK2515" s="700" t="str">
        <f t="shared" si="1959"/>
        <v/>
      </c>
      <c r="AL2515" s="700"/>
      <c r="AM2515" s="505" t="str">
        <f t="shared" si="1960"/>
        <v/>
      </c>
      <c r="AN2515" s="506"/>
      <c r="AO2515" s="507"/>
      <c r="AP2515" s="507"/>
      <c r="AQ2515" s="507"/>
      <c r="AR2515" s="507"/>
      <c r="AS2515" s="507"/>
      <c r="AT2515" s="507"/>
      <c r="AU2515" s="507"/>
      <c r="AV2515" s="225"/>
      <c r="AW2515" s="508"/>
      <c r="AX2515" s="225"/>
      <c r="AY2515" s="225"/>
      <c r="AZ2515" s="225"/>
      <c r="BA2515" s="225"/>
      <c r="BB2515" s="225"/>
      <c r="BC2515" s="56"/>
      <c r="BD2515" s="56"/>
      <c r="BE2515" s="56"/>
      <c r="BF2515" s="107" t="str">
        <f t="shared" si="1961"/>
        <v>https://www.google.com/search?tbm=isch&amp;q=moist%20sites%F0%9F%92%A7GOOD%2C%20Mountain%20Snow%20most%20cold%2Fheat%20tolerant%20Pieris.%20Bell-shaped%20flowers%20on%20pendulous%20branches%20</v>
      </c>
      <c r="BG2515" s="107" t="str">
        <f t="shared" si="1962"/>
        <v>m</v>
      </c>
      <c r="BH2515" s="254"/>
      <c r="BI2515" s="254"/>
    </row>
    <row r="2516" spans="1:61" customFormat="1" ht="18" x14ac:dyDescent="0.25">
      <c r="A2516" s="521" t="s">
        <v>5462</v>
      </c>
      <c r="B2516" s="477"/>
      <c r="C2516" s="674"/>
      <c r="D2516" s="478" t="s">
        <v>1383</v>
      </c>
      <c r="E2516" s="479"/>
      <c r="F2516" s="479"/>
      <c r="G2516" s="479"/>
      <c r="H2516" s="582" t="s">
        <v>443</v>
      </c>
      <c r="I2516" s="480" t="s">
        <v>2907</v>
      </c>
      <c r="J2516" s="479"/>
      <c r="K2516" s="479"/>
      <c r="L2516" s="560"/>
      <c r="M2516" s="666" t="s">
        <v>4966</v>
      </c>
      <c r="N2516" s="680" t="str">
        <f>IF(AND(ISTEXT($A2516), ISERROR($A2516+0)), HYPERLINK($BF2516, "Images"), "")</f>
        <v>Images</v>
      </c>
      <c r="O2516" s="662" t="s">
        <v>4974</v>
      </c>
      <c r="P2516" s="482"/>
      <c r="Q2516" s="483"/>
      <c r="R2516" s="483"/>
      <c r="S2516" s="484" t="s">
        <v>305</v>
      </c>
      <c r="T2516" s="508">
        <f t="shared" si="1950"/>
        <v>0</v>
      </c>
      <c r="U2516" s="225" t="str">
        <f>IF(NOT(ISNUMBER(G2516)), "", VLOOKUP(A2516,'Discount Lookup'!D:E,2,FALSE)*G2516)</f>
        <v/>
      </c>
      <c r="V2516" s="225" t="str">
        <f>IF(NOT(ISNUMBER(G2516)), "", VLOOKUP(A2516,'Discount Lookup'!G:H,2,FALSE)*G2516)</f>
        <v/>
      </c>
      <c r="W2516" s="508">
        <f t="shared" si="1951"/>
        <v>0</v>
      </c>
      <c r="X2516" s="508" t="str">
        <f t="shared" si="1952"/>
        <v>Bluish-Green foliage</v>
      </c>
      <c r="Y2516" s="509" t="b">
        <f t="shared" si="1953"/>
        <v>0</v>
      </c>
      <c r="Z2516" s="510">
        <f t="shared" si="1954"/>
        <v>0</v>
      </c>
      <c r="AA2516" s="511"/>
      <c r="AB2516" s="511" t="str">
        <f t="shared" si="1955"/>
        <v/>
      </c>
      <c r="AC2516" s="698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698"/>
      <c r="AE2516" s="631" t="str">
        <f t="shared" si="1956"/>
        <v/>
      </c>
      <c r="AF2516" s="699" t="str">
        <f t="shared" si="1957"/>
        <v/>
      </c>
      <c r="AG2516" s="699"/>
      <c r="AH2516" s="699"/>
      <c r="AI2516" s="512">
        <f>IF(H2516="credit",0,IF(AE2516="free",0,IF(AE2516="me",0,IF(G2516&gt;0,(VLOOKUP(A2516,'Discount Lookup'!J:K,2)*G2516),0))))</f>
        <v>0</v>
      </c>
      <c r="AJ2516" s="513" t="str">
        <f t="shared" ca="1" si="1958"/>
        <v/>
      </c>
      <c r="AK2516" s="700" t="str">
        <f t="shared" si="1959"/>
        <v/>
      </c>
      <c r="AL2516" s="700"/>
      <c r="AM2516" s="505" t="str">
        <f t="shared" si="1960"/>
        <v/>
      </c>
      <c r="AN2516" s="506"/>
      <c r="AO2516" s="507"/>
      <c r="AP2516" s="507"/>
      <c r="AQ2516" s="507"/>
      <c r="AR2516" s="507"/>
      <c r="AS2516" s="507"/>
      <c r="AT2516" s="507"/>
      <c r="AU2516" s="507"/>
      <c r="AV2516" s="225"/>
      <c r="AW2516" s="508"/>
      <c r="AX2516" s="225"/>
      <c r="AY2516" s="225"/>
      <c r="AZ2516" s="225"/>
      <c r="BA2516" s="225"/>
      <c r="BB2516" s="225"/>
      <c r="BC2516" s="56"/>
      <c r="BD2516" s="56"/>
      <c r="BE2516" s="56"/>
      <c r="BF2516" s="107" t="str">
        <f t="shared" si="1961"/>
        <v>https://www.google.com/search?tbm=isch&amp;q=Mr.%20Bowling%20Ball%E2%84%A2%20Arborvitae%20Thuja%20occidentalis%20%27Bobozam%27</v>
      </c>
      <c r="BG2516" s="107" t="str">
        <f t="shared" si="1962"/>
        <v>M</v>
      </c>
      <c r="BH2516" s="254"/>
      <c r="BI2516" s="254"/>
    </row>
    <row r="2517" spans="1:61" customFormat="1" ht="27" x14ac:dyDescent="0.25">
      <c r="A2517" s="485">
        <v>3</v>
      </c>
      <c r="B2517" s="486" t="s">
        <v>291</v>
      </c>
      <c r="C2517" s="487" t="s">
        <v>4297</v>
      </c>
      <c r="D2517" s="488" t="s">
        <v>299</v>
      </c>
      <c r="E2517" s="489">
        <v>35.950000000000003</v>
      </c>
      <c r="F2517" s="516" t="s">
        <v>293</v>
      </c>
      <c r="G2517" s="232">
        <v>0</v>
      </c>
      <c r="H2517" s="658" t="str">
        <f t="shared" ref="H2517:H2522" si="1965">IF(G2517=0,"",IF(F2517="Buy",IF(G2517=1,"plant","plants"),IF(F2517&gt;0.01,"warranty","Error")))</f>
        <v/>
      </c>
      <c r="I2517" s="490">
        <f t="shared" ref="I2517:I2522" si="1966">IF(H2517="free",0,IF(H2517="credit",((E2517*(F2517))*G2517*-1),IF(F2517="Buy",(E2517*G2517),((E2517*(1-F2517))*G2517))))</f>
        <v>0</v>
      </c>
      <c r="J2517" s="490">
        <f t="shared" ref="J2517:J2522" si="1967">IF(H2517="warranty",0,(I2517*(_xlfn.SINGLE(SalesTaxPercentage))))</f>
        <v>0</v>
      </c>
      <c r="K2517" s="695">
        <f t="shared" ref="K2517" si="1968">I2517+J2517</f>
        <v>0</v>
      </c>
      <c r="L2517" s="695"/>
      <c r="M2517" s="659" t="str">
        <f t="shared" ref="M2517:M2522" si="1969">IF(AND(G2517&gt;0,E2517=0),"WARNING - no PRICE inserted",IF(H2517="free"," FREE ~ no charge this plant",IF(H2517="credit",CONCATENATE(" -$",ROUND(K2517*(1-T2GDiscount)*-1,2)," CREDIT after discount"),IF(T2GDiscount=0,"",IF(G2517=0,"",IF(F2517="Buy",CONCATENATE(" $",ROUND(K2517*(1-T2GDiscount),2)," with ",(T2GDiscount*100),"% discount"),CONCATENATE(" $",ROUND(K2517*(1-T2GDiscount),2)," with ",((T2GDiscount*100+F2517*100)-(T2GDiscount*100*F2517)),IF(F2517&gt;0,"% discounts",IF(NoWarrantyDiscount&gt;0,"% discounts","% discount")))))))))</f>
        <v/>
      </c>
      <c r="N2517" s="660"/>
      <c r="O2517" s="233"/>
      <c r="P2517" s="233"/>
      <c r="Q2517" s="233"/>
      <c r="R2517" s="233"/>
      <c r="S2517" s="233"/>
      <c r="T2517" s="508">
        <f t="shared" si="1950"/>
        <v>0</v>
      </c>
      <c r="U2517" s="225">
        <f>IF(NOT(ISNUMBER(G2517)), "", VLOOKUP(A2517,'Discount Lookup'!D:E,2,FALSE)*G2517)</f>
        <v>0</v>
      </c>
      <c r="V2517" s="225">
        <f>IF(NOT(ISNUMBER(G2517)), "", VLOOKUP(A2517,'Discount Lookup'!G:H,2,FALSE)*G2517)</f>
        <v>0</v>
      </c>
      <c r="W2517" s="508">
        <f t="shared" si="1951"/>
        <v>0</v>
      </c>
      <c r="X2517" s="508">
        <f t="shared" si="1952"/>
        <v>0</v>
      </c>
      <c r="Y2517" s="509" t="b">
        <f t="shared" si="1953"/>
        <v>0</v>
      </c>
      <c r="Z2517" s="510">
        <f t="shared" si="1954"/>
        <v>0</v>
      </c>
      <c r="AA2517" s="511"/>
      <c r="AB2517" s="511" t="str">
        <f t="shared" si="1955"/>
        <v/>
      </c>
      <c r="AC2517" s="698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698"/>
      <c r="AE2517" s="631" t="str">
        <f t="shared" si="1956"/>
        <v/>
      </c>
      <c r="AF2517" s="699" t="str">
        <f t="shared" si="1957"/>
        <v/>
      </c>
      <c r="AG2517" s="699"/>
      <c r="AH2517" s="699"/>
      <c r="AI2517" s="512">
        <f>IF(H2517="credit",0,IF(AE2517="free",0,IF(AE2517="me",0,IF(G2517&gt;0,(VLOOKUP(A2517,'Discount Lookup'!J:K,2)*G2517),0))))</f>
        <v>0</v>
      </c>
      <c r="AJ2517" s="513" t="str">
        <f t="shared" ca="1" si="1958"/>
        <v/>
      </c>
      <c r="AK2517" s="700" t="str">
        <f t="shared" si="1959"/>
        <v/>
      </c>
      <c r="AL2517" s="700"/>
      <c r="AM2517" s="505" t="str">
        <f t="shared" si="1960"/>
        <v/>
      </c>
      <c r="AN2517" s="506"/>
      <c r="AO2517" s="507"/>
      <c r="AP2517" s="507"/>
      <c r="AQ2517" s="507"/>
      <c r="AR2517" s="507"/>
      <c r="AS2517" s="507"/>
      <c r="AT2517" s="507"/>
      <c r="AU2517" s="507"/>
      <c r="AV2517" s="225"/>
      <c r="AW2517" s="508"/>
      <c r="AX2517" s="225"/>
      <c r="AY2517" s="225"/>
      <c r="AZ2517" s="225"/>
      <c r="BA2517" s="225"/>
      <c r="BB2517" s="225"/>
      <c r="BC2517" s="56"/>
      <c r="BD2517" s="56"/>
      <c r="BE2517" s="56"/>
      <c r="BF2517" s="107" t="str">
        <f t="shared" si="1961"/>
        <v>https://www.google.com/search?tbm=isch&amp;q=3%20G5</v>
      </c>
      <c r="BG2517" s="107" t="str">
        <f t="shared" si="1962"/>
        <v>M</v>
      </c>
      <c r="BH2517" s="254"/>
      <c r="BI2517" s="254"/>
    </row>
    <row r="2518" spans="1:61" customFormat="1" ht="15.75" x14ac:dyDescent="0.25">
      <c r="A2518" s="485">
        <v>7</v>
      </c>
      <c r="B2518" s="486" t="s">
        <v>291</v>
      </c>
      <c r="C2518" s="487" t="s">
        <v>4920</v>
      </c>
      <c r="D2518" s="488" t="s">
        <v>299</v>
      </c>
      <c r="E2518" s="489">
        <v>79.95</v>
      </c>
      <c r="F2518" s="516" t="s">
        <v>293</v>
      </c>
      <c r="G2518" s="232">
        <v>0</v>
      </c>
      <c r="H2518" s="658" t="str">
        <f t="shared" si="1965"/>
        <v/>
      </c>
      <c r="I2518" s="490">
        <f t="shared" si="1966"/>
        <v>0</v>
      </c>
      <c r="J2518" s="490">
        <f t="shared" si="1967"/>
        <v>0</v>
      </c>
      <c r="K2518" s="695">
        <f t="shared" ref="K2518" si="1970">I2518+J2518</f>
        <v>0</v>
      </c>
      <c r="L2518" s="695"/>
      <c r="M2518" s="659" t="str">
        <f t="shared" si="1969"/>
        <v/>
      </c>
      <c r="N2518" s="660"/>
      <c r="O2518" s="233"/>
      <c r="P2518" s="233"/>
      <c r="Q2518" s="233"/>
      <c r="R2518" s="233"/>
      <c r="S2518" s="233"/>
      <c r="T2518" s="508">
        <f t="shared" si="1950"/>
        <v>0</v>
      </c>
      <c r="U2518" s="225">
        <f>IF(NOT(ISNUMBER(G2518)), "", VLOOKUP(A2518,'Discount Lookup'!D:E,2,FALSE)*G2518)</f>
        <v>0</v>
      </c>
      <c r="V2518" s="225">
        <f>IF(NOT(ISNUMBER(G2518)), "", VLOOKUP(A2518,'Discount Lookup'!G:H,2,FALSE)*G2518)</f>
        <v>0</v>
      </c>
      <c r="W2518" s="508">
        <f t="shared" si="1951"/>
        <v>0</v>
      </c>
      <c r="X2518" s="508">
        <f t="shared" si="1952"/>
        <v>0</v>
      </c>
      <c r="Y2518" s="509" t="b">
        <f t="shared" si="1953"/>
        <v>0</v>
      </c>
      <c r="Z2518" s="510">
        <f t="shared" si="1954"/>
        <v>0</v>
      </c>
      <c r="AA2518" s="511"/>
      <c r="AB2518" s="511" t="str">
        <f t="shared" si="1955"/>
        <v/>
      </c>
      <c r="AC2518" s="698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698"/>
      <c r="AE2518" s="631" t="str">
        <f t="shared" si="1956"/>
        <v/>
      </c>
      <c r="AF2518" s="699" t="str">
        <f t="shared" si="1957"/>
        <v/>
      </c>
      <c r="AG2518" s="699"/>
      <c r="AH2518" s="699"/>
      <c r="AI2518" s="512">
        <f>IF(H2518="credit",0,IF(AE2518="free",0,IF(AE2518="me",0,IF(G2518&gt;0,(VLOOKUP(A2518,'Discount Lookup'!J:K,2)*G2518),0))))</f>
        <v>0</v>
      </c>
      <c r="AJ2518" s="513" t="str">
        <f t="shared" ca="1" si="1958"/>
        <v/>
      </c>
      <c r="AK2518" s="700" t="str">
        <f t="shared" si="1959"/>
        <v/>
      </c>
      <c r="AL2518" s="700"/>
      <c r="AM2518" s="505" t="str">
        <f t="shared" si="1960"/>
        <v/>
      </c>
      <c r="AN2518" s="506"/>
      <c r="AO2518" s="507"/>
      <c r="AP2518" s="507"/>
      <c r="AQ2518" s="507"/>
      <c r="AR2518" s="507"/>
      <c r="AS2518" s="507"/>
      <c r="AT2518" s="507"/>
      <c r="AU2518" s="507"/>
      <c r="AV2518" s="225"/>
      <c r="AW2518" s="508"/>
      <c r="AX2518" s="225"/>
      <c r="AY2518" s="225"/>
      <c r="AZ2518" s="225"/>
      <c r="BA2518" s="225"/>
      <c r="BB2518" s="225"/>
      <c r="BC2518" s="56"/>
      <c r="BD2518" s="56"/>
      <c r="BE2518" s="56"/>
      <c r="BF2518" s="107" t="str">
        <f t="shared" si="1961"/>
        <v>https://www.google.com/search?tbm=isch&amp;q=7%20G5</v>
      </c>
      <c r="BG2518" s="107" t="str">
        <f t="shared" si="1962"/>
        <v>M</v>
      </c>
      <c r="BH2518" s="254"/>
      <c r="BI2518" s="254"/>
    </row>
    <row r="2519" spans="1:61" customFormat="1" ht="15.75" x14ac:dyDescent="0.25">
      <c r="A2519" s="485">
        <v>7</v>
      </c>
      <c r="B2519" s="486" t="s">
        <v>291</v>
      </c>
      <c r="C2519" s="487" t="s">
        <v>3654</v>
      </c>
      <c r="D2519" s="488" t="s">
        <v>292</v>
      </c>
      <c r="E2519" s="489">
        <v>100.95</v>
      </c>
      <c r="F2519" s="516" t="s">
        <v>293</v>
      </c>
      <c r="G2519" s="232">
        <v>0</v>
      </c>
      <c r="H2519" s="658" t="str">
        <f t="shared" si="1965"/>
        <v/>
      </c>
      <c r="I2519" s="490">
        <f t="shared" si="1966"/>
        <v>0</v>
      </c>
      <c r="J2519" s="490">
        <f t="shared" si="1967"/>
        <v>0</v>
      </c>
      <c r="K2519" s="695">
        <f t="shared" ref="K2519" si="1971">I2519+J2519</f>
        <v>0</v>
      </c>
      <c r="L2519" s="695"/>
      <c r="M2519" s="659" t="str">
        <f t="shared" si="1969"/>
        <v/>
      </c>
      <c r="N2519" s="660"/>
      <c r="O2519" s="233"/>
      <c r="P2519" s="233"/>
      <c r="Q2519" s="233"/>
      <c r="R2519" s="233"/>
      <c r="S2519" s="233"/>
      <c r="T2519" s="508">
        <f t="shared" si="1950"/>
        <v>0</v>
      </c>
      <c r="U2519" s="225">
        <f>IF(NOT(ISNUMBER(G2519)), "", VLOOKUP(A2519,'Discount Lookup'!D:E,2,FALSE)*G2519)</f>
        <v>0</v>
      </c>
      <c r="V2519" s="225">
        <f>IF(NOT(ISNUMBER(G2519)), "", VLOOKUP(A2519,'Discount Lookup'!G:H,2,FALSE)*G2519)</f>
        <v>0</v>
      </c>
      <c r="W2519" s="508">
        <f t="shared" si="1951"/>
        <v>0</v>
      </c>
      <c r="X2519" s="508">
        <f t="shared" si="1952"/>
        <v>0</v>
      </c>
      <c r="Y2519" s="509" t="b">
        <f t="shared" si="1953"/>
        <v>0</v>
      </c>
      <c r="Z2519" s="510">
        <f t="shared" si="1954"/>
        <v>0</v>
      </c>
      <c r="AA2519" s="511"/>
      <c r="AB2519" s="511" t="str">
        <f t="shared" si="1955"/>
        <v/>
      </c>
      <c r="AC2519" s="698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698"/>
      <c r="AE2519" s="631" t="str">
        <f t="shared" si="1956"/>
        <v/>
      </c>
      <c r="AF2519" s="699" t="str">
        <f t="shared" si="1957"/>
        <v/>
      </c>
      <c r="AG2519" s="699"/>
      <c r="AH2519" s="699"/>
      <c r="AI2519" s="512">
        <f>IF(H2519="credit",0,IF(AE2519="free",0,IF(AE2519="me",0,IF(G2519&gt;0,(VLOOKUP(A2519,'Discount Lookup'!J:K,2)*G2519),0))))</f>
        <v>0</v>
      </c>
      <c r="AJ2519" s="513" t="str">
        <f t="shared" ca="1" si="1958"/>
        <v/>
      </c>
      <c r="AK2519" s="700" t="str">
        <f t="shared" si="1959"/>
        <v/>
      </c>
      <c r="AL2519" s="700"/>
      <c r="AM2519" s="505" t="str">
        <f t="shared" si="1960"/>
        <v/>
      </c>
      <c r="AN2519" s="506"/>
      <c r="AO2519" s="507"/>
      <c r="AP2519" s="507"/>
      <c r="AQ2519" s="507"/>
      <c r="AR2519" s="507"/>
      <c r="AS2519" s="507"/>
      <c r="AT2519" s="507"/>
      <c r="AU2519" s="507"/>
      <c r="AV2519" s="225"/>
      <c r="AW2519" s="508"/>
      <c r="AX2519" s="225"/>
      <c r="AY2519" s="225"/>
      <c r="AZ2519" s="225"/>
      <c r="BA2519" s="225"/>
      <c r="BB2519" s="225"/>
      <c r="BC2519" s="56"/>
      <c r="BD2519" s="56"/>
      <c r="BE2519" s="56"/>
      <c r="BF2519" s="107" t="str">
        <f t="shared" si="1961"/>
        <v>https://www.google.com/search?tbm=isch&amp;q=7%20G4</v>
      </c>
      <c r="BG2519" s="107" t="str">
        <f t="shared" si="1962"/>
        <v>M</v>
      </c>
      <c r="BH2519" s="254"/>
      <c r="BI2519" s="254"/>
    </row>
    <row r="2520" spans="1:61" customFormat="1" ht="15.75" x14ac:dyDescent="0.25">
      <c r="A2520" s="485">
        <v>7</v>
      </c>
      <c r="B2520" s="486" t="s">
        <v>291</v>
      </c>
      <c r="C2520" s="487" t="s">
        <v>4921</v>
      </c>
      <c r="D2520" s="488" t="s">
        <v>300</v>
      </c>
      <c r="E2520" s="489">
        <v>113.95</v>
      </c>
      <c r="F2520" s="516" t="s">
        <v>293</v>
      </c>
      <c r="G2520" s="232">
        <v>0</v>
      </c>
      <c r="H2520" s="658" t="str">
        <f t="shared" si="1965"/>
        <v/>
      </c>
      <c r="I2520" s="490">
        <f t="shared" si="1966"/>
        <v>0</v>
      </c>
      <c r="J2520" s="490">
        <f t="shared" si="1967"/>
        <v>0</v>
      </c>
      <c r="K2520" s="695">
        <f t="shared" ref="K2520" si="1972">I2520+J2520</f>
        <v>0</v>
      </c>
      <c r="L2520" s="695"/>
      <c r="M2520" s="659" t="str">
        <f t="shared" si="1969"/>
        <v/>
      </c>
      <c r="N2520" s="660"/>
      <c r="O2520" s="233"/>
      <c r="P2520" s="233"/>
      <c r="Q2520" s="233"/>
      <c r="R2520" s="233"/>
      <c r="S2520" s="233"/>
      <c r="T2520" s="508">
        <f t="shared" si="1950"/>
        <v>0</v>
      </c>
      <c r="U2520" s="225">
        <f>IF(NOT(ISNUMBER(G2520)), "", VLOOKUP(A2520,'Discount Lookup'!D:E,2,FALSE)*G2520)</f>
        <v>0</v>
      </c>
      <c r="V2520" s="225">
        <f>IF(NOT(ISNUMBER(G2520)), "", VLOOKUP(A2520,'Discount Lookup'!G:H,2,FALSE)*G2520)</f>
        <v>0</v>
      </c>
      <c r="W2520" s="508">
        <f t="shared" si="1951"/>
        <v>0</v>
      </c>
      <c r="X2520" s="508">
        <f t="shared" si="1952"/>
        <v>0</v>
      </c>
      <c r="Y2520" s="509" t="b">
        <f t="shared" si="1953"/>
        <v>0</v>
      </c>
      <c r="Z2520" s="510">
        <f t="shared" si="1954"/>
        <v>0</v>
      </c>
      <c r="AA2520" s="511"/>
      <c r="AB2520" s="511" t="str">
        <f t="shared" si="1955"/>
        <v/>
      </c>
      <c r="AC2520" s="698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698"/>
      <c r="AE2520" s="631" t="str">
        <f t="shared" si="1956"/>
        <v/>
      </c>
      <c r="AF2520" s="699" t="str">
        <f t="shared" si="1957"/>
        <v/>
      </c>
      <c r="AG2520" s="699"/>
      <c r="AH2520" s="699"/>
      <c r="AI2520" s="512">
        <f>IF(H2520="credit",0,IF(AE2520="free",0,IF(AE2520="me",0,IF(G2520&gt;0,(VLOOKUP(A2520,'Discount Lookup'!J:K,2)*G2520),0))))</f>
        <v>0</v>
      </c>
      <c r="AJ2520" s="513" t="str">
        <f t="shared" ca="1" si="1958"/>
        <v/>
      </c>
      <c r="AK2520" s="700" t="str">
        <f t="shared" si="1959"/>
        <v/>
      </c>
      <c r="AL2520" s="700"/>
      <c r="AM2520" s="505" t="str">
        <f t="shared" si="1960"/>
        <v/>
      </c>
      <c r="AN2520" s="506"/>
      <c r="AO2520" s="507"/>
      <c r="AP2520" s="507"/>
      <c r="AQ2520" s="507"/>
      <c r="AR2520" s="507"/>
      <c r="AS2520" s="507"/>
      <c r="AT2520" s="507"/>
      <c r="AU2520" s="507"/>
      <c r="AV2520" s="225"/>
      <c r="AW2520" s="508"/>
      <c r="AX2520" s="225"/>
      <c r="AY2520" s="225"/>
      <c r="AZ2520" s="225"/>
      <c r="BA2520" s="225"/>
      <c r="BB2520" s="225"/>
      <c r="BC2520" s="56"/>
      <c r="BD2520" s="56"/>
      <c r="BE2520" s="56"/>
      <c r="BF2520" s="107" t="str">
        <f t="shared" si="1961"/>
        <v>https://www.google.com/search?tbm=isch&amp;q=7%20G6</v>
      </c>
      <c r="BG2520" s="107" t="str">
        <f t="shared" si="1962"/>
        <v>M</v>
      </c>
      <c r="BH2520" s="254"/>
      <c r="BI2520" s="254"/>
    </row>
    <row r="2521" spans="1:61" customFormat="1" ht="15.75" x14ac:dyDescent="0.25">
      <c r="A2521" s="485">
        <v>15</v>
      </c>
      <c r="B2521" s="486" t="s">
        <v>291</v>
      </c>
      <c r="C2521" s="487" t="s">
        <v>3655</v>
      </c>
      <c r="D2521" s="488" t="s">
        <v>292</v>
      </c>
      <c r="E2521" s="489">
        <v>169.95</v>
      </c>
      <c r="F2521" s="516" t="s">
        <v>293</v>
      </c>
      <c r="G2521" s="232">
        <v>0</v>
      </c>
      <c r="H2521" s="658" t="str">
        <f t="shared" si="1965"/>
        <v/>
      </c>
      <c r="I2521" s="490">
        <f t="shared" si="1966"/>
        <v>0</v>
      </c>
      <c r="J2521" s="490">
        <f t="shared" si="1967"/>
        <v>0</v>
      </c>
      <c r="K2521" s="695">
        <f t="shared" ref="K2521" si="1973">I2521+J2521</f>
        <v>0</v>
      </c>
      <c r="L2521" s="695"/>
      <c r="M2521" s="659" t="str">
        <f t="shared" si="1969"/>
        <v/>
      </c>
      <c r="N2521" s="660"/>
      <c r="O2521" s="233"/>
      <c r="P2521" s="233"/>
      <c r="Q2521" s="233"/>
      <c r="R2521" s="233"/>
      <c r="S2521" s="233"/>
      <c r="T2521" s="508">
        <f t="shared" si="1950"/>
        <v>0</v>
      </c>
      <c r="U2521" s="225">
        <f>IF(NOT(ISNUMBER(G2521)), "", VLOOKUP(A2521,'Discount Lookup'!D:E,2,FALSE)*G2521)</f>
        <v>0</v>
      </c>
      <c r="V2521" s="225">
        <f>IF(NOT(ISNUMBER(G2521)), "", VLOOKUP(A2521,'Discount Lookup'!G:H,2,FALSE)*G2521)</f>
        <v>0</v>
      </c>
      <c r="W2521" s="508">
        <f t="shared" si="1951"/>
        <v>0</v>
      </c>
      <c r="X2521" s="508">
        <f t="shared" si="1952"/>
        <v>0</v>
      </c>
      <c r="Y2521" s="509" t="b">
        <f t="shared" si="1953"/>
        <v>0</v>
      </c>
      <c r="Z2521" s="510">
        <f t="shared" si="1954"/>
        <v>0</v>
      </c>
      <c r="AA2521" s="511"/>
      <c r="AB2521" s="511" t="str">
        <f t="shared" si="1955"/>
        <v/>
      </c>
      <c r="AC2521" s="698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698"/>
      <c r="AE2521" s="631" t="str">
        <f t="shared" si="1956"/>
        <v/>
      </c>
      <c r="AF2521" s="699" t="str">
        <f t="shared" si="1957"/>
        <v/>
      </c>
      <c r="AG2521" s="699"/>
      <c r="AH2521" s="699"/>
      <c r="AI2521" s="512">
        <f>IF(H2521="credit",0,IF(AE2521="free",0,IF(AE2521="me",0,IF(G2521&gt;0,(VLOOKUP(A2521,'Discount Lookup'!J:K,2)*G2521),0))))</f>
        <v>0</v>
      </c>
      <c r="AJ2521" s="513" t="str">
        <f t="shared" ca="1" si="1958"/>
        <v/>
      </c>
      <c r="AK2521" s="700" t="str">
        <f t="shared" si="1959"/>
        <v/>
      </c>
      <c r="AL2521" s="700"/>
      <c r="AM2521" s="505" t="str">
        <f t="shared" si="1960"/>
        <v/>
      </c>
      <c r="AN2521" s="506"/>
      <c r="AO2521" s="507"/>
      <c r="AP2521" s="507"/>
      <c r="AQ2521" s="507"/>
      <c r="AR2521" s="507"/>
      <c r="AS2521" s="507"/>
      <c r="AT2521" s="507"/>
      <c r="AU2521" s="507"/>
      <c r="AV2521" s="225"/>
      <c r="AW2521" s="508"/>
      <c r="AX2521" s="225"/>
      <c r="AY2521" s="225"/>
      <c r="AZ2521" s="225"/>
      <c r="BA2521" s="225"/>
      <c r="BB2521" s="225"/>
      <c r="BC2521" s="56"/>
      <c r="BD2521" s="56"/>
      <c r="BE2521" s="56"/>
      <c r="BF2521" s="107" t="str">
        <f t="shared" si="1961"/>
        <v>https://www.google.com/search?tbm=isch&amp;q=15%20G4</v>
      </c>
      <c r="BG2521" s="107" t="str">
        <f t="shared" si="1962"/>
        <v>M</v>
      </c>
      <c r="BH2521" s="254"/>
      <c r="BI2521" s="254"/>
    </row>
    <row r="2522" spans="1:61" customFormat="1" ht="15.75" x14ac:dyDescent="0.25">
      <c r="A2522" s="485">
        <v>7</v>
      </c>
      <c r="B2522" s="486" t="s">
        <v>291</v>
      </c>
      <c r="C2522" s="487" t="s">
        <v>4538</v>
      </c>
      <c r="D2522" s="488" t="s">
        <v>292</v>
      </c>
      <c r="E2522" s="489">
        <v>224.95</v>
      </c>
      <c r="F2522" s="516" t="s">
        <v>293</v>
      </c>
      <c r="G2522" s="232">
        <v>0</v>
      </c>
      <c r="H2522" s="658" t="str">
        <f t="shared" si="1965"/>
        <v/>
      </c>
      <c r="I2522" s="490">
        <f t="shared" si="1966"/>
        <v>0</v>
      </c>
      <c r="J2522" s="490">
        <f t="shared" si="1967"/>
        <v>0</v>
      </c>
      <c r="K2522" s="695">
        <f t="shared" ref="K2522" si="1974">I2522+J2522</f>
        <v>0</v>
      </c>
      <c r="L2522" s="695"/>
      <c r="M2522" s="659" t="str">
        <f t="shared" si="1969"/>
        <v/>
      </c>
      <c r="N2522" s="660"/>
      <c r="O2522" s="233"/>
      <c r="P2522" s="233"/>
      <c r="Q2522" s="233"/>
      <c r="R2522" s="233"/>
      <c r="S2522" s="233"/>
      <c r="T2522" s="508">
        <f t="shared" si="1950"/>
        <v>0</v>
      </c>
      <c r="U2522" s="225">
        <f>IF(NOT(ISNUMBER(G2522)), "", VLOOKUP(A2522,'Discount Lookup'!D:E,2,FALSE)*G2522)</f>
        <v>0</v>
      </c>
      <c r="V2522" s="225">
        <f>IF(NOT(ISNUMBER(G2522)), "", VLOOKUP(A2522,'Discount Lookup'!G:H,2,FALSE)*G2522)</f>
        <v>0</v>
      </c>
      <c r="W2522" s="508">
        <f t="shared" si="1951"/>
        <v>0</v>
      </c>
      <c r="X2522" s="508">
        <f t="shared" si="1952"/>
        <v>0</v>
      </c>
      <c r="Y2522" s="509" t="b">
        <f t="shared" si="1953"/>
        <v>0</v>
      </c>
      <c r="Z2522" s="510">
        <f t="shared" si="1954"/>
        <v>0</v>
      </c>
      <c r="AA2522" s="511"/>
      <c r="AB2522" s="511" t="str">
        <f t="shared" si="1955"/>
        <v/>
      </c>
      <c r="AC2522" s="698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698"/>
      <c r="AE2522" s="631" t="str">
        <f t="shared" si="1956"/>
        <v/>
      </c>
      <c r="AF2522" s="699" t="str">
        <f t="shared" si="1957"/>
        <v/>
      </c>
      <c r="AG2522" s="699"/>
      <c r="AH2522" s="699"/>
      <c r="AI2522" s="512">
        <f>IF(H2522="credit",0,IF(AE2522="free",0,IF(AE2522="me",0,IF(G2522&gt;0,(VLOOKUP(A2522,'Discount Lookup'!J:K,2)*G2522),0))))</f>
        <v>0</v>
      </c>
      <c r="AJ2522" s="513" t="str">
        <f t="shared" ca="1" si="1958"/>
        <v/>
      </c>
      <c r="AK2522" s="700" t="str">
        <f t="shared" si="1959"/>
        <v/>
      </c>
      <c r="AL2522" s="700"/>
      <c r="AM2522" s="505" t="str">
        <f t="shared" si="1960"/>
        <v/>
      </c>
      <c r="AN2522" s="506"/>
      <c r="AO2522" s="507"/>
      <c r="AP2522" s="507"/>
      <c r="AQ2522" s="507"/>
      <c r="AR2522" s="507"/>
      <c r="AS2522" s="507"/>
      <c r="AT2522" s="507"/>
      <c r="AU2522" s="507"/>
      <c r="AV2522" s="225"/>
      <c r="AW2522" s="508"/>
      <c r="AX2522" s="225"/>
      <c r="AY2522" s="225"/>
      <c r="AZ2522" s="225"/>
      <c r="BA2522" s="225"/>
      <c r="BB2522" s="225"/>
      <c r="BC2522" s="56"/>
      <c r="BD2522" s="56"/>
      <c r="BE2522" s="56"/>
      <c r="BF2522" s="107" t="str">
        <f t="shared" si="1961"/>
        <v>https://www.google.com/search?tbm=isch&amp;q=7%20G4</v>
      </c>
      <c r="BG2522" s="107" t="str">
        <f t="shared" si="1962"/>
        <v>M</v>
      </c>
      <c r="BH2522" s="254"/>
      <c r="BI2522" s="254"/>
    </row>
    <row r="2523" spans="1:61" customFormat="1" ht="17.25" thickBot="1" x14ac:dyDescent="0.3">
      <c r="A2523" s="522" t="s">
        <v>4131</v>
      </c>
      <c r="B2523" s="491"/>
      <c r="C2523" s="675"/>
      <c r="D2523" s="491"/>
      <c r="E2523" s="491"/>
      <c r="F2523" s="492"/>
      <c r="G2523" s="493"/>
      <c r="H2523" s="491"/>
      <c r="I2523" s="234"/>
      <c r="J2523" s="234"/>
      <c r="K2523" s="494"/>
      <c r="L2523" s="543"/>
      <c r="M2523" s="561"/>
      <c r="N2523" s="495"/>
      <c r="O2523" s="496"/>
      <c r="P2523" s="497"/>
      <c r="Q2523" s="495"/>
      <c r="R2523" s="495"/>
      <c r="S2523" s="667" t="s">
        <v>4984</v>
      </c>
      <c r="T2523" s="508">
        <f t="shared" si="1950"/>
        <v>0</v>
      </c>
      <c r="U2523" s="225" t="str">
        <f>IF(NOT(ISNUMBER(G2523)), "", VLOOKUP(A2523,'Discount Lookup'!D:E,2,FALSE)*G2523)</f>
        <v/>
      </c>
      <c r="V2523" s="225" t="str">
        <f>IF(NOT(ISNUMBER(G2523)), "", VLOOKUP(A2523,'Discount Lookup'!G:H,2,FALSE)*G2523)</f>
        <v/>
      </c>
      <c r="W2523" s="508">
        <f t="shared" si="1951"/>
        <v>0</v>
      </c>
      <c r="X2523" s="508">
        <f t="shared" si="1952"/>
        <v>0</v>
      </c>
      <c r="Y2523" s="509" t="b">
        <f t="shared" si="1953"/>
        <v>0</v>
      </c>
      <c r="Z2523" s="510">
        <f t="shared" si="1954"/>
        <v>0</v>
      </c>
      <c r="AA2523" s="511"/>
      <c r="AB2523" s="511" t="str">
        <f t="shared" si="1955"/>
        <v/>
      </c>
      <c r="AC2523" s="698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698"/>
      <c r="AE2523" s="631" t="str">
        <f t="shared" si="1956"/>
        <v/>
      </c>
      <c r="AF2523" s="699" t="str">
        <f t="shared" si="1957"/>
        <v/>
      </c>
      <c r="AG2523" s="699"/>
      <c r="AH2523" s="699"/>
      <c r="AI2523" s="512">
        <f>IF(H2523="credit",0,IF(AE2523="free",0,IF(AE2523="me",0,IF(G2523&gt;0,(VLOOKUP(A2523,'Discount Lookup'!J:K,2)*G2523),0))))</f>
        <v>0</v>
      </c>
      <c r="AJ2523" s="513" t="str">
        <f t="shared" ca="1" si="1958"/>
        <v/>
      </c>
      <c r="AK2523" s="700" t="str">
        <f t="shared" si="1959"/>
        <v/>
      </c>
      <c r="AL2523" s="700"/>
      <c r="AM2523" s="505" t="str">
        <f t="shared" si="1960"/>
        <v/>
      </c>
      <c r="AN2523" s="506"/>
      <c r="AO2523" s="507"/>
      <c r="AP2523" s="507"/>
      <c r="AQ2523" s="507"/>
      <c r="AR2523" s="507"/>
      <c r="AS2523" s="507"/>
      <c r="AT2523" s="507"/>
      <c r="AU2523" s="507"/>
      <c r="AV2523" s="225"/>
      <c r="AW2523" s="508"/>
      <c r="AX2523" s="225"/>
      <c r="AY2523" s="225"/>
      <c r="AZ2523" s="225"/>
      <c r="BA2523" s="225"/>
      <c r="BB2523" s="225"/>
      <c r="BC2523" s="56"/>
      <c r="BD2523" s="56"/>
      <c r="BE2523" s="56"/>
      <c r="BF2523" s="107" t="str">
        <f t="shared" si="1961"/>
        <v>https://www.google.com/search?tbm=isch&amp;q=Mr.%20Bowling%20Ball%20forms%20a%20naturally%20round%2C%20dense%20globe%20of%20fine-textured%20foliage%2C%20requiring%20little%20to%20no%20pruning%20to%20maintain%20its%20neat%20shape%20</v>
      </c>
      <c r="BG2523" s="107" t="str">
        <f t="shared" si="1962"/>
        <v>M</v>
      </c>
      <c r="BH2523" s="254"/>
      <c r="BI2523" s="254"/>
    </row>
    <row r="2524" spans="1:61" customFormat="1" ht="18" x14ac:dyDescent="0.25">
      <c r="A2524" s="521" t="s">
        <v>1384</v>
      </c>
      <c r="B2524" s="477"/>
      <c r="C2524" s="674"/>
      <c r="D2524" s="478" t="s">
        <v>1385</v>
      </c>
      <c r="E2524" s="479"/>
      <c r="F2524" s="479"/>
      <c r="G2524" s="479"/>
      <c r="H2524" s="582" t="s">
        <v>2568</v>
      </c>
      <c r="I2524" s="480" t="s">
        <v>2569</v>
      </c>
      <c r="J2524" s="479"/>
      <c r="K2524" s="479"/>
      <c r="L2524" s="560"/>
      <c r="M2524" s="671" t="s">
        <v>4990</v>
      </c>
      <c r="N2524" s="680" t="str">
        <f>IF(AND(ISTEXT($A2524), ISERROR($A2524+0)), HYPERLINK($BF2524, "Images"), "")</f>
        <v>Images</v>
      </c>
      <c r="O2524" s="662" t="s">
        <v>4967</v>
      </c>
      <c r="P2524" s="482"/>
      <c r="Q2524" s="483"/>
      <c r="R2524" s="483"/>
      <c r="S2524" s="484"/>
      <c r="T2524" s="508">
        <f t="shared" si="1950"/>
        <v>0</v>
      </c>
      <c r="U2524" s="225" t="str">
        <f>IF(NOT(ISNUMBER(G2524)), "", VLOOKUP(A2524,'Discount Lookup'!D:E,2,FALSE)*G2524)</f>
        <v/>
      </c>
      <c r="V2524" s="225" t="str">
        <f>IF(NOT(ISNUMBER(G2524)), "", VLOOKUP(A2524,'Discount Lookup'!G:H,2,FALSE)*G2524)</f>
        <v/>
      </c>
      <c r="W2524" s="508">
        <f t="shared" si="1951"/>
        <v>0</v>
      </c>
      <c r="X2524" s="508" t="str">
        <f t="shared" si="1952"/>
        <v>Soft Pink bloom</v>
      </c>
      <c r="Y2524" s="509" t="b">
        <f t="shared" si="1953"/>
        <v>0</v>
      </c>
      <c r="Z2524" s="510">
        <f t="shared" si="1954"/>
        <v>0</v>
      </c>
      <c r="AA2524" s="511"/>
      <c r="AB2524" s="511" t="str">
        <f t="shared" si="1955"/>
        <v/>
      </c>
      <c r="AC2524" s="698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698"/>
      <c r="AE2524" s="631" t="str">
        <f t="shared" si="1956"/>
        <v/>
      </c>
      <c r="AF2524" s="699" t="str">
        <f t="shared" si="1957"/>
        <v/>
      </c>
      <c r="AG2524" s="699"/>
      <c r="AH2524" s="699"/>
      <c r="AI2524" s="512">
        <f>IF(H2524="credit",0,IF(AE2524="free",0,IF(AE2524="me",0,IF(G2524&gt;0,(VLOOKUP(A2524,'Discount Lookup'!J:K,2)*G2524),0))))</f>
        <v>0</v>
      </c>
      <c r="AJ2524" s="513" t="str">
        <f t="shared" ca="1" si="1958"/>
        <v/>
      </c>
      <c r="AK2524" s="700" t="str">
        <f t="shared" si="1959"/>
        <v/>
      </c>
      <c r="AL2524" s="700"/>
      <c r="AM2524" s="505" t="str">
        <f t="shared" si="1960"/>
        <v/>
      </c>
      <c r="AN2524" s="506"/>
      <c r="AO2524" s="507"/>
      <c r="AP2524" s="507"/>
      <c r="AQ2524" s="507"/>
      <c r="AR2524" s="507"/>
      <c r="AS2524" s="507"/>
      <c r="AT2524" s="507"/>
      <c r="AU2524" s="507"/>
      <c r="AV2524" s="225"/>
      <c r="AW2524" s="508"/>
      <c r="AX2524" s="225"/>
      <c r="AY2524" s="225"/>
      <c r="AZ2524" s="225"/>
      <c r="BA2524" s="225"/>
      <c r="BB2524" s="225"/>
      <c r="BC2524" s="56"/>
      <c r="BD2524" s="56"/>
      <c r="BE2524" s="56"/>
      <c r="BF2524" s="107" t="str">
        <f t="shared" si="1961"/>
        <v>https://www.google.com/search?tbm=isch&amp;q=Mrs.%20Lyman%20Clarke%20Camellia%20Camellia%20japonica%20%27Mrs.%20Lyman%20Clarke%27</v>
      </c>
      <c r="BG2524" s="107" t="str">
        <f t="shared" si="1962"/>
        <v>M</v>
      </c>
      <c r="BH2524" s="254"/>
      <c r="BI2524" s="254"/>
    </row>
    <row r="2525" spans="1:61" customFormat="1" ht="15.75" x14ac:dyDescent="0.25">
      <c r="A2525" s="485">
        <v>7</v>
      </c>
      <c r="B2525" s="486" t="s">
        <v>291</v>
      </c>
      <c r="C2525" s="487" t="s">
        <v>1386</v>
      </c>
      <c r="D2525" s="488" t="s">
        <v>297</v>
      </c>
      <c r="E2525" s="489">
        <v>83.95</v>
      </c>
      <c r="F2525" s="516" t="s">
        <v>293</v>
      </c>
      <c r="G2525" s="232">
        <v>0</v>
      </c>
      <c r="H2525" s="658" t="str">
        <f>IF(G2525=0,"",IF(F2525="Buy",IF(G2525=1,"plant","plants"),IF(F2525&gt;0.01,"warranty","Error")))</f>
        <v/>
      </c>
      <c r="I2525" s="490">
        <f>IF(H2525="free",0,IF(H2525="credit",((E2525*(F2525))*G2525*-1),IF(F2525="Buy",(E2525*G2525),((E2525*(1-F2525))*G2525))))</f>
        <v>0</v>
      </c>
      <c r="J2525" s="490">
        <f>IF(H2525="warranty",0,(I2525*(_xlfn.SINGLE(SalesTaxPercentage))))</f>
        <v>0</v>
      </c>
      <c r="K2525" s="695">
        <f t="shared" ref="K2525" si="1975">I2525+J2525</f>
        <v>0</v>
      </c>
      <c r="L2525" s="695"/>
      <c r="M2525" s="659" t="str">
        <f>IF(AND(G2525&gt;0,E2525=0),"WARNING - no PRICE inserted",IF(H2525="free"," FREE ~ no charge this plant",IF(H2525="credit",CONCATENATE(" -$",ROUND(K2525*(1-T2GDiscount)*-1,2)," CREDIT after discount"),IF(T2GDiscount=0,"",IF(G2525=0,"",IF(F2525="Buy",CONCATENATE(" $",ROUND(K2525*(1-T2GDiscount),2)," with ",(T2GDiscount*100),"% discount"),CONCATENATE(" $",ROUND(K2525*(1-T2GDiscount),2)," with ",((T2GDiscount*100+F2525*100)-(T2GDiscount*100*F2525)),IF(F2525&gt;0,"% discounts",IF(NoWarrantyDiscount&gt;0,"% discounts","% discount")))))))))</f>
        <v/>
      </c>
      <c r="N2525" s="660"/>
      <c r="O2525" s="233"/>
      <c r="P2525" s="233"/>
      <c r="Q2525" s="233"/>
      <c r="R2525" s="233"/>
      <c r="S2525" s="233"/>
      <c r="T2525" s="508">
        <f t="shared" si="1950"/>
        <v>0</v>
      </c>
      <c r="U2525" s="225">
        <f>IF(NOT(ISNUMBER(G2525)), "", VLOOKUP(A2525,'Discount Lookup'!D:E,2,FALSE)*G2525)</f>
        <v>0</v>
      </c>
      <c r="V2525" s="225">
        <f>IF(NOT(ISNUMBER(G2525)), "", VLOOKUP(A2525,'Discount Lookup'!G:H,2,FALSE)*G2525)</f>
        <v>0</v>
      </c>
      <c r="W2525" s="508">
        <f t="shared" si="1951"/>
        <v>0</v>
      </c>
      <c r="X2525" s="508">
        <f t="shared" si="1952"/>
        <v>0</v>
      </c>
      <c r="Y2525" s="509" t="b">
        <f t="shared" si="1953"/>
        <v>0</v>
      </c>
      <c r="Z2525" s="510">
        <f t="shared" si="1954"/>
        <v>0</v>
      </c>
      <c r="AA2525" s="511"/>
      <c r="AB2525" s="511" t="str">
        <f t="shared" si="1955"/>
        <v/>
      </c>
      <c r="AC2525" s="698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698"/>
      <c r="AE2525" s="631" t="str">
        <f t="shared" si="1956"/>
        <v/>
      </c>
      <c r="AF2525" s="699" t="str">
        <f t="shared" si="1957"/>
        <v/>
      </c>
      <c r="AG2525" s="699"/>
      <c r="AH2525" s="699"/>
      <c r="AI2525" s="512">
        <f>IF(H2525="credit",0,IF(AE2525="free",0,IF(AE2525="me",0,IF(G2525&gt;0,(VLOOKUP(A2525,'Discount Lookup'!J:K,2)*G2525),0))))</f>
        <v>0</v>
      </c>
      <c r="AJ2525" s="513" t="str">
        <f t="shared" ca="1" si="1958"/>
        <v/>
      </c>
      <c r="AK2525" s="700" t="str">
        <f t="shared" si="1959"/>
        <v/>
      </c>
      <c r="AL2525" s="700"/>
      <c r="AM2525" s="505" t="str">
        <f t="shared" si="1960"/>
        <v/>
      </c>
      <c r="AN2525" s="506"/>
      <c r="AO2525" s="507"/>
      <c r="AP2525" s="507"/>
      <c r="AQ2525" s="507"/>
      <c r="AR2525" s="507"/>
      <c r="AS2525" s="507"/>
      <c r="AT2525" s="507"/>
      <c r="AU2525" s="507"/>
      <c r="AV2525" s="225"/>
      <c r="AW2525" s="508"/>
      <c r="AX2525" s="225"/>
      <c r="AY2525" s="225"/>
      <c r="AZ2525" s="225"/>
      <c r="BA2525" s="225"/>
      <c r="BB2525" s="225"/>
      <c r="BC2525" s="56"/>
      <c r="BD2525" s="56"/>
      <c r="BE2525" s="56"/>
      <c r="BF2525" s="107" t="str">
        <f t="shared" si="1961"/>
        <v>https://www.google.com/search?tbm=isch&amp;q=7%20G3</v>
      </c>
      <c r="BG2525" s="107" t="str">
        <f t="shared" si="1962"/>
        <v>M</v>
      </c>
      <c r="BH2525" s="254"/>
      <c r="BI2525" s="254"/>
    </row>
    <row r="2526" spans="1:61" customFormat="1" ht="17.25" thickBot="1" x14ac:dyDescent="0.3">
      <c r="A2526" s="522" t="s">
        <v>2570</v>
      </c>
      <c r="B2526" s="491"/>
      <c r="C2526" s="675"/>
      <c r="D2526" s="491"/>
      <c r="E2526" s="491"/>
      <c r="F2526" s="492"/>
      <c r="G2526" s="493"/>
      <c r="H2526" s="491"/>
      <c r="I2526" s="234"/>
      <c r="J2526" s="234"/>
      <c r="K2526" s="494"/>
      <c r="L2526" s="543"/>
      <c r="M2526" s="561"/>
      <c r="N2526" s="495"/>
      <c r="O2526" s="496"/>
      <c r="P2526" s="497"/>
      <c r="Q2526" s="495"/>
      <c r="R2526" s="495"/>
      <c r="S2526" s="667" t="s">
        <v>4986</v>
      </c>
      <c r="T2526" s="508">
        <f t="shared" si="1950"/>
        <v>0</v>
      </c>
      <c r="U2526" s="225" t="str">
        <f>IF(NOT(ISNUMBER(G2526)), "", VLOOKUP(A2526,'Discount Lookup'!D:E,2,FALSE)*G2526)</f>
        <v/>
      </c>
      <c r="V2526" s="225" t="str">
        <f>IF(NOT(ISNUMBER(G2526)), "", VLOOKUP(A2526,'Discount Lookup'!G:H,2,FALSE)*G2526)</f>
        <v/>
      </c>
      <c r="W2526" s="508">
        <f t="shared" si="1951"/>
        <v>0</v>
      </c>
      <c r="X2526" s="508">
        <f t="shared" si="1952"/>
        <v>0</v>
      </c>
      <c r="Y2526" s="509" t="b">
        <f t="shared" si="1953"/>
        <v>0</v>
      </c>
      <c r="Z2526" s="510">
        <f t="shared" si="1954"/>
        <v>0</v>
      </c>
      <c r="AA2526" s="511"/>
      <c r="AB2526" s="511" t="str">
        <f t="shared" si="1955"/>
        <v/>
      </c>
      <c r="AC2526" s="698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698"/>
      <c r="AE2526" s="631" t="str">
        <f t="shared" si="1956"/>
        <v/>
      </c>
      <c r="AF2526" s="699" t="str">
        <f t="shared" si="1957"/>
        <v/>
      </c>
      <c r="AG2526" s="699"/>
      <c r="AH2526" s="699"/>
      <c r="AI2526" s="512">
        <f>IF(H2526="credit",0,IF(AE2526="free",0,IF(AE2526="me",0,IF(G2526&gt;0,(VLOOKUP(A2526,'Discount Lookup'!J:K,2)*G2526),0))))</f>
        <v>0</v>
      </c>
      <c r="AJ2526" s="513" t="str">
        <f t="shared" ca="1" si="1958"/>
        <v/>
      </c>
      <c r="AK2526" s="700" t="str">
        <f t="shared" si="1959"/>
        <v/>
      </c>
      <c r="AL2526" s="700"/>
      <c r="AM2526" s="505" t="str">
        <f t="shared" si="1960"/>
        <v/>
      </c>
      <c r="AN2526" s="506"/>
      <c r="AO2526" s="507"/>
      <c r="AP2526" s="507"/>
      <c r="AQ2526" s="507"/>
      <c r="AR2526" s="507"/>
      <c r="AS2526" s="507"/>
      <c r="AT2526" s="507"/>
      <c r="AU2526" s="507"/>
      <c r="AV2526" s="225"/>
      <c r="AW2526" s="508"/>
      <c r="AX2526" s="225"/>
      <c r="AY2526" s="225"/>
      <c r="AZ2526" s="225"/>
      <c r="BA2526" s="225"/>
      <c r="BB2526" s="225"/>
      <c r="BC2526" s="56"/>
      <c r="BD2526" s="56"/>
      <c r="BE2526" s="56"/>
      <c r="BF2526" s="107" t="str">
        <f t="shared" si="1961"/>
        <v>https://www.google.com/search?tbm=isch&amp;q=Mrs.%20Lyman%20Clarke%20offers%20multi-toned%20blooms%20from%20late%20winter%20to%20early%20spring.%20The%20anemone-style%20flowers%20are%20excellent%20for%20cutting%20</v>
      </c>
      <c r="BG2526" s="107" t="str">
        <f t="shared" si="1962"/>
        <v>M</v>
      </c>
      <c r="BH2526" s="254"/>
      <c r="BI2526" s="254"/>
    </row>
    <row r="2527" spans="1:61" customFormat="1" ht="18" x14ac:dyDescent="0.25">
      <c r="A2527" s="521" t="s">
        <v>1387</v>
      </c>
      <c r="B2527" s="477"/>
      <c r="C2527" s="674"/>
      <c r="D2527" s="478" t="s">
        <v>1388</v>
      </c>
      <c r="E2527" s="479"/>
      <c r="F2527" s="479"/>
      <c r="G2527" s="479"/>
      <c r="H2527" s="582" t="s">
        <v>2098</v>
      </c>
      <c r="I2527" s="480" t="s">
        <v>2095</v>
      </c>
      <c r="J2527" s="479"/>
      <c r="K2527" s="479"/>
      <c r="L2527" s="560"/>
      <c r="M2527" s="666" t="s">
        <v>4963</v>
      </c>
      <c r="N2527" s="680" t="str">
        <f>IF(AND(ISTEXT($A2527), ISERROR($A2527+0)), HYPERLINK($BF2527, "Images"), "")</f>
        <v>Images</v>
      </c>
      <c r="O2527" s="662" t="s">
        <v>4969</v>
      </c>
      <c r="P2527" s="482"/>
      <c r="Q2527" s="483"/>
      <c r="R2527" s="483"/>
      <c r="S2527" s="484"/>
      <c r="T2527" s="508">
        <f t="shared" si="1950"/>
        <v>0</v>
      </c>
      <c r="U2527" s="225" t="str">
        <f>IF(NOT(ISNUMBER(G2527)), "", VLOOKUP(A2527,'Discount Lookup'!D:E,2,FALSE)*G2527)</f>
        <v/>
      </c>
      <c r="V2527" s="225" t="str">
        <f>IF(NOT(ISNUMBER(G2527)), "", VLOOKUP(A2527,'Discount Lookup'!G:H,2,FALSE)*G2527)</f>
        <v/>
      </c>
      <c r="W2527" s="508">
        <f t="shared" si="1951"/>
        <v>0</v>
      </c>
      <c r="X2527" s="508" t="str">
        <f t="shared" si="1952"/>
        <v>Dark Green needles</v>
      </c>
      <c r="Y2527" s="509" t="b">
        <f t="shared" si="1953"/>
        <v>0</v>
      </c>
      <c r="Z2527" s="510">
        <f t="shared" si="1954"/>
        <v>0</v>
      </c>
      <c r="AA2527" s="511"/>
      <c r="AB2527" s="511" t="str">
        <f t="shared" si="1955"/>
        <v/>
      </c>
      <c r="AC2527" s="698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698"/>
      <c r="AE2527" s="631" t="str">
        <f t="shared" si="1956"/>
        <v/>
      </c>
      <c r="AF2527" s="699" t="str">
        <f t="shared" si="1957"/>
        <v/>
      </c>
      <c r="AG2527" s="699"/>
      <c r="AH2527" s="699"/>
      <c r="AI2527" s="512">
        <f>IF(H2527="credit",0,IF(AE2527="free",0,IF(AE2527="me",0,IF(G2527&gt;0,(VLOOKUP(A2527,'Discount Lookup'!J:K,2)*G2527),0))))</f>
        <v>0</v>
      </c>
      <c r="AJ2527" s="513" t="str">
        <f t="shared" ca="1" si="1958"/>
        <v/>
      </c>
      <c r="AK2527" s="700" t="str">
        <f t="shared" si="1959"/>
        <v/>
      </c>
      <c r="AL2527" s="700"/>
      <c r="AM2527" s="505" t="str">
        <f t="shared" si="1960"/>
        <v/>
      </c>
      <c r="AN2527" s="506"/>
      <c r="AO2527" s="507"/>
      <c r="AP2527" s="507"/>
      <c r="AQ2527" s="507"/>
      <c r="AR2527" s="507"/>
      <c r="AS2527" s="507"/>
      <c r="AT2527" s="507"/>
      <c r="AU2527" s="507"/>
      <c r="AV2527" s="225"/>
      <c r="AW2527" s="508"/>
      <c r="AX2527" s="225"/>
      <c r="AY2527" s="225"/>
      <c r="AZ2527" s="225"/>
      <c r="BA2527" s="225"/>
      <c r="BB2527" s="225"/>
      <c r="BC2527" s="56"/>
      <c r="BD2527" s="56"/>
      <c r="BE2527" s="56"/>
      <c r="BF2527" s="107" t="str">
        <f t="shared" si="1961"/>
        <v>https://www.google.com/search?tbm=isch&amp;q=Mugo%20Pine%20Pinus%20mugo%20var.%20pumilio</v>
      </c>
      <c r="BG2527" s="107" t="str">
        <f t="shared" si="1962"/>
        <v>M</v>
      </c>
      <c r="BH2527" s="254"/>
      <c r="BI2527" s="254"/>
    </row>
    <row r="2528" spans="1:61" customFormat="1" ht="15.75" x14ac:dyDescent="0.25">
      <c r="A2528" s="485">
        <v>3</v>
      </c>
      <c r="B2528" s="486" t="s">
        <v>291</v>
      </c>
      <c r="C2528" s="487" t="s">
        <v>4922</v>
      </c>
      <c r="D2528" s="488" t="s">
        <v>312</v>
      </c>
      <c r="E2528" s="489">
        <v>38.950000000000003</v>
      </c>
      <c r="F2528" s="516" t="s">
        <v>293</v>
      </c>
      <c r="G2528" s="232">
        <v>0</v>
      </c>
      <c r="H2528" s="658" t="str">
        <f>IF(G2528=0,"",IF(F2528="Buy",IF(G2528=1,"plant","plants"),IF(F2528&gt;0.01,"warranty","Error")))</f>
        <v/>
      </c>
      <c r="I2528" s="490">
        <f>IF(H2528="free",0,IF(H2528="credit",((E2528*(F2528))*G2528*-1),IF(F2528="Buy",(E2528*G2528),((E2528*(1-F2528))*G2528))))</f>
        <v>0</v>
      </c>
      <c r="J2528" s="490">
        <f>IF(H2528="warranty",0,(I2528*(_xlfn.SINGLE(SalesTaxPercentage))))</f>
        <v>0</v>
      </c>
      <c r="K2528" s="695">
        <f t="shared" ref="K2528" si="1976">I2528+J2528</f>
        <v>0</v>
      </c>
      <c r="L2528" s="695"/>
      <c r="M2528" s="659" t="str">
        <f>IF(AND(G2528&gt;0,E2528=0),"WARNING - no PRICE inserted",IF(H2528="free"," FREE ~ no charge this plant",IF(H2528="credit",CONCATENATE(" -$",ROUND(K2528*(1-T2GDiscount)*-1,2)," CREDIT after discount"),IF(T2GDiscount=0,"",IF(G2528=0,"",IF(F2528="Buy",CONCATENATE(" $",ROUND(K2528*(1-T2GDiscount),2)," with ",(T2GDiscount*100),"% discount"),CONCATENATE(" $",ROUND(K2528*(1-T2GDiscount),2)," with ",((T2GDiscount*100+F2528*100)-(T2GDiscount*100*F2528)),IF(F2528&gt;0,"% discounts",IF(NoWarrantyDiscount&gt;0,"% discounts","% discount")))))))))</f>
        <v/>
      </c>
      <c r="N2528" s="660"/>
      <c r="O2528" s="233"/>
      <c r="P2528" s="233"/>
      <c r="Q2528" s="233"/>
      <c r="R2528" s="233"/>
      <c r="S2528" s="233"/>
      <c r="T2528" s="508">
        <f t="shared" si="1950"/>
        <v>0</v>
      </c>
      <c r="U2528" s="225">
        <f>IF(NOT(ISNUMBER(G2528)), "", VLOOKUP(A2528,'Discount Lookup'!D:E,2,FALSE)*G2528)</f>
        <v>0</v>
      </c>
      <c r="V2528" s="225">
        <f>IF(NOT(ISNUMBER(G2528)), "", VLOOKUP(A2528,'Discount Lookup'!G:H,2,FALSE)*G2528)</f>
        <v>0</v>
      </c>
      <c r="W2528" s="508">
        <f t="shared" si="1951"/>
        <v>0</v>
      </c>
      <c r="X2528" s="508">
        <f t="shared" si="1952"/>
        <v>0</v>
      </c>
      <c r="Y2528" s="509" t="b">
        <f t="shared" si="1953"/>
        <v>0</v>
      </c>
      <c r="Z2528" s="510">
        <f t="shared" si="1954"/>
        <v>0</v>
      </c>
      <c r="AA2528" s="511"/>
      <c r="AB2528" s="511" t="str">
        <f t="shared" si="1955"/>
        <v/>
      </c>
      <c r="AC2528" s="698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698"/>
      <c r="AE2528" s="631" t="str">
        <f t="shared" si="1956"/>
        <v/>
      </c>
      <c r="AF2528" s="699" t="str">
        <f t="shared" si="1957"/>
        <v/>
      </c>
      <c r="AG2528" s="699"/>
      <c r="AH2528" s="699"/>
      <c r="AI2528" s="512">
        <f>IF(H2528="credit",0,IF(AE2528="free",0,IF(AE2528="me",0,IF(G2528&gt;0,(VLOOKUP(A2528,'Discount Lookup'!J:K,2)*G2528),0))))</f>
        <v>0</v>
      </c>
      <c r="AJ2528" s="513" t="str">
        <f t="shared" ca="1" si="1958"/>
        <v/>
      </c>
      <c r="AK2528" s="700" t="str">
        <f t="shared" si="1959"/>
        <v/>
      </c>
      <c r="AL2528" s="700"/>
      <c r="AM2528" s="505" t="str">
        <f t="shared" si="1960"/>
        <v/>
      </c>
      <c r="AN2528" s="506"/>
      <c r="AO2528" s="507"/>
      <c r="AP2528" s="507"/>
      <c r="AQ2528" s="507"/>
      <c r="AR2528" s="507"/>
      <c r="AS2528" s="507"/>
      <c r="AT2528" s="507"/>
      <c r="AU2528" s="507"/>
      <c r="AV2528" s="225"/>
      <c r="AW2528" s="508"/>
      <c r="AX2528" s="225"/>
      <c r="AY2528" s="225"/>
      <c r="AZ2528" s="225"/>
      <c r="BA2528" s="225"/>
      <c r="BB2528" s="225"/>
      <c r="BC2528" s="56"/>
      <c r="BD2528" s="56"/>
      <c r="BE2528" s="56"/>
      <c r="BF2528" s="107" t="str">
        <f t="shared" si="1961"/>
        <v>https://www.google.com/search?tbm=isch&amp;q=3%20G2</v>
      </c>
      <c r="BG2528" s="107" t="str">
        <f t="shared" si="1962"/>
        <v>M</v>
      </c>
      <c r="BH2528" s="254"/>
      <c r="BI2528" s="254"/>
    </row>
    <row r="2529" spans="1:61" customFormat="1" ht="17.25" thickBot="1" x14ac:dyDescent="0.3">
      <c r="A2529" s="522" t="s">
        <v>2438</v>
      </c>
      <c r="B2529" s="491"/>
      <c r="C2529" s="675"/>
      <c r="D2529" s="491"/>
      <c r="E2529" s="491"/>
      <c r="F2529" s="492"/>
      <c r="G2529" s="493"/>
      <c r="H2529" s="491"/>
      <c r="I2529" s="234"/>
      <c r="J2529" s="234"/>
      <c r="K2529" s="494"/>
      <c r="L2529" s="543"/>
      <c r="M2529" s="561"/>
      <c r="N2529" s="495"/>
      <c r="O2529" s="496"/>
      <c r="P2529" s="497"/>
      <c r="Q2529" s="495"/>
      <c r="R2529" s="495"/>
      <c r="S2529" s="667" t="s">
        <v>4982</v>
      </c>
      <c r="T2529" s="508">
        <f t="shared" si="1950"/>
        <v>0</v>
      </c>
      <c r="U2529" s="225" t="str">
        <f>IF(NOT(ISNUMBER(G2529)), "", VLOOKUP(A2529,'Discount Lookup'!D:E,2,FALSE)*G2529)</f>
        <v/>
      </c>
      <c r="V2529" s="225" t="str">
        <f>IF(NOT(ISNUMBER(G2529)), "", VLOOKUP(A2529,'Discount Lookup'!G:H,2,FALSE)*G2529)</f>
        <v/>
      </c>
      <c r="W2529" s="508">
        <f t="shared" si="1951"/>
        <v>0</v>
      </c>
      <c r="X2529" s="508">
        <f t="shared" si="1952"/>
        <v>0</v>
      </c>
      <c r="Y2529" s="509" t="b">
        <f t="shared" si="1953"/>
        <v>0</v>
      </c>
      <c r="Z2529" s="510">
        <f t="shared" si="1954"/>
        <v>0</v>
      </c>
      <c r="AA2529" s="511"/>
      <c r="AB2529" s="511" t="str">
        <f t="shared" si="1955"/>
        <v/>
      </c>
      <c r="AC2529" s="698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698"/>
      <c r="AE2529" s="631" t="str">
        <f t="shared" si="1956"/>
        <v/>
      </c>
      <c r="AF2529" s="699" t="str">
        <f t="shared" si="1957"/>
        <v/>
      </c>
      <c r="AG2529" s="699"/>
      <c r="AH2529" s="699"/>
      <c r="AI2529" s="512">
        <f>IF(H2529="credit",0,IF(AE2529="free",0,IF(AE2529="me",0,IF(G2529&gt;0,(VLOOKUP(A2529,'Discount Lookup'!J:K,2)*G2529),0))))</f>
        <v>0</v>
      </c>
      <c r="AJ2529" s="513" t="str">
        <f t="shared" ca="1" si="1958"/>
        <v/>
      </c>
      <c r="AK2529" s="700" t="str">
        <f t="shared" si="1959"/>
        <v/>
      </c>
      <c r="AL2529" s="700"/>
      <c r="AM2529" s="505" t="str">
        <f t="shared" si="1960"/>
        <v/>
      </c>
      <c r="AN2529" s="506"/>
      <c r="AO2529" s="507"/>
      <c r="AP2529" s="507"/>
      <c r="AQ2529" s="507"/>
      <c r="AR2529" s="507"/>
      <c r="AS2529" s="507"/>
      <c r="AT2529" s="507"/>
      <c r="AU2529" s="507"/>
      <c r="AV2529" s="225"/>
      <c r="AW2529" s="508"/>
      <c r="AX2529" s="225"/>
      <c r="AY2529" s="225"/>
      <c r="AZ2529" s="225"/>
      <c r="BA2529" s="225"/>
      <c r="BB2529" s="225"/>
      <c r="BC2529" s="56"/>
      <c r="BD2529" s="56"/>
      <c r="BE2529" s="56"/>
      <c r="BF2529" s="107" t="str">
        <f t="shared" si="1961"/>
        <v>https://www.google.com/search?tbm=isch&amp;q=Mugo%20is%20very%20durable%20and%20tolerant%20of%20cold%2C%20wind%2C%20and%20urban%20pollution%20</v>
      </c>
      <c r="BG2529" s="107" t="str">
        <f t="shared" si="1962"/>
        <v>M</v>
      </c>
      <c r="BH2529" s="254"/>
      <c r="BI2529" s="254"/>
    </row>
    <row r="2530" spans="1:61" customFormat="1" ht="18" x14ac:dyDescent="0.25">
      <c r="A2530" s="523" t="s">
        <v>1389</v>
      </c>
      <c r="B2530" s="235"/>
      <c r="C2530" s="676"/>
      <c r="D2530" s="255" t="s">
        <v>1390</v>
      </c>
      <c r="E2530" s="236"/>
      <c r="F2530" s="236"/>
      <c r="G2530" s="236"/>
      <c r="H2530" s="582" t="s">
        <v>950</v>
      </c>
      <c r="I2530" s="498" t="s">
        <v>662</v>
      </c>
      <c r="J2530" s="237"/>
      <c r="K2530" s="237"/>
      <c r="L2530" s="274"/>
      <c r="M2530" s="668" t="s">
        <v>4962</v>
      </c>
      <c r="N2530" s="681" t="str">
        <f>IF(AND(ISTEXT($A2530), ISERROR($A2530+0)), HYPERLINK($BF2530, "Images"), "")</f>
        <v>Images</v>
      </c>
      <c r="O2530" s="663" t="s">
        <v>4967</v>
      </c>
      <c r="P2530" s="253"/>
      <c r="Q2530" s="238"/>
      <c r="R2530" s="239"/>
      <c r="S2530" s="275"/>
      <c r="T2530" s="508">
        <f t="shared" si="1950"/>
        <v>0</v>
      </c>
      <c r="U2530" s="225" t="str">
        <f>IF(NOT(ISNUMBER(G2530)), "", VLOOKUP(A2530,'Discount Lookup'!D:E,2,FALSE)*G2530)</f>
        <v/>
      </c>
      <c r="V2530" s="225" t="str">
        <f>IF(NOT(ISNUMBER(G2530)), "", VLOOKUP(A2530,'Discount Lookup'!G:H,2,FALSE)*G2530)</f>
        <v/>
      </c>
      <c r="W2530" s="508">
        <f t="shared" si="1951"/>
        <v>0</v>
      </c>
      <c r="X2530" s="508" t="str">
        <f t="shared" si="1952"/>
        <v>Lavender bloom</v>
      </c>
      <c r="Y2530" s="509" t="b">
        <f t="shared" si="1953"/>
        <v>0</v>
      </c>
      <c r="Z2530" s="510">
        <f t="shared" si="1954"/>
        <v>0</v>
      </c>
      <c r="AA2530" s="511"/>
      <c r="AB2530" s="511" t="str">
        <f t="shared" si="1955"/>
        <v/>
      </c>
      <c r="AC2530" s="698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698"/>
      <c r="AE2530" s="631" t="str">
        <f t="shared" si="1956"/>
        <v/>
      </c>
      <c r="AF2530" s="699" t="str">
        <f t="shared" si="1957"/>
        <v/>
      </c>
      <c r="AG2530" s="699"/>
      <c r="AH2530" s="699"/>
      <c r="AI2530" s="512">
        <f>IF(H2530="credit",0,IF(AE2530="free",0,IF(AE2530="me",0,IF(G2530&gt;0,(VLOOKUP(A2530,'Discount Lookup'!J:K,2)*G2530),0))))</f>
        <v>0</v>
      </c>
      <c r="AJ2530" s="513" t="str">
        <f t="shared" ca="1" si="1958"/>
        <v/>
      </c>
      <c r="AK2530" s="700" t="str">
        <f t="shared" si="1959"/>
        <v/>
      </c>
      <c r="AL2530" s="700"/>
      <c r="AM2530" s="505" t="str">
        <f t="shared" si="1960"/>
        <v/>
      </c>
      <c r="AN2530" s="506"/>
      <c r="AO2530" s="507"/>
      <c r="AP2530" s="507"/>
      <c r="AQ2530" s="507"/>
      <c r="AR2530" s="507"/>
      <c r="AS2530" s="507"/>
      <c r="AT2530" s="507"/>
      <c r="AU2530" s="507"/>
      <c r="AV2530" s="225"/>
      <c r="AW2530" s="508"/>
      <c r="AX2530" s="225"/>
      <c r="AY2530" s="225"/>
      <c r="AZ2530" s="225"/>
      <c r="BA2530" s="225"/>
      <c r="BB2530" s="225"/>
      <c r="BC2530" s="56"/>
      <c r="BD2530" s="56"/>
      <c r="BE2530" s="56"/>
      <c r="BF2530" s="107" t="str">
        <f t="shared" si="1961"/>
        <v>https://www.google.com/search?tbm=isch&amp;q=Muskogee%20Crape%20Myrtle%20Lagerstroemia%20indica%20x%20fauriel%20%27Muskogee%27</v>
      </c>
      <c r="BG2530" s="107" t="str">
        <f t="shared" si="1962"/>
        <v>M</v>
      </c>
      <c r="BH2530" s="254"/>
      <c r="BI2530" s="254"/>
    </row>
    <row r="2531" spans="1:61" customFormat="1" ht="15.75" x14ac:dyDescent="0.25">
      <c r="A2531" s="276">
        <v>3</v>
      </c>
      <c r="B2531" s="240" t="s">
        <v>291</v>
      </c>
      <c r="C2531" s="241" t="s">
        <v>1391</v>
      </c>
      <c r="D2531" s="242" t="s">
        <v>297</v>
      </c>
      <c r="E2531" s="243">
        <v>33.950000000000003</v>
      </c>
      <c r="F2531" s="517" t="s">
        <v>293</v>
      </c>
      <c r="G2531" s="232">
        <v>0</v>
      </c>
      <c r="H2531" s="661" t="str">
        <f t="shared" ref="H2531:H2538" si="1977">IF(G2531=0,"",IF(F2531="Buy",IF(G2531=1,"plant","plants"),IF(F2531&gt;0.01,"warranty","Error")))</f>
        <v/>
      </c>
      <c r="I2531" s="244">
        <f t="shared" ref="I2531:I2538" si="1978">IF(H2531="free",0,IF(H2531="credit",((E2531*(F2531))*G2531*-1),IF(F2531="Buy",(E2531*G2531),((E2531*(1-F2531))*G2531))))</f>
        <v>0</v>
      </c>
      <c r="J2531" s="244">
        <f t="shared" ref="J2531:J2538" si="1979">IF(H2531="warranty",0,(I2531*(_xlfn.SINGLE(SalesTaxPercentage))))</f>
        <v>0</v>
      </c>
      <c r="K2531" s="696">
        <f t="shared" ref="K2531" si="1980">I2531+J2531</f>
        <v>0</v>
      </c>
      <c r="L2531" s="696"/>
      <c r="M2531" s="659" t="str">
        <f t="shared" ref="M2531:M2538" si="1981">IF(AND(G2531&gt;0,E2531=0),"WARNING - no PRICE inserted",IF(H2531="free"," FREE ~ no charge this plant",IF(H2531="credit",CONCATENATE(" -$",ROUND(K2531*(1-T2GDiscount)*-1,2)," CREDIT after discount"),IF(T2GDiscount=0,"",IF(G2531=0,"",IF(F2531="Buy",CONCATENATE(" $",ROUND(K2531*(1-T2GDiscount),2)," with ",(T2GDiscount*100),"% discount"),CONCATENATE(" $",ROUND(K2531*(1-T2GDiscount),2)," with ",((T2GDiscount*100+F2531*100)-(T2GDiscount*100*F2531)),IF(F2531&gt;0,"% discounts",IF(NoWarrantyDiscount&gt;0,"% discounts","% discount")))))))))</f>
        <v/>
      </c>
      <c r="N2531" s="660"/>
      <c r="O2531" s="233"/>
      <c r="P2531" s="233"/>
      <c r="Q2531" s="233"/>
      <c r="R2531" s="233"/>
      <c r="S2531" s="233"/>
      <c r="T2531" s="508">
        <f t="shared" si="1950"/>
        <v>0</v>
      </c>
      <c r="U2531" s="225">
        <f>IF(NOT(ISNUMBER(G2531)), "", VLOOKUP(A2531,'Discount Lookup'!D:E,2,FALSE)*G2531)</f>
        <v>0</v>
      </c>
      <c r="V2531" s="225">
        <f>IF(NOT(ISNUMBER(G2531)), "", VLOOKUP(A2531,'Discount Lookup'!G:H,2,FALSE)*G2531)</f>
        <v>0</v>
      </c>
      <c r="W2531" s="508">
        <f t="shared" si="1951"/>
        <v>0</v>
      </c>
      <c r="X2531" s="508">
        <f t="shared" si="1952"/>
        <v>0</v>
      </c>
      <c r="Y2531" s="509" t="b">
        <f t="shared" si="1953"/>
        <v>0</v>
      </c>
      <c r="Z2531" s="510">
        <f t="shared" si="1954"/>
        <v>0</v>
      </c>
      <c r="AA2531" s="511"/>
      <c r="AB2531" s="511" t="str">
        <f t="shared" si="1955"/>
        <v/>
      </c>
      <c r="AC2531" s="698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698"/>
      <c r="AE2531" s="631" t="str">
        <f t="shared" si="1956"/>
        <v/>
      </c>
      <c r="AF2531" s="699" t="str">
        <f t="shared" si="1957"/>
        <v/>
      </c>
      <c r="AG2531" s="699"/>
      <c r="AH2531" s="699"/>
      <c r="AI2531" s="512">
        <f>IF(H2531="credit",0,IF(AE2531="free",0,IF(AE2531="me",0,IF(G2531&gt;0,(VLOOKUP(A2531,'Discount Lookup'!J:K,2)*G2531),0))))</f>
        <v>0</v>
      </c>
      <c r="AJ2531" s="513" t="str">
        <f t="shared" ca="1" si="1958"/>
        <v/>
      </c>
      <c r="AK2531" s="700" t="str">
        <f t="shared" si="1959"/>
        <v/>
      </c>
      <c r="AL2531" s="700"/>
      <c r="AM2531" s="505" t="str">
        <f t="shared" si="1960"/>
        <v/>
      </c>
      <c r="AN2531" s="506"/>
      <c r="AO2531" s="507"/>
      <c r="AP2531" s="507"/>
      <c r="AQ2531" s="507"/>
      <c r="AR2531" s="507"/>
      <c r="AS2531" s="507"/>
      <c r="AT2531" s="507"/>
      <c r="AU2531" s="507"/>
      <c r="AV2531" s="225"/>
      <c r="AW2531" s="508"/>
      <c r="AX2531" s="225"/>
      <c r="AY2531" s="225"/>
      <c r="AZ2531" s="225"/>
      <c r="BA2531" s="225"/>
      <c r="BB2531" s="225"/>
      <c r="BC2531" s="56"/>
      <c r="BD2531" s="56"/>
      <c r="BE2531" s="56"/>
      <c r="BF2531" s="107" t="str">
        <f t="shared" si="1961"/>
        <v>https://www.google.com/search?tbm=isch&amp;q=3%20G3</v>
      </c>
      <c r="BG2531" s="107" t="str">
        <f t="shared" si="1962"/>
        <v>M</v>
      </c>
      <c r="BH2531" s="254"/>
      <c r="BI2531" s="254"/>
    </row>
    <row r="2532" spans="1:61" customFormat="1" ht="15.75" x14ac:dyDescent="0.25">
      <c r="A2532" s="276">
        <v>15</v>
      </c>
      <c r="B2532" s="240" t="s">
        <v>291</v>
      </c>
      <c r="C2532" s="241" t="s">
        <v>3656</v>
      </c>
      <c r="D2532" s="242" t="s">
        <v>292</v>
      </c>
      <c r="E2532" s="243">
        <v>164.95</v>
      </c>
      <c r="F2532" s="517" t="s">
        <v>293</v>
      </c>
      <c r="G2532" s="232">
        <v>0</v>
      </c>
      <c r="H2532" s="661" t="str">
        <f t="shared" si="1977"/>
        <v/>
      </c>
      <c r="I2532" s="244">
        <f t="shared" si="1978"/>
        <v>0</v>
      </c>
      <c r="J2532" s="244">
        <f t="shared" si="1979"/>
        <v>0</v>
      </c>
      <c r="K2532" s="696">
        <f t="shared" ref="K2532" si="1982">I2532+J2532</f>
        <v>0</v>
      </c>
      <c r="L2532" s="696"/>
      <c r="M2532" s="659" t="str">
        <f t="shared" si="1981"/>
        <v/>
      </c>
      <c r="N2532" s="660"/>
      <c r="O2532" s="233"/>
      <c r="P2532" s="233"/>
      <c r="Q2532" s="233"/>
      <c r="R2532" s="233"/>
      <c r="S2532" s="233"/>
      <c r="T2532" s="508">
        <f t="shared" si="1950"/>
        <v>0</v>
      </c>
      <c r="U2532" s="225">
        <f>IF(NOT(ISNUMBER(G2532)), "", VLOOKUP(A2532,'Discount Lookup'!D:E,2,FALSE)*G2532)</f>
        <v>0</v>
      </c>
      <c r="V2532" s="225">
        <f>IF(NOT(ISNUMBER(G2532)), "", VLOOKUP(A2532,'Discount Lookup'!G:H,2,FALSE)*G2532)</f>
        <v>0</v>
      </c>
      <c r="W2532" s="508">
        <f t="shared" si="1951"/>
        <v>0</v>
      </c>
      <c r="X2532" s="508">
        <f t="shared" si="1952"/>
        <v>0</v>
      </c>
      <c r="Y2532" s="509" t="b">
        <f t="shared" si="1953"/>
        <v>0</v>
      </c>
      <c r="Z2532" s="510">
        <f t="shared" si="1954"/>
        <v>0</v>
      </c>
      <c r="AA2532" s="511"/>
      <c r="AB2532" s="511" t="str">
        <f t="shared" si="1955"/>
        <v/>
      </c>
      <c r="AC2532" s="698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698"/>
      <c r="AE2532" s="631" t="str">
        <f t="shared" si="1956"/>
        <v/>
      </c>
      <c r="AF2532" s="699" t="str">
        <f t="shared" si="1957"/>
        <v/>
      </c>
      <c r="AG2532" s="699"/>
      <c r="AH2532" s="699"/>
      <c r="AI2532" s="512">
        <f>IF(H2532="credit",0,IF(AE2532="free",0,IF(AE2532="me",0,IF(G2532&gt;0,(VLOOKUP(A2532,'Discount Lookup'!J:K,2)*G2532),0))))</f>
        <v>0</v>
      </c>
      <c r="AJ2532" s="513" t="str">
        <f t="shared" ca="1" si="1958"/>
        <v/>
      </c>
      <c r="AK2532" s="700" t="str">
        <f t="shared" si="1959"/>
        <v/>
      </c>
      <c r="AL2532" s="700"/>
      <c r="AM2532" s="505" t="str">
        <f t="shared" si="1960"/>
        <v/>
      </c>
      <c r="AN2532" s="506"/>
      <c r="AO2532" s="507"/>
      <c r="AP2532" s="507"/>
      <c r="AQ2532" s="507"/>
      <c r="AR2532" s="507"/>
      <c r="AS2532" s="507"/>
      <c r="AT2532" s="507"/>
      <c r="AU2532" s="507"/>
      <c r="AV2532" s="225"/>
      <c r="AW2532" s="508"/>
      <c r="AX2532" s="225"/>
      <c r="AY2532" s="225"/>
      <c r="AZ2532" s="225"/>
      <c r="BA2532" s="225"/>
      <c r="BB2532" s="225"/>
      <c r="BC2532" s="56"/>
      <c r="BD2532" s="56"/>
      <c r="BE2532" s="56"/>
      <c r="BF2532" s="107" t="str">
        <f t="shared" si="1961"/>
        <v>https://www.google.com/search?tbm=isch&amp;q=15%20G4</v>
      </c>
      <c r="BG2532" s="107" t="str">
        <f t="shared" si="1962"/>
        <v>M</v>
      </c>
      <c r="BH2532" s="254"/>
      <c r="BI2532" s="254"/>
    </row>
    <row r="2533" spans="1:61" customFormat="1" ht="15.75" x14ac:dyDescent="0.25">
      <c r="A2533" s="276">
        <v>15</v>
      </c>
      <c r="B2533" s="240" t="s">
        <v>291</v>
      </c>
      <c r="C2533" s="241" t="s">
        <v>2775</v>
      </c>
      <c r="D2533" s="242" t="s">
        <v>299</v>
      </c>
      <c r="E2533" s="243">
        <v>164.95</v>
      </c>
      <c r="F2533" s="517" t="s">
        <v>293</v>
      </c>
      <c r="G2533" s="232">
        <v>0</v>
      </c>
      <c r="H2533" s="661" t="str">
        <f t="shared" si="1977"/>
        <v/>
      </c>
      <c r="I2533" s="244">
        <f t="shared" si="1978"/>
        <v>0</v>
      </c>
      <c r="J2533" s="244">
        <f t="shared" si="1979"/>
        <v>0</v>
      </c>
      <c r="K2533" s="696">
        <f t="shared" ref="K2533" si="1983">I2533+J2533</f>
        <v>0</v>
      </c>
      <c r="L2533" s="696"/>
      <c r="M2533" s="659" t="str">
        <f t="shared" si="1981"/>
        <v/>
      </c>
      <c r="N2533" s="660"/>
      <c r="O2533" s="233"/>
      <c r="P2533" s="233"/>
      <c r="Q2533" s="233"/>
      <c r="R2533" s="233"/>
      <c r="S2533" s="233"/>
      <c r="T2533" s="508">
        <f t="shared" si="1950"/>
        <v>0</v>
      </c>
      <c r="U2533" s="225">
        <f>IF(NOT(ISNUMBER(G2533)), "", VLOOKUP(A2533,'Discount Lookup'!D:E,2,FALSE)*G2533)</f>
        <v>0</v>
      </c>
      <c r="V2533" s="225">
        <f>IF(NOT(ISNUMBER(G2533)), "", VLOOKUP(A2533,'Discount Lookup'!G:H,2,FALSE)*G2533)</f>
        <v>0</v>
      </c>
      <c r="W2533" s="508">
        <f t="shared" si="1951"/>
        <v>0</v>
      </c>
      <c r="X2533" s="508">
        <f t="shared" si="1952"/>
        <v>0</v>
      </c>
      <c r="Y2533" s="509" t="b">
        <f t="shared" si="1953"/>
        <v>0</v>
      </c>
      <c r="Z2533" s="510">
        <f t="shared" si="1954"/>
        <v>0</v>
      </c>
      <c r="AA2533" s="511"/>
      <c r="AB2533" s="511" t="str">
        <f t="shared" si="1955"/>
        <v/>
      </c>
      <c r="AC2533" s="698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698"/>
      <c r="AE2533" s="631" t="str">
        <f t="shared" si="1956"/>
        <v/>
      </c>
      <c r="AF2533" s="699" t="str">
        <f t="shared" si="1957"/>
        <v/>
      </c>
      <c r="AG2533" s="699"/>
      <c r="AH2533" s="699"/>
      <c r="AI2533" s="512">
        <f>IF(H2533="credit",0,IF(AE2533="free",0,IF(AE2533="me",0,IF(G2533&gt;0,(VLOOKUP(A2533,'Discount Lookup'!J:K,2)*G2533),0))))</f>
        <v>0</v>
      </c>
      <c r="AJ2533" s="513" t="str">
        <f t="shared" ca="1" si="1958"/>
        <v/>
      </c>
      <c r="AK2533" s="700" t="str">
        <f t="shared" si="1959"/>
        <v/>
      </c>
      <c r="AL2533" s="700"/>
      <c r="AM2533" s="505" t="str">
        <f t="shared" si="1960"/>
        <v/>
      </c>
      <c r="AN2533" s="506"/>
      <c r="AO2533" s="507"/>
      <c r="AP2533" s="507"/>
      <c r="AQ2533" s="507"/>
      <c r="AR2533" s="507"/>
      <c r="AS2533" s="507"/>
      <c r="AT2533" s="507"/>
      <c r="AU2533" s="507"/>
      <c r="AV2533" s="225"/>
      <c r="AW2533" s="508"/>
      <c r="AX2533" s="225"/>
      <c r="AY2533" s="225"/>
      <c r="AZ2533" s="225"/>
      <c r="BA2533" s="225"/>
      <c r="BB2533" s="225"/>
      <c r="BC2533" s="56"/>
      <c r="BD2533" s="56"/>
      <c r="BE2533" s="56"/>
      <c r="BF2533" s="107" t="str">
        <f t="shared" si="1961"/>
        <v>https://www.google.com/search?tbm=isch&amp;q=15%20G5</v>
      </c>
      <c r="BG2533" s="107" t="str">
        <f t="shared" si="1962"/>
        <v>M</v>
      </c>
      <c r="BH2533" s="254"/>
      <c r="BI2533" s="254"/>
    </row>
    <row r="2534" spans="1:61" customFormat="1" ht="27" x14ac:dyDescent="0.25">
      <c r="A2534" s="276">
        <v>15</v>
      </c>
      <c r="B2534" s="240" t="s">
        <v>291</v>
      </c>
      <c r="C2534" s="241" t="s">
        <v>3657</v>
      </c>
      <c r="D2534" s="242" t="s">
        <v>292</v>
      </c>
      <c r="E2534" s="243">
        <v>171.95</v>
      </c>
      <c r="F2534" s="517" t="s">
        <v>293</v>
      </c>
      <c r="G2534" s="232">
        <v>0</v>
      </c>
      <c r="H2534" s="661" t="str">
        <f t="shared" si="1977"/>
        <v/>
      </c>
      <c r="I2534" s="244">
        <f t="shared" si="1978"/>
        <v>0</v>
      </c>
      <c r="J2534" s="244">
        <f t="shared" si="1979"/>
        <v>0</v>
      </c>
      <c r="K2534" s="696">
        <f t="shared" ref="K2534" si="1984">I2534+J2534</f>
        <v>0</v>
      </c>
      <c r="L2534" s="696"/>
      <c r="M2534" s="659" t="str">
        <f t="shared" si="1981"/>
        <v/>
      </c>
      <c r="N2534" s="660"/>
      <c r="O2534" s="233"/>
      <c r="P2534" s="233"/>
      <c r="Q2534" s="233"/>
      <c r="R2534" s="233"/>
      <c r="S2534" s="233"/>
      <c r="T2534" s="508">
        <f t="shared" si="1950"/>
        <v>0</v>
      </c>
      <c r="U2534" s="225">
        <f>IF(NOT(ISNUMBER(G2534)), "", VLOOKUP(A2534,'Discount Lookup'!D:E,2,FALSE)*G2534)</f>
        <v>0</v>
      </c>
      <c r="V2534" s="225">
        <f>IF(NOT(ISNUMBER(G2534)), "", VLOOKUP(A2534,'Discount Lookup'!G:H,2,FALSE)*G2534)</f>
        <v>0</v>
      </c>
      <c r="W2534" s="508">
        <f t="shared" si="1951"/>
        <v>0</v>
      </c>
      <c r="X2534" s="508">
        <f t="shared" si="1952"/>
        <v>0</v>
      </c>
      <c r="Y2534" s="509" t="b">
        <f t="shared" si="1953"/>
        <v>0</v>
      </c>
      <c r="Z2534" s="510">
        <f t="shared" si="1954"/>
        <v>0</v>
      </c>
      <c r="AA2534" s="511"/>
      <c r="AB2534" s="511" t="str">
        <f t="shared" si="1955"/>
        <v/>
      </c>
      <c r="AC2534" s="698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698"/>
      <c r="AE2534" s="631" t="str">
        <f t="shared" si="1956"/>
        <v/>
      </c>
      <c r="AF2534" s="699" t="str">
        <f t="shared" si="1957"/>
        <v/>
      </c>
      <c r="AG2534" s="699"/>
      <c r="AH2534" s="699"/>
      <c r="AI2534" s="512">
        <f>IF(H2534="credit",0,IF(AE2534="free",0,IF(AE2534="me",0,IF(G2534&gt;0,(VLOOKUP(A2534,'Discount Lookup'!J:K,2)*G2534),0))))</f>
        <v>0</v>
      </c>
      <c r="AJ2534" s="513" t="str">
        <f t="shared" ca="1" si="1958"/>
        <v/>
      </c>
      <c r="AK2534" s="700" t="str">
        <f t="shared" si="1959"/>
        <v/>
      </c>
      <c r="AL2534" s="700"/>
      <c r="AM2534" s="505" t="str">
        <f t="shared" si="1960"/>
        <v/>
      </c>
      <c r="AN2534" s="506"/>
      <c r="AO2534" s="507"/>
      <c r="AP2534" s="507"/>
      <c r="AQ2534" s="507"/>
      <c r="AR2534" s="507"/>
      <c r="AS2534" s="507"/>
      <c r="AT2534" s="507"/>
      <c r="AU2534" s="507"/>
      <c r="AV2534" s="225"/>
      <c r="AW2534" s="508"/>
      <c r="AX2534" s="225"/>
      <c r="AY2534" s="225"/>
      <c r="AZ2534" s="225"/>
      <c r="BA2534" s="225"/>
      <c r="BB2534" s="225"/>
      <c r="BC2534" s="56"/>
      <c r="BD2534" s="56"/>
      <c r="BE2534" s="56"/>
      <c r="BF2534" s="107" t="str">
        <f t="shared" si="1961"/>
        <v>https://www.google.com/search?tbm=isch&amp;q=15%20G4</v>
      </c>
      <c r="BG2534" s="107" t="str">
        <f t="shared" si="1962"/>
        <v>M</v>
      </c>
      <c r="BH2534" s="254"/>
      <c r="BI2534" s="254"/>
    </row>
    <row r="2535" spans="1:61" customFormat="1" ht="15.75" x14ac:dyDescent="0.25">
      <c r="A2535" s="276">
        <v>20</v>
      </c>
      <c r="B2535" s="240" t="s">
        <v>291</v>
      </c>
      <c r="C2535" s="241" t="s">
        <v>1394</v>
      </c>
      <c r="D2535" s="242" t="s">
        <v>297</v>
      </c>
      <c r="E2535" s="243">
        <v>224.95</v>
      </c>
      <c r="F2535" s="517" t="s">
        <v>293</v>
      </c>
      <c r="G2535" s="232">
        <v>0</v>
      </c>
      <c r="H2535" s="661" t="str">
        <f t="shared" si="1977"/>
        <v/>
      </c>
      <c r="I2535" s="244">
        <f t="shared" si="1978"/>
        <v>0</v>
      </c>
      <c r="J2535" s="244">
        <f t="shared" si="1979"/>
        <v>0</v>
      </c>
      <c r="K2535" s="696">
        <f t="shared" ref="K2535" si="1985">I2535+J2535</f>
        <v>0</v>
      </c>
      <c r="L2535" s="696"/>
      <c r="M2535" s="659" t="str">
        <f t="shared" si="1981"/>
        <v/>
      </c>
      <c r="N2535" s="660"/>
      <c r="O2535" s="233"/>
      <c r="P2535" s="233"/>
      <c r="Q2535" s="233"/>
      <c r="R2535" s="233"/>
      <c r="S2535" s="233"/>
      <c r="T2535" s="508">
        <f t="shared" si="1950"/>
        <v>0</v>
      </c>
      <c r="U2535" s="225">
        <f>IF(NOT(ISNUMBER(G2535)), "", VLOOKUP(A2535,'Discount Lookup'!D:E,2,FALSE)*G2535)</f>
        <v>0</v>
      </c>
      <c r="V2535" s="225">
        <f>IF(NOT(ISNUMBER(G2535)), "", VLOOKUP(A2535,'Discount Lookup'!G:H,2,FALSE)*G2535)</f>
        <v>0</v>
      </c>
      <c r="W2535" s="508">
        <f t="shared" si="1951"/>
        <v>0</v>
      </c>
      <c r="X2535" s="508">
        <f t="shared" si="1952"/>
        <v>0</v>
      </c>
      <c r="Y2535" s="509" t="b">
        <f t="shared" si="1953"/>
        <v>0</v>
      </c>
      <c r="Z2535" s="510">
        <f t="shared" si="1954"/>
        <v>0</v>
      </c>
      <c r="AA2535" s="511"/>
      <c r="AB2535" s="511" t="str">
        <f t="shared" si="1955"/>
        <v/>
      </c>
      <c r="AC2535" s="698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698"/>
      <c r="AE2535" s="631" t="str">
        <f t="shared" si="1956"/>
        <v/>
      </c>
      <c r="AF2535" s="699" t="str">
        <f t="shared" si="1957"/>
        <v/>
      </c>
      <c r="AG2535" s="699"/>
      <c r="AH2535" s="699"/>
      <c r="AI2535" s="512">
        <f>IF(H2535="credit",0,IF(AE2535="free",0,IF(AE2535="me",0,IF(G2535&gt;0,(VLOOKUP(A2535,'Discount Lookup'!J:K,2)*G2535),0))))</f>
        <v>0</v>
      </c>
      <c r="AJ2535" s="513" t="str">
        <f t="shared" ca="1" si="1958"/>
        <v/>
      </c>
      <c r="AK2535" s="700" t="str">
        <f t="shared" si="1959"/>
        <v/>
      </c>
      <c r="AL2535" s="700"/>
      <c r="AM2535" s="505" t="str">
        <f t="shared" si="1960"/>
        <v/>
      </c>
      <c r="AN2535" s="506"/>
      <c r="AO2535" s="507"/>
      <c r="AP2535" s="507"/>
      <c r="AQ2535" s="507"/>
      <c r="AR2535" s="507"/>
      <c r="AS2535" s="507"/>
      <c r="AT2535" s="507"/>
      <c r="AU2535" s="507"/>
      <c r="AV2535" s="225"/>
      <c r="AW2535" s="508"/>
      <c r="AX2535" s="225"/>
      <c r="AY2535" s="225"/>
      <c r="AZ2535" s="225"/>
      <c r="BA2535" s="225"/>
      <c r="BB2535" s="225"/>
      <c r="BC2535" s="56"/>
      <c r="BD2535" s="56"/>
      <c r="BE2535" s="56"/>
      <c r="BF2535" s="107" t="str">
        <f t="shared" si="1961"/>
        <v>https://www.google.com/search?tbm=isch&amp;q=20%20G3</v>
      </c>
      <c r="BG2535" s="107" t="str">
        <f t="shared" si="1962"/>
        <v>M</v>
      </c>
      <c r="BH2535" s="254"/>
      <c r="BI2535" s="254"/>
    </row>
    <row r="2536" spans="1:61" customFormat="1" ht="27" x14ac:dyDescent="0.25">
      <c r="A2536" s="276">
        <v>25</v>
      </c>
      <c r="B2536" s="240" t="s">
        <v>291</v>
      </c>
      <c r="C2536" s="241" t="s">
        <v>3658</v>
      </c>
      <c r="D2536" s="242" t="s">
        <v>292</v>
      </c>
      <c r="E2536" s="243">
        <v>293.95</v>
      </c>
      <c r="F2536" s="517" t="s">
        <v>293</v>
      </c>
      <c r="G2536" s="232">
        <v>0</v>
      </c>
      <c r="H2536" s="661" t="str">
        <f t="shared" si="1977"/>
        <v/>
      </c>
      <c r="I2536" s="244">
        <f t="shared" si="1978"/>
        <v>0</v>
      </c>
      <c r="J2536" s="244">
        <f t="shared" si="1979"/>
        <v>0</v>
      </c>
      <c r="K2536" s="696">
        <f t="shared" ref="K2536" si="1986">I2536+J2536</f>
        <v>0</v>
      </c>
      <c r="L2536" s="696"/>
      <c r="M2536" s="659" t="str">
        <f t="shared" si="1981"/>
        <v/>
      </c>
      <c r="N2536" s="660"/>
      <c r="O2536" s="233"/>
      <c r="P2536" s="233"/>
      <c r="Q2536" s="233"/>
      <c r="R2536" s="233"/>
      <c r="S2536" s="233"/>
      <c r="T2536" s="508">
        <f t="shared" si="1950"/>
        <v>0</v>
      </c>
      <c r="U2536" s="225">
        <f>IF(NOT(ISNUMBER(G2536)), "", VLOOKUP(A2536,'Discount Lookup'!D:E,2,FALSE)*G2536)</f>
        <v>0</v>
      </c>
      <c r="V2536" s="225">
        <f>IF(NOT(ISNUMBER(G2536)), "", VLOOKUP(A2536,'Discount Lookup'!G:H,2,FALSE)*G2536)</f>
        <v>0</v>
      </c>
      <c r="W2536" s="508">
        <f t="shared" si="1951"/>
        <v>0</v>
      </c>
      <c r="X2536" s="508">
        <f t="shared" si="1952"/>
        <v>0</v>
      </c>
      <c r="Y2536" s="509" t="b">
        <f t="shared" si="1953"/>
        <v>0</v>
      </c>
      <c r="Z2536" s="510">
        <f t="shared" si="1954"/>
        <v>0</v>
      </c>
      <c r="AA2536" s="511"/>
      <c r="AB2536" s="511" t="str">
        <f t="shared" si="1955"/>
        <v/>
      </c>
      <c r="AC2536" s="698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698"/>
      <c r="AE2536" s="631" t="str">
        <f t="shared" si="1956"/>
        <v/>
      </c>
      <c r="AF2536" s="699" t="str">
        <f t="shared" si="1957"/>
        <v/>
      </c>
      <c r="AG2536" s="699"/>
      <c r="AH2536" s="699"/>
      <c r="AI2536" s="512">
        <f>IF(H2536="credit",0,IF(AE2536="free",0,IF(AE2536="me",0,IF(G2536&gt;0,(VLOOKUP(A2536,'Discount Lookup'!J:K,2)*G2536),0))))</f>
        <v>0</v>
      </c>
      <c r="AJ2536" s="513" t="str">
        <f t="shared" ca="1" si="1958"/>
        <v/>
      </c>
      <c r="AK2536" s="700" t="str">
        <f t="shared" si="1959"/>
        <v/>
      </c>
      <c r="AL2536" s="700"/>
      <c r="AM2536" s="505" t="str">
        <f t="shared" si="1960"/>
        <v/>
      </c>
      <c r="AN2536" s="506"/>
      <c r="AO2536" s="507"/>
      <c r="AP2536" s="507"/>
      <c r="AQ2536" s="507"/>
      <c r="AR2536" s="507"/>
      <c r="AS2536" s="507"/>
      <c r="AT2536" s="507"/>
      <c r="AU2536" s="507"/>
      <c r="AV2536" s="225"/>
      <c r="AW2536" s="508"/>
      <c r="AX2536" s="225"/>
      <c r="AY2536" s="225"/>
      <c r="AZ2536" s="225"/>
      <c r="BA2536" s="225"/>
      <c r="BB2536" s="225"/>
      <c r="BC2536" s="56"/>
      <c r="BD2536" s="56"/>
      <c r="BE2536" s="56"/>
      <c r="BF2536" s="107" t="str">
        <f t="shared" si="1961"/>
        <v>https://www.google.com/search?tbm=isch&amp;q=25%20G4</v>
      </c>
      <c r="BG2536" s="107" t="str">
        <f t="shared" si="1962"/>
        <v>M</v>
      </c>
      <c r="BH2536" s="254"/>
      <c r="BI2536" s="254"/>
    </row>
    <row r="2537" spans="1:61" customFormat="1" ht="15.75" x14ac:dyDescent="0.25">
      <c r="A2537" s="276">
        <v>30</v>
      </c>
      <c r="B2537" s="240" t="s">
        <v>291</v>
      </c>
      <c r="C2537" s="241" t="s">
        <v>1392</v>
      </c>
      <c r="D2537" s="242" t="s">
        <v>299</v>
      </c>
      <c r="E2537" s="243">
        <v>299.95</v>
      </c>
      <c r="F2537" s="517" t="s">
        <v>293</v>
      </c>
      <c r="G2537" s="232">
        <v>0</v>
      </c>
      <c r="H2537" s="661" t="str">
        <f t="shared" si="1977"/>
        <v/>
      </c>
      <c r="I2537" s="244">
        <f t="shared" si="1978"/>
        <v>0</v>
      </c>
      <c r="J2537" s="244">
        <f t="shared" si="1979"/>
        <v>0</v>
      </c>
      <c r="K2537" s="696">
        <f t="shared" ref="K2537" si="1987">I2537+J2537</f>
        <v>0</v>
      </c>
      <c r="L2537" s="696"/>
      <c r="M2537" s="659" t="str">
        <f t="shared" si="1981"/>
        <v/>
      </c>
      <c r="N2537" s="660"/>
      <c r="O2537" s="233"/>
      <c r="P2537" s="233"/>
      <c r="Q2537" s="233"/>
      <c r="R2537" s="233"/>
      <c r="S2537" s="233"/>
      <c r="T2537" s="508">
        <f t="shared" si="1950"/>
        <v>0</v>
      </c>
      <c r="U2537" s="225">
        <f>IF(NOT(ISNUMBER(G2537)), "", VLOOKUP(A2537,'Discount Lookup'!D:E,2,FALSE)*G2537)</f>
        <v>0</v>
      </c>
      <c r="V2537" s="225">
        <f>IF(NOT(ISNUMBER(G2537)), "", VLOOKUP(A2537,'Discount Lookup'!G:H,2,FALSE)*G2537)</f>
        <v>0</v>
      </c>
      <c r="W2537" s="508">
        <f t="shared" si="1951"/>
        <v>0</v>
      </c>
      <c r="X2537" s="508">
        <f t="shared" si="1952"/>
        <v>0</v>
      </c>
      <c r="Y2537" s="509" t="b">
        <f t="shared" si="1953"/>
        <v>0</v>
      </c>
      <c r="Z2537" s="510">
        <f t="shared" si="1954"/>
        <v>0</v>
      </c>
      <c r="AA2537" s="511"/>
      <c r="AB2537" s="511" t="str">
        <f t="shared" si="1955"/>
        <v/>
      </c>
      <c r="AC2537" s="698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698"/>
      <c r="AE2537" s="631" t="str">
        <f t="shared" si="1956"/>
        <v/>
      </c>
      <c r="AF2537" s="699" t="str">
        <f t="shared" si="1957"/>
        <v/>
      </c>
      <c r="AG2537" s="699"/>
      <c r="AH2537" s="699"/>
      <c r="AI2537" s="512">
        <f>IF(H2537="credit",0,IF(AE2537="free",0,IF(AE2537="me",0,IF(G2537&gt;0,(VLOOKUP(A2537,'Discount Lookup'!J:K,2)*G2537),0))))</f>
        <v>0</v>
      </c>
      <c r="AJ2537" s="513" t="str">
        <f t="shared" ca="1" si="1958"/>
        <v/>
      </c>
      <c r="AK2537" s="700" t="str">
        <f t="shared" si="1959"/>
        <v/>
      </c>
      <c r="AL2537" s="700"/>
      <c r="AM2537" s="505" t="str">
        <f t="shared" si="1960"/>
        <v/>
      </c>
      <c r="AN2537" s="506"/>
      <c r="AO2537" s="507"/>
      <c r="AP2537" s="507"/>
      <c r="AQ2537" s="507"/>
      <c r="AR2537" s="507"/>
      <c r="AS2537" s="507"/>
      <c r="AT2537" s="507"/>
      <c r="AU2537" s="507"/>
      <c r="AV2537" s="225"/>
      <c r="AW2537" s="508"/>
      <c r="AX2537" s="225"/>
      <c r="AY2537" s="225"/>
      <c r="AZ2537" s="225"/>
      <c r="BA2537" s="225"/>
      <c r="BB2537" s="225"/>
      <c r="BC2537" s="56"/>
      <c r="BD2537" s="56"/>
      <c r="BE2537" s="56"/>
      <c r="BF2537" s="107" t="str">
        <f t="shared" si="1961"/>
        <v>https://www.google.com/search?tbm=isch&amp;q=30%20G5</v>
      </c>
      <c r="BG2537" s="107" t="str">
        <f t="shared" si="1962"/>
        <v>M</v>
      </c>
      <c r="BH2537" s="254"/>
      <c r="BI2537" s="254"/>
    </row>
    <row r="2538" spans="1:61" customFormat="1" ht="15.75" x14ac:dyDescent="0.25">
      <c r="A2538" s="276">
        <v>30</v>
      </c>
      <c r="B2538" s="240" t="s">
        <v>291</v>
      </c>
      <c r="C2538" s="241" t="s">
        <v>1393</v>
      </c>
      <c r="D2538" s="242" t="s">
        <v>299</v>
      </c>
      <c r="E2538" s="243">
        <v>323.95</v>
      </c>
      <c r="F2538" s="517" t="s">
        <v>293</v>
      </c>
      <c r="G2538" s="232">
        <v>0</v>
      </c>
      <c r="H2538" s="661" t="str">
        <f t="shared" si="1977"/>
        <v/>
      </c>
      <c r="I2538" s="244">
        <f t="shared" si="1978"/>
        <v>0</v>
      </c>
      <c r="J2538" s="244">
        <f t="shared" si="1979"/>
        <v>0</v>
      </c>
      <c r="K2538" s="696">
        <f t="shared" ref="K2538" si="1988">I2538+J2538</f>
        <v>0</v>
      </c>
      <c r="L2538" s="696"/>
      <c r="M2538" s="659" t="str">
        <f t="shared" si="1981"/>
        <v/>
      </c>
      <c r="N2538" s="660"/>
      <c r="O2538" s="233"/>
      <c r="P2538" s="233"/>
      <c r="Q2538" s="233"/>
      <c r="R2538" s="233"/>
      <c r="S2538" s="233"/>
      <c r="T2538" s="508">
        <f t="shared" si="1950"/>
        <v>0</v>
      </c>
      <c r="U2538" s="225">
        <f>IF(NOT(ISNUMBER(G2538)), "", VLOOKUP(A2538,'Discount Lookup'!D:E,2,FALSE)*G2538)</f>
        <v>0</v>
      </c>
      <c r="V2538" s="225">
        <f>IF(NOT(ISNUMBER(G2538)), "", VLOOKUP(A2538,'Discount Lookup'!G:H,2,FALSE)*G2538)</f>
        <v>0</v>
      </c>
      <c r="W2538" s="508">
        <f t="shared" si="1951"/>
        <v>0</v>
      </c>
      <c r="X2538" s="508">
        <f t="shared" si="1952"/>
        <v>0</v>
      </c>
      <c r="Y2538" s="509" t="b">
        <f t="shared" si="1953"/>
        <v>0</v>
      </c>
      <c r="Z2538" s="510">
        <f t="shared" si="1954"/>
        <v>0</v>
      </c>
      <c r="AA2538" s="511"/>
      <c r="AB2538" s="511" t="str">
        <f t="shared" si="1955"/>
        <v/>
      </c>
      <c r="AC2538" s="698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698"/>
      <c r="AE2538" s="631" t="str">
        <f t="shared" si="1956"/>
        <v/>
      </c>
      <c r="AF2538" s="699" t="str">
        <f t="shared" si="1957"/>
        <v/>
      </c>
      <c r="AG2538" s="699"/>
      <c r="AH2538" s="699"/>
      <c r="AI2538" s="512">
        <f>IF(H2538="credit",0,IF(AE2538="free",0,IF(AE2538="me",0,IF(G2538&gt;0,(VLOOKUP(A2538,'Discount Lookup'!J:K,2)*G2538),0))))</f>
        <v>0</v>
      </c>
      <c r="AJ2538" s="513" t="str">
        <f t="shared" ca="1" si="1958"/>
        <v/>
      </c>
      <c r="AK2538" s="700" t="str">
        <f t="shared" si="1959"/>
        <v/>
      </c>
      <c r="AL2538" s="700"/>
      <c r="AM2538" s="505" t="str">
        <f t="shared" si="1960"/>
        <v/>
      </c>
      <c r="AN2538" s="506"/>
      <c r="AO2538" s="507"/>
      <c r="AP2538" s="507"/>
      <c r="AQ2538" s="507"/>
      <c r="AR2538" s="507"/>
      <c r="AS2538" s="507"/>
      <c r="AT2538" s="507"/>
      <c r="AU2538" s="507"/>
      <c r="AV2538" s="225"/>
      <c r="AW2538" s="508"/>
      <c r="AX2538" s="225"/>
      <c r="AY2538" s="225"/>
      <c r="AZ2538" s="225"/>
      <c r="BA2538" s="225"/>
      <c r="BB2538" s="225"/>
      <c r="BC2538" s="56"/>
      <c r="BD2538" s="56"/>
      <c r="BE2538" s="56"/>
      <c r="BF2538" s="107" t="str">
        <f t="shared" si="1961"/>
        <v>https://www.google.com/search?tbm=isch&amp;q=30%20G5</v>
      </c>
      <c r="BG2538" s="107" t="str">
        <f t="shared" si="1962"/>
        <v>M</v>
      </c>
      <c r="BH2538" s="254"/>
      <c r="BI2538" s="254"/>
    </row>
    <row r="2539" spans="1:61" customFormat="1" ht="17.25" thickBot="1" x14ac:dyDescent="0.3">
      <c r="A2539" s="524" t="s">
        <v>2439</v>
      </c>
      <c r="B2539" s="245"/>
      <c r="C2539" s="677"/>
      <c r="D2539" s="499"/>
      <c r="E2539" s="499"/>
      <c r="F2539" s="500"/>
      <c r="G2539" s="501"/>
      <c r="H2539" s="502"/>
      <c r="I2539" s="246"/>
      <c r="J2539" s="247"/>
      <c r="K2539" s="503"/>
      <c r="L2539" s="544"/>
      <c r="M2539" s="544"/>
      <c r="N2539" s="500"/>
      <c r="O2539" s="500"/>
      <c r="P2539" s="500"/>
      <c r="Q2539" s="500"/>
      <c r="R2539" s="500"/>
      <c r="S2539" s="278"/>
      <c r="T2539" s="508">
        <f t="shared" si="1950"/>
        <v>0</v>
      </c>
      <c r="U2539" s="225" t="str">
        <f>IF(NOT(ISNUMBER(G2539)), "", VLOOKUP(A2539,'Discount Lookup'!D:E,2,FALSE)*G2539)</f>
        <v/>
      </c>
      <c r="V2539" s="225" t="str">
        <f>IF(NOT(ISNUMBER(G2539)), "", VLOOKUP(A2539,'Discount Lookup'!G:H,2,FALSE)*G2539)</f>
        <v/>
      </c>
      <c r="W2539" s="508">
        <f t="shared" si="1951"/>
        <v>0</v>
      </c>
      <c r="X2539" s="508">
        <f t="shared" si="1952"/>
        <v>0</v>
      </c>
      <c r="Y2539" s="509" t="b">
        <f t="shared" si="1953"/>
        <v>0</v>
      </c>
      <c r="Z2539" s="510">
        <f t="shared" si="1954"/>
        <v>0</v>
      </c>
      <c r="AA2539" s="511"/>
      <c r="AB2539" s="511" t="str">
        <f t="shared" si="1955"/>
        <v/>
      </c>
      <c r="AC2539" s="698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698"/>
      <c r="AE2539" s="631" t="str">
        <f t="shared" si="1956"/>
        <v/>
      </c>
      <c r="AF2539" s="699" t="str">
        <f t="shared" si="1957"/>
        <v/>
      </c>
      <c r="AG2539" s="699"/>
      <c r="AH2539" s="699"/>
      <c r="AI2539" s="512">
        <f>IF(H2539="credit",0,IF(AE2539="free",0,IF(AE2539="me",0,IF(G2539&gt;0,(VLOOKUP(A2539,'Discount Lookup'!J:K,2)*G2539),0))))</f>
        <v>0</v>
      </c>
      <c r="AJ2539" s="513" t="str">
        <f t="shared" ca="1" si="1958"/>
        <v/>
      </c>
      <c r="AK2539" s="700" t="str">
        <f t="shared" si="1959"/>
        <v/>
      </c>
      <c r="AL2539" s="700"/>
      <c r="AM2539" s="505" t="str">
        <f t="shared" si="1960"/>
        <v/>
      </c>
      <c r="AN2539" s="506"/>
      <c r="AO2539" s="507"/>
      <c r="AP2539" s="507"/>
      <c r="AQ2539" s="507"/>
      <c r="AR2539" s="507"/>
      <c r="AS2539" s="507"/>
      <c r="AT2539" s="507"/>
      <c r="AU2539" s="507"/>
      <c r="AV2539" s="225"/>
      <c r="AW2539" s="508"/>
      <c r="AX2539" s="225"/>
      <c r="AY2539" s="225"/>
      <c r="AZ2539" s="225"/>
      <c r="BA2539" s="225"/>
      <c r="BB2539" s="225"/>
      <c r="BC2539" s="56"/>
      <c r="BD2539" s="56"/>
      <c r="BE2539" s="56"/>
      <c r="BF2539" s="107" t="str">
        <f t="shared" si="1961"/>
        <v>https://www.google.com/search?tbm=isch&amp;q=Muskogee%20%26%20Natchez%20are%20twins%2C%20with%20identical%20size%2C%20shape%20and%20bloom%20periods.%20Plant%20them%20together%20for%20a%20show%20</v>
      </c>
      <c r="BG2539" s="107" t="str">
        <f t="shared" si="1962"/>
        <v>M</v>
      </c>
      <c r="BH2539" s="254"/>
      <c r="BI2539" s="254"/>
    </row>
    <row r="2540" spans="1:61" customFormat="1" ht="18" x14ac:dyDescent="0.25">
      <c r="A2540" s="521" t="s">
        <v>5463</v>
      </c>
      <c r="B2540" s="477"/>
      <c r="C2540" s="674"/>
      <c r="D2540" s="478" t="s">
        <v>1395</v>
      </c>
      <c r="E2540" s="479"/>
      <c r="F2540" s="479"/>
      <c r="G2540" s="479"/>
      <c r="H2540" s="582" t="s">
        <v>317</v>
      </c>
      <c r="I2540" s="480" t="s">
        <v>2092</v>
      </c>
      <c r="J2540" s="479"/>
      <c r="K2540" s="479"/>
      <c r="L2540" s="560"/>
      <c r="M2540" s="666" t="s">
        <v>4966</v>
      </c>
      <c r="N2540" s="680" t="str">
        <f>IF(AND(ISTEXT($A2540), ISERROR($A2540+0)), HYPERLINK($BF2540, "Images"), "")</f>
        <v>Images</v>
      </c>
      <c r="O2540" s="662" t="s">
        <v>4969</v>
      </c>
      <c r="P2540" s="482"/>
      <c r="Q2540" s="483"/>
      <c r="R2540" s="483"/>
      <c r="S2540" s="484"/>
      <c r="T2540" s="508">
        <f t="shared" si="1950"/>
        <v>0</v>
      </c>
      <c r="U2540" s="225" t="str">
        <f>IF(NOT(ISNUMBER(G2540)), "", VLOOKUP(A2540,'Discount Lookup'!D:E,2,FALSE)*G2540)</f>
        <v/>
      </c>
      <c r="V2540" s="225" t="str">
        <f>IF(NOT(ISNUMBER(G2540)), "", VLOOKUP(A2540,'Discount Lookup'!G:H,2,FALSE)*G2540)</f>
        <v/>
      </c>
      <c r="W2540" s="508">
        <f t="shared" si="1951"/>
        <v>0</v>
      </c>
      <c r="X2540" s="508" t="str">
        <f t="shared" si="1952"/>
        <v>Blue-Green foliage</v>
      </c>
      <c r="Y2540" s="509" t="b">
        <f t="shared" si="1953"/>
        <v>0</v>
      </c>
      <c r="Z2540" s="510">
        <f t="shared" si="1954"/>
        <v>0</v>
      </c>
      <c r="AA2540" s="511"/>
      <c r="AB2540" s="511" t="str">
        <f t="shared" si="1955"/>
        <v/>
      </c>
      <c r="AC2540" s="698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698"/>
      <c r="AE2540" s="631" t="str">
        <f t="shared" si="1956"/>
        <v/>
      </c>
      <c r="AF2540" s="699" t="str">
        <f t="shared" si="1957"/>
        <v/>
      </c>
      <c r="AG2540" s="699"/>
      <c r="AH2540" s="699"/>
      <c r="AI2540" s="512">
        <f>IF(H2540="credit",0,IF(AE2540="free",0,IF(AE2540="me",0,IF(G2540&gt;0,(VLOOKUP(A2540,'Discount Lookup'!J:K,2)*G2540),0))))</f>
        <v>0</v>
      </c>
      <c r="AJ2540" s="513" t="str">
        <f t="shared" ca="1" si="1958"/>
        <v/>
      </c>
      <c r="AK2540" s="700" t="str">
        <f t="shared" si="1959"/>
        <v/>
      </c>
      <c r="AL2540" s="700"/>
      <c r="AM2540" s="505" t="str">
        <f t="shared" si="1960"/>
        <v/>
      </c>
      <c r="AN2540" s="506"/>
      <c r="AO2540" s="507"/>
      <c r="AP2540" s="507"/>
      <c r="AQ2540" s="507"/>
      <c r="AR2540" s="507"/>
      <c r="AS2540" s="507"/>
      <c r="AT2540" s="507"/>
      <c r="AU2540" s="507"/>
      <c r="AV2540" s="225"/>
      <c r="AW2540" s="508"/>
      <c r="AX2540" s="225"/>
      <c r="AY2540" s="225"/>
      <c r="AZ2540" s="225"/>
      <c r="BA2540" s="225"/>
      <c r="BB2540" s="225"/>
      <c r="BC2540" s="56"/>
      <c r="BD2540" s="56"/>
      <c r="BE2540" s="56"/>
      <c r="BF2540" s="107" t="str">
        <f t="shared" si="1961"/>
        <v>https://www.google.com/search?tbm=isch&amp;q=My%20Lady%E2%84%A2%20Holly%20Ilex%20%27EN5%27%20PPAF</v>
      </c>
      <c r="BG2540" s="107" t="str">
        <f t="shared" si="1962"/>
        <v>M</v>
      </c>
      <c r="BH2540" s="254"/>
      <c r="BI2540" s="254"/>
    </row>
    <row r="2541" spans="1:61" customFormat="1" ht="27" x14ac:dyDescent="0.25">
      <c r="A2541" s="485">
        <v>15</v>
      </c>
      <c r="B2541" s="486" t="s">
        <v>291</v>
      </c>
      <c r="C2541" s="487" t="s">
        <v>3659</v>
      </c>
      <c r="D2541" s="488" t="s">
        <v>292</v>
      </c>
      <c r="E2541" s="489">
        <v>270.95</v>
      </c>
      <c r="F2541" s="516" t="s">
        <v>293</v>
      </c>
      <c r="G2541" s="232">
        <v>0</v>
      </c>
      <c r="H2541" s="658" t="str">
        <f>IF(G2541=0,"",IF(F2541="Buy",IF(G2541=1,"plant","plants"),IF(F2541&gt;0.01,"warranty","Error")))</f>
        <v/>
      </c>
      <c r="I2541" s="490">
        <f>IF(H2541="free",0,IF(H2541="credit",((E2541*(F2541))*G2541*-1),IF(F2541="Buy",(E2541*G2541),((E2541*(1-F2541))*G2541))))</f>
        <v>0</v>
      </c>
      <c r="J2541" s="490">
        <f>IF(H2541="warranty",0,(I2541*(_xlfn.SINGLE(SalesTaxPercentage))))</f>
        <v>0</v>
      </c>
      <c r="K2541" s="695">
        <f t="shared" ref="K2541" si="1989">I2541+J2541</f>
        <v>0</v>
      </c>
      <c r="L2541" s="695"/>
      <c r="M2541" s="659" t="str">
        <f>IF(AND(G2541&gt;0,E2541=0),"WARNING - no PRICE inserted",IF(H2541="free"," FREE ~ no charge this plant",IF(H2541="credit",CONCATENATE(" -$",ROUND(K2541*(1-T2GDiscount)*-1,2)," CREDIT after discount"),IF(T2GDiscount=0,"",IF(G2541=0,"",IF(F2541="Buy",CONCATENATE(" $",ROUND(K2541*(1-T2GDiscount),2)," with ",(T2GDiscount*100),"% discount"),CONCATENATE(" $",ROUND(K2541*(1-T2GDiscount),2)," with ",((T2GDiscount*100+F2541*100)-(T2GDiscount*100*F2541)),IF(F2541&gt;0,"% discounts",IF(NoWarrantyDiscount&gt;0,"% discounts","% discount")))))))))</f>
        <v/>
      </c>
      <c r="N2541" s="660"/>
      <c r="O2541" s="233"/>
      <c r="P2541" s="233"/>
      <c r="Q2541" s="233"/>
      <c r="R2541" s="233"/>
      <c r="S2541" s="233"/>
      <c r="T2541" s="508">
        <f t="shared" si="1950"/>
        <v>0</v>
      </c>
      <c r="U2541" s="225">
        <f>IF(NOT(ISNUMBER(G2541)), "", VLOOKUP(A2541,'Discount Lookup'!D:E,2,FALSE)*G2541)</f>
        <v>0</v>
      </c>
      <c r="V2541" s="225">
        <f>IF(NOT(ISNUMBER(G2541)), "", VLOOKUP(A2541,'Discount Lookup'!G:H,2,FALSE)*G2541)</f>
        <v>0</v>
      </c>
      <c r="W2541" s="508">
        <f t="shared" si="1951"/>
        <v>0</v>
      </c>
      <c r="X2541" s="508">
        <f t="shared" si="1952"/>
        <v>0</v>
      </c>
      <c r="Y2541" s="509" t="b">
        <f t="shared" si="1953"/>
        <v>0</v>
      </c>
      <c r="Z2541" s="510">
        <f t="shared" si="1954"/>
        <v>0</v>
      </c>
      <c r="AA2541" s="511"/>
      <c r="AB2541" s="511" t="str">
        <f t="shared" si="1955"/>
        <v/>
      </c>
      <c r="AC2541" s="698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698"/>
      <c r="AE2541" s="631" t="str">
        <f t="shared" si="1956"/>
        <v/>
      </c>
      <c r="AF2541" s="699" t="str">
        <f t="shared" si="1957"/>
        <v/>
      </c>
      <c r="AG2541" s="699"/>
      <c r="AH2541" s="699"/>
      <c r="AI2541" s="512">
        <f>IF(H2541="credit",0,IF(AE2541="free",0,IF(AE2541="me",0,IF(G2541&gt;0,(VLOOKUP(A2541,'Discount Lookup'!J:K,2)*G2541),0))))</f>
        <v>0</v>
      </c>
      <c r="AJ2541" s="513" t="str">
        <f t="shared" ca="1" si="1958"/>
        <v/>
      </c>
      <c r="AK2541" s="700" t="str">
        <f t="shared" si="1959"/>
        <v/>
      </c>
      <c r="AL2541" s="700"/>
      <c r="AM2541" s="505" t="str">
        <f t="shared" si="1960"/>
        <v/>
      </c>
      <c r="AN2541" s="506"/>
      <c r="AO2541" s="507"/>
      <c r="AP2541" s="507"/>
      <c r="AQ2541" s="507"/>
      <c r="AR2541" s="507"/>
      <c r="AS2541" s="507"/>
      <c r="AT2541" s="507"/>
      <c r="AU2541" s="507"/>
      <c r="AV2541" s="225"/>
      <c r="AW2541" s="508"/>
      <c r="AX2541" s="225"/>
      <c r="AY2541" s="225"/>
      <c r="AZ2541" s="225"/>
      <c r="BA2541" s="225"/>
      <c r="BB2541" s="225"/>
      <c r="BC2541" s="56"/>
      <c r="BD2541" s="56"/>
      <c r="BE2541" s="56"/>
      <c r="BF2541" s="107" t="str">
        <f t="shared" si="1961"/>
        <v>https://www.google.com/search?tbm=isch&amp;q=15%20G4</v>
      </c>
      <c r="BG2541" s="107" t="str">
        <f t="shared" si="1962"/>
        <v>M</v>
      </c>
      <c r="BH2541" s="254"/>
      <c r="BI2541" s="254"/>
    </row>
    <row r="2542" spans="1:61" customFormat="1" ht="16.5" x14ac:dyDescent="0.25">
      <c r="A2542" s="522" t="s">
        <v>4132</v>
      </c>
      <c r="B2542" s="491"/>
      <c r="C2542" s="675"/>
      <c r="D2542" s="491"/>
      <c r="E2542" s="491"/>
      <c r="F2542" s="492"/>
      <c r="G2542" s="493"/>
      <c r="H2542" s="491"/>
      <c r="I2542" s="234"/>
      <c r="J2542" s="234"/>
      <c r="K2542" s="494"/>
      <c r="L2542" s="543"/>
      <c r="M2542" s="561"/>
      <c r="N2542" s="495"/>
      <c r="O2542" s="496"/>
      <c r="P2542" s="497"/>
      <c r="Q2542" s="495"/>
      <c r="R2542" s="495"/>
      <c r="S2542" s="667" t="s">
        <v>4984</v>
      </c>
      <c r="T2542" s="508">
        <f t="shared" si="1950"/>
        <v>0</v>
      </c>
      <c r="U2542" s="225" t="str">
        <f>IF(NOT(ISNUMBER(G2542)), "", VLOOKUP(A2542,'Discount Lookup'!D:E,2,FALSE)*G2542)</f>
        <v/>
      </c>
      <c r="V2542" s="225" t="str">
        <f>IF(NOT(ISNUMBER(G2542)), "", VLOOKUP(A2542,'Discount Lookup'!G:H,2,FALSE)*G2542)</f>
        <v/>
      </c>
      <c r="W2542" s="508">
        <f t="shared" si="1951"/>
        <v>0</v>
      </c>
      <c r="X2542" s="508">
        <f t="shared" si="1952"/>
        <v>0</v>
      </c>
      <c r="Y2542" s="509" t="b">
        <f t="shared" si="1953"/>
        <v>0</v>
      </c>
      <c r="Z2542" s="510">
        <f t="shared" si="1954"/>
        <v>0</v>
      </c>
      <c r="AA2542" s="511"/>
      <c r="AB2542" s="511" t="str">
        <f t="shared" si="1955"/>
        <v/>
      </c>
      <c r="AC2542" s="698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698"/>
      <c r="AE2542" s="631" t="str">
        <f t="shared" si="1956"/>
        <v/>
      </c>
      <c r="AF2542" s="699" t="str">
        <f t="shared" si="1957"/>
        <v/>
      </c>
      <c r="AG2542" s="699"/>
      <c r="AH2542" s="699"/>
      <c r="AI2542" s="512">
        <f>IF(H2542="credit",0,IF(AE2542="free",0,IF(AE2542="me",0,IF(G2542&gt;0,(VLOOKUP(A2542,'Discount Lookup'!J:K,2)*G2542),0))))</f>
        <v>0</v>
      </c>
      <c r="AJ2542" s="513" t="str">
        <f t="shared" ca="1" si="1958"/>
        <v/>
      </c>
      <c r="AK2542" s="700" t="str">
        <f t="shared" si="1959"/>
        <v/>
      </c>
      <c r="AL2542" s="700"/>
      <c r="AM2542" s="505" t="str">
        <f t="shared" si="1960"/>
        <v/>
      </c>
      <c r="AN2542" s="506"/>
      <c r="AO2542" s="507"/>
      <c r="AP2542" s="507"/>
      <c r="AQ2542" s="507"/>
      <c r="AR2542" s="507"/>
      <c r="AS2542" s="507"/>
      <c r="AT2542" s="507"/>
      <c r="AU2542" s="507"/>
      <c r="AV2542" s="225"/>
      <c r="AW2542" s="508"/>
      <c r="AX2542" s="225"/>
      <c r="AY2542" s="225"/>
      <c r="AZ2542" s="225"/>
      <c r="BA2542" s="225"/>
      <c r="BB2542" s="225"/>
      <c r="BC2542" s="56"/>
      <c r="BD2542" s="56"/>
      <c r="BE2542" s="56"/>
      <c r="BF2542" s="107" t="str">
        <f t="shared" si="1961"/>
        <v>https://www.google.com/search?tbm=isch&amp;q=My%20Lady%20Red%20Holly%20foliage%20emerges%20striking%20Copper-Red.%20Heat%2Fcold%20tolerant.%20Bright%20Red%20berries%20if%20pollinated%20</v>
      </c>
      <c r="BG2542" s="107" t="str">
        <f t="shared" si="1962"/>
        <v>M</v>
      </c>
      <c r="BH2542" s="254"/>
      <c r="BI2542" s="254"/>
    </row>
    <row r="2543" spans="1:61" customFormat="1" ht="45.75" thickBot="1" x14ac:dyDescent="0.35">
      <c r="A2543" s="525" t="s">
        <v>305</v>
      </c>
      <c r="B2543" s="248"/>
      <c r="C2543" s="678" t="s">
        <v>673</v>
      </c>
      <c r="D2543" s="249"/>
      <c r="E2543" s="249"/>
      <c r="F2543" s="249"/>
      <c r="G2543" s="249"/>
      <c r="H2543" s="250"/>
      <c r="I2543" s="249"/>
      <c r="J2543" s="249"/>
      <c r="K2543" s="526" t="s">
        <v>2840</v>
      </c>
      <c r="L2543" s="279"/>
      <c r="M2543" s="251"/>
      <c r="S2543" s="504" t="s">
        <v>2841</v>
      </c>
      <c r="T2543" s="508">
        <f t="shared" si="1950"/>
        <v>0</v>
      </c>
      <c r="U2543" s="225" t="str">
        <f>IF(NOT(ISNUMBER(G2543)), "", VLOOKUP(A2543,'Discount Lookup'!D:E,2,FALSE)*G2543)</f>
        <v/>
      </c>
      <c r="V2543" s="225" t="str">
        <f>IF(NOT(ISNUMBER(G2543)), "", VLOOKUP(A2543,'Discount Lookup'!G:H,2,FALSE)*G2543)</f>
        <v/>
      </c>
      <c r="W2543" s="508">
        <f t="shared" si="1951"/>
        <v>0</v>
      </c>
      <c r="X2543" s="508">
        <f t="shared" si="1952"/>
        <v>0</v>
      </c>
      <c r="Y2543" s="509" t="b">
        <f t="shared" si="1953"/>
        <v>0</v>
      </c>
      <c r="Z2543" s="510">
        <f t="shared" si="1954"/>
        <v>0</v>
      </c>
      <c r="AA2543" s="511"/>
      <c r="AB2543" s="511" t="str">
        <f t="shared" si="1955"/>
        <v/>
      </c>
      <c r="AC2543" s="698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698"/>
      <c r="AE2543" s="631" t="str">
        <f t="shared" si="1956"/>
        <v/>
      </c>
      <c r="AF2543" s="699" t="str">
        <f t="shared" si="1957"/>
        <v/>
      </c>
      <c r="AG2543" s="699"/>
      <c r="AH2543" s="699"/>
      <c r="AI2543" s="512">
        <f>IF(H2543="credit",0,IF(AE2543="free",0,IF(AE2543="me",0,IF(G2543&gt;0,(VLOOKUP(A2543,'Discount Lookup'!J:K,2)*G2543),0))))</f>
        <v>0</v>
      </c>
      <c r="AJ2543" s="513" t="str">
        <f t="shared" ca="1" si="1958"/>
        <v/>
      </c>
      <c r="AK2543" s="700" t="str">
        <f t="shared" si="1959"/>
        <v/>
      </c>
      <c r="AL2543" s="700"/>
      <c r="AM2543" s="505" t="str">
        <f t="shared" si="1960"/>
        <v/>
      </c>
      <c r="AN2543" s="506"/>
      <c r="AO2543" s="507"/>
      <c r="AP2543" s="507"/>
      <c r="AQ2543" s="507"/>
      <c r="AR2543" s="507"/>
      <c r="AS2543" s="507"/>
      <c r="AT2543" s="507"/>
      <c r="AU2543" s="507"/>
      <c r="AV2543" s="225"/>
      <c r="AW2543" s="508"/>
      <c r="AX2543" s="225"/>
      <c r="AY2543" s="225"/>
      <c r="AZ2543" s="225"/>
      <c r="BA2543" s="225"/>
      <c r="BB2543" s="225"/>
      <c r="BC2543" s="56"/>
      <c r="BD2543" s="56"/>
      <c r="BE2543" s="56"/>
      <c r="BF2543" s="107" t="str">
        <f t="shared" si="1961"/>
        <v>https://www.google.com/search?tbm=isch&amp;q=N%20</v>
      </c>
      <c r="BG2543" s="107" t="str">
        <f t="shared" si="1962"/>
        <v>N</v>
      </c>
      <c r="BH2543" s="254"/>
      <c r="BI2543" s="254"/>
    </row>
    <row r="2544" spans="1:61" customFormat="1" ht="18" x14ac:dyDescent="0.25">
      <c r="A2544" s="521" t="s">
        <v>1396</v>
      </c>
      <c r="B2544" s="477"/>
      <c r="C2544" s="674"/>
      <c r="D2544" s="478" t="s">
        <v>1397</v>
      </c>
      <c r="E2544" s="479"/>
      <c r="F2544" s="479"/>
      <c r="G2544" s="479"/>
      <c r="H2544" s="582" t="s">
        <v>839</v>
      </c>
      <c r="I2544" s="480" t="s">
        <v>2109</v>
      </c>
      <c r="J2544" s="479"/>
      <c r="K2544" s="479"/>
      <c r="L2544" s="560"/>
      <c r="M2544" s="666" t="s">
        <v>4965</v>
      </c>
      <c r="N2544" s="680" t="str">
        <f>IF(AND(ISTEXT($A2544), ISERROR($A2544+0)), HYPERLINK($BF2544, "Images"), "")</f>
        <v>Images</v>
      </c>
      <c r="O2544" s="662" t="s">
        <v>4967</v>
      </c>
      <c r="P2544" s="482"/>
      <c r="Q2544" s="483"/>
      <c r="R2544" s="483"/>
      <c r="S2544" s="484"/>
      <c r="T2544" s="508">
        <f t="shared" si="1950"/>
        <v>0</v>
      </c>
      <c r="U2544" s="225" t="str">
        <f>IF(NOT(ISNUMBER(G2544)), "", VLOOKUP(A2544,'Discount Lookup'!D:E,2,FALSE)*G2544)</f>
        <v/>
      </c>
      <c r="V2544" s="225" t="str">
        <f>IF(NOT(ISNUMBER(G2544)), "", VLOOKUP(A2544,'Discount Lookup'!G:H,2,FALSE)*G2544)</f>
        <v/>
      </c>
      <c r="W2544" s="508">
        <f t="shared" si="1951"/>
        <v>0</v>
      </c>
      <c r="X2544" s="508" t="str">
        <f t="shared" si="1952"/>
        <v>Green foliage</v>
      </c>
      <c r="Y2544" s="509" t="b">
        <f t="shared" si="1953"/>
        <v>0</v>
      </c>
      <c r="Z2544" s="510">
        <f t="shared" si="1954"/>
        <v>0</v>
      </c>
      <c r="AA2544" s="511"/>
      <c r="AB2544" s="511" t="str">
        <f t="shared" si="1955"/>
        <v/>
      </c>
      <c r="AC2544" s="698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698"/>
      <c r="AE2544" s="631" t="str">
        <f t="shared" si="1956"/>
        <v/>
      </c>
      <c r="AF2544" s="699" t="str">
        <f t="shared" si="1957"/>
        <v/>
      </c>
      <c r="AG2544" s="699"/>
      <c r="AH2544" s="699"/>
      <c r="AI2544" s="512">
        <f>IF(H2544="credit",0,IF(AE2544="free",0,IF(AE2544="me",0,IF(G2544&gt;0,(VLOOKUP(A2544,'Discount Lookup'!J:K,2)*G2544),0))))</f>
        <v>0</v>
      </c>
      <c r="AJ2544" s="513" t="str">
        <f t="shared" ca="1" si="1958"/>
        <v/>
      </c>
      <c r="AK2544" s="700" t="str">
        <f t="shared" si="1959"/>
        <v/>
      </c>
      <c r="AL2544" s="700"/>
      <c r="AM2544" s="505" t="str">
        <f t="shared" si="1960"/>
        <v/>
      </c>
      <c r="AN2544" s="506"/>
      <c r="AO2544" s="507"/>
      <c r="AP2544" s="507"/>
      <c r="AQ2544" s="507"/>
      <c r="AR2544" s="507"/>
      <c r="AS2544" s="507"/>
      <c r="AT2544" s="507"/>
      <c r="AU2544" s="507"/>
      <c r="AV2544" s="225"/>
      <c r="AW2544" s="508"/>
      <c r="AX2544" s="225"/>
      <c r="AY2544" s="225"/>
      <c r="AZ2544" s="225"/>
      <c r="BA2544" s="225"/>
      <c r="BB2544" s="225"/>
      <c r="BC2544" s="56"/>
      <c r="BD2544" s="56"/>
      <c r="BE2544" s="56"/>
      <c r="BF2544" s="107" t="str">
        <f t="shared" si="1961"/>
        <v>https://www.google.com/search?tbm=isch&amp;q=Nandina%2C%20Heavenly%20Bamboo%20Nandina%20domestica</v>
      </c>
      <c r="BG2544" s="107" t="str">
        <f t="shared" si="1962"/>
        <v>N</v>
      </c>
      <c r="BH2544" s="254"/>
      <c r="BI2544" s="254"/>
    </row>
    <row r="2545" spans="1:61" customFormat="1" ht="15.75" x14ac:dyDescent="0.25">
      <c r="A2545" s="485">
        <v>7</v>
      </c>
      <c r="B2545" s="486" t="s">
        <v>291</v>
      </c>
      <c r="C2545" s="487" t="s">
        <v>328</v>
      </c>
      <c r="D2545" s="488" t="s">
        <v>298</v>
      </c>
      <c r="E2545" s="489">
        <v>56.95</v>
      </c>
      <c r="F2545" s="516" t="s">
        <v>293</v>
      </c>
      <c r="G2545" s="232">
        <v>0</v>
      </c>
      <c r="H2545" s="658" t="str">
        <f>IF(G2545=0,"",IF(F2545="Buy",IF(G2545=1,"plant","plants"),IF(F2545&gt;0.01,"warranty","Error")))</f>
        <v/>
      </c>
      <c r="I2545" s="490">
        <f>IF(H2545="free",0,IF(H2545="credit",((E2545*(F2545))*G2545*-1),IF(F2545="Buy",(E2545*G2545),((E2545*(1-F2545))*G2545))))</f>
        <v>0</v>
      </c>
      <c r="J2545" s="490">
        <f>IF(H2545="warranty",0,(I2545*(_xlfn.SINGLE(SalesTaxPercentage))))</f>
        <v>0</v>
      </c>
      <c r="K2545" s="695">
        <f t="shared" ref="K2545" si="1990">I2545+J2545</f>
        <v>0</v>
      </c>
      <c r="L2545" s="695"/>
      <c r="M2545" s="659" t="str">
        <f>IF(AND(G2545&gt;0,E2545=0),"WARNING - no PRICE inserted",IF(H2545="free"," FREE ~ no charge this plant",IF(H2545="credit",CONCATENATE(" -$",ROUND(K2545*(1-T2GDiscount)*-1,2)," CREDIT after discount"),IF(T2GDiscount=0,"",IF(G2545=0,"",IF(F2545="Buy",CONCATENATE(" $",ROUND(K2545*(1-T2GDiscount),2)," with ",(T2GDiscount*100),"% discount"),CONCATENATE(" $",ROUND(K2545*(1-T2GDiscount),2)," with ",((T2GDiscount*100+F2545*100)-(T2GDiscount*100*F2545)),IF(F2545&gt;0,"% discounts",IF(NoWarrantyDiscount&gt;0,"% discounts","% discount")))))))))</f>
        <v/>
      </c>
      <c r="N2545" s="660"/>
      <c r="O2545" s="233"/>
      <c r="P2545" s="233"/>
      <c r="Q2545" s="233"/>
      <c r="R2545" s="233"/>
      <c r="S2545" s="233"/>
      <c r="T2545" s="508">
        <f t="shared" si="1950"/>
        <v>0</v>
      </c>
      <c r="U2545" s="225">
        <f>IF(NOT(ISNUMBER(G2545)), "", VLOOKUP(A2545,'Discount Lookup'!D:E,2,FALSE)*G2545)</f>
        <v>0</v>
      </c>
      <c r="V2545" s="225">
        <f>IF(NOT(ISNUMBER(G2545)), "", VLOOKUP(A2545,'Discount Lookup'!G:H,2,FALSE)*G2545)</f>
        <v>0</v>
      </c>
      <c r="W2545" s="508">
        <f t="shared" si="1951"/>
        <v>0</v>
      </c>
      <c r="X2545" s="508">
        <f t="shared" si="1952"/>
        <v>0</v>
      </c>
      <c r="Y2545" s="509" t="b">
        <f t="shared" si="1953"/>
        <v>0</v>
      </c>
      <c r="Z2545" s="510">
        <f t="shared" si="1954"/>
        <v>0</v>
      </c>
      <c r="AA2545" s="511"/>
      <c r="AB2545" s="511" t="str">
        <f t="shared" si="1955"/>
        <v/>
      </c>
      <c r="AC2545" s="698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698"/>
      <c r="AE2545" s="631" t="str">
        <f t="shared" si="1956"/>
        <v/>
      </c>
      <c r="AF2545" s="699" t="str">
        <f t="shared" si="1957"/>
        <v/>
      </c>
      <c r="AG2545" s="699"/>
      <c r="AH2545" s="699"/>
      <c r="AI2545" s="512">
        <f>IF(H2545="credit",0,IF(AE2545="free",0,IF(AE2545="me",0,IF(G2545&gt;0,(VLOOKUP(A2545,'Discount Lookup'!J:K,2)*G2545),0))))</f>
        <v>0</v>
      </c>
      <c r="AJ2545" s="513" t="str">
        <f t="shared" ca="1" si="1958"/>
        <v/>
      </c>
      <c r="AK2545" s="700" t="str">
        <f t="shared" si="1959"/>
        <v/>
      </c>
      <c r="AL2545" s="700"/>
      <c r="AM2545" s="505" t="str">
        <f t="shared" si="1960"/>
        <v/>
      </c>
      <c r="AN2545" s="506"/>
      <c r="AO2545" s="507"/>
      <c r="AP2545" s="507"/>
      <c r="AQ2545" s="507"/>
      <c r="AR2545" s="507"/>
      <c r="AS2545" s="507"/>
      <c r="AT2545" s="507"/>
      <c r="AU2545" s="507"/>
      <c r="AV2545" s="225"/>
      <c r="AW2545" s="508"/>
      <c r="AX2545" s="225"/>
      <c r="AY2545" s="225"/>
      <c r="AZ2545" s="225"/>
      <c r="BA2545" s="225"/>
      <c r="BB2545" s="225"/>
      <c r="BC2545" s="56"/>
      <c r="BD2545" s="56"/>
      <c r="BE2545" s="56"/>
      <c r="BF2545" s="107" t="str">
        <f t="shared" si="1961"/>
        <v>https://www.google.com/search?tbm=isch&amp;q=7%20G1</v>
      </c>
      <c r="BG2545" s="107" t="str">
        <f t="shared" si="1962"/>
        <v>N</v>
      </c>
      <c r="BH2545" s="254"/>
      <c r="BI2545" s="254"/>
    </row>
    <row r="2546" spans="1:61" customFormat="1" ht="15.75" x14ac:dyDescent="0.25">
      <c r="A2546" s="485">
        <v>10</v>
      </c>
      <c r="B2546" s="486" t="s">
        <v>291</v>
      </c>
      <c r="C2546" s="487" t="s">
        <v>1498</v>
      </c>
      <c r="D2546" s="488" t="s">
        <v>300</v>
      </c>
      <c r="E2546" s="489">
        <v>104.95</v>
      </c>
      <c r="F2546" s="516" t="s">
        <v>293</v>
      </c>
      <c r="G2546" s="232">
        <v>0</v>
      </c>
      <c r="H2546" s="658" t="str">
        <f>IF(G2546=0,"",IF(F2546="Buy",IF(G2546=1,"plant","plants"),IF(F2546&gt;0.01,"warranty","Error")))</f>
        <v/>
      </c>
      <c r="I2546" s="490">
        <f>IF(H2546="free",0,IF(H2546="credit",((E2546*(F2546))*G2546*-1),IF(F2546="Buy",(E2546*G2546),((E2546*(1-F2546))*G2546))))</f>
        <v>0</v>
      </c>
      <c r="J2546" s="490">
        <f>IF(H2546="warranty",0,(I2546*(_xlfn.SINGLE(SalesTaxPercentage))))</f>
        <v>0</v>
      </c>
      <c r="K2546" s="695">
        <f t="shared" ref="K2546" si="1991">I2546+J2546</f>
        <v>0</v>
      </c>
      <c r="L2546" s="695"/>
      <c r="M2546" s="659" t="str">
        <f>IF(AND(G2546&gt;0,E2546=0),"WARNING - no PRICE inserted",IF(H2546="free"," FREE ~ no charge this plant",IF(H2546="credit",CONCATENATE(" -$",ROUND(K2546*(1-T2GDiscount)*-1,2)," CREDIT after discount"),IF(T2GDiscount=0,"",IF(G2546=0,"",IF(F2546="Buy",CONCATENATE(" $",ROUND(K2546*(1-T2GDiscount),2)," with ",(T2GDiscount*100),"% discount"),CONCATENATE(" $",ROUND(K2546*(1-T2GDiscount),2)," with ",((T2GDiscount*100+F2546*100)-(T2GDiscount*100*F2546)),IF(F2546&gt;0,"% discounts",IF(NoWarrantyDiscount&gt;0,"% discounts","% discount")))))))))</f>
        <v/>
      </c>
      <c r="N2546" s="660"/>
      <c r="O2546" s="233"/>
      <c r="P2546" s="233"/>
      <c r="Q2546" s="233"/>
      <c r="R2546" s="233"/>
      <c r="S2546" s="233"/>
      <c r="T2546" s="508">
        <f t="shared" si="1950"/>
        <v>0</v>
      </c>
      <c r="U2546" s="225">
        <f>IF(NOT(ISNUMBER(G2546)), "", VLOOKUP(A2546,'Discount Lookup'!D:E,2,FALSE)*G2546)</f>
        <v>0</v>
      </c>
      <c r="V2546" s="225">
        <f>IF(NOT(ISNUMBER(G2546)), "", VLOOKUP(A2546,'Discount Lookup'!G:H,2,FALSE)*G2546)</f>
        <v>0</v>
      </c>
      <c r="W2546" s="508">
        <f t="shared" si="1951"/>
        <v>0</v>
      </c>
      <c r="X2546" s="508">
        <f t="shared" si="1952"/>
        <v>0</v>
      </c>
      <c r="Y2546" s="509" t="b">
        <f t="shared" si="1953"/>
        <v>0</v>
      </c>
      <c r="Z2546" s="510">
        <f t="shared" si="1954"/>
        <v>0</v>
      </c>
      <c r="AA2546" s="511"/>
      <c r="AB2546" s="511" t="str">
        <f t="shared" si="1955"/>
        <v/>
      </c>
      <c r="AC2546" s="698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698"/>
      <c r="AE2546" s="631" t="str">
        <f t="shared" si="1956"/>
        <v/>
      </c>
      <c r="AF2546" s="699" t="str">
        <f t="shared" si="1957"/>
        <v/>
      </c>
      <c r="AG2546" s="699"/>
      <c r="AH2546" s="699"/>
      <c r="AI2546" s="512">
        <f>IF(H2546="credit",0,IF(AE2546="free",0,IF(AE2546="me",0,IF(G2546&gt;0,(VLOOKUP(A2546,'Discount Lookup'!J:K,2)*G2546),0))))</f>
        <v>0</v>
      </c>
      <c r="AJ2546" s="513" t="str">
        <f t="shared" ca="1" si="1958"/>
        <v/>
      </c>
      <c r="AK2546" s="700" t="str">
        <f t="shared" si="1959"/>
        <v/>
      </c>
      <c r="AL2546" s="700"/>
      <c r="AM2546" s="505" t="str">
        <f t="shared" si="1960"/>
        <v/>
      </c>
      <c r="AN2546" s="506"/>
      <c r="AO2546" s="507"/>
      <c r="AP2546" s="507"/>
      <c r="AQ2546" s="507"/>
      <c r="AR2546" s="507"/>
      <c r="AS2546" s="507"/>
      <c r="AT2546" s="507"/>
      <c r="AU2546" s="507"/>
      <c r="AV2546" s="225"/>
      <c r="AW2546" s="508"/>
      <c r="AX2546" s="225"/>
      <c r="AY2546" s="225"/>
      <c r="AZ2546" s="225"/>
      <c r="BA2546" s="225"/>
      <c r="BB2546" s="225"/>
      <c r="BC2546" s="56"/>
      <c r="BD2546" s="56"/>
      <c r="BE2546" s="56"/>
      <c r="BF2546" s="107" t="str">
        <f t="shared" si="1961"/>
        <v>https://www.google.com/search?tbm=isch&amp;q=10%20G6</v>
      </c>
      <c r="BG2546" s="107" t="str">
        <f t="shared" si="1962"/>
        <v>N</v>
      </c>
      <c r="BH2546" s="254"/>
      <c r="BI2546" s="254"/>
    </row>
    <row r="2547" spans="1:61" customFormat="1" ht="17.25" thickBot="1" x14ac:dyDescent="0.3">
      <c r="A2547" s="522" t="s">
        <v>2961</v>
      </c>
      <c r="B2547" s="491"/>
      <c r="C2547" s="675"/>
      <c r="D2547" s="491"/>
      <c r="E2547" s="491"/>
      <c r="F2547" s="492"/>
      <c r="G2547" s="493"/>
      <c r="H2547" s="491"/>
      <c r="I2547" s="234"/>
      <c r="J2547" s="234"/>
      <c r="K2547" s="494"/>
      <c r="L2547" s="543"/>
      <c r="M2547" s="561"/>
      <c r="N2547" s="495"/>
      <c r="O2547" s="496"/>
      <c r="P2547" s="497"/>
      <c r="Q2547" s="495"/>
      <c r="R2547" s="495"/>
      <c r="S2547" s="667" t="s">
        <v>4984</v>
      </c>
      <c r="T2547" s="508">
        <f t="shared" si="1950"/>
        <v>0</v>
      </c>
      <c r="U2547" s="225" t="str">
        <f>IF(NOT(ISNUMBER(G2547)), "", VLOOKUP(A2547,'Discount Lookup'!D:E,2,FALSE)*G2547)</f>
        <v/>
      </c>
      <c r="V2547" s="225" t="str">
        <f>IF(NOT(ISNUMBER(G2547)), "", VLOOKUP(A2547,'Discount Lookup'!G:H,2,FALSE)*G2547)</f>
        <v/>
      </c>
      <c r="W2547" s="508">
        <f t="shared" si="1951"/>
        <v>0</v>
      </c>
      <c r="X2547" s="508">
        <f t="shared" si="1952"/>
        <v>0</v>
      </c>
      <c r="Y2547" s="509" t="b">
        <f t="shared" si="1953"/>
        <v>0</v>
      </c>
      <c r="Z2547" s="510">
        <f t="shared" si="1954"/>
        <v>0</v>
      </c>
      <c r="AA2547" s="511"/>
      <c r="AB2547" s="511" t="str">
        <f t="shared" si="1955"/>
        <v/>
      </c>
      <c r="AC2547" s="698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698"/>
      <c r="AE2547" s="631" t="str">
        <f t="shared" si="1956"/>
        <v/>
      </c>
      <c r="AF2547" s="699" t="str">
        <f t="shared" si="1957"/>
        <v/>
      </c>
      <c r="AG2547" s="699"/>
      <c r="AH2547" s="699"/>
      <c r="AI2547" s="512">
        <f>IF(H2547="credit",0,IF(AE2547="free",0,IF(AE2547="me",0,IF(G2547&gt;0,(VLOOKUP(A2547,'Discount Lookup'!J:K,2)*G2547),0))))</f>
        <v>0</v>
      </c>
      <c r="AJ2547" s="513" t="str">
        <f t="shared" ca="1" si="1958"/>
        <v/>
      </c>
      <c r="AK2547" s="700" t="str">
        <f t="shared" si="1959"/>
        <v/>
      </c>
      <c r="AL2547" s="700"/>
      <c r="AM2547" s="505" t="str">
        <f t="shared" si="1960"/>
        <v/>
      </c>
      <c r="AN2547" s="506"/>
      <c r="AO2547" s="507"/>
      <c r="AP2547" s="507"/>
      <c r="AQ2547" s="507"/>
      <c r="AR2547" s="507"/>
      <c r="AS2547" s="507"/>
      <c r="AT2547" s="507"/>
      <c r="AU2547" s="507"/>
      <c r="AV2547" s="225"/>
      <c r="AW2547" s="508"/>
      <c r="AX2547" s="225"/>
      <c r="AY2547" s="225"/>
      <c r="AZ2547" s="225"/>
      <c r="BA2547" s="225"/>
      <c r="BB2547" s="225"/>
      <c r="BC2547" s="56"/>
      <c r="BD2547" s="56"/>
      <c r="BE2547" s="56"/>
      <c r="BF2547" s="107" t="str">
        <f t="shared" si="1961"/>
        <v>https://www.google.com/search?tbm=isch&amp;q=Nandina%20has%20graceful%2C%20bamboo-like%20texture%20and%20brilliant%20Red%20berries%20that%20persist.%20Red-Burgundy%20winter%20foliage.%20May%20spread%20</v>
      </c>
      <c r="BG2547" s="107" t="str">
        <f t="shared" si="1962"/>
        <v>N</v>
      </c>
      <c r="BH2547" s="254"/>
      <c r="BI2547" s="254"/>
    </row>
    <row r="2548" spans="1:61" customFormat="1" ht="18" x14ac:dyDescent="0.25">
      <c r="A2548" s="521" t="s">
        <v>1399</v>
      </c>
      <c r="B2548" s="477"/>
      <c r="C2548" s="674"/>
      <c r="D2548" s="478" t="s">
        <v>1400</v>
      </c>
      <c r="E2548" s="479"/>
      <c r="F2548" s="479"/>
      <c r="G2548" s="479"/>
      <c r="H2548" s="582" t="s">
        <v>303</v>
      </c>
      <c r="I2548" s="480" t="s">
        <v>2023</v>
      </c>
      <c r="J2548" s="479"/>
      <c r="K2548" s="479"/>
      <c r="L2548" s="560"/>
      <c r="M2548" s="666" t="s">
        <v>4966</v>
      </c>
      <c r="N2548" s="680" t="str">
        <f>IF(AND(ISTEXT($A2548), ISERROR($A2548+0)), HYPERLINK($BF2548, "Images"), "")</f>
        <v>Images</v>
      </c>
      <c r="O2548" s="662" t="s">
        <v>4969</v>
      </c>
      <c r="P2548" s="482"/>
      <c r="Q2548" s="483"/>
      <c r="R2548" s="483"/>
      <c r="S2548" s="484"/>
      <c r="T2548" s="508">
        <f t="shared" si="1950"/>
        <v>0</v>
      </c>
      <c r="U2548" s="225" t="str">
        <f>IF(NOT(ISNUMBER(G2548)), "", VLOOKUP(A2548,'Discount Lookup'!D:E,2,FALSE)*G2548)</f>
        <v/>
      </c>
      <c r="V2548" s="225" t="str">
        <f>IF(NOT(ISNUMBER(G2548)), "", VLOOKUP(A2548,'Discount Lookup'!G:H,2,FALSE)*G2548)</f>
        <v/>
      </c>
      <c r="W2548" s="508">
        <f t="shared" si="1951"/>
        <v>0</v>
      </c>
      <c r="X2548" s="508" t="str">
        <f t="shared" si="1952"/>
        <v>Pure White bloom</v>
      </c>
      <c r="Y2548" s="509" t="b">
        <f t="shared" si="1953"/>
        <v>0</v>
      </c>
      <c r="Z2548" s="510">
        <f t="shared" si="1954"/>
        <v>0</v>
      </c>
      <c r="AA2548" s="511"/>
      <c r="AB2548" s="511" t="str">
        <f t="shared" si="1955"/>
        <v/>
      </c>
      <c r="AC2548" s="698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698"/>
      <c r="AE2548" s="631" t="str">
        <f t="shared" si="1956"/>
        <v/>
      </c>
      <c r="AF2548" s="699" t="str">
        <f t="shared" si="1957"/>
        <v/>
      </c>
      <c r="AG2548" s="699"/>
      <c r="AH2548" s="699"/>
      <c r="AI2548" s="512">
        <f>IF(H2548="credit",0,IF(AE2548="free",0,IF(AE2548="me",0,IF(G2548&gt;0,(VLOOKUP(A2548,'Discount Lookup'!J:K,2)*G2548),0))))</f>
        <v>0</v>
      </c>
      <c r="AJ2548" s="513" t="str">
        <f t="shared" ca="1" si="1958"/>
        <v/>
      </c>
      <c r="AK2548" s="700" t="str">
        <f t="shared" si="1959"/>
        <v/>
      </c>
      <c r="AL2548" s="700"/>
      <c r="AM2548" s="505" t="str">
        <f t="shared" si="1960"/>
        <v/>
      </c>
      <c r="AN2548" s="506"/>
      <c r="AO2548" s="507"/>
      <c r="AP2548" s="507"/>
      <c r="AQ2548" s="507"/>
      <c r="AR2548" s="507"/>
      <c r="AS2548" s="507"/>
      <c r="AT2548" s="507"/>
      <c r="AU2548" s="507"/>
      <c r="AV2548" s="225"/>
      <c r="AW2548" s="508"/>
      <c r="AX2548" s="225"/>
      <c r="AY2548" s="225"/>
      <c r="AZ2548" s="225"/>
      <c r="BA2548" s="225"/>
      <c r="BB2548" s="225"/>
      <c r="BC2548" s="56"/>
      <c r="BD2548" s="56"/>
      <c r="BE2548" s="56"/>
      <c r="BF2548" s="107" t="str">
        <f t="shared" si="1961"/>
        <v>https://www.google.com/search?tbm=isch&amp;q=Nantucket%20Viburnum%20Viburnum%20%27Nantucket%27</v>
      </c>
      <c r="BG2548" s="107" t="str">
        <f t="shared" si="1962"/>
        <v>N</v>
      </c>
      <c r="BH2548" s="254"/>
      <c r="BI2548" s="254"/>
    </row>
    <row r="2549" spans="1:61" customFormat="1" ht="15.75" x14ac:dyDescent="0.25">
      <c r="A2549" s="485">
        <v>3</v>
      </c>
      <c r="B2549" s="486" t="s">
        <v>291</v>
      </c>
      <c r="C2549" s="487" t="s">
        <v>3660</v>
      </c>
      <c r="D2549" s="488" t="s">
        <v>292</v>
      </c>
      <c r="E2549" s="489">
        <v>33.950000000000003</v>
      </c>
      <c r="F2549" s="516" t="s">
        <v>293</v>
      </c>
      <c r="G2549" s="232">
        <v>0</v>
      </c>
      <c r="H2549" s="658" t="str">
        <f>IF(G2549=0,"",IF(F2549="Buy",IF(G2549=1,"plant","plants"),IF(F2549&gt;0.01,"warranty","Error")))</f>
        <v/>
      </c>
      <c r="I2549" s="490">
        <f>IF(H2549="free",0,IF(H2549="credit",((E2549*(F2549))*G2549*-1),IF(F2549="Buy",(E2549*G2549),((E2549*(1-F2549))*G2549))))</f>
        <v>0</v>
      </c>
      <c r="J2549" s="490">
        <f>IF(H2549="warranty",0,(I2549*(_xlfn.SINGLE(SalesTaxPercentage))))</f>
        <v>0</v>
      </c>
      <c r="K2549" s="695">
        <f t="shared" ref="K2549" si="1992">I2549+J2549</f>
        <v>0</v>
      </c>
      <c r="L2549" s="695"/>
      <c r="M2549" s="659" t="str">
        <f>IF(AND(G2549&gt;0,E2549=0),"WARNING - no PRICE inserted",IF(H2549="free"," FREE ~ no charge this plant",IF(H2549="credit",CONCATENATE(" -$",ROUND(K2549*(1-T2GDiscount)*-1,2)," CREDIT after discount"),IF(T2GDiscount=0,"",IF(G2549=0,"",IF(F2549="Buy",CONCATENATE(" $",ROUND(K2549*(1-T2GDiscount),2)," with ",(T2GDiscount*100),"% discount"),CONCATENATE(" $",ROUND(K2549*(1-T2GDiscount),2)," with ",((T2GDiscount*100+F2549*100)-(T2GDiscount*100*F2549)),IF(F2549&gt;0,"% discounts",IF(NoWarrantyDiscount&gt;0,"% discounts","% discount")))))))))</f>
        <v/>
      </c>
      <c r="N2549" s="660"/>
      <c r="O2549" s="233"/>
      <c r="P2549" s="233"/>
      <c r="Q2549" s="233"/>
      <c r="R2549" s="233"/>
      <c r="S2549" s="233"/>
      <c r="T2549" s="508">
        <f t="shared" si="1950"/>
        <v>0</v>
      </c>
      <c r="U2549" s="225">
        <f>IF(NOT(ISNUMBER(G2549)), "", VLOOKUP(A2549,'Discount Lookup'!D:E,2,FALSE)*G2549)</f>
        <v>0</v>
      </c>
      <c r="V2549" s="225">
        <f>IF(NOT(ISNUMBER(G2549)), "", VLOOKUP(A2549,'Discount Lookup'!G:H,2,FALSE)*G2549)</f>
        <v>0</v>
      </c>
      <c r="W2549" s="508">
        <f t="shared" si="1951"/>
        <v>0</v>
      </c>
      <c r="X2549" s="508">
        <f t="shared" si="1952"/>
        <v>0</v>
      </c>
      <c r="Y2549" s="509" t="b">
        <f t="shared" si="1953"/>
        <v>0</v>
      </c>
      <c r="Z2549" s="510">
        <f t="shared" si="1954"/>
        <v>0</v>
      </c>
      <c r="AA2549" s="511"/>
      <c r="AB2549" s="511" t="str">
        <f t="shared" si="1955"/>
        <v/>
      </c>
      <c r="AC2549" s="698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698"/>
      <c r="AE2549" s="631" t="str">
        <f t="shared" si="1956"/>
        <v/>
      </c>
      <c r="AF2549" s="699" t="str">
        <f t="shared" si="1957"/>
        <v/>
      </c>
      <c r="AG2549" s="699"/>
      <c r="AH2549" s="699"/>
      <c r="AI2549" s="512">
        <f>IF(H2549="credit",0,IF(AE2549="free",0,IF(AE2549="me",0,IF(G2549&gt;0,(VLOOKUP(A2549,'Discount Lookup'!J:K,2)*G2549),0))))</f>
        <v>0</v>
      </c>
      <c r="AJ2549" s="513" t="str">
        <f t="shared" ca="1" si="1958"/>
        <v/>
      </c>
      <c r="AK2549" s="700" t="str">
        <f t="shared" si="1959"/>
        <v/>
      </c>
      <c r="AL2549" s="700"/>
      <c r="AM2549" s="505" t="str">
        <f t="shared" si="1960"/>
        <v/>
      </c>
      <c r="AN2549" s="506"/>
      <c r="AO2549" s="507"/>
      <c r="AP2549" s="507"/>
      <c r="AQ2549" s="507"/>
      <c r="AR2549" s="507"/>
      <c r="AS2549" s="507"/>
      <c r="AT2549" s="507"/>
      <c r="AU2549" s="507"/>
      <c r="AV2549" s="225"/>
      <c r="AW2549" s="508"/>
      <c r="AX2549" s="225"/>
      <c r="AY2549" s="225"/>
      <c r="AZ2549" s="225"/>
      <c r="BA2549" s="225"/>
      <c r="BB2549" s="225"/>
      <c r="BC2549" s="56"/>
      <c r="BD2549" s="56"/>
      <c r="BE2549" s="56"/>
      <c r="BF2549" s="107" t="str">
        <f t="shared" si="1961"/>
        <v>https://www.google.com/search?tbm=isch&amp;q=3%20G4</v>
      </c>
      <c r="BG2549" s="107" t="str">
        <f t="shared" si="1962"/>
        <v>N</v>
      </c>
      <c r="BH2549" s="254"/>
      <c r="BI2549" s="254"/>
    </row>
    <row r="2550" spans="1:61" customFormat="1" ht="17.25" thickBot="1" x14ac:dyDescent="0.3">
      <c r="A2550" s="522" t="s">
        <v>2685</v>
      </c>
      <c r="B2550" s="491"/>
      <c r="C2550" s="675"/>
      <c r="D2550" s="491"/>
      <c r="E2550" s="491"/>
      <c r="F2550" s="492"/>
      <c r="G2550" s="493"/>
      <c r="H2550" s="491"/>
      <c r="I2550" s="234"/>
      <c r="J2550" s="234"/>
      <c r="K2550" s="494"/>
      <c r="L2550" s="543"/>
      <c r="M2550" s="561"/>
      <c r="N2550" s="495"/>
      <c r="O2550" s="496"/>
      <c r="P2550" s="497"/>
      <c r="Q2550" s="495"/>
      <c r="R2550" s="495"/>
      <c r="S2550" s="667" t="s">
        <v>4984</v>
      </c>
      <c r="T2550" s="508">
        <f t="shared" si="1950"/>
        <v>0</v>
      </c>
      <c r="U2550" s="225" t="str">
        <f>IF(NOT(ISNUMBER(G2550)), "", VLOOKUP(A2550,'Discount Lookup'!D:E,2,FALSE)*G2550)</f>
        <v/>
      </c>
      <c r="V2550" s="225" t="str">
        <f>IF(NOT(ISNUMBER(G2550)), "", VLOOKUP(A2550,'Discount Lookup'!G:H,2,FALSE)*G2550)</f>
        <v/>
      </c>
      <c r="W2550" s="508">
        <f t="shared" si="1951"/>
        <v>0</v>
      </c>
      <c r="X2550" s="508">
        <f t="shared" si="1952"/>
        <v>0</v>
      </c>
      <c r="Y2550" s="509" t="b">
        <f t="shared" si="1953"/>
        <v>0</v>
      </c>
      <c r="Z2550" s="510">
        <f t="shared" si="1954"/>
        <v>0</v>
      </c>
      <c r="AA2550" s="511"/>
      <c r="AB2550" s="511" t="str">
        <f t="shared" si="1955"/>
        <v/>
      </c>
      <c r="AC2550" s="698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698"/>
      <c r="AE2550" s="631" t="str">
        <f t="shared" si="1956"/>
        <v/>
      </c>
      <c r="AF2550" s="699" t="str">
        <f t="shared" si="1957"/>
        <v/>
      </c>
      <c r="AG2550" s="699"/>
      <c r="AH2550" s="699"/>
      <c r="AI2550" s="512">
        <f>IF(H2550="credit",0,IF(AE2550="free",0,IF(AE2550="me",0,IF(G2550&gt;0,(VLOOKUP(A2550,'Discount Lookup'!J:K,2)*G2550),0))))</f>
        <v>0</v>
      </c>
      <c r="AJ2550" s="513" t="str">
        <f t="shared" ca="1" si="1958"/>
        <v/>
      </c>
      <c r="AK2550" s="700" t="str">
        <f t="shared" si="1959"/>
        <v/>
      </c>
      <c r="AL2550" s="700"/>
      <c r="AM2550" s="505" t="str">
        <f t="shared" si="1960"/>
        <v/>
      </c>
      <c r="AN2550" s="506"/>
      <c r="AO2550" s="507"/>
      <c r="AP2550" s="507"/>
      <c r="AQ2550" s="507"/>
      <c r="AR2550" s="507"/>
      <c r="AS2550" s="507"/>
      <c r="AT2550" s="507"/>
      <c r="AU2550" s="507"/>
      <c r="AV2550" s="225"/>
      <c r="AW2550" s="508"/>
      <c r="AX2550" s="225"/>
      <c r="AY2550" s="225"/>
      <c r="AZ2550" s="225"/>
      <c r="BA2550" s="225"/>
      <c r="BB2550" s="225"/>
      <c r="BC2550" s="56"/>
      <c r="BD2550" s="56"/>
      <c r="BE2550" s="56"/>
      <c r="BF2550" s="107" t="str">
        <f t="shared" si="1961"/>
        <v>https://www.google.com/search?tbm=isch&amp;q=Nantucket%20offers%20mildly%20fragrant%2C%20showy%20spring%20snowballs%20on%20glossy%20semi-evergreen%20foliage%2C%20with%20strong%20heat%20tolerance%20</v>
      </c>
      <c r="BG2550" s="107" t="str">
        <f t="shared" si="1962"/>
        <v>N</v>
      </c>
      <c r="BH2550" s="254"/>
      <c r="BI2550" s="254"/>
    </row>
    <row r="2551" spans="1:61" customFormat="1" ht="18" x14ac:dyDescent="0.25">
      <c r="A2551" s="521" t="s">
        <v>1401</v>
      </c>
      <c r="B2551" s="477"/>
      <c r="C2551" s="674"/>
      <c r="D2551" s="478" t="s">
        <v>1402</v>
      </c>
      <c r="E2551" s="479"/>
      <c r="F2551" s="479"/>
      <c r="G2551" s="479"/>
      <c r="H2551" s="582" t="s">
        <v>483</v>
      </c>
      <c r="I2551" s="480" t="s">
        <v>2092</v>
      </c>
      <c r="J2551" s="479"/>
      <c r="K2551" s="479"/>
      <c r="L2551" s="560"/>
      <c r="M2551" s="671" t="s">
        <v>4985</v>
      </c>
      <c r="N2551" s="680" t="str">
        <f>IF(AND(ISTEXT($A2551), ISERROR($A2551+0)), HYPERLINK($BF2551, "Images"), "")</f>
        <v>Images</v>
      </c>
      <c r="O2551" s="662" t="s">
        <v>4969</v>
      </c>
      <c r="P2551" s="482"/>
      <c r="Q2551" s="483"/>
      <c r="R2551" s="483"/>
      <c r="S2551" s="484"/>
      <c r="T2551" s="508">
        <f t="shared" si="1950"/>
        <v>0</v>
      </c>
      <c r="U2551" s="225" t="str">
        <f>IF(NOT(ISNUMBER(G2551)), "", VLOOKUP(A2551,'Discount Lookup'!D:E,2,FALSE)*G2551)</f>
        <v/>
      </c>
      <c r="V2551" s="225" t="str">
        <f>IF(NOT(ISNUMBER(G2551)), "", VLOOKUP(A2551,'Discount Lookup'!G:H,2,FALSE)*G2551)</f>
        <v/>
      </c>
      <c r="W2551" s="508">
        <f t="shared" si="1951"/>
        <v>0</v>
      </c>
      <c r="X2551" s="508" t="str">
        <f t="shared" si="1952"/>
        <v>Blue-Green foliage</v>
      </c>
      <c r="Y2551" s="509" t="b">
        <f t="shared" si="1953"/>
        <v>0</v>
      </c>
      <c r="Z2551" s="510">
        <f t="shared" si="1954"/>
        <v>0</v>
      </c>
      <c r="AA2551" s="511"/>
      <c r="AB2551" s="511" t="str">
        <f t="shared" si="1955"/>
        <v/>
      </c>
      <c r="AC2551" s="698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698"/>
      <c r="AE2551" s="631" t="str">
        <f t="shared" si="1956"/>
        <v/>
      </c>
      <c r="AF2551" s="699" t="str">
        <f t="shared" si="1957"/>
        <v/>
      </c>
      <c r="AG2551" s="699"/>
      <c r="AH2551" s="699"/>
      <c r="AI2551" s="512">
        <f>IF(H2551="credit",0,IF(AE2551="free",0,IF(AE2551="me",0,IF(G2551&gt;0,(VLOOKUP(A2551,'Discount Lookup'!J:K,2)*G2551),0))))</f>
        <v>0</v>
      </c>
      <c r="AJ2551" s="513" t="str">
        <f t="shared" ca="1" si="1958"/>
        <v/>
      </c>
      <c r="AK2551" s="700" t="str">
        <f t="shared" si="1959"/>
        <v/>
      </c>
      <c r="AL2551" s="700"/>
      <c r="AM2551" s="505" t="str">
        <f t="shared" si="1960"/>
        <v/>
      </c>
      <c r="AN2551" s="506"/>
      <c r="AO2551" s="507"/>
      <c r="AP2551" s="507"/>
      <c r="AQ2551" s="507"/>
      <c r="AR2551" s="507"/>
      <c r="AS2551" s="507"/>
      <c r="AT2551" s="507"/>
      <c r="AU2551" s="507"/>
      <c r="AV2551" s="225"/>
      <c r="AW2551" s="508"/>
      <c r="AX2551" s="225"/>
      <c r="AY2551" s="225"/>
      <c r="AZ2551" s="225"/>
      <c r="BA2551" s="225"/>
      <c r="BB2551" s="225"/>
      <c r="BC2551" s="56"/>
      <c r="BD2551" s="56"/>
      <c r="BE2551" s="56"/>
      <c r="BF2551" s="107" t="str">
        <f t="shared" si="1961"/>
        <v>https://www.google.com/search?tbm=isch&amp;q=Narihira%20Mahonia%20Mahonia%20confusa%20%27Narihira%27</v>
      </c>
      <c r="BG2551" s="107" t="str">
        <f t="shared" si="1962"/>
        <v>N</v>
      </c>
      <c r="BH2551" s="254"/>
      <c r="BI2551" s="254"/>
    </row>
    <row r="2552" spans="1:61" customFormat="1" ht="15.75" x14ac:dyDescent="0.25">
      <c r="A2552" s="485">
        <v>3</v>
      </c>
      <c r="B2552" s="486" t="s">
        <v>291</v>
      </c>
      <c r="C2552" s="487" t="s">
        <v>445</v>
      </c>
      <c r="D2552" s="488" t="s">
        <v>298</v>
      </c>
      <c r="E2552" s="489">
        <v>28.95</v>
      </c>
      <c r="F2552" s="516" t="s">
        <v>293</v>
      </c>
      <c r="G2552" s="232">
        <v>0</v>
      </c>
      <c r="H2552" s="658" t="str">
        <f>IF(G2552=0,"",IF(F2552="Buy",IF(G2552=1,"plant","plants"),IF(F2552&gt;0.01,"warranty","Error")))</f>
        <v/>
      </c>
      <c r="I2552" s="490">
        <f>IF(H2552="free",0,IF(H2552="credit",((E2552*(F2552))*G2552*-1),IF(F2552="Buy",(E2552*G2552),((E2552*(1-F2552))*G2552))))</f>
        <v>0</v>
      </c>
      <c r="J2552" s="490">
        <f>IF(H2552="warranty",0,(I2552*(_xlfn.SINGLE(SalesTaxPercentage))))</f>
        <v>0</v>
      </c>
      <c r="K2552" s="695">
        <f t="shared" ref="K2552" si="1993">I2552+J2552</f>
        <v>0</v>
      </c>
      <c r="L2552" s="695"/>
      <c r="M2552" s="659" t="str">
        <f>IF(AND(G2552&gt;0,E2552=0),"WARNING - no PRICE inserted",IF(H2552="free"," FREE ~ no charge this plant",IF(H2552="credit",CONCATENATE(" -$",ROUND(K2552*(1-T2GDiscount)*-1,2)," CREDIT after discount"),IF(T2GDiscount=0,"",IF(G2552=0,"",IF(F2552="Buy",CONCATENATE(" $",ROUND(K2552*(1-T2GDiscount),2)," with ",(T2GDiscount*100),"% discount"),CONCATENATE(" $",ROUND(K2552*(1-T2GDiscount),2)," with ",((T2GDiscount*100+F2552*100)-(T2GDiscount*100*F2552)),IF(F2552&gt;0,"% discounts",IF(NoWarrantyDiscount&gt;0,"% discounts","% discount")))))))))</f>
        <v/>
      </c>
      <c r="N2552" s="660"/>
      <c r="O2552" s="233"/>
      <c r="P2552" s="233"/>
      <c r="Q2552" s="233"/>
      <c r="R2552" s="233"/>
      <c r="S2552" s="233"/>
      <c r="T2552" s="508">
        <f t="shared" si="1950"/>
        <v>0</v>
      </c>
      <c r="U2552" s="225">
        <f>IF(NOT(ISNUMBER(G2552)), "", VLOOKUP(A2552,'Discount Lookup'!D:E,2,FALSE)*G2552)</f>
        <v>0</v>
      </c>
      <c r="V2552" s="225">
        <f>IF(NOT(ISNUMBER(G2552)), "", VLOOKUP(A2552,'Discount Lookup'!G:H,2,FALSE)*G2552)</f>
        <v>0</v>
      </c>
      <c r="W2552" s="508">
        <f t="shared" si="1951"/>
        <v>0</v>
      </c>
      <c r="X2552" s="508">
        <f t="shared" si="1952"/>
        <v>0</v>
      </c>
      <c r="Y2552" s="509" t="b">
        <f t="shared" si="1953"/>
        <v>0</v>
      </c>
      <c r="Z2552" s="510">
        <f t="shared" si="1954"/>
        <v>0</v>
      </c>
      <c r="AA2552" s="511"/>
      <c r="AB2552" s="511" t="str">
        <f t="shared" si="1955"/>
        <v/>
      </c>
      <c r="AC2552" s="698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698"/>
      <c r="AE2552" s="631" t="str">
        <f t="shared" si="1956"/>
        <v/>
      </c>
      <c r="AF2552" s="699" t="str">
        <f t="shared" si="1957"/>
        <v/>
      </c>
      <c r="AG2552" s="699"/>
      <c r="AH2552" s="699"/>
      <c r="AI2552" s="512">
        <f>IF(H2552="credit",0,IF(AE2552="free",0,IF(AE2552="me",0,IF(G2552&gt;0,(VLOOKUP(A2552,'Discount Lookup'!J:K,2)*G2552),0))))</f>
        <v>0</v>
      </c>
      <c r="AJ2552" s="513" t="str">
        <f t="shared" ca="1" si="1958"/>
        <v/>
      </c>
      <c r="AK2552" s="700" t="str">
        <f t="shared" si="1959"/>
        <v/>
      </c>
      <c r="AL2552" s="700"/>
      <c r="AM2552" s="505" t="str">
        <f t="shared" si="1960"/>
        <v/>
      </c>
      <c r="AN2552" s="506"/>
      <c r="AO2552" s="507"/>
      <c r="AP2552" s="507"/>
      <c r="AQ2552" s="507"/>
      <c r="AR2552" s="507"/>
      <c r="AS2552" s="507"/>
      <c r="AT2552" s="507"/>
      <c r="AU2552" s="507"/>
      <c r="AV2552" s="225"/>
      <c r="AW2552" s="508"/>
      <c r="AX2552" s="225"/>
      <c r="AY2552" s="225"/>
      <c r="AZ2552" s="225"/>
      <c r="BA2552" s="225"/>
      <c r="BB2552" s="225"/>
      <c r="BC2552" s="56"/>
      <c r="BD2552" s="56"/>
      <c r="BE2552" s="56"/>
      <c r="BF2552" s="107" t="str">
        <f t="shared" si="1961"/>
        <v>https://www.google.com/search?tbm=isch&amp;q=3%20G1</v>
      </c>
      <c r="BG2552" s="107" t="str">
        <f t="shared" si="1962"/>
        <v>N</v>
      </c>
      <c r="BH2552" s="254"/>
      <c r="BI2552" s="254"/>
    </row>
    <row r="2553" spans="1:61" customFormat="1" ht="15.75" x14ac:dyDescent="0.25">
      <c r="A2553" s="485">
        <v>3</v>
      </c>
      <c r="B2553" s="486" t="s">
        <v>291</v>
      </c>
      <c r="C2553" s="487" t="s">
        <v>3661</v>
      </c>
      <c r="D2553" s="488" t="s">
        <v>292</v>
      </c>
      <c r="E2553" s="489">
        <v>35.950000000000003</v>
      </c>
      <c r="F2553" s="516" t="s">
        <v>293</v>
      </c>
      <c r="G2553" s="232">
        <v>0</v>
      </c>
      <c r="H2553" s="658" t="str">
        <f>IF(G2553=0,"",IF(F2553="Buy",IF(G2553=1,"plant","plants"),IF(F2553&gt;0.01,"warranty","Error")))</f>
        <v/>
      </c>
      <c r="I2553" s="490">
        <f>IF(H2553="free",0,IF(H2553="credit",((E2553*(F2553))*G2553*-1),IF(F2553="Buy",(E2553*G2553),((E2553*(1-F2553))*G2553))))</f>
        <v>0</v>
      </c>
      <c r="J2553" s="490">
        <f>IF(H2553="warranty",0,(I2553*(_xlfn.SINGLE(SalesTaxPercentage))))</f>
        <v>0</v>
      </c>
      <c r="K2553" s="695">
        <f t="shared" ref="K2553" si="1994">I2553+J2553</f>
        <v>0</v>
      </c>
      <c r="L2553" s="695"/>
      <c r="M2553" s="659" t="str">
        <f>IF(AND(G2553&gt;0,E2553=0),"WARNING - no PRICE inserted",IF(H2553="free"," FREE ~ no charge this plant",IF(H2553="credit",CONCATENATE(" -$",ROUND(K2553*(1-T2GDiscount)*-1,2)," CREDIT after discount"),IF(T2GDiscount=0,"",IF(G2553=0,"",IF(F2553="Buy",CONCATENATE(" $",ROUND(K2553*(1-T2GDiscount),2)," with ",(T2GDiscount*100),"% discount"),CONCATENATE(" $",ROUND(K2553*(1-T2GDiscount),2)," with ",((T2GDiscount*100+F2553*100)-(T2GDiscount*100*F2553)),IF(F2553&gt;0,"% discounts",IF(NoWarrantyDiscount&gt;0,"% discounts","% discount")))))))))</f>
        <v/>
      </c>
      <c r="N2553" s="660"/>
      <c r="O2553" s="233"/>
      <c r="P2553" s="233"/>
      <c r="Q2553" s="233"/>
      <c r="R2553" s="233"/>
      <c r="S2553" s="233"/>
      <c r="T2553" s="508">
        <f t="shared" si="1950"/>
        <v>0</v>
      </c>
      <c r="U2553" s="225">
        <f>IF(NOT(ISNUMBER(G2553)), "", VLOOKUP(A2553,'Discount Lookup'!D:E,2,FALSE)*G2553)</f>
        <v>0</v>
      </c>
      <c r="V2553" s="225">
        <f>IF(NOT(ISNUMBER(G2553)), "", VLOOKUP(A2553,'Discount Lookup'!G:H,2,FALSE)*G2553)</f>
        <v>0</v>
      </c>
      <c r="W2553" s="508">
        <f t="shared" si="1951"/>
        <v>0</v>
      </c>
      <c r="X2553" s="508">
        <f t="shared" si="1952"/>
        <v>0</v>
      </c>
      <c r="Y2553" s="509" t="b">
        <f t="shared" si="1953"/>
        <v>0</v>
      </c>
      <c r="Z2553" s="510">
        <f t="shared" si="1954"/>
        <v>0</v>
      </c>
      <c r="AA2553" s="511"/>
      <c r="AB2553" s="511" t="str">
        <f t="shared" si="1955"/>
        <v/>
      </c>
      <c r="AC2553" s="698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698"/>
      <c r="AE2553" s="631" t="str">
        <f t="shared" si="1956"/>
        <v/>
      </c>
      <c r="AF2553" s="699" t="str">
        <f t="shared" si="1957"/>
        <v/>
      </c>
      <c r="AG2553" s="699"/>
      <c r="AH2553" s="699"/>
      <c r="AI2553" s="512">
        <f>IF(H2553="credit",0,IF(AE2553="free",0,IF(AE2553="me",0,IF(G2553&gt;0,(VLOOKUP(A2553,'Discount Lookup'!J:K,2)*G2553),0))))</f>
        <v>0</v>
      </c>
      <c r="AJ2553" s="513" t="str">
        <f t="shared" ca="1" si="1958"/>
        <v/>
      </c>
      <c r="AK2553" s="700" t="str">
        <f t="shared" si="1959"/>
        <v/>
      </c>
      <c r="AL2553" s="700"/>
      <c r="AM2553" s="505" t="str">
        <f t="shared" si="1960"/>
        <v/>
      </c>
      <c r="AN2553" s="506"/>
      <c r="AO2553" s="507"/>
      <c r="AP2553" s="507"/>
      <c r="AQ2553" s="507"/>
      <c r="AR2553" s="507"/>
      <c r="AS2553" s="507"/>
      <c r="AT2553" s="507"/>
      <c r="AU2553" s="507"/>
      <c r="AV2553" s="225"/>
      <c r="AW2553" s="508"/>
      <c r="AX2553" s="225"/>
      <c r="AY2553" s="225"/>
      <c r="AZ2553" s="225"/>
      <c r="BA2553" s="225"/>
      <c r="BB2553" s="225"/>
      <c r="BC2553" s="56"/>
      <c r="BD2553" s="56"/>
      <c r="BE2553" s="56"/>
      <c r="BF2553" s="107" t="str">
        <f t="shared" si="1961"/>
        <v>https://www.google.com/search?tbm=isch&amp;q=3%20G4</v>
      </c>
      <c r="BG2553" s="107" t="str">
        <f t="shared" si="1962"/>
        <v>N</v>
      </c>
      <c r="BH2553" s="254"/>
      <c r="BI2553" s="254"/>
    </row>
    <row r="2554" spans="1:61" customFormat="1" ht="27" x14ac:dyDescent="0.25">
      <c r="A2554" s="485">
        <v>3</v>
      </c>
      <c r="B2554" s="486" t="s">
        <v>291</v>
      </c>
      <c r="C2554" s="487" t="s">
        <v>4539</v>
      </c>
      <c r="D2554" s="488" t="s">
        <v>299</v>
      </c>
      <c r="E2554" s="489">
        <v>35.950000000000003</v>
      </c>
      <c r="F2554" s="516" t="s">
        <v>293</v>
      </c>
      <c r="G2554" s="232">
        <v>0</v>
      </c>
      <c r="H2554" s="658" t="str">
        <f>IF(G2554=0,"",IF(F2554="Buy",IF(G2554=1,"plant","plants"),IF(F2554&gt;0.01,"warranty","Error")))</f>
        <v/>
      </c>
      <c r="I2554" s="490">
        <f>IF(H2554="free",0,IF(H2554="credit",((E2554*(F2554))*G2554*-1),IF(F2554="Buy",(E2554*G2554),((E2554*(1-F2554))*G2554))))</f>
        <v>0</v>
      </c>
      <c r="J2554" s="490">
        <f>IF(H2554="warranty",0,(I2554*(_xlfn.SINGLE(SalesTaxPercentage))))</f>
        <v>0</v>
      </c>
      <c r="K2554" s="695">
        <f t="shared" ref="K2554" si="1995">I2554+J2554</f>
        <v>0</v>
      </c>
      <c r="L2554" s="695"/>
      <c r="M2554" s="659" t="str">
        <f>IF(AND(G2554&gt;0,E2554=0),"WARNING - no PRICE inserted",IF(H2554="free"," FREE ~ no charge this plant",IF(H2554="credit",CONCATENATE(" -$",ROUND(K2554*(1-T2GDiscount)*-1,2)," CREDIT after discount"),IF(T2GDiscount=0,"",IF(G2554=0,"",IF(F2554="Buy",CONCATENATE(" $",ROUND(K2554*(1-T2GDiscount),2)," with ",(T2GDiscount*100),"% discount"),CONCATENATE(" $",ROUND(K2554*(1-T2GDiscount),2)," with ",((T2GDiscount*100+F2554*100)-(T2GDiscount*100*F2554)),IF(F2554&gt;0,"% discounts",IF(NoWarrantyDiscount&gt;0,"% discounts","% discount")))))))))</f>
        <v/>
      </c>
      <c r="N2554" s="660"/>
      <c r="O2554" s="233"/>
      <c r="P2554" s="233"/>
      <c r="Q2554" s="233"/>
      <c r="R2554" s="233"/>
      <c r="S2554" s="233"/>
      <c r="T2554" s="508">
        <f t="shared" si="1950"/>
        <v>0</v>
      </c>
      <c r="U2554" s="225">
        <f>IF(NOT(ISNUMBER(G2554)), "", VLOOKUP(A2554,'Discount Lookup'!D:E,2,FALSE)*G2554)</f>
        <v>0</v>
      </c>
      <c r="V2554" s="225">
        <f>IF(NOT(ISNUMBER(G2554)), "", VLOOKUP(A2554,'Discount Lookup'!G:H,2,FALSE)*G2554)</f>
        <v>0</v>
      </c>
      <c r="W2554" s="508">
        <f t="shared" si="1951"/>
        <v>0</v>
      </c>
      <c r="X2554" s="508">
        <f t="shared" si="1952"/>
        <v>0</v>
      </c>
      <c r="Y2554" s="509" t="b">
        <f t="shared" si="1953"/>
        <v>0</v>
      </c>
      <c r="Z2554" s="510">
        <f t="shared" si="1954"/>
        <v>0</v>
      </c>
      <c r="AA2554" s="511"/>
      <c r="AB2554" s="511" t="str">
        <f t="shared" si="1955"/>
        <v/>
      </c>
      <c r="AC2554" s="698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698"/>
      <c r="AE2554" s="631" t="str">
        <f t="shared" si="1956"/>
        <v/>
      </c>
      <c r="AF2554" s="699" t="str">
        <f t="shared" si="1957"/>
        <v/>
      </c>
      <c r="AG2554" s="699"/>
      <c r="AH2554" s="699"/>
      <c r="AI2554" s="512">
        <f>IF(H2554="credit",0,IF(AE2554="free",0,IF(AE2554="me",0,IF(G2554&gt;0,(VLOOKUP(A2554,'Discount Lookup'!J:K,2)*G2554),0))))</f>
        <v>0</v>
      </c>
      <c r="AJ2554" s="513" t="str">
        <f t="shared" ca="1" si="1958"/>
        <v/>
      </c>
      <c r="AK2554" s="700" t="str">
        <f t="shared" si="1959"/>
        <v/>
      </c>
      <c r="AL2554" s="700"/>
      <c r="AM2554" s="505" t="str">
        <f t="shared" si="1960"/>
        <v/>
      </c>
      <c r="AN2554" s="506"/>
      <c r="AO2554" s="507"/>
      <c r="AP2554" s="507"/>
      <c r="AQ2554" s="507"/>
      <c r="AR2554" s="507"/>
      <c r="AS2554" s="507"/>
      <c r="AT2554" s="507"/>
      <c r="AU2554" s="507"/>
      <c r="AV2554" s="225"/>
      <c r="AW2554" s="508"/>
      <c r="AX2554" s="225"/>
      <c r="AY2554" s="225"/>
      <c r="AZ2554" s="225"/>
      <c r="BA2554" s="225"/>
      <c r="BB2554" s="225"/>
      <c r="BC2554" s="56"/>
      <c r="BD2554" s="56"/>
      <c r="BE2554" s="56"/>
      <c r="BF2554" s="107" t="str">
        <f t="shared" si="1961"/>
        <v>https://www.google.com/search?tbm=isch&amp;q=3%20G5</v>
      </c>
      <c r="BG2554" s="107" t="str">
        <f t="shared" si="1962"/>
        <v>N</v>
      </c>
      <c r="BH2554" s="254"/>
      <c r="BI2554" s="254"/>
    </row>
    <row r="2555" spans="1:61" customFormat="1" ht="15.75" x14ac:dyDescent="0.25">
      <c r="A2555" s="485">
        <v>7</v>
      </c>
      <c r="B2555" s="486" t="s">
        <v>291</v>
      </c>
      <c r="C2555" s="487" t="s">
        <v>15</v>
      </c>
      <c r="D2555" s="488" t="s">
        <v>298</v>
      </c>
      <c r="E2555" s="489">
        <v>56.95</v>
      </c>
      <c r="F2555" s="516" t="s">
        <v>293</v>
      </c>
      <c r="G2555" s="232">
        <v>0</v>
      </c>
      <c r="H2555" s="658" t="str">
        <f>IF(G2555=0,"",IF(F2555="Buy",IF(G2555=1,"plant","plants"),IF(F2555&gt;0.01,"warranty","Error")))</f>
        <v/>
      </c>
      <c r="I2555" s="490">
        <f>IF(H2555="free",0,IF(H2555="credit",((E2555*(F2555))*G2555*-1),IF(F2555="Buy",(E2555*G2555),((E2555*(1-F2555))*G2555))))</f>
        <v>0</v>
      </c>
      <c r="J2555" s="490">
        <f>IF(H2555="warranty",0,(I2555*(_xlfn.SINGLE(SalesTaxPercentage))))</f>
        <v>0</v>
      </c>
      <c r="K2555" s="695">
        <f t="shared" ref="K2555" si="1996">I2555+J2555</f>
        <v>0</v>
      </c>
      <c r="L2555" s="695"/>
      <c r="M2555" s="659" t="str">
        <f>IF(AND(G2555&gt;0,E2555=0),"WARNING - no PRICE inserted",IF(H2555="free"," FREE ~ no charge this plant",IF(H2555="credit",CONCATENATE(" -$",ROUND(K2555*(1-T2GDiscount)*-1,2)," CREDIT after discount"),IF(T2GDiscount=0,"",IF(G2555=0,"",IF(F2555="Buy",CONCATENATE(" $",ROUND(K2555*(1-T2GDiscount),2)," with ",(T2GDiscount*100),"% discount"),CONCATENATE(" $",ROUND(K2555*(1-T2GDiscount),2)," with ",((T2GDiscount*100+F2555*100)-(T2GDiscount*100*F2555)),IF(F2555&gt;0,"% discounts",IF(NoWarrantyDiscount&gt;0,"% discounts","% discount")))))))))</f>
        <v/>
      </c>
      <c r="N2555" s="660"/>
      <c r="O2555" s="233"/>
      <c r="P2555" s="233"/>
      <c r="Q2555" s="233"/>
      <c r="R2555" s="233"/>
      <c r="S2555" s="233"/>
      <c r="T2555" s="508">
        <f t="shared" si="1950"/>
        <v>0</v>
      </c>
      <c r="U2555" s="225">
        <f>IF(NOT(ISNUMBER(G2555)), "", VLOOKUP(A2555,'Discount Lookup'!D:E,2,FALSE)*G2555)</f>
        <v>0</v>
      </c>
      <c r="V2555" s="225">
        <f>IF(NOT(ISNUMBER(G2555)), "", VLOOKUP(A2555,'Discount Lookup'!G:H,2,FALSE)*G2555)</f>
        <v>0</v>
      </c>
      <c r="W2555" s="508">
        <f t="shared" si="1951"/>
        <v>0</v>
      </c>
      <c r="X2555" s="508">
        <f t="shared" si="1952"/>
        <v>0</v>
      </c>
      <c r="Y2555" s="509" t="b">
        <f t="shared" si="1953"/>
        <v>0</v>
      </c>
      <c r="Z2555" s="510">
        <f t="shared" si="1954"/>
        <v>0</v>
      </c>
      <c r="AA2555" s="511"/>
      <c r="AB2555" s="511" t="str">
        <f t="shared" si="1955"/>
        <v/>
      </c>
      <c r="AC2555" s="698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698"/>
      <c r="AE2555" s="631" t="str">
        <f t="shared" si="1956"/>
        <v/>
      </c>
      <c r="AF2555" s="699" t="str">
        <f t="shared" si="1957"/>
        <v/>
      </c>
      <c r="AG2555" s="699"/>
      <c r="AH2555" s="699"/>
      <c r="AI2555" s="512">
        <f>IF(H2555="credit",0,IF(AE2555="free",0,IF(AE2555="me",0,IF(G2555&gt;0,(VLOOKUP(A2555,'Discount Lookup'!J:K,2)*G2555),0))))</f>
        <v>0</v>
      </c>
      <c r="AJ2555" s="513" t="str">
        <f t="shared" ca="1" si="1958"/>
        <v/>
      </c>
      <c r="AK2555" s="700" t="str">
        <f t="shared" si="1959"/>
        <v/>
      </c>
      <c r="AL2555" s="700"/>
      <c r="AM2555" s="505" t="str">
        <f t="shared" si="1960"/>
        <v/>
      </c>
      <c r="AN2555" s="506"/>
      <c r="AO2555" s="507"/>
      <c r="AP2555" s="507"/>
      <c r="AQ2555" s="507"/>
      <c r="AR2555" s="507"/>
      <c r="AS2555" s="507"/>
      <c r="AT2555" s="507"/>
      <c r="AU2555" s="507"/>
      <c r="AV2555" s="225"/>
      <c r="AW2555" s="508"/>
      <c r="AX2555" s="225"/>
      <c r="AY2555" s="225"/>
      <c r="AZ2555" s="225"/>
      <c r="BA2555" s="225"/>
      <c r="BB2555" s="225"/>
      <c r="BC2555" s="56"/>
      <c r="BD2555" s="56"/>
      <c r="BE2555" s="56"/>
      <c r="BF2555" s="107" t="str">
        <f t="shared" si="1961"/>
        <v>https://www.google.com/search?tbm=isch&amp;q=7%20G1</v>
      </c>
      <c r="BG2555" s="107" t="str">
        <f t="shared" si="1962"/>
        <v>N</v>
      </c>
      <c r="BH2555" s="254"/>
      <c r="BI2555" s="254"/>
    </row>
    <row r="2556" spans="1:61" customFormat="1" ht="17.25" thickBot="1" x14ac:dyDescent="0.3">
      <c r="A2556" s="522" t="s">
        <v>2962</v>
      </c>
      <c r="B2556" s="491"/>
      <c r="C2556" s="675"/>
      <c r="D2556" s="491"/>
      <c r="E2556" s="491"/>
      <c r="F2556" s="492"/>
      <c r="G2556" s="493"/>
      <c r="H2556" s="491"/>
      <c r="I2556" s="234"/>
      <c r="J2556" s="234"/>
      <c r="K2556" s="494"/>
      <c r="L2556" s="543"/>
      <c r="M2556" s="561"/>
      <c r="N2556" s="495"/>
      <c r="O2556" s="496"/>
      <c r="P2556" s="497"/>
      <c r="Q2556" s="495"/>
      <c r="R2556" s="495"/>
      <c r="S2556" s="667" t="s">
        <v>4982</v>
      </c>
      <c r="T2556" s="508">
        <f t="shared" si="1950"/>
        <v>0</v>
      </c>
      <c r="U2556" s="225" t="str">
        <f>IF(NOT(ISNUMBER(G2556)), "", VLOOKUP(A2556,'Discount Lookup'!D:E,2,FALSE)*G2556)</f>
        <v/>
      </c>
      <c r="V2556" s="225" t="str">
        <f>IF(NOT(ISNUMBER(G2556)), "", VLOOKUP(A2556,'Discount Lookup'!G:H,2,FALSE)*G2556)</f>
        <v/>
      </c>
      <c r="W2556" s="508">
        <f t="shared" si="1951"/>
        <v>0</v>
      </c>
      <c r="X2556" s="508">
        <f t="shared" si="1952"/>
        <v>0</v>
      </c>
      <c r="Y2556" s="509" t="b">
        <f t="shared" si="1953"/>
        <v>0</v>
      </c>
      <c r="Z2556" s="510">
        <f t="shared" si="1954"/>
        <v>0</v>
      </c>
      <c r="AA2556" s="511"/>
      <c r="AB2556" s="511" t="str">
        <f t="shared" si="1955"/>
        <v/>
      </c>
      <c r="AC2556" s="698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698"/>
      <c r="AE2556" s="631" t="str">
        <f t="shared" si="1956"/>
        <v/>
      </c>
      <c r="AF2556" s="699" t="str">
        <f t="shared" si="1957"/>
        <v/>
      </c>
      <c r="AG2556" s="699"/>
      <c r="AH2556" s="699"/>
      <c r="AI2556" s="512">
        <f>IF(H2556="credit",0,IF(AE2556="free",0,IF(AE2556="me",0,IF(G2556&gt;0,(VLOOKUP(A2556,'Discount Lookup'!J:K,2)*G2556),0))))</f>
        <v>0</v>
      </c>
      <c r="AJ2556" s="513" t="str">
        <f t="shared" ca="1" si="1958"/>
        <v/>
      </c>
      <c r="AK2556" s="700" t="str">
        <f t="shared" si="1959"/>
        <v/>
      </c>
      <c r="AL2556" s="700"/>
      <c r="AM2556" s="505" t="str">
        <f t="shared" si="1960"/>
        <v/>
      </c>
      <c r="AN2556" s="506"/>
      <c r="AO2556" s="507"/>
      <c r="AP2556" s="507"/>
      <c r="AQ2556" s="507"/>
      <c r="AR2556" s="507"/>
      <c r="AS2556" s="507"/>
      <c r="AT2556" s="507"/>
      <c r="AU2556" s="507"/>
      <c r="AV2556" s="225"/>
      <c r="AW2556" s="508"/>
      <c r="AX2556" s="225"/>
      <c r="AY2556" s="225"/>
      <c r="AZ2556" s="225"/>
      <c r="BA2556" s="225"/>
      <c r="BB2556" s="225"/>
      <c r="BC2556" s="56"/>
      <c r="BD2556" s="56"/>
      <c r="BE2556" s="56"/>
      <c r="BF2556" s="107" t="str">
        <f t="shared" si="1961"/>
        <v>https://www.google.com/search?tbm=isch&amp;q=Narihira%20has%20elegant%2C%20bamboo-like%20foliage%20and%20fragrant%20Yellow%20winter%20flowers%20followed%20by%20Blue-Purple%20berries%20</v>
      </c>
      <c r="BG2556" s="107" t="str">
        <f t="shared" si="1962"/>
        <v>N</v>
      </c>
      <c r="BH2556" s="254"/>
      <c r="BI2556" s="254"/>
    </row>
    <row r="2557" spans="1:61" customFormat="1" ht="18" x14ac:dyDescent="0.25">
      <c r="A2557" s="521" t="s">
        <v>1403</v>
      </c>
      <c r="B2557" s="477"/>
      <c r="C2557" s="674"/>
      <c r="D2557" s="478" t="s">
        <v>1404</v>
      </c>
      <c r="E2557" s="479"/>
      <c r="F2557" s="479"/>
      <c r="G2557" s="479"/>
      <c r="H2557" s="582" t="s">
        <v>407</v>
      </c>
      <c r="I2557" s="480" t="s">
        <v>2093</v>
      </c>
      <c r="J2557" s="479"/>
      <c r="K2557" s="479"/>
      <c r="L2557" s="560"/>
      <c r="M2557" s="666" t="s">
        <v>4966</v>
      </c>
      <c r="N2557" s="680" t="str">
        <f>IF(AND(ISTEXT($A2557), ISERROR($A2557+0)), HYPERLINK($BF2557, "Images"), "")</f>
        <v>Images</v>
      </c>
      <c r="O2557" s="662" t="s">
        <v>4967</v>
      </c>
      <c r="P2557" s="482"/>
      <c r="Q2557" s="483"/>
      <c r="R2557" s="483"/>
      <c r="S2557" s="484" t="s">
        <v>305</v>
      </c>
      <c r="T2557" s="508">
        <f t="shared" si="1950"/>
        <v>0</v>
      </c>
      <c r="U2557" s="225" t="str">
        <f>IF(NOT(ISNUMBER(G2557)), "", VLOOKUP(A2557,'Discount Lookup'!D:E,2,FALSE)*G2557)</f>
        <v/>
      </c>
      <c r="V2557" s="225" t="str">
        <f>IF(NOT(ISNUMBER(G2557)), "", VLOOKUP(A2557,'Discount Lookup'!G:H,2,FALSE)*G2557)</f>
        <v/>
      </c>
      <c r="W2557" s="508">
        <f t="shared" si="1951"/>
        <v>0</v>
      </c>
      <c r="X2557" s="508" t="str">
        <f t="shared" si="1952"/>
        <v>Dark Green foliage</v>
      </c>
      <c r="Y2557" s="509" t="b">
        <f t="shared" si="1953"/>
        <v>0</v>
      </c>
      <c r="Z2557" s="510">
        <f t="shared" si="1954"/>
        <v>0</v>
      </c>
      <c r="AA2557" s="511"/>
      <c r="AB2557" s="511" t="str">
        <f t="shared" si="1955"/>
        <v/>
      </c>
      <c r="AC2557" s="698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698"/>
      <c r="AE2557" s="631" t="str">
        <f t="shared" si="1956"/>
        <v/>
      </c>
      <c r="AF2557" s="699" t="str">
        <f t="shared" si="1957"/>
        <v/>
      </c>
      <c r="AG2557" s="699"/>
      <c r="AH2557" s="699"/>
      <c r="AI2557" s="512">
        <f>IF(H2557="credit",0,IF(AE2557="free",0,IF(AE2557="me",0,IF(G2557&gt;0,(VLOOKUP(A2557,'Discount Lookup'!J:K,2)*G2557),0))))</f>
        <v>0</v>
      </c>
      <c r="AJ2557" s="513" t="str">
        <f t="shared" ca="1" si="1958"/>
        <v/>
      </c>
      <c r="AK2557" s="700" t="str">
        <f t="shared" si="1959"/>
        <v/>
      </c>
      <c r="AL2557" s="700"/>
      <c r="AM2557" s="505" t="str">
        <f t="shared" si="1960"/>
        <v/>
      </c>
      <c r="AN2557" s="506"/>
      <c r="AO2557" s="507"/>
      <c r="AP2557" s="507"/>
      <c r="AQ2557" s="507"/>
      <c r="AR2557" s="507"/>
      <c r="AS2557" s="507"/>
      <c r="AT2557" s="507"/>
      <c r="AU2557" s="507"/>
      <c r="AV2557" s="225"/>
      <c r="AW2557" s="508"/>
      <c r="AX2557" s="225"/>
      <c r="AY2557" s="225"/>
      <c r="AZ2557" s="225"/>
      <c r="BA2557" s="225"/>
      <c r="BB2557" s="225"/>
      <c r="BC2557" s="56"/>
      <c r="BD2557" s="56"/>
      <c r="BE2557" s="56"/>
      <c r="BF2557" s="107" t="str">
        <f t="shared" si="1961"/>
        <v>https://www.google.com/search?tbm=isch&amp;q=Nasa%20Holly%20Ilex%20x%20attenuata%20%27Nasa%27</v>
      </c>
      <c r="BG2557" s="107" t="str">
        <f t="shared" si="1962"/>
        <v>N</v>
      </c>
      <c r="BH2557" s="254"/>
      <c r="BI2557" s="254"/>
    </row>
    <row r="2558" spans="1:61" customFormat="1" ht="15.75" x14ac:dyDescent="0.25">
      <c r="A2558" s="485">
        <v>7</v>
      </c>
      <c r="B2558" s="486" t="s">
        <v>291</v>
      </c>
      <c r="C2558" s="487" t="s">
        <v>2440</v>
      </c>
      <c r="D2558" s="488" t="s">
        <v>299</v>
      </c>
      <c r="E2558" s="489">
        <v>79.95</v>
      </c>
      <c r="F2558" s="516" t="s">
        <v>293</v>
      </c>
      <c r="G2558" s="232">
        <v>0</v>
      </c>
      <c r="H2558" s="658" t="str">
        <f>IF(G2558=0,"",IF(F2558="Buy",IF(G2558=1,"plant","plants"),IF(F2558&gt;0.01,"warranty","Error")))</f>
        <v/>
      </c>
      <c r="I2558" s="490">
        <f>IF(H2558="free",0,IF(H2558="credit",((E2558*(F2558))*G2558*-1),IF(F2558="Buy",(E2558*G2558),((E2558*(1-F2558))*G2558))))</f>
        <v>0</v>
      </c>
      <c r="J2558" s="490">
        <f>IF(H2558="warranty",0,(I2558*(_xlfn.SINGLE(SalesTaxPercentage))))</f>
        <v>0</v>
      </c>
      <c r="K2558" s="695">
        <f t="shared" ref="K2558" si="1997">I2558+J2558</f>
        <v>0</v>
      </c>
      <c r="L2558" s="695"/>
      <c r="M2558" s="659" t="str">
        <f>IF(AND(G2558&gt;0,E2558=0),"WARNING - no PRICE inserted",IF(H2558="free"," FREE ~ no charge this plant",IF(H2558="credit",CONCATENATE(" -$",ROUND(K2558*(1-T2GDiscount)*-1,2)," CREDIT after discount"),IF(T2GDiscount=0,"",IF(G2558=0,"",IF(F2558="Buy",CONCATENATE(" $",ROUND(K2558*(1-T2GDiscount),2)," with ",(T2GDiscount*100),"% discount"),CONCATENATE(" $",ROUND(K2558*(1-T2GDiscount),2)," with ",((T2GDiscount*100+F2558*100)-(T2GDiscount*100*F2558)),IF(F2558&gt;0,"% discounts",IF(NoWarrantyDiscount&gt;0,"% discounts","% discount")))))))))</f>
        <v/>
      </c>
      <c r="N2558" s="660"/>
      <c r="O2558" s="233"/>
      <c r="P2558" s="233"/>
      <c r="Q2558" s="233"/>
      <c r="R2558" s="233"/>
      <c r="S2558" s="233"/>
      <c r="T2558" s="508">
        <f t="shared" si="1950"/>
        <v>0</v>
      </c>
      <c r="U2558" s="225">
        <f>IF(NOT(ISNUMBER(G2558)), "", VLOOKUP(A2558,'Discount Lookup'!D:E,2,FALSE)*G2558)</f>
        <v>0</v>
      </c>
      <c r="V2558" s="225">
        <f>IF(NOT(ISNUMBER(G2558)), "", VLOOKUP(A2558,'Discount Lookup'!G:H,2,FALSE)*G2558)</f>
        <v>0</v>
      </c>
      <c r="W2558" s="508">
        <f t="shared" si="1951"/>
        <v>0</v>
      </c>
      <c r="X2558" s="508">
        <f t="shared" si="1952"/>
        <v>0</v>
      </c>
      <c r="Y2558" s="509" t="b">
        <f t="shared" si="1953"/>
        <v>0</v>
      </c>
      <c r="Z2558" s="510">
        <f t="shared" si="1954"/>
        <v>0</v>
      </c>
      <c r="AA2558" s="511"/>
      <c r="AB2558" s="511" t="str">
        <f t="shared" si="1955"/>
        <v/>
      </c>
      <c r="AC2558" s="698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698"/>
      <c r="AE2558" s="631" t="str">
        <f t="shared" si="1956"/>
        <v/>
      </c>
      <c r="AF2558" s="699" t="str">
        <f t="shared" si="1957"/>
        <v/>
      </c>
      <c r="AG2558" s="699"/>
      <c r="AH2558" s="699"/>
      <c r="AI2558" s="512">
        <f>IF(H2558="credit",0,IF(AE2558="free",0,IF(AE2558="me",0,IF(G2558&gt;0,(VLOOKUP(A2558,'Discount Lookup'!J:K,2)*G2558),0))))</f>
        <v>0</v>
      </c>
      <c r="AJ2558" s="513" t="str">
        <f t="shared" ca="1" si="1958"/>
        <v/>
      </c>
      <c r="AK2558" s="700" t="str">
        <f t="shared" si="1959"/>
        <v/>
      </c>
      <c r="AL2558" s="700"/>
      <c r="AM2558" s="505" t="str">
        <f t="shared" si="1960"/>
        <v/>
      </c>
      <c r="AN2558" s="506"/>
      <c r="AO2558" s="507"/>
      <c r="AP2558" s="507"/>
      <c r="AQ2558" s="507"/>
      <c r="AR2558" s="507"/>
      <c r="AS2558" s="507"/>
      <c r="AT2558" s="507"/>
      <c r="AU2558" s="507"/>
      <c r="AV2558" s="225"/>
      <c r="AW2558" s="508"/>
      <c r="AX2558" s="225"/>
      <c r="AY2558" s="225"/>
      <c r="AZ2558" s="225"/>
      <c r="BA2558" s="225"/>
      <c r="BB2558" s="225"/>
      <c r="BC2558" s="56"/>
      <c r="BD2558" s="56"/>
      <c r="BE2558" s="56"/>
      <c r="BF2558" s="107" t="str">
        <f t="shared" si="1961"/>
        <v>https://www.google.com/search?tbm=isch&amp;q=7%20G5</v>
      </c>
      <c r="BG2558" s="107" t="str">
        <f t="shared" si="1962"/>
        <v>N</v>
      </c>
      <c r="BH2558" s="254"/>
      <c r="BI2558" s="254"/>
    </row>
    <row r="2559" spans="1:61" customFormat="1" ht="15.75" x14ac:dyDescent="0.25">
      <c r="A2559" s="485">
        <v>15</v>
      </c>
      <c r="B2559" s="486" t="s">
        <v>291</v>
      </c>
      <c r="C2559" s="487" t="s">
        <v>2441</v>
      </c>
      <c r="D2559" s="488" t="s">
        <v>299</v>
      </c>
      <c r="E2559" s="489">
        <v>171.95</v>
      </c>
      <c r="F2559" s="516" t="s">
        <v>293</v>
      </c>
      <c r="G2559" s="232">
        <v>0</v>
      </c>
      <c r="H2559" s="658" t="str">
        <f>IF(G2559=0,"",IF(F2559="Buy",IF(G2559=1,"plant","plants"),IF(F2559&gt;0.01,"warranty","Error")))</f>
        <v/>
      </c>
      <c r="I2559" s="490">
        <f>IF(H2559="free",0,IF(H2559="credit",((E2559*(F2559))*G2559*-1),IF(F2559="Buy",(E2559*G2559),((E2559*(1-F2559))*G2559))))</f>
        <v>0</v>
      </c>
      <c r="J2559" s="490">
        <f>IF(H2559="warranty",0,(I2559*(_xlfn.SINGLE(SalesTaxPercentage))))</f>
        <v>0</v>
      </c>
      <c r="K2559" s="695">
        <f t="shared" ref="K2559" si="1998">I2559+J2559</f>
        <v>0</v>
      </c>
      <c r="L2559" s="695"/>
      <c r="M2559" s="659" t="str">
        <f>IF(AND(G2559&gt;0,E2559=0),"WARNING - no PRICE inserted",IF(H2559="free"," FREE ~ no charge this plant",IF(H2559="credit",CONCATENATE(" -$",ROUND(K2559*(1-T2GDiscount)*-1,2)," CREDIT after discount"),IF(T2GDiscount=0,"",IF(G2559=0,"",IF(F2559="Buy",CONCATENATE(" $",ROUND(K2559*(1-T2GDiscount),2)," with ",(T2GDiscount*100),"% discount"),CONCATENATE(" $",ROUND(K2559*(1-T2GDiscount),2)," with ",((T2GDiscount*100+F2559*100)-(T2GDiscount*100*F2559)),IF(F2559&gt;0,"% discounts",IF(NoWarrantyDiscount&gt;0,"% discounts","% discount")))))))))</f>
        <v/>
      </c>
      <c r="N2559" s="660"/>
      <c r="O2559" s="233"/>
      <c r="P2559" s="233"/>
      <c r="Q2559" s="233"/>
      <c r="R2559" s="233"/>
      <c r="S2559" s="233"/>
      <c r="T2559" s="508">
        <f t="shared" si="1950"/>
        <v>0</v>
      </c>
      <c r="U2559" s="225">
        <f>IF(NOT(ISNUMBER(G2559)), "", VLOOKUP(A2559,'Discount Lookup'!D:E,2,FALSE)*G2559)</f>
        <v>0</v>
      </c>
      <c r="V2559" s="225">
        <f>IF(NOT(ISNUMBER(G2559)), "", VLOOKUP(A2559,'Discount Lookup'!G:H,2,FALSE)*G2559)</f>
        <v>0</v>
      </c>
      <c r="W2559" s="508">
        <f t="shared" si="1951"/>
        <v>0</v>
      </c>
      <c r="X2559" s="508">
        <f t="shared" si="1952"/>
        <v>0</v>
      </c>
      <c r="Y2559" s="509" t="b">
        <f t="shared" si="1953"/>
        <v>0</v>
      </c>
      <c r="Z2559" s="510">
        <f t="shared" si="1954"/>
        <v>0</v>
      </c>
      <c r="AA2559" s="511"/>
      <c r="AB2559" s="511" t="str">
        <f t="shared" si="1955"/>
        <v/>
      </c>
      <c r="AC2559" s="698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698"/>
      <c r="AE2559" s="631" t="str">
        <f t="shared" si="1956"/>
        <v/>
      </c>
      <c r="AF2559" s="699" t="str">
        <f t="shared" si="1957"/>
        <v/>
      </c>
      <c r="AG2559" s="699"/>
      <c r="AH2559" s="699"/>
      <c r="AI2559" s="512">
        <f>IF(H2559="credit",0,IF(AE2559="free",0,IF(AE2559="me",0,IF(G2559&gt;0,(VLOOKUP(A2559,'Discount Lookup'!J:K,2)*G2559),0))))</f>
        <v>0</v>
      </c>
      <c r="AJ2559" s="513" t="str">
        <f t="shared" ca="1" si="1958"/>
        <v/>
      </c>
      <c r="AK2559" s="700" t="str">
        <f t="shared" si="1959"/>
        <v/>
      </c>
      <c r="AL2559" s="700"/>
      <c r="AM2559" s="505" t="str">
        <f t="shared" si="1960"/>
        <v/>
      </c>
      <c r="AN2559" s="506"/>
      <c r="AO2559" s="507"/>
      <c r="AP2559" s="507"/>
      <c r="AQ2559" s="507"/>
      <c r="AR2559" s="507"/>
      <c r="AS2559" s="507"/>
      <c r="AT2559" s="507"/>
      <c r="AU2559" s="507"/>
      <c r="AV2559" s="225"/>
      <c r="AW2559" s="508"/>
      <c r="AX2559" s="225"/>
      <c r="AY2559" s="225"/>
      <c r="AZ2559" s="225"/>
      <c r="BA2559" s="225"/>
      <c r="BB2559" s="225"/>
      <c r="BC2559" s="56"/>
      <c r="BD2559" s="56"/>
      <c r="BE2559" s="56"/>
      <c r="BF2559" s="107" t="str">
        <f t="shared" si="1961"/>
        <v>https://www.google.com/search?tbm=isch&amp;q=15%20G5</v>
      </c>
      <c r="BG2559" s="107" t="str">
        <f t="shared" si="1962"/>
        <v>N</v>
      </c>
      <c r="BH2559" s="254"/>
      <c r="BI2559" s="254"/>
    </row>
    <row r="2560" spans="1:61" customFormat="1" ht="17.25" thickBot="1" x14ac:dyDescent="0.3">
      <c r="A2560" s="522" t="s">
        <v>2169</v>
      </c>
      <c r="B2560" s="491"/>
      <c r="C2560" s="675"/>
      <c r="D2560" s="491"/>
      <c r="E2560" s="491"/>
      <c r="F2560" s="492"/>
      <c r="G2560" s="493"/>
      <c r="H2560" s="491"/>
      <c r="I2560" s="234"/>
      <c r="J2560" s="234"/>
      <c r="K2560" s="494"/>
      <c r="L2560" s="543"/>
      <c r="M2560" s="561"/>
      <c r="N2560" s="495"/>
      <c r="O2560" s="496"/>
      <c r="P2560" s="497"/>
      <c r="Q2560" s="495"/>
      <c r="R2560" s="495"/>
      <c r="S2560" s="667" t="s">
        <v>4982</v>
      </c>
      <c r="T2560" s="508">
        <f t="shared" si="1950"/>
        <v>0</v>
      </c>
      <c r="U2560" s="225" t="str">
        <f>IF(NOT(ISNUMBER(G2560)), "", VLOOKUP(A2560,'Discount Lookup'!D:E,2,FALSE)*G2560)</f>
        <v/>
      </c>
      <c r="V2560" s="225" t="str">
        <f>IF(NOT(ISNUMBER(G2560)), "", VLOOKUP(A2560,'Discount Lookup'!G:H,2,FALSE)*G2560)</f>
        <v/>
      </c>
      <c r="W2560" s="508">
        <f t="shared" si="1951"/>
        <v>0</v>
      </c>
      <c r="X2560" s="508">
        <f t="shared" si="1952"/>
        <v>0</v>
      </c>
      <c r="Y2560" s="509" t="b">
        <f t="shared" si="1953"/>
        <v>0</v>
      </c>
      <c r="Z2560" s="510">
        <f t="shared" si="1954"/>
        <v>0</v>
      </c>
      <c r="AA2560" s="511"/>
      <c r="AB2560" s="511" t="str">
        <f t="shared" si="1955"/>
        <v/>
      </c>
      <c r="AC2560" s="698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698"/>
      <c r="AE2560" s="631" t="str">
        <f t="shared" si="1956"/>
        <v/>
      </c>
      <c r="AF2560" s="699" t="str">
        <f t="shared" si="1957"/>
        <v/>
      </c>
      <c r="AG2560" s="699"/>
      <c r="AH2560" s="699"/>
      <c r="AI2560" s="512">
        <f>IF(H2560="credit",0,IF(AE2560="free",0,IF(AE2560="me",0,IF(G2560&gt;0,(VLOOKUP(A2560,'Discount Lookup'!J:K,2)*G2560),0))))</f>
        <v>0</v>
      </c>
      <c r="AJ2560" s="513" t="str">
        <f t="shared" ca="1" si="1958"/>
        <v/>
      </c>
      <c r="AK2560" s="700" t="str">
        <f t="shared" si="1959"/>
        <v/>
      </c>
      <c r="AL2560" s="700"/>
      <c r="AM2560" s="505" t="str">
        <f t="shared" si="1960"/>
        <v/>
      </c>
      <c r="AN2560" s="506"/>
      <c r="AO2560" s="507"/>
      <c r="AP2560" s="507"/>
      <c r="AQ2560" s="507"/>
      <c r="AR2560" s="507"/>
      <c r="AS2560" s="507"/>
      <c r="AT2560" s="507"/>
      <c r="AU2560" s="507"/>
      <c r="AV2560" s="225"/>
      <c r="AW2560" s="508"/>
      <c r="AX2560" s="225"/>
      <c r="AY2560" s="225"/>
      <c r="AZ2560" s="225"/>
      <c r="BA2560" s="225"/>
      <c r="BB2560" s="225"/>
      <c r="BC2560" s="56"/>
      <c r="BD2560" s="56"/>
      <c r="BE2560" s="56"/>
      <c r="BF2560" s="107" t="str">
        <f t="shared" si="1961"/>
        <v>https://www.google.com/search?tbm=isch&amp;q=Nasa%20Holly%20has%20good%20berry%20set%20with%20male%20pollinator%20%28like%20%27James%20Swan%27%20or%20other%20attenuate%29%20</v>
      </c>
      <c r="BG2560" s="107" t="str">
        <f t="shared" si="1962"/>
        <v>N</v>
      </c>
      <c r="BH2560" s="254"/>
      <c r="BI2560" s="254"/>
    </row>
    <row r="2561" spans="1:61" customFormat="1" ht="18" x14ac:dyDescent="0.25">
      <c r="A2561" s="523" t="s">
        <v>1405</v>
      </c>
      <c r="B2561" s="235"/>
      <c r="C2561" s="676"/>
      <c r="D2561" s="255" t="s">
        <v>1406</v>
      </c>
      <c r="E2561" s="236"/>
      <c r="F2561" s="236"/>
      <c r="G2561" s="236"/>
      <c r="H2561" s="582" t="s">
        <v>950</v>
      </c>
      <c r="I2561" s="498" t="s">
        <v>654</v>
      </c>
      <c r="J2561" s="237"/>
      <c r="K2561" s="237"/>
      <c r="L2561" s="274"/>
      <c r="M2561" s="668" t="s">
        <v>4962</v>
      </c>
      <c r="N2561" s="681" t="str">
        <f>IF(AND(ISTEXT($A2561), ISERROR($A2561+0)), HYPERLINK($BF2561, "Images"), "")</f>
        <v>Images</v>
      </c>
      <c r="O2561" s="663" t="s">
        <v>4967</v>
      </c>
      <c r="P2561" s="253"/>
      <c r="Q2561" s="238"/>
      <c r="R2561" s="239"/>
      <c r="S2561" s="275"/>
      <c r="T2561" s="508">
        <f t="shared" si="1950"/>
        <v>0</v>
      </c>
      <c r="U2561" s="225" t="str">
        <f>IF(NOT(ISNUMBER(G2561)), "", VLOOKUP(A2561,'Discount Lookup'!D:E,2,FALSE)*G2561)</f>
        <v/>
      </c>
      <c r="V2561" s="225" t="str">
        <f>IF(NOT(ISNUMBER(G2561)), "", VLOOKUP(A2561,'Discount Lookup'!G:H,2,FALSE)*G2561)</f>
        <v/>
      </c>
      <c r="W2561" s="508">
        <f t="shared" si="1951"/>
        <v>0</v>
      </c>
      <c r="X2561" s="508" t="str">
        <f t="shared" si="1952"/>
        <v>White bloom</v>
      </c>
      <c r="Y2561" s="509" t="b">
        <f t="shared" si="1953"/>
        <v>0</v>
      </c>
      <c r="Z2561" s="510">
        <f t="shared" si="1954"/>
        <v>0</v>
      </c>
      <c r="AA2561" s="511"/>
      <c r="AB2561" s="511" t="str">
        <f t="shared" si="1955"/>
        <v/>
      </c>
      <c r="AC2561" s="698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698"/>
      <c r="AE2561" s="631" t="str">
        <f t="shared" si="1956"/>
        <v/>
      </c>
      <c r="AF2561" s="699" t="str">
        <f t="shared" si="1957"/>
        <v/>
      </c>
      <c r="AG2561" s="699"/>
      <c r="AH2561" s="699"/>
      <c r="AI2561" s="512">
        <f>IF(H2561="credit",0,IF(AE2561="free",0,IF(AE2561="me",0,IF(G2561&gt;0,(VLOOKUP(A2561,'Discount Lookup'!J:K,2)*G2561),0))))</f>
        <v>0</v>
      </c>
      <c r="AJ2561" s="513" t="str">
        <f t="shared" ca="1" si="1958"/>
        <v/>
      </c>
      <c r="AK2561" s="700" t="str">
        <f t="shared" si="1959"/>
        <v/>
      </c>
      <c r="AL2561" s="700"/>
      <c r="AM2561" s="505" t="str">
        <f t="shared" si="1960"/>
        <v/>
      </c>
      <c r="AN2561" s="506"/>
      <c r="AO2561" s="507"/>
      <c r="AP2561" s="507"/>
      <c r="AQ2561" s="507"/>
      <c r="AR2561" s="507"/>
      <c r="AS2561" s="507"/>
      <c r="AT2561" s="507"/>
      <c r="AU2561" s="507"/>
      <c r="AV2561" s="225"/>
      <c r="AW2561" s="508"/>
      <c r="AX2561" s="225"/>
      <c r="AY2561" s="225"/>
      <c r="AZ2561" s="225"/>
      <c r="BA2561" s="225"/>
      <c r="BB2561" s="225"/>
      <c r="BC2561" s="56"/>
      <c r="BD2561" s="56"/>
      <c r="BE2561" s="56"/>
      <c r="BF2561" s="107" t="str">
        <f t="shared" si="1961"/>
        <v>https://www.google.com/search?tbm=isch&amp;q=Natchez%20Crape%20Myrtle%20Lagerstroemia%20indica%20x%20fauriei%20%27Natchez%27</v>
      </c>
      <c r="BG2561" s="107" t="str">
        <f t="shared" si="1962"/>
        <v>N</v>
      </c>
      <c r="BH2561" s="254"/>
      <c r="BI2561" s="254"/>
    </row>
    <row r="2562" spans="1:61" customFormat="1" ht="15.75" x14ac:dyDescent="0.25">
      <c r="A2562" s="276">
        <v>3</v>
      </c>
      <c r="B2562" s="240" t="s">
        <v>291</v>
      </c>
      <c r="C2562" s="241" t="s">
        <v>404</v>
      </c>
      <c r="D2562" s="242" t="s">
        <v>297</v>
      </c>
      <c r="E2562" s="243">
        <v>33.950000000000003</v>
      </c>
      <c r="F2562" s="517" t="s">
        <v>293</v>
      </c>
      <c r="G2562" s="232">
        <v>0</v>
      </c>
      <c r="H2562" s="661" t="str">
        <f>IF(G2562=0,"",IF(F2562="Buy",IF(G2562=1,"plant","plants"),IF(F2562&gt;0.01,"warranty","Error")))</f>
        <v/>
      </c>
      <c r="I2562" s="244">
        <f>IF(H2562="free",0,IF(H2562="credit",((E2562*(F2562))*G2562*-1),IF(F2562="Buy",(E2562*G2562),((E2562*(1-F2562))*G2562))))</f>
        <v>0</v>
      </c>
      <c r="J2562" s="244">
        <f>IF(H2562="warranty",0,(I2562*(_xlfn.SINGLE(SalesTaxPercentage))))</f>
        <v>0</v>
      </c>
      <c r="K2562" s="696">
        <f t="shared" ref="K2562" si="1999">I2562+J2562</f>
        <v>0</v>
      </c>
      <c r="L2562" s="696"/>
      <c r="M2562" s="659" t="str">
        <f>IF(AND(G2562&gt;0,E2562=0),"WARNING - no PRICE inserted",IF(H2562="free"," FREE ~ no charge this plant",IF(H2562="credit",CONCATENATE(" -$",ROUND(K2562*(1-T2GDiscount)*-1,2)," CREDIT after discount"),IF(T2GDiscount=0,"",IF(G2562=0,"",IF(F2562="Buy",CONCATENATE(" $",ROUND(K2562*(1-T2GDiscount),2)," with ",(T2GDiscount*100),"% discount"),CONCATENATE(" $",ROUND(K2562*(1-T2GDiscount),2)," with ",((T2GDiscount*100+F2562*100)-(T2GDiscount*100*F2562)),IF(F2562&gt;0,"% discounts",IF(NoWarrantyDiscount&gt;0,"% discounts","% discount")))))))))</f>
        <v/>
      </c>
      <c r="N2562" s="660"/>
      <c r="O2562" s="233"/>
      <c r="P2562" s="233"/>
      <c r="Q2562" s="233"/>
      <c r="R2562" s="233"/>
      <c r="S2562" s="233"/>
      <c r="T2562" s="508">
        <f t="shared" si="1950"/>
        <v>0</v>
      </c>
      <c r="U2562" s="225">
        <f>IF(NOT(ISNUMBER(G2562)), "", VLOOKUP(A2562,'Discount Lookup'!D:E,2,FALSE)*G2562)</f>
        <v>0</v>
      </c>
      <c r="V2562" s="225">
        <f>IF(NOT(ISNUMBER(G2562)), "", VLOOKUP(A2562,'Discount Lookup'!G:H,2,FALSE)*G2562)</f>
        <v>0</v>
      </c>
      <c r="W2562" s="508">
        <f t="shared" si="1951"/>
        <v>0</v>
      </c>
      <c r="X2562" s="508">
        <f t="shared" si="1952"/>
        <v>0</v>
      </c>
      <c r="Y2562" s="509" t="b">
        <f t="shared" si="1953"/>
        <v>0</v>
      </c>
      <c r="Z2562" s="510">
        <f t="shared" si="1954"/>
        <v>0</v>
      </c>
      <c r="AA2562" s="511"/>
      <c r="AB2562" s="511" t="str">
        <f t="shared" si="1955"/>
        <v/>
      </c>
      <c r="AC2562" s="698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698"/>
      <c r="AE2562" s="631" t="str">
        <f t="shared" si="1956"/>
        <v/>
      </c>
      <c r="AF2562" s="699" t="str">
        <f t="shared" si="1957"/>
        <v/>
      </c>
      <c r="AG2562" s="699"/>
      <c r="AH2562" s="699"/>
      <c r="AI2562" s="512">
        <f>IF(H2562="credit",0,IF(AE2562="free",0,IF(AE2562="me",0,IF(G2562&gt;0,(VLOOKUP(A2562,'Discount Lookup'!J:K,2)*G2562),0))))</f>
        <v>0</v>
      </c>
      <c r="AJ2562" s="513" t="str">
        <f t="shared" ca="1" si="1958"/>
        <v/>
      </c>
      <c r="AK2562" s="700" t="str">
        <f t="shared" si="1959"/>
        <v/>
      </c>
      <c r="AL2562" s="700"/>
      <c r="AM2562" s="505" t="str">
        <f t="shared" si="1960"/>
        <v/>
      </c>
      <c r="AN2562" s="506"/>
      <c r="AO2562" s="507"/>
      <c r="AP2562" s="507"/>
      <c r="AQ2562" s="507"/>
      <c r="AR2562" s="507"/>
      <c r="AS2562" s="507"/>
      <c r="AT2562" s="507"/>
      <c r="AU2562" s="507"/>
      <c r="AV2562" s="225"/>
      <c r="AW2562" s="508"/>
      <c r="AX2562" s="225"/>
      <c r="AY2562" s="225"/>
      <c r="AZ2562" s="225"/>
      <c r="BA2562" s="225"/>
      <c r="BB2562" s="225"/>
      <c r="BC2562" s="56"/>
      <c r="BD2562" s="56"/>
      <c r="BE2562" s="56"/>
      <c r="BF2562" s="107" t="str">
        <f t="shared" si="1961"/>
        <v>https://www.google.com/search?tbm=isch&amp;q=3%20G3</v>
      </c>
      <c r="BG2562" s="107" t="str">
        <f t="shared" si="1962"/>
        <v>N</v>
      </c>
      <c r="BH2562" s="254"/>
      <c r="BI2562" s="254"/>
    </row>
    <row r="2563" spans="1:61" customFormat="1" ht="15.75" x14ac:dyDescent="0.25">
      <c r="A2563" s="276">
        <v>15</v>
      </c>
      <c r="B2563" s="240" t="s">
        <v>291</v>
      </c>
      <c r="C2563" s="241" t="s">
        <v>3662</v>
      </c>
      <c r="D2563" s="242" t="s">
        <v>292</v>
      </c>
      <c r="E2563" s="243">
        <v>164.95</v>
      </c>
      <c r="F2563" s="517" t="s">
        <v>293</v>
      </c>
      <c r="G2563" s="232">
        <v>0</v>
      </c>
      <c r="H2563" s="661" t="str">
        <f>IF(G2563=0,"",IF(F2563="Buy",IF(G2563=1,"plant","plants"),IF(F2563&gt;0.01,"warranty","Error")))</f>
        <v/>
      </c>
      <c r="I2563" s="244">
        <f>IF(H2563="free",0,IF(H2563="credit",((E2563*(F2563))*G2563*-1),IF(F2563="Buy",(E2563*G2563),((E2563*(1-F2563))*G2563))))</f>
        <v>0</v>
      </c>
      <c r="J2563" s="244">
        <f>IF(H2563="warranty",0,(I2563*(_xlfn.SINGLE(SalesTaxPercentage))))</f>
        <v>0</v>
      </c>
      <c r="K2563" s="696">
        <f t="shared" ref="K2563" si="2000">I2563+J2563</f>
        <v>0</v>
      </c>
      <c r="L2563" s="696"/>
      <c r="M2563" s="659" t="str">
        <f>IF(AND(G2563&gt;0,E2563=0),"WARNING - no PRICE inserted",IF(H2563="free"," FREE ~ no charge this plant",IF(H2563="credit",CONCATENATE(" -$",ROUND(K2563*(1-T2GDiscount)*-1,2)," CREDIT after discount"),IF(T2GDiscount=0,"",IF(G2563=0,"",IF(F2563="Buy",CONCATENATE(" $",ROUND(K2563*(1-T2GDiscount),2)," with ",(T2GDiscount*100),"% discount"),CONCATENATE(" $",ROUND(K2563*(1-T2GDiscount),2)," with ",((T2GDiscount*100+F2563*100)-(T2GDiscount*100*F2563)),IF(F2563&gt;0,"% discounts",IF(NoWarrantyDiscount&gt;0,"% discounts","% discount")))))))))</f>
        <v/>
      </c>
      <c r="N2563" s="660"/>
      <c r="O2563" s="233"/>
      <c r="P2563" s="233"/>
      <c r="Q2563" s="233"/>
      <c r="R2563" s="233"/>
      <c r="S2563" s="233"/>
      <c r="T2563" s="508">
        <f t="shared" si="1950"/>
        <v>0</v>
      </c>
      <c r="U2563" s="225">
        <f>IF(NOT(ISNUMBER(G2563)), "", VLOOKUP(A2563,'Discount Lookup'!D:E,2,FALSE)*G2563)</f>
        <v>0</v>
      </c>
      <c r="V2563" s="225">
        <f>IF(NOT(ISNUMBER(G2563)), "", VLOOKUP(A2563,'Discount Lookup'!G:H,2,FALSE)*G2563)</f>
        <v>0</v>
      </c>
      <c r="W2563" s="508">
        <f t="shared" si="1951"/>
        <v>0</v>
      </c>
      <c r="X2563" s="508">
        <f t="shared" si="1952"/>
        <v>0</v>
      </c>
      <c r="Y2563" s="509" t="b">
        <f t="shared" si="1953"/>
        <v>0</v>
      </c>
      <c r="Z2563" s="510">
        <f t="shared" si="1954"/>
        <v>0</v>
      </c>
      <c r="AA2563" s="511"/>
      <c r="AB2563" s="511" t="str">
        <f t="shared" si="1955"/>
        <v/>
      </c>
      <c r="AC2563" s="698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698"/>
      <c r="AE2563" s="631" t="str">
        <f t="shared" si="1956"/>
        <v/>
      </c>
      <c r="AF2563" s="699" t="str">
        <f t="shared" si="1957"/>
        <v/>
      </c>
      <c r="AG2563" s="699"/>
      <c r="AH2563" s="699"/>
      <c r="AI2563" s="512">
        <f>IF(H2563="credit",0,IF(AE2563="free",0,IF(AE2563="me",0,IF(G2563&gt;0,(VLOOKUP(A2563,'Discount Lookup'!J:K,2)*G2563),0))))</f>
        <v>0</v>
      </c>
      <c r="AJ2563" s="513" t="str">
        <f t="shared" ca="1" si="1958"/>
        <v/>
      </c>
      <c r="AK2563" s="700" t="str">
        <f t="shared" si="1959"/>
        <v/>
      </c>
      <c r="AL2563" s="700"/>
      <c r="AM2563" s="505" t="str">
        <f t="shared" si="1960"/>
        <v/>
      </c>
      <c r="AN2563" s="506"/>
      <c r="AO2563" s="507"/>
      <c r="AP2563" s="507"/>
      <c r="AQ2563" s="507"/>
      <c r="AR2563" s="507"/>
      <c r="AS2563" s="507"/>
      <c r="AT2563" s="507"/>
      <c r="AU2563" s="507"/>
      <c r="AV2563" s="225"/>
      <c r="AW2563" s="508"/>
      <c r="AX2563" s="225"/>
      <c r="AY2563" s="225"/>
      <c r="AZ2563" s="225"/>
      <c r="BA2563" s="225"/>
      <c r="BB2563" s="225"/>
      <c r="BC2563" s="56"/>
      <c r="BD2563" s="56"/>
      <c r="BE2563" s="56"/>
      <c r="BF2563" s="107" t="str">
        <f t="shared" si="1961"/>
        <v>https://www.google.com/search?tbm=isch&amp;q=15%20G4</v>
      </c>
      <c r="BG2563" s="107" t="str">
        <f t="shared" si="1962"/>
        <v>N</v>
      </c>
      <c r="BH2563" s="254"/>
      <c r="BI2563" s="254"/>
    </row>
    <row r="2564" spans="1:61" customFormat="1" ht="27" x14ac:dyDescent="0.25">
      <c r="A2564" s="276">
        <v>15</v>
      </c>
      <c r="B2564" s="240" t="s">
        <v>291</v>
      </c>
      <c r="C2564" s="241" t="s">
        <v>4790</v>
      </c>
      <c r="D2564" s="242" t="s">
        <v>292</v>
      </c>
      <c r="E2564" s="243">
        <v>171.95</v>
      </c>
      <c r="F2564" s="517" t="s">
        <v>293</v>
      </c>
      <c r="G2564" s="232">
        <v>0</v>
      </c>
      <c r="H2564" s="661" t="str">
        <f>IF(G2564=0,"",IF(F2564="Buy",IF(G2564=1,"plant","plants"),IF(F2564&gt;0.01,"warranty","Error")))</f>
        <v/>
      </c>
      <c r="I2564" s="244">
        <f>IF(H2564="free",0,IF(H2564="credit",((E2564*(F2564))*G2564*-1),IF(F2564="Buy",(E2564*G2564),((E2564*(1-F2564))*G2564))))</f>
        <v>0</v>
      </c>
      <c r="J2564" s="244">
        <f>IF(H2564="warranty",0,(I2564*(_xlfn.SINGLE(SalesTaxPercentage))))</f>
        <v>0</v>
      </c>
      <c r="K2564" s="696">
        <f t="shared" ref="K2564" si="2001">I2564+J2564</f>
        <v>0</v>
      </c>
      <c r="L2564" s="696"/>
      <c r="M2564" s="659" t="str">
        <f>IF(AND(G2564&gt;0,E2564=0),"WARNING - no PRICE inserted",IF(H2564="free"," FREE ~ no charge this plant",IF(H2564="credit",CONCATENATE(" -$",ROUND(K2564*(1-T2GDiscount)*-1,2)," CREDIT after discount"),IF(T2GDiscount=0,"",IF(G2564=0,"",IF(F2564="Buy",CONCATENATE(" $",ROUND(K2564*(1-T2GDiscount),2)," with ",(T2GDiscount*100),"% discount"),CONCATENATE(" $",ROUND(K2564*(1-T2GDiscount),2)," with ",((T2GDiscount*100+F2564*100)-(T2GDiscount*100*F2564)),IF(F2564&gt;0,"% discounts",IF(NoWarrantyDiscount&gt;0,"% discounts","% discount")))))))))</f>
        <v/>
      </c>
      <c r="N2564" s="660"/>
      <c r="O2564" s="233"/>
      <c r="P2564" s="233"/>
      <c r="Q2564" s="233"/>
      <c r="R2564" s="233"/>
      <c r="S2564" s="233"/>
      <c r="T2564" s="508">
        <f t="shared" si="1950"/>
        <v>0</v>
      </c>
      <c r="U2564" s="225">
        <f>IF(NOT(ISNUMBER(G2564)), "", VLOOKUP(A2564,'Discount Lookup'!D:E,2,FALSE)*G2564)</f>
        <v>0</v>
      </c>
      <c r="V2564" s="225">
        <f>IF(NOT(ISNUMBER(G2564)), "", VLOOKUP(A2564,'Discount Lookup'!G:H,2,FALSE)*G2564)</f>
        <v>0</v>
      </c>
      <c r="W2564" s="508">
        <f t="shared" si="1951"/>
        <v>0</v>
      </c>
      <c r="X2564" s="508">
        <f t="shared" si="1952"/>
        <v>0</v>
      </c>
      <c r="Y2564" s="509" t="b">
        <f t="shared" si="1953"/>
        <v>0</v>
      </c>
      <c r="Z2564" s="510">
        <f t="shared" si="1954"/>
        <v>0</v>
      </c>
      <c r="AA2564" s="511"/>
      <c r="AB2564" s="511" t="str">
        <f t="shared" si="1955"/>
        <v/>
      </c>
      <c r="AC2564" s="698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698"/>
      <c r="AE2564" s="631" t="str">
        <f t="shared" si="1956"/>
        <v/>
      </c>
      <c r="AF2564" s="699" t="str">
        <f t="shared" si="1957"/>
        <v/>
      </c>
      <c r="AG2564" s="699"/>
      <c r="AH2564" s="699"/>
      <c r="AI2564" s="512">
        <f>IF(H2564="credit",0,IF(AE2564="free",0,IF(AE2564="me",0,IF(G2564&gt;0,(VLOOKUP(A2564,'Discount Lookup'!J:K,2)*G2564),0))))</f>
        <v>0</v>
      </c>
      <c r="AJ2564" s="513" t="str">
        <f t="shared" ca="1" si="1958"/>
        <v/>
      </c>
      <c r="AK2564" s="700" t="str">
        <f t="shared" si="1959"/>
        <v/>
      </c>
      <c r="AL2564" s="700"/>
      <c r="AM2564" s="505" t="str">
        <f t="shared" si="1960"/>
        <v/>
      </c>
      <c r="AN2564" s="506"/>
      <c r="AO2564" s="507"/>
      <c r="AP2564" s="507"/>
      <c r="AQ2564" s="507"/>
      <c r="AR2564" s="507"/>
      <c r="AS2564" s="507"/>
      <c r="AT2564" s="507"/>
      <c r="AU2564" s="507"/>
      <c r="AV2564" s="225"/>
      <c r="AW2564" s="508"/>
      <c r="AX2564" s="225"/>
      <c r="AY2564" s="225"/>
      <c r="AZ2564" s="225"/>
      <c r="BA2564" s="225"/>
      <c r="BB2564" s="225"/>
      <c r="BC2564" s="56"/>
      <c r="BD2564" s="56"/>
      <c r="BE2564" s="56"/>
      <c r="BF2564" s="107" t="str">
        <f t="shared" si="1961"/>
        <v>https://www.google.com/search?tbm=isch&amp;q=15%20G4</v>
      </c>
      <c r="BG2564" s="107" t="str">
        <f t="shared" si="1962"/>
        <v>N</v>
      </c>
      <c r="BH2564" s="254"/>
      <c r="BI2564" s="254"/>
    </row>
    <row r="2565" spans="1:61" customFormat="1" ht="15.75" x14ac:dyDescent="0.25">
      <c r="A2565" s="276">
        <v>20</v>
      </c>
      <c r="B2565" s="240" t="s">
        <v>291</v>
      </c>
      <c r="C2565" s="241" t="s">
        <v>1407</v>
      </c>
      <c r="D2565" s="242" t="s">
        <v>297</v>
      </c>
      <c r="E2565" s="243">
        <v>224.95</v>
      </c>
      <c r="F2565" s="517" t="s">
        <v>293</v>
      </c>
      <c r="G2565" s="232">
        <v>0</v>
      </c>
      <c r="H2565" s="661" t="str">
        <f>IF(G2565=0,"",IF(F2565="Buy",IF(G2565=1,"plant","plants"),IF(F2565&gt;0.01,"warranty","Error")))</f>
        <v/>
      </c>
      <c r="I2565" s="244">
        <f>IF(H2565="free",0,IF(H2565="credit",((E2565*(F2565))*G2565*-1),IF(F2565="Buy",(E2565*G2565),((E2565*(1-F2565))*G2565))))</f>
        <v>0</v>
      </c>
      <c r="J2565" s="244">
        <f>IF(H2565="warranty",0,(I2565*(_xlfn.SINGLE(SalesTaxPercentage))))</f>
        <v>0</v>
      </c>
      <c r="K2565" s="696">
        <f t="shared" ref="K2565" si="2002">I2565+J2565</f>
        <v>0</v>
      </c>
      <c r="L2565" s="696"/>
      <c r="M2565" s="659" t="str">
        <f>IF(AND(G2565&gt;0,E2565=0),"WARNING - no PRICE inserted",IF(H2565="free"," FREE ~ no charge this plant",IF(H2565="credit",CONCATENATE(" -$",ROUND(K2565*(1-T2GDiscount)*-1,2)," CREDIT after discount"),IF(T2GDiscount=0,"",IF(G2565=0,"",IF(F2565="Buy",CONCATENATE(" $",ROUND(K2565*(1-T2GDiscount),2)," with ",(T2GDiscount*100),"% discount"),CONCATENATE(" $",ROUND(K2565*(1-T2GDiscount),2)," with ",((T2GDiscount*100+F2565*100)-(T2GDiscount*100*F2565)),IF(F2565&gt;0,"% discounts",IF(NoWarrantyDiscount&gt;0,"% discounts","% discount")))))))))</f>
        <v/>
      </c>
      <c r="N2565" s="660"/>
      <c r="O2565" s="233"/>
      <c r="P2565" s="233"/>
      <c r="Q2565" s="233"/>
      <c r="R2565" s="233"/>
      <c r="S2565" s="233"/>
      <c r="T2565" s="508">
        <f t="shared" si="1950"/>
        <v>0</v>
      </c>
      <c r="U2565" s="225">
        <f>IF(NOT(ISNUMBER(G2565)), "", VLOOKUP(A2565,'Discount Lookup'!D:E,2,FALSE)*G2565)</f>
        <v>0</v>
      </c>
      <c r="V2565" s="225">
        <f>IF(NOT(ISNUMBER(G2565)), "", VLOOKUP(A2565,'Discount Lookup'!G:H,2,FALSE)*G2565)</f>
        <v>0</v>
      </c>
      <c r="W2565" s="508">
        <f t="shared" si="1951"/>
        <v>0</v>
      </c>
      <c r="X2565" s="508">
        <f t="shared" si="1952"/>
        <v>0</v>
      </c>
      <c r="Y2565" s="509" t="b">
        <f t="shared" si="1953"/>
        <v>0</v>
      </c>
      <c r="Z2565" s="510">
        <f t="shared" si="1954"/>
        <v>0</v>
      </c>
      <c r="AA2565" s="511"/>
      <c r="AB2565" s="511" t="str">
        <f t="shared" si="1955"/>
        <v/>
      </c>
      <c r="AC2565" s="698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698"/>
      <c r="AE2565" s="631" t="str">
        <f t="shared" si="1956"/>
        <v/>
      </c>
      <c r="AF2565" s="699" t="str">
        <f t="shared" si="1957"/>
        <v/>
      </c>
      <c r="AG2565" s="699"/>
      <c r="AH2565" s="699"/>
      <c r="AI2565" s="512">
        <f>IF(H2565="credit",0,IF(AE2565="free",0,IF(AE2565="me",0,IF(G2565&gt;0,(VLOOKUP(A2565,'Discount Lookup'!J:K,2)*G2565),0))))</f>
        <v>0</v>
      </c>
      <c r="AJ2565" s="513" t="str">
        <f t="shared" ca="1" si="1958"/>
        <v/>
      </c>
      <c r="AK2565" s="700" t="str">
        <f t="shared" si="1959"/>
        <v/>
      </c>
      <c r="AL2565" s="700"/>
      <c r="AM2565" s="505" t="str">
        <f t="shared" si="1960"/>
        <v/>
      </c>
      <c r="AN2565" s="506"/>
      <c r="AO2565" s="507"/>
      <c r="AP2565" s="507"/>
      <c r="AQ2565" s="507"/>
      <c r="AR2565" s="507"/>
      <c r="AS2565" s="507"/>
      <c r="AT2565" s="507"/>
      <c r="AU2565" s="507"/>
      <c r="AV2565" s="225"/>
      <c r="AW2565" s="508"/>
      <c r="AX2565" s="225"/>
      <c r="AY2565" s="225"/>
      <c r="AZ2565" s="225"/>
      <c r="BA2565" s="225"/>
      <c r="BB2565" s="225"/>
      <c r="BC2565" s="56"/>
      <c r="BD2565" s="56"/>
      <c r="BE2565" s="56"/>
      <c r="BF2565" s="107" t="str">
        <f t="shared" si="1961"/>
        <v>https://www.google.com/search?tbm=isch&amp;q=20%20G3</v>
      </c>
      <c r="BG2565" s="107" t="str">
        <f t="shared" si="1962"/>
        <v>N</v>
      </c>
      <c r="BH2565" s="254"/>
      <c r="BI2565" s="254"/>
    </row>
    <row r="2566" spans="1:61" customFormat="1" ht="27" x14ac:dyDescent="0.25">
      <c r="A2566" s="276">
        <v>25</v>
      </c>
      <c r="B2566" s="240" t="s">
        <v>291</v>
      </c>
      <c r="C2566" s="241" t="s">
        <v>3663</v>
      </c>
      <c r="D2566" s="242" t="s">
        <v>292</v>
      </c>
      <c r="E2566" s="243">
        <v>307.95</v>
      </c>
      <c r="F2566" s="517" t="s">
        <v>293</v>
      </c>
      <c r="G2566" s="232">
        <v>0</v>
      </c>
      <c r="H2566" s="661" t="str">
        <f>IF(G2566=0,"",IF(F2566="Buy",IF(G2566=1,"plant","plants"),IF(F2566&gt;0.01,"warranty","Error")))</f>
        <v/>
      </c>
      <c r="I2566" s="244">
        <f>IF(H2566="free",0,IF(H2566="credit",((E2566*(F2566))*G2566*-1),IF(F2566="Buy",(E2566*G2566),((E2566*(1-F2566))*G2566))))</f>
        <v>0</v>
      </c>
      <c r="J2566" s="244">
        <f>IF(H2566="warranty",0,(I2566*(_xlfn.SINGLE(SalesTaxPercentage))))</f>
        <v>0</v>
      </c>
      <c r="K2566" s="696">
        <f t="shared" ref="K2566" si="2003">I2566+J2566</f>
        <v>0</v>
      </c>
      <c r="L2566" s="696"/>
      <c r="M2566" s="659" t="str">
        <f>IF(AND(G2566&gt;0,E2566=0),"WARNING - no PRICE inserted",IF(H2566="free"," FREE ~ no charge this plant",IF(H2566="credit",CONCATENATE(" -$",ROUND(K2566*(1-T2GDiscount)*-1,2)," CREDIT after discount"),IF(T2GDiscount=0,"",IF(G2566=0,"",IF(F2566="Buy",CONCATENATE(" $",ROUND(K2566*(1-T2GDiscount),2)," with ",(T2GDiscount*100),"% discount"),CONCATENATE(" $",ROUND(K2566*(1-T2GDiscount),2)," with ",((T2GDiscount*100+F2566*100)-(T2GDiscount*100*F2566)),IF(F2566&gt;0,"% discounts",IF(NoWarrantyDiscount&gt;0,"% discounts","% discount")))))))))</f>
        <v/>
      </c>
      <c r="N2566" s="660"/>
      <c r="O2566" s="233"/>
      <c r="P2566" s="233"/>
      <c r="Q2566" s="233"/>
      <c r="R2566" s="233"/>
      <c r="S2566" s="233"/>
      <c r="T2566" s="508">
        <f t="shared" si="1950"/>
        <v>0</v>
      </c>
      <c r="U2566" s="225">
        <f>IF(NOT(ISNUMBER(G2566)), "", VLOOKUP(A2566,'Discount Lookup'!D:E,2,FALSE)*G2566)</f>
        <v>0</v>
      </c>
      <c r="V2566" s="225">
        <f>IF(NOT(ISNUMBER(G2566)), "", VLOOKUP(A2566,'Discount Lookup'!G:H,2,FALSE)*G2566)</f>
        <v>0</v>
      </c>
      <c r="W2566" s="508">
        <f t="shared" si="1951"/>
        <v>0</v>
      </c>
      <c r="X2566" s="508">
        <f t="shared" si="1952"/>
        <v>0</v>
      </c>
      <c r="Y2566" s="509" t="b">
        <f t="shared" si="1953"/>
        <v>0</v>
      </c>
      <c r="Z2566" s="510">
        <f t="shared" si="1954"/>
        <v>0</v>
      </c>
      <c r="AA2566" s="511"/>
      <c r="AB2566" s="511" t="str">
        <f t="shared" si="1955"/>
        <v/>
      </c>
      <c r="AC2566" s="698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698"/>
      <c r="AE2566" s="631" t="str">
        <f t="shared" si="1956"/>
        <v/>
      </c>
      <c r="AF2566" s="699" t="str">
        <f t="shared" si="1957"/>
        <v/>
      </c>
      <c r="AG2566" s="699"/>
      <c r="AH2566" s="699"/>
      <c r="AI2566" s="512">
        <f>IF(H2566="credit",0,IF(AE2566="free",0,IF(AE2566="me",0,IF(G2566&gt;0,(VLOOKUP(A2566,'Discount Lookup'!J:K,2)*G2566),0))))</f>
        <v>0</v>
      </c>
      <c r="AJ2566" s="513" t="str">
        <f t="shared" ca="1" si="1958"/>
        <v/>
      </c>
      <c r="AK2566" s="700" t="str">
        <f t="shared" si="1959"/>
        <v/>
      </c>
      <c r="AL2566" s="700"/>
      <c r="AM2566" s="505" t="str">
        <f t="shared" si="1960"/>
        <v/>
      </c>
      <c r="AN2566" s="506"/>
      <c r="AO2566" s="507"/>
      <c r="AP2566" s="507"/>
      <c r="AQ2566" s="507"/>
      <c r="AR2566" s="507"/>
      <c r="AS2566" s="507"/>
      <c r="AT2566" s="507"/>
      <c r="AU2566" s="507"/>
      <c r="AV2566" s="225"/>
      <c r="AW2566" s="508"/>
      <c r="AX2566" s="225"/>
      <c r="AY2566" s="225"/>
      <c r="AZ2566" s="225"/>
      <c r="BA2566" s="225"/>
      <c r="BB2566" s="225"/>
      <c r="BC2566" s="56"/>
      <c r="BD2566" s="56"/>
      <c r="BE2566" s="56"/>
      <c r="BF2566" s="107" t="str">
        <f t="shared" si="1961"/>
        <v>https://www.google.com/search?tbm=isch&amp;q=25%20G4</v>
      </c>
      <c r="BG2566" s="107" t="str">
        <f t="shared" si="1962"/>
        <v>N</v>
      </c>
      <c r="BH2566" s="254"/>
      <c r="BI2566" s="254"/>
    </row>
    <row r="2567" spans="1:61" customFormat="1" ht="17.25" thickBot="1" x14ac:dyDescent="0.3">
      <c r="A2567" s="524" t="s">
        <v>2537</v>
      </c>
      <c r="B2567" s="245"/>
      <c r="C2567" s="677"/>
      <c r="D2567" s="499"/>
      <c r="E2567" s="499"/>
      <c r="F2567" s="500"/>
      <c r="G2567" s="501"/>
      <c r="H2567" s="502"/>
      <c r="I2567" s="246"/>
      <c r="J2567" s="247"/>
      <c r="K2567" s="503"/>
      <c r="L2567" s="544"/>
      <c r="M2567" s="544"/>
      <c r="N2567" s="500"/>
      <c r="O2567" s="500"/>
      <c r="P2567" s="500"/>
      <c r="Q2567" s="500"/>
      <c r="R2567" s="500"/>
      <c r="S2567" s="278"/>
      <c r="T2567" s="508">
        <f t="shared" si="1950"/>
        <v>0</v>
      </c>
      <c r="U2567" s="225" t="str">
        <f>IF(NOT(ISNUMBER(G2567)), "", VLOOKUP(A2567,'Discount Lookup'!D:E,2,FALSE)*G2567)</f>
        <v/>
      </c>
      <c r="V2567" s="225" t="str">
        <f>IF(NOT(ISNUMBER(G2567)), "", VLOOKUP(A2567,'Discount Lookup'!G:H,2,FALSE)*G2567)</f>
        <v/>
      </c>
      <c r="W2567" s="508">
        <f t="shared" si="1951"/>
        <v>0</v>
      </c>
      <c r="X2567" s="508">
        <f t="shared" si="1952"/>
        <v>0</v>
      </c>
      <c r="Y2567" s="509" t="b">
        <f t="shared" si="1953"/>
        <v>0</v>
      </c>
      <c r="Z2567" s="510">
        <f t="shared" si="1954"/>
        <v>0</v>
      </c>
      <c r="AA2567" s="511"/>
      <c r="AB2567" s="511" t="str">
        <f t="shared" si="1955"/>
        <v/>
      </c>
      <c r="AC2567" s="698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698"/>
      <c r="AE2567" s="631" t="str">
        <f t="shared" si="1956"/>
        <v/>
      </c>
      <c r="AF2567" s="699" t="str">
        <f t="shared" si="1957"/>
        <v/>
      </c>
      <c r="AG2567" s="699"/>
      <c r="AH2567" s="699"/>
      <c r="AI2567" s="512">
        <f>IF(H2567="credit",0,IF(AE2567="free",0,IF(AE2567="me",0,IF(G2567&gt;0,(VLOOKUP(A2567,'Discount Lookup'!J:K,2)*G2567),0))))</f>
        <v>0</v>
      </c>
      <c r="AJ2567" s="513" t="str">
        <f t="shared" ca="1" si="1958"/>
        <v/>
      </c>
      <c r="AK2567" s="700" t="str">
        <f t="shared" si="1959"/>
        <v/>
      </c>
      <c r="AL2567" s="700"/>
      <c r="AM2567" s="505" t="str">
        <f t="shared" si="1960"/>
        <v/>
      </c>
      <c r="AN2567" s="506"/>
      <c r="AO2567" s="507"/>
      <c r="AP2567" s="507"/>
      <c r="AQ2567" s="507"/>
      <c r="AR2567" s="507"/>
      <c r="AS2567" s="507"/>
      <c r="AT2567" s="507"/>
      <c r="AU2567" s="507"/>
      <c r="AV2567" s="225"/>
      <c r="AW2567" s="508"/>
      <c r="AX2567" s="225"/>
      <c r="AY2567" s="225"/>
      <c r="AZ2567" s="225"/>
      <c r="BA2567" s="225"/>
      <c r="BB2567" s="225"/>
      <c r="BC2567" s="56"/>
      <c r="BD2567" s="56"/>
      <c r="BE2567" s="56"/>
      <c r="BF2567" s="107" t="str">
        <f t="shared" si="1961"/>
        <v>https://www.google.com/search?tbm=isch&amp;q=Natchez%27%20cinnamon%20bark%20is%20considered%20the%20finest%20of%20the%20Crape%20Myrtles%20</v>
      </c>
      <c r="BG2567" s="107" t="str">
        <f t="shared" si="1962"/>
        <v>N</v>
      </c>
      <c r="BH2567" s="254"/>
      <c r="BI2567" s="254"/>
    </row>
    <row r="2568" spans="1:61" customFormat="1" ht="18" x14ac:dyDescent="0.25">
      <c r="A2568" s="523" t="s">
        <v>1409</v>
      </c>
      <c r="B2568" s="235"/>
      <c r="C2568" s="676"/>
      <c r="D2568" s="255" t="s">
        <v>1410</v>
      </c>
      <c r="E2568" s="236"/>
      <c r="F2568" s="236"/>
      <c r="G2568" s="236"/>
      <c r="H2568" s="582" t="s">
        <v>357</v>
      </c>
      <c r="I2568" s="498" t="s">
        <v>827</v>
      </c>
      <c r="J2568" s="237"/>
      <c r="K2568" s="237"/>
      <c r="L2568" s="274"/>
      <c r="M2568" s="668" t="s">
        <v>4975</v>
      </c>
      <c r="N2568" s="681" t="str">
        <f>IF(AND(ISTEXT($A2568), ISERROR($A2568+0)), HYPERLINK($BF2568, "Images"), "")</f>
        <v>Images</v>
      </c>
      <c r="O2568" s="663" t="s">
        <v>4967</v>
      </c>
      <c r="P2568" s="253"/>
      <c r="Q2568" s="238"/>
      <c r="R2568" s="239"/>
      <c r="S2568" s="275"/>
      <c r="T2568" s="508">
        <f t="shared" si="1950"/>
        <v>0</v>
      </c>
      <c r="U2568" s="225" t="str">
        <f>IF(NOT(ISNUMBER(G2568)), "", VLOOKUP(A2568,'Discount Lookup'!D:E,2,FALSE)*G2568)</f>
        <v/>
      </c>
      <c r="V2568" s="225" t="str">
        <f>IF(NOT(ISNUMBER(G2568)), "", VLOOKUP(A2568,'Discount Lookup'!G:H,2,FALSE)*G2568)</f>
        <v/>
      </c>
      <c r="W2568" s="508">
        <f t="shared" si="1951"/>
        <v>0</v>
      </c>
      <c r="X2568" s="508" t="str">
        <f t="shared" si="1952"/>
        <v>Creamy White bloom</v>
      </c>
      <c r="Y2568" s="509" t="b">
        <f t="shared" si="1953"/>
        <v>0</v>
      </c>
      <c r="Z2568" s="510">
        <f t="shared" si="1954"/>
        <v>0</v>
      </c>
      <c r="AA2568" s="511"/>
      <c r="AB2568" s="511" t="str">
        <f t="shared" si="1955"/>
        <v/>
      </c>
      <c r="AC2568" s="698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698"/>
      <c r="AE2568" s="631" t="str">
        <f t="shared" si="1956"/>
        <v/>
      </c>
      <c r="AF2568" s="699" t="str">
        <f t="shared" si="1957"/>
        <v/>
      </c>
      <c r="AG2568" s="699"/>
      <c r="AH2568" s="699"/>
      <c r="AI2568" s="512">
        <f>IF(H2568="credit",0,IF(AE2568="free",0,IF(AE2568="me",0,IF(G2568&gt;0,(VLOOKUP(A2568,'Discount Lookup'!J:K,2)*G2568),0))))</f>
        <v>0</v>
      </c>
      <c r="AJ2568" s="513" t="str">
        <f t="shared" ca="1" si="1958"/>
        <v/>
      </c>
      <c r="AK2568" s="700" t="str">
        <f t="shared" si="1959"/>
        <v/>
      </c>
      <c r="AL2568" s="700"/>
      <c r="AM2568" s="505" t="str">
        <f t="shared" si="1960"/>
        <v/>
      </c>
      <c r="AN2568" s="506"/>
      <c r="AO2568" s="507"/>
      <c r="AP2568" s="507"/>
      <c r="AQ2568" s="507"/>
      <c r="AR2568" s="507"/>
      <c r="AS2568" s="507"/>
      <c r="AT2568" s="507"/>
      <c r="AU2568" s="507"/>
      <c r="AV2568" s="225"/>
      <c r="AW2568" s="508"/>
      <c r="AX2568" s="225"/>
      <c r="AY2568" s="225"/>
      <c r="AZ2568" s="225"/>
      <c r="BA2568" s="225"/>
      <c r="BB2568" s="225"/>
      <c r="BC2568" s="56"/>
      <c r="BD2568" s="56"/>
      <c r="BE2568" s="56"/>
      <c r="BF2568" s="107" t="str">
        <f t="shared" si="1961"/>
        <v>https://www.google.com/search?tbm=isch&amp;q=National%20Kousa%20Dogwood%20Cornus%20kousa%20%27National%27</v>
      </c>
      <c r="BG2568" s="107" t="str">
        <f t="shared" si="1962"/>
        <v>N</v>
      </c>
      <c r="BH2568" s="254"/>
      <c r="BI2568" s="254"/>
    </row>
    <row r="2569" spans="1:61" customFormat="1" ht="15.75" x14ac:dyDescent="0.25">
      <c r="A2569" s="276">
        <v>5</v>
      </c>
      <c r="B2569" s="240" t="s">
        <v>291</v>
      </c>
      <c r="C2569" s="241" t="s">
        <v>1411</v>
      </c>
      <c r="D2569" s="242" t="s">
        <v>312</v>
      </c>
      <c r="E2569" s="243">
        <v>79.95</v>
      </c>
      <c r="F2569" s="517" t="s">
        <v>293</v>
      </c>
      <c r="G2569" s="232">
        <v>0</v>
      </c>
      <c r="H2569" s="661" t="str">
        <f>IF(G2569=0,"",IF(F2569="Buy",IF(G2569=1,"plant","plants"),IF(F2569&gt;0.01,"warranty","Error")))</f>
        <v/>
      </c>
      <c r="I2569" s="244">
        <f>IF(H2569="free",0,IF(H2569="credit",((E2569*(F2569))*G2569*-1),IF(F2569="Buy",(E2569*G2569),((E2569*(1-F2569))*G2569))))</f>
        <v>0</v>
      </c>
      <c r="J2569" s="244">
        <f>IF(H2569="warranty",0,(I2569*(_xlfn.SINGLE(SalesTaxPercentage))))</f>
        <v>0</v>
      </c>
      <c r="K2569" s="696">
        <f t="shared" ref="K2569" si="2004">I2569+J2569</f>
        <v>0</v>
      </c>
      <c r="L2569" s="696"/>
      <c r="M2569" s="659" t="str">
        <f>IF(AND(G2569&gt;0,E2569=0),"WARNING - no PRICE inserted",IF(H2569="free"," FREE ~ no charge this plant",IF(H2569="credit",CONCATENATE(" -$",ROUND(K2569*(1-T2GDiscount)*-1,2)," CREDIT after discount"),IF(T2GDiscount=0,"",IF(G2569=0,"",IF(F2569="Buy",CONCATENATE(" $",ROUND(K2569*(1-T2GDiscount),2)," with ",(T2GDiscount*100),"% discount"),CONCATENATE(" $",ROUND(K2569*(1-T2GDiscount),2)," with ",((T2GDiscount*100+F2569*100)-(T2GDiscount*100*F2569)),IF(F2569&gt;0,"% discounts",IF(NoWarrantyDiscount&gt;0,"% discounts","% discount")))))))))</f>
        <v/>
      </c>
      <c r="N2569" s="660"/>
      <c r="O2569" s="233"/>
      <c r="P2569" s="233"/>
      <c r="Q2569" s="233"/>
      <c r="R2569" s="233"/>
      <c r="S2569" s="233"/>
      <c r="T2569" s="508">
        <f t="shared" si="1950"/>
        <v>0</v>
      </c>
      <c r="U2569" s="225">
        <f>IF(NOT(ISNUMBER(G2569)), "", VLOOKUP(A2569,'Discount Lookup'!D:E,2,FALSE)*G2569)</f>
        <v>0</v>
      </c>
      <c r="V2569" s="225">
        <f>IF(NOT(ISNUMBER(G2569)), "", VLOOKUP(A2569,'Discount Lookup'!G:H,2,FALSE)*G2569)</f>
        <v>0</v>
      </c>
      <c r="W2569" s="508">
        <f t="shared" si="1951"/>
        <v>0</v>
      </c>
      <c r="X2569" s="508">
        <f t="shared" si="1952"/>
        <v>0</v>
      </c>
      <c r="Y2569" s="509" t="b">
        <f t="shared" si="1953"/>
        <v>0</v>
      </c>
      <c r="Z2569" s="510">
        <f t="shared" si="1954"/>
        <v>0</v>
      </c>
      <c r="AA2569" s="511"/>
      <c r="AB2569" s="511" t="str">
        <f t="shared" si="1955"/>
        <v/>
      </c>
      <c r="AC2569" s="698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698"/>
      <c r="AE2569" s="631" t="str">
        <f t="shared" si="1956"/>
        <v/>
      </c>
      <c r="AF2569" s="699" t="str">
        <f t="shared" si="1957"/>
        <v/>
      </c>
      <c r="AG2569" s="699"/>
      <c r="AH2569" s="699"/>
      <c r="AI2569" s="512">
        <f>IF(H2569="credit",0,IF(AE2569="free",0,IF(AE2569="me",0,IF(G2569&gt;0,(VLOOKUP(A2569,'Discount Lookup'!J:K,2)*G2569),0))))</f>
        <v>0</v>
      </c>
      <c r="AJ2569" s="513" t="str">
        <f t="shared" ca="1" si="1958"/>
        <v/>
      </c>
      <c r="AK2569" s="700" t="str">
        <f t="shared" si="1959"/>
        <v/>
      </c>
      <c r="AL2569" s="700"/>
      <c r="AM2569" s="505" t="str">
        <f t="shared" si="1960"/>
        <v/>
      </c>
      <c r="AN2569" s="506"/>
      <c r="AO2569" s="507"/>
      <c r="AP2569" s="507"/>
      <c r="AQ2569" s="507"/>
      <c r="AR2569" s="507"/>
      <c r="AS2569" s="507"/>
      <c r="AT2569" s="507"/>
      <c r="AU2569" s="507"/>
      <c r="AV2569" s="225"/>
      <c r="AW2569" s="508"/>
      <c r="AX2569" s="225"/>
      <c r="AY2569" s="225"/>
      <c r="AZ2569" s="225"/>
      <c r="BA2569" s="225"/>
      <c r="BB2569" s="225"/>
      <c r="BC2569" s="56"/>
      <c r="BD2569" s="56"/>
      <c r="BE2569" s="56"/>
      <c r="BF2569" s="107" t="str">
        <f t="shared" si="1961"/>
        <v>https://www.google.com/search?tbm=isch&amp;q=5%20G2</v>
      </c>
      <c r="BG2569" s="107" t="str">
        <f t="shared" si="1962"/>
        <v>N</v>
      </c>
      <c r="BH2569" s="254"/>
      <c r="BI2569" s="254"/>
    </row>
    <row r="2570" spans="1:61" customFormat="1" ht="27" x14ac:dyDescent="0.25">
      <c r="A2570" s="276">
        <v>7</v>
      </c>
      <c r="B2570" s="240" t="s">
        <v>291</v>
      </c>
      <c r="C2570" s="241" t="s">
        <v>3664</v>
      </c>
      <c r="D2570" s="242" t="s">
        <v>292</v>
      </c>
      <c r="E2570" s="243">
        <v>102.95</v>
      </c>
      <c r="F2570" s="517" t="s">
        <v>293</v>
      </c>
      <c r="G2570" s="232">
        <v>0</v>
      </c>
      <c r="H2570" s="661" t="str">
        <f>IF(G2570=0,"",IF(F2570="Buy",IF(G2570=1,"plant","plants"),IF(F2570&gt;0.01,"warranty","Error")))</f>
        <v/>
      </c>
      <c r="I2570" s="244">
        <f>IF(H2570="free",0,IF(H2570="credit",((E2570*(F2570))*G2570*-1),IF(F2570="Buy",(E2570*G2570),((E2570*(1-F2570))*G2570))))</f>
        <v>0</v>
      </c>
      <c r="J2570" s="244">
        <f>IF(H2570="warranty",0,(I2570*(_xlfn.SINGLE(SalesTaxPercentage))))</f>
        <v>0</v>
      </c>
      <c r="K2570" s="696">
        <f t="shared" ref="K2570" si="2005">I2570+J2570</f>
        <v>0</v>
      </c>
      <c r="L2570" s="696"/>
      <c r="M2570" s="659" t="str">
        <f>IF(AND(G2570&gt;0,E2570=0),"WARNING - no PRICE inserted",IF(H2570="free"," FREE ~ no charge this plant",IF(H2570="credit",CONCATENATE(" -$",ROUND(K2570*(1-T2GDiscount)*-1,2)," CREDIT after discount"),IF(T2GDiscount=0,"",IF(G2570=0,"",IF(F2570="Buy",CONCATENATE(" $",ROUND(K2570*(1-T2GDiscount),2)," with ",(T2GDiscount*100),"% discount"),CONCATENATE(" $",ROUND(K2570*(1-T2GDiscount),2)," with ",((T2GDiscount*100+F2570*100)-(T2GDiscount*100*F2570)),IF(F2570&gt;0,"% discounts",IF(NoWarrantyDiscount&gt;0,"% discounts","% discount")))))))))</f>
        <v/>
      </c>
      <c r="N2570" s="660"/>
      <c r="O2570" s="233"/>
      <c r="P2570" s="233"/>
      <c r="Q2570" s="233"/>
      <c r="R2570" s="233"/>
      <c r="S2570" s="233"/>
      <c r="T2570" s="508">
        <f t="shared" si="1950"/>
        <v>0</v>
      </c>
      <c r="U2570" s="225">
        <f>IF(NOT(ISNUMBER(G2570)), "", VLOOKUP(A2570,'Discount Lookup'!D:E,2,FALSE)*G2570)</f>
        <v>0</v>
      </c>
      <c r="V2570" s="225">
        <f>IF(NOT(ISNUMBER(G2570)), "", VLOOKUP(A2570,'Discount Lookup'!G:H,2,FALSE)*G2570)</f>
        <v>0</v>
      </c>
      <c r="W2570" s="508">
        <f t="shared" si="1951"/>
        <v>0</v>
      </c>
      <c r="X2570" s="508">
        <f t="shared" si="1952"/>
        <v>0</v>
      </c>
      <c r="Y2570" s="509" t="b">
        <f t="shared" si="1953"/>
        <v>0</v>
      </c>
      <c r="Z2570" s="510">
        <f t="shared" si="1954"/>
        <v>0</v>
      </c>
      <c r="AA2570" s="511"/>
      <c r="AB2570" s="511" t="str">
        <f t="shared" si="1955"/>
        <v/>
      </c>
      <c r="AC2570" s="698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698"/>
      <c r="AE2570" s="631" t="str">
        <f t="shared" si="1956"/>
        <v/>
      </c>
      <c r="AF2570" s="699" t="str">
        <f t="shared" si="1957"/>
        <v/>
      </c>
      <c r="AG2570" s="699"/>
      <c r="AH2570" s="699"/>
      <c r="AI2570" s="512">
        <f>IF(H2570="credit",0,IF(AE2570="free",0,IF(AE2570="me",0,IF(G2570&gt;0,(VLOOKUP(A2570,'Discount Lookup'!J:K,2)*G2570),0))))</f>
        <v>0</v>
      </c>
      <c r="AJ2570" s="513" t="str">
        <f t="shared" ca="1" si="1958"/>
        <v/>
      </c>
      <c r="AK2570" s="700" t="str">
        <f t="shared" si="1959"/>
        <v/>
      </c>
      <c r="AL2570" s="700"/>
      <c r="AM2570" s="505" t="str">
        <f t="shared" si="1960"/>
        <v/>
      </c>
      <c r="AN2570" s="506"/>
      <c r="AO2570" s="507"/>
      <c r="AP2570" s="507"/>
      <c r="AQ2570" s="507"/>
      <c r="AR2570" s="507"/>
      <c r="AS2570" s="507"/>
      <c r="AT2570" s="507"/>
      <c r="AU2570" s="507"/>
      <c r="AV2570" s="225"/>
      <c r="AW2570" s="508"/>
      <c r="AX2570" s="225"/>
      <c r="AY2570" s="225"/>
      <c r="AZ2570" s="225"/>
      <c r="BA2570" s="225"/>
      <c r="BB2570" s="225"/>
      <c r="BC2570" s="56"/>
      <c r="BD2570" s="56"/>
      <c r="BE2570" s="56"/>
      <c r="BF2570" s="107" t="str">
        <f t="shared" si="1961"/>
        <v>https://www.google.com/search?tbm=isch&amp;q=7%20G4</v>
      </c>
      <c r="BG2570" s="107" t="str">
        <f t="shared" si="1962"/>
        <v>N</v>
      </c>
      <c r="BH2570" s="254"/>
      <c r="BI2570" s="254"/>
    </row>
    <row r="2571" spans="1:61" customFormat="1" ht="15.75" x14ac:dyDescent="0.25">
      <c r="A2571" s="276">
        <v>10</v>
      </c>
      <c r="B2571" s="240" t="s">
        <v>291</v>
      </c>
      <c r="C2571" s="241" t="s">
        <v>3303</v>
      </c>
      <c r="D2571" s="242" t="s">
        <v>292</v>
      </c>
      <c r="E2571" s="243">
        <v>160.94999999999999</v>
      </c>
      <c r="F2571" s="517" t="s">
        <v>293</v>
      </c>
      <c r="G2571" s="232">
        <v>0</v>
      </c>
      <c r="H2571" s="661" t="str">
        <f>IF(G2571=0,"",IF(F2571="Buy",IF(G2571=1,"plant","plants"),IF(F2571&gt;0.01,"warranty","Error")))</f>
        <v/>
      </c>
      <c r="I2571" s="244">
        <f>IF(H2571="free",0,IF(H2571="credit",((E2571*(F2571))*G2571*-1),IF(F2571="Buy",(E2571*G2571),((E2571*(1-F2571))*G2571))))</f>
        <v>0</v>
      </c>
      <c r="J2571" s="244">
        <f>IF(H2571="warranty",0,(I2571*(_xlfn.SINGLE(SalesTaxPercentage))))</f>
        <v>0</v>
      </c>
      <c r="K2571" s="696">
        <f t="shared" ref="K2571" si="2006">I2571+J2571</f>
        <v>0</v>
      </c>
      <c r="L2571" s="696"/>
      <c r="M2571" s="659" t="str">
        <f>IF(AND(G2571&gt;0,E2571=0),"WARNING - no PRICE inserted",IF(H2571="free"," FREE ~ no charge this plant",IF(H2571="credit",CONCATENATE(" -$",ROUND(K2571*(1-T2GDiscount)*-1,2)," CREDIT after discount"),IF(T2GDiscount=0,"",IF(G2571=0,"",IF(F2571="Buy",CONCATENATE(" $",ROUND(K2571*(1-T2GDiscount),2)," with ",(T2GDiscount*100),"% discount"),CONCATENATE(" $",ROUND(K2571*(1-T2GDiscount),2)," with ",((T2GDiscount*100+F2571*100)-(T2GDiscount*100*F2571)),IF(F2571&gt;0,"% discounts",IF(NoWarrantyDiscount&gt;0,"% discounts","% discount")))))))))</f>
        <v/>
      </c>
      <c r="N2571" s="660"/>
      <c r="O2571" s="233"/>
      <c r="P2571" s="233"/>
      <c r="Q2571" s="233"/>
      <c r="R2571" s="233"/>
      <c r="S2571" s="233"/>
      <c r="T2571" s="508">
        <f t="shared" si="1950"/>
        <v>0</v>
      </c>
      <c r="U2571" s="225">
        <f>IF(NOT(ISNUMBER(G2571)), "", VLOOKUP(A2571,'Discount Lookup'!D:E,2,FALSE)*G2571)</f>
        <v>0</v>
      </c>
      <c r="V2571" s="225">
        <f>IF(NOT(ISNUMBER(G2571)), "", VLOOKUP(A2571,'Discount Lookup'!G:H,2,FALSE)*G2571)</f>
        <v>0</v>
      </c>
      <c r="W2571" s="508">
        <f t="shared" si="1951"/>
        <v>0</v>
      </c>
      <c r="X2571" s="508">
        <f t="shared" si="1952"/>
        <v>0</v>
      </c>
      <c r="Y2571" s="509" t="b">
        <f t="shared" si="1953"/>
        <v>0</v>
      </c>
      <c r="Z2571" s="510">
        <f t="shared" si="1954"/>
        <v>0</v>
      </c>
      <c r="AA2571" s="511"/>
      <c r="AB2571" s="511" t="str">
        <f t="shared" si="1955"/>
        <v/>
      </c>
      <c r="AC2571" s="698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698"/>
      <c r="AE2571" s="631" t="str">
        <f t="shared" si="1956"/>
        <v/>
      </c>
      <c r="AF2571" s="699" t="str">
        <f t="shared" si="1957"/>
        <v/>
      </c>
      <c r="AG2571" s="699"/>
      <c r="AH2571" s="699"/>
      <c r="AI2571" s="512">
        <f>IF(H2571="credit",0,IF(AE2571="free",0,IF(AE2571="me",0,IF(G2571&gt;0,(VLOOKUP(A2571,'Discount Lookup'!J:K,2)*G2571),0))))</f>
        <v>0</v>
      </c>
      <c r="AJ2571" s="513" t="str">
        <f t="shared" ca="1" si="1958"/>
        <v/>
      </c>
      <c r="AK2571" s="700" t="str">
        <f t="shared" si="1959"/>
        <v/>
      </c>
      <c r="AL2571" s="700"/>
      <c r="AM2571" s="505" t="str">
        <f t="shared" si="1960"/>
        <v/>
      </c>
      <c r="AN2571" s="506"/>
      <c r="AO2571" s="507"/>
      <c r="AP2571" s="507"/>
      <c r="AQ2571" s="507"/>
      <c r="AR2571" s="507"/>
      <c r="AS2571" s="507"/>
      <c r="AT2571" s="507"/>
      <c r="AU2571" s="507"/>
      <c r="AV2571" s="225"/>
      <c r="AW2571" s="508"/>
      <c r="AX2571" s="225"/>
      <c r="AY2571" s="225"/>
      <c r="AZ2571" s="225"/>
      <c r="BA2571" s="225"/>
      <c r="BB2571" s="225"/>
      <c r="BC2571" s="56"/>
      <c r="BD2571" s="56"/>
      <c r="BE2571" s="56"/>
      <c r="BF2571" s="107" t="str">
        <f t="shared" si="1961"/>
        <v>https://www.google.com/search?tbm=isch&amp;q=10%20G4</v>
      </c>
      <c r="BG2571" s="107" t="str">
        <f t="shared" si="1962"/>
        <v>N</v>
      </c>
      <c r="BH2571" s="254"/>
      <c r="BI2571" s="254"/>
    </row>
    <row r="2572" spans="1:61" customFormat="1" ht="15.75" x14ac:dyDescent="0.25">
      <c r="A2572" s="276">
        <v>15</v>
      </c>
      <c r="B2572" s="240" t="s">
        <v>291</v>
      </c>
      <c r="C2572" s="241" t="s">
        <v>4791</v>
      </c>
      <c r="D2572" s="242" t="s">
        <v>292</v>
      </c>
      <c r="E2572" s="243">
        <v>192.95</v>
      </c>
      <c r="F2572" s="517" t="s">
        <v>293</v>
      </c>
      <c r="G2572" s="232">
        <v>0</v>
      </c>
      <c r="H2572" s="661" t="str">
        <f>IF(G2572=0,"",IF(F2572="Buy",IF(G2572=1,"plant","plants"),IF(F2572&gt;0.01,"warranty","Error")))</f>
        <v/>
      </c>
      <c r="I2572" s="244">
        <f>IF(H2572="free",0,IF(H2572="credit",((E2572*(F2572))*G2572*-1),IF(F2572="Buy",(E2572*G2572),((E2572*(1-F2572))*G2572))))</f>
        <v>0</v>
      </c>
      <c r="J2572" s="244">
        <f>IF(H2572="warranty",0,(I2572*(_xlfn.SINGLE(SalesTaxPercentage))))</f>
        <v>0</v>
      </c>
      <c r="K2572" s="696">
        <f t="shared" ref="K2572" si="2007">I2572+J2572</f>
        <v>0</v>
      </c>
      <c r="L2572" s="696"/>
      <c r="M2572" s="659" t="str">
        <f>IF(AND(G2572&gt;0,E2572=0),"WARNING - no PRICE inserted",IF(H2572="free"," FREE ~ no charge this plant",IF(H2572="credit",CONCATENATE(" -$",ROUND(K2572*(1-T2GDiscount)*-1,2)," CREDIT after discount"),IF(T2GDiscount=0,"",IF(G2572=0,"",IF(F2572="Buy",CONCATENATE(" $",ROUND(K2572*(1-T2GDiscount),2)," with ",(T2GDiscount*100),"% discount"),CONCATENATE(" $",ROUND(K2572*(1-T2GDiscount),2)," with ",((T2GDiscount*100+F2572*100)-(T2GDiscount*100*F2572)),IF(F2572&gt;0,"% discounts",IF(NoWarrantyDiscount&gt;0,"% discounts","% discount")))))))))</f>
        <v/>
      </c>
      <c r="N2572" s="660"/>
      <c r="O2572" s="233"/>
      <c r="P2572" s="233"/>
      <c r="Q2572" s="233"/>
      <c r="R2572" s="233"/>
      <c r="S2572" s="233"/>
      <c r="T2572" s="508">
        <f t="shared" si="1950"/>
        <v>0</v>
      </c>
      <c r="U2572" s="225">
        <f>IF(NOT(ISNUMBER(G2572)), "", VLOOKUP(A2572,'Discount Lookup'!D:E,2,FALSE)*G2572)</f>
        <v>0</v>
      </c>
      <c r="V2572" s="225">
        <f>IF(NOT(ISNUMBER(G2572)), "", VLOOKUP(A2572,'Discount Lookup'!G:H,2,FALSE)*G2572)</f>
        <v>0</v>
      </c>
      <c r="W2572" s="508">
        <f t="shared" si="1951"/>
        <v>0</v>
      </c>
      <c r="X2572" s="508">
        <f t="shared" si="1952"/>
        <v>0</v>
      </c>
      <c r="Y2572" s="509" t="b">
        <f t="shared" si="1953"/>
        <v>0</v>
      </c>
      <c r="Z2572" s="510">
        <f t="shared" si="1954"/>
        <v>0</v>
      </c>
      <c r="AA2572" s="511"/>
      <c r="AB2572" s="511" t="str">
        <f t="shared" si="1955"/>
        <v/>
      </c>
      <c r="AC2572" s="698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698"/>
      <c r="AE2572" s="631" t="str">
        <f t="shared" si="1956"/>
        <v/>
      </c>
      <c r="AF2572" s="699" t="str">
        <f t="shared" si="1957"/>
        <v/>
      </c>
      <c r="AG2572" s="699"/>
      <c r="AH2572" s="699"/>
      <c r="AI2572" s="512">
        <f>IF(H2572="credit",0,IF(AE2572="free",0,IF(AE2572="me",0,IF(G2572&gt;0,(VLOOKUP(A2572,'Discount Lookup'!J:K,2)*G2572),0))))</f>
        <v>0</v>
      </c>
      <c r="AJ2572" s="513" t="str">
        <f t="shared" ca="1" si="1958"/>
        <v/>
      </c>
      <c r="AK2572" s="700" t="str">
        <f t="shared" si="1959"/>
        <v/>
      </c>
      <c r="AL2572" s="700"/>
      <c r="AM2572" s="505" t="str">
        <f t="shared" si="1960"/>
        <v/>
      </c>
      <c r="AN2572" s="506"/>
      <c r="AO2572" s="507"/>
      <c r="AP2572" s="507"/>
      <c r="AQ2572" s="507"/>
      <c r="AR2572" s="507"/>
      <c r="AS2572" s="507"/>
      <c r="AT2572" s="507"/>
      <c r="AU2572" s="507"/>
      <c r="AV2572" s="225"/>
      <c r="AW2572" s="508"/>
      <c r="AX2572" s="225"/>
      <c r="AY2572" s="225"/>
      <c r="AZ2572" s="225"/>
      <c r="BA2572" s="225"/>
      <c r="BB2572" s="225"/>
      <c r="BC2572" s="56"/>
      <c r="BD2572" s="56"/>
      <c r="BE2572" s="56"/>
      <c r="BF2572" s="107" t="str">
        <f t="shared" si="1961"/>
        <v>https://www.google.com/search?tbm=isch&amp;q=15%20G4</v>
      </c>
      <c r="BG2572" s="107" t="str">
        <f t="shared" si="1962"/>
        <v>N</v>
      </c>
      <c r="BH2572" s="254"/>
      <c r="BI2572" s="254"/>
    </row>
    <row r="2573" spans="1:61" customFormat="1" ht="17.25" thickBot="1" x14ac:dyDescent="0.3">
      <c r="A2573" s="524" t="s">
        <v>2170</v>
      </c>
      <c r="B2573" s="245"/>
      <c r="C2573" s="677"/>
      <c r="D2573" s="499"/>
      <c r="E2573" s="499"/>
      <c r="F2573" s="500"/>
      <c r="G2573" s="501"/>
      <c r="H2573" s="502"/>
      <c r="I2573" s="246"/>
      <c r="J2573" s="247"/>
      <c r="K2573" s="503"/>
      <c r="L2573" s="544"/>
      <c r="M2573" s="544"/>
      <c r="N2573" s="500"/>
      <c r="O2573" s="500"/>
      <c r="P2573" s="500"/>
      <c r="Q2573" s="500"/>
      <c r="R2573" s="500"/>
      <c r="S2573" s="669" t="s">
        <v>4996</v>
      </c>
      <c r="T2573" s="508">
        <f t="shared" si="1950"/>
        <v>0</v>
      </c>
      <c r="U2573" s="225" t="str">
        <f>IF(NOT(ISNUMBER(G2573)), "", VLOOKUP(A2573,'Discount Lookup'!D:E,2,FALSE)*G2573)</f>
        <v/>
      </c>
      <c r="V2573" s="225" t="str">
        <f>IF(NOT(ISNUMBER(G2573)), "", VLOOKUP(A2573,'Discount Lookup'!G:H,2,FALSE)*G2573)</f>
        <v/>
      </c>
      <c r="W2573" s="508">
        <f t="shared" si="1951"/>
        <v>0</v>
      </c>
      <c r="X2573" s="508">
        <f t="shared" si="1952"/>
        <v>0</v>
      </c>
      <c r="Y2573" s="509" t="b">
        <f t="shared" si="1953"/>
        <v>0</v>
      </c>
      <c r="Z2573" s="510">
        <f t="shared" si="1954"/>
        <v>0</v>
      </c>
      <c r="AA2573" s="511"/>
      <c r="AB2573" s="511" t="str">
        <f t="shared" si="1955"/>
        <v/>
      </c>
      <c r="AC2573" s="698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698"/>
      <c r="AE2573" s="631" t="str">
        <f t="shared" si="1956"/>
        <v/>
      </c>
      <c r="AF2573" s="699" t="str">
        <f t="shared" si="1957"/>
        <v/>
      </c>
      <c r="AG2573" s="699"/>
      <c r="AH2573" s="699"/>
      <c r="AI2573" s="512">
        <f>IF(H2573="credit",0,IF(AE2573="free",0,IF(AE2573="me",0,IF(G2573&gt;0,(VLOOKUP(A2573,'Discount Lookup'!J:K,2)*G2573),0))))</f>
        <v>0</v>
      </c>
      <c r="AJ2573" s="513" t="str">
        <f t="shared" ca="1" si="1958"/>
        <v/>
      </c>
      <c r="AK2573" s="700" t="str">
        <f t="shared" si="1959"/>
        <v/>
      </c>
      <c r="AL2573" s="700"/>
      <c r="AM2573" s="505" t="str">
        <f t="shared" si="1960"/>
        <v/>
      </c>
      <c r="AN2573" s="506"/>
      <c r="AO2573" s="507"/>
      <c r="AP2573" s="507"/>
      <c r="AQ2573" s="507"/>
      <c r="AR2573" s="507"/>
      <c r="AS2573" s="507"/>
      <c r="AT2573" s="507"/>
      <c r="AU2573" s="507"/>
      <c r="AV2573" s="225"/>
      <c r="AW2573" s="508"/>
      <c r="AX2573" s="225"/>
      <c r="AY2573" s="225"/>
      <c r="AZ2573" s="225"/>
      <c r="BA2573" s="225"/>
      <c r="BB2573" s="225"/>
      <c r="BC2573" s="56"/>
      <c r="BD2573" s="56"/>
      <c r="BE2573" s="56"/>
      <c r="BF2573" s="107" t="str">
        <f t="shared" si="1961"/>
        <v>https://www.google.com/search?tbm=isch&amp;q=National%20is%20vigorous%20and%20vase-shaped.%20Birds%20enjoy%20the%20large%20showy%20red%20fruit%20</v>
      </c>
      <c r="BG2573" s="107" t="str">
        <f t="shared" si="1962"/>
        <v>N</v>
      </c>
      <c r="BH2573" s="254"/>
      <c r="BI2573" s="254"/>
    </row>
    <row r="2574" spans="1:61" customFormat="1" ht="18" x14ac:dyDescent="0.25">
      <c r="A2574" s="521" t="s">
        <v>1412</v>
      </c>
      <c r="B2574" s="477"/>
      <c r="C2574" s="674"/>
      <c r="D2574" s="478" t="s">
        <v>5464</v>
      </c>
      <c r="E2574" s="479"/>
      <c r="F2574" s="479"/>
      <c r="G2574" s="479"/>
      <c r="H2574" s="582" t="s">
        <v>3956</v>
      </c>
      <c r="I2574" s="480" t="s">
        <v>2120</v>
      </c>
      <c r="J2574" s="479"/>
      <c r="K2574" s="479"/>
      <c r="L2574" s="560"/>
      <c r="M2574" s="666" t="s">
        <v>4963</v>
      </c>
      <c r="N2574" s="680" t="str">
        <f>IF(AND(ISTEXT($A2574), ISERROR($A2574+0)), HYPERLINK($BF2574, "Images"), "")</f>
        <v>Images</v>
      </c>
      <c r="O2574" s="662" t="s">
        <v>4967</v>
      </c>
      <c r="P2574" s="482"/>
      <c r="Q2574" s="483"/>
      <c r="R2574" s="483"/>
      <c r="S2574" s="484"/>
      <c r="T2574" s="508">
        <f t="shared" ref="T2574:T2637" si="2008">E2574*G2574</f>
        <v>0</v>
      </c>
      <c r="U2574" s="225" t="str">
        <f>IF(NOT(ISNUMBER(G2574)), "", VLOOKUP(A2574,'Discount Lookup'!D:E,2,FALSE)*G2574)</f>
        <v/>
      </c>
      <c r="V2574" s="225" t="str">
        <f>IF(NOT(ISNUMBER(G2574)), "", VLOOKUP(A2574,'Discount Lookup'!G:H,2,FALSE)*G2574)</f>
        <v/>
      </c>
      <c r="W2574" s="508">
        <f t="shared" ref="W2574:W2637" si="2009">IF(H2574="credit",0,E2574*(SalesTaxPercentage)*G2574)</f>
        <v>0</v>
      </c>
      <c r="X2574" s="508" t="str">
        <f t="shared" ref="X2574:X2637" si="2010">I2574</f>
        <v>Variegated foliage</v>
      </c>
      <c r="Y2574" s="509" t="b">
        <f t="shared" ref="Y2574:Y2637" si="2011">IF(AE2574="T2G",0,IF(H2574="credit",0,IF(G2574&gt;0,IF(AE2574="me","",G2574))))</f>
        <v>0</v>
      </c>
      <c r="Z2574" s="510">
        <f t="shared" ref="Z2574:Z2637" si="2012">IF(H2574="credit",G2574,0)</f>
        <v>0</v>
      </c>
      <c r="AA2574" s="511"/>
      <c r="AB2574" s="511" t="str">
        <f t="shared" ref="AB2574:AB2637" si="2013">IF(AE2574="T2G","by Trees2Go",IF(H2574="credit","CREDIT only ~",IF(AND(K2574="",AE2574=OR(PlanterYesMe="No",PlanterYesMe="N",PlanterYesMe="me")),"not THIS line⇨",IF(AND(K2574="images",AE2574="me"),"not THIS line⇨",IF(H2574="credit","",IF(G2574=0,"",IF(AE2574="me","",IF(OR(PlanterYesMe="No",PlanterYesMe="N",PlanterYesMe="me"),"",IF(AE2574="free","warranty",IF(OR(PlanterYesMe="yes",PlanterYesMe="y"),"Edison install:","to install:"))))))))))</f>
        <v/>
      </c>
      <c r="AC2574" s="698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698"/>
      <c r="AE2574" s="631" t="str">
        <f t="shared" ref="AE2574:AE2637" si="2014">IF(H2574="credit","",IF(G2574=0,"",IF(OR(PlanterYesMe="No",PlanterYesMe="N",PlanterYesMe="me"),"me",IF(H2574="warranty","free",IF(OR(PlanterYesMe="yes",PlanterYesMe="y"),"ELP","")))))</f>
        <v/>
      </c>
      <c r="AF2574" s="699" t="str">
        <f t="shared" ref="AF2574:AF2637" si="2015">IF(OR(PlanterYesMe="No",PlanterYesMe="N",PlanterYesMe="me"),"",IF(H2574="credit","",IF(G2574&gt;0,(CONCATENATE((G2574)," quantity, ",(A2574)," ",B2574)),"")))</f>
        <v/>
      </c>
      <c r="AG2574" s="699"/>
      <c r="AH2574" s="699"/>
      <c r="AI2574" s="512">
        <f>IF(H2574="credit",0,IF(AE2574="free",0,IF(AE2574="me",0,IF(G2574&gt;0,(VLOOKUP(A2574,'Discount Lookup'!J:K,2)*G2574),0))))</f>
        <v>0</v>
      </c>
      <c r="AJ2574" s="513" t="str">
        <f t="shared" ref="AJ2574:AJ2637" ca="1" si="2016">IF(AND(ISREF(H2574),H2574="credit"),"",IF(AND(AND(OFFSET(G2574,0,0)=0,OFFSET(G2574,1,0)&gt;0,ISNUMBER(OFFSET(AC2574,1,0)),OFFSET(AC2574,1,0)&gt;0),OR(PlanterYesMe="yes",PlanterYesMe="y")),"T2G+ELP=",IF(AND(OFFSET(G2574,0,0)=0,OFFSET(G2574,1,0)&gt;0,ISNUMBER(OFFSET(AC2574,1,0)),OFFSET(AC2574,1,0)&gt;0),"if T2G+ELP=",IF(AND(OFFSET(G2574,0,0)=0,OFFSET(G2574,1,0)&gt;0),"T2G Subtotal",IF(H2574="credit","",IF(G2574=0,"",IF(AE2574="free",(K2574*(1-T2GDiscount)),IF(OR(PlanterYesMe="No",PlanterYesMe="N",PlanterYesMe="me"),(K2574*(1-T2GDiscount)),IF(OR(AE2574="me",AE2574="T2G"),(K2574*(1-T2GDiscount)),(K2574*(1-T2GDiscount))+AC2574)))))))))</f>
        <v/>
      </c>
      <c r="AK2574" s="700" t="str">
        <f t="shared" ref="AK2574:AK2637" si="2017">IF(H2574="credit","",IF(G2574=0,"",IF(OR(AE2574="me",AE2574="T2G"),"  delivery-only",IF(OR(PlanterYesMe="No",PlanterYesMe="N",PlanterYesMe="me"),"  delivery-only",CONCATENATE(" $",ROUND(AJ2574/G2574,2)," each")))))</f>
        <v/>
      </c>
      <c r="AL2574" s="700"/>
      <c r="AM2574" s="505" t="str">
        <f t="shared" ref="AM2574:AM2637" si="2018">IF(H2574="credit","",IF(AE2574="free","      ~ discounts included, no tax or planting fee applies ~",IF(G2574=0,"",IF(OR(PlanterYesMe="No",PlanterYesMe="N",PlanterYesMe="me"),CONCATENATE(" $",ROUND(AJ2574/G2574,2)," per plant, with tax &amp; discount"),IF(OR(AE2574="me",AE2574="T2G"),CONCATENATE(" $",ROUND(AJ2574/G2574,2)," per plant, with tax &amp; discount"),CONCATENATE("= $",ROUND((K2574*(1-T2GDiscount))/G2574,2)," per plant + $",AC2574/G2574,(" per planting      ~ includes tax &amp; discounts ~")))))))</f>
        <v/>
      </c>
      <c r="AN2574" s="506"/>
      <c r="AO2574" s="507"/>
      <c r="AP2574" s="507"/>
      <c r="AQ2574" s="507"/>
      <c r="AR2574" s="507"/>
      <c r="AS2574" s="507"/>
      <c r="AT2574" s="507"/>
      <c r="AU2574" s="507"/>
      <c r="AV2574" s="225"/>
      <c r="AW2574" s="508"/>
      <c r="AX2574" s="225"/>
      <c r="AY2574" s="225"/>
      <c r="AZ2574" s="225"/>
      <c r="BA2574" s="225"/>
      <c r="BB2574" s="225"/>
      <c r="BC2574" s="56"/>
      <c r="BD2574" s="56"/>
      <c r="BE2574" s="56"/>
      <c r="BF2574" s="107" t="str">
        <f t="shared" ref="BF2574:BF2637" si="2019">"https://www.google.com/search?tbm=isch&amp;q=" &amp; _xlfn.ENCODEURL($A2574 &amp; " " &amp; $D2574)</f>
        <v>https://www.google.com/search?tbm=isch&amp;q=Navajo%20Princess%20Mangave%20Mangave%20%27Navajo%20Princess%27%20PP%2331136%20Mad%20About%20Mangave%C2%AE%20Collection</v>
      </c>
      <c r="BG2574" s="107" t="str">
        <f t="shared" ref="BG2574:BG2637" si="2020">IF(ISTEXT(A2574),LEFT(A2574,1),BG2573)</f>
        <v>N</v>
      </c>
      <c r="BH2574" s="254"/>
      <c r="BI2574" s="254"/>
    </row>
    <row r="2575" spans="1:61" customFormat="1" ht="15.75" x14ac:dyDescent="0.25">
      <c r="A2575" s="485">
        <v>3</v>
      </c>
      <c r="B2575" s="486" t="s">
        <v>291</v>
      </c>
      <c r="C2575" s="487"/>
      <c r="D2575" s="488" t="s">
        <v>300</v>
      </c>
      <c r="E2575" s="489">
        <v>59.95</v>
      </c>
      <c r="F2575" s="516" t="s">
        <v>293</v>
      </c>
      <c r="G2575" s="232">
        <v>0</v>
      </c>
      <c r="H2575" s="658" t="str">
        <f>IF(G2575=0,"",IF(F2575="Buy",IF(G2575=1,"plant","plants"),IF(F2575&gt;0.01,"warranty","Error")))</f>
        <v/>
      </c>
      <c r="I2575" s="490">
        <f>IF(H2575="free",0,IF(H2575="credit",((E2575*(F2575))*G2575*-1),IF(F2575="Buy",(E2575*G2575),((E2575*(1-F2575))*G2575))))</f>
        <v>0</v>
      </c>
      <c r="J2575" s="490">
        <f>IF(H2575="warranty",0,(I2575*(_xlfn.SINGLE(SalesTaxPercentage))))</f>
        <v>0</v>
      </c>
      <c r="K2575" s="695">
        <f t="shared" ref="K2575" si="2021">I2575+J2575</f>
        <v>0</v>
      </c>
      <c r="L2575" s="695"/>
      <c r="M2575" s="659" t="str">
        <f>IF(AND(G2575&gt;0,E2575=0),"WARNING - no PRICE inserted",IF(H2575="free"," FREE ~ no charge this plant",IF(H2575="credit",CONCATENATE(" -$",ROUND(K2575*(1-T2GDiscount)*-1,2)," CREDIT after discount"),IF(T2GDiscount=0,"",IF(G2575=0,"",IF(F2575="Buy",CONCATENATE(" $",ROUND(K2575*(1-T2GDiscount),2)," with ",(T2GDiscount*100),"% discount"),CONCATENATE(" $",ROUND(K2575*(1-T2GDiscount),2)," with ",((T2GDiscount*100+F2575*100)-(T2GDiscount*100*F2575)),IF(F2575&gt;0,"% discounts",IF(NoWarrantyDiscount&gt;0,"% discounts","% discount")))))))))</f>
        <v/>
      </c>
      <c r="N2575" s="660"/>
      <c r="O2575" s="233"/>
      <c r="P2575" s="233"/>
      <c r="Q2575" s="233"/>
      <c r="R2575" s="233"/>
      <c r="S2575" s="233"/>
      <c r="T2575" s="508">
        <f t="shared" si="2008"/>
        <v>0</v>
      </c>
      <c r="U2575" s="225">
        <f>IF(NOT(ISNUMBER(G2575)), "", VLOOKUP(A2575,'Discount Lookup'!D:E,2,FALSE)*G2575)</f>
        <v>0</v>
      </c>
      <c r="V2575" s="225">
        <f>IF(NOT(ISNUMBER(G2575)), "", VLOOKUP(A2575,'Discount Lookup'!G:H,2,FALSE)*G2575)</f>
        <v>0</v>
      </c>
      <c r="W2575" s="508">
        <f t="shared" si="2009"/>
        <v>0</v>
      </c>
      <c r="X2575" s="508">
        <f t="shared" si="2010"/>
        <v>0</v>
      </c>
      <c r="Y2575" s="509" t="b">
        <f t="shared" si="2011"/>
        <v>0</v>
      </c>
      <c r="Z2575" s="510">
        <f t="shared" si="2012"/>
        <v>0</v>
      </c>
      <c r="AA2575" s="511"/>
      <c r="AB2575" s="511" t="str">
        <f t="shared" si="2013"/>
        <v/>
      </c>
      <c r="AC2575" s="698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698"/>
      <c r="AE2575" s="631" t="str">
        <f t="shared" si="2014"/>
        <v/>
      </c>
      <c r="AF2575" s="699" t="str">
        <f t="shared" si="2015"/>
        <v/>
      </c>
      <c r="AG2575" s="699"/>
      <c r="AH2575" s="699"/>
      <c r="AI2575" s="512">
        <f>IF(H2575="credit",0,IF(AE2575="free",0,IF(AE2575="me",0,IF(G2575&gt;0,(VLOOKUP(A2575,'Discount Lookup'!J:K,2)*G2575),0))))</f>
        <v>0</v>
      </c>
      <c r="AJ2575" s="513" t="str">
        <f t="shared" ca="1" si="2016"/>
        <v/>
      </c>
      <c r="AK2575" s="700" t="str">
        <f t="shared" si="2017"/>
        <v/>
      </c>
      <c r="AL2575" s="700"/>
      <c r="AM2575" s="505" t="str">
        <f t="shared" si="2018"/>
        <v/>
      </c>
      <c r="AN2575" s="506"/>
      <c r="AO2575" s="507"/>
      <c r="AP2575" s="507"/>
      <c r="AQ2575" s="507"/>
      <c r="AR2575" s="507"/>
      <c r="AS2575" s="507"/>
      <c r="AT2575" s="507"/>
      <c r="AU2575" s="507"/>
      <c r="AV2575" s="225"/>
      <c r="AW2575" s="508"/>
      <c r="AX2575" s="225"/>
      <c r="AY2575" s="225"/>
      <c r="AZ2575" s="225"/>
      <c r="BA2575" s="225"/>
      <c r="BB2575" s="225"/>
      <c r="BC2575" s="56"/>
      <c r="BD2575" s="56"/>
      <c r="BE2575" s="56"/>
      <c r="BF2575" s="107" t="str">
        <f t="shared" si="2019"/>
        <v>https://www.google.com/search?tbm=isch&amp;q=3%20G6</v>
      </c>
      <c r="BG2575" s="107" t="str">
        <f t="shared" si="2020"/>
        <v>N</v>
      </c>
      <c r="BH2575" s="254"/>
      <c r="BI2575" s="254"/>
    </row>
    <row r="2576" spans="1:61" customFormat="1" ht="16.5" thickBot="1" x14ac:dyDescent="0.3">
      <c r="A2576" s="522" t="s">
        <v>3957</v>
      </c>
      <c r="B2576" s="491"/>
      <c r="C2576" s="675"/>
      <c r="D2576" s="491"/>
      <c r="E2576" s="491"/>
      <c r="F2576" s="492"/>
      <c r="G2576" s="493"/>
      <c r="H2576" s="491"/>
      <c r="I2576" s="234"/>
      <c r="J2576" s="234"/>
      <c r="K2576" s="494"/>
      <c r="L2576" s="543"/>
      <c r="M2576" s="561"/>
      <c r="N2576" s="495"/>
      <c r="O2576" s="496"/>
      <c r="P2576" s="497"/>
      <c r="Q2576" s="495"/>
      <c r="R2576" s="495"/>
      <c r="S2576" s="667" t="s">
        <v>4968</v>
      </c>
      <c r="T2576" s="508">
        <f t="shared" si="2008"/>
        <v>0</v>
      </c>
      <c r="U2576" s="225" t="str">
        <f>IF(NOT(ISNUMBER(G2576)), "", VLOOKUP(A2576,'Discount Lookup'!D:E,2,FALSE)*G2576)</f>
        <v/>
      </c>
      <c r="V2576" s="225" t="str">
        <f>IF(NOT(ISNUMBER(G2576)), "", VLOOKUP(A2576,'Discount Lookup'!G:H,2,FALSE)*G2576)</f>
        <v/>
      </c>
      <c r="W2576" s="508">
        <f t="shared" si="2009"/>
        <v>0</v>
      </c>
      <c r="X2576" s="508">
        <f t="shared" si="2010"/>
        <v>0</v>
      </c>
      <c r="Y2576" s="509" t="b">
        <f t="shared" si="2011"/>
        <v>0</v>
      </c>
      <c r="Z2576" s="510">
        <f t="shared" si="2012"/>
        <v>0</v>
      </c>
      <c r="AA2576" s="511"/>
      <c r="AB2576" s="511" t="str">
        <f t="shared" si="2013"/>
        <v/>
      </c>
      <c r="AC2576" s="698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698"/>
      <c r="AE2576" s="631" t="str">
        <f t="shared" si="2014"/>
        <v/>
      </c>
      <c r="AF2576" s="699" t="str">
        <f t="shared" si="2015"/>
        <v/>
      </c>
      <c r="AG2576" s="699"/>
      <c r="AH2576" s="699"/>
      <c r="AI2576" s="512">
        <f>IF(H2576="credit",0,IF(AE2576="free",0,IF(AE2576="me",0,IF(G2576&gt;0,(VLOOKUP(A2576,'Discount Lookup'!J:K,2)*G2576),0))))</f>
        <v>0</v>
      </c>
      <c r="AJ2576" s="513" t="str">
        <f t="shared" ca="1" si="2016"/>
        <v/>
      </c>
      <c r="AK2576" s="700" t="str">
        <f t="shared" si="2017"/>
        <v/>
      </c>
      <c r="AL2576" s="700"/>
      <c r="AM2576" s="505" t="str">
        <f t="shared" si="2018"/>
        <v/>
      </c>
      <c r="AN2576" s="506"/>
      <c r="AO2576" s="507"/>
      <c r="AP2576" s="507"/>
      <c r="AQ2576" s="507"/>
      <c r="AR2576" s="507"/>
      <c r="AS2576" s="507"/>
      <c r="AT2576" s="507"/>
      <c r="AU2576" s="507"/>
      <c r="AV2576" s="225"/>
      <c r="AW2576" s="508"/>
      <c r="AX2576" s="225"/>
      <c r="AY2576" s="225"/>
      <c r="AZ2576" s="225"/>
      <c r="BA2576" s="225"/>
      <c r="BB2576" s="225"/>
      <c r="BC2576" s="56"/>
      <c r="BD2576" s="56"/>
      <c r="BE2576" s="56"/>
      <c r="BF2576" s="107" t="str">
        <f t="shared" si="2019"/>
        <v>https://www.google.com/search?tbm=isch&amp;q=Navajo%20Princess%20forms%20a%20crisp%2C%20symmetrical%20rosette%20with%20wide%20Creamy%20White%20margins%2C%20Blue-Green%20centers%2C%20and%20Light%20Purple%20freckles%20</v>
      </c>
      <c r="BG2576" s="107" t="str">
        <f t="shared" si="2020"/>
        <v>N</v>
      </c>
      <c r="BH2576" s="254"/>
      <c r="BI2576" s="254"/>
    </row>
    <row r="2577" spans="1:61" customFormat="1" ht="18" x14ac:dyDescent="0.25">
      <c r="A2577" s="521" t="s">
        <v>1413</v>
      </c>
      <c r="B2577" s="477"/>
      <c r="C2577" s="674"/>
      <c r="D2577" s="478" t="s">
        <v>1414</v>
      </c>
      <c r="E2577" s="479"/>
      <c r="F2577" s="479"/>
      <c r="G2577" s="479"/>
      <c r="H2577" s="582" t="s">
        <v>321</v>
      </c>
      <c r="I2577" s="480" t="s">
        <v>2093</v>
      </c>
      <c r="J2577" s="479"/>
      <c r="K2577" s="479"/>
      <c r="L2577" s="560"/>
      <c r="M2577" s="666" t="s">
        <v>4966</v>
      </c>
      <c r="N2577" s="680" t="str">
        <f>IF(AND(ISTEXT($A2577), ISERROR($A2577+0)), HYPERLINK($BF2577, "Images"), "")</f>
        <v>Images</v>
      </c>
      <c r="O2577" s="662" t="s">
        <v>4967</v>
      </c>
      <c r="P2577" s="482"/>
      <c r="Q2577" s="483"/>
      <c r="R2577" s="483"/>
      <c r="S2577" s="484"/>
      <c r="T2577" s="508">
        <f t="shared" si="2008"/>
        <v>0</v>
      </c>
      <c r="U2577" s="225" t="str">
        <f>IF(NOT(ISNUMBER(G2577)), "", VLOOKUP(A2577,'Discount Lookup'!D:E,2,FALSE)*G2577)</f>
        <v/>
      </c>
      <c r="V2577" s="225" t="str">
        <f>IF(NOT(ISNUMBER(G2577)), "", VLOOKUP(A2577,'Discount Lookup'!G:H,2,FALSE)*G2577)</f>
        <v/>
      </c>
      <c r="W2577" s="508">
        <f t="shared" si="2009"/>
        <v>0</v>
      </c>
      <c r="X2577" s="508" t="str">
        <f t="shared" si="2010"/>
        <v>Dark Green foliage</v>
      </c>
      <c r="Y2577" s="509" t="b">
        <f t="shared" si="2011"/>
        <v>0</v>
      </c>
      <c r="Z2577" s="510">
        <f t="shared" si="2012"/>
        <v>0</v>
      </c>
      <c r="AA2577" s="511"/>
      <c r="AB2577" s="511" t="str">
        <f t="shared" si="2013"/>
        <v/>
      </c>
      <c r="AC2577" s="698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698"/>
      <c r="AE2577" s="631" t="str">
        <f t="shared" si="2014"/>
        <v/>
      </c>
      <c r="AF2577" s="699" t="str">
        <f t="shared" si="2015"/>
        <v/>
      </c>
      <c r="AG2577" s="699"/>
      <c r="AH2577" s="699"/>
      <c r="AI2577" s="512">
        <f>IF(H2577="credit",0,IF(AE2577="free",0,IF(AE2577="me",0,IF(G2577&gt;0,(VLOOKUP(A2577,'Discount Lookup'!J:K,2)*G2577),0))))</f>
        <v>0</v>
      </c>
      <c r="AJ2577" s="513" t="str">
        <f t="shared" ca="1" si="2016"/>
        <v/>
      </c>
      <c r="AK2577" s="700" t="str">
        <f t="shared" si="2017"/>
        <v/>
      </c>
      <c r="AL2577" s="700"/>
      <c r="AM2577" s="505" t="str">
        <f t="shared" si="2018"/>
        <v/>
      </c>
      <c r="AN2577" s="506"/>
      <c r="AO2577" s="507"/>
      <c r="AP2577" s="507"/>
      <c r="AQ2577" s="507"/>
      <c r="AR2577" s="507"/>
      <c r="AS2577" s="507"/>
      <c r="AT2577" s="507"/>
      <c r="AU2577" s="507"/>
      <c r="AV2577" s="225"/>
      <c r="AW2577" s="508"/>
      <c r="AX2577" s="225"/>
      <c r="AY2577" s="225"/>
      <c r="AZ2577" s="225"/>
      <c r="BA2577" s="225"/>
      <c r="BB2577" s="225"/>
      <c r="BC2577" s="56"/>
      <c r="BD2577" s="56"/>
      <c r="BE2577" s="56"/>
      <c r="BF2577" s="107" t="str">
        <f t="shared" si="2019"/>
        <v>https://www.google.com/search?tbm=isch&amp;q=Needlepoint%20Holly%20Ilex%20cornuta%20%27Needlepoint%27</v>
      </c>
      <c r="BG2577" s="107" t="str">
        <f t="shared" si="2020"/>
        <v>N</v>
      </c>
      <c r="BH2577" s="254"/>
      <c r="BI2577" s="254"/>
    </row>
    <row r="2578" spans="1:61" customFormat="1" ht="15.75" x14ac:dyDescent="0.25">
      <c r="A2578" s="485">
        <v>3</v>
      </c>
      <c r="B2578" s="486" t="s">
        <v>291</v>
      </c>
      <c r="C2578" s="487" t="s">
        <v>15</v>
      </c>
      <c r="D2578" s="488" t="s">
        <v>298</v>
      </c>
      <c r="E2578" s="489">
        <v>25.95</v>
      </c>
      <c r="F2578" s="516" t="s">
        <v>293</v>
      </c>
      <c r="G2578" s="232">
        <v>0</v>
      </c>
      <c r="H2578" s="658" t="str">
        <f t="shared" ref="H2578:H2588" si="2022">IF(G2578=0,"",IF(F2578="Buy",IF(G2578=1,"plant","plants"),IF(F2578&gt;0.01,"warranty","Error")))</f>
        <v/>
      </c>
      <c r="I2578" s="490">
        <f t="shared" ref="I2578:I2588" si="2023">IF(H2578="free",0,IF(H2578="credit",((E2578*(F2578))*G2578*-1),IF(F2578="Buy",(E2578*G2578),((E2578*(1-F2578))*G2578))))</f>
        <v>0</v>
      </c>
      <c r="J2578" s="490">
        <f t="shared" ref="J2578:J2588" si="2024">IF(H2578="warranty",0,(I2578*(_xlfn.SINGLE(SalesTaxPercentage))))</f>
        <v>0</v>
      </c>
      <c r="K2578" s="695">
        <f t="shared" ref="K2578" si="2025">I2578+J2578</f>
        <v>0</v>
      </c>
      <c r="L2578" s="695"/>
      <c r="M2578" s="659" t="str">
        <f t="shared" ref="M2578:M2588" si="2026">IF(AND(G2578&gt;0,E2578=0),"WARNING - no PRICE inserted",IF(H2578="free"," FREE ~ no charge this plant",IF(H2578="credit",CONCATENATE(" -$",ROUND(K2578*(1-T2GDiscount)*-1,2)," CREDIT after discount"),IF(T2GDiscount=0,"",IF(G2578=0,"",IF(F2578="Buy",CONCATENATE(" $",ROUND(K2578*(1-T2GDiscount),2)," with ",(T2GDiscount*100),"% discount"),CONCATENATE(" $",ROUND(K2578*(1-T2GDiscount),2)," with ",((T2GDiscount*100+F2578*100)-(T2GDiscount*100*F2578)),IF(F2578&gt;0,"% discounts",IF(NoWarrantyDiscount&gt;0,"% discounts","% discount")))))))))</f>
        <v/>
      </c>
      <c r="N2578" s="660"/>
      <c r="O2578" s="233"/>
      <c r="P2578" s="233"/>
      <c r="Q2578" s="233"/>
      <c r="R2578" s="233"/>
      <c r="S2578" s="233"/>
      <c r="T2578" s="508">
        <f t="shared" si="2008"/>
        <v>0</v>
      </c>
      <c r="U2578" s="225">
        <f>IF(NOT(ISNUMBER(G2578)), "", VLOOKUP(A2578,'Discount Lookup'!D:E,2,FALSE)*G2578)</f>
        <v>0</v>
      </c>
      <c r="V2578" s="225">
        <f>IF(NOT(ISNUMBER(G2578)), "", VLOOKUP(A2578,'Discount Lookup'!G:H,2,FALSE)*G2578)</f>
        <v>0</v>
      </c>
      <c r="W2578" s="508">
        <f t="shared" si="2009"/>
        <v>0</v>
      </c>
      <c r="X2578" s="508">
        <f t="shared" si="2010"/>
        <v>0</v>
      </c>
      <c r="Y2578" s="509" t="b">
        <f t="shared" si="2011"/>
        <v>0</v>
      </c>
      <c r="Z2578" s="510">
        <f t="shared" si="2012"/>
        <v>0</v>
      </c>
      <c r="AA2578" s="511"/>
      <c r="AB2578" s="511" t="str">
        <f t="shared" si="2013"/>
        <v/>
      </c>
      <c r="AC2578" s="698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698"/>
      <c r="AE2578" s="631" t="str">
        <f t="shared" si="2014"/>
        <v/>
      </c>
      <c r="AF2578" s="699" t="str">
        <f t="shared" si="2015"/>
        <v/>
      </c>
      <c r="AG2578" s="699"/>
      <c r="AH2578" s="699"/>
      <c r="AI2578" s="512">
        <f>IF(H2578="credit",0,IF(AE2578="free",0,IF(AE2578="me",0,IF(G2578&gt;0,(VLOOKUP(A2578,'Discount Lookup'!J:K,2)*G2578),0))))</f>
        <v>0</v>
      </c>
      <c r="AJ2578" s="513" t="str">
        <f t="shared" ca="1" si="2016"/>
        <v/>
      </c>
      <c r="AK2578" s="700" t="str">
        <f t="shared" si="2017"/>
        <v/>
      </c>
      <c r="AL2578" s="700"/>
      <c r="AM2578" s="505" t="str">
        <f t="shared" si="2018"/>
        <v/>
      </c>
      <c r="AN2578" s="506"/>
      <c r="AO2578" s="507"/>
      <c r="AP2578" s="507"/>
      <c r="AQ2578" s="507"/>
      <c r="AR2578" s="507"/>
      <c r="AS2578" s="507"/>
      <c r="AT2578" s="507"/>
      <c r="AU2578" s="507"/>
      <c r="AV2578" s="225"/>
      <c r="AW2578" s="508"/>
      <c r="AX2578" s="225"/>
      <c r="AY2578" s="225"/>
      <c r="AZ2578" s="225"/>
      <c r="BA2578" s="225"/>
      <c r="BB2578" s="225"/>
      <c r="BC2578" s="56"/>
      <c r="BD2578" s="56"/>
      <c r="BE2578" s="56"/>
      <c r="BF2578" s="107" t="str">
        <f t="shared" si="2019"/>
        <v>https://www.google.com/search?tbm=isch&amp;q=3%20G1</v>
      </c>
      <c r="BG2578" s="107" t="str">
        <f t="shared" si="2020"/>
        <v>N</v>
      </c>
      <c r="BH2578" s="254"/>
      <c r="BI2578" s="254"/>
    </row>
    <row r="2579" spans="1:61" customFormat="1" ht="15.75" x14ac:dyDescent="0.25">
      <c r="A2579" s="485">
        <v>3</v>
      </c>
      <c r="B2579" s="486" t="s">
        <v>291</v>
      </c>
      <c r="C2579" s="487" t="s">
        <v>4008</v>
      </c>
      <c r="D2579" s="488" t="s">
        <v>300</v>
      </c>
      <c r="E2579" s="489">
        <v>25.95</v>
      </c>
      <c r="F2579" s="516" t="s">
        <v>293</v>
      </c>
      <c r="G2579" s="232">
        <v>0</v>
      </c>
      <c r="H2579" s="658" t="str">
        <f t="shared" si="2022"/>
        <v/>
      </c>
      <c r="I2579" s="490">
        <f t="shared" si="2023"/>
        <v>0</v>
      </c>
      <c r="J2579" s="490">
        <f t="shared" si="2024"/>
        <v>0</v>
      </c>
      <c r="K2579" s="695">
        <f t="shared" ref="K2579" si="2027">I2579+J2579</f>
        <v>0</v>
      </c>
      <c r="L2579" s="695"/>
      <c r="M2579" s="659" t="str">
        <f t="shared" si="2026"/>
        <v/>
      </c>
      <c r="N2579" s="660"/>
      <c r="O2579" s="233"/>
      <c r="P2579" s="233"/>
      <c r="Q2579" s="233"/>
      <c r="R2579" s="233"/>
      <c r="S2579" s="233"/>
      <c r="T2579" s="508">
        <f t="shared" si="2008"/>
        <v>0</v>
      </c>
      <c r="U2579" s="225">
        <f>IF(NOT(ISNUMBER(G2579)), "", VLOOKUP(A2579,'Discount Lookup'!D:E,2,FALSE)*G2579)</f>
        <v>0</v>
      </c>
      <c r="V2579" s="225">
        <f>IF(NOT(ISNUMBER(G2579)), "", VLOOKUP(A2579,'Discount Lookup'!G:H,2,FALSE)*G2579)</f>
        <v>0</v>
      </c>
      <c r="W2579" s="508">
        <f t="shared" si="2009"/>
        <v>0</v>
      </c>
      <c r="X2579" s="508">
        <f t="shared" si="2010"/>
        <v>0</v>
      </c>
      <c r="Y2579" s="509" t="b">
        <f t="shared" si="2011"/>
        <v>0</v>
      </c>
      <c r="Z2579" s="510">
        <f t="shared" si="2012"/>
        <v>0</v>
      </c>
      <c r="AA2579" s="511"/>
      <c r="AB2579" s="511" t="str">
        <f t="shared" si="2013"/>
        <v/>
      </c>
      <c r="AC2579" s="698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698"/>
      <c r="AE2579" s="631" t="str">
        <f t="shared" si="2014"/>
        <v/>
      </c>
      <c r="AF2579" s="699" t="str">
        <f t="shared" si="2015"/>
        <v/>
      </c>
      <c r="AG2579" s="699"/>
      <c r="AH2579" s="699"/>
      <c r="AI2579" s="512">
        <f>IF(H2579="credit",0,IF(AE2579="free",0,IF(AE2579="me",0,IF(G2579&gt;0,(VLOOKUP(A2579,'Discount Lookup'!J:K,2)*G2579),0))))</f>
        <v>0</v>
      </c>
      <c r="AJ2579" s="513" t="str">
        <f t="shared" ca="1" si="2016"/>
        <v/>
      </c>
      <c r="AK2579" s="700" t="str">
        <f t="shared" si="2017"/>
        <v/>
      </c>
      <c r="AL2579" s="700"/>
      <c r="AM2579" s="505" t="str">
        <f t="shared" si="2018"/>
        <v/>
      </c>
      <c r="AN2579" s="506"/>
      <c r="AO2579" s="507"/>
      <c r="AP2579" s="507"/>
      <c r="AQ2579" s="507"/>
      <c r="AR2579" s="507"/>
      <c r="AS2579" s="507"/>
      <c r="AT2579" s="507"/>
      <c r="AU2579" s="507"/>
      <c r="AV2579" s="225"/>
      <c r="AW2579" s="508"/>
      <c r="AX2579" s="225"/>
      <c r="AY2579" s="225"/>
      <c r="AZ2579" s="225"/>
      <c r="BA2579" s="225"/>
      <c r="BB2579" s="225"/>
      <c r="BC2579" s="56"/>
      <c r="BD2579" s="56"/>
      <c r="BE2579" s="56"/>
      <c r="BF2579" s="107" t="str">
        <f t="shared" si="2019"/>
        <v>https://www.google.com/search?tbm=isch&amp;q=3%20G6</v>
      </c>
      <c r="BG2579" s="107" t="str">
        <f t="shared" si="2020"/>
        <v>N</v>
      </c>
      <c r="BH2579" s="254"/>
      <c r="BI2579" s="254"/>
    </row>
    <row r="2580" spans="1:61" customFormat="1" ht="27" x14ac:dyDescent="0.25">
      <c r="A2580" s="485">
        <v>3</v>
      </c>
      <c r="B2580" s="486" t="s">
        <v>291</v>
      </c>
      <c r="C2580" s="487" t="s">
        <v>4682</v>
      </c>
      <c r="D2580" s="488" t="s">
        <v>299</v>
      </c>
      <c r="E2580" s="489">
        <v>27.95</v>
      </c>
      <c r="F2580" s="516" t="s">
        <v>293</v>
      </c>
      <c r="G2580" s="232">
        <v>0</v>
      </c>
      <c r="H2580" s="658" t="str">
        <f t="shared" si="2022"/>
        <v/>
      </c>
      <c r="I2580" s="490">
        <f t="shared" si="2023"/>
        <v>0</v>
      </c>
      <c r="J2580" s="490">
        <f t="shared" si="2024"/>
        <v>0</v>
      </c>
      <c r="K2580" s="695">
        <f t="shared" ref="K2580" si="2028">I2580+J2580</f>
        <v>0</v>
      </c>
      <c r="L2580" s="695"/>
      <c r="M2580" s="659" t="str">
        <f t="shared" si="2026"/>
        <v/>
      </c>
      <c r="N2580" s="660"/>
      <c r="O2580" s="233"/>
      <c r="P2580" s="233"/>
      <c r="Q2580" s="233"/>
      <c r="R2580" s="233"/>
      <c r="S2580" s="233"/>
      <c r="T2580" s="508">
        <f t="shared" si="2008"/>
        <v>0</v>
      </c>
      <c r="U2580" s="225">
        <f>IF(NOT(ISNUMBER(G2580)), "", VLOOKUP(A2580,'Discount Lookup'!D:E,2,FALSE)*G2580)</f>
        <v>0</v>
      </c>
      <c r="V2580" s="225">
        <f>IF(NOT(ISNUMBER(G2580)), "", VLOOKUP(A2580,'Discount Lookup'!G:H,2,FALSE)*G2580)</f>
        <v>0</v>
      </c>
      <c r="W2580" s="508">
        <f t="shared" si="2009"/>
        <v>0</v>
      </c>
      <c r="X2580" s="508">
        <f t="shared" si="2010"/>
        <v>0</v>
      </c>
      <c r="Y2580" s="509" t="b">
        <f t="shared" si="2011"/>
        <v>0</v>
      </c>
      <c r="Z2580" s="510">
        <f t="shared" si="2012"/>
        <v>0</v>
      </c>
      <c r="AA2580" s="511"/>
      <c r="AB2580" s="511" t="str">
        <f t="shared" si="2013"/>
        <v/>
      </c>
      <c r="AC2580" s="698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698"/>
      <c r="AE2580" s="631" t="str">
        <f t="shared" si="2014"/>
        <v/>
      </c>
      <c r="AF2580" s="699" t="str">
        <f t="shared" si="2015"/>
        <v/>
      </c>
      <c r="AG2580" s="699"/>
      <c r="AH2580" s="699"/>
      <c r="AI2580" s="512">
        <f>IF(H2580="credit",0,IF(AE2580="free",0,IF(AE2580="me",0,IF(G2580&gt;0,(VLOOKUP(A2580,'Discount Lookup'!J:K,2)*G2580),0))))</f>
        <v>0</v>
      </c>
      <c r="AJ2580" s="513" t="str">
        <f t="shared" ca="1" si="2016"/>
        <v/>
      </c>
      <c r="AK2580" s="700" t="str">
        <f t="shared" si="2017"/>
        <v/>
      </c>
      <c r="AL2580" s="700"/>
      <c r="AM2580" s="505" t="str">
        <f t="shared" si="2018"/>
        <v/>
      </c>
      <c r="AN2580" s="506"/>
      <c r="AO2580" s="507"/>
      <c r="AP2580" s="507"/>
      <c r="AQ2580" s="507"/>
      <c r="AR2580" s="507"/>
      <c r="AS2580" s="507"/>
      <c r="AT2580" s="507"/>
      <c r="AU2580" s="507"/>
      <c r="AV2580" s="225"/>
      <c r="AW2580" s="508"/>
      <c r="AX2580" s="225"/>
      <c r="AY2580" s="225"/>
      <c r="AZ2580" s="225"/>
      <c r="BA2580" s="225"/>
      <c r="BB2580" s="225"/>
      <c r="BC2580" s="56"/>
      <c r="BD2580" s="56"/>
      <c r="BE2580" s="56"/>
      <c r="BF2580" s="107" t="str">
        <f t="shared" si="2019"/>
        <v>https://www.google.com/search?tbm=isch&amp;q=3%20G5</v>
      </c>
      <c r="BG2580" s="107" t="str">
        <f t="shared" si="2020"/>
        <v>N</v>
      </c>
      <c r="BH2580" s="254"/>
      <c r="BI2580" s="254"/>
    </row>
    <row r="2581" spans="1:61" customFormat="1" ht="15.75" x14ac:dyDescent="0.25">
      <c r="A2581" s="485">
        <v>7</v>
      </c>
      <c r="B2581" s="486" t="s">
        <v>291</v>
      </c>
      <c r="C2581" s="487" t="s">
        <v>328</v>
      </c>
      <c r="D2581" s="488" t="s">
        <v>298</v>
      </c>
      <c r="E2581" s="489">
        <v>56.95</v>
      </c>
      <c r="F2581" s="516" t="s">
        <v>293</v>
      </c>
      <c r="G2581" s="232">
        <v>0</v>
      </c>
      <c r="H2581" s="658" t="str">
        <f t="shared" si="2022"/>
        <v/>
      </c>
      <c r="I2581" s="490">
        <f t="shared" si="2023"/>
        <v>0</v>
      </c>
      <c r="J2581" s="490">
        <f t="shared" si="2024"/>
        <v>0</v>
      </c>
      <c r="K2581" s="695">
        <f t="shared" ref="K2581" si="2029">I2581+J2581</f>
        <v>0</v>
      </c>
      <c r="L2581" s="695"/>
      <c r="M2581" s="659" t="str">
        <f t="shared" si="2026"/>
        <v/>
      </c>
      <c r="N2581" s="660"/>
      <c r="O2581" s="233"/>
      <c r="P2581" s="233"/>
      <c r="Q2581" s="233"/>
      <c r="R2581" s="233"/>
      <c r="S2581" s="233"/>
      <c r="T2581" s="508">
        <f t="shared" si="2008"/>
        <v>0</v>
      </c>
      <c r="U2581" s="225">
        <f>IF(NOT(ISNUMBER(G2581)), "", VLOOKUP(A2581,'Discount Lookup'!D:E,2,FALSE)*G2581)</f>
        <v>0</v>
      </c>
      <c r="V2581" s="225">
        <f>IF(NOT(ISNUMBER(G2581)), "", VLOOKUP(A2581,'Discount Lookup'!G:H,2,FALSE)*G2581)</f>
        <v>0</v>
      </c>
      <c r="W2581" s="508">
        <f t="shared" si="2009"/>
        <v>0</v>
      </c>
      <c r="X2581" s="508">
        <f t="shared" si="2010"/>
        <v>0</v>
      </c>
      <c r="Y2581" s="509" t="b">
        <f t="shared" si="2011"/>
        <v>0</v>
      </c>
      <c r="Z2581" s="510">
        <f t="shared" si="2012"/>
        <v>0</v>
      </c>
      <c r="AA2581" s="511"/>
      <c r="AB2581" s="511" t="str">
        <f t="shared" si="2013"/>
        <v/>
      </c>
      <c r="AC2581" s="698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698"/>
      <c r="AE2581" s="631" t="str">
        <f t="shared" si="2014"/>
        <v/>
      </c>
      <c r="AF2581" s="699" t="str">
        <f t="shared" si="2015"/>
        <v/>
      </c>
      <c r="AG2581" s="699"/>
      <c r="AH2581" s="699"/>
      <c r="AI2581" s="512">
        <f>IF(H2581="credit",0,IF(AE2581="free",0,IF(AE2581="me",0,IF(G2581&gt;0,(VLOOKUP(A2581,'Discount Lookup'!J:K,2)*G2581),0))))</f>
        <v>0</v>
      </c>
      <c r="AJ2581" s="513" t="str">
        <f t="shared" ca="1" si="2016"/>
        <v/>
      </c>
      <c r="AK2581" s="700" t="str">
        <f t="shared" si="2017"/>
        <v/>
      </c>
      <c r="AL2581" s="700"/>
      <c r="AM2581" s="505" t="str">
        <f t="shared" si="2018"/>
        <v/>
      </c>
      <c r="AN2581" s="506"/>
      <c r="AO2581" s="507"/>
      <c r="AP2581" s="507"/>
      <c r="AQ2581" s="507"/>
      <c r="AR2581" s="507"/>
      <c r="AS2581" s="507"/>
      <c r="AT2581" s="507"/>
      <c r="AU2581" s="507"/>
      <c r="AV2581" s="225"/>
      <c r="AW2581" s="508"/>
      <c r="AX2581" s="225"/>
      <c r="AY2581" s="225"/>
      <c r="AZ2581" s="225"/>
      <c r="BA2581" s="225"/>
      <c r="BB2581" s="225"/>
      <c r="BC2581" s="56"/>
      <c r="BD2581" s="56"/>
      <c r="BE2581" s="56"/>
      <c r="BF2581" s="107" t="str">
        <f t="shared" si="2019"/>
        <v>https://www.google.com/search?tbm=isch&amp;q=7%20G1</v>
      </c>
      <c r="BG2581" s="107" t="str">
        <f t="shared" si="2020"/>
        <v>N</v>
      </c>
      <c r="BH2581" s="254"/>
      <c r="BI2581" s="254"/>
    </row>
    <row r="2582" spans="1:61" customFormat="1" ht="15.75" x14ac:dyDescent="0.25">
      <c r="A2582" s="485">
        <v>7</v>
      </c>
      <c r="B2582" s="486" t="s">
        <v>291</v>
      </c>
      <c r="C2582" s="487" t="s">
        <v>2776</v>
      </c>
      <c r="D2582" s="488" t="s">
        <v>297</v>
      </c>
      <c r="E2582" s="489">
        <v>56.95</v>
      </c>
      <c r="F2582" s="516" t="s">
        <v>293</v>
      </c>
      <c r="G2582" s="232">
        <v>0</v>
      </c>
      <c r="H2582" s="658" t="str">
        <f t="shared" si="2022"/>
        <v/>
      </c>
      <c r="I2582" s="490">
        <f t="shared" si="2023"/>
        <v>0</v>
      </c>
      <c r="J2582" s="490">
        <f t="shared" si="2024"/>
        <v>0</v>
      </c>
      <c r="K2582" s="695">
        <f t="shared" ref="K2582" si="2030">I2582+J2582</f>
        <v>0</v>
      </c>
      <c r="L2582" s="695"/>
      <c r="M2582" s="659" t="str">
        <f t="shared" si="2026"/>
        <v/>
      </c>
      <c r="N2582" s="660"/>
      <c r="O2582" s="233"/>
      <c r="P2582" s="233"/>
      <c r="Q2582" s="233"/>
      <c r="R2582" s="233"/>
      <c r="S2582" s="233"/>
      <c r="T2582" s="508">
        <f t="shared" si="2008"/>
        <v>0</v>
      </c>
      <c r="U2582" s="225">
        <f>IF(NOT(ISNUMBER(G2582)), "", VLOOKUP(A2582,'Discount Lookup'!D:E,2,FALSE)*G2582)</f>
        <v>0</v>
      </c>
      <c r="V2582" s="225">
        <f>IF(NOT(ISNUMBER(G2582)), "", VLOOKUP(A2582,'Discount Lookup'!G:H,2,FALSE)*G2582)</f>
        <v>0</v>
      </c>
      <c r="W2582" s="508">
        <f t="shared" si="2009"/>
        <v>0</v>
      </c>
      <c r="X2582" s="508">
        <f t="shared" si="2010"/>
        <v>0</v>
      </c>
      <c r="Y2582" s="509" t="b">
        <f t="shared" si="2011"/>
        <v>0</v>
      </c>
      <c r="Z2582" s="510">
        <f t="shared" si="2012"/>
        <v>0</v>
      </c>
      <c r="AA2582" s="511"/>
      <c r="AB2582" s="511" t="str">
        <f t="shared" si="2013"/>
        <v/>
      </c>
      <c r="AC2582" s="698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698"/>
      <c r="AE2582" s="631" t="str">
        <f t="shared" si="2014"/>
        <v/>
      </c>
      <c r="AF2582" s="699" t="str">
        <f t="shared" si="2015"/>
        <v/>
      </c>
      <c r="AG2582" s="699"/>
      <c r="AH2582" s="699"/>
      <c r="AI2582" s="512">
        <f>IF(H2582="credit",0,IF(AE2582="free",0,IF(AE2582="me",0,IF(G2582&gt;0,(VLOOKUP(A2582,'Discount Lookup'!J:K,2)*G2582),0))))</f>
        <v>0</v>
      </c>
      <c r="AJ2582" s="513" t="str">
        <f t="shared" ca="1" si="2016"/>
        <v/>
      </c>
      <c r="AK2582" s="700" t="str">
        <f t="shared" si="2017"/>
        <v/>
      </c>
      <c r="AL2582" s="700"/>
      <c r="AM2582" s="505" t="str">
        <f t="shared" si="2018"/>
        <v/>
      </c>
      <c r="AN2582" s="506"/>
      <c r="AO2582" s="507"/>
      <c r="AP2582" s="507"/>
      <c r="AQ2582" s="507"/>
      <c r="AR2582" s="507"/>
      <c r="AS2582" s="507"/>
      <c r="AT2582" s="507"/>
      <c r="AU2582" s="507"/>
      <c r="AV2582" s="225"/>
      <c r="AW2582" s="508"/>
      <c r="AX2582" s="225"/>
      <c r="AY2582" s="225"/>
      <c r="AZ2582" s="225"/>
      <c r="BA2582" s="225"/>
      <c r="BB2582" s="225"/>
      <c r="BC2582" s="56"/>
      <c r="BD2582" s="56"/>
      <c r="BE2582" s="56"/>
      <c r="BF2582" s="107" t="str">
        <f t="shared" si="2019"/>
        <v>https://www.google.com/search?tbm=isch&amp;q=7%20G3</v>
      </c>
      <c r="BG2582" s="107" t="str">
        <f t="shared" si="2020"/>
        <v>N</v>
      </c>
      <c r="BH2582" s="254"/>
      <c r="BI2582" s="254"/>
    </row>
    <row r="2583" spans="1:61" customFormat="1" ht="15.75" x14ac:dyDescent="0.25">
      <c r="A2583" s="485">
        <v>7</v>
      </c>
      <c r="B2583" s="486" t="s">
        <v>291</v>
      </c>
      <c r="C2583" s="487" t="s">
        <v>2777</v>
      </c>
      <c r="D2583" s="488" t="s">
        <v>299</v>
      </c>
      <c r="E2583" s="489">
        <v>62.95</v>
      </c>
      <c r="F2583" s="516" t="s">
        <v>293</v>
      </c>
      <c r="G2583" s="232">
        <v>0</v>
      </c>
      <c r="H2583" s="658" t="str">
        <f t="shared" si="2022"/>
        <v/>
      </c>
      <c r="I2583" s="490">
        <f t="shared" si="2023"/>
        <v>0</v>
      </c>
      <c r="J2583" s="490">
        <f t="shared" si="2024"/>
        <v>0</v>
      </c>
      <c r="K2583" s="695">
        <f t="shared" ref="K2583" si="2031">I2583+J2583</f>
        <v>0</v>
      </c>
      <c r="L2583" s="695"/>
      <c r="M2583" s="659" t="str">
        <f t="shared" si="2026"/>
        <v/>
      </c>
      <c r="N2583" s="660"/>
      <c r="O2583" s="233"/>
      <c r="P2583" s="233"/>
      <c r="Q2583" s="233"/>
      <c r="R2583" s="233"/>
      <c r="S2583" s="233"/>
      <c r="T2583" s="508">
        <f t="shared" si="2008"/>
        <v>0</v>
      </c>
      <c r="U2583" s="225">
        <f>IF(NOT(ISNUMBER(G2583)), "", VLOOKUP(A2583,'Discount Lookup'!D:E,2,FALSE)*G2583)</f>
        <v>0</v>
      </c>
      <c r="V2583" s="225">
        <f>IF(NOT(ISNUMBER(G2583)), "", VLOOKUP(A2583,'Discount Lookup'!G:H,2,FALSE)*G2583)</f>
        <v>0</v>
      </c>
      <c r="W2583" s="508">
        <f t="shared" si="2009"/>
        <v>0</v>
      </c>
      <c r="X2583" s="508">
        <f t="shared" si="2010"/>
        <v>0</v>
      </c>
      <c r="Y2583" s="509" t="b">
        <f t="shared" si="2011"/>
        <v>0</v>
      </c>
      <c r="Z2583" s="510">
        <f t="shared" si="2012"/>
        <v>0</v>
      </c>
      <c r="AA2583" s="511"/>
      <c r="AB2583" s="511" t="str">
        <f t="shared" si="2013"/>
        <v/>
      </c>
      <c r="AC2583" s="698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698"/>
      <c r="AE2583" s="631" t="str">
        <f t="shared" si="2014"/>
        <v/>
      </c>
      <c r="AF2583" s="699" t="str">
        <f t="shared" si="2015"/>
        <v/>
      </c>
      <c r="AG2583" s="699"/>
      <c r="AH2583" s="699"/>
      <c r="AI2583" s="512">
        <f>IF(H2583="credit",0,IF(AE2583="free",0,IF(AE2583="me",0,IF(G2583&gt;0,(VLOOKUP(A2583,'Discount Lookup'!J:K,2)*G2583),0))))</f>
        <v>0</v>
      </c>
      <c r="AJ2583" s="513" t="str">
        <f t="shared" ca="1" si="2016"/>
        <v/>
      </c>
      <c r="AK2583" s="700" t="str">
        <f t="shared" si="2017"/>
        <v/>
      </c>
      <c r="AL2583" s="700"/>
      <c r="AM2583" s="505" t="str">
        <f t="shared" si="2018"/>
        <v/>
      </c>
      <c r="AN2583" s="506"/>
      <c r="AO2583" s="507"/>
      <c r="AP2583" s="507"/>
      <c r="AQ2583" s="507"/>
      <c r="AR2583" s="507"/>
      <c r="AS2583" s="507"/>
      <c r="AT2583" s="507"/>
      <c r="AU2583" s="507"/>
      <c r="AV2583" s="225"/>
      <c r="AW2583" s="508"/>
      <c r="AX2583" s="225"/>
      <c r="AY2583" s="225"/>
      <c r="AZ2583" s="225"/>
      <c r="BA2583" s="225"/>
      <c r="BB2583" s="225"/>
      <c r="BC2583" s="56"/>
      <c r="BD2583" s="56"/>
      <c r="BE2583" s="56"/>
      <c r="BF2583" s="107" t="str">
        <f t="shared" si="2019"/>
        <v>https://www.google.com/search?tbm=isch&amp;q=7%20G5</v>
      </c>
      <c r="BG2583" s="107" t="str">
        <f t="shared" si="2020"/>
        <v>N</v>
      </c>
      <c r="BH2583" s="254"/>
      <c r="BI2583" s="254"/>
    </row>
    <row r="2584" spans="1:61" customFormat="1" ht="15.75" x14ac:dyDescent="0.25">
      <c r="A2584" s="485">
        <v>7</v>
      </c>
      <c r="B2584" s="486" t="s">
        <v>291</v>
      </c>
      <c r="C2584" s="487" t="s">
        <v>4430</v>
      </c>
      <c r="D2584" s="488" t="s">
        <v>292</v>
      </c>
      <c r="E2584" s="489">
        <v>68.95</v>
      </c>
      <c r="F2584" s="516" t="s">
        <v>293</v>
      </c>
      <c r="G2584" s="232">
        <v>0</v>
      </c>
      <c r="H2584" s="658" t="str">
        <f t="shared" si="2022"/>
        <v/>
      </c>
      <c r="I2584" s="490">
        <f t="shared" si="2023"/>
        <v>0</v>
      </c>
      <c r="J2584" s="490">
        <f t="shared" si="2024"/>
        <v>0</v>
      </c>
      <c r="K2584" s="695">
        <f t="shared" ref="K2584" si="2032">I2584+J2584</f>
        <v>0</v>
      </c>
      <c r="L2584" s="695"/>
      <c r="M2584" s="659" t="str">
        <f t="shared" si="2026"/>
        <v/>
      </c>
      <c r="N2584" s="660"/>
      <c r="O2584" s="233"/>
      <c r="P2584" s="233"/>
      <c r="Q2584" s="233"/>
      <c r="R2584" s="233"/>
      <c r="S2584" s="233"/>
      <c r="T2584" s="508">
        <f t="shared" si="2008"/>
        <v>0</v>
      </c>
      <c r="U2584" s="225">
        <f>IF(NOT(ISNUMBER(G2584)), "", VLOOKUP(A2584,'Discount Lookup'!D:E,2,FALSE)*G2584)</f>
        <v>0</v>
      </c>
      <c r="V2584" s="225">
        <f>IF(NOT(ISNUMBER(G2584)), "", VLOOKUP(A2584,'Discount Lookup'!G:H,2,FALSE)*G2584)</f>
        <v>0</v>
      </c>
      <c r="W2584" s="508">
        <f t="shared" si="2009"/>
        <v>0</v>
      </c>
      <c r="X2584" s="508">
        <f t="shared" si="2010"/>
        <v>0</v>
      </c>
      <c r="Y2584" s="509" t="b">
        <f t="shared" si="2011"/>
        <v>0</v>
      </c>
      <c r="Z2584" s="510">
        <f t="shared" si="2012"/>
        <v>0</v>
      </c>
      <c r="AA2584" s="511"/>
      <c r="AB2584" s="511" t="str">
        <f t="shared" si="2013"/>
        <v/>
      </c>
      <c r="AC2584" s="698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698"/>
      <c r="AE2584" s="631" t="str">
        <f t="shared" si="2014"/>
        <v/>
      </c>
      <c r="AF2584" s="699" t="str">
        <f t="shared" si="2015"/>
        <v/>
      </c>
      <c r="AG2584" s="699"/>
      <c r="AH2584" s="699"/>
      <c r="AI2584" s="512">
        <f>IF(H2584="credit",0,IF(AE2584="free",0,IF(AE2584="me",0,IF(G2584&gt;0,(VLOOKUP(A2584,'Discount Lookup'!J:K,2)*G2584),0))))</f>
        <v>0</v>
      </c>
      <c r="AJ2584" s="513" t="str">
        <f t="shared" ca="1" si="2016"/>
        <v/>
      </c>
      <c r="AK2584" s="700" t="str">
        <f t="shared" si="2017"/>
        <v/>
      </c>
      <c r="AL2584" s="700"/>
      <c r="AM2584" s="505" t="str">
        <f t="shared" si="2018"/>
        <v/>
      </c>
      <c r="AN2584" s="506"/>
      <c r="AO2584" s="507"/>
      <c r="AP2584" s="507"/>
      <c r="AQ2584" s="507"/>
      <c r="AR2584" s="507"/>
      <c r="AS2584" s="507"/>
      <c r="AT2584" s="507"/>
      <c r="AU2584" s="507"/>
      <c r="AV2584" s="225"/>
      <c r="AW2584" s="508"/>
      <c r="AX2584" s="225"/>
      <c r="AY2584" s="225"/>
      <c r="AZ2584" s="225"/>
      <c r="BA2584" s="225"/>
      <c r="BB2584" s="225"/>
      <c r="BC2584" s="56"/>
      <c r="BD2584" s="56"/>
      <c r="BE2584" s="56"/>
      <c r="BF2584" s="107" t="str">
        <f t="shared" si="2019"/>
        <v>https://www.google.com/search?tbm=isch&amp;q=7%20G4</v>
      </c>
      <c r="BG2584" s="107" t="str">
        <f t="shared" si="2020"/>
        <v>N</v>
      </c>
      <c r="BH2584" s="254"/>
      <c r="BI2584" s="254"/>
    </row>
    <row r="2585" spans="1:61" customFormat="1" ht="15.75" x14ac:dyDescent="0.25">
      <c r="A2585" s="485">
        <v>10</v>
      </c>
      <c r="B2585" s="486" t="s">
        <v>291</v>
      </c>
      <c r="C2585" s="487" t="s">
        <v>1415</v>
      </c>
      <c r="D2585" s="488" t="s">
        <v>297</v>
      </c>
      <c r="E2585" s="489">
        <v>83.95</v>
      </c>
      <c r="F2585" s="516" t="s">
        <v>293</v>
      </c>
      <c r="G2585" s="232">
        <v>0</v>
      </c>
      <c r="H2585" s="658" t="str">
        <f t="shared" si="2022"/>
        <v/>
      </c>
      <c r="I2585" s="490">
        <f t="shared" si="2023"/>
        <v>0</v>
      </c>
      <c r="J2585" s="490">
        <f t="shared" si="2024"/>
        <v>0</v>
      </c>
      <c r="K2585" s="695">
        <f t="shared" ref="K2585" si="2033">I2585+J2585</f>
        <v>0</v>
      </c>
      <c r="L2585" s="695"/>
      <c r="M2585" s="659" t="str">
        <f t="shared" si="2026"/>
        <v/>
      </c>
      <c r="N2585" s="660"/>
      <c r="O2585" s="233"/>
      <c r="P2585" s="233"/>
      <c r="Q2585" s="233"/>
      <c r="R2585" s="233"/>
      <c r="S2585" s="233"/>
      <c r="T2585" s="508">
        <f t="shared" si="2008"/>
        <v>0</v>
      </c>
      <c r="U2585" s="225">
        <f>IF(NOT(ISNUMBER(G2585)), "", VLOOKUP(A2585,'Discount Lookup'!D:E,2,FALSE)*G2585)</f>
        <v>0</v>
      </c>
      <c r="V2585" s="225">
        <f>IF(NOT(ISNUMBER(G2585)), "", VLOOKUP(A2585,'Discount Lookup'!G:H,2,FALSE)*G2585)</f>
        <v>0</v>
      </c>
      <c r="W2585" s="508">
        <f t="shared" si="2009"/>
        <v>0</v>
      </c>
      <c r="X2585" s="508">
        <f t="shared" si="2010"/>
        <v>0</v>
      </c>
      <c r="Y2585" s="509" t="b">
        <f t="shared" si="2011"/>
        <v>0</v>
      </c>
      <c r="Z2585" s="510">
        <f t="shared" si="2012"/>
        <v>0</v>
      </c>
      <c r="AA2585" s="511"/>
      <c r="AB2585" s="511" t="str">
        <f t="shared" si="2013"/>
        <v/>
      </c>
      <c r="AC2585" s="698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698"/>
      <c r="AE2585" s="631" t="str">
        <f t="shared" si="2014"/>
        <v/>
      </c>
      <c r="AF2585" s="699" t="str">
        <f t="shared" si="2015"/>
        <v/>
      </c>
      <c r="AG2585" s="699"/>
      <c r="AH2585" s="699"/>
      <c r="AI2585" s="512">
        <f>IF(H2585="credit",0,IF(AE2585="free",0,IF(AE2585="me",0,IF(G2585&gt;0,(VLOOKUP(A2585,'Discount Lookup'!J:K,2)*G2585),0))))</f>
        <v>0</v>
      </c>
      <c r="AJ2585" s="513" t="str">
        <f t="shared" ca="1" si="2016"/>
        <v/>
      </c>
      <c r="AK2585" s="700" t="str">
        <f t="shared" si="2017"/>
        <v/>
      </c>
      <c r="AL2585" s="700"/>
      <c r="AM2585" s="505" t="str">
        <f t="shared" si="2018"/>
        <v/>
      </c>
      <c r="AN2585" s="506"/>
      <c r="AO2585" s="507"/>
      <c r="AP2585" s="507"/>
      <c r="AQ2585" s="507"/>
      <c r="AR2585" s="507"/>
      <c r="AS2585" s="507"/>
      <c r="AT2585" s="507"/>
      <c r="AU2585" s="507"/>
      <c r="AV2585" s="225"/>
      <c r="AW2585" s="508"/>
      <c r="AX2585" s="225"/>
      <c r="AY2585" s="225"/>
      <c r="AZ2585" s="225"/>
      <c r="BA2585" s="225"/>
      <c r="BB2585" s="225"/>
      <c r="BC2585" s="56"/>
      <c r="BD2585" s="56"/>
      <c r="BE2585" s="56"/>
      <c r="BF2585" s="107" t="str">
        <f t="shared" si="2019"/>
        <v>https://www.google.com/search?tbm=isch&amp;q=10%20G3</v>
      </c>
      <c r="BG2585" s="107" t="str">
        <f t="shared" si="2020"/>
        <v>N</v>
      </c>
      <c r="BH2585" s="254"/>
      <c r="BI2585" s="254"/>
    </row>
    <row r="2586" spans="1:61" customFormat="1" ht="15.75" x14ac:dyDescent="0.25">
      <c r="A2586" s="485">
        <v>10</v>
      </c>
      <c r="B2586" s="486" t="s">
        <v>291</v>
      </c>
      <c r="C2586" s="487" t="s">
        <v>4923</v>
      </c>
      <c r="D2586" s="488" t="s">
        <v>300</v>
      </c>
      <c r="E2586" s="489">
        <v>97.95</v>
      </c>
      <c r="F2586" s="516" t="s">
        <v>293</v>
      </c>
      <c r="G2586" s="232">
        <v>0</v>
      </c>
      <c r="H2586" s="658" t="str">
        <f t="shared" si="2022"/>
        <v/>
      </c>
      <c r="I2586" s="490">
        <f t="shared" si="2023"/>
        <v>0</v>
      </c>
      <c r="J2586" s="490">
        <f t="shared" si="2024"/>
        <v>0</v>
      </c>
      <c r="K2586" s="695">
        <f t="shared" ref="K2586" si="2034">I2586+J2586</f>
        <v>0</v>
      </c>
      <c r="L2586" s="695"/>
      <c r="M2586" s="659" t="str">
        <f t="shared" si="2026"/>
        <v/>
      </c>
      <c r="N2586" s="660"/>
      <c r="O2586" s="233"/>
      <c r="P2586" s="233"/>
      <c r="Q2586" s="233"/>
      <c r="R2586" s="233"/>
      <c r="S2586" s="233"/>
      <c r="T2586" s="508">
        <f t="shared" si="2008"/>
        <v>0</v>
      </c>
      <c r="U2586" s="225">
        <f>IF(NOT(ISNUMBER(G2586)), "", VLOOKUP(A2586,'Discount Lookup'!D:E,2,FALSE)*G2586)</f>
        <v>0</v>
      </c>
      <c r="V2586" s="225">
        <f>IF(NOT(ISNUMBER(G2586)), "", VLOOKUP(A2586,'Discount Lookup'!G:H,2,FALSE)*G2586)</f>
        <v>0</v>
      </c>
      <c r="W2586" s="508">
        <f t="shared" si="2009"/>
        <v>0</v>
      </c>
      <c r="X2586" s="508">
        <f t="shared" si="2010"/>
        <v>0</v>
      </c>
      <c r="Y2586" s="509" t="b">
        <f t="shared" si="2011"/>
        <v>0</v>
      </c>
      <c r="Z2586" s="510">
        <f t="shared" si="2012"/>
        <v>0</v>
      </c>
      <c r="AA2586" s="511"/>
      <c r="AB2586" s="511" t="str">
        <f t="shared" si="2013"/>
        <v/>
      </c>
      <c r="AC2586" s="698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698"/>
      <c r="AE2586" s="631" t="str">
        <f t="shared" si="2014"/>
        <v/>
      </c>
      <c r="AF2586" s="699" t="str">
        <f t="shared" si="2015"/>
        <v/>
      </c>
      <c r="AG2586" s="699"/>
      <c r="AH2586" s="699"/>
      <c r="AI2586" s="512">
        <f>IF(H2586="credit",0,IF(AE2586="free",0,IF(AE2586="me",0,IF(G2586&gt;0,(VLOOKUP(A2586,'Discount Lookup'!J:K,2)*G2586),0))))</f>
        <v>0</v>
      </c>
      <c r="AJ2586" s="513" t="str">
        <f t="shared" ca="1" si="2016"/>
        <v/>
      </c>
      <c r="AK2586" s="700" t="str">
        <f t="shared" si="2017"/>
        <v/>
      </c>
      <c r="AL2586" s="700"/>
      <c r="AM2586" s="505" t="str">
        <f t="shared" si="2018"/>
        <v/>
      </c>
      <c r="AN2586" s="506"/>
      <c r="AO2586" s="507"/>
      <c r="AP2586" s="507"/>
      <c r="AQ2586" s="507"/>
      <c r="AR2586" s="507"/>
      <c r="AS2586" s="507"/>
      <c r="AT2586" s="507"/>
      <c r="AU2586" s="507"/>
      <c r="AV2586" s="225"/>
      <c r="AW2586" s="508"/>
      <c r="AX2586" s="225"/>
      <c r="AY2586" s="225"/>
      <c r="AZ2586" s="225"/>
      <c r="BA2586" s="225"/>
      <c r="BB2586" s="225"/>
      <c r="BC2586" s="56"/>
      <c r="BD2586" s="56"/>
      <c r="BE2586" s="56"/>
      <c r="BF2586" s="107" t="str">
        <f t="shared" si="2019"/>
        <v>https://www.google.com/search?tbm=isch&amp;q=10%20G6</v>
      </c>
      <c r="BG2586" s="107" t="str">
        <f t="shared" si="2020"/>
        <v>N</v>
      </c>
      <c r="BH2586" s="254"/>
      <c r="BI2586" s="254"/>
    </row>
    <row r="2587" spans="1:61" customFormat="1" ht="15.75" x14ac:dyDescent="0.25">
      <c r="A2587" s="485">
        <v>15</v>
      </c>
      <c r="B2587" s="486" t="s">
        <v>291</v>
      </c>
      <c r="C2587" s="487" t="s">
        <v>3665</v>
      </c>
      <c r="D2587" s="488" t="s">
        <v>292</v>
      </c>
      <c r="E2587" s="489">
        <v>155.94999999999999</v>
      </c>
      <c r="F2587" s="516" t="s">
        <v>293</v>
      </c>
      <c r="G2587" s="232">
        <v>0</v>
      </c>
      <c r="H2587" s="658" t="str">
        <f t="shared" si="2022"/>
        <v/>
      </c>
      <c r="I2587" s="490">
        <f t="shared" si="2023"/>
        <v>0</v>
      </c>
      <c r="J2587" s="490">
        <f t="shared" si="2024"/>
        <v>0</v>
      </c>
      <c r="K2587" s="695">
        <f t="shared" ref="K2587" si="2035">I2587+J2587</f>
        <v>0</v>
      </c>
      <c r="L2587" s="695"/>
      <c r="M2587" s="659" t="str">
        <f t="shared" si="2026"/>
        <v/>
      </c>
      <c r="N2587" s="660"/>
      <c r="O2587" s="233"/>
      <c r="P2587" s="233"/>
      <c r="Q2587" s="233"/>
      <c r="R2587" s="233"/>
      <c r="S2587" s="233"/>
      <c r="T2587" s="508">
        <f t="shared" si="2008"/>
        <v>0</v>
      </c>
      <c r="U2587" s="225">
        <f>IF(NOT(ISNUMBER(G2587)), "", VLOOKUP(A2587,'Discount Lookup'!D:E,2,FALSE)*G2587)</f>
        <v>0</v>
      </c>
      <c r="V2587" s="225">
        <f>IF(NOT(ISNUMBER(G2587)), "", VLOOKUP(A2587,'Discount Lookup'!G:H,2,FALSE)*G2587)</f>
        <v>0</v>
      </c>
      <c r="W2587" s="508">
        <f t="shared" si="2009"/>
        <v>0</v>
      </c>
      <c r="X2587" s="508">
        <f t="shared" si="2010"/>
        <v>0</v>
      </c>
      <c r="Y2587" s="509" t="b">
        <f t="shared" si="2011"/>
        <v>0</v>
      </c>
      <c r="Z2587" s="510">
        <f t="shared" si="2012"/>
        <v>0</v>
      </c>
      <c r="AA2587" s="511"/>
      <c r="AB2587" s="511" t="str">
        <f t="shared" si="2013"/>
        <v/>
      </c>
      <c r="AC2587" s="698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698"/>
      <c r="AE2587" s="631" t="str">
        <f t="shared" si="2014"/>
        <v/>
      </c>
      <c r="AF2587" s="699" t="str">
        <f t="shared" si="2015"/>
        <v/>
      </c>
      <c r="AG2587" s="699"/>
      <c r="AH2587" s="699"/>
      <c r="AI2587" s="512">
        <f>IF(H2587="credit",0,IF(AE2587="free",0,IF(AE2587="me",0,IF(G2587&gt;0,(VLOOKUP(A2587,'Discount Lookup'!J:K,2)*G2587),0))))</f>
        <v>0</v>
      </c>
      <c r="AJ2587" s="513" t="str">
        <f t="shared" ca="1" si="2016"/>
        <v/>
      </c>
      <c r="AK2587" s="700" t="str">
        <f t="shared" si="2017"/>
        <v/>
      </c>
      <c r="AL2587" s="700"/>
      <c r="AM2587" s="505" t="str">
        <f t="shared" si="2018"/>
        <v/>
      </c>
      <c r="AN2587" s="506"/>
      <c r="AO2587" s="507"/>
      <c r="AP2587" s="507"/>
      <c r="AQ2587" s="507"/>
      <c r="AR2587" s="507"/>
      <c r="AS2587" s="507"/>
      <c r="AT2587" s="507"/>
      <c r="AU2587" s="507"/>
      <c r="AV2587" s="225"/>
      <c r="AW2587" s="508"/>
      <c r="AX2587" s="225"/>
      <c r="AY2587" s="225"/>
      <c r="AZ2587" s="225"/>
      <c r="BA2587" s="225"/>
      <c r="BB2587" s="225"/>
      <c r="BC2587" s="56"/>
      <c r="BD2587" s="56"/>
      <c r="BE2587" s="56"/>
      <c r="BF2587" s="107" t="str">
        <f t="shared" si="2019"/>
        <v>https://www.google.com/search?tbm=isch&amp;q=15%20G4</v>
      </c>
      <c r="BG2587" s="107" t="str">
        <f t="shared" si="2020"/>
        <v>N</v>
      </c>
      <c r="BH2587" s="254"/>
      <c r="BI2587" s="254"/>
    </row>
    <row r="2588" spans="1:61" customFormat="1" ht="15.75" x14ac:dyDescent="0.25">
      <c r="A2588" s="485">
        <v>25</v>
      </c>
      <c r="B2588" s="486" t="s">
        <v>291</v>
      </c>
      <c r="C2588" s="487" t="s">
        <v>4792</v>
      </c>
      <c r="D2588" s="488" t="s">
        <v>292</v>
      </c>
      <c r="E2588" s="489">
        <v>206.95</v>
      </c>
      <c r="F2588" s="516" t="s">
        <v>293</v>
      </c>
      <c r="G2588" s="232">
        <v>0</v>
      </c>
      <c r="H2588" s="658" t="str">
        <f t="shared" si="2022"/>
        <v/>
      </c>
      <c r="I2588" s="490">
        <f t="shared" si="2023"/>
        <v>0</v>
      </c>
      <c r="J2588" s="490">
        <f t="shared" si="2024"/>
        <v>0</v>
      </c>
      <c r="K2588" s="695">
        <f t="shared" ref="K2588" si="2036">I2588+J2588</f>
        <v>0</v>
      </c>
      <c r="L2588" s="695"/>
      <c r="M2588" s="659" t="str">
        <f t="shared" si="2026"/>
        <v/>
      </c>
      <c r="N2588" s="660"/>
      <c r="O2588" s="233"/>
      <c r="P2588" s="233"/>
      <c r="Q2588" s="233"/>
      <c r="R2588" s="233"/>
      <c r="S2588" s="233"/>
      <c r="T2588" s="508">
        <f t="shared" si="2008"/>
        <v>0</v>
      </c>
      <c r="U2588" s="225">
        <f>IF(NOT(ISNUMBER(G2588)), "", VLOOKUP(A2588,'Discount Lookup'!D:E,2,FALSE)*G2588)</f>
        <v>0</v>
      </c>
      <c r="V2588" s="225">
        <f>IF(NOT(ISNUMBER(G2588)), "", VLOOKUP(A2588,'Discount Lookup'!G:H,2,FALSE)*G2588)</f>
        <v>0</v>
      </c>
      <c r="W2588" s="508">
        <f t="shared" si="2009"/>
        <v>0</v>
      </c>
      <c r="X2588" s="508">
        <f t="shared" si="2010"/>
        <v>0</v>
      </c>
      <c r="Y2588" s="509" t="b">
        <f t="shared" si="2011"/>
        <v>0</v>
      </c>
      <c r="Z2588" s="510">
        <f t="shared" si="2012"/>
        <v>0</v>
      </c>
      <c r="AA2588" s="511"/>
      <c r="AB2588" s="511" t="str">
        <f t="shared" si="2013"/>
        <v/>
      </c>
      <c r="AC2588" s="698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698"/>
      <c r="AE2588" s="631" t="str">
        <f t="shared" si="2014"/>
        <v/>
      </c>
      <c r="AF2588" s="699" t="str">
        <f t="shared" si="2015"/>
        <v/>
      </c>
      <c r="AG2588" s="699"/>
      <c r="AH2588" s="699"/>
      <c r="AI2588" s="512">
        <f>IF(H2588="credit",0,IF(AE2588="free",0,IF(AE2588="me",0,IF(G2588&gt;0,(VLOOKUP(A2588,'Discount Lookup'!J:K,2)*G2588),0))))</f>
        <v>0</v>
      </c>
      <c r="AJ2588" s="513" t="str">
        <f t="shared" ca="1" si="2016"/>
        <v/>
      </c>
      <c r="AK2588" s="700" t="str">
        <f t="shared" si="2017"/>
        <v/>
      </c>
      <c r="AL2588" s="700"/>
      <c r="AM2588" s="505" t="str">
        <f t="shared" si="2018"/>
        <v/>
      </c>
      <c r="AN2588" s="506"/>
      <c r="AO2588" s="507"/>
      <c r="AP2588" s="507"/>
      <c r="AQ2588" s="507"/>
      <c r="AR2588" s="507"/>
      <c r="AS2588" s="507"/>
      <c r="AT2588" s="507"/>
      <c r="AU2588" s="507"/>
      <c r="AV2588" s="225"/>
      <c r="AW2588" s="508"/>
      <c r="AX2588" s="225"/>
      <c r="AY2588" s="225"/>
      <c r="AZ2588" s="225"/>
      <c r="BA2588" s="225"/>
      <c r="BB2588" s="225"/>
      <c r="BC2588" s="56"/>
      <c r="BD2588" s="56"/>
      <c r="BE2588" s="56"/>
      <c r="BF2588" s="107" t="str">
        <f t="shared" si="2019"/>
        <v>https://www.google.com/search?tbm=isch&amp;q=25%20G4</v>
      </c>
      <c r="BG2588" s="107" t="str">
        <f t="shared" si="2020"/>
        <v>N</v>
      </c>
      <c r="BH2588" s="254"/>
      <c r="BI2588" s="254"/>
    </row>
    <row r="2589" spans="1:61" customFormat="1" ht="17.25" thickBot="1" x14ac:dyDescent="0.3">
      <c r="A2589" s="522" t="s">
        <v>2442</v>
      </c>
      <c r="B2589" s="491"/>
      <c r="C2589" s="675"/>
      <c r="D2589" s="491"/>
      <c r="E2589" s="491"/>
      <c r="F2589" s="492"/>
      <c r="G2589" s="493"/>
      <c r="H2589" s="491"/>
      <c r="I2589" s="234"/>
      <c r="J2589" s="234"/>
      <c r="K2589" s="494"/>
      <c r="L2589" s="543"/>
      <c r="M2589" s="561"/>
      <c r="N2589" s="495"/>
      <c r="O2589" s="496"/>
      <c r="P2589" s="497"/>
      <c r="Q2589" s="495"/>
      <c r="R2589" s="495"/>
      <c r="S2589" s="667" t="s">
        <v>5004</v>
      </c>
      <c r="T2589" s="508">
        <f t="shared" si="2008"/>
        <v>0</v>
      </c>
      <c r="U2589" s="225" t="str">
        <f>IF(NOT(ISNUMBER(G2589)), "", VLOOKUP(A2589,'Discount Lookup'!D:E,2,FALSE)*G2589)</f>
        <v/>
      </c>
      <c r="V2589" s="225" t="str">
        <f>IF(NOT(ISNUMBER(G2589)), "", VLOOKUP(A2589,'Discount Lookup'!G:H,2,FALSE)*G2589)</f>
        <v/>
      </c>
      <c r="W2589" s="508">
        <f t="shared" si="2009"/>
        <v>0</v>
      </c>
      <c r="X2589" s="508">
        <f t="shared" si="2010"/>
        <v>0</v>
      </c>
      <c r="Y2589" s="509" t="b">
        <f t="shared" si="2011"/>
        <v>0</v>
      </c>
      <c r="Z2589" s="510">
        <f t="shared" si="2012"/>
        <v>0</v>
      </c>
      <c r="AA2589" s="511"/>
      <c r="AB2589" s="511" t="str">
        <f t="shared" si="2013"/>
        <v/>
      </c>
      <c r="AC2589" s="698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698"/>
      <c r="AE2589" s="631" t="str">
        <f t="shared" si="2014"/>
        <v/>
      </c>
      <c r="AF2589" s="699" t="str">
        <f t="shared" si="2015"/>
        <v/>
      </c>
      <c r="AG2589" s="699"/>
      <c r="AH2589" s="699"/>
      <c r="AI2589" s="512">
        <f>IF(H2589="credit",0,IF(AE2589="free",0,IF(AE2589="me",0,IF(G2589&gt;0,(VLOOKUP(A2589,'Discount Lookup'!J:K,2)*G2589),0))))</f>
        <v>0</v>
      </c>
      <c r="AJ2589" s="513" t="str">
        <f t="shared" ca="1" si="2016"/>
        <v/>
      </c>
      <c r="AK2589" s="700" t="str">
        <f t="shared" si="2017"/>
        <v/>
      </c>
      <c r="AL2589" s="700"/>
      <c r="AM2589" s="505" t="str">
        <f t="shared" si="2018"/>
        <v/>
      </c>
      <c r="AN2589" s="506"/>
      <c r="AO2589" s="507"/>
      <c r="AP2589" s="507"/>
      <c r="AQ2589" s="507"/>
      <c r="AR2589" s="507"/>
      <c r="AS2589" s="507"/>
      <c r="AT2589" s="507"/>
      <c r="AU2589" s="507"/>
      <c r="AV2589" s="225"/>
      <c r="AW2589" s="508"/>
      <c r="AX2589" s="225"/>
      <c r="AY2589" s="225"/>
      <c r="AZ2589" s="225"/>
      <c r="BA2589" s="225"/>
      <c r="BB2589" s="225"/>
      <c r="BC2589" s="56"/>
      <c r="BD2589" s="56"/>
      <c r="BE2589" s="56"/>
      <c r="BF2589" s="107" t="str">
        <f t="shared" si="2019"/>
        <v>https://www.google.com/search?tbm=isch&amp;q=Needlepoint%20is%20named%20for%20the%20prickly%20foliage%2C%20not%20the%20overall%20form.%20The%20most%20prolific%20berry%20producer.%20Self-pollinates%20</v>
      </c>
      <c r="BG2589" s="107" t="str">
        <f t="shared" si="2020"/>
        <v>N</v>
      </c>
      <c r="BH2589" s="254"/>
      <c r="BI2589" s="254"/>
    </row>
    <row r="2590" spans="1:61" customFormat="1" ht="18" x14ac:dyDescent="0.25">
      <c r="A2590" s="521" t="s">
        <v>1416</v>
      </c>
      <c r="B2590" s="477"/>
      <c r="C2590" s="674"/>
      <c r="D2590" s="478" t="s">
        <v>1417</v>
      </c>
      <c r="E2590" s="479"/>
      <c r="F2590" s="479"/>
      <c r="G2590" s="479"/>
      <c r="H2590" s="582" t="s">
        <v>1045</v>
      </c>
      <c r="I2590" s="480" t="s">
        <v>2443</v>
      </c>
      <c r="J2590" s="479"/>
      <c r="K2590" s="479"/>
      <c r="L2590" s="560"/>
      <c r="M2590" s="666" t="s">
        <v>4966</v>
      </c>
      <c r="N2590" s="680" t="str">
        <f>IF(AND(ISTEXT($A2590), ISERROR($A2590+0)), HYPERLINK($BF2590, "Images"), "")</f>
        <v>Images</v>
      </c>
      <c r="O2590" s="662" t="s">
        <v>5001</v>
      </c>
      <c r="P2590" s="482"/>
      <c r="Q2590" s="483"/>
      <c r="R2590" s="483"/>
      <c r="S2590" s="484"/>
      <c r="T2590" s="508">
        <f t="shared" si="2008"/>
        <v>0</v>
      </c>
      <c r="U2590" s="225" t="str">
        <f>IF(NOT(ISNUMBER(G2590)), "", VLOOKUP(A2590,'Discount Lookup'!D:E,2,FALSE)*G2590)</f>
        <v/>
      </c>
      <c r="V2590" s="225" t="str">
        <f>IF(NOT(ISNUMBER(G2590)), "", VLOOKUP(A2590,'Discount Lookup'!G:H,2,FALSE)*G2590)</f>
        <v/>
      </c>
      <c r="W2590" s="508">
        <f t="shared" si="2009"/>
        <v>0</v>
      </c>
      <c r="X2590" s="508" t="str">
        <f t="shared" si="2010"/>
        <v>Glossy Dark Green leaf</v>
      </c>
      <c r="Y2590" s="509" t="b">
        <f t="shared" si="2011"/>
        <v>0</v>
      </c>
      <c r="Z2590" s="510">
        <f t="shared" si="2012"/>
        <v>0</v>
      </c>
      <c r="AA2590" s="511"/>
      <c r="AB2590" s="511" t="str">
        <f t="shared" si="2013"/>
        <v/>
      </c>
      <c r="AC2590" s="698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698"/>
      <c r="AE2590" s="631" t="str">
        <f t="shared" si="2014"/>
        <v/>
      </c>
      <c r="AF2590" s="699" t="str">
        <f t="shared" si="2015"/>
        <v/>
      </c>
      <c r="AG2590" s="699"/>
      <c r="AH2590" s="699"/>
      <c r="AI2590" s="512">
        <f>IF(H2590="credit",0,IF(AE2590="free",0,IF(AE2590="me",0,IF(G2590&gt;0,(VLOOKUP(A2590,'Discount Lookup'!J:K,2)*G2590),0))))</f>
        <v>0</v>
      </c>
      <c r="AJ2590" s="513" t="str">
        <f t="shared" ca="1" si="2016"/>
        <v/>
      </c>
      <c r="AK2590" s="700" t="str">
        <f t="shared" si="2017"/>
        <v/>
      </c>
      <c r="AL2590" s="700"/>
      <c r="AM2590" s="505" t="str">
        <f t="shared" si="2018"/>
        <v/>
      </c>
      <c r="AN2590" s="506"/>
      <c r="AO2590" s="507"/>
      <c r="AP2590" s="507"/>
      <c r="AQ2590" s="507"/>
      <c r="AR2590" s="507"/>
      <c r="AS2590" s="507"/>
      <c r="AT2590" s="507"/>
      <c r="AU2590" s="507"/>
      <c r="AV2590" s="225"/>
      <c r="AW2590" s="508"/>
      <c r="AX2590" s="225"/>
      <c r="AY2590" s="225"/>
      <c r="AZ2590" s="225"/>
      <c r="BA2590" s="225"/>
      <c r="BB2590" s="225"/>
      <c r="BC2590" s="56"/>
      <c r="BD2590" s="56"/>
      <c r="BE2590" s="56"/>
      <c r="BF2590" s="107" t="str">
        <f t="shared" si="2019"/>
        <v>https://www.google.com/search?tbm=isch&amp;q=Nellie%20Stevens%20Holly%20Ilex%20%27Nellie%20R.%20Stevens%27%20PP%238537Exp.</v>
      </c>
      <c r="BG2590" s="107" t="str">
        <f t="shared" si="2020"/>
        <v>N</v>
      </c>
      <c r="BH2590" s="254"/>
      <c r="BI2590" s="254"/>
    </row>
    <row r="2591" spans="1:61" customFormat="1" ht="15.75" x14ac:dyDescent="0.25">
      <c r="A2591" s="485">
        <v>10</v>
      </c>
      <c r="B2591" s="486" t="s">
        <v>291</v>
      </c>
      <c r="C2591" s="487" t="s">
        <v>1419</v>
      </c>
      <c r="D2591" s="488" t="s">
        <v>298</v>
      </c>
      <c r="E2591" s="489">
        <v>102.95</v>
      </c>
      <c r="F2591" s="516" t="s">
        <v>293</v>
      </c>
      <c r="G2591" s="232">
        <v>0</v>
      </c>
      <c r="H2591" s="658" t="str">
        <f t="shared" ref="H2591:H2598" si="2037">IF(G2591=0,"",IF(F2591="Buy",IF(G2591=1,"plant","plants"),IF(F2591&gt;0.01,"warranty","Error")))</f>
        <v/>
      </c>
      <c r="I2591" s="490">
        <f t="shared" ref="I2591:I2598" si="2038">IF(H2591="free",0,IF(H2591="credit",((E2591*(F2591))*G2591*-1),IF(F2591="Buy",(E2591*G2591),((E2591*(1-F2591))*G2591))))</f>
        <v>0</v>
      </c>
      <c r="J2591" s="490">
        <f t="shared" ref="J2591:J2598" si="2039">IF(H2591="warranty",0,(I2591*(_xlfn.SINGLE(SalesTaxPercentage))))</f>
        <v>0</v>
      </c>
      <c r="K2591" s="695">
        <f t="shared" ref="K2591" si="2040">I2591+J2591</f>
        <v>0</v>
      </c>
      <c r="L2591" s="695"/>
      <c r="M2591" s="659" t="str">
        <f t="shared" ref="M2591:M2598" si="2041">IF(AND(G2591&gt;0,E2591=0),"WARNING - no PRICE inserted",IF(H2591="free"," FREE ~ no charge this plant",IF(H2591="credit",CONCATENATE(" -$",ROUND(K2591*(1-T2GDiscount)*-1,2)," CREDIT after discount"),IF(T2GDiscount=0,"",IF(G2591=0,"",IF(F2591="Buy",CONCATENATE(" $",ROUND(K2591*(1-T2GDiscount),2)," with ",(T2GDiscount*100),"% discount"),CONCATENATE(" $",ROUND(K2591*(1-T2GDiscount),2)," with ",((T2GDiscount*100+F2591*100)-(T2GDiscount*100*F2591)),IF(F2591&gt;0,"% discounts",IF(NoWarrantyDiscount&gt;0,"% discounts","% discount")))))))))</f>
        <v/>
      </c>
      <c r="N2591" s="660"/>
      <c r="O2591" s="233"/>
      <c r="P2591" s="233"/>
      <c r="Q2591" s="233"/>
      <c r="R2591" s="233"/>
      <c r="S2591" s="233"/>
      <c r="T2591" s="508">
        <f t="shared" si="2008"/>
        <v>0</v>
      </c>
      <c r="U2591" s="225">
        <f>IF(NOT(ISNUMBER(G2591)), "", VLOOKUP(A2591,'Discount Lookup'!D:E,2,FALSE)*G2591)</f>
        <v>0</v>
      </c>
      <c r="V2591" s="225">
        <f>IF(NOT(ISNUMBER(G2591)), "", VLOOKUP(A2591,'Discount Lookup'!G:H,2,FALSE)*G2591)</f>
        <v>0</v>
      </c>
      <c r="W2591" s="508">
        <f t="shared" si="2009"/>
        <v>0</v>
      </c>
      <c r="X2591" s="508">
        <f t="shared" si="2010"/>
        <v>0</v>
      </c>
      <c r="Y2591" s="509" t="b">
        <f t="shared" si="2011"/>
        <v>0</v>
      </c>
      <c r="Z2591" s="510">
        <f t="shared" si="2012"/>
        <v>0</v>
      </c>
      <c r="AA2591" s="511"/>
      <c r="AB2591" s="511" t="str">
        <f t="shared" si="2013"/>
        <v/>
      </c>
      <c r="AC2591" s="698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698"/>
      <c r="AE2591" s="631" t="str">
        <f t="shared" si="2014"/>
        <v/>
      </c>
      <c r="AF2591" s="699" t="str">
        <f t="shared" si="2015"/>
        <v/>
      </c>
      <c r="AG2591" s="699"/>
      <c r="AH2591" s="699"/>
      <c r="AI2591" s="512">
        <f>IF(H2591="credit",0,IF(AE2591="free",0,IF(AE2591="me",0,IF(G2591&gt;0,(VLOOKUP(A2591,'Discount Lookup'!J:K,2)*G2591),0))))</f>
        <v>0</v>
      </c>
      <c r="AJ2591" s="513" t="str">
        <f t="shared" ca="1" si="2016"/>
        <v/>
      </c>
      <c r="AK2591" s="700" t="str">
        <f t="shared" si="2017"/>
        <v/>
      </c>
      <c r="AL2591" s="700"/>
      <c r="AM2591" s="505" t="str">
        <f t="shared" si="2018"/>
        <v/>
      </c>
      <c r="AN2591" s="506"/>
      <c r="AO2591" s="507"/>
      <c r="AP2591" s="507"/>
      <c r="AQ2591" s="507"/>
      <c r="AR2591" s="507"/>
      <c r="AS2591" s="507"/>
      <c r="AT2591" s="507"/>
      <c r="AU2591" s="507"/>
      <c r="AV2591" s="225"/>
      <c r="AW2591" s="508"/>
      <c r="AX2591" s="225"/>
      <c r="AY2591" s="225"/>
      <c r="AZ2591" s="225"/>
      <c r="BA2591" s="225"/>
      <c r="BB2591" s="225"/>
      <c r="BC2591" s="56"/>
      <c r="BD2591" s="56"/>
      <c r="BE2591" s="56"/>
      <c r="BF2591" s="107" t="str">
        <f t="shared" si="2019"/>
        <v>https://www.google.com/search?tbm=isch&amp;q=10%20G1</v>
      </c>
      <c r="BG2591" s="107" t="str">
        <f t="shared" si="2020"/>
        <v>N</v>
      </c>
      <c r="BH2591" s="254"/>
      <c r="BI2591" s="254"/>
    </row>
    <row r="2592" spans="1:61" customFormat="1" ht="15.75" x14ac:dyDescent="0.25">
      <c r="A2592" s="485">
        <v>15</v>
      </c>
      <c r="B2592" s="486" t="s">
        <v>291</v>
      </c>
      <c r="C2592" s="487" t="s">
        <v>1418</v>
      </c>
      <c r="D2592" s="488" t="s">
        <v>299</v>
      </c>
      <c r="E2592" s="489">
        <v>160.94999999999999</v>
      </c>
      <c r="F2592" s="516" t="s">
        <v>293</v>
      </c>
      <c r="G2592" s="232">
        <v>0</v>
      </c>
      <c r="H2592" s="658" t="str">
        <f t="shared" si="2037"/>
        <v/>
      </c>
      <c r="I2592" s="490">
        <f t="shared" si="2038"/>
        <v>0</v>
      </c>
      <c r="J2592" s="490">
        <f t="shared" si="2039"/>
        <v>0</v>
      </c>
      <c r="K2592" s="695">
        <f t="shared" ref="K2592" si="2042">I2592+J2592</f>
        <v>0</v>
      </c>
      <c r="L2592" s="695"/>
      <c r="M2592" s="659" t="str">
        <f t="shared" si="2041"/>
        <v/>
      </c>
      <c r="N2592" s="660"/>
      <c r="O2592" s="233"/>
      <c r="P2592" s="233"/>
      <c r="Q2592" s="233"/>
      <c r="R2592" s="233"/>
      <c r="S2592" s="233"/>
      <c r="T2592" s="508">
        <f t="shared" si="2008"/>
        <v>0</v>
      </c>
      <c r="U2592" s="225">
        <f>IF(NOT(ISNUMBER(G2592)), "", VLOOKUP(A2592,'Discount Lookup'!D:E,2,FALSE)*G2592)</f>
        <v>0</v>
      </c>
      <c r="V2592" s="225">
        <f>IF(NOT(ISNUMBER(G2592)), "", VLOOKUP(A2592,'Discount Lookup'!G:H,2,FALSE)*G2592)</f>
        <v>0</v>
      </c>
      <c r="W2592" s="508">
        <f t="shared" si="2009"/>
        <v>0</v>
      </c>
      <c r="X2592" s="508">
        <f t="shared" si="2010"/>
        <v>0</v>
      </c>
      <c r="Y2592" s="509" t="b">
        <f t="shared" si="2011"/>
        <v>0</v>
      </c>
      <c r="Z2592" s="510">
        <f t="shared" si="2012"/>
        <v>0</v>
      </c>
      <c r="AA2592" s="511"/>
      <c r="AB2592" s="511" t="str">
        <f t="shared" si="2013"/>
        <v/>
      </c>
      <c r="AC2592" s="698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698"/>
      <c r="AE2592" s="631" t="str">
        <f t="shared" si="2014"/>
        <v/>
      </c>
      <c r="AF2592" s="699" t="str">
        <f t="shared" si="2015"/>
        <v/>
      </c>
      <c r="AG2592" s="699"/>
      <c r="AH2592" s="699"/>
      <c r="AI2592" s="512">
        <f>IF(H2592="credit",0,IF(AE2592="free",0,IF(AE2592="me",0,IF(G2592&gt;0,(VLOOKUP(A2592,'Discount Lookup'!J:K,2)*G2592),0))))</f>
        <v>0</v>
      </c>
      <c r="AJ2592" s="513" t="str">
        <f t="shared" ca="1" si="2016"/>
        <v/>
      </c>
      <c r="AK2592" s="700" t="str">
        <f t="shared" si="2017"/>
        <v/>
      </c>
      <c r="AL2592" s="700"/>
      <c r="AM2592" s="505" t="str">
        <f t="shared" si="2018"/>
        <v/>
      </c>
      <c r="AN2592" s="506"/>
      <c r="AO2592" s="507"/>
      <c r="AP2592" s="507"/>
      <c r="AQ2592" s="507"/>
      <c r="AR2592" s="507"/>
      <c r="AS2592" s="507"/>
      <c r="AT2592" s="507"/>
      <c r="AU2592" s="507"/>
      <c r="AV2592" s="225"/>
      <c r="AW2592" s="508"/>
      <c r="AX2592" s="225"/>
      <c r="AY2592" s="225"/>
      <c r="AZ2592" s="225"/>
      <c r="BA2592" s="225"/>
      <c r="BB2592" s="225"/>
      <c r="BC2592" s="56"/>
      <c r="BD2592" s="56"/>
      <c r="BE2592" s="56"/>
      <c r="BF2592" s="107" t="str">
        <f t="shared" si="2019"/>
        <v>https://www.google.com/search?tbm=isch&amp;q=15%20G5</v>
      </c>
      <c r="BG2592" s="107" t="str">
        <f t="shared" si="2020"/>
        <v>N</v>
      </c>
      <c r="BH2592" s="254"/>
      <c r="BI2592" s="254"/>
    </row>
    <row r="2593" spans="1:61" customFormat="1" ht="15.75" x14ac:dyDescent="0.25">
      <c r="A2593" s="485">
        <v>15</v>
      </c>
      <c r="B2593" s="486" t="s">
        <v>291</v>
      </c>
      <c r="C2593" s="487" t="s">
        <v>3666</v>
      </c>
      <c r="D2593" s="488" t="s">
        <v>292</v>
      </c>
      <c r="E2593" s="489">
        <v>171.95</v>
      </c>
      <c r="F2593" s="516" t="s">
        <v>293</v>
      </c>
      <c r="G2593" s="232">
        <v>0</v>
      </c>
      <c r="H2593" s="658" t="str">
        <f t="shared" si="2037"/>
        <v/>
      </c>
      <c r="I2593" s="490">
        <f t="shared" si="2038"/>
        <v>0</v>
      </c>
      <c r="J2593" s="490">
        <f t="shared" si="2039"/>
        <v>0</v>
      </c>
      <c r="K2593" s="695">
        <f t="shared" ref="K2593" si="2043">I2593+J2593</f>
        <v>0</v>
      </c>
      <c r="L2593" s="695"/>
      <c r="M2593" s="659" t="str">
        <f t="shared" si="2041"/>
        <v/>
      </c>
      <c r="N2593" s="660"/>
      <c r="O2593" s="233"/>
      <c r="P2593" s="233"/>
      <c r="Q2593" s="233"/>
      <c r="R2593" s="233"/>
      <c r="S2593" s="233"/>
      <c r="T2593" s="508">
        <f t="shared" si="2008"/>
        <v>0</v>
      </c>
      <c r="U2593" s="225">
        <f>IF(NOT(ISNUMBER(G2593)), "", VLOOKUP(A2593,'Discount Lookup'!D:E,2,FALSE)*G2593)</f>
        <v>0</v>
      </c>
      <c r="V2593" s="225">
        <f>IF(NOT(ISNUMBER(G2593)), "", VLOOKUP(A2593,'Discount Lookup'!G:H,2,FALSE)*G2593)</f>
        <v>0</v>
      </c>
      <c r="W2593" s="508">
        <f t="shared" si="2009"/>
        <v>0</v>
      </c>
      <c r="X2593" s="508">
        <f t="shared" si="2010"/>
        <v>0</v>
      </c>
      <c r="Y2593" s="509" t="b">
        <f t="shared" si="2011"/>
        <v>0</v>
      </c>
      <c r="Z2593" s="510">
        <f t="shared" si="2012"/>
        <v>0</v>
      </c>
      <c r="AA2593" s="511"/>
      <c r="AB2593" s="511" t="str">
        <f t="shared" si="2013"/>
        <v/>
      </c>
      <c r="AC2593" s="698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698"/>
      <c r="AE2593" s="631" t="str">
        <f t="shared" si="2014"/>
        <v/>
      </c>
      <c r="AF2593" s="699" t="str">
        <f t="shared" si="2015"/>
        <v/>
      </c>
      <c r="AG2593" s="699"/>
      <c r="AH2593" s="699"/>
      <c r="AI2593" s="512">
        <f>IF(H2593="credit",0,IF(AE2593="free",0,IF(AE2593="me",0,IF(G2593&gt;0,(VLOOKUP(A2593,'Discount Lookup'!J:K,2)*G2593),0))))</f>
        <v>0</v>
      </c>
      <c r="AJ2593" s="513" t="str">
        <f t="shared" ca="1" si="2016"/>
        <v/>
      </c>
      <c r="AK2593" s="700" t="str">
        <f t="shared" si="2017"/>
        <v/>
      </c>
      <c r="AL2593" s="700"/>
      <c r="AM2593" s="505" t="str">
        <f t="shared" si="2018"/>
        <v/>
      </c>
      <c r="AN2593" s="506"/>
      <c r="AO2593" s="507"/>
      <c r="AP2593" s="507"/>
      <c r="AQ2593" s="507"/>
      <c r="AR2593" s="507"/>
      <c r="AS2593" s="507"/>
      <c r="AT2593" s="507"/>
      <c r="AU2593" s="507"/>
      <c r="AV2593" s="225"/>
      <c r="AW2593" s="508"/>
      <c r="AX2593" s="225"/>
      <c r="AY2593" s="225"/>
      <c r="AZ2593" s="225"/>
      <c r="BA2593" s="225"/>
      <c r="BB2593" s="225"/>
      <c r="BC2593" s="56"/>
      <c r="BD2593" s="56"/>
      <c r="BE2593" s="56"/>
      <c r="BF2593" s="107" t="str">
        <f t="shared" si="2019"/>
        <v>https://www.google.com/search?tbm=isch&amp;q=15%20G4</v>
      </c>
      <c r="BG2593" s="107" t="str">
        <f t="shared" si="2020"/>
        <v>N</v>
      </c>
      <c r="BH2593" s="254"/>
      <c r="BI2593" s="254"/>
    </row>
    <row r="2594" spans="1:61" customFormat="1" ht="15.75" x14ac:dyDescent="0.25">
      <c r="A2594" s="485">
        <v>15</v>
      </c>
      <c r="B2594" s="486" t="s">
        <v>291</v>
      </c>
      <c r="C2594" s="487"/>
      <c r="D2594" s="488" t="s">
        <v>312</v>
      </c>
      <c r="E2594" s="489">
        <v>175.95</v>
      </c>
      <c r="F2594" s="516" t="s">
        <v>293</v>
      </c>
      <c r="G2594" s="232">
        <v>0</v>
      </c>
      <c r="H2594" s="658" t="str">
        <f t="shared" si="2037"/>
        <v/>
      </c>
      <c r="I2594" s="490">
        <f t="shared" si="2038"/>
        <v>0</v>
      </c>
      <c r="J2594" s="490">
        <f t="shared" si="2039"/>
        <v>0</v>
      </c>
      <c r="K2594" s="695">
        <f t="shared" ref="K2594" si="2044">I2594+J2594</f>
        <v>0</v>
      </c>
      <c r="L2594" s="695"/>
      <c r="M2594" s="659" t="str">
        <f t="shared" si="2041"/>
        <v/>
      </c>
      <c r="N2594" s="660"/>
      <c r="O2594" s="233"/>
      <c r="P2594" s="233"/>
      <c r="Q2594" s="233"/>
      <c r="R2594" s="233"/>
      <c r="S2594" s="233"/>
      <c r="T2594" s="508">
        <f t="shared" si="2008"/>
        <v>0</v>
      </c>
      <c r="U2594" s="225">
        <f>IF(NOT(ISNUMBER(G2594)), "", VLOOKUP(A2594,'Discount Lookup'!D:E,2,FALSE)*G2594)</f>
        <v>0</v>
      </c>
      <c r="V2594" s="225">
        <f>IF(NOT(ISNUMBER(G2594)), "", VLOOKUP(A2594,'Discount Lookup'!G:H,2,FALSE)*G2594)</f>
        <v>0</v>
      </c>
      <c r="W2594" s="508">
        <f t="shared" si="2009"/>
        <v>0</v>
      </c>
      <c r="X2594" s="508">
        <f t="shared" si="2010"/>
        <v>0</v>
      </c>
      <c r="Y2594" s="509" t="b">
        <f t="shared" si="2011"/>
        <v>0</v>
      </c>
      <c r="Z2594" s="510">
        <f t="shared" si="2012"/>
        <v>0</v>
      </c>
      <c r="AA2594" s="511"/>
      <c r="AB2594" s="511" t="str">
        <f t="shared" si="2013"/>
        <v/>
      </c>
      <c r="AC2594" s="698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698"/>
      <c r="AE2594" s="631" t="str">
        <f t="shared" si="2014"/>
        <v/>
      </c>
      <c r="AF2594" s="699" t="str">
        <f t="shared" si="2015"/>
        <v/>
      </c>
      <c r="AG2594" s="699"/>
      <c r="AH2594" s="699"/>
      <c r="AI2594" s="512">
        <f>IF(H2594="credit",0,IF(AE2594="free",0,IF(AE2594="me",0,IF(G2594&gt;0,(VLOOKUP(A2594,'Discount Lookup'!J:K,2)*G2594),0))))</f>
        <v>0</v>
      </c>
      <c r="AJ2594" s="513" t="str">
        <f t="shared" ca="1" si="2016"/>
        <v/>
      </c>
      <c r="AK2594" s="700" t="str">
        <f t="shared" si="2017"/>
        <v/>
      </c>
      <c r="AL2594" s="700"/>
      <c r="AM2594" s="505" t="str">
        <f t="shared" si="2018"/>
        <v/>
      </c>
      <c r="AN2594" s="506"/>
      <c r="AO2594" s="507"/>
      <c r="AP2594" s="507"/>
      <c r="AQ2594" s="507"/>
      <c r="AR2594" s="507"/>
      <c r="AS2594" s="507"/>
      <c r="AT2594" s="507"/>
      <c r="AU2594" s="507"/>
      <c r="AV2594" s="225"/>
      <c r="AW2594" s="508"/>
      <c r="AX2594" s="225"/>
      <c r="AY2594" s="225"/>
      <c r="AZ2594" s="225"/>
      <c r="BA2594" s="225"/>
      <c r="BB2594" s="225"/>
      <c r="BC2594" s="56"/>
      <c r="BD2594" s="56"/>
      <c r="BE2594" s="56"/>
      <c r="BF2594" s="107" t="str">
        <f t="shared" si="2019"/>
        <v>https://www.google.com/search?tbm=isch&amp;q=15%20G2</v>
      </c>
      <c r="BG2594" s="107" t="str">
        <f t="shared" si="2020"/>
        <v>N</v>
      </c>
      <c r="BH2594" s="254"/>
      <c r="BI2594" s="254"/>
    </row>
    <row r="2595" spans="1:61" customFormat="1" ht="15.75" x14ac:dyDescent="0.25">
      <c r="A2595" s="485">
        <v>25</v>
      </c>
      <c r="B2595" s="486" t="s">
        <v>291</v>
      </c>
      <c r="C2595" s="487" t="s">
        <v>4924</v>
      </c>
      <c r="D2595" s="488" t="s">
        <v>297</v>
      </c>
      <c r="E2595" s="489">
        <v>249.95</v>
      </c>
      <c r="F2595" s="516" t="s">
        <v>293</v>
      </c>
      <c r="G2595" s="232">
        <v>0</v>
      </c>
      <c r="H2595" s="658" t="str">
        <f t="shared" si="2037"/>
        <v/>
      </c>
      <c r="I2595" s="490">
        <f t="shared" si="2038"/>
        <v>0</v>
      </c>
      <c r="J2595" s="490">
        <f t="shared" si="2039"/>
        <v>0</v>
      </c>
      <c r="K2595" s="695">
        <f t="shared" ref="K2595" si="2045">I2595+J2595</f>
        <v>0</v>
      </c>
      <c r="L2595" s="695"/>
      <c r="M2595" s="659" t="str">
        <f t="shared" si="2041"/>
        <v/>
      </c>
      <c r="N2595" s="660"/>
      <c r="O2595" s="233"/>
      <c r="P2595" s="233"/>
      <c r="Q2595" s="233"/>
      <c r="R2595" s="233"/>
      <c r="S2595" s="233"/>
      <c r="T2595" s="508">
        <f t="shared" si="2008"/>
        <v>0</v>
      </c>
      <c r="U2595" s="225">
        <f>IF(NOT(ISNUMBER(G2595)), "", VLOOKUP(A2595,'Discount Lookup'!D:E,2,FALSE)*G2595)</f>
        <v>0</v>
      </c>
      <c r="V2595" s="225">
        <f>IF(NOT(ISNUMBER(G2595)), "", VLOOKUP(A2595,'Discount Lookup'!G:H,2,FALSE)*G2595)</f>
        <v>0</v>
      </c>
      <c r="W2595" s="508">
        <f t="shared" si="2009"/>
        <v>0</v>
      </c>
      <c r="X2595" s="508">
        <f t="shared" si="2010"/>
        <v>0</v>
      </c>
      <c r="Y2595" s="509" t="b">
        <f t="shared" si="2011"/>
        <v>0</v>
      </c>
      <c r="Z2595" s="510">
        <f t="shared" si="2012"/>
        <v>0</v>
      </c>
      <c r="AA2595" s="511"/>
      <c r="AB2595" s="511" t="str">
        <f t="shared" si="2013"/>
        <v/>
      </c>
      <c r="AC2595" s="698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698"/>
      <c r="AE2595" s="631" t="str">
        <f t="shared" si="2014"/>
        <v/>
      </c>
      <c r="AF2595" s="699" t="str">
        <f t="shared" si="2015"/>
        <v/>
      </c>
      <c r="AG2595" s="699"/>
      <c r="AH2595" s="699"/>
      <c r="AI2595" s="512">
        <f>IF(H2595="credit",0,IF(AE2595="free",0,IF(AE2595="me",0,IF(G2595&gt;0,(VLOOKUP(A2595,'Discount Lookup'!J:K,2)*G2595),0))))</f>
        <v>0</v>
      </c>
      <c r="AJ2595" s="513" t="str">
        <f t="shared" ca="1" si="2016"/>
        <v/>
      </c>
      <c r="AK2595" s="700" t="str">
        <f t="shared" si="2017"/>
        <v/>
      </c>
      <c r="AL2595" s="700"/>
      <c r="AM2595" s="505" t="str">
        <f t="shared" si="2018"/>
        <v/>
      </c>
      <c r="AN2595" s="506"/>
      <c r="AO2595" s="507"/>
      <c r="AP2595" s="507"/>
      <c r="AQ2595" s="507"/>
      <c r="AR2595" s="507"/>
      <c r="AS2595" s="507"/>
      <c r="AT2595" s="507"/>
      <c r="AU2595" s="507"/>
      <c r="AV2595" s="225"/>
      <c r="AW2595" s="508"/>
      <c r="AX2595" s="225"/>
      <c r="AY2595" s="225"/>
      <c r="AZ2595" s="225"/>
      <c r="BA2595" s="225"/>
      <c r="BB2595" s="225"/>
      <c r="BC2595" s="56"/>
      <c r="BD2595" s="56"/>
      <c r="BE2595" s="56"/>
      <c r="BF2595" s="107" t="str">
        <f t="shared" si="2019"/>
        <v>https://www.google.com/search?tbm=isch&amp;q=25%20G3</v>
      </c>
      <c r="BG2595" s="107" t="str">
        <f t="shared" si="2020"/>
        <v>N</v>
      </c>
      <c r="BH2595" s="254"/>
      <c r="BI2595" s="254"/>
    </row>
    <row r="2596" spans="1:61" customFormat="1" ht="15.75" x14ac:dyDescent="0.25">
      <c r="A2596" s="485">
        <v>25</v>
      </c>
      <c r="B2596" s="486" t="s">
        <v>291</v>
      </c>
      <c r="C2596" s="487" t="s">
        <v>4925</v>
      </c>
      <c r="D2596" s="488" t="s">
        <v>292</v>
      </c>
      <c r="E2596" s="489">
        <v>339.95</v>
      </c>
      <c r="F2596" s="516" t="s">
        <v>293</v>
      </c>
      <c r="G2596" s="232">
        <v>0</v>
      </c>
      <c r="H2596" s="658" t="str">
        <f t="shared" si="2037"/>
        <v/>
      </c>
      <c r="I2596" s="490">
        <f t="shared" si="2038"/>
        <v>0</v>
      </c>
      <c r="J2596" s="490">
        <f t="shared" si="2039"/>
        <v>0</v>
      </c>
      <c r="K2596" s="695">
        <f t="shared" ref="K2596" si="2046">I2596+J2596</f>
        <v>0</v>
      </c>
      <c r="L2596" s="695"/>
      <c r="M2596" s="659" t="str">
        <f t="shared" si="2041"/>
        <v/>
      </c>
      <c r="N2596" s="660"/>
      <c r="O2596" s="233"/>
      <c r="P2596" s="233"/>
      <c r="Q2596" s="233"/>
      <c r="R2596" s="233"/>
      <c r="S2596" s="233"/>
      <c r="T2596" s="508">
        <f t="shared" si="2008"/>
        <v>0</v>
      </c>
      <c r="U2596" s="225">
        <f>IF(NOT(ISNUMBER(G2596)), "", VLOOKUP(A2596,'Discount Lookup'!D:E,2,FALSE)*G2596)</f>
        <v>0</v>
      </c>
      <c r="V2596" s="225">
        <f>IF(NOT(ISNUMBER(G2596)), "", VLOOKUP(A2596,'Discount Lookup'!G:H,2,FALSE)*G2596)</f>
        <v>0</v>
      </c>
      <c r="W2596" s="508">
        <f t="shared" si="2009"/>
        <v>0</v>
      </c>
      <c r="X2596" s="508">
        <f t="shared" si="2010"/>
        <v>0</v>
      </c>
      <c r="Y2596" s="509" t="b">
        <f t="shared" si="2011"/>
        <v>0</v>
      </c>
      <c r="Z2596" s="510">
        <f t="shared" si="2012"/>
        <v>0</v>
      </c>
      <c r="AA2596" s="511"/>
      <c r="AB2596" s="511" t="str">
        <f t="shared" si="2013"/>
        <v/>
      </c>
      <c r="AC2596" s="698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698"/>
      <c r="AE2596" s="631" t="str">
        <f t="shared" si="2014"/>
        <v/>
      </c>
      <c r="AF2596" s="699" t="str">
        <f t="shared" si="2015"/>
        <v/>
      </c>
      <c r="AG2596" s="699"/>
      <c r="AH2596" s="699"/>
      <c r="AI2596" s="512">
        <f>IF(H2596="credit",0,IF(AE2596="free",0,IF(AE2596="me",0,IF(G2596&gt;0,(VLOOKUP(A2596,'Discount Lookup'!J:K,2)*G2596),0))))</f>
        <v>0</v>
      </c>
      <c r="AJ2596" s="513" t="str">
        <f t="shared" ca="1" si="2016"/>
        <v/>
      </c>
      <c r="AK2596" s="700" t="str">
        <f t="shared" si="2017"/>
        <v/>
      </c>
      <c r="AL2596" s="700"/>
      <c r="AM2596" s="505" t="str">
        <f t="shared" si="2018"/>
        <v/>
      </c>
      <c r="AN2596" s="506"/>
      <c r="AO2596" s="507"/>
      <c r="AP2596" s="507"/>
      <c r="AQ2596" s="507"/>
      <c r="AR2596" s="507"/>
      <c r="AS2596" s="507"/>
      <c r="AT2596" s="507"/>
      <c r="AU2596" s="507"/>
      <c r="AV2596" s="225"/>
      <c r="AW2596" s="508"/>
      <c r="AX2596" s="225"/>
      <c r="AY2596" s="225"/>
      <c r="AZ2596" s="225"/>
      <c r="BA2596" s="225"/>
      <c r="BB2596" s="225"/>
      <c r="BC2596" s="56"/>
      <c r="BD2596" s="56"/>
      <c r="BE2596" s="56"/>
      <c r="BF2596" s="107" t="str">
        <f t="shared" si="2019"/>
        <v>https://www.google.com/search?tbm=isch&amp;q=25%20G4</v>
      </c>
      <c r="BG2596" s="107" t="str">
        <f t="shared" si="2020"/>
        <v>N</v>
      </c>
      <c r="BH2596" s="254"/>
      <c r="BI2596" s="254"/>
    </row>
    <row r="2597" spans="1:61" customFormat="1" ht="15.75" x14ac:dyDescent="0.25">
      <c r="A2597" s="485">
        <v>45</v>
      </c>
      <c r="B2597" s="486" t="s">
        <v>291</v>
      </c>
      <c r="C2597" s="487" t="s">
        <v>1420</v>
      </c>
      <c r="D2597" s="488" t="s">
        <v>300</v>
      </c>
      <c r="E2597" s="489">
        <v>633.95000000000005</v>
      </c>
      <c r="F2597" s="516" t="s">
        <v>293</v>
      </c>
      <c r="G2597" s="232">
        <v>0</v>
      </c>
      <c r="H2597" s="658" t="str">
        <f t="shared" si="2037"/>
        <v/>
      </c>
      <c r="I2597" s="490">
        <f t="shared" si="2038"/>
        <v>0</v>
      </c>
      <c r="J2597" s="490">
        <f t="shared" si="2039"/>
        <v>0</v>
      </c>
      <c r="K2597" s="695">
        <f t="shared" ref="K2597" si="2047">I2597+J2597</f>
        <v>0</v>
      </c>
      <c r="L2597" s="695"/>
      <c r="M2597" s="659" t="str">
        <f t="shared" si="2041"/>
        <v/>
      </c>
      <c r="N2597" s="660"/>
      <c r="O2597" s="233"/>
      <c r="P2597" s="233"/>
      <c r="Q2597" s="233"/>
      <c r="R2597" s="233"/>
      <c r="S2597" s="233"/>
      <c r="T2597" s="508">
        <f t="shared" si="2008"/>
        <v>0</v>
      </c>
      <c r="U2597" s="225">
        <f>IF(NOT(ISNUMBER(G2597)), "", VLOOKUP(A2597,'Discount Lookup'!D:E,2,FALSE)*G2597)</f>
        <v>0</v>
      </c>
      <c r="V2597" s="225">
        <f>IF(NOT(ISNUMBER(G2597)), "", VLOOKUP(A2597,'Discount Lookup'!G:H,2,FALSE)*G2597)</f>
        <v>0</v>
      </c>
      <c r="W2597" s="508">
        <f t="shared" si="2009"/>
        <v>0</v>
      </c>
      <c r="X2597" s="508">
        <f t="shared" si="2010"/>
        <v>0</v>
      </c>
      <c r="Y2597" s="509" t="b">
        <f t="shared" si="2011"/>
        <v>0</v>
      </c>
      <c r="Z2597" s="510">
        <f t="shared" si="2012"/>
        <v>0</v>
      </c>
      <c r="AA2597" s="511"/>
      <c r="AB2597" s="511" t="str">
        <f t="shared" si="2013"/>
        <v/>
      </c>
      <c r="AC2597" s="698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698"/>
      <c r="AE2597" s="631" t="str">
        <f t="shared" si="2014"/>
        <v/>
      </c>
      <c r="AF2597" s="699" t="str">
        <f t="shared" si="2015"/>
        <v/>
      </c>
      <c r="AG2597" s="699"/>
      <c r="AH2597" s="699"/>
      <c r="AI2597" s="512">
        <f>IF(H2597="credit",0,IF(AE2597="free",0,IF(AE2597="me",0,IF(G2597&gt;0,(VLOOKUP(A2597,'Discount Lookup'!J:K,2)*G2597),0))))</f>
        <v>0</v>
      </c>
      <c r="AJ2597" s="513" t="str">
        <f t="shared" ca="1" si="2016"/>
        <v/>
      </c>
      <c r="AK2597" s="700" t="str">
        <f t="shared" si="2017"/>
        <v/>
      </c>
      <c r="AL2597" s="700"/>
      <c r="AM2597" s="505" t="str">
        <f t="shared" si="2018"/>
        <v/>
      </c>
      <c r="AN2597" s="506"/>
      <c r="AO2597" s="507"/>
      <c r="AP2597" s="507"/>
      <c r="AQ2597" s="507"/>
      <c r="AR2597" s="507"/>
      <c r="AS2597" s="507"/>
      <c r="AT2597" s="507"/>
      <c r="AU2597" s="507"/>
      <c r="AV2597" s="225"/>
      <c r="AW2597" s="508"/>
      <c r="AX2597" s="225"/>
      <c r="AY2597" s="225"/>
      <c r="AZ2597" s="225"/>
      <c r="BA2597" s="225"/>
      <c r="BB2597" s="225"/>
      <c r="BC2597" s="56"/>
      <c r="BD2597" s="56"/>
      <c r="BE2597" s="56"/>
      <c r="BF2597" s="107" t="str">
        <f t="shared" si="2019"/>
        <v>https://www.google.com/search?tbm=isch&amp;q=45%20G6</v>
      </c>
      <c r="BG2597" s="107" t="str">
        <f t="shared" si="2020"/>
        <v>N</v>
      </c>
      <c r="BH2597" s="254"/>
      <c r="BI2597" s="254"/>
    </row>
    <row r="2598" spans="1:61" customFormat="1" ht="27" x14ac:dyDescent="0.25">
      <c r="A2598" s="485">
        <v>65</v>
      </c>
      <c r="B2598" s="486" t="s">
        <v>291</v>
      </c>
      <c r="C2598" s="487" t="s">
        <v>3667</v>
      </c>
      <c r="D2598" s="488" t="s">
        <v>292</v>
      </c>
      <c r="E2598" s="489">
        <v>858.95</v>
      </c>
      <c r="F2598" s="516" t="s">
        <v>293</v>
      </c>
      <c r="G2598" s="232">
        <v>0</v>
      </c>
      <c r="H2598" s="658" t="str">
        <f t="shared" si="2037"/>
        <v/>
      </c>
      <c r="I2598" s="490">
        <f t="shared" si="2038"/>
        <v>0</v>
      </c>
      <c r="J2598" s="490">
        <f t="shared" si="2039"/>
        <v>0</v>
      </c>
      <c r="K2598" s="695">
        <f t="shared" ref="K2598" si="2048">I2598+J2598</f>
        <v>0</v>
      </c>
      <c r="L2598" s="695"/>
      <c r="M2598" s="659" t="str">
        <f t="shared" si="2041"/>
        <v/>
      </c>
      <c r="N2598" s="660"/>
      <c r="O2598" s="233"/>
      <c r="P2598" s="233"/>
      <c r="Q2598" s="233"/>
      <c r="R2598" s="233"/>
      <c r="S2598" s="233"/>
      <c r="T2598" s="508">
        <f t="shared" si="2008"/>
        <v>0</v>
      </c>
      <c r="U2598" s="225">
        <f>IF(NOT(ISNUMBER(G2598)), "", VLOOKUP(A2598,'Discount Lookup'!D:E,2,FALSE)*G2598)</f>
        <v>0</v>
      </c>
      <c r="V2598" s="225">
        <f>IF(NOT(ISNUMBER(G2598)), "", VLOOKUP(A2598,'Discount Lookup'!G:H,2,FALSE)*G2598)</f>
        <v>0</v>
      </c>
      <c r="W2598" s="508">
        <f t="shared" si="2009"/>
        <v>0</v>
      </c>
      <c r="X2598" s="508">
        <f t="shared" si="2010"/>
        <v>0</v>
      </c>
      <c r="Y2598" s="509" t="b">
        <f t="shared" si="2011"/>
        <v>0</v>
      </c>
      <c r="Z2598" s="510">
        <f t="shared" si="2012"/>
        <v>0</v>
      </c>
      <c r="AA2598" s="511"/>
      <c r="AB2598" s="511" t="str">
        <f t="shared" si="2013"/>
        <v/>
      </c>
      <c r="AC2598" s="698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698"/>
      <c r="AE2598" s="631" t="str">
        <f t="shared" si="2014"/>
        <v/>
      </c>
      <c r="AF2598" s="699" t="str">
        <f t="shared" si="2015"/>
        <v/>
      </c>
      <c r="AG2598" s="699"/>
      <c r="AH2598" s="699"/>
      <c r="AI2598" s="512">
        <f>IF(H2598="credit",0,IF(AE2598="free",0,IF(AE2598="me",0,IF(G2598&gt;0,(VLOOKUP(A2598,'Discount Lookup'!J:K,2)*G2598),0))))</f>
        <v>0</v>
      </c>
      <c r="AJ2598" s="513" t="str">
        <f t="shared" ca="1" si="2016"/>
        <v/>
      </c>
      <c r="AK2598" s="700" t="str">
        <f t="shared" si="2017"/>
        <v/>
      </c>
      <c r="AL2598" s="700"/>
      <c r="AM2598" s="505" t="str">
        <f t="shared" si="2018"/>
        <v/>
      </c>
      <c r="AN2598" s="506"/>
      <c r="AO2598" s="507"/>
      <c r="AP2598" s="507"/>
      <c r="AQ2598" s="507"/>
      <c r="AR2598" s="507"/>
      <c r="AS2598" s="507"/>
      <c r="AT2598" s="507"/>
      <c r="AU2598" s="507"/>
      <c r="AV2598" s="225"/>
      <c r="AW2598" s="508"/>
      <c r="AX2598" s="225"/>
      <c r="AY2598" s="225"/>
      <c r="AZ2598" s="225"/>
      <c r="BA2598" s="225"/>
      <c r="BB2598" s="225"/>
      <c r="BC2598" s="56"/>
      <c r="BD2598" s="56"/>
      <c r="BE2598" s="56"/>
      <c r="BF2598" s="107" t="str">
        <f t="shared" si="2019"/>
        <v>https://www.google.com/search?tbm=isch&amp;q=65%20G4</v>
      </c>
      <c r="BG2598" s="107" t="str">
        <f t="shared" si="2020"/>
        <v>N</v>
      </c>
      <c r="BH2598" s="254"/>
      <c r="BI2598" s="254"/>
    </row>
    <row r="2599" spans="1:61" customFormat="1" ht="17.25" thickBot="1" x14ac:dyDescent="0.3">
      <c r="A2599" s="522" t="s">
        <v>2444</v>
      </c>
      <c r="B2599" s="491"/>
      <c r="C2599" s="675"/>
      <c r="D2599" s="491"/>
      <c r="E2599" s="491"/>
      <c r="F2599" s="492"/>
      <c r="G2599" s="493"/>
      <c r="H2599" s="491"/>
      <c r="I2599" s="234"/>
      <c r="J2599" s="234"/>
      <c r="K2599" s="494"/>
      <c r="L2599" s="543"/>
      <c r="M2599" s="561"/>
      <c r="N2599" s="495"/>
      <c r="O2599" s="496"/>
      <c r="P2599" s="497"/>
      <c r="Q2599" s="495"/>
      <c r="R2599" s="495"/>
      <c r="S2599" s="667" t="s">
        <v>5004</v>
      </c>
      <c r="T2599" s="508">
        <f t="shared" si="2008"/>
        <v>0</v>
      </c>
      <c r="U2599" s="225" t="str">
        <f>IF(NOT(ISNUMBER(G2599)), "", VLOOKUP(A2599,'Discount Lookup'!D:E,2,FALSE)*G2599)</f>
        <v/>
      </c>
      <c r="V2599" s="225" t="str">
        <f>IF(NOT(ISNUMBER(G2599)), "", VLOOKUP(A2599,'Discount Lookup'!G:H,2,FALSE)*G2599)</f>
        <v/>
      </c>
      <c r="W2599" s="508">
        <f t="shared" si="2009"/>
        <v>0</v>
      </c>
      <c r="X2599" s="508">
        <f t="shared" si="2010"/>
        <v>0</v>
      </c>
      <c r="Y2599" s="509" t="b">
        <f t="shared" si="2011"/>
        <v>0</v>
      </c>
      <c r="Z2599" s="510">
        <f t="shared" si="2012"/>
        <v>0</v>
      </c>
      <c r="AA2599" s="511"/>
      <c r="AB2599" s="511" t="str">
        <f t="shared" si="2013"/>
        <v/>
      </c>
      <c r="AC2599" s="698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698"/>
      <c r="AE2599" s="631" t="str">
        <f t="shared" si="2014"/>
        <v/>
      </c>
      <c r="AF2599" s="699" t="str">
        <f t="shared" si="2015"/>
        <v/>
      </c>
      <c r="AG2599" s="699"/>
      <c r="AH2599" s="699"/>
      <c r="AI2599" s="512">
        <f>IF(H2599="credit",0,IF(AE2599="free",0,IF(AE2599="me",0,IF(G2599&gt;0,(VLOOKUP(A2599,'Discount Lookup'!J:K,2)*G2599),0))))</f>
        <v>0</v>
      </c>
      <c r="AJ2599" s="513" t="str">
        <f t="shared" ca="1" si="2016"/>
        <v/>
      </c>
      <c r="AK2599" s="700" t="str">
        <f t="shared" si="2017"/>
        <v/>
      </c>
      <c r="AL2599" s="700"/>
      <c r="AM2599" s="505" t="str">
        <f t="shared" si="2018"/>
        <v/>
      </c>
      <c r="AN2599" s="506"/>
      <c r="AO2599" s="507"/>
      <c r="AP2599" s="507"/>
      <c r="AQ2599" s="507"/>
      <c r="AR2599" s="507"/>
      <c r="AS2599" s="507"/>
      <c r="AT2599" s="507"/>
      <c r="AU2599" s="507"/>
      <c r="AV2599" s="225"/>
      <c r="AW2599" s="508"/>
      <c r="AX2599" s="225"/>
      <c r="AY2599" s="225"/>
      <c r="AZ2599" s="225"/>
      <c r="BA2599" s="225"/>
      <c r="BB2599" s="225"/>
      <c r="BC2599" s="56"/>
      <c r="BD2599" s="56"/>
      <c r="BE2599" s="56"/>
      <c r="BF2599" s="107" t="str">
        <f t="shared" si="2019"/>
        <v>https://www.google.com/search?tbm=isch&amp;q=Nellies%20are%20all%20female%2C%20but%20able%20to%20self-pollinate.%20Plant%20with%20an%20Ilex%20cornuta%20male%20to%20increase%20berry%20set%20</v>
      </c>
      <c r="BG2599" s="107" t="str">
        <f t="shared" si="2020"/>
        <v>N</v>
      </c>
      <c r="BH2599" s="254"/>
      <c r="BI2599" s="254"/>
    </row>
    <row r="2600" spans="1:61" customFormat="1" ht="18" x14ac:dyDescent="0.25">
      <c r="A2600" s="523" t="s">
        <v>5465</v>
      </c>
      <c r="B2600" s="235"/>
      <c r="C2600" s="676"/>
      <c r="D2600" s="255" t="s">
        <v>4540</v>
      </c>
      <c r="E2600" s="236"/>
      <c r="F2600" s="236"/>
      <c r="G2600" s="236"/>
      <c r="H2600" s="582" t="s">
        <v>474</v>
      </c>
      <c r="I2600" s="498" t="s">
        <v>662</v>
      </c>
      <c r="J2600" s="237"/>
      <c r="K2600" s="237"/>
      <c r="L2600" s="274"/>
      <c r="M2600" s="668" t="s">
        <v>4962</v>
      </c>
      <c r="N2600" s="681" t="str">
        <f>IF(AND(ISTEXT($A2600), ISERROR($A2600+0)), HYPERLINK($BF2600, "Images"), "")</f>
        <v>Images</v>
      </c>
      <c r="O2600" s="663" t="s">
        <v>4967</v>
      </c>
      <c r="P2600" s="253"/>
      <c r="Q2600" s="238"/>
      <c r="R2600" s="239"/>
      <c r="S2600" s="275"/>
      <c r="T2600" s="508">
        <f t="shared" si="2008"/>
        <v>0</v>
      </c>
      <c r="U2600" s="225" t="str">
        <f>IF(NOT(ISNUMBER(G2600)), "", VLOOKUP(A2600,'Discount Lookup'!D:E,2,FALSE)*G2600)</f>
        <v/>
      </c>
      <c r="V2600" s="225" t="str">
        <f>IF(NOT(ISNUMBER(G2600)), "", VLOOKUP(A2600,'Discount Lookup'!G:H,2,FALSE)*G2600)</f>
        <v/>
      </c>
      <c r="W2600" s="508">
        <f t="shared" si="2009"/>
        <v>0</v>
      </c>
      <c r="X2600" s="508" t="str">
        <f t="shared" si="2010"/>
        <v>Lavender bloom</v>
      </c>
      <c r="Y2600" s="509" t="b">
        <f t="shared" si="2011"/>
        <v>0</v>
      </c>
      <c r="Z2600" s="510">
        <f t="shared" si="2012"/>
        <v>0</v>
      </c>
      <c r="AA2600" s="511"/>
      <c r="AB2600" s="511" t="str">
        <f t="shared" si="2013"/>
        <v/>
      </c>
      <c r="AC2600" s="698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698"/>
      <c r="AE2600" s="631" t="str">
        <f t="shared" si="2014"/>
        <v/>
      </c>
      <c r="AF2600" s="699" t="str">
        <f t="shared" si="2015"/>
        <v/>
      </c>
      <c r="AG2600" s="699"/>
      <c r="AH2600" s="699"/>
      <c r="AI2600" s="512">
        <f>IF(H2600="credit",0,IF(AE2600="free",0,IF(AE2600="me",0,IF(G2600&gt;0,(VLOOKUP(A2600,'Discount Lookup'!J:K,2)*G2600),0))))</f>
        <v>0</v>
      </c>
      <c r="AJ2600" s="513" t="str">
        <f t="shared" ca="1" si="2016"/>
        <v/>
      </c>
      <c r="AK2600" s="700" t="str">
        <f t="shared" si="2017"/>
        <v/>
      </c>
      <c r="AL2600" s="700"/>
      <c r="AM2600" s="505" t="str">
        <f t="shared" si="2018"/>
        <v/>
      </c>
      <c r="AN2600" s="506"/>
      <c r="AO2600" s="507"/>
      <c r="AP2600" s="507"/>
      <c r="AQ2600" s="507"/>
      <c r="AR2600" s="507"/>
      <c r="AS2600" s="507"/>
      <c r="AT2600" s="507"/>
      <c r="AU2600" s="507"/>
      <c r="AV2600" s="225"/>
      <c r="AW2600" s="508"/>
      <c r="AX2600" s="225"/>
      <c r="AY2600" s="225"/>
      <c r="AZ2600" s="225"/>
      <c r="BA2600" s="225"/>
      <c r="BB2600" s="225"/>
      <c r="BC2600" s="56"/>
      <c r="BD2600" s="56"/>
      <c r="BE2600" s="56"/>
      <c r="BF2600" s="107" t="str">
        <f t="shared" si="2019"/>
        <v>https://www.google.com/search?tbm=isch&amp;q=New%20Age%E2%84%A2%20Lavender%20Lilac%20Syringa%20vulgaris%20%27G13099%27%20PP%2332623</v>
      </c>
      <c r="BG2600" s="107" t="str">
        <f t="shared" si="2020"/>
        <v>N</v>
      </c>
      <c r="BH2600" s="254"/>
      <c r="BI2600" s="254"/>
    </row>
    <row r="2601" spans="1:61" customFormat="1" ht="15.75" x14ac:dyDescent="0.25">
      <c r="A2601" s="276">
        <v>3</v>
      </c>
      <c r="B2601" s="240" t="s">
        <v>291</v>
      </c>
      <c r="C2601" s="241" t="s">
        <v>341</v>
      </c>
      <c r="D2601" s="242" t="s">
        <v>312</v>
      </c>
      <c r="E2601" s="243">
        <v>30.95</v>
      </c>
      <c r="F2601" s="517" t="s">
        <v>293</v>
      </c>
      <c r="G2601" s="232">
        <v>0</v>
      </c>
      <c r="H2601" s="661" t="str">
        <f>IF(G2601=0,"",IF(F2601="Buy",IF(G2601=1,"plant","plants"),IF(F2601&gt;0.01,"warranty","Error")))</f>
        <v/>
      </c>
      <c r="I2601" s="244">
        <f>IF(H2601="free",0,IF(H2601="credit",((E2601*(F2601))*G2601*-1),IF(F2601="Buy",(E2601*G2601),((E2601*(1-F2601))*G2601))))</f>
        <v>0</v>
      </c>
      <c r="J2601" s="244">
        <f>IF(H2601="warranty",0,(I2601*(_xlfn.SINGLE(SalesTaxPercentage))))</f>
        <v>0</v>
      </c>
      <c r="K2601" s="696">
        <f t="shared" ref="K2601" si="2049">I2601+J2601</f>
        <v>0</v>
      </c>
      <c r="L2601" s="696"/>
      <c r="M2601" s="659" t="str">
        <f>IF(AND(G2601&gt;0,E2601=0),"WARNING - no PRICE inserted",IF(H2601="free"," FREE ~ no charge this plant",IF(H2601="credit",CONCATENATE(" -$",ROUND(K2601*(1-T2GDiscount)*-1,2)," CREDIT after discount"),IF(T2GDiscount=0,"",IF(G2601=0,"",IF(F2601="Buy",CONCATENATE(" $",ROUND(K2601*(1-T2GDiscount),2)," with ",(T2GDiscount*100),"% discount"),CONCATENATE(" $",ROUND(K2601*(1-T2GDiscount),2)," with ",((T2GDiscount*100+F2601*100)-(T2GDiscount*100*F2601)),IF(F2601&gt;0,"% discounts",IF(NoWarrantyDiscount&gt;0,"% discounts","% discount")))))))))</f>
        <v/>
      </c>
      <c r="N2601" s="660"/>
      <c r="O2601" s="233"/>
      <c r="P2601" s="233"/>
      <c r="Q2601" s="233"/>
      <c r="R2601" s="233"/>
      <c r="S2601" s="233"/>
      <c r="T2601" s="508">
        <f t="shared" si="2008"/>
        <v>0</v>
      </c>
      <c r="U2601" s="225">
        <f>IF(NOT(ISNUMBER(G2601)), "", VLOOKUP(A2601,'Discount Lookup'!D:E,2,FALSE)*G2601)</f>
        <v>0</v>
      </c>
      <c r="V2601" s="225">
        <f>IF(NOT(ISNUMBER(G2601)), "", VLOOKUP(A2601,'Discount Lookup'!G:H,2,FALSE)*G2601)</f>
        <v>0</v>
      </c>
      <c r="W2601" s="508">
        <f t="shared" si="2009"/>
        <v>0</v>
      </c>
      <c r="X2601" s="508">
        <f t="shared" si="2010"/>
        <v>0</v>
      </c>
      <c r="Y2601" s="509" t="b">
        <f t="shared" si="2011"/>
        <v>0</v>
      </c>
      <c r="Z2601" s="510">
        <f t="shared" si="2012"/>
        <v>0</v>
      </c>
      <c r="AA2601" s="511"/>
      <c r="AB2601" s="511" t="str">
        <f t="shared" si="2013"/>
        <v/>
      </c>
      <c r="AC2601" s="698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698"/>
      <c r="AE2601" s="631" t="str">
        <f t="shared" si="2014"/>
        <v/>
      </c>
      <c r="AF2601" s="699" t="str">
        <f t="shared" si="2015"/>
        <v/>
      </c>
      <c r="AG2601" s="699"/>
      <c r="AH2601" s="699"/>
      <c r="AI2601" s="512">
        <f>IF(H2601="credit",0,IF(AE2601="free",0,IF(AE2601="me",0,IF(G2601&gt;0,(VLOOKUP(A2601,'Discount Lookup'!J:K,2)*G2601),0))))</f>
        <v>0</v>
      </c>
      <c r="AJ2601" s="513" t="str">
        <f t="shared" ca="1" si="2016"/>
        <v/>
      </c>
      <c r="AK2601" s="700" t="str">
        <f t="shared" si="2017"/>
        <v/>
      </c>
      <c r="AL2601" s="700"/>
      <c r="AM2601" s="505" t="str">
        <f t="shared" si="2018"/>
        <v/>
      </c>
      <c r="AN2601" s="506"/>
      <c r="AO2601" s="507"/>
      <c r="AP2601" s="507"/>
      <c r="AQ2601" s="507"/>
      <c r="AR2601" s="507"/>
      <c r="AS2601" s="507"/>
      <c r="AT2601" s="507"/>
      <c r="AU2601" s="507"/>
      <c r="AV2601" s="225"/>
      <c r="AW2601" s="508"/>
      <c r="AX2601" s="225"/>
      <c r="AY2601" s="225"/>
      <c r="AZ2601" s="225"/>
      <c r="BA2601" s="225"/>
      <c r="BB2601" s="225"/>
      <c r="BC2601" s="56"/>
      <c r="BD2601" s="56"/>
      <c r="BE2601" s="56"/>
      <c r="BF2601" s="107" t="str">
        <f t="shared" si="2019"/>
        <v>https://www.google.com/search?tbm=isch&amp;q=3%20G2</v>
      </c>
      <c r="BG2601" s="107" t="str">
        <f t="shared" si="2020"/>
        <v>N</v>
      </c>
      <c r="BH2601" s="254"/>
      <c r="BI2601" s="254"/>
    </row>
    <row r="2602" spans="1:61" customFormat="1" ht="17.25" thickBot="1" x14ac:dyDescent="0.3">
      <c r="A2602" s="524" t="s">
        <v>4541</v>
      </c>
      <c r="B2602" s="245"/>
      <c r="C2602" s="677"/>
      <c r="D2602" s="499"/>
      <c r="E2602" s="499"/>
      <c r="F2602" s="500"/>
      <c r="G2602" s="501"/>
      <c r="H2602" s="502"/>
      <c r="I2602" s="246"/>
      <c r="J2602" s="247"/>
      <c r="K2602" s="503"/>
      <c r="L2602" s="544"/>
      <c r="M2602" s="544"/>
      <c r="N2602" s="500"/>
      <c r="O2602" s="500"/>
      <c r="P2602" s="500"/>
      <c r="Q2602" s="500"/>
      <c r="R2602" s="500"/>
      <c r="S2602" s="278"/>
      <c r="T2602" s="508">
        <f t="shared" si="2008"/>
        <v>0</v>
      </c>
      <c r="U2602" s="225" t="str">
        <f>IF(NOT(ISNUMBER(G2602)), "", VLOOKUP(A2602,'Discount Lookup'!D:E,2,FALSE)*G2602)</f>
        <v/>
      </c>
      <c r="V2602" s="225" t="str">
        <f>IF(NOT(ISNUMBER(G2602)), "", VLOOKUP(A2602,'Discount Lookup'!G:H,2,FALSE)*G2602)</f>
        <v/>
      </c>
      <c r="W2602" s="508">
        <f t="shared" si="2009"/>
        <v>0</v>
      </c>
      <c r="X2602" s="508">
        <f t="shared" si="2010"/>
        <v>0</v>
      </c>
      <c r="Y2602" s="509" t="b">
        <f t="shared" si="2011"/>
        <v>0</v>
      </c>
      <c r="Z2602" s="510">
        <f t="shared" si="2012"/>
        <v>0</v>
      </c>
      <c r="AA2602" s="511"/>
      <c r="AB2602" s="511" t="str">
        <f t="shared" si="2013"/>
        <v/>
      </c>
      <c r="AC2602" s="698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698"/>
      <c r="AE2602" s="631" t="str">
        <f t="shared" si="2014"/>
        <v/>
      </c>
      <c r="AF2602" s="699" t="str">
        <f t="shared" si="2015"/>
        <v/>
      </c>
      <c r="AG2602" s="699"/>
      <c r="AH2602" s="699"/>
      <c r="AI2602" s="512">
        <f>IF(H2602="credit",0,IF(AE2602="free",0,IF(AE2602="me",0,IF(G2602&gt;0,(VLOOKUP(A2602,'Discount Lookup'!J:K,2)*G2602),0))))</f>
        <v>0</v>
      </c>
      <c r="AJ2602" s="513" t="str">
        <f t="shared" ca="1" si="2016"/>
        <v/>
      </c>
      <c r="AK2602" s="700" t="str">
        <f t="shared" si="2017"/>
        <v/>
      </c>
      <c r="AL2602" s="700"/>
      <c r="AM2602" s="505" t="str">
        <f t="shared" si="2018"/>
        <v/>
      </c>
      <c r="AN2602" s="506"/>
      <c r="AO2602" s="507"/>
      <c r="AP2602" s="507"/>
      <c r="AQ2602" s="507"/>
      <c r="AR2602" s="507"/>
      <c r="AS2602" s="507"/>
      <c r="AT2602" s="507"/>
      <c r="AU2602" s="507"/>
      <c r="AV2602" s="225"/>
      <c r="AW2602" s="508"/>
      <c r="AX2602" s="225"/>
      <c r="AY2602" s="225"/>
      <c r="AZ2602" s="225"/>
      <c r="BA2602" s="225"/>
      <c r="BB2602" s="225"/>
      <c r="BC2602" s="56"/>
      <c r="BD2602" s="56"/>
      <c r="BE2602" s="56"/>
      <c r="BF2602" s="107" t="str">
        <f t="shared" si="2019"/>
        <v>https://www.google.com/search?tbm=isch&amp;q=New%20Age%20Lilacs%20are%20noted%20for%20smaller%20stature%20and%20better%20mildew%20resistance%20than%20other%20Lilac.%20Very%20fragrant%20in%20spring%21%20</v>
      </c>
      <c r="BG2602" s="107" t="str">
        <f t="shared" si="2020"/>
        <v>N</v>
      </c>
      <c r="BH2602" s="254"/>
      <c r="BI2602" s="254"/>
    </row>
    <row r="2603" spans="1:61" customFormat="1" ht="18" x14ac:dyDescent="0.25">
      <c r="A2603" s="523" t="s">
        <v>5466</v>
      </c>
      <c r="B2603" s="235"/>
      <c r="C2603" s="676"/>
      <c r="D2603" s="255" t="s">
        <v>4542</v>
      </c>
      <c r="E2603" s="236"/>
      <c r="F2603" s="236"/>
      <c r="G2603" s="236"/>
      <c r="H2603" s="582" t="s">
        <v>474</v>
      </c>
      <c r="I2603" s="498" t="s">
        <v>654</v>
      </c>
      <c r="J2603" s="237"/>
      <c r="K2603" s="237"/>
      <c r="L2603" s="274"/>
      <c r="M2603" s="668" t="s">
        <v>4962</v>
      </c>
      <c r="N2603" s="681" t="str">
        <f>IF(AND(ISTEXT($A2603), ISERROR($A2603+0)), HYPERLINK($BF2603, "Images"), "")</f>
        <v>Images</v>
      </c>
      <c r="O2603" s="663" t="s">
        <v>4967</v>
      </c>
      <c r="P2603" s="253"/>
      <c r="Q2603" s="238"/>
      <c r="R2603" s="239"/>
      <c r="S2603" s="275"/>
      <c r="T2603" s="508">
        <f t="shared" si="2008"/>
        <v>0</v>
      </c>
      <c r="U2603" s="225" t="str">
        <f>IF(NOT(ISNUMBER(G2603)), "", VLOOKUP(A2603,'Discount Lookup'!D:E,2,FALSE)*G2603)</f>
        <v/>
      </c>
      <c r="V2603" s="225" t="str">
        <f>IF(NOT(ISNUMBER(G2603)), "", VLOOKUP(A2603,'Discount Lookup'!G:H,2,FALSE)*G2603)</f>
        <v/>
      </c>
      <c r="W2603" s="508">
        <f t="shared" si="2009"/>
        <v>0</v>
      </c>
      <c r="X2603" s="508" t="str">
        <f t="shared" si="2010"/>
        <v>White bloom</v>
      </c>
      <c r="Y2603" s="509" t="b">
        <f t="shared" si="2011"/>
        <v>0</v>
      </c>
      <c r="Z2603" s="510">
        <f t="shared" si="2012"/>
        <v>0</v>
      </c>
      <c r="AA2603" s="511"/>
      <c r="AB2603" s="511" t="str">
        <f t="shared" si="2013"/>
        <v/>
      </c>
      <c r="AC2603" s="698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698"/>
      <c r="AE2603" s="631" t="str">
        <f t="shared" si="2014"/>
        <v/>
      </c>
      <c r="AF2603" s="699" t="str">
        <f t="shared" si="2015"/>
        <v/>
      </c>
      <c r="AG2603" s="699"/>
      <c r="AH2603" s="699"/>
      <c r="AI2603" s="512">
        <f>IF(H2603="credit",0,IF(AE2603="free",0,IF(AE2603="me",0,IF(G2603&gt;0,(VLOOKUP(A2603,'Discount Lookup'!J:K,2)*G2603),0))))</f>
        <v>0</v>
      </c>
      <c r="AJ2603" s="513" t="str">
        <f t="shared" ca="1" si="2016"/>
        <v/>
      </c>
      <c r="AK2603" s="700" t="str">
        <f t="shared" si="2017"/>
        <v/>
      </c>
      <c r="AL2603" s="700"/>
      <c r="AM2603" s="505" t="str">
        <f t="shared" si="2018"/>
        <v/>
      </c>
      <c r="AN2603" s="506"/>
      <c r="AO2603" s="507"/>
      <c r="AP2603" s="507"/>
      <c r="AQ2603" s="507"/>
      <c r="AR2603" s="507"/>
      <c r="AS2603" s="507"/>
      <c r="AT2603" s="507"/>
      <c r="AU2603" s="507"/>
      <c r="AV2603" s="225"/>
      <c r="AW2603" s="508"/>
      <c r="AX2603" s="225"/>
      <c r="AY2603" s="225"/>
      <c r="AZ2603" s="225"/>
      <c r="BA2603" s="225"/>
      <c r="BB2603" s="225"/>
      <c r="BC2603" s="56"/>
      <c r="BD2603" s="56"/>
      <c r="BE2603" s="56"/>
      <c r="BF2603" s="107" t="str">
        <f t="shared" si="2019"/>
        <v>https://www.google.com/search?tbm=isch&amp;q=New%20Age%E2%84%A2%20White%20Lilac%20Syringa%20vulgaris%20%27G13103%27%20PP%2332670</v>
      </c>
      <c r="BG2603" s="107" t="str">
        <f t="shared" si="2020"/>
        <v>N</v>
      </c>
      <c r="BH2603" s="254"/>
      <c r="BI2603" s="254"/>
    </row>
    <row r="2604" spans="1:61" customFormat="1" ht="15.75" x14ac:dyDescent="0.25">
      <c r="A2604" s="276">
        <v>3</v>
      </c>
      <c r="B2604" s="240" t="s">
        <v>291</v>
      </c>
      <c r="C2604" s="241" t="s">
        <v>341</v>
      </c>
      <c r="D2604" s="242" t="s">
        <v>312</v>
      </c>
      <c r="E2604" s="243">
        <v>30.95</v>
      </c>
      <c r="F2604" s="517" t="s">
        <v>293</v>
      </c>
      <c r="G2604" s="232">
        <v>0</v>
      </c>
      <c r="H2604" s="661" t="str">
        <f>IF(G2604=0,"",IF(F2604="Buy",IF(G2604=1,"plant","plants"),IF(F2604&gt;0.01,"warranty","Error")))</f>
        <v/>
      </c>
      <c r="I2604" s="244">
        <f>IF(H2604="free",0,IF(H2604="credit",((E2604*(F2604))*G2604*-1),IF(F2604="Buy",(E2604*G2604),((E2604*(1-F2604))*G2604))))</f>
        <v>0</v>
      </c>
      <c r="J2604" s="244">
        <f>IF(H2604="warranty",0,(I2604*(_xlfn.SINGLE(SalesTaxPercentage))))</f>
        <v>0</v>
      </c>
      <c r="K2604" s="696">
        <f t="shared" ref="K2604" si="2050">I2604+J2604</f>
        <v>0</v>
      </c>
      <c r="L2604" s="696"/>
      <c r="M2604" s="659" t="str">
        <f>IF(AND(G2604&gt;0,E2604=0),"WARNING - no PRICE inserted",IF(H2604="free"," FREE ~ no charge this plant",IF(H2604="credit",CONCATENATE(" -$",ROUND(K2604*(1-T2GDiscount)*-1,2)," CREDIT after discount"),IF(T2GDiscount=0,"",IF(G2604=0,"",IF(F2604="Buy",CONCATENATE(" $",ROUND(K2604*(1-T2GDiscount),2)," with ",(T2GDiscount*100),"% discount"),CONCATENATE(" $",ROUND(K2604*(1-T2GDiscount),2)," with ",((T2GDiscount*100+F2604*100)-(T2GDiscount*100*F2604)),IF(F2604&gt;0,"% discounts",IF(NoWarrantyDiscount&gt;0,"% discounts","% discount")))))))))</f>
        <v/>
      </c>
      <c r="N2604" s="660"/>
      <c r="O2604" s="233"/>
      <c r="P2604" s="233"/>
      <c r="Q2604" s="233"/>
      <c r="R2604" s="233"/>
      <c r="S2604" s="233"/>
      <c r="T2604" s="508">
        <f t="shared" si="2008"/>
        <v>0</v>
      </c>
      <c r="U2604" s="225">
        <f>IF(NOT(ISNUMBER(G2604)), "", VLOOKUP(A2604,'Discount Lookup'!D:E,2,FALSE)*G2604)</f>
        <v>0</v>
      </c>
      <c r="V2604" s="225">
        <f>IF(NOT(ISNUMBER(G2604)), "", VLOOKUP(A2604,'Discount Lookup'!G:H,2,FALSE)*G2604)</f>
        <v>0</v>
      </c>
      <c r="W2604" s="508">
        <f t="shared" si="2009"/>
        <v>0</v>
      </c>
      <c r="X2604" s="508">
        <f t="shared" si="2010"/>
        <v>0</v>
      </c>
      <c r="Y2604" s="509" t="b">
        <f t="shared" si="2011"/>
        <v>0</v>
      </c>
      <c r="Z2604" s="510">
        <f t="shared" si="2012"/>
        <v>0</v>
      </c>
      <c r="AA2604" s="511"/>
      <c r="AB2604" s="511" t="str">
        <f t="shared" si="2013"/>
        <v/>
      </c>
      <c r="AC2604" s="698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698"/>
      <c r="AE2604" s="631" t="str">
        <f t="shared" si="2014"/>
        <v/>
      </c>
      <c r="AF2604" s="699" t="str">
        <f t="shared" si="2015"/>
        <v/>
      </c>
      <c r="AG2604" s="699"/>
      <c r="AH2604" s="699"/>
      <c r="AI2604" s="512">
        <f>IF(H2604="credit",0,IF(AE2604="free",0,IF(AE2604="me",0,IF(G2604&gt;0,(VLOOKUP(A2604,'Discount Lookup'!J:K,2)*G2604),0))))</f>
        <v>0</v>
      </c>
      <c r="AJ2604" s="513" t="str">
        <f t="shared" ca="1" si="2016"/>
        <v/>
      </c>
      <c r="AK2604" s="700" t="str">
        <f t="shared" si="2017"/>
        <v/>
      </c>
      <c r="AL2604" s="700"/>
      <c r="AM2604" s="505" t="str">
        <f t="shared" si="2018"/>
        <v/>
      </c>
      <c r="AN2604" s="506"/>
      <c r="AO2604" s="507"/>
      <c r="AP2604" s="507"/>
      <c r="AQ2604" s="507"/>
      <c r="AR2604" s="507"/>
      <c r="AS2604" s="507"/>
      <c r="AT2604" s="507"/>
      <c r="AU2604" s="507"/>
      <c r="AV2604" s="225"/>
      <c r="AW2604" s="508"/>
      <c r="AX2604" s="225"/>
      <c r="AY2604" s="225"/>
      <c r="AZ2604" s="225"/>
      <c r="BA2604" s="225"/>
      <c r="BB2604" s="225"/>
      <c r="BC2604" s="56"/>
      <c r="BD2604" s="56"/>
      <c r="BE2604" s="56"/>
      <c r="BF2604" s="107" t="str">
        <f t="shared" si="2019"/>
        <v>https://www.google.com/search?tbm=isch&amp;q=3%20G2</v>
      </c>
      <c r="BG2604" s="107" t="str">
        <f t="shared" si="2020"/>
        <v>N</v>
      </c>
      <c r="BH2604" s="254"/>
      <c r="BI2604" s="254"/>
    </row>
    <row r="2605" spans="1:61" customFormat="1" ht="17.25" thickBot="1" x14ac:dyDescent="0.3">
      <c r="A2605" s="524" t="s">
        <v>4541</v>
      </c>
      <c r="B2605" s="245"/>
      <c r="C2605" s="677"/>
      <c r="D2605" s="499"/>
      <c r="E2605" s="499"/>
      <c r="F2605" s="500"/>
      <c r="G2605" s="501"/>
      <c r="H2605" s="502"/>
      <c r="I2605" s="246"/>
      <c r="J2605" s="247"/>
      <c r="K2605" s="503"/>
      <c r="L2605" s="544"/>
      <c r="M2605" s="544"/>
      <c r="N2605" s="500"/>
      <c r="O2605" s="500"/>
      <c r="P2605" s="500"/>
      <c r="Q2605" s="500"/>
      <c r="R2605" s="500"/>
      <c r="S2605" s="278"/>
      <c r="T2605" s="508">
        <f t="shared" si="2008"/>
        <v>0</v>
      </c>
      <c r="U2605" s="225" t="str">
        <f>IF(NOT(ISNUMBER(G2605)), "", VLOOKUP(A2605,'Discount Lookup'!D:E,2,FALSE)*G2605)</f>
        <v/>
      </c>
      <c r="V2605" s="225" t="str">
        <f>IF(NOT(ISNUMBER(G2605)), "", VLOOKUP(A2605,'Discount Lookup'!G:H,2,FALSE)*G2605)</f>
        <v/>
      </c>
      <c r="W2605" s="508">
        <f t="shared" si="2009"/>
        <v>0</v>
      </c>
      <c r="X2605" s="508">
        <f t="shared" si="2010"/>
        <v>0</v>
      </c>
      <c r="Y2605" s="509" t="b">
        <f t="shared" si="2011"/>
        <v>0</v>
      </c>
      <c r="Z2605" s="510">
        <f t="shared" si="2012"/>
        <v>0</v>
      </c>
      <c r="AA2605" s="511"/>
      <c r="AB2605" s="511" t="str">
        <f t="shared" si="2013"/>
        <v/>
      </c>
      <c r="AC2605" s="698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698"/>
      <c r="AE2605" s="631" t="str">
        <f t="shared" si="2014"/>
        <v/>
      </c>
      <c r="AF2605" s="699" t="str">
        <f t="shared" si="2015"/>
        <v/>
      </c>
      <c r="AG2605" s="699"/>
      <c r="AH2605" s="699"/>
      <c r="AI2605" s="512">
        <f>IF(H2605="credit",0,IF(AE2605="free",0,IF(AE2605="me",0,IF(G2605&gt;0,(VLOOKUP(A2605,'Discount Lookup'!J:K,2)*G2605),0))))</f>
        <v>0</v>
      </c>
      <c r="AJ2605" s="513" t="str">
        <f t="shared" ca="1" si="2016"/>
        <v/>
      </c>
      <c r="AK2605" s="700" t="str">
        <f t="shared" si="2017"/>
        <v/>
      </c>
      <c r="AL2605" s="700"/>
      <c r="AM2605" s="505" t="str">
        <f t="shared" si="2018"/>
        <v/>
      </c>
      <c r="AN2605" s="506"/>
      <c r="AO2605" s="507"/>
      <c r="AP2605" s="507"/>
      <c r="AQ2605" s="507"/>
      <c r="AR2605" s="507"/>
      <c r="AS2605" s="507"/>
      <c r="AT2605" s="507"/>
      <c r="AU2605" s="507"/>
      <c r="AV2605" s="225"/>
      <c r="AW2605" s="508"/>
      <c r="AX2605" s="225"/>
      <c r="AY2605" s="225"/>
      <c r="AZ2605" s="225"/>
      <c r="BA2605" s="225"/>
      <c r="BB2605" s="225"/>
      <c r="BC2605" s="56"/>
      <c r="BD2605" s="56"/>
      <c r="BE2605" s="56"/>
      <c r="BF2605" s="107" t="str">
        <f t="shared" si="2019"/>
        <v>https://www.google.com/search?tbm=isch&amp;q=New%20Age%20Lilacs%20are%20noted%20for%20smaller%20stature%20and%20better%20mildew%20resistance%20than%20other%20Lilac.%20Very%20fragrant%20in%20spring%21%20</v>
      </c>
      <c r="BG2605" s="107" t="str">
        <f t="shared" si="2020"/>
        <v>N</v>
      </c>
      <c r="BH2605" s="254"/>
      <c r="BI2605" s="254"/>
    </row>
    <row r="2606" spans="1:61" customFormat="1" ht="18" x14ac:dyDescent="0.25">
      <c r="A2606" s="521" t="s">
        <v>5467</v>
      </c>
      <c r="B2606" s="477"/>
      <c r="C2606" s="674"/>
      <c r="D2606" s="478" t="s">
        <v>1421</v>
      </c>
      <c r="E2606" s="479"/>
      <c r="F2606" s="479"/>
      <c r="G2606" s="479"/>
      <c r="H2606" s="582" t="s">
        <v>441</v>
      </c>
      <c r="I2606" s="480" t="s">
        <v>2106</v>
      </c>
      <c r="J2606" s="479"/>
      <c r="K2606" s="479"/>
      <c r="L2606" s="560"/>
      <c r="M2606" s="666" t="s">
        <v>4966</v>
      </c>
      <c r="N2606" s="680" t="str">
        <f>IF(AND(ISTEXT($A2606), ISERROR($A2606+0)), HYPERLINK($BF2606, "Images"), "")</f>
        <v>Images</v>
      </c>
      <c r="O2606" s="662" t="s">
        <v>4969</v>
      </c>
      <c r="P2606" s="482"/>
      <c r="Q2606" s="483"/>
      <c r="R2606" s="483"/>
      <c r="S2606" s="484"/>
      <c r="T2606" s="508">
        <f t="shared" si="2008"/>
        <v>0</v>
      </c>
      <c r="U2606" s="225" t="str">
        <f>IF(NOT(ISNUMBER(G2606)), "", VLOOKUP(A2606,'Discount Lookup'!D:E,2,FALSE)*G2606)</f>
        <v/>
      </c>
      <c r="V2606" s="225" t="str">
        <f>IF(NOT(ISNUMBER(G2606)), "", VLOOKUP(A2606,'Discount Lookup'!G:H,2,FALSE)*G2606)</f>
        <v/>
      </c>
      <c r="W2606" s="508">
        <f t="shared" si="2009"/>
        <v>0</v>
      </c>
      <c r="X2606" s="508" t="str">
        <f t="shared" si="2010"/>
        <v>Bright Green foliage</v>
      </c>
      <c r="Y2606" s="509" t="b">
        <f t="shared" si="2011"/>
        <v>0</v>
      </c>
      <c r="Z2606" s="510">
        <f t="shared" si="2012"/>
        <v>0</v>
      </c>
      <c r="AA2606" s="511"/>
      <c r="AB2606" s="511" t="str">
        <f t="shared" si="2013"/>
        <v/>
      </c>
      <c r="AC2606" s="698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698"/>
      <c r="AE2606" s="631" t="str">
        <f t="shared" si="2014"/>
        <v/>
      </c>
      <c r="AF2606" s="699" t="str">
        <f t="shared" si="2015"/>
        <v/>
      </c>
      <c r="AG2606" s="699"/>
      <c r="AH2606" s="699"/>
      <c r="AI2606" s="512">
        <f>IF(H2606="credit",0,IF(AE2606="free",0,IF(AE2606="me",0,IF(G2606&gt;0,(VLOOKUP(A2606,'Discount Lookup'!J:K,2)*G2606),0))))</f>
        <v>0</v>
      </c>
      <c r="AJ2606" s="513" t="str">
        <f t="shared" ca="1" si="2016"/>
        <v/>
      </c>
      <c r="AK2606" s="700" t="str">
        <f t="shared" si="2017"/>
        <v/>
      </c>
      <c r="AL2606" s="700"/>
      <c r="AM2606" s="505" t="str">
        <f t="shared" si="2018"/>
        <v/>
      </c>
      <c r="AN2606" s="506"/>
      <c r="AO2606" s="507"/>
      <c r="AP2606" s="507"/>
      <c r="AQ2606" s="507"/>
      <c r="AR2606" s="507"/>
      <c r="AS2606" s="507"/>
      <c r="AT2606" s="507"/>
      <c r="AU2606" s="507"/>
      <c r="AV2606" s="225"/>
      <c r="AW2606" s="508"/>
      <c r="AX2606" s="225"/>
      <c r="AY2606" s="225"/>
      <c r="AZ2606" s="225"/>
      <c r="BA2606" s="225"/>
      <c r="BB2606" s="225"/>
      <c r="BC2606" s="56"/>
      <c r="BD2606" s="56"/>
      <c r="BE2606" s="56"/>
      <c r="BF2606" s="107" t="str">
        <f t="shared" si="2019"/>
        <v>https://www.google.com/search?tbm=isch&amp;q=NewGen%20Freedom%C2%AE%20Boxwood%20Buxus%20%27SB%20300%27%20PP%2332421</v>
      </c>
      <c r="BG2606" s="107" t="str">
        <f t="shared" si="2020"/>
        <v>N</v>
      </c>
      <c r="BH2606" s="254"/>
      <c r="BI2606" s="254"/>
    </row>
    <row r="2607" spans="1:61" customFormat="1" ht="15.75" x14ac:dyDescent="0.25">
      <c r="A2607" s="485">
        <v>3</v>
      </c>
      <c r="B2607" s="486" t="s">
        <v>291</v>
      </c>
      <c r="C2607" s="487" t="s">
        <v>329</v>
      </c>
      <c r="D2607" s="488" t="s">
        <v>312</v>
      </c>
      <c r="E2607" s="489">
        <v>43.95</v>
      </c>
      <c r="F2607" s="516" t="s">
        <v>293</v>
      </c>
      <c r="G2607" s="232">
        <v>0</v>
      </c>
      <c r="H2607" s="658" t="str">
        <f>IF(G2607=0,"",IF(F2607="Buy",IF(G2607=1,"plant","plants"),IF(F2607&gt;0.01,"warranty","Error")))</f>
        <v/>
      </c>
      <c r="I2607" s="490">
        <f>IF(H2607="free",0,IF(H2607="credit",((E2607*(F2607))*G2607*-1),IF(F2607="Buy",(E2607*G2607),((E2607*(1-F2607))*G2607))))</f>
        <v>0</v>
      </c>
      <c r="J2607" s="490">
        <f>IF(H2607="warranty",0,(I2607*(_xlfn.SINGLE(SalesTaxPercentage))))</f>
        <v>0</v>
      </c>
      <c r="K2607" s="695">
        <f t="shared" ref="K2607" si="2051">I2607+J2607</f>
        <v>0</v>
      </c>
      <c r="L2607" s="695"/>
      <c r="M2607" s="659" t="str">
        <f>IF(AND(G2607&gt;0,E2607=0),"WARNING - no PRICE inserted",IF(H2607="free"," FREE ~ no charge this plant",IF(H2607="credit",CONCATENATE(" -$",ROUND(K2607*(1-T2GDiscount)*-1,2)," CREDIT after discount"),IF(T2GDiscount=0,"",IF(G2607=0,"",IF(F2607="Buy",CONCATENATE(" $",ROUND(K2607*(1-T2GDiscount),2)," with ",(T2GDiscount*100),"% discount"),CONCATENATE(" $",ROUND(K2607*(1-T2GDiscount),2)," with ",((T2GDiscount*100+F2607*100)-(T2GDiscount*100*F2607)),IF(F2607&gt;0,"% discounts",IF(NoWarrantyDiscount&gt;0,"% discounts","% discount")))))))))</f>
        <v/>
      </c>
      <c r="N2607" s="660"/>
      <c r="O2607" s="233"/>
      <c r="P2607" s="233"/>
      <c r="Q2607" s="233"/>
      <c r="R2607" s="233"/>
      <c r="S2607" s="233"/>
      <c r="T2607" s="508">
        <f t="shared" si="2008"/>
        <v>0</v>
      </c>
      <c r="U2607" s="225">
        <f>IF(NOT(ISNUMBER(G2607)), "", VLOOKUP(A2607,'Discount Lookup'!D:E,2,FALSE)*G2607)</f>
        <v>0</v>
      </c>
      <c r="V2607" s="225">
        <f>IF(NOT(ISNUMBER(G2607)), "", VLOOKUP(A2607,'Discount Lookup'!G:H,2,FALSE)*G2607)</f>
        <v>0</v>
      </c>
      <c r="W2607" s="508">
        <f t="shared" si="2009"/>
        <v>0</v>
      </c>
      <c r="X2607" s="508">
        <f t="shared" si="2010"/>
        <v>0</v>
      </c>
      <c r="Y2607" s="509" t="b">
        <f t="shared" si="2011"/>
        <v>0</v>
      </c>
      <c r="Z2607" s="510">
        <f t="shared" si="2012"/>
        <v>0</v>
      </c>
      <c r="AA2607" s="511"/>
      <c r="AB2607" s="511" t="str">
        <f t="shared" si="2013"/>
        <v/>
      </c>
      <c r="AC2607" s="698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698"/>
      <c r="AE2607" s="631" t="str">
        <f t="shared" si="2014"/>
        <v/>
      </c>
      <c r="AF2607" s="699" t="str">
        <f t="shared" si="2015"/>
        <v/>
      </c>
      <c r="AG2607" s="699"/>
      <c r="AH2607" s="699"/>
      <c r="AI2607" s="512">
        <f>IF(H2607="credit",0,IF(AE2607="free",0,IF(AE2607="me",0,IF(G2607&gt;0,(VLOOKUP(A2607,'Discount Lookup'!J:K,2)*G2607),0))))</f>
        <v>0</v>
      </c>
      <c r="AJ2607" s="513" t="str">
        <f t="shared" ca="1" si="2016"/>
        <v/>
      </c>
      <c r="AK2607" s="700" t="str">
        <f t="shared" si="2017"/>
        <v/>
      </c>
      <c r="AL2607" s="700"/>
      <c r="AM2607" s="505" t="str">
        <f t="shared" si="2018"/>
        <v/>
      </c>
      <c r="AN2607" s="506"/>
      <c r="AO2607" s="507"/>
      <c r="AP2607" s="507"/>
      <c r="AQ2607" s="507"/>
      <c r="AR2607" s="507"/>
      <c r="AS2607" s="507"/>
      <c r="AT2607" s="507"/>
      <c r="AU2607" s="507"/>
      <c r="AV2607" s="225"/>
      <c r="AW2607" s="508"/>
      <c r="AX2607" s="225"/>
      <c r="AY2607" s="225"/>
      <c r="AZ2607" s="225"/>
      <c r="BA2607" s="225"/>
      <c r="BB2607" s="225"/>
      <c r="BC2607" s="56"/>
      <c r="BD2607" s="56"/>
      <c r="BE2607" s="56"/>
      <c r="BF2607" s="107" t="str">
        <f t="shared" si="2019"/>
        <v>https://www.google.com/search?tbm=isch&amp;q=3%20G2</v>
      </c>
      <c r="BG2607" s="107" t="str">
        <f t="shared" si="2020"/>
        <v>N</v>
      </c>
      <c r="BH2607" s="254"/>
      <c r="BI2607" s="254"/>
    </row>
    <row r="2608" spans="1:61" customFormat="1" ht="15.75" x14ac:dyDescent="0.25">
      <c r="A2608" s="485">
        <v>7</v>
      </c>
      <c r="B2608" s="486" t="s">
        <v>291</v>
      </c>
      <c r="C2608" s="487" t="s">
        <v>1422</v>
      </c>
      <c r="D2608" s="488" t="s">
        <v>300</v>
      </c>
      <c r="E2608" s="489">
        <v>108.95</v>
      </c>
      <c r="F2608" s="516" t="s">
        <v>293</v>
      </c>
      <c r="G2608" s="232">
        <v>0</v>
      </c>
      <c r="H2608" s="658" t="str">
        <f>IF(G2608=0,"",IF(F2608="Buy",IF(G2608=1,"plant","plants"),IF(F2608&gt;0.01,"warranty","Error")))</f>
        <v/>
      </c>
      <c r="I2608" s="490">
        <f>IF(H2608="free",0,IF(H2608="credit",((E2608*(F2608))*G2608*-1),IF(F2608="Buy",(E2608*G2608),((E2608*(1-F2608))*G2608))))</f>
        <v>0</v>
      </c>
      <c r="J2608" s="490">
        <f>IF(H2608="warranty",0,(I2608*(_xlfn.SINGLE(SalesTaxPercentage))))</f>
        <v>0</v>
      </c>
      <c r="K2608" s="695">
        <f t="shared" ref="K2608" si="2052">I2608+J2608</f>
        <v>0</v>
      </c>
      <c r="L2608" s="695"/>
      <c r="M2608" s="659" t="str">
        <f>IF(AND(G2608&gt;0,E2608=0),"WARNING - no PRICE inserted",IF(H2608="free"," FREE ~ no charge this plant",IF(H2608="credit",CONCATENATE(" -$",ROUND(K2608*(1-T2GDiscount)*-1,2)," CREDIT after discount"),IF(T2GDiscount=0,"",IF(G2608=0,"",IF(F2608="Buy",CONCATENATE(" $",ROUND(K2608*(1-T2GDiscount),2)," with ",(T2GDiscount*100),"% discount"),CONCATENATE(" $",ROUND(K2608*(1-T2GDiscount),2)," with ",((T2GDiscount*100+F2608*100)-(T2GDiscount*100*F2608)),IF(F2608&gt;0,"% discounts",IF(NoWarrantyDiscount&gt;0,"% discounts","% discount")))))))))</f>
        <v/>
      </c>
      <c r="N2608" s="660"/>
      <c r="O2608" s="233"/>
      <c r="P2608" s="233"/>
      <c r="Q2608" s="233"/>
      <c r="R2608" s="233"/>
      <c r="S2608" s="233"/>
      <c r="T2608" s="508">
        <f t="shared" si="2008"/>
        <v>0</v>
      </c>
      <c r="U2608" s="225">
        <f>IF(NOT(ISNUMBER(G2608)), "", VLOOKUP(A2608,'Discount Lookup'!D:E,2,FALSE)*G2608)</f>
        <v>0</v>
      </c>
      <c r="V2608" s="225">
        <f>IF(NOT(ISNUMBER(G2608)), "", VLOOKUP(A2608,'Discount Lookup'!G:H,2,FALSE)*G2608)</f>
        <v>0</v>
      </c>
      <c r="W2608" s="508">
        <f t="shared" si="2009"/>
        <v>0</v>
      </c>
      <c r="X2608" s="508">
        <f t="shared" si="2010"/>
        <v>0</v>
      </c>
      <c r="Y2608" s="509" t="b">
        <f t="shared" si="2011"/>
        <v>0</v>
      </c>
      <c r="Z2608" s="510">
        <f t="shared" si="2012"/>
        <v>0</v>
      </c>
      <c r="AA2608" s="511"/>
      <c r="AB2608" s="511" t="str">
        <f t="shared" si="2013"/>
        <v/>
      </c>
      <c r="AC2608" s="698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698"/>
      <c r="AE2608" s="631" t="str">
        <f t="shared" si="2014"/>
        <v/>
      </c>
      <c r="AF2608" s="699" t="str">
        <f t="shared" si="2015"/>
        <v/>
      </c>
      <c r="AG2608" s="699"/>
      <c r="AH2608" s="699"/>
      <c r="AI2608" s="512">
        <f>IF(H2608="credit",0,IF(AE2608="free",0,IF(AE2608="me",0,IF(G2608&gt;0,(VLOOKUP(A2608,'Discount Lookup'!J:K,2)*G2608),0))))</f>
        <v>0</v>
      </c>
      <c r="AJ2608" s="513" t="str">
        <f t="shared" ca="1" si="2016"/>
        <v/>
      </c>
      <c r="AK2608" s="700" t="str">
        <f t="shared" si="2017"/>
        <v/>
      </c>
      <c r="AL2608" s="700"/>
      <c r="AM2608" s="505" t="str">
        <f t="shared" si="2018"/>
        <v/>
      </c>
      <c r="AN2608" s="506"/>
      <c r="AO2608" s="507"/>
      <c r="AP2608" s="507"/>
      <c r="AQ2608" s="507"/>
      <c r="AR2608" s="507"/>
      <c r="AS2608" s="507"/>
      <c r="AT2608" s="507"/>
      <c r="AU2608" s="507"/>
      <c r="AV2608" s="225"/>
      <c r="AW2608" s="508"/>
      <c r="AX2608" s="225"/>
      <c r="AY2608" s="225"/>
      <c r="AZ2608" s="225"/>
      <c r="BA2608" s="225"/>
      <c r="BB2608" s="225"/>
      <c r="BC2608" s="56"/>
      <c r="BD2608" s="56"/>
      <c r="BE2608" s="56"/>
      <c r="BF2608" s="107" t="str">
        <f t="shared" si="2019"/>
        <v>https://www.google.com/search?tbm=isch&amp;q=7%20G6</v>
      </c>
      <c r="BG2608" s="107" t="str">
        <f t="shared" si="2020"/>
        <v>N</v>
      </c>
      <c r="BH2608" s="254"/>
      <c r="BI2608" s="254"/>
    </row>
    <row r="2609" spans="1:61" customFormat="1" ht="16.5" thickBot="1" x14ac:dyDescent="0.3">
      <c r="A2609" s="522" t="s">
        <v>4133</v>
      </c>
      <c r="B2609" s="491"/>
      <c r="C2609" s="675"/>
      <c r="D2609" s="491"/>
      <c r="E2609" s="491"/>
      <c r="F2609" s="492"/>
      <c r="G2609" s="493"/>
      <c r="H2609" s="491"/>
      <c r="I2609" s="234"/>
      <c r="J2609" s="234"/>
      <c r="K2609" s="494"/>
      <c r="L2609" s="543"/>
      <c r="M2609" s="561"/>
      <c r="N2609" s="495"/>
      <c r="O2609" s="496"/>
      <c r="P2609" s="497"/>
      <c r="Q2609" s="495"/>
      <c r="R2609" s="495"/>
      <c r="S2609" s="667" t="s">
        <v>4968</v>
      </c>
      <c r="T2609" s="508">
        <f t="shared" si="2008"/>
        <v>0</v>
      </c>
      <c r="U2609" s="225" t="str">
        <f>IF(NOT(ISNUMBER(G2609)), "", VLOOKUP(A2609,'Discount Lookup'!D:E,2,FALSE)*G2609)</f>
        <v/>
      </c>
      <c r="V2609" s="225" t="str">
        <f>IF(NOT(ISNUMBER(G2609)), "", VLOOKUP(A2609,'Discount Lookup'!G:H,2,FALSE)*G2609)</f>
        <v/>
      </c>
      <c r="W2609" s="508">
        <f t="shared" si="2009"/>
        <v>0</v>
      </c>
      <c r="X2609" s="508">
        <f t="shared" si="2010"/>
        <v>0</v>
      </c>
      <c r="Y2609" s="509" t="b">
        <f t="shared" si="2011"/>
        <v>0</v>
      </c>
      <c r="Z2609" s="510">
        <f t="shared" si="2012"/>
        <v>0</v>
      </c>
      <c r="AA2609" s="511"/>
      <c r="AB2609" s="511" t="str">
        <f t="shared" si="2013"/>
        <v/>
      </c>
      <c r="AC2609" s="698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698"/>
      <c r="AE2609" s="631" t="str">
        <f t="shared" si="2014"/>
        <v/>
      </c>
      <c r="AF2609" s="699" t="str">
        <f t="shared" si="2015"/>
        <v/>
      </c>
      <c r="AG2609" s="699"/>
      <c r="AH2609" s="699"/>
      <c r="AI2609" s="512">
        <f>IF(H2609="credit",0,IF(AE2609="free",0,IF(AE2609="me",0,IF(G2609&gt;0,(VLOOKUP(A2609,'Discount Lookup'!J:K,2)*G2609),0))))</f>
        <v>0</v>
      </c>
      <c r="AJ2609" s="513" t="str">
        <f t="shared" ca="1" si="2016"/>
        <v/>
      </c>
      <c r="AK2609" s="700" t="str">
        <f t="shared" si="2017"/>
        <v/>
      </c>
      <c r="AL2609" s="700"/>
      <c r="AM2609" s="505" t="str">
        <f t="shared" si="2018"/>
        <v/>
      </c>
      <c r="AN2609" s="506"/>
      <c r="AO2609" s="507"/>
      <c r="AP2609" s="507"/>
      <c r="AQ2609" s="507"/>
      <c r="AR2609" s="507"/>
      <c r="AS2609" s="507"/>
      <c r="AT2609" s="507"/>
      <c r="AU2609" s="507"/>
      <c r="AV2609" s="225"/>
      <c r="AW2609" s="508"/>
      <c r="AX2609" s="225"/>
      <c r="AY2609" s="225"/>
      <c r="AZ2609" s="225"/>
      <c r="BA2609" s="225"/>
      <c r="BB2609" s="225"/>
      <c r="BC2609" s="56"/>
      <c r="BD2609" s="56"/>
      <c r="BE2609" s="56"/>
      <c r="BF2609" s="107" t="str">
        <f t="shared" si="2019"/>
        <v>https://www.google.com/search?tbm=isch&amp;q=Freedom%20has%20strong%20resistance%20to%20Boxwood%20Blight%2FLeafminer.%20Minimal%20bronzing.%20Slow-growing%2C%20dense%2C%20and%20ideal%20for%20hedges%20and%20borders%20</v>
      </c>
      <c r="BG2609" s="107" t="str">
        <f t="shared" si="2020"/>
        <v>F</v>
      </c>
      <c r="BH2609" s="254"/>
      <c r="BI2609" s="254"/>
    </row>
    <row r="2610" spans="1:61" customFormat="1" ht="18" x14ac:dyDescent="0.25">
      <c r="A2610" s="521" t="s">
        <v>5468</v>
      </c>
      <c r="B2610" s="477"/>
      <c r="C2610" s="674"/>
      <c r="D2610" s="478" t="s">
        <v>1423</v>
      </c>
      <c r="E2610" s="479"/>
      <c r="F2610" s="479"/>
      <c r="G2610" s="479"/>
      <c r="H2610" s="582" t="s">
        <v>441</v>
      </c>
      <c r="I2610" s="480" t="s">
        <v>2097</v>
      </c>
      <c r="J2610" s="479"/>
      <c r="K2610" s="479"/>
      <c r="L2610" s="560"/>
      <c r="M2610" s="666" t="s">
        <v>4966</v>
      </c>
      <c r="N2610" s="680" t="str">
        <f>IF(AND(ISTEXT($A2610), ISERROR($A2610+0)), HYPERLINK($BF2610, "Images"), "")</f>
        <v>Images</v>
      </c>
      <c r="O2610" s="662" t="s">
        <v>4969</v>
      </c>
      <c r="P2610" s="482"/>
      <c r="Q2610" s="483"/>
      <c r="R2610" s="483"/>
      <c r="S2610" s="484"/>
      <c r="T2610" s="508">
        <f t="shared" si="2008"/>
        <v>0</v>
      </c>
      <c r="U2610" s="225" t="str">
        <f>IF(NOT(ISNUMBER(G2610)), "", VLOOKUP(A2610,'Discount Lookup'!D:E,2,FALSE)*G2610)</f>
        <v/>
      </c>
      <c r="V2610" s="225" t="str">
        <f>IF(NOT(ISNUMBER(G2610)), "", VLOOKUP(A2610,'Discount Lookup'!G:H,2,FALSE)*G2610)</f>
        <v/>
      </c>
      <c r="W2610" s="508">
        <f t="shared" si="2009"/>
        <v>0</v>
      </c>
      <c r="X2610" s="508" t="str">
        <f t="shared" si="2010"/>
        <v>Deep Green foliage</v>
      </c>
      <c r="Y2610" s="509" t="b">
        <f t="shared" si="2011"/>
        <v>0</v>
      </c>
      <c r="Z2610" s="510">
        <f t="shared" si="2012"/>
        <v>0</v>
      </c>
      <c r="AA2610" s="511"/>
      <c r="AB2610" s="511" t="str">
        <f t="shared" si="2013"/>
        <v/>
      </c>
      <c r="AC2610" s="698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698"/>
      <c r="AE2610" s="631" t="str">
        <f t="shared" si="2014"/>
        <v/>
      </c>
      <c r="AF2610" s="699" t="str">
        <f t="shared" si="2015"/>
        <v/>
      </c>
      <c r="AG2610" s="699"/>
      <c r="AH2610" s="699"/>
      <c r="AI2610" s="512">
        <f>IF(H2610="credit",0,IF(AE2610="free",0,IF(AE2610="me",0,IF(G2610&gt;0,(VLOOKUP(A2610,'Discount Lookup'!J:K,2)*G2610),0))))</f>
        <v>0</v>
      </c>
      <c r="AJ2610" s="513" t="str">
        <f t="shared" ca="1" si="2016"/>
        <v/>
      </c>
      <c r="AK2610" s="700" t="str">
        <f t="shared" si="2017"/>
        <v/>
      </c>
      <c r="AL2610" s="700"/>
      <c r="AM2610" s="505" t="str">
        <f t="shared" si="2018"/>
        <v/>
      </c>
      <c r="AN2610" s="506"/>
      <c r="AO2610" s="507"/>
      <c r="AP2610" s="507"/>
      <c r="AQ2610" s="507"/>
      <c r="AR2610" s="507"/>
      <c r="AS2610" s="507"/>
      <c r="AT2610" s="507"/>
      <c r="AU2610" s="507"/>
      <c r="AV2610" s="225"/>
      <c r="AW2610" s="508"/>
      <c r="AX2610" s="225"/>
      <c r="AY2610" s="225"/>
      <c r="AZ2610" s="225"/>
      <c r="BA2610" s="225"/>
      <c r="BB2610" s="225"/>
      <c r="BC2610" s="56"/>
      <c r="BD2610" s="56"/>
      <c r="BE2610" s="56"/>
      <c r="BF2610" s="107" t="str">
        <f t="shared" si="2019"/>
        <v>https://www.google.com/search?tbm=isch&amp;q=NewGen%20Independence%C2%AE%20Boxwood%20Buxus%20%27SB%20108%27%20PP%2328888</v>
      </c>
      <c r="BG2610" s="107" t="str">
        <f t="shared" si="2020"/>
        <v>N</v>
      </c>
      <c r="BH2610" s="254"/>
      <c r="BI2610" s="254"/>
    </row>
    <row r="2611" spans="1:61" customFormat="1" ht="15.75" x14ac:dyDescent="0.25">
      <c r="A2611" s="485">
        <v>3</v>
      </c>
      <c r="B2611" s="486" t="s">
        <v>291</v>
      </c>
      <c r="C2611" s="487" t="s">
        <v>341</v>
      </c>
      <c r="D2611" s="488" t="s">
        <v>312</v>
      </c>
      <c r="E2611" s="489">
        <v>43.95</v>
      </c>
      <c r="F2611" s="516" t="s">
        <v>293</v>
      </c>
      <c r="G2611" s="232">
        <v>0</v>
      </c>
      <c r="H2611" s="658" t="str">
        <f>IF(G2611=0,"",IF(F2611="Buy",IF(G2611=1,"plant","plants"),IF(F2611&gt;0.01,"warranty","Error")))</f>
        <v/>
      </c>
      <c r="I2611" s="490">
        <f>IF(H2611="free",0,IF(H2611="credit",((E2611*(F2611))*G2611*-1),IF(F2611="Buy",(E2611*G2611),((E2611*(1-F2611))*G2611))))</f>
        <v>0</v>
      </c>
      <c r="J2611" s="490">
        <f>IF(H2611="warranty",0,(I2611*(_xlfn.SINGLE(SalesTaxPercentage))))</f>
        <v>0</v>
      </c>
      <c r="K2611" s="695">
        <f t="shared" ref="K2611" si="2053">I2611+J2611</f>
        <v>0</v>
      </c>
      <c r="L2611" s="695"/>
      <c r="M2611" s="659" t="str">
        <f>IF(AND(G2611&gt;0,E2611=0),"WARNING - no PRICE inserted",IF(H2611="free"," FREE ~ no charge this plant",IF(H2611="credit",CONCATENATE(" -$",ROUND(K2611*(1-T2GDiscount)*-1,2)," CREDIT after discount"),IF(T2GDiscount=0,"",IF(G2611=0,"",IF(F2611="Buy",CONCATENATE(" $",ROUND(K2611*(1-T2GDiscount),2)," with ",(T2GDiscount*100),"% discount"),CONCATENATE(" $",ROUND(K2611*(1-T2GDiscount),2)," with ",((T2GDiscount*100+F2611*100)-(T2GDiscount*100*F2611)),IF(F2611&gt;0,"% discounts",IF(NoWarrantyDiscount&gt;0,"% discounts","% discount")))))))))</f>
        <v/>
      </c>
      <c r="N2611" s="660"/>
      <c r="O2611" s="233"/>
      <c r="P2611" s="233"/>
      <c r="Q2611" s="233"/>
      <c r="R2611" s="233"/>
      <c r="S2611" s="233"/>
      <c r="T2611" s="508">
        <f t="shared" si="2008"/>
        <v>0</v>
      </c>
      <c r="U2611" s="225">
        <f>IF(NOT(ISNUMBER(G2611)), "", VLOOKUP(A2611,'Discount Lookup'!D:E,2,FALSE)*G2611)</f>
        <v>0</v>
      </c>
      <c r="V2611" s="225">
        <f>IF(NOT(ISNUMBER(G2611)), "", VLOOKUP(A2611,'Discount Lookup'!G:H,2,FALSE)*G2611)</f>
        <v>0</v>
      </c>
      <c r="W2611" s="508">
        <f t="shared" si="2009"/>
        <v>0</v>
      </c>
      <c r="X2611" s="508">
        <f t="shared" si="2010"/>
        <v>0</v>
      </c>
      <c r="Y2611" s="509" t="b">
        <f t="shared" si="2011"/>
        <v>0</v>
      </c>
      <c r="Z2611" s="510">
        <f t="shared" si="2012"/>
        <v>0</v>
      </c>
      <c r="AA2611" s="511"/>
      <c r="AB2611" s="511" t="str">
        <f t="shared" si="2013"/>
        <v/>
      </c>
      <c r="AC2611" s="698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698"/>
      <c r="AE2611" s="631" t="str">
        <f t="shared" si="2014"/>
        <v/>
      </c>
      <c r="AF2611" s="699" t="str">
        <f t="shared" si="2015"/>
        <v/>
      </c>
      <c r="AG2611" s="699"/>
      <c r="AH2611" s="699"/>
      <c r="AI2611" s="512">
        <f>IF(H2611="credit",0,IF(AE2611="free",0,IF(AE2611="me",0,IF(G2611&gt;0,(VLOOKUP(A2611,'Discount Lookup'!J:K,2)*G2611),0))))</f>
        <v>0</v>
      </c>
      <c r="AJ2611" s="513" t="str">
        <f t="shared" ca="1" si="2016"/>
        <v/>
      </c>
      <c r="AK2611" s="700" t="str">
        <f t="shared" si="2017"/>
        <v/>
      </c>
      <c r="AL2611" s="700"/>
      <c r="AM2611" s="505" t="str">
        <f t="shared" si="2018"/>
        <v/>
      </c>
      <c r="AN2611" s="506"/>
      <c r="AO2611" s="507"/>
      <c r="AP2611" s="507"/>
      <c r="AQ2611" s="507"/>
      <c r="AR2611" s="507"/>
      <c r="AS2611" s="507"/>
      <c r="AT2611" s="507"/>
      <c r="AU2611" s="507"/>
      <c r="AV2611" s="225"/>
      <c r="AW2611" s="508"/>
      <c r="AX2611" s="225"/>
      <c r="AY2611" s="225"/>
      <c r="AZ2611" s="225"/>
      <c r="BA2611" s="225"/>
      <c r="BB2611" s="225"/>
      <c r="BC2611" s="56"/>
      <c r="BD2611" s="56"/>
      <c r="BE2611" s="56"/>
      <c r="BF2611" s="107" t="str">
        <f t="shared" si="2019"/>
        <v>https://www.google.com/search?tbm=isch&amp;q=3%20G2</v>
      </c>
      <c r="BG2611" s="107" t="str">
        <f t="shared" si="2020"/>
        <v>N</v>
      </c>
      <c r="BH2611" s="254"/>
      <c r="BI2611" s="254"/>
    </row>
    <row r="2612" spans="1:61" customFormat="1" ht="15.75" x14ac:dyDescent="0.25">
      <c r="A2612" s="485">
        <v>7</v>
      </c>
      <c r="B2612" s="486" t="s">
        <v>291</v>
      </c>
      <c r="C2612" s="487" t="s">
        <v>2225</v>
      </c>
      <c r="D2612" s="488" t="s">
        <v>300</v>
      </c>
      <c r="E2612" s="489">
        <v>108.95</v>
      </c>
      <c r="F2612" s="516" t="s">
        <v>293</v>
      </c>
      <c r="G2612" s="232">
        <v>0</v>
      </c>
      <c r="H2612" s="658" t="str">
        <f>IF(G2612=0,"",IF(F2612="Buy",IF(G2612=1,"plant","plants"),IF(F2612&gt;0.01,"warranty","Error")))</f>
        <v/>
      </c>
      <c r="I2612" s="490">
        <f>IF(H2612="free",0,IF(H2612="credit",((E2612*(F2612))*G2612*-1),IF(F2612="Buy",(E2612*G2612),((E2612*(1-F2612))*G2612))))</f>
        <v>0</v>
      </c>
      <c r="J2612" s="490">
        <f>IF(H2612="warranty",0,(I2612*(_xlfn.SINGLE(SalesTaxPercentage))))</f>
        <v>0</v>
      </c>
      <c r="K2612" s="695">
        <f t="shared" ref="K2612" si="2054">I2612+J2612</f>
        <v>0</v>
      </c>
      <c r="L2612" s="695"/>
      <c r="M2612" s="659" t="str">
        <f>IF(AND(G2612&gt;0,E2612=0),"WARNING - no PRICE inserted",IF(H2612="free"," FREE ~ no charge this plant",IF(H2612="credit",CONCATENATE(" -$",ROUND(K2612*(1-T2GDiscount)*-1,2)," CREDIT after discount"),IF(T2GDiscount=0,"",IF(G2612=0,"",IF(F2612="Buy",CONCATENATE(" $",ROUND(K2612*(1-T2GDiscount),2)," with ",(T2GDiscount*100),"% discount"),CONCATENATE(" $",ROUND(K2612*(1-T2GDiscount),2)," with ",((T2GDiscount*100+F2612*100)-(T2GDiscount*100*F2612)),IF(F2612&gt;0,"% discounts",IF(NoWarrantyDiscount&gt;0,"% discounts","% discount")))))))))</f>
        <v/>
      </c>
      <c r="N2612" s="660"/>
      <c r="O2612" s="233"/>
      <c r="P2612" s="233"/>
      <c r="Q2612" s="233"/>
      <c r="R2612" s="233"/>
      <c r="S2612" s="233"/>
      <c r="T2612" s="508">
        <f t="shared" si="2008"/>
        <v>0</v>
      </c>
      <c r="U2612" s="225">
        <f>IF(NOT(ISNUMBER(G2612)), "", VLOOKUP(A2612,'Discount Lookup'!D:E,2,FALSE)*G2612)</f>
        <v>0</v>
      </c>
      <c r="V2612" s="225">
        <f>IF(NOT(ISNUMBER(G2612)), "", VLOOKUP(A2612,'Discount Lookup'!G:H,2,FALSE)*G2612)</f>
        <v>0</v>
      </c>
      <c r="W2612" s="508">
        <f t="shared" si="2009"/>
        <v>0</v>
      </c>
      <c r="X2612" s="508">
        <f t="shared" si="2010"/>
        <v>0</v>
      </c>
      <c r="Y2612" s="509" t="b">
        <f t="shared" si="2011"/>
        <v>0</v>
      </c>
      <c r="Z2612" s="510">
        <f t="shared" si="2012"/>
        <v>0</v>
      </c>
      <c r="AA2612" s="511"/>
      <c r="AB2612" s="511" t="str">
        <f t="shared" si="2013"/>
        <v/>
      </c>
      <c r="AC2612" s="698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698"/>
      <c r="AE2612" s="631" t="str">
        <f t="shared" si="2014"/>
        <v/>
      </c>
      <c r="AF2612" s="699" t="str">
        <f t="shared" si="2015"/>
        <v/>
      </c>
      <c r="AG2612" s="699"/>
      <c r="AH2612" s="699"/>
      <c r="AI2612" s="512">
        <f>IF(H2612="credit",0,IF(AE2612="free",0,IF(AE2612="me",0,IF(G2612&gt;0,(VLOOKUP(A2612,'Discount Lookup'!J:K,2)*G2612),0))))</f>
        <v>0</v>
      </c>
      <c r="AJ2612" s="513" t="str">
        <f t="shared" ca="1" si="2016"/>
        <v/>
      </c>
      <c r="AK2612" s="700" t="str">
        <f t="shared" si="2017"/>
        <v/>
      </c>
      <c r="AL2612" s="700"/>
      <c r="AM2612" s="505" t="str">
        <f t="shared" si="2018"/>
        <v/>
      </c>
      <c r="AN2612" s="506"/>
      <c r="AO2612" s="507"/>
      <c r="AP2612" s="507"/>
      <c r="AQ2612" s="507"/>
      <c r="AR2612" s="507"/>
      <c r="AS2612" s="507"/>
      <c r="AT2612" s="507"/>
      <c r="AU2612" s="507"/>
      <c r="AV2612" s="225"/>
      <c r="AW2612" s="508"/>
      <c r="AX2612" s="225"/>
      <c r="AY2612" s="225"/>
      <c r="AZ2612" s="225"/>
      <c r="BA2612" s="225"/>
      <c r="BB2612" s="225"/>
      <c r="BC2612" s="56"/>
      <c r="BD2612" s="56"/>
      <c r="BE2612" s="56"/>
      <c r="BF2612" s="107" t="str">
        <f t="shared" si="2019"/>
        <v>https://www.google.com/search?tbm=isch&amp;q=7%20G6</v>
      </c>
      <c r="BG2612" s="107" t="str">
        <f t="shared" si="2020"/>
        <v>N</v>
      </c>
      <c r="BH2612" s="254"/>
      <c r="BI2612" s="254"/>
    </row>
    <row r="2613" spans="1:61" customFormat="1" ht="16.5" thickBot="1" x14ac:dyDescent="0.3">
      <c r="A2613" s="522" t="s">
        <v>4134</v>
      </c>
      <c r="B2613" s="491"/>
      <c r="C2613" s="675"/>
      <c r="D2613" s="491"/>
      <c r="E2613" s="491"/>
      <c r="F2613" s="492"/>
      <c r="G2613" s="493"/>
      <c r="H2613" s="491"/>
      <c r="I2613" s="234"/>
      <c r="J2613" s="234"/>
      <c r="K2613" s="494"/>
      <c r="L2613" s="543"/>
      <c r="M2613" s="561"/>
      <c r="N2613" s="495"/>
      <c r="O2613" s="496"/>
      <c r="P2613" s="497"/>
      <c r="Q2613" s="495"/>
      <c r="R2613" s="495"/>
      <c r="S2613" s="667" t="s">
        <v>4968</v>
      </c>
      <c r="T2613" s="508">
        <f t="shared" si="2008"/>
        <v>0</v>
      </c>
      <c r="U2613" s="225" t="str">
        <f>IF(NOT(ISNUMBER(G2613)), "", VLOOKUP(A2613,'Discount Lookup'!D:E,2,FALSE)*G2613)</f>
        <v/>
      </c>
      <c r="V2613" s="225" t="str">
        <f>IF(NOT(ISNUMBER(G2613)), "", VLOOKUP(A2613,'Discount Lookup'!G:H,2,FALSE)*G2613)</f>
        <v/>
      </c>
      <c r="W2613" s="508">
        <f t="shared" si="2009"/>
        <v>0</v>
      </c>
      <c r="X2613" s="508">
        <f t="shared" si="2010"/>
        <v>0</v>
      </c>
      <c r="Y2613" s="509" t="b">
        <f t="shared" si="2011"/>
        <v>0</v>
      </c>
      <c r="Z2613" s="510">
        <f t="shared" si="2012"/>
        <v>0</v>
      </c>
      <c r="AA2613" s="511"/>
      <c r="AB2613" s="511" t="str">
        <f t="shared" si="2013"/>
        <v/>
      </c>
      <c r="AC2613" s="698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698"/>
      <c r="AE2613" s="631" t="str">
        <f t="shared" si="2014"/>
        <v/>
      </c>
      <c r="AF2613" s="699" t="str">
        <f t="shared" si="2015"/>
        <v/>
      </c>
      <c r="AG2613" s="699"/>
      <c r="AH2613" s="699"/>
      <c r="AI2613" s="512">
        <f>IF(H2613="credit",0,IF(AE2613="free",0,IF(AE2613="me",0,IF(G2613&gt;0,(VLOOKUP(A2613,'Discount Lookup'!J:K,2)*G2613),0))))</f>
        <v>0</v>
      </c>
      <c r="AJ2613" s="513" t="str">
        <f t="shared" ca="1" si="2016"/>
        <v/>
      </c>
      <c r="AK2613" s="700" t="str">
        <f t="shared" si="2017"/>
        <v/>
      </c>
      <c r="AL2613" s="700"/>
      <c r="AM2613" s="505" t="str">
        <f t="shared" si="2018"/>
        <v/>
      </c>
      <c r="AN2613" s="506"/>
      <c r="AO2613" s="507"/>
      <c r="AP2613" s="507"/>
      <c r="AQ2613" s="507"/>
      <c r="AR2613" s="507"/>
      <c r="AS2613" s="507"/>
      <c r="AT2613" s="507"/>
      <c r="AU2613" s="507"/>
      <c r="AV2613" s="225"/>
      <c r="AW2613" s="508"/>
      <c r="AX2613" s="225"/>
      <c r="AY2613" s="225"/>
      <c r="AZ2613" s="225"/>
      <c r="BA2613" s="225"/>
      <c r="BB2613" s="225"/>
      <c r="BC2613" s="56"/>
      <c r="BD2613" s="56"/>
      <c r="BE2613" s="56"/>
      <c r="BF2613" s="107" t="str">
        <f t="shared" si="2019"/>
        <v>https://www.google.com/search?tbm=isch&amp;q=Independence%20has%20strong%20resistance%20to%20Boxwood%20Blight%2FLeafminer.%20Minimal%20bronzing.%20Slow-growing%2C%20dense%2C%20and%20ideal%20for%20hedges%20and%20borders%20</v>
      </c>
      <c r="BG2613" s="107" t="str">
        <f t="shared" si="2020"/>
        <v>I</v>
      </c>
      <c r="BH2613" s="254"/>
      <c r="BI2613" s="254"/>
    </row>
    <row r="2614" spans="1:61" customFormat="1" ht="18" x14ac:dyDescent="0.25">
      <c r="A2614" s="521" t="s">
        <v>1424</v>
      </c>
      <c r="B2614" s="477"/>
      <c r="C2614" s="674"/>
      <c r="D2614" s="478" t="s">
        <v>1425</v>
      </c>
      <c r="E2614" s="479"/>
      <c r="F2614" s="479"/>
      <c r="G2614" s="479"/>
      <c r="H2614" s="582" t="s">
        <v>1041</v>
      </c>
      <c r="I2614" s="480" t="s">
        <v>2963</v>
      </c>
      <c r="J2614" s="479"/>
      <c r="K2614" s="479"/>
      <c r="L2614" s="560"/>
      <c r="M2614" s="671" t="s">
        <v>4990</v>
      </c>
      <c r="N2614" s="680" t="str">
        <f>IF(AND(ISTEXT($A2614), ISERROR($A2614+0)), HYPERLINK($BF2614, "Images"), "")</f>
        <v>Images</v>
      </c>
      <c r="O2614" s="662" t="s">
        <v>4967</v>
      </c>
      <c r="P2614" s="482"/>
      <c r="Q2614" s="483"/>
      <c r="R2614" s="483"/>
      <c r="S2614" s="484"/>
      <c r="T2614" s="508">
        <f t="shared" si="2008"/>
        <v>0</v>
      </c>
      <c r="U2614" s="225" t="str">
        <f>IF(NOT(ISNUMBER(G2614)), "", VLOOKUP(A2614,'Discount Lookup'!D:E,2,FALSE)*G2614)</f>
        <v/>
      </c>
      <c r="V2614" s="225" t="str">
        <f>IF(NOT(ISNUMBER(G2614)), "", VLOOKUP(A2614,'Discount Lookup'!G:H,2,FALSE)*G2614)</f>
        <v/>
      </c>
      <c r="W2614" s="508">
        <f t="shared" si="2009"/>
        <v>0</v>
      </c>
      <c r="X2614" s="508" t="str">
        <f t="shared" si="2010"/>
        <v>Green-Purple-Silver foliage</v>
      </c>
      <c r="Y2614" s="509" t="b">
        <f t="shared" si="2011"/>
        <v>0</v>
      </c>
      <c r="Z2614" s="510">
        <f t="shared" si="2012"/>
        <v>0</v>
      </c>
      <c r="AA2614" s="511"/>
      <c r="AB2614" s="511" t="str">
        <f t="shared" si="2013"/>
        <v/>
      </c>
      <c r="AC2614" s="698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698"/>
      <c r="AE2614" s="631" t="str">
        <f t="shared" si="2014"/>
        <v/>
      </c>
      <c r="AF2614" s="699" t="str">
        <f t="shared" si="2015"/>
        <v/>
      </c>
      <c r="AG2614" s="699"/>
      <c r="AH2614" s="699"/>
      <c r="AI2614" s="512">
        <f>IF(H2614="credit",0,IF(AE2614="free",0,IF(AE2614="me",0,IF(G2614&gt;0,(VLOOKUP(A2614,'Discount Lookup'!J:K,2)*G2614),0))))</f>
        <v>0</v>
      </c>
      <c r="AJ2614" s="513" t="str">
        <f t="shared" ca="1" si="2016"/>
        <v/>
      </c>
      <c r="AK2614" s="700" t="str">
        <f t="shared" si="2017"/>
        <v/>
      </c>
      <c r="AL2614" s="700"/>
      <c r="AM2614" s="505" t="str">
        <f t="shared" si="2018"/>
        <v/>
      </c>
      <c r="AN2614" s="506"/>
      <c r="AO2614" s="507"/>
      <c r="AP2614" s="507"/>
      <c r="AQ2614" s="507"/>
      <c r="AR2614" s="507"/>
      <c r="AS2614" s="507"/>
      <c r="AT2614" s="507"/>
      <c r="AU2614" s="507"/>
      <c r="AV2614" s="225"/>
      <c r="AW2614" s="508"/>
      <c r="AX2614" s="225"/>
      <c r="AY2614" s="225"/>
      <c r="AZ2614" s="225"/>
      <c r="BA2614" s="225"/>
      <c r="BB2614" s="225"/>
      <c r="BC2614" s="56"/>
      <c r="BD2614" s="56"/>
      <c r="BE2614" s="56"/>
      <c r="BF2614" s="107" t="str">
        <f t="shared" si="2019"/>
        <v>https://www.google.com/search?tbm=isch&amp;q=Night%20Light%20Moneywort%20Lysimachia%20alfredii%20%27Night%20Light%27%20PP%2333931</v>
      </c>
      <c r="BG2614" s="107" t="str">
        <f t="shared" si="2020"/>
        <v>N</v>
      </c>
      <c r="BH2614" s="254"/>
      <c r="BI2614" s="254"/>
    </row>
    <row r="2615" spans="1:61" customFormat="1" ht="15.75" x14ac:dyDescent="0.25">
      <c r="A2615" s="485">
        <v>1</v>
      </c>
      <c r="B2615" s="486" t="s">
        <v>291</v>
      </c>
      <c r="C2615" s="487"/>
      <c r="D2615" s="488" t="s">
        <v>312</v>
      </c>
      <c r="E2615" s="489">
        <v>10.95</v>
      </c>
      <c r="F2615" s="516" t="s">
        <v>293</v>
      </c>
      <c r="G2615" s="232">
        <v>0</v>
      </c>
      <c r="H2615" s="658" t="str">
        <f>IF(G2615=0,"",IF(F2615="Buy",IF(G2615=1,"plant","plants"),IF(F2615&gt;0.01,"warranty","Error")))</f>
        <v/>
      </c>
      <c r="I2615" s="490">
        <f>IF(H2615="free",0,IF(H2615="credit",((E2615*(F2615))*G2615*-1),IF(F2615="Buy",(E2615*G2615),((E2615*(1-F2615))*G2615))))</f>
        <v>0</v>
      </c>
      <c r="J2615" s="490">
        <f>IF(H2615="warranty",0,(I2615*(_xlfn.SINGLE(SalesTaxPercentage))))</f>
        <v>0</v>
      </c>
      <c r="K2615" s="695">
        <f t="shared" ref="K2615" si="2055">I2615+J2615</f>
        <v>0</v>
      </c>
      <c r="L2615" s="695"/>
      <c r="M2615" s="659" t="str">
        <f>IF(AND(G2615&gt;0,E2615=0),"WARNING - no PRICE inserted",IF(H2615="free"," FREE ~ no charge this plant",IF(H2615="credit",CONCATENATE(" -$",ROUND(K2615*(1-T2GDiscount)*-1,2)," CREDIT after discount"),IF(T2GDiscount=0,"",IF(G2615=0,"",IF(F2615="Buy",CONCATENATE(" $",ROUND(K2615*(1-T2GDiscount),2)," with ",(T2GDiscount*100),"% discount"),CONCATENATE(" $",ROUND(K2615*(1-T2GDiscount),2)," with ",((T2GDiscount*100+F2615*100)-(T2GDiscount*100*F2615)),IF(F2615&gt;0,"% discounts",IF(NoWarrantyDiscount&gt;0,"% discounts","% discount")))))))))</f>
        <v/>
      </c>
      <c r="N2615" s="660"/>
      <c r="O2615" s="233"/>
      <c r="P2615" s="233"/>
      <c r="Q2615" s="233"/>
      <c r="R2615" s="233"/>
      <c r="S2615" s="233"/>
      <c r="T2615" s="508">
        <f t="shared" si="2008"/>
        <v>0</v>
      </c>
      <c r="U2615" s="225">
        <f>IF(NOT(ISNUMBER(G2615)), "", VLOOKUP(A2615,'Discount Lookup'!D:E,2,FALSE)*G2615)</f>
        <v>0</v>
      </c>
      <c r="V2615" s="225">
        <f>IF(NOT(ISNUMBER(G2615)), "", VLOOKUP(A2615,'Discount Lookup'!G:H,2,FALSE)*G2615)</f>
        <v>0</v>
      </c>
      <c r="W2615" s="508">
        <f t="shared" si="2009"/>
        <v>0</v>
      </c>
      <c r="X2615" s="508">
        <f t="shared" si="2010"/>
        <v>0</v>
      </c>
      <c r="Y2615" s="509" t="b">
        <f t="shared" si="2011"/>
        <v>0</v>
      </c>
      <c r="Z2615" s="510">
        <f t="shared" si="2012"/>
        <v>0</v>
      </c>
      <c r="AA2615" s="511"/>
      <c r="AB2615" s="511" t="str">
        <f t="shared" si="2013"/>
        <v/>
      </c>
      <c r="AC2615" s="698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698"/>
      <c r="AE2615" s="631" t="str">
        <f t="shared" si="2014"/>
        <v/>
      </c>
      <c r="AF2615" s="699" t="str">
        <f t="shared" si="2015"/>
        <v/>
      </c>
      <c r="AG2615" s="699"/>
      <c r="AH2615" s="699"/>
      <c r="AI2615" s="512">
        <f>IF(H2615="credit",0,IF(AE2615="free",0,IF(AE2615="me",0,IF(G2615&gt;0,(VLOOKUP(A2615,'Discount Lookup'!J:K,2)*G2615),0))))</f>
        <v>0</v>
      </c>
      <c r="AJ2615" s="513" t="str">
        <f t="shared" ca="1" si="2016"/>
        <v/>
      </c>
      <c r="AK2615" s="700" t="str">
        <f t="shared" si="2017"/>
        <v/>
      </c>
      <c r="AL2615" s="700"/>
      <c r="AM2615" s="505" t="str">
        <f t="shared" si="2018"/>
        <v/>
      </c>
      <c r="AN2615" s="506"/>
      <c r="AO2615" s="507"/>
      <c r="AP2615" s="507"/>
      <c r="AQ2615" s="507"/>
      <c r="AR2615" s="507"/>
      <c r="AS2615" s="507"/>
      <c r="AT2615" s="507"/>
      <c r="AU2615" s="507"/>
      <c r="AV2615" s="225"/>
      <c r="AW2615" s="508"/>
      <c r="AX2615" s="225"/>
      <c r="AY2615" s="225"/>
      <c r="AZ2615" s="225"/>
      <c r="BA2615" s="225"/>
      <c r="BB2615" s="225"/>
      <c r="BC2615" s="56"/>
      <c r="BD2615" s="56"/>
      <c r="BE2615" s="56"/>
      <c r="BF2615" s="107" t="str">
        <f t="shared" si="2019"/>
        <v>https://www.google.com/search?tbm=isch&amp;q=1%20G2</v>
      </c>
      <c r="BG2615" s="107" t="str">
        <f t="shared" si="2020"/>
        <v>N</v>
      </c>
      <c r="BH2615" s="254"/>
      <c r="BI2615" s="254"/>
    </row>
    <row r="2616" spans="1:61" customFormat="1" ht="16.5" thickBot="1" x14ac:dyDescent="0.3">
      <c r="A2616" s="672" t="s">
        <v>5181</v>
      </c>
      <c r="B2616" s="491"/>
      <c r="C2616" s="675"/>
      <c r="D2616" s="491"/>
      <c r="E2616" s="491"/>
      <c r="F2616" s="492"/>
      <c r="G2616" s="493"/>
      <c r="H2616" s="491"/>
      <c r="I2616" s="234"/>
      <c r="J2616" s="234"/>
      <c r="K2616" s="494"/>
      <c r="L2616" s="543"/>
      <c r="M2616" s="561"/>
      <c r="N2616" s="495"/>
      <c r="O2616" s="496"/>
      <c r="P2616" s="497"/>
      <c r="Q2616" s="495"/>
      <c r="R2616" s="495"/>
      <c r="S2616" s="277"/>
      <c r="T2616" s="508">
        <f t="shared" si="2008"/>
        <v>0</v>
      </c>
      <c r="U2616" s="225" t="str">
        <f>IF(NOT(ISNUMBER(G2616)), "", VLOOKUP(A2616,'Discount Lookup'!D:E,2,FALSE)*G2616)</f>
        <v/>
      </c>
      <c r="V2616" s="225" t="str">
        <f>IF(NOT(ISNUMBER(G2616)), "", VLOOKUP(A2616,'Discount Lookup'!G:H,2,FALSE)*G2616)</f>
        <v/>
      </c>
      <c r="W2616" s="508">
        <f t="shared" si="2009"/>
        <v>0</v>
      </c>
      <c r="X2616" s="508">
        <f t="shared" si="2010"/>
        <v>0</v>
      </c>
      <c r="Y2616" s="509" t="b">
        <f t="shared" si="2011"/>
        <v>0</v>
      </c>
      <c r="Z2616" s="510">
        <f t="shared" si="2012"/>
        <v>0</v>
      </c>
      <c r="AA2616" s="511"/>
      <c r="AB2616" s="511" t="str">
        <f t="shared" si="2013"/>
        <v/>
      </c>
      <c r="AC2616" s="698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698"/>
      <c r="AE2616" s="631" t="str">
        <f t="shared" si="2014"/>
        <v/>
      </c>
      <c r="AF2616" s="699" t="str">
        <f t="shared" si="2015"/>
        <v/>
      </c>
      <c r="AG2616" s="699"/>
      <c r="AH2616" s="699"/>
      <c r="AI2616" s="512">
        <f>IF(H2616="credit",0,IF(AE2616="free",0,IF(AE2616="me",0,IF(G2616&gt;0,(VLOOKUP(A2616,'Discount Lookup'!J:K,2)*G2616),0))))</f>
        <v>0</v>
      </c>
      <c r="AJ2616" s="513" t="str">
        <f t="shared" ca="1" si="2016"/>
        <v/>
      </c>
      <c r="AK2616" s="700" t="str">
        <f t="shared" si="2017"/>
        <v/>
      </c>
      <c r="AL2616" s="700"/>
      <c r="AM2616" s="505" t="str">
        <f t="shared" si="2018"/>
        <v/>
      </c>
      <c r="AN2616" s="506"/>
      <c r="AO2616" s="507"/>
      <c r="AP2616" s="507"/>
      <c r="AQ2616" s="507"/>
      <c r="AR2616" s="507"/>
      <c r="AS2616" s="507"/>
      <c r="AT2616" s="507"/>
      <c r="AU2616" s="507"/>
      <c r="AV2616" s="225"/>
      <c r="AW2616" s="508"/>
      <c r="AX2616" s="225"/>
      <c r="AY2616" s="225"/>
      <c r="AZ2616" s="225"/>
      <c r="BA2616" s="225"/>
      <c r="BB2616" s="225"/>
      <c r="BC2616" s="56"/>
      <c r="BD2616" s="56"/>
      <c r="BE2616" s="56"/>
      <c r="BF2616" s="107" t="str">
        <f t="shared" si="2019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616" s="107" t="str">
        <f t="shared" si="2020"/>
        <v>m</v>
      </c>
      <c r="BH2616" s="254"/>
      <c r="BI2616" s="254"/>
    </row>
    <row r="2617" spans="1:61" customFormat="1" ht="18" x14ac:dyDescent="0.25">
      <c r="A2617" s="521" t="s">
        <v>5469</v>
      </c>
      <c r="B2617" s="477"/>
      <c r="C2617" s="674"/>
      <c r="D2617" s="478" t="s">
        <v>1426</v>
      </c>
      <c r="E2617" s="479"/>
      <c r="F2617" s="479"/>
      <c r="G2617" s="479"/>
      <c r="H2617" s="582" t="s">
        <v>1879</v>
      </c>
      <c r="I2617" s="480" t="s">
        <v>2908</v>
      </c>
      <c r="J2617" s="479"/>
      <c r="K2617" s="479"/>
      <c r="L2617" s="560"/>
      <c r="M2617" s="666" t="s">
        <v>4966</v>
      </c>
      <c r="N2617" s="680" t="str">
        <f>IF(AND(ISTEXT($A2617), ISERROR($A2617+0)), HYPERLINK($BF2617, "Images"), "")</f>
        <v>Images</v>
      </c>
      <c r="O2617" s="662" t="s">
        <v>4969</v>
      </c>
      <c r="P2617" s="482"/>
      <c r="Q2617" s="483"/>
      <c r="R2617" s="483"/>
      <c r="S2617" s="484"/>
      <c r="T2617" s="508">
        <f t="shared" si="2008"/>
        <v>0</v>
      </c>
      <c r="U2617" s="225" t="str">
        <f>IF(NOT(ISNUMBER(G2617)), "", VLOOKUP(A2617,'Discount Lookup'!D:E,2,FALSE)*G2617)</f>
        <v/>
      </c>
      <c r="V2617" s="225" t="str">
        <f>IF(NOT(ISNUMBER(G2617)), "", VLOOKUP(A2617,'Discount Lookup'!G:H,2,FALSE)*G2617)</f>
        <v/>
      </c>
      <c r="W2617" s="508">
        <f t="shared" si="2009"/>
        <v>0</v>
      </c>
      <c r="X2617" s="508" t="str">
        <f t="shared" si="2010"/>
        <v>Chartreuse to lime green</v>
      </c>
      <c r="Y2617" s="509" t="b">
        <f t="shared" si="2011"/>
        <v>0</v>
      </c>
      <c r="Z2617" s="510">
        <f t="shared" si="2012"/>
        <v>0</v>
      </c>
      <c r="AA2617" s="511"/>
      <c r="AB2617" s="511" t="str">
        <f t="shared" si="2013"/>
        <v/>
      </c>
      <c r="AC2617" s="698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698"/>
      <c r="AE2617" s="631" t="str">
        <f t="shared" si="2014"/>
        <v/>
      </c>
      <c r="AF2617" s="699" t="str">
        <f t="shared" si="2015"/>
        <v/>
      </c>
      <c r="AG2617" s="699"/>
      <c r="AH2617" s="699"/>
      <c r="AI2617" s="512">
        <f>IF(H2617="credit",0,IF(AE2617="free",0,IF(AE2617="me",0,IF(G2617&gt;0,(VLOOKUP(A2617,'Discount Lookup'!J:K,2)*G2617),0))))</f>
        <v>0</v>
      </c>
      <c r="AJ2617" s="513" t="str">
        <f t="shared" ca="1" si="2016"/>
        <v/>
      </c>
      <c r="AK2617" s="700" t="str">
        <f t="shared" si="2017"/>
        <v/>
      </c>
      <c r="AL2617" s="700"/>
      <c r="AM2617" s="505" t="str">
        <f t="shared" si="2018"/>
        <v/>
      </c>
      <c r="AN2617" s="506"/>
      <c r="AO2617" s="507"/>
      <c r="AP2617" s="507"/>
      <c r="AQ2617" s="507"/>
      <c r="AR2617" s="507"/>
      <c r="AS2617" s="507"/>
      <c r="AT2617" s="507"/>
      <c r="AU2617" s="507"/>
      <c r="AV2617" s="225"/>
      <c r="AW2617" s="508"/>
      <c r="AX2617" s="225"/>
      <c r="AY2617" s="225"/>
      <c r="AZ2617" s="225"/>
      <c r="BA2617" s="225"/>
      <c r="BB2617" s="225"/>
      <c r="BC2617" s="56"/>
      <c r="BD2617" s="56"/>
      <c r="BE2617" s="56"/>
      <c r="BF2617" s="107" t="str">
        <f t="shared" si="2019"/>
        <v>https://www.google.com/search?tbm=isch&amp;q=Night%20Light%E2%84%A2%20Cypress%20Chamaecyparis%20obtusa%20%27Conschlecht%27%20PP%2324666</v>
      </c>
      <c r="BG2617" s="107" t="str">
        <f t="shared" si="2020"/>
        <v>N</v>
      </c>
      <c r="BH2617" s="254"/>
      <c r="BI2617" s="254"/>
    </row>
    <row r="2618" spans="1:61" customFormat="1" ht="27" x14ac:dyDescent="0.25">
      <c r="A2618" s="485">
        <v>7</v>
      </c>
      <c r="B2618" s="486" t="s">
        <v>291</v>
      </c>
      <c r="C2618" s="487" t="s">
        <v>3668</v>
      </c>
      <c r="D2618" s="488" t="s">
        <v>292</v>
      </c>
      <c r="E2618" s="489">
        <v>104.95</v>
      </c>
      <c r="F2618" s="516" t="s">
        <v>293</v>
      </c>
      <c r="G2618" s="232">
        <v>0</v>
      </c>
      <c r="H2618" s="658" t="str">
        <f>IF(G2618=0,"",IF(F2618="Buy",IF(G2618=1,"plant","plants"),IF(F2618&gt;0.01,"warranty","Error")))</f>
        <v/>
      </c>
      <c r="I2618" s="490">
        <f>IF(H2618="free",0,IF(H2618="credit",((E2618*(F2618))*G2618*-1),IF(F2618="Buy",(E2618*G2618),((E2618*(1-F2618))*G2618))))</f>
        <v>0</v>
      </c>
      <c r="J2618" s="490">
        <f>IF(H2618="warranty",0,(I2618*(_xlfn.SINGLE(SalesTaxPercentage))))</f>
        <v>0</v>
      </c>
      <c r="K2618" s="695">
        <f t="shared" ref="K2618" si="2056">I2618+J2618</f>
        <v>0</v>
      </c>
      <c r="L2618" s="695"/>
      <c r="M2618" s="659" t="str">
        <f>IF(AND(G2618&gt;0,E2618=0),"WARNING - no PRICE inserted",IF(H2618="free"," FREE ~ no charge this plant",IF(H2618="credit",CONCATENATE(" -$",ROUND(K2618*(1-T2GDiscount)*-1,2)," CREDIT after discount"),IF(T2GDiscount=0,"",IF(G2618=0,"",IF(F2618="Buy",CONCATENATE(" $",ROUND(K2618*(1-T2GDiscount),2)," with ",(T2GDiscount*100),"% discount"),CONCATENATE(" $",ROUND(K2618*(1-T2GDiscount),2)," with ",((T2GDiscount*100+F2618*100)-(T2GDiscount*100*F2618)),IF(F2618&gt;0,"% discounts",IF(NoWarrantyDiscount&gt;0,"% discounts","% discount")))))))))</f>
        <v/>
      </c>
      <c r="N2618" s="660"/>
      <c r="O2618" s="233"/>
      <c r="P2618" s="233"/>
      <c r="Q2618" s="233"/>
      <c r="R2618" s="233"/>
      <c r="S2618" s="233"/>
      <c r="T2618" s="508">
        <f t="shared" si="2008"/>
        <v>0</v>
      </c>
      <c r="U2618" s="225">
        <f>IF(NOT(ISNUMBER(G2618)), "", VLOOKUP(A2618,'Discount Lookup'!D:E,2,FALSE)*G2618)</f>
        <v>0</v>
      </c>
      <c r="V2618" s="225">
        <f>IF(NOT(ISNUMBER(G2618)), "", VLOOKUP(A2618,'Discount Lookup'!G:H,2,FALSE)*G2618)</f>
        <v>0</v>
      </c>
      <c r="W2618" s="508">
        <f t="shared" si="2009"/>
        <v>0</v>
      </c>
      <c r="X2618" s="508">
        <f t="shared" si="2010"/>
        <v>0</v>
      </c>
      <c r="Y2618" s="509" t="b">
        <f t="shared" si="2011"/>
        <v>0</v>
      </c>
      <c r="Z2618" s="510">
        <f t="shared" si="2012"/>
        <v>0</v>
      </c>
      <c r="AA2618" s="511"/>
      <c r="AB2618" s="511" t="str">
        <f t="shared" si="2013"/>
        <v/>
      </c>
      <c r="AC2618" s="698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698"/>
      <c r="AE2618" s="631" t="str">
        <f t="shared" si="2014"/>
        <v/>
      </c>
      <c r="AF2618" s="699" t="str">
        <f t="shared" si="2015"/>
        <v/>
      </c>
      <c r="AG2618" s="699"/>
      <c r="AH2618" s="699"/>
      <c r="AI2618" s="512">
        <f>IF(H2618="credit",0,IF(AE2618="free",0,IF(AE2618="me",0,IF(G2618&gt;0,(VLOOKUP(A2618,'Discount Lookup'!J:K,2)*G2618),0))))</f>
        <v>0</v>
      </c>
      <c r="AJ2618" s="513" t="str">
        <f t="shared" ca="1" si="2016"/>
        <v/>
      </c>
      <c r="AK2618" s="700" t="str">
        <f t="shared" si="2017"/>
        <v/>
      </c>
      <c r="AL2618" s="700"/>
      <c r="AM2618" s="505" t="str">
        <f t="shared" si="2018"/>
        <v/>
      </c>
      <c r="AN2618" s="506"/>
      <c r="AO2618" s="507"/>
      <c r="AP2618" s="507"/>
      <c r="AQ2618" s="507"/>
      <c r="AR2618" s="507"/>
      <c r="AS2618" s="507"/>
      <c r="AT2618" s="507"/>
      <c r="AU2618" s="507"/>
      <c r="AV2618" s="225"/>
      <c r="AW2618" s="508"/>
      <c r="AX2618" s="225"/>
      <c r="AY2618" s="225"/>
      <c r="AZ2618" s="225"/>
      <c r="BA2618" s="225"/>
      <c r="BB2618" s="225"/>
      <c r="BC2618" s="56"/>
      <c r="BD2618" s="56"/>
      <c r="BE2618" s="56"/>
      <c r="BF2618" s="107" t="str">
        <f t="shared" si="2019"/>
        <v>https://www.google.com/search?tbm=isch&amp;q=7%20G4</v>
      </c>
      <c r="BG2618" s="107" t="str">
        <f t="shared" si="2020"/>
        <v>N</v>
      </c>
      <c r="BH2618" s="254"/>
      <c r="BI2618" s="254"/>
    </row>
    <row r="2619" spans="1:61" customFormat="1" ht="15.75" x14ac:dyDescent="0.25">
      <c r="A2619" s="485">
        <v>10</v>
      </c>
      <c r="B2619" s="486" t="s">
        <v>291</v>
      </c>
      <c r="C2619" s="487" t="s">
        <v>3669</v>
      </c>
      <c r="D2619" s="488" t="s">
        <v>292</v>
      </c>
      <c r="E2619" s="489">
        <v>173.95</v>
      </c>
      <c r="F2619" s="516" t="s">
        <v>293</v>
      </c>
      <c r="G2619" s="232">
        <v>0</v>
      </c>
      <c r="H2619" s="658" t="str">
        <f>IF(G2619=0,"",IF(F2619="Buy",IF(G2619=1,"plant","plants"),IF(F2619&gt;0.01,"warranty","Error")))</f>
        <v/>
      </c>
      <c r="I2619" s="490">
        <f>IF(H2619="free",0,IF(H2619="credit",((E2619*(F2619))*G2619*-1),IF(F2619="Buy",(E2619*G2619),((E2619*(1-F2619))*G2619))))</f>
        <v>0</v>
      </c>
      <c r="J2619" s="490">
        <f>IF(H2619="warranty",0,(I2619*(_xlfn.SINGLE(SalesTaxPercentage))))</f>
        <v>0</v>
      </c>
      <c r="K2619" s="695">
        <f t="shared" ref="K2619" si="2057">I2619+J2619</f>
        <v>0</v>
      </c>
      <c r="L2619" s="695"/>
      <c r="M2619" s="659" t="str">
        <f>IF(AND(G2619&gt;0,E2619=0),"WARNING - no PRICE inserted",IF(H2619="free"," FREE ~ no charge this plant",IF(H2619="credit",CONCATENATE(" -$",ROUND(K2619*(1-T2GDiscount)*-1,2)," CREDIT after discount"),IF(T2GDiscount=0,"",IF(G2619=0,"",IF(F2619="Buy",CONCATENATE(" $",ROUND(K2619*(1-T2GDiscount),2)," with ",(T2GDiscount*100),"% discount"),CONCATENATE(" $",ROUND(K2619*(1-T2GDiscount),2)," with ",((T2GDiscount*100+F2619*100)-(T2GDiscount*100*F2619)),IF(F2619&gt;0,"% discounts",IF(NoWarrantyDiscount&gt;0,"% discounts","% discount")))))))))</f>
        <v/>
      </c>
      <c r="N2619" s="660"/>
      <c r="O2619" s="233"/>
      <c r="P2619" s="233"/>
      <c r="Q2619" s="233"/>
      <c r="R2619" s="233"/>
      <c r="S2619" s="233"/>
      <c r="T2619" s="508">
        <f t="shared" si="2008"/>
        <v>0</v>
      </c>
      <c r="U2619" s="225">
        <f>IF(NOT(ISNUMBER(G2619)), "", VLOOKUP(A2619,'Discount Lookup'!D:E,2,FALSE)*G2619)</f>
        <v>0</v>
      </c>
      <c r="V2619" s="225">
        <f>IF(NOT(ISNUMBER(G2619)), "", VLOOKUP(A2619,'Discount Lookup'!G:H,2,FALSE)*G2619)</f>
        <v>0</v>
      </c>
      <c r="W2619" s="508">
        <f t="shared" si="2009"/>
        <v>0</v>
      </c>
      <c r="X2619" s="508">
        <f t="shared" si="2010"/>
        <v>0</v>
      </c>
      <c r="Y2619" s="509" t="b">
        <f t="shared" si="2011"/>
        <v>0</v>
      </c>
      <c r="Z2619" s="510">
        <f t="shared" si="2012"/>
        <v>0</v>
      </c>
      <c r="AA2619" s="511"/>
      <c r="AB2619" s="511" t="str">
        <f t="shared" si="2013"/>
        <v/>
      </c>
      <c r="AC2619" s="698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698"/>
      <c r="AE2619" s="631" t="str">
        <f t="shared" si="2014"/>
        <v/>
      </c>
      <c r="AF2619" s="699" t="str">
        <f t="shared" si="2015"/>
        <v/>
      </c>
      <c r="AG2619" s="699"/>
      <c r="AH2619" s="699"/>
      <c r="AI2619" s="512">
        <f>IF(H2619="credit",0,IF(AE2619="free",0,IF(AE2619="me",0,IF(G2619&gt;0,(VLOOKUP(A2619,'Discount Lookup'!J:K,2)*G2619),0))))</f>
        <v>0</v>
      </c>
      <c r="AJ2619" s="513" t="str">
        <f t="shared" ca="1" si="2016"/>
        <v/>
      </c>
      <c r="AK2619" s="700" t="str">
        <f t="shared" si="2017"/>
        <v/>
      </c>
      <c r="AL2619" s="700"/>
      <c r="AM2619" s="505" t="str">
        <f t="shared" si="2018"/>
        <v/>
      </c>
      <c r="AN2619" s="506"/>
      <c r="AO2619" s="507"/>
      <c r="AP2619" s="507"/>
      <c r="AQ2619" s="507"/>
      <c r="AR2619" s="507"/>
      <c r="AS2619" s="507"/>
      <c r="AT2619" s="507"/>
      <c r="AU2619" s="507"/>
      <c r="AV2619" s="225"/>
      <c r="AW2619" s="508"/>
      <c r="AX2619" s="225"/>
      <c r="AY2619" s="225"/>
      <c r="AZ2619" s="225"/>
      <c r="BA2619" s="225"/>
      <c r="BB2619" s="225"/>
      <c r="BC2619" s="56"/>
      <c r="BD2619" s="56"/>
      <c r="BE2619" s="56"/>
      <c r="BF2619" s="107" t="str">
        <f t="shared" si="2019"/>
        <v>https://www.google.com/search?tbm=isch&amp;q=10%20G4</v>
      </c>
      <c r="BG2619" s="107" t="str">
        <f t="shared" si="2020"/>
        <v>N</v>
      </c>
      <c r="BH2619" s="254"/>
      <c r="BI2619" s="254"/>
    </row>
    <row r="2620" spans="1:61" customFormat="1" ht="17.25" thickBot="1" x14ac:dyDescent="0.3">
      <c r="A2620" s="522" t="s">
        <v>4135</v>
      </c>
      <c r="B2620" s="491"/>
      <c r="C2620" s="675"/>
      <c r="D2620" s="491"/>
      <c r="E2620" s="491"/>
      <c r="F2620" s="492"/>
      <c r="G2620" s="493"/>
      <c r="H2620" s="491"/>
      <c r="I2620" s="234"/>
      <c r="J2620" s="234"/>
      <c r="K2620" s="494"/>
      <c r="L2620" s="543"/>
      <c r="M2620" s="561"/>
      <c r="N2620" s="495"/>
      <c r="O2620" s="496"/>
      <c r="P2620" s="497"/>
      <c r="Q2620" s="495"/>
      <c r="R2620" s="495"/>
      <c r="S2620" s="667" t="s">
        <v>4984</v>
      </c>
      <c r="T2620" s="508">
        <f t="shared" si="2008"/>
        <v>0</v>
      </c>
      <c r="U2620" s="225" t="str">
        <f>IF(NOT(ISNUMBER(G2620)), "", VLOOKUP(A2620,'Discount Lookup'!D:E,2,FALSE)*G2620)</f>
        <v/>
      </c>
      <c r="V2620" s="225" t="str">
        <f>IF(NOT(ISNUMBER(G2620)), "", VLOOKUP(A2620,'Discount Lookup'!G:H,2,FALSE)*G2620)</f>
        <v/>
      </c>
      <c r="W2620" s="508">
        <f t="shared" si="2009"/>
        <v>0</v>
      </c>
      <c r="X2620" s="508">
        <f t="shared" si="2010"/>
        <v>0</v>
      </c>
      <c r="Y2620" s="509" t="b">
        <f t="shared" si="2011"/>
        <v>0</v>
      </c>
      <c r="Z2620" s="510">
        <f t="shared" si="2012"/>
        <v>0</v>
      </c>
      <c r="AA2620" s="511"/>
      <c r="AB2620" s="511" t="str">
        <f t="shared" si="2013"/>
        <v/>
      </c>
      <c r="AC2620" s="698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698"/>
      <c r="AE2620" s="631" t="str">
        <f t="shared" si="2014"/>
        <v/>
      </c>
      <c r="AF2620" s="699" t="str">
        <f t="shared" si="2015"/>
        <v/>
      </c>
      <c r="AG2620" s="699"/>
      <c r="AH2620" s="699"/>
      <c r="AI2620" s="512">
        <f>IF(H2620="credit",0,IF(AE2620="free",0,IF(AE2620="me",0,IF(G2620&gt;0,(VLOOKUP(A2620,'Discount Lookup'!J:K,2)*G2620),0))))</f>
        <v>0</v>
      </c>
      <c r="AJ2620" s="513" t="str">
        <f t="shared" ca="1" si="2016"/>
        <v/>
      </c>
      <c r="AK2620" s="700" t="str">
        <f t="shared" si="2017"/>
        <v/>
      </c>
      <c r="AL2620" s="700"/>
      <c r="AM2620" s="505" t="str">
        <f t="shared" si="2018"/>
        <v/>
      </c>
      <c r="AN2620" s="506"/>
      <c r="AO2620" s="507"/>
      <c r="AP2620" s="507"/>
      <c r="AQ2620" s="507"/>
      <c r="AR2620" s="507"/>
      <c r="AS2620" s="507"/>
      <c r="AT2620" s="507"/>
      <c r="AU2620" s="507"/>
      <c r="AV2620" s="225"/>
      <c r="AW2620" s="508"/>
      <c r="AX2620" s="225"/>
      <c r="AY2620" s="225"/>
      <c r="AZ2620" s="225"/>
      <c r="BA2620" s="225"/>
      <c r="BB2620" s="225"/>
      <c r="BC2620" s="56"/>
      <c r="BD2620" s="56"/>
      <c r="BE2620" s="56"/>
      <c r="BF2620" s="107" t="str">
        <f t="shared" si="2019"/>
        <v>https://www.google.com/search?tbm=isch&amp;q=Night%20Light%20offers%20vivid%20Golden%20foliage%20that%20transitions%20to%20Bronze%20in%20winter%2C%20keeping%20Green%20highlights%20deep%20within%20</v>
      </c>
      <c r="BG2620" s="107" t="str">
        <f t="shared" si="2020"/>
        <v>N</v>
      </c>
      <c r="BH2620" s="254"/>
      <c r="BI2620" s="254"/>
    </row>
    <row r="2621" spans="1:61" customFormat="1" ht="18" x14ac:dyDescent="0.25">
      <c r="A2621" s="523" t="s">
        <v>5470</v>
      </c>
      <c r="B2621" s="235"/>
      <c r="C2621" s="676"/>
      <c r="D2621" s="255" t="s">
        <v>2778</v>
      </c>
      <c r="E2621" s="236"/>
      <c r="F2621" s="236"/>
      <c r="G2621" s="236"/>
      <c r="H2621" s="582" t="s">
        <v>471</v>
      </c>
      <c r="I2621" s="498" t="s">
        <v>654</v>
      </c>
      <c r="J2621" s="237"/>
      <c r="K2621" s="237"/>
      <c r="L2621" s="274"/>
      <c r="M2621" s="668" t="s">
        <v>4975</v>
      </c>
      <c r="N2621" s="681" t="str">
        <f>IF(AND(ISTEXT($A2621), ISERROR($A2621+0)), HYPERLINK($BF2621, "Images"), "")</f>
        <v>Images</v>
      </c>
      <c r="O2621" s="663" t="s">
        <v>4967</v>
      </c>
      <c r="P2621" s="253"/>
      <c r="Q2621" s="238"/>
      <c r="R2621" s="239"/>
      <c r="S2621" s="275"/>
      <c r="T2621" s="508">
        <f t="shared" si="2008"/>
        <v>0</v>
      </c>
      <c r="U2621" s="225" t="str">
        <f>IF(NOT(ISNUMBER(G2621)), "", VLOOKUP(A2621,'Discount Lookup'!D:E,2,FALSE)*G2621)</f>
        <v/>
      </c>
      <c r="V2621" s="225" t="str">
        <f>IF(NOT(ISNUMBER(G2621)), "", VLOOKUP(A2621,'Discount Lookup'!G:H,2,FALSE)*G2621)</f>
        <v/>
      </c>
      <c r="W2621" s="508">
        <f t="shared" si="2009"/>
        <v>0</v>
      </c>
      <c r="X2621" s="508" t="str">
        <f t="shared" si="2010"/>
        <v>White bloom</v>
      </c>
      <c r="Y2621" s="509" t="b">
        <f t="shared" si="2011"/>
        <v>0</v>
      </c>
      <c r="Z2621" s="510">
        <f t="shared" si="2012"/>
        <v>0</v>
      </c>
      <c r="AA2621" s="511"/>
      <c r="AB2621" s="511" t="str">
        <f t="shared" si="2013"/>
        <v/>
      </c>
      <c r="AC2621" s="698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698"/>
      <c r="AE2621" s="631" t="str">
        <f t="shared" si="2014"/>
        <v/>
      </c>
      <c r="AF2621" s="699" t="str">
        <f t="shared" si="2015"/>
        <v/>
      </c>
      <c r="AG2621" s="699"/>
      <c r="AH2621" s="699"/>
      <c r="AI2621" s="512">
        <f>IF(H2621="credit",0,IF(AE2621="free",0,IF(AE2621="me",0,IF(G2621&gt;0,(VLOOKUP(A2621,'Discount Lookup'!J:K,2)*G2621),0))))</f>
        <v>0</v>
      </c>
      <c r="AJ2621" s="513" t="str">
        <f t="shared" ca="1" si="2016"/>
        <v/>
      </c>
      <c r="AK2621" s="700" t="str">
        <f t="shared" si="2017"/>
        <v/>
      </c>
      <c r="AL2621" s="700"/>
      <c r="AM2621" s="505" t="str">
        <f t="shared" si="2018"/>
        <v/>
      </c>
      <c r="AN2621" s="506"/>
      <c r="AO2621" s="507"/>
      <c r="AP2621" s="507"/>
      <c r="AQ2621" s="507"/>
      <c r="AR2621" s="507"/>
      <c r="AS2621" s="507"/>
      <c r="AT2621" s="507"/>
      <c r="AU2621" s="507"/>
      <c r="AV2621" s="225"/>
      <c r="AW2621" s="508"/>
      <c r="AX2621" s="225"/>
      <c r="AY2621" s="225"/>
      <c r="AZ2621" s="225"/>
      <c r="BA2621" s="225"/>
      <c r="BB2621" s="225"/>
      <c r="BC2621" s="56"/>
      <c r="BD2621" s="56"/>
      <c r="BE2621" s="56"/>
      <c r="BF2621" s="107" t="str">
        <f t="shared" si="2019"/>
        <v>https://www.google.com/search?tbm=isch&amp;q=Nightfall%C2%AE%20Japanese%20Snowbell%20Styrax%20japonicus%20%27JFS%206SJ%27%20PP%2334817</v>
      </c>
      <c r="BG2621" s="107" t="str">
        <f t="shared" si="2020"/>
        <v>N</v>
      </c>
      <c r="BH2621" s="254"/>
      <c r="BI2621" s="254"/>
    </row>
    <row r="2622" spans="1:61" customFormat="1" ht="27" x14ac:dyDescent="0.25">
      <c r="A2622" s="276">
        <v>7</v>
      </c>
      <c r="B2622" s="240" t="s">
        <v>291</v>
      </c>
      <c r="C2622" s="241" t="s">
        <v>3670</v>
      </c>
      <c r="D2622" s="242" t="s">
        <v>292</v>
      </c>
      <c r="E2622" s="243">
        <v>178.95</v>
      </c>
      <c r="F2622" s="517" t="s">
        <v>293</v>
      </c>
      <c r="G2622" s="232">
        <v>0</v>
      </c>
      <c r="H2622" s="661" t="str">
        <f>IF(G2622=0,"",IF(F2622="Buy",IF(G2622=1,"plant","plants"),IF(F2622&gt;0.01,"warranty","Error")))</f>
        <v/>
      </c>
      <c r="I2622" s="244">
        <f>IF(H2622="free",0,IF(H2622="credit",((E2622*(F2622))*G2622*-1),IF(F2622="Buy",(E2622*G2622),((E2622*(1-F2622))*G2622))))</f>
        <v>0</v>
      </c>
      <c r="J2622" s="244">
        <f>IF(H2622="warranty",0,(I2622*(_xlfn.SINGLE(SalesTaxPercentage))))</f>
        <v>0</v>
      </c>
      <c r="K2622" s="696">
        <f t="shared" ref="K2622" si="2058">I2622+J2622</f>
        <v>0</v>
      </c>
      <c r="L2622" s="696"/>
      <c r="M2622" s="659" t="str">
        <f>IF(AND(G2622&gt;0,E2622=0),"WARNING - no PRICE inserted",IF(H2622="free"," FREE ~ no charge this plant",IF(H2622="credit",CONCATENATE(" -$",ROUND(K2622*(1-T2GDiscount)*-1,2)," CREDIT after discount"),IF(T2GDiscount=0,"",IF(G2622=0,"",IF(F2622="Buy",CONCATENATE(" $",ROUND(K2622*(1-T2GDiscount),2)," with ",(T2GDiscount*100),"% discount"),CONCATENATE(" $",ROUND(K2622*(1-T2GDiscount),2)," with ",((T2GDiscount*100+F2622*100)-(T2GDiscount*100*F2622)),IF(F2622&gt;0,"% discounts",IF(NoWarrantyDiscount&gt;0,"% discounts","% discount")))))))))</f>
        <v/>
      </c>
      <c r="N2622" s="660"/>
      <c r="O2622" s="233"/>
      <c r="P2622" s="233"/>
      <c r="Q2622" s="233"/>
      <c r="R2622" s="233"/>
      <c r="S2622" s="233"/>
      <c r="T2622" s="508">
        <f t="shared" si="2008"/>
        <v>0</v>
      </c>
      <c r="U2622" s="225">
        <f>IF(NOT(ISNUMBER(G2622)), "", VLOOKUP(A2622,'Discount Lookup'!D:E,2,FALSE)*G2622)</f>
        <v>0</v>
      </c>
      <c r="V2622" s="225">
        <f>IF(NOT(ISNUMBER(G2622)), "", VLOOKUP(A2622,'Discount Lookup'!G:H,2,FALSE)*G2622)</f>
        <v>0</v>
      </c>
      <c r="W2622" s="508">
        <f t="shared" si="2009"/>
        <v>0</v>
      </c>
      <c r="X2622" s="508">
        <f t="shared" si="2010"/>
        <v>0</v>
      </c>
      <c r="Y2622" s="509" t="b">
        <f t="shared" si="2011"/>
        <v>0</v>
      </c>
      <c r="Z2622" s="510">
        <f t="shared" si="2012"/>
        <v>0</v>
      </c>
      <c r="AA2622" s="511"/>
      <c r="AB2622" s="511" t="str">
        <f t="shared" si="2013"/>
        <v/>
      </c>
      <c r="AC2622" s="698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698"/>
      <c r="AE2622" s="631" t="str">
        <f t="shared" si="2014"/>
        <v/>
      </c>
      <c r="AF2622" s="699" t="str">
        <f t="shared" si="2015"/>
        <v/>
      </c>
      <c r="AG2622" s="699"/>
      <c r="AH2622" s="699"/>
      <c r="AI2622" s="512">
        <f>IF(H2622="credit",0,IF(AE2622="free",0,IF(AE2622="me",0,IF(G2622&gt;0,(VLOOKUP(A2622,'Discount Lookup'!J:K,2)*G2622),0))))</f>
        <v>0</v>
      </c>
      <c r="AJ2622" s="513" t="str">
        <f t="shared" ca="1" si="2016"/>
        <v/>
      </c>
      <c r="AK2622" s="700" t="str">
        <f t="shared" si="2017"/>
        <v/>
      </c>
      <c r="AL2622" s="700"/>
      <c r="AM2622" s="505" t="str">
        <f t="shared" si="2018"/>
        <v/>
      </c>
      <c r="AN2622" s="506"/>
      <c r="AO2622" s="507"/>
      <c r="AP2622" s="507"/>
      <c r="AQ2622" s="507"/>
      <c r="AR2622" s="507"/>
      <c r="AS2622" s="507"/>
      <c r="AT2622" s="507"/>
      <c r="AU2622" s="507"/>
      <c r="AV2622" s="225"/>
      <c r="AW2622" s="508"/>
      <c r="AX2622" s="225"/>
      <c r="AY2622" s="225"/>
      <c r="AZ2622" s="225"/>
      <c r="BA2622" s="225"/>
      <c r="BB2622" s="225"/>
      <c r="BC2622" s="56"/>
      <c r="BD2622" s="56"/>
      <c r="BE2622" s="56"/>
      <c r="BF2622" s="107" t="str">
        <f t="shared" si="2019"/>
        <v>https://www.google.com/search?tbm=isch&amp;q=7%20G4</v>
      </c>
      <c r="BG2622" s="107" t="str">
        <f t="shared" si="2020"/>
        <v>N</v>
      </c>
      <c r="BH2622" s="254"/>
      <c r="BI2622" s="254"/>
    </row>
    <row r="2623" spans="1:61" customFormat="1" ht="17.25" thickBot="1" x14ac:dyDescent="0.3">
      <c r="A2623" s="673" t="s">
        <v>5182</v>
      </c>
      <c r="B2623" s="245"/>
      <c r="C2623" s="677"/>
      <c r="D2623" s="499"/>
      <c r="E2623" s="499"/>
      <c r="F2623" s="500"/>
      <c r="G2623" s="501"/>
      <c r="H2623" s="502"/>
      <c r="I2623" s="246"/>
      <c r="J2623" s="247"/>
      <c r="K2623" s="503"/>
      <c r="L2623" s="544"/>
      <c r="M2623" s="544"/>
      <c r="N2623" s="500"/>
      <c r="O2623" s="500"/>
      <c r="P2623" s="500"/>
      <c r="Q2623" s="500"/>
      <c r="R2623" s="500"/>
      <c r="S2623" s="669" t="s">
        <v>4996</v>
      </c>
      <c r="T2623" s="508">
        <f t="shared" si="2008"/>
        <v>0</v>
      </c>
      <c r="U2623" s="225" t="str">
        <f>IF(NOT(ISNUMBER(G2623)), "", VLOOKUP(A2623,'Discount Lookup'!D:E,2,FALSE)*G2623)</f>
        <v/>
      </c>
      <c r="V2623" s="225" t="str">
        <f>IF(NOT(ISNUMBER(G2623)), "", VLOOKUP(A2623,'Discount Lookup'!G:H,2,FALSE)*G2623)</f>
        <v/>
      </c>
      <c r="W2623" s="508">
        <f t="shared" si="2009"/>
        <v>0</v>
      </c>
      <c r="X2623" s="508">
        <f t="shared" si="2010"/>
        <v>0</v>
      </c>
      <c r="Y2623" s="509" t="b">
        <f t="shared" si="2011"/>
        <v>0</v>
      </c>
      <c r="Z2623" s="510">
        <f t="shared" si="2012"/>
        <v>0</v>
      </c>
      <c r="AA2623" s="511"/>
      <c r="AB2623" s="511" t="str">
        <f t="shared" si="2013"/>
        <v/>
      </c>
      <c r="AC2623" s="698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698"/>
      <c r="AE2623" s="631" t="str">
        <f t="shared" si="2014"/>
        <v/>
      </c>
      <c r="AF2623" s="699" t="str">
        <f t="shared" si="2015"/>
        <v/>
      </c>
      <c r="AG2623" s="699"/>
      <c r="AH2623" s="699"/>
      <c r="AI2623" s="512">
        <f>IF(H2623="credit",0,IF(AE2623="free",0,IF(AE2623="me",0,IF(G2623&gt;0,(VLOOKUP(A2623,'Discount Lookup'!J:K,2)*G2623),0))))</f>
        <v>0</v>
      </c>
      <c r="AJ2623" s="513" t="str">
        <f t="shared" ca="1" si="2016"/>
        <v/>
      </c>
      <c r="AK2623" s="700" t="str">
        <f t="shared" si="2017"/>
        <v/>
      </c>
      <c r="AL2623" s="700"/>
      <c r="AM2623" s="505" t="str">
        <f t="shared" si="2018"/>
        <v/>
      </c>
      <c r="AN2623" s="506"/>
      <c r="AO2623" s="507"/>
      <c r="AP2623" s="507"/>
      <c r="AQ2623" s="507"/>
      <c r="AR2623" s="507"/>
      <c r="AS2623" s="507"/>
      <c r="AT2623" s="507"/>
      <c r="AU2623" s="507"/>
      <c r="AV2623" s="225"/>
      <c r="AW2623" s="508"/>
      <c r="AX2623" s="225"/>
      <c r="AY2623" s="225"/>
      <c r="AZ2623" s="225"/>
      <c r="BA2623" s="225"/>
      <c r="BB2623" s="225"/>
      <c r="BC2623" s="56"/>
      <c r="BD2623" s="56"/>
      <c r="BE2623" s="56"/>
      <c r="BF2623" s="107" t="str">
        <f t="shared" si="2019"/>
        <v>https://www.google.com/search?tbm=isch&amp;q=moist%20sites%F0%9F%92%A7GOOD%2C%20Nightfall%20has%20cascading%20Purple%20foliage%20and%20fragrant%20bell-shaped%20blooms.%20Foliage%20turns%20Green%20over%20summer%20</v>
      </c>
      <c r="BG2623" s="107" t="str">
        <f t="shared" si="2020"/>
        <v>m</v>
      </c>
      <c r="BH2623" s="254"/>
      <c r="BI2623" s="254"/>
    </row>
    <row r="2624" spans="1:61" customFormat="1" ht="18" x14ac:dyDescent="0.25">
      <c r="A2624" s="523" t="s">
        <v>5611</v>
      </c>
      <c r="B2624" s="235"/>
      <c r="C2624" s="676"/>
      <c r="D2624" s="255" t="s">
        <v>1427</v>
      </c>
      <c r="E2624" s="236"/>
      <c r="F2624" s="236"/>
      <c r="G2624" s="236"/>
      <c r="H2624" s="582" t="s">
        <v>443</v>
      </c>
      <c r="I2624" s="498" t="s">
        <v>2338</v>
      </c>
      <c r="J2624" s="237"/>
      <c r="K2624" s="237"/>
      <c r="L2624" s="274"/>
      <c r="M2624" s="668" t="s">
        <v>4975</v>
      </c>
      <c r="N2624" s="681" t="str">
        <f>IF(AND(ISTEXT($A2624), ISERROR($A2624+0)), HYPERLINK($BF2624, "Images"), "")</f>
        <v>Images</v>
      </c>
      <c r="O2624" s="663" t="s">
        <v>4969</v>
      </c>
      <c r="P2624" s="253"/>
      <c r="Q2624" s="238"/>
      <c r="R2624" s="239"/>
      <c r="S2624" s="275" t="s">
        <v>305</v>
      </c>
      <c r="T2624" s="508">
        <f t="shared" si="2008"/>
        <v>0</v>
      </c>
      <c r="U2624" s="225" t="str">
        <f>IF(NOT(ISNUMBER(G2624)), "", VLOOKUP(A2624,'Discount Lookup'!D:E,2,FALSE)*G2624)</f>
        <v/>
      </c>
      <c r="V2624" s="225" t="str">
        <f>IF(NOT(ISNUMBER(G2624)), "", VLOOKUP(A2624,'Discount Lookup'!G:H,2,FALSE)*G2624)</f>
        <v/>
      </c>
      <c r="W2624" s="508">
        <f t="shared" si="2009"/>
        <v>0</v>
      </c>
      <c r="X2624" s="508" t="str">
        <f t="shared" si="2010"/>
        <v>Bright Yellow trumpet</v>
      </c>
      <c r="Y2624" s="509" t="b">
        <f t="shared" si="2011"/>
        <v>0</v>
      </c>
      <c r="Z2624" s="510">
        <f t="shared" si="2012"/>
        <v>0</v>
      </c>
      <c r="AA2624" s="511"/>
      <c r="AB2624" s="511" t="str">
        <f t="shared" si="2013"/>
        <v/>
      </c>
      <c r="AC2624" s="698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698"/>
      <c r="AE2624" s="631" t="str">
        <f t="shared" si="2014"/>
        <v/>
      </c>
      <c r="AF2624" s="699" t="str">
        <f t="shared" si="2015"/>
        <v/>
      </c>
      <c r="AG2624" s="699"/>
      <c r="AH2624" s="699"/>
      <c r="AI2624" s="512">
        <f>IF(H2624="credit",0,IF(AE2624="free",0,IF(AE2624="me",0,IF(G2624&gt;0,(VLOOKUP(A2624,'Discount Lookup'!J:K,2)*G2624),0))))</f>
        <v>0</v>
      </c>
      <c r="AJ2624" s="513" t="str">
        <f t="shared" ca="1" si="2016"/>
        <v/>
      </c>
      <c r="AK2624" s="700" t="str">
        <f t="shared" si="2017"/>
        <v/>
      </c>
      <c r="AL2624" s="700"/>
      <c r="AM2624" s="505" t="str">
        <f t="shared" si="2018"/>
        <v/>
      </c>
      <c r="AN2624" s="506"/>
      <c r="AO2624" s="507"/>
      <c r="AP2624" s="507"/>
      <c r="AQ2624" s="507"/>
      <c r="AR2624" s="507"/>
      <c r="AS2624" s="507"/>
      <c r="AT2624" s="507"/>
      <c r="AU2624" s="507"/>
      <c r="AV2624" s="225"/>
      <c r="AW2624" s="508"/>
      <c r="AX2624" s="225"/>
      <c r="AY2624" s="225"/>
      <c r="AZ2624" s="225"/>
      <c r="BA2624" s="225"/>
      <c r="BB2624" s="225"/>
      <c r="BC2624" s="56"/>
      <c r="BD2624" s="56"/>
      <c r="BE2624" s="56"/>
      <c r="BF2624" s="107" t="str">
        <f t="shared" si="2019"/>
        <v>https://www.google.com/search?tbm=isch&amp;q=Nightglow%C2%AE%20Bush%20Honeysuckle%20%28BE%C2%AE%29%20Diervilla%20splendens%20%27Nightglow%27%20PP%2328060</v>
      </c>
      <c r="BG2624" s="107" t="str">
        <f t="shared" si="2020"/>
        <v>N</v>
      </c>
      <c r="BH2624" s="254"/>
      <c r="BI2624" s="254"/>
    </row>
    <row r="2625" spans="1:61" customFormat="1" ht="15.75" x14ac:dyDescent="0.25">
      <c r="A2625" s="276">
        <v>1</v>
      </c>
      <c r="B2625" s="240" t="s">
        <v>291</v>
      </c>
      <c r="C2625" s="241" t="s">
        <v>4926</v>
      </c>
      <c r="D2625" s="242" t="s">
        <v>312</v>
      </c>
      <c r="E2625" s="243">
        <v>28.95</v>
      </c>
      <c r="F2625" s="517" t="s">
        <v>293</v>
      </c>
      <c r="G2625" s="232">
        <v>0</v>
      </c>
      <c r="H2625" s="661" t="str">
        <f>IF(G2625=0,"",IF(F2625="Buy",IF(G2625=1,"plant","plants"),IF(F2625&gt;0.01,"warranty","Error")))</f>
        <v/>
      </c>
      <c r="I2625" s="244">
        <f>IF(H2625="free",0,IF(H2625="credit",((E2625*(F2625))*G2625*-1),IF(F2625="Buy",(E2625*G2625),((E2625*(1-F2625))*G2625))))</f>
        <v>0</v>
      </c>
      <c r="J2625" s="244">
        <f>IF(H2625="warranty",0,(I2625*(_xlfn.SINGLE(SalesTaxPercentage))))</f>
        <v>0</v>
      </c>
      <c r="K2625" s="696">
        <f t="shared" ref="K2625" si="2059">I2625+J2625</f>
        <v>0</v>
      </c>
      <c r="L2625" s="696"/>
      <c r="M2625" s="659" t="str">
        <f>IF(AND(G2625&gt;0,E2625=0),"WARNING - no PRICE inserted",IF(H2625="free"," FREE ~ no charge this plant",IF(H2625="credit",CONCATENATE(" -$",ROUND(K2625*(1-T2GDiscount)*-1,2)," CREDIT after discount"),IF(T2GDiscount=0,"",IF(G2625=0,"",IF(F2625="Buy",CONCATENATE(" $",ROUND(K2625*(1-T2GDiscount),2)," with ",(T2GDiscount*100),"% discount"),CONCATENATE(" $",ROUND(K2625*(1-T2GDiscount),2)," with ",((T2GDiscount*100+F2625*100)-(T2GDiscount*100*F2625)),IF(F2625&gt;0,"% discounts",IF(NoWarrantyDiscount&gt;0,"% discounts","% discount")))))))))</f>
        <v/>
      </c>
      <c r="N2625" s="660"/>
      <c r="O2625" s="233"/>
      <c r="P2625" s="233"/>
      <c r="Q2625" s="233"/>
      <c r="R2625" s="233"/>
      <c r="S2625" s="233"/>
      <c r="T2625" s="508">
        <f t="shared" si="2008"/>
        <v>0</v>
      </c>
      <c r="U2625" s="225">
        <f>IF(NOT(ISNUMBER(G2625)), "", VLOOKUP(A2625,'Discount Lookup'!D:E,2,FALSE)*G2625)</f>
        <v>0</v>
      </c>
      <c r="V2625" s="225">
        <f>IF(NOT(ISNUMBER(G2625)), "", VLOOKUP(A2625,'Discount Lookup'!G:H,2,FALSE)*G2625)</f>
        <v>0</v>
      </c>
      <c r="W2625" s="508">
        <f t="shared" si="2009"/>
        <v>0</v>
      </c>
      <c r="X2625" s="508">
        <f t="shared" si="2010"/>
        <v>0</v>
      </c>
      <c r="Y2625" s="509" t="b">
        <f t="shared" si="2011"/>
        <v>0</v>
      </c>
      <c r="Z2625" s="510">
        <f t="shared" si="2012"/>
        <v>0</v>
      </c>
      <c r="AA2625" s="511"/>
      <c r="AB2625" s="511" t="str">
        <f t="shared" si="2013"/>
        <v/>
      </c>
      <c r="AC2625" s="698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698"/>
      <c r="AE2625" s="631" t="str">
        <f t="shared" si="2014"/>
        <v/>
      </c>
      <c r="AF2625" s="699" t="str">
        <f t="shared" si="2015"/>
        <v/>
      </c>
      <c r="AG2625" s="699"/>
      <c r="AH2625" s="699"/>
      <c r="AI2625" s="512">
        <f>IF(H2625="credit",0,IF(AE2625="free",0,IF(AE2625="me",0,IF(G2625&gt;0,(VLOOKUP(A2625,'Discount Lookup'!J:K,2)*G2625),0))))</f>
        <v>0</v>
      </c>
      <c r="AJ2625" s="513" t="str">
        <f t="shared" ca="1" si="2016"/>
        <v/>
      </c>
      <c r="AK2625" s="700" t="str">
        <f t="shared" si="2017"/>
        <v/>
      </c>
      <c r="AL2625" s="700"/>
      <c r="AM2625" s="505" t="str">
        <f t="shared" si="2018"/>
        <v/>
      </c>
      <c r="AN2625" s="506"/>
      <c r="AO2625" s="507"/>
      <c r="AP2625" s="507"/>
      <c r="AQ2625" s="507"/>
      <c r="AR2625" s="507"/>
      <c r="AS2625" s="507"/>
      <c r="AT2625" s="507"/>
      <c r="AU2625" s="507"/>
      <c r="AV2625" s="225"/>
      <c r="AW2625" s="508"/>
      <c r="AX2625" s="225"/>
      <c r="AY2625" s="225"/>
      <c r="AZ2625" s="225"/>
      <c r="BA2625" s="225"/>
      <c r="BB2625" s="225"/>
      <c r="BC2625" s="56"/>
      <c r="BD2625" s="56"/>
      <c r="BE2625" s="56"/>
      <c r="BF2625" s="107" t="str">
        <f t="shared" si="2019"/>
        <v>https://www.google.com/search?tbm=isch&amp;q=1%20G2</v>
      </c>
      <c r="BG2625" s="107" t="str">
        <f t="shared" si="2020"/>
        <v>N</v>
      </c>
      <c r="BH2625" s="254"/>
      <c r="BI2625" s="254"/>
    </row>
    <row r="2626" spans="1:61" customFormat="1" ht="15.75" x14ac:dyDescent="0.25">
      <c r="A2626" s="276">
        <v>3</v>
      </c>
      <c r="B2626" s="240" t="s">
        <v>291</v>
      </c>
      <c r="C2626" s="241"/>
      <c r="D2626" s="242" t="s">
        <v>312</v>
      </c>
      <c r="E2626" s="243">
        <v>30.95</v>
      </c>
      <c r="F2626" s="517" t="s">
        <v>293</v>
      </c>
      <c r="G2626" s="232">
        <v>0</v>
      </c>
      <c r="H2626" s="661" t="str">
        <f>IF(G2626=0,"",IF(F2626="Buy",IF(G2626=1,"plant","plants"),IF(F2626&gt;0.01,"warranty","Error")))</f>
        <v/>
      </c>
      <c r="I2626" s="244">
        <f>IF(H2626="free",0,IF(H2626="credit",((E2626*(F2626))*G2626*-1),IF(F2626="Buy",(E2626*G2626),((E2626*(1-F2626))*G2626))))</f>
        <v>0</v>
      </c>
      <c r="J2626" s="244">
        <f>IF(H2626="warranty",0,(I2626*(_xlfn.SINGLE(SalesTaxPercentage))))</f>
        <v>0</v>
      </c>
      <c r="K2626" s="696">
        <f t="shared" ref="K2626" si="2060">I2626+J2626</f>
        <v>0</v>
      </c>
      <c r="L2626" s="696"/>
      <c r="M2626" s="659" t="str">
        <f>IF(AND(G2626&gt;0,E2626=0),"WARNING - no PRICE inserted",IF(H2626="free"," FREE ~ no charge this plant",IF(H2626="credit",CONCATENATE(" -$",ROUND(K2626*(1-T2GDiscount)*-1,2)," CREDIT after discount"),IF(T2GDiscount=0,"",IF(G2626=0,"",IF(F2626="Buy",CONCATENATE(" $",ROUND(K2626*(1-T2GDiscount),2)," with ",(T2GDiscount*100),"% discount"),CONCATENATE(" $",ROUND(K2626*(1-T2GDiscount),2)," with ",((T2GDiscount*100+F2626*100)-(T2GDiscount*100*F2626)),IF(F2626&gt;0,"% discounts",IF(NoWarrantyDiscount&gt;0,"% discounts","% discount")))))))))</f>
        <v/>
      </c>
      <c r="N2626" s="660"/>
      <c r="O2626" s="233"/>
      <c r="P2626" s="233"/>
      <c r="Q2626" s="233"/>
      <c r="R2626" s="233"/>
      <c r="S2626" s="233"/>
      <c r="T2626" s="508">
        <f t="shared" si="2008"/>
        <v>0</v>
      </c>
      <c r="U2626" s="225">
        <f>IF(NOT(ISNUMBER(G2626)), "", VLOOKUP(A2626,'Discount Lookup'!D:E,2,FALSE)*G2626)</f>
        <v>0</v>
      </c>
      <c r="V2626" s="225">
        <f>IF(NOT(ISNUMBER(G2626)), "", VLOOKUP(A2626,'Discount Lookup'!G:H,2,FALSE)*G2626)</f>
        <v>0</v>
      </c>
      <c r="W2626" s="508">
        <f t="shared" si="2009"/>
        <v>0</v>
      </c>
      <c r="X2626" s="508">
        <f t="shared" si="2010"/>
        <v>0</v>
      </c>
      <c r="Y2626" s="509" t="b">
        <f t="shared" si="2011"/>
        <v>0</v>
      </c>
      <c r="Z2626" s="510">
        <f t="shared" si="2012"/>
        <v>0</v>
      </c>
      <c r="AA2626" s="511"/>
      <c r="AB2626" s="511" t="str">
        <f t="shared" si="2013"/>
        <v/>
      </c>
      <c r="AC2626" s="698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698"/>
      <c r="AE2626" s="631" t="str">
        <f t="shared" si="2014"/>
        <v/>
      </c>
      <c r="AF2626" s="699" t="str">
        <f t="shared" si="2015"/>
        <v/>
      </c>
      <c r="AG2626" s="699"/>
      <c r="AH2626" s="699"/>
      <c r="AI2626" s="512">
        <f>IF(H2626="credit",0,IF(AE2626="free",0,IF(AE2626="me",0,IF(G2626&gt;0,(VLOOKUP(A2626,'Discount Lookup'!J:K,2)*G2626),0))))</f>
        <v>0</v>
      </c>
      <c r="AJ2626" s="513" t="str">
        <f t="shared" ca="1" si="2016"/>
        <v/>
      </c>
      <c r="AK2626" s="700" t="str">
        <f t="shared" si="2017"/>
        <v/>
      </c>
      <c r="AL2626" s="700"/>
      <c r="AM2626" s="505" t="str">
        <f t="shared" si="2018"/>
        <v/>
      </c>
      <c r="AN2626" s="506"/>
      <c r="AO2626" s="507"/>
      <c r="AP2626" s="507"/>
      <c r="AQ2626" s="507"/>
      <c r="AR2626" s="507"/>
      <c r="AS2626" s="507"/>
      <c r="AT2626" s="507"/>
      <c r="AU2626" s="507"/>
      <c r="AV2626" s="225"/>
      <c r="AW2626" s="508"/>
      <c r="AX2626" s="225"/>
      <c r="AY2626" s="225"/>
      <c r="AZ2626" s="225"/>
      <c r="BA2626" s="225"/>
      <c r="BB2626" s="225"/>
      <c r="BC2626" s="56"/>
      <c r="BD2626" s="56"/>
      <c r="BE2626" s="56"/>
      <c r="BF2626" s="107" t="str">
        <f t="shared" si="2019"/>
        <v>https://www.google.com/search?tbm=isch&amp;q=3%20G2</v>
      </c>
      <c r="BG2626" s="107" t="str">
        <f t="shared" si="2020"/>
        <v>N</v>
      </c>
      <c r="BH2626" s="254"/>
      <c r="BI2626" s="254"/>
    </row>
    <row r="2627" spans="1:61" customFormat="1" ht="17.25" thickBot="1" x14ac:dyDescent="0.3">
      <c r="A2627" s="673" t="s">
        <v>5183</v>
      </c>
      <c r="B2627" s="245"/>
      <c r="C2627" s="677"/>
      <c r="D2627" s="499"/>
      <c r="E2627" s="499"/>
      <c r="F2627" s="500"/>
      <c r="G2627" s="501"/>
      <c r="H2627" s="502"/>
      <c r="I2627" s="246"/>
      <c r="J2627" s="247"/>
      <c r="K2627" s="503"/>
      <c r="L2627" s="544"/>
      <c r="M2627" s="544"/>
      <c r="N2627" s="500"/>
      <c r="O2627" s="500"/>
      <c r="P2627" s="500"/>
      <c r="Q2627" s="500"/>
      <c r="R2627" s="500"/>
      <c r="S2627" s="669" t="s">
        <v>4996</v>
      </c>
      <c r="T2627" s="508">
        <f t="shared" si="2008"/>
        <v>0</v>
      </c>
      <c r="U2627" s="225" t="str">
        <f>IF(NOT(ISNUMBER(G2627)), "", VLOOKUP(A2627,'Discount Lookup'!D:E,2,FALSE)*G2627)</f>
        <v/>
      </c>
      <c r="V2627" s="225" t="str">
        <f>IF(NOT(ISNUMBER(G2627)), "", VLOOKUP(A2627,'Discount Lookup'!G:H,2,FALSE)*G2627)</f>
        <v/>
      </c>
      <c r="W2627" s="508">
        <f t="shared" si="2009"/>
        <v>0</v>
      </c>
      <c r="X2627" s="508">
        <f t="shared" si="2010"/>
        <v>0</v>
      </c>
      <c r="Y2627" s="509" t="b">
        <f t="shared" si="2011"/>
        <v>0</v>
      </c>
      <c r="Z2627" s="510">
        <f t="shared" si="2012"/>
        <v>0</v>
      </c>
      <c r="AA2627" s="511"/>
      <c r="AB2627" s="511" t="str">
        <f t="shared" si="2013"/>
        <v/>
      </c>
      <c r="AC2627" s="698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698"/>
      <c r="AE2627" s="631" t="str">
        <f t="shared" si="2014"/>
        <v/>
      </c>
      <c r="AF2627" s="699" t="str">
        <f t="shared" si="2015"/>
        <v/>
      </c>
      <c r="AG2627" s="699"/>
      <c r="AH2627" s="699"/>
      <c r="AI2627" s="512">
        <f>IF(H2627="credit",0,IF(AE2627="free",0,IF(AE2627="me",0,IF(G2627&gt;0,(VLOOKUP(A2627,'Discount Lookup'!J:K,2)*G2627),0))))</f>
        <v>0</v>
      </c>
      <c r="AJ2627" s="513" t="str">
        <f t="shared" ca="1" si="2016"/>
        <v/>
      </c>
      <c r="AK2627" s="700" t="str">
        <f t="shared" si="2017"/>
        <v/>
      </c>
      <c r="AL2627" s="700"/>
      <c r="AM2627" s="505" t="str">
        <f t="shared" si="2018"/>
        <v/>
      </c>
      <c r="AN2627" s="506"/>
      <c r="AO2627" s="507"/>
      <c r="AP2627" s="507"/>
      <c r="AQ2627" s="507"/>
      <c r="AR2627" s="507"/>
      <c r="AS2627" s="507"/>
      <c r="AT2627" s="507"/>
      <c r="AU2627" s="507"/>
      <c r="AV2627" s="225"/>
      <c r="AW2627" s="508"/>
      <c r="AX2627" s="225"/>
      <c r="AY2627" s="225"/>
      <c r="AZ2627" s="225"/>
      <c r="BA2627" s="225"/>
      <c r="BB2627" s="225"/>
      <c r="BC2627" s="56"/>
      <c r="BD2627" s="56"/>
      <c r="BE2627" s="56"/>
      <c r="BF2627" s="107" t="str">
        <f t="shared" si="2019"/>
        <v>https://www.google.com/search?tbm=isch&amp;q=moist%20sites%F0%9F%92%A7GOOD%2C%20Nightglow%20named%20for%20contrast%20of%20bloom%20and%20deep%20Burgundy%2C%20near%20Black%20foliage%2C%20turning%20Scarlet%20to%20Crimson%20in%20fall%20</v>
      </c>
      <c r="BG2627" s="107" t="str">
        <f t="shared" si="2020"/>
        <v>m</v>
      </c>
      <c r="BH2627" s="254"/>
      <c r="BI2627" s="254"/>
    </row>
    <row r="2628" spans="1:61" customFormat="1" ht="18" x14ac:dyDescent="0.25">
      <c r="A2628" s="523" t="s">
        <v>4264</v>
      </c>
      <c r="B2628" s="235"/>
      <c r="C2628" s="676"/>
      <c r="D2628" s="255" t="s">
        <v>1429</v>
      </c>
      <c r="E2628" s="236"/>
      <c r="F2628" s="236"/>
      <c r="G2628" s="236"/>
      <c r="H2628" s="582" t="s">
        <v>2205</v>
      </c>
      <c r="I2628" s="498" t="s">
        <v>4265</v>
      </c>
      <c r="J2628" s="237"/>
      <c r="K2628" s="237"/>
      <c r="L2628" s="274"/>
      <c r="M2628" s="668" t="s">
        <v>4975</v>
      </c>
      <c r="N2628" s="681" t="str">
        <f>IF(AND(ISTEXT($A2628), ISERROR($A2628+0)), HYPERLINK($BF2628, "Images"), "")</f>
        <v>Images</v>
      </c>
      <c r="O2628" s="663" t="s">
        <v>4974</v>
      </c>
      <c r="P2628" s="253"/>
      <c r="Q2628" s="238"/>
      <c r="R2628" s="239"/>
      <c r="S2628" s="275"/>
      <c r="T2628" s="508">
        <f t="shared" si="2008"/>
        <v>0</v>
      </c>
      <c r="U2628" s="225" t="str">
        <f>IF(NOT(ISNUMBER(G2628)), "", VLOOKUP(A2628,'Discount Lookup'!D:E,2,FALSE)*G2628)</f>
        <v/>
      </c>
      <c r="V2628" s="225" t="str">
        <f>IF(NOT(ISNUMBER(G2628)), "", VLOOKUP(A2628,'Discount Lookup'!G:H,2,FALSE)*G2628)</f>
        <v/>
      </c>
      <c r="W2628" s="508">
        <f t="shared" si="2009"/>
        <v>0</v>
      </c>
      <c r="X2628" s="508" t="str">
        <f t="shared" si="2010"/>
        <v>Deep Ruby-Red bloom</v>
      </c>
      <c r="Y2628" s="509" t="b">
        <f t="shared" si="2011"/>
        <v>0</v>
      </c>
      <c r="Z2628" s="510">
        <f t="shared" si="2012"/>
        <v>0</v>
      </c>
      <c r="AA2628" s="511"/>
      <c r="AB2628" s="511" t="str">
        <f t="shared" si="2013"/>
        <v/>
      </c>
      <c r="AC2628" s="698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698"/>
      <c r="AE2628" s="631" t="str">
        <f t="shared" si="2014"/>
        <v/>
      </c>
      <c r="AF2628" s="699" t="str">
        <f t="shared" si="2015"/>
        <v/>
      </c>
      <c r="AG2628" s="699"/>
      <c r="AH2628" s="699"/>
      <c r="AI2628" s="512">
        <f>IF(H2628="credit",0,IF(AE2628="free",0,IF(AE2628="me",0,IF(G2628&gt;0,(VLOOKUP(A2628,'Discount Lookup'!J:K,2)*G2628),0))))</f>
        <v>0</v>
      </c>
      <c r="AJ2628" s="513" t="str">
        <f t="shared" ca="1" si="2016"/>
        <v/>
      </c>
      <c r="AK2628" s="700" t="str">
        <f t="shared" si="2017"/>
        <v/>
      </c>
      <c r="AL2628" s="700"/>
      <c r="AM2628" s="505" t="str">
        <f t="shared" si="2018"/>
        <v/>
      </c>
      <c r="AN2628" s="506"/>
      <c r="AO2628" s="507"/>
      <c r="AP2628" s="507"/>
      <c r="AQ2628" s="507"/>
      <c r="AR2628" s="507"/>
      <c r="AS2628" s="507"/>
      <c r="AT2628" s="507"/>
      <c r="AU2628" s="507"/>
      <c r="AV2628" s="225"/>
      <c r="AW2628" s="508"/>
      <c r="AX2628" s="225"/>
      <c r="AY2628" s="225"/>
      <c r="AZ2628" s="225"/>
      <c r="BA2628" s="225"/>
      <c r="BB2628" s="225"/>
      <c r="BC2628" s="56"/>
      <c r="BD2628" s="56"/>
      <c r="BE2628" s="56"/>
      <c r="BF2628" s="107" t="str">
        <f t="shared" si="2019"/>
        <v>https://www.google.com/search?tbm=isch&amp;q=Niobe%20Clematis%20Vine%20Clematis%20%27Niobe%27</v>
      </c>
      <c r="BG2628" s="107" t="str">
        <f t="shared" si="2020"/>
        <v>N</v>
      </c>
      <c r="BH2628" s="254"/>
      <c r="BI2628" s="254"/>
    </row>
    <row r="2629" spans="1:61" customFormat="1" ht="15.75" x14ac:dyDescent="0.25">
      <c r="A2629" s="276">
        <v>4</v>
      </c>
      <c r="B2629" s="240" t="s">
        <v>340</v>
      </c>
      <c r="C2629" s="241"/>
      <c r="D2629" s="242" t="s">
        <v>312</v>
      </c>
      <c r="E2629" s="243">
        <v>16.95</v>
      </c>
      <c r="F2629" s="517" t="s">
        <v>293</v>
      </c>
      <c r="G2629" s="232">
        <v>0</v>
      </c>
      <c r="H2629" s="661" t="str">
        <f>IF(G2629=0,"",IF(F2629="Buy",IF(G2629=1,"plant","plants"),IF(F2629&gt;0.01,"warranty","Error")))</f>
        <v/>
      </c>
      <c r="I2629" s="244">
        <f>IF(H2629="free",0,IF(H2629="credit",((E2629*(F2629))*G2629*-1),IF(F2629="Buy",(E2629*G2629),((E2629*(1-F2629))*G2629))))</f>
        <v>0</v>
      </c>
      <c r="J2629" s="244">
        <f>IF(H2629="warranty",0,(I2629*(_xlfn.SINGLE(SalesTaxPercentage))))</f>
        <v>0</v>
      </c>
      <c r="K2629" s="696">
        <f t="shared" ref="K2629" si="2061">I2629+J2629</f>
        <v>0</v>
      </c>
      <c r="L2629" s="696"/>
      <c r="M2629" s="659" t="str">
        <f>IF(AND(G2629&gt;0,E2629=0),"WARNING - no PRICE inserted",IF(H2629="free"," FREE ~ no charge this plant",IF(H2629="credit",CONCATENATE(" -$",ROUND(K2629*(1-T2GDiscount)*-1,2)," CREDIT after discount"),IF(T2GDiscount=0,"",IF(G2629=0,"",IF(F2629="Buy",CONCATENATE(" $",ROUND(K2629*(1-T2GDiscount),2)," with ",(T2GDiscount*100),"% discount"),CONCATENATE(" $",ROUND(K2629*(1-T2GDiscount),2)," with ",((T2GDiscount*100+F2629*100)-(T2GDiscount*100*F2629)),IF(F2629&gt;0,"% discounts",IF(NoWarrantyDiscount&gt;0,"% discounts","% discount")))))))))</f>
        <v/>
      </c>
      <c r="N2629" s="660"/>
      <c r="O2629" s="233"/>
      <c r="P2629" s="233"/>
      <c r="Q2629" s="233"/>
      <c r="R2629" s="233"/>
      <c r="S2629" s="233"/>
      <c r="T2629" s="508">
        <f t="shared" si="2008"/>
        <v>0</v>
      </c>
      <c r="U2629" s="225">
        <f>IF(NOT(ISNUMBER(G2629)), "", VLOOKUP(A2629,'Discount Lookup'!D:E,2,FALSE)*G2629)</f>
        <v>0</v>
      </c>
      <c r="V2629" s="225">
        <f>IF(NOT(ISNUMBER(G2629)), "", VLOOKUP(A2629,'Discount Lookup'!G:H,2,FALSE)*G2629)</f>
        <v>0</v>
      </c>
      <c r="W2629" s="508">
        <f t="shared" si="2009"/>
        <v>0</v>
      </c>
      <c r="X2629" s="508">
        <f t="shared" si="2010"/>
        <v>0</v>
      </c>
      <c r="Y2629" s="509" t="b">
        <f t="shared" si="2011"/>
        <v>0</v>
      </c>
      <c r="Z2629" s="510">
        <f t="shared" si="2012"/>
        <v>0</v>
      </c>
      <c r="AA2629" s="511"/>
      <c r="AB2629" s="511" t="str">
        <f t="shared" si="2013"/>
        <v/>
      </c>
      <c r="AC2629" s="698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698"/>
      <c r="AE2629" s="631" t="str">
        <f t="shared" si="2014"/>
        <v/>
      </c>
      <c r="AF2629" s="699" t="str">
        <f t="shared" si="2015"/>
        <v/>
      </c>
      <c r="AG2629" s="699"/>
      <c r="AH2629" s="699"/>
      <c r="AI2629" s="512">
        <f>IF(H2629="credit",0,IF(AE2629="free",0,IF(AE2629="me",0,IF(G2629&gt;0,(VLOOKUP(A2629,'Discount Lookup'!J:K,2)*G2629),0))))</f>
        <v>0</v>
      </c>
      <c r="AJ2629" s="513" t="str">
        <f t="shared" ca="1" si="2016"/>
        <v/>
      </c>
      <c r="AK2629" s="700" t="str">
        <f t="shared" si="2017"/>
        <v/>
      </c>
      <c r="AL2629" s="700"/>
      <c r="AM2629" s="505" t="str">
        <f t="shared" si="2018"/>
        <v/>
      </c>
      <c r="AN2629" s="506"/>
      <c r="AO2629" s="507"/>
      <c r="AP2629" s="507"/>
      <c r="AQ2629" s="507"/>
      <c r="AR2629" s="507"/>
      <c r="AS2629" s="507"/>
      <c r="AT2629" s="507"/>
      <c r="AU2629" s="507"/>
      <c r="AV2629" s="225"/>
      <c r="AW2629" s="508"/>
      <c r="AX2629" s="225"/>
      <c r="AY2629" s="225"/>
      <c r="AZ2629" s="225"/>
      <c r="BA2629" s="225"/>
      <c r="BB2629" s="225"/>
      <c r="BC2629" s="56"/>
      <c r="BD2629" s="56"/>
      <c r="BE2629" s="56"/>
      <c r="BF2629" s="107" t="str">
        <f t="shared" si="2019"/>
        <v>https://www.google.com/search?tbm=isch&amp;q=4%20G2</v>
      </c>
      <c r="BG2629" s="107" t="str">
        <f t="shared" si="2020"/>
        <v>N</v>
      </c>
      <c r="BH2629" s="254"/>
      <c r="BI2629" s="254"/>
    </row>
    <row r="2630" spans="1:61" customFormat="1" ht="17.25" thickBot="1" x14ac:dyDescent="0.3">
      <c r="A2630" s="524" t="s">
        <v>4266</v>
      </c>
      <c r="B2630" s="245"/>
      <c r="C2630" s="677"/>
      <c r="D2630" s="499"/>
      <c r="E2630" s="499"/>
      <c r="F2630" s="500"/>
      <c r="G2630" s="501"/>
      <c r="H2630" s="502"/>
      <c r="I2630" s="246"/>
      <c r="J2630" s="247"/>
      <c r="K2630" s="503"/>
      <c r="L2630" s="544"/>
      <c r="M2630" s="544"/>
      <c r="N2630" s="500"/>
      <c r="O2630" s="500"/>
      <c r="P2630" s="500"/>
      <c r="Q2630" s="500"/>
      <c r="R2630" s="500"/>
      <c r="S2630" s="669" t="s">
        <v>4980</v>
      </c>
      <c r="T2630" s="508">
        <f t="shared" si="2008"/>
        <v>0</v>
      </c>
      <c r="U2630" s="225" t="str">
        <f>IF(NOT(ISNUMBER(G2630)), "", VLOOKUP(A2630,'Discount Lookup'!D:E,2,FALSE)*G2630)</f>
        <v/>
      </c>
      <c r="V2630" s="225" t="str">
        <f>IF(NOT(ISNUMBER(G2630)), "", VLOOKUP(A2630,'Discount Lookup'!G:H,2,FALSE)*G2630)</f>
        <v/>
      </c>
      <c r="W2630" s="508">
        <f t="shared" si="2009"/>
        <v>0</v>
      </c>
      <c r="X2630" s="508">
        <f t="shared" si="2010"/>
        <v>0</v>
      </c>
      <c r="Y2630" s="509" t="b">
        <f t="shared" si="2011"/>
        <v>0</v>
      </c>
      <c r="Z2630" s="510">
        <f t="shared" si="2012"/>
        <v>0</v>
      </c>
      <c r="AA2630" s="511"/>
      <c r="AB2630" s="511" t="str">
        <f t="shared" si="2013"/>
        <v/>
      </c>
      <c r="AC2630" s="698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698"/>
      <c r="AE2630" s="631" t="str">
        <f t="shared" si="2014"/>
        <v/>
      </c>
      <c r="AF2630" s="699" t="str">
        <f t="shared" si="2015"/>
        <v/>
      </c>
      <c r="AG2630" s="699"/>
      <c r="AH2630" s="699"/>
      <c r="AI2630" s="512">
        <f>IF(H2630="credit",0,IF(AE2630="free",0,IF(AE2630="me",0,IF(G2630&gt;0,(VLOOKUP(A2630,'Discount Lookup'!J:K,2)*G2630),0))))</f>
        <v>0</v>
      </c>
      <c r="AJ2630" s="513" t="str">
        <f t="shared" ca="1" si="2016"/>
        <v/>
      </c>
      <c r="AK2630" s="700" t="str">
        <f t="shared" si="2017"/>
        <v/>
      </c>
      <c r="AL2630" s="700"/>
      <c r="AM2630" s="505" t="str">
        <f t="shared" si="2018"/>
        <v/>
      </c>
      <c r="AN2630" s="506"/>
      <c r="AO2630" s="507"/>
      <c r="AP2630" s="507"/>
      <c r="AQ2630" s="507"/>
      <c r="AR2630" s="507"/>
      <c r="AS2630" s="507"/>
      <c r="AT2630" s="507"/>
      <c r="AU2630" s="507"/>
      <c r="AV2630" s="225"/>
      <c r="AW2630" s="508"/>
      <c r="AX2630" s="225"/>
      <c r="AY2630" s="225"/>
      <c r="AZ2630" s="225"/>
      <c r="BA2630" s="225"/>
      <c r="BB2630" s="225"/>
      <c r="BC2630" s="56"/>
      <c r="BD2630" s="56"/>
      <c r="BE2630" s="56"/>
      <c r="BF2630" s="107" t="str">
        <f t="shared" si="2019"/>
        <v>https://www.google.com/search?tbm=isch&amp;q=Niobedazzles%20with%20large%2C%20velvety%20blooms%20and%20Golden%20stamens%2C%20blooming%20from%20late%20spring%20through%20summer%3B%20fluffy%20seed%20heads%20follow%20</v>
      </c>
      <c r="BG2630" s="107" t="str">
        <f t="shared" si="2020"/>
        <v>N</v>
      </c>
      <c r="BH2630" s="254"/>
      <c r="BI2630" s="254"/>
    </row>
    <row r="2631" spans="1:61" customFormat="1" ht="18" x14ac:dyDescent="0.25">
      <c r="A2631" s="521" t="s">
        <v>4342</v>
      </c>
      <c r="B2631" s="477"/>
      <c r="C2631" s="674"/>
      <c r="D2631" s="478" t="s">
        <v>4343</v>
      </c>
      <c r="E2631" s="479"/>
      <c r="F2631" s="479"/>
      <c r="G2631" s="479"/>
      <c r="H2631" s="582" t="s">
        <v>316</v>
      </c>
      <c r="I2631" s="480" t="s">
        <v>654</v>
      </c>
      <c r="J2631" s="479"/>
      <c r="K2631" s="479"/>
      <c r="L2631" s="560"/>
      <c r="M2631" s="666" t="s">
        <v>4966</v>
      </c>
      <c r="N2631" s="680" t="str">
        <f>IF(AND(ISTEXT($A2631), ISERROR($A2631+0)), HYPERLINK($BF2631, "Images"), "")</f>
        <v>Images</v>
      </c>
      <c r="O2631" s="662" t="s">
        <v>4969</v>
      </c>
      <c r="P2631" s="482"/>
      <c r="Q2631" s="483"/>
      <c r="R2631" s="483"/>
      <c r="S2631" s="484"/>
      <c r="T2631" s="508">
        <f t="shared" si="2008"/>
        <v>0</v>
      </c>
      <c r="U2631" s="225" t="str">
        <f>IF(NOT(ISNUMBER(G2631)), "", VLOOKUP(A2631,'Discount Lookup'!D:E,2,FALSE)*G2631)</f>
        <v/>
      </c>
      <c r="V2631" s="225" t="str">
        <f>IF(NOT(ISNUMBER(G2631)), "", VLOOKUP(A2631,'Discount Lookup'!G:H,2,FALSE)*G2631)</f>
        <v/>
      </c>
      <c r="W2631" s="508">
        <f t="shared" si="2009"/>
        <v>0</v>
      </c>
      <c r="X2631" s="508" t="str">
        <f t="shared" si="2010"/>
        <v>White bloom</v>
      </c>
      <c r="Y2631" s="509" t="b">
        <f t="shared" si="2011"/>
        <v>0</v>
      </c>
      <c r="Z2631" s="510">
        <f t="shared" si="2012"/>
        <v>0</v>
      </c>
      <c r="AA2631" s="511"/>
      <c r="AB2631" s="511" t="str">
        <f t="shared" si="2013"/>
        <v/>
      </c>
      <c r="AC2631" s="698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698"/>
      <c r="AE2631" s="631" t="str">
        <f t="shared" si="2014"/>
        <v/>
      </c>
      <c r="AF2631" s="699" t="str">
        <f t="shared" si="2015"/>
        <v/>
      </c>
      <c r="AG2631" s="699"/>
      <c r="AH2631" s="699"/>
      <c r="AI2631" s="512">
        <f>IF(H2631="credit",0,IF(AE2631="free",0,IF(AE2631="me",0,IF(G2631&gt;0,(VLOOKUP(A2631,'Discount Lookup'!J:K,2)*G2631),0))))</f>
        <v>0</v>
      </c>
      <c r="AJ2631" s="513" t="str">
        <f t="shared" ca="1" si="2016"/>
        <v/>
      </c>
      <c r="AK2631" s="700" t="str">
        <f t="shared" si="2017"/>
        <v/>
      </c>
      <c r="AL2631" s="700"/>
      <c r="AM2631" s="505" t="str">
        <f t="shared" si="2018"/>
        <v/>
      </c>
      <c r="AN2631" s="506"/>
      <c r="AO2631" s="507"/>
      <c r="AP2631" s="507"/>
      <c r="AQ2631" s="507"/>
      <c r="AR2631" s="507"/>
      <c r="AS2631" s="507"/>
      <c r="AT2631" s="507"/>
      <c r="AU2631" s="507"/>
      <c r="AV2631" s="225"/>
      <c r="AW2631" s="508"/>
      <c r="AX2631" s="225"/>
      <c r="AY2631" s="225"/>
      <c r="AZ2631" s="225"/>
      <c r="BA2631" s="225"/>
      <c r="BB2631" s="225"/>
      <c r="BC2631" s="56"/>
      <c r="BD2631" s="56"/>
      <c r="BE2631" s="56"/>
      <c r="BF2631" s="107" t="str">
        <f t="shared" si="2019"/>
        <v>https://www.google.com/search?tbm=isch&amp;q=Noble%20Lady%20Tea%20Olive%20Osmanthus%20fragrans%20%27Quinnan%20Guifei%27</v>
      </c>
      <c r="BG2631" s="107" t="str">
        <f t="shared" si="2020"/>
        <v>N</v>
      </c>
      <c r="BH2631" s="254"/>
      <c r="BI2631" s="254"/>
    </row>
    <row r="2632" spans="1:61" customFormat="1" ht="15.75" x14ac:dyDescent="0.25">
      <c r="A2632" s="485">
        <v>7</v>
      </c>
      <c r="B2632" s="486" t="s">
        <v>291</v>
      </c>
      <c r="C2632" s="487" t="s">
        <v>4344</v>
      </c>
      <c r="D2632" s="488" t="s">
        <v>292</v>
      </c>
      <c r="E2632" s="489">
        <v>109.95</v>
      </c>
      <c r="F2632" s="516" t="s">
        <v>293</v>
      </c>
      <c r="G2632" s="232">
        <v>0</v>
      </c>
      <c r="H2632" s="658" t="str">
        <f>IF(G2632=0,"",IF(F2632="Buy",IF(G2632=1,"plant","plants"),IF(F2632&gt;0.01,"warranty","Error")))</f>
        <v/>
      </c>
      <c r="I2632" s="490">
        <f>IF(H2632="free",0,IF(H2632="credit",((E2632*(F2632))*G2632*-1),IF(F2632="Buy",(E2632*G2632),((E2632*(1-F2632))*G2632))))</f>
        <v>0</v>
      </c>
      <c r="J2632" s="490">
        <f>IF(H2632="warranty",0,(I2632*(_xlfn.SINGLE(SalesTaxPercentage))))</f>
        <v>0</v>
      </c>
      <c r="K2632" s="695">
        <f t="shared" ref="K2632" si="2062">I2632+J2632</f>
        <v>0</v>
      </c>
      <c r="L2632" s="695"/>
      <c r="M2632" s="659" t="str">
        <f>IF(AND(G2632&gt;0,E2632=0),"WARNING - no PRICE inserted",IF(H2632="free"," FREE ~ no charge this plant",IF(H2632="credit",CONCATENATE(" -$",ROUND(K2632*(1-T2GDiscount)*-1,2)," CREDIT after discount"),IF(T2GDiscount=0,"",IF(G2632=0,"",IF(F2632="Buy",CONCATENATE(" $",ROUND(K2632*(1-T2GDiscount),2)," with ",(T2GDiscount*100),"% discount"),CONCATENATE(" $",ROUND(K2632*(1-T2GDiscount),2)," with ",((T2GDiscount*100+F2632*100)-(T2GDiscount*100*F2632)),IF(F2632&gt;0,"% discounts",IF(NoWarrantyDiscount&gt;0,"% discounts","% discount")))))))))</f>
        <v/>
      </c>
      <c r="N2632" s="660"/>
      <c r="O2632" s="233"/>
      <c r="P2632" s="233"/>
      <c r="Q2632" s="233"/>
      <c r="R2632" s="233"/>
      <c r="S2632" s="233"/>
      <c r="T2632" s="508">
        <f t="shared" si="2008"/>
        <v>0</v>
      </c>
      <c r="U2632" s="225">
        <f>IF(NOT(ISNUMBER(G2632)), "", VLOOKUP(A2632,'Discount Lookup'!D:E,2,FALSE)*G2632)</f>
        <v>0</v>
      </c>
      <c r="V2632" s="225">
        <f>IF(NOT(ISNUMBER(G2632)), "", VLOOKUP(A2632,'Discount Lookup'!G:H,2,FALSE)*G2632)</f>
        <v>0</v>
      </c>
      <c r="W2632" s="508">
        <f t="shared" si="2009"/>
        <v>0</v>
      </c>
      <c r="X2632" s="508">
        <f t="shared" si="2010"/>
        <v>0</v>
      </c>
      <c r="Y2632" s="509" t="b">
        <f t="shared" si="2011"/>
        <v>0</v>
      </c>
      <c r="Z2632" s="510">
        <f t="shared" si="2012"/>
        <v>0</v>
      </c>
      <c r="AA2632" s="511"/>
      <c r="AB2632" s="511" t="str">
        <f t="shared" si="2013"/>
        <v/>
      </c>
      <c r="AC2632" s="698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698"/>
      <c r="AE2632" s="631" t="str">
        <f t="shared" si="2014"/>
        <v/>
      </c>
      <c r="AF2632" s="699" t="str">
        <f t="shared" si="2015"/>
        <v/>
      </c>
      <c r="AG2632" s="699"/>
      <c r="AH2632" s="699"/>
      <c r="AI2632" s="512">
        <f>IF(H2632="credit",0,IF(AE2632="free",0,IF(AE2632="me",0,IF(G2632&gt;0,(VLOOKUP(A2632,'Discount Lookup'!J:K,2)*G2632),0))))</f>
        <v>0</v>
      </c>
      <c r="AJ2632" s="513" t="str">
        <f t="shared" ca="1" si="2016"/>
        <v/>
      </c>
      <c r="AK2632" s="700" t="str">
        <f t="shared" si="2017"/>
        <v/>
      </c>
      <c r="AL2632" s="700"/>
      <c r="AM2632" s="505" t="str">
        <f t="shared" si="2018"/>
        <v/>
      </c>
      <c r="AN2632" s="506"/>
      <c r="AO2632" s="507"/>
      <c r="AP2632" s="507"/>
      <c r="AQ2632" s="507"/>
      <c r="AR2632" s="507"/>
      <c r="AS2632" s="507"/>
      <c r="AT2632" s="507"/>
      <c r="AU2632" s="507"/>
      <c r="AV2632" s="225"/>
      <c r="AW2632" s="508"/>
      <c r="AX2632" s="225"/>
      <c r="AY2632" s="225"/>
      <c r="AZ2632" s="225"/>
      <c r="BA2632" s="225"/>
      <c r="BB2632" s="225"/>
      <c r="BC2632" s="56"/>
      <c r="BD2632" s="56"/>
      <c r="BE2632" s="56"/>
      <c r="BF2632" s="107" t="str">
        <f t="shared" si="2019"/>
        <v>https://www.google.com/search?tbm=isch&amp;q=7%20G4</v>
      </c>
      <c r="BG2632" s="107" t="str">
        <f t="shared" si="2020"/>
        <v>N</v>
      </c>
      <c r="BH2632" s="254"/>
      <c r="BI2632" s="254"/>
    </row>
    <row r="2633" spans="1:61" customFormat="1" ht="16.5" thickBot="1" x14ac:dyDescent="0.3">
      <c r="A2633" s="522" t="s">
        <v>4345</v>
      </c>
      <c r="B2633" s="491"/>
      <c r="C2633" s="675"/>
      <c r="D2633" s="491"/>
      <c r="E2633" s="491"/>
      <c r="F2633" s="492"/>
      <c r="G2633" s="493"/>
      <c r="H2633" s="491"/>
      <c r="I2633" s="234"/>
      <c r="J2633" s="234"/>
      <c r="K2633" s="494"/>
      <c r="L2633" s="543"/>
      <c r="M2633" s="561"/>
      <c r="N2633" s="495"/>
      <c r="O2633" s="496"/>
      <c r="P2633" s="497"/>
      <c r="Q2633" s="495"/>
      <c r="R2633" s="495"/>
      <c r="S2633" s="667" t="s">
        <v>4968</v>
      </c>
      <c r="T2633" s="508">
        <f t="shared" si="2008"/>
        <v>0</v>
      </c>
      <c r="U2633" s="225" t="str">
        <f>IF(NOT(ISNUMBER(G2633)), "", VLOOKUP(A2633,'Discount Lookup'!D:E,2,FALSE)*G2633)</f>
        <v/>
      </c>
      <c r="V2633" s="225" t="str">
        <f>IF(NOT(ISNUMBER(G2633)), "", VLOOKUP(A2633,'Discount Lookup'!G:H,2,FALSE)*G2633)</f>
        <v/>
      </c>
      <c r="W2633" s="508">
        <f t="shared" si="2009"/>
        <v>0</v>
      </c>
      <c r="X2633" s="508">
        <f t="shared" si="2010"/>
        <v>0</v>
      </c>
      <c r="Y2633" s="509" t="b">
        <f t="shared" si="2011"/>
        <v>0</v>
      </c>
      <c r="Z2633" s="510">
        <f t="shared" si="2012"/>
        <v>0</v>
      </c>
      <c r="AA2633" s="511"/>
      <c r="AB2633" s="511" t="str">
        <f t="shared" si="2013"/>
        <v/>
      </c>
      <c r="AC2633" s="698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698"/>
      <c r="AE2633" s="631" t="str">
        <f t="shared" si="2014"/>
        <v/>
      </c>
      <c r="AF2633" s="699" t="str">
        <f t="shared" si="2015"/>
        <v/>
      </c>
      <c r="AG2633" s="699"/>
      <c r="AH2633" s="699"/>
      <c r="AI2633" s="512">
        <f>IF(H2633="credit",0,IF(AE2633="free",0,IF(AE2633="me",0,IF(G2633&gt;0,(VLOOKUP(A2633,'Discount Lookup'!J:K,2)*G2633),0))))</f>
        <v>0</v>
      </c>
      <c r="AJ2633" s="513" t="str">
        <f t="shared" ca="1" si="2016"/>
        <v/>
      </c>
      <c r="AK2633" s="700" t="str">
        <f t="shared" si="2017"/>
        <v/>
      </c>
      <c r="AL2633" s="700"/>
      <c r="AM2633" s="505" t="str">
        <f t="shared" si="2018"/>
        <v/>
      </c>
      <c r="AN2633" s="506"/>
      <c r="AO2633" s="507"/>
      <c r="AP2633" s="507"/>
      <c r="AQ2633" s="507"/>
      <c r="AR2633" s="507"/>
      <c r="AS2633" s="507"/>
      <c r="AT2633" s="507"/>
      <c r="AU2633" s="507"/>
      <c r="AV2633" s="225"/>
      <c r="AW2633" s="508"/>
      <c r="AX2633" s="225"/>
      <c r="AY2633" s="225"/>
      <c r="AZ2633" s="225"/>
      <c r="BA2633" s="225"/>
      <c r="BB2633" s="225"/>
      <c r="BC2633" s="56"/>
      <c r="BD2633" s="56"/>
      <c r="BE2633" s="56"/>
      <c r="BF2633" s="107" t="str">
        <f t="shared" si="2019"/>
        <v>https://www.google.com/search?tbm=isch&amp;q=Noble%20Lady%20foliage%20flushes%20Deep%20Pink%2C%20then%20fades%20to%20Pale%20Pink%20and%20Creamy%20White%20before%20maturing%20to%20Green.%20Intensely%20fragrant%20blooms%20</v>
      </c>
      <c r="BG2633" s="107" t="str">
        <f t="shared" si="2020"/>
        <v>N</v>
      </c>
      <c r="BH2633" s="254"/>
      <c r="BI2633" s="254"/>
    </row>
    <row r="2634" spans="1:61" customFormat="1" ht="18" x14ac:dyDescent="0.25">
      <c r="A2634" s="521" t="s">
        <v>5612</v>
      </c>
      <c r="B2634" s="477"/>
      <c r="C2634" s="674"/>
      <c r="D2634" s="478" t="s">
        <v>1430</v>
      </c>
      <c r="E2634" s="479"/>
      <c r="F2634" s="479"/>
      <c r="G2634" s="479"/>
      <c r="H2634" s="582" t="s">
        <v>2099</v>
      </c>
      <c r="I2634" s="480" t="s">
        <v>2093</v>
      </c>
      <c r="J2634" s="479"/>
      <c r="K2634" s="479"/>
      <c r="L2634" s="560"/>
      <c r="M2634" s="666" t="s">
        <v>4966</v>
      </c>
      <c r="N2634" s="680" t="str">
        <f>IF(AND(ISTEXT($A2634), ISERROR($A2634+0)), HYPERLINK($BF2634, "Images"), "")</f>
        <v>Images</v>
      </c>
      <c r="O2634" s="662" t="s">
        <v>4974</v>
      </c>
      <c r="P2634" s="482"/>
      <c r="Q2634" s="483"/>
      <c r="R2634" s="483"/>
      <c r="S2634" s="484" t="s">
        <v>305</v>
      </c>
      <c r="T2634" s="508">
        <f t="shared" si="2008"/>
        <v>0</v>
      </c>
      <c r="U2634" s="225" t="str">
        <f>IF(NOT(ISNUMBER(G2634)), "", VLOOKUP(A2634,'Discount Lookup'!D:E,2,FALSE)*G2634)</f>
        <v/>
      </c>
      <c r="V2634" s="225" t="str">
        <f>IF(NOT(ISNUMBER(G2634)), "", VLOOKUP(A2634,'Discount Lookup'!G:H,2,FALSE)*G2634)</f>
        <v/>
      </c>
      <c r="W2634" s="508">
        <f t="shared" si="2009"/>
        <v>0</v>
      </c>
      <c r="X2634" s="508" t="str">
        <f t="shared" si="2010"/>
        <v>Dark Green foliage</v>
      </c>
      <c r="Y2634" s="509" t="b">
        <f t="shared" si="2011"/>
        <v>0</v>
      </c>
      <c r="Z2634" s="510">
        <f t="shared" si="2012"/>
        <v>0</v>
      </c>
      <c r="AA2634" s="511"/>
      <c r="AB2634" s="511" t="str">
        <f t="shared" si="2013"/>
        <v/>
      </c>
      <c r="AC2634" s="698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698"/>
      <c r="AE2634" s="631" t="str">
        <f t="shared" si="2014"/>
        <v/>
      </c>
      <c r="AF2634" s="699" t="str">
        <f t="shared" si="2015"/>
        <v/>
      </c>
      <c r="AG2634" s="699"/>
      <c r="AH2634" s="699"/>
      <c r="AI2634" s="512">
        <f>IF(H2634="credit",0,IF(AE2634="free",0,IF(AE2634="me",0,IF(G2634&gt;0,(VLOOKUP(A2634,'Discount Lookup'!J:K,2)*G2634),0))))</f>
        <v>0</v>
      </c>
      <c r="AJ2634" s="513" t="str">
        <f t="shared" ca="1" si="2016"/>
        <v/>
      </c>
      <c r="AK2634" s="700" t="str">
        <f t="shared" si="2017"/>
        <v/>
      </c>
      <c r="AL2634" s="700"/>
      <c r="AM2634" s="505" t="str">
        <f t="shared" si="2018"/>
        <v/>
      </c>
      <c r="AN2634" s="506"/>
      <c r="AO2634" s="507"/>
      <c r="AP2634" s="507"/>
      <c r="AQ2634" s="507"/>
      <c r="AR2634" s="507"/>
      <c r="AS2634" s="507"/>
      <c r="AT2634" s="507"/>
      <c r="AU2634" s="507"/>
      <c r="AV2634" s="225"/>
      <c r="AW2634" s="508"/>
      <c r="AX2634" s="225"/>
      <c r="AY2634" s="225"/>
      <c r="AZ2634" s="225"/>
      <c r="BA2634" s="225"/>
      <c r="BB2634" s="225"/>
      <c r="BC2634" s="56"/>
      <c r="BD2634" s="56"/>
      <c r="BE2634" s="56"/>
      <c r="BF2634" s="107" t="str">
        <f t="shared" si="2019"/>
        <v>https://www.google.com/search?tbm=isch&amp;q=North%20Pole%C2%AE%20Arborvitae%20%28PW%C2%AE%29%20Thuja%20occidentalis%20%27Art%20Boe%27%20PP%2322174</v>
      </c>
      <c r="BG2634" s="107" t="str">
        <f t="shared" si="2020"/>
        <v>N</v>
      </c>
      <c r="BH2634" s="254"/>
      <c r="BI2634" s="254"/>
    </row>
    <row r="2635" spans="1:61" customFormat="1" ht="15.75" x14ac:dyDescent="0.25">
      <c r="A2635" s="485">
        <v>1</v>
      </c>
      <c r="B2635" s="486" t="s">
        <v>291</v>
      </c>
      <c r="C2635" s="487"/>
      <c r="D2635" s="488" t="s">
        <v>312</v>
      </c>
      <c r="E2635" s="489">
        <v>32.950000000000003</v>
      </c>
      <c r="F2635" s="516" t="s">
        <v>293</v>
      </c>
      <c r="G2635" s="232">
        <v>0</v>
      </c>
      <c r="H2635" s="658" t="str">
        <f>IF(G2635=0,"",IF(F2635="Buy",IF(G2635=1,"plant","plants"),IF(F2635&gt;0.01,"warranty","Error")))</f>
        <v/>
      </c>
      <c r="I2635" s="490">
        <f>IF(H2635="free",0,IF(H2635="credit",((E2635*(F2635))*G2635*-1),IF(F2635="Buy",(E2635*G2635),((E2635*(1-F2635))*G2635))))</f>
        <v>0</v>
      </c>
      <c r="J2635" s="490">
        <f>IF(H2635="warranty",0,(I2635*(_xlfn.SINGLE(SalesTaxPercentage))))</f>
        <v>0</v>
      </c>
      <c r="K2635" s="695">
        <f t="shared" ref="K2635" si="2063">I2635+J2635</f>
        <v>0</v>
      </c>
      <c r="L2635" s="695"/>
      <c r="M2635" s="659" t="str">
        <f>IF(AND(G2635&gt;0,E2635=0),"WARNING - no PRICE inserted",IF(H2635="free"," FREE ~ no charge this plant",IF(H2635="credit",CONCATENATE(" -$",ROUND(K2635*(1-T2GDiscount)*-1,2)," CREDIT after discount"),IF(T2GDiscount=0,"",IF(G2635=0,"",IF(F2635="Buy",CONCATENATE(" $",ROUND(K2635*(1-T2GDiscount),2)," with ",(T2GDiscount*100),"% discount"),CONCATENATE(" $",ROUND(K2635*(1-T2GDiscount),2)," with ",((T2GDiscount*100+F2635*100)-(T2GDiscount*100*F2635)),IF(F2635&gt;0,"% discounts",IF(NoWarrantyDiscount&gt;0,"% discounts","% discount")))))))))</f>
        <v/>
      </c>
      <c r="N2635" s="660"/>
      <c r="O2635" s="233"/>
      <c r="P2635" s="233"/>
      <c r="Q2635" s="233"/>
      <c r="R2635" s="233"/>
      <c r="S2635" s="233"/>
      <c r="T2635" s="508">
        <f t="shared" si="2008"/>
        <v>0</v>
      </c>
      <c r="U2635" s="225">
        <f>IF(NOT(ISNUMBER(G2635)), "", VLOOKUP(A2635,'Discount Lookup'!D:E,2,FALSE)*G2635)</f>
        <v>0</v>
      </c>
      <c r="V2635" s="225">
        <f>IF(NOT(ISNUMBER(G2635)), "", VLOOKUP(A2635,'Discount Lookup'!G:H,2,FALSE)*G2635)</f>
        <v>0</v>
      </c>
      <c r="W2635" s="508">
        <f t="shared" si="2009"/>
        <v>0</v>
      </c>
      <c r="X2635" s="508">
        <f t="shared" si="2010"/>
        <v>0</v>
      </c>
      <c r="Y2635" s="509" t="b">
        <f t="shared" si="2011"/>
        <v>0</v>
      </c>
      <c r="Z2635" s="510">
        <f t="shared" si="2012"/>
        <v>0</v>
      </c>
      <c r="AA2635" s="511"/>
      <c r="AB2635" s="511" t="str">
        <f t="shared" si="2013"/>
        <v/>
      </c>
      <c r="AC2635" s="698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698"/>
      <c r="AE2635" s="631" t="str">
        <f t="shared" si="2014"/>
        <v/>
      </c>
      <c r="AF2635" s="699" t="str">
        <f t="shared" si="2015"/>
        <v/>
      </c>
      <c r="AG2635" s="699"/>
      <c r="AH2635" s="699"/>
      <c r="AI2635" s="512">
        <f>IF(H2635="credit",0,IF(AE2635="free",0,IF(AE2635="me",0,IF(G2635&gt;0,(VLOOKUP(A2635,'Discount Lookup'!J:K,2)*G2635),0))))</f>
        <v>0</v>
      </c>
      <c r="AJ2635" s="513" t="str">
        <f t="shared" ca="1" si="2016"/>
        <v/>
      </c>
      <c r="AK2635" s="700" t="str">
        <f t="shared" si="2017"/>
        <v/>
      </c>
      <c r="AL2635" s="700"/>
      <c r="AM2635" s="505" t="str">
        <f t="shared" si="2018"/>
        <v/>
      </c>
      <c r="AN2635" s="506"/>
      <c r="AO2635" s="507"/>
      <c r="AP2635" s="507"/>
      <c r="AQ2635" s="507"/>
      <c r="AR2635" s="507"/>
      <c r="AS2635" s="507"/>
      <c r="AT2635" s="507"/>
      <c r="AU2635" s="507"/>
      <c r="AV2635" s="225"/>
      <c r="AW2635" s="508"/>
      <c r="AX2635" s="225"/>
      <c r="AY2635" s="225"/>
      <c r="AZ2635" s="225"/>
      <c r="BA2635" s="225"/>
      <c r="BB2635" s="225"/>
      <c r="BC2635" s="56"/>
      <c r="BD2635" s="56"/>
      <c r="BE2635" s="56"/>
      <c r="BF2635" s="107" t="str">
        <f t="shared" si="2019"/>
        <v>https://www.google.com/search?tbm=isch&amp;q=1%20G2</v>
      </c>
      <c r="BG2635" s="107" t="str">
        <f t="shared" si="2020"/>
        <v>N</v>
      </c>
      <c r="BH2635" s="254"/>
      <c r="BI2635" s="254"/>
    </row>
    <row r="2636" spans="1:61" customFormat="1" ht="27" x14ac:dyDescent="0.25">
      <c r="A2636" s="485">
        <v>7</v>
      </c>
      <c r="B2636" s="486" t="s">
        <v>291</v>
      </c>
      <c r="C2636" s="487" t="s">
        <v>3715</v>
      </c>
      <c r="D2636" s="488" t="s">
        <v>292</v>
      </c>
      <c r="E2636" s="489">
        <v>104.95</v>
      </c>
      <c r="F2636" s="516" t="s">
        <v>293</v>
      </c>
      <c r="G2636" s="232">
        <v>0</v>
      </c>
      <c r="H2636" s="658" t="str">
        <f>IF(G2636=0,"",IF(F2636="Buy",IF(G2636=1,"plant","plants"),IF(F2636&gt;0.01,"warranty","Error")))</f>
        <v/>
      </c>
      <c r="I2636" s="490">
        <f>IF(H2636="free",0,IF(H2636="credit",((E2636*(F2636))*G2636*-1),IF(F2636="Buy",(E2636*G2636),((E2636*(1-F2636))*G2636))))</f>
        <v>0</v>
      </c>
      <c r="J2636" s="490">
        <f>IF(H2636="warranty",0,(I2636*(_xlfn.SINGLE(SalesTaxPercentage))))</f>
        <v>0</v>
      </c>
      <c r="K2636" s="695">
        <f t="shared" ref="K2636" si="2064">I2636+J2636</f>
        <v>0</v>
      </c>
      <c r="L2636" s="695"/>
      <c r="M2636" s="659" t="str">
        <f>IF(AND(G2636&gt;0,E2636=0),"WARNING - no PRICE inserted",IF(H2636="free"," FREE ~ no charge this plant",IF(H2636="credit",CONCATENATE(" -$",ROUND(K2636*(1-T2GDiscount)*-1,2)," CREDIT after discount"),IF(T2GDiscount=0,"",IF(G2636=0,"",IF(F2636="Buy",CONCATENATE(" $",ROUND(K2636*(1-T2GDiscount),2)," with ",(T2GDiscount*100),"% discount"),CONCATENATE(" $",ROUND(K2636*(1-T2GDiscount),2)," with ",((T2GDiscount*100+F2636*100)-(T2GDiscount*100*F2636)),IF(F2636&gt;0,"% discounts",IF(NoWarrantyDiscount&gt;0,"% discounts","% discount")))))))))</f>
        <v/>
      </c>
      <c r="N2636" s="660"/>
      <c r="O2636" s="233"/>
      <c r="P2636" s="233"/>
      <c r="Q2636" s="233"/>
      <c r="R2636" s="233"/>
      <c r="S2636" s="233"/>
      <c r="T2636" s="508">
        <f t="shared" si="2008"/>
        <v>0</v>
      </c>
      <c r="U2636" s="225">
        <f>IF(NOT(ISNUMBER(G2636)), "", VLOOKUP(A2636,'Discount Lookup'!D:E,2,FALSE)*G2636)</f>
        <v>0</v>
      </c>
      <c r="V2636" s="225">
        <f>IF(NOT(ISNUMBER(G2636)), "", VLOOKUP(A2636,'Discount Lookup'!G:H,2,FALSE)*G2636)</f>
        <v>0</v>
      </c>
      <c r="W2636" s="508">
        <f t="shared" si="2009"/>
        <v>0</v>
      </c>
      <c r="X2636" s="508">
        <f t="shared" si="2010"/>
        <v>0</v>
      </c>
      <c r="Y2636" s="509" t="b">
        <f t="shared" si="2011"/>
        <v>0</v>
      </c>
      <c r="Z2636" s="510">
        <f t="shared" si="2012"/>
        <v>0</v>
      </c>
      <c r="AA2636" s="511"/>
      <c r="AB2636" s="511" t="str">
        <f t="shared" si="2013"/>
        <v/>
      </c>
      <c r="AC2636" s="698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698"/>
      <c r="AE2636" s="631" t="str">
        <f t="shared" si="2014"/>
        <v/>
      </c>
      <c r="AF2636" s="699" t="str">
        <f t="shared" si="2015"/>
        <v/>
      </c>
      <c r="AG2636" s="699"/>
      <c r="AH2636" s="699"/>
      <c r="AI2636" s="512">
        <f>IF(H2636="credit",0,IF(AE2636="free",0,IF(AE2636="me",0,IF(G2636&gt;0,(VLOOKUP(A2636,'Discount Lookup'!J:K,2)*G2636),0))))</f>
        <v>0</v>
      </c>
      <c r="AJ2636" s="513" t="str">
        <f t="shared" ca="1" si="2016"/>
        <v/>
      </c>
      <c r="AK2636" s="700" t="str">
        <f t="shared" si="2017"/>
        <v/>
      </c>
      <c r="AL2636" s="700"/>
      <c r="AM2636" s="505" t="str">
        <f t="shared" si="2018"/>
        <v/>
      </c>
      <c r="AN2636" s="506"/>
      <c r="AO2636" s="507"/>
      <c r="AP2636" s="507"/>
      <c r="AQ2636" s="507"/>
      <c r="AR2636" s="507"/>
      <c r="AS2636" s="507"/>
      <c r="AT2636" s="507"/>
      <c r="AU2636" s="507"/>
      <c r="AV2636" s="225"/>
      <c r="AW2636" s="508"/>
      <c r="AX2636" s="225"/>
      <c r="AY2636" s="225"/>
      <c r="AZ2636" s="225"/>
      <c r="BA2636" s="225"/>
      <c r="BB2636" s="225"/>
      <c r="BC2636" s="56"/>
      <c r="BD2636" s="56"/>
      <c r="BE2636" s="56"/>
      <c r="BF2636" s="107" t="str">
        <f t="shared" si="2019"/>
        <v>https://www.google.com/search?tbm=isch&amp;q=7%20G4</v>
      </c>
      <c r="BG2636" s="107" t="str">
        <f t="shared" si="2020"/>
        <v>N</v>
      </c>
      <c r="BH2636" s="254"/>
      <c r="BI2636" s="254"/>
    </row>
    <row r="2637" spans="1:61" customFormat="1" ht="17.25" thickBot="1" x14ac:dyDescent="0.3">
      <c r="A2637" s="522" t="s">
        <v>4136</v>
      </c>
      <c r="B2637" s="491"/>
      <c r="C2637" s="675"/>
      <c r="D2637" s="491"/>
      <c r="E2637" s="491"/>
      <c r="F2637" s="492"/>
      <c r="G2637" s="493"/>
      <c r="H2637" s="491"/>
      <c r="I2637" s="234"/>
      <c r="J2637" s="234"/>
      <c r="K2637" s="494"/>
      <c r="L2637" s="543"/>
      <c r="M2637" s="561"/>
      <c r="N2637" s="495"/>
      <c r="O2637" s="496"/>
      <c r="P2637" s="497"/>
      <c r="Q2637" s="495"/>
      <c r="R2637" s="495"/>
      <c r="S2637" s="667" t="s">
        <v>4984</v>
      </c>
      <c r="T2637" s="508">
        <f t="shared" si="2008"/>
        <v>0</v>
      </c>
      <c r="U2637" s="225" t="str">
        <f>IF(NOT(ISNUMBER(G2637)), "", VLOOKUP(A2637,'Discount Lookup'!D:E,2,FALSE)*G2637)</f>
        <v/>
      </c>
      <c r="V2637" s="225" t="str">
        <f>IF(NOT(ISNUMBER(G2637)), "", VLOOKUP(A2637,'Discount Lookup'!G:H,2,FALSE)*G2637)</f>
        <v/>
      </c>
      <c r="W2637" s="508">
        <f t="shared" si="2009"/>
        <v>0</v>
      </c>
      <c r="X2637" s="508">
        <f t="shared" si="2010"/>
        <v>0</v>
      </c>
      <c r="Y2637" s="509" t="b">
        <f t="shared" si="2011"/>
        <v>0</v>
      </c>
      <c r="Z2637" s="510">
        <f t="shared" si="2012"/>
        <v>0</v>
      </c>
      <c r="AA2637" s="511"/>
      <c r="AB2637" s="511" t="str">
        <f t="shared" si="2013"/>
        <v/>
      </c>
      <c r="AC2637" s="698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698"/>
      <c r="AE2637" s="631" t="str">
        <f t="shared" si="2014"/>
        <v/>
      </c>
      <c r="AF2637" s="699" t="str">
        <f t="shared" si="2015"/>
        <v/>
      </c>
      <c r="AG2637" s="699"/>
      <c r="AH2637" s="699"/>
      <c r="AI2637" s="512">
        <f>IF(H2637="credit",0,IF(AE2637="free",0,IF(AE2637="me",0,IF(G2637&gt;0,(VLOOKUP(A2637,'Discount Lookup'!J:K,2)*G2637),0))))</f>
        <v>0</v>
      </c>
      <c r="AJ2637" s="513" t="str">
        <f t="shared" ca="1" si="2016"/>
        <v/>
      </c>
      <c r="AK2637" s="700" t="str">
        <f t="shared" si="2017"/>
        <v/>
      </c>
      <c r="AL2637" s="700"/>
      <c r="AM2637" s="505" t="str">
        <f t="shared" si="2018"/>
        <v/>
      </c>
      <c r="AN2637" s="506"/>
      <c r="AO2637" s="507"/>
      <c r="AP2637" s="507"/>
      <c r="AQ2637" s="507"/>
      <c r="AR2637" s="507"/>
      <c r="AS2637" s="507"/>
      <c r="AT2637" s="507"/>
      <c r="AU2637" s="507"/>
      <c r="AV2637" s="225"/>
      <c r="AW2637" s="508"/>
      <c r="AX2637" s="225"/>
      <c r="AY2637" s="225"/>
      <c r="AZ2637" s="225"/>
      <c r="BA2637" s="225"/>
      <c r="BB2637" s="225"/>
      <c r="BC2637" s="56"/>
      <c r="BD2637" s="56"/>
      <c r="BE2637" s="56"/>
      <c r="BF2637" s="107" t="str">
        <f t="shared" si="2019"/>
        <v>https://www.google.com/search?tbm=isch&amp;q=North%20Pole%20Arborvitae%20will%20bronze%20out%20in%20winter%20much%20less%20than%20similar%20Arborvitae%20</v>
      </c>
      <c r="BG2637" s="107" t="str">
        <f t="shared" si="2020"/>
        <v>N</v>
      </c>
      <c r="BH2637" s="254"/>
      <c r="BI2637" s="254"/>
    </row>
    <row r="2638" spans="1:61" customFormat="1" ht="18" x14ac:dyDescent="0.25">
      <c r="A2638" s="523" t="s">
        <v>1431</v>
      </c>
      <c r="B2638" s="235"/>
      <c r="C2638" s="676"/>
      <c r="D2638" s="255" t="s">
        <v>1432</v>
      </c>
      <c r="E2638" s="236"/>
      <c r="F2638" s="236"/>
      <c r="G2638" s="236"/>
      <c r="H2638" s="582" t="s">
        <v>2226</v>
      </c>
      <c r="I2638" s="498" t="s">
        <v>2093</v>
      </c>
      <c r="J2638" s="237"/>
      <c r="K2638" s="237"/>
      <c r="L2638" s="274"/>
      <c r="M2638" s="668" t="s">
        <v>4962</v>
      </c>
      <c r="N2638" s="681" t="str">
        <f>IF(AND(ISTEXT($A2638), ISERROR($A2638+0)), HYPERLINK($BF2638, "Images"), "")</f>
        <v>Images</v>
      </c>
      <c r="O2638" s="663" t="s">
        <v>4974</v>
      </c>
      <c r="P2638" s="253"/>
      <c r="Q2638" s="238"/>
      <c r="R2638" s="239"/>
      <c r="S2638" s="275" t="s">
        <v>305</v>
      </c>
      <c r="T2638" s="508">
        <f t="shared" ref="T2638:T2701" si="2065">E2638*G2638</f>
        <v>0</v>
      </c>
      <c r="U2638" s="225" t="str">
        <f>IF(NOT(ISNUMBER(G2638)), "", VLOOKUP(A2638,'Discount Lookup'!D:E,2,FALSE)*G2638)</f>
        <v/>
      </c>
      <c r="V2638" s="225" t="str">
        <f>IF(NOT(ISNUMBER(G2638)), "", VLOOKUP(A2638,'Discount Lookup'!G:H,2,FALSE)*G2638)</f>
        <v/>
      </c>
      <c r="W2638" s="508">
        <f t="shared" ref="W2638:W2701" si="2066">IF(H2638="credit",0,E2638*(SalesTaxPercentage)*G2638)</f>
        <v>0</v>
      </c>
      <c r="X2638" s="508" t="str">
        <f t="shared" ref="X2638:X2701" si="2067">I2638</f>
        <v>Dark Green foliage</v>
      </c>
      <c r="Y2638" s="509" t="b">
        <f t="shared" ref="Y2638:Y2701" si="2068">IF(AE2638="T2G",0,IF(H2638="credit",0,IF(G2638&gt;0,IF(AE2638="me","",G2638))))</f>
        <v>0</v>
      </c>
      <c r="Z2638" s="510">
        <f t="shared" ref="Z2638:Z2701" si="2069">IF(H2638="credit",G2638,0)</f>
        <v>0</v>
      </c>
      <c r="AA2638" s="511"/>
      <c r="AB2638" s="511" t="str">
        <f t="shared" ref="AB2638:AB2701" si="2070">IF(AE2638="T2G","by Trees2Go",IF(H2638="credit","CREDIT only ~",IF(AND(K2638="",AE2638=OR(PlanterYesMe="No",PlanterYesMe="N",PlanterYesMe="me")),"not THIS line⇨",IF(AND(K2638="images",AE2638="me"),"not THIS line⇨",IF(H2638="credit","",IF(G2638=0,"",IF(AE2638="me","",IF(OR(PlanterYesMe="No",PlanterYesMe="N",PlanterYesMe="me"),"",IF(AE2638="free","warranty",IF(OR(PlanterYesMe="yes",PlanterYesMe="y"),"Edison install:","to install:"))))))))))</f>
        <v/>
      </c>
      <c r="AC2638" s="698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698"/>
      <c r="AE2638" s="631" t="str">
        <f t="shared" ref="AE2638:AE2701" si="2071">IF(H2638="credit","",IF(G2638=0,"",IF(OR(PlanterYesMe="No",PlanterYesMe="N",PlanterYesMe="me"),"me",IF(H2638="warranty","free",IF(OR(PlanterYesMe="yes",PlanterYesMe="y"),"ELP","")))))</f>
        <v/>
      </c>
      <c r="AF2638" s="699" t="str">
        <f t="shared" ref="AF2638:AF2701" si="2072">IF(OR(PlanterYesMe="No",PlanterYesMe="N",PlanterYesMe="me"),"",IF(H2638="credit","",IF(G2638&gt;0,(CONCATENATE((G2638)," quantity, ",(A2638)," ",B2638)),"")))</f>
        <v/>
      </c>
      <c r="AG2638" s="699"/>
      <c r="AH2638" s="699"/>
      <c r="AI2638" s="512">
        <f>IF(H2638="credit",0,IF(AE2638="free",0,IF(AE2638="me",0,IF(G2638&gt;0,(VLOOKUP(A2638,'Discount Lookup'!J:K,2)*G2638),0))))</f>
        <v>0</v>
      </c>
      <c r="AJ2638" s="513" t="str">
        <f t="shared" ref="AJ2638:AJ2701" ca="1" si="2073">IF(AND(ISREF(H2638),H2638="credit"),"",IF(AND(AND(OFFSET(G2638,0,0)=0,OFFSET(G2638,1,0)&gt;0,ISNUMBER(OFFSET(AC2638,1,0)),OFFSET(AC2638,1,0)&gt;0),OR(PlanterYesMe="yes",PlanterYesMe="y")),"T2G+ELP=",IF(AND(OFFSET(G2638,0,0)=0,OFFSET(G2638,1,0)&gt;0,ISNUMBER(OFFSET(AC2638,1,0)),OFFSET(AC2638,1,0)&gt;0),"if T2G+ELP=",IF(AND(OFFSET(G2638,0,0)=0,OFFSET(G2638,1,0)&gt;0),"T2G Subtotal",IF(H2638="credit","",IF(G2638=0,"",IF(AE2638="free",(K2638*(1-T2GDiscount)),IF(OR(PlanterYesMe="No",PlanterYesMe="N",PlanterYesMe="me"),(K2638*(1-T2GDiscount)),IF(OR(AE2638="me",AE2638="T2G"),(K2638*(1-T2GDiscount)),(K2638*(1-T2GDiscount))+AC2638)))))))))</f>
        <v/>
      </c>
      <c r="AK2638" s="700" t="str">
        <f t="shared" ref="AK2638:AK2701" si="2074">IF(H2638="credit","",IF(G2638=0,"",IF(OR(AE2638="me",AE2638="T2G"),"  delivery-only",IF(OR(PlanterYesMe="No",PlanterYesMe="N",PlanterYesMe="me"),"  delivery-only",CONCATENATE(" $",ROUND(AJ2638/G2638,2)," each")))))</f>
        <v/>
      </c>
      <c r="AL2638" s="700"/>
      <c r="AM2638" s="505" t="str">
        <f t="shared" ref="AM2638:AM2701" si="2075">IF(H2638="credit","",IF(AE2638="free","      ~ discounts included, no tax or planting fee applies ~",IF(G2638=0,"",IF(OR(PlanterYesMe="No",PlanterYesMe="N",PlanterYesMe="me"),CONCATENATE(" $",ROUND(AJ2638/G2638,2)," per plant, with tax &amp; discount"),IF(OR(AE2638="me",AE2638="T2G"),CONCATENATE(" $",ROUND(AJ2638/G2638,2)," per plant, with tax &amp; discount"),CONCATENATE("= $",ROUND((K2638*(1-T2GDiscount))/G2638,2)," per plant + $",AC2638/G2638,(" per planting      ~ includes tax &amp; discounts ~")))))))</f>
        <v/>
      </c>
      <c r="AN2638" s="506"/>
      <c r="AO2638" s="507"/>
      <c r="AP2638" s="507"/>
      <c r="AQ2638" s="507"/>
      <c r="AR2638" s="507"/>
      <c r="AS2638" s="507"/>
      <c r="AT2638" s="507"/>
      <c r="AU2638" s="507"/>
      <c r="AV2638" s="225"/>
      <c r="AW2638" s="508"/>
      <c r="AX2638" s="225"/>
      <c r="AY2638" s="225"/>
      <c r="AZ2638" s="225"/>
      <c r="BA2638" s="225"/>
      <c r="BB2638" s="225"/>
      <c r="BC2638" s="56"/>
      <c r="BD2638" s="56"/>
      <c r="BE2638" s="56"/>
      <c r="BF2638" s="107" t="str">
        <f t="shared" ref="BF2638:BF2701" si="2076">"https://www.google.com/search?tbm=isch&amp;q=" &amp; _xlfn.ENCODEURL($A2638 &amp; " " &amp; $D2638)</f>
        <v>https://www.google.com/search?tbm=isch&amp;q=Northern%20Red%20Oak%20Quercus%20rubra</v>
      </c>
      <c r="BG2638" s="107" t="str">
        <f t="shared" ref="BG2638:BG2701" si="2077">IF(ISTEXT(A2638),LEFT(A2638,1),BG2637)</f>
        <v>N</v>
      </c>
      <c r="BH2638" s="254"/>
      <c r="BI2638" s="254"/>
    </row>
    <row r="2639" spans="1:61" customFormat="1" ht="15.75" x14ac:dyDescent="0.25">
      <c r="A2639" s="276">
        <v>25</v>
      </c>
      <c r="B2639" s="240" t="s">
        <v>291</v>
      </c>
      <c r="C2639" s="241" t="s">
        <v>3671</v>
      </c>
      <c r="D2639" s="242" t="s">
        <v>292</v>
      </c>
      <c r="E2639" s="243">
        <v>309.95</v>
      </c>
      <c r="F2639" s="517" t="s">
        <v>293</v>
      </c>
      <c r="G2639" s="232">
        <v>0</v>
      </c>
      <c r="H2639" s="661" t="str">
        <f>IF(G2639=0,"",IF(F2639="Buy",IF(G2639=1,"plant","plants"),IF(F2639&gt;0.01,"warranty","Error")))</f>
        <v/>
      </c>
      <c r="I2639" s="244">
        <f>IF(H2639="free",0,IF(H2639="credit",((E2639*(F2639))*G2639*-1),IF(F2639="Buy",(E2639*G2639),((E2639*(1-F2639))*G2639))))</f>
        <v>0</v>
      </c>
      <c r="J2639" s="244">
        <f>IF(H2639="warranty",0,(I2639*(_xlfn.SINGLE(SalesTaxPercentage))))</f>
        <v>0</v>
      </c>
      <c r="K2639" s="696">
        <f t="shared" ref="K2639" si="2078">I2639+J2639</f>
        <v>0</v>
      </c>
      <c r="L2639" s="696"/>
      <c r="M2639" s="659" t="str">
        <f>IF(AND(G2639&gt;0,E2639=0),"WARNING - no PRICE inserted",IF(H2639="free"," FREE ~ no charge this plant",IF(H2639="credit",CONCATENATE(" -$",ROUND(K2639*(1-T2GDiscount)*-1,2)," CREDIT after discount"),IF(T2GDiscount=0,"",IF(G2639=0,"",IF(F2639="Buy",CONCATENATE(" $",ROUND(K2639*(1-T2GDiscount),2)," with ",(T2GDiscount*100),"% discount"),CONCATENATE(" $",ROUND(K2639*(1-T2GDiscount),2)," with ",((T2GDiscount*100+F2639*100)-(T2GDiscount*100*F2639)),IF(F2639&gt;0,"% discounts",IF(NoWarrantyDiscount&gt;0,"% discounts","% discount")))))))))</f>
        <v/>
      </c>
      <c r="N2639" s="660"/>
      <c r="O2639" s="233"/>
      <c r="P2639" s="233"/>
      <c r="Q2639" s="233"/>
      <c r="R2639" s="233"/>
      <c r="S2639" s="233"/>
      <c r="T2639" s="508">
        <f t="shared" si="2065"/>
        <v>0</v>
      </c>
      <c r="U2639" s="225">
        <f>IF(NOT(ISNUMBER(G2639)), "", VLOOKUP(A2639,'Discount Lookup'!D:E,2,FALSE)*G2639)</f>
        <v>0</v>
      </c>
      <c r="V2639" s="225">
        <f>IF(NOT(ISNUMBER(G2639)), "", VLOOKUP(A2639,'Discount Lookup'!G:H,2,FALSE)*G2639)</f>
        <v>0</v>
      </c>
      <c r="W2639" s="508">
        <f t="shared" si="2066"/>
        <v>0</v>
      </c>
      <c r="X2639" s="508">
        <f t="shared" si="2067"/>
        <v>0</v>
      </c>
      <c r="Y2639" s="509" t="b">
        <f t="shared" si="2068"/>
        <v>0</v>
      </c>
      <c r="Z2639" s="510">
        <f t="shared" si="2069"/>
        <v>0</v>
      </c>
      <c r="AA2639" s="511"/>
      <c r="AB2639" s="511" t="str">
        <f t="shared" si="2070"/>
        <v/>
      </c>
      <c r="AC2639" s="698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698"/>
      <c r="AE2639" s="631" t="str">
        <f t="shared" si="2071"/>
        <v/>
      </c>
      <c r="AF2639" s="699" t="str">
        <f t="shared" si="2072"/>
        <v/>
      </c>
      <c r="AG2639" s="699"/>
      <c r="AH2639" s="699"/>
      <c r="AI2639" s="512">
        <f>IF(H2639="credit",0,IF(AE2639="free",0,IF(AE2639="me",0,IF(G2639&gt;0,(VLOOKUP(A2639,'Discount Lookup'!J:K,2)*G2639),0))))</f>
        <v>0</v>
      </c>
      <c r="AJ2639" s="513" t="str">
        <f t="shared" ca="1" si="2073"/>
        <v/>
      </c>
      <c r="AK2639" s="700" t="str">
        <f t="shared" si="2074"/>
        <v/>
      </c>
      <c r="AL2639" s="700"/>
      <c r="AM2639" s="505" t="str">
        <f t="shared" si="2075"/>
        <v/>
      </c>
      <c r="AN2639" s="506"/>
      <c r="AO2639" s="507"/>
      <c r="AP2639" s="507"/>
      <c r="AQ2639" s="507"/>
      <c r="AR2639" s="507"/>
      <c r="AS2639" s="507"/>
      <c r="AT2639" s="507"/>
      <c r="AU2639" s="507"/>
      <c r="AV2639" s="225"/>
      <c r="AW2639" s="508"/>
      <c r="AX2639" s="225"/>
      <c r="AY2639" s="225"/>
      <c r="AZ2639" s="225"/>
      <c r="BA2639" s="225"/>
      <c r="BB2639" s="225"/>
      <c r="BC2639" s="56"/>
      <c r="BD2639" s="56"/>
      <c r="BE2639" s="56"/>
      <c r="BF2639" s="107" t="str">
        <f t="shared" si="2076"/>
        <v>https://www.google.com/search?tbm=isch&amp;q=25%20G4</v>
      </c>
      <c r="BG2639" s="107" t="str">
        <f t="shared" si="2077"/>
        <v>N</v>
      </c>
      <c r="BH2639" s="254"/>
      <c r="BI2639" s="254"/>
    </row>
    <row r="2640" spans="1:61" customFormat="1" ht="17.25" thickBot="1" x14ac:dyDescent="0.3">
      <c r="A2640" s="524" t="s">
        <v>2445</v>
      </c>
      <c r="B2640" s="245"/>
      <c r="C2640" s="677"/>
      <c r="D2640" s="499"/>
      <c r="E2640" s="499"/>
      <c r="F2640" s="500"/>
      <c r="G2640" s="501"/>
      <c r="H2640" s="502"/>
      <c r="I2640" s="246"/>
      <c r="J2640" s="247"/>
      <c r="K2640" s="503"/>
      <c r="L2640" s="544"/>
      <c r="M2640" s="544"/>
      <c r="N2640" s="500"/>
      <c r="O2640" s="500"/>
      <c r="P2640" s="500"/>
      <c r="Q2640" s="500"/>
      <c r="R2640" s="500"/>
      <c r="S2640" s="669" t="s">
        <v>4978</v>
      </c>
      <c r="T2640" s="508">
        <f t="shared" si="2065"/>
        <v>0</v>
      </c>
      <c r="U2640" s="225" t="str">
        <f>IF(NOT(ISNUMBER(G2640)), "", VLOOKUP(A2640,'Discount Lookup'!D:E,2,FALSE)*G2640)</f>
        <v/>
      </c>
      <c r="V2640" s="225" t="str">
        <f>IF(NOT(ISNUMBER(G2640)), "", VLOOKUP(A2640,'Discount Lookup'!G:H,2,FALSE)*G2640)</f>
        <v/>
      </c>
      <c r="W2640" s="508">
        <f t="shared" si="2066"/>
        <v>0</v>
      </c>
      <c r="X2640" s="508">
        <f t="shared" si="2067"/>
        <v>0</v>
      </c>
      <c r="Y2640" s="509" t="b">
        <f t="shared" si="2068"/>
        <v>0</v>
      </c>
      <c r="Z2640" s="510">
        <f t="shared" si="2069"/>
        <v>0</v>
      </c>
      <c r="AA2640" s="511"/>
      <c r="AB2640" s="511" t="str">
        <f t="shared" si="2070"/>
        <v/>
      </c>
      <c r="AC2640" s="698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698"/>
      <c r="AE2640" s="631" t="str">
        <f t="shared" si="2071"/>
        <v/>
      </c>
      <c r="AF2640" s="699" t="str">
        <f t="shared" si="2072"/>
        <v/>
      </c>
      <c r="AG2640" s="699"/>
      <c r="AH2640" s="699"/>
      <c r="AI2640" s="512">
        <f>IF(H2640="credit",0,IF(AE2640="free",0,IF(AE2640="me",0,IF(G2640&gt;0,(VLOOKUP(A2640,'Discount Lookup'!J:K,2)*G2640),0))))</f>
        <v>0</v>
      </c>
      <c r="AJ2640" s="513" t="str">
        <f t="shared" ca="1" si="2073"/>
        <v/>
      </c>
      <c r="AK2640" s="700" t="str">
        <f t="shared" si="2074"/>
        <v/>
      </c>
      <c r="AL2640" s="700"/>
      <c r="AM2640" s="505" t="str">
        <f t="shared" si="2075"/>
        <v/>
      </c>
      <c r="AN2640" s="506"/>
      <c r="AO2640" s="507"/>
      <c r="AP2640" s="507"/>
      <c r="AQ2640" s="507"/>
      <c r="AR2640" s="507"/>
      <c r="AS2640" s="507"/>
      <c r="AT2640" s="507"/>
      <c r="AU2640" s="507"/>
      <c r="AV2640" s="225"/>
      <c r="AW2640" s="508"/>
      <c r="AX2640" s="225"/>
      <c r="AY2640" s="225"/>
      <c r="AZ2640" s="225"/>
      <c r="BA2640" s="225"/>
      <c r="BB2640" s="225"/>
      <c r="BC2640" s="56"/>
      <c r="BD2640" s="56"/>
      <c r="BE2640" s="56"/>
      <c r="BF2640" s="107" t="str">
        <f t="shared" si="2076"/>
        <v>https://www.google.com/search?tbm=isch&amp;q=Northern%20Red%20Oak%20is%20a%20durable%20legacy%20tree%2C%20possibly%20living%20over%20200%20years.%20Fast%20growing%2C%20for%20an%20Oak.%20Red%20to%20Russet%20fall%20color%20</v>
      </c>
      <c r="BG2640" s="107" t="str">
        <f t="shared" si="2077"/>
        <v>N</v>
      </c>
      <c r="BH2640" s="254"/>
      <c r="BI2640" s="254"/>
    </row>
    <row r="2641" spans="1:61" customFormat="1" ht="18" x14ac:dyDescent="0.25">
      <c r="A2641" s="523" t="s">
        <v>1433</v>
      </c>
      <c r="B2641" s="235"/>
      <c r="C2641" s="676"/>
      <c r="D2641" s="255" t="s">
        <v>1434</v>
      </c>
      <c r="E2641" s="236"/>
      <c r="F2641" s="236"/>
      <c r="G2641" s="236"/>
      <c r="H2641" s="582" t="s">
        <v>971</v>
      </c>
      <c r="I2641" s="498" t="s">
        <v>3032</v>
      </c>
      <c r="J2641" s="237"/>
      <c r="K2641" s="237"/>
      <c r="L2641" s="274"/>
      <c r="M2641" s="668" t="s">
        <v>4962</v>
      </c>
      <c r="N2641" s="681" t="str">
        <f>IF(AND(ISTEXT($A2641), ISERROR($A2641+0)), HYPERLINK($BF2641, "Images"), "")</f>
        <v>Images</v>
      </c>
      <c r="O2641" s="663" t="s">
        <v>4969</v>
      </c>
      <c r="P2641" s="253"/>
      <c r="Q2641" s="238"/>
      <c r="R2641" s="239"/>
      <c r="S2641" s="275" t="s">
        <v>305</v>
      </c>
      <c r="T2641" s="508">
        <f t="shared" si="2065"/>
        <v>0</v>
      </c>
      <c r="U2641" s="225" t="str">
        <f>IF(NOT(ISNUMBER(G2641)), "", VLOOKUP(A2641,'Discount Lookup'!D:E,2,FALSE)*G2641)</f>
        <v/>
      </c>
      <c r="V2641" s="225" t="str">
        <f>IF(NOT(ISNUMBER(G2641)), "", VLOOKUP(A2641,'Discount Lookup'!G:H,2,FALSE)*G2641)</f>
        <v/>
      </c>
      <c r="W2641" s="508">
        <f t="shared" si="2066"/>
        <v>0</v>
      </c>
      <c r="X2641" s="508" t="str">
        <f t="shared" si="2067"/>
        <v>Olive-Blue-Green blades</v>
      </c>
      <c r="Y2641" s="509" t="b">
        <f t="shared" si="2068"/>
        <v>0</v>
      </c>
      <c r="Z2641" s="510">
        <f t="shared" si="2069"/>
        <v>0</v>
      </c>
      <c r="AA2641" s="511"/>
      <c r="AB2641" s="511" t="str">
        <f t="shared" si="2070"/>
        <v/>
      </c>
      <c r="AC2641" s="698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698"/>
      <c r="AE2641" s="631" t="str">
        <f t="shared" si="2071"/>
        <v/>
      </c>
      <c r="AF2641" s="699" t="str">
        <f t="shared" si="2072"/>
        <v/>
      </c>
      <c r="AG2641" s="699"/>
      <c r="AH2641" s="699"/>
      <c r="AI2641" s="512">
        <f>IF(H2641="credit",0,IF(AE2641="free",0,IF(AE2641="me",0,IF(G2641&gt;0,(VLOOKUP(A2641,'Discount Lookup'!J:K,2)*G2641),0))))</f>
        <v>0</v>
      </c>
      <c r="AJ2641" s="513" t="str">
        <f t="shared" ca="1" si="2073"/>
        <v/>
      </c>
      <c r="AK2641" s="700" t="str">
        <f t="shared" si="2074"/>
        <v/>
      </c>
      <c r="AL2641" s="700"/>
      <c r="AM2641" s="505" t="str">
        <f t="shared" si="2075"/>
        <v/>
      </c>
      <c r="AN2641" s="506"/>
      <c r="AO2641" s="507"/>
      <c r="AP2641" s="507"/>
      <c r="AQ2641" s="507"/>
      <c r="AR2641" s="507"/>
      <c r="AS2641" s="507"/>
      <c r="AT2641" s="507"/>
      <c r="AU2641" s="507"/>
      <c r="AV2641" s="225"/>
      <c r="AW2641" s="508"/>
      <c r="AX2641" s="225"/>
      <c r="AY2641" s="225"/>
      <c r="AZ2641" s="225"/>
      <c r="BA2641" s="225"/>
      <c r="BB2641" s="225"/>
      <c r="BC2641" s="56"/>
      <c r="BD2641" s="56"/>
      <c r="BE2641" s="56"/>
      <c r="BF2641" s="107" t="str">
        <f t="shared" si="2076"/>
        <v>https://www.google.com/search?tbm=isch&amp;q=Northwind%20Switchgrass%20Panicum%20virgatum%20%27Northwind%27</v>
      </c>
      <c r="BG2641" s="107" t="str">
        <f t="shared" si="2077"/>
        <v>N</v>
      </c>
      <c r="BH2641" s="254"/>
      <c r="BI2641" s="254"/>
    </row>
    <row r="2642" spans="1:61" customFormat="1" ht="15.75" x14ac:dyDescent="0.25">
      <c r="A2642" s="276">
        <v>3</v>
      </c>
      <c r="B2642" s="240" t="s">
        <v>291</v>
      </c>
      <c r="C2642" s="241"/>
      <c r="D2642" s="242" t="s">
        <v>300</v>
      </c>
      <c r="E2642" s="243">
        <v>30.95</v>
      </c>
      <c r="F2642" s="517" t="s">
        <v>293</v>
      </c>
      <c r="G2642" s="232">
        <v>0</v>
      </c>
      <c r="H2642" s="661" t="str">
        <f>IF(G2642=0,"",IF(F2642="Buy",IF(G2642=1,"plant","plants"),IF(F2642&gt;0.01,"warranty","Error")))</f>
        <v/>
      </c>
      <c r="I2642" s="244">
        <f>IF(H2642="free",0,IF(H2642="credit",((E2642*(F2642))*G2642*-1),IF(F2642="Buy",(E2642*G2642),((E2642*(1-F2642))*G2642))))</f>
        <v>0</v>
      </c>
      <c r="J2642" s="244">
        <f>IF(H2642="warranty",0,(I2642*(_xlfn.SINGLE(SalesTaxPercentage))))</f>
        <v>0</v>
      </c>
      <c r="K2642" s="696">
        <f t="shared" ref="K2642" si="2079">I2642+J2642</f>
        <v>0</v>
      </c>
      <c r="L2642" s="696"/>
      <c r="M2642" s="659" t="str">
        <f>IF(AND(G2642&gt;0,E2642=0),"WARNING - no PRICE inserted",IF(H2642="free"," FREE ~ no charge this plant",IF(H2642="credit",CONCATENATE(" -$",ROUND(K2642*(1-T2GDiscount)*-1,2)," CREDIT after discount"),IF(T2GDiscount=0,"",IF(G2642=0,"",IF(F2642="Buy",CONCATENATE(" $",ROUND(K2642*(1-T2GDiscount),2)," with ",(T2GDiscount*100),"% discount"),CONCATENATE(" $",ROUND(K2642*(1-T2GDiscount),2)," with ",((T2GDiscount*100+F2642*100)-(T2GDiscount*100*F2642)),IF(F2642&gt;0,"% discounts",IF(NoWarrantyDiscount&gt;0,"% discounts","% discount")))))))))</f>
        <v/>
      </c>
      <c r="N2642" s="660"/>
      <c r="O2642" s="233"/>
      <c r="P2642" s="233"/>
      <c r="Q2642" s="233"/>
      <c r="R2642" s="233"/>
      <c r="S2642" s="233"/>
      <c r="T2642" s="508">
        <f t="shared" si="2065"/>
        <v>0</v>
      </c>
      <c r="U2642" s="225">
        <f>IF(NOT(ISNUMBER(G2642)), "", VLOOKUP(A2642,'Discount Lookup'!D:E,2,FALSE)*G2642)</f>
        <v>0</v>
      </c>
      <c r="V2642" s="225">
        <f>IF(NOT(ISNUMBER(G2642)), "", VLOOKUP(A2642,'Discount Lookup'!G:H,2,FALSE)*G2642)</f>
        <v>0</v>
      </c>
      <c r="W2642" s="508">
        <f t="shared" si="2066"/>
        <v>0</v>
      </c>
      <c r="X2642" s="508">
        <f t="shared" si="2067"/>
        <v>0</v>
      </c>
      <c r="Y2642" s="509" t="b">
        <f t="shared" si="2068"/>
        <v>0</v>
      </c>
      <c r="Z2642" s="510">
        <f t="shared" si="2069"/>
        <v>0</v>
      </c>
      <c r="AA2642" s="511"/>
      <c r="AB2642" s="511" t="str">
        <f t="shared" si="2070"/>
        <v/>
      </c>
      <c r="AC2642" s="698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698"/>
      <c r="AE2642" s="631" t="str">
        <f t="shared" si="2071"/>
        <v/>
      </c>
      <c r="AF2642" s="699" t="str">
        <f t="shared" si="2072"/>
        <v/>
      </c>
      <c r="AG2642" s="699"/>
      <c r="AH2642" s="699"/>
      <c r="AI2642" s="512">
        <f>IF(H2642="credit",0,IF(AE2642="free",0,IF(AE2642="me",0,IF(G2642&gt;0,(VLOOKUP(A2642,'Discount Lookup'!J:K,2)*G2642),0))))</f>
        <v>0</v>
      </c>
      <c r="AJ2642" s="513" t="str">
        <f t="shared" ca="1" si="2073"/>
        <v/>
      </c>
      <c r="AK2642" s="700" t="str">
        <f t="shared" si="2074"/>
        <v/>
      </c>
      <c r="AL2642" s="700"/>
      <c r="AM2642" s="505" t="str">
        <f t="shared" si="2075"/>
        <v/>
      </c>
      <c r="AN2642" s="506"/>
      <c r="AO2642" s="507"/>
      <c r="AP2642" s="507"/>
      <c r="AQ2642" s="507"/>
      <c r="AR2642" s="507"/>
      <c r="AS2642" s="507"/>
      <c r="AT2642" s="507"/>
      <c r="AU2642" s="507"/>
      <c r="AV2642" s="225"/>
      <c r="AW2642" s="508"/>
      <c r="AX2642" s="225"/>
      <c r="AY2642" s="225"/>
      <c r="AZ2642" s="225"/>
      <c r="BA2642" s="225"/>
      <c r="BB2642" s="225"/>
      <c r="BC2642" s="56"/>
      <c r="BD2642" s="56"/>
      <c r="BE2642" s="56"/>
      <c r="BF2642" s="107" t="str">
        <f t="shared" si="2076"/>
        <v>https://www.google.com/search?tbm=isch&amp;q=3%20G6</v>
      </c>
      <c r="BG2642" s="107" t="str">
        <f t="shared" si="2077"/>
        <v>N</v>
      </c>
      <c r="BH2642" s="254"/>
      <c r="BI2642" s="254"/>
    </row>
    <row r="2643" spans="1:61" customFormat="1" ht="15.75" x14ac:dyDescent="0.25">
      <c r="A2643" s="276">
        <v>3</v>
      </c>
      <c r="B2643" s="240" t="s">
        <v>291</v>
      </c>
      <c r="C2643" s="241"/>
      <c r="D2643" s="242" t="s">
        <v>300</v>
      </c>
      <c r="E2643" s="243">
        <v>30.95</v>
      </c>
      <c r="F2643" s="517" t="s">
        <v>293</v>
      </c>
      <c r="G2643" s="232">
        <v>0</v>
      </c>
      <c r="H2643" s="661" t="str">
        <f>IF(G2643=0,"",IF(F2643="Buy",IF(G2643=1,"plant","plants"),IF(F2643&gt;0.01,"warranty","Error")))</f>
        <v/>
      </c>
      <c r="I2643" s="244">
        <f>IF(H2643="free",0,IF(H2643="credit",((E2643*(F2643))*G2643*-1),IF(F2643="Buy",(E2643*G2643),((E2643*(1-F2643))*G2643))))</f>
        <v>0</v>
      </c>
      <c r="J2643" s="244">
        <f>IF(H2643="warranty",0,(I2643*(_xlfn.SINGLE(SalesTaxPercentage))))</f>
        <v>0</v>
      </c>
      <c r="K2643" s="696">
        <f t="shared" ref="K2643" si="2080">I2643+J2643</f>
        <v>0</v>
      </c>
      <c r="L2643" s="696"/>
      <c r="M2643" s="659" t="str">
        <f>IF(AND(G2643&gt;0,E2643=0),"WARNING - no PRICE inserted",IF(H2643="free"," FREE ~ no charge this plant",IF(H2643="credit",CONCATENATE(" -$",ROUND(K2643*(1-T2GDiscount)*-1,2)," CREDIT after discount"),IF(T2GDiscount=0,"",IF(G2643=0,"",IF(F2643="Buy",CONCATENATE(" $",ROUND(K2643*(1-T2GDiscount),2)," with ",(T2GDiscount*100),"% discount"),CONCATENATE(" $",ROUND(K2643*(1-T2GDiscount),2)," with ",((T2GDiscount*100+F2643*100)-(T2GDiscount*100*F2643)),IF(F2643&gt;0,"% discounts",IF(NoWarrantyDiscount&gt;0,"% discounts","% discount")))))))))</f>
        <v/>
      </c>
      <c r="N2643" s="660"/>
      <c r="O2643" s="233"/>
      <c r="P2643" s="233"/>
      <c r="Q2643" s="233"/>
      <c r="R2643" s="233"/>
      <c r="S2643" s="233"/>
      <c r="T2643" s="508">
        <f t="shared" si="2065"/>
        <v>0</v>
      </c>
      <c r="U2643" s="225">
        <f>IF(NOT(ISNUMBER(G2643)), "", VLOOKUP(A2643,'Discount Lookup'!D:E,2,FALSE)*G2643)</f>
        <v>0</v>
      </c>
      <c r="V2643" s="225">
        <f>IF(NOT(ISNUMBER(G2643)), "", VLOOKUP(A2643,'Discount Lookup'!G:H,2,FALSE)*G2643)</f>
        <v>0</v>
      </c>
      <c r="W2643" s="508">
        <f t="shared" si="2066"/>
        <v>0</v>
      </c>
      <c r="X2643" s="508">
        <f t="shared" si="2067"/>
        <v>0</v>
      </c>
      <c r="Y2643" s="509" t="b">
        <f t="shared" si="2068"/>
        <v>0</v>
      </c>
      <c r="Z2643" s="510">
        <f t="shared" si="2069"/>
        <v>0</v>
      </c>
      <c r="AA2643" s="511"/>
      <c r="AB2643" s="511" t="str">
        <f t="shared" si="2070"/>
        <v/>
      </c>
      <c r="AC2643" s="698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698"/>
      <c r="AE2643" s="631" t="str">
        <f t="shared" si="2071"/>
        <v/>
      </c>
      <c r="AF2643" s="699" t="str">
        <f t="shared" si="2072"/>
        <v/>
      </c>
      <c r="AG2643" s="699"/>
      <c r="AH2643" s="699"/>
      <c r="AI2643" s="512">
        <f>IF(H2643="credit",0,IF(AE2643="free",0,IF(AE2643="me",0,IF(G2643&gt;0,(VLOOKUP(A2643,'Discount Lookup'!J:K,2)*G2643),0))))</f>
        <v>0</v>
      </c>
      <c r="AJ2643" s="513" t="str">
        <f t="shared" ca="1" si="2073"/>
        <v/>
      </c>
      <c r="AK2643" s="700" t="str">
        <f t="shared" si="2074"/>
        <v/>
      </c>
      <c r="AL2643" s="700"/>
      <c r="AM2643" s="505" t="str">
        <f t="shared" si="2075"/>
        <v/>
      </c>
      <c r="AN2643" s="506"/>
      <c r="AO2643" s="507"/>
      <c r="AP2643" s="507"/>
      <c r="AQ2643" s="507"/>
      <c r="AR2643" s="507"/>
      <c r="AS2643" s="507"/>
      <c r="AT2643" s="507"/>
      <c r="AU2643" s="507"/>
      <c r="AV2643" s="225"/>
      <c r="AW2643" s="508"/>
      <c r="AX2643" s="225"/>
      <c r="AY2643" s="225"/>
      <c r="AZ2643" s="225"/>
      <c r="BA2643" s="225"/>
      <c r="BB2643" s="225"/>
      <c r="BC2643" s="56"/>
      <c r="BD2643" s="56"/>
      <c r="BE2643" s="56"/>
      <c r="BF2643" s="107" t="str">
        <f t="shared" si="2076"/>
        <v>https://www.google.com/search?tbm=isch&amp;q=3%20G6</v>
      </c>
      <c r="BG2643" s="107" t="str">
        <f t="shared" si="2077"/>
        <v>N</v>
      </c>
      <c r="BH2643" s="254"/>
      <c r="BI2643" s="254"/>
    </row>
    <row r="2644" spans="1:61" customFormat="1" ht="17.25" thickBot="1" x14ac:dyDescent="0.3">
      <c r="A2644" s="673" t="s">
        <v>5184</v>
      </c>
      <c r="B2644" s="245"/>
      <c r="C2644" s="677"/>
      <c r="D2644" s="499"/>
      <c r="E2644" s="499"/>
      <c r="F2644" s="500"/>
      <c r="G2644" s="501"/>
      <c r="H2644" s="502"/>
      <c r="I2644" s="246"/>
      <c r="J2644" s="247"/>
      <c r="K2644" s="503"/>
      <c r="L2644" s="544"/>
      <c r="M2644" s="544"/>
      <c r="N2644" s="500"/>
      <c r="O2644" s="500"/>
      <c r="P2644" s="500"/>
      <c r="Q2644" s="500"/>
      <c r="R2644" s="500"/>
      <c r="S2644" s="669" t="s">
        <v>4991</v>
      </c>
      <c r="T2644" s="508">
        <f t="shared" si="2065"/>
        <v>0</v>
      </c>
      <c r="U2644" s="225" t="str">
        <f>IF(NOT(ISNUMBER(G2644)), "", VLOOKUP(A2644,'Discount Lookup'!D:E,2,FALSE)*G2644)</f>
        <v/>
      </c>
      <c r="V2644" s="225" t="str">
        <f>IF(NOT(ISNUMBER(G2644)), "", VLOOKUP(A2644,'Discount Lookup'!G:H,2,FALSE)*G2644)</f>
        <v/>
      </c>
      <c r="W2644" s="508">
        <f t="shared" si="2066"/>
        <v>0</v>
      </c>
      <c r="X2644" s="508">
        <f t="shared" si="2067"/>
        <v>0</v>
      </c>
      <c r="Y2644" s="509" t="b">
        <f t="shared" si="2068"/>
        <v>0</v>
      </c>
      <c r="Z2644" s="510">
        <f t="shared" si="2069"/>
        <v>0</v>
      </c>
      <c r="AA2644" s="511"/>
      <c r="AB2644" s="511" t="str">
        <f t="shared" si="2070"/>
        <v/>
      </c>
      <c r="AC2644" s="698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698"/>
      <c r="AE2644" s="631" t="str">
        <f t="shared" si="2071"/>
        <v/>
      </c>
      <c r="AF2644" s="699" t="str">
        <f t="shared" si="2072"/>
        <v/>
      </c>
      <c r="AG2644" s="699"/>
      <c r="AH2644" s="699"/>
      <c r="AI2644" s="512">
        <f>IF(H2644="credit",0,IF(AE2644="free",0,IF(AE2644="me",0,IF(G2644&gt;0,(VLOOKUP(A2644,'Discount Lookup'!J:K,2)*G2644),0))))</f>
        <v>0</v>
      </c>
      <c r="AJ2644" s="513" t="str">
        <f t="shared" ca="1" si="2073"/>
        <v/>
      </c>
      <c r="AK2644" s="700" t="str">
        <f t="shared" si="2074"/>
        <v/>
      </c>
      <c r="AL2644" s="700"/>
      <c r="AM2644" s="505" t="str">
        <f t="shared" si="2075"/>
        <v/>
      </c>
      <c r="AN2644" s="506"/>
      <c r="AO2644" s="507"/>
      <c r="AP2644" s="507"/>
      <c r="AQ2644" s="507"/>
      <c r="AR2644" s="507"/>
      <c r="AS2644" s="507"/>
      <c r="AT2644" s="507"/>
      <c r="AU2644" s="507"/>
      <c r="AV2644" s="225"/>
      <c r="AW2644" s="508"/>
      <c r="AX2644" s="225"/>
      <c r="AY2644" s="225"/>
      <c r="AZ2644" s="225"/>
      <c r="BA2644" s="225"/>
      <c r="BB2644" s="225"/>
      <c r="BC2644" s="56"/>
      <c r="BD2644" s="56"/>
      <c r="BE2644" s="56"/>
      <c r="BF2644" s="107" t="str">
        <f t="shared" si="2076"/>
        <v>https://www.google.com/search?tbm=isch&amp;q=moist%20sites%F0%9F%92%A7GOOD%2C%20Northwind%20has%20airy%20Golden-Green%20panicles%20in%20late%20summer.%20Blades%20mature%20to%20Yellow-Tan%2C%20then%20Tan-Beige%20</v>
      </c>
      <c r="BG2644" s="107" t="str">
        <f t="shared" si="2077"/>
        <v>m</v>
      </c>
      <c r="BH2644" s="254"/>
      <c r="BI2644" s="254"/>
    </row>
    <row r="2645" spans="1:61" customFormat="1" ht="18" x14ac:dyDescent="0.25">
      <c r="A2645" s="523" t="s">
        <v>1435</v>
      </c>
      <c r="B2645" s="235"/>
      <c r="C2645" s="676"/>
      <c r="D2645" s="255" t="s">
        <v>1436</v>
      </c>
      <c r="E2645" s="236"/>
      <c r="F2645" s="236"/>
      <c r="G2645" s="236"/>
      <c r="H2645" s="582" t="s">
        <v>311</v>
      </c>
      <c r="I2645" s="498" t="s">
        <v>2298</v>
      </c>
      <c r="J2645" s="237"/>
      <c r="K2645" s="237"/>
      <c r="L2645" s="274"/>
      <c r="M2645" s="670" t="s">
        <v>4973</v>
      </c>
      <c r="N2645" s="681" t="str">
        <f>IF(AND(ISTEXT($A2645), ISERROR($A2645+0)), HYPERLINK($BF2645, "Images"), "")</f>
        <v>Images</v>
      </c>
      <c r="O2645" s="663" t="s">
        <v>4967</v>
      </c>
      <c r="P2645" s="253"/>
      <c r="Q2645" s="238"/>
      <c r="R2645" s="239"/>
      <c r="S2645" s="275"/>
      <c r="T2645" s="508">
        <f t="shared" si="2065"/>
        <v>0</v>
      </c>
      <c r="U2645" s="225" t="str">
        <f>IF(NOT(ISNUMBER(G2645)), "", VLOOKUP(A2645,'Discount Lookup'!D:E,2,FALSE)*G2645)</f>
        <v/>
      </c>
      <c r="V2645" s="225" t="str">
        <f>IF(NOT(ISNUMBER(G2645)), "", VLOOKUP(A2645,'Discount Lookup'!G:H,2,FALSE)*G2645)</f>
        <v/>
      </c>
      <c r="W2645" s="508">
        <f t="shared" si="2066"/>
        <v>0</v>
      </c>
      <c r="X2645" s="508" t="str">
        <f t="shared" si="2067"/>
        <v>Deep Purple-Red foliage</v>
      </c>
      <c r="Y2645" s="509" t="b">
        <f t="shared" si="2068"/>
        <v>0</v>
      </c>
      <c r="Z2645" s="510">
        <f t="shared" si="2069"/>
        <v>0</v>
      </c>
      <c r="AA2645" s="511"/>
      <c r="AB2645" s="511" t="str">
        <f t="shared" si="2070"/>
        <v/>
      </c>
      <c r="AC2645" s="698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698"/>
      <c r="AE2645" s="631" t="str">
        <f t="shared" si="2071"/>
        <v/>
      </c>
      <c r="AF2645" s="699" t="str">
        <f t="shared" si="2072"/>
        <v/>
      </c>
      <c r="AG2645" s="699"/>
      <c r="AH2645" s="699"/>
      <c r="AI2645" s="512">
        <f>IF(H2645="credit",0,IF(AE2645="free",0,IF(AE2645="me",0,IF(G2645&gt;0,(VLOOKUP(A2645,'Discount Lookup'!J:K,2)*G2645),0))))</f>
        <v>0</v>
      </c>
      <c r="AJ2645" s="513" t="str">
        <f t="shared" ca="1" si="2073"/>
        <v/>
      </c>
      <c r="AK2645" s="700" t="str">
        <f t="shared" si="2074"/>
        <v/>
      </c>
      <c r="AL2645" s="700"/>
      <c r="AM2645" s="505" t="str">
        <f t="shared" si="2075"/>
        <v/>
      </c>
      <c r="AN2645" s="506"/>
      <c r="AO2645" s="507"/>
      <c r="AP2645" s="507"/>
      <c r="AQ2645" s="507"/>
      <c r="AR2645" s="507"/>
      <c r="AS2645" s="507"/>
      <c r="AT2645" s="507"/>
      <c r="AU2645" s="507"/>
      <c r="AV2645" s="225"/>
      <c r="AW2645" s="508"/>
      <c r="AX2645" s="225"/>
      <c r="AY2645" s="225"/>
      <c r="AZ2645" s="225"/>
      <c r="BA2645" s="225"/>
      <c r="BB2645" s="225"/>
      <c r="BC2645" s="56"/>
      <c r="BD2645" s="56"/>
      <c r="BE2645" s="56"/>
      <c r="BF2645" s="107" t="str">
        <f t="shared" si="2076"/>
        <v>https://www.google.com/search?tbm=isch&amp;q=Nuresagi%20Japanese%20Maple%20Acer%20palmatum%20%27Nuresagi%27</v>
      </c>
      <c r="BG2645" s="107" t="str">
        <f t="shared" si="2077"/>
        <v>N</v>
      </c>
      <c r="BH2645" s="254"/>
      <c r="BI2645" s="254"/>
    </row>
    <row r="2646" spans="1:61" customFormat="1" ht="15.75" x14ac:dyDescent="0.25">
      <c r="A2646" s="276">
        <v>15</v>
      </c>
      <c r="B2646" s="240" t="s">
        <v>291</v>
      </c>
      <c r="C2646" s="241" t="s">
        <v>3672</v>
      </c>
      <c r="D2646" s="242" t="s">
        <v>292</v>
      </c>
      <c r="E2646" s="243">
        <v>378.95</v>
      </c>
      <c r="F2646" s="517" t="s">
        <v>293</v>
      </c>
      <c r="G2646" s="232">
        <v>0</v>
      </c>
      <c r="H2646" s="661" t="str">
        <f>IF(G2646=0,"",IF(F2646="Buy",IF(G2646=1,"plant","plants"),IF(F2646&gt;0.01,"warranty","Error")))</f>
        <v/>
      </c>
      <c r="I2646" s="244">
        <f>IF(H2646="free",0,IF(H2646="credit",((E2646*(F2646))*G2646*-1),IF(F2646="Buy",(E2646*G2646),((E2646*(1-F2646))*G2646))))</f>
        <v>0</v>
      </c>
      <c r="J2646" s="244">
        <f>IF(H2646="warranty",0,(I2646*(_xlfn.SINGLE(SalesTaxPercentage))))</f>
        <v>0</v>
      </c>
      <c r="K2646" s="696">
        <f t="shared" ref="K2646" si="2081">I2646+J2646</f>
        <v>0</v>
      </c>
      <c r="L2646" s="696"/>
      <c r="M2646" s="659" t="str">
        <f>IF(AND(G2646&gt;0,E2646=0),"WARNING - no PRICE inserted",IF(H2646="free"," FREE ~ no charge this plant",IF(H2646="credit",CONCATENATE(" -$",ROUND(K2646*(1-T2GDiscount)*-1,2)," CREDIT after discount"),IF(T2GDiscount=0,"",IF(G2646=0,"",IF(F2646="Buy",CONCATENATE(" $",ROUND(K2646*(1-T2GDiscount),2)," with ",(T2GDiscount*100),"% discount"),CONCATENATE(" $",ROUND(K2646*(1-T2GDiscount),2)," with ",((T2GDiscount*100+F2646*100)-(T2GDiscount*100*F2646)),IF(F2646&gt;0,"% discounts",IF(NoWarrantyDiscount&gt;0,"% discounts","% discount")))))))))</f>
        <v/>
      </c>
      <c r="N2646" s="660"/>
      <c r="O2646" s="233"/>
      <c r="P2646" s="233"/>
      <c r="Q2646" s="233"/>
      <c r="R2646" s="233"/>
      <c r="S2646" s="233"/>
      <c r="T2646" s="508">
        <f t="shared" si="2065"/>
        <v>0</v>
      </c>
      <c r="U2646" s="225">
        <f>IF(NOT(ISNUMBER(G2646)), "", VLOOKUP(A2646,'Discount Lookup'!D:E,2,FALSE)*G2646)</f>
        <v>0</v>
      </c>
      <c r="V2646" s="225">
        <f>IF(NOT(ISNUMBER(G2646)), "", VLOOKUP(A2646,'Discount Lookup'!G:H,2,FALSE)*G2646)</f>
        <v>0</v>
      </c>
      <c r="W2646" s="508">
        <f t="shared" si="2066"/>
        <v>0</v>
      </c>
      <c r="X2646" s="508">
        <f t="shared" si="2067"/>
        <v>0</v>
      </c>
      <c r="Y2646" s="509" t="b">
        <f t="shared" si="2068"/>
        <v>0</v>
      </c>
      <c r="Z2646" s="510">
        <f t="shared" si="2069"/>
        <v>0</v>
      </c>
      <c r="AA2646" s="511"/>
      <c r="AB2646" s="511" t="str">
        <f t="shared" si="2070"/>
        <v/>
      </c>
      <c r="AC2646" s="698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698"/>
      <c r="AE2646" s="631" t="str">
        <f t="shared" si="2071"/>
        <v/>
      </c>
      <c r="AF2646" s="699" t="str">
        <f t="shared" si="2072"/>
        <v/>
      </c>
      <c r="AG2646" s="699"/>
      <c r="AH2646" s="699"/>
      <c r="AI2646" s="512">
        <f>IF(H2646="credit",0,IF(AE2646="free",0,IF(AE2646="me",0,IF(G2646&gt;0,(VLOOKUP(A2646,'Discount Lookup'!J:K,2)*G2646),0))))</f>
        <v>0</v>
      </c>
      <c r="AJ2646" s="513" t="str">
        <f t="shared" ca="1" si="2073"/>
        <v/>
      </c>
      <c r="AK2646" s="700" t="str">
        <f t="shared" si="2074"/>
        <v/>
      </c>
      <c r="AL2646" s="700"/>
      <c r="AM2646" s="505" t="str">
        <f t="shared" si="2075"/>
        <v/>
      </c>
      <c r="AN2646" s="506"/>
      <c r="AO2646" s="507"/>
      <c r="AP2646" s="507"/>
      <c r="AQ2646" s="507"/>
      <c r="AR2646" s="507"/>
      <c r="AS2646" s="507"/>
      <c r="AT2646" s="507"/>
      <c r="AU2646" s="507"/>
      <c r="AV2646" s="225"/>
      <c r="AW2646" s="508"/>
      <c r="AX2646" s="225"/>
      <c r="AY2646" s="225"/>
      <c r="AZ2646" s="225"/>
      <c r="BA2646" s="225"/>
      <c r="BB2646" s="225"/>
      <c r="BC2646" s="56"/>
      <c r="BD2646" s="56"/>
      <c r="BE2646" s="56"/>
      <c r="BF2646" s="107" t="str">
        <f t="shared" si="2076"/>
        <v>https://www.google.com/search?tbm=isch&amp;q=15%20G4</v>
      </c>
      <c r="BG2646" s="107" t="str">
        <f t="shared" si="2077"/>
        <v>N</v>
      </c>
      <c r="BH2646" s="254"/>
      <c r="BI2646" s="254"/>
    </row>
    <row r="2647" spans="1:61" customFormat="1" ht="17.25" thickBot="1" x14ac:dyDescent="0.3">
      <c r="A2647" s="524" t="s">
        <v>2446</v>
      </c>
      <c r="B2647" s="245"/>
      <c r="C2647" s="677"/>
      <c r="D2647" s="499"/>
      <c r="E2647" s="499"/>
      <c r="F2647" s="500"/>
      <c r="G2647" s="501"/>
      <c r="H2647" s="502"/>
      <c r="I2647" s="246"/>
      <c r="J2647" s="247"/>
      <c r="K2647" s="503"/>
      <c r="L2647" s="544"/>
      <c r="M2647" s="544"/>
      <c r="N2647" s="500"/>
      <c r="O2647" s="500"/>
      <c r="P2647" s="500"/>
      <c r="Q2647" s="500"/>
      <c r="R2647" s="500"/>
      <c r="S2647" s="278"/>
      <c r="T2647" s="508">
        <f t="shared" si="2065"/>
        <v>0</v>
      </c>
      <c r="U2647" s="225" t="str">
        <f>IF(NOT(ISNUMBER(G2647)), "", VLOOKUP(A2647,'Discount Lookup'!D:E,2,FALSE)*G2647)</f>
        <v/>
      </c>
      <c r="V2647" s="225" t="str">
        <f>IF(NOT(ISNUMBER(G2647)), "", VLOOKUP(A2647,'Discount Lookup'!G:H,2,FALSE)*G2647)</f>
        <v/>
      </c>
      <c r="W2647" s="508">
        <f t="shared" si="2066"/>
        <v>0</v>
      </c>
      <c r="X2647" s="508">
        <f t="shared" si="2067"/>
        <v>0</v>
      </c>
      <c r="Y2647" s="509" t="b">
        <f t="shared" si="2068"/>
        <v>0</v>
      </c>
      <c r="Z2647" s="510">
        <f t="shared" si="2069"/>
        <v>0</v>
      </c>
      <c r="AA2647" s="511"/>
      <c r="AB2647" s="511" t="str">
        <f t="shared" si="2070"/>
        <v/>
      </c>
      <c r="AC2647" s="698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698"/>
      <c r="AE2647" s="631" t="str">
        <f t="shared" si="2071"/>
        <v/>
      </c>
      <c r="AF2647" s="699" t="str">
        <f t="shared" si="2072"/>
        <v/>
      </c>
      <c r="AG2647" s="699"/>
      <c r="AH2647" s="699"/>
      <c r="AI2647" s="512">
        <f>IF(H2647="credit",0,IF(AE2647="free",0,IF(AE2647="me",0,IF(G2647&gt;0,(VLOOKUP(A2647,'Discount Lookup'!J:K,2)*G2647),0))))</f>
        <v>0</v>
      </c>
      <c r="AJ2647" s="513" t="str">
        <f t="shared" ca="1" si="2073"/>
        <v/>
      </c>
      <c r="AK2647" s="700" t="str">
        <f t="shared" si="2074"/>
        <v/>
      </c>
      <c r="AL2647" s="700"/>
      <c r="AM2647" s="505" t="str">
        <f t="shared" si="2075"/>
        <v/>
      </c>
      <c r="AN2647" s="506"/>
      <c r="AO2647" s="507"/>
      <c r="AP2647" s="507"/>
      <c r="AQ2647" s="507"/>
      <c r="AR2647" s="507"/>
      <c r="AS2647" s="507"/>
      <c r="AT2647" s="507"/>
      <c r="AU2647" s="507"/>
      <c r="AV2647" s="225"/>
      <c r="AW2647" s="508"/>
      <c r="AX2647" s="225"/>
      <c r="AY2647" s="225"/>
      <c r="AZ2647" s="225"/>
      <c r="BA2647" s="225"/>
      <c r="BB2647" s="225"/>
      <c r="BC2647" s="56"/>
      <c r="BD2647" s="56"/>
      <c r="BE2647" s="56"/>
      <c r="BF2647" s="107" t="str">
        <f t="shared" si="2076"/>
        <v>https://www.google.com/search?tbm=isch&amp;q=Nuresagi%20foliage%20foliage%20emerges%20Reddish-Pruple%2C%20turns%20hauntingly%20dark%20for%20summer%2C%20then%20Brilliant%20Scarlet-Red%20in%20fall%20</v>
      </c>
      <c r="BG2647" s="107" t="str">
        <f t="shared" si="2077"/>
        <v>N</v>
      </c>
      <c r="BH2647" s="254"/>
      <c r="BI2647" s="254"/>
    </row>
    <row r="2648" spans="1:61" customFormat="1" ht="18" x14ac:dyDescent="0.25">
      <c r="A2648" s="523" t="s">
        <v>1437</v>
      </c>
      <c r="B2648" s="235"/>
      <c r="C2648" s="676"/>
      <c r="D2648" s="255" t="s">
        <v>1438</v>
      </c>
      <c r="E2648" s="236"/>
      <c r="F2648" s="236"/>
      <c r="G2648" s="236"/>
      <c r="H2648" s="582" t="s">
        <v>1553</v>
      </c>
      <c r="I2648" s="498" t="s">
        <v>2093</v>
      </c>
      <c r="J2648" s="237"/>
      <c r="K2648" s="237"/>
      <c r="L2648" s="274"/>
      <c r="M2648" s="668" t="s">
        <v>4962</v>
      </c>
      <c r="N2648" s="681" t="str">
        <f>IF(AND(ISTEXT($A2648), ISERROR($A2648+0)), HYPERLINK($BF2648, "Images"), "")</f>
        <v>Images</v>
      </c>
      <c r="O2648" s="663" t="s">
        <v>4974</v>
      </c>
      <c r="P2648" s="253"/>
      <c r="Q2648" s="238"/>
      <c r="R2648" s="239"/>
      <c r="S2648" s="275" t="s">
        <v>305</v>
      </c>
      <c r="T2648" s="508">
        <f t="shared" si="2065"/>
        <v>0</v>
      </c>
      <c r="U2648" s="225" t="str">
        <f>IF(NOT(ISNUMBER(G2648)), "", VLOOKUP(A2648,'Discount Lookup'!D:E,2,FALSE)*G2648)</f>
        <v/>
      </c>
      <c r="V2648" s="225" t="str">
        <f>IF(NOT(ISNUMBER(G2648)), "", VLOOKUP(A2648,'Discount Lookup'!G:H,2,FALSE)*G2648)</f>
        <v/>
      </c>
      <c r="W2648" s="508">
        <f t="shared" si="2066"/>
        <v>0</v>
      </c>
      <c r="X2648" s="508" t="str">
        <f t="shared" si="2067"/>
        <v>Dark Green foliage</v>
      </c>
      <c r="Y2648" s="509" t="b">
        <f t="shared" si="2068"/>
        <v>0</v>
      </c>
      <c r="Z2648" s="510">
        <f t="shared" si="2069"/>
        <v>0</v>
      </c>
      <c r="AA2648" s="511"/>
      <c r="AB2648" s="511" t="str">
        <f t="shared" si="2070"/>
        <v/>
      </c>
      <c r="AC2648" s="698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698"/>
      <c r="AE2648" s="631" t="str">
        <f t="shared" si="2071"/>
        <v/>
      </c>
      <c r="AF2648" s="699" t="str">
        <f t="shared" si="2072"/>
        <v/>
      </c>
      <c r="AG2648" s="699"/>
      <c r="AH2648" s="699"/>
      <c r="AI2648" s="512">
        <f>IF(H2648="credit",0,IF(AE2648="free",0,IF(AE2648="me",0,IF(G2648&gt;0,(VLOOKUP(A2648,'Discount Lookup'!J:K,2)*G2648),0))))</f>
        <v>0</v>
      </c>
      <c r="AJ2648" s="513" t="str">
        <f t="shared" ca="1" si="2073"/>
        <v/>
      </c>
      <c r="AK2648" s="700" t="str">
        <f t="shared" si="2074"/>
        <v/>
      </c>
      <c r="AL2648" s="700"/>
      <c r="AM2648" s="505" t="str">
        <f t="shared" si="2075"/>
        <v/>
      </c>
      <c r="AN2648" s="506"/>
      <c r="AO2648" s="507"/>
      <c r="AP2648" s="507"/>
      <c r="AQ2648" s="507"/>
      <c r="AR2648" s="507"/>
      <c r="AS2648" s="507"/>
      <c r="AT2648" s="507"/>
      <c r="AU2648" s="507"/>
      <c r="AV2648" s="225"/>
      <c r="AW2648" s="508"/>
      <c r="AX2648" s="225"/>
      <c r="AY2648" s="225"/>
      <c r="AZ2648" s="225"/>
      <c r="BA2648" s="225"/>
      <c r="BB2648" s="225"/>
      <c r="BC2648" s="56"/>
      <c r="BD2648" s="56"/>
      <c r="BE2648" s="56"/>
      <c r="BF2648" s="107" t="str">
        <f t="shared" si="2076"/>
        <v>https://www.google.com/search?tbm=isch&amp;q=Nuttall%20Oak%20Quercus%20nuttallii</v>
      </c>
      <c r="BG2648" s="107" t="str">
        <f t="shared" si="2077"/>
        <v>N</v>
      </c>
      <c r="BH2648" s="254"/>
      <c r="BI2648" s="254"/>
    </row>
    <row r="2649" spans="1:61" customFormat="1" ht="15.75" x14ac:dyDescent="0.25">
      <c r="A2649" s="276">
        <v>25</v>
      </c>
      <c r="B2649" s="240" t="s">
        <v>291</v>
      </c>
      <c r="C2649" s="241" t="s">
        <v>4543</v>
      </c>
      <c r="D2649" s="242" t="s">
        <v>300</v>
      </c>
      <c r="E2649" s="243">
        <v>299.95</v>
      </c>
      <c r="F2649" s="517" t="s">
        <v>293</v>
      </c>
      <c r="G2649" s="232">
        <v>0</v>
      </c>
      <c r="H2649" s="661" t="str">
        <f>IF(G2649=0,"",IF(F2649="Buy",IF(G2649=1,"plant","plants"),IF(F2649&gt;0.01,"warranty","Error")))</f>
        <v/>
      </c>
      <c r="I2649" s="244">
        <f>IF(H2649="free",0,IF(H2649="credit",((E2649*(F2649))*G2649*-1),IF(F2649="Buy",(E2649*G2649),((E2649*(1-F2649))*G2649))))</f>
        <v>0</v>
      </c>
      <c r="J2649" s="244">
        <f>IF(H2649="warranty",0,(I2649*(_xlfn.SINGLE(SalesTaxPercentage))))</f>
        <v>0</v>
      </c>
      <c r="K2649" s="696">
        <f t="shared" ref="K2649" si="2082">I2649+J2649</f>
        <v>0</v>
      </c>
      <c r="L2649" s="696"/>
      <c r="M2649" s="659" t="str">
        <f>IF(AND(G2649&gt;0,E2649=0),"WARNING - no PRICE inserted",IF(H2649="free"," FREE ~ no charge this plant",IF(H2649="credit",CONCATENATE(" -$",ROUND(K2649*(1-T2GDiscount)*-1,2)," CREDIT after discount"),IF(T2GDiscount=0,"",IF(G2649=0,"",IF(F2649="Buy",CONCATENATE(" $",ROUND(K2649*(1-T2GDiscount),2)," with ",(T2GDiscount*100),"% discount"),CONCATENATE(" $",ROUND(K2649*(1-T2GDiscount),2)," with ",((T2GDiscount*100+F2649*100)-(T2GDiscount*100*F2649)),IF(F2649&gt;0,"% discounts",IF(NoWarrantyDiscount&gt;0,"% discounts","% discount")))))))))</f>
        <v/>
      </c>
      <c r="N2649" s="660"/>
      <c r="O2649" s="233"/>
      <c r="P2649" s="233"/>
      <c r="Q2649" s="233"/>
      <c r="R2649" s="233"/>
      <c r="S2649" s="233"/>
      <c r="T2649" s="508">
        <f t="shared" si="2065"/>
        <v>0</v>
      </c>
      <c r="U2649" s="225">
        <f>IF(NOT(ISNUMBER(G2649)), "", VLOOKUP(A2649,'Discount Lookup'!D:E,2,FALSE)*G2649)</f>
        <v>0</v>
      </c>
      <c r="V2649" s="225">
        <f>IF(NOT(ISNUMBER(G2649)), "", VLOOKUP(A2649,'Discount Lookup'!G:H,2,FALSE)*G2649)</f>
        <v>0</v>
      </c>
      <c r="W2649" s="508">
        <f t="shared" si="2066"/>
        <v>0</v>
      </c>
      <c r="X2649" s="508">
        <f t="shared" si="2067"/>
        <v>0</v>
      </c>
      <c r="Y2649" s="509" t="b">
        <f t="shared" si="2068"/>
        <v>0</v>
      </c>
      <c r="Z2649" s="510">
        <f t="shared" si="2069"/>
        <v>0</v>
      </c>
      <c r="AA2649" s="511"/>
      <c r="AB2649" s="511" t="str">
        <f t="shared" si="2070"/>
        <v/>
      </c>
      <c r="AC2649" s="698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698"/>
      <c r="AE2649" s="631" t="str">
        <f t="shared" si="2071"/>
        <v/>
      </c>
      <c r="AF2649" s="699" t="str">
        <f t="shared" si="2072"/>
        <v/>
      </c>
      <c r="AG2649" s="699"/>
      <c r="AH2649" s="699"/>
      <c r="AI2649" s="512">
        <f>IF(H2649="credit",0,IF(AE2649="free",0,IF(AE2649="me",0,IF(G2649&gt;0,(VLOOKUP(A2649,'Discount Lookup'!J:K,2)*G2649),0))))</f>
        <v>0</v>
      </c>
      <c r="AJ2649" s="513" t="str">
        <f t="shared" ca="1" si="2073"/>
        <v/>
      </c>
      <c r="AK2649" s="700" t="str">
        <f t="shared" si="2074"/>
        <v/>
      </c>
      <c r="AL2649" s="700"/>
      <c r="AM2649" s="505" t="str">
        <f t="shared" si="2075"/>
        <v/>
      </c>
      <c r="AN2649" s="506"/>
      <c r="AO2649" s="507"/>
      <c r="AP2649" s="507"/>
      <c r="AQ2649" s="507"/>
      <c r="AR2649" s="507"/>
      <c r="AS2649" s="507"/>
      <c r="AT2649" s="507"/>
      <c r="AU2649" s="507"/>
      <c r="AV2649" s="225"/>
      <c r="AW2649" s="508"/>
      <c r="AX2649" s="225"/>
      <c r="AY2649" s="225"/>
      <c r="AZ2649" s="225"/>
      <c r="BA2649" s="225"/>
      <c r="BB2649" s="225"/>
      <c r="BC2649" s="56"/>
      <c r="BD2649" s="56"/>
      <c r="BE2649" s="56"/>
      <c r="BF2649" s="107" t="str">
        <f t="shared" si="2076"/>
        <v>https://www.google.com/search?tbm=isch&amp;q=25%20G6</v>
      </c>
      <c r="BG2649" s="107" t="str">
        <f t="shared" si="2077"/>
        <v>N</v>
      </c>
      <c r="BH2649" s="254"/>
      <c r="BI2649" s="254"/>
    </row>
    <row r="2650" spans="1:61" customFormat="1" ht="16.5" x14ac:dyDescent="0.25">
      <c r="A2650" s="673" t="s">
        <v>5185</v>
      </c>
      <c r="B2650" s="245"/>
      <c r="C2650" s="677"/>
      <c r="D2650" s="499"/>
      <c r="E2650" s="499"/>
      <c r="F2650" s="500"/>
      <c r="G2650" s="501"/>
      <c r="H2650" s="502"/>
      <c r="I2650" s="246"/>
      <c r="J2650" s="247"/>
      <c r="K2650" s="503"/>
      <c r="L2650" s="544"/>
      <c r="M2650" s="544"/>
      <c r="N2650" s="500"/>
      <c r="O2650" s="500"/>
      <c r="P2650" s="500"/>
      <c r="Q2650" s="500"/>
      <c r="R2650" s="500"/>
      <c r="S2650" s="669" t="s">
        <v>4978</v>
      </c>
      <c r="T2650" s="508">
        <f t="shared" si="2065"/>
        <v>0</v>
      </c>
      <c r="U2650" s="225" t="str">
        <f>IF(NOT(ISNUMBER(G2650)), "", VLOOKUP(A2650,'Discount Lookup'!D:E,2,FALSE)*G2650)</f>
        <v/>
      </c>
      <c r="V2650" s="225" t="str">
        <f>IF(NOT(ISNUMBER(G2650)), "", VLOOKUP(A2650,'Discount Lookup'!G:H,2,FALSE)*G2650)</f>
        <v/>
      </c>
      <c r="W2650" s="508">
        <f t="shared" si="2066"/>
        <v>0</v>
      </c>
      <c r="X2650" s="508">
        <f t="shared" si="2067"/>
        <v>0</v>
      </c>
      <c r="Y2650" s="509" t="b">
        <f t="shared" si="2068"/>
        <v>0</v>
      </c>
      <c r="Z2650" s="510">
        <f t="shared" si="2069"/>
        <v>0</v>
      </c>
      <c r="AA2650" s="511"/>
      <c r="AB2650" s="511" t="str">
        <f t="shared" si="2070"/>
        <v/>
      </c>
      <c r="AC2650" s="698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698"/>
      <c r="AE2650" s="631" t="str">
        <f t="shared" si="2071"/>
        <v/>
      </c>
      <c r="AF2650" s="699" t="str">
        <f t="shared" si="2072"/>
        <v/>
      </c>
      <c r="AG2650" s="699"/>
      <c r="AH2650" s="699"/>
      <c r="AI2650" s="512">
        <f>IF(H2650="credit",0,IF(AE2650="free",0,IF(AE2650="me",0,IF(G2650&gt;0,(VLOOKUP(A2650,'Discount Lookup'!J:K,2)*G2650),0))))</f>
        <v>0</v>
      </c>
      <c r="AJ2650" s="513" t="str">
        <f t="shared" ca="1" si="2073"/>
        <v/>
      </c>
      <c r="AK2650" s="700" t="str">
        <f t="shared" si="2074"/>
        <v/>
      </c>
      <c r="AL2650" s="700"/>
      <c r="AM2650" s="505" t="str">
        <f t="shared" si="2075"/>
        <v/>
      </c>
      <c r="AN2650" s="506"/>
      <c r="AO2650" s="507"/>
      <c r="AP2650" s="507"/>
      <c r="AQ2650" s="507"/>
      <c r="AR2650" s="507"/>
      <c r="AS2650" s="507"/>
      <c r="AT2650" s="507"/>
      <c r="AU2650" s="507"/>
      <c r="AV2650" s="225"/>
      <c r="AW2650" s="508"/>
      <c r="AX2650" s="225"/>
      <c r="AY2650" s="225"/>
      <c r="AZ2650" s="225"/>
      <c r="BA2650" s="225"/>
      <c r="BB2650" s="225"/>
      <c r="BC2650" s="56"/>
      <c r="BD2650" s="56"/>
      <c r="BE2650" s="56"/>
      <c r="BF2650" s="107" t="str">
        <f t="shared" si="2076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2650" s="107" t="str">
        <f t="shared" si="2077"/>
        <v>w</v>
      </c>
      <c r="BH2650" s="254"/>
      <c r="BI2650" s="254"/>
    </row>
    <row r="2651" spans="1:61" customFormat="1" ht="45.75" thickBot="1" x14ac:dyDescent="0.35">
      <c r="A2651" s="525" t="s">
        <v>1439</v>
      </c>
      <c r="B2651" s="248"/>
      <c r="C2651" s="678" t="s">
        <v>673</v>
      </c>
      <c r="D2651" s="249"/>
      <c r="E2651" s="249"/>
      <c r="F2651" s="249"/>
      <c r="G2651" s="249"/>
      <c r="H2651" s="250"/>
      <c r="I2651" s="249"/>
      <c r="J2651" s="249"/>
      <c r="K2651" s="526" t="s">
        <v>2840</v>
      </c>
      <c r="L2651" s="279"/>
      <c r="M2651" s="251"/>
      <c r="S2651" s="504" t="s">
        <v>2841</v>
      </c>
      <c r="T2651" s="508">
        <f t="shared" si="2065"/>
        <v>0</v>
      </c>
      <c r="U2651" s="225" t="str">
        <f>IF(NOT(ISNUMBER(G2651)), "", VLOOKUP(A2651,'Discount Lookup'!D:E,2,FALSE)*G2651)</f>
        <v/>
      </c>
      <c r="V2651" s="225" t="str">
        <f>IF(NOT(ISNUMBER(G2651)), "", VLOOKUP(A2651,'Discount Lookup'!G:H,2,FALSE)*G2651)</f>
        <v/>
      </c>
      <c r="W2651" s="508">
        <f t="shared" si="2066"/>
        <v>0</v>
      </c>
      <c r="X2651" s="508">
        <f t="shared" si="2067"/>
        <v>0</v>
      </c>
      <c r="Y2651" s="509" t="b">
        <f t="shared" si="2068"/>
        <v>0</v>
      </c>
      <c r="Z2651" s="510">
        <f t="shared" si="2069"/>
        <v>0</v>
      </c>
      <c r="AA2651" s="511"/>
      <c r="AB2651" s="511" t="str">
        <f t="shared" si="2070"/>
        <v/>
      </c>
      <c r="AC2651" s="698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698"/>
      <c r="AE2651" s="631" t="str">
        <f t="shared" si="2071"/>
        <v/>
      </c>
      <c r="AF2651" s="699" t="str">
        <f t="shared" si="2072"/>
        <v/>
      </c>
      <c r="AG2651" s="699"/>
      <c r="AH2651" s="699"/>
      <c r="AI2651" s="512">
        <f>IF(H2651="credit",0,IF(AE2651="free",0,IF(AE2651="me",0,IF(G2651&gt;0,(VLOOKUP(A2651,'Discount Lookup'!J:K,2)*G2651),0))))</f>
        <v>0</v>
      </c>
      <c r="AJ2651" s="513" t="str">
        <f t="shared" ca="1" si="2073"/>
        <v/>
      </c>
      <c r="AK2651" s="700" t="str">
        <f t="shared" si="2074"/>
        <v/>
      </c>
      <c r="AL2651" s="700"/>
      <c r="AM2651" s="505" t="str">
        <f t="shared" si="2075"/>
        <v/>
      </c>
      <c r="AN2651" s="506"/>
      <c r="AO2651" s="507"/>
      <c r="AP2651" s="507"/>
      <c r="AQ2651" s="507"/>
      <c r="AR2651" s="507"/>
      <c r="AS2651" s="507"/>
      <c r="AT2651" s="507"/>
      <c r="AU2651" s="507"/>
      <c r="AV2651" s="225"/>
      <c r="AW2651" s="508"/>
      <c r="AX2651" s="225"/>
      <c r="AY2651" s="225"/>
      <c r="AZ2651" s="225"/>
      <c r="BA2651" s="225"/>
      <c r="BB2651" s="225"/>
      <c r="BC2651" s="56"/>
      <c r="BD2651" s="56"/>
      <c r="BE2651" s="56"/>
      <c r="BF2651" s="107" t="str">
        <f t="shared" si="2076"/>
        <v>https://www.google.com/search?tbm=isch&amp;q=O%20</v>
      </c>
      <c r="BG2651" s="107" t="str">
        <f t="shared" si="2077"/>
        <v>O</v>
      </c>
      <c r="BH2651" s="254"/>
      <c r="BI2651" s="254"/>
    </row>
    <row r="2652" spans="1:61" customFormat="1" ht="18" x14ac:dyDescent="0.25">
      <c r="A2652" s="521" t="s">
        <v>5471</v>
      </c>
      <c r="B2652" s="477"/>
      <c r="C2652" s="674"/>
      <c r="D2652" s="478" t="s">
        <v>1440</v>
      </c>
      <c r="E2652" s="479"/>
      <c r="F2652" s="479"/>
      <c r="G2652" s="479"/>
      <c r="H2652" s="582" t="s">
        <v>1441</v>
      </c>
      <c r="I2652" s="480" t="s">
        <v>2093</v>
      </c>
      <c r="J2652" s="479"/>
      <c r="K2652" s="479"/>
      <c r="L2652" s="560"/>
      <c r="M2652" s="666" t="s">
        <v>4966</v>
      </c>
      <c r="N2652" s="680" t="str">
        <f>IF(AND(ISTEXT($A2652), ISERROR($A2652+0)), HYPERLINK($BF2652, "Images"), "")</f>
        <v>Images</v>
      </c>
      <c r="O2652" s="662" t="s">
        <v>5001</v>
      </c>
      <c r="P2652" s="482"/>
      <c r="Q2652" s="483"/>
      <c r="R2652" s="483"/>
      <c r="S2652" s="484"/>
      <c r="T2652" s="508">
        <f t="shared" si="2065"/>
        <v>0</v>
      </c>
      <c r="U2652" s="225" t="str">
        <f>IF(NOT(ISNUMBER(G2652)), "", VLOOKUP(A2652,'Discount Lookup'!D:E,2,FALSE)*G2652)</f>
        <v/>
      </c>
      <c r="V2652" s="225" t="str">
        <f>IF(NOT(ISNUMBER(G2652)), "", VLOOKUP(A2652,'Discount Lookup'!G:H,2,FALSE)*G2652)</f>
        <v/>
      </c>
      <c r="W2652" s="508">
        <f t="shared" si="2066"/>
        <v>0</v>
      </c>
      <c r="X2652" s="508" t="str">
        <f t="shared" si="2067"/>
        <v>Dark Green foliage</v>
      </c>
      <c r="Y2652" s="509" t="b">
        <f t="shared" si="2068"/>
        <v>0</v>
      </c>
      <c r="Z2652" s="510">
        <f t="shared" si="2069"/>
        <v>0</v>
      </c>
      <c r="AA2652" s="511"/>
      <c r="AB2652" s="511" t="str">
        <f t="shared" si="2070"/>
        <v/>
      </c>
      <c r="AC2652" s="698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698"/>
      <c r="AE2652" s="631" t="str">
        <f t="shared" si="2071"/>
        <v/>
      </c>
      <c r="AF2652" s="699" t="str">
        <f t="shared" si="2072"/>
        <v/>
      </c>
      <c r="AG2652" s="699"/>
      <c r="AH2652" s="699"/>
      <c r="AI2652" s="512">
        <f>IF(H2652="credit",0,IF(AE2652="free",0,IF(AE2652="me",0,IF(G2652&gt;0,(VLOOKUP(A2652,'Discount Lookup'!J:K,2)*G2652),0))))</f>
        <v>0</v>
      </c>
      <c r="AJ2652" s="513" t="str">
        <f t="shared" ca="1" si="2073"/>
        <v/>
      </c>
      <c r="AK2652" s="700" t="str">
        <f t="shared" si="2074"/>
        <v/>
      </c>
      <c r="AL2652" s="700"/>
      <c r="AM2652" s="505" t="str">
        <f t="shared" si="2075"/>
        <v/>
      </c>
      <c r="AN2652" s="506"/>
      <c r="AO2652" s="507"/>
      <c r="AP2652" s="507"/>
      <c r="AQ2652" s="507"/>
      <c r="AR2652" s="507"/>
      <c r="AS2652" s="507"/>
      <c r="AT2652" s="507"/>
      <c r="AU2652" s="507"/>
      <c r="AV2652" s="225"/>
      <c r="AW2652" s="508"/>
      <c r="AX2652" s="225"/>
      <c r="AY2652" s="225"/>
      <c r="AZ2652" s="225"/>
      <c r="BA2652" s="225"/>
      <c r="BB2652" s="225"/>
      <c r="BC2652" s="56"/>
      <c r="BD2652" s="56"/>
      <c r="BE2652" s="56"/>
      <c r="BF2652" s="107" t="str">
        <f t="shared" si="2076"/>
        <v>https://www.google.com/search?tbm=isch&amp;q=Oak%20Leaf%E2%84%A2%20Holly%20Ilex%20%27Conaf%27%20PP%239487Exp.</v>
      </c>
      <c r="BG2652" s="107" t="str">
        <f t="shared" si="2077"/>
        <v>O</v>
      </c>
      <c r="BH2652" s="254"/>
      <c r="BI2652" s="254"/>
    </row>
    <row r="2653" spans="1:61" customFormat="1" ht="15.75" x14ac:dyDescent="0.25">
      <c r="A2653" s="485">
        <v>15</v>
      </c>
      <c r="B2653" s="486" t="s">
        <v>291</v>
      </c>
      <c r="C2653" s="487" t="s">
        <v>4767</v>
      </c>
      <c r="D2653" s="488" t="s">
        <v>297</v>
      </c>
      <c r="E2653" s="489">
        <v>155.94999999999999</v>
      </c>
      <c r="F2653" s="516" t="s">
        <v>293</v>
      </c>
      <c r="G2653" s="232">
        <v>0</v>
      </c>
      <c r="H2653" s="658" t="str">
        <f>IF(G2653=0,"",IF(F2653="Buy",IF(G2653=1,"plant","plants"),IF(F2653&gt;0.01,"warranty","Error")))</f>
        <v/>
      </c>
      <c r="I2653" s="490">
        <f>IF(H2653="free",0,IF(H2653="credit",((E2653*(F2653))*G2653*-1),IF(F2653="Buy",(E2653*G2653),((E2653*(1-F2653))*G2653))))</f>
        <v>0</v>
      </c>
      <c r="J2653" s="490">
        <f>IF(H2653="warranty",0,(I2653*(_xlfn.SINGLE(SalesTaxPercentage))))</f>
        <v>0</v>
      </c>
      <c r="K2653" s="695">
        <f t="shared" ref="K2653" si="2083">I2653+J2653</f>
        <v>0</v>
      </c>
      <c r="L2653" s="695"/>
      <c r="M2653" s="659" t="str">
        <f>IF(AND(G2653&gt;0,E2653=0),"WARNING - no PRICE inserted",IF(H2653="free"," FREE ~ no charge this plant",IF(H2653="credit",CONCATENATE(" -$",ROUND(K2653*(1-T2GDiscount)*-1,2)," CREDIT after discount"),IF(T2GDiscount=0,"",IF(G2653=0,"",IF(F2653="Buy",CONCATENATE(" $",ROUND(K2653*(1-T2GDiscount),2)," with ",(T2GDiscount*100),"% discount"),CONCATENATE(" $",ROUND(K2653*(1-T2GDiscount),2)," with ",((T2GDiscount*100+F2653*100)-(T2GDiscount*100*F2653)),IF(F2653&gt;0,"% discounts",IF(NoWarrantyDiscount&gt;0,"% discounts","% discount")))))))))</f>
        <v/>
      </c>
      <c r="N2653" s="660"/>
      <c r="O2653" s="233"/>
      <c r="P2653" s="233"/>
      <c r="Q2653" s="233"/>
      <c r="R2653" s="233"/>
      <c r="S2653" s="233"/>
      <c r="T2653" s="508">
        <f t="shared" si="2065"/>
        <v>0</v>
      </c>
      <c r="U2653" s="225">
        <f>IF(NOT(ISNUMBER(G2653)), "", VLOOKUP(A2653,'Discount Lookup'!D:E,2,FALSE)*G2653)</f>
        <v>0</v>
      </c>
      <c r="V2653" s="225">
        <f>IF(NOT(ISNUMBER(G2653)), "", VLOOKUP(A2653,'Discount Lookup'!G:H,2,FALSE)*G2653)</f>
        <v>0</v>
      </c>
      <c r="W2653" s="508">
        <f t="shared" si="2066"/>
        <v>0</v>
      </c>
      <c r="X2653" s="508">
        <f t="shared" si="2067"/>
        <v>0</v>
      </c>
      <c r="Y2653" s="509" t="b">
        <f t="shared" si="2068"/>
        <v>0</v>
      </c>
      <c r="Z2653" s="510">
        <f t="shared" si="2069"/>
        <v>0</v>
      </c>
      <c r="AA2653" s="511"/>
      <c r="AB2653" s="511" t="str">
        <f t="shared" si="2070"/>
        <v/>
      </c>
      <c r="AC2653" s="698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698"/>
      <c r="AE2653" s="631" t="str">
        <f t="shared" si="2071"/>
        <v/>
      </c>
      <c r="AF2653" s="699" t="str">
        <f t="shared" si="2072"/>
        <v/>
      </c>
      <c r="AG2653" s="699"/>
      <c r="AH2653" s="699"/>
      <c r="AI2653" s="512">
        <f>IF(H2653="credit",0,IF(AE2653="free",0,IF(AE2653="me",0,IF(G2653&gt;0,(VLOOKUP(A2653,'Discount Lookup'!J:K,2)*G2653),0))))</f>
        <v>0</v>
      </c>
      <c r="AJ2653" s="513" t="str">
        <f t="shared" ca="1" si="2073"/>
        <v/>
      </c>
      <c r="AK2653" s="700" t="str">
        <f t="shared" si="2074"/>
        <v/>
      </c>
      <c r="AL2653" s="700"/>
      <c r="AM2653" s="505" t="str">
        <f t="shared" si="2075"/>
        <v/>
      </c>
      <c r="AN2653" s="506"/>
      <c r="AO2653" s="507"/>
      <c r="AP2653" s="507"/>
      <c r="AQ2653" s="507"/>
      <c r="AR2653" s="507"/>
      <c r="AS2653" s="507"/>
      <c r="AT2653" s="507"/>
      <c r="AU2653" s="507"/>
      <c r="AV2653" s="225"/>
      <c r="AW2653" s="508"/>
      <c r="AX2653" s="225"/>
      <c r="AY2653" s="225"/>
      <c r="AZ2653" s="225"/>
      <c r="BA2653" s="225"/>
      <c r="BB2653" s="225"/>
      <c r="BC2653" s="56"/>
      <c r="BD2653" s="56"/>
      <c r="BE2653" s="56"/>
      <c r="BF2653" s="107" t="str">
        <f t="shared" si="2076"/>
        <v>https://www.google.com/search?tbm=isch&amp;q=15%20G3</v>
      </c>
      <c r="BG2653" s="107" t="str">
        <f t="shared" si="2077"/>
        <v>O</v>
      </c>
      <c r="BH2653" s="254"/>
      <c r="BI2653" s="254"/>
    </row>
    <row r="2654" spans="1:61" customFormat="1" ht="15.75" x14ac:dyDescent="0.25">
      <c r="A2654" s="485">
        <v>65</v>
      </c>
      <c r="B2654" s="486" t="s">
        <v>291</v>
      </c>
      <c r="C2654" s="487" t="s">
        <v>3673</v>
      </c>
      <c r="D2654" s="488" t="s">
        <v>292</v>
      </c>
      <c r="E2654" s="489">
        <v>858.95</v>
      </c>
      <c r="F2654" s="516" t="s">
        <v>293</v>
      </c>
      <c r="G2654" s="232">
        <v>0</v>
      </c>
      <c r="H2654" s="658" t="str">
        <f>IF(G2654=0,"",IF(F2654="Buy",IF(G2654=1,"plant","plants"),IF(F2654&gt;0.01,"warranty","Error")))</f>
        <v/>
      </c>
      <c r="I2654" s="490">
        <f>IF(H2654="free",0,IF(H2654="credit",((E2654*(F2654))*G2654*-1),IF(F2654="Buy",(E2654*G2654),((E2654*(1-F2654))*G2654))))</f>
        <v>0</v>
      </c>
      <c r="J2654" s="490">
        <f>IF(H2654="warranty",0,(I2654*(_xlfn.SINGLE(SalesTaxPercentage))))</f>
        <v>0</v>
      </c>
      <c r="K2654" s="695">
        <f t="shared" ref="K2654" si="2084">I2654+J2654</f>
        <v>0</v>
      </c>
      <c r="L2654" s="695"/>
      <c r="M2654" s="659" t="str">
        <f>IF(AND(G2654&gt;0,E2654=0),"WARNING - no PRICE inserted",IF(H2654="free"," FREE ~ no charge this plant",IF(H2654="credit",CONCATENATE(" -$",ROUND(K2654*(1-T2GDiscount)*-1,2)," CREDIT after discount"),IF(T2GDiscount=0,"",IF(G2654=0,"",IF(F2654="Buy",CONCATENATE(" $",ROUND(K2654*(1-T2GDiscount),2)," with ",(T2GDiscount*100),"% discount"),CONCATENATE(" $",ROUND(K2654*(1-T2GDiscount),2)," with ",((T2GDiscount*100+F2654*100)-(T2GDiscount*100*F2654)),IF(F2654&gt;0,"% discounts",IF(NoWarrantyDiscount&gt;0,"% discounts","% discount")))))))))</f>
        <v/>
      </c>
      <c r="N2654" s="660"/>
      <c r="O2654" s="233"/>
      <c r="P2654" s="233"/>
      <c r="Q2654" s="233"/>
      <c r="R2654" s="233"/>
      <c r="S2654" s="233"/>
      <c r="T2654" s="508">
        <f t="shared" si="2065"/>
        <v>0</v>
      </c>
      <c r="U2654" s="225">
        <f>IF(NOT(ISNUMBER(G2654)), "", VLOOKUP(A2654,'Discount Lookup'!D:E,2,FALSE)*G2654)</f>
        <v>0</v>
      </c>
      <c r="V2654" s="225">
        <f>IF(NOT(ISNUMBER(G2654)), "", VLOOKUP(A2654,'Discount Lookup'!G:H,2,FALSE)*G2654)</f>
        <v>0</v>
      </c>
      <c r="W2654" s="508">
        <f t="shared" si="2066"/>
        <v>0</v>
      </c>
      <c r="X2654" s="508">
        <f t="shared" si="2067"/>
        <v>0</v>
      </c>
      <c r="Y2654" s="509" t="b">
        <f t="shared" si="2068"/>
        <v>0</v>
      </c>
      <c r="Z2654" s="510">
        <f t="shared" si="2069"/>
        <v>0</v>
      </c>
      <c r="AA2654" s="511"/>
      <c r="AB2654" s="511" t="str">
        <f t="shared" si="2070"/>
        <v/>
      </c>
      <c r="AC2654" s="698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698"/>
      <c r="AE2654" s="631" t="str">
        <f t="shared" si="2071"/>
        <v/>
      </c>
      <c r="AF2654" s="699" t="str">
        <f t="shared" si="2072"/>
        <v/>
      </c>
      <c r="AG2654" s="699"/>
      <c r="AH2654" s="699"/>
      <c r="AI2654" s="512">
        <f>IF(H2654="credit",0,IF(AE2654="free",0,IF(AE2654="me",0,IF(G2654&gt;0,(VLOOKUP(A2654,'Discount Lookup'!J:K,2)*G2654),0))))</f>
        <v>0</v>
      </c>
      <c r="AJ2654" s="513" t="str">
        <f t="shared" ca="1" si="2073"/>
        <v/>
      </c>
      <c r="AK2654" s="700" t="str">
        <f t="shared" si="2074"/>
        <v/>
      </c>
      <c r="AL2654" s="700"/>
      <c r="AM2654" s="505" t="str">
        <f t="shared" si="2075"/>
        <v/>
      </c>
      <c r="AN2654" s="506"/>
      <c r="AO2654" s="507"/>
      <c r="AP2654" s="507"/>
      <c r="AQ2654" s="507"/>
      <c r="AR2654" s="507"/>
      <c r="AS2654" s="507"/>
      <c r="AT2654" s="507"/>
      <c r="AU2654" s="507"/>
      <c r="AV2654" s="225"/>
      <c r="AW2654" s="508"/>
      <c r="AX2654" s="225"/>
      <c r="AY2654" s="225"/>
      <c r="AZ2654" s="225"/>
      <c r="BA2654" s="225"/>
      <c r="BB2654" s="225"/>
      <c r="BC2654" s="56"/>
      <c r="BD2654" s="56"/>
      <c r="BE2654" s="56"/>
      <c r="BF2654" s="107" t="str">
        <f t="shared" si="2076"/>
        <v>https://www.google.com/search?tbm=isch&amp;q=65%20G4</v>
      </c>
      <c r="BG2654" s="107" t="str">
        <f t="shared" si="2077"/>
        <v>O</v>
      </c>
      <c r="BH2654" s="254"/>
      <c r="BI2654" s="254"/>
    </row>
    <row r="2655" spans="1:61" customFormat="1" ht="17.25" thickBot="1" x14ac:dyDescent="0.3">
      <c r="A2655" s="522" t="s">
        <v>2447</v>
      </c>
      <c r="B2655" s="491"/>
      <c r="C2655" s="675"/>
      <c r="D2655" s="491"/>
      <c r="E2655" s="491"/>
      <c r="F2655" s="492"/>
      <c r="G2655" s="493"/>
      <c r="H2655" s="491"/>
      <c r="I2655" s="234"/>
      <c r="J2655" s="234"/>
      <c r="K2655" s="494"/>
      <c r="L2655" s="543"/>
      <c r="M2655" s="561"/>
      <c r="N2655" s="495"/>
      <c r="O2655" s="496"/>
      <c r="P2655" s="497"/>
      <c r="Q2655" s="495"/>
      <c r="R2655" s="495"/>
      <c r="S2655" s="667" t="s">
        <v>5004</v>
      </c>
      <c r="T2655" s="508">
        <f t="shared" si="2065"/>
        <v>0</v>
      </c>
      <c r="U2655" s="225" t="str">
        <f>IF(NOT(ISNUMBER(G2655)), "", VLOOKUP(A2655,'Discount Lookup'!D:E,2,FALSE)*G2655)</f>
        <v/>
      </c>
      <c r="V2655" s="225" t="str">
        <f>IF(NOT(ISNUMBER(G2655)), "", VLOOKUP(A2655,'Discount Lookup'!G:H,2,FALSE)*G2655)</f>
        <v/>
      </c>
      <c r="W2655" s="508">
        <f t="shared" si="2066"/>
        <v>0</v>
      </c>
      <c r="X2655" s="508">
        <f t="shared" si="2067"/>
        <v>0</v>
      </c>
      <c r="Y2655" s="509" t="b">
        <f t="shared" si="2068"/>
        <v>0</v>
      </c>
      <c r="Z2655" s="510">
        <f t="shared" si="2069"/>
        <v>0</v>
      </c>
      <c r="AA2655" s="511"/>
      <c r="AB2655" s="511" t="str">
        <f t="shared" si="2070"/>
        <v/>
      </c>
      <c r="AC2655" s="698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698"/>
      <c r="AE2655" s="631" t="str">
        <f t="shared" si="2071"/>
        <v/>
      </c>
      <c r="AF2655" s="699" t="str">
        <f t="shared" si="2072"/>
        <v/>
      </c>
      <c r="AG2655" s="699"/>
      <c r="AH2655" s="699"/>
      <c r="AI2655" s="512">
        <f>IF(H2655="credit",0,IF(AE2655="free",0,IF(AE2655="me",0,IF(G2655&gt;0,(VLOOKUP(A2655,'Discount Lookup'!J:K,2)*G2655),0))))</f>
        <v>0</v>
      </c>
      <c r="AJ2655" s="513" t="str">
        <f t="shared" ca="1" si="2073"/>
        <v/>
      </c>
      <c r="AK2655" s="700" t="str">
        <f t="shared" si="2074"/>
        <v/>
      </c>
      <c r="AL2655" s="700"/>
      <c r="AM2655" s="505" t="str">
        <f t="shared" si="2075"/>
        <v/>
      </c>
      <c r="AN2655" s="506"/>
      <c r="AO2655" s="507"/>
      <c r="AP2655" s="507"/>
      <c r="AQ2655" s="507"/>
      <c r="AR2655" s="507"/>
      <c r="AS2655" s="507"/>
      <c r="AT2655" s="507"/>
      <c r="AU2655" s="507"/>
      <c r="AV2655" s="225"/>
      <c r="AW2655" s="508"/>
      <c r="AX2655" s="225"/>
      <c r="AY2655" s="225"/>
      <c r="AZ2655" s="225"/>
      <c r="BA2655" s="225"/>
      <c r="BB2655" s="225"/>
      <c r="BC2655" s="56"/>
      <c r="BD2655" s="56"/>
      <c r="BE2655" s="56"/>
      <c r="BF2655" s="107" t="str">
        <f t="shared" si="2076"/>
        <v>https://www.google.com/search?tbm=isch&amp;q=Oak%20Leaf%20named%20for%20shape%20of%20leaves%2C%20like%20an%20Oak%20leaf.%20Self-pollinates%2C%20so%20no%20male%20is%20required.%20Pyramidal%20shape%20</v>
      </c>
      <c r="BG2655" s="107" t="str">
        <f t="shared" si="2077"/>
        <v>O</v>
      </c>
      <c r="BH2655" s="254"/>
      <c r="BI2655" s="254"/>
    </row>
    <row r="2656" spans="1:61" customFormat="1" ht="18" x14ac:dyDescent="0.25">
      <c r="A2656" s="521" t="s">
        <v>5472</v>
      </c>
      <c r="B2656" s="477"/>
      <c r="C2656" s="674"/>
      <c r="D2656" s="478" t="s">
        <v>1442</v>
      </c>
      <c r="E2656" s="479"/>
      <c r="F2656" s="479"/>
      <c r="G2656" s="479"/>
      <c r="H2656" s="582" t="s">
        <v>311</v>
      </c>
      <c r="I2656" s="480" t="s">
        <v>2109</v>
      </c>
      <c r="J2656" s="479"/>
      <c r="K2656" s="479"/>
      <c r="L2656" s="560"/>
      <c r="M2656" s="666" t="s">
        <v>4966</v>
      </c>
      <c r="N2656" s="680" t="str">
        <f>IF(AND(ISTEXT($A2656), ISERROR($A2656+0)), HYPERLINK($BF2656, "Images"), "")</f>
        <v>Images</v>
      </c>
      <c r="O2656" s="662" t="s">
        <v>5001</v>
      </c>
      <c r="P2656" s="482"/>
      <c r="Q2656" s="483"/>
      <c r="R2656" s="483"/>
      <c r="S2656" s="484"/>
      <c r="T2656" s="508">
        <f t="shared" si="2065"/>
        <v>0</v>
      </c>
      <c r="U2656" s="225" t="str">
        <f>IF(NOT(ISNUMBER(G2656)), "", VLOOKUP(A2656,'Discount Lookup'!D:E,2,FALSE)*G2656)</f>
        <v/>
      </c>
      <c r="V2656" s="225" t="str">
        <f>IF(NOT(ISNUMBER(G2656)), "", VLOOKUP(A2656,'Discount Lookup'!G:H,2,FALSE)*G2656)</f>
        <v/>
      </c>
      <c r="W2656" s="508">
        <f t="shared" si="2066"/>
        <v>0</v>
      </c>
      <c r="X2656" s="508" t="str">
        <f t="shared" si="2067"/>
        <v>Green foliage</v>
      </c>
      <c r="Y2656" s="509" t="b">
        <f t="shared" si="2068"/>
        <v>0</v>
      </c>
      <c r="Z2656" s="510">
        <f t="shared" si="2069"/>
        <v>0</v>
      </c>
      <c r="AA2656" s="511"/>
      <c r="AB2656" s="511" t="str">
        <f t="shared" si="2070"/>
        <v/>
      </c>
      <c r="AC2656" s="698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698"/>
      <c r="AE2656" s="631" t="str">
        <f t="shared" si="2071"/>
        <v/>
      </c>
      <c r="AF2656" s="699" t="str">
        <f t="shared" si="2072"/>
        <v/>
      </c>
      <c r="AG2656" s="699"/>
      <c r="AH2656" s="699"/>
      <c r="AI2656" s="512">
        <f>IF(H2656="credit",0,IF(AE2656="free",0,IF(AE2656="me",0,IF(G2656&gt;0,(VLOOKUP(A2656,'Discount Lookup'!J:K,2)*G2656),0))))</f>
        <v>0</v>
      </c>
      <c r="AJ2656" s="513" t="str">
        <f t="shared" ca="1" si="2073"/>
        <v/>
      </c>
      <c r="AK2656" s="700" t="str">
        <f t="shared" si="2074"/>
        <v/>
      </c>
      <c r="AL2656" s="700"/>
      <c r="AM2656" s="505" t="str">
        <f t="shared" si="2075"/>
        <v/>
      </c>
      <c r="AN2656" s="506"/>
      <c r="AO2656" s="507"/>
      <c r="AP2656" s="507"/>
      <c r="AQ2656" s="507"/>
      <c r="AR2656" s="507"/>
      <c r="AS2656" s="507"/>
      <c r="AT2656" s="507"/>
      <c r="AU2656" s="507"/>
      <c r="AV2656" s="225"/>
      <c r="AW2656" s="508"/>
      <c r="AX2656" s="225"/>
      <c r="AY2656" s="225"/>
      <c r="AZ2656" s="225"/>
      <c r="BA2656" s="225"/>
      <c r="BB2656" s="225"/>
      <c r="BC2656" s="56"/>
      <c r="BD2656" s="56"/>
      <c r="BE2656" s="56"/>
      <c r="BF2656" s="107" t="str">
        <f t="shared" si="2076"/>
        <v>https://www.google.com/search?tbm=isch&amp;q=Oakland%E2%84%A2%20Holly%20Ilex%20%27Magland%27%20PP%2314417</v>
      </c>
      <c r="BG2656" s="107" t="str">
        <f t="shared" si="2077"/>
        <v>O</v>
      </c>
      <c r="BH2656" s="254"/>
      <c r="BI2656" s="254"/>
    </row>
    <row r="2657" spans="1:61" customFormat="1" ht="15.75" x14ac:dyDescent="0.25">
      <c r="A2657" s="485">
        <v>7</v>
      </c>
      <c r="B2657" s="486" t="s">
        <v>291</v>
      </c>
      <c r="C2657" s="487" t="s">
        <v>3348</v>
      </c>
      <c r="D2657" s="488" t="s">
        <v>292</v>
      </c>
      <c r="E2657" s="489">
        <v>95.95</v>
      </c>
      <c r="F2657" s="516" t="s">
        <v>293</v>
      </c>
      <c r="G2657" s="232">
        <v>0</v>
      </c>
      <c r="H2657" s="658" t="str">
        <f>IF(G2657=0,"",IF(F2657="Buy",IF(G2657=1,"plant","plants"),IF(F2657&gt;0.01,"warranty","Error")))</f>
        <v/>
      </c>
      <c r="I2657" s="490">
        <f>IF(H2657="free",0,IF(H2657="credit",((E2657*(F2657))*G2657*-1),IF(F2657="Buy",(E2657*G2657),((E2657*(1-F2657))*G2657))))</f>
        <v>0</v>
      </c>
      <c r="J2657" s="490">
        <f>IF(H2657="warranty",0,(I2657*(_xlfn.SINGLE(SalesTaxPercentage))))</f>
        <v>0</v>
      </c>
      <c r="K2657" s="695">
        <f t="shared" ref="K2657" si="2085">I2657+J2657</f>
        <v>0</v>
      </c>
      <c r="L2657" s="695"/>
      <c r="M2657" s="659" t="str">
        <f>IF(AND(G2657&gt;0,E2657=0),"WARNING - no PRICE inserted",IF(H2657="free"," FREE ~ no charge this plant",IF(H2657="credit",CONCATENATE(" -$",ROUND(K2657*(1-T2GDiscount)*-1,2)," CREDIT after discount"),IF(T2GDiscount=0,"",IF(G2657=0,"",IF(F2657="Buy",CONCATENATE(" $",ROUND(K2657*(1-T2GDiscount),2)," with ",(T2GDiscount*100),"% discount"),CONCATENATE(" $",ROUND(K2657*(1-T2GDiscount),2)," with ",((T2GDiscount*100+F2657*100)-(T2GDiscount*100*F2657)),IF(F2657&gt;0,"% discounts",IF(NoWarrantyDiscount&gt;0,"% discounts","% discount")))))))))</f>
        <v/>
      </c>
      <c r="N2657" s="660"/>
      <c r="O2657" s="233"/>
      <c r="P2657" s="233"/>
      <c r="Q2657" s="233"/>
      <c r="R2657" s="233"/>
      <c r="S2657" s="233"/>
      <c r="T2657" s="508">
        <f t="shared" si="2065"/>
        <v>0</v>
      </c>
      <c r="U2657" s="225">
        <f>IF(NOT(ISNUMBER(G2657)), "", VLOOKUP(A2657,'Discount Lookup'!D:E,2,FALSE)*G2657)</f>
        <v>0</v>
      </c>
      <c r="V2657" s="225">
        <f>IF(NOT(ISNUMBER(G2657)), "", VLOOKUP(A2657,'Discount Lookup'!G:H,2,FALSE)*G2657)</f>
        <v>0</v>
      </c>
      <c r="W2657" s="508">
        <f t="shared" si="2066"/>
        <v>0</v>
      </c>
      <c r="X2657" s="508">
        <f t="shared" si="2067"/>
        <v>0</v>
      </c>
      <c r="Y2657" s="509" t="b">
        <f t="shared" si="2068"/>
        <v>0</v>
      </c>
      <c r="Z2657" s="510">
        <f t="shared" si="2069"/>
        <v>0</v>
      </c>
      <c r="AA2657" s="511"/>
      <c r="AB2657" s="511" t="str">
        <f t="shared" si="2070"/>
        <v/>
      </c>
      <c r="AC2657" s="698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698"/>
      <c r="AE2657" s="631" t="str">
        <f t="shared" si="2071"/>
        <v/>
      </c>
      <c r="AF2657" s="699" t="str">
        <f t="shared" si="2072"/>
        <v/>
      </c>
      <c r="AG2657" s="699"/>
      <c r="AH2657" s="699"/>
      <c r="AI2657" s="512">
        <f>IF(H2657="credit",0,IF(AE2657="free",0,IF(AE2657="me",0,IF(G2657&gt;0,(VLOOKUP(A2657,'Discount Lookup'!J:K,2)*G2657),0))))</f>
        <v>0</v>
      </c>
      <c r="AJ2657" s="513" t="str">
        <f t="shared" ca="1" si="2073"/>
        <v/>
      </c>
      <c r="AK2657" s="700" t="str">
        <f t="shared" si="2074"/>
        <v/>
      </c>
      <c r="AL2657" s="700"/>
      <c r="AM2657" s="505" t="str">
        <f t="shared" si="2075"/>
        <v/>
      </c>
      <c r="AN2657" s="506"/>
      <c r="AO2657" s="507"/>
      <c r="AP2657" s="507"/>
      <c r="AQ2657" s="507"/>
      <c r="AR2657" s="507"/>
      <c r="AS2657" s="507"/>
      <c r="AT2657" s="507"/>
      <c r="AU2657" s="507"/>
      <c r="AV2657" s="225"/>
      <c r="AW2657" s="508"/>
      <c r="AX2657" s="225"/>
      <c r="AY2657" s="225"/>
      <c r="AZ2657" s="225"/>
      <c r="BA2657" s="225"/>
      <c r="BB2657" s="225"/>
      <c r="BC2657" s="56"/>
      <c r="BD2657" s="56"/>
      <c r="BE2657" s="56"/>
      <c r="BF2657" s="107" t="str">
        <f t="shared" si="2076"/>
        <v>https://www.google.com/search?tbm=isch&amp;q=7%20G4</v>
      </c>
      <c r="BG2657" s="107" t="str">
        <f t="shared" si="2077"/>
        <v>O</v>
      </c>
      <c r="BH2657" s="254"/>
      <c r="BI2657" s="254"/>
    </row>
    <row r="2658" spans="1:61" customFormat="1" ht="27" x14ac:dyDescent="0.25">
      <c r="A2658" s="485">
        <v>15</v>
      </c>
      <c r="B2658" s="486" t="s">
        <v>291</v>
      </c>
      <c r="C2658" s="487" t="s">
        <v>1443</v>
      </c>
      <c r="D2658" s="488" t="s">
        <v>299</v>
      </c>
      <c r="E2658" s="489">
        <v>160.94999999999999</v>
      </c>
      <c r="F2658" s="516" t="s">
        <v>293</v>
      </c>
      <c r="G2658" s="232">
        <v>0</v>
      </c>
      <c r="H2658" s="658" t="str">
        <f>IF(G2658=0,"",IF(F2658="Buy",IF(G2658=1,"plant","plants"),IF(F2658&gt;0.01,"warranty","Error")))</f>
        <v/>
      </c>
      <c r="I2658" s="490">
        <f>IF(H2658="free",0,IF(H2658="credit",((E2658*(F2658))*G2658*-1),IF(F2658="Buy",(E2658*G2658),((E2658*(1-F2658))*G2658))))</f>
        <v>0</v>
      </c>
      <c r="J2658" s="490">
        <f>IF(H2658="warranty",0,(I2658*(_xlfn.SINGLE(SalesTaxPercentage))))</f>
        <v>0</v>
      </c>
      <c r="K2658" s="695">
        <f t="shared" ref="K2658" si="2086">I2658+J2658</f>
        <v>0</v>
      </c>
      <c r="L2658" s="695"/>
      <c r="M2658" s="659" t="str">
        <f>IF(AND(G2658&gt;0,E2658=0),"WARNING - no PRICE inserted",IF(H2658="free"," FREE ~ no charge this plant",IF(H2658="credit",CONCATENATE(" -$",ROUND(K2658*(1-T2GDiscount)*-1,2)," CREDIT after discount"),IF(T2GDiscount=0,"",IF(G2658=0,"",IF(F2658="Buy",CONCATENATE(" $",ROUND(K2658*(1-T2GDiscount),2)," with ",(T2GDiscount*100),"% discount"),CONCATENATE(" $",ROUND(K2658*(1-T2GDiscount),2)," with ",((T2GDiscount*100+F2658*100)-(T2GDiscount*100*F2658)),IF(F2658&gt;0,"% discounts",IF(NoWarrantyDiscount&gt;0,"% discounts","% discount")))))))))</f>
        <v/>
      </c>
      <c r="N2658" s="660"/>
      <c r="O2658" s="233"/>
      <c r="P2658" s="233"/>
      <c r="Q2658" s="233"/>
      <c r="R2658" s="233"/>
      <c r="S2658" s="233"/>
      <c r="T2658" s="508">
        <f t="shared" si="2065"/>
        <v>0</v>
      </c>
      <c r="U2658" s="225">
        <f>IF(NOT(ISNUMBER(G2658)), "", VLOOKUP(A2658,'Discount Lookup'!D:E,2,FALSE)*G2658)</f>
        <v>0</v>
      </c>
      <c r="V2658" s="225">
        <f>IF(NOT(ISNUMBER(G2658)), "", VLOOKUP(A2658,'Discount Lookup'!G:H,2,FALSE)*G2658)</f>
        <v>0</v>
      </c>
      <c r="W2658" s="508">
        <f t="shared" si="2066"/>
        <v>0</v>
      </c>
      <c r="X2658" s="508">
        <f t="shared" si="2067"/>
        <v>0</v>
      </c>
      <c r="Y2658" s="509" t="b">
        <f t="shared" si="2068"/>
        <v>0</v>
      </c>
      <c r="Z2658" s="510">
        <f t="shared" si="2069"/>
        <v>0</v>
      </c>
      <c r="AA2658" s="511"/>
      <c r="AB2658" s="511" t="str">
        <f t="shared" si="2070"/>
        <v/>
      </c>
      <c r="AC2658" s="698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698"/>
      <c r="AE2658" s="631" t="str">
        <f t="shared" si="2071"/>
        <v/>
      </c>
      <c r="AF2658" s="699" t="str">
        <f t="shared" si="2072"/>
        <v/>
      </c>
      <c r="AG2658" s="699"/>
      <c r="AH2658" s="699"/>
      <c r="AI2658" s="512">
        <f>IF(H2658="credit",0,IF(AE2658="free",0,IF(AE2658="me",0,IF(G2658&gt;0,(VLOOKUP(A2658,'Discount Lookup'!J:K,2)*G2658),0))))</f>
        <v>0</v>
      </c>
      <c r="AJ2658" s="513" t="str">
        <f t="shared" ca="1" si="2073"/>
        <v/>
      </c>
      <c r="AK2658" s="700" t="str">
        <f t="shared" si="2074"/>
        <v/>
      </c>
      <c r="AL2658" s="700"/>
      <c r="AM2658" s="505" t="str">
        <f t="shared" si="2075"/>
        <v/>
      </c>
      <c r="AN2658" s="506"/>
      <c r="AO2658" s="507"/>
      <c r="AP2658" s="507"/>
      <c r="AQ2658" s="507"/>
      <c r="AR2658" s="507"/>
      <c r="AS2658" s="507"/>
      <c r="AT2658" s="507"/>
      <c r="AU2658" s="507"/>
      <c r="AV2658" s="225"/>
      <c r="AW2658" s="508"/>
      <c r="AX2658" s="225"/>
      <c r="AY2658" s="225"/>
      <c r="AZ2658" s="225"/>
      <c r="BA2658" s="225"/>
      <c r="BB2658" s="225"/>
      <c r="BC2658" s="56"/>
      <c r="BD2658" s="56"/>
      <c r="BE2658" s="56"/>
      <c r="BF2658" s="107" t="str">
        <f t="shared" si="2076"/>
        <v>https://www.google.com/search?tbm=isch&amp;q=15%20G5</v>
      </c>
      <c r="BG2658" s="107" t="str">
        <f t="shared" si="2077"/>
        <v>O</v>
      </c>
      <c r="BH2658" s="254"/>
      <c r="BI2658" s="254"/>
    </row>
    <row r="2659" spans="1:61" customFormat="1" ht="15.75" x14ac:dyDescent="0.25">
      <c r="A2659" s="485">
        <v>15</v>
      </c>
      <c r="B2659" s="486" t="s">
        <v>291</v>
      </c>
      <c r="C2659" s="487" t="s">
        <v>3674</v>
      </c>
      <c r="D2659" s="488" t="s">
        <v>292</v>
      </c>
      <c r="E2659" s="489">
        <v>171.95</v>
      </c>
      <c r="F2659" s="516" t="s">
        <v>293</v>
      </c>
      <c r="G2659" s="232">
        <v>0</v>
      </c>
      <c r="H2659" s="658" t="str">
        <f>IF(G2659=0,"",IF(F2659="Buy",IF(G2659=1,"plant","plants"),IF(F2659&gt;0.01,"warranty","Error")))</f>
        <v/>
      </c>
      <c r="I2659" s="490">
        <f>IF(H2659="free",0,IF(H2659="credit",((E2659*(F2659))*G2659*-1),IF(F2659="Buy",(E2659*G2659),((E2659*(1-F2659))*G2659))))</f>
        <v>0</v>
      </c>
      <c r="J2659" s="490">
        <f>IF(H2659="warranty",0,(I2659*(_xlfn.SINGLE(SalesTaxPercentage))))</f>
        <v>0</v>
      </c>
      <c r="K2659" s="695">
        <f t="shared" ref="K2659" si="2087">I2659+J2659</f>
        <v>0</v>
      </c>
      <c r="L2659" s="695"/>
      <c r="M2659" s="659" t="str">
        <f>IF(AND(G2659&gt;0,E2659=0),"WARNING - no PRICE inserted",IF(H2659="free"," FREE ~ no charge this plant",IF(H2659="credit",CONCATENATE(" -$",ROUND(K2659*(1-T2GDiscount)*-1,2)," CREDIT after discount"),IF(T2GDiscount=0,"",IF(G2659=0,"",IF(F2659="Buy",CONCATENATE(" $",ROUND(K2659*(1-T2GDiscount),2)," with ",(T2GDiscount*100),"% discount"),CONCATENATE(" $",ROUND(K2659*(1-T2GDiscount),2)," with ",((T2GDiscount*100+F2659*100)-(T2GDiscount*100*F2659)),IF(F2659&gt;0,"% discounts",IF(NoWarrantyDiscount&gt;0,"% discounts","% discount")))))))))</f>
        <v/>
      </c>
      <c r="N2659" s="660"/>
      <c r="O2659" s="233"/>
      <c r="P2659" s="233"/>
      <c r="Q2659" s="233"/>
      <c r="R2659" s="233"/>
      <c r="S2659" s="233"/>
      <c r="T2659" s="508">
        <f t="shared" si="2065"/>
        <v>0</v>
      </c>
      <c r="U2659" s="225">
        <f>IF(NOT(ISNUMBER(G2659)), "", VLOOKUP(A2659,'Discount Lookup'!D:E,2,FALSE)*G2659)</f>
        <v>0</v>
      </c>
      <c r="V2659" s="225">
        <f>IF(NOT(ISNUMBER(G2659)), "", VLOOKUP(A2659,'Discount Lookup'!G:H,2,FALSE)*G2659)</f>
        <v>0</v>
      </c>
      <c r="W2659" s="508">
        <f t="shared" si="2066"/>
        <v>0</v>
      </c>
      <c r="X2659" s="508">
        <f t="shared" si="2067"/>
        <v>0</v>
      </c>
      <c r="Y2659" s="509" t="b">
        <f t="shared" si="2068"/>
        <v>0</v>
      </c>
      <c r="Z2659" s="510">
        <f t="shared" si="2069"/>
        <v>0</v>
      </c>
      <c r="AA2659" s="511"/>
      <c r="AB2659" s="511" t="str">
        <f t="shared" si="2070"/>
        <v/>
      </c>
      <c r="AC2659" s="698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698"/>
      <c r="AE2659" s="631" t="str">
        <f t="shared" si="2071"/>
        <v/>
      </c>
      <c r="AF2659" s="699" t="str">
        <f t="shared" si="2072"/>
        <v/>
      </c>
      <c r="AG2659" s="699"/>
      <c r="AH2659" s="699"/>
      <c r="AI2659" s="512">
        <f>IF(H2659="credit",0,IF(AE2659="free",0,IF(AE2659="me",0,IF(G2659&gt;0,(VLOOKUP(A2659,'Discount Lookup'!J:K,2)*G2659),0))))</f>
        <v>0</v>
      </c>
      <c r="AJ2659" s="513" t="str">
        <f t="shared" ca="1" si="2073"/>
        <v/>
      </c>
      <c r="AK2659" s="700" t="str">
        <f t="shared" si="2074"/>
        <v/>
      </c>
      <c r="AL2659" s="700"/>
      <c r="AM2659" s="505" t="str">
        <f t="shared" si="2075"/>
        <v/>
      </c>
      <c r="AN2659" s="506"/>
      <c r="AO2659" s="507"/>
      <c r="AP2659" s="507"/>
      <c r="AQ2659" s="507"/>
      <c r="AR2659" s="507"/>
      <c r="AS2659" s="507"/>
      <c r="AT2659" s="507"/>
      <c r="AU2659" s="507"/>
      <c r="AV2659" s="225"/>
      <c r="AW2659" s="508"/>
      <c r="AX2659" s="225"/>
      <c r="AY2659" s="225"/>
      <c r="AZ2659" s="225"/>
      <c r="BA2659" s="225"/>
      <c r="BB2659" s="225"/>
      <c r="BC2659" s="56"/>
      <c r="BD2659" s="56"/>
      <c r="BE2659" s="56"/>
      <c r="BF2659" s="107" t="str">
        <f t="shared" si="2076"/>
        <v>https://www.google.com/search?tbm=isch&amp;q=15%20G4</v>
      </c>
      <c r="BG2659" s="107" t="str">
        <f t="shared" si="2077"/>
        <v>O</v>
      </c>
      <c r="BH2659" s="254"/>
      <c r="BI2659" s="254"/>
    </row>
    <row r="2660" spans="1:61" customFormat="1" ht="15.75" x14ac:dyDescent="0.25">
      <c r="A2660" s="485">
        <v>25</v>
      </c>
      <c r="B2660" s="486" t="s">
        <v>291</v>
      </c>
      <c r="C2660" s="487" t="s">
        <v>4431</v>
      </c>
      <c r="D2660" s="488" t="s">
        <v>292</v>
      </c>
      <c r="E2660" s="489">
        <v>339.95</v>
      </c>
      <c r="F2660" s="516" t="s">
        <v>293</v>
      </c>
      <c r="G2660" s="232">
        <v>0</v>
      </c>
      <c r="H2660" s="658" t="str">
        <f>IF(G2660=0,"",IF(F2660="Buy",IF(G2660=1,"plant","plants"),IF(F2660&gt;0.01,"warranty","Error")))</f>
        <v/>
      </c>
      <c r="I2660" s="490">
        <f>IF(H2660="free",0,IF(H2660="credit",((E2660*(F2660))*G2660*-1),IF(F2660="Buy",(E2660*G2660),((E2660*(1-F2660))*G2660))))</f>
        <v>0</v>
      </c>
      <c r="J2660" s="490">
        <f>IF(H2660="warranty",0,(I2660*(_xlfn.SINGLE(SalesTaxPercentage))))</f>
        <v>0</v>
      </c>
      <c r="K2660" s="695">
        <f t="shared" ref="K2660" si="2088">I2660+J2660</f>
        <v>0</v>
      </c>
      <c r="L2660" s="695"/>
      <c r="M2660" s="659" t="str">
        <f>IF(AND(G2660&gt;0,E2660=0),"WARNING - no PRICE inserted",IF(H2660="free"," FREE ~ no charge this plant",IF(H2660="credit",CONCATENATE(" -$",ROUND(K2660*(1-T2GDiscount)*-1,2)," CREDIT after discount"),IF(T2GDiscount=0,"",IF(G2660=0,"",IF(F2660="Buy",CONCATENATE(" $",ROUND(K2660*(1-T2GDiscount),2)," with ",(T2GDiscount*100),"% discount"),CONCATENATE(" $",ROUND(K2660*(1-T2GDiscount),2)," with ",((T2GDiscount*100+F2660*100)-(T2GDiscount*100*F2660)),IF(F2660&gt;0,"% discounts",IF(NoWarrantyDiscount&gt;0,"% discounts","% discount")))))))))</f>
        <v/>
      </c>
      <c r="N2660" s="660"/>
      <c r="O2660" s="233"/>
      <c r="P2660" s="233"/>
      <c r="Q2660" s="233"/>
      <c r="R2660" s="233"/>
      <c r="S2660" s="233"/>
      <c r="T2660" s="508">
        <f t="shared" si="2065"/>
        <v>0</v>
      </c>
      <c r="U2660" s="225">
        <f>IF(NOT(ISNUMBER(G2660)), "", VLOOKUP(A2660,'Discount Lookup'!D:E,2,FALSE)*G2660)</f>
        <v>0</v>
      </c>
      <c r="V2660" s="225">
        <f>IF(NOT(ISNUMBER(G2660)), "", VLOOKUP(A2660,'Discount Lookup'!G:H,2,FALSE)*G2660)</f>
        <v>0</v>
      </c>
      <c r="W2660" s="508">
        <f t="shared" si="2066"/>
        <v>0</v>
      </c>
      <c r="X2660" s="508">
        <f t="shared" si="2067"/>
        <v>0</v>
      </c>
      <c r="Y2660" s="509" t="b">
        <f t="shared" si="2068"/>
        <v>0</v>
      </c>
      <c r="Z2660" s="510">
        <f t="shared" si="2069"/>
        <v>0</v>
      </c>
      <c r="AA2660" s="511"/>
      <c r="AB2660" s="511" t="str">
        <f t="shared" si="2070"/>
        <v/>
      </c>
      <c r="AC2660" s="698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698"/>
      <c r="AE2660" s="631" t="str">
        <f t="shared" si="2071"/>
        <v/>
      </c>
      <c r="AF2660" s="699" t="str">
        <f t="shared" si="2072"/>
        <v/>
      </c>
      <c r="AG2660" s="699"/>
      <c r="AH2660" s="699"/>
      <c r="AI2660" s="512">
        <f>IF(H2660="credit",0,IF(AE2660="free",0,IF(AE2660="me",0,IF(G2660&gt;0,(VLOOKUP(A2660,'Discount Lookup'!J:K,2)*G2660),0))))</f>
        <v>0</v>
      </c>
      <c r="AJ2660" s="513" t="str">
        <f t="shared" ca="1" si="2073"/>
        <v/>
      </c>
      <c r="AK2660" s="700" t="str">
        <f t="shared" si="2074"/>
        <v/>
      </c>
      <c r="AL2660" s="700"/>
      <c r="AM2660" s="505" t="str">
        <f t="shared" si="2075"/>
        <v/>
      </c>
      <c r="AN2660" s="506"/>
      <c r="AO2660" s="507"/>
      <c r="AP2660" s="507"/>
      <c r="AQ2660" s="507"/>
      <c r="AR2660" s="507"/>
      <c r="AS2660" s="507"/>
      <c r="AT2660" s="507"/>
      <c r="AU2660" s="507"/>
      <c r="AV2660" s="225"/>
      <c r="AW2660" s="508"/>
      <c r="AX2660" s="225"/>
      <c r="AY2660" s="225"/>
      <c r="AZ2660" s="225"/>
      <c r="BA2660" s="225"/>
      <c r="BB2660" s="225"/>
      <c r="BC2660" s="56"/>
      <c r="BD2660" s="56"/>
      <c r="BE2660" s="56"/>
      <c r="BF2660" s="107" t="str">
        <f t="shared" si="2076"/>
        <v>https://www.google.com/search?tbm=isch&amp;q=25%20G4</v>
      </c>
      <c r="BG2660" s="107" t="str">
        <f t="shared" si="2077"/>
        <v>O</v>
      </c>
      <c r="BH2660" s="254"/>
      <c r="BI2660" s="254"/>
    </row>
    <row r="2661" spans="1:61" customFormat="1" ht="15.75" x14ac:dyDescent="0.25">
      <c r="A2661" s="485">
        <v>30</v>
      </c>
      <c r="B2661" s="486" t="s">
        <v>291</v>
      </c>
      <c r="C2661" s="487" t="s">
        <v>2779</v>
      </c>
      <c r="D2661" s="488" t="s">
        <v>299</v>
      </c>
      <c r="E2661" s="489">
        <v>353.95</v>
      </c>
      <c r="F2661" s="516" t="s">
        <v>293</v>
      </c>
      <c r="G2661" s="232">
        <v>0</v>
      </c>
      <c r="H2661" s="658" t="str">
        <f>IF(G2661=0,"",IF(F2661="Buy",IF(G2661=1,"plant","plants"),IF(F2661&gt;0.01,"warranty","Error")))</f>
        <v/>
      </c>
      <c r="I2661" s="490">
        <f>IF(H2661="free",0,IF(H2661="credit",((E2661*(F2661))*G2661*-1),IF(F2661="Buy",(E2661*G2661),((E2661*(1-F2661))*G2661))))</f>
        <v>0</v>
      </c>
      <c r="J2661" s="490">
        <f>IF(H2661="warranty",0,(I2661*(_xlfn.SINGLE(SalesTaxPercentage))))</f>
        <v>0</v>
      </c>
      <c r="K2661" s="695">
        <f t="shared" ref="K2661" si="2089">I2661+J2661</f>
        <v>0</v>
      </c>
      <c r="L2661" s="695"/>
      <c r="M2661" s="659" t="str">
        <f>IF(AND(G2661&gt;0,E2661=0),"WARNING - no PRICE inserted",IF(H2661="free"," FREE ~ no charge this plant",IF(H2661="credit",CONCATENATE(" -$",ROUND(K2661*(1-T2GDiscount)*-1,2)," CREDIT after discount"),IF(T2GDiscount=0,"",IF(G2661=0,"",IF(F2661="Buy",CONCATENATE(" $",ROUND(K2661*(1-T2GDiscount),2)," with ",(T2GDiscount*100),"% discount"),CONCATENATE(" $",ROUND(K2661*(1-T2GDiscount),2)," with ",((T2GDiscount*100+F2661*100)-(T2GDiscount*100*F2661)),IF(F2661&gt;0,"% discounts",IF(NoWarrantyDiscount&gt;0,"% discounts","% discount")))))))))</f>
        <v/>
      </c>
      <c r="N2661" s="660"/>
      <c r="O2661" s="233"/>
      <c r="P2661" s="233"/>
      <c r="Q2661" s="233"/>
      <c r="R2661" s="233"/>
      <c r="S2661" s="233"/>
      <c r="T2661" s="508">
        <f t="shared" si="2065"/>
        <v>0</v>
      </c>
      <c r="U2661" s="225">
        <f>IF(NOT(ISNUMBER(G2661)), "", VLOOKUP(A2661,'Discount Lookup'!D:E,2,FALSE)*G2661)</f>
        <v>0</v>
      </c>
      <c r="V2661" s="225">
        <f>IF(NOT(ISNUMBER(G2661)), "", VLOOKUP(A2661,'Discount Lookup'!G:H,2,FALSE)*G2661)</f>
        <v>0</v>
      </c>
      <c r="W2661" s="508">
        <f t="shared" si="2066"/>
        <v>0</v>
      </c>
      <c r="X2661" s="508">
        <f t="shared" si="2067"/>
        <v>0</v>
      </c>
      <c r="Y2661" s="509" t="b">
        <f t="shared" si="2068"/>
        <v>0</v>
      </c>
      <c r="Z2661" s="510">
        <f t="shared" si="2069"/>
        <v>0</v>
      </c>
      <c r="AA2661" s="511"/>
      <c r="AB2661" s="511" t="str">
        <f t="shared" si="2070"/>
        <v/>
      </c>
      <c r="AC2661" s="698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698"/>
      <c r="AE2661" s="631" t="str">
        <f t="shared" si="2071"/>
        <v/>
      </c>
      <c r="AF2661" s="699" t="str">
        <f t="shared" si="2072"/>
        <v/>
      </c>
      <c r="AG2661" s="699"/>
      <c r="AH2661" s="699"/>
      <c r="AI2661" s="512">
        <f>IF(H2661="credit",0,IF(AE2661="free",0,IF(AE2661="me",0,IF(G2661&gt;0,(VLOOKUP(A2661,'Discount Lookup'!J:K,2)*G2661),0))))</f>
        <v>0</v>
      </c>
      <c r="AJ2661" s="513" t="str">
        <f t="shared" ca="1" si="2073"/>
        <v/>
      </c>
      <c r="AK2661" s="700" t="str">
        <f t="shared" si="2074"/>
        <v/>
      </c>
      <c r="AL2661" s="700"/>
      <c r="AM2661" s="505" t="str">
        <f t="shared" si="2075"/>
        <v/>
      </c>
      <c r="AN2661" s="506"/>
      <c r="AO2661" s="507"/>
      <c r="AP2661" s="507"/>
      <c r="AQ2661" s="507"/>
      <c r="AR2661" s="507"/>
      <c r="AS2661" s="507"/>
      <c r="AT2661" s="507"/>
      <c r="AU2661" s="507"/>
      <c r="AV2661" s="225"/>
      <c r="AW2661" s="508"/>
      <c r="AX2661" s="225"/>
      <c r="AY2661" s="225"/>
      <c r="AZ2661" s="225"/>
      <c r="BA2661" s="225"/>
      <c r="BB2661" s="225"/>
      <c r="BC2661" s="56"/>
      <c r="BD2661" s="56"/>
      <c r="BE2661" s="56"/>
      <c r="BF2661" s="107" t="str">
        <f t="shared" si="2076"/>
        <v>https://www.google.com/search?tbm=isch&amp;q=30%20G5</v>
      </c>
      <c r="BG2661" s="107" t="str">
        <f t="shared" si="2077"/>
        <v>O</v>
      </c>
      <c r="BH2661" s="254"/>
      <c r="BI2661" s="254"/>
    </row>
    <row r="2662" spans="1:61" customFormat="1" ht="17.25" thickBot="1" x14ac:dyDescent="0.3">
      <c r="A2662" s="522" t="s">
        <v>2171</v>
      </c>
      <c r="B2662" s="491"/>
      <c r="C2662" s="675"/>
      <c r="D2662" s="491"/>
      <c r="E2662" s="491"/>
      <c r="F2662" s="492"/>
      <c r="G2662" s="493"/>
      <c r="H2662" s="491"/>
      <c r="I2662" s="234"/>
      <c r="J2662" s="234"/>
      <c r="K2662" s="494"/>
      <c r="L2662" s="543"/>
      <c r="M2662" s="561"/>
      <c r="N2662" s="495"/>
      <c r="O2662" s="496"/>
      <c r="P2662" s="497"/>
      <c r="Q2662" s="495"/>
      <c r="R2662" s="495"/>
      <c r="S2662" s="667" t="s">
        <v>5004</v>
      </c>
      <c r="T2662" s="508">
        <f t="shared" si="2065"/>
        <v>0</v>
      </c>
      <c r="U2662" s="225" t="str">
        <f>IF(NOT(ISNUMBER(G2662)), "", VLOOKUP(A2662,'Discount Lookup'!D:E,2,FALSE)*G2662)</f>
        <v/>
      </c>
      <c r="V2662" s="225" t="str">
        <f>IF(NOT(ISNUMBER(G2662)), "", VLOOKUP(A2662,'Discount Lookup'!G:H,2,FALSE)*G2662)</f>
        <v/>
      </c>
      <c r="W2662" s="508">
        <f t="shared" si="2066"/>
        <v>0</v>
      </c>
      <c r="X2662" s="508">
        <f t="shared" si="2067"/>
        <v>0</v>
      </c>
      <c r="Y2662" s="509" t="b">
        <f t="shared" si="2068"/>
        <v>0</v>
      </c>
      <c r="Z2662" s="510">
        <f t="shared" si="2069"/>
        <v>0</v>
      </c>
      <c r="AA2662" s="511"/>
      <c r="AB2662" s="511" t="str">
        <f t="shared" si="2070"/>
        <v/>
      </c>
      <c r="AC2662" s="698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698"/>
      <c r="AE2662" s="631" t="str">
        <f t="shared" si="2071"/>
        <v/>
      </c>
      <c r="AF2662" s="699" t="str">
        <f t="shared" si="2072"/>
        <v/>
      </c>
      <c r="AG2662" s="699"/>
      <c r="AH2662" s="699"/>
      <c r="AI2662" s="512">
        <f>IF(H2662="credit",0,IF(AE2662="free",0,IF(AE2662="me",0,IF(G2662&gt;0,(VLOOKUP(A2662,'Discount Lookup'!J:K,2)*G2662),0))))</f>
        <v>0</v>
      </c>
      <c r="AJ2662" s="513" t="str">
        <f t="shared" ca="1" si="2073"/>
        <v/>
      </c>
      <c r="AK2662" s="700" t="str">
        <f t="shared" si="2074"/>
        <v/>
      </c>
      <c r="AL2662" s="700"/>
      <c r="AM2662" s="505" t="str">
        <f t="shared" si="2075"/>
        <v/>
      </c>
      <c r="AN2662" s="506"/>
      <c r="AO2662" s="507"/>
      <c r="AP2662" s="507"/>
      <c r="AQ2662" s="507"/>
      <c r="AR2662" s="507"/>
      <c r="AS2662" s="507"/>
      <c r="AT2662" s="507"/>
      <c r="AU2662" s="507"/>
      <c r="AV2662" s="225"/>
      <c r="AW2662" s="508"/>
      <c r="AX2662" s="225"/>
      <c r="AY2662" s="225"/>
      <c r="AZ2662" s="225"/>
      <c r="BA2662" s="225"/>
      <c r="BB2662" s="225"/>
      <c r="BC2662" s="56"/>
      <c r="BD2662" s="56"/>
      <c r="BE2662" s="56"/>
      <c r="BF2662" s="107" t="str">
        <f t="shared" si="2076"/>
        <v>https://www.google.com/search?tbm=isch&amp;q=Oakland%20has%20very%20oak%20leaf-shaped%20leaves.%20%27Perfect%27%20flowers%20are%20both%20male%20%26%20female%20%26%20able%20to%20pollinate%20other%20Hollies%20</v>
      </c>
      <c r="BG2662" s="107" t="str">
        <f t="shared" si="2077"/>
        <v>O</v>
      </c>
      <c r="BH2662" s="254"/>
      <c r="BI2662" s="254"/>
    </row>
    <row r="2663" spans="1:61" customFormat="1" ht="18" x14ac:dyDescent="0.25">
      <c r="A2663" s="521" t="s">
        <v>5473</v>
      </c>
      <c r="B2663" s="477"/>
      <c r="C2663" s="674"/>
      <c r="D2663" s="478" t="s">
        <v>1444</v>
      </c>
      <c r="E2663" s="479"/>
      <c r="F2663" s="479"/>
      <c r="G2663" s="479"/>
      <c r="H2663" s="582" t="s">
        <v>441</v>
      </c>
      <c r="I2663" s="480" t="s">
        <v>2932</v>
      </c>
      <c r="J2663" s="479"/>
      <c r="K2663" s="479"/>
      <c r="L2663" s="560"/>
      <c r="M2663" s="666" t="s">
        <v>4966</v>
      </c>
      <c r="N2663" s="680" t="str">
        <f>IF(AND(ISTEXT($A2663), ISERROR($A2663+0)), HYPERLINK($BF2663, "Images"), "")</f>
        <v>Images</v>
      </c>
      <c r="O2663" s="662" t="s">
        <v>4967</v>
      </c>
      <c r="P2663" s="482"/>
      <c r="Q2663" s="483"/>
      <c r="R2663" s="483"/>
      <c r="S2663" s="484"/>
      <c r="T2663" s="508">
        <f t="shared" si="2065"/>
        <v>0</v>
      </c>
      <c r="U2663" s="225" t="str">
        <f>IF(NOT(ISNUMBER(G2663)), "", VLOOKUP(A2663,'Discount Lookup'!D:E,2,FALSE)*G2663)</f>
        <v/>
      </c>
      <c r="V2663" s="225" t="str">
        <f>IF(NOT(ISNUMBER(G2663)), "", VLOOKUP(A2663,'Discount Lookup'!G:H,2,FALSE)*G2663)</f>
        <v/>
      </c>
      <c r="W2663" s="508">
        <f t="shared" si="2066"/>
        <v>0</v>
      </c>
      <c r="X2663" s="508" t="str">
        <f t="shared" si="2067"/>
        <v>Green &amp; Red foliage</v>
      </c>
      <c r="Y2663" s="509" t="b">
        <f t="shared" si="2068"/>
        <v>0</v>
      </c>
      <c r="Z2663" s="510">
        <f t="shared" si="2069"/>
        <v>0</v>
      </c>
      <c r="AA2663" s="511"/>
      <c r="AB2663" s="511" t="str">
        <f t="shared" si="2070"/>
        <v/>
      </c>
      <c r="AC2663" s="698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698"/>
      <c r="AE2663" s="631" t="str">
        <f t="shared" si="2071"/>
        <v/>
      </c>
      <c r="AF2663" s="699" t="str">
        <f t="shared" si="2072"/>
        <v/>
      </c>
      <c r="AG2663" s="699"/>
      <c r="AH2663" s="699"/>
      <c r="AI2663" s="512">
        <f>IF(H2663="credit",0,IF(AE2663="free",0,IF(AE2663="me",0,IF(G2663&gt;0,(VLOOKUP(A2663,'Discount Lookup'!J:K,2)*G2663),0))))</f>
        <v>0</v>
      </c>
      <c r="AJ2663" s="513" t="str">
        <f t="shared" ca="1" si="2073"/>
        <v/>
      </c>
      <c r="AK2663" s="700" t="str">
        <f t="shared" si="2074"/>
        <v/>
      </c>
      <c r="AL2663" s="700"/>
      <c r="AM2663" s="505" t="str">
        <f t="shared" si="2075"/>
        <v/>
      </c>
      <c r="AN2663" s="506"/>
      <c r="AO2663" s="507"/>
      <c r="AP2663" s="507"/>
      <c r="AQ2663" s="507"/>
      <c r="AR2663" s="507"/>
      <c r="AS2663" s="507"/>
      <c r="AT2663" s="507"/>
      <c r="AU2663" s="507"/>
      <c r="AV2663" s="225"/>
      <c r="AW2663" s="508"/>
      <c r="AX2663" s="225"/>
      <c r="AY2663" s="225"/>
      <c r="AZ2663" s="225"/>
      <c r="BA2663" s="225"/>
      <c r="BB2663" s="225"/>
      <c r="BC2663" s="56"/>
      <c r="BD2663" s="56"/>
      <c r="BE2663" s="56"/>
      <c r="BF2663" s="107" t="str">
        <f t="shared" si="2076"/>
        <v>https://www.google.com/search?tbm=isch&amp;q=Obsession%E2%84%A2%20Nandina%20Nandina%20domestica%20%27Seika%27%20PP%2321891</v>
      </c>
      <c r="BG2663" s="107" t="str">
        <f t="shared" si="2077"/>
        <v>O</v>
      </c>
      <c r="BH2663" s="254"/>
      <c r="BI2663" s="254"/>
    </row>
    <row r="2664" spans="1:61" customFormat="1" ht="15.75" x14ac:dyDescent="0.25">
      <c r="A2664" s="485">
        <v>1</v>
      </c>
      <c r="B2664" s="486" t="s">
        <v>291</v>
      </c>
      <c r="C2664" s="487" t="s">
        <v>3047</v>
      </c>
      <c r="D2664" s="488" t="s">
        <v>312</v>
      </c>
      <c r="E2664" s="489">
        <v>28.95</v>
      </c>
      <c r="F2664" s="516" t="s">
        <v>293</v>
      </c>
      <c r="G2664" s="232">
        <v>0</v>
      </c>
      <c r="H2664" s="658" t="str">
        <f>IF(G2664=0,"",IF(F2664="Buy",IF(G2664=1,"plant","plants"),IF(F2664&gt;0.01,"warranty","Error")))</f>
        <v/>
      </c>
      <c r="I2664" s="490">
        <f>IF(H2664="free",0,IF(H2664="credit",((E2664*(F2664))*G2664*-1),IF(F2664="Buy",(E2664*G2664),((E2664*(1-F2664))*G2664))))</f>
        <v>0</v>
      </c>
      <c r="J2664" s="490">
        <f>IF(H2664="warranty",0,(I2664*(_xlfn.SINGLE(SalesTaxPercentage))))</f>
        <v>0</v>
      </c>
      <c r="K2664" s="695">
        <f t="shared" ref="K2664" si="2090">I2664+J2664</f>
        <v>0</v>
      </c>
      <c r="L2664" s="695"/>
      <c r="M2664" s="659" t="str">
        <f>IF(AND(G2664&gt;0,E2664=0),"WARNING - no PRICE inserted",IF(H2664="free"," FREE ~ no charge this plant",IF(H2664="credit",CONCATENATE(" -$",ROUND(K2664*(1-T2GDiscount)*-1,2)," CREDIT after discount"),IF(T2GDiscount=0,"",IF(G2664=0,"",IF(F2664="Buy",CONCATENATE(" $",ROUND(K2664*(1-T2GDiscount),2)," with ",(T2GDiscount*100),"% discount"),CONCATENATE(" $",ROUND(K2664*(1-T2GDiscount),2)," with ",((T2GDiscount*100+F2664*100)-(T2GDiscount*100*F2664)),IF(F2664&gt;0,"% discounts",IF(NoWarrantyDiscount&gt;0,"% discounts","% discount")))))))))</f>
        <v/>
      </c>
      <c r="N2664" s="660"/>
      <c r="O2664" s="233"/>
      <c r="P2664" s="233"/>
      <c r="Q2664" s="233"/>
      <c r="R2664" s="233"/>
      <c r="S2664" s="233"/>
      <c r="T2664" s="508">
        <f t="shared" si="2065"/>
        <v>0</v>
      </c>
      <c r="U2664" s="225">
        <f>IF(NOT(ISNUMBER(G2664)), "", VLOOKUP(A2664,'Discount Lookup'!D:E,2,FALSE)*G2664)</f>
        <v>0</v>
      </c>
      <c r="V2664" s="225">
        <f>IF(NOT(ISNUMBER(G2664)), "", VLOOKUP(A2664,'Discount Lookup'!G:H,2,FALSE)*G2664)</f>
        <v>0</v>
      </c>
      <c r="W2664" s="508">
        <f t="shared" si="2066"/>
        <v>0</v>
      </c>
      <c r="X2664" s="508">
        <f t="shared" si="2067"/>
        <v>0</v>
      </c>
      <c r="Y2664" s="509" t="b">
        <f t="shared" si="2068"/>
        <v>0</v>
      </c>
      <c r="Z2664" s="510">
        <f t="shared" si="2069"/>
        <v>0</v>
      </c>
      <c r="AA2664" s="511"/>
      <c r="AB2664" s="511" t="str">
        <f t="shared" si="2070"/>
        <v/>
      </c>
      <c r="AC2664" s="698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698"/>
      <c r="AE2664" s="631" t="str">
        <f t="shared" si="2071"/>
        <v/>
      </c>
      <c r="AF2664" s="699" t="str">
        <f t="shared" si="2072"/>
        <v/>
      </c>
      <c r="AG2664" s="699"/>
      <c r="AH2664" s="699"/>
      <c r="AI2664" s="512">
        <f>IF(H2664="credit",0,IF(AE2664="free",0,IF(AE2664="me",0,IF(G2664&gt;0,(VLOOKUP(A2664,'Discount Lookup'!J:K,2)*G2664),0))))</f>
        <v>0</v>
      </c>
      <c r="AJ2664" s="513" t="str">
        <f t="shared" ca="1" si="2073"/>
        <v/>
      </c>
      <c r="AK2664" s="700" t="str">
        <f t="shared" si="2074"/>
        <v/>
      </c>
      <c r="AL2664" s="700"/>
      <c r="AM2664" s="505" t="str">
        <f t="shared" si="2075"/>
        <v/>
      </c>
      <c r="AN2664" s="506"/>
      <c r="AO2664" s="507"/>
      <c r="AP2664" s="507"/>
      <c r="AQ2664" s="507"/>
      <c r="AR2664" s="507"/>
      <c r="AS2664" s="507"/>
      <c r="AT2664" s="507"/>
      <c r="AU2664" s="507"/>
      <c r="AV2664" s="225"/>
      <c r="AW2664" s="508"/>
      <c r="AX2664" s="225"/>
      <c r="AY2664" s="225"/>
      <c r="AZ2664" s="225"/>
      <c r="BA2664" s="225"/>
      <c r="BB2664" s="225"/>
      <c r="BC2664" s="56"/>
      <c r="BD2664" s="56"/>
      <c r="BE2664" s="56"/>
      <c r="BF2664" s="107" t="str">
        <f t="shared" si="2076"/>
        <v>https://www.google.com/search?tbm=isch&amp;q=1%20G2</v>
      </c>
      <c r="BG2664" s="107" t="str">
        <f t="shared" si="2077"/>
        <v>O</v>
      </c>
      <c r="BH2664" s="254"/>
      <c r="BI2664" s="254"/>
    </row>
    <row r="2665" spans="1:61" customFormat="1" ht="16.5" thickBot="1" x14ac:dyDescent="0.3">
      <c r="A2665" s="522" t="s">
        <v>2964</v>
      </c>
      <c r="B2665" s="491"/>
      <c r="C2665" s="675"/>
      <c r="D2665" s="491"/>
      <c r="E2665" s="491"/>
      <c r="F2665" s="492"/>
      <c r="G2665" s="493"/>
      <c r="H2665" s="491"/>
      <c r="I2665" s="234"/>
      <c r="J2665" s="234"/>
      <c r="K2665" s="494"/>
      <c r="L2665" s="543"/>
      <c r="M2665" s="561"/>
      <c r="N2665" s="495"/>
      <c r="O2665" s="496"/>
      <c r="P2665" s="497"/>
      <c r="Q2665" s="495"/>
      <c r="R2665" s="495"/>
      <c r="S2665" s="277"/>
      <c r="T2665" s="508">
        <f t="shared" si="2065"/>
        <v>0</v>
      </c>
      <c r="U2665" s="225" t="str">
        <f>IF(NOT(ISNUMBER(G2665)), "", VLOOKUP(A2665,'Discount Lookup'!D:E,2,FALSE)*G2665)</f>
        <v/>
      </c>
      <c r="V2665" s="225" t="str">
        <f>IF(NOT(ISNUMBER(G2665)), "", VLOOKUP(A2665,'Discount Lookup'!G:H,2,FALSE)*G2665)</f>
        <v/>
      </c>
      <c r="W2665" s="508">
        <f t="shared" si="2066"/>
        <v>0</v>
      </c>
      <c r="X2665" s="508">
        <f t="shared" si="2067"/>
        <v>0</v>
      </c>
      <c r="Y2665" s="509" t="b">
        <f t="shared" si="2068"/>
        <v>0</v>
      </c>
      <c r="Z2665" s="510">
        <f t="shared" si="2069"/>
        <v>0</v>
      </c>
      <c r="AA2665" s="511"/>
      <c r="AB2665" s="511" t="str">
        <f t="shared" si="2070"/>
        <v/>
      </c>
      <c r="AC2665" s="698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698"/>
      <c r="AE2665" s="631" t="str">
        <f t="shared" si="2071"/>
        <v/>
      </c>
      <c r="AF2665" s="699" t="str">
        <f t="shared" si="2072"/>
        <v/>
      </c>
      <c r="AG2665" s="699"/>
      <c r="AH2665" s="699"/>
      <c r="AI2665" s="512">
        <f>IF(H2665="credit",0,IF(AE2665="free",0,IF(AE2665="me",0,IF(G2665&gt;0,(VLOOKUP(A2665,'Discount Lookup'!J:K,2)*G2665),0))))</f>
        <v>0</v>
      </c>
      <c r="AJ2665" s="513" t="str">
        <f t="shared" ca="1" si="2073"/>
        <v/>
      </c>
      <c r="AK2665" s="700" t="str">
        <f t="shared" si="2074"/>
        <v/>
      </c>
      <c r="AL2665" s="700"/>
      <c r="AM2665" s="505" t="str">
        <f t="shared" si="2075"/>
        <v/>
      </c>
      <c r="AN2665" s="506"/>
      <c r="AO2665" s="507"/>
      <c r="AP2665" s="507"/>
      <c r="AQ2665" s="507"/>
      <c r="AR2665" s="507"/>
      <c r="AS2665" s="507"/>
      <c r="AT2665" s="507"/>
      <c r="AU2665" s="507"/>
      <c r="AV2665" s="225"/>
      <c r="AW2665" s="508"/>
      <c r="AX2665" s="225"/>
      <c r="AY2665" s="225"/>
      <c r="AZ2665" s="225"/>
      <c r="BA2665" s="225"/>
      <c r="BB2665" s="225"/>
      <c r="BC2665" s="56"/>
      <c r="BD2665" s="56"/>
      <c r="BE2665" s="56"/>
      <c r="BF2665" s="107" t="str">
        <f t="shared" si="2076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665" s="107" t="str">
        <f t="shared" si="2077"/>
        <v>O</v>
      </c>
      <c r="BH2665" s="254"/>
      <c r="BI2665" s="254"/>
    </row>
    <row r="2666" spans="1:61" customFormat="1" ht="18" x14ac:dyDescent="0.25">
      <c r="A2666" s="523" t="s">
        <v>5474</v>
      </c>
      <c r="B2666" s="235"/>
      <c r="C2666" s="676"/>
      <c r="D2666" s="255" t="s">
        <v>1445</v>
      </c>
      <c r="E2666" s="236"/>
      <c r="F2666" s="236"/>
      <c r="G2666" s="236"/>
      <c r="H2666" s="582" t="s">
        <v>1844</v>
      </c>
      <c r="I2666" s="498" t="s">
        <v>2093</v>
      </c>
      <c r="J2666" s="237"/>
      <c r="K2666" s="237"/>
      <c r="L2666" s="274"/>
      <c r="M2666" s="668" t="s">
        <v>4962</v>
      </c>
      <c r="N2666" s="681" t="str">
        <f>IF(AND(ISTEXT($A2666), ISERROR($A2666+0)), HYPERLINK($BF2666, "Images"), "")</f>
        <v>Images</v>
      </c>
      <c r="O2666" s="663" t="s">
        <v>4967</v>
      </c>
      <c r="P2666" s="253"/>
      <c r="Q2666" s="238"/>
      <c r="R2666" s="239"/>
      <c r="S2666" s="275" t="s">
        <v>305</v>
      </c>
      <c r="T2666" s="508">
        <f t="shared" si="2065"/>
        <v>0</v>
      </c>
      <c r="U2666" s="225" t="str">
        <f>IF(NOT(ISNUMBER(G2666)), "", VLOOKUP(A2666,'Discount Lookup'!D:E,2,FALSE)*G2666)</f>
        <v/>
      </c>
      <c r="V2666" s="225" t="str">
        <f>IF(NOT(ISNUMBER(G2666)), "", VLOOKUP(A2666,'Discount Lookup'!G:H,2,FALSE)*G2666)</f>
        <v/>
      </c>
      <c r="W2666" s="508">
        <f t="shared" si="2066"/>
        <v>0</v>
      </c>
      <c r="X2666" s="508" t="str">
        <f t="shared" si="2067"/>
        <v>Dark Green foliage</v>
      </c>
      <c r="Y2666" s="509" t="b">
        <f t="shared" si="2068"/>
        <v>0</v>
      </c>
      <c r="Z2666" s="510">
        <f t="shared" si="2069"/>
        <v>0</v>
      </c>
      <c r="AA2666" s="511"/>
      <c r="AB2666" s="511" t="str">
        <f t="shared" si="2070"/>
        <v/>
      </c>
      <c r="AC2666" s="698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698"/>
      <c r="AE2666" s="631" t="str">
        <f t="shared" si="2071"/>
        <v/>
      </c>
      <c r="AF2666" s="699" t="str">
        <f t="shared" si="2072"/>
        <v/>
      </c>
      <c r="AG2666" s="699"/>
      <c r="AH2666" s="699"/>
      <c r="AI2666" s="512">
        <f>IF(H2666="credit",0,IF(AE2666="free",0,IF(AE2666="me",0,IF(G2666&gt;0,(VLOOKUP(A2666,'Discount Lookup'!J:K,2)*G2666),0))))</f>
        <v>0</v>
      </c>
      <c r="AJ2666" s="513" t="str">
        <f t="shared" ca="1" si="2073"/>
        <v/>
      </c>
      <c r="AK2666" s="700" t="str">
        <f t="shared" si="2074"/>
        <v/>
      </c>
      <c r="AL2666" s="700"/>
      <c r="AM2666" s="505" t="str">
        <f t="shared" si="2075"/>
        <v/>
      </c>
      <c r="AN2666" s="506"/>
      <c r="AO2666" s="507"/>
      <c r="AP2666" s="507"/>
      <c r="AQ2666" s="507"/>
      <c r="AR2666" s="507"/>
      <c r="AS2666" s="507"/>
      <c r="AT2666" s="507"/>
      <c r="AU2666" s="507"/>
      <c r="AV2666" s="225"/>
      <c r="AW2666" s="508"/>
      <c r="AX2666" s="225"/>
      <c r="AY2666" s="225"/>
      <c r="AZ2666" s="225"/>
      <c r="BA2666" s="225"/>
      <c r="BB2666" s="225"/>
      <c r="BC2666" s="56"/>
      <c r="BD2666" s="56"/>
      <c r="BE2666" s="56"/>
      <c r="BF2666" s="107" t="str">
        <f t="shared" si="2076"/>
        <v>https://www.google.com/search?tbm=isch&amp;q=October%20Glory%C2%AE%20Red%20Maple%20Acer%20rubrum%20%27October%20Glory%27%20PP%232116Exp.</v>
      </c>
      <c r="BG2666" s="107" t="str">
        <f t="shared" si="2077"/>
        <v>O</v>
      </c>
      <c r="BH2666" s="254"/>
      <c r="BI2666" s="254"/>
    </row>
    <row r="2667" spans="1:61" customFormat="1" ht="15.75" x14ac:dyDescent="0.25">
      <c r="A2667" s="276">
        <v>15</v>
      </c>
      <c r="B2667" s="240" t="s">
        <v>291</v>
      </c>
      <c r="C2667" s="241" t="s">
        <v>3675</v>
      </c>
      <c r="D2667" s="242" t="s">
        <v>292</v>
      </c>
      <c r="E2667" s="243">
        <v>178.95</v>
      </c>
      <c r="F2667" s="517" t="s">
        <v>293</v>
      </c>
      <c r="G2667" s="232">
        <v>0</v>
      </c>
      <c r="H2667" s="661" t="str">
        <f>IF(G2667=0,"",IF(F2667="Buy",IF(G2667=1,"plant","plants"),IF(F2667&gt;0.01,"warranty","Error")))</f>
        <v/>
      </c>
      <c r="I2667" s="244">
        <f>IF(H2667="free",0,IF(H2667="credit",((E2667*(F2667))*G2667*-1),IF(F2667="Buy",(E2667*G2667),((E2667*(1-F2667))*G2667))))</f>
        <v>0</v>
      </c>
      <c r="J2667" s="244">
        <f>IF(H2667="warranty",0,(I2667*(_xlfn.SINGLE(SalesTaxPercentage))))</f>
        <v>0</v>
      </c>
      <c r="K2667" s="696">
        <f t="shared" ref="K2667" si="2091">I2667+J2667</f>
        <v>0</v>
      </c>
      <c r="L2667" s="696"/>
      <c r="M2667" s="659" t="str">
        <f>IF(AND(G2667&gt;0,E2667=0),"WARNING - no PRICE inserted",IF(H2667="free"," FREE ~ no charge this plant",IF(H2667="credit",CONCATENATE(" -$",ROUND(K2667*(1-T2GDiscount)*-1,2)," CREDIT after discount"),IF(T2GDiscount=0,"",IF(G2667=0,"",IF(F2667="Buy",CONCATENATE(" $",ROUND(K2667*(1-T2GDiscount),2)," with ",(T2GDiscount*100),"% discount"),CONCATENATE(" $",ROUND(K2667*(1-T2GDiscount),2)," with ",((T2GDiscount*100+F2667*100)-(T2GDiscount*100*F2667)),IF(F2667&gt;0,"% discounts",IF(NoWarrantyDiscount&gt;0,"% discounts","% discount")))))))))</f>
        <v/>
      </c>
      <c r="N2667" s="660"/>
      <c r="O2667" s="233"/>
      <c r="P2667" s="233"/>
      <c r="Q2667" s="233"/>
      <c r="R2667" s="233"/>
      <c r="S2667" s="233"/>
      <c r="T2667" s="508">
        <f t="shared" si="2065"/>
        <v>0</v>
      </c>
      <c r="U2667" s="225">
        <f>IF(NOT(ISNUMBER(G2667)), "", VLOOKUP(A2667,'Discount Lookup'!D:E,2,FALSE)*G2667)</f>
        <v>0</v>
      </c>
      <c r="V2667" s="225">
        <f>IF(NOT(ISNUMBER(G2667)), "", VLOOKUP(A2667,'Discount Lookup'!G:H,2,FALSE)*G2667)</f>
        <v>0</v>
      </c>
      <c r="W2667" s="508">
        <f t="shared" si="2066"/>
        <v>0</v>
      </c>
      <c r="X2667" s="508">
        <f t="shared" si="2067"/>
        <v>0</v>
      </c>
      <c r="Y2667" s="509" t="b">
        <f t="shared" si="2068"/>
        <v>0</v>
      </c>
      <c r="Z2667" s="510">
        <f t="shared" si="2069"/>
        <v>0</v>
      </c>
      <c r="AA2667" s="511"/>
      <c r="AB2667" s="511" t="str">
        <f t="shared" si="2070"/>
        <v/>
      </c>
      <c r="AC2667" s="698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698"/>
      <c r="AE2667" s="631" t="str">
        <f t="shared" si="2071"/>
        <v/>
      </c>
      <c r="AF2667" s="699" t="str">
        <f t="shared" si="2072"/>
        <v/>
      </c>
      <c r="AG2667" s="699"/>
      <c r="AH2667" s="699"/>
      <c r="AI2667" s="512">
        <f>IF(H2667="credit",0,IF(AE2667="free",0,IF(AE2667="me",0,IF(G2667&gt;0,(VLOOKUP(A2667,'Discount Lookup'!J:K,2)*G2667),0))))</f>
        <v>0</v>
      </c>
      <c r="AJ2667" s="513" t="str">
        <f t="shared" ca="1" si="2073"/>
        <v/>
      </c>
      <c r="AK2667" s="700" t="str">
        <f t="shared" si="2074"/>
        <v/>
      </c>
      <c r="AL2667" s="700"/>
      <c r="AM2667" s="505" t="str">
        <f t="shared" si="2075"/>
        <v/>
      </c>
      <c r="AN2667" s="506"/>
      <c r="AO2667" s="507"/>
      <c r="AP2667" s="507"/>
      <c r="AQ2667" s="507"/>
      <c r="AR2667" s="507"/>
      <c r="AS2667" s="507"/>
      <c r="AT2667" s="507"/>
      <c r="AU2667" s="507"/>
      <c r="AV2667" s="225"/>
      <c r="AW2667" s="508"/>
      <c r="AX2667" s="225"/>
      <c r="AY2667" s="225"/>
      <c r="AZ2667" s="225"/>
      <c r="BA2667" s="225"/>
      <c r="BB2667" s="225"/>
      <c r="BC2667" s="56"/>
      <c r="BD2667" s="56"/>
      <c r="BE2667" s="56"/>
      <c r="BF2667" s="107" t="str">
        <f t="shared" si="2076"/>
        <v>https://www.google.com/search?tbm=isch&amp;q=15%20G4</v>
      </c>
      <c r="BG2667" s="107" t="str">
        <f t="shared" si="2077"/>
        <v>O</v>
      </c>
      <c r="BH2667" s="254"/>
      <c r="BI2667" s="254"/>
    </row>
    <row r="2668" spans="1:61" customFormat="1" ht="27" x14ac:dyDescent="0.25">
      <c r="A2668" s="276">
        <v>25</v>
      </c>
      <c r="B2668" s="240" t="s">
        <v>291</v>
      </c>
      <c r="C2668" s="241" t="s">
        <v>3676</v>
      </c>
      <c r="D2668" s="242" t="s">
        <v>292</v>
      </c>
      <c r="E2668" s="243">
        <v>293.95</v>
      </c>
      <c r="F2668" s="517" t="s">
        <v>293</v>
      </c>
      <c r="G2668" s="232">
        <v>0</v>
      </c>
      <c r="H2668" s="661" t="str">
        <f>IF(G2668=0,"",IF(F2668="Buy",IF(G2668=1,"plant","plants"),IF(F2668&gt;0.01,"warranty","Error")))</f>
        <v/>
      </c>
      <c r="I2668" s="244">
        <f>IF(H2668="free",0,IF(H2668="credit",((E2668*(F2668))*G2668*-1),IF(F2668="Buy",(E2668*G2668),((E2668*(1-F2668))*G2668))))</f>
        <v>0</v>
      </c>
      <c r="J2668" s="244">
        <f>IF(H2668="warranty",0,(I2668*(_xlfn.SINGLE(SalesTaxPercentage))))</f>
        <v>0</v>
      </c>
      <c r="K2668" s="696">
        <f t="shared" ref="K2668" si="2092">I2668+J2668</f>
        <v>0</v>
      </c>
      <c r="L2668" s="696"/>
      <c r="M2668" s="659" t="str">
        <f>IF(AND(G2668&gt;0,E2668=0),"WARNING - no PRICE inserted",IF(H2668="free"," FREE ~ no charge this plant",IF(H2668="credit",CONCATENATE(" -$",ROUND(K2668*(1-T2GDiscount)*-1,2)," CREDIT after discount"),IF(T2GDiscount=0,"",IF(G2668=0,"",IF(F2668="Buy",CONCATENATE(" $",ROUND(K2668*(1-T2GDiscount),2)," with ",(T2GDiscount*100),"% discount"),CONCATENATE(" $",ROUND(K2668*(1-T2GDiscount),2)," with ",((T2GDiscount*100+F2668*100)-(T2GDiscount*100*F2668)),IF(F2668&gt;0,"% discounts",IF(NoWarrantyDiscount&gt;0,"% discounts","% discount")))))))))</f>
        <v/>
      </c>
      <c r="N2668" s="660"/>
      <c r="O2668" s="233"/>
      <c r="P2668" s="233"/>
      <c r="Q2668" s="233"/>
      <c r="R2668" s="233"/>
      <c r="S2668" s="233"/>
      <c r="T2668" s="508">
        <f t="shared" si="2065"/>
        <v>0</v>
      </c>
      <c r="U2668" s="225">
        <f>IF(NOT(ISNUMBER(G2668)), "", VLOOKUP(A2668,'Discount Lookup'!D:E,2,FALSE)*G2668)</f>
        <v>0</v>
      </c>
      <c r="V2668" s="225">
        <f>IF(NOT(ISNUMBER(G2668)), "", VLOOKUP(A2668,'Discount Lookup'!G:H,2,FALSE)*G2668)</f>
        <v>0</v>
      </c>
      <c r="W2668" s="508">
        <f t="shared" si="2066"/>
        <v>0</v>
      </c>
      <c r="X2668" s="508">
        <f t="shared" si="2067"/>
        <v>0</v>
      </c>
      <c r="Y2668" s="509" t="b">
        <f t="shared" si="2068"/>
        <v>0</v>
      </c>
      <c r="Z2668" s="510">
        <f t="shared" si="2069"/>
        <v>0</v>
      </c>
      <c r="AA2668" s="511"/>
      <c r="AB2668" s="511" t="str">
        <f t="shared" si="2070"/>
        <v/>
      </c>
      <c r="AC2668" s="698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698"/>
      <c r="AE2668" s="631" t="str">
        <f t="shared" si="2071"/>
        <v/>
      </c>
      <c r="AF2668" s="699" t="str">
        <f t="shared" si="2072"/>
        <v/>
      </c>
      <c r="AG2668" s="699"/>
      <c r="AH2668" s="699"/>
      <c r="AI2668" s="512">
        <f>IF(H2668="credit",0,IF(AE2668="free",0,IF(AE2668="me",0,IF(G2668&gt;0,(VLOOKUP(A2668,'Discount Lookup'!J:K,2)*G2668),0))))</f>
        <v>0</v>
      </c>
      <c r="AJ2668" s="513" t="str">
        <f t="shared" ca="1" si="2073"/>
        <v/>
      </c>
      <c r="AK2668" s="700" t="str">
        <f t="shared" si="2074"/>
        <v/>
      </c>
      <c r="AL2668" s="700"/>
      <c r="AM2668" s="505" t="str">
        <f t="shared" si="2075"/>
        <v/>
      </c>
      <c r="AN2668" s="506"/>
      <c r="AO2668" s="507"/>
      <c r="AP2668" s="507"/>
      <c r="AQ2668" s="507"/>
      <c r="AR2668" s="507"/>
      <c r="AS2668" s="507"/>
      <c r="AT2668" s="507"/>
      <c r="AU2668" s="507"/>
      <c r="AV2668" s="225"/>
      <c r="AW2668" s="508"/>
      <c r="AX2668" s="225"/>
      <c r="AY2668" s="225"/>
      <c r="AZ2668" s="225"/>
      <c r="BA2668" s="225"/>
      <c r="BB2668" s="225"/>
      <c r="BC2668" s="56"/>
      <c r="BD2668" s="56"/>
      <c r="BE2668" s="56"/>
      <c r="BF2668" s="107" t="str">
        <f t="shared" si="2076"/>
        <v>https://www.google.com/search?tbm=isch&amp;q=25%20G4</v>
      </c>
      <c r="BG2668" s="107" t="str">
        <f t="shared" si="2077"/>
        <v>O</v>
      </c>
      <c r="BH2668" s="254"/>
      <c r="BI2668" s="254"/>
    </row>
    <row r="2669" spans="1:61" customFormat="1" ht="17.25" thickBot="1" x14ac:dyDescent="0.3">
      <c r="A2669" s="673" t="s">
        <v>5186</v>
      </c>
      <c r="B2669" s="245"/>
      <c r="C2669" s="677"/>
      <c r="D2669" s="499"/>
      <c r="E2669" s="499"/>
      <c r="F2669" s="500"/>
      <c r="G2669" s="501"/>
      <c r="H2669" s="502"/>
      <c r="I2669" s="246"/>
      <c r="J2669" s="247"/>
      <c r="K2669" s="503"/>
      <c r="L2669" s="544"/>
      <c r="M2669" s="544"/>
      <c r="N2669" s="500"/>
      <c r="O2669" s="500"/>
      <c r="P2669" s="500"/>
      <c r="Q2669" s="500"/>
      <c r="R2669" s="500"/>
      <c r="S2669" s="669" t="s">
        <v>4972</v>
      </c>
      <c r="T2669" s="508">
        <f t="shared" si="2065"/>
        <v>0</v>
      </c>
      <c r="U2669" s="225" t="str">
        <f>IF(NOT(ISNUMBER(G2669)), "", VLOOKUP(A2669,'Discount Lookup'!D:E,2,FALSE)*G2669)</f>
        <v/>
      </c>
      <c r="V2669" s="225" t="str">
        <f>IF(NOT(ISNUMBER(G2669)), "", VLOOKUP(A2669,'Discount Lookup'!G:H,2,FALSE)*G2669)</f>
        <v/>
      </c>
      <c r="W2669" s="508">
        <f t="shared" si="2066"/>
        <v>0</v>
      </c>
      <c r="X2669" s="508">
        <f t="shared" si="2067"/>
        <v>0</v>
      </c>
      <c r="Y2669" s="509" t="b">
        <f t="shared" si="2068"/>
        <v>0</v>
      </c>
      <c r="Z2669" s="510">
        <f t="shared" si="2069"/>
        <v>0</v>
      </c>
      <c r="AA2669" s="511"/>
      <c r="AB2669" s="511" t="str">
        <f t="shared" si="2070"/>
        <v/>
      </c>
      <c r="AC2669" s="698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698"/>
      <c r="AE2669" s="631" t="str">
        <f t="shared" si="2071"/>
        <v/>
      </c>
      <c r="AF2669" s="699" t="str">
        <f t="shared" si="2072"/>
        <v/>
      </c>
      <c r="AG2669" s="699"/>
      <c r="AH2669" s="699"/>
      <c r="AI2669" s="512">
        <f>IF(H2669="credit",0,IF(AE2669="free",0,IF(AE2669="me",0,IF(G2669&gt;0,(VLOOKUP(A2669,'Discount Lookup'!J:K,2)*G2669),0))))</f>
        <v>0</v>
      </c>
      <c r="AJ2669" s="513" t="str">
        <f t="shared" ca="1" si="2073"/>
        <v/>
      </c>
      <c r="AK2669" s="700" t="str">
        <f t="shared" si="2074"/>
        <v/>
      </c>
      <c r="AL2669" s="700"/>
      <c r="AM2669" s="505" t="str">
        <f t="shared" si="2075"/>
        <v/>
      </c>
      <c r="AN2669" s="506"/>
      <c r="AO2669" s="507"/>
      <c r="AP2669" s="507"/>
      <c r="AQ2669" s="507"/>
      <c r="AR2669" s="507"/>
      <c r="AS2669" s="507"/>
      <c r="AT2669" s="507"/>
      <c r="AU2669" s="507"/>
      <c r="AV2669" s="225"/>
      <c r="AW2669" s="508"/>
      <c r="AX2669" s="225"/>
      <c r="AY2669" s="225"/>
      <c r="AZ2669" s="225"/>
      <c r="BA2669" s="225"/>
      <c r="BB2669" s="225"/>
      <c r="BC2669" s="56"/>
      <c r="BD2669" s="56"/>
      <c r="BE2669" s="56"/>
      <c r="BF2669" s="107" t="str">
        <f t="shared" si="2076"/>
        <v>https://www.google.com/search?tbm=isch&amp;q=moist%20sites%F0%9F%92%A7BEST%2C%20October%20Glory%20are%20all%20female.%20Very%20late%20and%20long%20lasting%20fall%20display%20is%20an%20intense%20Orange%20to%20Reddish-Purple%20</v>
      </c>
      <c r="BG2669" s="107" t="str">
        <f t="shared" si="2077"/>
        <v>m</v>
      </c>
      <c r="BH2669" s="254"/>
      <c r="BI2669" s="254"/>
    </row>
    <row r="2670" spans="1:61" customFormat="1" ht="18" x14ac:dyDescent="0.25">
      <c r="A2670" s="521" t="s">
        <v>5475</v>
      </c>
      <c r="B2670" s="477"/>
      <c r="C2670" s="674"/>
      <c r="D2670" s="478" t="s">
        <v>1446</v>
      </c>
      <c r="E2670" s="479"/>
      <c r="F2670" s="479"/>
      <c r="G2670" s="479"/>
      <c r="H2670" s="582" t="s">
        <v>810</v>
      </c>
      <c r="I2670" s="480" t="s">
        <v>4432</v>
      </c>
      <c r="J2670" s="479"/>
      <c r="K2670" s="479"/>
      <c r="L2670" s="560"/>
      <c r="M2670" s="666" t="s">
        <v>4966</v>
      </c>
      <c r="N2670" s="680" t="str">
        <f>IF(AND(ISTEXT($A2670), ISERROR($A2670+0)), HYPERLINK($BF2670, "Images"), "")</f>
        <v>Images</v>
      </c>
      <c r="O2670" s="662" t="s">
        <v>4967</v>
      </c>
      <c r="P2670" s="482"/>
      <c r="Q2670" s="483"/>
      <c r="R2670" s="483"/>
      <c r="S2670" s="484"/>
      <c r="T2670" s="508">
        <f t="shared" si="2065"/>
        <v>0</v>
      </c>
      <c r="U2670" s="225" t="str">
        <f>IF(NOT(ISNUMBER(G2670)), "", VLOOKUP(A2670,'Discount Lookup'!D:E,2,FALSE)*G2670)</f>
        <v/>
      </c>
      <c r="V2670" s="225" t="str">
        <f>IF(NOT(ISNUMBER(G2670)), "", VLOOKUP(A2670,'Discount Lookup'!G:H,2,FALSE)*G2670)</f>
        <v/>
      </c>
      <c r="W2670" s="508">
        <f t="shared" si="2066"/>
        <v>0</v>
      </c>
      <c r="X2670" s="508" t="str">
        <f t="shared" si="2067"/>
        <v>Crimson-Red, Yellow eye</v>
      </c>
      <c r="Y2670" s="509" t="b">
        <f t="shared" si="2068"/>
        <v>0</v>
      </c>
      <c r="Z2670" s="510">
        <f t="shared" si="2069"/>
        <v>0</v>
      </c>
      <c r="AA2670" s="511"/>
      <c r="AB2670" s="511" t="str">
        <f t="shared" si="2070"/>
        <v/>
      </c>
      <c r="AC2670" s="698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698"/>
      <c r="AE2670" s="631" t="str">
        <f t="shared" si="2071"/>
        <v/>
      </c>
      <c r="AF2670" s="699" t="str">
        <f t="shared" si="2072"/>
        <v/>
      </c>
      <c r="AG2670" s="699"/>
      <c r="AH2670" s="699"/>
      <c r="AI2670" s="512">
        <f>IF(H2670="credit",0,IF(AE2670="free",0,IF(AE2670="me",0,IF(G2670&gt;0,(VLOOKUP(A2670,'Discount Lookup'!J:K,2)*G2670),0))))</f>
        <v>0</v>
      </c>
      <c r="AJ2670" s="513" t="str">
        <f t="shared" ca="1" si="2073"/>
        <v/>
      </c>
      <c r="AK2670" s="700" t="str">
        <f t="shared" si="2074"/>
        <v/>
      </c>
      <c r="AL2670" s="700"/>
      <c r="AM2670" s="505" t="str">
        <f t="shared" si="2075"/>
        <v/>
      </c>
      <c r="AN2670" s="506"/>
      <c r="AO2670" s="507"/>
      <c r="AP2670" s="507"/>
      <c r="AQ2670" s="507"/>
      <c r="AR2670" s="507"/>
      <c r="AS2670" s="507"/>
      <c r="AT2670" s="507"/>
      <c r="AU2670" s="507"/>
      <c r="AV2670" s="225"/>
      <c r="AW2670" s="508"/>
      <c r="AX2670" s="225"/>
      <c r="AY2670" s="225"/>
      <c r="AZ2670" s="225"/>
      <c r="BA2670" s="225"/>
      <c r="BB2670" s="225"/>
      <c r="BC2670" s="56"/>
      <c r="BD2670" s="56"/>
      <c r="BE2670" s="56"/>
      <c r="BF2670" s="107" t="str">
        <f t="shared" si="2076"/>
        <v>https://www.google.com/search?tbm=isch&amp;q=October%20Magic%C2%AE%20Crimson%20N%27%20Clover%E2%84%A2%20Camellia%20Camellia%20sasanqua%20%27Green%2008-052%27%20PP%2330386</v>
      </c>
      <c r="BG2670" s="107" t="str">
        <f t="shared" si="2077"/>
        <v>O</v>
      </c>
      <c r="BH2670" s="254"/>
      <c r="BI2670" s="254"/>
    </row>
    <row r="2671" spans="1:61" customFormat="1" ht="27" x14ac:dyDescent="0.25">
      <c r="A2671" s="485">
        <v>7</v>
      </c>
      <c r="B2671" s="486" t="s">
        <v>291</v>
      </c>
      <c r="C2671" s="487" t="s">
        <v>4793</v>
      </c>
      <c r="D2671" s="488" t="s">
        <v>292</v>
      </c>
      <c r="E2671" s="489">
        <v>169.95</v>
      </c>
      <c r="F2671" s="516" t="s">
        <v>293</v>
      </c>
      <c r="G2671" s="232">
        <v>0</v>
      </c>
      <c r="H2671" s="658" t="str">
        <f>IF(G2671=0,"",IF(F2671="Buy",IF(G2671=1,"plant","plants"),IF(F2671&gt;0.01,"warranty","Error")))</f>
        <v/>
      </c>
      <c r="I2671" s="490">
        <f>IF(H2671="free",0,IF(H2671="credit",((E2671*(F2671))*G2671*-1),IF(F2671="Buy",(E2671*G2671),((E2671*(1-F2671))*G2671))))</f>
        <v>0</v>
      </c>
      <c r="J2671" s="490">
        <f>IF(H2671="warranty",0,(I2671*(_xlfn.SINGLE(SalesTaxPercentage))))</f>
        <v>0</v>
      </c>
      <c r="K2671" s="695">
        <f t="shared" ref="K2671" si="2093">I2671+J2671</f>
        <v>0</v>
      </c>
      <c r="L2671" s="695"/>
      <c r="M2671" s="659" t="str">
        <f>IF(AND(G2671&gt;0,E2671=0),"WARNING - no PRICE inserted",IF(H2671="free"," FREE ~ no charge this plant",IF(H2671="credit",CONCATENATE(" -$",ROUND(K2671*(1-T2GDiscount)*-1,2)," CREDIT after discount"),IF(T2GDiscount=0,"",IF(G2671=0,"",IF(F2671="Buy",CONCATENATE(" $",ROUND(K2671*(1-T2GDiscount),2)," with ",(T2GDiscount*100),"% discount"),CONCATENATE(" $",ROUND(K2671*(1-T2GDiscount),2)," with ",((T2GDiscount*100+F2671*100)-(T2GDiscount*100*F2671)),IF(F2671&gt;0,"% discounts",IF(NoWarrantyDiscount&gt;0,"% discounts","% discount")))))))))</f>
        <v/>
      </c>
      <c r="N2671" s="660"/>
      <c r="O2671" s="233"/>
      <c r="P2671" s="233"/>
      <c r="Q2671" s="233"/>
      <c r="R2671" s="233"/>
      <c r="S2671" s="233"/>
      <c r="T2671" s="508">
        <f t="shared" si="2065"/>
        <v>0</v>
      </c>
      <c r="U2671" s="225">
        <f>IF(NOT(ISNUMBER(G2671)), "", VLOOKUP(A2671,'Discount Lookup'!D:E,2,FALSE)*G2671)</f>
        <v>0</v>
      </c>
      <c r="V2671" s="225">
        <f>IF(NOT(ISNUMBER(G2671)), "", VLOOKUP(A2671,'Discount Lookup'!G:H,2,FALSE)*G2671)</f>
        <v>0</v>
      </c>
      <c r="W2671" s="508">
        <f t="shared" si="2066"/>
        <v>0</v>
      </c>
      <c r="X2671" s="508">
        <f t="shared" si="2067"/>
        <v>0</v>
      </c>
      <c r="Y2671" s="509" t="b">
        <f t="shared" si="2068"/>
        <v>0</v>
      </c>
      <c r="Z2671" s="510">
        <f t="shared" si="2069"/>
        <v>0</v>
      </c>
      <c r="AA2671" s="511"/>
      <c r="AB2671" s="511" t="str">
        <f t="shared" si="2070"/>
        <v/>
      </c>
      <c r="AC2671" s="698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698"/>
      <c r="AE2671" s="631" t="str">
        <f t="shared" si="2071"/>
        <v/>
      </c>
      <c r="AF2671" s="699" t="str">
        <f t="shared" si="2072"/>
        <v/>
      </c>
      <c r="AG2671" s="699"/>
      <c r="AH2671" s="699"/>
      <c r="AI2671" s="512">
        <f>IF(H2671="credit",0,IF(AE2671="free",0,IF(AE2671="me",0,IF(G2671&gt;0,(VLOOKUP(A2671,'Discount Lookup'!J:K,2)*G2671),0))))</f>
        <v>0</v>
      </c>
      <c r="AJ2671" s="513" t="str">
        <f t="shared" ca="1" si="2073"/>
        <v/>
      </c>
      <c r="AK2671" s="700" t="str">
        <f t="shared" si="2074"/>
        <v/>
      </c>
      <c r="AL2671" s="700"/>
      <c r="AM2671" s="505" t="str">
        <f t="shared" si="2075"/>
        <v/>
      </c>
      <c r="AN2671" s="506"/>
      <c r="AO2671" s="507"/>
      <c r="AP2671" s="507"/>
      <c r="AQ2671" s="507"/>
      <c r="AR2671" s="507"/>
      <c r="AS2671" s="507"/>
      <c r="AT2671" s="507"/>
      <c r="AU2671" s="507"/>
      <c r="AV2671" s="225"/>
      <c r="AW2671" s="508"/>
      <c r="AX2671" s="225"/>
      <c r="AY2671" s="225"/>
      <c r="AZ2671" s="225"/>
      <c r="BA2671" s="225"/>
      <c r="BB2671" s="225"/>
      <c r="BC2671" s="56"/>
      <c r="BD2671" s="56"/>
      <c r="BE2671" s="56"/>
      <c r="BF2671" s="107" t="str">
        <f t="shared" si="2076"/>
        <v>https://www.google.com/search?tbm=isch&amp;q=7%20G4</v>
      </c>
      <c r="BG2671" s="107" t="str">
        <f t="shared" si="2077"/>
        <v>O</v>
      </c>
      <c r="BH2671" s="254"/>
      <c r="BI2671" s="254"/>
    </row>
    <row r="2672" spans="1:61" customFormat="1" ht="17.25" thickBot="1" x14ac:dyDescent="0.3">
      <c r="A2672" s="522" t="s">
        <v>2571</v>
      </c>
      <c r="B2672" s="491"/>
      <c r="C2672" s="675"/>
      <c r="D2672" s="491"/>
      <c r="E2672" s="491"/>
      <c r="F2672" s="492"/>
      <c r="G2672" s="493"/>
      <c r="H2672" s="491"/>
      <c r="I2672" s="234"/>
      <c r="J2672" s="234"/>
      <c r="K2672" s="494"/>
      <c r="L2672" s="543"/>
      <c r="M2672" s="561"/>
      <c r="N2672" s="495"/>
      <c r="O2672" s="496"/>
      <c r="P2672" s="497"/>
      <c r="Q2672" s="495"/>
      <c r="R2672" s="495"/>
      <c r="S2672" s="667" t="s">
        <v>4986</v>
      </c>
      <c r="T2672" s="508">
        <f t="shared" si="2065"/>
        <v>0</v>
      </c>
      <c r="U2672" s="225" t="str">
        <f>IF(NOT(ISNUMBER(G2672)), "", VLOOKUP(A2672,'Discount Lookup'!D:E,2,FALSE)*G2672)</f>
        <v/>
      </c>
      <c r="V2672" s="225" t="str">
        <f>IF(NOT(ISNUMBER(G2672)), "", VLOOKUP(A2672,'Discount Lookup'!G:H,2,FALSE)*G2672)</f>
        <v/>
      </c>
      <c r="W2672" s="508">
        <f t="shared" si="2066"/>
        <v>0</v>
      </c>
      <c r="X2672" s="508">
        <f t="shared" si="2067"/>
        <v>0</v>
      </c>
      <c r="Y2672" s="509" t="b">
        <f t="shared" si="2068"/>
        <v>0</v>
      </c>
      <c r="Z2672" s="510">
        <f t="shared" si="2069"/>
        <v>0</v>
      </c>
      <c r="AA2672" s="511"/>
      <c r="AB2672" s="511" t="str">
        <f t="shared" si="2070"/>
        <v/>
      </c>
      <c r="AC2672" s="698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698"/>
      <c r="AE2672" s="631" t="str">
        <f t="shared" si="2071"/>
        <v/>
      </c>
      <c r="AF2672" s="699" t="str">
        <f t="shared" si="2072"/>
        <v/>
      </c>
      <c r="AG2672" s="699"/>
      <c r="AH2672" s="699"/>
      <c r="AI2672" s="512">
        <f>IF(H2672="credit",0,IF(AE2672="free",0,IF(AE2672="me",0,IF(G2672&gt;0,(VLOOKUP(A2672,'Discount Lookup'!J:K,2)*G2672),0))))</f>
        <v>0</v>
      </c>
      <c r="AJ2672" s="513" t="str">
        <f t="shared" ca="1" si="2073"/>
        <v/>
      </c>
      <c r="AK2672" s="700" t="str">
        <f t="shared" si="2074"/>
        <v/>
      </c>
      <c r="AL2672" s="700"/>
      <c r="AM2672" s="505" t="str">
        <f t="shared" si="2075"/>
        <v/>
      </c>
      <c r="AN2672" s="506"/>
      <c r="AO2672" s="507"/>
      <c r="AP2672" s="507"/>
      <c r="AQ2672" s="507"/>
      <c r="AR2672" s="507"/>
      <c r="AS2672" s="507"/>
      <c r="AT2672" s="507"/>
      <c r="AU2672" s="507"/>
      <c r="AV2672" s="225"/>
      <c r="AW2672" s="508"/>
      <c r="AX2672" s="225"/>
      <c r="AY2672" s="225"/>
      <c r="AZ2672" s="225"/>
      <c r="BA2672" s="225"/>
      <c r="BB2672" s="225"/>
      <c r="BC2672" s="56"/>
      <c r="BD2672" s="56"/>
      <c r="BE2672" s="56"/>
      <c r="BF2672" s="107" t="str">
        <f t="shared" si="2076"/>
        <v>https://www.google.com/search?tbm=isch&amp;q=October%20Magic%20Crimson%20N%27%20Clover%20blooms%20for%20up%20to%20nine%20weeks%20in%20fall%2C%20with%20lush%20dark%20Green%20foliage%20and%20striking%20Reddish%20new%20growth%20</v>
      </c>
      <c r="BG2672" s="107" t="str">
        <f t="shared" si="2077"/>
        <v>O</v>
      </c>
      <c r="BH2672" s="254"/>
      <c r="BI2672" s="254"/>
    </row>
    <row r="2673" spans="1:61" customFormat="1" ht="18" x14ac:dyDescent="0.25">
      <c r="A2673" s="521" t="s">
        <v>5476</v>
      </c>
      <c r="B2673" s="477"/>
      <c r="C2673" s="674"/>
      <c r="D2673" s="478" t="s">
        <v>1447</v>
      </c>
      <c r="E2673" s="479"/>
      <c r="F2673" s="479"/>
      <c r="G2673" s="479"/>
      <c r="H2673" s="582" t="s">
        <v>810</v>
      </c>
      <c r="I2673" s="480" t="s">
        <v>827</v>
      </c>
      <c r="J2673" s="479"/>
      <c r="K2673" s="479"/>
      <c r="L2673" s="560"/>
      <c r="M2673" s="666" t="s">
        <v>4966</v>
      </c>
      <c r="N2673" s="680" t="str">
        <f>IF(AND(ISTEXT($A2673), ISERROR($A2673+0)), HYPERLINK($BF2673, "Images"), "")</f>
        <v>Images</v>
      </c>
      <c r="O2673" s="662" t="s">
        <v>4967</v>
      </c>
      <c r="P2673" s="482"/>
      <c r="Q2673" s="483"/>
      <c r="R2673" s="483"/>
      <c r="S2673" s="484"/>
      <c r="T2673" s="508">
        <f t="shared" si="2065"/>
        <v>0</v>
      </c>
      <c r="U2673" s="225" t="str">
        <f>IF(NOT(ISNUMBER(G2673)), "", VLOOKUP(A2673,'Discount Lookup'!D:E,2,FALSE)*G2673)</f>
        <v/>
      </c>
      <c r="V2673" s="225" t="str">
        <f>IF(NOT(ISNUMBER(G2673)), "", VLOOKUP(A2673,'Discount Lookup'!G:H,2,FALSE)*G2673)</f>
        <v/>
      </c>
      <c r="W2673" s="508">
        <f t="shared" si="2066"/>
        <v>0</v>
      </c>
      <c r="X2673" s="508" t="str">
        <f t="shared" si="2067"/>
        <v>Creamy White bloom</v>
      </c>
      <c r="Y2673" s="509" t="b">
        <f t="shared" si="2068"/>
        <v>0</v>
      </c>
      <c r="Z2673" s="510">
        <f t="shared" si="2069"/>
        <v>0</v>
      </c>
      <c r="AA2673" s="511"/>
      <c r="AB2673" s="511" t="str">
        <f t="shared" si="2070"/>
        <v/>
      </c>
      <c r="AC2673" s="698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698"/>
      <c r="AE2673" s="631" t="str">
        <f t="shared" si="2071"/>
        <v/>
      </c>
      <c r="AF2673" s="699" t="str">
        <f t="shared" si="2072"/>
        <v/>
      </c>
      <c r="AG2673" s="699"/>
      <c r="AH2673" s="699"/>
      <c r="AI2673" s="512">
        <f>IF(H2673="credit",0,IF(AE2673="free",0,IF(AE2673="me",0,IF(G2673&gt;0,(VLOOKUP(A2673,'Discount Lookup'!J:K,2)*G2673),0))))</f>
        <v>0</v>
      </c>
      <c r="AJ2673" s="513" t="str">
        <f t="shared" ca="1" si="2073"/>
        <v/>
      </c>
      <c r="AK2673" s="700" t="str">
        <f t="shared" si="2074"/>
        <v/>
      </c>
      <c r="AL2673" s="700"/>
      <c r="AM2673" s="505" t="str">
        <f t="shared" si="2075"/>
        <v/>
      </c>
      <c r="AN2673" s="506"/>
      <c r="AO2673" s="507"/>
      <c r="AP2673" s="507"/>
      <c r="AQ2673" s="507"/>
      <c r="AR2673" s="507"/>
      <c r="AS2673" s="507"/>
      <c r="AT2673" s="507"/>
      <c r="AU2673" s="507"/>
      <c r="AV2673" s="225"/>
      <c r="AW2673" s="508"/>
      <c r="AX2673" s="225"/>
      <c r="AY2673" s="225"/>
      <c r="AZ2673" s="225"/>
      <c r="BA2673" s="225"/>
      <c r="BB2673" s="225"/>
      <c r="BC2673" s="56"/>
      <c r="BD2673" s="56"/>
      <c r="BE2673" s="56"/>
      <c r="BF2673" s="107" t="str">
        <f t="shared" si="2076"/>
        <v>https://www.google.com/search?tbm=isch&amp;q=October%20Magic%C2%AE%20Ivory%E2%84%A2%20Camellia%20Camellia%20sasanqua%20%27Green%20S99-016%27%20PP%2324887</v>
      </c>
      <c r="BG2673" s="107" t="str">
        <f t="shared" si="2077"/>
        <v>O</v>
      </c>
      <c r="BH2673" s="254"/>
      <c r="BI2673" s="254"/>
    </row>
    <row r="2674" spans="1:61" customFormat="1" ht="15.75" x14ac:dyDescent="0.25">
      <c r="A2674" s="485">
        <v>3</v>
      </c>
      <c r="B2674" s="486" t="s">
        <v>291</v>
      </c>
      <c r="C2674" s="487" t="s">
        <v>4794</v>
      </c>
      <c r="D2674" s="488" t="s">
        <v>312</v>
      </c>
      <c r="E2674" s="489">
        <v>37.950000000000003</v>
      </c>
      <c r="F2674" s="516" t="s">
        <v>293</v>
      </c>
      <c r="G2674" s="232">
        <v>0</v>
      </c>
      <c r="H2674" s="658" t="str">
        <f>IF(G2674=0,"",IF(F2674="Buy",IF(G2674=1,"plant","plants"),IF(F2674&gt;0.01,"warranty","Error")))</f>
        <v/>
      </c>
      <c r="I2674" s="490">
        <f>IF(H2674="free",0,IF(H2674="credit",((E2674*(F2674))*G2674*-1),IF(F2674="Buy",(E2674*G2674),((E2674*(1-F2674))*G2674))))</f>
        <v>0</v>
      </c>
      <c r="J2674" s="490">
        <f>IF(H2674="warranty",0,(I2674*(_xlfn.SINGLE(SalesTaxPercentage))))</f>
        <v>0</v>
      </c>
      <c r="K2674" s="695">
        <f t="shared" ref="K2674" si="2094">I2674+J2674</f>
        <v>0</v>
      </c>
      <c r="L2674" s="695"/>
      <c r="M2674" s="659" t="str">
        <f>IF(AND(G2674&gt;0,E2674=0),"WARNING - no PRICE inserted",IF(H2674="free"," FREE ~ no charge this plant",IF(H2674="credit",CONCATENATE(" -$",ROUND(K2674*(1-T2GDiscount)*-1,2)," CREDIT after discount"),IF(T2GDiscount=0,"",IF(G2674=0,"",IF(F2674="Buy",CONCATENATE(" $",ROUND(K2674*(1-T2GDiscount),2)," with ",(T2GDiscount*100),"% discount"),CONCATENATE(" $",ROUND(K2674*(1-T2GDiscount),2)," with ",((T2GDiscount*100+F2674*100)-(T2GDiscount*100*F2674)),IF(F2674&gt;0,"% discounts",IF(NoWarrantyDiscount&gt;0,"% discounts","% discount")))))))))</f>
        <v/>
      </c>
      <c r="N2674" s="660"/>
      <c r="O2674" s="233"/>
      <c r="P2674" s="233"/>
      <c r="Q2674" s="233"/>
      <c r="R2674" s="233"/>
      <c r="S2674" s="233"/>
      <c r="T2674" s="508">
        <f t="shared" si="2065"/>
        <v>0</v>
      </c>
      <c r="U2674" s="225">
        <f>IF(NOT(ISNUMBER(G2674)), "", VLOOKUP(A2674,'Discount Lookup'!D:E,2,FALSE)*G2674)</f>
        <v>0</v>
      </c>
      <c r="V2674" s="225">
        <f>IF(NOT(ISNUMBER(G2674)), "", VLOOKUP(A2674,'Discount Lookup'!G:H,2,FALSE)*G2674)</f>
        <v>0</v>
      </c>
      <c r="W2674" s="508">
        <f t="shared" si="2066"/>
        <v>0</v>
      </c>
      <c r="X2674" s="508">
        <f t="shared" si="2067"/>
        <v>0</v>
      </c>
      <c r="Y2674" s="509" t="b">
        <f t="shared" si="2068"/>
        <v>0</v>
      </c>
      <c r="Z2674" s="510">
        <f t="shared" si="2069"/>
        <v>0</v>
      </c>
      <c r="AA2674" s="511"/>
      <c r="AB2674" s="511" t="str">
        <f t="shared" si="2070"/>
        <v/>
      </c>
      <c r="AC2674" s="698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698"/>
      <c r="AE2674" s="631" t="str">
        <f t="shared" si="2071"/>
        <v/>
      </c>
      <c r="AF2674" s="699" t="str">
        <f t="shared" si="2072"/>
        <v/>
      </c>
      <c r="AG2674" s="699"/>
      <c r="AH2674" s="699"/>
      <c r="AI2674" s="512">
        <f>IF(H2674="credit",0,IF(AE2674="free",0,IF(AE2674="me",0,IF(G2674&gt;0,(VLOOKUP(A2674,'Discount Lookup'!J:K,2)*G2674),0))))</f>
        <v>0</v>
      </c>
      <c r="AJ2674" s="513" t="str">
        <f t="shared" ca="1" si="2073"/>
        <v/>
      </c>
      <c r="AK2674" s="700" t="str">
        <f t="shared" si="2074"/>
        <v/>
      </c>
      <c r="AL2674" s="700"/>
      <c r="AM2674" s="505" t="str">
        <f t="shared" si="2075"/>
        <v/>
      </c>
      <c r="AN2674" s="506"/>
      <c r="AO2674" s="507"/>
      <c r="AP2674" s="507"/>
      <c r="AQ2674" s="507"/>
      <c r="AR2674" s="507"/>
      <c r="AS2674" s="507"/>
      <c r="AT2674" s="507"/>
      <c r="AU2674" s="507"/>
      <c r="AV2674" s="225"/>
      <c r="AW2674" s="508"/>
      <c r="AX2674" s="225"/>
      <c r="AY2674" s="225"/>
      <c r="AZ2674" s="225"/>
      <c r="BA2674" s="225"/>
      <c r="BB2674" s="225"/>
      <c r="BC2674" s="56"/>
      <c r="BD2674" s="56"/>
      <c r="BE2674" s="56"/>
      <c r="BF2674" s="107" t="str">
        <f t="shared" si="2076"/>
        <v>https://www.google.com/search?tbm=isch&amp;q=3%20G2</v>
      </c>
      <c r="BG2674" s="107" t="str">
        <f t="shared" si="2077"/>
        <v>O</v>
      </c>
      <c r="BH2674" s="254"/>
      <c r="BI2674" s="254"/>
    </row>
    <row r="2675" spans="1:61" customFormat="1" ht="17.25" thickBot="1" x14ac:dyDescent="0.3">
      <c r="A2675" s="522" t="s">
        <v>4433</v>
      </c>
      <c r="B2675" s="491"/>
      <c r="C2675" s="675"/>
      <c r="D2675" s="491"/>
      <c r="E2675" s="491"/>
      <c r="F2675" s="492"/>
      <c r="G2675" s="493"/>
      <c r="H2675" s="491"/>
      <c r="I2675" s="234"/>
      <c r="J2675" s="234"/>
      <c r="K2675" s="494"/>
      <c r="L2675" s="543"/>
      <c r="M2675" s="561"/>
      <c r="N2675" s="495"/>
      <c r="O2675" s="496"/>
      <c r="P2675" s="497"/>
      <c r="Q2675" s="495"/>
      <c r="R2675" s="495"/>
      <c r="S2675" s="667" t="s">
        <v>4986</v>
      </c>
      <c r="T2675" s="508">
        <f t="shared" si="2065"/>
        <v>0</v>
      </c>
      <c r="U2675" s="225" t="str">
        <f>IF(NOT(ISNUMBER(G2675)), "", VLOOKUP(A2675,'Discount Lookup'!D:E,2,FALSE)*G2675)</f>
        <v/>
      </c>
      <c r="V2675" s="225" t="str">
        <f>IF(NOT(ISNUMBER(G2675)), "", VLOOKUP(A2675,'Discount Lookup'!G:H,2,FALSE)*G2675)</f>
        <v/>
      </c>
      <c r="W2675" s="508">
        <f t="shared" si="2066"/>
        <v>0</v>
      </c>
      <c r="X2675" s="508">
        <f t="shared" si="2067"/>
        <v>0</v>
      </c>
      <c r="Y2675" s="509" t="b">
        <f t="shared" si="2068"/>
        <v>0</v>
      </c>
      <c r="Z2675" s="510">
        <f t="shared" si="2069"/>
        <v>0</v>
      </c>
      <c r="AA2675" s="511"/>
      <c r="AB2675" s="511" t="str">
        <f t="shared" si="2070"/>
        <v/>
      </c>
      <c r="AC2675" s="698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698"/>
      <c r="AE2675" s="631" t="str">
        <f t="shared" si="2071"/>
        <v/>
      </c>
      <c r="AF2675" s="699" t="str">
        <f t="shared" si="2072"/>
        <v/>
      </c>
      <c r="AG2675" s="699"/>
      <c r="AH2675" s="699"/>
      <c r="AI2675" s="512">
        <f>IF(H2675="credit",0,IF(AE2675="free",0,IF(AE2675="me",0,IF(G2675&gt;0,(VLOOKUP(A2675,'Discount Lookup'!J:K,2)*G2675),0))))</f>
        <v>0</v>
      </c>
      <c r="AJ2675" s="513" t="str">
        <f t="shared" ca="1" si="2073"/>
        <v/>
      </c>
      <c r="AK2675" s="700" t="str">
        <f t="shared" si="2074"/>
        <v/>
      </c>
      <c r="AL2675" s="700"/>
      <c r="AM2675" s="505" t="str">
        <f t="shared" si="2075"/>
        <v/>
      </c>
      <c r="AN2675" s="506"/>
      <c r="AO2675" s="507"/>
      <c r="AP2675" s="507"/>
      <c r="AQ2675" s="507"/>
      <c r="AR2675" s="507"/>
      <c r="AS2675" s="507"/>
      <c r="AT2675" s="507"/>
      <c r="AU2675" s="507"/>
      <c r="AV2675" s="225"/>
      <c r="AW2675" s="508"/>
      <c r="AX2675" s="225"/>
      <c r="AY2675" s="225"/>
      <c r="AZ2675" s="225"/>
      <c r="BA2675" s="225"/>
      <c r="BB2675" s="225"/>
      <c r="BC2675" s="56"/>
      <c r="BD2675" s="56"/>
      <c r="BE2675" s="56"/>
      <c r="BF2675" s="107" t="str">
        <f t="shared" si="2076"/>
        <v>https://www.google.com/search?tbm=isch&amp;q=October%20Magic%20Ivory%20has%20glossy%20dark%20Green%20foliage%20and%20is%20known%20for%20its%20prolific%2C%20slightly%20fragrant%20double%20blooms%20and%20upright%20form%20</v>
      </c>
      <c r="BG2675" s="107" t="str">
        <f t="shared" si="2077"/>
        <v>O</v>
      </c>
      <c r="BH2675" s="254"/>
      <c r="BI2675" s="254"/>
    </row>
    <row r="2676" spans="1:61" customFormat="1" ht="18" x14ac:dyDescent="0.25">
      <c r="A2676" s="521" t="s">
        <v>5477</v>
      </c>
      <c r="B2676" s="477"/>
      <c r="C2676" s="674"/>
      <c r="D2676" s="478" t="s">
        <v>1448</v>
      </c>
      <c r="E2676" s="479"/>
      <c r="F2676" s="479"/>
      <c r="G2676" s="479"/>
      <c r="H2676" s="582" t="s">
        <v>1858</v>
      </c>
      <c r="I2676" s="480" t="s">
        <v>2572</v>
      </c>
      <c r="J2676" s="479"/>
      <c r="K2676" s="479"/>
      <c r="L2676" s="560"/>
      <c r="M2676" s="666" t="s">
        <v>4966</v>
      </c>
      <c r="N2676" s="680" t="str">
        <f>IF(AND(ISTEXT($A2676), ISERROR($A2676+0)), HYPERLINK($BF2676, "Images"), "")</f>
        <v>Images</v>
      </c>
      <c r="O2676" s="662" t="s">
        <v>4967</v>
      </c>
      <c r="P2676" s="482"/>
      <c r="Q2676" s="483"/>
      <c r="R2676" s="483"/>
      <c r="S2676" s="484"/>
      <c r="T2676" s="508">
        <f t="shared" si="2065"/>
        <v>0</v>
      </c>
      <c r="U2676" s="225" t="str">
        <f>IF(NOT(ISNUMBER(G2676)), "", VLOOKUP(A2676,'Discount Lookup'!D:E,2,FALSE)*G2676)</f>
        <v/>
      </c>
      <c r="V2676" s="225" t="str">
        <f>IF(NOT(ISNUMBER(G2676)), "", VLOOKUP(A2676,'Discount Lookup'!G:H,2,FALSE)*G2676)</f>
        <v/>
      </c>
      <c r="W2676" s="508">
        <f t="shared" si="2066"/>
        <v>0</v>
      </c>
      <c r="X2676" s="508" t="str">
        <f t="shared" si="2067"/>
        <v>Orchid-Pink blooms</v>
      </c>
      <c r="Y2676" s="509" t="b">
        <f t="shared" si="2068"/>
        <v>0</v>
      </c>
      <c r="Z2676" s="510">
        <f t="shared" si="2069"/>
        <v>0</v>
      </c>
      <c r="AA2676" s="511"/>
      <c r="AB2676" s="511" t="str">
        <f t="shared" si="2070"/>
        <v/>
      </c>
      <c r="AC2676" s="698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698"/>
      <c r="AE2676" s="631" t="str">
        <f t="shared" si="2071"/>
        <v/>
      </c>
      <c r="AF2676" s="699" t="str">
        <f t="shared" si="2072"/>
        <v/>
      </c>
      <c r="AG2676" s="699"/>
      <c r="AH2676" s="699"/>
      <c r="AI2676" s="512">
        <f>IF(H2676="credit",0,IF(AE2676="free",0,IF(AE2676="me",0,IF(G2676&gt;0,(VLOOKUP(A2676,'Discount Lookup'!J:K,2)*G2676),0))))</f>
        <v>0</v>
      </c>
      <c r="AJ2676" s="513" t="str">
        <f t="shared" ca="1" si="2073"/>
        <v/>
      </c>
      <c r="AK2676" s="700" t="str">
        <f t="shared" si="2074"/>
        <v/>
      </c>
      <c r="AL2676" s="700"/>
      <c r="AM2676" s="505" t="str">
        <f t="shared" si="2075"/>
        <v/>
      </c>
      <c r="AN2676" s="506"/>
      <c r="AO2676" s="507"/>
      <c r="AP2676" s="507"/>
      <c r="AQ2676" s="507"/>
      <c r="AR2676" s="507"/>
      <c r="AS2676" s="507"/>
      <c r="AT2676" s="507"/>
      <c r="AU2676" s="507"/>
      <c r="AV2676" s="225"/>
      <c r="AW2676" s="508"/>
      <c r="AX2676" s="225"/>
      <c r="AY2676" s="225"/>
      <c r="AZ2676" s="225"/>
      <c r="BA2676" s="225"/>
      <c r="BB2676" s="225"/>
      <c r="BC2676" s="56"/>
      <c r="BD2676" s="56"/>
      <c r="BE2676" s="56"/>
      <c r="BF2676" s="107" t="str">
        <f t="shared" si="2076"/>
        <v>https://www.google.com/search?tbm=isch&amp;q=October%20Magic%C2%AE%20Orchid%E2%84%A2%20Camellia%20Camellia%20sasanqua%20%27Green%2094-035%27%20PP%2320465</v>
      </c>
      <c r="BG2676" s="107" t="str">
        <f t="shared" si="2077"/>
        <v>O</v>
      </c>
      <c r="BH2676" s="254"/>
      <c r="BI2676" s="254"/>
    </row>
    <row r="2677" spans="1:61" customFormat="1" ht="15.75" x14ac:dyDescent="0.25">
      <c r="A2677" s="485">
        <v>3</v>
      </c>
      <c r="B2677" s="486" t="s">
        <v>291</v>
      </c>
      <c r="C2677" s="487" t="s">
        <v>1027</v>
      </c>
      <c r="D2677" s="488" t="s">
        <v>299</v>
      </c>
      <c r="E2677" s="489">
        <v>45.95</v>
      </c>
      <c r="F2677" s="516" t="s">
        <v>293</v>
      </c>
      <c r="G2677" s="232">
        <v>0</v>
      </c>
      <c r="H2677" s="658" t="str">
        <f>IF(G2677=0,"",IF(F2677="Buy",IF(G2677=1,"plant","plants"),IF(F2677&gt;0.01,"warranty","Error")))</f>
        <v/>
      </c>
      <c r="I2677" s="490">
        <f>IF(H2677="free",0,IF(H2677="credit",((E2677*(F2677))*G2677*-1),IF(F2677="Buy",(E2677*G2677),((E2677*(1-F2677))*G2677))))</f>
        <v>0</v>
      </c>
      <c r="J2677" s="490">
        <f>IF(H2677="warranty",0,(I2677*(_xlfn.SINGLE(SalesTaxPercentage))))</f>
        <v>0</v>
      </c>
      <c r="K2677" s="695">
        <f t="shared" ref="K2677" si="2095">I2677+J2677</f>
        <v>0</v>
      </c>
      <c r="L2677" s="695"/>
      <c r="M2677" s="659" t="str">
        <f>IF(AND(G2677&gt;0,E2677=0),"WARNING - no PRICE inserted",IF(H2677="free"," FREE ~ no charge this plant",IF(H2677="credit",CONCATENATE(" -$",ROUND(K2677*(1-T2GDiscount)*-1,2)," CREDIT after discount"),IF(T2GDiscount=0,"",IF(G2677=0,"",IF(F2677="Buy",CONCATENATE(" $",ROUND(K2677*(1-T2GDiscount),2)," with ",(T2GDiscount*100),"% discount"),CONCATENATE(" $",ROUND(K2677*(1-T2GDiscount),2)," with ",((T2GDiscount*100+F2677*100)-(T2GDiscount*100*F2677)),IF(F2677&gt;0,"% discounts",IF(NoWarrantyDiscount&gt;0,"% discounts","% discount")))))))))</f>
        <v/>
      </c>
      <c r="N2677" s="660"/>
      <c r="O2677" s="233"/>
      <c r="P2677" s="233"/>
      <c r="Q2677" s="233"/>
      <c r="R2677" s="233"/>
      <c r="S2677" s="233"/>
      <c r="T2677" s="508">
        <f t="shared" si="2065"/>
        <v>0</v>
      </c>
      <c r="U2677" s="225">
        <f>IF(NOT(ISNUMBER(G2677)), "", VLOOKUP(A2677,'Discount Lookup'!D:E,2,FALSE)*G2677)</f>
        <v>0</v>
      </c>
      <c r="V2677" s="225">
        <f>IF(NOT(ISNUMBER(G2677)), "", VLOOKUP(A2677,'Discount Lookup'!G:H,2,FALSE)*G2677)</f>
        <v>0</v>
      </c>
      <c r="W2677" s="508">
        <f t="shared" si="2066"/>
        <v>0</v>
      </c>
      <c r="X2677" s="508">
        <f t="shared" si="2067"/>
        <v>0</v>
      </c>
      <c r="Y2677" s="509" t="b">
        <f t="shared" si="2068"/>
        <v>0</v>
      </c>
      <c r="Z2677" s="510">
        <f t="shared" si="2069"/>
        <v>0</v>
      </c>
      <c r="AA2677" s="511"/>
      <c r="AB2677" s="511" t="str">
        <f t="shared" si="2070"/>
        <v/>
      </c>
      <c r="AC2677" s="698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698"/>
      <c r="AE2677" s="631" t="str">
        <f t="shared" si="2071"/>
        <v/>
      </c>
      <c r="AF2677" s="699" t="str">
        <f t="shared" si="2072"/>
        <v/>
      </c>
      <c r="AG2677" s="699"/>
      <c r="AH2677" s="699"/>
      <c r="AI2677" s="512">
        <f>IF(H2677="credit",0,IF(AE2677="free",0,IF(AE2677="me",0,IF(G2677&gt;0,(VLOOKUP(A2677,'Discount Lookup'!J:K,2)*G2677),0))))</f>
        <v>0</v>
      </c>
      <c r="AJ2677" s="513" t="str">
        <f t="shared" ca="1" si="2073"/>
        <v/>
      </c>
      <c r="AK2677" s="700" t="str">
        <f t="shared" si="2074"/>
        <v/>
      </c>
      <c r="AL2677" s="700"/>
      <c r="AM2677" s="505" t="str">
        <f t="shared" si="2075"/>
        <v/>
      </c>
      <c r="AN2677" s="506"/>
      <c r="AO2677" s="507"/>
      <c r="AP2677" s="507"/>
      <c r="AQ2677" s="507"/>
      <c r="AR2677" s="507"/>
      <c r="AS2677" s="507"/>
      <c r="AT2677" s="507"/>
      <c r="AU2677" s="507"/>
      <c r="AV2677" s="225"/>
      <c r="AW2677" s="508"/>
      <c r="AX2677" s="225"/>
      <c r="AY2677" s="225"/>
      <c r="AZ2677" s="225"/>
      <c r="BA2677" s="225"/>
      <c r="BB2677" s="225"/>
      <c r="BC2677" s="56"/>
      <c r="BD2677" s="56"/>
      <c r="BE2677" s="56"/>
      <c r="BF2677" s="107" t="str">
        <f t="shared" si="2076"/>
        <v>https://www.google.com/search?tbm=isch&amp;q=3%20G5</v>
      </c>
      <c r="BG2677" s="107" t="str">
        <f t="shared" si="2077"/>
        <v>O</v>
      </c>
      <c r="BH2677" s="254"/>
      <c r="BI2677" s="254"/>
    </row>
    <row r="2678" spans="1:61" customFormat="1" ht="27" x14ac:dyDescent="0.25">
      <c r="A2678" s="485">
        <v>7</v>
      </c>
      <c r="B2678" s="486" t="s">
        <v>291</v>
      </c>
      <c r="C2678" s="487" t="s">
        <v>4795</v>
      </c>
      <c r="D2678" s="488" t="s">
        <v>292</v>
      </c>
      <c r="E2678" s="489">
        <v>111.95</v>
      </c>
      <c r="F2678" s="516" t="s">
        <v>293</v>
      </c>
      <c r="G2678" s="232">
        <v>0</v>
      </c>
      <c r="H2678" s="658" t="str">
        <f>IF(G2678=0,"",IF(F2678="Buy",IF(G2678=1,"plant","plants"),IF(F2678&gt;0.01,"warranty","Error")))</f>
        <v/>
      </c>
      <c r="I2678" s="490">
        <f>IF(H2678="free",0,IF(H2678="credit",((E2678*(F2678))*G2678*-1),IF(F2678="Buy",(E2678*G2678),((E2678*(1-F2678))*G2678))))</f>
        <v>0</v>
      </c>
      <c r="J2678" s="490">
        <f>IF(H2678="warranty",0,(I2678*(_xlfn.SINGLE(SalesTaxPercentage))))</f>
        <v>0</v>
      </c>
      <c r="K2678" s="695">
        <f t="shared" ref="K2678" si="2096">I2678+J2678</f>
        <v>0</v>
      </c>
      <c r="L2678" s="695"/>
      <c r="M2678" s="659" t="str">
        <f>IF(AND(G2678&gt;0,E2678=0),"WARNING - no PRICE inserted",IF(H2678="free"," FREE ~ no charge this plant",IF(H2678="credit",CONCATENATE(" -$",ROUND(K2678*(1-T2GDiscount)*-1,2)," CREDIT after discount"),IF(T2GDiscount=0,"",IF(G2678=0,"",IF(F2678="Buy",CONCATENATE(" $",ROUND(K2678*(1-T2GDiscount),2)," with ",(T2GDiscount*100),"% discount"),CONCATENATE(" $",ROUND(K2678*(1-T2GDiscount),2)," with ",((T2GDiscount*100+F2678*100)-(T2GDiscount*100*F2678)),IF(F2678&gt;0,"% discounts",IF(NoWarrantyDiscount&gt;0,"% discounts","% discount")))))))))</f>
        <v/>
      </c>
      <c r="N2678" s="660"/>
      <c r="O2678" s="233"/>
      <c r="P2678" s="233"/>
      <c r="Q2678" s="233"/>
      <c r="R2678" s="233"/>
      <c r="S2678" s="233"/>
      <c r="T2678" s="508">
        <f t="shared" si="2065"/>
        <v>0</v>
      </c>
      <c r="U2678" s="225">
        <f>IF(NOT(ISNUMBER(G2678)), "", VLOOKUP(A2678,'Discount Lookup'!D:E,2,FALSE)*G2678)</f>
        <v>0</v>
      </c>
      <c r="V2678" s="225">
        <f>IF(NOT(ISNUMBER(G2678)), "", VLOOKUP(A2678,'Discount Lookup'!G:H,2,FALSE)*G2678)</f>
        <v>0</v>
      </c>
      <c r="W2678" s="508">
        <f t="shared" si="2066"/>
        <v>0</v>
      </c>
      <c r="X2678" s="508">
        <f t="shared" si="2067"/>
        <v>0</v>
      </c>
      <c r="Y2678" s="509" t="b">
        <f t="shared" si="2068"/>
        <v>0</v>
      </c>
      <c r="Z2678" s="510">
        <f t="shared" si="2069"/>
        <v>0</v>
      </c>
      <c r="AA2678" s="511"/>
      <c r="AB2678" s="511" t="str">
        <f t="shared" si="2070"/>
        <v/>
      </c>
      <c r="AC2678" s="698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698"/>
      <c r="AE2678" s="631" t="str">
        <f t="shared" si="2071"/>
        <v/>
      </c>
      <c r="AF2678" s="699" t="str">
        <f t="shared" si="2072"/>
        <v/>
      </c>
      <c r="AG2678" s="699"/>
      <c r="AH2678" s="699"/>
      <c r="AI2678" s="512">
        <f>IF(H2678="credit",0,IF(AE2678="free",0,IF(AE2678="me",0,IF(G2678&gt;0,(VLOOKUP(A2678,'Discount Lookup'!J:K,2)*G2678),0))))</f>
        <v>0</v>
      </c>
      <c r="AJ2678" s="513" t="str">
        <f t="shared" ca="1" si="2073"/>
        <v/>
      </c>
      <c r="AK2678" s="700" t="str">
        <f t="shared" si="2074"/>
        <v/>
      </c>
      <c r="AL2678" s="700"/>
      <c r="AM2678" s="505" t="str">
        <f t="shared" si="2075"/>
        <v/>
      </c>
      <c r="AN2678" s="506"/>
      <c r="AO2678" s="507"/>
      <c r="AP2678" s="507"/>
      <c r="AQ2678" s="507"/>
      <c r="AR2678" s="507"/>
      <c r="AS2678" s="507"/>
      <c r="AT2678" s="507"/>
      <c r="AU2678" s="507"/>
      <c r="AV2678" s="225"/>
      <c r="AW2678" s="508"/>
      <c r="AX2678" s="225"/>
      <c r="AY2678" s="225"/>
      <c r="AZ2678" s="225"/>
      <c r="BA2678" s="225"/>
      <c r="BB2678" s="225"/>
      <c r="BC2678" s="56"/>
      <c r="BD2678" s="56"/>
      <c r="BE2678" s="56"/>
      <c r="BF2678" s="107" t="str">
        <f t="shared" si="2076"/>
        <v>https://www.google.com/search?tbm=isch&amp;q=7%20G4</v>
      </c>
      <c r="BG2678" s="107" t="str">
        <f t="shared" si="2077"/>
        <v>O</v>
      </c>
      <c r="BH2678" s="254"/>
      <c r="BI2678" s="254"/>
    </row>
    <row r="2679" spans="1:61" customFormat="1" ht="15.75" x14ac:dyDescent="0.25">
      <c r="A2679" s="485">
        <v>7</v>
      </c>
      <c r="B2679" s="486" t="s">
        <v>291</v>
      </c>
      <c r="C2679" s="487" t="s">
        <v>4927</v>
      </c>
      <c r="D2679" s="488" t="s">
        <v>300</v>
      </c>
      <c r="E2679" s="489">
        <v>111.95</v>
      </c>
      <c r="F2679" s="516" t="s">
        <v>293</v>
      </c>
      <c r="G2679" s="232">
        <v>0</v>
      </c>
      <c r="H2679" s="658" t="str">
        <f>IF(G2679=0,"",IF(F2679="Buy",IF(G2679=1,"plant","plants"),IF(F2679&gt;0.01,"warranty","Error")))</f>
        <v/>
      </c>
      <c r="I2679" s="490">
        <f>IF(H2679="free",0,IF(H2679="credit",((E2679*(F2679))*G2679*-1),IF(F2679="Buy",(E2679*G2679),((E2679*(1-F2679))*G2679))))</f>
        <v>0</v>
      </c>
      <c r="J2679" s="490">
        <f>IF(H2679="warranty",0,(I2679*(_xlfn.SINGLE(SalesTaxPercentage))))</f>
        <v>0</v>
      </c>
      <c r="K2679" s="695">
        <f t="shared" ref="K2679" si="2097">I2679+J2679</f>
        <v>0</v>
      </c>
      <c r="L2679" s="695"/>
      <c r="M2679" s="659" t="str">
        <f>IF(AND(G2679&gt;0,E2679=0),"WARNING - no PRICE inserted",IF(H2679="free"," FREE ~ no charge this plant",IF(H2679="credit",CONCATENATE(" -$",ROUND(K2679*(1-T2GDiscount)*-1,2)," CREDIT after discount"),IF(T2GDiscount=0,"",IF(G2679=0,"",IF(F2679="Buy",CONCATENATE(" $",ROUND(K2679*(1-T2GDiscount),2)," with ",(T2GDiscount*100),"% discount"),CONCATENATE(" $",ROUND(K2679*(1-T2GDiscount),2)," with ",((T2GDiscount*100+F2679*100)-(T2GDiscount*100*F2679)),IF(F2679&gt;0,"% discounts",IF(NoWarrantyDiscount&gt;0,"% discounts","% discount")))))))))</f>
        <v/>
      </c>
      <c r="N2679" s="660"/>
      <c r="O2679" s="233"/>
      <c r="P2679" s="233"/>
      <c r="Q2679" s="233"/>
      <c r="R2679" s="233"/>
      <c r="S2679" s="233"/>
      <c r="T2679" s="508">
        <f t="shared" si="2065"/>
        <v>0</v>
      </c>
      <c r="U2679" s="225">
        <f>IF(NOT(ISNUMBER(G2679)), "", VLOOKUP(A2679,'Discount Lookup'!D:E,2,FALSE)*G2679)</f>
        <v>0</v>
      </c>
      <c r="V2679" s="225">
        <f>IF(NOT(ISNUMBER(G2679)), "", VLOOKUP(A2679,'Discount Lookup'!G:H,2,FALSE)*G2679)</f>
        <v>0</v>
      </c>
      <c r="W2679" s="508">
        <f t="shared" si="2066"/>
        <v>0</v>
      </c>
      <c r="X2679" s="508">
        <f t="shared" si="2067"/>
        <v>0</v>
      </c>
      <c r="Y2679" s="509" t="b">
        <f t="shared" si="2068"/>
        <v>0</v>
      </c>
      <c r="Z2679" s="510">
        <f t="shared" si="2069"/>
        <v>0</v>
      </c>
      <c r="AA2679" s="511"/>
      <c r="AB2679" s="511" t="str">
        <f t="shared" si="2070"/>
        <v/>
      </c>
      <c r="AC2679" s="698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698"/>
      <c r="AE2679" s="631" t="str">
        <f t="shared" si="2071"/>
        <v/>
      </c>
      <c r="AF2679" s="699" t="str">
        <f t="shared" si="2072"/>
        <v/>
      </c>
      <c r="AG2679" s="699"/>
      <c r="AH2679" s="699"/>
      <c r="AI2679" s="512">
        <f>IF(H2679="credit",0,IF(AE2679="free",0,IF(AE2679="me",0,IF(G2679&gt;0,(VLOOKUP(A2679,'Discount Lookup'!J:K,2)*G2679),0))))</f>
        <v>0</v>
      </c>
      <c r="AJ2679" s="513" t="str">
        <f t="shared" ca="1" si="2073"/>
        <v/>
      </c>
      <c r="AK2679" s="700" t="str">
        <f t="shared" si="2074"/>
        <v/>
      </c>
      <c r="AL2679" s="700"/>
      <c r="AM2679" s="505" t="str">
        <f t="shared" si="2075"/>
        <v/>
      </c>
      <c r="AN2679" s="506"/>
      <c r="AO2679" s="507"/>
      <c r="AP2679" s="507"/>
      <c r="AQ2679" s="507"/>
      <c r="AR2679" s="507"/>
      <c r="AS2679" s="507"/>
      <c r="AT2679" s="507"/>
      <c r="AU2679" s="507"/>
      <c r="AV2679" s="225"/>
      <c r="AW2679" s="508"/>
      <c r="AX2679" s="225"/>
      <c r="AY2679" s="225"/>
      <c r="AZ2679" s="225"/>
      <c r="BA2679" s="225"/>
      <c r="BB2679" s="225"/>
      <c r="BC2679" s="56"/>
      <c r="BD2679" s="56"/>
      <c r="BE2679" s="56"/>
      <c r="BF2679" s="107" t="str">
        <f t="shared" si="2076"/>
        <v>https://www.google.com/search?tbm=isch&amp;q=7%20G6</v>
      </c>
      <c r="BG2679" s="107" t="str">
        <f t="shared" si="2077"/>
        <v>O</v>
      </c>
      <c r="BH2679" s="254"/>
      <c r="BI2679" s="254"/>
    </row>
    <row r="2680" spans="1:61" customFormat="1" ht="17.25" thickBot="1" x14ac:dyDescent="0.3">
      <c r="A2680" s="522" t="s">
        <v>2573</v>
      </c>
      <c r="B2680" s="491"/>
      <c r="C2680" s="675"/>
      <c r="D2680" s="491"/>
      <c r="E2680" s="491"/>
      <c r="F2680" s="492"/>
      <c r="G2680" s="493"/>
      <c r="H2680" s="491"/>
      <c r="I2680" s="234"/>
      <c r="J2680" s="234"/>
      <c r="K2680" s="494"/>
      <c r="L2680" s="543"/>
      <c r="M2680" s="561"/>
      <c r="N2680" s="495"/>
      <c r="O2680" s="496"/>
      <c r="P2680" s="497"/>
      <c r="Q2680" s="495"/>
      <c r="R2680" s="495"/>
      <c r="S2680" s="667" t="s">
        <v>4986</v>
      </c>
      <c r="T2680" s="508">
        <f t="shared" si="2065"/>
        <v>0</v>
      </c>
      <c r="U2680" s="225" t="str">
        <f>IF(NOT(ISNUMBER(G2680)), "", VLOOKUP(A2680,'Discount Lookup'!D:E,2,FALSE)*G2680)</f>
        <v/>
      </c>
      <c r="V2680" s="225" t="str">
        <f>IF(NOT(ISNUMBER(G2680)), "", VLOOKUP(A2680,'Discount Lookup'!G:H,2,FALSE)*G2680)</f>
        <v/>
      </c>
      <c r="W2680" s="508">
        <f t="shared" si="2066"/>
        <v>0</v>
      </c>
      <c r="X2680" s="508">
        <f t="shared" si="2067"/>
        <v>0</v>
      </c>
      <c r="Y2680" s="509" t="b">
        <f t="shared" si="2068"/>
        <v>0</v>
      </c>
      <c r="Z2680" s="510">
        <f t="shared" si="2069"/>
        <v>0</v>
      </c>
      <c r="AA2680" s="511"/>
      <c r="AB2680" s="511" t="str">
        <f t="shared" si="2070"/>
        <v/>
      </c>
      <c r="AC2680" s="698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698"/>
      <c r="AE2680" s="631" t="str">
        <f t="shared" si="2071"/>
        <v/>
      </c>
      <c r="AF2680" s="699" t="str">
        <f t="shared" si="2072"/>
        <v/>
      </c>
      <c r="AG2680" s="699"/>
      <c r="AH2680" s="699"/>
      <c r="AI2680" s="512">
        <f>IF(H2680="credit",0,IF(AE2680="free",0,IF(AE2680="me",0,IF(G2680&gt;0,(VLOOKUP(A2680,'Discount Lookup'!J:K,2)*G2680),0))))</f>
        <v>0</v>
      </c>
      <c r="AJ2680" s="513" t="str">
        <f t="shared" ca="1" si="2073"/>
        <v/>
      </c>
      <c r="AK2680" s="700" t="str">
        <f t="shared" si="2074"/>
        <v/>
      </c>
      <c r="AL2680" s="700"/>
      <c r="AM2680" s="505" t="str">
        <f t="shared" si="2075"/>
        <v/>
      </c>
      <c r="AN2680" s="506"/>
      <c r="AO2680" s="507"/>
      <c r="AP2680" s="507"/>
      <c r="AQ2680" s="507"/>
      <c r="AR2680" s="507"/>
      <c r="AS2680" s="507"/>
      <c r="AT2680" s="507"/>
      <c r="AU2680" s="507"/>
      <c r="AV2680" s="225"/>
      <c r="AW2680" s="508"/>
      <c r="AX2680" s="225"/>
      <c r="AY2680" s="225"/>
      <c r="AZ2680" s="225"/>
      <c r="BA2680" s="225"/>
      <c r="BB2680" s="225"/>
      <c r="BC2680" s="56"/>
      <c r="BD2680" s="56"/>
      <c r="BE2680" s="56"/>
      <c r="BF2680" s="107" t="str">
        <f t="shared" si="2076"/>
        <v>https://www.google.com/search?tbm=isch&amp;q=October%20Magic%20Orchid%20has%20fragrant%20Blush-Pink%20blooms%20with%20Orchid%20highlights%20and%20glossy%20evergreen%20foliage%2C%20blooming%20profusely%20in%20fall%20</v>
      </c>
      <c r="BG2680" s="107" t="str">
        <f t="shared" si="2077"/>
        <v>O</v>
      </c>
      <c r="BH2680" s="254"/>
      <c r="BI2680" s="254"/>
    </row>
    <row r="2681" spans="1:61" customFormat="1" ht="18" x14ac:dyDescent="0.25">
      <c r="A2681" s="521" t="s">
        <v>5478</v>
      </c>
      <c r="B2681" s="477"/>
      <c r="C2681" s="674"/>
      <c r="D2681" s="478" t="s">
        <v>1449</v>
      </c>
      <c r="E2681" s="479"/>
      <c r="F2681" s="479"/>
      <c r="G2681" s="479"/>
      <c r="H2681" s="582" t="s">
        <v>483</v>
      </c>
      <c r="I2681" s="480" t="s">
        <v>4434</v>
      </c>
      <c r="J2681" s="479"/>
      <c r="K2681" s="479"/>
      <c r="L2681" s="560"/>
      <c r="M2681" s="666" t="s">
        <v>4966</v>
      </c>
      <c r="N2681" s="680" t="str">
        <f>IF(AND(ISTEXT($A2681), ISERROR($A2681+0)), HYPERLINK($BF2681, "Images"), "")</f>
        <v>Images</v>
      </c>
      <c r="O2681" s="662" t="s">
        <v>4967</v>
      </c>
      <c r="P2681" s="482"/>
      <c r="Q2681" s="483"/>
      <c r="R2681" s="483"/>
      <c r="S2681" s="484"/>
      <c r="T2681" s="508">
        <f t="shared" si="2065"/>
        <v>0</v>
      </c>
      <c r="U2681" s="225" t="str">
        <f>IF(NOT(ISNUMBER(G2681)), "", VLOOKUP(A2681,'Discount Lookup'!D:E,2,FALSE)*G2681)</f>
        <v/>
      </c>
      <c r="V2681" s="225" t="str">
        <f>IF(NOT(ISNUMBER(G2681)), "", VLOOKUP(A2681,'Discount Lookup'!G:H,2,FALSE)*G2681)</f>
        <v/>
      </c>
      <c r="W2681" s="508">
        <f t="shared" si="2066"/>
        <v>0</v>
      </c>
      <c r="X2681" s="508" t="str">
        <f t="shared" si="2067"/>
        <v>Ruby-Red bloom</v>
      </c>
      <c r="Y2681" s="509" t="b">
        <f t="shared" si="2068"/>
        <v>0</v>
      </c>
      <c r="Z2681" s="510">
        <f t="shared" si="2069"/>
        <v>0</v>
      </c>
      <c r="AA2681" s="511"/>
      <c r="AB2681" s="511" t="str">
        <f t="shared" si="2070"/>
        <v/>
      </c>
      <c r="AC2681" s="698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698"/>
      <c r="AE2681" s="631" t="str">
        <f t="shared" si="2071"/>
        <v/>
      </c>
      <c r="AF2681" s="699" t="str">
        <f t="shared" si="2072"/>
        <v/>
      </c>
      <c r="AG2681" s="699"/>
      <c r="AH2681" s="699"/>
      <c r="AI2681" s="512">
        <f>IF(H2681="credit",0,IF(AE2681="free",0,IF(AE2681="me",0,IF(G2681&gt;0,(VLOOKUP(A2681,'Discount Lookup'!J:K,2)*G2681),0))))</f>
        <v>0</v>
      </c>
      <c r="AJ2681" s="513" t="str">
        <f t="shared" ca="1" si="2073"/>
        <v/>
      </c>
      <c r="AK2681" s="700" t="str">
        <f t="shared" si="2074"/>
        <v/>
      </c>
      <c r="AL2681" s="700"/>
      <c r="AM2681" s="505" t="str">
        <f t="shared" si="2075"/>
        <v/>
      </c>
      <c r="AN2681" s="506"/>
      <c r="AO2681" s="507"/>
      <c r="AP2681" s="507"/>
      <c r="AQ2681" s="507"/>
      <c r="AR2681" s="507"/>
      <c r="AS2681" s="507"/>
      <c r="AT2681" s="507"/>
      <c r="AU2681" s="507"/>
      <c r="AV2681" s="225"/>
      <c r="AW2681" s="508"/>
      <c r="AX2681" s="225"/>
      <c r="AY2681" s="225"/>
      <c r="AZ2681" s="225"/>
      <c r="BA2681" s="225"/>
      <c r="BB2681" s="225"/>
      <c r="BC2681" s="56"/>
      <c r="BD2681" s="56"/>
      <c r="BE2681" s="56"/>
      <c r="BF2681" s="107" t="str">
        <f t="shared" si="2076"/>
        <v>https://www.google.com/search?tbm=isch&amp;q=October%20Magic%C2%AE%20Ruby%E2%84%A2%20Camellia%20Camellia%20sasanqua%20%27Green%2002-003%27%20PP%2324538</v>
      </c>
      <c r="BG2681" s="107" t="str">
        <f t="shared" si="2077"/>
        <v>O</v>
      </c>
      <c r="BH2681" s="254"/>
      <c r="BI2681" s="254"/>
    </row>
    <row r="2682" spans="1:61" customFormat="1" ht="15.75" x14ac:dyDescent="0.25">
      <c r="A2682" s="485">
        <v>3</v>
      </c>
      <c r="B2682" s="486" t="s">
        <v>291</v>
      </c>
      <c r="C2682" s="487" t="s">
        <v>4796</v>
      </c>
      <c r="D2682" s="488" t="s">
        <v>312</v>
      </c>
      <c r="E2682" s="489">
        <v>37.950000000000003</v>
      </c>
      <c r="F2682" s="516" t="s">
        <v>293</v>
      </c>
      <c r="G2682" s="232">
        <v>0</v>
      </c>
      <c r="H2682" s="658" t="str">
        <f>IF(G2682=0,"",IF(F2682="Buy",IF(G2682=1,"plant","plants"),IF(F2682&gt;0.01,"warranty","Error")))</f>
        <v/>
      </c>
      <c r="I2682" s="490">
        <f>IF(H2682="free",0,IF(H2682="credit",((E2682*(F2682))*G2682*-1),IF(F2682="Buy",(E2682*G2682),((E2682*(1-F2682))*G2682))))</f>
        <v>0</v>
      </c>
      <c r="J2682" s="490">
        <f>IF(H2682="warranty",0,(I2682*(_xlfn.SINGLE(SalesTaxPercentage))))</f>
        <v>0</v>
      </c>
      <c r="K2682" s="695">
        <f t="shared" ref="K2682" si="2098">I2682+J2682</f>
        <v>0</v>
      </c>
      <c r="L2682" s="695"/>
      <c r="M2682" s="659" t="str">
        <f>IF(AND(G2682&gt;0,E2682=0),"WARNING - no PRICE inserted",IF(H2682="free"," FREE ~ no charge this plant",IF(H2682="credit",CONCATENATE(" -$",ROUND(K2682*(1-T2GDiscount)*-1,2)," CREDIT after discount"),IF(T2GDiscount=0,"",IF(G2682=0,"",IF(F2682="Buy",CONCATENATE(" $",ROUND(K2682*(1-T2GDiscount),2)," with ",(T2GDiscount*100),"% discount"),CONCATENATE(" $",ROUND(K2682*(1-T2GDiscount),2)," with ",((T2GDiscount*100+F2682*100)-(T2GDiscount*100*F2682)),IF(F2682&gt;0,"% discounts",IF(NoWarrantyDiscount&gt;0,"% discounts","% discount")))))))))</f>
        <v/>
      </c>
      <c r="N2682" s="660"/>
      <c r="O2682" s="233"/>
      <c r="P2682" s="233"/>
      <c r="Q2682" s="233"/>
      <c r="R2682" s="233"/>
      <c r="S2682" s="233"/>
      <c r="T2682" s="508">
        <f t="shared" si="2065"/>
        <v>0</v>
      </c>
      <c r="U2682" s="225">
        <f>IF(NOT(ISNUMBER(G2682)), "", VLOOKUP(A2682,'Discount Lookup'!D:E,2,FALSE)*G2682)</f>
        <v>0</v>
      </c>
      <c r="V2682" s="225">
        <f>IF(NOT(ISNUMBER(G2682)), "", VLOOKUP(A2682,'Discount Lookup'!G:H,2,FALSE)*G2682)</f>
        <v>0</v>
      </c>
      <c r="W2682" s="508">
        <f t="shared" si="2066"/>
        <v>0</v>
      </c>
      <c r="X2682" s="508">
        <f t="shared" si="2067"/>
        <v>0</v>
      </c>
      <c r="Y2682" s="509" t="b">
        <f t="shared" si="2068"/>
        <v>0</v>
      </c>
      <c r="Z2682" s="510">
        <f t="shared" si="2069"/>
        <v>0</v>
      </c>
      <c r="AA2682" s="511"/>
      <c r="AB2682" s="511" t="str">
        <f t="shared" si="2070"/>
        <v/>
      </c>
      <c r="AC2682" s="698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698"/>
      <c r="AE2682" s="631" t="str">
        <f t="shared" si="2071"/>
        <v/>
      </c>
      <c r="AF2682" s="699" t="str">
        <f t="shared" si="2072"/>
        <v/>
      </c>
      <c r="AG2682" s="699"/>
      <c r="AH2682" s="699"/>
      <c r="AI2682" s="512">
        <f>IF(H2682="credit",0,IF(AE2682="free",0,IF(AE2682="me",0,IF(G2682&gt;0,(VLOOKUP(A2682,'Discount Lookup'!J:K,2)*G2682),0))))</f>
        <v>0</v>
      </c>
      <c r="AJ2682" s="513" t="str">
        <f t="shared" ca="1" si="2073"/>
        <v/>
      </c>
      <c r="AK2682" s="700" t="str">
        <f t="shared" si="2074"/>
        <v/>
      </c>
      <c r="AL2682" s="700"/>
      <c r="AM2682" s="505" t="str">
        <f t="shared" si="2075"/>
        <v/>
      </c>
      <c r="AN2682" s="506"/>
      <c r="AO2682" s="507"/>
      <c r="AP2682" s="507"/>
      <c r="AQ2682" s="507"/>
      <c r="AR2682" s="507"/>
      <c r="AS2682" s="507"/>
      <c r="AT2682" s="507"/>
      <c r="AU2682" s="507"/>
      <c r="AV2682" s="225"/>
      <c r="AW2682" s="508"/>
      <c r="AX2682" s="225"/>
      <c r="AY2682" s="225"/>
      <c r="AZ2682" s="225"/>
      <c r="BA2682" s="225"/>
      <c r="BB2682" s="225"/>
      <c r="BC2682" s="56"/>
      <c r="BD2682" s="56"/>
      <c r="BE2682" s="56"/>
      <c r="BF2682" s="107" t="str">
        <f t="shared" si="2076"/>
        <v>https://www.google.com/search?tbm=isch&amp;q=3%20G2</v>
      </c>
      <c r="BG2682" s="107" t="str">
        <f t="shared" si="2077"/>
        <v>O</v>
      </c>
      <c r="BH2682" s="254"/>
      <c r="BI2682" s="254"/>
    </row>
    <row r="2683" spans="1:61" customFormat="1" ht="15.75" x14ac:dyDescent="0.25">
      <c r="A2683" s="485">
        <v>3</v>
      </c>
      <c r="B2683" s="486" t="s">
        <v>291</v>
      </c>
      <c r="C2683" s="487"/>
      <c r="D2683" s="488" t="s">
        <v>299</v>
      </c>
      <c r="E2683" s="489">
        <v>40.950000000000003</v>
      </c>
      <c r="F2683" s="516" t="s">
        <v>293</v>
      </c>
      <c r="G2683" s="232">
        <v>0</v>
      </c>
      <c r="H2683" s="658" t="str">
        <f>IF(G2683=0,"",IF(F2683="Buy",IF(G2683=1,"plant","plants"),IF(F2683&gt;0.01,"warranty","Error")))</f>
        <v/>
      </c>
      <c r="I2683" s="490">
        <f>IF(H2683="free",0,IF(H2683="credit",((E2683*(F2683))*G2683*-1),IF(F2683="Buy",(E2683*G2683),((E2683*(1-F2683))*G2683))))</f>
        <v>0</v>
      </c>
      <c r="J2683" s="490">
        <f>IF(H2683="warranty",0,(I2683*(_xlfn.SINGLE(SalesTaxPercentage))))</f>
        <v>0</v>
      </c>
      <c r="K2683" s="695">
        <f t="shared" ref="K2683" si="2099">I2683+J2683</f>
        <v>0</v>
      </c>
      <c r="L2683" s="695"/>
      <c r="M2683" s="659" t="str">
        <f>IF(AND(G2683&gt;0,E2683=0),"WARNING - no PRICE inserted",IF(H2683="free"," FREE ~ no charge this plant",IF(H2683="credit",CONCATENATE(" -$",ROUND(K2683*(1-T2GDiscount)*-1,2)," CREDIT after discount"),IF(T2GDiscount=0,"",IF(G2683=0,"",IF(F2683="Buy",CONCATENATE(" $",ROUND(K2683*(1-T2GDiscount),2)," with ",(T2GDiscount*100),"% discount"),CONCATENATE(" $",ROUND(K2683*(1-T2GDiscount),2)," with ",((T2GDiscount*100+F2683*100)-(T2GDiscount*100*F2683)),IF(F2683&gt;0,"% discounts",IF(NoWarrantyDiscount&gt;0,"% discounts","% discount")))))))))</f>
        <v/>
      </c>
      <c r="N2683" s="660"/>
      <c r="O2683" s="233"/>
      <c r="P2683" s="233"/>
      <c r="Q2683" s="233"/>
      <c r="R2683" s="233"/>
      <c r="S2683" s="233"/>
      <c r="T2683" s="508">
        <f t="shared" si="2065"/>
        <v>0</v>
      </c>
      <c r="U2683" s="225">
        <f>IF(NOT(ISNUMBER(G2683)), "", VLOOKUP(A2683,'Discount Lookup'!D:E,2,FALSE)*G2683)</f>
        <v>0</v>
      </c>
      <c r="V2683" s="225">
        <f>IF(NOT(ISNUMBER(G2683)), "", VLOOKUP(A2683,'Discount Lookup'!G:H,2,FALSE)*G2683)</f>
        <v>0</v>
      </c>
      <c r="W2683" s="508">
        <f t="shared" si="2066"/>
        <v>0</v>
      </c>
      <c r="X2683" s="508">
        <f t="shared" si="2067"/>
        <v>0</v>
      </c>
      <c r="Y2683" s="509" t="b">
        <f t="shared" si="2068"/>
        <v>0</v>
      </c>
      <c r="Z2683" s="510">
        <f t="shared" si="2069"/>
        <v>0</v>
      </c>
      <c r="AA2683" s="511"/>
      <c r="AB2683" s="511" t="str">
        <f t="shared" si="2070"/>
        <v/>
      </c>
      <c r="AC2683" s="698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698"/>
      <c r="AE2683" s="631" t="str">
        <f t="shared" si="2071"/>
        <v/>
      </c>
      <c r="AF2683" s="699" t="str">
        <f t="shared" si="2072"/>
        <v/>
      </c>
      <c r="AG2683" s="699"/>
      <c r="AH2683" s="699"/>
      <c r="AI2683" s="512">
        <f>IF(H2683="credit",0,IF(AE2683="free",0,IF(AE2683="me",0,IF(G2683&gt;0,(VLOOKUP(A2683,'Discount Lookup'!J:K,2)*G2683),0))))</f>
        <v>0</v>
      </c>
      <c r="AJ2683" s="513" t="str">
        <f t="shared" ca="1" si="2073"/>
        <v/>
      </c>
      <c r="AK2683" s="700" t="str">
        <f t="shared" si="2074"/>
        <v/>
      </c>
      <c r="AL2683" s="700"/>
      <c r="AM2683" s="505" t="str">
        <f t="shared" si="2075"/>
        <v/>
      </c>
      <c r="AN2683" s="506"/>
      <c r="AO2683" s="507"/>
      <c r="AP2683" s="507"/>
      <c r="AQ2683" s="507"/>
      <c r="AR2683" s="507"/>
      <c r="AS2683" s="507"/>
      <c r="AT2683" s="507"/>
      <c r="AU2683" s="507"/>
      <c r="AV2683" s="225"/>
      <c r="AW2683" s="508"/>
      <c r="AX2683" s="225"/>
      <c r="AY2683" s="225"/>
      <c r="AZ2683" s="225"/>
      <c r="BA2683" s="225"/>
      <c r="BB2683" s="225"/>
      <c r="BC2683" s="56"/>
      <c r="BD2683" s="56"/>
      <c r="BE2683" s="56"/>
      <c r="BF2683" s="107" t="str">
        <f t="shared" si="2076"/>
        <v>https://www.google.com/search?tbm=isch&amp;q=3%20G5</v>
      </c>
      <c r="BG2683" s="107" t="str">
        <f t="shared" si="2077"/>
        <v>O</v>
      </c>
      <c r="BH2683" s="254"/>
      <c r="BI2683" s="254"/>
    </row>
    <row r="2684" spans="1:61" customFormat="1" ht="15.75" x14ac:dyDescent="0.25">
      <c r="A2684" s="485">
        <v>7</v>
      </c>
      <c r="B2684" s="486" t="s">
        <v>291</v>
      </c>
      <c r="C2684" s="487" t="s">
        <v>1450</v>
      </c>
      <c r="D2684" s="488" t="s">
        <v>300</v>
      </c>
      <c r="E2684" s="489">
        <v>111.95</v>
      </c>
      <c r="F2684" s="516" t="s">
        <v>293</v>
      </c>
      <c r="G2684" s="232">
        <v>0</v>
      </c>
      <c r="H2684" s="658" t="str">
        <f>IF(G2684=0,"",IF(F2684="Buy",IF(G2684=1,"plant","plants"),IF(F2684&gt;0.01,"warranty","Error")))</f>
        <v/>
      </c>
      <c r="I2684" s="490">
        <f>IF(H2684="free",0,IF(H2684="credit",((E2684*(F2684))*G2684*-1),IF(F2684="Buy",(E2684*G2684),((E2684*(1-F2684))*G2684))))</f>
        <v>0</v>
      </c>
      <c r="J2684" s="490">
        <f>IF(H2684="warranty",0,(I2684*(_xlfn.SINGLE(SalesTaxPercentage))))</f>
        <v>0</v>
      </c>
      <c r="K2684" s="695">
        <f t="shared" ref="K2684" si="2100">I2684+J2684</f>
        <v>0</v>
      </c>
      <c r="L2684" s="695"/>
      <c r="M2684" s="659" t="str">
        <f>IF(AND(G2684&gt;0,E2684=0),"WARNING - no PRICE inserted",IF(H2684="free"," FREE ~ no charge this plant",IF(H2684="credit",CONCATENATE(" -$",ROUND(K2684*(1-T2GDiscount)*-1,2)," CREDIT after discount"),IF(T2GDiscount=0,"",IF(G2684=0,"",IF(F2684="Buy",CONCATENATE(" $",ROUND(K2684*(1-T2GDiscount),2)," with ",(T2GDiscount*100),"% discount"),CONCATENATE(" $",ROUND(K2684*(1-T2GDiscount),2)," with ",((T2GDiscount*100+F2684*100)-(T2GDiscount*100*F2684)),IF(F2684&gt;0,"% discounts",IF(NoWarrantyDiscount&gt;0,"% discounts","% discount")))))))))</f>
        <v/>
      </c>
      <c r="N2684" s="660"/>
      <c r="O2684" s="233"/>
      <c r="P2684" s="233"/>
      <c r="Q2684" s="233"/>
      <c r="R2684" s="233"/>
      <c r="S2684" s="233"/>
      <c r="T2684" s="508">
        <f t="shared" si="2065"/>
        <v>0</v>
      </c>
      <c r="U2684" s="225">
        <f>IF(NOT(ISNUMBER(G2684)), "", VLOOKUP(A2684,'Discount Lookup'!D:E,2,FALSE)*G2684)</f>
        <v>0</v>
      </c>
      <c r="V2684" s="225">
        <f>IF(NOT(ISNUMBER(G2684)), "", VLOOKUP(A2684,'Discount Lookup'!G:H,2,FALSE)*G2684)</f>
        <v>0</v>
      </c>
      <c r="W2684" s="508">
        <f t="shared" si="2066"/>
        <v>0</v>
      </c>
      <c r="X2684" s="508">
        <f t="shared" si="2067"/>
        <v>0</v>
      </c>
      <c r="Y2684" s="509" t="b">
        <f t="shared" si="2068"/>
        <v>0</v>
      </c>
      <c r="Z2684" s="510">
        <f t="shared" si="2069"/>
        <v>0</v>
      </c>
      <c r="AA2684" s="511"/>
      <c r="AB2684" s="511" t="str">
        <f t="shared" si="2070"/>
        <v/>
      </c>
      <c r="AC2684" s="698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698"/>
      <c r="AE2684" s="631" t="str">
        <f t="shared" si="2071"/>
        <v/>
      </c>
      <c r="AF2684" s="699" t="str">
        <f t="shared" si="2072"/>
        <v/>
      </c>
      <c r="AG2684" s="699"/>
      <c r="AH2684" s="699"/>
      <c r="AI2684" s="512">
        <f>IF(H2684="credit",0,IF(AE2684="free",0,IF(AE2684="me",0,IF(G2684&gt;0,(VLOOKUP(A2684,'Discount Lookup'!J:K,2)*G2684),0))))</f>
        <v>0</v>
      </c>
      <c r="AJ2684" s="513" t="str">
        <f t="shared" ca="1" si="2073"/>
        <v/>
      </c>
      <c r="AK2684" s="700" t="str">
        <f t="shared" si="2074"/>
        <v/>
      </c>
      <c r="AL2684" s="700"/>
      <c r="AM2684" s="505" t="str">
        <f t="shared" si="2075"/>
        <v/>
      </c>
      <c r="AN2684" s="506"/>
      <c r="AO2684" s="507"/>
      <c r="AP2684" s="507"/>
      <c r="AQ2684" s="507"/>
      <c r="AR2684" s="507"/>
      <c r="AS2684" s="507"/>
      <c r="AT2684" s="507"/>
      <c r="AU2684" s="507"/>
      <c r="AV2684" s="225"/>
      <c r="AW2684" s="508"/>
      <c r="AX2684" s="225"/>
      <c r="AY2684" s="225"/>
      <c r="AZ2684" s="225"/>
      <c r="BA2684" s="225"/>
      <c r="BB2684" s="225"/>
      <c r="BC2684" s="56"/>
      <c r="BD2684" s="56"/>
      <c r="BE2684" s="56"/>
      <c r="BF2684" s="107" t="str">
        <f t="shared" si="2076"/>
        <v>https://www.google.com/search?tbm=isch&amp;q=7%20G6</v>
      </c>
      <c r="BG2684" s="107" t="str">
        <f t="shared" si="2077"/>
        <v>O</v>
      </c>
      <c r="BH2684" s="254"/>
      <c r="BI2684" s="254"/>
    </row>
    <row r="2685" spans="1:61" customFormat="1" ht="15.75" x14ac:dyDescent="0.25">
      <c r="A2685" s="485">
        <v>15</v>
      </c>
      <c r="B2685" s="486" t="s">
        <v>291</v>
      </c>
      <c r="C2685" s="487" t="s">
        <v>3677</v>
      </c>
      <c r="D2685" s="488" t="s">
        <v>292</v>
      </c>
      <c r="E2685" s="489">
        <v>224.95</v>
      </c>
      <c r="F2685" s="516" t="s">
        <v>293</v>
      </c>
      <c r="G2685" s="232">
        <v>0</v>
      </c>
      <c r="H2685" s="658" t="str">
        <f>IF(G2685=0,"",IF(F2685="Buy",IF(G2685=1,"plant","plants"),IF(F2685&gt;0.01,"warranty","Error")))</f>
        <v/>
      </c>
      <c r="I2685" s="490">
        <f>IF(H2685="free",0,IF(H2685="credit",((E2685*(F2685))*G2685*-1),IF(F2685="Buy",(E2685*G2685),((E2685*(1-F2685))*G2685))))</f>
        <v>0</v>
      </c>
      <c r="J2685" s="490">
        <f>IF(H2685="warranty",0,(I2685*(_xlfn.SINGLE(SalesTaxPercentage))))</f>
        <v>0</v>
      </c>
      <c r="K2685" s="695">
        <f t="shared" ref="K2685" si="2101">I2685+J2685</f>
        <v>0</v>
      </c>
      <c r="L2685" s="695"/>
      <c r="M2685" s="659" t="str">
        <f>IF(AND(G2685&gt;0,E2685=0),"WARNING - no PRICE inserted",IF(H2685="free"," FREE ~ no charge this plant",IF(H2685="credit",CONCATENATE(" -$",ROUND(K2685*(1-T2GDiscount)*-1,2)," CREDIT after discount"),IF(T2GDiscount=0,"",IF(G2685=0,"",IF(F2685="Buy",CONCATENATE(" $",ROUND(K2685*(1-T2GDiscount),2)," with ",(T2GDiscount*100),"% discount"),CONCATENATE(" $",ROUND(K2685*(1-T2GDiscount),2)," with ",((T2GDiscount*100+F2685*100)-(T2GDiscount*100*F2685)),IF(F2685&gt;0,"% discounts",IF(NoWarrantyDiscount&gt;0,"% discounts","% discount")))))))))</f>
        <v/>
      </c>
      <c r="N2685" s="660"/>
      <c r="O2685" s="233"/>
      <c r="P2685" s="233"/>
      <c r="Q2685" s="233"/>
      <c r="R2685" s="233"/>
      <c r="S2685" s="233"/>
      <c r="T2685" s="508">
        <f t="shared" si="2065"/>
        <v>0</v>
      </c>
      <c r="U2685" s="225">
        <f>IF(NOT(ISNUMBER(G2685)), "", VLOOKUP(A2685,'Discount Lookup'!D:E,2,FALSE)*G2685)</f>
        <v>0</v>
      </c>
      <c r="V2685" s="225">
        <f>IF(NOT(ISNUMBER(G2685)), "", VLOOKUP(A2685,'Discount Lookup'!G:H,2,FALSE)*G2685)</f>
        <v>0</v>
      </c>
      <c r="W2685" s="508">
        <f t="shared" si="2066"/>
        <v>0</v>
      </c>
      <c r="X2685" s="508">
        <f t="shared" si="2067"/>
        <v>0</v>
      </c>
      <c r="Y2685" s="509" t="b">
        <f t="shared" si="2068"/>
        <v>0</v>
      </c>
      <c r="Z2685" s="510">
        <f t="shared" si="2069"/>
        <v>0</v>
      </c>
      <c r="AA2685" s="511"/>
      <c r="AB2685" s="511" t="str">
        <f t="shared" si="2070"/>
        <v/>
      </c>
      <c r="AC2685" s="698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698"/>
      <c r="AE2685" s="631" t="str">
        <f t="shared" si="2071"/>
        <v/>
      </c>
      <c r="AF2685" s="699" t="str">
        <f t="shared" si="2072"/>
        <v/>
      </c>
      <c r="AG2685" s="699"/>
      <c r="AH2685" s="699"/>
      <c r="AI2685" s="512">
        <f>IF(H2685="credit",0,IF(AE2685="free",0,IF(AE2685="me",0,IF(G2685&gt;0,(VLOOKUP(A2685,'Discount Lookup'!J:K,2)*G2685),0))))</f>
        <v>0</v>
      </c>
      <c r="AJ2685" s="513" t="str">
        <f t="shared" ca="1" si="2073"/>
        <v/>
      </c>
      <c r="AK2685" s="700" t="str">
        <f t="shared" si="2074"/>
        <v/>
      </c>
      <c r="AL2685" s="700"/>
      <c r="AM2685" s="505" t="str">
        <f t="shared" si="2075"/>
        <v/>
      </c>
      <c r="AN2685" s="506"/>
      <c r="AO2685" s="507"/>
      <c r="AP2685" s="507"/>
      <c r="AQ2685" s="507"/>
      <c r="AR2685" s="507"/>
      <c r="AS2685" s="507"/>
      <c r="AT2685" s="507"/>
      <c r="AU2685" s="507"/>
      <c r="AV2685" s="225"/>
      <c r="AW2685" s="508"/>
      <c r="AX2685" s="225"/>
      <c r="AY2685" s="225"/>
      <c r="AZ2685" s="225"/>
      <c r="BA2685" s="225"/>
      <c r="BB2685" s="225"/>
      <c r="BC2685" s="56"/>
      <c r="BD2685" s="56"/>
      <c r="BE2685" s="56"/>
      <c r="BF2685" s="107" t="str">
        <f t="shared" si="2076"/>
        <v>https://www.google.com/search?tbm=isch&amp;q=15%20G4</v>
      </c>
      <c r="BG2685" s="107" t="str">
        <f t="shared" si="2077"/>
        <v>O</v>
      </c>
      <c r="BH2685" s="254"/>
      <c r="BI2685" s="254"/>
    </row>
    <row r="2686" spans="1:61" customFormat="1" ht="17.25" thickBot="1" x14ac:dyDescent="0.3">
      <c r="A2686" s="522" t="s">
        <v>2686</v>
      </c>
      <c r="B2686" s="491"/>
      <c r="C2686" s="675"/>
      <c r="D2686" s="491"/>
      <c r="E2686" s="491"/>
      <c r="F2686" s="492"/>
      <c r="G2686" s="493"/>
      <c r="H2686" s="491"/>
      <c r="I2686" s="234"/>
      <c r="J2686" s="234"/>
      <c r="K2686" s="494"/>
      <c r="L2686" s="543"/>
      <c r="M2686" s="561"/>
      <c r="N2686" s="495"/>
      <c r="O2686" s="496"/>
      <c r="P2686" s="497"/>
      <c r="Q2686" s="495"/>
      <c r="R2686" s="495"/>
      <c r="S2686" s="667" t="s">
        <v>4986</v>
      </c>
      <c r="T2686" s="508">
        <f t="shared" si="2065"/>
        <v>0</v>
      </c>
      <c r="U2686" s="225" t="str">
        <f>IF(NOT(ISNUMBER(G2686)), "", VLOOKUP(A2686,'Discount Lookup'!D:E,2,FALSE)*G2686)</f>
        <v/>
      </c>
      <c r="V2686" s="225" t="str">
        <f>IF(NOT(ISNUMBER(G2686)), "", VLOOKUP(A2686,'Discount Lookup'!G:H,2,FALSE)*G2686)</f>
        <v/>
      </c>
      <c r="W2686" s="508">
        <f t="shared" si="2066"/>
        <v>0</v>
      </c>
      <c r="X2686" s="508">
        <f t="shared" si="2067"/>
        <v>0</v>
      </c>
      <c r="Y2686" s="509" t="b">
        <f t="shared" si="2068"/>
        <v>0</v>
      </c>
      <c r="Z2686" s="510">
        <f t="shared" si="2069"/>
        <v>0</v>
      </c>
      <c r="AA2686" s="511"/>
      <c r="AB2686" s="511" t="str">
        <f t="shared" si="2070"/>
        <v/>
      </c>
      <c r="AC2686" s="698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698"/>
      <c r="AE2686" s="631" t="str">
        <f t="shared" si="2071"/>
        <v/>
      </c>
      <c r="AF2686" s="699" t="str">
        <f t="shared" si="2072"/>
        <v/>
      </c>
      <c r="AG2686" s="699"/>
      <c r="AH2686" s="699"/>
      <c r="AI2686" s="512">
        <f>IF(H2686="credit",0,IF(AE2686="free",0,IF(AE2686="me",0,IF(G2686&gt;0,(VLOOKUP(A2686,'Discount Lookup'!J:K,2)*G2686),0))))</f>
        <v>0</v>
      </c>
      <c r="AJ2686" s="513" t="str">
        <f t="shared" ca="1" si="2073"/>
        <v/>
      </c>
      <c r="AK2686" s="700" t="str">
        <f t="shared" si="2074"/>
        <v/>
      </c>
      <c r="AL2686" s="700"/>
      <c r="AM2686" s="505" t="str">
        <f t="shared" si="2075"/>
        <v/>
      </c>
      <c r="AN2686" s="506"/>
      <c r="AO2686" s="507"/>
      <c r="AP2686" s="507"/>
      <c r="AQ2686" s="507"/>
      <c r="AR2686" s="507"/>
      <c r="AS2686" s="507"/>
      <c r="AT2686" s="507"/>
      <c r="AU2686" s="507"/>
      <c r="AV2686" s="225"/>
      <c r="AW2686" s="508"/>
      <c r="AX2686" s="225"/>
      <c r="AY2686" s="225"/>
      <c r="AZ2686" s="225"/>
      <c r="BA2686" s="225"/>
      <c r="BB2686" s="225"/>
      <c r="BC2686" s="56"/>
      <c r="BD2686" s="56"/>
      <c r="BE2686" s="56"/>
      <c r="BF2686" s="107" t="str">
        <f t="shared" si="2076"/>
        <v>https://www.google.com/search?tbm=isch&amp;q=October%20Magic%20Ruby%20has%20double%20blooms%20and%20super%20glossy%20Olive-Green%20foliage%2C%20blooming%20heavily%20in%20fall%20with%20a%20soft%2C%20compact%20form%20</v>
      </c>
      <c r="BG2686" s="107" t="str">
        <f t="shared" si="2077"/>
        <v>O</v>
      </c>
      <c r="BH2686" s="254"/>
      <c r="BI2686" s="254"/>
    </row>
    <row r="2687" spans="1:61" customFormat="1" ht="18" x14ac:dyDescent="0.25">
      <c r="A2687" s="521" t="s">
        <v>1451</v>
      </c>
      <c r="B2687" s="477"/>
      <c r="C2687" s="674"/>
      <c r="D2687" s="478" t="s">
        <v>1452</v>
      </c>
      <c r="E2687" s="479"/>
      <c r="F2687" s="479"/>
      <c r="G2687" s="479"/>
      <c r="H2687" s="582" t="s">
        <v>957</v>
      </c>
      <c r="I2687" s="480" t="s">
        <v>2514</v>
      </c>
      <c r="J2687" s="479"/>
      <c r="K2687" s="479"/>
      <c r="L2687" s="560"/>
      <c r="M2687" s="666" t="s">
        <v>4966</v>
      </c>
      <c r="N2687" s="680" t="str">
        <f>IF(AND(ISTEXT($A2687), ISERROR($A2687+0)), HYPERLINK($BF2687, "Images"), "")</f>
        <v>Images</v>
      </c>
      <c r="O2687" s="662" t="s">
        <v>4969</v>
      </c>
      <c r="P2687" s="482"/>
      <c r="Q2687" s="483"/>
      <c r="R2687" s="483"/>
      <c r="S2687" s="484"/>
      <c r="T2687" s="508">
        <f t="shared" si="2065"/>
        <v>0</v>
      </c>
      <c r="U2687" s="225" t="str">
        <f>IF(NOT(ISNUMBER(G2687)), "", VLOOKUP(A2687,'Discount Lookup'!D:E,2,FALSE)*G2687)</f>
        <v/>
      </c>
      <c r="V2687" s="225" t="str">
        <f>IF(NOT(ISNUMBER(G2687)), "", VLOOKUP(A2687,'Discount Lookup'!G:H,2,FALSE)*G2687)</f>
        <v/>
      </c>
      <c r="W2687" s="508">
        <f t="shared" si="2066"/>
        <v>0</v>
      </c>
      <c r="X2687" s="508" t="str">
        <f t="shared" si="2067"/>
        <v>White-Yellow stripes</v>
      </c>
      <c r="Y2687" s="509" t="b">
        <f t="shared" si="2068"/>
        <v>0</v>
      </c>
      <c r="Z2687" s="510">
        <f t="shared" si="2069"/>
        <v>0</v>
      </c>
      <c r="AA2687" s="511"/>
      <c r="AB2687" s="511" t="str">
        <f t="shared" si="2070"/>
        <v/>
      </c>
      <c r="AC2687" s="698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698"/>
      <c r="AE2687" s="631" t="str">
        <f t="shared" si="2071"/>
        <v/>
      </c>
      <c r="AF2687" s="699" t="str">
        <f t="shared" si="2072"/>
        <v/>
      </c>
      <c r="AG2687" s="699"/>
      <c r="AH2687" s="699"/>
      <c r="AI2687" s="512">
        <f>IF(H2687="credit",0,IF(AE2687="free",0,IF(AE2687="me",0,IF(G2687&gt;0,(VLOOKUP(A2687,'Discount Lookup'!J:K,2)*G2687),0))))</f>
        <v>0</v>
      </c>
      <c r="AJ2687" s="513" t="str">
        <f t="shared" ca="1" si="2073"/>
        <v/>
      </c>
      <c r="AK2687" s="700" t="str">
        <f t="shared" si="2074"/>
        <v/>
      </c>
      <c r="AL2687" s="700"/>
      <c r="AM2687" s="505" t="str">
        <f t="shared" si="2075"/>
        <v/>
      </c>
      <c r="AN2687" s="506"/>
      <c r="AO2687" s="507"/>
      <c r="AP2687" s="507"/>
      <c r="AQ2687" s="507"/>
      <c r="AR2687" s="507"/>
      <c r="AS2687" s="507"/>
      <c r="AT2687" s="507"/>
      <c r="AU2687" s="507"/>
      <c r="AV2687" s="225"/>
      <c r="AW2687" s="508"/>
      <c r="AX2687" s="225"/>
      <c r="AY2687" s="225"/>
      <c r="AZ2687" s="225"/>
      <c r="BA2687" s="225"/>
      <c r="BB2687" s="225"/>
      <c r="BC2687" s="56"/>
      <c r="BD2687" s="56"/>
      <c r="BE2687" s="56"/>
      <c r="BF2687" s="107" t="str">
        <f t="shared" si="2076"/>
        <v>https://www.google.com/search?tbm=isch&amp;q=Ogon%20Sweet%20Flag%20Acorus%20gramineus%20%27Ogon%27</v>
      </c>
      <c r="BG2687" s="107" t="str">
        <f t="shared" si="2077"/>
        <v>O</v>
      </c>
      <c r="BH2687" s="254"/>
      <c r="BI2687" s="254"/>
    </row>
    <row r="2688" spans="1:61" customFormat="1" ht="15.75" x14ac:dyDescent="0.25">
      <c r="A2688" s="485">
        <v>1</v>
      </c>
      <c r="B2688" s="486" t="s">
        <v>291</v>
      </c>
      <c r="C2688" s="487" t="s">
        <v>1453</v>
      </c>
      <c r="D2688" s="488" t="s">
        <v>297</v>
      </c>
      <c r="E2688" s="489">
        <v>8.9499999999999993</v>
      </c>
      <c r="F2688" s="516" t="s">
        <v>293</v>
      </c>
      <c r="G2688" s="232">
        <v>0</v>
      </c>
      <c r="H2688" s="658" t="str">
        <f>IF(G2688=0,"",IF(F2688="Buy",IF(G2688=1,"plant","plants"),IF(F2688&gt;0.01,"warranty","Error")))</f>
        <v/>
      </c>
      <c r="I2688" s="490">
        <f>IF(H2688="free",0,IF(H2688="credit",((E2688*(F2688))*G2688*-1),IF(F2688="Buy",(E2688*G2688),((E2688*(1-F2688))*G2688))))</f>
        <v>0</v>
      </c>
      <c r="J2688" s="490">
        <f>IF(H2688="warranty",0,(I2688*(_xlfn.SINGLE(SalesTaxPercentage))))</f>
        <v>0</v>
      </c>
      <c r="K2688" s="695">
        <f t="shared" ref="K2688" si="2102">I2688+J2688</f>
        <v>0</v>
      </c>
      <c r="L2688" s="695"/>
      <c r="M2688" s="659" t="str">
        <f>IF(AND(G2688&gt;0,E2688=0),"WARNING - no PRICE inserted",IF(H2688="free"," FREE ~ no charge this plant",IF(H2688="credit",CONCATENATE(" -$",ROUND(K2688*(1-T2GDiscount)*-1,2)," CREDIT after discount"),IF(T2GDiscount=0,"",IF(G2688=0,"",IF(F2688="Buy",CONCATENATE(" $",ROUND(K2688*(1-T2GDiscount),2)," with ",(T2GDiscount*100),"% discount"),CONCATENATE(" $",ROUND(K2688*(1-T2GDiscount),2)," with ",((T2GDiscount*100+F2688*100)-(T2GDiscount*100*F2688)),IF(F2688&gt;0,"% discounts",IF(NoWarrantyDiscount&gt;0,"% discounts","% discount")))))))))</f>
        <v/>
      </c>
      <c r="N2688" s="660"/>
      <c r="O2688" s="233"/>
      <c r="P2688" s="233"/>
      <c r="Q2688" s="233"/>
      <c r="R2688" s="233"/>
      <c r="S2688" s="233"/>
      <c r="T2688" s="508">
        <f t="shared" si="2065"/>
        <v>0</v>
      </c>
      <c r="U2688" s="225">
        <f>IF(NOT(ISNUMBER(G2688)), "", VLOOKUP(A2688,'Discount Lookup'!D:E,2,FALSE)*G2688)</f>
        <v>0</v>
      </c>
      <c r="V2688" s="225">
        <f>IF(NOT(ISNUMBER(G2688)), "", VLOOKUP(A2688,'Discount Lookup'!G:H,2,FALSE)*G2688)</f>
        <v>0</v>
      </c>
      <c r="W2688" s="508">
        <f t="shared" si="2066"/>
        <v>0</v>
      </c>
      <c r="X2688" s="508">
        <f t="shared" si="2067"/>
        <v>0</v>
      </c>
      <c r="Y2688" s="509" t="b">
        <f t="shared" si="2068"/>
        <v>0</v>
      </c>
      <c r="Z2688" s="510">
        <f t="shared" si="2069"/>
        <v>0</v>
      </c>
      <c r="AA2688" s="511"/>
      <c r="AB2688" s="511" t="str">
        <f t="shared" si="2070"/>
        <v/>
      </c>
      <c r="AC2688" s="698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698"/>
      <c r="AE2688" s="631" t="str">
        <f t="shared" si="2071"/>
        <v/>
      </c>
      <c r="AF2688" s="699" t="str">
        <f t="shared" si="2072"/>
        <v/>
      </c>
      <c r="AG2688" s="699"/>
      <c r="AH2688" s="699"/>
      <c r="AI2688" s="512">
        <f>IF(H2688="credit",0,IF(AE2688="free",0,IF(AE2688="me",0,IF(G2688&gt;0,(VLOOKUP(A2688,'Discount Lookup'!J:K,2)*G2688),0))))</f>
        <v>0</v>
      </c>
      <c r="AJ2688" s="513" t="str">
        <f t="shared" ca="1" si="2073"/>
        <v/>
      </c>
      <c r="AK2688" s="700" t="str">
        <f t="shared" si="2074"/>
        <v/>
      </c>
      <c r="AL2688" s="700"/>
      <c r="AM2688" s="505" t="str">
        <f t="shared" si="2075"/>
        <v/>
      </c>
      <c r="AN2688" s="506"/>
      <c r="AO2688" s="507"/>
      <c r="AP2688" s="507"/>
      <c r="AQ2688" s="507"/>
      <c r="AR2688" s="507"/>
      <c r="AS2688" s="507"/>
      <c r="AT2688" s="507"/>
      <c r="AU2688" s="507"/>
      <c r="AV2688" s="225"/>
      <c r="AW2688" s="508"/>
      <c r="AX2688" s="225"/>
      <c r="AY2688" s="225"/>
      <c r="AZ2688" s="225"/>
      <c r="BA2688" s="225"/>
      <c r="BB2688" s="225"/>
      <c r="BC2688" s="56"/>
      <c r="BD2688" s="56"/>
      <c r="BE2688" s="56"/>
      <c r="BF2688" s="107" t="str">
        <f t="shared" si="2076"/>
        <v>https://www.google.com/search?tbm=isch&amp;q=1%20G3</v>
      </c>
      <c r="BG2688" s="107" t="str">
        <f t="shared" si="2077"/>
        <v>O</v>
      </c>
      <c r="BH2688" s="254"/>
      <c r="BI2688" s="254"/>
    </row>
    <row r="2689" spans="1:61" customFormat="1" ht="15.75" x14ac:dyDescent="0.25">
      <c r="A2689" s="485">
        <v>1</v>
      </c>
      <c r="B2689" s="486" t="s">
        <v>291</v>
      </c>
      <c r="C2689" s="487"/>
      <c r="D2689" s="488" t="s">
        <v>300</v>
      </c>
      <c r="E2689" s="489">
        <v>14.95</v>
      </c>
      <c r="F2689" s="516" t="s">
        <v>293</v>
      </c>
      <c r="G2689" s="232">
        <v>0</v>
      </c>
      <c r="H2689" s="658" t="str">
        <f>IF(G2689=0,"",IF(F2689="Buy",IF(G2689=1,"plant","plants"),IF(F2689&gt;0.01,"warranty","Error")))</f>
        <v/>
      </c>
      <c r="I2689" s="490">
        <f>IF(H2689="free",0,IF(H2689="credit",((E2689*(F2689))*G2689*-1),IF(F2689="Buy",(E2689*G2689),((E2689*(1-F2689))*G2689))))</f>
        <v>0</v>
      </c>
      <c r="J2689" s="490">
        <f>IF(H2689="warranty",0,(I2689*(_xlfn.SINGLE(SalesTaxPercentage))))</f>
        <v>0</v>
      </c>
      <c r="K2689" s="695">
        <f t="shared" ref="K2689" si="2103">I2689+J2689</f>
        <v>0</v>
      </c>
      <c r="L2689" s="695"/>
      <c r="M2689" s="659" t="str">
        <f>IF(AND(G2689&gt;0,E2689=0),"WARNING - no PRICE inserted",IF(H2689="free"," FREE ~ no charge this plant",IF(H2689="credit",CONCATENATE(" -$",ROUND(K2689*(1-T2GDiscount)*-1,2)," CREDIT after discount"),IF(T2GDiscount=0,"",IF(G2689=0,"",IF(F2689="Buy",CONCATENATE(" $",ROUND(K2689*(1-T2GDiscount),2)," with ",(T2GDiscount*100),"% discount"),CONCATENATE(" $",ROUND(K2689*(1-T2GDiscount),2)," with ",((T2GDiscount*100+F2689*100)-(T2GDiscount*100*F2689)),IF(F2689&gt;0,"% discounts",IF(NoWarrantyDiscount&gt;0,"% discounts","% discount")))))))))</f>
        <v/>
      </c>
      <c r="N2689" s="660"/>
      <c r="O2689" s="233"/>
      <c r="P2689" s="233"/>
      <c r="Q2689" s="233"/>
      <c r="R2689" s="233"/>
      <c r="S2689" s="233"/>
      <c r="T2689" s="508">
        <f t="shared" si="2065"/>
        <v>0</v>
      </c>
      <c r="U2689" s="225">
        <f>IF(NOT(ISNUMBER(G2689)), "", VLOOKUP(A2689,'Discount Lookup'!D:E,2,FALSE)*G2689)</f>
        <v>0</v>
      </c>
      <c r="V2689" s="225">
        <f>IF(NOT(ISNUMBER(G2689)), "", VLOOKUP(A2689,'Discount Lookup'!G:H,2,FALSE)*G2689)</f>
        <v>0</v>
      </c>
      <c r="W2689" s="508">
        <f t="shared" si="2066"/>
        <v>0</v>
      </c>
      <c r="X2689" s="508">
        <f t="shared" si="2067"/>
        <v>0</v>
      </c>
      <c r="Y2689" s="509" t="b">
        <f t="shared" si="2068"/>
        <v>0</v>
      </c>
      <c r="Z2689" s="510">
        <f t="shared" si="2069"/>
        <v>0</v>
      </c>
      <c r="AA2689" s="511"/>
      <c r="AB2689" s="511" t="str">
        <f t="shared" si="2070"/>
        <v/>
      </c>
      <c r="AC2689" s="698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698"/>
      <c r="AE2689" s="631" t="str">
        <f t="shared" si="2071"/>
        <v/>
      </c>
      <c r="AF2689" s="699" t="str">
        <f t="shared" si="2072"/>
        <v/>
      </c>
      <c r="AG2689" s="699"/>
      <c r="AH2689" s="699"/>
      <c r="AI2689" s="512">
        <f>IF(H2689="credit",0,IF(AE2689="free",0,IF(AE2689="me",0,IF(G2689&gt;0,(VLOOKUP(A2689,'Discount Lookup'!J:K,2)*G2689),0))))</f>
        <v>0</v>
      </c>
      <c r="AJ2689" s="513" t="str">
        <f t="shared" ca="1" si="2073"/>
        <v/>
      </c>
      <c r="AK2689" s="700" t="str">
        <f t="shared" si="2074"/>
        <v/>
      </c>
      <c r="AL2689" s="700"/>
      <c r="AM2689" s="505" t="str">
        <f t="shared" si="2075"/>
        <v/>
      </c>
      <c r="AN2689" s="506"/>
      <c r="AO2689" s="507"/>
      <c r="AP2689" s="507"/>
      <c r="AQ2689" s="507"/>
      <c r="AR2689" s="507"/>
      <c r="AS2689" s="507"/>
      <c r="AT2689" s="507"/>
      <c r="AU2689" s="507"/>
      <c r="AV2689" s="225"/>
      <c r="AW2689" s="508"/>
      <c r="AX2689" s="225"/>
      <c r="AY2689" s="225"/>
      <c r="AZ2689" s="225"/>
      <c r="BA2689" s="225"/>
      <c r="BB2689" s="225"/>
      <c r="BC2689" s="56"/>
      <c r="BD2689" s="56"/>
      <c r="BE2689" s="56"/>
      <c r="BF2689" s="107" t="str">
        <f t="shared" si="2076"/>
        <v>https://www.google.com/search?tbm=isch&amp;q=1%20G6</v>
      </c>
      <c r="BG2689" s="107" t="str">
        <f t="shared" si="2077"/>
        <v>O</v>
      </c>
      <c r="BH2689" s="254"/>
      <c r="BI2689" s="254"/>
    </row>
    <row r="2690" spans="1:61" customFormat="1" ht="16.5" thickBot="1" x14ac:dyDescent="0.3">
      <c r="A2690" s="672" t="s">
        <v>5187</v>
      </c>
      <c r="B2690" s="491"/>
      <c r="C2690" s="675"/>
      <c r="D2690" s="491"/>
      <c r="E2690" s="491"/>
      <c r="F2690" s="492"/>
      <c r="G2690" s="493"/>
      <c r="H2690" s="491"/>
      <c r="I2690" s="234"/>
      <c r="J2690" s="234"/>
      <c r="K2690" s="494"/>
      <c r="L2690" s="543"/>
      <c r="M2690" s="561"/>
      <c r="N2690" s="495"/>
      <c r="O2690" s="496"/>
      <c r="P2690" s="497"/>
      <c r="Q2690" s="495"/>
      <c r="R2690" s="495"/>
      <c r="S2690" s="664" t="s">
        <v>5010</v>
      </c>
      <c r="T2690" s="508">
        <f t="shared" si="2065"/>
        <v>0</v>
      </c>
      <c r="U2690" s="225" t="str">
        <f>IF(NOT(ISNUMBER(G2690)), "", VLOOKUP(A2690,'Discount Lookup'!D:E,2,FALSE)*G2690)</f>
        <v/>
      </c>
      <c r="V2690" s="225" t="str">
        <f>IF(NOT(ISNUMBER(G2690)), "", VLOOKUP(A2690,'Discount Lookup'!G:H,2,FALSE)*G2690)</f>
        <v/>
      </c>
      <c r="W2690" s="508">
        <f t="shared" si="2066"/>
        <v>0</v>
      </c>
      <c r="X2690" s="508">
        <f t="shared" si="2067"/>
        <v>0</v>
      </c>
      <c r="Y2690" s="509" t="b">
        <f t="shared" si="2068"/>
        <v>0</v>
      </c>
      <c r="Z2690" s="510">
        <f t="shared" si="2069"/>
        <v>0</v>
      </c>
      <c r="AA2690" s="511"/>
      <c r="AB2690" s="511" t="str">
        <f t="shared" si="2070"/>
        <v/>
      </c>
      <c r="AC2690" s="698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698"/>
      <c r="AE2690" s="631" t="str">
        <f t="shared" si="2071"/>
        <v/>
      </c>
      <c r="AF2690" s="699" t="str">
        <f t="shared" si="2072"/>
        <v/>
      </c>
      <c r="AG2690" s="699"/>
      <c r="AH2690" s="699"/>
      <c r="AI2690" s="512">
        <f>IF(H2690="credit",0,IF(AE2690="free",0,IF(AE2690="me",0,IF(G2690&gt;0,(VLOOKUP(A2690,'Discount Lookup'!J:K,2)*G2690),0))))</f>
        <v>0</v>
      </c>
      <c r="AJ2690" s="513" t="str">
        <f t="shared" ca="1" si="2073"/>
        <v/>
      </c>
      <c r="AK2690" s="700" t="str">
        <f t="shared" si="2074"/>
        <v/>
      </c>
      <c r="AL2690" s="700"/>
      <c r="AM2690" s="505" t="str">
        <f t="shared" si="2075"/>
        <v/>
      </c>
      <c r="AN2690" s="506"/>
      <c r="AO2690" s="507"/>
      <c r="AP2690" s="507"/>
      <c r="AQ2690" s="507"/>
      <c r="AR2690" s="507"/>
      <c r="AS2690" s="507"/>
      <c r="AT2690" s="507"/>
      <c r="AU2690" s="507"/>
      <c r="AV2690" s="225"/>
      <c r="AW2690" s="508"/>
      <c r="AX2690" s="225"/>
      <c r="AY2690" s="225"/>
      <c r="AZ2690" s="225"/>
      <c r="BA2690" s="225"/>
      <c r="BB2690" s="225"/>
      <c r="BC2690" s="56"/>
      <c r="BD2690" s="56"/>
      <c r="BE2690" s="56"/>
      <c r="BF2690" s="107" t="str">
        <f t="shared" si="2076"/>
        <v>https://www.google.com/search?tbm=isch&amp;q=wet%20sites%F0%9F%92%A7BEST%2C%20Ogon%20shows%20off%20vibrant%20foliage%20with%20soft%20arching%20texture.%20Foliage%20emits%20spicy-sweet%20scent%20when%20crushed%20</v>
      </c>
      <c r="BG2690" s="107" t="str">
        <f t="shared" si="2077"/>
        <v>w</v>
      </c>
      <c r="BH2690" s="254"/>
      <c r="BI2690" s="254"/>
    </row>
    <row r="2691" spans="1:61" customFormat="1" ht="18" x14ac:dyDescent="0.25">
      <c r="A2691" s="523" t="s">
        <v>1454</v>
      </c>
      <c r="B2691" s="235"/>
      <c r="C2691" s="676"/>
      <c r="D2691" s="255" t="s">
        <v>1455</v>
      </c>
      <c r="E2691" s="236"/>
      <c r="F2691" s="236"/>
      <c r="G2691" s="236"/>
      <c r="H2691" s="582" t="s">
        <v>357</v>
      </c>
      <c r="I2691" s="498" t="s">
        <v>656</v>
      </c>
      <c r="J2691" s="237"/>
      <c r="K2691" s="237"/>
      <c r="L2691" s="274"/>
      <c r="M2691" s="668" t="s">
        <v>4962</v>
      </c>
      <c r="N2691" s="681" t="str">
        <f>IF(AND(ISTEXT($A2691), ISERROR($A2691+0)), HYPERLINK($BF2691, "Images"), "")</f>
        <v>Images</v>
      </c>
      <c r="O2691" s="663" t="s">
        <v>4967</v>
      </c>
      <c r="P2691" s="253"/>
      <c r="Q2691" s="238"/>
      <c r="R2691" s="239"/>
      <c r="S2691" s="275"/>
      <c r="T2691" s="508">
        <f t="shared" si="2065"/>
        <v>0</v>
      </c>
      <c r="U2691" s="225" t="str">
        <f>IF(NOT(ISNUMBER(G2691)), "", VLOOKUP(A2691,'Discount Lookup'!D:E,2,FALSE)*G2691)</f>
        <v/>
      </c>
      <c r="V2691" s="225" t="str">
        <f>IF(NOT(ISNUMBER(G2691)), "", VLOOKUP(A2691,'Discount Lookup'!G:H,2,FALSE)*G2691)</f>
        <v/>
      </c>
      <c r="W2691" s="508">
        <f t="shared" si="2066"/>
        <v>0</v>
      </c>
      <c r="X2691" s="508" t="str">
        <f t="shared" si="2067"/>
        <v>Pink bloom</v>
      </c>
      <c r="Y2691" s="509" t="b">
        <f t="shared" si="2068"/>
        <v>0</v>
      </c>
      <c r="Z2691" s="510">
        <f t="shared" si="2069"/>
        <v>0</v>
      </c>
      <c r="AA2691" s="511"/>
      <c r="AB2691" s="511" t="str">
        <f t="shared" si="2070"/>
        <v/>
      </c>
      <c r="AC2691" s="698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698"/>
      <c r="AE2691" s="631" t="str">
        <f t="shared" si="2071"/>
        <v/>
      </c>
      <c r="AF2691" s="699" t="str">
        <f t="shared" si="2072"/>
        <v/>
      </c>
      <c r="AG2691" s="699"/>
      <c r="AH2691" s="699"/>
      <c r="AI2691" s="512">
        <f>IF(H2691="credit",0,IF(AE2691="free",0,IF(AE2691="me",0,IF(G2691&gt;0,(VLOOKUP(A2691,'Discount Lookup'!J:K,2)*G2691),0))))</f>
        <v>0</v>
      </c>
      <c r="AJ2691" s="513" t="str">
        <f t="shared" ca="1" si="2073"/>
        <v/>
      </c>
      <c r="AK2691" s="700" t="str">
        <f t="shared" si="2074"/>
        <v/>
      </c>
      <c r="AL2691" s="700"/>
      <c r="AM2691" s="505" t="str">
        <f t="shared" si="2075"/>
        <v/>
      </c>
      <c r="AN2691" s="506"/>
      <c r="AO2691" s="507"/>
      <c r="AP2691" s="507"/>
      <c r="AQ2691" s="507"/>
      <c r="AR2691" s="507"/>
      <c r="AS2691" s="507"/>
      <c r="AT2691" s="507"/>
      <c r="AU2691" s="507"/>
      <c r="AV2691" s="225"/>
      <c r="AW2691" s="508"/>
      <c r="AX2691" s="225"/>
      <c r="AY2691" s="225"/>
      <c r="AZ2691" s="225"/>
      <c r="BA2691" s="225"/>
      <c r="BB2691" s="225"/>
      <c r="BC2691" s="56"/>
      <c r="BD2691" s="56"/>
      <c r="BE2691" s="56"/>
      <c r="BF2691" s="107" t="str">
        <f t="shared" si="2076"/>
        <v>https://www.google.com/search?tbm=isch&amp;q=Okame%20Cherry%20Prunus%20x%20incamp%20%27Okame%27</v>
      </c>
      <c r="BG2691" s="107" t="str">
        <f t="shared" si="2077"/>
        <v>O</v>
      </c>
      <c r="BH2691" s="254"/>
      <c r="BI2691" s="254"/>
    </row>
    <row r="2692" spans="1:61" customFormat="1" ht="15.75" x14ac:dyDescent="0.25">
      <c r="A2692" s="276">
        <v>7</v>
      </c>
      <c r="B2692" s="240" t="s">
        <v>291</v>
      </c>
      <c r="C2692" s="241" t="s">
        <v>3758</v>
      </c>
      <c r="D2692" s="242" t="s">
        <v>292</v>
      </c>
      <c r="E2692" s="243">
        <v>104.95</v>
      </c>
      <c r="F2692" s="517" t="s">
        <v>293</v>
      </c>
      <c r="G2692" s="232">
        <v>0</v>
      </c>
      <c r="H2692" s="661" t="str">
        <f>IF(G2692=0,"",IF(F2692="Buy",IF(G2692=1,"plant","plants"),IF(F2692&gt;0.01,"warranty","Error")))</f>
        <v/>
      </c>
      <c r="I2692" s="244">
        <f>IF(H2692="free",0,IF(H2692="credit",((E2692*(F2692))*G2692*-1),IF(F2692="Buy",(E2692*G2692),((E2692*(1-F2692))*G2692))))</f>
        <v>0</v>
      </c>
      <c r="J2692" s="244">
        <f>IF(H2692="warranty",0,(I2692*(_xlfn.SINGLE(SalesTaxPercentage))))</f>
        <v>0</v>
      </c>
      <c r="K2692" s="696">
        <f t="shared" ref="K2692" si="2104">I2692+J2692</f>
        <v>0</v>
      </c>
      <c r="L2692" s="696"/>
      <c r="M2692" s="659" t="str">
        <f>IF(AND(G2692&gt;0,E2692=0),"WARNING - no PRICE inserted",IF(H2692="free"," FREE ~ no charge this plant",IF(H2692="credit",CONCATENATE(" -$",ROUND(K2692*(1-T2GDiscount)*-1,2)," CREDIT after discount"),IF(T2GDiscount=0,"",IF(G2692=0,"",IF(F2692="Buy",CONCATENATE(" $",ROUND(K2692*(1-T2GDiscount),2)," with ",(T2GDiscount*100),"% discount"),CONCATENATE(" $",ROUND(K2692*(1-T2GDiscount),2)," with ",((T2GDiscount*100+F2692*100)-(T2GDiscount*100*F2692)),IF(F2692&gt;0,"% discounts",IF(NoWarrantyDiscount&gt;0,"% discounts","% discount")))))))))</f>
        <v/>
      </c>
      <c r="N2692" s="660"/>
      <c r="O2692" s="233"/>
      <c r="P2692" s="233"/>
      <c r="Q2692" s="233"/>
      <c r="R2692" s="233"/>
      <c r="S2692" s="233"/>
      <c r="T2692" s="508">
        <f t="shared" si="2065"/>
        <v>0</v>
      </c>
      <c r="U2692" s="225">
        <f>IF(NOT(ISNUMBER(G2692)), "", VLOOKUP(A2692,'Discount Lookup'!D:E,2,FALSE)*G2692)</f>
        <v>0</v>
      </c>
      <c r="V2692" s="225">
        <f>IF(NOT(ISNUMBER(G2692)), "", VLOOKUP(A2692,'Discount Lookup'!G:H,2,FALSE)*G2692)</f>
        <v>0</v>
      </c>
      <c r="W2692" s="508">
        <f t="shared" si="2066"/>
        <v>0</v>
      </c>
      <c r="X2692" s="508">
        <f t="shared" si="2067"/>
        <v>0</v>
      </c>
      <c r="Y2692" s="509" t="b">
        <f t="shared" si="2068"/>
        <v>0</v>
      </c>
      <c r="Z2692" s="510">
        <f t="shared" si="2069"/>
        <v>0</v>
      </c>
      <c r="AA2692" s="511"/>
      <c r="AB2692" s="511" t="str">
        <f t="shared" si="2070"/>
        <v/>
      </c>
      <c r="AC2692" s="698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698"/>
      <c r="AE2692" s="631" t="str">
        <f t="shared" si="2071"/>
        <v/>
      </c>
      <c r="AF2692" s="699" t="str">
        <f t="shared" si="2072"/>
        <v/>
      </c>
      <c r="AG2692" s="699"/>
      <c r="AH2692" s="699"/>
      <c r="AI2692" s="512">
        <f>IF(H2692="credit",0,IF(AE2692="free",0,IF(AE2692="me",0,IF(G2692&gt;0,(VLOOKUP(A2692,'Discount Lookup'!J:K,2)*G2692),0))))</f>
        <v>0</v>
      </c>
      <c r="AJ2692" s="513" t="str">
        <f t="shared" ca="1" si="2073"/>
        <v/>
      </c>
      <c r="AK2692" s="700" t="str">
        <f t="shared" si="2074"/>
        <v/>
      </c>
      <c r="AL2692" s="700"/>
      <c r="AM2692" s="505" t="str">
        <f t="shared" si="2075"/>
        <v/>
      </c>
      <c r="AN2692" s="506"/>
      <c r="AO2692" s="507"/>
      <c r="AP2692" s="507"/>
      <c r="AQ2692" s="507"/>
      <c r="AR2692" s="507"/>
      <c r="AS2692" s="507"/>
      <c r="AT2692" s="507"/>
      <c r="AU2692" s="507"/>
      <c r="AV2692" s="225"/>
      <c r="AW2692" s="508"/>
      <c r="AX2692" s="225"/>
      <c r="AY2692" s="225"/>
      <c r="AZ2692" s="225"/>
      <c r="BA2692" s="225"/>
      <c r="BB2692" s="225"/>
      <c r="BC2692" s="56"/>
      <c r="BD2692" s="56"/>
      <c r="BE2692" s="56"/>
      <c r="BF2692" s="107" t="str">
        <f t="shared" si="2076"/>
        <v>https://www.google.com/search?tbm=isch&amp;q=7%20G4</v>
      </c>
      <c r="BG2692" s="107" t="str">
        <f t="shared" si="2077"/>
        <v>O</v>
      </c>
      <c r="BH2692" s="254"/>
      <c r="BI2692" s="254"/>
    </row>
    <row r="2693" spans="1:61" customFormat="1" ht="15.75" x14ac:dyDescent="0.25">
      <c r="A2693" s="276">
        <v>7</v>
      </c>
      <c r="B2693" s="240" t="s">
        <v>291</v>
      </c>
      <c r="C2693" s="241" t="s">
        <v>358</v>
      </c>
      <c r="D2693" s="242" t="s">
        <v>312</v>
      </c>
      <c r="E2693" s="243">
        <v>111.95</v>
      </c>
      <c r="F2693" s="517" t="s">
        <v>293</v>
      </c>
      <c r="G2693" s="232">
        <v>0</v>
      </c>
      <c r="H2693" s="661" t="str">
        <f>IF(G2693=0,"",IF(F2693="Buy",IF(G2693=1,"plant","plants"),IF(F2693&gt;0.01,"warranty","Error")))</f>
        <v/>
      </c>
      <c r="I2693" s="244">
        <f>IF(H2693="free",0,IF(H2693="credit",((E2693*(F2693))*G2693*-1),IF(F2693="Buy",(E2693*G2693),((E2693*(1-F2693))*G2693))))</f>
        <v>0</v>
      </c>
      <c r="J2693" s="244">
        <f>IF(H2693="warranty",0,(I2693*(_xlfn.SINGLE(SalesTaxPercentage))))</f>
        <v>0</v>
      </c>
      <c r="K2693" s="696">
        <f t="shared" ref="K2693" si="2105">I2693+J2693</f>
        <v>0</v>
      </c>
      <c r="L2693" s="696"/>
      <c r="M2693" s="659" t="str">
        <f>IF(AND(G2693&gt;0,E2693=0),"WARNING - no PRICE inserted",IF(H2693="free"," FREE ~ no charge this plant",IF(H2693="credit",CONCATENATE(" -$",ROUND(K2693*(1-T2GDiscount)*-1,2)," CREDIT after discount"),IF(T2GDiscount=0,"",IF(G2693=0,"",IF(F2693="Buy",CONCATENATE(" $",ROUND(K2693*(1-T2GDiscount),2)," with ",(T2GDiscount*100),"% discount"),CONCATENATE(" $",ROUND(K2693*(1-T2GDiscount),2)," with ",((T2GDiscount*100+F2693*100)-(T2GDiscount*100*F2693)),IF(F2693&gt;0,"% discounts",IF(NoWarrantyDiscount&gt;0,"% discounts","% discount")))))))))</f>
        <v/>
      </c>
      <c r="N2693" s="660"/>
      <c r="O2693" s="233"/>
      <c r="P2693" s="233"/>
      <c r="Q2693" s="233"/>
      <c r="R2693" s="233"/>
      <c r="S2693" s="233"/>
      <c r="T2693" s="508">
        <f t="shared" si="2065"/>
        <v>0</v>
      </c>
      <c r="U2693" s="225">
        <f>IF(NOT(ISNUMBER(G2693)), "", VLOOKUP(A2693,'Discount Lookup'!D:E,2,FALSE)*G2693)</f>
        <v>0</v>
      </c>
      <c r="V2693" s="225">
        <f>IF(NOT(ISNUMBER(G2693)), "", VLOOKUP(A2693,'Discount Lookup'!G:H,2,FALSE)*G2693)</f>
        <v>0</v>
      </c>
      <c r="W2693" s="508">
        <f t="shared" si="2066"/>
        <v>0</v>
      </c>
      <c r="X2693" s="508">
        <f t="shared" si="2067"/>
        <v>0</v>
      </c>
      <c r="Y2693" s="509" t="b">
        <f t="shared" si="2068"/>
        <v>0</v>
      </c>
      <c r="Z2693" s="510">
        <f t="shared" si="2069"/>
        <v>0</v>
      </c>
      <c r="AA2693" s="511"/>
      <c r="AB2693" s="511" t="str">
        <f t="shared" si="2070"/>
        <v/>
      </c>
      <c r="AC2693" s="698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698"/>
      <c r="AE2693" s="631" t="str">
        <f t="shared" si="2071"/>
        <v/>
      </c>
      <c r="AF2693" s="699" t="str">
        <f t="shared" si="2072"/>
        <v/>
      </c>
      <c r="AG2693" s="699"/>
      <c r="AH2693" s="699"/>
      <c r="AI2693" s="512">
        <f>IF(H2693="credit",0,IF(AE2693="free",0,IF(AE2693="me",0,IF(G2693&gt;0,(VLOOKUP(A2693,'Discount Lookup'!J:K,2)*G2693),0))))</f>
        <v>0</v>
      </c>
      <c r="AJ2693" s="513" t="str">
        <f t="shared" ca="1" si="2073"/>
        <v/>
      </c>
      <c r="AK2693" s="700" t="str">
        <f t="shared" si="2074"/>
        <v/>
      </c>
      <c r="AL2693" s="700"/>
      <c r="AM2693" s="505" t="str">
        <f t="shared" si="2075"/>
        <v/>
      </c>
      <c r="AN2693" s="506"/>
      <c r="AO2693" s="507"/>
      <c r="AP2693" s="507"/>
      <c r="AQ2693" s="507"/>
      <c r="AR2693" s="507"/>
      <c r="AS2693" s="507"/>
      <c r="AT2693" s="507"/>
      <c r="AU2693" s="507"/>
      <c r="AV2693" s="225"/>
      <c r="AW2693" s="508"/>
      <c r="AX2693" s="225"/>
      <c r="AY2693" s="225"/>
      <c r="AZ2693" s="225"/>
      <c r="BA2693" s="225"/>
      <c r="BB2693" s="225"/>
      <c r="BC2693" s="56"/>
      <c r="BD2693" s="56"/>
      <c r="BE2693" s="56"/>
      <c r="BF2693" s="107" t="str">
        <f t="shared" si="2076"/>
        <v>https://www.google.com/search?tbm=isch&amp;q=7%20G2</v>
      </c>
      <c r="BG2693" s="107" t="str">
        <f t="shared" si="2077"/>
        <v>O</v>
      </c>
      <c r="BH2693" s="254"/>
      <c r="BI2693" s="254"/>
    </row>
    <row r="2694" spans="1:61" customFormat="1" ht="15.75" x14ac:dyDescent="0.25">
      <c r="A2694" s="276">
        <v>15</v>
      </c>
      <c r="B2694" s="240" t="s">
        <v>291</v>
      </c>
      <c r="C2694" s="241" t="s">
        <v>3082</v>
      </c>
      <c r="D2694" s="242" t="s">
        <v>300</v>
      </c>
      <c r="E2694" s="243">
        <v>200.95</v>
      </c>
      <c r="F2694" s="517" t="s">
        <v>293</v>
      </c>
      <c r="G2694" s="232">
        <v>0</v>
      </c>
      <c r="H2694" s="661" t="str">
        <f>IF(G2694=0,"",IF(F2694="Buy",IF(G2694=1,"plant","plants"),IF(F2694&gt;0.01,"warranty","Error")))</f>
        <v/>
      </c>
      <c r="I2694" s="244">
        <f>IF(H2694="free",0,IF(H2694="credit",((E2694*(F2694))*G2694*-1),IF(F2694="Buy",(E2694*G2694),((E2694*(1-F2694))*G2694))))</f>
        <v>0</v>
      </c>
      <c r="J2694" s="244">
        <f>IF(H2694="warranty",0,(I2694*(_xlfn.SINGLE(SalesTaxPercentage))))</f>
        <v>0</v>
      </c>
      <c r="K2694" s="696">
        <f t="shared" ref="K2694" si="2106">I2694+J2694</f>
        <v>0</v>
      </c>
      <c r="L2694" s="696"/>
      <c r="M2694" s="659" t="str">
        <f>IF(AND(G2694&gt;0,E2694=0),"WARNING - no PRICE inserted",IF(H2694="free"," FREE ~ no charge this plant",IF(H2694="credit",CONCATENATE(" -$",ROUND(K2694*(1-T2GDiscount)*-1,2)," CREDIT after discount"),IF(T2GDiscount=0,"",IF(G2694=0,"",IF(F2694="Buy",CONCATENATE(" $",ROUND(K2694*(1-T2GDiscount),2)," with ",(T2GDiscount*100),"% discount"),CONCATENATE(" $",ROUND(K2694*(1-T2GDiscount),2)," with ",((T2GDiscount*100+F2694*100)-(T2GDiscount*100*F2694)),IF(F2694&gt;0,"% discounts",IF(NoWarrantyDiscount&gt;0,"% discounts","% discount")))))))))</f>
        <v/>
      </c>
      <c r="N2694" s="660"/>
      <c r="O2694" s="233"/>
      <c r="P2694" s="233"/>
      <c r="Q2694" s="233"/>
      <c r="R2694" s="233"/>
      <c r="S2694" s="233"/>
      <c r="T2694" s="508">
        <f t="shared" si="2065"/>
        <v>0</v>
      </c>
      <c r="U2694" s="225">
        <f>IF(NOT(ISNUMBER(G2694)), "", VLOOKUP(A2694,'Discount Lookup'!D:E,2,FALSE)*G2694)</f>
        <v>0</v>
      </c>
      <c r="V2694" s="225">
        <f>IF(NOT(ISNUMBER(G2694)), "", VLOOKUP(A2694,'Discount Lookup'!G:H,2,FALSE)*G2694)</f>
        <v>0</v>
      </c>
      <c r="W2694" s="508">
        <f t="shared" si="2066"/>
        <v>0</v>
      </c>
      <c r="X2694" s="508">
        <f t="shared" si="2067"/>
        <v>0</v>
      </c>
      <c r="Y2694" s="509" t="b">
        <f t="shared" si="2068"/>
        <v>0</v>
      </c>
      <c r="Z2694" s="510">
        <f t="shared" si="2069"/>
        <v>0</v>
      </c>
      <c r="AA2694" s="511"/>
      <c r="AB2694" s="511" t="str">
        <f t="shared" si="2070"/>
        <v/>
      </c>
      <c r="AC2694" s="698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698"/>
      <c r="AE2694" s="631" t="str">
        <f t="shared" si="2071"/>
        <v/>
      </c>
      <c r="AF2694" s="699" t="str">
        <f t="shared" si="2072"/>
        <v/>
      </c>
      <c r="AG2694" s="699"/>
      <c r="AH2694" s="699"/>
      <c r="AI2694" s="512">
        <f>IF(H2694="credit",0,IF(AE2694="free",0,IF(AE2694="me",0,IF(G2694&gt;0,(VLOOKUP(A2694,'Discount Lookup'!J:K,2)*G2694),0))))</f>
        <v>0</v>
      </c>
      <c r="AJ2694" s="513" t="str">
        <f t="shared" ca="1" si="2073"/>
        <v/>
      </c>
      <c r="AK2694" s="700" t="str">
        <f t="shared" si="2074"/>
        <v/>
      </c>
      <c r="AL2694" s="700"/>
      <c r="AM2694" s="505" t="str">
        <f t="shared" si="2075"/>
        <v/>
      </c>
      <c r="AN2694" s="506"/>
      <c r="AO2694" s="507"/>
      <c r="AP2694" s="507"/>
      <c r="AQ2694" s="507"/>
      <c r="AR2694" s="507"/>
      <c r="AS2694" s="507"/>
      <c r="AT2694" s="507"/>
      <c r="AU2694" s="507"/>
      <c r="AV2694" s="225"/>
      <c r="AW2694" s="508"/>
      <c r="AX2694" s="225"/>
      <c r="AY2694" s="225"/>
      <c r="AZ2694" s="225"/>
      <c r="BA2694" s="225"/>
      <c r="BB2694" s="225"/>
      <c r="BC2694" s="56"/>
      <c r="BD2694" s="56"/>
      <c r="BE2694" s="56"/>
      <c r="BF2694" s="107" t="str">
        <f t="shared" si="2076"/>
        <v>https://www.google.com/search?tbm=isch&amp;q=15%20G6</v>
      </c>
      <c r="BG2694" s="107" t="str">
        <f t="shared" si="2077"/>
        <v>O</v>
      </c>
      <c r="BH2694" s="254"/>
      <c r="BI2694" s="254"/>
    </row>
    <row r="2695" spans="1:61" customFormat="1" ht="15.75" x14ac:dyDescent="0.25">
      <c r="A2695" s="276">
        <v>25</v>
      </c>
      <c r="B2695" s="240" t="s">
        <v>291</v>
      </c>
      <c r="C2695" s="241" t="s">
        <v>4435</v>
      </c>
      <c r="D2695" s="242" t="s">
        <v>292</v>
      </c>
      <c r="E2695" s="243">
        <v>325.95</v>
      </c>
      <c r="F2695" s="517" t="s">
        <v>293</v>
      </c>
      <c r="G2695" s="232">
        <v>0</v>
      </c>
      <c r="H2695" s="661" t="str">
        <f>IF(G2695=0,"",IF(F2695="Buy",IF(G2695=1,"plant","plants"),IF(F2695&gt;0.01,"warranty","Error")))</f>
        <v/>
      </c>
      <c r="I2695" s="244">
        <f>IF(H2695="free",0,IF(H2695="credit",((E2695*(F2695))*G2695*-1),IF(F2695="Buy",(E2695*G2695),((E2695*(1-F2695))*G2695))))</f>
        <v>0</v>
      </c>
      <c r="J2695" s="244">
        <f>IF(H2695="warranty",0,(I2695*(_xlfn.SINGLE(SalesTaxPercentage))))</f>
        <v>0</v>
      </c>
      <c r="K2695" s="696">
        <f t="shared" ref="K2695" si="2107">I2695+J2695</f>
        <v>0</v>
      </c>
      <c r="L2695" s="696"/>
      <c r="M2695" s="659" t="str">
        <f>IF(AND(G2695&gt;0,E2695=0),"WARNING - no PRICE inserted",IF(H2695="free"," FREE ~ no charge this plant",IF(H2695="credit",CONCATENATE(" -$",ROUND(K2695*(1-T2GDiscount)*-1,2)," CREDIT after discount"),IF(T2GDiscount=0,"",IF(G2695=0,"",IF(F2695="Buy",CONCATENATE(" $",ROUND(K2695*(1-T2GDiscount),2)," with ",(T2GDiscount*100),"% discount"),CONCATENATE(" $",ROUND(K2695*(1-T2GDiscount),2)," with ",((T2GDiscount*100+F2695*100)-(T2GDiscount*100*F2695)),IF(F2695&gt;0,"% discounts",IF(NoWarrantyDiscount&gt;0,"% discounts","% discount")))))))))</f>
        <v/>
      </c>
      <c r="N2695" s="660"/>
      <c r="O2695" s="233"/>
      <c r="P2695" s="233"/>
      <c r="Q2695" s="233"/>
      <c r="R2695" s="233"/>
      <c r="S2695" s="233"/>
      <c r="T2695" s="508">
        <f t="shared" si="2065"/>
        <v>0</v>
      </c>
      <c r="U2695" s="225">
        <f>IF(NOT(ISNUMBER(G2695)), "", VLOOKUP(A2695,'Discount Lookup'!D:E,2,FALSE)*G2695)</f>
        <v>0</v>
      </c>
      <c r="V2695" s="225">
        <f>IF(NOT(ISNUMBER(G2695)), "", VLOOKUP(A2695,'Discount Lookup'!G:H,2,FALSE)*G2695)</f>
        <v>0</v>
      </c>
      <c r="W2695" s="508">
        <f t="shared" si="2066"/>
        <v>0</v>
      </c>
      <c r="X2695" s="508">
        <f t="shared" si="2067"/>
        <v>0</v>
      </c>
      <c r="Y2695" s="509" t="b">
        <f t="shared" si="2068"/>
        <v>0</v>
      </c>
      <c r="Z2695" s="510">
        <f t="shared" si="2069"/>
        <v>0</v>
      </c>
      <c r="AA2695" s="511"/>
      <c r="AB2695" s="511" t="str">
        <f t="shared" si="2070"/>
        <v/>
      </c>
      <c r="AC2695" s="698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698"/>
      <c r="AE2695" s="631" t="str">
        <f t="shared" si="2071"/>
        <v/>
      </c>
      <c r="AF2695" s="699" t="str">
        <f t="shared" si="2072"/>
        <v/>
      </c>
      <c r="AG2695" s="699"/>
      <c r="AH2695" s="699"/>
      <c r="AI2695" s="512">
        <f>IF(H2695="credit",0,IF(AE2695="free",0,IF(AE2695="me",0,IF(G2695&gt;0,(VLOOKUP(A2695,'Discount Lookup'!J:K,2)*G2695),0))))</f>
        <v>0</v>
      </c>
      <c r="AJ2695" s="513" t="str">
        <f t="shared" ca="1" si="2073"/>
        <v/>
      </c>
      <c r="AK2695" s="700" t="str">
        <f t="shared" si="2074"/>
        <v/>
      </c>
      <c r="AL2695" s="700"/>
      <c r="AM2695" s="505" t="str">
        <f t="shared" si="2075"/>
        <v/>
      </c>
      <c r="AN2695" s="506"/>
      <c r="AO2695" s="507"/>
      <c r="AP2695" s="507"/>
      <c r="AQ2695" s="507"/>
      <c r="AR2695" s="507"/>
      <c r="AS2695" s="507"/>
      <c r="AT2695" s="507"/>
      <c r="AU2695" s="507"/>
      <c r="AV2695" s="225"/>
      <c r="AW2695" s="508"/>
      <c r="AX2695" s="225"/>
      <c r="AY2695" s="225"/>
      <c r="AZ2695" s="225"/>
      <c r="BA2695" s="225"/>
      <c r="BB2695" s="225"/>
      <c r="BC2695" s="56"/>
      <c r="BD2695" s="56"/>
      <c r="BE2695" s="56"/>
      <c r="BF2695" s="107" t="str">
        <f t="shared" si="2076"/>
        <v>https://www.google.com/search?tbm=isch&amp;q=25%20G4</v>
      </c>
      <c r="BG2695" s="107" t="str">
        <f t="shared" si="2077"/>
        <v>O</v>
      </c>
      <c r="BH2695" s="254"/>
      <c r="BI2695" s="254"/>
    </row>
    <row r="2696" spans="1:61" customFormat="1" ht="17.25" thickBot="1" x14ac:dyDescent="0.3">
      <c r="A2696" s="524" t="s">
        <v>2448</v>
      </c>
      <c r="B2696" s="245"/>
      <c r="C2696" s="677"/>
      <c r="D2696" s="499"/>
      <c r="E2696" s="499"/>
      <c r="F2696" s="500"/>
      <c r="G2696" s="501"/>
      <c r="H2696" s="502"/>
      <c r="I2696" s="246"/>
      <c r="J2696" s="247"/>
      <c r="K2696" s="503"/>
      <c r="L2696" s="544"/>
      <c r="M2696" s="544"/>
      <c r="N2696" s="500"/>
      <c r="O2696" s="500"/>
      <c r="P2696" s="500"/>
      <c r="Q2696" s="500"/>
      <c r="R2696" s="500"/>
      <c r="S2696" s="669" t="s">
        <v>4978</v>
      </c>
      <c r="T2696" s="508">
        <f t="shared" si="2065"/>
        <v>0</v>
      </c>
      <c r="U2696" s="225" t="str">
        <f>IF(NOT(ISNUMBER(G2696)), "", VLOOKUP(A2696,'Discount Lookup'!D:E,2,FALSE)*G2696)</f>
        <v/>
      </c>
      <c r="V2696" s="225" t="str">
        <f>IF(NOT(ISNUMBER(G2696)), "", VLOOKUP(A2696,'Discount Lookup'!G:H,2,FALSE)*G2696)</f>
        <v/>
      </c>
      <c r="W2696" s="508">
        <f t="shared" si="2066"/>
        <v>0</v>
      </c>
      <c r="X2696" s="508">
        <f t="shared" si="2067"/>
        <v>0</v>
      </c>
      <c r="Y2696" s="509" t="b">
        <f t="shared" si="2068"/>
        <v>0</v>
      </c>
      <c r="Z2696" s="510">
        <f t="shared" si="2069"/>
        <v>0</v>
      </c>
      <c r="AA2696" s="511"/>
      <c r="AB2696" s="511" t="str">
        <f t="shared" si="2070"/>
        <v/>
      </c>
      <c r="AC2696" s="698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698"/>
      <c r="AE2696" s="631" t="str">
        <f t="shared" si="2071"/>
        <v/>
      </c>
      <c r="AF2696" s="699" t="str">
        <f t="shared" si="2072"/>
        <v/>
      </c>
      <c r="AG2696" s="699"/>
      <c r="AH2696" s="699"/>
      <c r="AI2696" s="512">
        <f>IF(H2696="credit",0,IF(AE2696="free",0,IF(AE2696="me",0,IF(G2696&gt;0,(VLOOKUP(A2696,'Discount Lookup'!J:K,2)*G2696),0))))</f>
        <v>0</v>
      </c>
      <c r="AJ2696" s="513" t="str">
        <f t="shared" ca="1" si="2073"/>
        <v/>
      </c>
      <c r="AK2696" s="700" t="str">
        <f t="shared" si="2074"/>
        <v/>
      </c>
      <c r="AL2696" s="700"/>
      <c r="AM2696" s="505" t="str">
        <f t="shared" si="2075"/>
        <v/>
      </c>
      <c r="AN2696" s="506"/>
      <c r="AO2696" s="507"/>
      <c r="AP2696" s="507"/>
      <c r="AQ2696" s="507"/>
      <c r="AR2696" s="507"/>
      <c r="AS2696" s="507"/>
      <c r="AT2696" s="507"/>
      <c r="AU2696" s="507"/>
      <c r="AV2696" s="225"/>
      <c r="AW2696" s="508"/>
      <c r="AX2696" s="225"/>
      <c r="AY2696" s="225"/>
      <c r="AZ2696" s="225"/>
      <c r="BA2696" s="225"/>
      <c r="BB2696" s="225"/>
      <c r="BC2696" s="56"/>
      <c r="BD2696" s="56"/>
      <c r="BE2696" s="56"/>
      <c r="BF2696" s="107" t="str">
        <f t="shared" si="2076"/>
        <v>https://www.google.com/search?tbm=isch&amp;q=Okame%20bloom%20early%20spring.%20Mild%20fragrance.%20Nice%20winter%20structure.%20A%20Washington%2C%20D.C.%20tree%20%28with%20%27Yoshino%27%29%20</v>
      </c>
      <c r="BG2696" s="107" t="str">
        <f t="shared" si="2077"/>
        <v>O</v>
      </c>
      <c r="BH2696" s="254"/>
      <c r="BI2696" s="254"/>
    </row>
    <row r="2697" spans="1:61" customFormat="1" ht="18" x14ac:dyDescent="0.25">
      <c r="A2697" s="523" t="s">
        <v>1456</v>
      </c>
      <c r="B2697" s="235"/>
      <c r="C2697" s="676"/>
      <c r="D2697" s="255" t="s">
        <v>1457</v>
      </c>
      <c r="E2697" s="236"/>
      <c r="F2697" s="236"/>
      <c r="G2697" s="236"/>
      <c r="H2697" s="582" t="s">
        <v>355</v>
      </c>
      <c r="I2697" s="498" t="s">
        <v>1522</v>
      </c>
      <c r="J2697" s="237"/>
      <c r="K2697" s="237"/>
      <c r="L2697" s="274"/>
      <c r="M2697" s="668" t="s">
        <v>4975</v>
      </c>
      <c r="N2697" s="681" t="str">
        <f>IF(AND(ISTEXT($A2697), ISERROR($A2697+0)), HYPERLINK($BF2697, "Images"), "")</f>
        <v>Images</v>
      </c>
      <c r="O2697" s="663" t="s">
        <v>4967</v>
      </c>
      <c r="P2697" s="253"/>
      <c r="Q2697" s="238"/>
      <c r="R2697" s="239"/>
      <c r="S2697" s="275" t="s">
        <v>305</v>
      </c>
      <c r="T2697" s="508">
        <f t="shared" si="2065"/>
        <v>0</v>
      </c>
      <c r="U2697" s="225" t="str">
        <f>IF(NOT(ISNUMBER(G2697)), "", VLOOKUP(A2697,'Discount Lookup'!D:E,2,FALSE)*G2697)</f>
        <v/>
      </c>
      <c r="V2697" s="225" t="str">
        <f>IF(NOT(ISNUMBER(G2697)), "", VLOOKUP(A2697,'Discount Lookup'!G:H,2,FALSE)*G2697)</f>
        <v/>
      </c>
      <c r="W2697" s="508">
        <f t="shared" si="2066"/>
        <v>0</v>
      </c>
      <c r="X2697" s="508" t="str">
        <f t="shared" si="2067"/>
        <v>Lavender-Pink bloom</v>
      </c>
      <c r="Y2697" s="509" t="b">
        <f t="shared" si="2068"/>
        <v>0</v>
      </c>
      <c r="Z2697" s="510">
        <f t="shared" si="2069"/>
        <v>0</v>
      </c>
      <c r="AA2697" s="511"/>
      <c r="AB2697" s="511" t="str">
        <f t="shared" si="2070"/>
        <v/>
      </c>
      <c r="AC2697" s="698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698"/>
      <c r="AE2697" s="631" t="str">
        <f t="shared" si="2071"/>
        <v/>
      </c>
      <c r="AF2697" s="699" t="str">
        <f t="shared" si="2072"/>
        <v/>
      </c>
      <c r="AG2697" s="699"/>
      <c r="AH2697" s="699"/>
      <c r="AI2697" s="512">
        <f>IF(H2697="credit",0,IF(AE2697="free",0,IF(AE2697="me",0,IF(G2697&gt;0,(VLOOKUP(A2697,'Discount Lookup'!J:K,2)*G2697),0))))</f>
        <v>0</v>
      </c>
      <c r="AJ2697" s="513" t="str">
        <f t="shared" ca="1" si="2073"/>
        <v/>
      </c>
      <c r="AK2697" s="700" t="str">
        <f t="shared" si="2074"/>
        <v/>
      </c>
      <c r="AL2697" s="700"/>
      <c r="AM2697" s="505" t="str">
        <f t="shared" si="2075"/>
        <v/>
      </c>
      <c r="AN2697" s="506"/>
      <c r="AO2697" s="507"/>
      <c r="AP2697" s="507"/>
      <c r="AQ2697" s="507"/>
      <c r="AR2697" s="507"/>
      <c r="AS2697" s="507"/>
      <c r="AT2697" s="507"/>
      <c r="AU2697" s="507"/>
      <c r="AV2697" s="225"/>
      <c r="AW2697" s="508"/>
      <c r="AX2697" s="225"/>
      <c r="AY2697" s="225"/>
      <c r="AZ2697" s="225"/>
      <c r="BA2697" s="225"/>
      <c r="BB2697" s="225"/>
      <c r="BC2697" s="56"/>
      <c r="BD2697" s="56"/>
      <c r="BE2697" s="56"/>
      <c r="BF2697" s="107" t="str">
        <f t="shared" si="2076"/>
        <v>https://www.google.com/search?tbm=isch&amp;q=Oklahoma%20Sparkler%20Redbud%20Cercis%20canadensis%20%27JN21%27%20PP%2332138</v>
      </c>
      <c r="BG2697" s="107" t="str">
        <f t="shared" si="2077"/>
        <v>O</v>
      </c>
      <c r="BH2697" s="254"/>
      <c r="BI2697" s="254"/>
    </row>
    <row r="2698" spans="1:61" customFormat="1" ht="15.75" x14ac:dyDescent="0.25">
      <c r="A2698" s="276">
        <v>7</v>
      </c>
      <c r="B2698" s="240" t="s">
        <v>291</v>
      </c>
      <c r="C2698" s="241" t="s">
        <v>3559</v>
      </c>
      <c r="D2698" s="242" t="s">
        <v>292</v>
      </c>
      <c r="E2698" s="243">
        <v>118.95</v>
      </c>
      <c r="F2698" s="517" t="s">
        <v>293</v>
      </c>
      <c r="G2698" s="232">
        <v>0</v>
      </c>
      <c r="H2698" s="661" t="str">
        <f>IF(G2698=0,"",IF(F2698="Buy",IF(G2698=1,"plant","plants"),IF(F2698&gt;0.01,"warranty","Error")))</f>
        <v/>
      </c>
      <c r="I2698" s="244">
        <f>IF(H2698="free",0,IF(H2698="credit",((E2698*(F2698))*G2698*-1),IF(F2698="Buy",(E2698*G2698),((E2698*(1-F2698))*G2698))))</f>
        <v>0</v>
      </c>
      <c r="J2698" s="244">
        <f>IF(H2698="warranty",0,(I2698*(_xlfn.SINGLE(SalesTaxPercentage))))</f>
        <v>0</v>
      </c>
      <c r="K2698" s="696">
        <f t="shared" ref="K2698" si="2108">I2698+J2698</f>
        <v>0</v>
      </c>
      <c r="L2698" s="696"/>
      <c r="M2698" s="659" t="str">
        <f>IF(AND(G2698&gt;0,E2698=0),"WARNING - no PRICE inserted",IF(H2698="free"," FREE ~ no charge this plant",IF(H2698="credit",CONCATENATE(" -$",ROUND(K2698*(1-T2GDiscount)*-1,2)," CREDIT after discount"),IF(T2GDiscount=0,"",IF(G2698=0,"",IF(F2698="Buy",CONCATENATE(" $",ROUND(K2698*(1-T2GDiscount),2)," with ",(T2GDiscount*100),"% discount"),CONCATENATE(" $",ROUND(K2698*(1-T2GDiscount),2)," with ",((T2GDiscount*100+F2698*100)-(T2GDiscount*100*F2698)),IF(F2698&gt;0,"% discounts",IF(NoWarrantyDiscount&gt;0,"% discounts","% discount")))))))))</f>
        <v/>
      </c>
      <c r="N2698" s="660"/>
      <c r="O2698" s="233"/>
      <c r="P2698" s="233"/>
      <c r="Q2698" s="233"/>
      <c r="R2698" s="233"/>
      <c r="S2698" s="233"/>
      <c r="T2698" s="508">
        <f t="shared" si="2065"/>
        <v>0</v>
      </c>
      <c r="U2698" s="225">
        <f>IF(NOT(ISNUMBER(G2698)), "", VLOOKUP(A2698,'Discount Lookup'!D:E,2,FALSE)*G2698)</f>
        <v>0</v>
      </c>
      <c r="V2698" s="225">
        <f>IF(NOT(ISNUMBER(G2698)), "", VLOOKUP(A2698,'Discount Lookup'!G:H,2,FALSE)*G2698)</f>
        <v>0</v>
      </c>
      <c r="W2698" s="508">
        <f t="shared" si="2066"/>
        <v>0</v>
      </c>
      <c r="X2698" s="508">
        <f t="shared" si="2067"/>
        <v>0</v>
      </c>
      <c r="Y2698" s="509" t="b">
        <f t="shared" si="2068"/>
        <v>0</v>
      </c>
      <c r="Z2698" s="510">
        <f t="shared" si="2069"/>
        <v>0</v>
      </c>
      <c r="AA2698" s="511"/>
      <c r="AB2698" s="511" t="str">
        <f t="shared" si="2070"/>
        <v/>
      </c>
      <c r="AC2698" s="698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698"/>
      <c r="AE2698" s="631" t="str">
        <f t="shared" si="2071"/>
        <v/>
      </c>
      <c r="AF2698" s="699" t="str">
        <f t="shared" si="2072"/>
        <v/>
      </c>
      <c r="AG2698" s="699"/>
      <c r="AH2698" s="699"/>
      <c r="AI2698" s="512">
        <f>IF(H2698="credit",0,IF(AE2698="free",0,IF(AE2698="me",0,IF(G2698&gt;0,(VLOOKUP(A2698,'Discount Lookup'!J:K,2)*G2698),0))))</f>
        <v>0</v>
      </c>
      <c r="AJ2698" s="513" t="str">
        <f t="shared" ca="1" si="2073"/>
        <v/>
      </c>
      <c r="AK2698" s="700" t="str">
        <f t="shared" si="2074"/>
        <v/>
      </c>
      <c r="AL2698" s="700"/>
      <c r="AM2698" s="505" t="str">
        <f t="shared" si="2075"/>
        <v/>
      </c>
      <c r="AN2698" s="506"/>
      <c r="AO2698" s="507"/>
      <c r="AP2698" s="507"/>
      <c r="AQ2698" s="507"/>
      <c r="AR2698" s="507"/>
      <c r="AS2698" s="507"/>
      <c r="AT2698" s="507"/>
      <c r="AU2698" s="507"/>
      <c r="AV2698" s="225"/>
      <c r="AW2698" s="508"/>
      <c r="AX2698" s="225"/>
      <c r="AY2698" s="225"/>
      <c r="AZ2698" s="225"/>
      <c r="BA2698" s="225"/>
      <c r="BB2698" s="225"/>
      <c r="BC2698" s="56"/>
      <c r="BD2698" s="56"/>
      <c r="BE2698" s="56"/>
      <c r="BF2698" s="107" t="str">
        <f t="shared" si="2076"/>
        <v>https://www.google.com/search?tbm=isch&amp;q=7%20G4</v>
      </c>
      <c r="BG2698" s="107" t="str">
        <f t="shared" si="2077"/>
        <v>O</v>
      </c>
      <c r="BH2698" s="254"/>
      <c r="BI2698" s="254"/>
    </row>
    <row r="2699" spans="1:61" customFormat="1" ht="15.75" x14ac:dyDescent="0.25">
      <c r="A2699" s="276">
        <v>10</v>
      </c>
      <c r="B2699" s="240" t="s">
        <v>291</v>
      </c>
      <c r="C2699" s="241" t="s">
        <v>3678</v>
      </c>
      <c r="D2699" s="242" t="s">
        <v>292</v>
      </c>
      <c r="E2699" s="243">
        <v>148.94999999999999</v>
      </c>
      <c r="F2699" s="517" t="s">
        <v>293</v>
      </c>
      <c r="G2699" s="232">
        <v>0</v>
      </c>
      <c r="H2699" s="661" t="str">
        <f>IF(G2699=0,"",IF(F2699="Buy",IF(G2699=1,"plant","plants"),IF(F2699&gt;0.01,"warranty","Error")))</f>
        <v/>
      </c>
      <c r="I2699" s="244">
        <f>IF(H2699="free",0,IF(H2699="credit",((E2699*(F2699))*G2699*-1),IF(F2699="Buy",(E2699*G2699),((E2699*(1-F2699))*G2699))))</f>
        <v>0</v>
      </c>
      <c r="J2699" s="244">
        <f>IF(H2699="warranty",0,(I2699*(_xlfn.SINGLE(SalesTaxPercentage))))</f>
        <v>0</v>
      </c>
      <c r="K2699" s="696">
        <f t="shared" ref="K2699" si="2109">I2699+J2699</f>
        <v>0</v>
      </c>
      <c r="L2699" s="696"/>
      <c r="M2699" s="659" t="str">
        <f>IF(AND(G2699&gt;0,E2699=0),"WARNING - no PRICE inserted",IF(H2699="free"," FREE ~ no charge this plant",IF(H2699="credit",CONCATENATE(" -$",ROUND(K2699*(1-T2GDiscount)*-1,2)," CREDIT after discount"),IF(T2GDiscount=0,"",IF(G2699=0,"",IF(F2699="Buy",CONCATENATE(" $",ROUND(K2699*(1-T2GDiscount),2)," with ",(T2GDiscount*100),"% discount"),CONCATENATE(" $",ROUND(K2699*(1-T2GDiscount),2)," with ",((T2GDiscount*100+F2699*100)-(T2GDiscount*100*F2699)),IF(F2699&gt;0,"% discounts",IF(NoWarrantyDiscount&gt;0,"% discounts","% discount")))))))))</f>
        <v/>
      </c>
      <c r="N2699" s="660"/>
      <c r="O2699" s="233"/>
      <c r="P2699" s="233"/>
      <c r="Q2699" s="233"/>
      <c r="R2699" s="233"/>
      <c r="S2699" s="233"/>
      <c r="T2699" s="508">
        <f t="shared" si="2065"/>
        <v>0</v>
      </c>
      <c r="U2699" s="225">
        <f>IF(NOT(ISNUMBER(G2699)), "", VLOOKUP(A2699,'Discount Lookup'!D:E,2,FALSE)*G2699)</f>
        <v>0</v>
      </c>
      <c r="V2699" s="225">
        <f>IF(NOT(ISNUMBER(G2699)), "", VLOOKUP(A2699,'Discount Lookup'!G:H,2,FALSE)*G2699)</f>
        <v>0</v>
      </c>
      <c r="W2699" s="508">
        <f t="shared" si="2066"/>
        <v>0</v>
      </c>
      <c r="X2699" s="508">
        <f t="shared" si="2067"/>
        <v>0</v>
      </c>
      <c r="Y2699" s="509" t="b">
        <f t="shared" si="2068"/>
        <v>0</v>
      </c>
      <c r="Z2699" s="510">
        <f t="shared" si="2069"/>
        <v>0</v>
      </c>
      <c r="AA2699" s="511"/>
      <c r="AB2699" s="511" t="str">
        <f t="shared" si="2070"/>
        <v/>
      </c>
      <c r="AC2699" s="698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698"/>
      <c r="AE2699" s="631" t="str">
        <f t="shared" si="2071"/>
        <v/>
      </c>
      <c r="AF2699" s="699" t="str">
        <f t="shared" si="2072"/>
        <v/>
      </c>
      <c r="AG2699" s="699"/>
      <c r="AH2699" s="699"/>
      <c r="AI2699" s="512">
        <f>IF(H2699="credit",0,IF(AE2699="free",0,IF(AE2699="me",0,IF(G2699&gt;0,(VLOOKUP(A2699,'Discount Lookup'!J:K,2)*G2699),0))))</f>
        <v>0</v>
      </c>
      <c r="AJ2699" s="513" t="str">
        <f t="shared" ca="1" si="2073"/>
        <v/>
      </c>
      <c r="AK2699" s="700" t="str">
        <f t="shared" si="2074"/>
        <v/>
      </c>
      <c r="AL2699" s="700"/>
      <c r="AM2699" s="505" t="str">
        <f t="shared" si="2075"/>
        <v/>
      </c>
      <c r="AN2699" s="506"/>
      <c r="AO2699" s="507"/>
      <c r="AP2699" s="507"/>
      <c r="AQ2699" s="507"/>
      <c r="AR2699" s="507"/>
      <c r="AS2699" s="507"/>
      <c r="AT2699" s="507"/>
      <c r="AU2699" s="507"/>
      <c r="AV2699" s="225"/>
      <c r="AW2699" s="508"/>
      <c r="AX2699" s="225"/>
      <c r="AY2699" s="225"/>
      <c r="AZ2699" s="225"/>
      <c r="BA2699" s="225"/>
      <c r="BB2699" s="225"/>
      <c r="BC2699" s="56"/>
      <c r="BD2699" s="56"/>
      <c r="BE2699" s="56"/>
      <c r="BF2699" s="107" t="str">
        <f t="shared" si="2076"/>
        <v>https://www.google.com/search?tbm=isch&amp;q=10%20G4</v>
      </c>
      <c r="BG2699" s="107" t="str">
        <f t="shared" si="2077"/>
        <v>O</v>
      </c>
      <c r="BH2699" s="254"/>
      <c r="BI2699" s="254"/>
    </row>
    <row r="2700" spans="1:61" customFormat="1" ht="17.25" thickBot="1" x14ac:dyDescent="0.3">
      <c r="A2700" s="524" t="s">
        <v>2449</v>
      </c>
      <c r="B2700" s="245"/>
      <c r="C2700" s="677"/>
      <c r="D2700" s="499"/>
      <c r="E2700" s="499"/>
      <c r="F2700" s="500"/>
      <c r="G2700" s="501"/>
      <c r="H2700" s="502"/>
      <c r="I2700" s="246"/>
      <c r="J2700" s="247"/>
      <c r="K2700" s="503"/>
      <c r="L2700" s="544"/>
      <c r="M2700" s="544"/>
      <c r="N2700" s="500"/>
      <c r="O2700" s="500"/>
      <c r="P2700" s="500"/>
      <c r="Q2700" s="500"/>
      <c r="R2700" s="500"/>
      <c r="S2700" s="669" t="s">
        <v>4996</v>
      </c>
      <c r="T2700" s="508">
        <f t="shared" si="2065"/>
        <v>0</v>
      </c>
      <c r="U2700" s="225" t="str">
        <f>IF(NOT(ISNUMBER(G2700)), "", VLOOKUP(A2700,'Discount Lookup'!D:E,2,FALSE)*G2700)</f>
        <v/>
      </c>
      <c r="V2700" s="225" t="str">
        <f>IF(NOT(ISNUMBER(G2700)), "", VLOOKUP(A2700,'Discount Lookup'!G:H,2,FALSE)*G2700)</f>
        <v/>
      </c>
      <c r="W2700" s="508">
        <f t="shared" si="2066"/>
        <v>0</v>
      </c>
      <c r="X2700" s="508">
        <f t="shared" si="2067"/>
        <v>0</v>
      </c>
      <c r="Y2700" s="509" t="b">
        <f t="shared" si="2068"/>
        <v>0</v>
      </c>
      <c r="Z2700" s="510">
        <f t="shared" si="2069"/>
        <v>0</v>
      </c>
      <c r="AA2700" s="511"/>
      <c r="AB2700" s="511" t="str">
        <f t="shared" si="2070"/>
        <v/>
      </c>
      <c r="AC2700" s="698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698"/>
      <c r="AE2700" s="631" t="str">
        <f t="shared" si="2071"/>
        <v/>
      </c>
      <c r="AF2700" s="699" t="str">
        <f t="shared" si="2072"/>
        <v/>
      </c>
      <c r="AG2700" s="699"/>
      <c r="AH2700" s="699"/>
      <c r="AI2700" s="512">
        <f>IF(H2700="credit",0,IF(AE2700="free",0,IF(AE2700="me",0,IF(G2700&gt;0,(VLOOKUP(A2700,'Discount Lookup'!J:K,2)*G2700),0))))</f>
        <v>0</v>
      </c>
      <c r="AJ2700" s="513" t="str">
        <f t="shared" ca="1" si="2073"/>
        <v/>
      </c>
      <c r="AK2700" s="700" t="str">
        <f t="shared" si="2074"/>
        <v/>
      </c>
      <c r="AL2700" s="700"/>
      <c r="AM2700" s="505" t="str">
        <f t="shared" si="2075"/>
        <v/>
      </c>
      <c r="AN2700" s="506"/>
      <c r="AO2700" s="507"/>
      <c r="AP2700" s="507"/>
      <c r="AQ2700" s="507"/>
      <c r="AR2700" s="507"/>
      <c r="AS2700" s="507"/>
      <c r="AT2700" s="507"/>
      <c r="AU2700" s="507"/>
      <c r="AV2700" s="225"/>
      <c r="AW2700" s="508"/>
      <c r="AX2700" s="225"/>
      <c r="AY2700" s="225"/>
      <c r="AZ2700" s="225"/>
      <c r="BA2700" s="225"/>
      <c r="BB2700" s="225"/>
      <c r="BC2700" s="56"/>
      <c r="BD2700" s="56"/>
      <c r="BE2700" s="56"/>
      <c r="BF2700" s="107" t="str">
        <f t="shared" si="2076"/>
        <v>https://www.google.com/search?tbm=isch&amp;q=Oklahoma%20Sparkler%20named%20for%20it%27s%20sparkling%20dark%20Burgundy%20to%20Green%20to%20Purple%20foliage%2C%20turning%20Yellow%20to%20Tan%20in%20the%20fall%20</v>
      </c>
      <c r="BG2700" s="107" t="str">
        <f t="shared" si="2077"/>
        <v>O</v>
      </c>
      <c r="BH2700" s="254"/>
      <c r="BI2700" s="254"/>
    </row>
    <row r="2701" spans="1:61" customFormat="1" ht="18" x14ac:dyDescent="0.25">
      <c r="A2701" s="523" t="s">
        <v>1458</v>
      </c>
      <c r="B2701" s="235"/>
      <c r="C2701" s="676"/>
      <c r="D2701" s="255" t="s">
        <v>1459</v>
      </c>
      <c r="E2701" s="236"/>
      <c r="F2701" s="236"/>
      <c r="G2701" s="236"/>
      <c r="H2701" s="582" t="s">
        <v>317</v>
      </c>
      <c r="I2701" s="498" t="s">
        <v>2109</v>
      </c>
      <c r="J2701" s="237"/>
      <c r="K2701" s="237"/>
      <c r="L2701" s="274"/>
      <c r="M2701" s="670" t="s">
        <v>4973</v>
      </c>
      <c r="N2701" s="681" t="str">
        <f>IF(AND(ISTEXT($A2701), ISERROR($A2701+0)), HYPERLINK($BF2701, "Images"), "")</f>
        <v>Images</v>
      </c>
      <c r="O2701" s="663" t="s">
        <v>4967</v>
      </c>
      <c r="P2701" s="253"/>
      <c r="Q2701" s="238"/>
      <c r="R2701" s="239"/>
      <c r="S2701" s="275"/>
      <c r="T2701" s="508">
        <f t="shared" si="2065"/>
        <v>0</v>
      </c>
      <c r="U2701" s="225" t="str">
        <f>IF(NOT(ISNUMBER(G2701)), "", VLOOKUP(A2701,'Discount Lookup'!D:E,2,FALSE)*G2701)</f>
        <v/>
      </c>
      <c r="V2701" s="225" t="str">
        <f>IF(NOT(ISNUMBER(G2701)), "", VLOOKUP(A2701,'Discount Lookup'!G:H,2,FALSE)*G2701)</f>
        <v/>
      </c>
      <c r="W2701" s="508">
        <f t="shared" si="2066"/>
        <v>0</v>
      </c>
      <c r="X2701" s="508" t="str">
        <f t="shared" si="2067"/>
        <v>Green foliage</v>
      </c>
      <c r="Y2701" s="509" t="b">
        <f t="shared" si="2068"/>
        <v>0</v>
      </c>
      <c r="Z2701" s="510">
        <f t="shared" si="2069"/>
        <v>0</v>
      </c>
      <c r="AA2701" s="511"/>
      <c r="AB2701" s="511" t="str">
        <f t="shared" si="2070"/>
        <v/>
      </c>
      <c r="AC2701" s="698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698"/>
      <c r="AE2701" s="631" t="str">
        <f t="shared" si="2071"/>
        <v/>
      </c>
      <c r="AF2701" s="699" t="str">
        <f t="shared" si="2072"/>
        <v/>
      </c>
      <c r="AG2701" s="699"/>
      <c r="AH2701" s="699"/>
      <c r="AI2701" s="512">
        <f>IF(H2701="credit",0,IF(AE2701="free",0,IF(AE2701="me",0,IF(G2701&gt;0,(VLOOKUP(A2701,'Discount Lookup'!J:K,2)*G2701),0))))</f>
        <v>0</v>
      </c>
      <c r="AJ2701" s="513" t="str">
        <f t="shared" ca="1" si="2073"/>
        <v/>
      </c>
      <c r="AK2701" s="700" t="str">
        <f t="shared" si="2074"/>
        <v/>
      </c>
      <c r="AL2701" s="700"/>
      <c r="AM2701" s="505" t="str">
        <f t="shared" si="2075"/>
        <v/>
      </c>
      <c r="AN2701" s="506"/>
      <c r="AO2701" s="507"/>
      <c r="AP2701" s="507"/>
      <c r="AQ2701" s="507"/>
      <c r="AR2701" s="507"/>
      <c r="AS2701" s="507"/>
      <c r="AT2701" s="507"/>
      <c r="AU2701" s="507"/>
      <c r="AV2701" s="225"/>
      <c r="AW2701" s="508"/>
      <c r="AX2701" s="225"/>
      <c r="AY2701" s="225"/>
      <c r="AZ2701" s="225"/>
      <c r="BA2701" s="225"/>
      <c r="BB2701" s="225"/>
      <c r="BC2701" s="56"/>
      <c r="BD2701" s="56"/>
      <c r="BE2701" s="56"/>
      <c r="BF2701" s="107" t="str">
        <f t="shared" si="2076"/>
        <v>https://www.google.com/search?tbm=isch&amp;q=Okushimo%20Japanese%20Maple%20Acer%20palmatum%20%27Okushimo%27</v>
      </c>
      <c r="BG2701" s="107" t="str">
        <f t="shared" si="2077"/>
        <v>O</v>
      </c>
      <c r="BH2701" s="254"/>
      <c r="BI2701" s="254"/>
    </row>
    <row r="2702" spans="1:61" customFormat="1" ht="27" x14ac:dyDescent="0.25">
      <c r="A2702" s="276">
        <v>15</v>
      </c>
      <c r="B2702" s="240" t="s">
        <v>291</v>
      </c>
      <c r="C2702" s="241" t="s">
        <v>3679</v>
      </c>
      <c r="D2702" s="242" t="s">
        <v>292</v>
      </c>
      <c r="E2702" s="243">
        <v>385.95</v>
      </c>
      <c r="F2702" s="517" t="s">
        <v>293</v>
      </c>
      <c r="G2702" s="232">
        <v>0</v>
      </c>
      <c r="H2702" s="661" t="str">
        <f>IF(G2702=0,"",IF(F2702="Buy",IF(G2702=1,"plant","plants"),IF(F2702&gt;0.01,"warranty","Error")))</f>
        <v/>
      </c>
      <c r="I2702" s="244">
        <f>IF(H2702="free",0,IF(H2702="credit",((E2702*(F2702))*G2702*-1),IF(F2702="Buy",(E2702*G2702),((E2702*(1-F2702))*G2702))))</f>
        <v>0</v>
      </c>
      <c r="J2702" s="244">
        <f>IF(H2702="warranty",0,(I2702*(_xlfn.SINGLE(SalesTaxPercentage))))</f>
        <v>0</v>
      </c>
      <c r="K2702" s="696">
        <f t="shared" ref="K2702" si="2110">I2702+J2702</f>
        <v>0</v>
      </c>
      <c r="L2702" s="696"/>
      <c r="M2702" s="659" t="str">
        <f>IF(AND(G2702&gt;0,E2702=0),"WARNING - no PRICE inserted",IF(H2702="free"," FREE ~ no charge this plant",IF(H2702="credit",CONCATENATE(" -$",ROUND(K2702*(1-T2GDiscount)*-1,2)," CREDIT after discount"),IF(T2GDiscount=0,"",IF(G2702=0,"",IF(F2702="Buy",CONCATENATE(" $",ROUND(K2702*(1-T2GDiscount),2)," with ",(T2GDiscount*100),"% discount"),CONCATENATE(" $",ROUND(K2702*(1-T2GDiscount),2)," with ",((T2GDiscount*100+F2702*100)-(T2GDiscount*100*F2702)),IF(F2702&gt;0,"% discounts",IF(NoWarrantyDiscount&gt;0,"% discounts","% discount")))))))))</f>
        <v/>
      </c>
      <c r="N2702" s="660"/>
      <c r="O2702" s="233"/>
      <c r="P2702" s="233"/>
      <c r="Q2702" s="233"/>
      <c r="R2702" s="233"/>
      <c r="S2702" s="233"/>
      <c r="T2702" s="508">
        <f t="shared" ref="T2702:T2765" si="2111">E2702*G2702</f>
        <v>0</v>
      </c>
      <c r="U2702" s="225">
        <f>IF(NOT(ISNUMBER(G2702)), "", VLOOKUP(A2702,'Discount Lookup'!D:E,2,FALSE)*G2702)</f>
        <v>0</v>
      </c>
      <c r="V2702" s="225">
        <f>IF(NOT(ISNUMBER(G2702)), "", VLOOKUP(A2702,'Discount Lookup'!G:H,2,FALSE)*G2702)</f>
        <v>0</v>
      </c>
      <c r="W2702" s="508">
        <f t="shared" ref="W2702:W2765" si="2112">IF(H2702="credit",0,E2702*(SalesTaxPercentage)*G2702)</f>
        <v>0</v>
      </c>
      <c r="X2702" s="508">
        <f t="shared" ref="X2702:X2765" si="2113">I2702</f>
        <v>0</v>
      </c>
      <c r="Y2702" s="509" t="b">
        <f t="shared" ref="Y2702:Y2765" si="2114">IF(AE2702="T2G",0,IF(H2702="credit",0,IF(G2702&gt;0,IF(AE2702="me","",G2702))))</f>
        <v>0</v>
      </c>
      <c r="Z2702" s="510">
        <f t="shared" ref="Z2702:Z2765" si="2115">IF(H2702="credit",G2702,0)</f>
        <v>0</v>
      </c>
      <c r="AA2702" s="511"/>
      <c r="AB2702" s="511" t="str">
        <f t="shared" ref="AB2702:AB2765" si="2116">IF(AE2702="T2G","by Trees2Go",IF(H2702="credit","CREDIT only ~",IF(AND(K2702="",AE2702=OR(PlanterYesMe="No",PlanterYesMe="N",PlanterYesMe="me")),"not THIS line⇨",IF(AND(K2702="images",AE2702="me"),"not THIS line⇨",IF(H2702="credit","",IF(G2702=0,"",IF(AE2702="me","",IF(OR(PlanterYesMe="No",PlanterYesMe="N",PlanterYesMe="me"),"",IF(AE2702="free","warranty",IF(OR(PlanterYesMe="yes",PlanterYesMe="y"),"Edison install:","to install:"))))))))))</f>
        <v/>
      </c>
      <c r="AC2702" s="698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698"/>
      <c r="AE2702" s="631" t="str">
        <f t="shared" ref="AE2702:AE2765" si="2117">IF(H2702="credit","",IF(G2702=0,"",IF(OR(PlanterYesMe="No",PlanterYesMe="N",PlanterYesMe="me"),"me",IF(H2702="warranty","free",IF(OR(PlanterYesMe="yes",PlanterYesMe="y"),"ELP","")))))</f>
        <v/>
      </c>
      <c r="AF2702" s="699" t="str">
        <f t="shared" ref="AF2702:AF2765" si="2118">IF(OR(PlanterYesMe="No",PlanterYesMe="N",PlanterYesMe="me"),"",IF(H2702="credit","",IF(G2702&gt;0,(CONCATENATE((G2702)," quantity, ",(A2702)," ",B2702)),"")))</f>
        <v/>
      </c>
      <c r="AG2702" s="699"/>
      <c r="AH2702" s="699"/>
      <c r="AI2702" s="512">
        <f>IF(H2702="credit",0,IF(AE2702="free",0,IF(AE2702="me",0,IF(G2702&gt;0,(VLOOKUP(A2702,'Discount Lookup'!J:K,2)*G2702),0))))</f>
        <v>0</v>
      </c>
      <c r="AJ2702" s="513" t="str">
        <f t="shared" ref="AJ2702:AJ2765" ca="1" si="2119">IF(AND(ISREF(H2702),H2702="credit"),"",IF(AND(AND(OFFSET(G2702,0,0)=0,OFFSET(G2702,1,0)&gt;0,ISNUMBER(OFFSET(AC2702,1,0)),OFFSET(AC2702,1,0)&gt;0),OR(PlanterYesMe="yes",PlanterYesMe="y")),"T2G+ELP=",IF(AND(OFFSET(G2702,0,0)=0,OFFSET(G2702,1,0)&gt;0,ISNUMBER(OFFSET(AC2702,1,0)),OFFSET(AC2702,1,0)&gt;0),"if T2G+ELP=",IF(AND(OFFSET(G2702,0,0)=0,OFFSET(G2702,1,0)&gt;0),"T2G Subtotal",IF(H2702="credit","",IF(G2702=0,"",IF(AE2702="free",(K2702*(1-T2GDiscount)),IF(OR(PlanterYesMe="No",PlanterYesMe="N",PlanterYesMe="me"),(K2702*(1-T2GDiscount)),IF(OR(AE2702="me",AE2702="T2G"),(K2702*(1-T2GDiscount)),(K2702*(1-T2GDiscount))+AC2702)))))))))</f>
        <v/>
      </c>
      <c r="AK2702" s="700" t="str">
        <f t="shared" ref="AK2702:AK2765" si="2120">IF(H2702="credit","",IF(G2702=0,"",IF(OR(AE2702="me",AE2702="T2G"),"  delivery-only",IF(OR(PlanterYesMe="No",PlanterYesMe="N",PlanterYesMe="me"),"  delivery-only",CONCATENATE(" $",ROUND(AJ2702/G2702,2)," each")))))</f>
        <v/>
      </c>
      <c r="AL2702" s="700"/>
      <c r="AM2702" s="505" t="str">
        <f t="shared" ref="AM2702:AM2765" si="2121">IF(H2702="credit","",IF(AE2702="free","      ~ discounts included, no tax or planting fee applies ~",IF(G2702=0,"",IF(OR(PlanterYesMe="No",PlanterYesMe="N",PlanterYesMe="me"),CONCATENATE(" $",ROUND(AJ2702/G2702,2)," per plant, with tax &amp; discount"),IF(OR(AE2702="me",AE2702="T2G"),CONCATENATE(" $",ROUND(AJ2702/G2702,2)," per plant, with tax &amp; discount"),CONCATENATE("= $",ROUND((K2702*(1-T2GDiscount))/G2702,2)," per plant + $",AC2702/G2702,(" per planting      ~ includes tax &amp; discounts ~")))))))</f>
        <v/>
      </c>
      <c r="AN2702" s="506"/>
      <c r="AO2702" s="507"/>
      <c r="AP2702" s="507"/>
      <c r="AQ2702" s="507"/>
      <c r="AR2702" s="507"/>
      <c r="AS2702" s="507"/>
      <c r="AT2702" s="507"/>
      <c r="AU2702" s="507"/>
      <c r="AV2702" s="225"/>
      <c r="AW2702" s="508"/>
      <c r="AX2702" s="225"/>
      <c r="AY2702" s="225"/>
      <c r="AZ2702" s="225"/>
      <c r="BA2702" s="225"/>
      <c r="BB2702" s="225"/>
      <c r="BC2702" s="56"/>
      <c r="BD2702" s="56"/>
      <c r="BE2702" s="56"/>
      <c r="BF2702" s="107" t="str">
        <f t="shared" ref="BF2702:BF2765" si="2122">"https://www.google.com/search?tbm=isch&amp;q=" &amp; _xlfn.ENCODEURL($A2702 &amp; " " &amp; $D2702)</f>
        <v>https://www.google.com/search?tbm=isch&amp;q=15%20G4</v>
      </c>
      <c r="BG2702" s="107" t="str">
        <f t="shared" ref="BG2702:BG2765" si="2123">IF(ISTEXT(A2702),LEFT(A2702,1),BG2701)</f>
        <v>O</v>
      </c>
      <c r="BH2702" s="254"/>
      <c r="BI2702" s="254"/>
    </row>
    <row r="2703" spans="1:61" customFormat="1" ht="17.25" thickBot="1" x14ac:dyDescent="0.3">
      <c r="A2703" s="524" t="s">
        <v>2450</v>
      </c>
      <c r="B2703" s="245"/>
      <c r="C2703" s="677"/>
      <c r="D2703" s="499"/>
      <c r="E2703" s="499"/>
      <c r="F2703" s="500"/>
      <c r="G2703" s="501"/>
      <c r="H2703" s="502"/>
      <c r="I2703" s="246"/>
      <c r="J2703" s="247"/>
      <c r="K2703" s="503"/>
      <c r="L2703" s="544"/>
      <c r="M2703" s="544"/>
      <c r="N2703" s="500"/>
      <c r="O2703" s="500"/>
      <c r="P2703" s="500"/>
      <c r="Q2703" s="500"/>
      <c r="R2703" s="500"/>
      <c r="S2703" s="278"/>
      <c r="T2703" s="508">
        <f t="shared" si="2111"/>
        <v>0</v>
      </c>
      <c r="U2703" s="225" t="str">
        <f>IF(NOT(ISNUMBER(G2703)), "", VLOOKUP(A2703,'Discount Lookup'!D:E,2,FALSE)*G2703)</f>
        <v/>
      </c>
      <c r="V2703" s="225" t="str">
        <f>IF(NOT(ISNUMBER(G2703)), "", VLOOKUP(A2703,'Discount Lookup'!G:H,2,FALSE)*G2703)</f>
        <v/>
      </c>
      <c r="W2703" s="508">
        <f t="shared" si="2112"/>
        <v>0</v>
      </c>
      <c r="X2703" s="508">
        <f t="shared" si="2113"/>
        <v>0</v>
      </c>
      <c r="Y2703" s="509" t="b">
        <f t="shared" si="2114"/>
        <v>0</v>
      </c>
      <c r="Z2703" s="510">
        <f t="shared" si="2115"/>
        <v>0</v>
      </c>
      <c r="AA2703" s="511"/>
      <c r="AB2703" s="511" t="str">
        <f t="shared" si="2116"/>
        <v/>
      </c>
      <c r="AC2703" s="698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698"/>
      <c r="AE2703" s="631" t="str">
        <f t="shared" si="2117"/>
        <v/>
      </c>
      <c r="AF2703" s="699" t="str">
        <f t="shared" si="2118"/>
        <v/>
      </c>
      <c r="AG2703" s="699"/>
      <c r="AH2703" s="699"/>
      <c r="AI2703" s="512">
        <f>IF(H2703="credit",0,IF(AE2703="free",0,IF(AE2703="me",0,IF(G2703&gt;0,(VLOOKUP(A2703,'Discount Lookup'!J:K,2)*G2703),0))))</f>
        <v>0</v>
      </c>
      <c r="AJ2703" s="513" t="str">
        <f t="shared" ca="1" si="2119"/>
        <v/>
      </c>
      <c r="AK2703" s="700" t="str">
        <f t="shared" si="2120"/>
        <v/>
      </c>
      <c r="AL2703" s="700"/>
      <c r="AM2703" s="505" t="str">
        <f t="shared" si="2121"/>
        <v/>
      </c>
      <c r="AN2703" s="506"/>
      <c r="AO2703" s="507"/>
      <c r="AP2703" s="507"/>
      <c r="AQ2703" s="507"/>
      <c r="AR2703" s="507"/>
      <c r="AS2703" s="507"/>
      <c r="AT2703" s="507"/>
      <c r="AU2703" s="507"/>
      <c r="AV2703" s="225"/>
      <c r="AW2703" s="508"/>
      <c r="AX2703" s="225"/>
      <c r="AY2703" s="225"/>
      <c r="AZ2703" s="225"/>
      <c r="BA2703" s="225"/>
      <c r="BB2703" s="225"/>
      <c r="BC2703" s="56"/>
      <c r="BD2703" s="56"/>
      <c r="BE2703" s="56"/>
      <c r="BF2703" s="107" t="str">
        <f t="shared" si="2122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2703" s="107" t="str">
        <f t="shared" si="2123"/>
        <v>O</v>
      </c>
      <c r="BH2703" s="254"/>
      <c r="BI2703" s="254"/>
    </row>
    <row r="2704" spans="1:61" customFormat="1" ht="18" x14ac:dyDescent="0.25">
      <c r="A2704" s="523" t="s">
        <v>5479</v>
      </c>
      <c r="B2704" s="235"/>
      <c r="C2704" s="676"/>
      <c r="D2704" s="255" t="s">
        <v>1460</v>
      </c>
      <c r="E2704" s="236"/>
      <c r="F2704" s="236"/>
      <c r="G2704" s="236"/>
      <c r="H2704" s="582" t="s">
        <v>467</v>
      </c>
      <c r="I2704" s="498" t="s">
        <v>2687</v>
      </c>
      <c r="J2704" s="237"/>
      <c r="K2704" s="237"/>
      <c r="L2704" s="274"/>
      <c r="M2704" s="668" t="s">
        <v>4975</v>
      </c>
      <c r="N2704" s="681" t="str">
        <f>IF(AND(ISTEXT($A2704), ISERROR($A2704+0)), HYPERLINK($BF2704, "Images"), "")</f>
        <v>Images</v>
      </c>
      <c r="O2704" s="663" t="s">
        <v>4967</v>
      </c>
      <c r="P2704" s="253"/>
      <c r="Q2704" s="238"/>
      <c r="R2704" s="239"/>
      <c r="S2704" s="275"/>
      <c r="T2704" s="508">
        <f t="shared" si="2111"/>
        <v>0</v>
      </c>
      <c r="U2704" s="225" t="str">
        <f>IF(NOT(ISNUMBER(G2704)), "", VLOOKUP(A2704,'Discount Lookup'!D:E,2,FALSE)*G2704)</f>
        <v/>
      </c>
      <c r="V2704" s="225" t="str">
        <f>IF(NOT(ISNUMBER(G2704)), "", VLOOKUP(A2704,'Discount Lookup'!G:H,2,FALSE)*G2704)</f>
        <v/>
      </c>
      <c r="W2704" s="508">
        <f t="shared" si="2112"/>
        <v>0</v>
      </c>
      <c r="X2704" s="508" t="str">
        <f t="shared" si="2113"/>
        <v>White bloom, Green tinge</v>
      </c>
      <c r="Y2704" s="509" t="b">
        <f t="shared" si="2114"/>
        <v>0</v>
      </c>
      <c r="Z2704" s="510">
        <f t="shared" si="2115"/>
        <v>0</v>
      </c>
      <c r="AA2704" s="511"/>
      <c r="AB2704" s="511" t="str">
        <f t="shared" si="2116"/>
        <v/>
      </c>
      <c r="AC2704" s="698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698"/>
      <c r="AE2704" s="631" t="str">
        <f t="shared" si="2117"/>
        <v/>
      </c>
      <c r="AF2704" s="699" t="str">
        <f t="shared" si="2118"/>
        <v/>
      </c>
      <c r="AG2704" s="699"/>
      <c r="AH2704" s="699"/>
      <c r="AI2704" s="512">
        <f>IF(H2704="credit",0,IF(AE2704="free",0,IF(AE2704="me",0,IF(G2704&gt;0,(VLOOKUP(A2704,'Discount Lookup'!J:K,2)*G2704),0))))</f>
        <v>0</v>
      </c>
      <c r="AJ2704" s="513" t="str">
        <f t="shared" ca="1" si="2119"/>
        <v/>
      </c>
      <c r="AK2704" s="700" t="str">
        <f t="shared" si="2120"/>
        <v/>
      </c>
      <c r="AL2704" s="700"/>
      <c r="AM2704" s="505" t="str">
        <f t="shared" si="2121"/>
        <v/>
      </c>
      <c r="AN2704" s="506"/>
      <c r="AO2704" s="507"/>
      <c r="AP2704" s="507"/>
      <c r="AQ2704" s="507"/>
      <c r="AR2704" s="507"/>
      <c r="AS2704" s="507"/>
      <c r="AT2704" s="507"/>
      <c r="AU2704" s="507"/>
      <c r="AV2704" s="225"/>
      <c r="AW2704" s="508"/>
      <c r="AX2704" s="225"/>
      <c r="AY2704" s="225"/>
      <c r="AZ2704" s="225"/>
      <c r="BA2704" s="225"/>
      <c r="BB2704" s="225"/>
      <c r="BC2704" s="56"/>
      <c r="BD2704" s="56"/>
      <c r="BE2704" s="56"/>
      <c r="BF2704" s="107" t="str">
        <f t="shared" si="2122"/>
        <v>https://www.google.com/search?tbm=isch&amp;q=Opening%20Day%E2%84%A2%20Doublefile%20Viburnum%20Viburnum%20plicatum%20%27PIIVIB-II%27%20PP%2328958</v>
      </c>
      <c r="BG2704" s="107" t="str">
        <f t="shared" si="2123"/>
        <v>O</v>
      </c>
      <c r="BH2704" s="254"/>
      <c r="BI2704" s="254"/>
    </row>
    <row r="2705" spans="1:61" customFormat="1" ht="15.75" x14ac:dyDescent="0.25">
      <c r="A2705" s="276">
        <v>3</v>
      </c>
      <c r="B2705" s="240" t="s">
        <v>291</v>
      </c>
      <c r="C2705" s="241" t="s">
        <v>3044</v>
      </c>
      <c r="D2705" s="242" t="s">
        <v>312</v>
      </c>
      <c r="E2705" s="243">
        <v>35.950000000000003</v>
      </c>
      <c r="F2705" s="517" t="s">
        <v>293</v>
      </c>
      <c r="G2705" s="232">
        <v>0</v>
      </c>
      <c r="H2705" s="661" t="str">
        <f>IF(G2705=0,"",IF(F2705="Buy",IF(G2705=1,"plant","plants"),IF(F2705&gt;0.01,"warranty","Error")))</f>
        <v/>
      </c>
      <c r="I2705" s="244">
        <f>IF(H2705="free",0,IF(H2705="credit",((E2705*(F2705))*G2705*-1),IF(F2705="Buy",(E2705*G2705),((E2705*(1-F2705))*G2705))))</f>
        <v>0</v>
      </c>
      <c r="J2705" s="244">
        <f>IF(H2705="warranty",0,(I2705*(_xlfn.SINGLE(SalesTaxPercentage))))</f>
        <v>0</v>
      </c>
      <c r="K2705" s="696">
        <f t="shared" ref="K2705" si="2124">I2705+J2705</f>
        <v>0</v>
      </c>
      <c r="L2705" s="696"/>
      <c r="M2705" s="659" t="str">
        <f>IF(AND(G2705&gt;0,E2705=0),"WARNING - no PRICE inserted",IF(H2705="free"," FREE ~ no charge this plant",IF(H2705="credit",CONCATENATE(" -$",ROUND(K2705*(1-T2GDiscount)*-1,2)," CREDIT after discount"),IF(T2GDiscount=0,"",IF(G2705=0,"",IF(F2705="Buy",CONCATENATE(" $",ROUND(K2705*(1-T2GDiscount),2)," with ",(T2GDiscount*100),"% discount"),CONCATENATE(" $",ROUND(K2705*(1-T2GDiscount),2)," with ",((T2GDiscount*100+F2705*100)-(T2GDiscount*100*F2705)),IF(F2705&gt;0,"% discounts",IF(NoWarrantyDiscount&gt;0,"% discounts","% discount")))))))))</f>
        <v/>
      </c>
      <c r="N2705" s="660"/>
      <c r="O2705" s="233"/>
      <c r="P2705" s="233"/>
      <c r="Q2705" s="233"/>
      <c r="R2705" s="233"/>
      <c r="S2705" s="233"/>
      <c r="T2705" s="508">
        <f t="shared" si="2111"/>
        <v>0</v>
      </c>
      <c r="U2705" s="225">
        <f>IF(NOT(ISNUMBER(G2705)), "", VLOOKUP(A2705,'Discount Lookup'!D:E,2,FALSE)*G2705)</f>
        <v>0</v>
      </c>
      <c r="V2705" s="225">
        <f>IF(NOT(ISNUMBER(G2705)), "", VLOOKUP(A2705,'Discount Lookup'!G:H,2,FALSE)*G2705)</f>
        <v>0</v>
      </c>
      <c r="W2705" s="508">
        <f t="shared" si="2112"/>
        <v>0</v>
      </c>
      <c r="X2705" s="508">
        <f t="shared" si="2113"/>
        <v>0</v>
      </c>
      <c r="Y2705" s="509" t="b">
        <f t="shared" si="2114"/>
        <v>0</v>
      </c>
      <c r="Z2705" s="510">
        <f t="shared" si="2115"/>
        <v>0</v>
      </c>
      <c r="AA2705" s="511"/>
      <c r="AB2705" s="511" t="str">
        <f t="shared" si="2116"/>
        <v/>
      </c>
      <c r="AC2705" s="698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698"/>
      <c r="AE2705" s="631" t="str">
        <f t="shared" si="2117"/>
        <v/>
      </c>
      <c r="AF2705" s="699" t="str">
        <f t="shared" si="2118"/>
        <v/>
      </c>
      <c r="AG2705" s="699"/>
      <c r="AH2705" s="699"/>
      <c r="AI2705" s="512">
        <f>IF(H2705="credit",0,IF(AE2705="free",0,IF(AE2705="me",0,IF(G2705&gt;0,(VLOOKUP(A2705,'Discount Lookup'!J:K,2)*G2705),0))))</f>
        <v>0</v>
      </c>
      <c r="AJ2705" s="513" t="str">
        <f t="shared" ca="1" si="2119"/>
        <v/>
      </c>
      <c r="AK2705" s="700" t="str">
        <f t="shared" si="2120"/>
        <v/>
      </c>
      <c r="AL2705" s="700"/>
      <c r="AM2705" s="505" t="str">
        <f t="shared" si="2121"/>
        <v/>
      </c>
      <c r="AN2705" s="506"/>
      <c r="AO2705" s="507"/>
      <c r="AP2705" s="507"/>
      <c r="AQ2705" s="507"/>
      <c r="AR2705" s="507"/>
      <c r="AS2705" s="507"/>
      <c r="AT2705" s="507"/>
      <c r="AU2705" s="507"/>
      <c r="AV2705" s="225"/>
      <c r="AW2705" s="508"/>
      <c r="AX2705" s="225"/>
      <c r="AY2705" s="225"/>
      <c r="AZ2705" s="225"/>
      <c r="BA2705" s="225"/>
      <c r="BB2705" s="225"/>
      <c r="BC2705" s="56"/>
      <c r="BD2705" s="56"/>
      <c r="BE2705" s="56"/>
      <c r="BF2705" s="107" t="str">
        <f t="shared" si="2122"/>
        <v>https://www.google.com/search?tbm=isch&amp;q=3%20G2</v>
      </c>
      <c r="BG2705" s="107" t="str">
        <f t="shared" si="2123"/>
        <v>O</v>
      </c>
      <c r="BH2705" s="254"/>
      <c r="BI2705" s="254"/>
    </row>
    <row r="2706" spans="1:61" customFormat="1" ht="17.25" thickBot="1" x14ac:dyDescent="0.3">
      <c r="A2706" s="524" t="s">
        <v>4137</v>
      </c>
      <c r="B2706" s="245"/>
      <c r="C2706" s="677"/>
      <c r="D2706" s="499"/>
      <c r="E2706" s="499"/>
      <c r="F2706" s="500"/>
      <c r="G2706" s="501"/>
      <c r="H2706" s="502"/>
      <c r="I2706" s="246"/>
      <c r="J2706" s="247"/>
      <c r="K2706" s="503"/>
      <c r="L2706" s="544"/>
      <c r="M2706" s="544"/>
      <c r="N2706" s="500"/>
      <c r="O2706" s="500"/>
      <c r="P2706" s="500"/>
      <c r="Q2706" s="500"/>
      <c r="R2706" s="500"/>
      <c r="S2706" s="669" t="s">
        <v>4991</v>
      </c>
      <c r="T2706" s="508">
        <f t="shared" si="2111"/>
        <v>0</v>
      </c>
      <c r="U2706" s="225" t="str">
        <f>IF(NOT(ISNUMBER(G2706)), "", VLOOKUP(A2706,'Discount Lookup'!D:E,2,FALSE)*G2706)</f>
        <v/>
      </c>
      <c r="V2706" s="225" t="str">
        <f>IF(NOT(ISNUMBER(G2706)), "", VLOOKUP(A2706,'Discount Lookup'!G:H,2,FALSE)*G2706)</f>
        <v/>
      </c>
      <c r="W2706" s="508">
        <f t="shared" si="2112"/>
        <v>0</v>
      </c>
      <c r="X2706" s="508">
        <f t="shared" si="2113"/>
        <v>0</v>
      </c>
      <c r="Y2706" s="509" t="b">
        <f t="shared" si="2114"/>
        <v>0</v>
      </c>
      <c r="Z2706" s="510">
        <f t="shared" si="2115"/>
        <v>0</v>
      </c>
      <c r="AA2706" s="511"/>
      <c r="AB2706" s="511" t="str">
        <f t="shared" si="2116"/>
        <v/>
      </c>
      <c r="AC2706" s="698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698"/>
      <c r="AE2706" s="631" t="str">
        <f t="shared" si="2117"/>
        <v/>
      </c>
      <c r="AF2706" s="699" t="str">
        <f t="shared" si="2118"/>
        <v/>
      </c>
      <c r="AG2706" s="699"/>
      <c r="AH2706" s="699"/>
      <c r="AI2706" s="512">
        <f>IF(H2706="credit",0,IF(AE2706="free",0,IF(AE2706="me",0,IF(G2706&gt;0,(VLOOKUP(A2706,'Discount Lookup'!J:K,2)*G2706),0))))</f>
        <v>0</v>
      </c>
      <c r="AJ2706" s="513" t="str">
        <f t="shared" ca="1" si="2119"/>
        <v/>
      </c>
      <c r="AK2706" s="700" t="str">
        <f t="shared" si="2120"/>
        <v/>
      </c>
      <c r="AL2706" s="700"/>
      <c r="AM2706" s="505" t="str">
        <f t="shared" si="2121"/>
        <v/>
      </c>
      <c r="AN2706" s="506"/>
      <c r="AO2706" s="507"/>
      <c r="AP2706" s="507"/>
      <c r="AQ2706" s="507"/>
      <c r="AR2706" s="507"/>
      <c r="AS2706" s="507"/>
      <c r="AT2706" s="507"/>
      <c r="AU2706" s="507"/>
      <c r="AV2706" s="225"/>
      <c r="AW2706" s="508"/>
      <c r="AX2706" s="225"/>
      <c r="AY2706" s="225"/>
      <c r="AZ2706" s="225"/>
      <c r="BA2706" s="225"/>
      <c r="BB2706" s="225"/>
      <c r="BC2706" s="56"/>
      <c r="BD2706" s="56"/>
      <c r="BE2706" s="56"/>
      <c r="BF2706" s="107" t="str">
        <f t="shared" si="2122"/>
        <v>https://www.google.com/search?tbm=isch&amp;q=Opening%20Day%20shows%20off%20baseball-sized%20blooms%2C%20deeply%20pleated%20foliage%2C%20amd%20a%20rich%20Cabernet-Red%20fall%20color%20</v>
      </c>
      <c r="BG2706" s="107" t="str">
        <f t="shared" si="2123"/>
        <v>O</v>
      </c>
      <c r="BH2706" s="254"/>
      <c r="BI2706" s="254"/>
    </row>
    <row r="2707" spans="1:61" customFormat="1" ht="18" x14ac:dyDescent="0.25">
      <c r="A2707" s="523" t="s">
        <v>5480</v>
      </c>
      <c r="B2707" s="235"/>
      <c r="C2707" s="676"/>
      <c r="D2707" s="255" t="s">
        <v>1461</v>
      </c>
      <c r="E2707" s="236"/>
      <c r="F2707" s="236"/>
      <c r="G2707" s="236"/>
      <c r="H2707" s="582" t="s">
        <v>356</v>
      </c>
      <c r="I2707" s="498" t="s">
        <v>3011</v>
      </c>
      <c r="J2707" s="237"/>
      <c r="K2707" s="237"/>
      <c r="L2707" s="274"/>
      <c r="M2707" s="668" t="s">
        <v>4962</v>
      </c>
      <c r="N2707" s="681" t="str">
        <f>IF(AND(ISTEXT($A2707), ISERROR($A2707+0)), HYPERLINK($BF2707, "Images"), "")</f>
        <v>Images</v>
      </c>
      <c r="O2707" s="663" t="s">
        <v>4974</v>
      </c>
      <c r="P2707" s="253"/>
      <c r="Q2707" s="238"/>
      <c r="R2707" s="239"/>
      <c r="S2707" s="275"/>
      <c r="T2707" s="508">
        <f t="shared" si="2111"/>
        <v>0</v>
      </c>
      <c r="U2707" s="225" t="str">
        <f>IF(NOT(ISNUMBER(G2707)), "", VLOOKUP(A2707,'Discount Lookup'!D:E,2,FALSE)*G2707)</f>
        <v/>
      </c>
      <c r="V2707" s="225" t="str">
        <f>IF(NOT(ISNUMBER(G2707)), "", VLOOKUP(A2707,'Discount Lookup'!G:H,2,FALSE)*G2707)</f>
        <v/>
      </c>
      <c r="W2707" s="508">
        <f t="shared" si="2112"/>
        <v>0</v>
      </c>
      <c r="X2707" s="508" t="str">
        <f t="shared" si="2113"/>
        <v>Warm Orange-Pink bloom</v>
      </c>
      <c r="Y2707" s="509" t="b">
        <f t="shared" si="2114"/>
        <v>0</v>
      </c>
      <c r="Z2707" s="510">
        <f t="shared" si="2115"/>
        <v>0</v>
      </c>
      <c r="AA2707" s="511"/>
      <c r="AB2707" s="511" t="str">
        <f t="shared" si="2116"/>
        <v/>
      </c>
      <c r="AC2707" s="698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698"/>
      <c r="AE2707" s="631" t="str">
        <f t="shared" si="2117"/>
        <v/>
      </c>
      <c r="AF2707" s="699" t="str">
        <f t="shared" si="2118"/>
        <v/>
      </c>
      <c r="AG2707" s="699"/>
      <c r="AH2707" s="699"/>
      <c r="AI2707" s="512">
        <f>IF(H2707="credit",0,IF(AE2707="free",0,IF(AE2707="me",0,IF(G2707&gt;0,(VLOOKUP(A2707,'Discount Lookup'!J:K,2)*G2707),0))))</f>
        <v>0</v>
      </c>
      <c r="AJ2707" s="513" t="str">
        <f t="shared" ca="1" si="2119"/>
        <v/>
      </c>
      <c r="AK2707" s="700" t="str">
        <f t="shared" si="2120"/>
        <v/>
      </c>
      <c r="AL2707" s="700"/>
      <c r="AM2707" s="505" t="str">
        <f t="shared" si="2121"/>
        <v/>
      </c>
      <c r="AN2707" s="506"/>
      <c r="AO2707" s="507"/>
      <c r="AP2707" s="507"/>
      <c r="AQ2707" s="507"/>
      <c r="AR2707" s="507"/>
      <c r="AS2707" s="507"/>
      <c r="AT2707" s="507"/>
      <c r="AU2707" s="507"/>
      <c r="AV2707" s="225"/>
      <c r="AW2707" s="508"/>
      <c r="AX2707" s="225"/>
      <c r="AY2707" s="225"/>
      <c r="AZ2707" s="225"/>
      <c r="BA2707" s="225"/>
      <c r="BB2707" s="225"/>
      <c r="BC2707" s="56"/>
      <c r="BD2707" s="56"/>
      <c r="BE2707" s="56"/>
      <c r="BF2707" s="107" t="str">
        <f t="shared" si="2122"/>
        <v>https://www.google.com/search?tbm=isch&amp;q=Orange%20Glow%E2%84%A2%20Knock%20Out%C2%AE%20Rose%20Rosa%20%27Radslam%27%20PP%2335826</v>
      </c>
      <c r="BG2707" s="107" t="str">
        <f t="shared" si="2123"/>
        <v>O</v>
      </c>
      <c r="BH2707" s="254"/>
      <c r="BI2707" s="254"/>
    </row>
    <row r="2708" spans="1:61" customFormat="1" ht="15.75" x14ac:dyDescent="0.25">
      <c r="A2708" s="276">
        <v>3</v>
      </c>
      <c r="B2708" s="240" t="s">
        <v>291</v>
      </c>
      <c r="C2708" s="241"/>
      <c r="D2708" s="242" t="s">
        <v>298</v>
      </c>
      <c r="E2708" s="243">
        <v>31.95</v>
      </c>
      <c r="F2708" s="517" t="s">
        <v>293</v>
      </c>
      <c r="G2708" s="232">
        <v>0</v>
      </c>
      <c r="H2708" s="661" t="str">
        <f>IF(G2708=0,"",IF(F2708="Buy",IF(G2708=1,"plant","plants"),IF(F2708&gt;0.01,"warranty","Error")))</f>
        <v/>
      </c>
      <c r="I2708" s="244">
        <f>IF(H2708="free",0,IF(H2708="credit",((E2708*(F2708))*G2708*-1),IF(F2708="Buy",(E2708*G2708),((E2708*(1-F2708))*G2708))))</f>
        <v>0</v>
      </c>
      <c r="J2708" s="244">
        <f>IF(H2708="warranty",0,(I2708*(_xlfn.SINGLE(SalesTaxPercentage))))</f>
        <v>0</v>
      </c>
      <c r="K2708" s="696">
        <f t="shared" ref="K2708" si="2125">I2708+J2708</f>
        <v>0</v>
      </c>
      <c r="L2708" s="696"/>
      <c r="M2708" s="659" t="str">
        <f>IF(AND(G2708&gt;0,E2708=0),"WARNING - no PRICE inserted",IF(H2708="free"," FREE ~ no charge this plant",IF(H2708="credit",CONCATENATE(" -$",ROUND(K2708*(1-T2GDiscount)*-1,2)," CREDIT after discount"),IF(T2GDiscount=0,"",IF(G2708=0,"",IF(F2708="Buy",CONCATENATE(" $",ROUND(K2708*(1-T2GDiscount),2)," with ",(T2GDiscount*100),"% discount"),CONCATENATE(" $",ROUND(K2708*(1-T2GDiscount),2)," with ",((T2GDiscount*100+F2708*100)-(T2GDiscount*100*F2708)),IF(F2708&gt;0,"% discounts",IF(NoWarrantyDiscount&gt;0,"% discounts","% discount")))))))))</f>
        <v/>
      </c>
      <c r="N2708" s="660"/>
      <c r="O2708" s="233"/>
      <c r="P2708" s="233"/>
      <c r="Q2708" s="233"/>
      <c r="R2708" s="233"/>
      <c r="S2708" s="233"/>
      <c r="T2708" s="508">
        <f t="shared" si="2111"/>
        <v>0</v>
      </c>
      <c r="U2708" s="225">
        <f>IF(NOT(ISNUMBER(G2708)), "", VLOOKUP(A2708,'Discount Lookup'!D:E,2,FALSE)*G2708)</f>
        <v>0</v>
      </c>
      <c r="V2708" s="225">
        <f>IF(NOT(ISNUMBER(G2708)), "", VLOOKUP(A2708,'Discount Lookup'!G:H,2,FALSE)*G2708)</f>
        <v>0</v>
      </c>
      <c r="W2708" s="508">
        <f t="shared" si="2112"/>
        <v>0</v>
      </c>
      <c r="X2708" s="508">
        <f t="shared" si="2113"/>
        <v>0</v>
      </c>
      <c r="Y2708" s="509" t="b">
        <f t="shared" si="2114"/>
        <v>0</v>
      </c>
      <c r="Z2708" s="510">
        <f t="shared" si="2115"/>
        <v>0</v>
      </c>
      <c r="AA2708" s="511"/>
      <c r="AB2708" s="511" t="str">
        <f t="shared" si="2116"/>
        <v/>
      </c>
      <c r="AC2708" s="698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698"/>
      <c r="AE2708" s="631" t="str">
        <f t="shared" si="2117"/>
        <v/>
      </c>
      <c r="AF2708" s="699" t="str">
        <f t="shared" si="2118"/>
        <v/>
      </c>
      <c r="AG2708" s="699"/>
      <c r="AH2708" s="699"/>
      <c r="AI2708" s="512">
        <f>IF(H2708="credit",0,IF(AE2708="free",0,IF(AE2708="me",0,IF(G2708&gt;0,(VLOOKUP(A2708,'Discount Lookup'!J:K,2)*G2708),0))))</f>
        <v>0</v>
      </c>
      <c r="AJ2708" s="513" t="str">
        <f t="shared" ca="1" si="2119"/>
        <v/>
      </c>
      <c r="AK2708" s="700" t="str">
        <f t="shared" si="2120"/>
        <v/>
      </c>
      <c r="AL2708" s="700"/>
      <c r="AM2708" s="505" t="str">
        <f t="shared" si="2121"/>
        <v/>
      </c>
      <c r="AN2708" s="506"/>
      <c r="AO2708" s="507"/>
      <c r="AP2708" s="507"/>
      <c r="AQ2708" s="507"/>
      <c r="AR2708" s="507"/>
      <c r="AS2708" s="507"/>
      <c r="AT2708" s="507"/>
      <c r="AU2708" s="507"/>
      <c r="AV2708" s="225"/>
      <c r="AW2708" s="508"/>
      <c r="AX2708" s="225"/>
      <c r="AY2708" s="225"/>
      <c r="AZ2708" s="225"/>
      <c r="BA2708" s="225"/>
      <c r="BB2708" s="225"/>
      <c r="BC2708" s="56"/>
      <c r="BD2708" s="56"/>
      <c r="BE2708" s="56"/>
      <c r="BF2708" s="107" t="str">
        <f t="shared" si="2122"/>
        <v>https://www.google.com/search?tbm=isch&amp;q=3%20G1</v>
      </c>
      <c r="BG2708" s="107" t="str">
        <f t="shared" si="2123"/>
        <v>O</v>
      </c>
      <c r="BH2708" s="254"/>
      <c r="BI2708" s="254"/>
    </row>
    <row r="2709" spans="1:61" customFormat="1" ht="17.25" thickBot="1" x14ac:dyDescent="0.3">
      <c r="A2709" s="524" t="s">
        <v>4075</v>
      </c>
      <c r="B2709" s="245"/>
      <c r="C2709" s="677"/>
      <c r="D2709" s="499"/>
      <c r="E2709" s="499"/>
      <c r="F2709" s="500"/>
      <c r="G2709" s="501"/>
      <c r="H2709" s="502"/>
      <c r="I2709" s="246"/>
      <c r="J2709" s="247"/>
      <c r="K2709" s="503"/>
      <c r="L2709" s="544"/>
      <c r="M2709" s="544"/>
      <c r="N2709" s="500"/>
      <c r="O2709" s="500"/>
      <c r="P2709" s="500"/>
      <c r="Q2709" s="500"/>
      <c r="R2709" s="500"/>
      <c r="S2709" s="669" t="s">
        <v>4980</v>
      </c>
      <c r="T2709" s="508">
        <f t="shared" si="2111"/>
        <v>0</v>
      </c>
      <c r="U2709" s="225" t="str">
        <f>IF(NOT(ISNUMBER(G2709)), "", VLOOKUP(A2709,'Discount Lookup'!D:E,2,FALSE)*G2709)</f>
        <v/>
      </c>
      <c r="V2709" s="225" t="str">
        <f>IF(NOT(ISNUMBER(G2709)), "", VLOOKUP(A2709,'Discount Lookup'!G:H,2,FALSE)*G2709)</f>
        <v/>
      </c>
      <c r="W2709" s="508">
        <f t="shared" si="2112"/>
        <v>0</v>
      </c>
      <c r="X2709" s="508">
        <f t="shared" si="2113"/>
        <v>0</v>
      </c>
      <c r="Y2709" s="509" t="b">
        <f t="shared" si="2114"/>
        <v>0</v>
      </c>
      <c r="Z2709" s="510">
        <f t="shared" si="2115"/>
        <v>0</v>
      </c>
      <c r="AA2709" s="511"/>
      <c r="AB2709" s="511" t="str">
        <f t="shared" si="2116"/>
        <v/>
      </c>
      <c r="AC2709" s="698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698"/>
      <c r="AE2709" s="631" t="str">
        <f t="shared" si="2117"/>
        <v/>
      </c>
      <c r="AF2709" s="699" t="str">
        <f t="shared" si="2118"/>
        <v/>
      </c>
      <c r="AG2709" s="699"/>
      <c r="AH2709" s="699"/>
      <c r="AI2709" s="512">
        <f>IF(H2709="credit",0,IF(AE2709="free",0,IF(AE2709="me",0,IF(G2709&gt;0,(VLOOKUP(A2709,'Discount Lookup'!J:K,2)*G2709),0))))</f>
        <v>0</v>
      </c>
      <c r="AJ2709" s="513" t="str">
        <f t="shared" ca="1" si="2119"/>
        <v/>
      </c>
      <c r="AK2709" s="700" t="str">
        <f t="shared" si="2120"/>
        <v/>
      </c>
      <c r="AL2709" s="700"/>
      <c r="AM2709" s="505" t="str">
        <f t="shared" si="2121"/>
        <v/>
      </c>
      <c r="AN2709" s="506"/>
      <c r="AO2709" s="507"/>
      <c r="AP2709" s="507"/>
      <c r="AQ2709" s="507"/>
      <c r="AR2709" s="507"/>
      <c r="AS2709" s="507"/>
      <c r="AT2709" s="507"/>
      <c r="AU2709" s="507"/>
      <c r="AV2709" s="225"/>
      <c r="AW2709" s="508"/>
      <c r="AX2709" s="225"/>
      <c r="AY2709" s="225"/>
      <c r="AZ2709" s="225"/>
      <c r="BA2709" s="225"/>
      <c r="BB2709" s="225"/>
      <c r="BC2709" s="56"/>
      <c r="BD2709" s="56"/>
      <c r="BE2709" s="56"/>
      <c r="BF2709" s="107" t="str">
        <f t="shared" si="2122"/>
        <v>https://www.google.com/search?tbm=isch&amp;q=Knock%20Out%20bloom%20all%20summer%20and%20don%27t%20need%20deadheading.%20Glossy%20Green%20foliage%20and%20thorns%20%28rabbits%20may%20still%20nibble%29.%20Cut%20back%20annually%20</v>
      </c>
      <c r="BG2709" s="107" t="str">
        <f t="shared" si="2123"/>
        <v>K</v>
      </c>
      <c r="BH2709" s="254"/>
      <c r="BI2709" s="254"/>
    </row>
    <row r="2710" spans="1:61" customFormat="1" ht="18" x14ac:dyDescent="0.25">
      <c r="A2710" s="521" t="s">
        <v>5481</v>
      </c>
      <c r="B2710" s="477"/>
      <c r="C2710" s="674"/>
      <c r="D2710" s="478" t="s">
        <v>1462</v>
      </c>
      <c r="E2710" s="479"/>
      <c r="F2710" s="479"/>
      <c r="G2710" s="479"/>
      <c r="H2710" s="582" t="s">
        <v>471</v>
      </c>
      <c r="I2710" s="480" t="s">
        <v>2093</v>
      </c>
      <c r="J2710" s="479"/>
      <c r="K2710" s="479"/>
      <c r="L2710" s="560"/>
      <c r="M2710" s="671" t="s">
        <v>4985</v>
      </c>
      <c r="N2710" s="680" t="str">
        <f>IF(AND(ISTEXT($A2710), ISERROR($A2710+0)), HYPERLINK($BF2710, "Images"), "")</f>
        <v>Images</v>
      </c>
      <c r="O2710" s="662" t="s">
        <v>4969</v>
      </c>
      <c r="P2710" s="482"/>
      <c r="Q2710" s="483"/>
      <c r="R2710" s="483"/>
      <c r="S2710" s="484" t="s">
        <v>305</v>
      </c>
      <c r="T2710" s="508">
        <f t="shared" si="2111"/>
        <v>0</v>
      </c>
      <c r="U2710" s="225" t="str">
        <f>IF(NOT(ISNUMBER(G2710)), "", VLOOKUP(A2710,'Discount Lookup'!D:E,2,FALSE)*G2710)</f>
        <v/>
      </c>
      <c r="V2710" s="225" t="str">
        <f>IF(NOT(ISNUMBER(G2710)), "", VLOOKUP(A2710,'Discount Lookup'!G:H,2,FALSE)*G2710)</f>
        <v/>
      </c>
      <c r="W2710" s="508">
        <f t="shared" si="2112"/>
        <v>0</v>
      </c>
      <c r="X2710" s="508" t="str">
        <f t="shared" si="2113"/>
        <v>Dark Green foliage</v>
      </c>
      <c r="Y2710" s="509" t="b">
        <f t="shared" si="2114"/>
        <v>0</v>
      </c>
      <c r="Z2710" s="510">
        <f t="shared" si="2115"/>
        <v>0</v>
      </c>
      <c r="AA2710" s="511"/>
      <c r="AB2710" s="511" t="str">
        <f t="shared" si="2116"/>
        <v/>
      </c>
      <c r="AC2710" s="698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698"/>
      <c r="AE2710" s="631" t="str">
        <f t="shared" si="2117"/>
        <v/>
      </c>
      <c r="AF2710" s="699" t="str">
        <f t="shared" si="2118"/>
        <v/>
      </c>
      <c r="AG2710" s="699"/>
      <c r="AH2710" s="699"/>
      <c r="AI2710" s="512">
        <f>IF(H2710="credit",0,IF(AE2710="free",0,IF(AE2710="me",0,IF(G2710&gt;0,(VLOOKUP(A2710,'Discount Lookup'!J:K,2)*G2710),0))))</f>
        <v>0</v>
      </c>
      <c r="AJ2710" s="513" t="str">
        <f t="shared" ca="1" si="2119"/>
        <v/>
      </c>
      <c r="AK2710" s="700" t="str">
        <f t="shared" si="2120"/>
        <v/>
      </c>
      <c r="AL2710" s="700"/>
      <c r="AM2710" s="505" t="str">
        <f t="shared" si="2121"/>
        <v/>
      </c>
      <c r="AN2710" s="506"/>
      <c r="AO2710" s="507"/>
      <c r="AP2710" s="507"/>
      <c r="AQ2710" s="507"/>
      <c r="AR2710" s="507"/>
      <c r="AS2710" s="507"/>
      <c r="AT2710" s="507"/>
      <c r="AU2710" s="507"/>
      <c r="AV2710" s="225"/>
      <c r="AW2710" s="508"/>
      <c r="AX2710" s="225"/>
      <c r="AY2710" s="225"/>
      <c r="AZ2710" s="225"/>
      <c r="BA2710" s="225"/>
      <c r="BB2710" s="225"/>
      <c r="BC2710" s="56"/>
      <c r="BD2710" s="56"/>
      <c r="BE2710" s="56"/>
      <c r="BF2710" s="107" t="str">
        <f t="shared" si="2122"/>
        <v>https://www.google.com/search?tbm=isch&amp;q=Orion%E2%84%A2%20Anise%20Tree%20Illicium%20%27NCIH2%27%20PP%2329938</v>
      </c>
      <c r="BG2710" s="107" t="str">
        <f t="shared" si="2123"/>
        <v>O</v>
      </c>
      <c r="BH2710" s="254"/>
      <c r="BI2710" s="254"/>
    </row>
    <row r="2711" spans="1:61" customFormat="1" ht="15.75" x14ac:dyDescent="0.25">
      <c r="A2711" s="485">
        <v>3</v>
      </c>
      <c r="B2711" s="486" t="s">
        <v>291</v>
      </c>
      <c r="C2711" s="487" t="s">
        <v>3680</v>
      </c>
      <c r="D2711" s="488" t="s">
        <v>292</v>
      </c>
      <c r="E2711" s="489">
        <v>35.950000000000003</v>
      </c>
      <c r="F2711" s="516" t="s">
        <v>293</v>
      </c>
      <c r="G2711" s="232">
        <v>0</v>
      </c>
      <c r="H2711" s="658" t="str">
        <f>IF(G2711=0,"",IF(F2711="Buy",IF(G2711=1,"plant","plants"),IF(F2711&gt;0.01,"warranty","Error")))</f>
        <v/>
      </c>
      <c r="I2711" s="490">
        <f>IF(H2711="free",0,IF(H2711="credit",((E2711*(F2711))*G2711*-1),IF(F2711="Buy",(E2711*G2711),((E2711*(1-F2711))*G2711))))</f>
        <v>0</v>
      </c>
      <c r="J2711" s="490">
        <f>IF(H2711="warranty",0,(I2711*(_xlfn.SINGLE(SalesTaxPercentage))))</f>
        <v>0</v>
      </c>
      <c r="K2711" s="695">
        <f t="shared" ref="K2711" si="2126">I2711+J2711</f>
        <v>0</v>
      </c>
      <c r="L2711" s="695"/>
      <c r="M2711" s="659" t="str">
        <f>IF(AND(G2711&gt;0,E2711=0),"WARNING - no PRICE inserted",IF(H2711="free"," FREE ~ no charge this plant",IF(H2711="credit",CONCATENATE(" -$",ROUND(K2711*(1-T2GDiscount)*-1,2)," CREDIT after discount"),IF(T2GDiscount=0,"",IF(G2711=0,"",IF(F2711="Buy",CONCATENATE(" $",ROUND(K2711*(1-T2GDiscount),2)," with ",(T2GDiscount*100),"% discount"),CONCATENATE(" $",ROUND(K2711*(1-T2GDiscount),2)," with ",((T2GDiscount*100+F2711*100)-(T2GDiscount*100*F2711)),IF(F2711&gt;0,"% discounts",IF(NoWarrantyDiscount&gt;0,"% discounts","% discount")))))))))</f>
        <v/>
      </c>
      <c r="N2711" s="660"/>
      <c r="O2711" s="233"/>
      <c r="P2711" s="233"/>
      <c r="Q2711" s="233"/>
      <c r="R2711" s="233"/>
      <c r="S2711" s="233"/>
      <c r="T2711" s="508">
        <f t="shared" si="2111"/>
        <v>0</v>
      </c>
      <c r="U2711" s="225">
        <f>IF(NOT(ISNUMBER(G2711)), "", VLOOKUP(A2711,'Discount Lookup'!D:E,2,FALSE)*G2711)</f>
        <v>0</v>
      </c>
      <c r="V2711" s="225">
        <f>IF(NOT(ISNUMBER(G2711)), "", VLOOKUP(A2711,'Discount Lookup'!G:H,2,FALSE)*G2711)</f>
        <v>0</v>
      </c>
      <c r="W2711" s="508">
        <f t="shared" si="2112"/>
        <v>0</v>
      </c>
      <c r="X2711" s="508">
        <f t="shared" si="2113"/>
        <v>0</v>
      </c>
      <c r="Y2711" s="509" t="b">
        <f t="shared" si="2114"/>
        <v>0</v>
      </c>
      <c r="Z2711" s="510">
        <f t="shared" si="2115"/>
        <v>0</v>
      </c>
      <c r="AA2711" s="511"/>
      <c r="AB2711" s="511" t="str">
        <f t="shared" si="2116"/>
        <v/>
      </c>
      <c r="AC2711" s="698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698"/>
      <c r="AE2711" s="631" t="str">
        <f t="shared" si="2117"/>
        <v/>
      </c>
      <c r="AF2711" s="699" t="str">
        <f t="shared" si="2118"/>
        <v/>
      </c>
      <c r="AG2711" s="699"/>
      <c r="AH2711" s="699"/>
      <c r="AI2711" s="512">
        <f>IF(H2711="credit",0,IF(AE2711="free",0,IF(AE2711="me",0,IF(G2711&gt;0,(VLOOKUP(A2711,'Discount Lookup'!J:K,2)*G2711),0))))</f>
        <v>0</v>
      </c>
      <c r="AJ2711" s="513" t="str">
        <f t="shared" ca="1" si="2119"/>
        <v/>
      </c>
      <c r="AK2711" s="700" t="str">
        <f t="shared" si="2120"/>
        <v/>
      </c>
      <c r="AL2711" s="700"/>
      <c r="AM2711" s="505" t="str">
        <f t="shared" si="2121"/>
        <v/>
      </c>
      <c r="AN2711" s="506"/>
      <c r="AO2711" s="507"/>
      <c r="AP2711" s="507"/>
      <c r="AQ2711" s="507"/>
      <c r="AR2711" s="507"/>
      <c r="AS2711" s="507"/>
      <c r="AT2711" s="507"/>
      <c r="AU2711" s="507"/>
      <c r="AV2711" s="225"/>
      <c r="AW2711" s="508"/>
      <c r="AX2711" s="225"/>
      <c r="AY2711" s="225"/>
      <c r="AZ2711" s="225"/>
      <c r="BA2711" s="225"/>
      <c r="BB2711" s="225"/>
      <c r="BC2711" s="56"/>
      <c r="BD2711" s="56"/>
      <c r="BE2711" s="56"/>
      <c r="BF2711" s="107" t="str">
        <f t="shared" si="2122"/>
        <v>https://www.google.com/search?tbm=isch&amp;q=3%20G4</v>
      </c>
      <c r="BG2711" s="107" t="str">
        <f t="shared" si="2123"/>
        <v>O</v>
      </c>
      <c r="BH2711" s="254"/>
      <c r="BI2711" s="254"/>
    </row>
    <row r="2712" spans="1:61" customFormat="1" ht="15.75" x14ac:dyDescent="0.25">
      <c r="A2712" s="485">
        <v>3</v>
      </c>
      <c r="B2712" s="486" t="s">
        <v>291</v>
      </c>
      <c r="C2712" s="487" t="s">
        <v>4835</v>
      </c>
      <c r="D2712" s="488" t="s">
        <v>299</v>
      </c>
      <c r="E2712" s="489">
        <v>36.950000000000003</v>
      </c>
      <c r="F2712" s="516" t="s">
        <v>293</v>
      </c>
      <c r="G2712" s="232">
        <v>0</v>
      </c>
      <c r="H2712" s="658" t="str">
        <f>IF(G2712=0,"",IF(F2712="Buy",IF(G2712=1,"plant","plants"),IF(F2712&gt;0.01,"warranty","Error")))</f>
        <v/>
      </c>
      <c r="I2712" s="490">
        <f>IF(H2712="free",0,IF(H2712="credit",((E2712*(F2712))*G2712*-1),IF(F2712="Buy",(E2712*G2712),((E2712*(1-F2712))*G2712))))</f>
        <v>0</v>
      </c>
      <c r="J2712" s="490">
        <f>IF(H2712="warranty",0,(I2712*(_xlfn.SINGLE(SalesTaxPercentage))))</f>
        <v>0</v>
      </c>
      <c r="K2712" s="695">
        <f t="shared" ref="K2712" si="2127">I2712+J2712</f>
        <v>0</v>
      </c>
      <c r="L2712" s="695"/>
      <c r="M2712" s="659" t="str">
        <f>IF(AND(G2712&gt;0,E2712=0),"WARNING - no PRICE inserted",IF(H2712="free"," FREE ~ no charge this plant",IF(H2712="credit",CONCATENATE(" -$",ROUND(K2712*(1-T2GDiscount)*-1,2)," CREDIT after discount"),IF(T2GDiscount=0,"",IF(G2712=0,"",IF(F2712="Buy",CONCATENATE(" $",ROUND(K2712*(1-T2GDiscount),2)," with ",(T2GDiscount*100),"% discount"),CONCATENATE(" $",ROUND(K2712*(1-T2GDiscount),2)," with ",((T2GDiscount*100+F2712*100)-(T2GDiscount*100*F2712)),IF(F2712&gt;0,"% discounts",IF(NoWarrantyDiscount&gt;0,"% discounts","% discount")))))))))</f>
        <v/>
      </c>
      <c r="N2712" s="660"/>
      <c r="O2712" s="233"/>
      <c r="P2712" s="233"/>
      <c r="Q2712" s="233"/>
      <c r="R2712" s="233"/>
      <c r="S2712" s="233"/>
      <c r="T2712" s="508">
        <f t="shared" si="2111"/>
        <v>0</v>
      </c>
      <c r="U2712" s="225">
        <f>IF(NOT(ISNUMBER(G2712)), "", VLOOKUP(A2712,'Discount Lookup'!D:E,2,FALSE)*G2712)</f>
        <v>0</v>
      </c>
      <c r="V2712" s="225">
        <f>IF(NOT(ISNUMBER(G2712)), "", VLOOKUP(A2712,'Discount Lookup'!G:H,2,FALSE)*G2712)</f>
        <v>0</v>
      </c>
      <c r="W2712" s="508">
        <f t="shared" si="2112"/>
        <v>0</v>
      </c>
      <c r="X2712" s="508">
        <f t="shared" si="2113"/>
        <v>0</v>
      </c>
      <c r="Y2712" s="509" t="b">
        <f t="shared" si="2114"/>
        <v>0</v>
      </c>
      <c r="Z2712" s="510">
        <f t="shared" si="2115"/>
        <v>0</v>
      </c>
      <c r="AA2712" s="511"/>
      <c r="AB2712" s="511" t="str">
        <f t="shared" si="2116"/>
        <v/>
      </c>
      <c r="AC2712" s="698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698"/>
      <c r="AE2712" s="631" t="str">
        <f t="shared" si="2117"/>
        <v/>
      </c>
      <c r="AF2712" s="699" t="str">
        <f t="shared" si="2118"/>
        <v/>
      </c>
      <c r="AG2712" s="699"/>
      <c r="AH2712" s="699"/>
      <c r="AI2712" s="512">
        <f>IF(H2712="credit",0,IF(AE2712="free",0,IF(AE2712="me",0,IF(G2712&gt;0,(VLOOKUP(A2712,'Discount Lookup'!J:K,2)*G2712),0))))</f>
        <v>0</v>
      </c>
      <c r="AJ2712" s="513" t="str">
        <f t="shared" ca="1" si="2119"/>
        <v/>
      </c>
      <c r="AK2712" s="700" t="str">
        <f t="shared" si="2120"/>
        <v/>
      </c>
      <c r="AL2712" s="700"/>
      <c r="AM2712" s="505" t="str">
        <f t="shared" si="2121"/>
        <v/>
      </c>
      <c r="AN2712" s="506"/>
      <c r="AO2712" s="507"/>
      <c r="AP2712" s="507"/>
      <c r="AQ2712" s="507"/>
      <c r="AR2712" s="507"/>
      <c r="AS2712" s="507"/>
      <c r="AT2712" s="507"/>
      <c r="AU2712" s="507"/>
      <c r="AV2712" s="225"/>
      <c r="AW2712" s="508"/>
      <c r="AX2712" s="225"/>
      <c r="AY2712" s="225"/>
      <c r="AZ2712" s="225"/>
      <c r="BA2712" s="225"/>
      <c r="BB2712" s="225"/>
      <c r="BC2712" s="56"/>
      <c r="BD2712" s="56"/>
      <c r="BE2712" s="56"/>
      <c r="BF2712" s="107" t="str">
        <f t="shared" si="2122"/>
        <v>https://www.google.com/search?tbm=isch&amp;q=3%20G5</v>
      </c>
      <c r="BG2712" s="107" t="str">
        <f t="shared" si="2123"/>
        <v>O</v>
      </c>
      <c r="BH2712" s="254"/>
      <c r="BI2712" s="254"/>
    </row>
    <row r="2713" spans="1:61" customFormat="1" ht="16.5" thickBot="1" x14ac:dyDescent="0.3">
      <c r="A2713" s="672" t="s">
        <v>5188</v>
      </c>
      <c r="B2713" s="491"/>
      <c r="C2713" s="675"/>
      <c r="D2713" s="491"/>
      <c r="E2713" s="491"/>
      <c r="F2713" s="492"/>
      <c r="G2713" s="493"/>
      <c r="H2713" s="491"/>
      <c r="I2713" s="234"/>
      <c r="J2713" s="234"/>
      <c r="K2713" s="494"/>
      <c r="L2713" s="543"/>
      <c r="M2713" s="561"/>
      <c r="N2713" s="495"/>
      <c r="O2713" s="496"/>
      <c r="P2713" s="497"/>
      <c r="Q2713" s="495"/>
      <c r="R2713" s="495"/>
      <c r="S2713" s="667" t="s">
        <v>4968</v>
      </c>
      <c r="T2713" s="508">
        <f t="shared" si="2111"/>
        <v>0</v>
      </c>
      <c r="U2713" s="225" t="str">
        <f>IF(NOT(ISNUMBER(G2713)), "", VLOOKUP(A2713,'Discount Lookup'!D:E,2,FALSE)*G2713)</f>
        <v/>
      </c>
      <c r="V2713" s="225" t="str">
        <f>IF(NOT(ISNUMBER(G2713)), "", VLOOKUP(A2713,'Discount Lookup'!G:H,2,FALSE)*G2713)</f>
        <v/>
      </c>
      <c r="W2713" s="508">
        <f t="shared" si="2112"/>
        <v>0</v>
      </c>
      <c r="X2713" s="508">
        <f t="shared" si="2113"/>
        <v>0</v>
      </c>
      <c r="Y2713" s="509" t="b">
        <f t="shared" si="2114"/>
        <v>0</v>
      </c>
      <c r="Z2713" s="510">
        <f t="shared" si="2115"/>
        <v>0</v>
      </c>
      <c r="AA2713" s="511"/>
      <c r="AB2713" s="511" t="str">
        <f t="shared" si="2116"/>
        <v/>
      </c>
      <c r="AC2713" s="698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698"/>
      <c r="AE2713" s="631" t="str">
        <f t="shared" si="2117"/>
        <v/>
      </c>
      <c r="AF2713" s="699" t="str">
        <f t="shared" si="2118"/>
        <v/>
      </c>
      <c r="AG2713" s="699"/>
      <c r="AH2713" s="699"/>
      <c r="AI2713" s="512">
        <f>IF(H2713="credit",0,IF(AE2713="free",0,IF(AE2713="me",0,IF(G2713&gt;0,(VLOOKUP(A2713,'Discount Lookup'!J:K,2)*G2713),0))))</f>
        <v>0</v>
      </c>
      <c r="AJ2713" s="513" t="str">
        <f t="shared" ca="1" si="2119"/>
        <v/>
      </c>
      <c r="AK2713" s="700" t="str">
        <f t="shared" si="2120"/>
        <v/>
      </c>
      <c r="AL2713" s="700"/>
      <c r="AM2713" s="505" t="str">
        <f t="shared" si="2121"/>
        <v/>
      </c>
      <c r="AN2713" s="506"/>
      <c r="AO2713" s="507"/>
      <c r="AP2713" s="507"/>
      <c r="AQ2713" s="507"/>
      <c r="AR2713" s="507"/>
      <c r="AS2713" s="507"/>
      <c r="AT2713" s="507"/>
      <c r="AU2713" s="507"/>
      <c r="AV2713" s="225"/>
      <c r="AW2713" s="508"/>
      <c r="AX2713" s="225"/>
      <c r="AY2713" s="225"/>
      <c r="AZ2713" s="225"/>
      <c r="BA2713" s="225"/>
      <c r="BB2713" s="225"/>
      <c r="BC2713" s="56"/>
      <c r="BD2713" s="56"/>
      <c r="BE2713" s="56"/>
      <c r="BF2713" s="107" t="str">
        <f t="shared" si="2122"/>
        <v>https://www.google.com/search?tbm=isch&amp;q=moist%20sites%F0%9F%92%A7OK%2C%20Orion%20features%20fragrant%20White%20starry%20blooms%2C%20aromatic%20evergreen%20foliage%2C%20and%20was%20bred%20at%20NC%20State%20</v>
      </c>
      <c r="BG2713" s="107" t="str">
        <f t="shared" si="2123"/>
        <v>m</v>
      </c>
      <c r="BH2713" s="254"/>
      <c r="BI2713" s="254"/>
    </row>
    <row r="2714" spans="1:61" customFormat="1" ht="18" x14ac:dyDescent="0.25">
      <c r="A2714" s="521" t="s">
        <v>4544</v>
      </c>
      <c r="B2714" s="477"/>
      <c r="C2714" s="674"/>
      <c r="D2714" s="478" t="s">
        <v>4545</v>
      </c>
      <c r="E2714" s="479"/>
      <c r="F2714" s="479"/>
      <c r="G2714" s="479"/>
      <c r="H2714" s="582" t="s">
        <v>1727</v>
      </c>
      <c r="I2714" s="480" t="s">
        <v>654</v>
      </c>
      <c r="J2714" s="479"/>
      <c r="K2714" s="479"/>
      <c r="L2714" s="560"/>
      <c r="M2714" s="671" t="s">
        <v>4985</v>
      </c>
      <c r="N2714" s="680" t="str">
        <f>IF(AND(ISTEXT($A2714), ISERROR($A2714+0)), HYPERLINK($BF2714, "Images"), "")</f>
        <v>Images</v>
      </c>
      <c r="O2714" s="662" t="s">
        <v>4967</v>
      </c>
      <c r="P2714" s="482"/>
      <c r="Q2714" s="483"/>
      <c r="R2714" s="483"/>
      <c r="S2714" s="484"/>
      <c r="T2714" s="508">
        <f t="shared" si="2111"/>
        <v>0</v>
      </c>
      <c r="U2714" s="225" t="str">
        <f>IF(NOT(ISNUMBER(G2714)), "", VLOOKUP(A2714,'Discount Lookup'!D:E,2,FALSE)*G2714)</f>
        <v/>
      </c>
      <c r="V2714" s="225" t="str">
        <f>IF(NOT(ISNUMBER(G2714)), "", VLOOKUP(A2714,'Discount Lookup'!G:H,2,FALSE)*G2714)</f>
        <v/>
      </c>
      <c r="W2714" s="508">
        <f t="shared" si="2112"/>
        <v>0</v>
      </c>
      <c r="X2714" s="508" t="str">
        <f t="shared" si="2113"/>
        <v>White bloom</v>
      </c>
      <c r="Y2714" s="509" t="b">
        <f t="shared" si="2114"/>
        <v>0</v>
      </c>
      <c r="Z2714" s="510">
        <f t="shared" si="2115"/>
        <v>0</v>
      </c>
      <c r="AA2714" s="511"/>
      <c r="AB2714" s="511" t="str">
        <f t="shared" si="2116"/>
        <v/>
      </c>
      <c r="AC2714" s="698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698"/>
      <c r="AE2714" s="631" t="str">
        <f t="shared" si="2117"/>
        <v/>
      </c>
      <c r="AF2714" s="699" t="str">
        <f t="shared" si="2118"/>
        <v/>
      </c>
      <c r="AG2714" s="699"/>
      <c r="AH2714" s="699"/>
      <c r="AI2714" s="512">
        <f>IF(H2714="credit",0,IF(AE2714="free",0,IF(AE2714="me",0,IF(G2714&gt;0,(VLOOKUP(A2714,'Discount Lookup'!J:K,2)*G2714),0))))</f>
        <v>0</v>
      </c>
      <c r="AJ2714" s="513" t="str">
        <f t="shared" ca="1" si="2119"/>
        <v/>
      </c>
      <c r="AK2714" s="700" t="str">
        <f t="shared" si="2120"/>
        <v/>
      </c>
      <c r="AL2714" s="700"/>
      <c r="AM2714" s="505" t="str">
        <f t="shared" si="2121"/>
        <v/>
      </c>
      <c r="AN2714" s="506"/>
      <c r="AO2714" s="507"/>
      <c r="AP2714" s="507"/>
      <c r="AQ2714" s="507"/>
      <c r="AR2714" s="507"/>
      <c r="AS2714" s="507"/>
      <c r="AT2714" s="507"/>
      <c r="AU2714" s="507"/>
      <c r="AV2714" s="225"/>
      <c r="AW2714" s="508"/>
      <c r="AX2714" s="225"/>
      <c r="AY2714" s="225"/>
      <c r="AZ2714" s="225"/>
      <c r="BA2714" s="225"/>
      <c r="BB2714" s="225"/>
      <c r="BC2714" s="56"/>
      <c r="BD2714" s="56"/>
      <c r="BE2714" s="56"/>
      <c r="BF2714" s="107" t="str">
        <f t="shared" si="2122"/>
        <v>https://www.google.com/search?tbm=isch&amp;q=Otto%20Luyken%20Laurel%20Prunus%20laurocerasus%20%27Otto%20Luyken%27</v>
      </c>
      <c r="BG2714" s="107" t="str">
        <f t="shared" si="2123"/>
        <v>O</v>
      </c>
      <c r="BH2714" s="254"/>
      <c r="BI2714" s="254"/>
    </row>
    <row r="2715" spans="1:61" customFormat="1" ht="15.75" x14ac:dyDescent="0.25">
      <c r="A2715" s="485">
        <v>6</v>
      </c>
      <c r="B2715" s="486" t="s">
        <v>291</v>
      </c>
      <c r="C2715" s="487" t="s">
        <v>4546</v>
      </c>
      <c r="D2715" s="488" t="s">
        <v>312</v>
      </c>
      <c r="E2715" s="489">
        <v>119.95</v>
      </c>
      <c r="F2715" s="516" t="s">
        <v>293</v>
      </c>
      <c r="G2715" s="232">
        <v>0</v>
      </c>
      <c r="H2715" s="658" t="str">
        <f>IF(G2715=0,"",IF(F2715="Buy",IF(G2715=1,"plant","plants"),IF(F2715&gt;0.01,"warranty","Error")))</f>
        <v/>
      </c>
      <c r="I2715" s="490">
        <f>IF(H2715="free",0,IF(H2715="credit",((E2715*(F2715))*G2715*-1),IF(F2715="Buy",(E2715*G2715),((E2715*(1-F2715))*G2715))))</f>
        <v>0</v>
      </c>
      <c r="J2715" s="490">
        <f>IF(H2715="warranty",0,(I2715*(_xlfn.SINGLE(SalesTaxPercentage))))</f>
        <v>0</v>
      </c>
      <c r="K2715" s="695">
        <f t="shared" ref="K2715" si="2128">I2715+J2715</f>
        <v>0</v>
      </c>
      <c r="L2715" s="695"/>
      <c r="M2715" s="659" t="str">
        <f>IF(AND(G2715&gt;0,E2715=0),"WARNING - no PRICE inserted",IF(H2715="free"," FREE ~ no charge this plant",IF(H2715="credit",CONCATENATE(" -$",ROUND(K2715*(1-T2GDiscount)*-1,2)," CREDIT after discount"),IF(T2GDiscount=0,"",IF(G2715=0,"",IF(F2715="Buy",CONCATENATE(" $",ROUND(K2715*(1-T2GDiscount),2)," with ",(T2GDiscount*100),"% discount"),CONCATENATE(" $",ROUND(K2715*(1-T2GDiscount),2)," with ",((T2GDiscount*100+F2715*100)-(T2GDiscount*100*F2715)),IF(F2715&gt;0,"% discounts",IF(NoWarrantyDiscount&gt;0,"% discounts","% discount")))))))))</f>
        <v/>
      </c>
      <c r="N2715" s="660"/>
      <c r="O2715" s="233"/>
      <c r="P2715" s="233"/>
      <c r="Q2715" s="233"/>
      <c r="R2715" s="233"/>
      <c r="S2715" s="233"/>
      <c r="T2715" s="508">
        <f t="shared" si="2111"/>
        <v>0</v>
      </c>
      <c r="U2715" s="225">
        <f>IF(NOT(ISNUMBER(G2715)), "", VLOOKUP(A2715,'Discount Lookup'!D:E,2,FALSE)*G2715)</f>
        <v>0</v>
      </c>
      <c r="V2715" s="225">
        <f>IF(NOT(ISNUMBER(G2715)), "", VLOOKUP(A2715,'Discount Lookup'!G:H,2,FALSE)*G2715)</f>
        <v>0</v>
      </c>
      <c r="W2715" s="508">
        <f t="shared" si="2112"/>
        <v>0</v>
      </c>
      <c r="X2715" s="508">
        <f t="shared" si="2113"/>
        <v>0</v>
      </c>
      <c r="Y2715" s="509" t="b">
        <f t="shared" si="2114"/>
        <v>0</v>
      </c>
      <c r="Z2715" s="510">
        <f t="shared" si="2115"/>
        <v>0</v>
      </c>
      <c r="AA2715" s="511"/>
      <c r="AB2715" s="511" t="str">
        <f t="shared" si="2116"/>
        <v/>
      </c>
      <c r="AC2715" s="698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698"/>
      <c r="AE2715" s="631" t="str">
        <f t="shared" si="2117"/>
        <v/>
      </c>
      <c r="AF2715" s="699" t="str">
        <f t="shared" si="2118"/>
        <v/>
      </c>
      <c r="AG2715" s="699"/>
      <c r="AH2715" s="699"/>
      <c r="AI2715" s="512">
        <f>IF(H2715="credit",0,IF(AE2715="free",0,IF(AE2715="me",0,IF(G2715&gt;0,(VLOOKUP(A2715,'Discount Lookup'!J:K,2)*G2715),0))))</f>
        <v>0</v>
      </c>
      <c r="AJ2715" s="513" t="str">
        <f t="shared" ca="1" si="2119"/>
        <v/>
      </c>
      <c r="AK2715" s="700" t="str">
        <f t="shared" si="2120"/>
        <v/>
      </c>
      <c r="AL2715" s="700"/>
      <c r="AM2715" s="505" t="str">
        <f t="shared" si="2121"/>
        <v/>
      </c>
      <c r="AN2715" s="506"/>
      <c r="AO2715" s="507"/>
      <c r="AP2715" s="507"/>
      <c r="AQ2715" s="507"/>
      <c r="AR2715" s="507"/>
      <c r="AS2715" s="507"/>
      <c r="AT2715" s="507"/>
      <c r="AU2715" s="507"/>
      <c r="AV2715" s="225"/>
      <c r="AW2715" s="508"/>
      <c r="AX2715" s="225"/>
      <c r="AY2715" s="225"/>
      <c r="AZ2715" s="225"/>
      <c r="BA2715" s="225"/>
      <c r="BB2715" s="225"/>
      <c r="BC2715" s="56"/>
      <c r="BD2715" s="56"/>
      <c r="BE2715" s="56"/>
      <c r="BF2715" s="107" t="str">
        <f t="shared" si="2122"/>
        <v>https://www.google.com/search?tbm=isch&amp;q=6%20G2</v>
      </c>
      <c r="BG2715" s="107" t="str">
        <f t="shared" si="2123"/>
        <v>O</v>
      </c>
      <c r="BH2715" s="254"/>
      <c r="BI2715" s="254"/>
    </row>
    <row r="2716" spans="1:61" customFormat="1" ht="17.25" thickBot="1" x14ac:dyDescent="0.3">
      <c r="A2716" s="672" t="s">
        <v>5189</v>
      </c>
      <c r="B2716" s="491"/>
      <c r="C2716" s="675"/>
      <c r="D2716" s="491"/>
      <c r="E2716" s="491"/>
      <c r="F2716" s="492"/>
      <c r="G2716" s="493"/>
      <c r="H2716" s="491"/>
      <c r="I2716" s="234"/>
      <c r="J2716" s="234"/>
      <c r="K2716" s="494"/>
      <c r="L2716" s="543"/>
      <c r="M2716" s="561"/>
      <c r="N2716" s="495"/>
      <c r="O2716" s="496"/>
      <c r="P2716" s="497"/>
      <c r="Q2716" s="495"/>
      <c r="R2716" s="495"/>
      <c r="S2716" s="667" t="s">
        <v>4984</v>
      </c>
      <c r="T2716" s="508">
        <f t="shared" si="2111"/>
        <v>0</v>
      </c>
      <c r="U2716" s="225" t="str">
        <f>IF(NOT(ISNUMBER(G2716)), "", VLOOKUP(A2716,'Discount Lookup'!D:E,2,FALSE)*G2716)</f>
        <v/>
      </c>
      <c r="V2716" s="225" t="str">
        <f>IF(NOT(ISNUMBER(G2716)), "", VLOOKUP(A2716,'Discount Lookup'!G:H,2,FALSE)*G2716)</f>
        <v/>
      </c>
      <c r="W2716" s="508">
        <f t="shared" si="2112"/>
        <v>0</v>
      </c>
      <c r="X2716" s="508">
        <f t="shared" si="2113"/>
        <v>0</v>
      </c>
      <c r="Y2716" s="509" t="b">
        <f t="shared" si="2114"/>
        <v>0</v>
      </c>
      <c r="Z2716" s="510">
        <f t="shared" si="2115"/>
        <v>0</v>
      </c>
      <c r="AA2716" s="511"/>
      <c r="AB2716" s="511" t="str">
        <f t="shared" si="2116"/>
        <v/>
      </c>
      <c r="AC2716" s="698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698"/>
      <c r="AE2716" s="631" t="str">
        <f t="shared" si="2117"/>
        <v/>
      </c>
      <c r="AF2716" s="699" t="str">
        <f t="shared" si="2118"/>
        <v/>
      </c>
      <c r="AG2716" s="699"/>
      <c r="AH2716" s="699"/>
      <c r="AI2716" s="512">
        <f>IF(H2716="credit",0,IF(AE2716="free",0,IF(AE2716="me",0,IF(G2716&gt;0,(VLOOKUP(A2716,'Discount Lookup'!J:K,2)*G2716),0))))</f>
        <v>0</v>
      </c>
      <c r="AJ2716" s="513" t="str">
        <f t="shared" ca="1" si="2119"/>
        <v/>
      </c>
      <c r="AK2716" s="700" t="str">
        <f t="shared" si="2120"/>
        <v/>
      </c>
      <c r="AL2716" s="700"/>
      <c r="AM2716" s="505" t="str">
        <f t="shared" si="2121"/>
        <v/>
      </c>
      <c r="AN2716" s="506"/>
      <c r="AO2716" s="507"/>
      <c r="AP2716" s="507"/>
      <c r="AQ2716" s="507"/>
      <c r="AR2716" s="507"/>
      <c r="AS2716" s="507"/>
      <c r="AT2716" s="507"/>
      <c r="AU2716" s="507"/>
      <c r="AV2716" s="225"/>
      <c r="AW2716" s="508"/>
      <c r="AX2716" s="225"/>
      <c r="AY2716" s="225"/>
      <c r="AZ2716" s="225"/>
      <c r="BA2716" s="225"/>
      <c r="BB2716" s="225"/>
      <c r="BC2716" s="56"/>
      <c r="BD2716" s="56"/>
      <c r="BE2716" s="56"/>
      <c r="BF2716" s="107" t="str">
        <f t="shared" si="2122"/>
        <v>https://www.google.com/search?tbm=isch&amp;q=moist%20sites%F0%9F%92%A7OK%2C%20Otto%20Luyken%20is%20more%20pest%20resistant%20than%20other%20Prunus.%20Fragrant%20blooms%20followed%20by%20small%20black%20fruit%20</v>
      </c>
      <c r="BG2716" s="107" t="str">
        <f t="shared" si="2123"/>
        <v>m</v>
      </c>
      <c r="BH2716" s="254"/>
      <c r="BI2716" s="254"/>
    </row>
    <row r="2717" spans="1:61" customFormat="1" ht="18" x14ac:dyDescent="0.25">
      <c r="A2717" s="523" t="s">
        <v>1463</v>
      </c>
      <c r="B2717" s="235"/>
      <c r="C2717" s="676"/>
      <c r="D2717" s="255" t="s">
        <v>1464</v>
      </c>
      <c r="E2717" s="236"/>
      <c r="F2717" s="236"/>
      <c r="G2717" s="236"/>
      <c r="H2717" s="582" t="s">
        <v>1244</v>
      </c>
      <c r="I2717" s="498" t="s">
        <v>2093</v>
      </c>
      <c r="J2717" s="237"/>
      <c r="K2717" s="237"/>
      <c r="L2717" s="274"/>
      <c r="M2717" s="668" t="s">
        <v>4962</v>
      </c>
      <c r="N2717" s="681" t="str">
        <f>IF(AND(ISTEXT($A2717), ISERROR($A2717+0)), HYPERLINK($BF2717, "Images"), "")</f>
        <v>Images</v>
      </c>
      <c r="O2717" s="663" t="s">
        <v>4974</v>
      </c>
      <c r="P2717" s="253"/>
      <c r="Q2717" s="238"/>
      <c r="R2717" s="239"/>
      <c r="S2717" s="275" t="s">
        <v>305</v>
      </c>
      <c r="T2717" s="508">
        <f t="shared" si="2111"/>
        <v>0</v>
      </c>
      <c r="U2717" s="225" t="str">
        <f>IF(NOT(ISNUMBER(G2717)), "", VLOOKUP(A2717,'Discount Lookup'!D:E,2,FALSE)*G2717)</f>
        <v/>
      </c>
      <c r="V2717" s="225" t="str">
        <f>IF(NOT(ISNUMBER(G2717)), "", VLOOKUP(A2717,'Discount Lookup'!G:H,2,FALSE)*G2717)</f>
        <v/>
      </c>
      <c r="W2717" s="508">
        <f t="shared" si="2112"/>
        <v>0</v>
      </c>
      <c r="X2717" s="508" t="str">
        <f t="shared" si="2113"/>
        <v>Dark Green foliage</v>
      </c>
      <c r="Y2717" s="509" t="b">
        <f t="shared" si="2114"/>
        <v>0</v>
      </c>
      <c r="Z2717" s="510">
        <f t="shared" si="2115"/>
        <v>0</v>
      </c>
      <c r="AA2717" s="511"/>
      <c r="AB2717" s="511" t="str">
        <f t="shared" si="2116"/>
        <v/>
      </c>
      <c r="AC2717" s="698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698"/>
      <c r="AE2717" s="631" t="str">
        <f t="shared" si="2117"/>
        <v/>
      </c>
      <c r="AF2717" s="699" t="str">
        <f t="shared" si="2118"/>
        <v/>
      </c>
      <c r="AG2717" s="699"/>
      <c r="AH2717" s="699"/>
      <c r="AI2717" s="512">
        <f>IF(H2717="credit",0,IF(AE2717="free",0,IF(AE2717="me",0,IF(G2717&gt;0,(VLOOKUP(A2717,'Discount Lookup'!J:K,2)*G2717),0))))</f>
        <v>0</v>
      </c>
      <c r="AJ2717" s="513" t="str">
        <f t="shared" ca="1" si="2119"/>
        <v/>
      </c>
      <c r="AK2717" s="700" t="str">
        <f t="shared" si="2120"/>
        <v/>
      </c>
      <c r="AL2717" s="700"/>
      <c r="AM2717" s="505" t="str">
        <f t="shared" si="2121"/>
        <v/>
      </c>
      <c r="AN2717" s="506"/>
      <c r="AO2717" s="507"/>
      <c r="AP2717" s="507"/>
      <c r="AQ2717" s="507"/>
      <c r="AR2717" s="507"/>
      <c r="AS2717" s="507"/>
      <c r="AT2717" s="507"/>
      <c r="AU2717" s="507"/>
      <c r="AV2717" s="225"/>
      <c r="AW2717" s="508"/>
      <c r="AX2717" s="225"/>
      <c r="AY2717" s="225"/>
      <c r="AZ2717" s="225"/>
      <c r="BA2717" s="225"/>
      <c r="BB2717" s="225"/>
      <c r="BC2717" s="56"/>
      <c r="BD2717" s="56"/>
      <c r="BE2717" s="56"/>
      <c r="BF2717" s="107" t="str">
        <f t="shared" si="2122"/>
        <v>https://www.google.com/search?tbm=isch&amp;q=Overcup%20Oak%20Quercus%20lyrata</v>
      </c>
      <c r="BG2717" s="107" t="str">
        <f t="shared" si="2123"/>
        <v>O</v>
      </c>
      <c r="BH2717" s="254"/>
      <c r="BI2717" s="254"/>
    </row>
    <row r="2718" spans="1:61" customFormat="1" ht="15.75" x14ac:dyDescent="0.25">
      <c r="A2718" s="276">
        <v>25</v>
      </c>
      <c r="B2718" s="240" t="s">
        <v>291</v>
      </c>
      <c r="C2718" s="241" t="s">
        <v>3083</v>
      </c>
      <c r="D2718" s="242" t="s">
        <v>300</v>
      </c>
      <c r="E2718" s="243">
        <v>299.95</v>
      </c>
      <c r="F2718" s="517" t="s">
        <v>293</v>
      </c>
      <c r="G2718" s="232">
        <v>0</v>
      </c>
      <c r="H2718" s="661" t="str">
        <f>IF(G2718=0,"",IF(F2718="Buy",IF(G2718=1,"plant","plants"),IF(F2718&gt;0.01,"warranty","Error")))</f>
        <v/>
      </c>
      <c r="I2718" s="244">
        <f>IF(H2718="free",0,IF(H2718="credit",((E2718*(F2718))*G2718*-1),IF(F2718="Buy",(E2718*G2718),((E2718*(1-F2718))*G2718))))</f>
        <v>0</v>
      </c>
      <c r="J2718" s="244">
        <f>IF(H2718="warranty",0,(I2718*(_xlfn.SINGLE(SalesTaxPercentage))))</f>
        <v>0</v>
      </c>
      <c r="K2718" s="696">
        <f t="shared" ref="K2718" si="2129">I2718+J2718</f>
        <v>0</v>
      </c>
      <c r="L2718" s="696"/>
      <c r="M2718" s="659" t="str">
        <f>IF(AND(G2718&gt;0,E2718=0),"WARNING - no PRICE inserted",IF(H2718="free"," FREE ~ no charge this plant",IF(H2718="credit",CONCATENATE(" -$",ROUND(K2718*(1-T2GDiscount)*-1,2)," CREDIT after discount"),IF(T2GDiscount=0,"",IF(G2718=0,"",IF(F2718="Buy",CONCATENATE(" $",ROUND(K2718*(1-T2GDiscount),2)," with ",(T2GDiscount*100),"% discount"),CONCATENATE(" $",ROUND(K2718*(1-T2GDiscount),2)," with ",((T2GDiscount*100+F2718*100)-(T2GDiscount*100*F2718)),IF(F2718&gt;0,"% discounts",IF(NoWarrantyDiscount&gt;0,"% discounts","% discount")))))))))</f>
        <v/>
      </c>
      <c r="N2718" s="660"/>
      <c r="O2718" s="233"/>
      <c r="P2718" s="233"/>
      <c r="Q2718" s="233"/>
      <c r="R2718" s="233"/>
      <c r="S2718" s="233"/>
      <c r="T2718" s="508">
        <f t="shared" si="2111"/>
        <v>0</v>
      </c>
      <c r="U2718" s="225">
        <f>IF(NOT(ISNUMBER(G2718)), "", VLOOKUP(A2718,'Discount Lookup'!D:E,2,FALSE)*G2718)</f>
        <v>0</v>
      </c>
      <c r="V2718" s="225">
        <f>IF(NOT(ISNUMBER(G2718)), "", VLOOKUP(A2718,'Discount Lookup'!G:H,2,FALSE)*G2718)</f>
        <v>0</v>
      </c>
      <c r="W2718" s="508">
        <f t="shared" si="2112"/>
        <v>0</v>
      </c>
      <c r="X2718" s="508">
        <f t="shared" si="2113"/>
        <v>0</v>
      </c>
      <c r="Y2718" s="509" t="b">
        <f t="shared" si="2114"/>
        <v>0</v>
      </c>
      <c r="Z2718" s="510">
        <f t="shared" si="2115"/>
        <v>0</v>
      </c>
      <c r="AA2718" s="511"/>
      <c r="AB2718" s="511" t="str">
        <f t="shared" si="2116"/>
        <v/>
      </c>
      <c r="AC2718" s="698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698"/>
      <c r="AE2718" s="631" t="str">
        <f t="shared" si="2117"/>
        <v/>
      </c>
      <c r="AF2718" s="699" t="str">
        <f t="shared" si="2118"/>
        <v/>
      </c>
      <c r="AG2718" s="699"/>
      <c r="AH2718" s="699"/>
      <c r="AI2718" s="512">
        <f>IF(H2718="credit",0,IF(AE2718="free",0,IF(AE2718="me",0,IF(G2718&gt;0,(VLOOKUP(A2718,'Discount Lookup'!J:K,2)*G2718),0))))</f>
        <v>0</v>
      </c>
      <c r="AJ2718" s="513" t="str">
        <f t="shared" ca="1" si="2119"/>
        <v/>
      </c>
      <c r="AK2718" s="700" t="str">
        <f t="shared" si="2120"/>
        <v/>
      </c>
      <c r="AL2718" s="700"/>
      <c r="AM2718" s="505" t="str">
        <f t="shared" si="2121"/>
        <v/>
      </c>
      <c r="AN2718" s="506"/>
      <c r="AO2718" s="507"/>
      <c r="AP2718" s="507"/>
      <c r="AQ2718" s="507"/>
      <c r="AR2718" s="507"/>
      <c r="AS2718" s="507"/>
      <c r="AT2718" s="507"/>
      <c r="AU2718" s="507"/>
      <c r="AV2718" s="225"/>
      <c r="AW2718" s="508"/>
      <c r="AX2718" s="225"/>
      <c r="AY2718" s="225"/>
      <c r="AZ2718" s="225"/>
      <c r="BA2718" s="225"/>
      <c r="BB2718" s="225"/>
      <c r="BC2718" s="56"/>
      <c r="BD2718" s="56"/>
      <c r="BE2718" s="56"/>
      <c r="BF2718" s="107" t="str">
        <f t="shared" si="2122"/>
        <v>https://www.google.com/search?tbm=isch&amp;q=25%20G6</v>
      </c>
      <c r="BG2718" s="107" t="str">
        <f t="shared" si="2123"/>
        <v>O</v>
      </c>
      <c r="BH2718" s="254"/>
      <c r="BI2718" s="254"/>
    </row>
    <row r="2719" spans="1:61" customFormat="1" ht="17.25" thickBot="1" x14ac:dyDescent="0.3">
      <c r="A2719" s="673" t="s">
        <v>5190</v>
      </c>
      <c r="B2719" s="245"/>
      <c r="C2719" s="677"/>
      <c r="D2719" s="499"/>
      <c r="E2719" s="499"/>
      <c r="F2719" s="500"/>
      <c r="G2719" s="501"/>
      <c r="H2719" s="502"/>
      <c r="I2719" s="246"/>
      <c r="J2719" s="247"/>
      <c r="K2719" s="503"/>
      <c r="L2719" s="544"/>
      <c r="M2719" s="544"/>
      <c r="N2719" s="500"/>
      <c r="O2719" s="500"/>
      <c r="P2719" s="500"/>
      <c r="Q2719" s="500"/>
      <c r="R2719" s="500"/>
      <c r="S2719" s="669" t="s">
        <v>4978</v>
      </c>
      <c r="T2719" s="508">
        <f t="shared" si="2111"/>
        <v>0</v>
      </c>
      <c r="U2719" s="225" t="str">
        <f>IF(NOT(ISNUMBER(G2719)), "", VLOOKUP(A2719,'Discount Lookup'!D:E,2,FALSE)*G2719)</f>
        <v/>
      </c>
      <c r="V2719" s="225" t="str">
        <f>IF(NOT(ISNUMBER(G2719)), "", VLOOKUP(A2719,'Discount Lookup'!G:H,2,FALSE)*G2719)</f>
        <v/>
      </c>
      <c r="W2719" s="508">
        <f t="shared" si="2112"/>
        <v>0</v>
      </c>
      <c r="X2719" s="508">
        <f t="shared" si="2113"/>
        <v>0</v>
      </c>
      <c r="Y2719" s="509" t="b">
        <f t="shared" si="2114"/>
        <v>0</v>
      </c>
      <c r="Z2719" s="510">
        <f t="shared" si="2115"/>
        <v>0</v>
      </c>
      <c r="AA2719" s="511"/>
      <c r="AB2719" s="511" t="str">
        <f t="shared" si="2116"/>
        <v/>
      </c>
      <c r="AC2719" s="698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698"/>
      <c r="AE2719" s="631" t="str">
        <f t="shared" si="2117"/>
        <v/>
      </c>
      <c r="AF2719" s="699" t="str">
        <f t="shared" si="2118"/>
        <v/>
      </c>
      <c r="AG2719" s="699"/>
      <c r="AH2719" s="699"/>
      <c r="AI2719" s="512">
        <f>IF(H2719="credit",0,IF(AE2719="free",0,IF(AE2719="me",0,IF(G2719&gt;0,(VLOOKUP(A2719,'Discount Lookup'!J:K,2)*G2719),0))))</f>
        <v>0</v>
      </c>
      <c r="AJ2719" s="513" t="str">
        <f t="shared" ca="1" si="2119"/>
        <v/>
      </c>
      <c r="AK2719" s="700" t="str">
        <f t="shared" si="2120"/>
        <v/>
      </c>
      <c r="AL2719" s="700"/>
      <c r="AM2719" s="505" t="str">
        <f t="shared" si="2121"/>
        <v/>
      </c>
      <c r="AN2719" s="506"/>
      <c r="AO2719" s="507"/>
      <c r="AP2719" s="507"/>
      <c r="AQ2719" s="507"/>
      <c r="AR2719" s="507"/>
      <c r="AS2719" s="507"/>
      <c r="AT2719" s="507"/>
      <c r="AU2719" s="507"/>
      <c r="AV2719" s="225"/>
      <c r="AW2719" s="508"/>
      <c r="AX2719" s="225"/>
      <c r="AY2719" s="225"/>
      <c r="AZ2719" s="225"/>
      <c r="BA2719" s="225"/>
      <c r="BB2719" s="225"/>
      <c r="BC2719" s="56"/>
      <c r="BD2719" s="56"/>
      <c r="BE2719" s="56"/>
      <c r="BF2719" s="107" t="str">
        <f t="shared" si="2122"/>
        <v>https://www.google.com/search?tbm=isch&amp;q=wet%20sites%F0%9F%92%A7BEST%2C%20Overcup%20is%20named%20for%20the%20bur-like%20acorn%20cup%20enclosing%20most%20of%20the%20nut.%20Yellow-Orange-Red%20fall%20foliage%20</v>
      </c>
      <c r="BG2719" s="107" t="str">
        <f t="shared" si="2123"/>
        <v>w</v>
      </c>
      <c r="BH2719" s="254"/>
      <c r="BI2719" s="254"/>
    </row>
    <row r="2720" spans="1:61" customFormat="1" ht="18" x14ac:dyDescent="0.25">
      <c r="A2720" s="523" t="s">
        <v>1465</v>
      </c>
      <c r="B2720" s="235"/>
      <c r="C2720" s="676"/>
      <c r="D2720" s="255" t="s">
        <v>1466</v>
      </c>
      <c r="E2720" s="236"/>
      <c r="F2720" s="236"/>
      <c r="G2720" s="236"/>
      <c r="H2720" s="582" t="s">
        <v>355</v>
      </c>
      <c r="I2720" s="498" t="s">
        <v>2862</v>
      </c>
      <c r="J2720" s="237"/>
      <c r="K2720" s="237"/>
      <c r="L2720" s="274"/>
      <c r="M2720" s="670" t="s">
        <v>4973</v>
      </c>
      <c r="N2720" s="681" t="str">
        <f>IF(AND(ISTEXT($A2720), ISERROR($A2720+0)), HYPERLINK($BF2720, "Images"), "")</f>
        <v>Images</v>
      </c>
      <c r="O2720" s="663" t="s">
        <v>4967</v>
      </c>
      <c r="P2720" s="253"/>
      <c r="Q2720" s="238"/>
      <c r="R2720" s="239"/>
      <c r="S2720" s="275"/>
      <c r="T2720" s="508">
        <f t="shared" si="2111"/>
        <v>0</v>
      </c>
      <c r="U2720" s="225" t="str">
        <f>IF(NOT(ISNUMBER(G2720)), "", VLOOKUP(A2720,'Discount Lookup'!D:E,2,FALSE)*G2720)</f>
        <v/>
      </c>
      <c r="V2720" s="225" t="str">
        <f>IF(NOT(ISNUMBER(G2720)), "", VLOOKUP(A2720,'Discount Lookup'!G:H,2,FALSE)*G2720)</f>
        <v/>
      </c>
      <c r="W2720" s="508">
        <f t="shared" si="2112"/>
        <v>0</v>
      </c>
      <c r="X2720" s="508" t="str">
        <f t="shared" si="2113"/>
        <v>White bloom, Crimson center</v>
      </c>
      <c r="Y2720" s="509" t="b">
        <f t="shared" si="2114"/>
        <v>0</v>
      </c>
      <c r="Z2720" s="510">
        <f t="shared" si="2115"/>
        <v>0</v>
      </c>
      <c r="AA2720" s="511"/>
      <c r="AB2720" s="511" t="str">
        <f t="shared" si="2116"/>
        <v/>
      </c>
      <c r="AC2720" s="698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698"/>
      <c r="AE2720" s="631" t="str">
        <f t="shared" si="2117"/>
        <v/>
      </c>
      <c r="AF2720" s="699" t="str">
        <f t="shared" si="2118"/>
        <v/>
      </c>
      <c r="AG2720" s="699"/>
      <c r="AH2720" s="699"/>
      <c r="AI2720" s="512">
        <f>IF(H2720="credit",0,IF(AE2720="free",0,IF(AE2720="me",0,IF(G2720&gt;0,(VLOOKUP(A2720,'Discount Lookup'!J:K,2)*G2720),0))))</f>
        <v>0</v>
      </c>
      <c r="AJ2720" s="513" t="str">
        <f t="shared" ca="1" si="2119"/>
        <v/>
      </c>
      <c r="AK2720" s="700" t="str">
        <f t="shared" si="2120"/>
        <v/>
      </c>
      <c r="AL2720" s="700"/>
      <c r="AM2720" s="505" t="str">
        <f t="shared" si="2121"/>
        <v/>
      </c>
      <c r="AN2720" s="506"/>
      <c r="AO2720" s="507"/>
      <c r="AP2720" s="507"/>
      <c r="AQ2720" s="507"/>
      <c r="AR2720" s="507"/>
      <c r="AS2720" s="507"/>
      <c r="AT2720" s="507"/>
      <c r="AU2720" s="507"/>
      <c r="AV2720" s="225"/>
      <c r="AW2720" s="508"/>
      <c r="AX2720" s="225"/>
      <c r="AY2720" s="225"/>
      <c r="AZ2720" s="225"/>
      <c r="BA2720" s="225"/>
      <c r="BB2720" s="225"/>
      <c r="BC2720" s="56"/>
      <c r="BD2720" s="56"/>
      <c r="BE2720" s="56"/>
      <c r="BF2720" s="107" t="str">
        <f t="shared" si="2122"/>
        <v>https://www.google.com/search?tbm=isch&amp;q=Oyama%20Magnolia%20Magnolia%20sieboldii</v>
      </c>
      <c r="BG2720" s="107" t="str">
        <f t="shared" si="2123"/>
        <v>O</v>
      </c>
      <c r="BH2720" s="254"/>
      <c r="BI2720" s="254"/>
    </row>
    <row r="2721" spans="1:61" customFormat="1" ht="15.75" x14ac:dyDescent="0.25">
      <c r="A2721" s="276">
        <v>7</v>
      </c>
      <c r="B2721" s="240" t="s">
        <v>291</v>
      </c>
      <c r="C2721" s="241" t="s">
        <v>3338</v>
      </c>
      <c r="D2721" s="242" t="s">
        <v>292</v>
      </c>
      <c r="E2721" s="243">
        <v>123.95</v>
      </c>
      <c r="F2721" s="517" t="s">
        <v>293</v>
      </c>
      <c r="G2721" s="232">
        <v>0</v>
      </c>
      <c r="H2721" s="661" t="str">
        <f>IF(G2721=0,"",IF(F2721="Buy",IF(G2721=1,"plant","plants"),IF(F2721&gt;0.01,"warranty","Error")))</f>
        <v/>
      </c>
      <c r="I2721" s="244">
        <f>IF(H2721="free",0,IF(H2721="credit",((E2721*(F2721))*G2721*-1),IF(F2721="Buy",(E2721*G2721),((E2721*(1-F2721))*G2721))))</f>
        <v>0</v>
      </c>
      <c r="J2721" s="244">
        <f>IF(H2721="warranty",0,(I2721*(_xlfn.SINGLE(SalesTaxPercentage))))</f>
        <v>0</v>
      </c>
      <c r="K2721" s="696">
        <f t="shared" ref="K2721" si="2130">I2721+J2721</f>
        <v>0</v>
      </c>
      <c r="L2721" s="696"/>
      <c r="M2721" s="659" t="str">
        <f>IF(AND(G2721&gt;0,E2721=0),"WARNING - no PRICE inserted",IF(H2721="free"," FREE ~ no charge this plant",IF(H2721="credit",CONCATENATE(" -$",ROUND(K2721*(1-T2GDiscount)*-1,2)," CREDIT after discount"),IF(T2GDiscount=0,"",IF(G2721=0,"",IF(F2721="Buy",CONCATENATE(" $",ROUND(K2721*(1-T2GDiscount),2)," with ",(T2GDiscount*100),"% discount"),CONCATENATE(" $",ROUND(K2721*(1-T2GDiscount),2)," with ",((T2GDiscount*100+F2721*100)-(T2GDiscount*100*F2721)),IF(F2721&gt;0,"% discounts",IF(NoWarrantyDiscount&gt;0,"% discounts","% discount")))))))))</f>
        <v/>
      </c>
      <c r="N2721" s="660"/>
      <c r="O2721" s="233"/>
      <c r="P2721" s="233"/>
      <c r="Q2721" s="233"/>
      <c r="R2721" s="233"/>
      <c r="S2721" s="233"/>
      <c r="T2721" s="508">
        <f t="shared" si="2111"/>
        <v>0</v>
      </c>
      <c r="U2721" s="225">
        <f>IF(NOT(ISNUMBER(G2721)), "", VLOOKUP(A2721,'Discount Lookup'!D:E,2,FALSE)*G2721)</f>
        <v>0</v>
      </c>
      <c r="V2721" s="225">
        <f>IF(NOT(ISNUMBER(G2721)), "", VLOOKUP(A2721,'Discount Lookup'!G:H,2,FALSE)*G2721)</f>
        <v>0</v>
      </c>
      <c r="W2721" s="508">
        <f t="shared" si="2112"/>
        <v>0</v>
      </c>
      <c r="X2721" s="508">
        <f t="shared" si="2113"/>
        <v>0</v>
      </c>
      <c r="Y2721" s="509" t="b">
        <f t="shared" si="2114"/>
        <v>0</v>
      </c>
      <c r="Z2721" s="510">
        <f t="shared" si="2115"/>
        <v>0</v>
      </c>
      <c r="AA2721" s="511"/>
      <c r="AB2721" s="511" t="str">
        <f t="shared" si="2116"/>
        <v/>
      </c>
      <c r="AC2721" s="698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698"/>
      <c r="AE2721" s="631" t="str">
        <f t="shared" si="2117"/>
        <v/>
      </c>
      <c r="AF2721" s="699" t="str">
        <f t="shared" si="2118"/>
        <v/>
      </c>
      <c r="AG2721" s="699"/>
      <c r="AH2721" s="699"/>
      <c r="AI2721" s="512">
        <f>IF(H2721="credit",0,IF(AE2721="free",0,IF(AE2721="me",0,IF(G2721&gt;0,(VLOOKUP(A2721,'Discount Lookup'!J:K,2)*G2721),0))))</f>
        <v>0</v>
      </c>
      <c r="AJ2721" s="513" t="str">
        <f t="shared" ca="1" si="2119"/>
        <v/>
      </c>
      <c r="AK2721" s="700" t="str">
        <f t="shared" si="2120"/>
        <v/>
      </c>
      <c r="AL2721" s="700"/>
      <c r="AM2721" s="505" t="str">
        <f t="shared" si="2121"/>
        <v/>
      </c>
      <c r="AN2721" s="506"/>
      <c r="AO2721" s="507"/>
      <c r="AP2721" s="507"/>
      <c r="AQ2721" s="507"/>
      <c r="AR2721" s="507"/>
      <c r="AS2721" s="507"/>
      <c r="AT2721" s="507"/>
      <c r="AU2721" s="507"/>
      <c r="AV2721" s="225"/>
      <c r="AW2721" s="508"/>
      <c r="AX2721" s="225"/>
      <c r="AY2721" s="225"/>
      <c r="AZ2721" s="225"/>
      <c r="BA2721" s="225"/>
      <c r="BB2721" s="225"/>
      <c r="BC2721" s="56"/>
      <c r="BD2721" s="56"/>
      <c r="BE2721" s="56"/>
      <c r="BF2721" s="107" t="str">
        <f t="shared" si="2122"/>
        <v>https://www.google.com/search?tbm=isch&amp;q=7%20G4</v>
      </c>
      <c r="BG2721" s="107" t="str">
        <f t="shared" si="2123"/>
        <v>O</v>
      </c>
      <c r="BH2721" s="254"/>
      <c r="BI2721" s="254"/>
    </row>
    <row r="2722" spans="1:61" customFormat="1" ht="17.25" thickBot="1" x14ac:dyDescent="0.3">
      <c r="A2722" s="673" t="s">
        <v>5191</v>
      </c>
      <c r="B2722" s="245"/>
      <c r="C2722" s="677"/>
      <c r="D2722" s="499"/>
      <c r="E2722" s="499"/>
      <c r="F2722" s="500"/>
      <c r="G2722" s="501"/>
      <c r="H2722" s="502"/>
      <c r="I2722" s="246"/>
      <c r="J2722" s="247"/>
      <c r="K2722" s="503"/>
      <c r="L2722" s="544"/>
      <c r="M2722" s="544"/>
      <c r="N2722" s="500"/>
      <c r="O2722" s="500"/>
      <c r="P2722" s="500"/>
      <c r="Q2722" s="500"/>
      <c r="R2722" s="500"/>
      <c r="S2722" s="278"/>
      <c r="T2722" s="508">
        <f t="shared" si="2111"/>
        <v>0</v>
      </c>
      <c r="U2722" s="225" t="str">
        <f>IF(NOT(ISNUMBER(G2722)), "", VLOOKUP(A2722,'Discount Lookup'!D:E,2,FALSE)*G2722)</f>
        <v/>
      </c>
      <c r="V2722" s="225" t="str">
        <f>IF(NOT(ISNUMBER(G2722)), "", VLOOKUP(A2722,'Discount Lookup'!G:H,2,FALSE)*G2722)</f>
        <v/>
      </c>
      <c r="W2722" s="508">
        <f t="shared" si="2112"/>
        <v>0</v>
      </c>
      <c r="X2722" s="508">
        <f t="shared" si="2113"/>
        <v>0</v>
      </c>
      <c r="Y2722" s="509" t="b">
        <f t="shared" si="2114"/>
        <v>0</v>
      </c>
      <c r="Z2722" s="510">
        <f t="shared" si="2115"/>
        <v>0</v>
      </c>
      <c r="AA2722" s="511"/>
      <c r="AB2722" s="511" t="str">
        <f t="shared" si="2116"/>
        <v/>
      </c>
      <c r="AC2722" s="698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698"/>
      <c r="AE2722" s="631" t="str">
        <f t="shared" si="2117"/>
        <v/>
      </c>
      <c r="AF2722" s="699" t="str">
        <f t="shared" si="2118"/>
        <v/>
      </c>
      <c r="AG2722" s="699"/>
      <c r="AH2722" s="699"/>
      <c r="AI2722" s="512">
        <f>IF(H2722="credit",0,IF(AE2722="free",0,IF(AE2722="me",0,IF(G2722&gt;0,(VLOOKUP(A2722,'Discount Lookup'!J:K,2)*G2722),0))))</f>
        <v>0</v>
      </c>
      <c r="AJ2722" s="513" t="str">
        <f t="shared" ca="1" si="2119"/>
        <v/>
      </c>
      <c r="AK2722" s="700" t="str">
        <f t="shared" si="2120"/>
        <v/>
      </c>
      <c r="AL2722" s="700"/>
      <c r="AM2722" s="505" t="str">
        <f t="shared" si="2121"/>
        <v/>
      </c>
      <c r="AN2722" s="506"/>
      <c r="AO2722" s="507"/>
      <c r="AP2722" s="507"/>
      <c r="AQ2722" s="507"/>
      <c r="AR2722" s="507"/>
      <c r="AS2722" s="507"/>
      <c r="AT2722" s="507"/>
      <c r="AU2722" s="507"/>
      <c r="AV2722" s="225"/>
      <c r="AW2722" s="508"/>
      <c r="AX2722" s="225"/>
      <c r="AY2722" s="225"/>
      <c r="AZ2722" s="225"/>
      <c r="BA2722" s="225"/>
      <c r="BB2722" s="225"/>
      <c r="BC2722" s="56"/>
      <c r="BD2722" s="56"/>
      <c r="BE2722" s="56"/>
      <c r="BF2722" s="107" t="str">
        <f t="shared" si="2122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722" s="107" t="str">
        <f t="shared" si="2123"/>
        <v>m</v>
      </c>
      <c r="BH2722" s="254"/>
      <c r="BI2722" s="254"/>
    </row>
    <row r="2723" spans="1:61" customFormat="1" ht="18" x14ac:dyDescent="0.25">
      <c r="A2723" s="523" t="s">
        <v>1467</v>
      </c>
      <c r="B2723" s="235"/>
      <c r="C2723" s="676"/>
      <c r="D2723" s="255" t="s">
        <v>1468</v>
      </c>
      <c r="E2723" s="236"/>
      <c r="F2723" s="236"/>
      <c r="G2723" s="236"/>
      <c r="H2723" s="582" t="s">
        <v>367</v>
      </c>
      <c r="I2723" s="498" t="s">
        <v>3291</v>
      </c>
      <c r="J2723" s="237"/>
      <c r="K2723" s="237"/>
      <c r="L2723" s="274"/>
      <c r="M2723" s="668" t="s">
        <v>4975</v>
      </c>
      <c r="N2723" s="681" t="str">
        <f>IF(AND(ISTEXT($A2723), ISERROR($A2723+0)), HYPERLINK($BF2723, "Images"), "")</f>
        <v>Images</v>
      </c>
      <c r="O2723" s="663" t="s">
        <v>4967</v>
      </c>
      <c r="P2723" s="253"/>
      <c r="Q2723" s="238"/>
      <c r="R2723" s="239"/>
      <c r="S2723" s="275" t="s">
        <v>305</v>
      </c>
      <c r="T2723" s="508">
        <f t="shared" si="2111"/>
        <v>0</v>
      </c>
      <c r="U2723" s="225" t="str">
        <f>IF(NOT(ISNUMBER(G2723)), "", VLOOKUP(A2723,'Discount Lookup'!D:E,2,FALSE)*G2723)</f>
        <v/>
      </c>
      <c r="V2723" s="225" t="str">
        <f>IF(NOT(ISNUMBER(G2723)), "", VLOOKUP(A2723,'Discount Lookup'!G:H,2,FALSE)*G2723)</f>
        <v/>
      </c>
      <c r="W2723" s="508">
        <f t="shared" si="2112"/>
        <v>0</v>
      </c>
      <c r="X2723" s="508" t="str">
        <f t="shared" si="2113"/>
        <v>Yellow-Gold bloom</v>
      </c>
      <c r="Y2723" s="509" t="b">
        <f t="shared" si="2114"/>
        <v>0</v>
      </c>
      <c r="Z2723" s="510">
        <f t="shared" si="2115"/>
        <v>0</v>
      </c>
      <c r="AA2723" s="511"/>
      <c r="AB2723" s="511" t="str">
        <f t="shared" si="2116"/>
        <v/>
      </c>
      <c r="AC2723" s="698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698"/>
      <c r="AE2723" s="631" t="str">
        <f t="shared" si="2117"/>
        <v/>
      </c>
      <c r="AF2723" s="699" t="str">
        <f t="shared" si="2118"/>
        <v/>
      </c>
      <c r="AG2723" s="699"/>
      <c r="AH2723" s="699"/>
      <c r="AI2723" s="512">
        <f>IF(H2723="credit",0,IF(AE2723="free",0,IF(AE2723="me",0,IF(G2723&gt;0,(VLOOKUP(A2723,'Discount Lookup'!J:K,2)*G2723),0))))</f>
        <v>0</v>
      </c>
      <c r="AJ2723" s="513" t="str">
        <f t="shared" ca="1" si="2119"/>
        <v/>
      </c>
      <c r="AK2723" s="700" t="str">
        <f t="shared" si="2120"/>
        <v/>
      </c>
      <c r="AL2723" s="700"/>
      <c r="AM2723" s="505" t="str">
        <f t="shared" si="2121"/>
        <v/>
      </c>
      <c r="AN2723" s="506"/>
      <c r="AO2723" s="507"/>
      <c r="AP2723" s="507"/>
      <c r="AQ2723" s="507"/>
      <c r="AR2723" s="507"/>
      <c r="AS2723" s="507"/>
      <c r="AT2723" s="507"/>
      <c r="AU2723" s="507"/>
      <c r="AV2723" s="225"/>
      <c r="AW2723" s="508"/>
      <c r="AX2723" s="225"/>
      <c r="AY2723" s="225"/>
      <c r="AZ2723" s="225"/>
      <c r="BA2723" s="225"/>
      <c r="BB2723" s="225"/>
      <c r="BC2723" s="56"/>
      <c r="BD2723" s="56"/>
      <c r="BE2723" s="56"/>
      <c r="BF2723" s="107" t="str">
        <f t="shared" si="2122"/>
        <v>https://www.google.com/search?tbm=isch&amp;q=Ozark%20Witch%20Hazel%20Hamamelis%20vernalis</v>
      </c>
      <c r="BG2723" s="107" t="str">
        <f t="shared" si="2123"/>
        <v>O</v>
      </c>
      <c r="BH2723" s="254"/>
      <c r="BI2723" s="254"/>
    </row>
    <row r="2724" spans="1:61" customFormat="1" ht="15.75" x14ac:dyDescent="0.25">
      <c r="A2724" s="276">
        <v>10</v>
      </c>
      <c r="B2724" s="240" t="s">
        <v>291</v>
      </c>
      <c r="C2724" s="241" t="s">
        <v>3681</v>
      </c>
      <c r="D2724" s="242" t="s">
        <v>292</v>
      </c>
      <c r="E2724" s="243">
        <v>137.94999999999999</v>
      </c>
      <c r="F2724" s="517" t="s">
        <v>293</v>
      </c>
      <c r="G2724" s="232">
        <v>0</v>
      </c>
      <c r="H2724" s="661" t="str">
        <f>IF(G2724=0,"",IF(F2724="Buy",IF(G2724=1,"plant","plants"),IF(F2724&gt;0.01,"warranty","Error")))</f>
        <v/>
      </c>
      <c r="I2724" s="244">
        <f>IF(H2724="free",0,IF(H2724="credit",((E2724*(F2724))*G2724*-1),IF(F2724="Buy",(E2724*G2724),((E2724*(1-F2724))*G2724))))</f>
        <v>0</v>
      </c>
      <c r="J2724" s="244">
        <f>IF(H2724="warranty",0,(I2724*(_xlfn.SINGLE(SalesTaxPercentage))))</f>
        <v>0</v>
      </c>
      <c r="K2724" s="696">
        <f t="shared" ref="K2724" si="2131">I2724+J2724</f>
        <v>0</v>
      </c>
      <c r="L2724" s="696"/>
      <c r="M2724" s="659" t="str">
        <f>IF(AND(G2724&gt;0,E2724=0),"WARNING - no PRICE inserted",IF(H2724="free"," FREE ~ no charge this plant",IF(H2724="credit",CONCATENATE(" -$",ROUND(K2724*(1-T2GDiscount)*-1,2)," CREDIT after discount"),IF(T2GDiscount=0,"",IF(G2724=0,"",IF(F2724="Buy",CONCATENATE(" $",ROUND(K2724*(1-T2GDiscount),2)," with ",(T2GDiscount*100),"% discount"),CONCATENATE(" $",ROUND(K2724*(1-T2GDiscount),2)," with ",((T2GDiscount*100+F2724*100)-(T2GDiscount*100*F2724)),IF(F2724&gt;0,"% discounts",IF(NoWarrantyDiscount&gt;0,"% discounts","% discount")))))))))</f>
        <v/>
      </c>
      <c r="N2724" s="660"/>
      <c r="O2724" s="233"/>
      <c r="P2724" s="233"/>
      <c r="Q2724" s="233"/>
      <c r="R2724" s="233"/>
      <c r="S2724" s="233"/>
      <c r="T2724" s="508">
        <f t="shared" si="2111"/>
        <v>0</v>
      </c>
      <c r="U2724" s="225">
        <f>IF(NOT(ISNUMBER(G2724)), "", VLOOKUP(A2724,'Discount Lookup'!D:E,2,FALSE)*G2724)</f>
        <v>0</v>
      </c>
      <c r="V2724" s="225">
        <f>IF(NOT(ISNUMBER(G2724)), "", VLOOKUP(A2724,'Discount Lookup'!G:H,2,FALSE)*G2724)</f>
        <v>0</v>
      </c>
      <c r="W2724" s="508">
        <f t="shared" si="2112"/>
        <v>0</v>
      </c>
      <c r="X2724" s="508">
        <f t="shared" si="2113"/>
        <v>0</v>
      </c>
      <c r="Y2724" s="509" t="b">
        <f t="shared" si="2114"/>
        <v>0</v>
      </c>
      <c r="Z2724" s="510">
        <f t="shared" si="2115"/>
        <v>0</v>
      </c>
      <c r="AA2724" s="511"/>
      <c r="AB2724" s="511" t="str">
        <f t="shared" si="2116"/>
        <v/>
      </c>
      <c r="AC2724" s="698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698"/>
      <c r="AE2724" s="631" t="str">
        <f t="shared" si="2117"/>
        <v/>
      </c>
      <c r="AF2724" s="699" t="str">
        <f t="shared" si="2118"/>
        <v/>
      </c>
      <c r="AG2724" s="699"/>
      <c r="AH2724" s="699"/>
      <c r="AI2724" s="512">
        <f>IF(H2724="credit",0,IF(AE2724="free",0,IF(AE2724="me",0,IF(G2724&gt;0,(VLOOKUP(A2724,'Discount Lookup'!J:K,2)*G2724),0))))</f>
        <v>0</v>
      </c>
      <c r="AJ2724" s="513" t="str">
        <f t="shared" ca="1" si="2119"/>
        <v/>
      </c>
      <c r="AK2724" s="700" t="str">
        <f t="shared" si="2120"/>
        <v/>
      </c>
      <c r="AL2724" s="700"/>
      <c r="AM2724" s="505" t="str">
        <f t="shared" si="2121"/>
        <v/>
      </c>
      <c r="AN2724" s="506"/>
      <c r="AO2724" s="507"/>
      <c r="AP2724" s="507"/>
      <c r="AQ2724" s="507"/>
      <c r="AR2724" s="507"/>
      <c r="AS2724" s="507"/>
      <c r="AT2724" s="507"/>
      <c r="AU2724" s="507"/>
      <c r="AV2724" s="225"/>
      <c r="AW2724" s="508"/>
      <c r="AX2724" s="225"/>
      <c r="AY2724" s="225"/>
      <c r="AZ2724" s="225"/>
      <c r="BA2724" s="225"/>
      <c r="BB2724" s="225"/>
      <c r="BC2724" s="56"/>
      <c r="BD2724" s="56"/>
      <c r="BE2724" s="56"/>
      <c r="BF2724" s="107" t="str">
        <f t="shared" si="2122"/>
        <v>https://www.google.com/search?tbm=isch&amp;q=10%20G4</v>
      </c>
      <c r="BG2724" s="107" t="str">
        <f t="shared" si="2123"/>
        <v>O</v>
      </c>
      <c r="BH2724" s="254"/>
      <c r="BI2724" s="254"/>
    </row>
    <row r="2725" spans="1:61" customFormat="1" ht="16.5" x14ac:dyDescent="0.25">
      <c r="A2725" s="673" t="s">
        <v>5192</v>
      </c>
      <c r="B2725" s="245"/>
      <c r="C2725" s="677"/>
      <c r="D2725" s="499"/>
      <c r="E2725" s="499"/>
      <c r="F2725" s="500"/>
      <c r="G2725" s="501"/>
      <c r="H2725" s="502"/>
      <c r="I2725" s="246"/>
      <c r="J2725" s="247"/>
      <c r="K2725" s="503"/>
      <c r="L2725" s="544"/>
      <c r="M2725" s="544"/>
      <c r="N2725" s="500"/>
      <c r="O2725" s="500"/>
      <c r="P2725" s="500"/>
      <c r="Q2725" s="500"/>
      <c r="R2725" s="500"/>
      <c r="S2725" s="669" t="s">
        <v>4972</v>
      </c>
      <c r="T2725" s="508">
        <f t="shared" si="2111"/>
        <v>0</v>
      </c>
      <c r="U2725" s="225" t="str">
        <f>IF(NOT(ISNUMBER(G2725)), "", VLOOKUP(A2725,'Discount Lookup'!D:E,2,FALSE)*G2725)</f>
        <v/>
      </c>
      <c r="V2725" s="225" t="str">
        <f>IF(NOT(ISNUMBER(G2725)), "", VLOOKUP(A2725,'Discount Lookup'!G:H,2,FALSE)*G2725)</f>
        <v/>
      </c>
      <c r="W2725" s="508">
        <f t="shared" si="2112"/>
        <v>0</v>
      </c>
      <c r="X2725" s="508">
        <f t="shared" si="2113"/>
        <v>0</v>
      </c>
      <c r="Y2725" s="509" t="b">
        <f t="shared" si="2114"/>
        <v>0</v>
      </c>
      <c r="Z2725" s="510">
        <f t="shared" si="2115"/>
        <v>0</v>
      </c>
      <c r="AA2725" s="511"/>
      <c r="AB2725" s="511" t="str">
        <f t="shared" si="2116"/>
        <v/>
      </c>
      <c r="AC2725" s="698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698"/>
      <c r="AE2725" s="631" t="str">
        <f t="shared" si="2117"/>
        <v/>
      </c>
      <c r="AF2725" s="699" t="str">
        <f t="shared" si="2118"/>
        <v/>
      </c>
      <c r="AG2725" s="699"/>
      <c r="AH2725" s="699"/>
      <c r="AI2725" s="512">
        <f>IF(H2725="credit",0,IF(AE2725="free",0,IF(AE2725="me",0,IF(G2725&gt;0,(VLOOKUP(A2725,'Discount Lookup'!J:K,2)*G2725),0))))</f>
        <v>0</v>
      </c>
      <c r="AJ2725" s="513" t="str">
        <f t="shared" ca="1" si="2119"/>
        <v/>
      </c>
      <c r="AK2725" s="700" t="str">
        <f t="shared" si="2120"/>
        <v/>
      </c>
      <c r="AL2725" s="700"/>
      <c r="AM2725" s="505" t="str">
        <f t="shared" si="2121"/>
        <v/>
      </c>
      <c r="AN2725" s="506"/>
      <c r="AO2725" s="507"/>
      <c r="AP2725" s="507"/>
      <c r="AQ2725" s="507"/>
      <c r="AR2725" s="507"/>
      <c r="AS2725" s="507"/>
      <c r="AT2725" s="507"/>
      <c r="AU2725" s="507"/>
      <c r="AV2725" s="225"/>
      <c r="AW2725" s="508"/>
      <c r="AX2725" s="225"/>
      <c r="AY2725" s="225"/>
      <c r="AZ2725" s="225"/>
      <c r="BA2725" s="225"/>
      <c r="BB2725" s="225"/>
      <c r="BC2725" s="56"/>
      <c r="BD2725" s="56"/>
      <c r="BE2725" s="56"/>
      <c r="BF2725" s="107" t="str">
        <f t="shared" si="2122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725" s="107" t="str">
        <f t="shared" si="2123"/>
        <v>m</v>
      </c>
      <c r="BH2725" s="254"/>
      <c r="BI2725" s="254"/>
    </row>
    <row r="2726" spans="1:61" customFormat="1" ht="45.75" thickBot="1" x14ac:dyDescent="0.35">
      <c r="A2726" s="525" t="s">
        <v>1469</v>
      </c>
      <c r="B2726" s="248"/>
      <c r="C2726" s="678" t="s">
        <v>673</v>
      </c>
      <c r="D2726" s="249"/>
      <c r="E2726" s="249"/>
      <c r="F2726" s="249"/>
      <c r="G2726" s="249"/>
      <c r="H2726" s="250"/>
      <c r="I2726" s="249"/>
      <c r="J2726" s="249"/>
      <c r="K2726" s="526" t="s">
        <v>2840</v>
      </c>
      <c r="L2726" s="279"/>
      <c r="M2726" s="251"/>
      <c r="S2726" s="504" t="s">
        <v>2841</v>
      </c>
      <c r="T2726" s="508">
        <f t="shared" si="2111"/>
        <v>0</v>
      </c>
      <c r="U2726" s="225" t="str">
        <f>IF(NOT(ISNUMBER(G2726)), "", VLOOKUP(A2726,'Discount Lookup'!D:E,2,FALSE)*G2726)</f>
        <v/>
      </c>
      <c r="V2726" s="225" t="str">
        <f>IF(NOT(ISNUMBER(G2726)), "", VLOOKUP(A2726,'Discount Lookup'!G:H,2,FALSE)*G2726)</f>
        <v/>
      </c>
      <c r="W2726" s="508">
        <f t="shared" si="2112"/>
        <v>0</v>
      </c>
      <c r="X2726" s="508">
        <f t="shared" si="2113"/>
        <v>0</v>
      </c>
      <c r="Y2726" s="509" t="b">
        <f t="shared" si="2114"/>
        <v>0</v>
      </c>
      <c r="Z2726" s="510">
        <f t="shared" si="2115"/>
        <v>0</v>
      </c>
      <c r="AA2726" s="511"/>
      <c r="AB2726" s="511" t="str">
        <f t="shared" si="2116"/>
        <v/>
      </c>
      <c r="AC2726" s="698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698"/>
      <c r="AE2726" s="631" t="str">
        <f t="shared" si="2117"/>
        <v/>
      </c>
      <c r="AF2726" s="699" t="str">
        <f t="shared" si="2118"/>
        <v/>
      </c>
      <c r="AG2726" s="699"/>
      <c r="AH2726" s="699"/>
      <c r="AI2726" s="512">
        <f>IF(H2726="credit",0,IF(AE2726="free",0,IF(AE2726="me",0,IF(G2726&gt;0,(VLOOKUP(A2726,'Discount Lookup'!J:K,2)*G2726),0))))</f>
        <v>0</v>
      </c>
      <c r="AJ2726" s="513" t="str">
        <f t="shared" ca="1" si="2119"/>
        <v/>
      </c>
      <c r="AK2726" s="700" t="str">
        <f t="shared" si="2120"/>
        <v/>
      </c>
      <c r="AL2726" s="700"/>
      <c r="AM2726" s="505" t="str">
        <f t="shared" si="2121"/>
        <v/>
      </c>
      <c r="AN2726" s="506"/>
      <c r="AO2726" s="507"/>
      <c r="AP2726" s="507"/>
      <c r="AQ2726" s="507"/>
      <c r="AR2726" s="507"/>
      <c r="AS2726" s="507"/>
      <c r="AT2726" s="507"/>
      <c r="AU2726" s="507"/>
      <c r="AV2726" s="225"/>
      <c r="AW2726" s="508"/>
      <c r="AX2726" s="225"/>
      <c r="AY2726" s="225"/>
      <c r="AZ2726" s="225"/>
      <c r="BA2726" s="225"/>
      <c r="BB2726" s="225"/>
      <c r="BC2726" s="56"/>
      <c r="BD2726" s="56"/>
      <c r="BE2726" s="56"/>
      <c r="BF2726" s="107" t="str">
        <f t="shared" si="2122"/>
        <v>https://www.google.com/search?tbm=isch&amp;q=P%20</v>
      </c>
      <c r="BG2726" s="107" t="str">
        <f t="shared" si="2123"/>
        <v>P</v>
      </c>
      <c r="BH2726" s="254"/>
      <c r="BI2726" s="254"/>
    </row>
    <row r="2727" spans="1:61" customFormat="1" ht="18" x14ac:dyDescent="0.25">
      <c r="A2727" s="523" t="s">
        <v>4928</v>
      </c>
      <c r="B2727" s="235"/>
      <c r="C2727" s="676"/>
      <c r="D2727" s="255" t="s">
        <v>4929</v>
      </c>
      <c r="E2727" s="236"/>
      <c r="F2727" s="236"/>
      <c r="G2727" s="236"/>
      <c r="H2727" s="582" t="s">
        <v>4930</v>
      </c>
      <c r="I2727" s="498" t="s">
        <v>654</v>
      </c>
      <c r="J2727" s="237"/>
      <c r="K2727" s="237"/>
      <c r="L2727" s="274"/>
      <c r="M2727" s="668" t="s">
        <v>4975</v>
      </c>
      <c r="N2727" s="681" t="str">
        <f>IF(AND(ISTEXT($A2727), ISERROR($A2727+0)), HYPERLINK($BF2727, "Images"), "")</f>
        <v>Images</v>
      </c>
      <c r="O2727" s="663" t="s">
        <v>4974</v>
      </c>
      <c r="P2727" s="253"/>
      <c r="Q2727" s="238"/>
      <c r="R2727" s="239"/>
      <c r="S2727" s="275" t="s">
        <v>305</v>
      </c>
      <c r="T2727" s="508">
        <f t="shared" si="2111"/>
        <v>0</v>
      </c>
      <c r="U2727" s="225" t="str">
        <f>IF(NOT(ISNUMBER(G2727)), "", VLOOKUP(A2727,'Discount Lookup'!D:E,2,FALSE)*G2727)</f>
        <v/>
      </c>
      <c r="V2727" s="225" t="str">
        <f>IF(NOT(ISNUMBER(G2727)), "", VLOOKUP(A2727,'Discount Lookup'!G:H,2,FALSE)*G2727)</f>
        <v/>
      </c>
      <c r="W2727" s="508">
        <f t="shared" si="2112"/>
        <v>0</v>
      </c>
      <c r="X2727" s="508" t="str">
        <f t="shared" si="2113"/>
        <v>White bloom</v>
      </c>
      <c r="Y2727" s="509" t="b">
        <f t="shared" si="2114"/>
        <v>0</v>
      </c>
      <c r="Z2727" s="510">
        <f t="shared" si="2115"/>
        <v>0</v>
      </c>
      <c r="AA2727" s="511"/>
      <c r="AB2727" s="511" t="str">
        <f t="shared" si="2116"/>
        <v/>
      </c>
      <c r="AC2727" s="698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698"/>
      <c r="AE2727" s="631" t="str">
        <f t="shared" si="2117"/>
        <v/>
      </c>
      <c r="AF2727" s="699" t="str">
        <f t="shared" si="2118"/>
        <v/>
      </c>
      <c r="AG2727" s="699"/>
      <c r="AH2727" s="699"/>
      <c r="AI2727" s="512">
        <f>IF(H2727="credit",0,IF(AE2727="free",0,IF(AE2727="me",0,IF(G2727&gt;0,(VLOOKUP(A2727,'Discount Lookup'!J:K,2)*G2727),0))))</f>
        <v>0</v>
      </c>
      <c r="AJ2727" s="513" t="str">
        <f t="shared" ca="1" si="2119"/>
        <v/>
      </c>
      <c r="AK2727" s="700" t="str">
        <f t="shared" si="2120"/>
        <v/>
      </c>
      <c r="AL2727" s="700"/>
      <c r="AM2727" s="505" t="str">
        <f t="shared" si="2121"/>
        <v/>
      </c>
      <c r="AN2727" s="506"/>
      <c r="AO2727" s="507"/>
      <c r="AP2727" s="507"/>
      <c r="AQ2727" s="507"/>
      <c r="AR2727" s="507"/>
      <c r="AS2727" s="507"/>
      <c r="AT2727" s="507"/>
      <c r="AU2727" s="507"/>
      <c r="AV2727" s="225"/>
      <c r="AW2727" s="508"/>
      <c r="AX2727" s="225"/>
      <c r="AY2727" s="225"/>
      <c r="AZ2727" s="225"/>
      <c r="BA2727" s="225"/>
      <c r="BB2727" s="225"/>
      <c r="BC2727" s="56"/>
      <c r="BD2727" s="56"/>
      <c r="BE2727" s="56"/>
      <c r="BF2727" s="107" t="str">
        <f t="shared" si="2122"/>
        <v>https://www.google.com/search?tbm=isch&amp;q=Pagoda%20Dogwood%20Cornus%20alternifolia</v>
      </c>
      <c r="BG2727" s="107" t="str">
        <f t="shared" si="2123"/>
        <v>P</v>
      </c>
      <c r="BH2727" s="254"/>
      <c r="BI2727" s="254"/>
    </row>
    <row r="2728" spans="1:61" customFormat="1" ht="15.75" x14ac:dyDescent="0.25">
      <c r="A2728" s="276">
        <v>7</v>
      </c>
      <c r="B2728" s="240" t="s">
        <v>291</v>
      </c>
      <c r="C2728" s="241" t="s">
        <v>4931</v>
      </c>
      <c r="D2728" s="242" t="s">
        <v>292</v>
      </c>
      <c r="E2728" s="243">
        <v>164.95</v>
      </c>
      <c r="F2728" s="517" t="s">
        <v>293</v>
      </c>
      <c r="G2728" s="232">
        <v>0</v>
      </c>
      <c r="H2728" s="661" t="str">
        <f>IF(G2728=0,"",IF(F2728="Buy",IF(G2728=1,"plant","plants"),IF(F2728&gt;0.01,"warranty","Error")))</f>
        <v/>
      </c>
      <c r="I2728" s="244">
        <f>IF(H2728="free",0,IF(H2728="credit",((E2728*(F2728))*G2728*-1),IF(F2728="Buy",(E2728*G2728),((E2728*(1-F2728))*G2728))))</f>
        <v>0</v>
      </c>
      <c r="J2728" s="244">
        <f>IF(H2728="warranty",0,(I2728*(_xlfn.SINGLE(SalesTaxPercentage))))</f>
        <v>0</v>
      </c>
      <c r="K2728" s="696">
        <f t="shared" ref="K2728" si="2132">I2728+J2728</f>
        <v>0</v>
      </c>
      <c r="L2728" s="696"/>
      <c r="M2728" s="659" t="str">
        <f>IF(AND(G2728&gt;0,E2728=0),"WARNING - no PRICE inserted",IF(H2728="free"," FREE ~ no charge this plant",IF(H2728="credit",CONCATENATE(" -$",ROUND(K2728*(1-T2GDiscount)*-1,2)," CREDIT after discount"),IF(T2GDiscount=0,"",IF(G2728=0,"",IF(F2728="Buy",CONCATENATE(" $",ROUND(K2728*(1-T2GDiscount),2)," with ",(T2GDiscount*100),"% discount"),CONCATENATE(" $",ROUND(K2728*(1-T2GDiscount),2)," with ",((T2GDiscount*100+F2728*100)-(T2GDiscount*100*F2728)),IF(F2728&gt;0,"% discounts",IF(NoWarrantyDiscount&gt;0,"% discounts","% discount")))))))))</f>
        <v/>
      </c>
      <c r="N2728" s="660"/>
      <c r="O2728" s="233"/>
      <c r="P2728" s="233"/>
      <c r="Q2728" s="233"/>
      <c r="R2728" s="233"/>
      <c r="S2728" s="233"/>
      <c r="T2728" s="508">
        <f t="shared" si="2111"/>
        <v>0</v>
      </c>
      <c r="U2728" s="225">
        <f>IF(NOT(ISNUMBER(G2728)), "", VLOOKUP(A2728,'Discount Lookup'!D:E,2,FALSE)*G2728)</f>
        <v>0</v>
      </c>
      <c r="V2728" s="225">
        <f>IF(NOT(ISNUMBER(G2728)), "", VLOOKUP(A2728,'Discount Lookup'!G:H,2,FALSE)*G2728)</f>
        <v>0</v>
      </c>
      <c r="W2728" s="508">
        <f t="shared" si="2112"/>
        <v>0</v>
      </c>
      <c r="X2728" s="508">
        <f t="shared" si="2113"/>
        <v>0</v>
      </c>
      <c r="Y2728" s="509" t="b">
        <f t="shared" si="2114"/>
        <v>0</v>
      </c>
      <c r="Z2728" s="510">
        <f t="shared" si="2115"/>
        <v>0</v>
      </c>
      <c r="AA2728" s="511"/>
      <c r="AB2728" s="511" t="str">
        <f t="shared" si="2116"/>
        <v/>
      </c>
      <c r="AC2728" s="698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698"/>
      <c r="AE2728" s="631" t="str">
        <f t="shared" si="2117"/>
        <v/>
      </c>
      <c r="AF2728" s="699" t="str">
        <f t="shared" si="2118"/>
        <v/>
      </c>
      <c r="AG2728" s="699"/>
      <c r="AH2728" s="699"/>
      <c r="AI2728" s="512">
        <f>IF(H2728="credit",0,IF(AE2728="free",0,IF(AE2728="me",0,IF(G2728&gt;0,(VLOOKUP(A2728,'Discount Lookup'!J:K,2)*G2728),0))))</f>
        <v>0</v>
      </c>
      <c r="AJ2728" s="513" t="str">
        <f t="shared" ca="1" si="2119"/>
        <v/>
      </c>
      <c r="AK2728" s="700" t="str">
        <f t="shared" si="2120"/>
        <v/>
      </c>
      <c r="AL2728" s="700"/>
      <c r="AM2728" s="505" t="str">
        <f t="shared" si="2121"/>
        <v/>
      </c>
      <c r="AN2728" s="506"/>
      <c r="AO2728" s="507"/>
      <c r="AP2728" s="507"/>
      <c r="AQ2728" s="507"/>
      <c r="AR2728" s="507"/>
      <c r="AS2728" s="507"/>
      <c r="AT2728" s="507"/>
      <c r="AU2728" s="507"/>
      <c r="AV2728" s="225"/>
      <c r="AW2728" s="508"/>
      <c r="AX2728" s="225"/>
      <c r="AY2728" s="225"/>
      <c r="AZ2728" s="225"/>
      <c r="BA2728" s="225"/>
      <c r="BB2728" s="225"/>
      <c r="BC2728" s="56"/>
      <c r="BD2728" s="56"/>
      <c r="BE2728" s="56"/>
      <c r="BF2728" s="107" t="str">
        <f t="shared" si="2122"/>
        <v>https://www.google.com/search?tbm=isch&amp;q=7%20G4</v>
      </c>
      <c r="BG2728" s="107" t="str">
        <f t="shared" si="2123"/>
        <v>P</v>
      </c>
      <c r="BH2728" s="254"/>
      <c r="BI2728" s="254"/>
    </row>
    <row r="2729" spans="1:61" customFormat="1" ht="17.25" thickBot="1" x14ac:dyDescent="0.3">
      <c r="A2729" s="673" t="s">
        <v>5193</v>
      </c>
      <c r="B2729" s="245"/>
      <c r="C2729" s="677"/>
      <c r="D2729" s="499"/>
      <c r="E2729" s="499"/>
      <c r="F2729" s="500"/>
      <c r="G2729" s="501"/>
      <c r="H2729" s="502"/>
      <c r="I2729" s="246"/>
      <c r="J2729" s="247"/>
      <c r="K2729" s="503"/>
      <c r="L2729" s="544"/>
      <c r="M2729" s="544"/>
      <c r="N2729" s="500"/>
      <c r="O2729" s="500"/>
      <c r="P2729" s="500"/>
      <c r="Q2729" s="500"/>
      <c r="R2729" s="500"/>
      <c r="S2729" s="669" t="s">
        <v>4972</v>
      </c>
      <c r="T2729" s="508">
        <f t="shared" si="2111"/>
        <v>0</v>
      </c>
      <c r="U2729" s="225" t="str">
        <f>IF(NOT(ISNUMBER(G2729)), "", VLOOKUP(A2729,'Discount Lookup'!D:E,2,FALSE)*G2729)</f>
        <v/>
      </c>
      <c r="V2729" s="225" t="str">
        <f>IF(NOT(ISNUMBER(G2729)), "", VLOOKUP(A2729,'Discount Lookup'!G:H,2,FALSE)*G2729)</f>
        <v/>
      </c>
      <c r="W2729" s="508">
        <f t="shared" si="2112"/>
        <v>0</v>
      </c>
      <c r="X2729" s="508">
        <f t="shared" si="2113"/>
        <v>0</v>
      </c>
      <c r="Y2729" s="509" t="b">
        <f t="shared" si="2114"/>
        <v>0</v>
      </c>
      <c r="Z2729" s="510">
        <f t="shared" si="2115"/>
        <v>0</v>
      </c>
      <c r="AA2729" s="511"/>
      <c r="AB2729" s="511" t="str">
        <f t="shared" si="2116"/>
        <v/>
      </c>
      <c r="AC2729" s="698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698"/>
      <c r="AE2729" s="631" t="str">
        <f t="shared" si="2117"/>
        <v/>
      </c>
      <c r="AF2729" s="699" t="str">
        <f t="shared" si="2118"/>
        <v/>
      </c>
      <c r="AG2729" s="699"/>
      <c r="AH2729" s="699"/>
      <c r="AI2729" s="512">
        <f>IF(H2729="credit",0,IF(AE2729="free",0,IF(AE2729="me",0,IF(G2729&gt;0,(VLOOKUP(A2729,'Discount Lookup'!J:K,2)*G2729),0))))</f>
        <v>0</v>
      </c>
      <c r="AJ2729" s="513" t="str">
        <f t="shared" ca="1" si="2119"/>
        <v/>
      </c>
      <c r="AK2729" s="700" t="str">
        <f t="shared" si="2120"/>
        <v/>
      </c>
      <c r="AL2729" s="700"/>
      <c r="AM2729" s="505" t="str">
        <f t="shared" si="2121"/>
        <v/>
      </c>
      <c r="AN2729" s="506"/>
      <c r="AO2729" s="507"/>
      <c r="AP2729" s="507"/>
      <c r="AQ2729" s="507"/>
      <c r="AR2729" s="507"/>
      <c r="AS2729" s="507"/>
      <c r="AT2729" s="507"/>
      <c r="AU2729" s="507"/>
      <c r="AV2729" s="225"/>
      <c r="AW2729" s="508"/>
      <c r="AX2729" s="225"/>
      <c r="AY2729" s="225"/>
      <c r="AZ2729" s="225"/>
      <c r="BA2729" s="225"/>
      <c r="BB2729" s="225"/>
      <c r="BC2729" s="56"/>
      <c r="BD2729" s="56"/>
      <c r="BE2729" s="56"/>
      <c r="BF2729" s="107" t="str">
        <f t="shared" si="2122"/>
        <v>https://www.google.com/search?tbm=isch&amp;q=moist%20sites%F0%9F%92%A7GOOD%2C%20Pagoda%20is%20a%20gracefully%20tiered%20small%20tree%20with%20flat%20White%20spring%20blooms%2C%20Blue%20berries%20for%20birds%2C%20and%20rich%20Burgundy%20fall%20color%20</v>
      </c>
      <c r="BG2729" s="107" t="str">
        <f t="shared" si="2123"/>
        <v>m</v>
      </c>
      <c r="BH2729" s="254"/>
      <c r="BI2729" s="254"/>
    </row>
    <row r="2730" spans="1:61" customFormat="1" ht="18" x14ac:dyDescent="0.25">
      <c r="A2730" s="523" t="s">
        <v>1470</v>
      </c>
      <c r="B2730" s="235"/>
      <c r="C2730" s="676"/>
      <c r="D2730" s="255" t="s">
        <v>1471</v>
      </c>
      <c r="E2730" s="236"/>
      <c r="F2730" s="236"/>
      <c r="G2730" s="236"/>
      <c r="H2730" s="582" t="s">
        <v>443</v>
      </c>
      <c r="I2730" s="498" t="s">
        <v>4229</v>
      </c>
      <c r="J2730" s="237"/>
      <c r="K2730" s="237"/>
      <c r="L2730" s="274"/>
      <c r="M2730" s="668" t="s">
        <v>4962</v>
      </c>
      <c r="N2730" s="681" t="str">
        <f>IF(AND(ISTEXT($A2730), ISERROR($A2730+0)), HYPERLINK($BF2730, "Images"), "")</f>
        <v>Images</v>
      </c>
      <c r="O2730" s="663" t="s">
        <v>4967</v>
      </c>
      <c r="P2730" s="253"/>
      <c r="Q2730" s="238"/>
      <c r="R2730" s="239"/>
      <c r="S2730" s="275"/>
      <c r="T2730" s="508">
        <f t="shared" si="2111"/>
        <v>0</v>
      </c>
      <c r="U2730" s="225" t="str">
        <f>IF(NOT(ISNUMBER(G2730)), "", VLOOKUP(A2730,'Discount Lookup'!D:E,2,FALSE)*G2730)</f>
        <v/>
      </c>
      <c r="V2730" s="225" t="str">
        <f>IF(NOT(ISNUMBER(G2730)), "", VLOOKUP(A2730,'Discount Lookup'!G:H,2,FALSE)*G2730)</f>
        <v/>
      </c>
      <c r="W2730" s="508">
        <f t="shared" si="2112"/>
        <v>0</v>
      </c>
      <c r="X2730" s="508" t="str">
        <f t="shared" si="2113"/>
        <v>Carmine-Red bloom</v>
      </c>
      <c r="Y2730" s="509" t="b">
        <f t="shared" si="2114"/>
        <v>0</v>
      </c>
      <c r="Z2730" s="510">
        <f t="shared" si="2115"/>
        <v>0</v>
      </c>
      <c r="AA2730" s="511"/>
      <c r="AB2730" s="511" t="str">
        <f t="shared" si="2116"/>
        <v/>
      </c>
      <c r="AC2730" s="698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698"/>
      <c r="AE2730" s="631" t="str">
        <f t="shared" si="2117"/>
        <v/>
      </c>
      <c r="AF2730" s="699" t="str">
        <f t="shared" si="2118"/>
        <v/>
      </c>
      <c r="AG2730" s="699"/>
      <c r="AH2730" s="699"/>
      <c r="AI2730" s="512">
        <f>IF(H2730="credit",0,IF(AE2730="free",0,IF(AE2730="me",0,IF(G2730&gt;0,(VLOOKUP(A2730,'Discount Lookup'!J:K,2)*G2730),0))))</f>
        <v>0</v>
      </c>
      <c r="AJ2730" s="513" t="str">
        <f t="shared" ca="1" si="2119"/>
        <v/>
      </c>
      <c r="AK2730" s="700" t="str">
        <f t="shared" si="2120"/>
        <v/>
      </c>
      <c r="AL2730" s="700"/>
      <c r="AM2730" s="505" t="str">
        <f t="shared" si="2121"/>
        <v/>
      </c>
      <c r="AN2730" s="506"/>
      <c r="AO2730" s="507"/>
      <c r="AP2730" s="507"/>
      <c r="AQ2730" s="507"/>
      <c r="AR2730" s="507"/>
      <c r="AS2730" s="507"/>
      <c r="AT2730" s="507"/>
      <c r="AU2730" s="507"/>
      <c r="AV2730" s="225"/>
      <c r="AW2730" s="508"/>
      <c r="AX2730" s="225"/>
      <c r="AY2730" s="225"/>
      <c r="AZ2730" s="225"/>
      <c r="BA2730" s="225"/>
      <c r="BB2730" s="225"/>
      <c r="BC2730" s="56"/>
      <c r="BD2730" s="56"/>
      <c r="BE2730" s="56"/>
      <c r="BF2730" s="107" t="str">
        <f t="shared" si="2122"/>
        <v>https://www.google.com/search?tbm=isch&amp;q=Paladin%20Peony%20Paeonia%20lactiflora%20%27Paladin%27</v>
      </c>
      <c r="BG2730" s="107" t="str">
        <f t="shared" si="2123"/>
        <v>P</v>
      </c>
      <c r="BH2730" s="254"/>
      <c r="BI2730" s="254"/>
    </row>
    <row r="2731" spans="1:61" customFormat="1" ht="15.75" x14ac:dyDescent="0.25">
      <c r="A2731" s="276">
        <v>3</v>
      </c>
      <c r="B2731" s="240" t="s">
        <v>291</v>
      </c>
      <c r="C2731" s="241"/>
      <c r="D2731" s="242" t="s">
        <v>300</v>
      </c>
      <c r="E2731" s="243">
        <v>65.95</v>
      </c>
      <c r="F2731" s="517" t="s">
        <v>293</v>
      </c>
      <c r="G2731" s="232">
        <v>0</v>
      </c>
      <c r="H2731" s="661" t="str">
        <f>IF(G2731=0,"",IF(F2731="Buy",IF(G2731=1,"plant","plants"),IF(F2731&gt;0.01,"warranty","Error")))</f>
        <v/>
      </c>
      <c r="I2731" s="244">
        <f>IF(H2731="free",0,IF(H2731="credit",((E2731*(F2731))*G2731*-1),IF(F2731="Buy",(E2731*G2731),((E2731*(1-F2731))*G2731))))</f>
        <v>0</v>
      </c>
      <c r="J2731" s="244">
        <f>IF(H2731="warranty",0,(I2731*(_xlfn.SINGLE(SalesTaxPercentage))))</f>
        <v>0</v>
      </c>
      <c r="K2731" s="696">
        <f t="shared" ref="K2731" si="2133">I2731+J2731</f>
        <v>0</v>
      </c>
      <c r="L2731" s="696"/>
      <c r="M2731" s="659" t="str">
        <f>IF(AND(G2731&gt;0,E2731=0),"WARNING - no PRICE inserted",IF(H2731="free"," FREE ~ no charge this plant",IF(H2731="credit",CONCATENATE(" -$",ROUND(K2731*(1-T2GDiscount)*-1,2)," CREDIT after discount"),IF(T2GDiscount=0,"",IF(G2731=0,"",IF(F2731="Buy",CONCATENATE(" $",ROUND(K2731*(1-T2GDiscount),2)," with ",(T2GDiscount*100),"% discount"),CONCATENATE(" $",ROUND(K2731*(1-T2GDiscount),2)," with ",((T2GDiscount*100+F2731*100)-(T2GDiscount*100*F2731)),IF(F2731&gt;0,"% discounts",IF(NoWarrantyDiscount&gt;0,"% discounts","% discount")))))))))</f>
        <v/>
      </c>
      <c r="N2731" s="660"/>
      <c r="O2731" s="233"/>
      <c r="P2731" s="233"/>
      <c r="Q2731" s="233"/>
      <c r="R2731" s="233"/>
      <c r="S2731" s="233"/>
      <c r="T2731" s="508">
        <f t="shared" si="2111"/>
        <v>0</v>
      </c>
      <c r="U2731" s="225">
        <f>IF(NOT(ISNUMBER(G2731)), "", VLOOKUP(A2731,'Discount Lookup'!D:E,2,FALSE)*G2731)</f>
        <v>0</v>
      </c>
      <c r="V2731" s="225">
        <f>IF(NOT(ISNUMBER(G2731)), "", VLOOKUP(A2731,'Discount Lookup'!G:H,2,FALSE)*G2731)</f>
        <v>0</v>
      </c>
      <c r="W2731" s="508">
        <f t="shared" si="2112"/>
        <v>0</v>
      </c>
      <c r="X2731" s="508">
        <f t="shared" si="2113"/>
        <v>0</v>
      </c>
      <c r="Y2731" s="509" t="b">
        <f t="shared" si="2114"/>
        <v>0</v>
      </c>
      <c r="Z2731" s="510">
        <f t="shared" si="2115"/>
        <v>0</v>
      </c>
      <c r="AA2731" s="511"/>
      <c r="AB2731" s="511" t="str">
        <f t="shared" si="2116"/>
        <v/>
      </c>
      <c r="AC2731" s="698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698"/>
      <c r="AE2731" s="631" t="str">
        <f t="shared" si="2117"/>
        <v/>
      </c>
      <c r="AF2731" s="699" t="str">
        <f t="shared" si="2118"/>
        <v/>
      </c>
      <c r="AG2731" s="699"/>
      <c r="AH2731" s="699"/>
      <c r="AI2731" s="512">
        <f>IF(H2731="credit",0,IF(AE2731="free",0,IF(AE2731="me",0,IF(G2731&gt;0,(VLOOKUP(A2731,'Discount Lookup'!J:K,2)*G2731),0))))</f>
        <v>0</v>
      </c>
      <c r="AJ2731" s="513" t="str">
        <f t="shared" ca="1" si="2119"/>
        <v/>
      </c>
      <c r="AK2731" s="700" t="str">
        <f t="shared" si="2120"/>
        <v/>
      </c>
      <c r="AL2731" s="700"/>
      <c r="AM2731" s="505" t="str">
        <f t="shared" si="2121"/>
        <v/>
      </c>
      <c r="AN2731" s="506"/>
      <c r="AO2731" s="507"/>
      <c r="AP2731" s="507"/>
      <c r="AQ2731" s="507"/>
      <c r="AR2731" s="507"/>
      <c r="AS2731" s="507"/>
      <c r="AT2731" s="507"/>
      <c r="AU2731" s="507"/>
      <c r="AV2731" s="225"/>
      <c r="AW2731" s="508"/>
      <c r="AX2731" s="225"/>
      <c r="AY2731" s="225"/>
      <c r="AZ2731" s="225"/>
      <c r="BA2731" s="225"/>
      <c r="BB2731" s="225"/>
      <c r="BC2731" s="56"/>
      <c r="BD2731" s="56"/>
      <c r="BE2731" s="56"/>
      <c r="BF2731" s="107" t="str">
        <f t="shared" si="2122"/>
        <v>https://www.google.com/search?tbm=isch&amp;q=3%20G6</v>
      </c>
      <c r="BG2731" s="107" t="str">
        <f t="shared" si="2123"/>
        <v>P</v>
      </c>
      <c r="BH2731" s="254"/>
      <c r="BI2731" s="254"/>
    </row>
    <row r="2732" spans="1:61" customFormat="1" ht="17.25" thickBot="1" x14ac:dyDescent="0.3">
      <c r="A2732" s="524" t="s">
        <v>4230</v>
      </c>
      <c r="B2732" s="245"/>
      <c r="C2732" s="677"/>
      <c r="D2732" s="499"/>
      <c r="E2732" s="499"/>
      <c r="F2732" s="500"/>
      <c r="G2732" s="501"/>
      <c r="H2732" s="502"/>
      <c r="I2732" s="246"/>
      <c r="J2732" s="247"/>
      <c r="K2732" s="503"/>
      <c r="L2732" s="544"/>
      <c r="M2732" s="544"/>
      <c r="N2732" s="500"/>
      <c r="O2732" s="500"/>
      <c r="P2732" s="500"/>
      <c r="Q2732" s="500"/>
      <c r="R2732" s="500"/>
      <c r="S2732" s="669" t="s">
        <v>4992</v>
      </c>
      <c r="T2732" s="508">
        <f t="shared" si="2111"/>
        <v>0</v>
      </c>
      <c r="U2732" s="225" t="str">
        <f>IF(NOT(ISNUMBER(G2732)), "", VLOOKUP(A2732,'Discount Lookup'!D:E,2,FALSE)*G2732)</f>
        <v/>
      </c>
      <c r="V2732" s="225" t="str">
        <f>IF(NOT(ISNUMBER(G2732)), "", VLOOKUP(A2732,'Discount Lookup'!G:H,2,FALSE)*G2732)</f>
        <v/>
      </c>
      <c r="W2732" s="508">
        <f t="shared" si="2112"/>
        <v>0</v>
      </c>
      <c r="X2732" s="508">
        <f t="shared" si="2113"/>
        <v>0</v>
      </c>
      <c r="Y2732" s="509" t="b">
        <f t="shared" si="2114"/>
        <v>0</v>
      </c>
      <c r="Z2732" s="510">
        <f t="shared" si="2115"/>
        <v>0</v>
      </c>
      <c r="AA2732" s="511"/>
      <c r="AB2732" s="511" t="str">
        <f t="shared" si="2116"/>
        <v/>
      </c>
      <c r="AC2732" s="698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698"/>
      <c r="AE2732" s="631" t="str">
        <f t="shared" si="2117"/>
        <v/>
      </c>
      <c r="AF2732" s="699" t="str">
        <f t="shared" si="2118"/>
        <v/>
      </c>
      <c r="AG2732" s="699"/>
      <c r="AH2732" s="699"/>
      <c r="AI2732" s="512">
        <f>IF(H2732="credit",0,IF(AE2732="free",0,IF(AE2732="me",0,IF(G2732&gt;0,(VLOOKUP(A2732,'Discount Lookup'!J:K,2)*G2732),0))))</f>
        <v>0</v>
      </c>
      <c r="AJ2732" s="513" t="str">
        <f t="shared" ca="1" si="2119"/>
        <v/>
      </c>
      <c r="AK2732" s="700" t="str">
        <f t="shared" si="2120"/>
        <v/>
      </c>
      <c r="AL2732" s="700"/>
      <c r="AM2732" s="505" t="str">
        <f t="shared" si="2121"/>
        <v/>
      </c>
      <c r="AN2732" s="506"/>
      <c r="AO2732" s="507"/>
      <c r="AP2732" s="507"/>
      <c r="AQ2732" s="507"/>
      <c r="AR2732" s="507"/>
      <c r="AS2732" s="507"/>
      <c r="AT2732" s="507"/>
      <c r="AU2732" s="507"/>
      <c r="AV2732" s="225"/>
      <c r="AW2732" s="508"/>
      <c r="AX2732" s="225"/>
      <c r="AY2732" s="225"/>
      <c r="AZ2732" s="225"/>
      <c r="BA2732" s="225"/>
      <c r="BB2732" s="225"/>
      <c r="BC2732" s="56"/>
      <c r="BD2732" s="56"/>
      <c r="BE2732" s="56"/>
      <c r="BF2732" s="107" t="str">
        <f t="shared" si="2122"/>
        <v>https://www.google.com/search?tbm=isch&amp;q=Paladin%20has%20large%2C%20fragrant%2C%20and%20stunning%20double%20blooms%20that%20stand%20out%20brilliantly%20in%20the%20late%20spring%20garden%20</v>
      </c>
      <c r="BG2732" s="107" t="str">
        <f t="shared" si="2123"/>
        <v>P</v>
      </c>
      <c r="BH2732" s="254"/>
      <c r="BI2732" s="254"/>
    </row>
    <row r="2733" spans="1:61" customFormat="1" ht="18" x14ac:dyDescent="0.25">
      <c r="A2733" s="523" t="s">
        <v>5613</v>
      </c>
      <c r="B2733" s="235"/>
      <c r="C2733" s="676"/>
      <c r="D2733" s="255" t="s">
        <v>1472</v>
      </c>
      <c r="E2733" s="236"/>
      <c r="F2733" s="236"/>
      <c r="G2733" s="236"/>
      <c r="H2733" s="582" t="s">
        <v>4246</v>
      </c>
      <c r="I2733" s="498" t="s">
        <v>4250</v>
      </c>
      <c r="J2733" s="237"/>
      <c r="K2733" s="237"/>
      <c r="L2733" s="274"/>
      <c r="M2733" s="668" t="s">
        <v>4962</v>
      </c>
      <c r="N2733" s="681" t="str">
        <f>IF(AND(ISTEXT($A2733), ISERROR($A2733+0)), HYPERLINK($BF2733, "Images"), "")</f>
        <v>Images</v>
      </c>
      <c r="O2733" s="663" t="s">
        <v>4967</v>
      </c>
      <c r="P2733" s="253"/>
      <c r="Q2733" s="238"/>
      <c r="R2733" s="239"/>
      <c r="S2733" s="275" t="s">
        <v>305</v>
      </c>
      <c r="T2733" s="508">
        <f t="shared" si="2111"/>
        <v>0</v>
      </c>
      <c r="U2733" s="225" t="str">
        <f>IF(NOT(ISNUMBER(G2733)), "", VLOOKUP(A2733,'Discount Lookup'!D:E,2,FALSE)*G2733)</f>
        <v/>
      </c>
      <c r="V2733" s="225" t="str">
        <f>IF(NOT(ISNUMBER(G2733)), "", VLOOKUP(A2733,'Discount Lookup'!G:H,2,FALSE)*G2733)</f>
        <v/>
      </c>
      <c r="W2733" s="508">
        <f t="shared" si="2112"/>
        <v>0</v>
      </c>
      <c r="X2733" s="508" t="str">
        <f t="shared" si="2113"/>
        <v>Fire-engine Red bloom</v>
      </c>
      <c r="Y2733" s="509" t="b">
        <f t="shared" si="2114"/>
        <v>0</v>
      </c>
      <c r="Z2733" s="510">
        <f t="shared" si="2115"/>
        <v>0</v>
      </c>
      <c r="AA2733" s="511"/>
      <c r="AB2733" s="511" t="str">
        <f t="shared" si="2116"/>
        <v/>
      </c>
      <c r="AC2733" s="698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698"/>
      <c r="AE2733" s="631" t="str">
        <f t="shared" si="2117"/>
        <v/>
      </c>
      <c r="AF2733" s="699" t="str">
        <f t="shared" si="2118"/>
        <v/>
      </c>
      <c r="AG2733" s="699"/>
      <c r="AH2733" s="699"/>
      <c r="AI2733" s="512">
        <f>IF(H2733="credit",0,IF(AE2733="free",0,IF(AE2733="me",0,IF(G2733&gt;0,(VLOOKUP(A2733,'Discount Lookup'!J:K,2)*G2733),0))))</f>
        <v>0</v>
      </c>
      <c r="AJ2733" s="513" t="str">
        <f t="shared" ca="1" si="2119"/>
        <v/>
      </c>
      <c r="AK2733" s="700" t="str">
        <f t="shared" si="2120"/>
        <v/>
      </c>
      <c r="AL2733" s="700"/>
      <c r="AM2733" s="505" t="str">
        <f t="shared" si="2121"/>
        <v/>
      </c>
      <c r="AN2733" s="506"/>
      <c r="AO2733" s="507"/>
      <c r="AP2733" s="507"/>
      <c r="AQ2733" s="507"/>
      <c r="AR2733" s="507"/>
      <c r="AS2733" s="507"/>
      <c r="AT2733" s="507"/>
      <c r="AU2733" s="507"/>
      <c r="AV2733" s="225"/>
      <c r="AW2733" s="508"/>
      <c r="AX2733" s="225"/>
      <c r="AY2733" s="225"/>
      <c r="AZ2733" s="225"/>
      <c r="BA2733" s="225"/>
      <c r="BB2733" s="225"/>
      <c r="BC2733" s="56"/>
      <c r="BD2733" s="56"/>
      <c r="BE2733" s="56"/>
      <c r="BF2733" s="107" t="str">
        <f t="shared" si="2122"/>
        <v>https://www.google.com/search?tbm=isch&amp;q=Panama%20Red%E2%84%A2%20Coneflower%20%28BE%C2%AE%29%20Echinacea%20%27Panama%20Red%27%20PP%2333620</v>
      </c>
      <c r="BG2733" s="107" t="str">
        <f t="shared" si="2123"/>
        <v>P</v>
      </c>
      <c r="BH2733" s="254"/>
      <c r="BI2733" s="254"/>
    </row>
    <row r="2734" spans="1:61" customFormat="1" ht="15.75" x14ac:dyDescent="0.25">
      <c r="A2734" s="276">
        <v>1</v>
      </c>
      <c r="B2734" s="240" t="s">
        <v>291</v>
      </c>
      <c r="C2734" s="241"/>
      <c r="D2734" s="242" t="s">
        <v>312</v>
      </c>
      <c r="E2734" s="243">
        <v>13.95</v>
      </c>
      <c r="F2734" s="517" t="s">
        <v>293</v>
      </c>
      <c r="G2734" s="232">
        <v>0</v>
      </c>
      <c r="H2734" s="661" t="str">
        <f>IF(G2734=0,"",IF(F2734="Buy",IF(G2734=1,"plant","plants"),IF(F2734&gt;0.01,"warranty","Error")))</f>
        <v/>
      </c>
      <c r="I2734" s="244">
        <f>IF(H2734="free",0,IF(H2734="credit",((E2734*(F2734))*G2734*-1),IF(F2734="Buy",(E2734*G2734),((E2734*(1-F2734))*G2734))))</f>
        <v>0</v>
      </c>
      <c r="J2734" s="244">
        <f>IF(H2734="warranty",0,(I2734*(_xlfn.SINGLE(SalesTaxPercentage))))</f>
        <v>0</v>
      </c>
      <c r="K2734" s="696">
        <f t="shared" ref="K2734" si="2134">I2734+J2734</f>
        <v>0</v>
      </c>
      <c r="L2734" s="696"/>
      <c r="M2734" s="659" t="str">
        <f>IF(AND(G2734&gt;0,E2734=0),"WARNING - no PRICE inserted",IF(H2734="free"," FREE ~ no charge this plant",IF(H2734="credit",CONCATENATE(" -$",ROUND(K2734*(1-T2GDiscount)*-1,2)," CREDIT after discount"),IF(T2GDiscount=0,"",IF(G2734=0,"",IF(F2734="Buy",CONCATENATE(" $",ROUND(K2734*(1-T2GDiscount),2)," with ",(T2GDiscount*100),"% discount"),CONCATENATE(" $",ROUND(K2734*(1-T2GDiscount),2)," with ",((T2GDiscount*100+F2734*100)-(T2GDiscount*100*F2734)),IF(F2734&gt;0,"% discounts",IF(NoWarrantyDiscount&gt;0,"% discounts","% discount")))))))))</f>
        <v/>
      </c>
      <c r="N2734" s="660"/>
      <c r="O2734" s="233"/>
      <c r="P2734" s="233"/>
      <c r="Q2734" s="233"/>
      <c r="R2734" s="233"/>
      <c r="S2734" s="233"/>
      <c r="T2734" s="508">
        <f t="shared" si="2111"/>
        <v>0</v>
      </c>
      <c r="U2734" s="225">
        <f>IF(NOT(ISNUMBER(G2734)), "", VLOOKUP(A2734,'Discount Lookup'!D:E,2,FALSE)*G2734)</f>
        <v>0</v>
      </c>
      <c r="V2734" s="225">
        <f>IF(NOT(ISNUMBER(G2734)), "", VLOOKUP(A2734,'Discount Lookup'!G:H,2,FALSE)*G2734)</f>
        <v>0</v>
      </c>
      <c r="W2734" s="508">
        <f t="shared" si="2112"/>
        <v>0</v>
      </c>
      <c r="X2734" s="508">
        <f t="shared" si="2113"/>
        <v>0</v>
      </c>
      <c r="Y2734" s="509" t="b">
        <f t="shared" si="2114"/>
        <v>0</v>
      </c>
      <c r="Z2734" s="510">
        <f t="shared" si="2115"/>
        <v>0</v>
      </c>
      <c r="AA2734" s="511"/>
      <c r="AB2734" s="511" t="str">
        <f t="shared" si="2116"/>
        <v/>
      </c>
      <c r="AC2734" s="698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698"/>
      <c r="AE2734" s="631" t="str">
        <f t="shared" si="2117"/>
        <v/>
      </c>
      <c r="AF2734" s="699" t="str">
        <f t="shared" si="2118"/>
        <v/>
      </c>
      <c r="AG2734" s="699"/>
      <c r="AH2734" s="699"/>
      <c r="AI2734" s="512">
        <f>IF(H2734="credit",0,IF(AE2734="free",0,IF(AE2734="me",0,IF(G2734&gt;0,(VLOOKUP(A2734,'Discount Lookup'!J:K,2)*G2734),0))))</f>
        <v>0</v>
      </c>
      <c r="AJ2734" s="513" t="str">
        <f t="shared" ca="1" si="2119"/>
        <v/>
      </c>
      <c r="AK2734" s="700" t="str">
        <f t="shared" si="2120"/>
        <v/>
      </c>
      <c r="AL2734" s="700"/>
      <c r="AM2734" s="505" t="str">
        <f t="shared" si="2121"/>
        <v/>
      </c>
      <c r="AN2734" s="506"/>
      <c r="AO2734" s="507"/>
      <c r="AP2734" s="507"/>
      <c r="AQ2734" s="507"/>
      <c r="AR2734" s="507"/>
      <c r="AS2734" s="507"/>
      <c r="AT2734" s="507"/>
      <c r="AU2734" s="507"/>
      <c r="AV2734" s="225"/>
      <c r="AW2734" s="508"/>
      <c r="AX2734" s="225"/>
      <c r="AY2734" s="225"/>
      <c r="AZ2734" s="225"/>
      <c r="BA2734" s="225"/>
      <c r="BB2734" s="225"/>
      <c r="BC2734" s="56"/>
      <c r="BD2734" s="56"/>
      <c r="BE2734" s="56"/>
      <c r="BF2734" s="107" t="str">
        <f t="shared" si="2122"/>
        <v>https://www.google.com/search?tbm=isch&amp;q=1%20G2</v>
      </c>
      <c r="BG2734" s="107" t="str">
        <f t="shared" si="2123"/>
        <v>P</v>
      </c>
      <c r="BH2734" s="254"/>
      <c r="BI2734" s="254"/>
    </row>
    <row r="2735" spans="1:61" customFormat="1" ht="17.25" thickBot="1" x14ac:dyDescent="0.3">
      <c r="A2735" s="524" t="s">
        <v>4251</v>
      </c>
      <c r="B2735" s="245"/>
      <c r="C2735" s="677"/>
      <c r="D2735" s="499"/>
      <c r="E2735" s="499"/>
      <c r="F2735" s="500"/>
      <c r="G2735" s="501"/>
      <c r="H2735" s="502"/>
      <c r="I2735" s="246"/>
      <c r="J2735" s="247"/>
      <c r="K2735" s="503"/>
      <c r="L2735" s="544"/>
      <c r="M2735" s="544"/>
      <c r="N2735" s="500"/>
      <c r="O2735" s="500"/>
      <c r="P2735" s="500"/>
      <c r="Q2735" s="500"/>
      <c r="R2735" s="500"/>
      <c r="S2735" s="669" t="s">
        <v>4979</v>
      </c>
      <c r="T2735" s="508">
        <f t="shared" si="2111"/>
        <v>0</v>
      </c>
      <c r="U2735" s="225" t="str">
        <f>IF(NOT(ISNUMBER(G2735)), "", VLOOKUP(A2735,'Discount Lookup'!D:E,2,FALSE)*G2735)</f>
        <v/>
      </c>
      <c r="V2735" s="225" t="str">
        <f>IF(NOT(ISNUMBER(G2735)), "", VLOOKUP(A2735,'Discount Lookup'!G:H,2,FALSE)*G2735)</f>
        <v/>
      </c>
      <c r="W2735" s="508">
        <f t="shared" si="2112"/>
        <v>0</v>
      </c>
      <c r="X2735" s="508">
        <f t="shared" si="2113"/>
        <v>0</v>
      </c>
      <c r="Y2735" s="509" t="b">
        <f t="shared" si="2114"/>
        <v>0</v>
      </c>
      <c r="Z2735" s="510">
        <f t="shared" si="2115"/>
        <v>0</v>
      </c>
      <c r="AA2735" s="511"/>
      <c r="AB2735" s="511" t="str">
        <f t="shared" si="2116"/>
        <v/>
      </c>
      <c r="AC2735" s="698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698"/>
      <c r="AE2735" s="631" t="str">
        <f t="shared" si="2117"/>
        <v/>
      </c>
      <c r="AF2735" s="699" t="str">
        <f t="shared" si="2118"/>
        <v/>
      </c>
      <c r="AG2735" s="699"/>
      <c r="AH2735" s="699"/>
      <c r="AI2735" s="512">
        <f>IF(H2735="credit",0,IF(AE2735="free",0,IF(AE2735="me",0,IF(G2735&gt;0,(VLOOKUP(A2735,'Discount Lookup'!J:K,2)*G2735),0))))</f>
        <v>0</v>
      </c>
      <c r="AJ2735" s="513" t="str">
        <f t="shared" ca="1" si="2119"/>
        <v/>
      </c>
      <c r="AK2735" s="700" t="str">
        <f t="shared" si="2120"/>
        <v/>
      </c>
      <c r="AL2735" s="700"/>
      <c r="AM2735" s="505" t="str">
        <f t="shared" si="2121"/>
        <v/>
      </c>
      <c r="AN2735" s="506"/>
      <c r="AO2735" s="507"/>
      <c r="AP2735" s="507"/>
      <c r="AQ2735" s="507"/>
      <c r="AR2735" s="507"/>
      <c r="AS2735" s="507"/>
      <c r="AT2735" s="507"/>
      <c r="AU2735" s="507"/>
      <c r="AV2735" s="225"/>
      <c r="AW2735" s="508"/>
      <c r="AX2735" s="225"/>
      <c r="AY2735" s="225"/>
      <c r="AZ2735" s="225"/>
      <c r="BA2735" s="225"/>
      <c r="BB2735" s="225"/>
      <c r="BC2735" s="56"/>
      <c r="BD2735" s="56"/>
      <c r="BE2735" s="56"/>
      <c r="BF2735" s="107" t="str">
        <f t="shared" si="2122"/>
        <v>https://www.google.com/search?tbm=isch&amp;q=Panama%20Red%20has%20Vivid%20Red%20blooms%20with%20dark%20centers%2C%20%20continuously%20from%20summer%20until%20fall%20</v>
      </c>
      <c r="BG2735" s="107" t="str">
        <f t="shared" si="2123"/>
        <v>P</v>
      </c>
      <c r="BH2735" s="254"/>
      <c r="BI2735" s="254"/>
    </row>
    <row r="2736" spans="1:61" customFormat="1" ht="18" x14ac:dyDescent="0.25">
      <c r="A2736" s="521" t="s">
        <v>5482</v>
      </c>
      <c r="B2736" s="477"/>
      <c r="C2736" s="674"/>
      <c r="D2736" s="478" t="s">
        <v>1473</v>
      </c>
      <c r="E2736" s="479"/>
      <c r="F2736" s="479"/>
      <c r="G2736" s="479"/>
      <c r="H2736" s="582" t="s">
        <v>4252</v>
      </c>
      <c r="I2736" s="480" t="s">
        <v>2909</v>
      </c>
      <c r="J2736" s="479"/>
      <c r="K2736" s="479"/>
      <c r="L2736" s="560"/>
      <c r="M2736" s="666" t="s">
        <v>4966</v>
      </c>
      <c r="N2736" s="680" t="str">
        <f>IF(AND(ISTEXT($A2736), ISERROR($A2736+0)), HYPERLINK($BF2736, "Images"), "")</f>
        <v>Images</v>
      </c>
      <c r="O2736" s="662" t="s">
        <v>4974</v>
      </c>
      <c r="P2736" s="482"/>
      <c r="Q2736" s="483"/>
      <c r="R2736" s="483"/>
      <c r="S2736" s="484" t="s">
        <v>305</v>
      </c>
      <c r="T2736" s="508">
        <f t="shared" si="2111"/>
        <v>0</v>
      </c>
      <c r="U2736" s="225" t="str">
        <f>IF(NOT(ISNUMBER(G2736)), "", VLOOKUP(A2736,'Discount Lookup'!D:E,2,FALSE)*G2736)</f>
        <v/>
      </c>
      <c r="V2736" s="225" t="str">
        <f>IF(NOT(ISNUMBER(G2736)), "", VLOOKUP(A2736,'Discount Lookup'!G:H,2,FALSE)*G2736)</f>
        <v/>
      </c>
      <c r="W2736" s="508">
        <f t="shared" si="2112"/>
        <v>0</v>
      </c>
      <c r="X2736" s="508" t="str">
        <f t="shared" si="2113"/>
        <v>Sage-Green foliage</v>
      </c>
      <c r="Y2736" s="509" t="b">
        <f t="shared" si="2114"/>
        <v>0</v>
      </c>
      <c r="Z2736" s="510">
        <f t="shared" si="2115"/>
        <v>0</v>
      </c>
      <c r="AA2736" s="511"/>
      <c r="AB2736" s="511" t="str">
        <f t="shared" si="2116"/>
        <v/>
      </c>
      <c r="AC2736" s="698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698"/>
      <c r="AE2736" s="631" t="str">
        <f t="shared" si="2117"/>
        <v/>
      </c>
      <c r="AF2736" s="699" t="str">
        <f t="shared" si="2118"/>
        <v/>
      </c>
      <c r="AG2736" s="699"/>
      <c r="AH2736" s="699"/>
      <c r="AI2736" s="512">
        <f>IF(H2736="credit",0,IF(AE2736="free",0,IF(AE2736="me",0,IF(G2736&gt;0,(VLOOKUP(A2736,'Discount Lookup'!J:K,2)*G2736),0))))</f>
        <v>0</v>
      </c>
      <c r="AJ2736" s="513" t="str">
        <f t="shared" ca="1" si="2119"/>
        <v/>
      </c>
      <c r="AK2736" s="700" t="str">
        <f t="shared" si="2120"/>
        <v/>
      </c>
      <c r="AL2736" s="700"/>
      <c r="AM2736" s="505" t="str">
        <f t="shared" si="2121"/>
        <v/>
      </c>
      <c r="AN2736" s="506"/>
      <c r="AO2736" s="507"/>
      <c r="AP2736" s="507"/>
      <c r="AQ2736" s="507"/>
      <c r="AR2736" s="507"/>
      <c r="AS2736" s="507"/>
      <c r="AT2736" s="507"/>
      <c r="AU2736" s="507"/>
      <c r="AV2736" s="225"/>
      <c r="AW2736" s="508"/>
      <c r="AX2736" s="225"/>
      <c r="AY2736" s="225"/>
      <c r="AZ2736" s="225"/>
      <c r="BA2736" s="225"/>
      <c r="BB2736" s="225"/>
      <c r="BC2736" s="56"/>
      <c r="BD2736" s="56"/>
      <c r="BE2736" s="56"/>
      <c r="BF2736" s="107" t="str">
        <f t="shared" si="2122"/>
        <v>https://www.google.com/search?tbm=isch&amp;q=Pancake%E2%84%A2%20Arborvitae%20Thuja%20occidentalis%20%27Concesarini%27%20PP%2324013</v>
      </c>
      <c r="BG2736" s="107" t="str">
        <f t="shared" si="2123"/>
        <v>P</v>
      </c>
      <c r="BH2736" s="254"/>
      <c r="BI2736" s="254"/>
    </row>
    <row r="2737" spans="1:61" customFormat="1" ht="15.75" x14ac:dyDescent="0.25">
      <c r="A2737" s="485">
        <v>3</v>
      </c>
      <c r="B2737" s="486" t="s">
        <v>291</v>
      </c>
      <c r="C2737" s="487"/>
      <c r="D2737" s="488" t="s">
        <v>299</v>
      </c>
      <c r="E2737" s="489">
        <v>36.950000000000003</v>
      </c>
      <c r="F2737" s="516" t="s">
        <v>293</v>
      </c>
      <c r="G2737" s="232">
        <v>0</v>
      </c>
      <c r="H2737" s="658" t="str">
        <f>IF(G2737=0,"",IF(F2737="Buy",IF(G2737=1,"plant","plants"),IF(F2737&gt;0.01,"warranty","Error")))</f>
        <v/>
      </c>
      <c r="I2737" s="490">
        <f>IF(H2737="free",0,IF(H2737="credit",((E2737*(F2737))*G2737*-1),IF(F2737="Buy",(E2737*G2737),((E2737*(1-F2737))*G2737))))</f>
        <v>0</v>
      </c>
      <c r="J2737" s="490">
        <f>IF(H2737="warranty",0,(I2737*(_xlfn.SINGLE(SalesTaxPercentage))))</f>
        <v>0</v>
      </c>
      <c r="K2737" s="695">
        <f t="shared" ref="K2737" si="2135">I2737+J2737</f>
        <v>0</v>
      </c>
      <c r="L2737" s="695"/>
      <c r="M2737" s="659" t="str">
        <f>IF(AND(G2737&gt;0,E2737=0),"WARNING - no PRICE inserted",IF(H2737="free"," FREE ~ no charge this plant",IF(H2737="credit",CONCATENATE(" -$",ROUND(K2737*(1-T2GDiscount)*-1,2)," CREDIT after discount"),IF(T2GDiscount=0,"",IF(G2737=0,"",IF(F2737="Buy",CONCATENATE(" $",ROUND(K2737*(1-T2GDiscount),2)," with ",(T2GDiscount*100),"% discount"),CONCATENATE(" $",ROUND(K2737*(1-T2GDiscount),2)," with ",((T2GDiscount*100+F2737*100)-(T2GDiscount*100*F2737)),IF(F2737&gt;0,"% discounts",IF(NoWarrantyDiscount&gt;0,"% discounts","% discount")))))))))</f>
        <v/>
      </c>
      <c r="N2737" s="660"/>
      <c r="O2737" s="233"/>
      <c r="P2737" s="233"/>
      <c r="Q2737" s="233"/>
      <c r="R2737" s="233"/>
      <c r="S2737" s="233"/>
      <c r="T2737" s="508">
        <f t="shared" si="2111"/>
        <v>0</v>
      </c>
      <c r="U2737" s="225">
        <f>IF(NOT(ISNUMBER(G2737)), "", VLOOKUP(A2737,'Discount Lookup'!D:E,2,FALSE)*G2737)</f>
        <v>0</v>
      </c>
      <c r="V2737" s="225">
        <f>IF(NOT(ISNUMBER(G2737)), "", VLOOKUP(A2737,'Discount Lookup'!G:H,2,FALSE)*G2737)</f>
        <v>0</v>
      </c>
      <c r="W2737" s="508">
        <f t="shared" si="2112"/>
        <v>0</v>
      </c>
      <c r="X2737" s="508">
        <f t="shared" si="2113"/>
        <v>0</v>
      </c>
      <c r="Y2737" s="509" t="b">
        <f t="shared" si="2114"/>
        <v>0</v>
      </c>
      <c r="Z2737" s="510">
        <f t="shared" si="2115"/>
        <v>0</v>
      </c>
      <c r="AA2737" s="511"/>
      <c r="AB2737" s="511" t="str">
        <f t="shared" si="2116"/>
        <v/>
      </c>
      <c r="AC2737" s="698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698"/>
      <c r="AE2737" s="631" t="str">
        <f t="shared" si="2117"/>
        <v/>
      </c>
      <c r="AF2737" s="699" t="str">
        <f t="shared" si="2118"/>
        <v/>
      </c>
      <c r="AG2737" s="699"/>
      <c r="AH2737" s="699"/>
      <c r="AI2737" s="512">
        <f>IF(H2737="credit",0,IF(AE2737="free",0,IF(AE2737="me",0,IF(G2737&gt;0,(VLOOKUP(A2737,'Discount Lookup'!J:K,2)*G2737),0))))</f>
        <v>0</v>
      </c>
      <c r="AJ2737" s="513" t="str">
        <f t="shared" ca="1" si="2119"/>
        <v/>
      </c>
      <c r="AK2737" s="700" t="str">
        <f t="shared" si="2120"/>
        <v/>
      </c>
      <c r="AL2737" s="700"/>
      <c r="AM2737" s="505" t="str">
        <f t="shared" si="2121"/>
        <v/>
      </c>
      <c r="AN2737" s="506"/>
      <c r="AO2737" s="507"/>
      <c r="AP2737" s="507"/>
      <c r="AQ2737" s="507"/>
      <c r="AR2737" s="507"/>
      <c r="AS2737" s="507"/>
      <c r="AT2737" s="507"/>
      <c r="AU2737" s="507"/>
      <c r="AV2737" s="225"/>
      <c r="AW2737" s="508"/>
      <c r="AX2737" s="225"/>
      <c r="AY2737" s="225"/>
      <c r="AZ2737" s="225"/>
      <c r="BA2737" s="225"/>
      <c r="BB2737" s="225"/>
      <c r="BC2737" s="56"/>
      <c r="BD2737" s="56"/>
      <c r="BE2737" s="56"/>
      <c r="BF2737" s="107" t="str">
        <f t="shared" si="2122"/>
        <v>https://www.google.com/search?tbm=isch&amp;q=3%20G5</v>
      </c>
      <c r="BG2737" s="107" t="str">
        <f t="shared" si="2123"/>
        <v>P</v>
      </c>
      <c r="BH2737" s="254"/>
      <c r="BI2737" s="254"/>
    </row>
    <row r="2738" spans="1:61" customFormat="1" ht="17.25" thickBot="1" x14ac:dyDescent="0.3">
      <c r="A2738" s="522" t="s">
        <v>2965</v>
      </c>
      <c r="B2738" s="491"/>
      <c r="C2738" s="675"/>
      <c r="D2738" s="491"/>
      <c r="E2738" s="491"/>
      <c r="F2738" s="492"/>
      <c r="G2738" s="493"/>
      <c r="H2738" s="491"/>
      <c r="I2738" s="234"/>
      <c r="J2738" s="234"/>
      <c r="K2738" s="494"/>
      <c r="L2738" s="543"/>
      <c r="M2738" s="561"/>
      <c r="N2738" s="495"/>
      <c r="O2738" s="496"/>
      <c r="P2738" s="497"/>
      <c r="Q2738" s="495"/>
      <c r="R2738" s="495"/>
      <c r="S2738" s="667" t="s">
        <v>4984</v>
      </c>
      <c r="T2738" s="508">
        <f t="shared" si="2111"/>
        <v>0</v>
      </c>
      <c r="U2738" s="225" t="str">
        <f>IF(NOT(ISNUMBER(G2738)), "", VLOOKUP(A2738,'Discount Lookup'!D:E,2,FALSE)*G2738)</f>
        <v/>
      </c>
      <c r="V2738" s="225" t="str">
        <f>IF(NOT(ISNUMBER(G2738)), "", VLOOKUP(A2738,'Discount Lookup'!G:H,2,FALSE)*G2738)</f>
        <v/>
      </c>
      <c r="W2738" s="508">
        <f t="shared" si="2112"/>
        <v>0</v>
      </c>
      <c r="X2738" s="508">
        <f t="shared" si="2113"/>
        <v>0</v>
      </c>
      <c r="Y2738" s="509" t="b">
        <f t="shared" si="2114"/>
        <v>0</v>
      </c>
      <c r="Z2738" s="510">
        <f t="shared" si="2115"/>
        <v>0</v>
      </c>
      <c r="AA2738" s="511"/>
      <c r="AB2738" s="511" t="str">
        <f t="shared" si="2116"/>
        <v/>
      </c>
      <c r="AC2738" s="698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698"/>
      <c r="AE2738" s="631" t="str">
        <f t="shared" si="2117"/>
        <v/>
      </c>
      <c r="AF2738" s="699" t="str">
        <f t="shared" si="2118"/>
        <v/>
      </c>
      <c r="AG2738" s="699"/>
      <c r="AH2738" s="699"/>
      <c r="AI2738" s="512">
        <f>IF(H2738="credit",0,IF(AE2738="free",0,IF(AE2738="me",0,IF(G2738&gt;0,(VLOOKUP(A2738,'Discount Lookup'!J:K,2)*G2738),0))))</f>
        <v>0</v>
      </c>
      <c r="AJ2738" s="513" t="str">
        <f t="shared" ca="1" si="2119"/>
        <v/>
      </c>
      <c r="AK2738" s="700" t="str">
        <f t="shared" si="2120"/>
        <v/>
      </c>
      <c r="AL2738" s="700"/>
      <c r="AM2738" s="505" t="str">
        <f t="shared" si="2121"/>
        <v/>
      </c>
      <c r="AN2738" s="506"/>
      <c r="AO2738" s="507"/>
      <c r="AP2738" s="507"/>
      <c r="AQ2738" s="507"/>
      <c r="AR2738" s="507"/>
      <c r="AS2738" s="507"/>
      <c r="AT2738" s="507"/>
      <c r="AU2738" s="507"/>
      <c r="AV2738" s="225"/>
      <c r="AW2738" s="508"/>
      <c r="AX2738" s="225"/>
      <c r="AY2738" s="225"/>
      <c r="AZ2738" s="225"/>
      <c r="BA2738" s="225"/>
      <c r="BB2738" s="225"/>
      <c r="BC2738" s="56"/>
      <c r="BD2738" s="56"/>
      <c r="BE2738" s="56"/>
      <c r="BF2738" s="107" t="str">
        <f t="shared" si="2122"/>
        <v>https://www.google.com/search?tbm=isch&amp;q=Pancake%20named%20for%20its%20unique%2C%20flattened%2C%20pancake-like%20habit.%20%20Foliage%20turns%20Bluish-Bronze%20in%20winter%20</v>
      </c>
      <c r="BG2738" s="107" t="str">
        <f t="shared" si="2123"/>
        <v>P</v>
      </c>
      <c r="BH2738" s="254"/>
      <c r="BI2738" s="254"/>
    </row>
    <row r="2739" spans="1:61" customFormat="1" ht="18" x14ac:dyDescent="0.25">
      <c r="A2739" s="523" t="s">
        <v>1474</v>
      </c>
      <c r="B2739" s="235"/>
      <c r="C2739" s="676"/>
      <c r="D2739" s="255" t="s">
        <v>1475</v>
      </c>
      <c r="E2739" s="236"/>
      <c r="F2739" s="236"/>
      <c r="G2739" s="236"/>
      <c r="H2739" s="582" t="s">
        <v>2227</v>
      </c>
      <c r="I2739" s="498" t="s">
        <v>2228</v>
      </c>
      <c r="J2739" s="237"/>
      <c r="K2739" s="237"/>
      <c r="L2739" s="274"/>
      <c r="M2739" s="668" t="s">
        <v>4962</v>
      </c>
      <c r="N2739" s="681" t="str">
        <f>IF(AND(ISTEXT($A2739), ISERROR($A2739+0)), HYPERLINK($BF2739, "Images"), "")</f>
        <v>Images</v>
      </c>
      <c r="O2739" s="663" t="s">
        <v>4969</v>
      </c>
      <c r="P2739" s="253"/>
      <c r="Q2739" s="238"/>
      <c r="R2739" s="239"/>
      <c r="S2739" s="275" t="s">
        <v>305</v>
      </c>
      <c r="T2739" s="508">
        <f t="shared" si="2111"/>
        <v>0</v>
      </c>
      <c r="U2739" s="225" t="str">
        <f>IF(NOT(ISNUMBER(G2739)), "", VLOOKUP(A2739,'Discount Lookup'!D:E,2,FALSE)*G2739)</f>
        <v/>
      </c>
      <c r="V2739" s="225" t="str">
        <f>IF(NOT(ISNUMBER(G2739)), "", VLOOKUP(A2739,'Discount Lookup'!G:H,2,FALSE)*G2739)</f>
        <v/>
      </c>
      <c r="W2739" s="508">
        <f t="shared" si="2112"/>
        <v>0</v>
      </c>
      <c r="X2739" s="508" t="str">
        <f t="shared" si="2113"/>
        <v>Green needles</v>
      </c>
      <c r="Y2739" s="509" t="b">
        <f t="shared" si="2114"/>
        <v>0</v>
      </c>
      <c r="Z2739" s="510">
        <f t="shared" si="2115"/>
        <v>0</v>
      </c>
      <c r="AA2739" s="511"/>
      <c r="AB2739" s="511" t="str">
        <f t="shared" si="2116"/>
        <v/>
      </c>
      <c r="AC2739" s="698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698"/>
      <c r="AE2739" s="631" t="str">
        <f t="shared" si="2117"/>
        <v/>
      </c>
      <c r="AF2739" s="699" t="str">
        <f t="shared" si="2118"/>
        <v/>
      </c>
      <c r="AG2739" s="699"/>
      <c r="AH2739" s="699"/>
      <c r="AI2739" s="512">
        <f>IF(H2739="credit",0,IF(AE2739="free",0,IF(AE2739="me",0,IF(G2739&gt;0,(VLOOKUP(A2739,'Discount Lookup'!J:K,2)*G2739),0))))</f>
        <v>0</v>
      </c>
      <c r="AJ2739" s="513" t="str">
        <f t="shared" ca="1" si="2119"/>
        <v/>
      </c>
      <c r="AK2739" s="700" t="str">
        <f t="shared" si="2120"/>
        <v/>
      </c>
      <c r="AL2739" s="700"/>
      <c r="AM2739" s="505" t="str">
        <f t="shared" si="2121"/>
        <v/>
      </c>
      <c r="AN2739" s="506"/>
      <c r="AO2739" s="507"/>
      <c r="AP2739" s="507"/>
      <c r="AQ2739" s="507"/>
      <c r="AR2739" s="507"/>
      <c r="AS2739" s="507"/>
      <c r="AT2739" s="507"/>
      <c r="AU2739" s="507"/>
      <c r="AV2739" s="225"/>
      <c r="AW2739" s="508"/>
      <c r="AX2739" s="225"/>
      <c r="AY2739" s="225"/>
      <c r="AZ2739" s="225"/>
      <c r="BA2739" s="225"/>
      <c r="BB2739" s="225"/>
      <c r="BC2739" s="56"/>
      <c r="BD2739" s="56"/>
      <c r="BE2739" s="56"/>
      <c r="BF2739" s="107" t="str">
        <f t="shared" si="2122"/>
        <v>https://www.google.com/search?tbm=isch&amp;q=Panther%20Select%20Bald%20Cypress%20Taxodium%20distichum%20%27PCN%20Select%27</v>
      </c>
      <c r="BG2739" s="107" t="str">
        <f t="shared" si="2123"/>
        <v>P</v>
      </c>
      <c r="BH2739" s="254"/>
      <c r="BI2739" s="254"/>
    </row>
    <row r="2740" spans="1:61" customFormat="1" ht="27" x14ac:dyDescent="0.25">
      <c r="A2740" s="276">
        <v>15</v>
      </c>
      <c r="B2740" s="240" t="s">
        <v>291</v>
      </c>
      <c r="C2740" s="241" t="s">
        <v>3682</v>
      </c>
      <c r="D2740" s="242" t="s">
        <v>292</v>
      </c>
      <c r="E2740" s="243">
        <v>183.95</v>
      </c>
      <c r="F2740" s="517" t="s">
        <v>293</v>
      </c>
      <c r="G2740" s="232">
        <v>0</v>
      </c>
      <c r="H2740" s="661" t="str">
        <f>IF(G2740=0,"",IF(F2740="Buy",IF(G2740=1,"plant","plants"),IF(F2740&gt;0.01,"warranty","Error")))</f>
        <v/>
      </c>
      <c r="I2740" s="244">
        <f>IF(H2740="free",0,IF(H2740="credit",((E2740*(F2740))*G2740*-1),IF(F2740="Buy",(E2740*G2740),((E2740*(1-F2740))*G2740))))</f>
        <v>0</v>
      </c>
      <c r="J2740" s="244">
        <f>IF(H2740="warranty",0,(I2740*(_xlfn.SINGLE(SalesTaxPercentage))))</f>
        <v>0</v>
      </c>
      <c r="K2740" s="696">
        <f t="shared" ref="K2740" si="2136">I2740+J2740</f>
        <v>0</v>
      </c>
      <c r="L2740" s="696"/>
      <c r="M2740" s="659" t="str">
        <f>IF(AND(G2740&gt;0,E2740=0),"WARNING - no PRICE inserted",IF(H2740="free"," FREE ~ no charge this plant",IF(H2740="credit",CONCATENATE(" -$",ROUND(K2740*(1-T2GDiscount)*-1,2)," CREDIT after discount"),IF(T2GDiscount=0,"",IF(G2740=0,"",IF(F2740="Buy",CONCATENATE(" $",ROUND(K2740*(1-T2GDiscount),2)," with ",(T2GDiscount*100),"% discount"),CONCATENATE(" $",ROUND(K2740*(1-T2GDiscount),2)," with ",((T2GDiscount*100+F2740*100)-(T2GDiscount*100*F2740)),IF(F2740&gt;0,"% discounts",IF(NoWarrantyDiscount&gt;0,"% discounts","% discount")))))))))</f>
        <v/>
      </c>
      <c r="N2740" s="660"/>
      <c r="O2740" s="233"/>
      <c r="P2740" s="233"/>
      <c r="Q2740" s="233"/>
      <c r="R2740" s="233"/>
      <c r="S2740" s="233"/>
      <c r="T2740" s="508">
        <f t="shared" si="2111"/>
        <v>0</v>
      </c>
      <c r="U2740" s="225">
        <f>IF(NOT(ISNUMBER(G2740)), "", VLOOKUP(A2740,'Discount Lookup'!D:E,2,FALSE)*G2740)</f>
        <v>0</v>
      </c>
      <c r="V2740" s="225">
        <f>IF(NOT(ISNUMBER(G2740)), "", VLOOKUP(A2740,'Discount Lookup'!G:H,2,FALSE)*G2740)</f>
        <v>0</v>
      </c>
      <c r="W2740" s="508">
        <f t="shared" si="2112"/>
        <v>0</v>
      </c>
      <c r="X2740" s="508">
        <f t="shared" si="2113"/>
        <v>0</v>
      </c>
      <c r="Y2740" s="509" t="b">
        <f t="shared" si="2114"/>
        <v>0</v>
      </c>
      <c r="Z2740" s="510">
        <f t="shared" si="2115"/>
        <v>0</v>
      </c>
      <c r="AA2740" s="511"/>
      <c r="AB2740" s="511" t="str">
        <f t="shared" si="2116"/>
        <v/>
      </c>
      <c r="AC2740" s="698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698"/>
      <c r="AE2740" s="631" t="str">
        <f t="shared" si="2117"/>
        <v/>
      </c>
      <c r="AF2740" s="699" t="str">
        <f t="shared" si="2118"/>
        <v/>
      </c>
      <c r="AG2740" s="699"/>
      <c r="AH2740" s="699"/>
      <c r="AI2740" s="512">
        <f>IF(H2740="credit",0,IF(AE2740="free",0,IF(AE2740="me",0,IF(G2740&gt;0,(VLOOKUP(A2740,'Discount Lookup'!J:K,2)*G2740),0))))</f>
        <v>0</v>
      </c>
      <c r="AJ2740" s="513" t="str">
        <f t="shared" ca="1" si="2119"/>
        <v/>
      </c>
      <c r="AK2740" s="700" t="str">
        <f t="shared" si="2120"/>
        <v/>
      </c>
      <c r="AL2740" s="700"/>
      <c r="AM2740" s="505" t="str">
        <f t="shared" si="2121"/>
        <v/>
      </c>
      <c r="AN2740" s="506"/>
      <c r="AO2740" s="507"/>
      <c r="AP2740" s="507"/>
      <c r="AQ2740" s="507"/>
      <c r="AR2740" s="507"/>
      <c r="AS2740" s="507"/>
      <c r="AT2740" s="507"/>
      <c r="AU2740" s="507"/>
      <c r="AV2740" s="225"/>
      <c r="AW2740" s="508"/>
      <c r="AX2740" s="225"/>
      <c r="AY2740" s="225"/>
      <c r="AZ2740" s="225"/>
      <c r="BA2740" s="225"/>
      <c r="BB2740" s="225"/>
      <c r="BC2740" s="56"/>
      <c r="BD2740" s="56"/>
      <c r="BE2740" s="56"/>
      <c r="BF2740" s="107" t="str">
        <f t="shared" si="2122"/>
        <v>https://www.google.com/search?tbm=isch&amp;q=15%20G4</v>
      </c>
      <c r="BG2740" s="107" t="str">
        <f t="shared" si="2123"/>
        <v>P</v>
      </c>
      <c r="BH2740" s="254"/>
      <c r="BI2740" s="254"/>
    </row>
    <row r="2741" spans="1:61" customFormat="1" ht="17.25" thickBot="1" x14ac:dyDescent="0.3">
      <c r="A2741" s="673" t="s">
        <v>5194</v>
      </c>
      <c r="B2741" s="245"/>
      <c r="C2741" s="677"/>
      <c r="D2741" s="499"/>
      <c r="E2741" s="499"/>
      <c r="F2741" s="500"/>
      <c r="G2741" s="501"/>
      <c r="H2741" s="502"/>
      <c r="I2741" s="246"/>
      <c r="J2741" s="247"/>
      <c r="K2741" s="503"/>
      <c r="L2741" s="544"/>
      <c r="M2741" s="544"/>
      <c r="N2741" s="500"/>
      <c r="O2741" s="500"/>
      <c r="P2741" s="500"/>
      <c r="Q2741" s="500"/>
      <c r="R2741" s="500"/>
      <c r="S2741" s="669" t="s">
        <v>4978</v>
      </c>
      <c r="T2741" s="508">
        <f t="shared" si="2111"/>
        <v>0</v>
      </c>
      <c r="U2741" s="225" t="str">
        <f>IF(NOT(ISNUMBER(G2741)), "", VLOOKUP(A2741,'Discount Lookup'!D:E,2,FALSE)*G2741)</f>
        <v/>
      </c>
      <c r="V2741" s="225" t="str">
        <f>IF(NOT(ISNUMBER(G2741)), "", VLOOKUP(A2741,'Discount Lookup'!G:H,2,FALSE)*G2741)</f>
        <v/>
      </c>
      <c r="W2741" s="508">
        <f t="shared" si="2112"/>
        <v>0</v>
      </c>
      <c r="X2741" s="508">
        <f t="shared" si="2113"/>
        <v>0</v>
      </c>
      <c r="Y2741" s="509" t="b">
        <f t="shared" si="2114"/>
        <v>0</v>
      </c>
      <c r="Z2741" s="510">
        <f t="shared" si="2115"/>
        <v>0</v>
      </c>
      <c r="AA2741" s="511"/>
      <c r="AB2741" s="511" t="str">
        <f t="shared" si="2116"/>
        <v/>
      </c>
      <c r="AC2741" s="698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698"/>
      <c r="AE2741" s="631" t="str">
        <f t="shared" si="2117"/>
        <v/>
      </c>
      <c r="AF2741" s="699" t="str">
        <f t="shared" si="2118"/>
        <v/>
      </c>
      <c r="AG2741" s="699"/>
      <c r="AH2741" s="699"/>
      <c r="AI2741" s="512">
        <f>IF(H2741="credit",0,IF(AE2741="free",0,IF(AE2741="me",0,IF(G2741&gt;0,(VLOOKUP(A2741,'Discount Lookup'!J:K,2)*G2741),0))))</f>
        <v>0</v>
      </c>
      <c r="AJ2741" s="513" t="str">
        <f t="shared" ca="1" si="2119"/>
        <v/>
      </c>
      <c r="AK2741" s="700" t="str">
        <f t="shared" si="2120"/>
        <v/>
      </c>
      <c r="AL2741" s="700"/>
      <c r="AM2741" s="505" t="str">
        <f t="shared" si="2121"/>
        <v/>
      </c>
      <c r="AN2741" s="506"/>
      <c r="AO2741" s="507"/>
      <c r="AP2741" s="507"/>
      <c r="AQ2741" s="507"/>
      <c r="AR2741" s="507"/>
      <c r="AS2741" s="507"/>
      <c r="AT2741" s="507"/>
      <c r="AU2741" s="507"/>
      <c r="AV2741" s="225"/>
      <c r="AW2741" s="508"/>
      <c r="AX2741" s="225"/>
      <c r="AY2741" s="225"/>
      <c r="AZ2741" s="225"/>
      <c r="BA2741" s="225"/>
      <c r="BB2741" s="225"/>
      <c r="BC2741" s="56"/>
      <c r="BD2741" s="56"/>
      <c r="BE2741" s="56"/>
      <c r="BF2741" s="107" t="str">
        <f t="shared" si="2122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2741" s="107" t="str">
        <f t="shared" si="2123"/>
        <v>w</v>
      </c>
      <c r="BH2741" s="254"/>
      <c r="BI2741" s="254"/>
    </row>
    <row r="2742" spans="1:61" customFormat="1" ht="18" x14ac:dyDescent="0.25">
      <c r="A2742" s="523" t="s">
        <v>1476</v>
      </c>
      <c r="B2742" s="235"/>
      <c r="C2742" s="676"/>
      <c r="D2742" s="255" t="s">
        <v>1477</v>
      </c>
      <c r="E2742" s="236"/>
      <c r="F2742" s="236"/>
      <c r="G2742" s="236"/>
      <c r="H2742" s="582" t="s">
        <v>950</v>
      </c>
      <c r="I2742" s="498" t="s">
        <v>2109</v>
      </c>
      <c r="J2742" s="237"/>
      <c r="K2742" s="237"/>
      <c r="L2742" s="274"/>
      <c r="M2742" s="668" t="s">
        <v>4962</v>
      </c>
      <c r="N2742" s="681" t="str">
        <f>IF(AND(ISTEXT($A2742), ISERROR($A2742+0)), HYPERLINK($BF2742, "Images"), "")</f>
        <v>Images</v>
      </c>
      <c r="O2742" s="663" t="s">
        <v>4967</v>
      </c>
      <c r="P2742" s="253"/>
      <c r="Q2742" s="238"/>
      <c r="R2742" s="239"/>
      <c r="S2742" s="275" t="s">
        <v>305</v>
      </c>
      <c r="T2742" s="508">
        <f t="shared" si="2111"/>
        <v>0</v>
      </c>
      <c r="U2742" s="225" t="str">
        <f>IF(NOT(ISNUMBER(G2742)), "", VLOOKUP(A2742,'Discount Lookup'!D:E,2,FALSE)*G2742)</f>
        <v/>
      </c>
      <c r="V2742" s="225" t="str">
        <f>IF(NOT(ISNUMBER(G2742)), "", VLOOKUP(A2742,'Discount Lookup'!G:H,2,FALSE)*G2742)</f>
        <v/>
      </c>
      <c r="W2742" s="508">
        <f t="shared" si="2112"/>
        <v>0</v>
      </c>
      <c r="X2742" s="508" t="str">
        <f t="shared" si="2113"/>
        <v>Green foliage</v>
      </c>
      <c r="Y2742" s="509" t="b">
        <f t="shared" si="2114"/>
        <v>0</v>
      </c>
      <c r="Z2742" s="510">
        <f t="shared" si="2115"/>
        <v>0</v>
      </c>
      <c r="AA2742" s="511"/>
      <c r="AB2742" s="511" t="str">
        <f t="shared" si="2116"/>
        <v/>
      </c>
      <c r="AC2742" s="698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698"/>
      <c r="AE2742" s="631" t="str">
        <f t="shared" si="2117"/>
        <v/>
      </c>
      <c r="AF2742" s="699" t="str">
        <f t="shared" si="2118"/>
        <v/>
      </c>
      <c r="AG2742" s="699"/>
      <c r="AH2742" s="699"/>
      <c r="AI2742" s="512">
        <f>IF(H2742="credit",0,IF(AE2742="free",0,IF(AE2742="me",0,IF(G2742&gt;0,(VLOOKUP(A2742,'Discount Lookup'!J:K,2)*G2742),0))))</f>
        <v>0</v>
      </c>
      <c r="AJ2742" s="513" t="str">
        <f t="shared" ca="1" si="2119"/>
        <v/>
      </c>
      <c r="AK2742" s="700" t="str">
        <f t="shared" si="2120"/>
        <v/>
      </c>
      <c r="AL2742" s="700"/>
      <c r="AM2742" s="505" t="str">
        <f t="shared" si="2121"/>
        <v/>
      </c>
      <c r="AN2742" s="506"/>
      <c r="AO2742" s="507"/>
      <c r="AP2742" s="507"/>
      <c r="AQ2742" s="507"/>
      <c r="AR2742" s="507"/>
      <c r="AS2742" s="507"/>
      <c r="AT2742" s="507"/>
      <c r="AU2742" s="507"/>
      <c r="AV2742" s="225"/>
      <c r="AW2742" s="508"/>
      <c r="AX2742" s="225"/>
      <c r="AY2742" s="225"/>
      <c r="AZ2742" s="225"/>
      <c r="BA2742" s="225"/>
      <c r="BB2742" s="225"/>
      <c r="BC2742" s="56"/>
      <c r="BD2742" s="56"/>
      <c r="BE2742" s="56"/>
      <c r="BF2742" s="107" t="str">
        <f t="shared" si="2122"/>
        <v>https://www.google.com/search?tbm=isch&amp;q=Paperbark%20Maple%20Acer%20griseum</v>
      </c>
      <c r="BG2742" s="107" t="str">
        <f t="shared" si="2123"/>
        <v>P</v>
      </c>
      <c r="BH2742" s="254"/>
      <c r="BI2742" s="254"/>
    </row>
    <row r="2743" spans="1:61" customFormat="1" ht="15.75" x14ac:dyDescent="0.25">
      <c r="A2743" s="276">
        <v>7</v>
      </c>
      <c r="B2743" s="240" t="s">
        <v>291</v>
      </c>
      <c r="C2743" s="241" t="s">
        <v>3674</v>
      </c>
      <c r="D2743" s="242" t="s">
        <v>292</v>
      </c>
      <c r="E2743" s="243">
        <v>155.94999999999999</v>
      </c>
      <c r="F2743" s="517" t="s">
        <v>293</v>
      </c>
      <c r="G2743" s="232">
        <v>0</v>
      </c>
      <c r="H2743" s="661" t="str">
        <f t="shared" ref="H2743:H2748" si="2137">IF(G2743=0,"",IF(F2743="Buy",IF(G2743=1,"plant","plants"),IF(F2743&gt;0.01,"warranty","Error")))</f>
        <v/>
      </c>
      <c r="I2743" s="244">
        <f t="shared" ref="I2743:I2748" si="2138">IF(H2743="free",0,IF(H2743="credit",((E2743*(F2743))*G2743*-1),IF(F2743="Buy",(E2743*G2743),((E2743*(1-F2743))*G2743))))</f>
        <v>0</v>
      </c>
      <c r="J2743" s="244">
        <f t="shared" ref="J2743:J2748" si="2139">IF(H2743="warranty",0,(I2743*(_xlfn.SINGLE(SalesTaxPercentage))))</f>
        <v>0</v>
      </c>
      <c r="K2743" s="696">
        <f t="shared" ref="K2743" si="2140">I2743+J2743</f>
        <v>0</v>
      </c>
      <c r="L2743" s="696"/>
      <c r="M2743" s="659" t="str">
        <f t="shared" ref="M2743:M2748" si="2141">IF(AND(G2743&gt;0,E2743=0),"WARNING - no PRICE inserted",IF(H2743="free"," FREE ~ no charge this plant",IF(H2743="credit",CONCATENATE(" -$",ROUND(K2743*(1-T2GDiscount)*-1,2)," CREDIT after discount"),IF(T2GDiscount=0,"",IF(G2743=0,"",IF(F2743="Buy",CONCATENATE(" $",ROUND(K2743*(1-T2GDiscount),2)," with ",(T2GDiscount*100),"% discount"),CONCATENATE(" $",ROUND(K2743*(1-T2GDiscount),2)," with ",((T2GDiscount*100+F2743*100)-(T2GDiscount*100*F2743)),IF(F2743&gt;0,"% discounts",IF(NoWarrantyDiscount&gt;0,"% discounts","% discount")))))))))</f>
        <v/>
      </c>
      <c r="N2743" s="660"/>
      <c r="O2743" s="233"/>
      <c r="P2743" s="233"/>
      <c r="Q2743" s="233"/>
      <c r="R2743" s="233"/>
      <c r="S2743" s="233"/>
      <c r="T2743" s="508">
        <f t="shared" si="2111"/>
        <v>0</v>
      </c>
      <c r="U2743" s="225">
        <f>IF(NOT(ISNUMBER(G2743)), "", VLOOKUP(A2743,'Discount Lookup'!D:E,2,FALSE)*G2743)</f>
        <v>0</v>
      </c>
      <c r="V2743" s="225">
        <f>IF(NOT(ISNUMBER(G2743)), "", VLOOKUP(A2743,'Discount Lookup'!G:H,2,FALSE)*G2743)</f>
        <v>0</v>
      </c>
      <c r="W2743" s="508">
        <f t="shared" si="2112"/>
        <v>0</v>
      </c>
      <c r="X2743" s="508">
        <f t="shared" si="2113"/>
        <v>0</v>
      </c>
      <c r="Y2743" s="509" t="b">
        <f t="shared" si="2114"/>
        <v>0</v>
      </c>
      <c r="Z2743" s="510">
        <f t="shared" si="2115"/>
        <v>0</v>
      </c>
      <c r="AA2743" s="511"/>
      <c r="AB2743" s="511" t="str">
        <f t="shared" si="2116"/>
        <v/>
      </c>
      <c r="AC2743" s="698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698"/>
      <c r="AE2743" s="631" t="str">
        <f t="shared" si="2117"/>
        <v/>
      </c>
      <c r="AF2743" s="699" t="str">
        <f t="shared" si="2118"/>
        <v/>
      </c>
      <c r="AG2743" s="699"/>
      <c r="AH2743" s="699"/>
      <c r="AI2743" s="512">
        <f>IF(H2743="credit",0,IF(AE2743="free",0,IF(AE2743="me",0,IF(G2743&gt;0,(VLOOKUP(A2743,'Discount Lookup'!J:K,2)*G2743),0))))</f>
        <v>0</v>
      </c>
      <c r="AJ2743" s="513" t="str">
        <f t="shared" ca="1" si="2119"/>
        <v/>
      </c>
      <c r="AK2743" s="700" t="str">
        <f t="shared" si="2120"/>
        <v/>
      </c>
      <c r="AL2743" s="700"/>
      <c r="AM2743" s="505" t="str">
        <f t="shared" si="2121"/>
        <v/>
      </c>
      <c r="AN2743" s="506"/>
      <c r="AO2743" s="507"/>
      <c r="AP2743" s="507"/>
      <c r="AQ2743" s="507"/>
      <c r="AR2743" s="507"/>
      <c r="AS2743" s="507"/>
      <c r="AT2743" s="507"/>
      <c r="AU2743" s="507"/>
      <c r="AV2743" s="225"/>
      <c r="AW2743" s="508"/>
      <c r="AX2743" s="225"/>
      <c r="AY2743" s="225"/>
      <c r="AZ2743" s="225"/>
      <c r="BA2743" s="225"/>
      <c r="BB2743" s="225"/>
      <c r="BC2743" s="56"/>
      <c r="BD2743" s="56"/>
      <c r="BE2743" s="56"/>
      <c r="BF2743" s="107" t="str">
        <f t="shared" si="2122"/>
        <v>https://www.google.com/search?tbm=isch&amp;q=7%20G4</v>
      </c>
      <c r="BG2743" s="107" t="str">
        <f t="shared" si="2123"/>
        <v>P</v>
      </c>
      <c r="BH2743" s="254"/>
      <c r="BI2743" s="254"/>
    </row>
    <row r="2744" spans="1:61" customFormat="1" ht="15.75" x14ac:dyDescent="0.25">
      <c r="A2744" s="276">
        <v>10</v>
      </c>
      <c r="B2744" s="240" t="s">
        <v>291</v>
      </c>
      <c r="C2744" s="241" t="s">
        <v>3683</v>
      </c>
      <c r="D2744" s="242" t="s">
        <v>292</v>
      </c>
      <c r="E2744" s="243">
        <v>252.95</v>
      </c>
      <c r="F2744" s="517" t="s">
        <v>293</v>
      </c>
      <c r="G2744" s="232">
        <v>0</v>
      </c>
      <c r="H2744" s="661" t="str">
        <f t="shared" si="2137"/>
        <v/>
      </c>
      <c r="I2744" s="244">
        <f t="shared" si="2138"/>
        <v>0</v>
      </c>
      <c r="J2744" s="244">
        <f t="shared" si="2139"/>
        <v>0</v>
      </c>
      <c r="K2744" s="696">
        <f t="shared" ref="K2744" si="2142">I2744+J2744</f>
        <v>0</v>
      </c>
      <c r="L2744" s="696"/>
      <c r="M2744" s="659" t="str">
        <f t="shared" si="2141"/>
        <v/>
      </c>
      <c r="N2744" s="660"/>
      <c r="O2744" s="233"/>
      <c r="P2744" s="233"/>
      <c r="Q2744" s="233"/>
      <c r="R2744" s="233"/>
      <c r="S2744" s="233"/>
      <c r="T2744" s="508">
        <f t="shared" si="2111"/>
        <v>0</v>
      </c>
      <c r="U2744" s="225">
        <f>IF(NOT(ISNUMBER(G2744)), "", VLOOKUP(A2744,'Discount Lookup'!D:E,2,FALSE)*G2744)</f>
        <v>0</v>
      </c>
      <c r="V2744" s="225">
        <f>IF(NOT(ISNUMBER(G2744)), "", VLOOKUP(A2744,'Discount Lookup'!G:H,2,FALSE)*G2744)</f>
        <v>0</v>
      </c>
      <c r="W2744" s="508">
        <f t="shared" si="2112"/>
        <v>0</v>
      </c>
      <c r="X2744" s="508">
        <f t="shared" si="2113"/>
        <v>0</v>
      </c>
      <c r="Y2744" s="509" t="b">
        <f t="shared" si="2114"/>
        <v>0</v>
      </c>
      <c r="Z2744" s="510">
        <f t="shared" si="2115"/>
        <v>0</v>
      </c>
      <c r="AA2744" s="511"/>
      <c r="AB2744" s="511" t="str">
        <f t="shared" si="2116"/>
        <v/>
      </c>
      <c r="AC2744" s="698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698"/>
      <c r="AE2744" s="631" t="str">
        <f t="shared" si="2117"/>
        <v/>
      </c>
      <c r="AF2744" s="699" t="str">
        <f t="shared" si="2118"/>
        <v/>
      </c>
      <c r="AG2744" s="699"/>
      <c r="AH2744" s="699"/>
      <c r="AI2744" s="512">
        <f>IF(H2744="credit",0,IF(AE2744="free",0,IF(AE2744="me",0,IF(G2744&gt;0,(VLOOKUP(A2744,'Discount Lookup'!J:K,2)*G2744),0))))</f>
        <v>0</v>
      </c>
      <c r="AJ2744" s="513" t="str">
        <f t="shared" ca="1" si="2119"/>
        <v/>
      </c>
      <c r="AK2744" s="700" t="str">
        <f t="shared" si="2120"/>
        <v/>
      </c>
      <c r="AL2744" s="700"/>
      <c r="AM2744" s="505" t="str">
        <f t="shared" si="2121"/>
        <v/>
      </c>
      <c r="AN2744" s="506"/>
      <c r="AO2744" s="507"/>
      <c r="AP2744" s="507"/>
      <c r="AQ2744" s="507"/>
      <c r="AR2744" s="507"/>
      <c r="AS2744" s="507"/>
      <c r="AT2744" s="507"/>
      <c r="AU2744" s="507"/>
      <c r="AV2744" s="225"/>
      <c r="AW2744" s="508"/>
      <c r="AX2744" s="225"/>
      <c r="AY2744" s="225"/>
      <c r="AZ2744" s="225"/>
      <c r="BA2744" s="225"/>
      <c r="BB2744" s="225"/>
      <c r="BC2744" s="56"/>
      <c r="BD2744" s="56"/>
      <c r="BE2744" s="56"/>
      <c r="BF2744" s="107" t="str">
        <f t="shared" si="2122"/>
        <v>https://www.google.com/search?tbm=isch&amp;q=10%20G4</v>
      </c>
      <c r="BG2744" s="107" t="str">
        <f t="shared" si="2123"/>
        <v>P</v>
      </c>
      <c r="BH2744" s="254"/>
      <c r="BI2744" s="254"/>
    </row>
    <row r="2745" spans="1:61" customFormat="1" ht="15.75" x14ac:dyDescent="0.25">
      <c r="A2745" s="276">
        <v>15</v>
      </c>
      <c r="B2745" s="240" t="s">
        <v>291</v>
      </c>
      <c r="C2745" s="241" t="s">
        <v>3684</v>
      </c>
      <c r="D2745" s="242" t="s">
        <v>292</v>
      </c>
      <c r="E2745" s="243">
        <v>339.95</v>
      </c>
      <c r="F2745" s="517" t="s">
        <v>293</v>
      </c>
      <c r="G2745" s="232">
        <v>0</v>
      </c>
      <c r="H2745" s="661" t="str">
        <f t="shared" si="2137"/>
        <v/>
      </c>
      <c r="I2745" s="244">
        <f t="shared" si="2138"/>
        <v>0</v>
      </c>
      <c r="J2745" s="244">
        <f t="shared" si="2139"/>
        <v>0</v>
      </c>
      <c r="K2745" s="696">
        <f t="shared" ref="K2745" si="2143">I2745+J2745</f>
        <v>0</v>
      </c>
      <c r="L2745" s="696"/>
      <c r="M2745" s="659" t="str">
        <f t="shared" si="2141"/>
        <v/>
      </c>
      <c r="N2745" s="660"/>
      <c r="O2745" s="233"/>
      <c r="P2745" s="233"/>
      <c r="Q2745" s="233"/>
      <c r="R2745" s="233"/>
      <c r="S2745" s="233"/>
      <c r="T2745" s="508">
        <f t="shared" si="2111"/>
        <v>0</v>
      </c>
      <c r="U2745" s="225">
        <f>IF(NOT(ISNUMBER(G2745)), "", VLOOKUP(A2745,'Discount Lookup'!D:E,2,FALSE)*G2745)</f>
        <v>0</v>
      </c>
      <c r="V2745" s="225">
        <f>IF(NOT(ISNUMBER(G2745)), "", VLOOKUP(A2745,'Discount Lookup'!G:H,2,FALSE)*G2745)</f>
        <v>0</v>
      </c>
      <c r="W2745" s="508">
        <f t="shared" si="2112"/>
        <v>0</v>
      </c>
      <c r="X2745" s="508">
        <f t="shared" si="2113"/>
        <v>0</v>
      </c>
      <c r="Y2745" s="509" t="b">
        <f t="shared" si="2114"/>
        <v>0</v>
      </c>
      <c r="Z2745" s="510">
        <f t="shared" si="2115"/>
        <v>0</v>
      </c>
      <c r="AA2745" s="511"/>
      <c r="AB2745" s="511" t="str">
        <f t="shared" si="2116"/>
        <v/>
      </c>
      <c r="AC2745" s="698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698"/>
      <c r="AE2745" s="631" t="str">
        <f t="shared" si="2117"/>
        <v/>
      </c>
      <c r="AF2745" s="699" t="str">
        <f t="shared" si="2118"/>
        <v/>
      </c>
      <c r="AG2745" s="699"/>
      <c r="AH2745" s="699"/>
      <c r="AI2745" s="512">
        <f>IF(H2745="credit",0,IF(AE2745="free",0,IF(AE2745="me",0,IF(G2745&gt;0,(VLOOKUP(A2745,'Discount Lookup'!J:K,2)*G2745),0))))</f>
        <v>0</v>
      </c>
      <c r="AJ2745" s="513" t="str">
        <f t="shared" ca="1" si="2119"/>
        <v/>
      </c>
      <c r="AK2745" s="700" t="str">
        <f t="shared" si="2120"/>
        <v/>
      </c>
      <c r="AL2745" s="700"/>
      <c r="AM2745" s="505" t="str">
        <f t="shared" si="2121"/>
        <v/>
      </c>
      <c r="AN2745" s="506"/>
      <c r="AO2745" s="507"/>
      <c r="AP2745" s="507"/>
      <c r="AQ2745" s="507"/>
      <c r="AR2745" s="507"/>
      <c r="AS2745" s="507"/>
      <c r="AT2745" s="507"/>
      <c r="AU2745" s="507"/>
      <c r="AV2745" s="225"/>
      <c r="AW2745" s="508"/>
      <c r="AX2745" s="225"/>
      <c r="AY2745" s="225"/>
      <c r="AZ2745" s="225"/>
      <c r="BA2745" s="225"/>
      <c r="BB2745" s="225"/>
      <c r="BC2745" s="56"/>
      <c r="BD2745" s="56"/>
      <c r="BE2745" s="56"/>
      <c r="BF2745" s="107" t="str">
        <f t="shared" si="2122"/>
        <v>https://www.google.com/search?tbm=isch&amp;q=15%20G4</v>
      </c>
      <c r="BG2745" s="107" t="str">
        <f t="shared" si="2123"/>
        <v>P</v>
      </c>
      <c r="BH2745" s="254"/>
      <c r="BI2745" s="254"/>
    </row>
    <row r="2746" spans="1:61" customFormat="1" ht="15.75" x14ac:dyDescent="0.25">
      <c r="A2746" s="276">
        <v>25</v>
      </c>
      <c r="B2746" s="240" t="s">
        <v>291</v>
      </c>
      <c r="C2746" s="241" t="s">
        <v>3685</v>
      </c>
      <c r="D2746" s="242" t="s">
        <v>292</v>
      </c>
      <c r="E2746" s="243">
        <v>631.95000000000005</v>
      </c>
      <c r="F2746" s="517" t="s">
        <v>293</v>
      </c>
      <c r="G2746" s="232">
        <v>0</v>
      </c>
      <c r="H2746" s="661" t="str">
        <f t="shared" si="2137"/>
        <v/>
      </c>
      <c r="I2746" s="244">
        <f t="shared" si="2138"/>
        <v>0</v>
      </c>
      <c r="J2746" s="244">
        <f t="shared" si="2139"/>
        <v>0</v>
      </c>
      <c r="K2746" s="696">
        <f t="shared" ref="K2746" si="2144">I2746+J2746</f>
        <v>0</v>
      </c>
      <c r="L2746" s="696"/>
      <c r="M2746" s="659" t="str">
        <f t="shared" si="2141"/>
        <v/>
      </c>
      <c r="N2746" s="660"/>
      <c r="O2746" s="233"/>
      <c r="P2746" s="233"/>
      <c r="Q2746" s="233"/>
      <c r="R2746" s="233"/>
      <c r="S2746" s="233"/>
      <c r="T2746" s="508">
        <f t="shared" si="2111"/>
        <v>0</v>
      </c>
      <c r="U2746" s="225">
        <f>IF(NOT(ISNUMBER(G2746)), "", VLOOKUP(A2746,'Discount Lookup'!D:E,2,FALSE)*G2746)</f>
        <v>0</v>
      </c>
      <c r="V2746" s="225">
        <f>IF(NOT(ISNUMBER(G2746)), "", VLOOKUP(A2746,'Discount Lookup'!G:H,2,FALSE)*G2746)</f>
        <v>0</v>
      </c>
      <c r="W2746" s="508">
        <f t="shared" si="2112"/>
        <v>0</v>
      </c>
      <c r="X2746" s="508">
        <f t="shared" si="2113"/>
        <v>0</v>
      </c>
      <c r="Y2746" s="509" t="b">
        <f t="shared" si="2114"/>
        <v>0</v>
      </c>
      <c r="Z2746" s="510">
        <f t="shared" si="2115"/>
        <v>0</v>
      </c>
      <c r="AA2746" s="511"/>
      <c r="AB2746" s="511" t="str">
        <f t="shared" si="2116"/>
        <v/>
      </c>
      <c r="AC2746" s="698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698"/>
      <c r="AE2746" s="631" t="str">
        <f t="shared" si="2117"/>
        <v/>
      </c>
      <c r="AF2746" s="699" t="str">
        <f t="shared" si="2118"/>
        <v/>
      </c>
      <c r="AG2746" s="699"/>
      <c r="AH2746" s="699"/>
      <c r="AI2746" s="512">
        <f>IF(H2746="credit",0,IF(AE2746="free",0,IF(AE2746="me",0,IF(G2746&gt;0,(VLOOKUP(A2746,'Discount Lookup'!J:K,2)*G2746),0))))</f>
        <v>0</v>
      </c>
      <c r="AJ2746" s="513" t="str">
        <f t="shared" ca="1" si="2119"/>
        <v/>
      </c>
      <c r="AK2746" s="700" t="str">
        <f t="shared" si="2120"/>
        <v/>
      </c>
      <c r="AL2746" s="700"/>
      <c r="AM2746" s="505" t="str">
        <f t="shared" si="2121"/>
        <v/>
      </c>
      <c r="AN2746" s="506"/>
      <c r="AO2746" s="507"/>
      <c r="AP2746" s="507"/>
      <c r="AQ2746" s="507"/>
      <c r="AR2746" s="507"/>
      <c r="AS2746" s="507"/>
      <c r="AT2746" s="507"/>
      <c r="AU2746" s="507"/>
      <c r="AV2746" s="225"/>
      <c r="AW2746" s="508"/>
      <c r="AX2746" s="225"/>
      <c r="AY2746" s="225"/>
      <c r="AZ2746" s="225"/>
      <c r="BA2746" s="225"/>
      <c r="BB2746" s="225"/>
      <c r="BC2746" s="56"/>
      <c r="BD2746" s="56"/>
      <c r="BE2746" s="56"/>
      <c r="BF2746" s="107" t="str">
        <f t="shared" si="2122"/>
        <v>https://www.google.com/search?tbm=isch&amp;q=25%20G4</v>
      </c>
      <c r="BG2746" s="107" t="str">
        <f t="shared" si="2123"/>
        <v>P</v>
      </c>
      <c r="BH2746" s="254"/>
      <c r="BI2746" s="254"/>
    </row>
    <row r="2747" spans="1:61" customFormat="1" ht="15.75" x14ac:dyDescent="0.25">
      <c r="A2747" s="276">
        <v>45</v>
      </c>
      <c r="B2747" s="240" t="s">
        <v>291</v>
      </c>
      <c r="C2747" s="241" t="s">
        <v>3686</v>
      </c>
      <c r="D2747" s="242" t="s">
        <v>292</v>
      </c>
      <c r="E2747" s="243">
        <v>797.95</v>
      </c>
      <c r="F2747" s="517" t="s">
        <v>293</v>
      </c>
      <c r="G2747" s="232">
        <v>0</v>
      </c>
      <c r="H2747" s="661" t="str">
        <f t="shared" si="2137"/>
        <v/>
      </c>
      <c r="I2747" s="244">
        <f t="shared" si="2138"/>
        <v>0</v>
      </c>
      <c r="J2747" s="244">
        <f t="shared" si="2139"/>
        <v>0</v>
      </c>
      <c r="K2747" s="696">
        <f t="shared" ref="K2747" si="2145">I2747+J2747</f>
        <v>0</v>
      </c>
      <c r="L2747" s="696"/>
      <c r="M2747" s="659" t="str">
        <f t="shared" si="2141"/>
        <v/>
      </c>
      <c r="N2747" s="660"/>
      <c r="O2747" s="233"/>
      <c r="P2747" s="233"/>
      <c r="Q2747" s="233"/>
      <c r="R2747" s="233"/>
      <c r="S2747" s="233"/>
      <c r="T2747" s="508">
        <f t="shared" si="2111"/>
        <v>0</v>
      </c>
      <c r="U2747" s="225">
        <f>IF(NOT(ISNUMBER(G2747)), "", VLOOKUP(A2747,'Discount Lookup'!D:E,2,FALSE)*G2747)</f>
        <v>0</v>
      </c>
      <c r="V2747" s="225">
        <f>IF(NOT(ISNUMBER(G2747)), "", VLOOKUP(A2747,'Discount Lookup'!G:H,2,FALSE)*G2747)</f>
        <v>0</v>
      </c>
      <c r="W2747" s="508">
        <f t="shared" si="2112"/>
        <v>0</v>
      </c>
      <c r="X2747" s="508">
        <f t="shared" si="2113"/>
        <v>0</v>
      </c>
      <c r="Y2747" s="509" t="b">
        <f t="shared" si="2114"/>
        <v>0</v>
      </c>
      <c r="Z2747" s="510">
        <f t="shared" si="2115"/>
        <v>0</v>
      </c>
      <c r="AA2747" s="511"/>
      <c r="AB2747" s="511" t="str">
        <f t="shared" si="2116"/>
        <v/>
      </c>
      <c r="AC2747" s="698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698"/>
      <c r="AE2747" s="631" t="str">
        <f t="shared" si="2117"/>
        <v/>
      </c>
      <c r="AF2747" s="699" t="str">
        <f t="shared" si="2118"/>
        <v/>
      </c>
      <c r="AG2747" s="699"/>
      <c r="AH2747" s="699"/>
      <c r="AI2747" s="512">
        <f>IF(H2747="credit",0,IF(AE2747="free",0,IF(AE2747="me",0,IF(G2747&gt;0,(VLOOKUP(A2747,'Discount Lookup'!J:K,2)*G2747),0))))</f>
        <v>0</v>
      </c>
      <c r="AJ2747" s="513" t="str">
        <f t="shared" ca="1" si="2119"/>
        <v/>
      </c>
      <c r="AK2747" s="700" t="str">
        <f t="shared" si="2120"/>
        <v/>
      </c>
      <c r="AL2747" s="700"/>
      <c r="AM2747" s="505" t="str">
        <f t="shared" si="2121"/>
        <v/>
      </c>
      <c r="AN2747" s="506"/>
      <c r="AO2747" s="507"/>
      <c r="AP2747" s="507"/>
      <c r="AQ2747" s="507"/>
      <c r="AR2747" s="507"/>
      <c r="AS2747" s="507"/>
      <c r="AT2747" s="507"/>
      <c r="AU2747" s="507"/>
      <c r="AV2747" s="225"/>
      <c r="AW2747" s="508"/>
      <c r="AX2747" s="225"/>
      <c r="AY2747" s="225"/>
      <c r="AZ2747" s="225"/>
      <c r="BA2747" s="225"/>
      <c r="BB2747" s="225"/>
      <c r="BC2747" s="56"/>
      <c r="BD2747" s="56"/>
      <c r="BE2747" s="56"/>
      <c r="BF2747" s="107" t="str">
        <f t="shared" si="2122"/>
        <v>https://www.google.com/search?tbm=isch&amp;q=45%20G4</v>
      </c>
      <c r="BG2747" s="107" t="str">
        <f t="shared" si="2123"/>
        <v>P</v>
      </c>
      <c r="BH2747" s="254"/>
      <c r="BI2747" s="254"/>
    </row>
    <row r="2748" spans="1:61" customFormat="1" ht="15.75" x14ac:dyDescent="0.25">
      <c r="A2748" s="276">
        <v>95</v>
      </c>
      <c r="B2748" s="240" t="s">
        <v>291</v>
      </c>
      <c r="C2748" s="241" t="s">
        <v>3687</v>
      </c>
      <c r="D2748" s="242" t="s">
        <v>292</v>
      </c>
      <c r="E2748" s="243">
        <v>1186.95</v>
      </c>
      <c r="F2748" s="517" t="s">
        <v>293</v>
      </c>
      <c r="G2748" s="232">
        <v>0</v>
      </c>
      <c r="H2748" s="661" t="str">
        <f t="shared" si="2137"/>
        <v/>
      </c>
      <c r="I2748" s="244">
        <f t="shared" si="2138"/>
        <v>0</v>
      </c>
      <c r="J2748" s="244">
        <f t="shared" si="2139"/>
        <v>0</v>
      </c>
      <c r="K2748" s="696">
        <f t="shared" ref="K2748" si="2146">I2748+J2748</f>
        <v>0</v>
      </c>
      <c r="L2748" s="696"/>
      <c r="M2748" s="659" t="str">
        <f t="shared" si="2141"/>
        <v/>
      </c>
      <c r="N2748" s="660"/>
      <c r="O2748" s="233"/>
      <c r="P2748" s="233"/>
      <c r="Q2748" s="233"/>
      <c r="R2748" s="233"/>
      <c r="S2748" s="233"/>
      <c r="T2748" s="508">
        <f t="shared" si="2111"/>
        <v>0</v>
      </c>
      <c r="U2748" s="225">
        <f>IF(NOT(ISNUMBER(G2748)), "", VLOOKUP(A2748,'Discount Lookup'!D:E,2,FALSE)*G2748)</f>
        <v>0</v>
      </c>
      <c r="V2748" s="225">
        <f>IF(NOT(ISNUMBER(G2748)), "", VLOOKUP(A2748,'Discount Lookup'!G:H,2,FALSE)*G2748)</f>
        <v>0</v>
      </c>
      <c r="W2748" s="508">
        <f t="shared" si="2112"/>
        <v>0</v>
      </c>
      <c r="X2748" s="508">
        <f t="shared" si="2113"/>
        <v>0</v>
      </c>
      <c r="Y2748" s="509" t="b">
        <f t="shared" si="2114"/>
        <v>0</v>
      </c>
      <c r="Z2748" s="510">
        <f t="shared" si="2115"/>
        <v>0</v>
      </c>
      <c r="AA2748" s="511"/>
      <c r="AB2748" s="511" t="str">
        <f t="shared" si="2116"/>
        <v/>
      </c>
      <c r="AC2748" s="698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698"/>
      <c r="AE2748" s="631" t="str">
        <f t="shared" si="2117"/>
        <v/>
      </c>
      <c r="AF2748" s="699" t="str">
        <f t="shared" si="2118"/>
        <v/>
      </c>
      <c r="AG2748" s="699"/>
      <c r="AH2748" s="699"/>
      <c r="AI2748" s="512">
        <f>IF(H2748="credit",0,IF(AE2748="free",0,IF(AE2748="me",0,IF(G2748&gt;0,(VLOOKUP(A2748,'Discount Lookup'!J:K,2)*G2748),0))))</f>
        <v>0</v>
      </c>
      <c r="AJ2748" s="513" t="str">
        <f t="shared" ca="1" si="2119"/>
        <v/>
      </c>
      <c r="AK2748" s="700" t="str">
        <f t="shared" si="2120"/>
        <v/>
      </c>
      <c r="AL2748" s="700"/>
      <c r="AM2748" s="505" t="str">
        <f t="shared" si="2121"/>
        <v/>
      </c>
      <c r="AN2748" s="506"/>
      <c r="AO2748" s="507"/>
      <c r="AP2748" s="507"/>
      <c r="AQ2748" s="507"/>
      <c r="AR2748" s="507"/>
      <c r="AS2748" s="507"/>
      <c r="AT2748" s="507"/>
      <c r="AU2748" s="507"/>
      <c r="AV2748" s="225"/>
      <c r="AW2748" s="508"/>
      <c r="AX2748" s="225"/>
      <c r="AY2748" s="225"/>
      <c r="AZ2748" s="225"/>
      <c r="BA2748" s="225"/>
      <c r="BB2748" s="225"/>
      <c r="BC2748" s="56"/>
      <c r="BD2748" s="56"/>
      <c r="BE2748" s="56"/>
      <c r="BF2748" s="107" t="str">
        <f t="shared" si="2122"/>
        <v>https://www.google.com/search?tbm=isch&amp;q=95%20G4</v>
      </c>
      <c r="BG2748" s="107" t="str">
        <f t="shared" si="2123"/>
        <v>P</v>
      </c>
      <c r="BH2748" s="254"/>
      <c r="BI2748" s="254"/>
    </row>
    <row r="2749" spans="1:61" customFormat="1" ht="17.25" thickBot="1" x14ac:dyDescent="0.3">
      <c r="A2749" s="673" t="s">
        <v>5195</v>
      </c>
      <c r="B2749" s="245"/>
      <c r="C2749" s="677"/>
      <c r="D2749" s="499"/>
      <c r="E2749" s="499"/>
      <c r="F2749" s="500"/>
      <c r="G2749" s="501"/>
      <c r="H2749" s="502"/>
      <c r="I2749" s="246"/>
      <c r="J2749" s="247"/>
      <c r="K2749" s="503"/>
      <c r="L2749" s="544"/>
      <c r="M2749" s="544"/>
      <c r="N2749" s="500"/>
      <c r="O2749" s="500"/>
      <c r="P2749" s="500"/>
      <c r="Q2749" s="500"/>
      <c r="R2749" s="500"/>
      <c r="S2749" s="669" t="s">
        <v>4972</v>
      </c>
      <c r="T2749" s="508">
        <f t="shared" si="2111"/>
        <v>0</v>
      </c>
      <c r="U2749" s="225" t="str">
        <f>IF(NOT(ISNUMBER(G2749)), "", VLOOKUP(A2749,'Discount Lookup'!D:E,2,FALSE)*G2749)</f>
        <v/>
      </c>
      <c r="V2749" s="225" t="str">
        <f>IF(NOT(ISNUMBER(G2749)), "", VLOOKUP(A2749,'Discount Lookup'!G:H,2,FALSE)*G2749)</f>
        <v/>
      </c>
      <c r="W2749" s="508">
        <f t="shared" si="2112"/>
        <v>0</v>
      </c>
      <c r="X2749" s="508">
        <f t="shared" si="2113"/>
        <v>0</v>
      </c>
      <c r="Y2749" s="509" t="b">
        <f t="shared" si="2114"/>
        <v>0</v>
      </c>
      <c r="Z2749" s="510">
        <f t="shared" si="2115"/>
        <v>0</v>
      </c>
      <c r="AA2749" s="511"/>
      <c r="AB2749" s="511" t="str">
        <f t="shared" si="2116"/>
        <v/>
      </c>
      <c r="AC2749" s="698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698"/>
      <c r="AE2749" s="631" t="str">
        <f t="shared" si="2117"/>
        <v/>
      </c>
      <c r="AF2749" s="699" t="str">
        <f t="shared" si="2118"/>
        <v/>
      </c>
      <c r="AG2749" s="699"/>
      <c r="AH2749" s="699"/>
      <c r="AI2749" s="512">
        <f>IF(H2749="credit",0,IF(AE2749="free",0,IF(AE2749="me",0,IF(G2749&gt;0,(VLOOKUP(A2749,'Discount Lookup'!J:K,2)*G2749),0))))</f>
        <v>0</v>
      </c>
      <c r="AJ2749" s="513" t="str">
        <f t="shared" ca="1" si="2119"/>
        <v/>
      </c>
      <c r="AK2749" s="700" t="str">
        <f t="shared" si="2120"/>
        <v/>
      </c>
      <c r="AL2749" s="700"/>
      <c r="AM2749" s="505" t="str">
        <f t="shared" si="2121"/>
        <v/>
      </c>
      <c r="AN2749" s="506"/>
      <c r="AO2749" s="507"/>
      <c r="AP2749" s="507"/>
      <c r="AQ2749" s="507"/>
      <c r="AR2749" s="507"/>
      <c r="AS2749" s="507"/>
      <c r="AT2749" s="507"/>
      <c r="AU2749" s="507"/>
      <c r="AV2749" s="225"/>
      <c r="AW2749" s="508"/>
      <c r="AX2749" s="225"/>
      <c r="AY2749" s="225"/>
      <c r="AZ2749" s="225"/>
      <c r="BA2749" s="225"/>
      <c r="BB2749" s="225"/>
      <c r="BC2749" s="56"/>
      <c r="BD2749" s="56"/>
      <c r="BE2749" s="56"/>
      <c r="BF2749" s="107" t="str">
        <f t="shared" si="2122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2749" s="107" t="str">
        <f t="shared" si="2123"/>
        <v>w</v>
      </c>
      <c r="BH2749" s="254"/>
      <c r="BI2749" s="254"/>
    </row>
    <row r="2750" spans="1:61" customFormat="1" ht="18" x14ac:dyDescent="0.25">
      <c r="A2750" s="523" t="s">
        <v>1479</v>
      </c>
      <c r="B2750" s="235"/>
      <c r="C2750" s="676"/>
      <c r="D2750" s="255" t="s">
        <v>1480</v>
      </c>
      <c r="E2750" s="236"/>
      <c r="F2750" s="236"/>
      <c r="G2750" s="236"/>
      <c r="H2750" s="582" t="s">
        <v>356</v>
      </c>
      <c r="I2750" s="498" t="s">
        <v>660</v>
      </c>
      <c r="J2750" s="237"/>
      <c r="K2750" s="237"/>
      <c r="L2750" s="274"/>
      <c r="M2750" s="670" t="s">
        <v>4973</v>
      </c>
      <c r="N2750" s="681" t="str">
        <f>IF(AND(ISTEXT($A2750), ISERROR($A2750+0)), HYPERLINK($BF2750, "Images"), "")</f>
        <v>Images</v>
      </c>
      <c r="O2750" s="663" t="s">
        <v>4969</v>
      </c>
      <c r="P2750" s="253"/>
      <c r="Q2750" s="238"/>
      <c r="R2750" s="239"/>
      <c r="S2750" s="275"/>
      <c r="T2750" s="508">
        <f t="shared" si="2111"/>
        <v>0</v>
      </c>
      <c r="U2750" s="225" t="str">
        <f>IF(NOT(ISNUMBER(G2750)), "", VLOOKUP(A2750,'Discount Lookup'!D:E,2,FALSE)*G2750)</f>
        <v/>
      </c>
      <c r="V2750" s="225" t="str">
        <f>IF(NOT(ISNUMBER(G2750)), "", VLOOKUP(A2750,'Discount Lookup'!G:H,2,FALSE)*G2750)</f>
        <v/>
      </c>
      <c r="W2750" s="508">
        <f t="shared" si="2112"/>
        <v>0</v>
      </c>
      <c r="X2750" s="508" t="str">
        <f t="shared" si="2113"/>
        <v>Golden Yellow bloom</v>
      </c>
      <c r="Y2750" s="509" t="b">
        <f t="shared" si="2114"/>
        <v>0</v>
      </c>
      <c r="Z2750" s="510">
        <f t="shared" si="2115"/>
        <v>0</v>
      </c>
      <c r="AA2750" s="511"/>
      <c r="AB2750" s="511" t="str">
        <f t="shared" si="2116"/>
        <v/>
      </c>
      <c r="AC2750" s="698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698"/>
      <c r="AE2750" s="631" t="str">
        <f t="shared" si="2117"/>
        <v/>
      </c>
      <c r="AF2750" s="699" t="str">
        <f t="shared" si="2118"/>
        <v/>
      </c>
      <c r="AG2750" s="699"/>
      <c r="AH2750" s="699"/>
      <c r="AI2750" s="512">
        <f>IF(H2750="credit",0,IF(AE2750="free",0,IF(AE2750="me",0,IF(G2750&gt;0,(VLOOKUP(A2750,'Discount Lookup'!J:K,2)*G2750),0))))</f>
        <v>0</v>
      </c>
      <c r="AJ2750" s="513" t="str">
        <f t="shared" ca="1" si="2119"/>
        <v/>
      </c>
      <c r="AK2750" s="700" t="str">
        <f t="shared" si="2120"/>
        <v/>
      </c>
      <c r="AL2750" s="700"/>
      <c r="AM2750" s="505" t="str">
        <f t="shared" si="2121"/>
        <v/>
      </c>
      <c r="AN2750" s="506"/>
      <c r="AO2750" s="507"/>
      <c r="AP2750" s="507"/>
      <c r="AQ2750" s="507"/>
      <c r="AR2750" s="507"/>
      <c r="AS2750" s="507"/>
      <c r="AT2750" s="507"/>
      <c r="AU2750" s="507"/>
      <c r="AV2750" s="225"/>
      <c r="AW2750" s="508"/>
      <c r="AX2750" s="225"/>
      <c r="AY2750" s="225"/>
      <c r="AZ2750" s="225"/>
      <c r="BA2750" s="225"/>
      <c r="BB2750" s="225"/>
      <c r="BC2750" s="56"/>
      <c r="BD2750" s="56"/>
      <c r="BE2750" s="56"/>
      <c r="BF2750" s="107" t="str">
        <f t="shared" si="2122"/>
        <v>https://www.google.com/search?tbm=isch&amp;q=Paperbush%20Edgeworthia%20chrysantha</v>
      </c>
      <c r="BG2750" s="107" t="str">
        <f t="shared" si="2123"/>
        <v>P</v>
      </c>
      <c r="BH2750" s="254"/>
      <c r="BI2750" s="254"/>
    </row>
    <row r="2751" spans="1:61" customFormat="1" ht="15.75" x14ac:dyDescent="0.25">
      <c r="A2751" s="276">
        <v>7</v>
      </c>
      <c r="B2751" s="240" t="s">
        <v>291</v>
      </c>
      <c r="C2751" s="241" t="s">
        <v>2229</v>
      </c>
      <c r="D2751" s="242" t="s">
        <v>300</v>
      </c>
      <c r="E2751" s="243">
        <v>194.95</v>
      </c>
      <c r="F2751" s="517" t="s">
        <v>293</v>
      </c>
      <c r="G2751" s="232">
        <v>0</v>
      </c>
      <c r="H2751" s="661" t="str">
        <f>IF(G2751=0,"",IF(F2751="Buy",IF(G2751=1,"plant","plants"),IF(F2751&gt;0.01,"warranty","Error")))</f>
        <v/>
      </c>
      <c r="I2751" s="244">
        <f>IF(H2751="free",0,IF(H2751="credit",((E2751*(F2751))*G2751*-1),IF(F2751="Buy",(E2751*G2751),((E2751*(1-F2751))*G2751))))</f>
        <v>0</v>
      </c>
      <c r="J2751" s="244">
        <f>IF(H2751="warranty",0,(I2751*(_xlfn.SINGLE(SalesTaxPercentage))))</f>
        <v>0</v>
      </c>
      <c r="K2751" s="696">
        <f t="shared" ref="K2751" si="2147">I2751+J2751</f>
        <v>0</v>
      </c>
      <c r="L2751" s="696"/>
      <c r="M2751" s="659" t="str">
        <f>IF(AND(G2751&gt;0,E2751=0),"WARNING - no PRICE inserted",IF(H2751="free"," FREE ~ no charge this plant",IF(H2751="credit",CONCATENATE(" -$",ROUND(K2751*(1-T2GDiscount)*-1,2)," CREDIT after discount"),IF(T2GDiscount=0,"",IF(G2751=0,"",IF(F2751="Buy",CONCATENATE(" $",ROUND(K2751*(1-T2GDiscount),2)," with ",(T2GDiscount*100),"% discount"),CONCATENATE(" $",ROUND(K2751*(1-T2GDiscount),2)," with ",((T2GDiscount*100+F2751*100)-(T2GDiscount*100*F2751)),IF(F2751&gt;0,"% discounts",IF(NoWarrantyDiscount&gt;0,"% discounts","% discount")))))))))</f>
        <v/>
      </c>
      <c r="N2751" s="660"/>
      <c r="O2751" s="233"/>
      <c r="P2751" s="233"/>
      <c r="Q2751" s="233"/>
      <c r="R2751" s="233"/>
      <c r="S2751" s="233"/>
      <c r="T2751" s="508">
        <f t="shared" si="2111"/>
        <v>0</v>
      </c>
      <c r="U2751" s="225">
        <f>IF(NOT(ISNUMBER(G2751)), "", VLOOKUP(A2751,'Discount Lookup'!D:E,2,FALSE)*G2751)</f>
        <v>0</v>
      </c>
      <c r="V2751" s="225">
        <f>IF(NOT(ISNUMBER(G2751)), "", VLOOKUP(A2751,'Discount Lookup'!G:H,2,FALSE)*G2751)</f>
        <v>0</v>
      </c>
      <c r="W2751" s="508">
        <f t="shared" si="2112"/>
        <v>0</v>
      </c>
      <c r="X2751" s="508">
        <f t="shared" si="2113"/>
        <v>0</v>
      </c>
      <c r="Y2751" s="509" t="b">
        <f t="shared" si="2114"/>
        <v>0</v>
      </c>
      <c r="Z2751" s="510">
        <f t="shared" si="2115"/>
        <v>0</v>
      </c>
      <c r="AA2751" s="511"/>
      <c r="AB2751" s="511" t="str">
        <f t="shared" si="2116"/>
        <v/>
      </c>
      <c r="AC2751" s="698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698"/>
      <c r="AE2751" s="631" t="str">
        <f t="shared" si="2117"/>
        <v/>
      </c>
      <c r="AF2751" s="699" t="str">
        <f t="shared" si="2118"/>
        <v/>
      </c>
      <c r="AG2751" s="699"/>
      <c r="AH2751" s="699"/>
      <c r="AI2751" s="512">
        <f>IF(H2751="credit",0,IF(AE2751="free",0,IF(AE2751="me",0,IF(G2751&gt;0,(VLOOKUP(A2751,'Discount Lookup'!J:K,2)*G2751),0))))</f>
        <v>0</v>
      </c>
      <c r="AJ2751" s="513" t="str">
        <f t="shared" ca="1" si="2119"/>
        <v/>
      </c>
      <c r="AK2751" s="700" t="str">
        <f t="shared" si="2120"/>
        <v/>
      </c>
      <c r="AL2751" s="700"/>
      <c r="AM2751" s="505" t="str">
        <f t="shared" si="2121"/>
        <v/>
      </c>
      <c r="AN2751" s="506"/>
      <c r="AO2751" s="507"/>
      <c r="AP2751" s="507"/>
      <c r="AQ2751" s="507"/>
      <c r="AR2751" s="507"/>
      <c r="AS2751" s="507"/>
      <c r="AT2751" s="507"/>
      <c r="AU2751" s="507"/>
      <c r="AV2751" s="225"/>
      <c r="AW2751" s="508"/>
      <c r="AX2751" s="225"/>
      <c r="AY2751" s="225"/>
      <c r="AZ2751" s="225"/>
      <c r="BA2751" s="225"/>
      <c r="BB2751" s="225"/>
      <c r="BC2751" s="56"/>
      <c r="BD2751" s="56"/>
      <c r="BE2751" s="56"/>
      <c r="BF2751" s="107" t="str">
        <f t="shared" si="2122"/>
        <v>https://www.google.com/search?tbm=isch&amp;q=7%20G6</v>
      </c>
      <c r="BG2751" s="107" t="str">
        <f t="shared" si="2123"/>
        <v>P</v>
      </c>
      <c r="BH2751" s="254"/>
      <c r="BI2751" s="254"/>
    </row>
    <row r="2752" spans="1:61" customFormat="1" ht="17.25" thickBot="1" x14ac:dyDescent="0.3">
      <c r="A2752" s="673" t="s">
        <v>5196</v>
      </c>
      <c r="B2752" s="245"/>
      <c r="C2752" s="677"/>
      <c r="D2752" s="499"/>
      <c r="E2752" s="499"/>
      <c r="F2752" s="500"/>
      <c r="G2752" s="501"/>
      <c r="H2752" s="502"/>
      <c r="I2752" s="246"/>
      <c r="J2752" s="247"/>
      <c r="K2752" s="503"/>
      <c r="L2752" s="544"/>
      <c r="M2752" s="544"/>
      <c r="N2752" s="500"/>
      <c r="O2752" s="500"/>
      <c r="P2752" s="500"/>
      <c r="Q2752" s="500"/>
      <c r="R2752" s="500"/>
      <c r="S2752" s="669" t="s">
        <v>5023</v>
      </c>
      <c r="T2752" s="508">
        <f t="shared" si="2111"/>
        <v>0</v>
      </c>
      <c r="U2752" s="225" t="str">
        <f>IF(NOT(ISNUMBER(G2752)), "", VLOOKUP(A2752,'Discount Lookup'!D:E,2,FALSE)*G2752)</f>
        <v/>
      </c>
      <c r="V2752" s="225" t="str">
        <f>IF(NOT(ISNUMBER(G2752)), "", VLOOKUP(A2752,'Discount Lookup'!G:H,2,FALSE)*G2752)</f>
        <v/>
      </c>
      <c r="W2752" s="508">
        <f t="shared" si="2112"/>
        <v>0</v>
      </c>
      <c r="X2752" s="508">
        <f t="shared" si="2113"/>
        <v>0</v>
      </c>
      <c r="Y2752" s="509" t="b">
        <f t="shared" si="2114"/>
        <v>0</v>
      </c>
      <c r="Z2752" s="510">
        <f t="shared" si="2115"/>
        <v>0</v>
      </c>
      <c r="AA2752" s="511"/>
      <c r="AB2752" s="511" t="str">
        <f t="shared" si="2116"/>
        <v/>
      </c>
      <c r="AC2752" s="698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698"/>
      <c r="AE2752" s="631" t="str">
        <f t="shared" si="2117"/>
        <v/>
      </c>
      <c r="AF2752" s="699" t="str">
        <f t="shared" si="2118"/>
        <v/>
      </c>
      <c r="AG2752" s="699"/>
      <c r="AH2752" s="699"/>
      <c r="AI2752" s="512">
        <f>IF(H2752="credit",0,IF(AE2752="free",0,IF(AE2752="me",0,IF(G2752&gt;0,(VLOOKUP(A2752,'Discount Lookup'!J:K,2)*G2752),0))))</f>
        <v>0</v>
      </c>
      <c r="AJ2752" s="513" t="str">
        <f t="shared" ca="1" si="2119"/>
        <v/>
      </c>
      <c r="AK2752" s="700" t="str">
        <f t="shared" si="2120"/>
        <v/>
      </c>
      <c r="AL2752" s="700"/>
      <c r="AM2752" s="505" t="str">
        <f t="shared" si="2121"/>
        <v/>
      </c>
      <c r="AN2752" s="506"/>
      <c r="AO2752" s="507"/>
      <c r="AP2752" s="507"/>
      <c r="AQ2752" s="507"/>
      <c r="AR2752" s="507"/>
      <c r="AS2752" s="507"/>
      <c r="AT2752" s="507"/>
      <c r="AU2752" s="507"/>
      <c r="AV2752" s="225"/>
      <c r="AW2752" s="508"/>
      <c r="AX2752" s="225"/>
      <c r="AY2752" s="225"/>
      <c r="AZ2752" s="225"/>
      <c r="BA2752" s="225"/>
      <c r="BB2752" s="225"/>
      <c r="BC2752" s="56"/>
      <c r="BD2752" s="56"/>
      <c r="BE2752" s="56"/>
      <c r="BF2752" s="107" t="str">
        <f t="shared" si="2122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752" s="107" t="str">
        <f t="shared" si="2123"/>
        <v>m</v>
      </c>
      <c r="BH2752" s="254"/>
      <c r="BI2752" s="254"/>
    </row>
    <row r="2753" spans="1:61" customFormat="1" ht="18" x14ac:dyDescent="0.25">
      <c r="A2753" s="523" t="s">
        <v>4547</v>
      </c>
      <c r="B2753" s="235"/>
      <c r="C2753" s="676"/>
      <c r="D2753" s="255" t="s">
        <v>4548</v>
      </c>
      <c r="E2753" s="236"/>
      <c r="F2753" s="236"/>
      <c r="G2753" s="236"/>
      <c r="H2753" s="582" t="s">
        <v>506</v>
      </c>
      <c r="I2753" s="498" t="s">
        <v>4549</v>
      </c>
      <c r="J2753" s="237"/>
      <c r="K2753" s="237"/>
      <c r="L2753" s="274"/>
      <c r="M2753" s="668" t="s">
        <v>4962</v>
      </c>
      <c r="N2753" s="681" t="str">
        <f>IF(AND(ISTEXT($A2753), ISERROR($A2753+0)), HYPERLINK($BF2753, "Images"), "")</f>
        <v>Images</v>
      </c>
      <c r="O2753" s="663" t="s">
        <v>4969</v>
      </c>
      <c r="P2753" s="253"/>
      <c r="Q2753" s="238"/>
      <c r="R2753" s="239"/>
      <c r="S2753" s="275"/>
      <c r="T2753" s="508">
        <f t="shared" si="2111"/>
        <v>0</v>
      </c>
      <c r="U2753" s="225" t="str">
        <f>IF(NOT(ISNUMBER(G2753)), "", VLOOKUP(A2753,'Discount Lookup'!D:E,2,FALSE)*G2753)</f>
        <v/>
      </c>
      <c r="V2753" s="225" t="str">
        <f>IF(NOT(ISNUMBER(G2753)), "", VLOOKUP(A2753,'Discount Lookup'!G:H,2,FALSE)*G2753)</f>
        <v/>
      </c>
      <c r="W2753" s="508">
        <f t="shared" si="2112"/>
        <v>0</v>
      </c>
      <c r="X2753" s="508" t="str">
        <f t="shared" si="2113"/>
        <v>Red bloom, Yellow centers</v>
      </c>
      <c r="Y2753" s="509" t="b">
        <f t="shared" si="2114"/>
        <v>0</v>
      </c>
      <c r="Z2753" s="510">
        <f t="shared" si="2115"/>
        <v>0</v>
      </c>
      <c r="AA2753" s="511"/>
      <c r="AB2753" s="511" t="str">
        <f t="shared" si="2116"/>
        <v/>
      </c>
      <c r="AC2753" s="698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698"/>
      <c r="AE2753" s="631" t="str">
        <f t="shared" si="2117"/>
        <v/>
      </c>
      <c r="AF2753" s="699" t="str">
        <f t="shared" si="2118"/>
        <v/>
      </c>
      <c r="AG2753" s="699"/>
      <c r="AH2753" s="699"/>
      <c r="AI2753" s="512">
        <f>IF(H2753="credit",0,IF(AE2753="free",0,IF(AE2753="me",0,IF(G2753&gt;0,(VLOOKUP(A2753,'Discount Lookup'!J:K,2)*G2753),0))))</f>
        <v>0</v>
      </c>
      <c r="AJ2753" s="513" t="str">
        <f t="shared" ca="1" si="2119"/>
        <v/>
      </c>
      <c r="AK2753" s="700" t="str">
        <f t="shared" si="2120"/>
        <v/>
      </c>
      <c r="AL2753" s="700"/>
      <c r="AM2753" s="505" t="str">
        <f t="shared" si="2121"/>
        <v/>
      </c>
      <c r="AN2753" s="506"/>
      <c r="AO2753" s="507"/>
      <c r="AP2753" s="507"/>
      <c r="AQ2753" s="507"/>
      <c r="AR2753" s="507"/>
      <c r="AS2753" s="507"/>
      <c r="AT2753" s="507"/>
      <c r="AU2753" s="507"/>
      <c r="AV2753" s="225"/>
      <c r="AW2753" s="508"/>
      <c r="AX2753" s="225"/>
      <c r="AY2753" s="225"/>
      <c r="AZ2753" s="225"/>
      <c r="BA2753" s="225"/>
      <c r="BB2753" s="225"/>
      <c r="BC2753" s="56"/>
      <c r="BD2753" s="56"/>
      <c r="BE2753" s="56"/>
      <c r="BF2753" s="107" t="str">
        <f t="shared" si="2122"/>
        <v>https://www.google.com/search?tbm=isch&amp;q=Paprika%20Yarrow%20Achillea%20millefolium%20%27Paprika%27</v>
      </c>
      <c r="BG2753" s="107" t="str">
        <f t="shared" si="2123"/>
        <v>P</v>
      </c>
      <c r="BH2753" s="254"/>
      <c r="BI2753" s="254"/>
    </row>
    <row r="2754" spans="1:61" customFormat="1" ht="15.75" x14ac:dyDescent="0.25">
      <c r="A2754" s="276">
        <v>1</v>
      </c>
      <c r="B2754" s="240" t="s">
        <v>291</v>
      </c>
      <c r="C2754" s="241"/>
      <c r="D2754" s="242" t="s">
        <v>300</v>
      </c>
      <c r="E2754" s="243">
        <v>22.95</v>
      </c>
      <c r="F2754" s="517" t="s">
        <v>293</v>
      </c>
      <c r="G2754" s="232">
        <v>0</v>
      </c>
      <c r="H2754" s="661" t="str">
        <f>IF(G2754=0,"",IF(F2754="Buy",IF(G2754=1,"plant","plants"),IF(F2754&gt;0.01,"warranty","Error")))</f>
        <v/>
      </c>
      <c r="I2754" s="244">
        <f>IF(H2754="free",0,IF(H2754="credit",((E2754*(F2754))*G2754*-1),IF(F2754="Buy",(E2754*G2754),((E2754*(1-F2754))*G2754))))</f>
        <v>0</v>
      </c>
      <c r="J2754" s="244">
        <f>IF(H2754="warranty",0,(I2754*(_xlfn.SINGLE(SalesTaxPercentage))))</f>
        <v>0</v>
      </c>
      <c r="K2754" s="696">
        <f t="shared" ref="K2754" si="2148">I2754+J2754</f>
        <v>0</v>
      </c>
      <c r="L2754" s="696"/>
      <c r="M2754" s="659" t="str">
        <f>IF(AND(G2754&gt;0,E2754=0),"WARNING - no PRICE inserted",IF(H2754="free"," FREE ~ no charge this plant",IF(H2754="credit",CONCATENATE(" -$",ROUND(K2754*(1-T2GDiscount)*-1,2)," CREDIT after discount"),IF(T2GDiscount=0,"",IF(G2754=0,"",IF(F2754="Buy",CONCATENATE(" $",ROUND(K2754*(1-T2GDiscount),2)," with ",(T2GDiscount*100),"% discount"),CONCATENATE(" $",ROUND(K2754*(1-T2GDiscount),2)," with ",((T2GDiscount*100+F2754*100)-(T2GDiscount*100*F2754)),IF(F2754&gt;0,"% discounts",IF(NoWarrantyDiscount&gt;0,"% discounts","% discount")))))))))</f>
        <v/>
      </c>
      <c r="N2754" s="660"/>
      <c r="O2754" s="233"/>
      <c r="P2754" s="233"/>
      <c r="Q2754" s="233"/>
      <c r="R2754" s="233"/>
      <c r="S2754" s="233"/>
      <c r="T2754" s="508">
        <f t="shared" si="2111"/>
        <v>0</v>
      </c>
      <c r="U2754" s="225">
        <f>IF(NOT(ISNUMBER(G2754)), "", VLOOKUP(A2754,'Discount Lookup'!D:E,2,FALSE)*G2754)</f>
        <v>0</v>
      </c>
      <c r="V2754" s="225">
        <f>IF(NOT(ISNUMBER(G2754)), "", VLOOKUP(A2754,'Discount Lookup'!G:H,2,FALSE)*G2754)</f>
        <v>0</v>
      </c>
      <c r="W2754" s="508">
        <f t="shared" si="2112"/>
        <v>0</v>
      </c>
      <c r="X2754" s="508">
        <f t="shared" si="2113"/>
        <v>0</v>
      </c>
      <c r="Y2754" s="509" t="b">
        <f t="shared" si="2114"/>
        <v>0</v>
      </c>
      <c r="Z2754" s="510">
        <f t="shared" si="2115"/>
        <v>0</v>
      </c>
      <c r="AA2754" s="511"/>
      <c r="AB2754" s="511" t="str">
        <f t="shared" si="2116"/>
        <v/>
      </c>
      <c r="AC2754" s="698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698"/>
      <c r="AE2754" s="631" t="str">
        <f t="shared" si="2117"/>
        <v/>
      </c>
      <c r="AF2754" s="699" t="str">
        <f t="shared" si="2118"/>
        <v/>
      </c>
      <c r="AG2754" s="699"/>
      <c r="AH2754" s="699"/>
      <c r="AI2754" s="512">
        <f>IF(H2754="credit",0,IF(AE2754="free",0,IF(AE2754="me",0,IF(G2754&gt;0,(VLOOKUP(A2754,'Discount Lookup'!J:K,2)*G2754),0))))</f>
        <v>0</v>
      </c>
      <c r="AJ2754" s="513" t="str">
        <f t="shared" ca="1" si="2119"/>
        <v/>
      </c>
      <c r="AK2754" s="700" t="str">
        <f t="shared" si="2120"/>
        <v/>
      </c>
      <c r="AL2754" s="700"/>
      <c r="AM2754" s="505" t="str">
        <f t="shared" si="2121"/>
        <v/>
      </c>
      <c r="AN2754" s="506"/>
      <c r="AO2754" s="507"/>
      <c r="AP2754" s="507"/>
      <c r="AQ2754" s="507"/>
      <c r="AR2754" s="507"/>
      <c r="AS2754" s="507"/>
      <c r="AT2754" s="507"/>
      <c r="AU2754" s="507"/>
      <c r="AV2754" s="225"/>
      <c r="AW2754" s="508"/>
      <c r="AX2754" s="225"/>
      <c r="AY2754" s="225"/>
      <c r="AZ2754" s="225"/>
      <c r="BA2754" s="225"/>
      <c r="BB2754" s="225"/>
      <c r="BC2754" s="56"/>
      <c r="BD2754" s="56"/>
      <c r="BE2754" s="56"/>
      <c r="BF2754" s="107" t="str">
        <f t="shared" si="2122"/>
        <v>https://www.google.com/search?tbm=isch&amp;q=1%20G6</v>
      </c>
      <c r="BG2754" s="107" t="str">
        <f t="shared" si="2123"/>
        <v>P</v>
      </c>
      <c r="BH2754" s="254"/>
      <c r="BI2754" s="254"/>
    </row>
    <row r="2755" spans="1:61" customFormat="1" ht="17.25" thickBot="1" x14ac:dyDescent="0.3">
      <c r="A2755" s="524" t="s">
        <v>4550</v>
      </c>
      <c r="B2755" s="245"/>
      <c r="C2755" s="677"/>
      <c r="D2755" s="499"/>
      <c r="E2755" s="499"/>
      <c r="F2755" s="500"/>
      <c r="G2755" s="501"/>
      <c r="H2755" s="502"/>
      <c r="I2755" s="246"/>
      <c r="J2755" s="247"/>
      <c r="K2755" s="503"/>
      <c r="L2755" s="544"/>
      <c r="M2755" s="544"/>
      <c r="N2755" s="500"/>
      <c r="O2755" s="500"/>
      <c r="P2755" s="500"/>
      <c r="Q2755" s="500"/>
      <c r="R2755" s="500"/>
      <c r="S2755" s="665" t="s">
        <v>4998</v>
      </c>
      <c r="T2755" s="508">
        <f t="shared" si="2111"/>
        <v>0</v>
      </c>
      <c r="U2755" s="225" t="str">
        <f>IF(NOT(ISNUMBER(G2755)), "", VLOOKUP(A2755,'Discount Lookup'!D:E,2,FALSE)*G2755)</f>
        <v/>
      </c>
      <c r="V2755" s="225" t="str">
        <f>IF(NOT(ISNUMBER(G2755)), "", VLOOKUP(A2755,'Discount Lookup'!G:H,2,FALSE)*G2755)</f>
        <v/>
      </c>
      <c r="W2755" s="508">
        <f t="shared" si="2112"/>
        <v>0</v>
      </c>
      <c r="X2755" s="508">
        <f t="shared" si="2113"/>
        <v>0</v>
      </c>
      <c r="Y2755" s="509" t="b">
        <f t="shared" si="2114"/>
        <v>0</v>
      </c>
      <c r="Z2755" s="510">
        <f t="shared" si="2115"/>
        <v>0</v>
      </c>
      <c r="AA2755" s="511"/>
      <c r="AB2755" s="511" t="str">
        <f t="shared" si="2116"/>
        <v/>
      </c>
      <c r="AC2755" s="698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698"/>
      <c r="AE2755" s="631" t="str">
        <f t="shared" si="2117"/>
        <v/>
      </c>
      <c r="AF2755" s="699" t="str">
        <f t="shared" si="2118"/>
        <v/>
      </c>
      <c r="AG2755" s="699"/>
      <c r="AH2755" s="699"/>
      <c r="AI2755" s="512">
        <f>IF(H2755="credit",0,IF(AE2755="free",0,IF(AE2755="me",0,IF(G2755&gt;0,(VLOOKUP(A2755,'Discount Lookup'!J:K,2)*G2755),0))))</f>
        <v>0</v>
      </c>
      <c r="AJ2755" s="513" t="str">
        <f t="shared" ca="1" si="2119"/>
        <v/>
      </c>
      <c r="AK2755" s="700" t="str">
        <f t="shared" si="2120"/>
        <v/>
      </c>
      <c r="AL2755" s="700"/>
      <c r="AM2755" s="505" t="str">
        <f t="shared" si="2121"/>
        <v/>
      </c>
      <c r="AN2755" s="506"/>
      <c r="AO2755" s="507"/>
      <c r="AP2755" s="507"/>
      <c r="AQ2755" s="507"/>
      <c r="AR2755" s="507"/>
      <c r="AS2755" s="507"/>
      <c r="AT2755" s="507"/>
      <c r="AU2755" s="507"/>
      <c r="AV2755" s="225"/>
      <c r="AW2755" s="508"/>
      <c r="AX2755" s="225"/>
      <c r="AY2755" s="225"/>
      <c r="AZ2755" s="225"/>
      <c r="BA2755" s="225"/>
      <c r="BB2755" s="225"/>
      <c r="BC2755" s="56"/>
      <c r="BD2755" s="56"/>
      <c r="BE2755" s="56"/>
      <c r="BF2755" s="107" t="str">
        <f t="shared" si="2122"/>
        <v>https://www.google.com/search?tbm=isch&amp;q=Paprika%20offers%20a%20long%20lasting%2C%20vivid%20bloom%20with%20a%20spcy%2C%20herbal%20fern-like%20scent%20</v>
      </c>
      <c r="BG2755" s="107" t="str">
        <f t="shared" si="2123"/>
        <v>P</v>
      </c>
      <c r="BH2755" s="254"/>
      <c r="BI2755" s="254"/>
    </row>
    <row r="2756" spans="1:61" customFormat="1" ht="18" x14ac:dyDescent="0.25">
      <c r="A2756" s="523" t="s">
        <v>3267</v>
      </c>
      <c r="B2756" s="235"/>
      <c r="C2756" s="676"/>
      <c r="D2756" s="255" t="s">
        <v>3268</v>
      </c>
      <c r="E2756" s="236"/>
      <c r="F2756" s="236"/>
      <c r="G2756" s="236"/>
      <c r="H2756" s="582" t="s">
        <v>2947</v>
      </c>
      <c r="I2756" s="498" t="s">
        <v>3269</v>
      </c>
      <c r="J2756" s="237"/>
      <c r="K2756" s="237"/>
      <c r="L2756" s="274"/>
      <c r="M2756" s="668" t="s">
        <v>4975</v>
      </c>
      <c r="N2756" s="681" t="str">
        <f>IF(AND(ISTEXT($A2756), ISERROR($A2756+0)), HYPERLINK($BF2756, "Images"), "")</f>
        <v>Images</v>
      </c>
      <c r="O2756" s="663" t="s">
        <v>4974</v>
      </c>
      <c r="P2756" s="253"/>
      <c r="Q2756" s="238"/>
      <c r="R2756" s="239"/>
      <c r="S2756" s="275"/>
      <c r="T2756" s="508">
        <f t="shared" si="2111"/>
        <v>0</v>
      </c>
      <c r="U2756" s="225" t="str">
        <f>IF(NOT(ISNUMBER(G2756)), "", VLOOKUP(A2756,'Discount Lookup'!D:E,2,FALSE)*G2756)</f>
        <v/>
      </c>
      <c r="V2756" s="225" t="str">
        <f>IF(NOT(ISNUMBER(G2756)), "", VLOOKUP(A2756,'Discount Lookup'!G:H,2,FALSE)*G2756)</f>
        <v/>
      </c>
      <c r="W2756" s="508">
        <f t="shared" si="2112"/>
        <v>0</v>
      </c>
      <c r="X2756" s="508" t="str">
        <f t="shared" si="2113"/>
        <v>Red bloom, Lime throat</v>
      </c>
      <c r="Y2756" s="509" t="b">
        <f t="shared" si="2114"/>
        <v>0</v>
      </c>
      <c r="Z2756" s="510">
        <f t="shared" si="2115"/>
        <v>0</v>
      </c>
      <c r="AA2756" s="511"/>
      <c r="AB2756" s="511" t="str">
        <f t="shared" si="2116"/>
        <v/>
      </c>
      <c r="AC2756" s="698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698"/>
      <c r="AE2756" s="631" t="str">
        <f t="shared" si="2117"/>
        <v/>
      </c>
      <c r="AF2756" s="699" t="str">
        <f t="shared" si="2118"/>
        <v/>
      </c>
      <c r="AG2756" s="699"/>
      <c r="AH2756" s="699"/>
      <c r="AI2756" s="512">
        <f>IF(H2756="credit",0,IF(AE2756="free",0,IF(AE2756="me",0,IF(G2756&gt;0,(VLOOKUP(A2756,'Discount Lookup'!J:K,2)*G2756),0))))</f>
        <v>0</v>
      </c>
      <c r="AJ2756" s="513" t="str">
        <f t="shared" ca="1" si="2119"/>
        <v/>
      </c>
      <c r="AK2756" s="700" t="str">
        <f t="shared" si="2120"/>
        <v/>
      </c>
      <c r="AL2756" s="700"/>
      <c r="AM2756" s="505" t="str">
        <f t="shared" si="2121"/>
        <v/>
      </c>
      <c r="AN2756" s="506"/>
      <c r="AO2756" s="507"/>
      <c r="AP2756" s="507"/>
      <c r="AQ2756" s="507"/>
      <c r="AR2756" s="507"/>
      <c r="AS2756" s="507"/>
      <c r="AT2756" s="507"/>
      <c r="AU2756" s="507"/>
      <c r="AV2756" s="225"/>
      <c r="AW2756" s="508"/>
      <c r="AX2756" s="225"/>
      <c r="AY2756" s="225"/>
      <c r="AZ2756" s="225"/>
      <c r="BA2756" s="225"/>
      <c r="BB2756" s="225"/>
      <c r="BC2756" s="56"/>
      <c r="BD2756" s="56"/>
      <c r="BE2756" s="56"/>
      <c r="BF2756" s="107" t="str">
        <f t="shared" si="2122"/>
        <v>https://www.google.com/search?tbm=isch&amp;q=Pardon%20Me%20Daylily%20Hemerocallis%20%27Pardon%20Me%27</v>
      </c>
      <c r="BG2756" s="107" t="str">
        <f t="shared" si="2123"/>
        <v>P</v>
      </c>
      <c r="BH2756" s="254"/>
      <c r="BI2756" s="254"/>
    </row>
    <row r="2757" spans="1:61" customFormat="1" ht="15.75" x14ac:dyDescent="0.25">
      <c r="A2757" s="276">
        <v>1</v>
      </c>
      <c r="B2757" s="240" t="s">
        <v>291</v>
      </c>
      <c r="C2757" s="241" t="s">
        <v>1453</v>
      </c>
      <c r="D2757" s="242" t="s">
        <v>297</v>
      </c>
      <c r="E2757" s="243">
        <v>8.9499999999999993</v>
      </c>
      <c r="F2757" s="517" t="s">
        <v>293</v>
      </c>
      <c r="G2757" s="232">
        <v>0</v>
      </c>
      <c r="H2757" s="661" t="str">
        <f>IF(G2757=0,"",IF(F2757="Buy",IF(G2757=1,"plant","plants"),IF(F2757&gt;0.01,"warranty","Error")))</f>
        <v/>
      </c>
      <c r="I2757" s="244">
        <f>IF(H2757="free",0,IF(H2757="credit",((E2757*(F2757))*G2757*-1),IF(F2757="Buy",(E2757*G2757),((E2757*(1-F2757))*G2757))))</f>
        <v>0</v>
      </c>
      <c r="J2757" s="244">
        <f>IF(H2757="warranty",0,(I2757*(_xlfn.SINGLE(SalesTaxPercentage))))</f>
        <v>0</v>
      </c>
      <c r="K2757" s="696">
        <f t="shared" ref="K2757" si="2149">I2757+J2757</f>
        <v>0</v>
      </c>
      <c r="L2757" s="696"/>
      <c r="M2757" s="659" t="str">
        <f>IF(AND(G2757&gt;0,E2757=0),"WARNING - no PRICE inserted",IF(H2757="free"," FREE ~ no charge this plant",IF(H2757="credit",CONCATENATE(" -$",ROUND(K2757*(1-T2GDiscount)*-1,2)," CREDIT after discount"),IF(T2GDiscount=0,"",IF(G2757=0,"",IF(F2757="Buy",CONCATENATE(" $",ROUND(K2757*(1-T2GDiscount),2)," with ",(T2GDiscount*100),"% discount"),CONCATENATE(" $",ROUND(K2757*(1-T2GDiscount),2)," with ",((T2GDiscount*100+F2757*100)-(T2GDiscount*100*F2757)),IF(F2757&gt;0,"% discounts",IF(NoWarrantyDiscount&gt;0,"% discounts","% discount")))))))))</f>
        <v/>
      </c>
      <c r="N2757" s="660"/>
      <c r="O2757" s="233"/>
      <c r="P2757" s="233"/>
      <c r="Q2757" s="233"/>
      <c r="R2757" s="233"/>
      <c r="S2757" s="233"/>
      <c r="T2757" s="508">
        <f t="shared" si="2111"/>
        <v>0</v>
      </c>
      <c r="U2757" s="225">
        <f>IF(NOT(ISNUMBER(G2757)), "", VLOOKUP(A2757,'Discount Lookup'!D:E,2,FALSE)*G2757)</f>
        <v>0</v>
      </c>
      <c r="V2757" s="225">
        <f>IF(NOT(ISNUMBER(G2757)), "", VLOOKUP(A2757,'Discount Lookup'!G:H,2,FALSE)*G2757)</f>
        <v>0</v>
      </c>
      <c r="W2757" s="508">
        <f t="shared" si="2112"/>
        <v>0</v>
      </c>
      <c r="X2757" s="508">
        <f t="shared" si="2113"/>
        <v>0</v>
      </c>
      <c r="Y2757" s="509" t="b">
        <f t="shared" si="2114"/>
        <v>0</v>
      </c>
      <c r="Z2757" s="510">
        <f t="shared" si="2115"/>
        <v>0</v>
      </c>
      <c r="AA2757" s="511"/>
      <c r="AB2757" s="511" t="str">
        <f t="shared" si="2116"/>
        <v/>
      </c>
      <c r="AC2757" s="698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698"/>
      <c r="AE2757" s="631" t="str">
        <f t="shared" si="2117"/>
        <v/>
      </c>
      <c r="AF2757" s="699" t="str">
        <f t="shared" si="2118"/>
        <v/>
      </c>
      <c r="AG2757" s="699"/>
      <c r="AH2757" s="699"/>
      <c r="AI2757" s="512">
        <f>IF(H2757="credit",0,IF(AE2757="free",0,IF(AE2757="me",0,IF(G2757&gt;0,(VLOOKUP(A2757,'Discount Lookup'!J:K,2)*G2757),0))))</f>
        <v>0</v>
      </c>
      <c r="AJ2757" s="513" t="str">
        <f t="shared" ca="1" si="2119"/>
        <v/>
      </c>
      <c r="AK2757" s="700" t="str">
        <f t="shared" si="2120"/>
        <v/>
      </c>
      <c r="AL2757" s="700"/>
      <c r="AM2757" s="505" t="str">
        <f t="shared" si="2121"/>
        <v/>
      </c>
      <c r="AN2757" s="506"/>
      <c r="AO2757" s="507"/>
      <c r="AP2757" s="507"/>
      <c r="AQ2757" s="507"/>
      <c r="AR2757" s="507"/>
      <c r="AS2757" s="507"/>
      <c r="AT2757" s="507"/>
      <c r="AU2757" s="507"/>
      <c r="AV2757" s="225"/>
      <c r="AW2757" s="508"/>
      <c r="AX2757" s="225"/>
      <c r="AY2757" s="225"/>
      <c r="AZ2757" s="225"/>
      <c r="BA2757" s="225"/>
      <c r="BB2757" s="225"/>
      <c r="BC2757" s="56"/>
      <c r="BD2757" s="56"/>
      <c r="BE2757" s="56"/>
      <c r="BF2757" s="107" t="str">
        <f t="shared" si="2122"/>
        <v>https://www.google.com/search?tbm=isch&amp;q=1%20G3</v>
      </c>
      <c r="BG2757" s="107" t="str">
        <f t="shared" si="2123"/>
        <v>P</v>
      </c>
      <c r="BH2757" s="254"/>
      <c r="BI2757" s="254"/>
    </row>
    <row r="2758" spans="1:61" customFormat="1" ht="17.25" thickBot="1" x14ac:dyDescent="0.3">
      <c r="A2758" s="673" t="s">
        <v>5197</v>
      </c>
      <c r="B2758" s="245"/>
      <c r="C2758" s="677"/>
      <c r="D2758" s="499"/>
      <c r="E2758" s="499"/>
      <c r="F2758" s="500"/>
      <c r="G2758" s="501"/>
      <c r="H2758" s="502"/>
      <c r="I2758" s="246"/>
      <c r="J2758" s="247"/>
      <c r="K2758" s="503"/>
      <c r="L2758" s="544"/>
      <c r="M2758" s="544"/>
      <c r="N2758" s="500"/>
      <c r="O2758" s="500"/>
      <c r="P2758" s="500"/>
      <c r="Q2758" s="500"/>
      <c r="R2758" s="500"/>
      <c r="S2758" s="669" t="s">
        <v>4976</v>
      </c>
      <c r="T2758" s="508">
        <f t="shared" si="2111"/>
        <v>0</v>
      </c>
      <c r="U2758" s="225" t="str">
        <f>IF(NOT(ISNUMBER(G2758)), "", VLOOKUP(A2758,'Discount Lookup'!D:E,2,FALSE)*G2758)</f>
        <v/>
      </c>
      <c r="V2758" s="225" t="str">
        <f>IF(NOT(ISNUMBER(G2758)), "", VLOOKUP(A2758,'Discount Lookup'!G:H,2,FALSE)*G2758)</f>
        <v/>
      </c>
      <c r="W2758" s="508">
        <f t="shared" si="2112"/>
        <v>0</v>
      </c>
      <c r="X2758" s="508">
        <f t="shared" si="2113"/>
        <v>0</v>
      </c>
      <c r="Y2758" s="509" t="b">
        <f t="shared" si="2114"/>
        <v>0</v>
      </c>
      <c r="Z2758" s="510">
        <f t="shared" si="2115"/>
        <v>0</v>
      </c>
      <c r="AA2758" s="511"/>
      <c r="AB2758" s="511" t="str">
        <f t="shared" si="2116"/>
        <v/>
      </c>
      <c r="AC2758" s="698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698"/>
      <c r="AE2758" s="631" t="str">
        <f t="shared" si="2117"/>
        <v/>
      </c>
      <c r="AF2758" s="699" t="str">
        <f t="shared" si="2118"/>
        <v/>
      </c>
      <c r="AG2758" s="699"/>
      <c r="AH2758" s="699"/>
      <c r="AI2758" s="512">
        <f>IF(H2758="credit",0,IF(AE2758="free",0,IF(AE2758="me",0,IF(G2758&gt;0,(VLOOKUP(A2758,'Discount Lookup'!J:K,2)*G2758),0))))</f>
        <v>0</v>
      </c>
      <c r="AJ2758" s="513" t="str">
        <f t="shared" ca="1" si="2119"/>
        <v/>
      </c>
      <c r="AK2758" s="700" t="str">
        <f t="shared" si="2120"/>
        <v/>
      </c>
      <c r="AL2758" s="700"/>
      <c r="AM2758" s="505" t="str">
        <f t="shared" si="2121"/>
        <v/>
      </c>
      <c r="AN2758" s="506"/>
      <c r="AO2758" s="507"/>
      <c r="AP2758" s="507"/>
      <c r="AQ2758" s="507"/>
      <c r="AR2758" s="507"/>
      <c r="AS2758" s="507"/>
      <c r="AT2758" s="507"/>
      <c r="AU2758" s="507"/>
      <c r="AV2758" s="225"/>
      <c r="AW2758" s="508"/>
      <c r="AX2758" s="225"/>
      <c r="AY2758" s="225"/>
      <c r="AZ2758" s="225"/>
      <c r="BA2758" s="225"/>
      <c r="BB2758" s="225"/>
      <c r="BC2758" s="56"/>
      <c r="BD2758" s="56"/>
      <c r="BE2758" s="56"/>
      <c r="BF2758" s="107" t="str">
        <f t="shared" si="2122"/>
        <v>https://www.google.com/search?tbm=isch&amp;q=wet%20sites%F0%9F%92%A7OK%2C%20Pardon%20Me%20has%20a%20rich%2C%20velvety%20texture%20to%20the%20bloom%2C%20with%20a%20fragrance.%20Repeat%20bloomers%20</v>
      </c>
      <c r="BG2758" s="107" t="str">
        <f t="shared" si="2123"/>
        <v>w</v>
      </c>
      <c r="BH2758" s="254"/>
      <c r="BI2758" s="254"/>
    </row>
    <row r="2759" spans="1:61" customFormat="1" ht="18" x14ac:dyDescent="0.25">
      <c r="A2759" s="523" t="s">
        <v>1481</v>
      </c>
      <c r="B2759" s="235"/>
      <c r="C2759" s="676"/>
      <c r="D2759" s="255" t="s">
        <v>1482</v>
      </c>
      <c r="E2759" s="236"/>
      <c r="F2759" s="236"/>
      <c r="G2759" s="236"/>
      <c r="H2759" s="582" t="s">
        <v>4253</v>
      </c>
      <c r="I2759" s="498" t="s">
        <v>4138</v>
      </c>
      <c r="J2759" s="237"/>
      <c r="K2759" s="237"/>
      <c r="L2759" s="274"/>
      <c r="M2759" s="668" t="s">
        <v>4964</v>
      </c>
      <c r="N2759" s="681" t="str">
        <f>IF(AND(ISTEXT($A2759), ISERROR($A2759+0)), HYPERLINK($BF2759, "Images"), "")</f>
        <v>Images</v>
      </c>
      <c r="O2759" s="663" t="s">
        <v>4971</v>
      </c>
      <c r="P2759" s="253"/>
      <c r="Q2759" s="238"/>
      <c r="R2759" s="239"/>
      <c r="S2759" s="275"/>
      <c r="T2759" s="508">
        <f t="shared" si="2111"/>
        <v>0</v>
      </c>
      <c r="U2759" s="225" t="str">
        <f>IF(NOT(ISNUMBER(G2759)), "", VLOOKUP(A2759,'Discount Lookup'!D:E,2,FALSE)*G2759)</f>
        <v/>
      </c>
      <c r="V2759" s="225" t="str">
        <f>IF(NOT(ISNUMBER(G2759)), "", VLOOKUP(A2759,'Discount Lookup'!G:H,2,FALSE)*G2759)</f>
        <v/>
      </c>
      <c r="W2759" s="508">
        <f t="shared" si="2112"/>
        <v>0</v>
      </c>
      <c r="X2759" s="508" t="str">
        <f t="shared" si="2113"/>
        <v>Lavender-Blue bloom</v>
      </c>
      <c r="Y2759" s="509" t="b">
        <f t="shared" si="2114"/>
        <v>0</v>
      </c>
      <c r="Z2759" s="510">
        <f t="shared" si="2115"/>
        <v>0</v>
      </c>
      <c r="AA2759" s="511"/>
      <c r="AB2759" s="511" t="str">
        <f t="shared" si="2116"/>
        <v/>
      </c>
      <c r="AC2759" s="698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698"/>
      <c r="AE2759" s="631" t="str">
        <f t="shared" si="2117"/>
        <v/>
      </c>
      <c r="AF2759" s="699" t="str">
        <f t="shared" si="2118"/>
        <v/>
      </c>
      <c r="AG2759" s="699"/>
      <c r="AH2759" s="699"/>
      <c r="AI2759" s="512">
        <f>IF(H2759="credit",0,IF(AE2759="free",0,IF(AE2759="me",0,IF(G2759&gt;0,(VLOOKUP(A2759,'Discount Lookup'!J:K,2)*G2759),0))))</f>
        <v>0</v>
      </c>
      <c r="AJ2759" s="513" t="str">
        <f t="shared" ca="1" si="2119"/>
        <v/>
      </c>
      <c r="AK2759" s="700" t="str">
        <f t="shared" si="2120"/>
        <v/>
      </c>
      <c r="AL2759" s="700"/>
      <c r="AM2759" s="505" t="str">
        <f t="shared" si="2121"/>
        <v/>
      </c>
      <c r="AN2759" s="506"/>
      <c r="AO2759" s="507"/>
      <c r="AP2759" s="507"/>
      <c r="AQ2759" s="507"/>
      <c r="AR2759" s="507"/>
      <c r="AS2759" s="507"/>
      <c r="AT2759" s="507"/>
      <c r="AU2759" s="507"/>
      <c r="AV2759" s="225"/>
      <c r="AW2759" s="508"/>
      <c r="AX2759" s="225"/>
      <c r="AY2759" s="225"/>
      <c r="AZ2759" s="225"/>
      <c r="BA2759" s="225"/>
      <c r="BB2759" s="225"/>
      <c r="BC2759" s="56"/>
      <c r="BD2759" s="56"/>
      <c r="BE2759" s="56"/>
      <c r="BF2759" s="107" t="str">
        <f t="shared" si="2122"/>
        <v>https://www.google.com/search?tbm=isch&amp;q=Patriot%20Hosta%20Hosta%20x%20sieboldiana%20%27Patriot%27</v>
      </c>
      <c r="BG2759" s="107" t="str">
        <f t="shared" si="2123"/>
        <v>P</v>
      </c>
      <c r="BH2759" s="254"/>
      <c r="BI2759" s="254"/>
    </row>
    <row r="2760" spans="1:61" customFormat="1" ht="15.75" x14ac:dyDescent="0.25">
      <c r="A2760" s="276">
        <v>1</v>
      </c>
      <c r="B2760" s="240" t="s">
        <v>291</v>
      </c>
      <c r="C2760" s="241" t="s">
        <v>352</v>
      </c>
      <c r="D2760" s="242" t="s">
        <v>297</v>
      </c>
      <c r="E2760" s="243">
        <v>10.95</v>
      </c>
      <c r="F2760" s="517" t="s">
        <v>293</v>
      </c>
      <c r="G2760" s="232">
        <v>0</v>
      </c>
      <c r="H2760" s="661" t="str">
        <f>IF(G2760=0,"",IF(F2760="Buy",IF(G2760=1,"plant","plants"),IF(F2760&gt;0.01,"warranty","Error")))</f>
        <v/>
      </c>
      <c r="I2760" s="244">
        <f>IF(H2760="free",0,IF(H2760="credit",((E2760*(F2760))*G2760*-1),IF(F2760="Buy",(E2760*G2760),((E2760*(1-F2760))*G2760))))</f>
        <v>0</v>
      </c>
      <c r="J2760" s="244">
        <f>IF(H2760="warranty",0,(I2760*(_xlfn.SINGLE(SalesTaxPercentage))))</f>
        <v>0</v>
      </c>
      <c r="K2760" s="696">
        <f t="shared" ref="K2760" si="2150">I2760+J2760</f>
        <v>0</v>
      </c>
      <c r="L2760" s="696"/>
      <c r="M2760" s="659" t="str">
        <f>IF(AND(G2760&gt;0,E2760=0),"WARNING - no PRICE inserted",IF(H2760="free"," FREE ~ no charge this plant",IF(H2760="credit",CONCATENATE(" -$",ROUND(K2760*(1-T2GDiscount)*-1,2)," CREDIT after discount"),IF(T2GDiscount=0,"",IF(G2760=0,"",IF(F2760="Buy",CONCATENATE(" $",ROUND(K2760*(1-T2GDiscount),2)," with ",(T2GDiscount*100),"% discount"),CONCATENATE(" $",ROUND(K2760*(1-T2GDiscount),2)," with ",((T2GDiscount*100+F2760*100)-(T2GDiscount*100*F2760)),IF(F2760&gt;0,"% discounts",IF(NoWarrantyDiscount&gt;0,"% discounts","% discount")))))))))</f>
        <v/>
      </c>
      <c r="N2760" s="660"/>
      <c r="O2760" s="233"/>
      <c r="P2760" s="233"/>
      <c r="Q2760" s="233"/>
      <c r="R2760" s="233"/>
      <c r="S2760" s="233"/>
      <c r="T2760" s="508">
        <f t="shared" si="2111"/>
        <v>0</v>
      </c>
      <c r="U2760" s="225">
        <f>IF(NOT(ISNUMBER(G2760)), "", VLOOKUP(A2760,'Discount Lookup'!D:E,2,FALSE)*G2760)</f>
        <v>0</v>
      </c>
      <c r="V2760" s="225">
        <f>IF(NOT(ISNUMBER(G2760)), "", VLOOKUP(A2760,'Discount Lookup'!G:H,2,FALSE)*G2760)</f>
        <v>0</v>
      </c>
      <c r="W2760" s="508">
        <f t="shared" si="2112"/>
        <v>0</v>
      </c>
      <c r="X2760" s="508">
        <f t="shared" si="2113"/>
        <v>0</v>
      </c>
      <c r="Y2760" s="509" t="b">
        <f t="shared" si="2114"/>
        <v>0</v>
      </c>
      <c r="Z2760" s="510">
        <f t="shared" si="2115"/>
        <v>0</v>
      </c>
      <c r="AA2760" s="511"/>
      <c r="AB2760" s="511" t="str">
        <f t="shared" si="2116"/>
        <v/>
      </c>
      <c r="AC2760" s="698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698"/>
      <c r="AE2760" s="631" t="str">
        <f t="shared" si="2117"/>
        <v/>
      </c>
      <c r="AF2760" s="699" t="str">
        <f t="shared" si="2118"/>
        <v/>
      </c>
      <c r="AG2760" s="699"/>
      <c r="AH2760" s="699"/>
      <c r="AI2760" s="512">
        <f>IF(H2760="credit",0,IF(AE2760="free",0,IF(AE2760="me",0,IF(G2760&gt;0,(VLOOKUP(A2760,'Discount Lookup'!J:K,2)*G2760),0))))</f>
        <v>0</v>
      </c>
      <c r="AJ2760" s="513" t="str">
        <f t="shared" ca="1" si="2119"/>
        <v/>
      </c>
      <c r="AK2760" s="700" t="str">
        <f t="shared" si="2120"/>
        <v/>
      </c>
      <c r="AL2760" s="700"/>
      <c r="AM2760" s="505" t="str">
        <f t="shared" si="2121"/>
        <v/>
      </c>
      <c r="AN2760" s="506"/>
      <c r="AO2760" s="507"/>
      <c r="AP2760" s="507"/>
      <c r="AQ2760" s="507"/>
      <c r="AR2760" s="507"/>
      <c r="AS2760" s="507"/>
      <c r="AT2760" s="507"/>
      <c r="AU2760" s="507"/>
      <c r="AV2760" s="225"/>
      <c r="AW2760" s="508"/>
      <c r="AX2760" s="225"/>
      <c r="AY2760" s="225"/>
      <c r="AZ2760" s="225"/>
      <c r="BA2760" s="225"/>
      <c r="BB2760" s="225"/>
      <c r="BC2760" s="56"/>
      <c r="BD2760" s="56"/>
      <c r="BE2760" s="56"/>
      <c r="BF2760" s="107" t="str">
        <f t="shared" si="2122"/>
        <v>https://www.google.com/search?tbm=isch&amp;q=1%20G3</v>
      </c>
      <c r="BG2760" s="107" t="str">
        <f t="shared" si="2123"/>
        <v>P</v>
      </c>
      <c r="BH2760" s="254"/>
      <c r="BI2760" s="254"/>
    </row>
    <row r="2761" spans="1:61" customFormat="1" ht="15.75" x14ac:dyDescent="0.25">
      <c r="A2761" s="276">
        <v>1</v>
      </c>
      <c r="B2761" s="240" t="s">
        <v>291</v>
      </c>
      <c r="C2761" s="241" t="s">
        <v>1483</v>
      </c>
      <c r="D2761" s="242" t="s">
        <v>299</v>
      </c>
      <c r="E2761" s="243">
        <v>10.95</v>
      </c>
      <c r="F2761" s="517" t="s">
        <v>293</v>
      </c>
      <c r="G2761" s="232">
        <v>0</v>
      </c>
      <c r="H2761" s="661" t="str">
        <f>IF(G2761=0,"",IF(F2761="Buy",IF(G2761=1,"plant","plants"),IF(F2761&gt;0.01,"warranty","Error")))</f>
        <v/>
      </c>
      <c r="I2761" s="244">
        <f>IF(H2761="free",0,IF(H2761="credit",((E2761*(F2761))*G2761*-1),IF(F2761="Buy",(E2761*G2761),((E2761*(1-F2761))*G2761))))</f>
        <v>0</v>
      </c>
      <c r="J2761" s="244">
        <f>IF(H2761="warranty",0,(I2761*(_xlfn.SINGLE(SalesTaxPercentage))))</f>
        <v>0</v>
      </c>
      <c r="K2761" s="696">
        <f t="shared" ref="K2761" si="2151">I2761+J2761</f>
        <v>0</v>
      </c>
      <c r="L2761" s="696"/>
      <c r="M2761" s="659" t="str">
        <f>IF(AND(G2761&gt;0,E2761=0),"WARNING - no PRICE inserted",IF(H2761="free"," FREE ~ no charge this plant",IF(H2761="credit",CONCATENATE(" -$",ROUND(K2761*(1-T2GDiscount)*-1,2)," CREDIT after discount"),IF(T2GDiscount=0,"",IF(G2761=0,"",IF(F2761="Buy",CONCATENATE(" $",ROUND(K2761*(1-T2GDiscount),2)," with ",(T2GDiscount*100),"% discount"),CONCATENATE(" $",ROUND(K2761*(1-T2GDiscount),2)," with ",((T2GDiscount*100+F2761*100)-(T2GDiscount*100*F2761)),IF(F2761&gt;0,"% discounts",IF(NoWarrantyDiscount&gt;0,"% discounts","% discount")))))))))</f>
        <v/>
      </c>
      <c r="N2761" s="660"/>
      <c r="O2761" s="233"/>
      <c r="P2761" s="233"/>
      <c r="Q2761" s="233"/>
      <c r="R2761" s="233"/>
      <c r="S2761" s="233"/>
      <c r="T2761" s="508">
        <f t="shared" si="2111"/>
        <v>0</v>
      </c>
      <c r="U2761" s="225">
        <f>IF(NOT(ISNUMBER(G2761)), "", VLOOKUP(A2761,'Discount Lookup'!D:E,2,FALSE)*G2761)</f>
        <v>0</v>
      </c>
      <c r="V2761" s="225">
        <f>IF(NOT(ISNUMBER(G2761)), "", VLOOKUP(A2761,'Discount Lookup'!G:H,2,FALSE)*G2761)</f>
        <v>0</v>
      </c>
      <c r="W2761" s="508">
        <f t="shared" si="2112"/>
        <v>0</v>
      </c>
      <c r="X2761" s="508">
        <f t="shared" si="2113"/>
        <v>0</v>
      </c>
      <c r="Y2761" s="509" t="b">
        <f t="shared" si="2114"/>
        <v>0</v>
      </c>
      <c r="Z2761" s="510">
        <f t="shared" si="2115"/>
        <v>0</v>
      </c>
      <c r="AA2761" s="511"/>
      <c r="AB2761" s="511" t="str">
        <f t="shared" si="2116"/>
        <v/>
      </c>
      <c r="AC2761" s="698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698"/>
      <c r="AE2761" s="631" t="str">
        <f t="shared" si="2117"/>
        <v/>
      </c>
      <c r="AF2761" s="699" t="str">
        <f t="shared" si="2118"/>
        <v/>
      </c>
      <c r="AG2761" s="699"/>
      <c r="AH2761" s="699"/>
      <c r="AI2761" s="512">
        <f>IF(H2761="credit",0,IF(AE2761="free",0,IF(AE2761="me",0,IF(G2761&gt;0,(VLOOKUP(A2761,'Discount Lookup'!J:K,2)*G2761),0))))</f>
        <v>0</v>
      </c>
      <c r="AJ2761" s="513" t="str">
        <f t="shared" ca="1" si="2119"/>
        <v/>
      </c>
      <c r="AK2761" s="700" t="str">
        <f t="shared" si="2120"/>
        <v/>
      </c>
      <c r="AL2761" s="700"/>
      <c r="AM2761" s="505" t="str">
        <f t="shared" si="2121"/>
        <v/>
      </c>
      <c r="AN2761" s="506"/>
      <c r="AO2761" s="507"/>
      <c r="AP2761" s="507"/>
      <c r="AQ2761" s="507"/>
      <c r="AR2761" s="507"/>
      <c r="AS2761" s="507"/>
      <c r="AT2761" s="507"/>
      <c r="AU2761" s="507"/>
      <c r="AV2761" s="225"/>
      <c r="AW2761" s="508"/>
      <c r="AX2761" s="225"/>
      <c r="AY2761" s="225"/>
      <c r="AZ2761" s="225"/>
      <c r="BA2761" s="225"/>
      <c r="BB2761" s="225"/>
      <c r="BC2761" s="56"/>
      <c r="BD2761" s="56"/>
      <c r="BE2761" s="56"/>
      <c r="BF2761" s="107" t="str">
        <f t="shared" si="2122"/>
        <v>https://www.google.com/search?tbm=isch&amp;q=1%20G5</v>
      </c>
      <c r="BG2761" s="107" t="str">
        <f t="shared" si="2123"/>
        <v>P</v>
      </c>
      <c r="BH2761" s="254"/>
      <c r="BI2761" s="254"/>
    </row>
    <row r="2762" spans="1:61" customFormat="1" ht="15.75" x14ac:dyDescent="0.25">
      <c r="A2762" s="276">
        <v>1</v>
      </c>
      <c r="B2762" s="240" t="s">
        <v>291</v>
      </c>
      <c r="C2762" s="241"/>
      <c r="D2762" s="242" t="s">
        <v>300</v>
      </c>
      <c r="E2762" s="243">
        <v>17.95</v>
      </c>
      <c r="F2762" s="517" t="s">
        <v>293</v>
      </c>
      <c r="G2762" s="232">
        <v>0</v>
      </c>
      <c r="H2762" s="661" t="str">
        <f>IF(G2762=0,"",IF(F2762="Buy",IF(G2762=1,"plant","plants"),IF(F2762&gt;0.01,"warranty","Error")))</f>
        <v/>
      </c>
      <c r="I2762" s="244">
        <f>IF(H2762="free",0,IF(H2762="credit",((E2762*(F2762))*G2762*-1),IF(F2762="Buy",(E2762*G2762),((E2762*(1-F2762))*G2762))))</f>
        <v>0</v>
      </c>
      <c r="J2762" s="244">
        <f>IF(H2762="warranty",0,(I2762*(_xlfn.SINGLE(SalesTaxPercentage))))</f>
        <v>0</v>
      </c>
      <c r="K2762" s="696">
        <f t="shared" ref="K2762" si="2152">I2762+J2762</f>
        <v>0</v>
      </c>
      <c r="L2762" s="696"/>
      <c r="M2762" s="659" t="str">
        <f>IF(AND(G2762&gt;0,E2762=0),"WARNING - no PRICE inserted",IF(H2762="free"," FREE ~ no charge this plant",IF(H2762="credit",CONCATENATE(" -$",ROUND(K2762*(1-T2GDiscount)*-1,2)," CREDIT after discount"),IF(T2GDiscount=0,"",IF(G2762=0,"",IF(F2762="Buy",CONCATENATE(" $",ROUND(K2762*(1-T2GDiscount),2)," with ",(T2GDiscount*100),"% discount"),CONCATENATE(" $",ROUND(K2762*(1-T2GDiscount),2)," with ",((T2GDiscount*100+F2762*100)-(T2GDiscount*100*F2762)),IF(F2762&gt;0,"% discounts",IF(NoWarrantyDiscount&gt;0,"% discounts","% discount")))))))))</f>
        <v/>
      </c>
      <c r="N2762" s="660"/>
      <c r="O2762" s="233"/>
      <c r="P2762" s="233"/>
      <c r="Q2762" s="233"/>
      <c r="R2762" s="233"/>
      <c r="S2762" s="233"/>
      <c r="T2762" s="508">
        <f t="shared" si="2111"/>
        <v>0</v>
      </c>
      <c r="U2762" s="225">
        <f>IF(NOT(ISNUMBER(G2762)), "", VLOOKUP(A2762,'Discount Lookup'!D:E,2,FALSE)*G2762)</f>
        <v>0</v>
      </c>
      <c r="V2762" s="225">
        <f>IF(NOT(ISNUMBER(G2762)), "", VLOOKUP(A2762,'Discount Lookup'!G:H,2,FALSE)*G2762)</f>
        <v>0</v>
      </c>
      <c r="W2762" s="508">
        <f t="shared" si="2112"/>
        <v>0</v>
      </c>
      <c r="X2762" s="508">
        <f t="shared" si="2113"/>
        <v>0</v>
      </c>
      <c r="Y2762" s="509" t="b">
        <f t="shared" si="2114"/>
        <v>0</v>
      </c>
      <c r="Z2762" s="510">
        <f t="shared" si="2115"/>
        <v>0</v>
      </c>
      <c r="AA2762" s="511"/>
      <c r="AB2762" s="511" t="str">
        <f t="shared" si="2116"/>
        <v/>
      </c>
      <c r="AC2762" s="698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698"/>
      <c r="AE2762" s="631" t="str">
        <f t="shared" si="2117"/>
        <v/>
      </c>
      <c r="AF2762" s="699" t="str">
        <f t="shared" si="2118"/>
        <v/>
      </c>
      <c r="AG2762" s="699"/>
      <c r="AH2762" s="699"/>
      <c r="AI2762" s="512">
        <f>IF(H2762="credit",0,IF(AE2762="free",0,IF(AE2762="me",0,IF(G2762&gt;0,(VLOOKUP(A2762,'Discount Lookup'!J:K,2)*G2762),0))))</f>
        <v>0</v>
      </c>
      <c r="AJ2762" s="513" t="str">
        <f t="shared" ca="1" si="2119"/>
        <v/>
      </c>
      <c r="AK2762" s="700" t="str">
        <f t="shared" si="2120"/>
        <v/>
      </c>
      <c r="AL2762" s="700"/>
      <c r="AM2762" s="505" t="str">
        <f t="shared" si="2121"/>
        <v/>
      </c>
      <c r="AN2762" s="506"/>
      <c r="AO2762" s="507"/>
      <c r="AP2762" s="507"/>
      <c r="AQ2762" s="507"/>
      <c r="AR2762" s="507"/>
      <c r="AS2762" s="507"/>
      <c r="AT2762" s="507"/>
      <c r="AU2762" s="507"/>
      <c r="AV2762" s="225"/>
      <c r="AW2762" s="508"/>
      <c r="AX2762" s="225"/>
      <c r="AY2762" s="225"/>
      <c r="AZ2762" s="225"/>
      <c r="BA2762" s="225"/>
      <c r="BB2762" s="225"/>
      <c r="BC2762" s="56"/>
      <c r="BD2762" s="56"/>
      <c r="BE2762" s="56"/>
      <c r="BF2762" s="107" t="str">
        <f t="shared" si="2122"/>
        <v>https://www.google.com/search?tbm=isch&amp;q=1%20G6</v>
      </c>
      <c r="BG2762" s="107" t="str">
        <f t="shared" si="2123"/>
        <v>P</v>
      </c>
      <c r="BH2762" s="254"/>
      <c r="BI2762" s="254"/>
    </row>
    <row r="2763" spans="1:61" customFormat="1" ht="27" x14ac:dyDescent="0.25">
      <c r="A2763" s="276">
        <v>3</v>
      </c>
      <c r="B2763" s="240" t="s">
        <v>291</v>
      </c>
      <c r="C2763" s="241" t="s">
        <v>4797</v>
      </c>
      <c r="D2763" s="242" t="s">
        <v>292</v>
      </c>
      <c r="E2763" s="243">
        <v>28.95</v>
      </c>
      <c r="F2763" s="517" t="s">
        <v>293</v>
      </c>
      <c r="G2763" s="232">
        <v>0</v>
      </c>
      <c r="H2763" s="661" t="str">
        <f>IF(G2763=0,"",IF(F2763="Buy",IF(G2763=1,"plant","plants"),IF(F2763&gt;0.01,"warranty","Error")))</f>
        <v/>
      </c>
      <c r="I2763" s="244">
        <f>IF(H2763="free",0,IF(H2763="credit",((E2763*(F2763))*G2763*-1),IF(F2763="Buy",(E2763*G2763),((E2763*(1-F2763))*G2763))))</f>
        <v>0</v>
      </c>
      <c r="J2763" s="244">
        <f>IF(H2763="warranty",0,(I2763*(_xlfn.SINGLE(SalesTaxPercentage))))</f>
        <v>0</v>
      </c>
      <c r="K2763" s="696">
        <f t="shared" ref="K2763" si="2153">I2763+J2763</f>
        <v>0</v>
      </c>
      <c r="L2763" s="696"/>
      <c r="M2763" s="659" t="str">
        <f>IF(AND(G2763&gt;0,E2763=0),"WARNING - no PRICE inserted",IF(H2763="free"," FREE ~ no charge this plant",IF(H2763="credit",CONCATENATE(" -$",ROUND(K2763*(1-T2GDiscount)*-1,2)," CREDIT after discount"),IF(T2GDiscount=0,"",IF(G2763=0,"",IF(F2763="Buy",CONCATENATE(" $",ROUND(K2763*(1-T2GDiscount),2)," with ",(T2GDiscount*100),"% discount"),CONCATENATE(" $",ROUND(K2763*(1-T2GDiscount),2)," with ",((T2GDiscount*100+F2763*100)-(T2GDiscount*100*F2763)),IF(F2763&gt;0,"% discounts",IF(NoWarrantyDiscount&gt;0,"% discounts","% discount")))))))))</f>
        <v/>
      </c>
      <c r="N2763" s="660"/>
      <c r="O2763" s="233"/>
      <c r="P2763" s="233"/>
      <c r="Q2763" s="233"/>
      <c r="R2763" s="233"/>
      <c r="S2763" s="233"/>
      <c r="T2763" s="508">
        <f t="shared" si="2111"/>
        <v>0</v>
      </c>
      <c r="U2763" s="225">
        <f>IF(NOT(ISNUMBER(G2763)), "", VLOOKUP(A2763,'Discount Lookup'!D:E,2,FALSE)*G2763)</f>
        <v>0</v>
      </c>
      <c r="V2763" s="225">
        <f>IF(NOT(ISNUMBER(G2763)), "", VLOOKUP(A2763,'Discount Lookup'!G:H,2,FALSE)*G2763)</f>
        <v>0</v>
      </c>
      <c r="W2763" s="508">
        <f t="shared" si="2112"/>
        <v>0</v>
      </c>
      <c r="X2763" s="508">
        <f t="shared" si="2113"/>
        <v>0</v>
      </c>
      <c r="Y2763" s="509" t="b">
        <f t="shared" si="2114"/>
        <v>0</v>
      </c>
      <c r="Z2763" s="510">
        <f t="shared" si="2115"/>
        <v>0</v>
      </c>
      <c r="AA2763" s="511"/>
      <c r="AB2763" s="511" t="str">
        <f t="shared" si="2116"/>
        <v/>
      </c>
      <c r="AC2763" s="698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698"/>
      <c r="AE2763" s="631" t="str">
        <f t="shared" si="2117"/>
        <v/>
      </c>
      <c r="AF2763" s="699" t="str">
        <f t="shared" si="2118"/>
        <v/>
      </c>
      <c r="AG2763" s="699"/>
      <c r="AH2763" s="699"/>
      <c r="AI2763" s="512">
        <f>IF(H2763="credit",0,IF(AE2763="free",0,IF(AE2763="me",0,IF(G2763&gt;0,(VLOOKUP(A2763,'Discount Lookup'!J:K,2)*G2763),0))))</f>
        <v>0</v>
      </c>
      <c r="AJ2763" s="513" t="str">
        <f t="shared" ca="1" si="2119"/>
        <v/>
      </c>
      <c r="AK2763" s="700" t="str">
        <f t="shared" si="2120"/>
        <v/>
      </c>
      <c r="AL2763" s="700"/>
      <c r="AM2763" s="505" t="str">
        <f t="shared" si="2121"/>
        <v/>
      </c>
      <c r="AN2763" s="506"/>
      <c r="AO2763" s="507"/>
      <c r="AP2763" s="507"/>
      <c r="AQ2763" s="507"/>
      <c r="AR2763" s="507"/>
      <c r="AS2763" s="507"/>
      <c r="AT2763" s="507"/>
      <c r="AU2763" s="507"/>
      <c r="AV2763" s="225"/>
      <c r="AW2763" s="508"/>
      <c r="AX2763" s="225"/>
      <c r="AY2763" s="225"/>
      <c r="AZ2763" s="225"/>
      <c r="BA2763" s="225"/>
      <c r="BB2763" s="225"/>
      <c r="BC2763" s="56"/>
      <c r="BD2763" s="56"/>
      <c r="BE2763" s="56"/>
      <c r="BF2763" s="107" t="str">
        <f t="shared" si="2122"/>
        <v>https://www.google.com/search?tbm=isch&amp;q=3%20G4</v>
      </c>
      <c r="BG2763" s="107" t="str">
        <f t="shared" si="2123"/>
        <v>P</v>
      </c>
      <c r="BH2763" s="254"/>
      <c r="BI2763" s="254"/>
    </row>
    <row r="2764" spans="1:61" customFormat="1" ht="17.25" thickBot="1" x14ac:dyDescent="0.3">
      <c r="A2764" s="673" t="s">
        <v>5198</v>
      </c>
      <c r="B2764" s="245"/>
      <c r="C2764" s="677"/>
      <c r="D2764" s="499"/>
      <c r="E2764" s="499"/>
      <c r="F2764" s="500"/>
      <c r="G2764" s="501"/>
      <c r="H2764" s="502"/>
      <c r="I2764" s="246"/>
      <c r="J2764" s="247"/>
      <c r="K2764" s="503"/>
      <c r="L2764" s="544"/>
      <c r="M2764" s="544"/>
      <c r="N2764" s="500"/>
      <c r="O2764" s="500"/>
      <c r="P2764" s="500"/>
      <c r="Q2764" s="500"/>
      <c r="R2764" s="500"/>
      <c r="S2764" s="669" t="s">
        <v>4977</v>
      </c>
      <c r="T2764" s="508">
        <f t="shared" si="2111"/>
        <v>0</v>
      </c>
      <c r="U2764" s="225" t="str">
        <f>IF(NOT(ISNUMBER(G2764)), "", VLOOKUP(A2764,'Discount Lookup'!D:E,2,FALSE)*G2764)</f>
        <v/>
      </c>
      <c r="V2764" s="225" t="str">
        <f>IF(NOT(ISNUMBER(G2764)), "", VLOOKUP(A2764,'Discount Lookup'!G:H,2,FALSE)*G2764)</f>
        <v/>
      </c>
      <c r="W2764" s="508">
        <f t="shared" si="2112"/>
        <v>0</v>
      </c>
      <c r="X2764" s="508">
        <f t="shared" si="2113"/>
        <v>0</v>
      </c>
      <c r="Y2764" s="509" t="b">
        <f t="shared" si="2114"/>
        <v>0</v>
      </c>
      <c r="Z2764" s="510">
        <f t="shared" si="2115"/>
        <v>0</v>
      </c>
      <c r="AA2764" s="511"/>
      <c r="AB2764" s="511" t="str">
        <f t="shared" si="2116"/>
        <v/>
      </c>
      <c r="AC2764" s="698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698"/>
      <c r="AE2764" s="631" t="str">
        <f t="shared" si="2117"/>
        <v/>
      </c>
      <c r="AF2764" s="699" t="str">
        <f t="shared" si="2118"/>
        <v/>
      </c>
      <c r="AG2764" s="699"/>
      <c r="AH2764" s="699"/>
      <c r="AI2764" s="512">
        <f>IF(H2764="credit",0,IF(AE2764="free",0,IF(AE2764="me",0,IF(G2764&gt;0,(VLOOKUP(A2764,'Discount Lookup'!J:K,2)*G2764),0))))</f>
        <v>0</v>
      </c>
      <c r="AJ2764" s="513" t="str">
        <f t="shared" ca="1" si="2119"/>
        <v/>
      </c>
      <c r="AK2764" s="700" t="str">
        <f t="shared" si="2120"/>
        <v/>
      </c>
      <c r="AL2764" s="700"/>
      <c r="AM2764" s="505" t="str">
        <f t="shared" si="2121"/>
        <v/>
      </c>
      <c r="AN2764" s="506"/>
      <c r="AO2764" s="507"/>
      <c r="AP2764" s="507"/>
      <c r="AQ2764" s="507"/>
      <c r="AR2764" s="507"/>
      <c r="AS2764" s="507"/>
      <c r="AT2764" s="507"/>
      <c r="AU2764" s="507"/>
      <c r="AV2764" s="225"/>
      <c r="AW2764" s="508"/>
      <c r="AX2764" s="225"/>
      <c r="AY2764" s="225"/>
      <c r="AZ2764" s="225"/>
      <c r="BA2764" s="225"/>
      <c r="BB2764" s="225"/>
      <c r="BC2764" s="56"/>
      <c r="BD2764" s="56"/>
      <c r="BE2764" s="56"/>
      <c r="BF2764" s="107" t="str">
        <f t="shared" si="2122"/>
        <v>https://www.google.com/search?tbm=isch&amp;q=moist%20sites%F0%9F%92%A7OK%2C%20Patriot%20has%20bold%2C%20Dark%20Green%2C%20heart-shaped%20leaves%20with%20a%20very%20wide%2C%20clean%20White%20margin%20</v>
      </c>
      <c r="BG2764" s="107" t="str">
        <f t="shared" si="2123"/>
        <v>m</v>
      </c>
      <c r="BH2764" s="254"/>
      <c r="BI2764" s="254"/>
    </row>
    <row r="2765" spans="1:61" customFormat="1" ht="18" x14ac:dyDescent="0.25">
      <c r="A2765" s="523" t="s">
        <v>1484</v>
      </c>
      <c r="B2765" s="235"/>
      <c r="C2765" s="676"/>
      <c r="D2765" s="255" t="s">
        <v>1485</v>
      </c>
      <c r="E2765" s="236"/>
      <c r="F2765" s="236"/>
      <c r="G2765" s="236"/>
      <c r="H2765" s="582" t="s">
        <v>370</v>
      </c>
      <c r="I2765" s="498" t="s">
        <v>657</v>
      </c>
      <c r="J2765" s="237"/>
      <c r="K2765" s="237"/>
      <c r="L2765" s="274"/>
      <c r="M2765" s="668" t="s">
        <v>4975</v>
      </c>
      <c r="N2765" s="681" t="str">
        <f>IF(AND(ISTEXT($A2765), ISERROR($A2765+0)), HYPERLINK($BF2765, "Images"), "")</f>
        <v>Images</v>
      </c>
      <c r="O2765" s="663" t="s">
        <v>4969</v>
      </c>
      <c r="P2765" s="253"/>
      <c r="Q2765" s="238"/>
      <c r="R2765" s="239"/>
      <c r="S2765" s="275" t="s">
        <v>305</v>
      </c>
      <c r="T2765" s="508">
        <f t="shared" si="2111"/>
        <v>0</v>
      </c>
      <c r="U2765" s="225" t="str">
        <f>IF(NOT(ISNUMBER(G2765)), "", VLOOKUP(A2765,'Discount Lookup'!D:E,2,FALSE)*G2765)</f>
        <v/>
      </c>
      <c r="V2765" s="225" t="str">
        <f>IF(NOT(ISNUMBER(G2765)), "", VLOOKUP(A2765,'Discount Lookup'!G:H,2,FALSE)*G2765)</f>
        <v/>
      </c>
      <c r="W2765" s="508">
        <f t="shared" si="2112"/>
        <v>0</v>
      </c>
      <c r="X2765" s="508" t="str">
        <f t="shared" si="2113"/>
        <v>Purple bloom</v>
      </c>
      <c r="Y2765" s="509" t="b">
        <f t="shared" si="2114"/>
        <v>0</v>
      </c>
      <c r="Z2765" s="510">
        <f t="shared" si="2115"/>
        <v>0</v>
      </c>
      <c r="AA2765" s="511"/>
      <c r="AB2765" s="511" t="str">
        <f t="shared" si="2116"/>
        <v/>
      </c>
      <c r="AC2765" s="698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698"/>
      <c r="AE2765" s="631" t="str">
        <f t="shared" si="2117"/>
        <v/>
      </c>
      <c r="AF2765" s="699" t="str">
        <f t="shared" si="2118"/>
        <v/>
      </c>
      <c r="AG2765" s="699"/>
      <c r="AH2765" s="699"/>
      <c r="AI2765" s="512">
        <f>IF(H2765="credit",0,IF(AE2765="free",0,IF(AE2765="me",0,IF(G2765&gt;0,(VLOOKUP(A2765,'Discount Lookup'!J:K,2)*G2765),0))))</f>
        <v>0</v>
      </c>
      <c r="AJ2765" s="513" t="str">
        <f t="shared" ca="1" si="2119"/>
        <v/>
      </c>
      <c r="AK2765" s="700" t="str">
        <f t="shared" si="2120"/>
        <v/>
      </c>
      <c r="AL2765" s="700"/>
      <c r="AM2765" s="505" t="str">
        <f t="shared" si="2121"/>
        <v/>
      </c>
      <c r="AN2765" s="506"/>
      <c r="AO2765" s="507"/>
      <c r="AP2765" s="507"/>
      <c r="AQ2765" s="507"/>
      <c r="AR2765" s="507"/>
      <c r="AS2765" s="507"/>
      <c r="AT2765" s="507"/>
      <c r="AU2765" s="507"/>
      <c r="AV2765" s="225"/>
      <c r="AW2765" s="508"/>
      <c r="AX2765" s="225"/>
      <c r="AY2765" s="225"/>
      <c r="AZ2765" s="225"/>
      <c r="BA2765" s="225"/>
      <c r="BB2765" s="225"/>
      <c r="BC2765" s="56"/>
      <c r="BD2765" s="56"/>
      <c r="BE2765" s="56"/>
      <c r="BF2765" s="107" t="str">
        <f t="shared" si="2122"/>
        <v>https://www.google.com/search?tbm=isch&amp;q=Pawpaw%20Tree%20Asimina%20triloba</v>
      </c>
      <c r="BG2765" s="107" t="str">
        <f t="shared" si="2123"/>
        <v>P</v>
      </c>
      <c r="BH2765" s="254"/>
      <c r="BI2765" s="254"/>
    </row>
    <row r="2766" spans="1:61" customFormat="1" ht="15.75" x14ac:dyDescent="0.25">
      <c r="A2766" s="276">
        <v>3</v>
      </c>
      <c r="B2766" s="240" t="s">
        <v>291</v>
      </c>
      <c r="C2766" s="241" t="s">
        <v>2780</v>
      </c>
      <c r="D2766" s="242" t="s">
        <v>299</v>
      </c>
      <c r="E2766" s="243">
        <v>54.95</v>
      </c>
      <c r="F2766" s="517" t="s">
        <v>293</v>
      </c>
      <c r="G2766" s="232">
        <v>0</v>
      </c>
      <c r="H2766" s="661" t="str">
        <f>IF(G2766=0,"",IF(F2766="Buy",IF(G2766=1,"plant","plants"),IF(F2766&gt;0.01,"warranty","Error")))</f>
        <v/>
      </c>
      <c r="I2766" s="244">
        <f>IF(H2766="free",0,IF(H2766="credit",((E2766*(F2766))*G2766*-1),IF(F2766="Buy",(E2766*G2766),((E2766*(1-F2766))*G2766))))</f>
        <v>0</v>
      </c>
      <c r="J2766" s="244">
        <f>IF(H2766="warranty",0,(I2766*(_xlfn.SINGLE(SalesTaxPercentage))))</f>
        <v>0</v>
      </c>
      <c r="K2766" s="696">
        <f t="shared" ref="K2766" si="2154">I2766+J2766</f>
        <v>0</v>
      </c>
      <c r="L2766" s="696"/>
      <c r="M2766" s="659" t="str">
        <f>IF(AND(G2766&gt;0,E2766=0),"WARNING - no PRICE inserted",IF(H2766="free"," FREE ~ no charge this plant",IF(H2766="credit",CONCATENATE(" -$",ROUND(K2766*(1-T2GDiscount)*-1,2)," CREDIT after discount"),IF(T2GDiscount=0,"",IF(G2766=0,"",IF(F2766="Buy",CONCATENATE(" $",ROUND(K2766*(1-T2GDiscount),2)," with ",(T2GDiscount*100),"% discount"),CONCATENATE(" $",ROUND(K2766*(1-T2GDiscount),2)," with ",((T2GDiscount*100+F2766*100)-(T2GDiscount*100*F2766)),IF(F2766&gt;0,"% discounts",IF(NoWarrantyDiscount&gt;0,"% discounts","% discount")))))))))</f>
        <v/>
      </c>
      <c r="N2766" s="660"/>
      <c r="O2766" s="233"/>
      <c r="P2766" s="233"/>
      <c r="Q2766" s="233"/>
      <c r="R2766" s="233"/>
      <c r="S2766" s="233"/>
      <c r="T2766" s="508">
        <f t="shared" ref="T2766:T2829" si="2155">E2766*G2766</f>
        <v>0</v>
      </c>
      <c r="U2766" s="225">
        <f>IF(NOT(ISNUMBER(G2766)), "", VLOOKUP(A2766,'Discount Lookup'!D:E,2,FALSE)*G2766)</f>
        <v>0</v>
      </c>
      <c r="V2766" s="225">
        <f>IF(NOT(ISNUMBER(G2766)), "", VLOOKUP(A2766,'Discount Lookup'!G:H,2,FALSE)*G2766)</f>
        <v>0</v>
      </c>
      <c r="W2766" s="508">
        <f t="shared" ref="W2766:W2829" si="2156">IF(H2766="credit",0,E2766*(SalesTaxPercentage)*G2766)</f>
        <v>0</v>
      </c>
      <c r="X2766" s="508">
        <f t="shared" ref="X2766:X2829" si="2157">I2766</f>
        <v>0</v>
      </c>
      <c r="Y2766" s="509" t="b">
        <f t="shared" ref="Y2766:Y2829" si="2158">IF(AE2766="T2G",0,IF(H2766="credit",0,IF(G2766&gt;0,IF(AE2766="me","",G2766))))</f>
        <v>0</v>
      </c>
      <c r="Z2766" s="510">
        <f t="shared" ref="Z2766:Z2829" si="2159">IF(H2766="credit",G2766,0)</f>
        <v>0</v>
      </c>
      <c r="AA2766" s="511"/>
      <c r="AB2766" s="511" t="str">
        <f t="shared" ref="AB2766:AB2829" si="2160">IF(AE2766="T2G","by Trees2Go",IF(H2766="credit","CREDIT only ~",IF(AND(K2766="",AE2766=OR(PlanterYesMe="No",PlanterYesMe="N",PlanterYesMe="me")),"not THIS line⇨",IF(AND(K2766="images",AE2766="me"),"not THIS line⇨",IF(H2766="credit","",IF(G2766=0,"",IF(AE2766="me","",IF(OR(PlanterYesMe="No",PlanterYesMe="N",PlanterYesMe="me"),"",IF(AE2766="free","warranty",IF(OR(PlanterYesMe="yes",PlanterYesMe="y"),"Edison install:","to install:"))))))))))</f>
        <v/>
      </c>
      <c r="AC2766" s="698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698"/>
      <c r="AE2766" s="631" t="str">
        <f t="shared" ref="AE2766:AE2829" si="2161">IF(H2766="credit","",IF(G2766=0,"",IF(OR(PlanterYesMe="No",PlanterYesMe="N",PlanterYesMe="me"),"me",IF(H2766="warranty","free",IF(OR(PlanterYesMe="yes",PlanterYesMe="y"),"ELP","")))))</f>
        <v/>
      </c>
      <c r="AF2766" s="699" t="str">
        <f t="shared" ref="AF2766:AF2829" si="2162">IF(OR(PlanterYesMe="No",PlanterYesMe="N",PlanterYesMe="me"),"",IF(H2766="credit","",IF(G2766&gt;0,(CONCATENATE((G2766)," quantity, ",(A2766)," ",B2766)),"")))</f>
        <v/>
      </c>
      <c r="AG2766" s="699"/>
      <c r="AH2766" s="699"/>
      <c r="AI2766" s="512">
        <f>IF(H2766="credit",0,IF(AE2766="free",0,IF(AE2766="me",0,IF(G2766&gt;0,(VLOOKUP(A2766,'Discount Lookup'!J:K,2)*G2766),0))))</f>
        <v>0</v>
      </c>
      <c r="AJ2766" s="513" t="str">
        <f t="shared" ref="AJ2766:AJ2829" ca="1" si="2163">IF(AND(ISREF(H2766),H2766="credit"),"",IF(AND(AND(OFFSET(G2766,0,0)=0,OFFSET(G2766,1,0)&gt;0,ISNUMBER(OFFSET(AC2766,1,0)),OFFSET(AC2766,1,0)&gt;0),OR(PlanterYesMe="yes",PlanterYesMe="y")),"T2G+ELP=",IF(AND(OFFSET(G2766,0,0)=0,OFFSET(G2766,1,0)&gt;0,ISNUMBER(OFFSET(AC2766,1,0)),OFFSET(AC2766,1,0)&gt;0),"if T2G+ELP=",IF(AND(OFFSET(G2766,0,0)=0,OFFSET(G2766,1,0)&gt;0),"T2G Subtotal",IF(H2766="credit","",IF(G2766=0,"",IF(AE2766="free",(K2766*(1-T2GDiscount)),IF(OR(PlanterYesMe="No",PlanterYesMe="N",PlanterYesMe="me"),(K2766*(1-T2GDiscount)),IF(OR(AE2766="me",AE2766="T2G"),(K2766*(1-T2GDiscount)),(K2766*(1-T2GDiscount))+AC2766)))))))))</f>
        <v/>
      </c>
      <c r="AK2766" s="700" t="str">
        <f t="shared" ref="AK2766:AK2829" si="2164">IF(H2766="credit","",IF(G2766=0,"",IF(OR(AE2766="me",AE2766="T2G"),"  delivery-only",IF(OR(PlanterYesMe="No",PlanterYesMe="N",PlanterYesMe="me"),"  delivery-only",CONCATENATE(" $",ROUND(AJ2766/G2766,2)," each")))))</f>
        <v/>
      </c>
      <c r="AL2766" s="700"/>
      <c r="AM2766" s="505" t="str">
        <f t="shared" ref="AM2766:AM2829" si="2165">IF(H2766="credit","",IF(AE2766="free","      ~ discounts included, no tax or planting fee applies ~",IF(G2766=0,"",IF(OR(PlanterYesMe="No",PlanterYesMe="N",PlanterYesMe="me"),CONCATENATE(" $",ROUND(AJ2766/G2766,2)," per plant, with tax &amp; discount"),IF(OR(AE2766="me",AE2766="T2G"),CONCATENATE(" $",ROUND(AJ2766/G2766,2)," per plant, with tax &amp; discount"),CONCATENATE("= $",ROUND((K2766*(1-T2GDiscount))/G2766,2)," per plant + $",AC2766/G2766,(" per planting      ~ includes tax &amp; discounts ~")))))))</f>
        <v/>
      </c>
      <c r="AN2766" s="506"/>
      <c r="AO2766" s="507"/>
      <c r="AP2766" s="507"/>
      <c r="AQ2766" s="507"/>
      <c r="AR2766" s="507"/>
      <c r="AS2766" s="507"/>
      <c r="AT2766" s="507"/>
      <c r="AU2766" s="507"/>
      <c r="AV2766" s="225"/>
      <c r="AW2766" s="508"/>
      <c r="AX2766" s="225"/>
      <c r="AY2766" s="225"/>
      <c r="AZ2766" s="225"/>
      <c r="BA2766" s="225"/>
      <c r="BB2766" s="225"/>
      <c r="BC2766" s="56"/>
      <c r="BD2766" s="56"/>
      <c r="BE2766" s="56"/>
      <c r="BF2766" s="107" t="str">
        <f t="shared" ref="BF2766:BF2829" si="2166">"https://www.google.com/search?tbm=isch&amp;q=" &amp; _xlfn.ENCODEURL($A2766 &amp; " " &amp; $D2766)</f>
        <v>https://www.google.com/search?tbm=isch&amp;q=3%20G5</v>
      </c>
      <c r="BG2766" s="107" t="str">
        <f t="shared" ref="BG2766:BG2829" si="2167">IF(ISTEXT(A2766),LEFT(A2766,1),BG2765)</f>
        <v>P</v>
      </c>
      <c r="BH2766" s="254"/>
      <c r="BI2766" s="254"/>
    </row>
    <row r="2767" spans="1:61" customFormat="1" ht="15.75" x14ac:dyDescent="0.25">
      <c r="A2767" s="276">
        <v>7</v>
      </c>
      <c r="B2767" s="240" t="s">
        <v>291</v>
      </c>
      <c r="C2767" s="241" t="s">
        <v>1486</v>
      </c>
      <c r="D2767" s="242" t="s">
        <v>299</v>
      </c>
      <c r="E2767" s="243">
        <v>125.95</v>
      </c>
      <c r="F2767" s="517" t="s">
        <v>293</v>
      </c>
      <c r="G2767" s="232">
        <v>0</v>
      </c>
      <c r="H2767" s="661" t="str">
        <f>IF(G2767=0,"",IF(F2767="Buy",IF(G2767=1,"plant","plants"),IF(F2767&gt;0.01,"warranty","Error")))</f>
        <v/>
      </c>
      <c r="I2767" s="244">
        <f>IF(H2767="free",0,IF(H2767="credit",((E2767*(F2767))*G2767*-1),IF(F2767="Buy",(E2767*G2767),((E2767*(1-F2767))*G2767))))</f>
        <v>0</v>
      </c>
      <c r="J2767" s="244">
        <f>IF(H2767="warranty",0,(I2767*(_xlfn.SINGLE(SalesTaxPercentage))))</f>
        <v>0</v>
      </c>
      <c r="K2767" s="696">
        <f t="shared" ref="K2767" si="2168">I2767+J2767</f>
        <v>0</v>
      </c>
      <c r="L2767" s="696"/>
      <c r="M2767" s="659" t="str">
        <f>IF(AND(G2767&gt;0,E2767=0),"WARNING - no PRICE inserted",IF(H2767="free"," FREE ~ no charge this plant",IF(H2767="credit",CONCATENATE(" -$",ROUND(K2767*(1-T2GDiscount)*-1,2)," CREDIT after discount"),IF(T2GDiscount=0,"",IF(G2767=0,"",IF(F2767="Buy",CONCATENATE(" $",ROUND(K2767*(1-T2GDiscount),2)," with ",(T2GDiscount*100),"% discount"),CONCATENATE(" $",ROUND(K2767*(1-T2GDiscount),2)," with ",((T2GDiscount*100+F2767*100)-(T2GDiscount*100*F2767)),IF(F2767&gt;0,"% discounts",IF(NoWarrantyDiscount&gt;0,"% discounts","% discount")))))))))</f>
        <v/>
      </c>
      <c r="N2767" s="660"/>
      <c r="O2767" s="233"/>
      <c r="P2767" s="233"/>
      <c r="Q2767" s="233"/>
      <c r="R2767" s="233"/>
      <c r="S2767" s="233"/>
      <c r="T2767" s="508">
        <f t="shared" si="2155"/>
        <v>0</v>
      </c>
      <c r="U2767" s="225">
        <f>IF(NOT(ISNUMBER(G2767)), "", VLOOKUP(A2767,'Discount Lookup'!D:E,2,FALSE)*G2767)</f>
        <v>0</v>
      </c>
      <c r="V2767" s="225">
        <f>IF(NOT(ISNUMBER(G2767)), "", VLOOKUP(A2767,'Discount Lookup'!G:H,2,FALSE)*G2767)</f>
        <v>0</v>
      </c>
      <c r="W2767" s="508">
        <f t="shared" si="2156"/>
        <v>0</v>
      </c>
      <c r="X2767" s="508">
        <f t="shared" si="2157"/>
        <v>0</v>
      </c>
      <c r="Y2767" s="509" t="b">
        <f t="shared" si="2158"/>
        <v>0</v>
      </c>
      <c r="Z2767" s="510">
        <f t="shared" si="2159"/>
        <v>0</v>
      </c>
      <c r="AA2767" s="511"/>
      <c r="AB2767" s="511" t="str">
        <f t="shared" si="2160"/>
        <v/>
      </c>
      <c r="AC2767" s="698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698"/>
      <c r="AE2767" s="631" t="str">
        <f t="shared" si="2161"/>
        <v/>
      </c>
      <c r="AF2767" s="699" t="str">
        <f t="shared" si="2162"/>
        <v/>
      </c>
      <c r="AG2767" s="699"/>
      <c r="AH2767" s="699"/>
      <c r="AI2767" s="512">
        <f>IF(H2767="credit",0,IF(AE2767="free",0,IF(AE2767="me",0,IF(G2767&gt;0,(VLOOKUP(A2767,'Discount Lookup'!J:K,2)*G2767),0))))</f>
        <v>0</v>
      </c>
      <c r="AJ2767" s="513" t="str">
        <f t="shared" ca="1" si="2163"/>
        <v/>
      </c>
      <c r="AK2767" s="700" t="str">
        <f t="shared" si="2164"/>
        <v/>
      </c>
      <c r="AL2767" s="700"/>
      <c r="AM2767" s="505" t="str">
        <f t="shared" si="2165"/>
        <v/>
      </c>
      <c r="AN2767" s="506"/>
      <c r="AO2767" s="507"/>
      <c r="AP2767" s="507"/>
      <c r="AQ2767" s="507"/>
      <c r="AR2767" s="507"/>
      <c r="AS2767" s="507"/>
      <c r="AT2767" s="507"/>
      <c r="AU2767" s="507"/>
      <c r="AV2767" s="225"/>
      <c r="AW2767" s="508"/>
      <c r="AX2767" s="225"/>
      <c r="AY2767" s="225"/>
      <c r="AZ2767" s="225"/>
      <c r="BA2767" s="225"/>
      <c r="BB2767" s="225"/>
      <c r="BC2767" s="56"/>
      <c r="BD2767" s="56"/>
      <c r="BE2767" s="56"/>
      <c r="BF2767" s="107" t="str">
        <f t="shared" si="2166"/>
        <v>https://www.google.com/search?tbm=isch&amp;q=7%20G5</v>
      </c>
      <c r="BG2767" s="107" t="str">
        <f t="shared" si="2167"/>
        <v>P</v>
      </c>
      <c r="BH2767" s="254"/>
      <c r="BI2767" s="254"/>
    </row>
    <row r="2768" spans="1:61" customFormat="1" ht="15.75" x14ac:dyDescent="0.25">
      <c r="A2768" s="276">
        <v>7</v>
      </c>
      <c r="B2768" s="240" t="s">
        <v>291</v>
      </c>
      <c r="C2768" s="241" t="s">
        <v>4447</v>
      </c>
      <c r="D2768" s="242" t="s">
        <v>292</v>
      </c>
      <c r="E2768" s="243">
        <v>132.94999999999999</v>
      </c>
      <c r="F2768" s="517" t="s">
        <v>293</v>
      </c>
      <c r="G2768" s="232">
        <v>0</v>
      </c>
      <c r="H2768" s="661" t="str">
        <f>IF(G2768=0,"",IF(F2768="Buy",IF(G2768=1,"plant","plants"),IF(F2768&gt;0.01,"warranty","Error")))</f>
        <v/>
      </c>
      <c r="I2768" s="244">
        <f>IF(H2768="free",0,IF(H2768="credit",((E2768*(F2768))*G2768*-1),IF(F2768="Buy",(E2768*G2768),((E2768*(1-F2768))*G2768))))</f>
        <v>0</v>
      </c>
      <c r="J2768" s="244">
        <f>IF(H2768="warranty",0,(I2768*(_xlfn.SINGLE(SalesTaxPercentage))))</f>
        <v>0</v>
      </c>
      <c r="K2768" s="696">
        <f t="shared" ref="K2768" si="2169">I2768+J2768</f>
        <v>0</v>
      </c>
      <c r="L2768" s="696"/>
      <c r="M2768" s="659" t="str">
        <f>IF(AND(G2768&gt;0,E2768=0),"WARNING - no PRICE inserted",IF(H2768="free"," FREE ~ no charge this plant",IF(H2768="credit",CONCATENATE(" -$",ROUND(K2768*(1-T2GDiscount)*-1,2)," CREDIT after discount"),IF(T2GDiscount=0,"",IF(G2768=0,"",IF(F2768="Buy",CONCATENATE(" $",ROUND(K2768*(1-T2GDiscount),2)," with ",(T2GDiscount*100),"% discount"),CONCATENATE(" $",ROUND(K2768*(1-T2GDiscount),2)," with ",((T2GDiscount*100+F2768*100)-(T2GDiscount*100*F2768)),IF(F2768&gt;0,"% discounts",IF(NoWarrantyDiscount&gt;0,"% discounts","% discount")))))))))</f>
        <v/>
      </c>
      <c r="N2768" s="660"/>
      <c r="O2768" s="233"/>
      <c r="P2768" s="233"/>
      <c r="Q2768" s="233"/>
      <c r="R2768" s="233"/>
      <c r="S2768" s="233"/>
      <c r="T2768" s="508">
        <f t="shared" si="2155"/>
        <v>0</v>
      </c>
      <c r="U2768" s="225">
        <f>IF(NOT(ISNUMBER(G2768)), "", VLOOKUP(A2768,'Discount Lookup'!D:E,2,FALSE)*G2768)</f>
        <v>0</v>
      </c>
      <c r="V2768" s="225">
        <f>IF(NOT(ISNUMBER(G2768)), "", VLOOKUP(A2768,'Discount Lookup'!G:H,2,FALSE)*G2768)</f>
        <v>0</v>
      </c>
      <c r="W2768" s="508">
        <f t="shared" si="2156"/>
        <v>0</v>
      </c>
      <c r="X2768" s="508">
        <f t="shared" si="2157"/>
        <v>0</v>
      </c>
      <c r="Y2768" s="509" t="b">
        <f t="shared" si="2158"/>
        <v>0</v>
      </c>
      <c r="Z2768" s="510">
        <f t="shared" si="2159"/>
        <v>0</v>
      </c>
      <c r="AA2768" s="511"/>
      <c r="AB2768" s="511" t="str">
        <f t="shared" si="2160"/>
        <v/>
      </c>
      <c r="AC2768" s="698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698"/>
      <c r="AE2768" s="631" t="str">
        <f t="shared" si="2161"/>
        <v/>
      </c>
      <c r="AF2768" s="699" t="str">
        <f t="shared" si="2162"/>
        <v/>
      </c>
      <c r="AG2768" s="699"/>
      <c r="AH2768" s="699"/>
      <c r="AI2768" s="512">
        <f>IF(H2768="credit",0,IF(AE2768="free",0,IF(AE2768="me",0,IF(G2768&gt;0,(VLOOKUP(A2768,'Discount Lookup'!J:K,2)*G2768),0))))</f>
        <v>0</v>
      </c>
      <c r="AJ2768" s="513" t="str">
        <f t="shared" ca="1" si="2163"/>
        <v/>
      </c>
      <c r="AK2768" s="700" t="str">
        <f t="shared" si="2164"/>
        <v/>
      </c>
      <c r="AL2768" s="700"/>
      <c r="AM2768" s="505" t="str">
        <f t="shared" si="2165"/>
        <v/>
      </c>
      <c r="AN2768" s="506"/>
      <c r="AO2768" s="507"/>
      <c r="AP2768" s="507"/>
      <c r="AQ2768" s="507"/>
      <c r="AR2768" s="507"/>
      <c r="AS2768" s="507"/>
      <c r="AT2768" s="507"/>
      <c r="AU2768" s="507"/>
      <c r="AV2768" s="225"/>
      <c r="AW2768" s="508"/>
      <c r="AX2768" s="225"/>
      <c r="AY2768" s="225"/>
      <c r="AZ2768" s="225"/>
      <c r="BA2768" s="225"/>
      <c r="BB2768" s="225"/>
      <c r="BC2768" s="56"/>
      <c r="BD2768" s="56"/>
      <c r="BE2768" s="56"/>
      <c r="BF2768" s="107" t="str">
        <f t="shared" si="2166"/>
        <v>https://www.google.com/search?tbm=isch&amp;q=7%20G4</v>
      </c>
      <c r="BG2768" s="107" t="str">
        <f t="shared" si="2167"/>
        <v>P</v>
      </c>
      <c r="BH2768" s="254"/>
      <c r="BI2768" s="254"/>
    </row>
    <row r="2769" spans="1:61" customFormat="1" ht="15.75" x14ac:dyDescent="0.25">
      <c r="A2769" s="276">
        <v>15</v>
      </c>
      <c r="B2769" s="240" t="s">
        <v>291</v>
      </c>
      <c r="C2769" s="241" t="s">
        <v>3337</v>
      </c>
      <c r="D2769" s="242" t="s">
        <v>292</v>
      </c>
      <c r="E2769" s="243">
        <v>240.95</v>
      </c>
      <c r="F2769" s="517" t="s">
        <v>293</v>
      </c>
      <c r="G2769" s="232">
        <v>0</v>
      </c>
      <c r="H2769" s="661" t="str">
        <f>IF(G2769=0,"",IF(F2769="Buy",IF(G2769=1,"plant","plants"),IF(F2769&gt;0.01,"warranty","Error")))</f>
        <v/>
      </c>
      <c r="I2769" s="244">
        <f>IF(H2769="free",0,IF(H2769="credit",((E2769*(F2769))*G2769*-1),IF(F2769="Buy",(E2769*G2769),((E2769*(1-F2769))*G2769))))</f>
        <v>0</v>
      </c>
      <c r="J2769" s="244">
        <f>IF(H2769="warranty",0,(I2769*(_xlfn.SINGLE(SalesTaxPercentage))))</f>
        <v>0</v>
      </c>
      <c r="K2769" s="696">
        <f t="shared" ref="K2769" si="2170">I2769+J2769</f>
        <v>0</v>
      </c>
      <c r="L2769" s="696"/>
      <c r="M2769" s="659" t="str">
        <f>IF(AND(G2769&gt;0,E2769=0),"WARNING - no PRICE inserted",IF(H2769="free"," FREE ~ no charge this plant",IF(H2769="credit",CONCATENATE(" -$",ROUND(K2769*(1-T2GDiscount)*-1,2)," CREDIT after discount"),IF(T2GDiscount=0,"",IF(G2769=0,"",IF(F2769="Buy",CONCATENATE(" $",ROUND(K2769*(1-T2GDiscount),2)," with ",(T2GDiscount*100),"% discount"),CONCATENATE(" $",ROUND(K2769*(1-T2GDiscount),2)," with ",((T2GDiscount*100+F2769*100)-(T2GDiscount*100*F2769)),IF(F2769&gt;0,"% discounts",IF(NoWarrantyDiscount&gt;0,"% discounts","% discount")))))))))</f>
        <v/>
      </c>
      <c r="N2769" s="660"/>
      <c r="O2769" s="233"/>
      <c r="P2769" s="233"/>
      <c r="Q2769" s="233"/>
      <c r="R2769" s="233"/>
      <c r="S2769" s="233"/>
      <c r="T2769" s="508">
        <f t="shared" si="2155"/>
        <v>0</v>
      </c>
      <c r="U2769" s="225">
        <f>IF(NOT(ISNUMBER(G2769)), "", VLOOKUP(A2769,'Discount Lookup'!D:E,2,FALSE)*G2769)</f>
        <v>0</v>
      </c>
      <c r="V2769" s="225">
        <f>IF(NOT(ISNUMBER(G2769)), "", VLOOKUP(A2769,'Discount Lookup'!G:H,2,FALSE)*G2769)</f>
        <v>0</v>
      </c>
      <c r="W2769" s="508">
        <f t="shared" si="2156"/>
        <v>0</v>
      </c>
      <c r="X2769" s="508">
        <f t="shared" si="2157"/>
        <v>0</v>
      </c>
      <c r="Y2769" s="509" t="b">
        <f t="shared" si="2158"/>
        <v>0</v>
      </c>
      <c r="Z2769" s="510">
        <f t="shared" si="2159"/>
        <v>0</v>
      </c>
      <c r="AA2769" s="511"/>
      <c r="AB2769" s="511" t="str">
        <f t="shared" si="2160"/>
        <v/>
      </c>
      <c r="AC2769" s="698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698"/>
      <c r="AE2769" s="631" t="str">
        <f t="shared" si="2161"/>
        <v/>
      </c>
      <c r="AF2769" s="699" t="str">
        <f t="shared" si="2162"/>
        <v/>
      </c>
      <c r="AG2769" s="699"/>
      <c r="AH2769" s="699"/>
      <c r="AI2769" s="512">
        <f>IF(H2769="credit",0,IF(AE2769="free",0,IF(AE2769="me",0,IF(G2769&gt;0,(VLOOKUP(A2769,'Discount Lookup'!J:K,2)*G2769),0))))</f>
        <v>0</v>
      </c>
      <c r="AJ2769" s="513" t="str">
        <f t="shared" ca="1" si="2163"/>
        <v/>
      </c>
      <c r="AK2769" s="700" t="str">
        <f t="shared" si="2164"/>
        <v/>
      </c>
      <c r="AL2769" s="700"/>
      <c r="AM2769" s="505" t="str">
        <f t="shared" si="2165"/>
        <v/>
      </c>
      <c r="AN2769" s="506"/>
      <c r="AO2769" s="507"/>
      <c r="AP2769" s="507"/>
      <c r="AQ2769" s="507"/>
      <c r="AR2769" s="507"/>
      <c r="AS2769" s="507"/>
      <c r="AT2769" s="507"/>
      <c r="AU2769" s="507"/>
      <c r="AV2769" s="225"/>
      <c r="AW2769" s="508"/>
      <c r="AX2769" s="225"/>
      <c r="AY2769" s="225"/>
      <c r="AZ2769" s="225"/>
      <c r="BA2769" s="225"/>
      <c r="BB2769" s="225"/>
      <c r="BC2769" s="56"/>
      <c r="BD2769" s="56"/>
      <c r="BE2769" s="56"/>
      <c r="BF2769" s="107" t="str">
        <f t="shared" si="2166"/>
        <v>https://www.google.com/search?tbm=isch&amp;q=15%20G4</v>
      </c>
      <c r="BG2769" s="107" t="str">
        <f t="shared" si="2167"/>
        <v>P</v>
      </c>
      <c r="BH2769" s="254"/>
      <c r="BI2769" s="254"/>
    </row>
    <row r="2770" spans="1:61" customFormat="1" ht="17.25" thickBot="1" x14ac:dyDescent="0.3">
      <c r="A2770" s="673" t="s">
        <v>5199</v>
      </c>
      <c r="B2770" s="245"/>
      <c r="C2770" s="677"/>
      <c r="D2770" s="499"/>
      <c r="E2770" s="499"/>
      <c r="F2770" s="500"/>
      <c r="G2770" s="501"/>
      <c r="H2770" s="502"/>
      <c r="I2770" s="246"/>
      <c r="J2770" s="247"/>
      <c r="K2770" s="503"/>
      <c r="L2770" s="544"/>
      <c r="M2770" s="544"/>
      <c r="N2770" s="500"/>
      <c r="O2770" s="500"/>
      <c r="P2770" s="500"/>
      <c r="Q2770" s="500"/>
      <c r="R2770" s="500"/>
      <c r="S2770" s="669" t="s">
        <v>5016</v>
      </c>
      <c r="T2770" s="508">
        <f t="shared" si="2155"/>
        <v>0</v>
      </c>
      <c r="U2770" s="225" t="str">
        <f>IF(NOT(ISNUMBER(G2770)), "", VLOOKUP(A2770,'Discount Lookup'!D:E,2,FALSE)*G2770)</f>
        <v/>
      </c>
      <c r="V2770" s="225" t="str">
        <f>IF(NOT(ISNUMBER(G2770)), "", VLOOKUP(A2770,'Discount Lookup'!G:H,2,FALSE)*G2770)</f>
        <v/>
      </c>
      <c r="W2770" s="508">
        <f t="shared" si="2156"/>
        <v>0</v>
      </c>
      <c r="X2770" s="508">
        <f t="shared" si="2157"/>
        <v>0</v>
      </c>
      <c r="Y2770" s="509" t="b">
        <f t="shared" si="2158"/>
        <v>0</v>
      </c>
      <c r="Z2770" s="510">
        <f t="shared" si="2159"/>
        <v>0</v>
      </c>
      <c r="AA2770" s="511"/>
      <c r="AB2770" s="511" t="str">
        <f t="shared" si="2160"/>
        <v/>
      </c>
      <c r="AC2770" s="698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698"/>
      <c r="AE2770" s="631" t="str">
        <f t="shared" si="2161"/>
        <v/>
      </c>
      <c r="AF2770" s="699" t="str">
        <f t="shared" si="2162"/>
        <v/>
      </c>
      <c r="AG2770" s="699"/>
      <c r="AH2770" s="699"/>
      <c r="AI2770" s="512">
        <f>IF(H2770="credit",0,IF(AE2770="free",0,IF(AE2770="me",0,IF(G2770&gt;0,(VLOOKUP(A2770,'Discount Lookup'!J:K,2)*G2770),0))))</f>
        <v>0</v>
      </c>
      <c r="AJ2770" s="513" t="str">
        <f t="shared" ca="1" si="2163"/>
        <v/>
      </c>
      <c r="AK2770" s="700" t="str">
        <f t="shared" si="2164"/>
        <v/>
      </c>
      <c r="AL2770" s="700"/>
      <c r="AM2770" s="505" t="str">
        <f t="shared" si="2165"/>
        <v/>
      </c>
      <c r="AN2770" s="506"/>
      <c r="AO2770" s="507"/>
      <c r="AP2770" s="507"/>
      <c r="AQ2770" s="507"/>
      <c r="AR2770" s="507"/>
      <c r="AS2770" s="507"/>
      <c r="AT2770" s="507"/>
      <c r="AU2770" s="507"/>
      <c r="AV2770" s="225"/>
      <c r="AW2770" s="508"/>
      <c r="AX2770" s="225"/>
      <c r="AY2770" s="225"/>
      <c r="AZ2770" s="225"/>
      <c r="BA2770" s="225"/>
      <c r="BB2770" s="225"/>
      <c r="BC2770" s="56"/>
      <c r="BD2770" s="56"/>
      <c r="BE2770" s="56"/>
      <c r="BF2770" s="107" t="str">
        <f t="shared" si="2166"/>
        <v>https://www.google.com/search?tbm=isch&amp;q=moist%20sites%F0%9F%92%A7GOOD%2C%20Pawpaw%20fruit%20taste%20like%20delicious%20cross%20of%20banana%20%26%20mango.%20Fragrant.%20Does%20not%20self-pollinate%20</v>
      </c>
      <c r="BG2770" s="107" t="str">
        <f t="shared" si="2167"/>
        <v>m</v>
      </c>
      <c r="BH2770" s="254"/>
      <c r="BI2770" s="254"/>
    </row>
    <row r="2771" spans="1:61" customFormat="1" ht="18" x14ac:dyDescent="0.25">
      <c r="A2771" s="523" t="s">
        <v>5483</v>
      </c>
      <c r="B2771" s="235"/>
      <c r="C2771" s="676"/>
      <c r="D2771" s="255" t="s">
        <v>1487</v>
      </c>
      <c r="E2771" s="236"/>
      <c r="F2771" s="236"/>
      <c r="G2771" s="236"/>
      <c r="H2771" s="582" t="s">
        <v>508</v>
      </c>
      <c r="I2771" s="498" t="s">
        <v>1488</v>
      </c>
      <c r="J2771" s="237"/>
      <c r="K2771" s="237"/>
      <c r="L2771" s="274"/>
      <c r="M2771" s="668" t="s">
        <v>4962</v>
      </c>
      <c r="N2771" s="681" t="str">
        <f>IF(AND(ISTEXT($A2771), ISERROR($A2771+0)), HYPERLINK($BF2771, "Images"), "")</f>
        <v>Images</v>
      </c>
      <c r="O2771" s="663" t="s">
        <v>4974</v>
      </c>
      <c r="P2771" s="253"/>
      <c r="Q2771" s="238"/>
      <c r="R2771" s="239"/>
      <c r="S2771" s="275"/>
      <c r="T2771" s="508">
        <f t="shared" si="2155"/>
        <v>0</v>
      </c>
      <c r="U2771" s="225" t="str">
        <f>IF(NOT(ISNUMBER(G2771)), "", VLOOKUP(A2771,'Discount Lookup'!D:E,2,FALSE)*G2771)</f>
        <v/>
      </c>
      <c r="V2771" s="225" t="str">
        <f>IF(NOT(ISNUMBER(G2771)), "", VLOOKUP(A2771,'Discount Lookup'!G:H,2,FALSE)*G2771)</f>
        <v/>
      </c>
      <c r="W2771" s="508">
        <f t="shared" si="2156"/>
        <v>0</v>
      </c>
      <c r="X2771" s="508" t="str">
        <f t="shared" si="2157"/>
        <v>Peach bloom</v>
      </c>
      <c r="Y2771" s="509" t="b">
        <f t="shared" si="2158"/>
        <v>0</v>
      </c>
      <c r="Z2771" s="510">
        <f t="shared" si="2159"/>
        <v>0</v>
      </c>
      <c r="AA2771" s="511"/>
      <c r="AB2771" s="511" t="str">
        <f t="shared" si="2160"/>
        <v/>
      </c>
      <c r="AC2771" s="698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698"/>
      <c r="AE2771" s="631" t="str">
        <f t="shared" si="2161"/>
        <v/>
      </c>
      <c r="AF2771" s="699" t="str">
        <f t="shared" si="2162"/>
        <v/>
      </c>
      <c r="AG2771" s="699"/>
      <c r="AH2771" s="699"/>
      <c r="AI2771" s="512">
        <f>IF(H2771="credit",0,IF(AE2771="free",0,IF(AE2771="me",0,IF(G2771&gt;0,(VLOOKUP(A2771,'Discount Lookup'!J:K,2)*G2771),0))))</f>
        <v>0</v>
      </c>
      <c r="AJ2771" s="513" t="str">
        <f t="shared" ca="1" si="2163"/>
        <v/>
      </c>
      <c r="AK2771" s="700" t="str">
        <f t="shared" si="2164"/>
        <v/>
      </c>
      <c r="AL2771" s="700"/>
      <c r="AM2771" s="505" t="str">
        <f t="shared" si="2165"/>
        <v/>
      </c>
      <c r="AN2771" s="506"/>
      <c r="AO2771" s="507"/>
      <c r="AP2771" s="507"/>
      <c r="AQ2771" s="507"/>
      <c r="AR2771" s="507"/>
      <c r="AS2771" s="507"/>
      <c r="AT2771" s="507"/>
      <c r="AU2771" s="507"/>
      <c r="AV2771" s="225"/>
      <c r="AW2771" s="508"/>
      <c r="AX2771" s="225"/>
      <c r="AY2771" s="225"/>
      <c r="AZ2771" s="225"/>
      <c r="BA2771" s="225"/>
      <c r="BB2771" s="225"/>
      <c r="BC2771" s="56"/>
      <c r="BD2771" s="56"/>
      <c r="BE2771" s="56"/>
      <c r="BF2771" s="107" t="str">
        <f t="shared" si="2166"/>
        <v>https://www.google.com/search?tbm=isch&amp;q=Peach%20Drift%C2%AE%20Rose%20Rosa%20%27Meiggili%27%20PP%2318542</v>
      </c>
      <c r="BG2771" s="107" t="str">
        <f t="shared" si="2167"/>
        <v>P</v>
      </c>
      <c r="BH2771" s="254"/>
      <c r="BI2771" s="254"/>
    </row>
    <row r="2772" spans="1:61" customFormat="1" ht="15.75" x14ac:dyDescent="0.25">
      <c r="A2772" s="276">
        <v>3</v>
      </c>
      <c r="B2772" s="240" t="s">
        <v>291</v>
      </c>
      <c r="C2772" s="241"/>
      <c r="D2772" s="242" t="s">
        <v>298</v>
      </c>
      <c r="E2772" s="243">
        <v>31.95</v>
      </c>
      <c r="F2772" s="517" t="s">
        <v>293</v>
      </c>
      <c r="G2772" s="232">
        <v>0</v>
      </c>
      <c r="H2772" s="661" t="str">
        <f>IF(G2772=0,"",IF(F2772="Buy",IF(G2772=1,"plant","plants"),IF(F2772&gt;0.01,"warranty","Error")))</f>
        <v/>
      </c>
      <c r="I2772" s="244">
        <f>IF(H2772="free",0,IF(H2772="credit",((E2772*(F2772))*G2772*-1),IF(F2772="Buy",(E2772*G2772),((E2772*(1-F2772))*G2772))))</f>
        <v>0</v>
      </c>
      <c r="J2772" s="244">
        <f>IF(H2772="warranty",0,(I2772*(_xlfn.SINGLE(SalesTaxPercentage))))</f>
        <v>0</v>
      </c>
      <c r="K2772" s="696">
        <f t="shared" ref="K2772" si="2171">I2772+J2772</f>
        <v>0</v>
      </c>
      <c r="L2772" s="696"/>
      <c r="M2772" s="659" t="str">
        <f>IF(AND(G2772&gt;0,E2772=0),"WARNING - no PRICE inserted",IF(H2772="free"," FREE ~ no charge this plant",IF(H2772="credit",CONCATENATE(" -$",ROUND(K2772*(1-T2GDiscount)*-1,2)," CREDIT after discount"),IF(T2GDiscount=0,"",IF(G2772=0,"",IF(F2772="Buy",CONCATENATE(" $",ROUND(K2772*(1-T2GDiscount),2)," with ",(T2GDiscount*100),"% discount"),CONCATENATE(" $",ROUND(K2772*(1-T2GDiscount),2)," with ",((T2GDiscount*100+F2772*100)-(T2GDiscount*100*F2772)),IF(F2772&gt;0,"% discounts",IF(NoWarrantyDiscount&gt;0,"% discounts","% discount")))))))))</f>
        <v/>
      </c>
      <c r="N2772" s="660"/>
      <c r="O2772" s="233"/>
      <c r="P2772" s="233"/>
      <c r="Q2772" s="233"/>
      <c r="R2772" s="233"/>
      <c r="S2772" s="233"/>
      <c r="T2772" s="508">
        <f t="shared" si="2155"/>
        <v>0</v>
      </c>
      <c r="U2772" s="225">
        <f>IF(NOT(ISNUMBER(G2772)), "", VLOOKUP(A2772,'Discount Lookup'!D:E,2,FALSE)*G2772)</f>
        <v>0</v>
      </c>
      <c r="V2772" s="225">
        <f>IF(NOT(ISNUMBER(G2772)), "", VLOOKUP(A2772,'Discount Lookup'!G:H,2,FALSE)*G2772)</f>
        <v>0</v>
      </c>
      <c r="W2772" s="508">
        <f t="shared" si="2156"/>
        <v>0</v>
      </c>
      <c r="X2772" s="508">
        <f t="shared" si="2157"/>
        <v>0</v>
      </c>
      <c r="Y2772" s="509" t="b">
        <f t="shared" si="2158"/>
        <v>0</v>
      </c>
      <c r="Z2772" s="510">
        <f t="shared" si="2159"/>
        <v>0</v>
      </c>
      <c r="AA2772" s="511"/>
      <c r="AB2772" s="511" t="str">
        <f t="shared" si="2160"/>
        <v/>
      </c>
      <c r="AC2772" s="698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698"/>
      <c r="AE2772" s="631" t="str">
        <f t="shared" si="2161"/>
        <v/>
      </c>
      <c r="AF2772" s="699" t="str">
        <f t="shared" si="2162"/>
        <v/>
      </c>
      <c r="AG2772" s="699"/>
      <c r="AH2772" s="699"/>
      <c r="AI2772" s="512">
        <f>IF(H2772="credit",0,IF(AE2772="free",0,IF(AE2772="me",0,IF(G2772&gt;0,(VLOOKUP(A2772,'Discount Lookup'!J:K,2)*G2772),0))))</f>
        <v>0</v>
      </c>
      <c r="AJ2772" s="513" t="str">
        <f t="shared" ca="1" si="2163"/>
        <v/>
      </c>
      <c r="AK2772" s="700" t="str">
        <f t="shared" si="2164"/>
        <v/>
      </c>
      <c r="AL2772" s="700"/>
      <c r="AM2772" s="505" t="str">
        <f t="shared" si="2165"/>
        <v/>
      </c>
      <c r="AN2772" s="506"/>
      <c r="AO2772" s="507"/>
      <c r="AP2772" s="507"/>
      <c r="AQ2772" s="507"/>
      <c r="AR2772" s="507"/>
      <c r="AS2772" s="507"/>
      <c r="AT2772" s="507"/>
      <c r="AU2772" s="507"/>
      <c r="AV2772" s="225"/>
      <c r="AW2772" s="508"/>
      <c r="AX2772" s="225"/>
      <c r="AY2772" s="225"/>
      <c r="AZ2772" s="225"/>
      <c r="BA2772" s="225"/>
      <c r="BB2772" s="225"/>
      <c r="BC2772" s="56"/>
      <c r="BD2772" s="56"/>
      <c r="BE2772" s="56"/>
      <c r="BF2772" s="107" t="str">
        <f t="shared" si="2166"/>
        <v>https://www.google.com/search?tbm=isch&amp;q=3%20G1</v>
      </c>
      <c r="BG2772" s="107" t="str">
        <f t="shared" si="2167"/>
        <v>P</v>
      </c>
      <c r="BH2772" s="254"/>
      <c r="BI2772" s="254"/>
    </row>
    <row r="2773" spans="1:61" customFormat="1" ht="15.75" x14ac:dyDescent="0.25">
      <c r="A2773" s="276">
        <v>3</v>
      </c>
      <c r="B2773" s="240" t="s">
        <v>291</v>
      </c>
      <c r="C2773" s="241" t="s">
        <v>4859</v>
      </c>
      <c r="D2773" s="242" t="s">
        <v>312</v>
      </c>
      <c r="E2773" s="243">
        <v>31.95</v>
      </c>
      <c r="F2773" s="517" t="s">
        <v>293</v>
      </c>
      <c r="G2773" s="232">
        <v>0</v>
      </c>
      <c r="H2773" s="661" t="str">
        <f>IF(G2773=0,"",IF(F2773="Buy",IF(G2773=1,"plant","plants"),IF(F2773&gt;0.01,"warranty","Error")))</f>
        <v/>
      </c>
      <c r="I2773" s="244">
        <f>IF(H2773="free",0,IF(H2773="credit",((E2773*(F2773))*G2773*-1),IF(F2773="Buy",(E2773*G2773),((E2773*(1-F2773))*G2773))))</f>
        <v>0</v>
      </c>
      <c r="J2773" s="244">
        <f>IF(H2773="warranty",0,(I2773*(_xlfn.SINGLE(SalesTaxPercentage))))</f>
        <v>0</v>
      </c>
      <c r="K2773" s="696">
        <f t="shared" ref="K2773" si="2172">I2773+J2773</f>
        <v>0</v>
      </c>
      <c r="L2773" s="696"/>
      <c r="M2773" s="659" t="str">
        <f>IF(AND(G2773&gt;0,E2773=0),"WARNING - no PRICE inserted",IF(H2773="free"," FREE ~ no charge this plant",IF(H2773="credit",CONCATENATE(" -$",ROUND(K2773*(1-T2GDiscount)*-1,2)," CREDIT after discount"),IF(T2GDiscount=0,"",IF(G2773=0,"",IF(F2773="Buy",CONCATENATE(" $",ROUND(K2773*(1-T2GDiscount),2)," with ",(T2GDiscount*100),"% discount"),CONCATENATE(" $",ROUND(K2773*(1-T2GDiscount),2)," with ",((T2GDiscount*100+F2773*100)-(T2GDiscount*100*F2773)),IF(F2773&gt;0,"% discounts",IF(NoWarrantyDiscount&gt;0,"% discounts","% discount")))))))))</f>
        <v/>
      </c>
      <c r="N2773" s="660"/>
      <c r="O2773" s="233"/>
      <c r="P2773" s="233"/>
      <c r="Q2773" s="233"/>
      <c r="R2773" s="233"/>
      <c r="S2773" s="233"/>
      <c r="T2773" s="508">
        <f t="shared" si="2155"/>
        <v>0</v>
      </c>
      <c r="U2773" s="225">
        <f>IF(NOT(ISNUMBER(G2773)), "", VLOOKUP(A2773,'Discount Lookup'!D:E,2,FALSE)*G2773)</f>
        <v>0</v>
      </c>
      <c r="V2773" s="225">
        <f>IF(NOT(ISNUMBER(G2773)), "", VLOOKUP(A2773,'Discount Lookup'!G:H,2,FALSE)*G2773)</f>
        <v>0</v>
      </c>
      <c r="W2773" s="508">
        <f t="shared" si="2156"/>
        <v>0</v>
      </c>
      <c r="X2773" s="508">
        <f t="shared" si="2157"/>
        <v>0</v>
      </c>
      <c r="Y2773" s="509" t="b">
        <f t="shared" si="2158"/>
        <v>0</v>
      </c>
      <c r="Z2773" s="510">
        <f t="shared" si="2159"/>
        <v>0</v>
      </c>
      <c r="AA2773" s="511"/>
      <c r="AB2773" s="511" t="str">
        <f t="shared" si="2160"/>
        <v/>
      </c>
      <c r="AC2773" s="698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698"/>
      <c r="AE2773" s="631" t="str">
        <f t="shared" si="2161"/>
        <v/>
      </c>
      <c r="AF2773" s="699" t="str">
        <f t="shared" si="2162"/>
        <v/>
      </c>
      <c r="AG2773" s="699"/>
      <c r="AH2773" s="699"/>
      <c r="AI2773" s="512">
        <f>IF(H2773="credit",0,IF(AE2773="free",0,IF(AE2773="me",0,IF(G2773&gt;0,(VLOOKUP(A2773,'Discount Lookup'!J:K,2)*G2773),0))))</f>
        <v>0</v>
      </c>
      <c r="AJ2773" s="513" t="str">
        <f t="shared" ca="1" si="2163"/>
        <v/>
      </c>
      <c r="AK2773" s="700" t="str">
        <f t="shared" si="2164"/>
        <v/>
      </c>
      <c r="AL2773" s="700"/>
      <c r="AM2773" s="505" t="str">
        <f t="shared" si="2165"/>
        <v/>
      </c>
      <c r="AN2773" s="506"/>
      <c r="AO2773" s="507"/>
      <c r="AP2773" s="507"/>
      <c r="AQ2773" s="507"/>
      <c r="AR2773" s="507"/>
      <c r="AS2773" s="507"/>
      <c r="AT2773" s="507"/>
      <c r="AU2773" s="507"/>
      <c r="AV2773" s="225"/>
      <c r="AW2773" s="508"/>
      <c r="AX2773" s="225"/>
      <c r="AY2773" s="225"/>
      <c r="AZ2773" s="225"/>
      <c r="BA2773" s="225"/>
      <c r="BB2773" s="225"/>
      <c r="BC2773" s="56"/>
      <c r="BD2773" s="56"/>
      <c r="BE2773" s="56"/>
      <c r="BF2773" s="107" t="str">
        <f t="shared" si="2166"/>
        <v>https://www.google.com/search?tbm=isch&amp;q=3%20G2</v>
      </c>
      <c r="BG2773" s="107" t="str">
        <f t="shared" si="2167"/>
        <v>P</v>
      </c>
      <c r="BH2773" s="254"/>
      <c r="BI2773" s="254"/>
    </row>
    <row r="2774" spans="1:61" customFormat="1" ht="15.75" x14ac:dyDescent="0.25">
      <c r="A2774" s="276">
        <v>3</v>
      </c>
      <c r="B2774" s="240" t="s">
        <v>291</v>
      </c>
      <c r="C2774" s="241" t="s">
        <v>2787</v>
      </c>
      <c r="D2774" s="242" t="s">
        <v>299</v>
      </c>
      <c r="E2774" s="243">
        <v>35.950000000000003</v>
      </c>
      <c r="F2774" s="517" t="s">
        <v>293</v>
      </c>
      <c r="G2774" s="232">
        <v>0</v>
      </c>
      <c r="H2774" s="661" t="str">
        <f>IF(G2774=0,"",IF(F2774="Buy",IF(G2774=1,"plant","plants"),IF(F2774&gt;0.01,"warranty","Error")))</f>
        <v/>
      </c>
      <c r="I2774" s="244">
        <f>IF(H2774="free",0,IF(H2774="credit",((E2774*(F2774))*G2774*-1),IF(F2774="Buy",(E2774*G2774),((E2774*(1-F2774))*G2774))))</f>
        <v>0</v>
      </c>
      <c r="J2774" s="244">
        <f>IF(H2774="warranty",0,(I2774*(_xlfn.SINGLE(SalesTaxPercentage))))</f>
        <v>0</v>
      </c>
      <c r="K2774" s="696">
        <f t="shared" ref="K2774" si="2173">I2774+J2774</f>
        <v>0</v>
      </c>
      <c r="L2774" s="696"/>
      <c r="M2774" s="659" t="str">
        <f>IF(AND(G2774&gt;0,E2774=0),"WARNING - no PRICE inserted",IF(H2774="free"," FREE ~ no charge this plant",IF(H2774="credit",CONCATENATE(" -$",ROUND(K2774*(1-T2GDiscount)*-1,2)," CREDIT after discount"),IF(T2GDiscount=0,"",IF(G2774=0,"",IF(F2774="Buy",CONCATENATE(" $",ROUND(K2774*(1-T2GDiscount),2)," with ",(T2GDiscount*100),"% discount"),CONCATENATE(" $",ROUND(K2774*(1-T2GDiscount),2)," with ",((T2GDiscount*100+F2774*100)-(T2GDiscount*100*F2774)),IF(F2774&gt;0,"% discounts",IF(NoWarrantyDiscount&gt;0,"% discounts","% discount")))))))))</f>
        <v/>
      </c>
      <c r="N2774" s="660"/>
      <c r="O2774" s="233"/>
      <c r="P2774" s="233"/>
      <c r="Q2774" s="233"/>
      <c r="R2774" s="233"/>
      <c r="S2774" s="233"/>
      <c r="T2774" s="508">
        <f t="shared" si="2155"/>
        <v>0</v>
      </c>
      <c r="U2774" s="225">
        <f>IF(NOT(ISNUMBER(G2774)), "", VLOOKUP(A2774,'Discount Lookup'!D:E,2,FALSE)*G2774)</f>
        <v>0</v>
      </c>
      <c r="V2774" s="225">
        <f>IF(NOT(ISNUMBER(G2774)), "", VLOOKUP(A2774,'Discount Lookup'!G:H,2,FALSE)*G2774)</f>
        <v>0</v>
      </c>
      <c r="W2774" s="508">
        <f t="shared" si="2156"/>
        <v>0</v>
      </c>
      <c r="X2774" s="508">
        <f t="shared" si="2157"/>
        <v>0</v>
      </c>
      <c r="Y2774" s="509" t="b">
        <f t="shared" si="2158"/>
        <v>0</v>
      </c>
      <c r="Z2774" s="510">
        <f t="shared" si="2159"/>
        <v>0</v>
      </c>
      <c r="AA2774" s="511"/>
      <c r="AB2774" s="511" t="str">
        <f t="shared" si="2160"/>
        <v/>
      </c>
      <c r="AC2774" s="698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698"/>
      <c r="AE2774" s="631" t="str">
        <f t="shared" si="2161"/>
        <v/>
      </c>
      <c r="AF2774" s="699" t="str">
        <f t="shared" si="2162"/>
        <v/>
      </c>
      <c r="AG2774" s="699"/>
      <c r="AH2774" s="699"/>
      <c r="AI2774" s="512">
        <f>IF(H2774="credit",0,IF(AE2774="free",0,IF(AE2774="me",0,IF(G2774&gt;0,(VLOOKUP(A2774,'Discount Lookup'!J:K,2)*G2774),0))))</f>
        <v>0</v>
      </c>
      <c r="AJ2774" s="513" t="str">
        <f t="shared" ca="1" si="2163"/>
        <v/>
      </c>
      <c r="AK2774" s="700" t="str">
        <f t="shared" si="2164"/>
        <v/>
      </c>
      <c r="AL2774" s="700"/>
      <c r="AM2774" s="505" t="str">
        <f t="shared" si="2165"/>
        <v/>
      </c>
      <c r="AN2774" s="506"/>
      <c r="AO2774" s="507"/>
      <c r="AP2774" s="507"/>
      <c r="AQ2774" s="507"/>
      <c r="AR2774" s="507"/>
      <c r="AS2774" s="507"/>
      <c r="AT2774" s="507"/>
      <c r="AU2774" s="507"/>
      <c r="AV2774" s="225"/>
      <c r="AW2774" s="508"/>
      <c r="AX2774" s="225"/>
      <c r="AY2774" s="225"/>
      <c r="AZ2774" s="225"/>
      <c r="BA2774" s="225"/>
      <c r="BB2774" s="225"/>
      <c r="BC2774" s="56"/>
      <c r="BD2774" s="56"/>
      <c r="BE2774" s="56"/>
      <c r="BF2774" s="107" t="str">
        <f t="shared" si="2166"/>
        <v>https://www.google.com/search?tbm=isch&amp;q=3%20G5</v>
      </c>
      <c r="BG2774" s="107" t="str">
        <f t="shared" si="2167"/>
        <v>P</v>
      </c>
      <c r="BH2774" s="254"/>
      <c r="BI2774" s="254"/>
    </row>
    <row r="2775" spans="1:61" customFormat="1" ht="17.25" thickBot="1" x14ac:dyDescent="0.3">
      <c r="A2775" s="524" t="s">
        <v>4139</v>
      </c>
      <c r="B2775" s="245"/>
      <c r="C2775" s="677"/>
      <c r="D2775" s="499"/>
      <c r="E2775" s="499"/>
      <c r="F2775" s="500"/>
      <c r="G2775" s="501"/>
      <c r="H2775" s="502"/>
      <c r="I2775" s="246"/>
      <c r="J2775" s="247"/>
      <c r="K2775" s="503"/>
      <c r="L2775" s="544"/>
      <c r="M2775" s="544"/>
      <c r="N2775" s="500"/>
      <c r="O2775" s="500"/>
      <c r="P2775" s="500"/>
      <c r="Q2775" s="500"/>
      <c r="R2775" s="500"/>
      <c r="S2775" s="669" t="s">
        <v>4980</v>
      </c>
      <c r="T2775" s="508">
        <f t="shared" si="2155"/>
        <v>0</v>
      </c>
      <c r="U2775" s="225" t="str">
        <f>IF(NOT(ISNUMBER(G2775)), "", VLOOKUP(A2775,'Discount Lookup'!D:E,2,FALSE)*G2775)</f>
        <v/>
      </c>
      <c r="V2775" s="225" t="str">
        <f>IF(NOT(ISNUMBER(G2775)), "", VLOOKUP(A2775,'Discount Lookup'!G:H,2,FALSE)*G2775)</f>
        <v/>
      </c>
      <c r="W2775" s="508">
        <f t="shared" si="2156"/>
        <v>0</v>
      </c>
      <c r="X2775" s="508">
        <f t="shared" si="2157"/>
        <v>0</v>
      </c>
      <c r="Y2775" s="509" t="b">
        <f t="shared" si="2158"/>
        <v>0</v>
      </c>
      <c r="Z2775" s="510">
        <f t="shared" si="2159"/>
        <v>0</v>
      </c>
      <c r="AA2775" s="511"/>
      <c r="AB2775" s="511" t="str">
        <f t="shared" si="2160"/>
        <v/>
      </c>
      <c r="AC2775" s="698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698"/>
      <c r="AE2775" s="631" t="str">
        <f t="shared" si="2161"/>
        <v/>
      </c>
      <c r="AF2775" s="699" t="str">
        <f t="shared" si="2162"/>
        <v/>
      </c>
      <c r="AG2775" s="699"/>
      <c r="AH2775" s="699"/>
      <c r="AI2775" s="512">
        <f>IF(H2775="credit",0,IF(AE2775="free",0,IF(AE2775="me",0,IF(G2775&gt;0,(VLOOKUP(A2775,'Discount Lookup'!J:K,2)*G2775),0))))</f>
        <v>0</v>
      </c>
      <c r="AJ2775" s="513" t="str">
        <f t="shared" ca="1" si="2163"/>
        <v/>
      </c>
      <c r="AK2775" s="700" t="str">
        <f t="shared" si="2164"/>
        <v/>
      </c>
      <c r="AL2775" s="700"/>
      <c r="AM2775" s="505" t="str">
        <f t="shared" si="2165"/>
        <v/>
      </c>
      <c r="AN2775" s="506"/>
      <c r="AO2775" s="507"/>
      <c r="AP2775" s="507"/>
      <c r="AQ2775" s="507"/>
      <c r="AR2775" s="507"/>
      <c r="AS2775" s="507"/>
      <c r="AT2775" s="507"/>
      <c r="AU2775" s="507"/>
      <c r="AV2775" s="225"/>
      <c r="AW2775" s="508"/>
      <c r="AX2775" s="225"/>
      <c r="AY2775" s="225"/>
      <c r="AZ2775" s="225"/>
      <c r="BA2775" s="225"/>
      <c r="BB2775" s="225"/>
      <c r="BC2775" s="56"/>
      <c r="BD2775" s="56"/>
      <c r="BE2775" s="56"/>
      <c r="BF2775" s="107" t="str">
        <f t="shared" si="2166"/>
        <v>https://www.google.com/search?tbm=isch&amp;q=Peach%20has%20a%20mild%20fragrance.%20Drift%20Roses%20bloom%20all%20summer%2C%20without%20deadheading%2C%20Glossy%20Green%20foliage%20and%20thorns%20%28rabbits%20may%20still%20nibble%29%20</v>
      </c>
      <c r="BG2775" s="107" t="str">
        <f t="shared" si="2167"/>
        <v>P</v>
      </c>
      <c r="BH2775" s="254"/>
      <c r="BI2775" s="254"/>
    </row>
    <row r="2776" spans="1:61" customFormat="1" ht="18" x14ac:dyDescent="0.25">
      <c r="A2776" s="521" t="s">
        <v>1489</v>
      </c>
      <c r="B2776" s="477"/>
      <c r="C2776" s="674"/>
      <c r="D2776" s="478" t="s">
        <v>1490</v>
      </c>
      <c r="E2776" s="479"/>
      <c r="F2776" s="479"/>
      <c r="G2776" s="479"/>
      <c r="H2776" s="582" t="s">
        <v>441</v>
      </c>
      <c r="I2776" s="480" t="s">
        <v>2504</v>
      </c>
      <c r="J2776" s="479"/>
      <c r="K2776" s="479"/>
      <c r="L2776" s="560"/>
      <c r="M2776" s="666" t="s">
        <v>4966</v>
      </c>
      <c r="N2776" s="680" t="str">
        <f>IF(AND(ISTEXT($A2776), ISERROR($A2776+0)), HYPERLINK($BF2776, "Images"), "")</f>
        <v>Images</v>
      </c>
      <c r="O2776" s="662" t="s">
        <v>4969</v>
      </c>
      <c r="P2776" s="482"/>
      <c r="Q2776" s="483"/>
      <c r="R2776" s="483"/>
      <c r="S2776" s="484"/>
      <c r="T2776" s="508">
        <f t="shared" si="2155"/>
        <v>0</v>
      </c>
      <c r="U2776" s="225" t="str">
        <f>IF(NOT(ISNUMBER(G2776)), "", VLOOKUP(A2776,'Discount Lookup'!D:E,2,FALSE)*G2776)</f>
        <v/>
      </c>
      <c r="V2776" s="225" t="str">
        <f>IF(NOT(ISNUMBER(G2776)), "", VLOOKUP(A2776,'Discount Lookup'!G:H,2,FALSE)*G2776)</f>
        <v/>
      </c>
      <c r="W2776" s="508">
        <f t="shared" si="2156"/>
        <v>0</v>
      </c>
      <c r="X2776" s="508" t="str">
        <f t="shared" si="2157"/>
        <v>Light Pink to White</v>
      </c>
      <c r="Y2776" s="509" t="b">
        <f t="shared" si="2158"/>
        <v>0</v>
      </c>
      <c r="Z2776" s="510">
        <f t="shared" si="2159"/>
        <v>0</v>
      </c>
      <c r="AA2776" s="511"/>
      <c r="AB2776" s="511" t="str">
        <f t="shared" si="2160"/>
        <v/>
      </c>
      <c r="AC2776" s="698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698"/>
      <c r="AE2776" s="631" t="str">
        <f t="shared" si="2161"/>
        <v/>
      </c>
      <c r="AF2776" s="699" t="str">
        <f t="shared" si="2162"/>
        <v/>
      </c>
      <c r="AG2776" s="699"/>
      <c r="AH2776" s="699"/>
      <c r="AI2776" s="512">
        <f>IF(H2776="credit",0,IF(AE2776="free",0,IF(AE2776="me",0,IF(G2776&gt;0,(VLOOKUP(A2776,'Discount Lookup'!J:K,2)*G2776),0))))</f>
        <v>0</v>
      </c>
      <c r="AJ2776" s="513" t="str">
        <f t="shared" ca="1" si="2163"/>
        <v/>
      </c>
      <c r="AK2776" s="700" t="str">
        <f t="shared" si="2164"/>
        <v/>
      </c>
      <c r="AL2776" s="700"/>
      <c r="AM2776" s="505" t="str">
        <f t="shared" si="2165"/>
        <v/>
      </c>
      <c r="AN2776" s="506"/>
      <c r="AO2776" s="507"/>
      <c r="AP2776" s="507"/>
      <c r="AQ2776" s="507"/>
      <c r="AR2776" s="507"/>
      <c r="AS2776" s="507"/>
      <c r="AT2776" s="507"/>
      <c r="AU2776" s="507"/>
      <c r="AV2776" s="225"/>
      <c r="AW2776" s="508"/>
      <c r="AX2776" s="225"/>
      <c r="AY2776" s="225"/>
      <c r="AZ2776" s="225"/>
      <c r="BA2776" s="225"/>
      <c r="BB2776" s="225"/>
      <c r="BC2776" s="56"/>
      <c r="BD2776" s="56"/>
      <c r="BE2776" s="56"/>
      <c r="BF2776" s="107" t="str">
        <f t="shared" si="2166"/>
        <v>https://www.google.com/search?tbm=isch&amp;q=Peach%20Perfection%20Abelia%20Abelia%20x%20grandiflora%20%27SRPabeper%27%20PP%2330954</v>
      </c>
      <c r="BG2776" s="107" t="str">
        <f t="shared" si="2167"/>
        <v>P</v>
      </c>
      <c r="BH2776" s="254"/>
      <c r="BI2776" s="254"/>
    </row>
    <row r="2777" spans="1:61" customFormat="1" ht="15.75" x14ac:dyDescent="0.25">
      <c r="A2777" s="485">
        <v>3</v>
      </c>
      <c r="B2777" s="486" t="s">
        <v>291</v>
      </c>
      <c r="C2777" s="487" t="s">
        <v>535</v>
      </c>
      <c r="D2777" s="488" t="s">
        <v>297</v>
      </c>
      <c r="E2777" s="489">
        <v>27.95</v>
      </c>
      <c r="F2777" s="516" t="s">
        <v>293</v>
      </c>
      <c r="G2777" s="232">
        <v>0</v>
      </c>
      <c r="H2777" s="658" t="str">
        <f>IF(G2777=0,"",IF(F2777="Buy",IF(G2777=1,"plant","plants"),IF(F2777&gt;0.01,"warranty","Error")))</f>
        <v/>
      </c>
      <c r="I2777" s="490">
        <f>IF(H2777="free",0,IF(H2777="credit",((E2777*(F2777))*G2777*-1),IF(F2777="Buy",(E2777*G2777),((E2777*(1-F2777))*G2777))))</f>
        <v>0</v>
      </c>
      <c r="J2777" s="490">
        <f>IF(H2777="warranty",0,(I2777*(_xlfn.SINGLE(SalesTaxPercentage))))</f>
        <v>0</v>
      </c>
      <c r="K2777" s="695">
        <f t="shared" ref="K2777" si="2174">I2777+J2777</f>
        <v>0</v>
      </c>
      <c r="L2777" s="695"/>
      <c r="M2777" s="659" t="str">
        <f>IF(AND(G2777&gt;0,E2777=0),"WARNING - no PRICE inserted",IF(H2777="free"," FREE ~ no charge this plant",IF(H2777="credit",CONCATENATE(" -$",ROUND(K2777*(1-T2GDiscount)*-1,2)," CREDIT after discount"),IF(T2GDiscount=0,"",IF(G2777=0,"",IF(F2777="Buy",CONCATENATE(" $",ROUND(K2777*(1-T2GDiscount),2)," with ",(T2GDiscount*100),"% discount"),CONCATENATE(" $",ROUND(K2777*(1-T2GDiscount),2)," with ",((T2GDiscount*100+F2777*100)-(T2GDiscount*100*F2777)),IF(F2777&gt;0,"% discounts",IF(NoWarrantyDiscount&gt;0,"% discounts","% discount")))))))))</f>
        <v/>
      </c>
      <c r="N2777" s="660"/>
      <c r="O2777" s="233"/>
      <c r="P2777" s="233"/>
      <c r="Q2777" s="233"/>
      <c r="R2777" s="233"/>
      <c r="S2777" s="233"/>
      <c r="T2777" s="508">
        <f t="shared" si="2155"/>
        <v>0</v>
      </c>
      <c r="U2777" s="225">
        <f>IF(NOT(ISNUMBER(G2777)), "", VLOOKUP(A2777,'Discount Lookup'!D:E,2,FALSE)*G2777)</f>
        <v>0</v>
      </c>
      <c r="V2777" s="225">
        <f>IF(NOT(ISNUMBER(G2777)), "", VLOOKUP(A2777,'Discount Lookup'!G:H,2,FALSE)*G2777)</f>
        <v>0</v>
      </c>
      <c r="W2777" s="508">
        <f t="shared" si="2156"/>
        <v>0</v>
      </c>
      <c r="X2777" s="508">
        <f t="shared" si="2157"/>
        <v>0</v>
      </c>
      <c r="Y2777" s="509" t="b">
        <f t="shared" si="2158"/>
        <v>0</v>
      </c>
      <c r="Z2777" s="510">
        <f t="shared" si="2159"/>
        <v>0</v>
      </c>
      <c r="AA2777" s="511"/>
      <c r="AB2777" s="511" t="str">
        <f t="shared" si="2160"/>
        <v/>
      </c>
      <c r="AC2777" s="698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698"/>
      <c r="AE2777" s="631" t="str">
        <f t="shared" si="2161"/>
        <v/>
      </c>
      <c r="AF2777" s="699" t="str">
        <f t="shared" si="2162"/>
        <v/>
      </c>
      <c r="AG2777" s="699"/>
      <c r="AH2777" s="699"/>
      <c r="AI2777" s="512">
        <f>IF(H2777="credit",0,IF(AE2777="free",0,IF(AE2777="me",0,IF(G2777&gt;0,(VLOOKUP(A2777,'Discount Lookup'!J:K,2)*G2777),0))))</f>
        <v>0</v>
      </c>
      <c r="AJ2777" s="513" t="str">
        <f t="shared" ca="1" si="2163"/>
        <v/>
      </c>
      <c r="AK2777" s="700" t="str">
        <f t="shared" si="2164"/>
        <v/>
      </c>
      <c r="AL2777" s="700"/>
      <c r="AM2777" s="505" t="str">
        <f t="shared" si="2165"/>
        <v/>
      </c>
      <c r="AN2777" s="506"/>
      <c r="AO2777" s="507"/>
      <c r="AP2777" s="507"/>
      <c r="AQ2777" s="507"/>
      <c r="AR2777" s="507"/>
      <c r="AS2777" s="507"/>
      <c r="AT2777" s="507"/>
      <c r="AU2777" s="507"/>
      <c r="AV2777" s="225"/>
      <c r="AW2777" s="508"/>
      <c r="AX2777" s="225"/>
      <c r="AY2777" s="225"/>
      <c r="AZ2777" s="225"/>
      <c r="BA2777" s="225"/>
      <c r="BB2777" s="225"/>
      <c r="BC2777" s="56"/>
      <c r="BD2777" s="56"/>
      <c r="BE2777" s="56"/>
      <c r="BF2777" s="107" t="str">
        <f t="shared" si="2166"/>
        <v>https://www.google.com/search?tbm=isch&amp;q=3%20G3</v>
      </c>
      <c r="BG2777" s="107" t="str">
        <f t="shared" si="2167"/>
        <v>P</v>
      </c>
      <c r="BH2777" s="254"/>
      <c r="BI2777" s="254"/>
    </row>
    <row r="2778" spans="1:61" customFormat="1" ht="15.75" x14ac:dyDescent="0.25">
      <c r="A2778" s="485">
        <v>3</v>
      </c>
      <c r="B2778" s="486" t="s">
        <v>291</v>
      </c>
      <c r="C2778" s="487" t="s">
        <v>4628</v>
      </c>
      <c r="D2778" s="488" t="s">
        <v>312</v>
      </c>
      <c r="E2778" s="489">
        <v>30.95</v>
      </c>
      <c r="F2778" s="516" t="s">
        <v>293</v>
      </c>
      <c r="G2778" s="232">
        <v>0</v>
      </c>
      <c r="H2778" s="658" t="str">
        <f>IF(G2778=0,"",IF(F2778="Buy",IF(G2778=1,"plant","plants"),IF(F2778&gt;0.01,"warranty","Error")))</f>
        <v/>
      </c>
      <c r="I2778" s="490">
        <f>IF(H2778="free",0,IF(H2778="credit",((E2778*(F2778))*G2778*-1),IF(F2778="Buy",(E2778*G2778),((E2778*(1-F2778))*G2778))))</f>
        <v>0</v>
      </c>
      <c r="J2778" s="490">
        <f>IF(H2778="warranty",0,(I2778*(_xlfn.SINGLE(SalesTaxPercentage))))</f>
        <v>0</v>
      </c>
      <c r="K2778" s="695">
        <f t="shared" ref="K2778" si="2175">I2778+J2778</f>
        <v>0</v>
      </c>
      <c r="L2778" s="695"/>
      <c r="M2778" s="659" t="str">
        <f>IF(AND(G2778&gt;0,E2778=0),"WARNING - no PRICE inserted",IF(H2778="free"," FREE ~ no charge this plant",IF(H2778="credit",CONCATENATE(" -$",ROUND(K2778*(1-T2GDiscount)*-1,2)," CREDIT after discount"),IF(T2GDiscount=0,"",IF(G2778=0,"",IF(F2778="Buy",CONCATENATE(" $",ROUND(K2778*(1-T2GDiscount),2)," with ",(T2GDiscount*100),"% discount"),CONCATENATE(" $",ROUND(K2778*(1-T2GDiscount),2)," with ",((T2GDiscount*100+F2778*100)-(T2GDiscount*100*F2778)),IF(F2778&gt;0,"% discounts",IF(NoWarrantyDiscount&gt;0,"% discounts","% discount")))))))))</f>
        <v/>
      </c>
      <c r="N2778" s="660"/>
      <c r="O2778" s="233"/>
      <c r="P2778" s="233"/>
      <c r="Q2778" s="233"/>
      <c r="R2778" s="233"/>
      <c r="S2778" s="233"/>
      <c r="T2778" s="508">
        <f t="shared" si="2155"/>
        <v>0</v>
      </c>
      <c r="U2778" s="225">
        <f>IF(NOT(ISNUMBER(G2778)), "", VLOOKUP(A2778,'Discount Lookup'!D:E,2,FALSE)*G2778)</f>
        <v>0</v>
      </c>
      <c r="V2778" s="225">
        <f>IF(NOT(ISNUMBER(G2778)), "", VLOOKUP(A2778,'Discount Lookup'!G:H,2,FALSE)*G2778)</f>
        <v>0</v>
      </c>
      <c r="W2778" s="508">
        <f t="shared" si="2156"/>
        <v>0</v>
      </c>
      <c r="X2778" s="508">
        <f t="shared" si="2157"/>
        <v>0</v>
      </c>
      <c r="Y2778" s="509" t="b">
        <f t="shared" si="2158"/>
        <v>0</v>
      </c>
      <c r="Z2778" s="510">
        <f t="shared" si="2159"/>
        <v>0</v>
      </c>
      <c r="AA2778" s="511"/>
      <c r="AB2778" s="511" t="str">
        <f t="shared" si="2160"/>
        <v/>
      </c>
      <c r="AC2778" s="698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698"/>
      <c r="AE2778" s="631" t="str">
        <f t="shared" si="2161"/>
        <v/>
      </c>
      <c r="AF2778" s="699" t="str">
        <f t="shared" si="2162"/>
        <v/>
      </c>
      <c r="AG2778" s="699"/>
      <c r="AH2778" s="699"/>
      <c r="AI2778" s="512">
        <f>IF(H2778="credit",0,IF(AE2778="free",0,IF(AE2778="me",0,IF(G2778&gt;0,(VLOOKUP(A2778,'Discount Lookup'!J:K,2)*G2778),0))))</f>
        <v>0</v>
      </c>
      <c r="AJ2778" s="513" t="str">
        <f t="shared" ca="1" si="2163"/>
        <v/>
      </c>
      <c r="AK2778" s="700" t="str">
        <f t="shared" si="2164"/>
        <v/>
      </c>
      <c r="AL2778" s="700"/>
      <c r="AM2778" s="505" t="str">
        <f t="shared" si="2165"/>
        <v/>
      </c>
      <c r="AN2778" s="506"/>
      <c r="AO2778" s="507"/>
      <c r="AP2778" s="507"/>
      <c r="AQ2778" s="507"/>
      <c r="AR2778" s="507"/>
      <c r="AS2778" s="507"/>
      <c r="AT2778" s="507"/>
      <c r="AU2778" s="507"/>
      <c r="AV2778" s="225"/>
      <c r="AW2778" s="508"/>
      <c r="AX2778" s="225"/>
      <c r="AY2778" s="225"/>
      <c r="AZ2778" s="225"/>
      <c r="BA2778" s="225"/>
      <c r="BB2778" s="225"/>
      <c r="BC2778" s="56"/>
      <c r="BD2778" s="56"/>
      <c r="BE2778" s="56"/>
      <c r="BF2778" s="107" t="str">
        <f t="shared" si="2166"/>
        <v>https://www.google.com/search?tbm=isch&amp;q=3%20G2</v>
      </c>
      <c r="BG2778" s="107" t="str">
        <f t="shared" si="2167"/>
        <v>P</v>
      </c>
      <c r="BH2778" s="254"/>
      <c r="BI2778" s="254"/>
    </row>
    <row r="2779" spans="1:61" customFormat="1" ht="17.25" thickBot="1" x14ac:dyDescent="0.3">
      <c r="A2779" s="522" t="s">
        <v>4140</v>
      </c>
      <c r="B2779" s="491"/>
      <c r="C2779" s="675"/>
      <c r="D2779" s="491"/>
      <c r="E2779" s="491"/>
      <c r="F2779" s="492"/>
      <c r="G2779" s="493"/>
      <c r="H2779" s="491"/>
      <c r="I2779" s="234"/>
      <c r="J2779" s="234"/>
      <c r="K2779" s="494"/>
      <c r="L2779" s="543"/>
      <c r="M2779" s="561"/>
      <c r="N2779" s="495"/>
      <c r="O2779" s="496"/>
      <c r="P2779" s="497"/>
      <c r="Q2779" s="495"/>
      <c r="R2779" s="495"/>
      <c r="S2779" s="667" t="s">
        <v>4988</v>
      </c>
      <c r="T2779" s="508">
        <f t="shared" si="2155"/>
        <v>0</v>
      </c>
      <c r="U2779" s="225" t="str">
        <f>IF(NOT(ISNUMBER(G2779)), "", VLOOKUP(A2779,'Discount Lookup'!D:E,2,FALSE)*G2779)</f>
        <v/>
      </c>
      <c r="V2779" s="225" t="str">
        <f>IF(NOT(ISNUMBER(G2779)), "", VLOOKUP(A2779,'Discount Lookup'!G:H,2,FALSE)*G2779)</f>
        <v/>
      </c>
      <c r="W2779" s="508">
        <f t="shared" si="2156"/>
        <v>0</v>
      </c>
      <c r="X2779" s="508">
        <f t="shared" si="2157"/>
        <v>0</v>
      </c>
      <c r="Y2779" s="509" t="b">
        <f t="shared" si="2158"/>
        <v>0</v>
      </c>
      <c r="Z2779" s="510">
        <f t="shared" si="2159"/>
        <v>0</v>
      </c>
      <c r="AA2779" s="511"/>
      <c r="AB2779" s="511" t="str">
        <f t="shared" si="2160"/>
        <v/>
      </c>
      <c r="AC2779" s="698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698"/>
      <c r="AE2779" s="631" t="str">
        <f t="shared" si="2161"/>
        <v/>
      </c>
      <c r="AF2779" s="699" t="str">
        <f t="shared" si="2162"/>
        <v/>
      </c>
      <c r="AG2779" s="699"/>
      <c r="AH2779" s="699"/>
      <c r="AI2779" s="512">
        <f>IF(H2779="credit",0,IF(AE2779="free",0,IF(AE2779="me",0,IF(G2779&gt;0,(VLOOKUP(A2779,'Discount Lookup'!J:K,2)*G2779),0))))</f>
        <v>0</v>
      </c>
      <c r="AJ2779" s="513" t="str">
        <f t="shared" ca="1" si="2163"/>
        <v/>
      </c>
      <c r="AK2779" s="700" t="str">
        <f t="shared" si="2164"/>
        <v/>
      </c>
      <c r="AL2779" s="700"/>
      <c r="AM2779" s="505" t="str">
        <f t="shared" si="2165"/>
        <v/>
      </c>
      <c r="AN2779" s="506"/>
      <c r="AO2779" s="507"/>
      <c r="AP2779" s="507"/>
      <c r="AQ2779" s="507"/>
      <c r="AR2779" s="507"/>
      <c r="AS2779" s="507"/>
      <c r="AT2779" s="507"/>
      <c r="AU2779" s="507"/>
      <c r="AV2779" s="225"/>
      <c r="AW2779" s="508"/>
      <c r="AX2779" s="225"/>
      <c r="AY2779" s="225"/>
      <c r="AZ2779" s="225"/>
      <c r="BA2779" s="225"/>
      <c r="BB2779" s="225"/>
      <c r="BC2779" s="56"/>
      <c r="BD2779" s="56"/>
      <c r="BE2779" s="56"/>
      <c r="BF2779" s="107" t="str">
        <f t="shared" si="2166"/>
        <v>https://www.google.com/search?tbm=isch&amp;q=Peach%20Perfection%20has%20fiery%20new%20foliage%2C%20then%20shades%20of%20Peach%2C%20Orange%2C%20and%20Green%2C%20then%20Bronze-Purple%20fall%20tones.%20Fragrant%20</v>
      </c>
      <c r="BG2779" s="107" t="str">
        <f t="shared" si="2167"/>
        <v>P</v>
      </c>
      <c r="BH2779" s="254"/>
      <c r="BI2779" s="254"/>
    </row>
    <row r="2780" spans="1:61" customFormat="1" ht="18" x14ac:dyDescent="0.25">
      <c r="A2780" s="523" t="s">
        <v>5484</v>
      </c>
      <c r="B2780" s="235"/>
      <c r="C2780" s="676"/>
      <c r="D2780" s="255" t="s">
        <v>1491</v>
      </c>
      <c r="E2780" s="236"/>
      <c r="F2780" s="236"/>
      <c r="G2780" s="236"/>
      <c r="H2780" s="582" t="s">
        <v>506</v>
      </c>
      <c r="I2780" s="498" t="s">
        <v>654</v>
      </c>
      <c r="J2780" s="237"/>
      <c r="K2780" s="237"/>
      <c r="L2780" s="274"/>
      <c r="M2780" s="668" t="s">
        <v>4962</v>
      </c>
      <c r="N2780" s="681" t="str">
        <f>IF(AND(ISTEXT($A2780), ISERROR($A2780+0)), HYPERLINK($BF2780, "Images"), "")</f>
        <v>Images</v>
      </c>
      <c r="O2780" s="663" t="s">
        <v>4971</v>
      </c>
      <c r="P2780" s="253"/>
      <c r="Q2780" s="238"/>
      <c r="R2780" s="239"/>
      <c r="S2780" s="275" t="s">
        <v>305</v>
      </c>
      <c r="T2780" s="508">
        <f t="shared" si="2155"/>
        <v>0</v>
      </c>
      <c r="U2780" s="225" t="str">
        <f>IF(NOT(ISNUMBER(G2780)), "", VLOOKUP(A2780,'Discount Lookup'!D:E,2,FALSE)*G2780)</f>
        <v/>
      </c>
      <c r="V2780" s="225" t="str">
        <f>IF(NOT(ISNUMBER(G2780)), "", VLOOKUP(A2780,'Discount Lookup'!G:H,2,FALSE)*G2780)</f>
        <v/>
      </c>
      <c r="W2780" s="508">
        <f t="shared" si="2156"/>
        <v>0</v>
      </c>
      <c r="X2780" s="508" t="str">
        <f t="shared" si="2157"/>
        <v>White bloom</v>
      </c>
      <c r="Y2780" s="509" t="b">
        <f t="shared" si="2158"/>
        <v>0</v>
      </c>
      <c r="Z2780" s="510">
        <f t="shared" si="2159"/>
        <v>0</v>
      </c>
      <c r="AA2780" s="511"/>
      <c r="AB2780" s="511" t="str">
        <f t="shared" si="2160"/>
        <v/>
      </c>
      <c r="AC2780" s="698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698"/>
      <c r="AE2780" s="631" t="str">
        <f t="shared" si="2161"/>
        <v/>
      </c>
      <c r="AF2780" s="699" t="str">
        <f t="shared" si="2162"/>
        <v/>
      </c>
      <c r="AG2780" s="699"/>
      <c r="AH2780" s="699"/>
      <c r="AI2780" s="512">
        <f>IF(H2780="credit",0,IF(AE2780="free",0,IF(AE2780="me",0,IF(G2780&gt;0,(VLOOKUP(A2780,'Discount Lookup'!J:K,2)*G2780),0))))</f>
        <v>0</v>
      </c>
      <c r="AJ2780" s="513" t="str">
        <f t="shared" ca="1" si="2163"/>
        <v/>
      </c>
      <c r="AK2780" s="700" t="str">
        <f t="shared" si="2164"/>
        <v/>
      </c>
      <c r="AL2780" s="700"/>
      <c r="AM2780" s="505" t="str">
        <f t="shared" si="2165"/>
        <v/>
      </c>
      <c r="AN2780" s="506"/>
      <c r="AO2780" s="507"/>
      <c r="AP2780" s="507"/>
      <c r="AQ2780" s="507"/>
      <c r="AR2780" s="507"/>
      <c r="AS2780" s="507"/>
      <c r="AT2780" s="507"/>
      <c r="AU2780" s="507"/>
      <c r="AV2780" s="225"/>
      <c r="AW2780" s="508"/>
      <c r="AX2780" s="225"/>
      <c r="AY2780" s="225"/>
      <c r="AZ2780" s="225"/>
      <c r="BA2780" s="225"/>
      <c r="BB2780" s="225"/>
      <c r="BC2780" s="56"/>
      <c r="BD2780" s="56"/>
      <c r="BE2780" s="56"/>
      <c r="BF2780" s="107" t="str">
        <f t="shared" si="2166"/>
        <v>https://www.google.com/search?tbm=isch&amp;q=Peach%20Sorbet%C2%AE%20Blueberry%20Vac.%20corymbosum%20%27ZF06-043%27%20PP%2323325</v>
      </c>
      <c r="BG2780" s="107" t="str">
        <f t="shared" si="2167"/>
        <v>P</v>
      </c>
      <c r="BH2780" s="254"/>
      <c r="BI2780" s="254"/>
    </row>
    <row r="2781" spans="1:61" customFormat="1" ht="15.75" x14ac:dyDescent="0.25">
      <c r="A2781" s="276">
        <v>1</v>
      </c>
      <c r="B2781" s="240" t="s">
        <v>291</v>
      </c>
      <c r="C2781" s="241" t="s">
        <v>4798</v>
      </c>
      <c r="D2781" s="242" t="s">
        <v>312</v>
      </c>
      <c r="E2781" s="243">
        <v>30.95</v>
      </c>
      <c r="F2781" s="517" t="s">
        <v>293</v>
      </c>
      <c r="G2781" s="232">
        <v>0</v>
      </c>
      <c r="H2781" s="661" t="str">
        <f>IF(G2781=0,"",IF(F2781="Buy",IF(G2781=1,"plant","plants"),IF(F2781&gt;0.01,"warranty","Error")))</f>
        <v/>
      </c>
      <c r="I2781" s="244">
        <f>IF(H2781="free",0,IF(H2781="credit",((E2781*(F2781))*G2781*-1),IF(F2781="Buy",(E2781*G2781),((E2781*(1-F2781))*G2781))))</f>
        <v>0</v>
      </c>
      <c r="J2781" s="244">
        <f>IF(H2781="warranty",0,(I2781*(_xlfn.SINGLE(SalesTaxPercentage))))</f>
        <v>0</v>
      </c>
      <c r="K2781" s="696">
        <f t="shared" ref="K2781" si="2176">I2781+J2781</f>
        <v>0</v>
      </c>
      <c r="L2781" s="696"/>
      <c r="M2781" s="659" t="str">
        <f>IF(AND(G2781&gt;0,E2781=0),"WARNING - no PRICE inserted",IF(H2781="free"," FREE ~ no charge this plant",IF(H2781="credit",CONCATENATE(" -$",ROUND(K2781*(1-T2GDiscount)*-1,2)," CREDIT after discount"),IF(T2GDiscount=0,"",IF(G2781=0,"",IF(F2781="Buy",CONCATENATE(" $",ROUND(K2781*(1-T2GDiscount),2)," with ",(T2GDiscount*100),"% discount"),CONCATENATE(" $",ROUND(K2781*(1-T2GDiscount),2)," with ",((T2GDiscount*100+F2781*100)-(T2GDiscount*100*F2781)),IF(F2781&gt;0,"% discounts",IF(NoWarrantyDiscount&gt;0,"% discounts","% discount")))))))))</f>
        <v/>
      </c>
      <c r="N2781" s="660"/>
      <c r="O2781" s="233"/>
      <c r="P2781" s="233"/>
      <c r="Q2781" s="233"/>
      <c r="R2781" s="233"/>
      <c r="S2781" s="233"/>
      <c r="T2781" s="508">
        <f t="shared" si="2155"/>
        <v>0</v>
      </c>
      <c r="U2781" s="225">
        <f>IF(NOT(ISNUMBER(G2781)), "", VLOOKUP(A2781,'Discount Lookup'!D:E,2,FALSE)*G2781)</f>
        <v>0</v>
      </c>
      <c r="V2781" s="225">
        <f>IF(NOT(ISNUMBER(G2781)), "", VLOOKUP(A2781,'Discount Lookup'!G:H,2,FALSE)*G2781)</f>
        <v>0</v>
      </c>
      <c r="W2781" s="508">
        <f t="shared" si="2156"/>
        <v>0</v>
      </c>
      <c r="X2781" s="508">
        <f t="shared" si="2157"/>
        <v>0</v>
      </c>
      <c r="Y2781" s="509" t="b">
        <f t="shared" si="2158"/>
        <v>0</v>
      </c>
      <c r="Z2781" s="510">
        <f t="shared" si="2159"/>
        <v>0</v>
      </c>
      <c r="AA2781" s="511"/>
      <c r="AB2781" s="511" t="str">
        <f t="shared" si="2160"/>
        <v/>
      </c>
      <c r="AC2781" s="698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698"/>
      <c r="AE2781" s="631" t="str">
        <f t="shared" si="2161"/>
        <v/>
      </c>
      <c r="AF2781" s="699" t="str">
        <f t="shared" si="2162"/>
        <v/>
      </c>
      <c r="AG2781" s="699"/>
      <c r="AH2781" s="699"/>
      <c r="AI2781" s="512">
        <f>IF(H2781="credit",0,IF(AE2781="free",0,IF(AE2781="me",0,IF(G2781&gt;0,(VLOOKUP(A2781,'Discount Lookup'!J:K,2)*G2781),0))))</f>
        <v>0</v>
      </c>
      <c r="AJ2781" s="513" t="str">
        <f t="shared" ca="1" si="2163"/>
        <v/>
      </c>
      <c r="AK2781" s="700" t="str">
        <f t="shared" si="2164"/>
        <v/>
      </c>
      <c r="AL2781" s="700"/>
      <c r="AM2781" s="505" t="str">
        <f t="shared" si="2165"/>
        <v/>
      </c>
      <c r="AN2781" s="506"/>
      <c r="AO2781" s="507"/>
      <c r="AP2781" s="507"/>
      <c r="AQ2781" s="507"/>
      <c r="AR2781" s="507"/>
      <c r="AS2781" s="507"/>
      <c r="AT2781" s="507"/>
      <c r="AU2781" s="507"/>
      <c r="AV2781" s="225"/>
      <c r="AW2781" s="508"/>
      <c r="AX2781" s="225"/>
      <c r="AY2781" s="225"/>
      <c r="AZ2781" s="225"/>
      <c r="BA2781" s="225"/>
      <c r="BB2781" s="225"/>
      <c r="BC2781" s="56"/>
      <c r="BD2781" s="56"/>
      <c r="BE2781" s="56"/>
      <c r="BF2781" s="107" t="str">
        <f t="shared" si="2166"/>
        <v>https://www.google.com/search?tbm=isch&amp;q=1%20G2</v>
      </c>
      <c r="BG2781" s="107" t="str">
        <f t="shared" si="2167"/>
        <v>P</v>
      </c>
      <c r="BH2781" s="254"/>
      <c r="BI2781" s="254"/>
    </row>
    <row r="2782" spans="1:61" customFormat="1" ht="17.25" thickBot="1" x14ac:dyDescent="0.3">
      <c r="A2782" s="673" t="s">
        <v>5200</v>
      </c>
      <c r="B2782" s="245"/>
      <c r="C2782" s="677"/>
      <c r="D2782" s="499"/>
      <c r="E2782" s="499"/>
      <c r="F2782" s="500"/>
      <c r="G2782" s="501"/>
      <c r="H2782" s="502"/>
      <c r="I2782" s="246"/>
      <c r="J2782" s="247"/>
      <c r="K2782" s="503"/>
      <c r="L2782" s="544"/>
      <c r="M2782" s="544"/>
      <c r="N2782" s="500"/>
      <c r="O2782" s="500"/>
      <c r="P2782" s="500"/>
      <c r="Q2782" s="500"/>
      <c r="R2782" s="500"/>
      <c r="S2782" s="669" t="s">
        <v>5021</v>
      </c>
      <c r="T2782" s="508">
        <f t="shared" si="2155"/>
        <v>0</v>
      </c>
      <c r="U2782" s="225" t="str">
        <f>IF(NOT(ISNUMBER(G2782)), "", VLOOKUP(A2782,'Discount Lookup'!D:E,2,FALSE)*G2782)</f>
        <v/>
      </c>
      <c r="V2782" s="225" t="str">
        <f>IF(NOT(ISNUMBER(G2782)), "", VLOOKUP(A2782,'Discount Lookup'!G:H,2,FALSE)*G2782)</f>
        <v/>
      </c>
      <c r="W2782" s="508">
        <f t="shared" si="2156"/>
        <v>0</v>
      </c>
      <c r="X2782" s="508">
        <f t="shared" si="2157"/>
        <v>0</v>
      </c>
      <c r="Y2782" s="509" t="b">
        <f t="shared" si="2158"/>
        <v>0</v>
      </c>
      <c r="Z2782" s="510">
        <f t="shared" si="2159"/>
        <v>0</v>
      </c>
      <c r="AA2782" s="511"/>
      <c r="AB2782" s="511" t="str">
        <f t="shared" si="2160"/>
        <v/>
      </c>
      <c r="AC2782" s="698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698"/>
      <c r="AE2782" s="631" t="str">
        <f t="shared" si="2161"/>
        <v/>
      </c>
      <c r="AF2782" s="699" t="str">
        <f t="shared" si="2162"/>
        <v/>
      </c>
      <c r="AG2782" s="699"/>
      <c r="AH2782" s="699"/>
      <c r="AI2782" s="512">
        <f>IF(H2782="credit",0,IF(AE2782="free",0,IF(AE2782="me",0,IF(G2782&gt;0,(VLOOKUP(A2782,'Discount Lookup'!J:K,2)*G2782),0))))</f>
        <v>0</v>
      </c>
      <c r="AJ2782" s="513" t="str">
        <f t="shared" ca="1" si="2163"/>
        <v/>
      </c>
      <c r="AK2782" s="700" t="str">
        <f t="shared" si="2164"/>
        <v/>
      </c>
      <c r="AL2782" s="700"/>
      <c r="AM2782" s="505" t="str">
        <f t="shared" si="2165"/>
        <v/>
      </c>
      <c r="AN2782" s="506"/>
      <c r="AO2782" s="507"/>
      <c r="AP2782" s="507"/>
      <c r="AQ2782" s="507"/>
      <c r="AR2782" s="507"/>
      <c r="AS2782" s="507"/>
      <c r="AT2782" s="507"/>
      <c r="AU2782" s="507"/>
      <c r="AV2782" s="225"/>
      <c r="AW2782" s="508"/>
      <c r="AX2782" s="225"/>
      <c r="AY2782" s="225"/>
      <c r="AZ2782" s="225"/>
      <c r="BA2782" s="225"/>
      <c r="BB2782" s="225"/>
      <c r="BC2782" s="56"/>
      <c r="BD2782" s="56"/>
      <c r="BE2782" s="56"/>
      <c r="BF2782" s="107" t="str">
        <f t="shared" si="2166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2782" s="107" t="str">
        <f t="shared" si="2167"/>
        <v>m</v>
      </c>
      <c r="BH2782" s="254"/>
      <c r="BI2782" s="254"/>
    </row>
    <row r="2783" spans="1:61" customFormat="1" ht="18" x14ac:dyDescent="0.25">
      <c r="A2783" s="523" t="s">
        <v>5485</v>
      </c>
      <c r="B2783" s="235"/>
      <c r="C2783" s="676"/>
      <c r="D2783" s="255" t="s">
        <v>1492</v>
      </c>
      <c r="E2783" s="236"/>
      <c r="F2783" s="236"/>
      <c r="G2783" s="236"/>
      <c r="H2783" s="582" t="s">
        <v>4247</v>
      </c>
      <c r="I2783" s="498" t="s">
        <v>3012</v>
      </c>
      <c r="J2783" s="237"/>
      <c r="K2783" s="237"/>
      <c r="L2783" s="274"/>
      <c r="M2783" s="668" t="s">
        <v>4962</v>
      </c>
      <c r="N2783" s="681" t="str">
        <f>IF(AND(ISTEXT($A2783), ISERROR($A2783+0)), HYPERLINK($BF2783, "Images"), "")</f>
        <v>Images</v>
      </c>
      <c r="O2783" s="663" t="s">
        <v>4974</v>
      </c>
      <c r="P2783" s="253"/>
      <c r="Q2783" s="238"/>
      <c r="R2783" s="239"/>
      <c r="S2783" s="275"/>
      <c r="T2783" s="508">
        <f t="shared" si="2155"/>
        <v>0</v>
      </c>
      <c r="U2783" s="225" t="str">
        <f>IF(NOT(ISNUMBER(G2783)), "", VLOOKUP(A2783,'Discount Lookup'!D:E,2,FALSE)*G2783)</f>
        <v/>
      </c>
      <c r="V2783" s="225" t="str">
        <f>IF(NOT(ISNUMBER(G2783)), "", VLOOKUP(A2783,'Discount Lookup'!G:H,2,FALSE)*G2783)</f>
        <v/>
      </c>
      <c r="W2783" s="508">
        <f t="shared" si="2156"/>
        <v>0</v>
      </c>
      <c r="X2783" s="508" t="str">
        <f t="shared" si="2157"/>
        <v>Peachy-Pink to Apricot bloom</v>
      </c>
      <c r="Y2783" s="509" t="b">
        <f t="shared" si="2158"/>
        <v>0</v>
      </c>
      <c r="Z2783" s="510">
        <f t="shared" si="2159"/>
        <v>0</v>
      </c>
      <c r="AA2783" s="511"/>
      <c r="AB2783" s="511" t="str">
        <f t="shared" si="2160"/>
        <v/>
      </c>
      <c r="AC2783" s="698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698"/>
      <c r="AE2783" s="631" t="str">
        <f t="shared" si="2161"/>
        <v/>
      </c>
      <c r="AF2783" s="699" t="str">
        <f t="shared" si="2162"/>
        <v/>
      </c>
      <c r="AG2783" s="699"/>
      <c r="AH2783" s="699"/>
      <c r="AI2783" s="512">
        <f>IF(H2783="credit",0,IF(AE2783="free",0,IF(AE2783="me",0,IF(G2783&gt;0,(VLOOKUP(A2783,'Discount Lookup'!J:K,2)*G2783),0))))</f>
        <v>0</v>
      </c>
      <c r="AJ2783" s="513" t="str">
        <f t="shared" ca="1" si="2163"/>
        <v/>
      </c>
      <c r="AK2783" s="700" t="str">
        <f t="shared" si="2164"/>
        <v/>
      </c>
      <c r="AL2783" s="700"/>
      <c r="AM2783" s="505" t="str">
        <f t="shared" si="2165"/>
        <v/>
      </c>
      <c r="AN2783" s="506"/>
      <c r="AO2783" s="507"/>
      <c r="AP2783" s="507"/>
      <c r="AQ2783" s="507"/>
      <c r="AR2783" s="507"/>
      <c r="AS2783" s="507"/>
      <c r="AT2783" s="507"/>
      <c r="AU2783" s="507"/>
      <c r="AV2783" s="225"/>
      <c r="AW2783" s="508"/>
      <c r="AX2783" s="225"/>
      <c r="AY2783" s="225"/>
      <c r="AZ2783" s="225"/>
      <c r="BA2783" s="225"/>
      <c r="BB2783" s="225"/>
      <c r="BC2783" s="56"/>
      <c r="BD2783" s="56"/>
      <c r="BE2783" s="56"/>
      <c r="BF2783" s="107" t="str">
        <f t="shared" si="2166"/>
        <v>https://www.google.com/search?tbm=isch&amp;q=Peach%20Sunblaze%C2%AE%20Miniature%20Rose%20Rosa%20%27Meizonbla%27%20PP%2335630</v>
      </c>
      <c r="BG2783" s="107" t="str">
        <f t="shared" si="2167"/>
        <v>P</v>
      </c>
      <c r="BH2783" s="254"/>
      <c r="BI2783" s="254"/>
    </row>
    <row r="2784" spans="1:61" customFormat="1" ht="15.75" x14ac:dyDescent="0.25">
      <c r="A2784" s="276">
        <v>3</v>
      </c>
      <c r="B2784" s="240" t="s">
        <v>291</v>
      </c>
      <c r="C2784" s="241" t="s">
        <v>4932</v>
      </c>
      <c r="D2784" s="242" t="s">
        <v>312</v>
      </c>
      <c r="E2784" s="243">
        <v>30.95</v>
      </c>
      <c r="F2784" s="517" t="s">
        <v>293</v>
      </c>
      <c r="G2784" s="232">
        <v>0</v>
      </c>
      <c r="H2784" s="661" t="str">
        <f>IF(G2784=0,"",IF(F2784="Buy",IF(G2784=1,"plant","plants"),IF(F2784&gt;0.01,"warranty","Error")))</f>
        <v/>
      </c>
      <c r="I2784" s="244">
        <f>IF(H2784="free",0,IF(H2784="credit",((E2784*(F2784))*G2784*-1),IF(F2784="Buy",(E2784*G2784),((E2784*(1-F2784))*G2784))))</f>
        <v>0</v>
      </c>
      <c r="J2784" s="244">
        <f>IF(H2784="warranty",0,(I2784*(_xlfn.SINGLE(SalesTaxPercentage))))</f>
        <v>0</v>
      </c>
      <c r="K2784" s="696">
        <f t="shared" ref="K2784" si="2177">I2784+J2784</f>
        <v>0</v>
      </c>
      <c r="L2784" s="696"/>
      <c r="M2784" s="659" t="str">
        <f>IF(AND(G2784&gt;0,E2784=0),"WARNING - no PRICE inserted",IF(H2784="free"," FREE ~ no charge this plant",IF(H2784="credit",CONCATENATE(" -$",ROUND(K2784*(1-T2GDiscount)*-1,2)," CREDIT after discount"),IF(T2GDiscount=0,"",IF(G2784=0,"",IF(F2784="Buy",CONCATENATE(" $",ROUND(K2784*(1-T2GDiscount),2)," with ",(T2GDiscount*100),"% discount"),CONCATENATE(" $",ROUND(K2784*(1-T2GDiscount),2)," with ",((T2GDiscount*100+F2784*100)-(T2GDiscount*100*F2784)),IF(F2784&gt;0,"% discounts",IF(NoWarrantyDiscount&gt;0,"% discounts","% discount")))))))))</f>
        <v/>
      </c>
      <c r="N2784" s="660"/>
      <c r="O2784" s="233"/>
      <c r="P2784" s="233"/>
      <c r="Q2784" s="233"/>
      <c r="R2784" s="233"/>
      <c r="S2784" s="233"/>
      <c r="T2784" s="508">
        <f t="shared" si="2155"/>
        <v>0</v>
      </c>
      <c r="U2784" s="225">
        <f>IF(NOT(ISNUMBER(G2784)), "", VLOOKUP(A2784,'Discount Lookup'!D:E,2,FALSE)*G2784)</f>
        <v>0</v>
      </c>
      <c r="V2784" s="225">
        <f>IF(NOT(ISNUMBER(G2784)), "", VLOOKUP(A2784,'Discount Lookup'!G:H,2,FALSE)*G2784)</f>
        <v>0</v>
      </c>
      <c r="W2784" s="508">
        <f t="shared" si="2156"/>
        <v>0</v>
      </c>
      <c r="X2784" s="508">
        <f t="shared" si="2157"/>
        <v>0</v>
      </c>
      <c r="Y2784" s="509" t="b">
        <f t="shared" si="2158"/>
        <v>0</v>
      </c>
      <c r="Z2784" s="510">
        <f t="shared" si="2159"/>
        <v>0</v>
      </c>
      <c r="AA2784" s="511"/>
      <c r="AB2784" s="511" t="str">
        <f t="shared" si="2160"/>
        <v/>
      </c>
      <c r="AC2784" s="698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698"/>
      <c r="AE2784" s="631" t="str">
        <f t="shared" si="2161"/>
        <v/>
      </c>
      <c r="AF2784" s="699" t="str">
        <f t="shared" si="2162"/>
        <v/>
      </c>
      <c r="AG2784" s="699"/>
      <c r="AH2784" s="699"/>
      <c r="AI2784" s="512">
        <f>IF(H2784="credit",0,IF(AE2784="free",0,IF(AE2784="me",0,IF(G2784&gt;0,(VLOOKUP(A2784,'Discount Lookup'!J:K,2)*G2784),0))))</f>
        <v>0</v>
      </c>
      <c r="AJ2784" s="513" t="str">
        <f t="shared" ca="1" si="2163"/>
        <v/>
      </c>
      <c r="AK2784" s="700" t="str">
        <f t="shared" si="2164"/>
        <v/>
      </c>
      <c r="AL2784" s="700"/>
      <c r="AM2784" s="505" t="str">
        <f t="shared" si="2165"/>
        <v/>
      </c>
      <c r="AN2784" s="506"/>
      <c r="AO2784" s="507"/>
      <c r="AP2784" s="507"/>
      <c r="AQ2784" s="507"/>
      <c r="AR2784" s="507"/>
      <c r="AS2784" s="507"/>
      <c r="AT2784" s="507"/>
      <c r="AU2784" s="507"/>
      <c r="AV2784" s="225"/>
      <c r="AW2784" s="508"/>
      <c r="AX2784" s="225"/>
      <c r="AY2784" s="225"/>
      <c r="AZ2784" s="225"/>
      <c r="BA2784" s="225"/>
      <c r="BB2784" s="225"/>
      <c r="BC2784" s="56"/>
      <c r="BD2784" s="56"/>
      <c r="BE2784" s="56"/>
      <c r="BF2784" s="107" t="str">
        <f t="shared" si="2166"/>
        <v>https://www.google.com/search?tbm=isch&amp;q=3%20G2</v>
      </c>
      <c r="BG2784" s="107" t="str">
        <f t="shared" si="2167"/>
        <v>P</v>
      </c>
      <c r="BH2784" s="254"/>
      <c r="BI2784" s="254"/>
    </row>
    <row r="2785" spans="1:61" customFormat="1" ht="17.25" thickBot="1" x14ac:dyDescent="0.3">
      <c r="A2785" s="524" t="s">
        <v>4141</v>
      </c>
      <c r="B2785" s="245"/>
      <c r="C2785" s="677"/>
      <c r="D2785" s="499"/>
      <c r="E2785" s="499"/>
      <c r="F2785" s="500"/>
      <c r="G2785" s="501"/>
      <c r="H2785" s="502"/>
      <c r="I2785" s="246"/>
      <c r="J2785" s="247"/>
      <c r="K2785" s="503"/>
      <c r="L2785" s="544"/>
      <c r="M2785" s="544"/>
      <c r="N2785" s="500"/>
      <c r="O2785" s="500"/>
      <c r="P2785" s="500"/>
      <c r="Q2785" s="500"/>
      <c r="R2785" s="500"/>
      <c r="S2785" s="669" t="s">
        <v>4980</v>
      </c>
      <c r="T2785" s="508">
        <f t="shared" si="2155"/>
        <v>0</v>
      </c>
      <c r="U2785" s="225" t="str">
        <f>IF(NOT(ISNUMBER(G2785)), "", VLOOKUP(A2785,'Discount Lookup'!D:E,2,FALSE)*G2785)</f>
        <v/>
      </c>
      <c r="V2785" s="225" t="str">
        <f>IF(NOT(ISNUMBER(G2785)), "", VLOOKUP(A2785,'Discount Lookup'!G:H,2,FALSE)*G2785)</f>
        <v/>
      </c>
      <c r="W2785" s="508">
        <f t="shared" si="2156"/>
        <v>0</v>
      </c>
      <c r="X2785" s="508">
        <f t="shared" si="2157"/>
        <v>0</v>
      </c>
      <c r="Y2785" s="509" t="b">
        <f t="shared" si="2158"/>
        <v>0</v>
      </c>
      <c r="Z2785" s="510">
        <f t="shared" si="2159"/>
        <v>0</v>
      </c>
      <c r="AA2785" s="511"/>
      <c r="AB2785" s="511" t="str">
        <f t="shared" si="2160"/>
        <v/>
      </c>
      <c r="AC2785" s="698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698"/>
      <c r="AE2785" s="631" t="str">
        <f t="shared" si="2161"/>
        <v/>
      </c>
      <c r="AF2785" s="699" t="str">
        <f t="shared" si="2162"/>
        <v/>
      </c>
      <c r="AG2785" s="699"/>
      <c r="AH2785" s="699"/>
      <c r="AI2785" s="512">
        <f>IF(H2785="credit",0,IF(AE2785="free",0,IF(AE2785="me",0,IF(G2785&gt;0,(VLOOKUP(A2785,'Discount Lookup'!J:K,2)*G2785),0))))</f>
        <v>0</v>
      </c>
      <c r="AJ2785" s="513" t="str">
        <f t="shared" ca="1" si="2163"/>
        <v/>
      </c>
      <c r="AK2785" s="700" t="str">
        <f t="shared" si="2164"/>
        <v/>
      </c>
      <c r="AL2785" s="700"/>
      <c r="AM2785" s="505" t="str">
        <f t="shared" si="2165"/>
        <v/>
      </c>
      <c r="AN2785" s="506"/>
      <c r="AO2785" s="507"/>
      <c r="AP2785" s="507"/>
      <c r="AQ2785" s="507"/>
      <c r="AR2785" s="507"/>
      <c r="AS2785" s="507"/>
      <c r="AT2785" s="507"/>
      <c r="AU2785" s="507"/>
      <c r="AV2785" s="225"/>
      <c r="AW2785" s="508"/>
      <c r="AX2785" s="225"/>
      <c r="AY2785" s="225"/>
      <c r="AZ2785" s="225"/>
      <c r="BA2785" s="225"/>
      <c r="BB2785" s="225"/>
      <c r="BC2785" s="56"/>
      <c r="BD2785" s="56"/>
      <c r="BE2785" s="56"/>
      <c r="BF2785" s="107" t="str">
        <f t="shared" si="2166"/>
        <v>https://www.google.com/search?tbm=isch&amp;q=Peach%20Sunblaze%20blooms%20repeatedly%20from%20spring%20to%20frost.%20Deadhead%20as%20needed.%20Thorny%20%28rabbits%20may%20still%20nibble%29.%20Cut%20back%20annually%20</v>
      </c>
      <c r="BG2785" s="107" t="str">
        <f t="shared" si="2167"/>
        <v>P</v>
      </c>
      <c r="BH2785" s="254"/>
      <c r="BI2785" s="254"/>
    </row>
    <row r="2786" spans="1:61" customFormat="1" ht="18" x14ac:dyDescent="0.25">
      <c r="A2786" s="523" t="s">
        <v>4551</v>
      </c>
      <c r="B2786" s="235"/>
      <c r="C2786" s="676"/>
      <c r="D2786" s="255" t="s">
        <v>4552</v>
      </c>
      <c r="E2786" s="236"/>
      <c r="F2786" s="236"/>
      <c r="G2786" s="236"/>
      <c r="H2786" s="582" t="s">
        <v>1305</v>
      </c>
      <c r="I2786" s="498" t="s">
        <v>4553</v>
      </c>
      <c r="J2786" s="237"/>
      <c r="K2786" s="237"/>
      <c r="L2786" s="274"/>
      <c r="M2786" s="668" t="s">
        <v>4975</v>
      </c>
      <c r="N2786" s="681" t="str">
        <f>IF(AND(ISTEXT($A2786), ISERROR($A2786+0)), HYPERLINK($BF2786, "Images"), "")</f>
        <v>Images</v>
      </c>
      <c r="O2786" s="663" t="s">
        <v>4974</v>
      </c>
      <c r="P2786" s="253"/>
      <c r="Q2786" s="238"/>
      <c r="R2786" s="239"/>
      <c r="S2786" s="275"/>
      <c r="T2786" s="508">
        <f t="shared" si="2155"/>
        <v>0</v>
      </c>
      <c r="U2786" s="225" t="str">
        <f>IF(NOT(ISNUMBER(G2786)), "", VLOOKUP(A2786,'Discount Lookup'!D:E,2,FALSE)*G2786)</f>
        <v/>
      </c>
      <c r="V2786" s="225" t="str">
        <f>IF(NOT(ISNUMBER(G2786)), "", VLOOKUP(A2786,'Discount Lookup'!G:H,2,FALSE)*G2786)</f>
        <v/>
      </c>
      <c r="W2786" s="508">
        <f t="shared" si="2156"/>
        <v>0</v>
      </c>
      <c r="X2786" s="508" t="str">
        <f t="shared" si="2157"/>
        <v>Pink opens to Cream bloom</v>
      </c>
      <c r="Y2786" s="509" t="b">
        <f t="shared" si="2158"/>
        <v>0</v>
      </c>
      <c r="Z2786" s="510">
        <f t="shared" si="2159"/>
        <v>0</v>
      </c>
      <c r="AA2786" s="511"/>
      <c r="AB2786" s="511" t="str">
        <f t="shared" si="2160"/>
        <v/>
      </c>
      <c r="AC2786" s="698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698"/>
      <c r="AE2786" s="631" t="str">
        <f t="shared" si="2161"/>
        <v/>
      </c>
      <c r="AF2786" s="699" t="str">
        <f t="shared" si="2162"/>
        <v/>
      </c>
      <c r="AG2786" s="699"/>
      <c r="AH2786" s="699"/>
      <c r="AI2786" s="512">
        <f>IF(H2786="credit",0,IF(AE2786="free",0,IF(AE2786="me",0,IF(G2786&gt;0,(VLOOKUP(A2786,'Discount Lookup'!J:K,2)*G2786),0))))</f>
        <v>0</v>
      </c>
      <c r="AJ2786" s="513" t="str">
        <f t="shared" ca="1" si="2163"/>
        <v/>
      </c>
      <c r="AK2786" s="700" t="str">
        <f t="shared" si="2164"/>
        <v/>
      </c>
      <c r="AL2786" s="700"/>
      <c r="AM2786" s="505" t="str">
        <f t="shared" si="2165"/>
        <v/>
      </c>
      <c r="AN2786" s="506"/>
      <c r="AO2786" s="507"/>
      <c r="AP2786" s="507"/>
      <c r="AQ2786" s="507"/>
      <c r="AR2786" s="507"/>
      <c r="AS2786" s="507"/>
      <c r="AT2786" s="507"/>
      <c r="AU2786" s="507"/>
      <c r="AV2786" s="225"/>
      <c r="AW2786" s="508"/>
      <c r="AX2786" s="225"/>
      <c r="AY2786" s="225"/>
      <c r="AZ2786" s="225"/>
      <c r="BA2786" s="225"/>
      <c r="BB2786" s="225"/>
      <c r="BC2786" s="56"/>
      <c r="BD2786" s="56"/>
      <c r="BE2786" s="56"/>
      <c r="BF2786" s="107" t="str">
        <f t="shared" si="2166"/>
        <v>https://www.google.com/search?tbm=isch&amp;q=Peaches%20and%20Cream%20Honeysuckle%20Lonicera%20periclymenum%20%27Peaches%20and%20Cream%27%20PP%2321839</v>
      </c>
      <c r="BG2786" s="107" t="str">
        <f t="shared" si="2167"/>
        <v>P</v>
      </c>
      <c r="BH2786" s="254"/>
      <c r="BI2786" s="254"/>
    </row>
    <row r="2787" spans="1:61" customFormat="1" ht="15.75" x14ac:dyDescent="0.25">
      <c r="A2787" s="276">
        <v>3</v>
      </c>
      <c r="B2787" s="240" t="s">
        <v>291</v>
      </c>
      <c r="C2787" s="241"/>
      <c r="D2787" s="242" t="s">
        <v>312</v>
      </c>
      <c r="E2787" s="243">
        <v>30.95</v>
      </c>
      <c r="F2787" s="517" t="s">
        <v>293</v>
      </c>
      <c r="G2787" s="232">
        <v>0</v>
      </c>
      <c r="H2787" s="661" t="str">
        <f>IF(G2787=0,"",IF(F2787="Buy",IF(G2787=1,"plant","plants"),IF(F2787&gt;0.01,"warranty","Error")))</f>
        <v/>
      </c>
      <c r="I2787" s="244">
        <f>IF(H2787="free",0,IF(H2787="credit",((E2787*(F2787))*G2787*-1),IF(F2787="Buy",(E2787*G2787),((E2787*(1-F2787))*G2787))))</f>
        <v>0</v>
      </c>
      <c r="J2787" s="244">
        <f>IF(H2787="warranty",0,(I2787*(_xlfn.SINGLE(SalesTaxPercentage))))</f>
        <v>0</v>
      </c>
      <c r="K2787" s="696">
        <f t="shared" ref="K2787" si="2178">I2787+J2787</f>
        <v>0</v>
      </c>
      <c r="L2787" s="696"/>
      <c r="M2787" s="659" t="str">
        <f>IF(AND(G2787&gt;0,E2787=0),"WARNING - no PRICE inserted",IF(H2787="free"," FREE ~ no charge this plant",IF(H2787="credit",CONCATENATE(" -$",ROUND(K2787*(1-T2GDiscount)*-1,2)," CREDIT after discount"),IF(T2GDiscount=0,"",IF(G2787=0,"",IF(F2787="Buy",CONCATENATE(" $",ROUND(K2787*(1-T2GDiscount),2)," with ",(T2GDiscount*100),"% discount"),CONCATENATE(" $",ROUND(K2787*(1-T2GDiscount),2)," with ",((T2GDiscount*100+F2787*100)-(T2GDiscount*100*F2787)),IF(F2787&gt;0,"% discounts",IF(NoWarrantyDiscount&gt;0,"% discounts","% discount")))))))))</f>
        <v/>
      </c>
      <c r="N2787" s="660"/>
      <c r="O2787" s="233"/>
      <c r="P2787" s="233"/>
      <c r="Q2787" s="233"/>
      <c r="R2787" s="233"/>
      <c r="S2787" s="233"/>
      <c r="T2787" s="508">
        <f t="shared" si="2155"/>
        <v>0</v>
      </c>
      <c r="U2787" s="225">
        <f>IF(NOT(ISNUMBER(G2787)), "", VLOOKUP(A2787,'Discount Lookup'!D:E,2,FALSE)*G2787)</f>
        <v>0</v>
      </c>
      <c r="V2787" s="225">
        <f>IF(NOT(ISNUMBER(G2787)), "", VLOOKUP(A2787,'Discount Lookup'!G:H,2,FALSE)*G2787)</f>
        <v>0</v>
      </c>
      <c r="W2787" s="508">
        <f t="shared" si="2156"/>
        <v>0</v>
      </c>
      <c r="X2787" s="508">
        <f t="shared" si="2157"/>
        <v>0</v>
      </c>
      <c r="Y2787" s="509" t="b">
        <f t="shared" si="2158"/>
        <v>0</v>
      </c>
      <c r="Z2787" s="510">
        <f t="shared" si="2159"/>
        <v>0</v>
      </c>
      <c r="AA2787" s="511"/>
      <c r="AB2787" s="511" t="str">
        <f t="shared" si="2160"/>
        <v/>
      </c>
      <c r="AC2787" s="698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698"/>
      <c r="AE2787" s="631" t="str">
        <f t="shared" si="2161"/>
        <v/>
      </c>
      <c r="AF2787" s="699" t="str">
        <f t="shared" si="2162"/>
        <v/>
      </c>
      <c r="AG2787" s="699"/>
      <c r="AH2787" s="699"/>
      <c r="AI2787" s="512">
        <f>IF(H2787="credit",0,IF(AE2787="free",0,IF(AE2787="me",0,IF(G2787&gt;0,(VLOOKUP(A2787,'Discount Lookup'!J:K,2)*G2787),0))))</f>
        <v>0</v>
      </c>
      <c r="AJ2787" s="513" t="str">
        <f t="shared" ca="1" si="2163"/>
        <v/>
      </c>
      <c r="AK2787" s="700" t="str">
        <f t="shared" si="2164"/>
        <v/>
      </c>
      <c r="AL2787" s="700"/>
      <c r="AM2787" s="505" t="str">
        <f t="shared" si="2165"/>
        <v/>
      </c>
      <c r="AN2787" s="506"/>
      <c r="AO2787" s="507"/>
      <c r="AP2787" s="507"/>
      <c r="AQ2787" s="507"/>
      <c r="AR2787" s="507"/>
      <c r="AS2787" s="507"/>
      <c r="AT2787" s="507"/>
      <c r="AU2787" s="507"/>
      <c r="AV2787" s="225"/>
      <c r="AW2787" s="508"/>
      <c r="AX2787" s="225"/>
      <c r="AY2787" s="225"/>
      <c r="AZ2787" s="225"/>
      <c r="BA2787" s="225"/>
      <c r="BB2787" s="225"/>
      <c r="BC2787" s="56"/>
      <c r="BD2787" s="56"/>
      <c r="BE2787" s="56"/>
      <c r="BF2787" s="107" t="str">
        <f t="shared" si="2166"/>
        <v>https://www.google.com/search?tbm=isch&amp;q=3%20G2</v>
      </c>
      <c r="BG2787" s="107" t="str">
        <f t="shared" si="2167"/>
        <v>P</v>
      </c>
      <c r="BH2787" s="254"/>
      <c r="BI2787" s="254"/>
    </row>
    <row r="2788" spans="1:61" customFormat="1" ht="17.25" thickBot="1" x14ac:dyDescent="0.3">
      <c r="A2788" s="524" t="s">
        <v>4554</v>
      </c>
      <c r="B2788" s="245"/>
      <c r="C2788" s="677"/>
      <c r="D2788" s="499"/>
      <c r="E2788" s="499"/>
      <c r="F2788" s="500"/>
      <c r="G2788" s="501"/>
      <c r="H2788" s="502"/>
      <c r="I2788" s="246"/>
      <c r="J2788" s="247"/>
      <c r="K2788" s="503"/>
      <c r="L2788" s="544"/>
      <c r="M2788" s="544"/>
      <c r="N2788" s="500"/>
      <c r="O2788" s="500"/>
      <c r="P2788" s="500"/>
      <c r="Q2788" s="500"/>
      <c r="R2788" s="500"/>
      <c r="S2788" s="669" t="s">
        <v>4976</v>
      </c>
      <c r="T2788" s="508">
        <f t="shared" si="2155"/>
        <v>0</v>
      </c>
      <c r="U2788" s="225" t="str">
        <f>IF(NOT(ISNUMBER(G2788)), "", VLOOKUP(A2788,'Discount Lookup'!D:E,2,FALSE)*G2788)</f>
        <v/>
      </c>
      <c r="V2788" s="225" t="str">
        <f>IF(NOT(ISNUMBER(G2788)), "", VLOOKUP(A2788,'Discount Lookup'!G:H,2,FALSE)*G2788)</f>
        <v/>
      </c>
      <c r="W2788" s="508">
        <f t="shared" si="2156"/>
        <v>0</v>
      </c>
      <c r="X2788" s="508">
        <f t="shared" si="2157"/>
        <v>0</v>
      </c>
      <c r="Y2788" s="509" t="b">
        <f t="shared" si="2158"/>
        <v>0</v>
      </c>
      <c r="Z2788" s="510">
        <f t="shared" si="2159"/>
        <v>0</v>
      </c>
      <c r="AA2788" s="511"/>
      <c r="AB2788" s="511" t="str">
        <f t="shared" si="2160"/>
        <v/>
      </c>
      <c r="AC2788" s="698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698"/>
      <c r="AE2788" s="631" t="str">
        <f t="shared" si="2161"/>
        <v/>
      </c>
      <c r="AF2788" s="699" t="str">
        <f t="shared" si="2162"/>
        <v/>
      </c>
      <c r="AG2788" s="699"/>
      <c r="AH2788" s="699"/>
      <c r="AI2788" s="512">
        <f>IF(H2788="credit",0,IF(AE2788="free",0,IF(AE2788="me",0,IF(G2788&gt;0,(VLOOKUP(A2788,'Discount Lookup'!J:K,2)*G2788),0))))</f>
        <v>0</v>
      </c>
      <c r="AJ2788" s="513" t="str">
        <f t="shared" ca="1" si="2163"/>
        <v/>
      </c>
      <c r="AK2788" s="700" t="str">
        <f t="shared" si="2164"/>
        <v/>
      </c>
      <c r="AL2788" s="700"/>
      <c r="AM2788" s="505" t="str">
        <f t="shared" si="2165"/>
        <v/>
      </c>
      <c r="AN2788" s="506"/>
      <c r="AO2788" s="507"/>
      <c r="AP2788" s="507"/>
      <c r="AQ2788" s="507"/>
      <c r="AR2788" s="507"/>
      <c r="AS2788" s="507"/>
      <c r="AT2788" s="507"/>
      <c r="AU2788" s="507"/>
      <c r="AV2788" s="225"/>
      <c r="AW2788" s="508"/>
      <c r="AX2788" s="225"/>
      <c r="AY2788" s="225"/>
      <c r="AZ2788" s="225"/>
      <c r="BA2788" s="225"/>
      <c r="BB2788" s="225"/>
      <c r="BC2788" s="56"/>
      <c r="BD2788" s="56"/>
      <c r="BE2788" s="56"/>
      <c r="BF2788" s="107" t="str">
        <f t="shared" si="2166"/>
        <v>https://www.google.com/search?tbm=isch&amp;q=Peaches%20and%20Cream%20is%20a%20compact%2C%20fragrant%2C%20and%20disease-resistant%20vine%20with%20eye-catching%20bicolored%20blooms%20that%20rebloom%20throughout%20the%20summer%20</v>
      </c>
      <c r="BG2788" s="107" t="str">
        <f t="shared" si="2167"/>
        <v>P</v>
      </c>
      <c r="BH2788" s="254"/>
      <c r="BI2788" s="254"/>
    </row>
    <row r="2789" spans="1:61" customFormat="1" ht="18" x14ac:dyDescent="0.25">
      <c r="A2789" s="523" t="s">
        <v>4933</v>
      </c>
      <c r="B2789" s="235"/>
      <c r="C2789" s="676"/>
      <c r="D2789" s="255" t="s">
        <v>1493</v>
      </c>
      <c r="E2789" s="236"/>
      <c r="F2789" s="236"/>
      <c r="G2789" s="236"/>
      <c r="H2789" s="582" t="s">
        <v>326</v>
      </c>
      <c r="I2789" s="498" t="s">
        <v>2118</v>
      </c>
      <c r="J2789" s="237"/>
      <c r="K2789" s="237"/>
      <c r="L2789" s="274"/>
      <c r="M2789" s="668" t="s">
        <v>4975</v>
      </c>
      <c r="N2789" s="681" t="str">
        <f>IF(AND(ISTEXT($A2789), ISERROR($A2789+0)), HYPERLINK($BF2789, "Images"), "")</f>
        <v>Images</v>
      </c>
      <c r="O2789" s="663" t="s">
        <v>4967</v>
      </c>
      <c r="P2789" s="253"/>
      <c r="Q2789" s="238"/>
      <c r="R2789" s="239"/>
      <c r="S2789" s="275"/>
      <c r="T2789" s="508">
        <f t="shared" si="2155"/>
        <v>0</v>
      </c>
      <c r="U2789" s="225" t="str">
        <f>IF(NOT(ISNUMBER(G2789)), "", VLOOKUP(A2789,'Discount Lookup'!D:E,2,FALSE)*G2789)</f>
        <v/>
      </c>
      <c r="V2789" s="225" t="str">
        <f>IF(NOT(ISNUMBER(G2789)), "", VLOOKUP(A2789,'Discount Lookup'!G:H,2,FALSE)*G2789)</f>
        <v/>
      </c>
      <c r="W2789" s="508">
        <f t="shared" si="2156"/>
        <v>0</v>
      </c>
      <c r="X2789" s="508" t="str">
        <f t="shared" si="2157"/>
        <v>Rose-Pink bloom</v>
      </c>
      <c r="Y2789" s="509" t="b">
        <f t="shared" si="2158"/>
        <v>0</v>
      </c>
      <c r="Z2789" s="510">
        <f t="shared" si="2159"/>
        <v>0</v>
      </c>
      <c r="AA2789" s="511"/>
      <c r="AB2789" s="511" t="str">
        <f t="shared" si="2160"/>
        <v/>
      </c>
      <c r="AC2789" s="698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698"/>
      <c r="AE2789" s="631" t="str">
        <f t="shared" si="2161"/>
        <v/>
      </c>
      <c r="AF2789" s="699" t="str">
        <f t="shared" si="2162"/>
        <v/>
      </c>
      <c r="AG2789" s="699"/>
      <c r="AH2789" s="699"/>
      <c r="AI2789" s="512">
        <f>IF(H2789="credit",0,IF(AE2789="free",0,IF(AE2789="me",0,IF(G2789&gt;0,(VLOOKUP(A2789,'Discount Lookup'!J:K,2)*G2789),0))))</f>
        <v>0</v>
      </c>
      <c r="AJ2789" s="513" t="str">
        <f t="shared" ca="1" si="2163"/>
        <v/>
      </c>
      <c r="AK2789" s="700" t="str">
        <f t="shared" si="2164"/>
        <v/>
      </c>
      <c r="AL2789" s="700"/>
      <c r="AM2789" s="505" t="str">
        <f t="shared" si="2165"/>
        <v/>
      </c>
      <c r="AN2789" s="506"/>
      <c r="AO2789" s="507"/>
      <c r="AP2789" s="507"/>
      <c r="AQ2789" s="507"/>
      <c r="AR2789" s="507"/>
      <c r="AS2789" s="507"/>
      <c r="AT2789" s="507"/>
      <c r="AU2789" s="507"/>
      <c r="AV2789" s="225"/>
      <c r="AW2789" s="508"/>
      <c r="AX2789" s="225"/>
      <c r="AY2789" s="225"/>
      <c r="AZ2789" s="225"/>
      <c r="BA2789" s="225"/>
      <c r="BB2789" s="225"/>
      <c r="BC2789" s="56"/>
      <c r="BD2789" s="56"/>
      <c r="BE2789" s="56"/>
      <c r="BF2789" s="107" t="str">
        <f t="shared" si="2166"/>
        <v>https://www.google.com/search?tbm=isch&amp;q=Peggy%20Clarke%20Flowering%20Apricot%20Prunus%20mume%20%27Peggy%20Clarke%27</v>
      </c>
      <c r="BG2789" s="107" t="str">
        <f t="shared" si="2167"/>
        <v>P</v>
      </c>
      <c r="BH2789" s="254"/>
      <c r="BI2789" s="254"/>
    </row>
    <row r="2790" spans="1:61" customFormat="1" ht="15.75" x14ac:dyDescent="0.25">
      <c r="A2790" s="276">
        <v>7</v>
      </c>
      <c r="B2790" s="240" t="s">
        <v>291</v>
      </c>
      <c r="C2790" s="241" t="s">
        <v>3688</v>
      </c>
      <c r="D2790" s="242" t="s">
        <v>292</v>
      </c>
      <c r="E2790" s="243">
        <v>109.95</v>
      </c>
      <c r="F2790" s="517" t="s">
        <v>293</v>
      </c>
      <c r="G2790" s="232">
        <v>0</v>
      </c>
      <c r="H2790" s="661" t="str">
        <f>IF(G2790=0,"",IF(F2790="Buy",IF(G2790=1,"plant","plants"),IF(F2790&gt;0.01,"warranty","Error")))</f>
        <v/>
      </c>
      <c r="I2790" s="244">
        <f>IF(H2790="free",0,IF(H2790="credit",((E2790*(F2790))*G2790*-1),IF(F2790="Buy",(E2790*G2790),((E2790*(1-F2790))*G2790))))</f>
        <v>0</v>
      </c>
      <c r="J2790" s="244">
        <f>IF(H2790="warranty",0,(I2790*(_xlfn.SINGLE(SalesTaxPercentage))))</f>
        <v>0</v>
      </c>
      <c r="K2790" s="696">
        <f t="shared" ref="K2790" si="2179">I2790+J2790</f>
        <v>0</v>
      </c>
      <c r="L2790" s="696"/>
      <c r="M2790" s="659" t="str">
        <f>IF(AND(G2790&gt;0,E2790=0),"WARNING - no PRICE inserted",IF(H2790="free"," FREE ~ no charge this plant",IF(H2790="credit",CONCATENATE(" -$",ROUND(K2790*(1-T2GDiscount)*-1,2)," CREDIT after discount"),IF(T2GDiscount=0,"",IF(G2790=0,"",IF(F2790="Buy",CONCATENATE(" $",ROUND(K2790*(1-T2GDiscount),2)," with ",(T2GDiscount*100),"% discount"),CONCATENATE(" $",ROUND(K2790*(1-T2GDiscount),2)," with ",((T2GDiscount*100+F2790*100)-(T2GDiscount*100*F2790)),IF(F2790&gt;0,"% discounts",IF(NoWarrantyDiscount&gt;0,"% discounts","% discount")))))))))</f>
        <v/>
      </c>
      <c r="N2790" s="660"/>
      <c r="O2790" s="233"/>
      <c r="P2790" s="233"/>
      <c r="Q2790" s="233"/>
      <c r="R2790" s="233"/>
      <c r="S2790" s="233"/>
      <c r="T2790" s="508">
        <f t="shared" si="2155"/>
        <v>0</v>
      </c>
      <c r="U2790" s="225">
        <f>IF(NOT(ISNUMBER(G2790)), "", VLOOKUP(A2790,'Discount Lookup'!D:E,2,FALSE)*G2790)</f>
        <v>0</v>
      </c>
      <c r="V2790" s="225">
        <f>IF(NOT(ISNUMBER(G2790)), "", VLOOKUP(A2790,'Discount Lookup'!G:H,2,FALSE)*G2790)</f>
        <v>0</v>
      </c>
      <c r="W2790" s="508">
        <f t="shared" si="2156"/>
        <v>0</v>
      </c>
      <c r="X2790" s="508">
        <f t="shared" si="2157"/>
        <v>0</v>
      </c>
      <c r="Y2790" s="509" t="b">
        <f t="shared" si="2158"/>
        <v>0</v>
      </c>
      <c r="Z2790" s="510">
        <f t="shared" si="2159"/>
        <v>0</v>
      </c>
      <c r="AA2790" s="511"/>
      <c r="AB2790" s="511" t="str">
        <f t="shared" si="2160"/>
        <v/>
      </c>
      <c r="AC2790" s="698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698"/>
      <c r="AE2790" s="631" t="str">
        <f t="shared" si="2161"/>
        <v/>
      </c>
      <c r="AF2790" s="699" t="str">
        <f t="shared" si="2162"/>
        <v/>
      </c>
      <c r="AG2790" s="699"/>
      <c r="AH2790" s="699"/>
      <c r="AI2790" s="512">
        <f>IF(H2790="credit",0,IF(AE2790="free",0,IF(AE2790="me",0,IF(G2790&gt;0,(VLOOKUP(A2790,'Discount Lookup'!J:K,2)*G2790),0))))</f>
        <v>0</v>
      </c>
      <c r="AJ2790" s="513" t="str">
        <f t="shared" ca="1" si="2163"/>
        <v/>
      </c>
      <c r="AK2790" s="700" t="str">
        <f t="shared" si="2164"/>
        <v/>
      </c>
      <c r="AL2790" s="700"/>
      <c r="AM2790" s="505" t="str">
        <f t="shared" si="2165"/>
        <v/>
      </c>
      <c r="AN2790" s="506"/>
      <c r="AO2790" s="507"/>
      <c r="AP2790" s="507"/>
      <c r="AQ2790" s="507"/>
      <c r="AR2790" s="507"/>
      <c r="AS2790" s="507"/>
      <c r="AT2790" s="507"/>
      <c r="AU2790" s="507"/>
      <c r="AV2790" s="225"/>
      <c r="AW2790" s="508"/>
      <c r="AX2790" s="225"/>
      <c r="AY2790" s="225"/>
      <c r="AZ2790" s="225"/>
      <c r="BA2790" s="225"/>
      <c r="BB2790" s="225"/>
      <c r="BC2790" s="56"/>
      <c r="BD2790" s="56"/>
      <c r="BE2790" s="56"/>
      <c r="BF2790" s="107" t="str">
        <f t="shared" si="2166"/>
        <v>https://www.google.com/search?tbm=isch&amp;q=7%20G4</v>
      </c>
      <c r="BG2790" s="107" t="str">
        <f t="shared" si="2167"/>
        <v>P</v>
      </c>
      <c r="BH2790" s="254"/>
      <c r="BI2790" s="254"/>
    </row>
    <row r="2791" spans="1:61" customFormat="1" ht="15.75" x14ac:dyDescent="0.25">
      <c r="A2791" s="276">
        <v>10</v>
      </c>
      <c r="B2791" s="240" t="s">
        <v>291</v>
      </c>
      <c r="C2791" s="241" t="s">
        <v>3689</v>
      </c>
      <c r="D2791" s="242" t="s">
        <v>292</v>
      </c>
      <c r="E2791" s="243">
        <v>146.94999999999999</v>
      </c>
      <c r="F2791" s="517" t="s">
        <v>293</v>
      </c>
      <c r="G2791" s="232">
        <v>0</v>
      </c>
      <c r="H2791" s="661" t="str">
        <f>IF(G2791=0,"",IF(F2791="Buy",IF(G2791=1,"plant","plants"),IF(F2791&gt;0.01,"warranty","Error")))</f>
        <v/>
      </c>
      <c r="I2791" s="244">
        <f>IF(H2791="free",0,IF(H2791="credit",((E2791*(F2791))*G2791*-1),IF(F2791="Buy",(E2791*G2791),((E2791*(1-F2791))*G2791))))</f>
        <v>0</v>
      </c>
      <c r="J2791" s="244">
        <f>IF(H2791="warranty",0,(I2791*(_xlfn.SINGLE(SalesTaxPercentage))))</f>
        <v>0</v>
      </c>
      <c r="K2791" s="696">
        <f t="shared" ref="K2791" si="2180">I2791+J2791</f>
        <v>0</v>
      </c>
      <c r="L2791" s="696"/>
      <c r="M2791" s="659" t="str">
        <f>IF(AND(G2791&gt;0,E2791=0),"WARNING - no PRICE inserted",IF(H2791="free"," FREE ~ no charge this plant",IF(H2791="credit",CONCATENATE(" -$",ROUND(K2791*(1-T2GDiscount)*-1,2)," CREDIT after discount"),IF(T2GDiscount=0,"",IF(G2791=0,"",IF(F2791="Buy",CONCATENATE(" $",ROUND(K2791*(1-T2GDiscount),2)," with ",(T2GDiscount*100),"% discount"),CONCATENATE(" $",ROUND(K2791*(1-T2GDiscount),2)," with ",((T2GDiscount*100+F2791*100)-(T2GDiscount*100*F2791)),IF(F2791&gt;0,"% discounts",IF(NoWarrantyDiscount&gt;0,"% discounts","% discount")))))))))</f>
        <v/>
      </c>
      <c r="N2791" s="660"/>
      <c r="O2791" s="233"/>
      <c r="P2791" s="233"/>
      <c r="Q2791" s="233"/>
      <c r="R2791" s="233"/>
      <c r="S2791" s="233"/>
      <c r="T2791" s="508">
        <f t="shared" si="2155"/>
        <v>0</v>
      </c>
      <c r="U2791" s="225">
        <f>IF(NOT(ISNUMBER(G2791)), "", VLOOKUP(A2791,'Discount Lookup'!D:E,2,FALSE)*G2791)</f>
        <v>0</v>
      </c>
      <c r="V2791" s="225">
        <f>IF(NOT(ISNUMBER(G2791)), "", VLOOKUP(A2791,'Discount Lookup'!G:H,2,FALSE)*G2791)</f>
        <v>0</v>
      </c>
      <c r="W2791" s="508">
        <f t="shared" si="2156"/>
        <v>0</v>
      </c>
      <c r="X2791" s="508">
        <f t="shared" si="2157"/>
        <v>0</v>
      </c>
      <c r="Y2791" s="509" t="b">
        <f t="shared" si="2158"/>
        <v>0</v>
      </c>
      <c r="Z2791" s="510">
        <f t="shared" si="2159"/>
        <v>0</v>
      </c>
      <c r="AA2791" s="511"/>
      <c r="AB2791" s="511" t="str">
        <f t="shared" si="2160"/>
        <v/>
      </c>
      <c r="AC2791" s="698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698"/>
      <c r="AE2791" s="631" t="str">
        <f t="shared" si="2161"/>
        <v/>
      </c>
      <c r="AF2791" s="699" t="str">
        <f t="shared" si="2162"/>
        <v/>
      </c>
      <c r="AG2791" s="699"/>
      <c r="AH2791" s="699"/>
      <c r="AI2791" s="512">
        <f>IF(H2791="credit",0,IF(AE2791="free",0,IF(AE2791="me",0,IF(G2791&gt;0,(VLOOKUP(A2791,'Discount Lookup'!J:K,2)*G2791),0))))</f>
        <v>0</v>
      </c>
      <c r="AJ2791" s="513" t="str">
        <f t="shared" ca="1" si="2163"/>
        <v/>
      </c>
      <c r="AK2791" s="700" t="str">
        <f t="shared" si="2164"/>
        <v/>
      </c>
      <c r="AL2791" s="700"/>
      <c r="AM2791" s="505" t="str">
        <f t="shared" si="2165"/>
        <v/>
      </c>
      <c r="AN2791" s="506"/>
      <c r="AO2791" s="507"/>
      <c r="AP2791" s="507"/>
      <c r="AQ2791" s="507"/>
      <c r="AR2791" s="507"/>
      <c r="AS2791" s="507"/>
      <c r="AT2791" s="507"/>
      <c r="AU2791" s="507"/>
      <c r="AV2791" s="225"/>
      <c r="AW2791" s="508"/>
      <c r="AX2791" s="225"/>
      <c r="AY2791" s="225"/>
      <c r="AZ2791" s="225"/>
      <c r="BA2791" s="225"/>
      <c r="BB2791" s="225"/>
      <c r="BC2791" s="56"/>
      <c r="BD2791" s="56"/>
      <c r="BE2791" s="56"/>
      <c r="BF2791" s="107" t="str">
        <f t="shared" si="2166"/>
        <v>https://www.google.com/search?tbm=isch&amp;q=10%20G4</v>
      </c>
      <c r="BG2791" s="107" t="str">
        <f t="shared" si="2167"/>
        <v>P</v>
      </c>
      <c r="BH2791" s="254"/>
      <c r="BI2791" s="254"/>
    </row>
    <row r="2792" spans="1:61" customFormat="1" ht="15.75" x14ac:dyDescent="0.25">
      <c r="A2792" s="276">
        <v>15</v>
      </c>
      <c r="B2792" s="240" t="s">
        <v>291</v>
      </c>
      <c r="C2792" s="241" t="s">
        <v>3084</v>
      </c>
      <c r="D2792" s="242" t="s">
        <v>300</v>
      </c>
      <c r="E2792" s="243">
        <v>299.95</v>
      </c>
      <c r="F2792" s="517" t="s">
        <v>293</v>
      </c>
      <c r="G2792" s="232">
        <v>0</v>
      </c>
      <c r="H2792" s="661" t="str">
        <f>IF(G2792=0,"",IF(F2792="Buy",IF(G2792=1,"plant","plants"),IF(F2792&gt;0.01,"warranty","Error")))</f>
        <v/>
      </c>
      <c r="I2792" s="244">
        <f>IF(H2792="free",0,IF(H2792="credit",((E2792*(F2792))*G2792*-1),IF(F2792="Buy",(E2792*G2792),((E2792*(1-F2792))*G2792))))</f>
        <v>0</v>
      </c>
      <c r="J2792" s="244">
        <f>IF(H2792="warranty",0,(I2792*(_xlfn.SINGLE(SalesTaxPercentage))))</f>
        <v>0</v>
      </c>
      <c r="K2792" s="696">
        <f t="shared" ref="K2792" si="2181">I2792+J2792</f>
        <v>0</v>
      </c>
      <c r="L2792" s="696"/>
      <c r="M2792" s="659" t="str">
        <f>IF(AND(G2792&gt;0,E2792=0),"WARNING - no PRICE inserted",IF(H2792="free"," FREE ~ no charge this plant",IF(H2792="credit",CONCATENATE(" -$",ROUND(K2792*(1-T2GDiscount)*-1,2)," CREDIT after discount"),IF(T2GDiscount=0,"",IF(G2792=0,"",IF(F2792="Buy",CONCATENATE(" $",ROUND(K2792*(1-T2GDiscount),2)," with ",(T2GDiscount*100),"% discount"),CONCATENATE(" $",ROUND(K2792*(1-T2GDiscount),2)," with ",((T2GDiscount*100+F2792*100)-(T2GDiscount*100*F2792)),IF(F2792&gt;0,"% discounts",IF(NoWarrantyDiscount&gt;0,"% discounts","% discount")))))))))</f>
        <v/>
      </c>
      <c r="N2792" s="660"/>
      <c r="O2792" s="233"/>
      <c r="P2792" s="233"/>
      <c r="Q2792" s="233"/>
      <c r="R2792" s="233"/>
      <c r="S2792" s="233"/>
      <c r="T2792" s="508">
        <f t="shared" si="2155"/>
        <v>0</v>
      </c>
      <c r="U2792" s="225">
        <f>IF(NOT(ISNUMBER(G2792)), "", VLOOKUP(A2792,'Discount Lookup'!D:E,2,FALSE)*G2792)</f>
        <v>0</v>
      </c>
      <c r="V2792" s="225">
        <f>IF(NOT(ISNUMBER(G2792)), "", VLOOKUP(A2792,'Discount Lookup'!G:H,2,FALSE)*G2792)</f>
        <v>0</v>
      </c>
      <c r="W2792" s="508">
        <f t="shared" si="2156"/>
        <v>0</v>
      </c>
      <c r="X2792" s="508">
        <f t="shared" si="2157"/>
        <v>0</v>
      </c>
      <c r="Y2792" s="509" t="b">
        <f t="shared" si="2158"/>
        <v>0</v>
      </c>
      <c r="Z2792" s="510">
        <f t="shared" si="2159"/>
        <v>0</v>
      </c>
      <c r="AA2792" s="511"/>
      <c r="AB2792" s="511" t="str">
        <f t="shared" si="2160"/>
        <v/>
      </c>
      <c r="AC2792" s="698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698"/>
      <c r="AE2792" s="631" t="str">
        <f t="shared" si="2161"/>
        <v/>
      </c>
      <c r="AF2792" s="699" t="str">
        <f t="shared" si="2162"/>
        <v/>
      </c>
      <c r="AG2792" s="699"/>
      <c r="AH2792" s="699"/>
      <c r="AI2792" s="512">
        <f>IF(H2792="credit",0,IF(AE2792="free",0,IF(AE2792="me",0,IF(G2792&gt;0,(VLOOKUP(A2792,'Discount Lookup'!J:K,2)*G2792),0))))</f>
        <v>0</v>
      </c>
      <c r="AJ2792" s="513" t="str">
        <f t="shared" ca="1" si="2163"/>
        <v/>
      </c>
      <c r="AK2792" s="700" t="str">
        <f t="shared" si="2164"/>
        <v/>
      </c>
      <c r="AL2792" s="700"/>
      <c r="AM2792" s="505" t="str">
        <f t="shared" si="2165"/>
        <v/>
      </c>
      <c r="AN2792" s="506"/>
      <c r="AO2792" s="507"/>
      <c r="AP2792" s="507"/>
      <c r="AQ2792" s="507"/>
      <c r="AR2792" s="507"/>
      <c r="AS2792" s="507"/>
      <c r="AT2792" s="507"/>
      <c r="AU2792" s="507"/>
      <c r="AV2792" s="225"/>
      <c r="AW2792" s="508"/>
      <c r="AX2792" s="225"/>
      <c r="AY2792" s="225"/>
      <c r="AZ2792" s="225"/>
      <c r="BA2792" s="225"/>
      <c r="BB2792" s="225"/>
      <c r="BC2792" s="56"/>
      <c r="BD2792" s="56"/>
      <c r="BE2792" s="56"/>
      <c r="BF2792" s="107" t="str">
        <f t="shared" si="2166"/>
        <v>https://www.google.com/search?tbm=isch&amp;q=15%20G6</v>
      </c>
      <c r="BG2792" s="107" t="str">
        <f t="shared" si="2167"/>
        <v>P</v>
      </c>
      <c r="BH2792" s="254"/>
      <c r="BI2792" s="254"/>
    </row>
    <row r="2793" spans="1:61" customFormat="1" ht="15.75" x14ac:dyDescent="0.25">
      <c r="A2793" s="276">
        <v>95</v>
      </c>
      <c r="B2793" s="240" t="s">
        <v>291</v>
      </c>
      <c r="C2793" s="241" t="s">
        <v>3690</v>
      </c>
      <c r="D2793" s="242" t="s">
        <v>292</v>
      </c>
      <c r="E2793" s="243">
        <v>1263.95</v>
      </c>
      <c r="F2793" s="517" t="s">
        <v>293</v>
      </c>
      <c r="G2793" s="232">
        <v>0</v>
      </c>
      <c r="H2793" s="661" t="str">
        <f>IF(G2793=0,"",IF(F2793="Buy",IF(G2793=1,"plant","plants"),IF(F2793&gt;0.01,"warranty","Error")))</f>
        <v/>
      </c>
      <c r="I2793" s="244">
        <f>IF(H2793="free",0,IF(H2793="credit",((E2793*(F2793))*G2793*-1),IF(F2793="Buy",(E2793*G2793),((E2793*(1-F2793))*G2793))))</f>
        <v>0</v>
      </c>
      <c r="J2793" s="244">
        <f>IF(H2793="warranty",0,(I2793*(_xlfn.SINGLE(SalesTaxPercentage))))</f>
        <v>0</v>
      </c>
      <c r="K2793" s="696">
        <f t="shared" ref="K2793" si="2182">I2793+J2793</f>
        <v>0</v>
      </c>
      <c r="L2793" s="696"/>
      <c r="M2793" s="659" t="str">
        <f>IF(AND(G2793&gt;0,E2793=0),"WARNING - no PRICE inserted",IF(H2793="free"," FREE ~ no charge this plant",IF(H2793="credit",CONCATENATE(" -$",ROUND(K2793*(1-T2GDiscount)*-1,2)," CREDIT after discount"),IF(T2GDiscount=0,"",IF(G2793=0,"",IF(F2793="Buy",CONCATENATE(" $",ROUND(K2793*(1-T2GDiscount),2)," with ",(T2GDiscount*100),"% discount"),CONCATENATE(" $",ROUND(K2793*(1-T2GDiscount),2)," with ",((T2GDiscount*100+F2793*100)-(T2GDiscount*100*F2793)),IF(F2793&gt;0,"% discounts",IF(NoWarrantyDiscount&gt;0,"% discounts","% discount")))))))))</f>
        <v/>
      </c>
      <c r="N2793" s="660"/>
      <c r="O2793" s="233"/>
      <c r="P2793" s="233"/>
      <c r="Q2793" s="233"/>
      <c r="R2793" s="233"/>
      <c r="S2793" s="233"/>
      <c r="T2793" s="508">
        <f t="shared" si="2155"/>
        <v>0</v>
      </c>
      <c r="U2793" s="225">
        <f>IF(NOT(ISNUMBER(G2793)), "", VLOOKUP(A2793,'Discount Lookup'!D:E,2,FALSE)*G2793)</f>
        <v>0</v>
      </c>
      <c r="V2793" s="225">
        <f>IF(NOT(ISNUMBER(G2793)), "", VLOOKUP(A2793,'Discount Lookup'!G:H,2,FALSE)*G2793)</f>
        <v>0</v>
      </c>
      <c r="W2793" s="508">
        <f t="shared" si="2156"/>
        <v>0</v>
      </c>
      <c r="X2793" s="508">
        <f t="shared" si="2157"/>
        <v>0</v>
      </c>
      <c r="Y2793" s="509" t="b">
        <f t="shared" si="2158"/>
        <v>0</v>
      </c>
      <c r="Z2793" s="510">
        <f t="shared" si="2159"/>
        <v>0</v>
      </c>
      <c r="AA2793" s="511"/>
      <c r="AB2793" s="511" t="str">
        <f t="shared" si="2160"/>
        <v/>
      </c>
      <c r="AC2793" s="698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698"/>
      <c r="AE2793" s="631" t="str">
        <f t="shared" si="2161"/>
        <v/>
      </c>
      <c r="AF2793" s="699" t="str">
        <f t="shared" si="2162"/>
        <v/>
      </c>
      <c r="AG2793" s="699"/>
      <c r="AH2793" s="699"/>
      <c r="AI2793" s="512">
        <f>IF(H2793="credit",0,IF(AE2793="free",0,IF(AE2793="me",0,IF(G2793&gt;0,(VLOOKUP(A2793,'Discount Lookup'!J:K,2)*G2793),0))))</f>
        <v>0</v>
      </c>
      <c r="AJ2793" s="513" t="str">
        <f t="shared" ca="1" si="2163"/>
        <v/>
      </c>
      <c r="AK2793" s="700" t="str">
        <f t="shared" si="2164"/>
        <v/>
      </c>
      <c r="AL2793" s="700"/>
      <c r="AM2793" s="505" t="str">
        <f t="shared" si="2165"/>
        <v/>
      </c>
      <c r="AN2793" s="506"/>
      <c r="AO2793" s="507"/>
      <c r="AP2793" s="507"/>
      <c r="AQ2793" s="507"/>
      <c r="AR2793" s="507"/>
      <c r="AS2793" s="507"/>
      <c r="AT2793" s="507"/>
      <c r="AU2793" s="507"/>
      <c r="AV2793" s="225"/>
      <c r="AW2793" s="508"/>
      <c r="AX2793" s="225"/>
      <c r="AY2793" s="225"/>
      <c r="AZ2793" s="225"/>
      <c r="BA2793" s="225"/>
      <c r="BB2793" s="225"/>
      <c r="BC2793" s="56"/>
      <c r="BD2793" s="56"/>
      <c r="BE2793" s="56"/>
      <c r="BF2793" s="107" t="str">
        <f t="shared" si="2166"/>
        <v>https://www.google.com/search?tbm=isch&amp;q=95%20G4</v>
      </c>
      <c r="BG2793" s="107" t="str">
        <f t="shared" si="2167"/>
        <v>P</v>
      </c>
      <c r="BH2793" s="254"/>
      <c r="BI2793" s="254"/>
    </row>
    <row r="2794" spans="1:61" customFormat="1" ht="17.25" thickBot="1" x14ac:dyDescent="0.3">
      <c r="A2794" s="524" t="s">
        <v>4346</v>
      </c>
      <c r="B2794" s="245"/>
      <c r="C2794" s="677"/>
      <c r="D2794" s="499"/>
      <c r="E2794" s="499"/>
      <c r="F2794" s="500"/>
      <c r="G2794" s="501"/>
      <c r="H2794" s="502"/>
      <c r="I2794" s="246"/>
      <c r="J2794" s="247"/>
      <c r="K2794" s="503"/>
      <c r="L2794" s="544"/>
      <c r="M2794" s="544"/>
      <c r="N2794" s="500"/>
      <c r="O2794" s="500"/>
      <c r="P2794" s="500"/>
      <c r="Q2794" s="500"/>
      <c r="R2794" s="500"/>
      <c r="S2794" s="669" t="s">
        <v>4972</v>
      </c>
      <c r="T2794" s="508">
        <f t="shared" si="2155"/>
        <v>0</v>
      </c>
      <c r="U2794" s="225" t="str">
        <f>IF(NOT(ISNUMBER(G2794)), "", VLOOKUP(A2794,'Discount Lookup'!D:E,2,FALSE)*G2794)</f>
        <v/>
      </c>
      <c r="V2794" s="225" t="str">
        <f>IF(NOT(ISNUMBER(G2794)), "", VLOOKUP(A2794,'Discount Lookup'!G:H,2,FALSE)*G2794)</f>
        <v/>
      </c>
      <c r="W2794" s="508">
        <f t="shared" si="2156"/>
        <v>0</v>
      </c>
      <c r="X2794" s="508">
        <f t="shared" si="2157"/>
        <v>0</v>
      </c>
      <c r="Y2794" s="509" t="b">
        <f t="shared" si="2158"/>
        <v>0</v>
      </c>
      <c r="Z2794" s="510">
        <f t="shared" si="2159"/>
        <v>0</v>
      </c>
      <c r="AA2794" s="511"/>
      <c r="AB2794" s="511" t="str">
        <f t="shared" si="2160"/>
        <v/>
      </c>
      <c r="AC2794" s="698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698"/>
      <c r="AE2794" s="631" t="str">
        <f t="shared" si="2161"/>
        <v/>
      </c>
      <c r="AF2794" s="699" t="str">
        <f t="shared" si="2162"/>
        <v/>
      </c>
      <c r="AG2794" s="699"/>
      <c r="AH2794" s="699"/>
      <c r="AI2794" s="512">
        <f>IF(H2794="credit",0,IF(AE2794="free",0,IF(AE2794="me",0,IF(G2794&gt;0,(VLOOKUP(A2794,'Discount Lookup'!J:K,2)*G2794),0))))</f>
        <v>0</v>
      </c>
      <c r="AJ2794" s="513" t="str">
        <f t="shared" ca="1" si="2163"/>
        <v/>
      </c>
      <c r="AK2794" s="700" t="str">
        <f t="shared" si="2164"/>
        <v/>
      </c>
      <c r="AL2794" s="700"/>
      <c r="AM2794" s="505" t="str">
        <f t="shared" si="2165"/>
        <v/>
      </c>
      <c r="AN2794" s="506"/>
      <c r="AO2794" s="507"/>
      <c r="AP2794" s="507"/>
      <c r="AQ2794" s="507"/>
      <c r="AR2794" s="507"/>
      <c r="AS2794" s="507"/>
      <c r="AT2794" s="507"/>
      <c r="AU2794" s="507"/>
      <c r="AV2794" s="225"/>
      <c r="AW2794" s="508"/>
      <c r="AX2794" s="225"/>
      <c r="AY2794" s="225"/>
      <c r="AZ2794" s="225"/>
      <c r="BA2794" s="225"/>
      <c r="BB2794" s="225"/>
      <c r="BC2794" s="56"/>
      <c r="BD2794" s="56"/>
      <c r="BE2794" s="56"/>
      <c r="BF2794" s="107" t="str">
        <f t="shared" si="2166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2794" s="107" t="str">
        <f t="shared" si="2167"/>
        <v>P</v>
      </c>
      <c r="BH2794" s="254"/>
      <c r="BI2794" s="254"/>
    </row>
    <row r="2795" spans="1:61" customFormat="1" ht="18" x14ac:dyDescent="0.25">
      <c r="A2795" s="521" t="s">
        <v>4629</v>
      </c>
      <c r="B2795" s="477"/>
      <c r="C2795" s="674"/>
      <c r="D2795" s="478" t="s">
        <v>4630</v>
      </c>
      <c r="E2795" s="479"/>
      <c r="F2795" s="479"/>
      <c r="G2795" s="479"/>
      <c r="H2795" s="582" t="s">
        <v>857</v>
      </c>
      <c r="I2795" s="480" t="s">
        <v>2109</v>
      </c>
      <c r="J2795" s="479"/>
      <c r="K2795" s="479"/>
      <c r="L2795" s="560"/>
      <c r="M2795" s="671" t="s">
        <v>4985</v>
      </c>
      <c r="N2795" s="680" t="str">
        <f>IF(AND(ISTEXT($A2795), ISERROR($A2795+0)), HYPERLINK($BF2795, "Images"), "")</f>
        <v>Images</v>
      </c>
      <c r="O2795" s="662" t="s">
        <v>4969</v>
      </c>
      <c r="P2795" s="482"/>
      <c r="Q2795" s="483"/>
      <c r="R2795" s="483"/>
      <c r="S2795" s="484" t="s">
        <v>305</v>
      </c>
      <c r="T2795" s="508">
        <f t="shared" si="2155"/>
        <v>0</v>
      </c>
      <c r="U2795" s="225" t="str">
        <f>IF(NOT(ISNUMBER(G2795)), "", VLOOKUP(A2795,'Discount Lookup'!D:E,2,FALSE)*G2795)</f>
        <v/>
      </c>
      <c r="V2795" s="225" t="str">
        <f>IF(NOT(ISNUMBER(G2795)), "", VLOOKUP(A2795,'Discount Lookup'!G:H,2,FALSE)*G2795)</f>
        <v/>
      </c>
      <c r="W2795" s="508">
        <f t="shared" si="2156"/>
        <v>0</v>
      </c>
      <c r="X2795" s="508" t="str">
        <f t="shared" si="2157"/>
        <v>Green foliage</v>
      </c>
      <c r="Y2795" s="509" t="b">
        <f t="shared" si="2158"/>
        <v>0</v>
      </c>
      <c r="Z2795" s="510">
        <f t="shared" si="2159"/>
        <v>0</v>
      </c>
      <c r="AA2795" s="511"/>
      <c r="AB2795" s="511" t="str">
        <f t="shared" si="2160"/>
        <v/>
      </c>
      <c r="AC2795" s="698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698"/>
      <c r="AE2795" s="631" t="str">
        <f t="shared" si="2161"/>
        <v/>
      </c>
      <c r="AF2795" s="699" t="str">
        <f t="shared" si="2162"/>
        <v/>
      </c>
      <c r="AG2795" s="699"/>
      <c r="AH2795" s="699"/>
      <c r="AI2795" s="512">
        <f>IF(H2795="credit",0,IF(AE2795="free",0,IF(AE2795="me",0,IF(G2795&gt;0,(VLOOKUP(A2795,'Discount Lookup'!J:K,2)*G2795),0))))</f>
        <v>0</v>
      </c>
      <c r="AJ2795" s="513" t="str">
        <f t="shared" ca="1" si="2163"/>
        <v/>
      </c>
      <c r="AK2795" s="700" t="str">
        <f t="shared" si="2164"/>
        <v/>
      </c>
      <c r="AL2795" s="700"/>
      <c r="AM2795" s="505" t="str">
        <f t="shared" si="2165"/>
        <v/>
      </c>
      <c r="AN2795" s="506"/>
      <c r="AO2795" s="507"/>
      <c r="AP2795" s="507"/>
      <c r="AQ2795" s="507"/>
      <c r="AR2795" s="507"/>
      <c r="AS2795" s="507"/>
      <c r="AT2795" s="507"/>
      <c r="AU2795" s="507"/>
      <c r="AV2795" s="225"/>
      <c r="AW2795" s="508"/>
      <c r="AX2795" s="225"/>
      <c r="AY2795" s="225"/>
      <c r="AZ2795" s="225"/>
      <c r="BA2795" s="225"/>
      <c r="BB2795" s="225"/>
      <c r="BC2795" s="56"/>
      <c r="BD2795" s="56"/>
      <c r="BE2795" s="56"/>
      <c r="BF2795" s="107" t="str">
        <f t="shared" si="2166"/>
        <v>https://www.google.com/search?tbm=isch&amp;q=Pennsylvania%20Sedge%20Carex%20pensylvanica</v>
      </c>
      <c r="BG2795" s="107" t="str">
        <f t="shared" si="2167"/>
        <v>P</v>
      </c>
      <c r="BH2795" s="254"/>
      <c r="BI2795" s="254"/>
    </row>
    <row r="2796" spans="1:61" customFormat="1" ht="15.75" x14ac:dyDescent="0.25">
      <c r="A2796" s="485">
        <v>1</v>
      </c>
      <c r="B2796" s="486" t="s">
        <v>291</v>
      </c>
      <c r="C2796" s="487"/>
      <c r="D2796" s="488" t="s">
        <v>312</v>
      </c>
      <c r="E2796" s="489">
        <v>13.95</v>
      </c>
      <c r="F2796" s="516" t="s">
        <v>293</v>
      </c>
      <c r="G2796" s="232">
        <v>0</v>
      </c>
      <c r="H2796" s="658" t="str">
        <f>IF(G2796=0,"",IF(F2796="Buy",IF(G2796=1,"plant","plants"),IF(F2796&gt;0.01,"warranty","Error")))</f>
        <v/>
      </c>
      <c r="I2796" s="490">
        <f>IF(H2796="free",0,IF(H2796="credit",((E2796*(F2796))*G2796*-1),IF(F2796="Buy",(E2796*G2796),((E2796*(1-F2796))*G2796))))</f>
        <v>0</v>
      </c>
      <c r="J2796" s="490">
        <f>IF(H2796="warranty",0,(I2796*(_xlfn.SINGLE(SalesTaxPercentage))))</f>
        <v>0</v>
      </c>
      <c r="K2796" s="695">
        <f t="shared" ref="K2796" si="2183">I2796+J2796</f>
        <v>0</v>
      </c>
      <c r="L2796" s="695"/>
      <c r="M2796" s="659" t="str">
        <f>IF(AND(G2796&gt;0,E2796=0),"WARNING - no PRICE inserted",IF(H2796="free"," FREE ~ no charge this plant",IF(H2796="credit",CONCATENATE(" -$",ROUND(K2796*(1-T2GDiscount)*-1,2)," CREDIT after discount"),IF(T2GDiscount=0,"",IF(G2796=0,"",IF(F2796="Buy",CONCATENATE(" $",ROUND(K2796*(1-T2GDiscount),2)," with ",(T2GDiscount*100),"% discount"),CONCATENATE(" $",ROUND(K2796*(1-T2GDiscount),2)," with ",((T2GDiscount*100+F2796*100)-(T2GDiscount*100*F2796)),IF(F2796&gt;0,"% discounts",IF(NoWarrantyDiscount&gt;0,"% discounts","% discount")))))))))</f>
        <v/>
      </c>
      <c r="N2796" s="660"/>
      <c r="O2796" s="233"/>
      <c r="P2796" s="233"/>
      <c r="Q2796" s="233"/>
      <c r="R2796" s="233"/>
      <c r="S2796" s="233"/>
      <c r="T2796" s="508">
        <f t="shared" si="2155"/>
        <v>0</v>
      </c>
      <c r="U2796" s="225">
        <f>IF(NOT(ISNUMBER(G2796)), "", VLOOKUP(A2796,'Discount Lookup'!D:E,2,FALSE)*G2796)</f>
        <v>0</v>
      </c>
      <c r="V2796" s="225">
        <f>IF(NOT(ISNUMBER(G2796)), "", VLOOKUP(A2796,'Discount Lookup'!G:H,2,FALSE)*G2796)</f>
        <v>0</v>
      </c>
      <c r="W2796" s="508">
        <f t="shared" si="2156"/>
        <v>0</v>
      </c>
      <c r="X2796" s="508">
        <f t="shared" si="2157"/>
        <v>0</v>
      </c>
      <c r="Y2796" s="509" t="b">
        <f t="shared" si="2158"/>
        <v>0</v>
      </c>
      <c r="Z2796" s="510">
        <f t="shared" si="2159"/>
        <v>0</v>
      </c>
      <c r="AA2796" s="511"/>
      <c r="AB2796" s="511" t="str">
        <f t="shared" si="2160"/>
        <v/>
      </c>
      <c r="AC2796" s="698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698"/>
      <c r="AE2796" s="631" t="str">
        <f t="shared" si="2161"/>
        <v/>
      </c>
      <c r="AF2796" s="699" t="str">
        <f t="shared" si="2162"/>
        <v/>
      </c>
      <c r="AG2796" s="699"/>
      <c r="AH2796" s="699"/>
      <c r="AI2796" s="512">
        <f>IF(H2796="credit",0,IF(AE2796="free",0,IF(AE2796="me",0,IF(G2796&gt;0,(VLOOKUP(A2796,'Discount Lookup'!J:K,2)*G2796),0))))</f>
        <v>0</v>
      </c>
      <c r="AJ2796" s="513" t="str">
        <f t="shared" ca="1" si="2163"/>
        <v/>
      </c>
      <c r="AK2796" s="700" t="str">
        <f t="shared" si="2164"/>
        <v/>
      </c>
      <c r="AL2796" s="700"/>
      <c r="AM2796" s="505" t="str">
        <f t="shared" si="2165"/>
        <v/>
      </c>
      <c r="AN2796" s="506"/>
      <c r="AO2796" s="507"/>
      <c r="AP2796" s="507"/>
      <c r="AQ2796" s="507"/>
      <c r="AR2796" s="507"/>
      <c r="AS2796" s="507"/>
      <c r="AT2796" s="507"/>
      <c r="AU2796" s="507"/>
      <c r="AV2796" s="225"/>
      <c r="AW2796" s="508"/>
      <c r="AX2796" s="225"/>
      <c r="AY2796" s="225"/>
      <c r="AZ2796" s="225"/>
      <c r="BA2796" s="225"/>
      <c r="BB2796" s="225"/>
      <c r="BC2796" s="56"/>
      <c r="BD2796" s="56"/>
      <c r="BE2796" s="56"/>
      <c r="BF2796" s="107" t="str">
        <f t="shared" si="2166"/>
        <v>https://www.google.com/search?tbm=isch&amp;q=1%20G2</v>
      </c>
      <c r="BG2796" s="107" t="str">
        <f t="shared" si="2167"/>
        <v>P</v>
      </c>
      <c r="BH2796" s="254"/>
      <c r="BI2796" s="254"/>
    </row>
    <row r="2797" spans="1:61" customFormat="1" ht="17.25" thickBot="1" x14ac:dyDescent="0.3">
      <c r="A2797" s="522" t="s">
        <v>4631</v>
      </c>
      <c r="B2797" s="491"/>
      <c r="C2797" s="675"/>
      <c r="D2797" s="491"/>
      <c r="E2797" s="491"/>
      <c r="F2797" s="492"/>
      <c r="G2797" s="493"/>
      <c r="H2797" s="491"/>
      <c r="I2797" s="234"/>
      <c r="J2797" s="234"/>
      <c r="K2797" s="494"/>
      <c r="L2797" s="543"/>
      <c r="M2797" s="561"/>
      <c r="N2797" s="495"/>
      <c r="O2797" s="496"/>
      <c r="P2797" s="497"/>
      <c r="Q2797" s="495"/>
      <c r="R2797" s="495"/>
      <c r="S2797" s="667" t="s">
        <v>4986</v>
      </c>
      <c r="T2797" s="508">
        <f t="shared" si="2155"/>
        <v>0</v>
      </c>
      <c r="U2797" s="225" t="str">
        <f>IF(NOT(ISNUMBER(G2797)), "", VLOOKUP(A2797,'Discount Lookup'!D:E,2,FALSE)*G2797)</f>
        <v/>
      </c>
      <c r="V2797" s="225" t="str">
        <f>IF(NOT(ISNUMBER(G2797)), "", VLOOKUP(A2797,'Discount Lookup'!G:H,2,FALSE)*G2797)</f>
        <v/>
      </c>
      <c r="W2797" s="508">
        <f t="shared" si="2156"/>
        <v>0</v>
      </c>
      <c r="X2797" s="508">
        <f t="shared" si="2157"/>
        <v>0</v>
      </c>
      <c r="Y2797" s="509" t="b">
        <f t="shared" si="2158"/>
        <v>0</v>
      </c>
      <c r="Z2797" s="510">
        <f t="shared" si="2159"/>
        <v>0</v>
      </c>
      <c r="AA2797" s="511"/>
      <c r="AB2797" s="511" t="str">
        <f t="shared" si="2160"/>
        <v/>
      </c>
      <c r="AC2797" s="698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698"/>
      <c r="AE2797" s="631" t="str">
        <f t="shared" si="2161"/>
        <v/>
      </c>
      <c r="AF2797" s="699" t="str">
        <f t="shared" si="2162"/>
        <v/>
      </c>
      <c r="AG2797" s="699"/>
      <c r="AH2797" s="699"/>
      <c r="AI2797" s="512">
        <f>IF(H2797="credit",0,IF(AE2797="free",0,IF(AE2797="me",0,IF(G2797&gt;0,(VLOOKUP(A2797,'Discount Lookup'!J:K,2)*G2797),0))))</f>
        <v>0</v>
      </c>
      <c r="AJ2797" s="513" t="str">
        <f t="shared" ca="1" si="2163"/>
        <v/>
      </c>
      <c r="AK2797" s="700" t="str">
        <f t="shared" si="2164"/>
        <v/>
      </c>
      <c r="AL2797" s="700"/>
      <c r="AM2797" s="505" t="str">
        <f t="shared" si="2165"/>
        <v/>
      </c>
      <c r="AN2797" s="506"/>
      <c r="AO2797" s="507"/>
      <c r="AP2797" s="507"/>
      <c r="AQ2797" s="507"/>
      <c r="AR2797" s="507"/>
      <c r="AS2797" s="507"/>
      <c r="AT2797" s="507"/>
      <c r="AU2797" s="507"/>
      <c r="AV2797" s="225"/>
      <c r="AW2797" s="508"/>
      <c r="AX2797" s="225"/>
      <c r="AY2797" s="225"/>
      <c r="AZ2797" s="225"/>
      <c r="BA2797" s="225"/>
      <c r="BB2797" s="225"/>
      <c r="BC2797" s="56"/>
      <c r="BD2797" s="56"/>
      <c r="BE2797" s="56"/>
      <c r="BF2797" s="107" t="str">
        <f t="shared" si="2166"/>
        <v>https://www.google.com/search?tbm=isch&amp;q=Pennsylvania%20Sedge%20blades%20very%20fine%20textured%20%26%20soft.%20Can%20be%20a%20lawn%20substitute%20in%20shady%20areas.%20Foliage%20turns%20Sandy-Tan%20in%20the%20fall%20</v>
      </c>
      <c r="BG2797" s="107" t="str">
        <f t="shared" si="2167"/>
        <v>P</v>
      </c>
      <c r="BH2797" s="254"/>
      <c r="BI2797" s="254"/>
    </row>
    <row r="2798" spans="1:61" customFormat="1" ht="18" x14ac:dyDescent="0.25">
      <c r="A2798" s="523" t="s">
        <v>1494</v>
      </c>
      <c r="B2798" s="235"/>
      <c r="C2798" s="676"/>
      <c r="D2798" s="255" t="s">
        <v>1495</v>
      </c>
      <c r="E2798" s="236"/>
      <c r="F2798" s="236"/>
      <c r="G2798" s="236"/>
      <c r="H2798" s="582" t="s">
        <v>356</v>
      </c>
      <c r="I2798" s="498" t="s">
        <v>1496</v>
      </c>
      <c r="J2798" s="237"/>
      <c r="K2798" s="237"/>
      <c r="L2798" s="274"/>
      <c r="M2798" s="670" t="s">
        <v>4973</v>
      </c>
      <c r="N2798" s="681" t="str">
        <f>IF(AND(ISTEXT($A2798), ISERROR($A2798+0)), HYPERLINK($BF2798, "Images"), "")</f>
        <v>Images</v>
      </c>
      <c r="O2798" s="663" t="s">
        <v>4974</v>
      </c>
      <c r="P2798" s="253"/>
      <c r="Q2798" s="238"/>
      <c r="R2798" s="239"/>
      <c r="S2798" s="275"/>
      <c r="T2798" s="508">
        <f t="shared" si="2155"/>
        <v>0</v>
      </c>
      <c r="U2798" s="225" t="str">
        <f>IF(NOT(ISNUMBER(G2798)), "", VLOOKUP(A2798,'Discount Lookup'!D:E,2,FALSE)*G2798)</f>
        <v/>
      </c>
      <c r="V2798" s="225" t="str">
        <f>IF(NOT(ISNUMBER(G2798)), "", VLOOKUP(A2798,'Discount Lookup'!G:H,2,FALSE)*G2798)</f>
        <v/>
      </c>
      <c r="W2798" s="508">
        <f t="shared" si="2156"/>
        <v>0</v>
      </c>
      <c r="X2798" s="508" t="str">
        <f t="shared" si="2157"/>
        <v>Pink to Blue bloom</v>
      </c>
      <c r="Y2798" s="509" t="b">
        <f t="shared" si="2158"/>
        <v>0</v>
      </c>
      <c r="Z2798" s="510">
        <f t="shared" si="2159"/>
        <v>0</v>
      </c>
      <c r="AA2798" s="511"/>
      <c r="AB2798" s="511" t="str">
        <f t="shared" si="2160"/>
        <v/>
      </c>
      <c r="AC2798" s="698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698"/>
      <c r="AE2798" s="631" t="str">
        <f t="shared" si="2161"/>
        <v/>
      </c>
      <c r="AF2798" s="699" t="str">
        <f t="shared" si="2162"/>
        <v/>
      </c>
      <c r="AG2798" s="699"/>
      <c r="AH2798" s="699"/>
      <c r="AI2798" s="512">
        <f>IF(H2798="credit",0,IF(AE2798="free",0,IF(AE2798="me",0,IF(G2798&gt;0,(VLOOKUP(A2798,'Discount Lookup'!J:K,2)*G2798),0))))</f>
        <v>0</v>
      </c>
      <c r="AJ2798" s="513" t="str">
        <f t="shared" ca="1" si="2163"/>
        <v/>
      </c>
      <c r="AK2798" s="700" t="str">
        <f t="shared" si="2164"/>
        <v/>
      </c>
      <c r="AL2798" s="700"/>
      <c r="AM2798" s="505" t="str">
        <f t="shared" si="2165"/>
        <v/>
      </c>
      <c r="AN2798" s="506"/>
      <c r="AO2798" s="507"/>
      <c r="AP2798" s="507"/>
      <c r="AQ2798" s="507"/>
      <c r="AR2798" s="507"/>
      <c r="AS2798" s="507"/>
      <c r="AT2798" s="507"/>
      <c r="AU2798" s="507"/>
      <c r="AV2798" s="225"/>
      <c r="AW2798" s="508"/>
      <c r="AX2798" s="225"/>
      <c r="AY2798" s="225"/>
      <c r="AZ2798" s="225"/>
      <c r="BA2798" s="225"/>
      <c r="BB2798" s="225"/>
      <c r="BC2798" s="56"/>
      <c r="BD2798" s="56"/>
      <c r="BE2798" s="56"/>
      <c r="BF2798" s="107" t="str">
        <f t="shared" si="2166"/>
        <v>https://www.google.com/search?tbm=isch&amp;q=Penny%20Mac%20Bigleaf%20Hydrangea%20Hyd.%20macrophylla%20%27Penny%20Mac%27%20PP%2314527</v>
      </c>
      <c r="BG2798" s="107" t="str">
        <f t="shared" si="2167"/>
        <v>P</v>
      </c>
      <c r="BH2798" s="254"/>
      <c r="BI2798" s="254"/>
    </row>
    <row r="2799" spans="1:61" customFormat="1" ht="15.75" x14ac:dyDescent="0.25">
      <c r="A2799" s="276">
        <v>3</v>
      </c>
      <c r="B2799" s="240" t="s">
        <v>291</v>
      </c>
      <c r="C2799" s="241" t="s">
        <v>15</v>
      </c>
      <c r="D2799" s="242" t="s">
        <v>298</v>
      </c>
      <c r="E2799" s="243">
        <v>26.95</v>
      </c>
      <c r="F2799" s="517" t="s">
        <v>293</v>
      </c>
      <c r="G2799" s="232">
        <v>0</v>
      </c>
      <c r="H2799" s="661" t="str">
        <f>IF(G2799=0,"",IF(F2799="Buy",IF(G2799=1,"plant","plants"),IF(F2799&gt;0.01,"warranty","Error")))</f>
        <v/>
      </c>
      <c r="I2799" s="244">
        <f>IF(H2799="free",0,IF(H2799="credit",((E2799*(F2799))*G2799*-1),IF(F2799="Buy",(E2799*G2799),((E2799*(1-F2799))*G2799))))</f>
        <v>0</v>
      </c>
      <c r="J2799" s="244">
        <f>IF(H2799="warranty",0,(I2799*(_xlfn.SINGLE(SalesTaxPercentage))))</f>
        <v>0</v>
      </c>
      <c r="K2799" s="696">
        <f t="shared" ref="K2799" si="2184">I2799+J2799</f>
        <v>0</v>
      </c>
      <c r="L2799" s="696"/>
      <c r="M2799" s="659" t="str">
        <f>IF(AND(G2799&gt;0,E2799=0),"WARNING - no PRICE inserted",IF(H2799="free"," FREE ~ no charge this plant",IF(H2799="credit",CONCATENATE(" -$",ROUND(K2799*(1-T2GDiscount)*-1,2)," CREDIT after discount"),IF(T2GDiscount=0,"",IF(G2799=0,"",IF(F2799="Buy",CONCATENATE(" $",ROUND(K2799*(1-T2GDiscount),2)," with ",(T2GDiscount*100),"% discount"),CONCATENATE(" $",ROUND(K2799*(1-T2GDiscount),2)," with ",((T2GDiscount*100+F2799*100)-(T2GDiscount*100*F2799)),IF(F2799&gt;0,"% discounts",IF(NoWarrantyDiscount&gt;0,"% discounts","% discount")))))))))</f>
        <v/>
      </c>
      <c r="N2799" s="660"/>
      <c r="O2799" s="233"/>
      <c r="P2799" s="233"/>
      <c r="Q2799" s="233"/>
      <c r="R2799" s="233"/>
      <c r="S2799" s="233"/>
      <c r="T2799" s="508">
        <f t="shared" si="2155"/>
        <v>0</v>
      </c>
      <c r="U2799" s="225">
        <f>IF(NOT(ISNUMBER(G2799)), "", VLOOKUP(A2799,'Discount Lookup'!D:E,2,FALSE)*G2799)</f>
        <v>0</v>
      </c>
      <c r="V2799" s="225">
        <f>IF(NOT(ISNUMBER(G2799)), "", VLOOKUP(A2799,'Discount Lookup'!G:H,2,FALSE)*G2799)</f>
        <v>0</v>
      </c>
      <c r="W2799" s="508">
        <f t="shared" si="2156"/>
        <v>0</v>
      </c>
      <c r="X2799" s="508">
        <f t="shared" si="2157"/>
        <v>0</v>
      </c>
      <c r="Y2799" s="509" t="b">
        <f t="shared" si="2158"/>
        <v>0</v>
      </c>
      <c r="Z2799" s="510">
        <f t="shared" si="2159"/>
        <v>0</v>
      </c>
      <c r="AA2799" s="511"/>
      <c r="AB2799" s="511" t="str">
        <f t="shared" si="2160"/>
        <v/>
      </c>
      <c r="AC2799" s="698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698"/>
      <c r="AE2799" s="631" t="str">
        <f t="shared" si="2161"/>
        <v/>
      </c>
      <c r="AF2799" s="699" t="str">
        <f t="shared" si="2162"/>
        <v/>
      </c>
      <c r="AG2799" s="699"/>
      <c r="AH2799" s="699"/>
      <c r="AI2799" s="512">
        <f>IF(H2799="credit",0,IF(AE2799="free",0,IF(AE2799="me",0,IF(G2799&gt;0,(VLOOKUP(A2799,'Discount Lookup'!J:K,2)*G2799),0))))</f>
        <v>0</v>
      </c>
      <c r="AJ2799" s="513" t="str">
        <f t="shared" ca="1" si="2163"/>
        <v/>
      </c>
      <c r="AK2799" s="700" t="str">
        <f t="shared" si="2164"/>
        <v/>
      </c>
      <c r="AL2799" s="700"/>
      <c r="AM2799" s="505" t="str">
        <f t="shared" si="2165"/>
        <v/>
      </c>
      <c r="AN2799" s="506"/>
      <c r="AO2799" s="507"/>
      <c r="AP2799" s="507"/>
      <c r="AQ2799" s="507"/>
      <c r="AR2799" s="507"/>
      <c r="AS2799" s="507"/>
      <c r="AT2799" s="507"/>
      <c r="AU2799" s="507"/>
      <c r="AV2799" s="225"/>
      <c r="AW2799" s="508"/>
      <c r="AX2799" s="225"/>
      <c r="AY2799" s="225"/>
      <c r="AZ2799" s="225"/>
      <c r="BA2799" s="225"/>
      <c r="BB2799" s="225"/>
      <c r="BC2799" s="56"/>
      <c r="BD2799" s="56"/>
      <c r="BE2799" s="56"/>
      <c r="BF2799" s="107" t="str">
        <f t="shared" si="2166"/>
        <v>https://www.google.com/search?tbm=isch&amp;q=3%20G1</v>
      </c>
      <c r="BG2799" s="107" t="str">
        <f t="shared" si="2167"/>
        <v>P</v>
      </c>
      <c r="BH2799" s="254"/>
      <c r="BI2799" s="254"/>
    </row>
    <row r="2800" spans="1:61" customFormat="1" ht="15.75" x14ac:dyDescent="0.25">
      <c r="A2800" s="276">
        <v>3</v>
      </c>
      <c r="B2800" s="240" t="s">
        <v>291</v>
      </c>
      <c r="C2800" s="241" t="s">
        <v>2781</v>
      </c>
      <c r="D2800" s="242" t="s">
        <v>297</v>
      </c>
      <c r="E2800" s="243">
        <v>32.950000000000003</v>
      </c>
      <c r="F2800" s="517" t="s">
        <v>293</v>
      </c>
      <c r="G2800" s="232">
        <v>0</v>
      </c>
      <c r="H2800" s="661" t="str">
        <f>IF(G2800=0,"",IF(F2800="Buy",IF(G2800=1,"plant","plants"),IF(F2800&gt;0.01,"warranty","Error")))</f>
        <v/>
      </c>
      <c r="I2800" s="244">
        <f>IF(H2800="free",0,IF(H2800="credit",((E2800*(F2800))*G2800*-1),IF(F2800="Buy",(E2800*G2800),((E2800*(1-F2800))*G2800))))</f>
        <v>0</v>
      </c>
      <c r="J2800" s="244">
        <f>IF(H2800="warranty",0,(I2800*(_xlfn.SINGLE(SalesTaxPercentage))))</f>
        <v>0</v>
      </c>
      <c r="K2800" s="696">
        <f t="shared" ref="K2800" si="2185">I2800+J2800</f>
        <v>0</v>
      </c>
      <c r="L2800" s="696"/>
      <c r="M2800" s="659" t="str">
        <f>IF(AND(G2800&gt;0,E2800=0),"WARNING - no PRICE inserted",IF(H2800="free"," FREE ~ no charge this plant",IF(H2800="credit",CONCATENATE(" -$",ROUND(K2800*(1-T2GDiscount)*-1,2)," CREDIT after discount"),IF(T2GDiscount=0,"",IF(G2800=0,"",IF(F2800="Buy",CONCATENATE(" $",ROUND(K2800*(1-T2GDiscount),2)," with ",(T2GDiscount*100),"% discount"),CONCATENATE(" $",ROUND(K2800*(1-T2GDiscount),2)," with ",((T2GDiscount*100+F2800*100)-(T2GDiscount*100*F2800)),IF(F2800&gt;0,"% discounts",IF(NoWarrantyDiscount&gt;0,"% discounts","% discount")))))))))</f>
        <v/>
      </c>
      <c r="N2800" s="660"/>
      <c r="O2800" s="233"/>
      <c r="P2800" s="233"/>
      <c r="Q2800" s="233"/>
      <c r="R2800" s="233"/>
      <c r="S2800" s="233"/>
      <c r="T2800" s="508">
        <f t="shared" si="2155"/>
        <v>0</v>
      </c>
      <c r="U2800" s="225">
        <f>IF(NOT(ISNUMBER(G2800)), "", VLOOKUP(A2800,'Discount Lookup'!D:E,2,FALSE)*G2800)</f>
        <v>0</v>
      </c>
      <c r="V2800" s="225">
        <f>IF(NOT(ISNUMBER(G2800)), "", VLOOKUP(A2800,'Discount Lookup'!G:H,2,FALSE)*G2800)</f>
        <v>0</v>
      </c>
      <c r="W2800" s="508">
        <f t="shared" si="2156"/>
        <v>0</v>
      </c>
      <c r="X2800" s="508">
        <f t="shared" si="2157"/>
        <v>0</v>
      </c>
      <c r="Y2800" s="509" t="b">
        <f t="shared" si="2158"/>
        <v>0</v>
      </c>
      <c r="Z2800" s="510">
        <f t="shared" si="2159"/>
        <v>0</v>
      </c>
      <c r="AA2800" s="511"/>
      <c r="AB2800" s="511" t="str">
        <f t="shared" si="2160"/>
        <v/>
      </c>
      <c r="AC2800" s="698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698"/>
      <c r="AE2800" s="631" t="str">
        <f t="shared" si="2161"/>
        <v/>
      </c>
      <c r="AF2800" s="699" t="str">
        <f t="shared" si="2162"/>
        <v/>
      </c>
      <c r="AG2800" s="699"/>
      <c r="AH2800" s="699"/>
      <c r="AI2800" s="512">
        <f>IF(H2800="credit",0,IF(AE2800="free",0,IF(AE2800="me",0,IF(G2800&gt;0,(VLOOKUP(A2800,'Discount Lookup'!J:K,2)*G2800),0))))</f>
        <v>0</v>
      </c>
      <c r="AJ2800" s="513" t="str">
        <f t="shared" ca="1" si="2163"/>
        <v/>
      </c>
      <c r="AK2800" s="700" t="str">
        <f t="shared" si="2164"/>
        <v/>
      </c>
      <c r="AL2800" s="700"/>
      <c r="AM2800" s="505" t="str">
        <f t="shared" si="2165"/>
        <v/>
      </c>
      <c r="AN2800" s="506"/>
      <c r="AO2800" s="507"/>
      <c r="AP2800" s="507"/>
      <c r="AQ2800" s="507"/>
      <c r="AR2800" s="507"/>
      <c r="AS2800" s="507"/>
      <c r="AT2800" s="507"/>
      <c r="AU2800" s="507"/>
      <c r="AV2800" s="225"/>
      <c r="AW2800" s="508"/>
      <c r="AX2800" s="225"/>
      <c r="AY2800" s="225"/>
      <c r="AZ2800" s="225"/>
      <c r="BA2800" s="225"/>
      <c r="BB2800" s="225"/>
      <c r="BC2800" s="56"/>
      <c r="BD2800" s="56"/>
      <c r="BE2800" s="56"/>
      <c r="BF2800" s="107" t="str">
        <f t="shared" si="2166"/>
        <v>https://www.google.com/search?tbm=isch&amp;q=3%20G3</v>
      </c>
      <c r="BG2800" s="107" t="str">
        <f t="shared" si="2167"/>
        <v>P</v>
      </c>
      <c r="BH2800" s="254"/>
      <c r="BI2800" s="254"/>
    </row>
    <row r="2801" spans="1:61" customFormat="1" ht="15.75" x14ac:dyDescent="0.25">
      <c r="A2801" s="276">
        <v>3</v>
      </c>
      <c r="B2801" s="240" t="s">
        <v>291</v>
      </c>
      <c r="C2801" s="241" t="s">
        <v>2782</v>
      </c>
      <c r="D2801" s="242" t="s">
        <v>299</v>
      </c>
      <c r="E2801" s="243">
        <v>33.950000000000003</v>
      </c>
      <c r="F2801" s="517" t="s">
        <v>293</v>
      </c>
      <c r="G2801" s="232">
        <v>0</v>
      </c>
      <c r="H2801" s="661" t="str">
        <f>IF(G2801=0,"",IF(F2801="Buy",IF(G2801=1,"plant","plants"),IF(F2801&gt;0.01,"warranty","Error")))</f>
        <v/>
      </c>
      <c r="I2801" s="244">
        <f>IF(H2801="free",0,IF(H2801="credit",((E2801*(F2801))*G2801*-1),IF(F2801="Buy",(E2801*G2801),((E2801*(1-F2801))*G2801))))</f>
        <v>0</v>
      </c>
      <c r="J2801" s="244">
        <f>IF(H2801="warranty",0,(I2801*(_xlfn.SINGLE(SalesTaxPercentage))))</f>
        <v>0</v>
      </c>
      <c r="K2801" s="696">
        <f t="shared" ref="K2801" si="2186">I2801+J2801</f>
        <v>0</v>
      </c>
      <c r="L2801" s="696"/>
      <c r="M2801" s="659" t="str">
        <f>IF(AND(G2801&gt;0,E2801=0),"WARNING - no PRICE inserted",IF(H2801="free"," FREE ~ no charge this plant",IF(H2801="credit",CONCATENATE(" -$",ROUND(K2801*(1-T2GDiscount)*-1,2)," CREDIT after discount"),IF(T2GDiscount=0,"",IF(G2801=0,"",IF(F2801="Buy",CONCATENATE(" $",ROUND(K2801*(1-T2GDiscount),2)," with ",(T2GDiscount*100),"% discount"),CONCATENATE(" $",ROUND(K2801*(1-T2GDiscount),2)," with ",((T2GDiscount*100+F2801*100)-(T2GDiscount*100*F2801)),IF(F2801&gt;0,"% discounts",IF(NoWarrantyDiscount&gt;0,"% discounts","% discount")))))))))</f>
        <v/>
      </c>
      <c r="N2801" s="660"/>
      <c r="O2801" s="233"/>
      <c r="P2801" s="233"/>
      <c r="Q2801" s="233"/>
      <c r="R2801" s="233"/>
      <c r="S2801" s="233"/>
      <c r="T2801" s="508">
        <f t="shared" si="2155"/>
        <v>0</v>
      </c>
      <c r="U2801" s="225">
        <f>IF(NOT(ISNUMBER(G2801)), "", VLOOKUP(A2801,'Discount Lookup'!D:E,2,FALSE)*G2801)</f>
        <v>0</v>
      </c>
      <c r="V2801" s="225">
        <f>IF(NOT(ISNUMBER(G2801)), "", VLOOKUP(A2801,'Discount Lookup'!G:H,2,FALSE)*G2801)</f>
        <v>0</v>
      </c>
      <c r="W2801" s="508">
        <f t="shared" si="2156"/>
        <v>0</v>
      </c>
      <c r="X2801" s="508">
        <f t="shared" si="2157"/>
        <v>0</v>
      </c>
      <c r="Y2801" s="509" t="b">
        <f t="shared" si="2158"/>
        <v>0</v>
      </c>
      <c r="Z2801" s="510">
        <f t="shared" si="2159"/>
        <v>0</v>
      </c>
      <c r="AA2801" s="511"/>
      <c r="AB2801" s="511" t="str">
        <f t="shared" si="2160"/>
        <v/>
      </c>
      <c r="AC2801" s="698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698"/>
      <c r="AE2801" s="631" t="str">
        <f t="shared" si="2161"/>
        <v/>
      </c>
      <c r="AF2801" s="699" t="str">
        <f t="shared" si="2162"/>
        <v/>
      </c>
      <c r="AG2801" s="699"/>
      <c r="AH2801" s="699"/>
      <c r="AI2801" s="512">
        <f>IF(H2801="credit",0,IF(AE2801="free",0,IF(AE2801="me",0,IF(G2801&gt;0,(VLOOKUP(A2801,'Discount Lookup'!J:K,2)*G2801),0))))</f>
        <v>0</v>
      </c>
      <c r="AJ2801" s="513" t="str">
        <f t="shared" ca="1" si="2163"/>
        <v/>
      </c>
      <c r="AK2801" s="700" t="str">
        <f t="shared" si="2164"/>
        <v/>
      </c>
      <c r="AL2801" s="700"/>
      <c r="AM2801" s="505" t="str">
        <f t="shared" si="2165"/>
        <v/>
      </c>
      <c r="AN2801" s="506"/>
      <c r="AO2801" s="507"/>
      <c r="AP2801" s="507"/>
      <c r="AQ2801" s="507"/>
      <c r="AR2801" s="507"/>
      <c r="AS2801" s="507"/>
      <c r="AT2801" s="507"/>
      <c r="AU2801" s="507"/>
      <c r="AV2801" s="225"/>
      <c r="AW2801" s="508"/>
      <c r="AX2801" s="225"/>
      <c r="AY2801" s="225"/>
      <c r="AZ2801" s="225"/>
      <c r="BA2801" s="225"/>
      <c r="BB2801" s="225"/>
      <c r="BC2801" s="56"/>
      <c r="BD2801" s="56"/>
      <c r="BE2801" s="56"/>
      <c r="BF2801" s="107" t="str">
        <f t="shared" si="2166"/>
        <v>https://www.google.com/search?tbm=isch&amp;q=3%20G5</v>
      </c>
      <c r="BG2801" s="107" t="str">
        <f t="shared" si="2167"/>
        <v>P</v>
      </c>
      <c r="BH2801" s="254"/>
      <c r="BI2801" s="254"/>
    </row>
    <row r="2802" spans="1:61" customFormat="1" ht="15.75" x14ac:dyDescent="0.25">
      <c r="A2802" s="276">
        <v>5</v>
      </c>
      <c r="B2802" s="240" t="s">
        <v>291</v>
      </c>
      <c r="C2802" s="241" t="s">
        <v>1497</v>
      </c>
      <c r="D2802" s="242" t="s">
        <v>300</v>
      </c>
      <c r="E2802" s="243">
        <v>55.95</v>
      </c>
      <c r="F2802" s="517" t="s">
        <v>293</v>
      </c>
      <c r="G2802" s="232">
        <v>0</v>
      </c>
      <c r="H2802" s="661" t="str">
        <f>IF(G2802=0,"",IF(F2802="Buy",IF(G2802=1,"plant","plants"),IF(F2802&gt;0.01,"warranty","Error")))</f>
        <v/>
      </c>
      <c r="I2802" s="244">
        <f>IF(H2802="free",0,IF(H2802="credit",((E2802*(F2802))*G2802*-1),IF(F2802="Buy",(E2802*G2802),((E2802*(1-F2802))*G2802))))</f>
        <v>0</v>
      </c>
      <c r="J2802" s="244">
        <f>IF(H2802="warranty",0,(I2802*(_xlfn.SINGLE(SalesTaxPercentage))))</f>
        <v>0</v>
      </c>
      <c r="K2802" s="696">
        <f t="shared" ref="K2802" si="2187">I2802+J2802</f>
        <v>0</v>
      </c>
      <c r="L2802" s="696"/>
      <c r="M2802" s="659" t="str">
        <f>IF(AND(G2802&gt;0,E2802=0),"WARNING - no PRICE inserted",IF(H2802="free"," FREE ~ no charge this plant",IF(H2802="credit",CONCATENATE(" -$",ROUND(K2802*(1-T2GDiscount)*-1,2)," CREDIT after discount"),IF(T2GDiscount=0,"",IF(G2802=0,"",IF(F2802="Buy",CONCATENATE(" $",ROUND(K2802*(1-T2GDiscount),2)," with ",(T2GDiscount*100),"% discount"),CONCATENATE(" $",ROUND(K2802*(1-T2GDiscount),2)," with ",((T2GDiscount*100+F2802*100)-(T2GDiscount*100*F2802)),IF(F2802&gt;0,"% discounts",IF(NoWarrantyDiscount&gt;0,"% discounts","% discount")))))))))</f>
        <v/>
      </c>
      <c r="N2802" s="660"/>
      <c r="O2802" s="233"/>
      <c r="P2802" s="233"/>
      <c r="Q2802" s="233"/>
      <c r="R2802" s="233"/>
      <c r="S2802" s="233"/>
      <c r="T2802" s="508">
        <f t="shared" si="2155"/>
        <v>0</v>
      </c>
      <c r="U2802" s="225">
        <f>IF(NOT(ISNUMBER(G2802)), "", VLOOKUP(A2802,'Discount Lookup'!D:E,2,FALSE)*G2802)</f>
        <v>0</v>
      </c>
      <c r="V2802" s="225">
        <f>IF(NOT(ISNUMBER(G2802)), "", VLOOKUP(A2802,'Discount Lookup'!G:H,2,FALSE)*G2802)</f>
        <v>0</v>
      </c>
      <c r="W2802" s="508">
        <f t="shared" si="2156"/>
        <v>0</v>
      </c>
      <c r="X2802" s="508">
        <f t="shared" si="2157"/>
        <v>0</v>
      </c>
      <c r="Y2802" s="509" t="b">
        <f t="shared" si="2158"/>
        <v>0</v>
      </c>
      <c r="Z2802" s="510">
        <f t="shared" si="2159"/>
        <v>0</v>
      </c>
      <c r="AA2802" s="511"/>
      <c r="AB2802" s="511" t="str">
        <f t="shared" si="2160"/>
        <v/>
      </c>
      <c r="AC2802" s="698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698"/>
      <c r="AE2802" s="631" t="str">
        <f t="shared" si="2161"/>
        <v/>
      </c>
      <c r="AF2802" s="699" t="str">
        <f t="shared" si="2162"/>
        <v/>
      </c>
      <c r="AG2802" s="699"/>
      <c r="AH2802" s="699"/>
      <c r="AI2802" s="512">
        <f>IF(H2802="credit",0,IF(AE2802="free",0,IF(AE2802="me",0,IF(G2802&gt;0,(VLOOKUP(A2802,'Discount Lookup'!J:K,2)*G2802),0))))</f>
        <v>0</v>
      </c>
      <c r="AJ2802" s="513" t="str">
        <f t="shared" ca="1" si="2163"/>
        <v/>
      </c>
      <c r="AK2802" s="700" t="str">
        <f t="shared" si="2164"/>
        <v/>
      </c>
      <c r="AL2802" s="700"/>
      <c r="AM2802" s="505" t="str">
        <f t="shared" si="2165"/>
        <v/>
      </c>
      <c r="AN2802" s="506"/>
      <c r="AO2802" s="507"/>
      <c r="AP2802" s="507"/>
      <c r="AQ2802" s="507"/>
      <c r="AR2802" s="507"/>
      <c r="AS2802" s="507"/>
      <c r="AT2802" s="507"/>
      <c r="AU2802" s="507"/>
      <c r="AV2802" s="225"/>
      <c r="AW2802" s="508"/>
      <c r="AX2802" s="225"/>
      <c r="AY2802" s="225"/>
      <c r="AZ2802" s="225"/>
      <c r="BA2802" s="225"/>
      <c r="BB2802" s="225"/>
      <c r="BC2802" s="56"/>
      <c r="BD2802" s="56"/>
      <c r="BE2802" s="56"/>
      <c r="BF2802" s="107" t="str">
        <f t="shared" si="2166"/>
        <v>https://www.google.com/search?tbm=isch&amp;q=5%20G6</v>
      </c>
      <c r="BG2802" s="107" t="str">
        <f t="shared" si="2167"/>
        <v>P</v>
      </c>
      <c r="BH2802" s="254"/>
      <c r="BI2802" s="254"/>
    </row>
    <row r="2803" spans="1:61" customFormat="1" ht="15.75" x14ac:dyDescent="0.25">
      <c r="A2803" s="276">
        <v>10</v>
      </c>
      <c r="B2803" s="240" t="s">
        <v>291</v>
      </c>
      <c r="C2803" s="241" t="s">
        <v>4009</v>
      </c>
      <c r="D2803" s="242" t="s">
        <v>300</v>
      </c>
      <c r="E2803" s="243">
        <v>166.95</v>
      </c>
      <c r="F2803" s="517" t="s">
        <v>293</v>
      </c>
      <c r="G2803" s="232">
        <v>0</v>
      </c>
      <c r="H2803" s="661" t="str">
        <f>IF(G2803=0,"",IF(F2803="Buy",IF(G2803=1,"plant","plants"),IF(F2803&gt;0.01,"warranty","Error")))</f>
        <v/>
      </c>
      <c r="I2803" s="244">
        <f>IF(H2803="free",0,IF(H2803="credit",((E2803*(F2803))*G2803*-1),IF(F2803="Buy",(E2803*G2803),((E2803*(1-F2803))*G2803))))</f>
        <v>0</v>
      </c>
      <c r="J2803" s="244">
        <f>IF(H2803="warranty",0,(I2803*(_xlfn.SINGLE(SalesTaxPercentage))))</f>
        <v>0</v>
      </c>
      <c r="K2803" s="696">
        <f t="shared" ref="K2803" si="2188">I2803+J2803</f>
        <v>0</v>
      </c>
      <c r="L2803" s="696"/>
      <c r="M2803" s="659" t="str">
        <f>IF(AND(G2803&gt;0,E2803=0),"WARNING - no PRICE inserted",IF(H2803="free"," FREE ~ no charge this plant",IF(H2803="credit",CONCATENATE(" -$",ROUND(K2803*(1-T2GDiscount)*-1,2)," CREDIT after discount"),IF(T2GDiscount=0,"",IF(G2803=0,"",IF(F2803="Buy",CONCATENATE(" $",ROUND(K2803*(1-T2GDiscount),2)," with ",(T2GDiscount*100),"% discount"),CONCATENATE(" $",ROUND(K2803*(1-T2GDiscount),2)," with ",((T2GDiscount*100+F2803*100)-(T2GDiscount*100*F2803)),IF(F2803&gt;0,"% discounts",IF(NoWarrantyDiscount&gt;0,"% discounts","% discount")))))))))</f>
        <v/>
      </c>
      <c r="N2803" s="660"/>
      <c r="O2803" s="233"/>
      <c r="P2803" s="233"/>
      <c r="Q2803" s="233"/>
      <c r="R2803" s="233"/>
      <c r="S2803" s="233"/>
      <c r="T2803" s="508">
        <f t="shared" si="2155"/>
        <v>0</v>
      </c>
      <c r="U2803" s="225">
        <f>IF(NOT(ISNUMBER(G2803)), "", VLOOKUP(A2803,'Discount Lookup'!D:E,2,FALSE)*G2803)</f>
        <v>0</v>
      </c>
      <c r="V2803" s="225">
        <f>IF(NOT(ISNUMBER(G2803)), "", VLOOKUP(A2803,'Discount Lookup'!G:H,2,FALSE)*G2803)</f>
        <v>0</v>
      </c>
      <c r="W2803" s="508">
        <f t="shared" si="2156"/>
        <v>0</v>
      </c>
      <c r="X2803" s="508">
        <f t="shared" si="2157"/>
        <v>0</v>
      </c>
      <c r="Y2803" s="509" t="b">
        <f t="shared" si="2158"/>
        <v>0</v>
      </c>
      <c r="Z2803" s="510">
        <f t="shared" si="2159"/>
        <v>0</v>
      </c>
      <c r="AA2803" s="511"/>
      <c r="AB2803" s="511" t="str">
        <f t="shared" si="2160"/>
        <v/>
      </c>
      <c r="AC2803" s="698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698"/>
      <c r="AE2803" s="631" t="str">
        <f t="shared" si="2161"/>
        <v/>
      </c>
      <c r="AF2803" s="699" t="str">
        <f t="shared" si="2162"/>
        <v/>
      </c>
      <c r="AG2803" s="699"/>
      <c r="AH2803" s="699"/>
      <c r="AI2803" s="512">
        <f>IF(H2803="credit",0,IF(AE2803="free",0,IF(AE2803="me",0,IF(G2803&gt;0,(VLOOKUP(A2803,'Discount Lookup'!J:K,2)*G2803),0))))</f>
        <v>0</v>
      </c>
      <c r="AJ2803" s="513" t="str">
        <f t="shared" ca="1" si="2163"/>
        <v/>
      </c>
      <c r="AK2803" s="700" t="str">
        <f t="shared" si="2164"/>
        <v/>
      </c>
      <c r="AL2803" s="700"/>
      <c r="AM2803" s="505" t="str">
        <f t="shared" si="2165"/>
        <v/>
      </c>
      <c r="AN2803" s="506"/>
      <c r="AO2803" s="507"/>
      <c r="AP2803" s="507"/>
      <c r="AQ2803" s="507"/>
      <c r="AR2803" s="507"/>
      <c r="AS2803" s="507"/>
      <c r="AT2803" s="507"/>
      <c r="AU2803" s="507"/>
      <c r="AV2803" s="225"/>
      <c r="AW2803" s="508"/>
      <c r="AX2803" s="225"/>
      <c r="AY2803" s="225"/>
      <c r="AZ2803" s="225"/>
      <c r="BA2803" s="225"/>
      <c r="BB2803" s="225"/>
      <c r="BC2803" s="56"/>
      <c r="BD2803" s="56"/>
      <c r="BE2803" s="56"/>
      <c r="BF2803" s="107" t="str">
        <f t="shared" si="2166"/>
        <v>https://www.google.com/search?tbm=isch&amp;q=10%20G6</v>
      </c>
      <c r="BG2803" s="107" t="str">
        <f t="shared" si="2167"/>
        <v>P</v>
      </c>
      <c r="BH2803" s="254"/>
      <c r="BI2803" s="254"/>
    </row>
    <row r="2804" spans="1:61" customFormat="1" ht="17.25" thickBot="1" x14ac:dyDescent="0.3">
      <c r="A2804" s="673" t="s">
        <v>5201</v>
      </c>
      <c r="B2804" s="245"/>
      <c r="C2804" s="677"/>
      <c r="D2804" s="499"/>
      <c r="E2804" s="499"/>
      <c r="F2804" s="500"/>
      <c r="G2804" s="501"/>
      <c r="H2804" s="502"/>
      <c r="I2804" s="246"/>
      <c r="J2804" s="247"/>
      <c r="K2804" s="503"/>
      <c r="L2804" s="544"/>
      <c r="M2804" s="544"/>
      <c r="N2804" s="500"/>
      <c r="O2804" s="500"/>
      <c r="P2804" s="500"/>
      <c r="Q2804" s="500"/>
      <c r="R2804" s="500"/>
      <c r="S2804" s="278"/>
      <c r="T2804" s="508">
        <f t="shared" si="2155"/>
        <v>0</v>
      </c>
      <c r="U2804" s="225" t="str">
        <f>IF(NOT(ISNUMBER(G2804)), "", VLOOKUP(A2804,'Discount Lookup'!D:E,2,FALSE)*G2804)</f>
        <v/>
      </c>
      <c r="V2804" s="225" t="str">
        <f>IF(NOT(ISNUMBER(G2804)), "", VLOOKUP(A2804,'Discount Lookup'!G:H,2,FALSE)*G2804)</f>
        <v/>
      </c>
      <c r="W2804" s="508">
        <f t="shared" si="2156"/>
        <v>0</v>
      </c>
      <c r="X2804" s="508">
        <f t="shared" si="2157"/>
        <v>0</v>
      </c>
      <c r="Y2804" s="509" t="b">
        <f t="shared" si="2158"/>
        <v>0</v>
      </c>
      <c r="Z2804" s="510">
        <f t="shared" si="2159"/>
        <v>0</v>
      </c>
      <c r="AA2804" s="511"/>
      <c r="AB2804" s="511" t="str">
        <f t="shared" si="2160"/>
        <v/>
      </c>
      <c r="AC2804" s="698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698"/>
      <c r="AE2804" s="631" t="str">
        <f t="shared" si="2161"/>
        <v/>
      </c>
      <c r="AF2804" s="699" t="str">
        <f t="shared" si="2162"/>
        <v/>
      </c>
      <c r="AG2804" s="699"/>
      <c r="AH2804" s="699"/>
      <c r="AI2804" s="512">
        <f>IF(H2804="credit",0,IF(AE2804="free",0,IF(AE2804="me",0,IF(G2804&gt;0,(VLOOKUP(A2804,'Discount Lookup'!J:K,2)*G2804),0))))</f>
        <v>0</v>
      </c>
      <c r="AJ2804" s="513" t="str">
        <f t="shared" ca="1" si="2163"/>
        <v/>
      </c>
      <c r="AK2804" s="700" t="str">
        <f t="shared" si="2164"/>
        <v/>
      </c>
      <c r="AL2804" s="700"/>
      <c r="AM2804" s="505" t="str">
        <f t="shared" si="2165"/>
        <v/>
      </c>
      <c r="AN2804" s="506"/>
      <c r="AO2804" s="507"/>
      <c r="AP2804" s="507"/>
      <c r="AQ2804" s="507"/>
      <c r="AR2804" s="507"/>
      <c r="AS2804" s="507"/>
      <c r="AT2804" s="507"/>
      <c r="AU2804" s="507"/>
      <c r="AV2804" s="225"/>
      <c r="AW2804" s="508"/>
      <c r="AX2804" s="225"/>
      <c r="AY2804" s="225"/>
      <c r="AZ2804" s="225"/>
      <c r="BA2804" s="225"/>
      <c r="BB2804" s="225"/>
      <c r="BC2804" s="56"/>
      <c r="BD2804" s="56"/>
      <c r="BE2804" s="56"/>
      <c r="BF2804" s="107" t="str">
        <f t="shared" si="2166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804" s="107" t="str">
        <f t="shared" si="2167"/>
        <v>m</v>
      </c>
      <c r="BH2804" s="254"/>
      <c r="BI2804" s="254"/>
    </row>
    <row r="2805" spans="1:61" customFormat="1" ht="18" x14ac:dyDescent="0.25">
      <c r="A2805" s="521" t="s">
        <v>5614</v>
      </c>
      <c r="B2805" s="477"/>
      <c r="C2805" s="674"/>
      <c r="D2805" s="478" t="s">
        <v>1579</v>
      </c>
      <c r="E2805" s="479"/>
      <c r="F2805" s="479"/>
      <c r="G2805" s="479"/>
      <c r="H2805" s="582" t="s">
        <v>441</v>
      </c>
      <c r="I2805" s="480" t="s">
        <v>737</v>
      </c>
      <c r="J2805" s="479"/>
      <c r="K2805" s="479"/>
      <c r="L2805" s="560"/>
      <c r="M2805" s="666" t="s">
        <v>4966</v>
      </c>
      <c r="N2805" s="680" t="str">
        <f>IF(AND(ISTEXT($A2805), ISERROR($A2805+0)), HYPERLINK($BF2805, "Images"), "")</f>
        <v>Images</v>
      </c>
      <c r="O2805" s="662" t="s">
        <v>4974</v>
      </c>
      <c r="P2805" s="482"/>
      <c r="Q2805" s="483"/>
      <c r="R2805" s="483"/>
      <c r="S2805" s="484"/>
      <c r="T2805" s="508">
        <f t="shared" si="2155"/>
        <v>0</v>
      </c>
      <c r="U2805" s="225" t="str">
        <f>IF(NOT(ISNUMBER(G2805)), "", VLOOKUP(A2805,'Discount Lookup'!D:E,2,FALSE)*G2805)</f>
        <v/>
      </c>
      <c r="V2805" s="225" t="str">
        <f>IF(NOT(ISNUMBER(G2805)), "", VLOOKUP(A2805,'Discount Lookup'!G:H,2,FALSE)*G2805)</f>
        <v/>
      </c>
      <c r="W2805" s="508">
        <f t="shared" si="2156"/>
        <v>0</v>
      </c>
      <c r="X2805" s="508" t="str">
        <f t="shared" si="2157"/>
        <v>Hot Pink bloom</v>
      </c>
      <c r="Y2805" s="509" t="b">
        <f t="shared" si="2158"/>
        <v>0</v>
      </c>
      <c r="Z2805" s="510">
        <f t="shared" si="2159"/>
        <v>0</v>
      </c>
      <c r="AA2805" s="511"/>
      <c r="AB2805" s="511" t="str">
        <f t="shared" si="2160"/>
        <v/>
      </c>
      <c r="AC2805" s="698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698"/>
      <c r="AE2805" s="631" t="str">
        <f t="shared" si="2161"/>
        <v/>
      </c>
      <c r="AF2805" s="699" t="str">
        <f t="shared" si="2162"/>
        <v/>
      </c>
      <c r="AG2805" s="699"/>
      <c r="AH2805" s="699"/>
      <c r="AI2805" s="512">
        <f>IF(H2805="credit",0,IF(AE2805="free",0,IF(AE2805="me",0,IF(G2805&gt;0,(VLOOKUP(A2805,'Discount Lookup'!J:K,2)*G2805),0))))</f>
        <v>0</v>
      </c>
      <c r="AJ2805" s="513" t="str">
        <f t="shared" ca="1" si="2163"/>
        <v/>
      </c>
      <c r="AK2805" s="700" t="str">
        <f t="shared" si="2164"/>
        <v/>
      </c>
      <c r="AL2805" s="700"/>
      <c r="AM2805" s="505" t="str">
        <f t="shared" si="2165"/>
        <v/>
      </c>
      <c r="AN2805" s="506"/>
      <c r="AO2805" s="507"/>
      <c r="AP2805" s="507"/>
      <c r="AQ2805" s="507"/>
      <c r="AR2805" s="507"/>
      <c r="AS2805" s="507"/>
      <c r="AT2805" s="507"/>
      <c r="AU2805" s="507"/>
      <c r="AV2805" s="225"/>
      <c r="AW2805" s="508"/>
      <c r="AX2805" s="225"/>
      <c r="AY2805" s="225"/>
      <c r="AZ2805" s="225"/>
      <c r="BA2805" s="225"/>
      <c r="BB2805" s="225"/>
      <c r="BC2805" s="56"/>
      <c r="BD2805" s="56"/>
      <c r="BE2805" s="56"/>
      <c r="BF2805" s="107" t="str">
        <f t="shared" si="2166"/>
        <v>https://www.google.com/search?tbm=isch&amp;q=Perfecto%20Mundo%20Epic%20Pink%C2%AE%20Azalea%20%28PW%C2%AE%29%20Rhod.%20%27NCRX9%27%20PP%2335072</v>
      </c>
      <c r="BG2805" s="107" t="str">
        <f t="shared" si="2167"/>
        <v>P</v>
      </c>
      <c r="BH2805" s="254"/>
      <c r="BI2805" s="254"/>
    </row>
    <row r="2806" spans="1:61" customFormat="1" ht="15.75" x14ac:dyDescent="0.25">
      <c r="A2806" s="485">
        <v>3</v>
      </c>
      <c r="B2806" s="486" t="s">
        <v>291</v>
      </c>
      <c r="C2806" s="487" t="s">
        <v>14</v>
      </c>
      <c r="D2806" s="488" t="s">
        <v>312</v>
      </c>
      <c r="E2806" s="489">
        <v>40.950000000000003</v>
      </c>
      <c r="F2806" s="516" t="s">
        <v>293</v>
      </c>
      <c r="G2806" s="232">
        <v>0</v>
      </c>
      <c r="H2806" s="658" t="str">
        <f>IF(G2806=0,"",IF(F2806="Buy",IF(G2806=1,"plant","plants"),IF(F2806&gt;0.01,"warranty","Error")))</f>
        <v/>
      </c>
      <c r="I2806" s="490">
        <f>IF(H2806="free",0,IF(H2806="credit",((E2806*(F2806))*G2806*-1),IF(F2806="Buy",(E2806*G2806),((E2806*(1-F2806))*G2806))))</f>
        <v>0</v>
      </c>
      <c r="J2806" s="490">
        <f>IF(H2806="warranty",0,(I2806*(_xlfn.SINGLE(SalesTaxPercentage))))</f>
        <v>0</v>
      </c>
      <c r="K2806" s="695">
        <f t="shared" ref="K2806" si="2189">I2806+J2806</f>
        <v>0</v>
      </c>
      <c r="L2806" s="695"/>
      <c r="M2806" s="659" t="str">
        <f>IF(AND(G2806&gt;0,E2806=0),"WARNING - no PRICE inserted",IF(H2806="free"," FREE ~ no charge this plant",IF(H2806="credit",CONCATENATE(" -$",ROUND(K2806*(1-T2GDiscount)*-1,2)," CREDIT after discount"),IF(T2GDiscount=0,"",IF(G2806=0,"",IF(F2806="Buy",CONCATENATE(" $",ROUND(K2806*(1-T2GDiscount),2)," with ",(T2GDiscount*100),"% discount"),CONCATENATE(" $",ROUND(K2806*(1-T2GDiscount),2)," with ",((T2GDiscount*100+F2806*100)-(T2GDiscount*100*F2806)),IF(F2806&gt;0,"% discounts",IF(NoWarrantyDiscount&gt;0,"% discounts","% discount")))))))))</f>
        <v/>
      </c>
      <c r="N2806" s="660"/>
      <c r="O2806" s="233"/>
      <c r="P2806" s="233"/>
      <c r="Q2806" s="233"/>
      <c r="R2806" s="233"/>
      <c r="S2806" s="233"/>
      <c r="T2806" s="508">
        <f t="shared" si="2155"/>
        <v>0</v>
      </c>
      <c r="U2806" s="225">
        <f>IF(NOT(ISNUMBER(G2806)), "", VLOOKUP(A2806,'Discount Lookup'!D:E,2,FALSE)*G2806)</f>
        <v>0</v>
      </c>
      <c r="V2806" s="225">
        <f>IF(NOT(ISNUMBER(G2806)), "", VLOOKUP(A2806,'Discount Lookup'!G:H,2,FALSE)*G2806)</f>
        <v>0</v>
      </c>
      <c r="W2806" s="508">
        <f t="shared" si="2156"/>
        <v>0</v>
      </c>
      <c r="X2806" s="508">
        <f t="shared" si="2157"/>
        <v>0</v>
      </c>
      <c r="Y2806" s="509" t="b">
        <f t="shared" si="2158"/>
        <v>0</v>
      </c>
      <c r="Z2806" s="510">
        <f t="shared" si="2159"/>
        <v>0</v>
      </c>
      <c r="AA2806" s="511"/>
      <c r="AB2806" s="511" t="str">
        <f t="shared" si="2160"/>
        <v/>
      </c>
      <c r="AC2806" s="698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698"/>
      <c r="AE2806" s="631" t="str">
        <f t="shared" si="2161"/>
        <v/>
      </c>
      <c r="AF2806" s="699" t="str">
        <f t="shared" si="2162"/>
        <v/>
      </c>
      <c r="AG2806" s="699"/>
      <c r="AH2806" s="699"/>
      <c r="AI2806" s="512">
        <f>IF(H2806="credit",0,IF(AE2806="free",0,IF(AE2806="me",0,IF(G2806&gt;0,(VLOOKUP(A2806,'Discount Lookup'!J:K,2)*G2806),0))))</f>
        <v>0</v>
      </c>
      <c r="AJ2806" s="513" t="str">
        <f t="shared" ca="1" si="2163"/>
        <v/>
      </c>
      <c r="AK2806" s="700" t="str">
        <f t="shared" si="2164"/>
        <v/>
      </c>
      <c r="AL2806" s="700"/>
      <c r="AM2806" s="505" t="str">
        <f t="shared" si="2165"/>
        <v/>
      </c>
      <c r="AN2806" s="506"/>
      <c r="AO2806" s="507"/>
      <c r="AP2806" s="507"/>
      <c r="AQ2806" s="507"/>
      <c r="AR2806" s="507"/>
      <c r="AS2806" s="507"/>
      <c r="AT2806" s="507"/>
      <c r="AU2806" s="507"/>
      <c r="AV2806" s="225"/>
      <c r="AW2806" s="508"/>
      <c r="AX2806" s="225"/>
      <c r="AY2806" s="225"/>
      <c r="AZ2806" s="225"/>
      <c r="BA2806" s="225"/>
      <c r="BB2806" s="225"/>
      <c r="BC2806" s="56"/>
      <c r="BD2806" s="56"/>
      <c r="BE2806" s="56"/>
      <c r="BF2806" s="107" t="str">
        <f t="shared" si="2166"/>
        <v>https://www.google.com/search?tbm=isch&amp;q=3%20G2</v>
      </c>
      <c r="BG2806" s="107" t="str">
        <f t="shared" si="2167"/>
        <v>P</v>
      </c>
      <c r="BH2806" s="254"/>
      <c r="BI2806" s="254"/>
    </row>
    <row r="2807" spans="1:61" customFormat="1" ht="17.25" thickBot="1" x14ac:dyDescent="0.3">
      <c r="A2807" s="522" t="s">
        <v>2615</v>
      </c>
      <c r="B2807" s="491"/>
      <c r="C2807" s="675"/>
      <c r="D2807" s="491"/>
      <c r="E2807" s="491"/>
      <c r="F2807" s="492"/>
      <c r="G2807" s="493"/>
      <c r="H2807" s="491"/>
      <c r="I2807" s="234"/>
      <c r="J2807" s="234"/>
      <c r="K2807" s="494"/>
      <c r="L2807" s="543"/>
      <c r="M2807" s="561"/>
      <c r="N2807" s="495"/>
      <c r="O2807" s="496"/>
      <c r="P2807" s="497"/>
      <c r="Q2807" s="495"/>
      <c r="R2807" s="495"/>
      <c r="S2807" s="667" t="s">
        <v>4988</v>
      </c>
      <c r="T2807" s="508">
        <f t="shared" si="2155"/>
        <v>0</v>
      </c>
      <c r="U2807" s="225" t="str">
        <f>IF(NOT(ISNUMBER(G2807)), "", VLOOKUP(A2807,'Discount Lookup'!D:E,2,FALSE)*G2807)</f>
        <v/>
      </c>
      <c r="V2807" s="225" t="str">
        <f>IF(NOT(ISNUMBER(G2807)), "", VLOOKUP(A2807,'Discount Lookup'!G:H,2,FALSE)*G2807)</f>
        <v/>
      </c>
      <c r="W2807" s="508">
        <f t="shared" si="2156"/>
        <v>0</v>
      </c>
      <c r="X2807" s="508">
        <f t="shared" si="2157"/>
        <v>0</v>
      </c>
      <c r="Y2807" s="509" t="b">
        <f t="shared" si="2158"/>
        <v>0</v>
      </c>
      <c r="Z2807" s="510">
        <f t="shared" si="2159"/>
        <v>0</v>
      </c>
      <c r="AA2807" s="511"/>
      <c r="AB2807" s="511" t="str">
        <f t="shared" si="2160"/>
        <v/>
      </c>
      <c r="AC2807" s="698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698"/>
      <c r="AE2807" s="631" t="str">
        <f t="shared" si="2161"/>
        <v/>
      </c>
      <c r="AF2807" s="699" t="str">
        <f t="shared" si="2162"/>
        <v/>
      </c>
      <c r="AG2807" s="699"/>
      <c r="AH2807" s="699"/>
      <c r="AI2807" s="512">
        <f>IF(H2807="credit",0,IF(AE2807="free",0,IF(AE2807="me",0,IF(G2807&gt;0,(VLOOKUP(A2807,'Discount Lookup'!J:K,2)*G2807),0))))</f>
        <v>0</v>
      </c>
      <c r="AJ2807" s="513" t="str">
        <f t="shared" ca="1" si="2163"/>
        <v/>
      </c>
      <c r="AK2807" s="700" t="str">
        <f t="shared" si="2164"/>
        <v/>
      </c>
      <c r="AL2807" s="700"/>
      <c r="AM2807" s="505" t="str">
        <f t="shared" si="2165"/>
        <v/>
      </c>
      <c r="AN2807" s="506"/>
      <c r="AO2807" s="507"/>
      <c r="AP2807" s="507"/>
      <c r="AQ2807" s="507"/>
      <c r="AR2807" s="507"/>
      <c r="AS2807" s="507"/>
      <c r="AT2807" s="507"/>
      <c r="AU2807" s="507"/>
      <c r="AV2807" s="225"/>
      <c r="AW2807" s="508"/>
      <c r="AX2807" s="225"/>
      <c r="AY2807" s="225"/>
      <c r="AZ2807" s="225"/>
      <c r="BA2807" s="225"/>
      <c r="BB2807" s="225"/>
      <c r="BC2807" s="56"/>
      <c r="BD2807" s="56"/>
      <c r="BE2807" s="56"/>
      <c r="BF2807" s="107" t="str">
        <f t="shared" si="2166"/>
        <v>https://www.google.com/search?tbm=isch&amp;q=Perfecto%20Mundo%20Epic%20Pink%20will%20re-bloom%20reliably%20from%20spring%20until%20frost.%20Very%20cold-hardy%20and%20heat-tolerant%20</v>
      </c>
      <c r="BG2807" s="107" t="str">
        <f t="shared" si="2167"/>
        <v>P</v>
      </c>
      <c r="BH2807" s="254"/>
      <c r="BI2807" s="254"/>
    </row>
    <row r="2808" spans="1:61" customFormat="1" ht="18" x14ac:dyDescent="0.25">
      <c r="A2808" s="523" t="s">
        <v>5486</v>
      </c>
      <c r="B2808" s="235"/>
      <c r="C2808" s="676"/>
      <c r="D2808" s="255" t="s">
        <v>1499</v>
      </c>
      <c r="E2808" s="236"/>
      <c r="F2808" s="236"/>
      <c r="G2808" s="236"/>
      <c r="H2808" s="582" t="s">
        <v>1164</v>
      </c>
      <c r="I2808" s="498" t="s">
        <v>4231</v>
      </c>
      <c r="J2808" s="237"/>
      <c r="K2808" s="237"/>
      <c r="L2808" s="274"/>
      <c r="M2808" s="668" t="s">
        <v>4962</v>
      </c>
      <c r="N2808" s="681" t="str">
        <f>IF(AND(ISTEXT($A2808), ISERROR($A2808+0)), HYPERLINK($BF2808, "Images"), "")</f>
        <v>Images</v>
      </c>
      <c r="O2808" s="663" t="s">
        <v>4969</v>
      </c>
      <c r="P2808" s="253"/>
      <c r="Q2808" s="238"/>
      <c r="R2808" s="239"/>
      <c r="S2808" s="275"/>
      <c r="T2808" s="508">
        <f t="shared" si="2155"/>
        <v>0</v>
      </c>
      <c r="U2808" s="225" t="str">
        <f>IF(NOT(ISNUMBER(G2808)), "", VLOOKUP(A2808,'Discount Lookup'!D:E,2,FALSE)*G2808)</f>
        <v/>
      </c>
      <c r="V2808" s="225" t="str">
        <f>IF(NOT(ISNUMBER(G2808)), "", VLOOKUP(A2808,'Discount Lookup'!G:H,2,FALSE)*G2808)</f>
        <v/>
      </c>
      <c r="W2808" s="508">
        <f t="shared" si="2156"/>
        <v>0</v>
      </c>
      <c r="X2808" s="508" t="str">
        <f t="shared" si="2157"/>
        <v>Ruby-Red rays, Golden eye</v>
      </c>
      <c r="Y2808" s="509" t="b">
        <f t="shared" si="2158"/>
        <v>0</v>
      </c>
      <c r="Z2808" s="510">
        <f t="shared" si="2159"/>
        <v>0</v>
      </c>
      <c r="AA2808" s="511"/>
      <c r="AB2808" s="511" t="str">
        <f t="shared" si="2160"/>
        <v/>
      </c>
      <c r="AC2808" s="698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698"/>
      <c r="AE2808" s="631" t="str">
        <f t="shared" si="2161"/>
        <v/>
      </c>
      <c r="AF2808" s="699" t="str">
        <f t="shared" si="2162"/>
        <v/>
      </c>
      <c r="AG2808" s="699"/>
      <c r="AH2808" s="699"/>
      <c r="AI2808" s="512">
        <f>IF(H2808="credit",0,IF(AE2808="free",0,IF(AE2808="me",0,IF(G2808&gt;0,(VLOOKUP(A2808,'Discount Lookup'!J:K,2)*G2808),0))))</f>
        <v>0</v>
      </c>
      <c r="AJ2808" s="513" t="str">
        <f t="shared" ca="1" si="2163"/>
        <v/>
      </c>
      <c r="AK2808" s="700" t="str">
        <f t="shared" si="2164"/>
        <v/>
      </c>
      <c r="AL2808" s="700"/>
      <c r="AM2808" s="505" t="str">
        <f t="shared" si="2165"/>
        <v/>
      </c>
      <c r="AN2808" s="506"/>
      <c r="AO2808" s="507"/>
      <c r="AP2808" s="507"/>
      <c r="AQ2808" s="507"/>
      <c r="AR2808" s="507"/>
      <c r="AS2808" s="507"/>
      <c r="AT2808" s="507"/>
      <c r="AU2808" s="507"/>
      <c r="AV2808" s="225"/>
      <c r="AW2808" s="508"/>
      <c r="AX2808" s="225"/>
      <c r="AY2808" s="225"/>
      <c r="AZ2808" s="225"/>
      <c r="BA2808" s="225"/>
      <c r="BB2808" s="225"/>
      <c r="BC2808" s="56"/>
      <c r="BD2808" s="56"/>
      <c r="BE2808" s="56"/>
      <c r="BF2808" s="107" t="str">
        <f t="shared" si="2166"/>
        <v>https://www.google.com/search?tbm=isch&amp;q=PermaThread%E2%84%A2%20Red%20Satin%20Tickseed%20Coreopsis%20%27Red%20Satin%27%20PP%2325736</v>
      </c>
      <c r="BG2808" s="107" t="str">
        <f t="shared" si="2167"/>
        <v>P</v>
      </c>
      <c r="BH2808" s="254"/>
      <c r="BI2808" s="254"/>
    </row>
    <row r="2809" spans="1:61" customFormat="1" ht="15.75" x14ac:dyDescent="0.25">
      <c r="A2809" s="276">
        <v>1</v>
      </c>
      <c r="B2809" s="240" t="s">
        <v>291</v>
      </c>
      <c r="C2809" s="241"/>
      <c r="D2809" s="242" t="s">
        <v>312</v>
      </c>
      <c r="E2809" s="243">
        <v>10.95</v>
      </c>
      <c r="F2809" s="517" t="s">
        <v>293</v>
      </c>
      <c r="G2809" s="232">
        <v>0</v>
      </c>
      <c r="H2809" s="661" t="str">
        <f>IF(G2809=0,"",IF(F2809="Buy",IF(G2809=1,"plant","plants"),IF(F2809&gt;0.01,"warranty","Error")))</f>
        <v/>
      </c>
      <c r="I2809" s="244">
        <f>IF(H2809="free",0,IF(H2809="credit",((E2809*(F2809))*G2809*-1),IF(F2809="Buy",(E2809*G2809),((E2809*(1-F2809))*G2809))))</f>
        <v>0</v>
      </c>
      <c r="J2809" s="244">
        <f>IF(H2809="warranty",0,(I2809*(_xlfn.SINGLE(SalesTaxPercentage))))</f>
        <v>0</v>
      </c>
      <c r="K2809" s="696">
        <f t="shared" ref="K2809" si="2190">I2809+J2809</f>
        <v>0</v>
      </c>
      <c r="L2809" s="696"/>
      <c r="M2809" s="659" t="str">
        <f>IF(AND(G2809&gt;0,E2809=0),"WARNING - no PRICE inserted",IF(H2809="free"," FREE ~ no charge this plant",IF(H2809="credit",CONCATENATE(" -$",ROUND(K2809*(1-T2GDiscount)*-1,2)," CREDIT after discount"),IF(T2GDiscount=0,"",IF(G2809=0,"",IF(F2809="Buy",CONCATENATE(" $",ROUND(K2809*(1-T2GDiscount),2)," with ",(T2GDiscount*100),"% discount"),CONCATENATE(" $",ROUND(K2809*(1-T2GDiscount),2)," with ",((T2GDiscount*100+F2809*100)-(T2GDiscount*100*F2809)),IF(F2809&gt;0,"% discounts",IF(NoWarrantyDiscount&gt;0,"% discounts","% discount")))))))))</f>
        <v/>
      </c>
      <c r="N2809" s="660"/>
      <c r="O2809" s="233"/>
      <c r="P2809" s="233"/>
      <c r="Q2809" s="233"/>
      <c r="R2809" s="233"/>
      <c r="S2809" s="233"/>
      <c r="T2809" s="508">
        <f t="shared" si="2155"/>
        <v>0</v>
      </c>
      <c r="U2809" s="225">
        <f>IF(NOT(ISNUMBER(G2809)), "", VLOOKUP(A2809,'Discount Lookup'!D:E,2,FALSE)*G2809)</f>
        <v>0</v>
      </c>
      <c r="V2809" s="225">
        <f>IF(NOT(ISNUMBER(G2809)), "", VLOOKUP(A2809,'Discount Lookup'!G:H,2,FALSE)*G2809)</f>
        <v>0</v>
      </c>
      <c r="W2809" s="508">
        <f t="shared" si="2156"/>
        <v>0</v>
      </c>
      <c r="X2809" s="508">
        <f t="shared" si="2157"/>
        <v>0</v>
      </c>
      <c r="Y2809" s="509" t="b">
        <f t="shared" si="2158"/>
        <v>0</v>
      </c>
      <c r="Z2809" s="510">
        <f t="shared" si="2159"/>
        <v>0</v>
      </c>
      <c r="AA2809" s="511"/>
      <c r="AB2809" s="511" t="str">
        <f t="shared" si="2160"/>
        <v/>
      </c>
      <c r="AC2809" s="698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698"/>
      <c r="AE2809" s="631" t="str">
        <f t="shared" si="2161"/>
        <v/>
      </c>
      <c r="AF2809" s="699" t="str">
        <f t="shared" si="2162"/>
        <v/>
      </c>
      <c r="AG2809" s="699"/>
      <c r="AH2809" s="699"/>
      <c r="AI2809" s="512">
        <f>IF(H2809="credit",0,IF(AE2809="free",0,IF(AE2809="me",0,IF(G2809&gt;0,(VLOOKUP(A2809,'Discount Lookup'!J:K,2)*G2809),0))))</f>
        <v>0</v>
      </c>
      <c r="AJ2809" s="513" t="str">
        <f t="shared" ca="1" si="2163"/>
        <v/>
      </c>
      <c r="AK2809" s="700" t="str">
        <f t="shared" si="2164"/>
        <v/>
      </c>
      <c r="AL2809" s="700"/>
      <c r="AM2809" s="505" t="str">
        <f t="shared" si="2165"/>
        <v/>
      </c>
      <c r="AN2809" s="506"/>
      <c r="AO2809" s="507"/>
      <c r="AP2809" s="507"/>
      <c r="AQ2809" s="507"/>
      <c r="AR2809" s="507"/>
      <c r="AS2809" s="507"/>
      <c r="AT2809" s="507"/>
      <c r="AU2809" s="507"/>
      <c r="AV2809" s="225"/>
      <c r="AW2809" s="508"/>
      <c r="AX2809" s="225"/>
      <c r="AY2809" s="225"/>
      <c r="AZ2809" s="225"/>
      <c r="BA2809" s="225"/>
      <c r="BB2809" s="225"/>
      <c r="BC2809" s="56"/>
      <c r="BD2809" s="56"/>
      <c r="BE2809" s="56"/>
      <c r="BF2809" s="107" t="str">
        <f t="shared" si="2166"/>
        <v>https://www.google.com/search?tbm=isch&amp;q=1%20G2</v>
      </c>
      <c r="BG2809" s="107" t="str">
        <f t="shared" si="2167"/>
        <v>P</v>
      </c>
      <c r="BH2809" s="254"/>
      <c r="BI2809" s="254"/>
    </row>
    <row r="2810" spans="1:61" customFormat="1" ht="17.25" thickBot="1" x14ac:dyDescent="0.3">
      <c r="A2810" s="524" t="s">
        <v>4232</v>
      </c>
      <c r="B2810" s="245"/>
      <c r="C2810" s="677"/>
      <c r="D2810" s="499"/>
      <c r="E2810" s="499"/>
      <c r="F2810" s="500"/>
      <c r="G2810" s="501"/>
      <c r="H2810" s="502"/>
      <c r="I2810" s="246"/>
      <c r="J2810" s="247"/>
      <c r="K2810" s="503"/>
      <c r="L2810" s="544"/>
      <c r="M2810" s="544"/>
      <c r="N2810" s="500"/>
      <c r="O2810" s="500"/>
      <c r="P2810" s="500"/>
      <c r="Q2810" s="500"/>
      <c r="R2810" s="500"/>
      <c r="S2810" s="669" t="s">
        <v>4980</v>
      </c>
      <c r="T2810" s="508">
        <f t="shared" si="2155"/>
        <v>0</v>
      </c>
      <c r="U2810" s="225" t="str">
        <f>IF(NOT(ISNUMBER(G2810)), "", VLOOKUP(A2810,'Discount Lookup'!D:E,2,FALSE)*G2810)</f>
        <v/>
      </c>
      <c r="V2810" s="225" t="str">
        <f>IF(NOT(ISNUMBER(G2810)), "", VLOOKUP(A2810,'Discount Lookup'!G:H,2,FALSE)*G2810)</f>
        <v/>
      </c>
      <c r="W2810" s="508">
        <f t="shared" si="2156"/>
        <v>0</v>
      </c>
      <c r="X2810" s="508">
        <f t="shared" si="2157"/>
        <v>0</v>
      </c>
      <c r="Y2810" s="509" t="b">
        <f t="shared" si="2158"/>
        <v>0</v>
      </c>
      <c r="Z2810" s="510">
        <f t="shared" si="2159"/>
        <v>0</v>
      </c>
      <c r="AA2810" s="511"/>
      <c r="AB2810" s="511" t="str">
        <f t="shared" si="2160"/>
        <v/>
      </c>
      <c r="AC2810" s="698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698"/>
      <c r="AE2810" s="631" t="str">
        <f t="shared" si="2161"/>
        <v/>
      </c>
      <c r="AF2810" s="699" t="str">
        <f t="shared" si="2162"/>
        <v/>
      </c>
      <c r="AG2810" s="699"/>
      <c r="AH2810" s="699"/>
      <c r="AI2810" s="512">
        <f>IF(H2810="credit",0,IF(AE2810="free",0,IF(AE2810="me",0,IF(G2810&gt;0,(VLOOKUP(A2810,'Discount Lookup'!J:K,2)*G2810),0))))</f>
        <v>0</v>
      </c>
      <c r="AJ2810" s="513" t="str">
        <f t="shared" ca="1" si="2163"/>
        <v/>
      </c>
      <c r="AK2810" s="700" t="str">
        <f t="shared" si="2164"/>
        <v/>
      </c>
      <c r="AL2810" s="700"/>
      <c r="AM2810" s="505" t="str">
        <f t="shared" si="2165"/>
        <v/>
      </c>
      <c r="AN2810" s="506"/>
      <c r="AO2810" s="507"/>
      <c r="AP2810" s="507"/>
      <c r="AQ2810" s="507"/>
      <c r="AR2810" s="507"/>
      <c r="AS2810" s="507"/>
      <c r="AT2810" s="507"/>
      <c r="AU2810" s="507"/>
      <c r="AV2810" s="225"/>
      <c r="AW2810" s="508"/>
      <c r="AX2810" s="225"/>
      <c r="AY2810" s="225"/>
      <c r="AZ2810" s="225"/>
      <c r="BA2810" s="225"/>
      <c r="BB2810" s="225"/>
      <c r="BC2810" s="56"/>
      <c r="BD2810" s="56"/>
      <c r="BE2810" s="56"/>
      <c r="BF2810" s="107" t="str">
        <f t="shared" si="2166"/>
        <v>https://www.google.com/search?tbm=isch&amp;q=Red%20Satin%20known%20for%20its%20vivid%2C%20daisy-like%20flowers%20that%20are%20produced%20continuously%20from%20early%20summer%20through%20fall%20</v>
      </c>
      <c r="BG2810" s="107" t="str">
        <f t="shared" si="2167"/>
        <v>R</v>
      </c>
      <c r="BH2810" s="254"/>
      <c r="BI2810" s="254"/>
    </row>
    <row r="2811" spans="1:61" customFormat="1" ht="18" x14ac:dyDescent="0.25">
      <c r="A2811" s="523" t="s">
        <v>1500</v>
      </c>
      <c r="B2811" s="235"/>
      <c r="C2811" s="676"/>
      <c r="D2811" s="255" t="s">
        <v>1501</v>
      </c>
      <c r="E2811" s="236"/>
      <c r="F2811" s="236"/>
      <c r="G2811" s="236"/>
      <c r="H2811" s="582" t="s">
        <v>2230</v>
      </c>
      <c r="I2811" s="498" t="s">
        <v>2231</v>
      </c>
      <c r="J2811" s="237"/>
      <c r="K2811" s="237"/>
      <c r="L2811" s="274"/>
      <c r="M2811" s="668" t="s">
        <v>4975</v>
      </c>
      <c r="N2811" s="681" t="str">
        <f>IF(AND(ISTEXT($A2811), ISERROR($A2811+0)), HYPERLINK($BF2811, "Images"), "")</f>
        <v>Images</v>
      </c>
      <c r="O2811" s="663" t="s">
        <v>4969</v>
      </c>
      <c r="P2811" s="253"/>
      <c r="Q2811" s="238"/>
      <c r="R2811" s="239"/>
      <c r="S2811" s="275"/>
      <c r="T2811" s="508">
        <f t="shared" si="2155"/>
        <v>0</v>
      </c>
      <c r="U2811" s="225" t="str">
        <f>IF(NOT(ISNUMBER(G2811)), "", VLOOKUP(A2811,'Discount Lookup'!D:E,2,FALSE)*G2811)</f>
        <v/>
      </c>
      <c r="V2811" s="225" t="str">
        <f>IF(NOT(ISNUMBER(G2811)), "", VLOOKUP(A2811,'Discount Lookup'!G:H,2,FALSE)*G2811)</f>
        <v/>
      </c>
      <c r="W2811" s="508">
        <f t="shared" si="2156"/>
        <v>0</v>
      </c>
      <c r="X2811" s="508" t="str">
        <f t="shared" si="2157"/>
        <v>Crimson-Red bloom</v>
      </c>
      <c r="Y2811" s="509" t="b">
        <f t="shared" si="2158"/>
        <v>0</v>
      </c>
      <c r="Z2811" s="510">
        <f t="shared" si="2159"/>
        <v>0</v>
      </c>
      <c r="AA2811" s="511"/>
      <c r="AB2811" s="511" t="str">
        <f t="shared" si="2160"/>
        <v/>
      </c>
      <c r="AC2811" s="698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698"/>
      <c r="AE2811" s="631" t="str">
        <f t="shared" si="2161"/>
        <v/>
      </c>
      <c r="AF2811" s="699" t="str">
        <f t="shared" si="2162"/>
        <v/>
      </c>
      <c r="AG2811" s="699"/>
      <c r="AH2811" s="699"/>
      <c r="AI2811" s="512">
        <f>IF(H2811="credit",0,IF(AE2811="free",0,IF(AE2811="me",0,IF(G2811&gt;0,(VLOOKUP(A2811,'Discount Lookup'!J:K,2)*G2811),0))))</f>
        <v>0</v>
      </c>
      <c r="AJ2811" s="513" t="str">
        <f t="shared" ca="1" si="2163"/>
        <v/>
      </c>
      <c r="AK2811" s="700" t="str">
        <f t="shared" si="2164"/>
        <v/>
      </c>
      <c r="AL2811" s="700"/>
      <c r="AM2811" s="505" t="str">
        <f t="shared" si="2165"/>
        <v/>
      </c>
      <c r="AN2811" s="506"/>
      <c r="AO2811" s="507"/>
      <c r="AP2811" s="507"/>
      <c r="AQ2811" s="507"/>
      <c r="AR2811" s="507"/>
      <c r="AS2811" s="507"/>
      <c r="AT2811" s="507"/>
      <c r="AU2811" s="507"/>
      <c r="AV2811" s="225"/>
      <c r="AW2811" s="508"/>
      <c r="AX2811" s="225"/>
      <c r="AY2811" s="225"/>
      <c r="AZ2811" s="225"/>
      <c r="BA2811" s="225"/>
      <c r="BB2811" s="225"/>
      <c r="BC2811" s="56"/>
      <c r="BD2811" s="56"/>
      <c r="BE2811" s="56"/>
      <c r="BF2811" s="107" t="str">
        <f t="shared" si="2166"/>
        <v>https://www.google.com/search?tbm=isch&amp;q=Persian%20Parrotia%20Parrotia%20persica</v>
      </c>
      <c r="BG2811" s="107" t="str">
        <f t="shared" si="2167"/>
        <v>P</v>
      </c>
      <c r="BH2811" s="254"/>
      <c r="BI2811" s="254"/>
    </row>
    <row r="2812" spans="1:61" customFormat="1" ht="15.75" x14ac:dyDescent="0.25">
      <c r="A2812" s="276">
        <v>7</v>
      </c>
      <c r="B2812" s="240" t="s">
        <v>291</v>
      </c>
      <c r="C2812" s="241" t="s">
        <v>3691</v>
      </c>
      <c r="D2812" s="242" t="s">
        <v>292</v>
      </c>
      <c r="E2812" s="243">
        <v>125.95</v>
      </c>
      <c r="F2812" s="517" t="s">
        <v>293</v>
      </c>
      <c r="G2812" s="232">
        <v>0</v>
      </c>
      <c r="H2812" s="661" t="str">
        <f>IF(G2812=0,"",IF(F2812="Buy",IF(G2812=1,"plant","plants"),IF(F2812&gt;0.01,"warranty","Error")))</f>
        <v/>
      </c>
      <c r="I2812" s="244">
        <f>IF(H2812="free",0,IF(H2812="credit",((E2812*(F2812))*G2812*-1),IF(F2812="Buy",(E2812*G2812),((E2812*(1-F2812))*G2812))))</f>
        <v>0</v>
      </c>
      <c r="J2812" s="244">
        <f>IF(H2812="warranty",0,(I2812*(_xlfn.SINGLE(SalesTaxPercentage))))</f>
        <v>0</v>
      </c>
      <c r="K2812" s="696">
        <f t="shared" ref="K2812" si="2191">I2812+J2812</f>
        <v>0</v>
      </c>
      <c r="L2812" s="696"/>
      <c r="M2812" s="659" t="str">
        <f>IF(AND(G2812&gt;0,E2812=0),"WARNING - no PRICE inserted",IF(H2812="free"," FREE ~ no charge this plant",IF(H2812="credit",CONCATENATE(" -$",ROUND(K2812*(1-T2GDiscount)*-1,2)," CREDIT after discount"),IF(T2GDiscount=0,"",IF(G2812=0,"",IF(F2812="Buy",CONCATENATE(" $",ROUND(K2812*(1-T2GDiscount),2)," with ",(T2GDiscount*100),"% discount"),CONCATENATE(" $",ROUND(K2812*(1-T2GDiscount),2)," with ",((T2GDiscount*100+F2812*100)-(T2GDiscount*100*F2812)),IF(F2812&gt;0,"% discounts",IF(NoWarrantyDiscount&gt;0,"% discounts","% discount")))))))))</f>
        <v/>
      </c>
      <c r="N2812" s="660"/>
      <c r="O2812" s="233"/>
      <c r="P2812" s="233"/>
      <c r="Q2812" s="233"/>
      <c r="R2812" s="233"/>
      <c r="S2812" s="233"/>
      <c r="T2812" s="508">
        <f t="shared" si="2155"/>
        <v>0</v>
      </c>
      <c r="U2812" s="225">
        <f>IF(NOT(ISNUMBER(G2812)), "", VLOOKUP(A2812,'Discount Lookup'!D:E,2,FALSE)*G2812)</f>
        <v>0</v>
      </c>
      <c r="V2812" s="225">
        <f>IF(NOT(ISNUMBER(G2812)), "", VLOOKUP(A2812,'Discount Lookup'!G:H,2,FALSE)*G2812)</f>
        <v>0</v>
      </c>
      <c r="W2812" s="508">
        <f t="shared" si="2156"/>
        <v>0</v>
      </c>
      <c r="X2812" s="508">
        <f t="shared" si="2157"/>
        <v>0</v>
      </c>
      <c r="Y2812" s="509" t="b">
        <f t="shared" si="2158"/>
        <v>0</v>
      </c>
      <c r="Z2812" s="510">
        <f t="shared" si="2159"/>
        <v>0</v>
      </c>
      <c r="AA2812" s="511"/>
      <c r="AB2812" s="511" t="str">
        <f t="shared" si="2160"/>
        <v/>
      </c>
      <c r="AC2812" s="698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698"/>
      <c r="AE2812" s="631" t="str">
        <f t="shared" si="2161"/>
        <v/>
      </c>
      <c r="AF2812" s="699" t="str">
        <f t="shared" si="2162"/>
        <v/>
      </c>
      <c r="AG2812" s="699"/>
      <c r="AH2812" s="699"/>
      <c r="AI2812" s="512">
        <f>IF(H2812="credit",0,IF(AE2812="free",0,IF(AE2812="me",0,IF(G2812&gt;0,(VLOOKUP(A2812,'Discount Lookup'!J:K,2)*G2812),0))))</f>
        <v>0</v>
      </c>
      <c r="AJ2812" s="513" t="str">
        <f t="shared" ca="1" si="2163"/>
        <v/>
      </c>
      <c r="AK2812" s="700" t="str">
        <f t="shared" si="2164"/>
        <v/>
      </c>
      <c r="AL2812" s="700"/>
      <c r="AM2812" s="505" t="str">
        <f t="shared" si="2165"/>
        <v/>
      </c>
      <c r="AN2812" s="506"/>
      <c r="AO2812" s="507"/>
      <c r="AP2812" s="507"/>
      <c r="AQ2812" s="507"/>
      <c r="AR2812" s="507"/>
      <c r="AS2812" s="507"/>
      <c r="AT2812" s="507"/>
      <c r="AU2812" s="507"/>
      <c r="AV2812" s="225"/>
      <c r="AW2812" s="508"/>
      <c r="AX2812" s="225"/>
      <c r="AY2812" s="225"/>
      <c r="AZ2812" s="225"/>
      <c r="BA2812" s="225"/>
      <c r="BB2812" s="225"/>
      <c r="BC2812" s="56"/>
      <c r="BD2812" s="56"/>
      <c r="BE2812" s="56"/>
      <c r="BF2812" s="107" t="str">
        <f t="shared" si="2166"/>
        <v>https://www.google.com/search?tbm=isch&amp;q=7%20G4</v>
      </c>
      <c r="BG2812" s="107" t="str">
        <f t="shared" si="2167"/>
        <v>P</v>
      </c>
      <c r="BH2812" s="254"/>
      <c r="BI2812" s="254"/>
    </row>
    <row r="2813" spans="1:61" customFormat="1" ht="17.25" thickBot="1" x14ac:dyDescent="0.3">
      <c r="A2813" s="524" t="s">
        <v>2451</v>
      </c>
      <c r="B2813" s="245"/>
      <c r="C2813" s="677"/>
      <c r="D2813" s="499"/>
      <c r="E2813" s="499"/>
      <c r="F2813" s="500"/>
      <c r="G2813" s="501"/>
      <c r="H2813" s="502"/>
      <c r="I2813" s="246"/>
      <c r="J2813" s="247"/>
      <c r="K2813" s="503"/>
      <c r="L2813" s="544"/>
      <c r="M2813" s="544"/>
      <c r="N2813" s="500"/>
      <c r="O2813" s="500"/>
      <c r="P2813" s="500"/>
      <c r="Q2813" s="500"/>
      <c r="R2813" s="500"/>
      <c r="S2813" s="278"/>
      <c r="T2813" s="508">
        <f t="shared" si="2155"/>
        <v>0</v>
      </c>
      <c r="U2813" s="225" t="str">
        <f>IF(NOT(ISNUMBER(G2813)), "", VLOOKUP(A2813,'Discount Lookup'!D:E,2,FALSE)*G2813)</f>
        <v/>
      </c>
      <c r="V2813" s="225" t="str">
        <f>IF(NOT(ISNUMBER(G2813)), "", VLOOKUP(A2813,'Discount Lookup'!G:H,2,FALSE)*G2813)</f>
        <v/>
      </c>
      <c r="W2813" s="508">
        <f t="shared" si="2156"/>
        <v>0</v>
      </c>
      <c r="X2813" s="508">
        <f t="shared" si="2157"/>
        <v>0</v>
      </c>
      <c r="Y2813" s="509" t="b">
        <f t="shared" si="2158"/>
        <v>0</v>
      </c>
      <c r="Z2813" s="510">
        <f t="shared" si="2159"/>
        <v>0</v>
      </c>
      <c r="AA2813" s="511"/>
      <c r="AB2813" s="511" t="str">
        <f t="shared" si="2160"/>
        <v/>
      </c>
      <c r="AC2813" s="698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698"/>
      <c r="AE2813" s="631" t="str">
        <f t="shared" si="2161"/>
        <v/>
      </c>
      <c r="AF2813" s="699" t="str">
        <f t="shared" si="2162"/>
        <v/>
      </c>
      <c r="AG2813" s="699"/>
      <c r="AH2813" s="699"/>
      <c r="AI2813" s="512">
        <f>IF(H2813="credit",0,IF(AE2813="free",0,IF(AE2813="me",0,IF(G2813&gt;0,(VLOOKUP(A2813,'Discount Lookup'!J:K,2)*G2813),0))))</f>
        <v>0</v>
      </c>
      <c r="AJ2813" s="513" t="str">
        <f t="shared" ca="1" si="2163"/>
        <v/>
      </c>
      <c r="AK2813" s="700" t="str">
        <f t="shared" si="2164"/>
        <v/>
      </c>
      <c r="AL2813" s="700"/>
      <c r="AM2813" s="505" t="str">
        <f t="shared" si="2165"/>
        <v/>
      </c>
      <c r="AN2813" s="506"/>
      <c r="AO2813" s="507"/>
      <c r="AP2813" s="507"/>
      <c r="AQ2813" s="507"/>
      <c r="AR2813" s="507"/>
      <c r="AS2813" s="507"/>
      <c r="AT2813" s="507"/>
      <c r="AU2813" s="507"/>
      <c r="AV2813" s="225"/>
      <c r="AW2813" s="508"/>
      <c r="AX2813" s="225"/>
      <c r="AY2813" s="225"/>
      <c r="AZ2813" s="225"/>
      <c r="BA2813" s="225"/>
      <c r="BB2813" s="225"/>
      <c r="BC2813" s="56"/>
      <c r="BD2813" s="56"/>
      <c r="BE2813" s="56"/>
      <c r="BF2813" s="107" t="str">
        <f t="shared" si="2166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2813" s="107" t="str">
        <f t="shared" si="2167"/>
        <v>P</v>
      </c>
      <c r="BH2813" s="254"/>
      <c r="BI2813" s="254"/>
    </row>
    <row r="2814" spans="1:61" customFormat="1" ht="18" x14ac:dyDescent="0.25">
      <c r="A2814" s="523" t="s">
        <v>5487</v>
      </c>
      <c r="B2814" s="235"/>
      <c r="C2814" s="676"/>
      <c r="D2814" s="255" t="s">
        <v>1502</v>
      </c>
      <c r="E2814" s="236"/>
      <c r="F2814" s="236"/>
      <c r="G2814" s="236"/>
      <c r="H2814" s="582" t="s">
        <v>2042</v>
      </c>
      <c r="I2814" s="498" t="s">
        <v>655</v>
      </c>
      <c r="J2814" s="237"/>
      <c r="K2814" s="237"/>
      <c r="L2814" s="274"/>
      <c r="M2814" s="668" t="s">
        <v>4975</v>
      </c>
      <c r="N2814" s="681" t="str">
        <f>IF(AND(ISTEXT($A2814), ISERROR($A2814+0)), HYPERLINK($BF2814, "Images"), "")</f>
        <v>Images</v>
      </c>
      <c r="O2814" s="663" t="s">
        <v>4969</v>
      </c>
      <c r="P2814" s="253"/>
      <c r="Q2814" s="238"/>
      <c r="R2814" s="239"/>
      <c r="S2814" s="275"/>
      <c r="T2814" s="508">
        <f t="shared" si="2155"/>
        <v>0</v>
      </c>
      <c r="U2814" s="225" t="str">
        <f>IF(NOT(ISNUMBER(G2814)), "", VLOOKUP(A2814,'Discount Lookup'!D:E,2,FALSE)*G2814)</f>
        <v/>
      </c>
      <c r="V2814" s="225" t="str">
        <f>IF(NOT(ISNUMBER(G2814)), "", VLOOKUP(A2814,'Discount Lookup'!G:H,2,FALSE)*G2814)</f>
        <v/>
      </c>
      <c r="W2814" s="508">
        <f t="shared" si="2156"/>
        <v>0</v>
      </c>
      <c r="X2814" s="508" t="str">
        <f t="shared" si="2157"/>
        <v>Red bloom</v>
      </c>
      <c r="Y2814" s="509" t="b">
        <f t="shared" si="2158"/>
        <v>0</v>
      </c>
      <c r="Z2814" s="510">
        <f t="shared" si="2159"/>
        <v>0</v>
      </c>
      <c r="AA2814" s="511"/>
      <c r="AB2814" s="511" t="str">
        <f t="shared" si="2160"/>
        <v/>
      </c>
      <c r="AC2814" s="698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698"/>
      <c r="AE2814" s="631" t="str">
        <f t="shared" si="2161"/>
        <v/>
      </c>
      <c r="AF2814" s="699" t="str">
        <f t="shared" si="2162"/>
        <v/>
      </c>
      <c r="AG2814" s="699"/>
      <c r="AH2814" s="699"/>
      <c r="AI2814" s="512">
        <f>IF(H2814="credit",0,IF(AE2814="free",0,IF(AE2814="me",0,IF(G2814&gt;0,(VLOOKUP(A2814,'Discount Lookup'!J:K,2)*G2814),0))))</f>
        <v>0</v>
      </c>
      <c r="AJ2814" s="513" t="str">
        <f t="shared" ca="1" si="2163"/>
        <v/>
      </c>
      <c r="AK2814" s="700" t="str">
        <f t="shared" si="2164"/>
        <v/>
      </c>
      <c r="AL2814" s="700"/>
      <c r="AM2814" s="505" t="str">
        <f t="shared" si="2165"/>
        <v/>
      </c>
      <c r="AN2814" s="506"/>
      <c r="AO2814" s="507"/>
      <c r="AP2814" s="507"/>
      <c r="AQ2814" s="507"/>
      <c r="AR2814" s="507"/>
      <c r="AS2814" s="507"/>
      <c r="AT2814" s="507"/>
      <c r="AU2814" s="507"/>
      <c r="AV2814" s="225"/>
      <c r="AW2814" s="508"/>
      <c r="AX2814" s="225"/>
      <c r="AY2814" s="225"/>
      <c r="AZ2814" s="225"/>
      <c r="BA2814" s="225"/>
      <c r="BB2814" s="225"/>
      <c r="BC2814" s="56"/>
      <c r="BD2814" s="56"/>
      <c r="BE2814" s="56"/>
      <c r="BF2814" s="107" t="str">
        <f t="shared" si="2166"/>
        <v>https://www.google.com/search?tbm=isch&amp;q=Persian%20Spire%E2%84%A2%20Parrotia%20Parrotia%20persica%20%27JLColumnar%27%20PP%2324951</v>
      </c>
      <c r="BG2814" s="107" t="str">
        <f t="shared" si="2167"/>
        <v>P</v>
      </c>
      <c r="BH2814" s="254"/>
      <c r="BI2814" s="254"/>
    </row>
    <row r="2815" spans="1:61" customFormat="1" ht="15.75" x14ac:dyDescent="0.25">
      <c r="A2815" s="276">
        <v>7</v>
      </c>
      <c r="B2815" s="240" t="s">
        <v>291</v>
      </c>
      <c r="C2815" s="241" t="s">
        <v>4436</v>
      </c>
      <c r="D2815" s="242" t="s">
        <v>292</v>
      </c>
      <c r="E2815" s="243">
        <v>146.94999999999999</v>
      </c>
      <c r="F2815" s="517" t="s">
        <v>293</v>
      </c>
      <c r="G2815" s="232">
        <v>0</v>
      </c>
      <c r="H2815" s="661" t="str">
        <f>IF(G2815=0,"",IF(F2815="Buy",IF(G2815=1,"plant","plants"),IF(F2815&gt;0.01,"warranty","Error")))</f>
        <v/>
      </c>
      <c r="I2815" s="244">
        <f>IF(H2815="free",0,IF(H2815="credit",((E2815*(F2815))*G2815*-1),IF(F2815="Buy",(E2815*G2815),((E2815*(1-F2815))*G2815))))</f>
        <v>0</v>
      </c>
      <c r="J2815" s="244">
        <f>IF(H2815="warranty",0,(I2815*(_xlfn.SINGLE(SalesTaxPercentage))))</f>
        <v>0</v>
      </c>
      <c r="K2815" s="696">
        <f t="shared" ref="K2815" si="2192">I2815+J2815</f>
        <v>0</v>
      </c>
      <c r="L2815" s="696"/>
      <c r="M2815" s="659" t="str">
        <f>IF(AND(G2815&gt;0,E2815=0),"WARNING - no PRICE inserted",IF(H2815="free"," FREE ~ no charge this plant",IF(H2815="credit",CONCATENATE(" -$",ROUND(K2815*(1-T2GDiscount)*-1,2)," CREDIT after discount"),IF(T2GDiscount=0,"",IF(G2815=0,"",IF(F2815="Buy",CONCATENATE(" $",ROUND(K2815*(1-T2GDiscount),2)," with ",(T2GDiscount*100),"% discount"),CONCATENATE(" $",ROUND(K2815*(1-T2GDiscount),2)," with ",((T2GDiscount*100+F2815*100)-(T2GDiscount*100*F2815)),IF(F2815&gt;0,"% discounts",IF(NoWarrantyDiscount&gt;0,"% discounts","% discount")))))))))</f>
        <v/>
      </c>
      <c r="N2815" s="660"/>
      <c r="O2815" s="233"/>
      <c r="P2815" s="233"/>
      <c r="Q2815" s="233"/>
      <c r="R2815" s="233"/>
      <c r="S2815" s="233"/>
      <c r="T2815" s="508">
        <f t="shared" si="2155"/>
        <v>0</v>
      </c>
      <c r="U2815" s="225">
        <f>IF(NOT(ISNUMBER(G2815)), "", VLOOKUP(A2815,'Discount Lookup'!D:E,2,FALSE)*G2815)</f>
        <v>0</v>
      </c>
      <c r="V2815" s="225">
        <f>IF(NOT(ISNUMBER(G2815)), "", VLOOKUP(A2815,'Discount Lookup'!G:H,2,FALSE)*G2815)</f>
        <v>0</v>
      </c>
      <c r="W2815" s="508">
        <f t="shared" si="2156"/>
        <v>0</v>
      </c>
      <c r="X2815" s="508">
        <f t="shared" si="2157"/>
        <v>0</v>
      </c>
      <c r="Y2815" s="509" t="b">
        <f t="shared" si="2158"/>
        <v>0</v>
      </c>
      <c r="Z2815" s="510">
        <f t="shared" si="2159"/>
        <v>0</v>
      </c>
      <c r="AA2815" s="511"/>
      <c r="AB2815" s="511" t="str">
        <f t="shared" si="2160"/>
        <v/>
      </c>
      <c r="AC2815" s="698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698"/>
      <c r="AE2815" s="631" t="str">
        <f t="shared" si="2161"/>
        <v/>
      </c>
      <c r="AF2815" s="699" t="str">
        <f t="shared" si="2162"/>
        <v/>
      </c>
      <c r="AG2815" s="699"/>
      <c r="AH2815" s="699"/>
      <c r="AI2815" s="512">
        <f>IF(H2815="credit",0,IF(AE2815="free",0,IF(AE2815="me",0,IF(G2815&gt;0,(VLOOKUP(A2815,'Discount Lookup'!J:K,2)*G2815),0))))</f>
        <v>0</v>
      </c>
      <c r="AJ2815" s="513" t="str">
        <f t="shared" ca="1" si="2163"/>
        <v/>
      </c>
      <c r="AK2815" s="700" t="str">
        <f t="shared" si="2164"/>
        <v/>
      </c>
      <c r="AL2815" s="700"/>
      <c r="AM2815" s="505" t="str">
        <f t="shared" si="2165"/>
        <v/>
      </c>
      <c r="AN2815" s="506"/>
      <c r="AO2815" s="507"/>
      <c r="AP2815" s="507"/>
      <c r="AQ2815" s="507"/>
      <c r="AR2815" s="507"/>
      <c r="AS2815" s="507"/>
      <c r="AT2815" s="507"/>
      <c r="AU2815" s="507"/>
      <c r="AV2815" s="225"/>
      <c r="AW2815" s="508"/>
      <c r="AX2815" s="225"/>
      <c r="AY2815" s="225"/>
      <c r="AZ2815" s="225"/>
      <c r="BA2815" s="225"/>
      <c r="BB2815" s="225"/>
      <c r="BC2815" s="56"/>
      <c r="BD2815" s="56"/>
      <c r="BE2815" s="56"/>
      <c r="BF2815" s="107" t="str">
        <f t="shared" si="2166"/>
        <v>https://www.google.com/search?tbm=isch&amp;q=7%20G4</v>
      </c>
      <c r="BG2815" s="107" t="str">
        <f t="shared" si="2167"/>
        <v>P</v>
      </c>
      <c r="BH2815" s="254"/>
      <c r="BI2815" s="254"/>
    </row>
    <row r="2816" spans="1:61" customFormat="1" ht="15.75" x14ac:dyDescent="0.25">
      <c r="A2816" s="276">
        <v>10</v>
      </c>
      <c r="B2816" s="240" t="s">
        <v>291</v>
      </c>
      <c r="C2816" s="241" t="s">
        <v>4799</v>
      </c>
      <c r="D2816" s="242" t="s">
        <v>292</v>
      </c>
      <c r="E2816" s="243">
        <v>206.95</v>
      </c>
      <c r="F2816" s="517" t="s">
        <v>293</v>
      </c>
      <c r="G2816" s="232">
        <v>0</v>
      </c>
      <c r="H2816" s="661" t="str">
        <f>IF(G2816=0,"",IF(F2816="Buy",IF(G2816=1,"plant","plants"),IF(F2816&gt;0.01,"warranty","Error")))</f>
        <v/>
      </c>
      <c r="I2816" s="244">
        <f>IF(H2816="free",0,IF(H2816="credit",((E2816*(F2816))*G2816*-1),IF(F2816="Buy",(E2816*G2816),((E2816*(1-F2816))*G2816))))</f>
        <v>0</v>
      </c>
      <c r="J2816" s="244">
        <f>IF(H2816="warranty",0,(I2816*(_xlfn.SINGLE(SalesTaxPercentage))))</f>
        <v>0</v>
      </c>
      <c r="K2816" s="696">
        <f t="shared" ref="K2816" si="2193">I2816+J2816</f>
        <v>0</v>
      </c>
      <c r="L2816" s="696"/>
      <c r="M2816" s="659" t="str">
        <f>IF(AND(G2816&gt;0,E2816=0),"WARNING - no PRICE inserted",IF(H2816="free"," FREE ~ no charge this plant",IF(H2816="credit",CONCATENATE(" -$",ROUND(K2816*(1-T2GDiscount)*-1,2)," CREDIT after discount"),IF(T2GDiscount=0,"",IF(G2816=0,"",IF(F2816="Buy",CONCATENATE(" $",ROUND(K2816*(1-T2GDiscount),2)," with ",(T2GDiscount*100),"% discount"),CONCATENATE(" $",ROUND(K2816*(1-T2GDiscount),2)," with ",((T2GDiscount*100+F2816*100)-(T2GDiscount*100*F2816)),IF(F2816&gt;0,"% discounts",IF(NoWarrantyDiscount&gt;0,"% discounts","% discount")))))))))</f>
        <v/>
      </c>
      <c r="N2816" s="660"/>
      <c r="O2816" s="233"/>
      <c r="P2816" s="233"/>
      <c r="Q2816" s="233"/>
      <c r="R2816" s="233"/>
      <c r="S2816" s="233"/>
      <c r="T2816" s="508">
        <f t="shared" si="2155"/>
        <v>0</v>
      </c>
      <c r="U2816" s="225">
        <f>IF(NOT(ISNUMBER(G2816)), "", VLOOKUP(A2816,'Discount Lookup'!D:E,2,FALSE)*G2816)</f>
        <v>0</v>
      </c>
      <c r="V2816" s="225">
        <f>IF(NOT(ISNUMBER(G2816)), "", VLOOKUP(A2816,'Discount Lookup'!G:H,2,FALSE)*G2816)</f>
        <v>0</v>
      </c>
      <c r="W2816" s="508">
        <f t="shared" si="2156"/>
        <v>0</v>
      </c>
      <c r="X2816" s="508">
        <f t="shared" si="2157"/>
        <v>0</v>
      </c>
      <c r="Y2816" s="509" t="b">
        <f t="shared" si="2158"/>
        <v>0</v>
      </c>
      <c r="Z2816" s="510">
        <f t="shared" si="2159"/>
        <v>0</v>
      </c>
      <c r="AA2816" s="511"/>
      <c r="AB2816" s="511" t="str">
        <f t="shared" si="2160"/>
        <v/>
      </c>
      <c r="AC2816" s="698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698"/>
      <c r="AE2816" s="631" t="str">
        <f t="shared" si="2161"/>
        <v/>
      </c>
      <c r="AF2816" s="699" t="str">
        <f t="shared" si="2162"/>
        <v/>
      </c>
      <c r="AG2816" s="699"/>
      <c r="AH2816" s="699"/>
      <c r="AI2816" s="512">
        <f>IF(H2816="credit",0,IF(AE2816="free",0,IF(AE2816="me",0,IF(G2816&gt;0,(VLOOKUP(A2816,'Discount Lookup'!J:K,2)*G2816),0))))</f>
        <v>0</v>
      </c>
      <c r="AJ2816" s="513" t="str">
        <f t="shared" ca="1" si="2163"/>
        <v/>
      </c>
      <c r="AK2816" s="700" t="str">
        <f t="shared" si="2164"/>
        <v/>
      </c>
      <c r="AL2816" s="700"/>
      <c r="AM2816" s="505" t="str">
        <f t="shared" si="2165"/>
        <v/>
      </c>
      <c r="AN2816" s="506"/>
      <c r="AO2816" s="507"/>
      <c r="AP2816" s="507"/>
      <c r="AQ2816" s="507"/>
      <c r="AR2816" s="507"/>
      <c r="AS2816" s="507"/>
      <c r="AT2816" s="507"/>
      <c r="AU2816" s="507"/>
      <c r="AV2816" s="225"/>
      <c r="AW2816" s="508"/>
      <c r="AX2816" s="225"/>
      <c r="AY2816" s="225"/>
      <c r="AZ2816" s="225"/>
      <c r="BA2816" s="225"/>
      <c r="BB2816" s="225"/>
      <c r="BC2816" s="56"/>
      <c r="BD2816" s="56"/>
      <c r="BE2816" s="56"/>
      <c r="BF2816" s="107" t="str">
        <f t="shared" si="2166"/>
        <v>https://www.google.com/search?tbm=isch&amp;q=10%20G4</v>
      </c>
      <c r="BG2816" s="107" t="str">
        <f t="shared" si="2167"/>
        <v>P</v>
      </c>
      <c r="BH2816" s="254"/>
      <c r="BI2816" s="254"/>
    </row>
    <row r="2817" spans="1:61" customFormat="1" ht="15.75" x14ac:dyDescent="0.25">
      <c r="A2817" s="276">
        <v>15</v>
      </c>
      <c r="B2817" s="240" t="s">
        <v>291</v>
      </c>
      <c r="C2817" s="241" t="s">
        <v>3692</v>
      </c>
      <c r="D2817" s="242" t="s">
        <v>292</v>
      </c>
      <c r="E2817" s="243">
        <v>252.95</v>
      </c>
      <c r="F2817" s="517" t="s">
        <v>293</v>
      </c>
      <c r="G2817" s="232">
        <v>0</v>
      </c>
      <c r="H2817" s="661" t="str">
        <f>IF(G2817=0,"",IF(F2817="Buy",IF(G2817=1,"plant","plants"),IF(F2817&gt;0.01,"warranty","Error")))</f>
        <v/>
      </c>
      <c r="I2817" s="244">
        <f>IF(H2817="free",0,IF(H2817="credit",((E2817*(F2817))*G2817*-1),IF(F2817="Buy",(E2817*G2817),((E2817*(1-F2817))*G2817))))</f>
        <v>0</v>
      </c>
      <c r="J2817" s="244">
        <f>IF(H2817="warranty",0,(I2817*(_xlfn.SINGLE(SalesTaxPercentage))))</f>
        <v>0</v>
      </c>
      <c r="K2817" s="696">
        <f t="shared" ref="K2817" si="2194">I2817+J2817</f>
        <v>0</v>
      </c>
      <c r="L2817" s="696"/>
      <c r="M2817" s="659" t="str">
        <f>IF(AND(G2817&gt;0,E2817=0),"WARNING - no PRICE inserted",IF(H2817="free"," FREE ~ no charge this plant",IF(H2817="credit",CONCATENATE(" -$",ROUND(K2817*(1-T2GDiscount)*-1,2)," CREDIT after discount"),IF(T2GDiscount=0,"",IF(G2817=0,"",IF(F2817="Buy",CONCATENATE(" $",ROUND(K2817*(1-T2GDiscount),2)," with ",(T2GDiscount*100),"% discount"),CONCATENATE(" $",ROUND(K2817*(1-T2GDiscount),2)," with ",((T2GDiscount*100+F2817*100)-(T2GDiscount*100*F2817)),IF(F2817&gt;0,"% discounts",IF(NoWarrantyDiscount&gt;0,"% discounts","% discount")))))))))</f>
        <v/>
      </c>
      <c r="N2817" s="660"/>
      <c r="O2817" s="233"/>
      <c r="P2817" s="233"/>
      <c r="Q2817" s="233"/>
      <c r="R2817" s="233"/>
      <c r="S2817" s="233"/>
      <c r="T2817" s="508">
        <f t="shared" si="2155"/>
        <v>0</v>
      </c>
      <c r="U2817" s="225">
        <f>IF(NOT(ISNUMBER(G2817)), "", VLOOKUP(A2817,'Discount Lookup'!D:E,2,FALSE)*G2817)</f>
        <v>0</v>
      </c>
      <c r="V2817" s="225">
        <f>IF(NOT(ISNUMBER(G2817)), "", VLOOKUP(A2817,'Discount Lookup'!G:H,2,FALSE)*G2817)</f>
        <v>0</v>
      </c>
      <c r="W2817" s="508">
        <f t="shared" si="2156"/>
        <v>0</v>
      </c>
      <c r="X2817" s="508">
        <f t="shared" si="2157"/>
        <v>0</v>
      </c>
      <c r="Y2817" s="509" t="b">
        <f t="shared" si="2158"/>
        <v>0</v>
      </c>
      <c r="Z2817" s="510">
        <f t="shared" si="2159"/>
        <v>0</v>
      </c>
      <c r="AA2817" s="511"/>
      <c r="AB2817" s="511" t="str">
        <f t="shared" si="2160"/>
        <v/>
      </c>
      <c r="AC2817" s="698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698"/>
      <c r="AE2817" s="631" t="str">
        <f t="shared" si="2161"/>
        <v/>
      </c>
      <c r="AF2817" s="699" t="str">
        <f t="shared" si="2162"/>
        <v/>
      </c>
      <c r="AG2817" s="699"/>
      <c r="AH2817" s="699"/>
      <c r="AI2817" s="512">
        <f>IF(H2817="credit",0,IF(AE2817="free",0,IF(AE2817="me",0,IF(G2817&gt;0,(VLOOKUP(A2817,'Discount Lookup'!J:K,2)*G2817),0))))</f>
        <v>0</v>
      </c>
      <c r="AJ2817" s="513" t="str">
        <f t="shared" ca="1" si="2163"/>
        <v/>
      </c>
      <c r="AK2817" s="700" t="str">
        <f t="shared" si="2164"/>
        <v/>
      </c>
      <c r="AL2817" s="700"/>
      <c r="AM2817" s="505" t="str">
        <f t="shared" si="2165"/>
        <v/>
      </c>
      <c r="AN2817" s="506"/>
      <c r="AO2817" s="507"/>
      <c r="AP2817" s="507"/>
      <c r="AQ2817" s="507"/>
      <c r="AR2817" s="507"/>
      <c r="AS2817" s="507"/>
      <c r="AT2817" s="507"/>
      <c r="AU2817" s="507"/>
      <c r="AV2817" s="225"/>
      <c r="AW2817" s="508"/>
      <c r="AX2817" s="225"/>
      <c r="AY2817" s="225"/>
      <c r="AZ2817" s="225"/>
      <c r="BA2817" s="225"/>
      <c r="BB2817" s="225"/>
      <c r="BC2817" s="56"/>
      <c r="BD2817" s="56"/>
      <c r="BE2817" s="56"/>
      <c r="BF2817" s="107" t="str">
        <f t="shared" si="2166"/>
        <v>https://www.google.com/search?tbm=isch&amp;q=15%20G4</v>
      </c>
      <c r="BG2817" s="107" t="str">
        <f t="shared" si="2167"/>
        <v>P</v>
      </c>
      <c r="BH2817" s="254"/>
      <c r="BI2817" s="254"/>
    </row>
    <row r="2818" spans="1:61" customFormat="1" ht="17.25" thickBot="1" x14ac:dyDescent="0.3">
      <c r="A2818" s="524" t="s">
        <v>4142</v>
      </c>
      <c r="B2818" s="245"/>
      <c r="C2818" s="677"/>
      <c r="D2818" s="499"/>
      <c r="E2818" s="499"/>
      <c r="F2818" s="500"/>
      <c r="G2818" s="501"/>
      <c r="H2818" s="502"/>
      <c r="I2818" s="246"/>
      <c r="J2818" s="247"/>
      <c r="K2818" s="503"/>
      <c r="L2818" s="544"/>
      <c r="M2818" s="544"/>
      <c r="N2818" s="500"/>
      <c r="O2818" s="500"/>
      <c r="P2818" s="500"/>
      <c r="Q2818" s="500"/>
      <c r="R2818" s="500"/>
      <c r="S2818" s="278"/>
      <c r="T2818" s="508">
        <f t="shared" si="2155"/>
        <v>0</v>
      </c>
      <c r="U2818" s="225" t="str">
        <f>IF(NOT(ISNUMBER(G2818)), "", VLOOKUP(A2818,'Discount Lookup'!D:E,2,FALSE)*G2818)</f>
        <v/>
      </c>
      <c r="V2818" s="225" t="str">
        <f>IF(NOT(ISNUMBER(G2818)), "", VLOOKUP(A2818,'Discount Lookup'!G:H,2,FALSE)*G2818)</f>
        <v/>
      </c>
      <c r="W2818" s="508">
        <f t="shared" si="2156"/>
        <v>0</v>
      </c>
      <c r="X2818" s="508">
        <f t="shared" si="2157"/>
        <v>0</v>
      </c>
      <c r="Y2818" s="509" t="b">
        <f t="shared" si="2158"/>
        <v>0</v>
      </c>
      <c r="Z2818" s="510">
        <f t="shared" si="2159"/>
        <v>0</v>
      </c>
      <c r="AA2818" s="511"/>
      <c r="AB2818" s="511" t="str">
        <f t="shared" si="2160"/>
        <v/>
      </c>
      <c r="AC2818" s="698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698"/>
      <c r="AE2818" s="631" t="str">
        <f t="shared" si="2161"/>
        <v/>
      </c>
      <c r="AF2818" s="699" t="str">
        <f t="shared" si="2162"/>
        <v/>
      </c>
      <c r="AG2818" s="699"/>
      <c r="AH2818" s="699"/>
      <c r="AI2818" s="512">
        <f>IF(H2818="credit",0,IF(AE2818="free",0,IF(AE2818="me",0,IF(G2818&gt;0,(VLOOKUP(A2818,'Discount Lookup'!J:K,2)*G2818),0))))</f>
        <v>0</v>
      </c>
      <c r="AJ2818" s="513" t="str">
        <f t="shared" ca="1" si="2163"/>
        <v/>
      </c>
      <c r="AK2818" s="700" t="str">
        <f t="shared" si="2164"/>
        <v/>
      </c>
      <c r="AL2818" s="700"/>
      <c r="AM2818" s="505" t="str">
        <f t="shared" si="2165"/>
        <v/>
      </c>
      <c r="AN2818" s="506"/>
      <c r="AO2818" s="507"/>
      <c r="AP2818" s="507"/>
      <c r="AQ2818" s="507"/>
      <c r="AR2818" s="507"/>
      <c r="AS2818" s="507"/>
      <c r="AT2818" s="507"/>
      <c r="AU2818" s="507"/>
      <c r="AV2818" s="225"/>
      <c r="AW2818" s="508"/>
      <c r="AX2818" s="225"/>
      <c r="AY2818" s="225"/>
      <c r="AZ2818" s="225"/>
      <c r="BA2818" s="225"/>
      <c r="BB2818" s="225"/>
      <c r="BC2818" s="56"/>
      <c r="BD2818" s="56"/>
      <c r="BE2818" s="56"/>
      <c r="BF2818" s="107" t="str">
        <f t="shared" si="2166"/>
        <v>https://www.google.com/search?tbm=isch&amp;q=Persian%20Spire%20small%20flowers%20appear%20early.%20Foliage%20emerges%20Purple-Green%2C%20turns%20Green-Burgundy%20edges%2C%20then%20Yellow-Orange-Red%20in%20fall.%20Bark%20exfoliates%20</v>
      </c>
      <c r="BG2818" s="107" t="str">
        <f t="shared" si="2167"/>
        <v>P</v>
      </c>
      <c r="BH2818" s="254"/>
      <c r="BI2818" s="254"/>
    </row>
    <row r="2819" spans="1:61" customFormat="1" ht="18" x14ac:dyDescent="0.25">
      <c r="A2819" s="523" t="s">
        <v>1503</v>
      </c>
      <c r="B2819" s="235"/>
      <c r="C2819" s="676"/>
      <c r="D2819" s="255" t="s">
        <v>1504</v>
      </c>
      <c r="E2819" s="236"/>
      <c r="F2819" s="236"/>
      <c r="G2819" s="236"/>
      <c r="H2819" s="582" t="s">
        <v>474</v>
      </c>
      <c r="I2819" s="498" t="s">
        <v>3152</v>
      </c>
      <c r="J2819" s="237"/>
      <c r="K2819" s="237"/>
      <c r="L2819" s="274"/>
      <c r="M2819" s="668" t="s">
        <v>4962</v>
      </c>
      <c r="N2819" s="681" t="str">
        <f>IF(AND(ISTEXT($A2819), ISERROR($A2819+0)), HYPERLINK($BF2819, "Images"), "")</f>
        <v>Images</v>
      </c>
      <c r="O2819" s="663" t="s">
        <v>4967</v>
      </c>
      <c r="P2819" s="253"/>
      <c r="Q2819" s="238"/>
      <c r="R2819" s="239"/>
      <c r="S2819" s="275"/>
      <c r="T2819" s="508">
        <f t="shared" si="2155"/>
        <v>0</v>
      </c>
      <c r="U2819" s="225" t="str">
        <f>IF(NOT(ISNUMBER(G2819)), "", VLOOKUP(A2819,'Discount Lookup'!D:E,2,FALSE)*G2819)</f>
        <v/>
      </c>
      <c r="V2819" s="225" t="str">
        <f>IF(NOT(ISNUMBER(G2819)), "", VLOOKUP(A2819,'Discount Lookup'!G:H,2,FALSE)*G2819)</f>
        <v/>
      </c>
      <c r="W2819" s="508">
        <f t="shared" si="2156"/>
        <v>0</v>
      </c>
      <c r="X2819" s="508" t="str">
        <f t="shared" si="2157"/>
        <v>Deep Indigo bloom, Orange-Yellow eye</v>
      </c>
      <c r="Y2819" s="509" t="b">
        <f t="shared" si="2158"/>
        <v>0</v>
      </c>
      <c r="Z2819" s="510">
        <f t="shared" si="2159"/>
        <v>0</v>
      </c>
      <c r="AA2819" s="511"/>
      <c r="AB2819" s="511" t="str">
        <f t="shared" si="2160"/>
        <v/>
      </c>
      <c r="AC2819" s="698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698"/>
      <c r="AE2819" s="631" t="str">
        <f t="shared" si="2161"/>
        <v/>
      </c>
      <c r="AF2819" s="699" t="str">
        <f t="shared" si="2162"/>
        <v/>
      </c>
      <c r="AG2819" s="699"/>
      <c r="AH2819" s="699"/>
      <c r="AI2819" s="512">
        <f>IF(H2819="credit",0,IF(AE2819="free",0,IF(AE2819="me",0,IF(G2819&gt;0,(VLOOKUP(A2819,'Discount Lookup'!J:K,2)*G2819),0))))</f>
        <v>0</v>
      </c>
      <c r="AJ2819" s="513" t="str">
        <f t="shared" ca="1" si="2163"/>
        <v/>
      </c>
      <c r="AK2819" s="700" t="str">
        <f t="shared" si="2164"/>
        <v/>
      </c>
      <c r="AL2819" s="700"/>
      <c r="AM2819" s="505" t="str">
        <f t="shared" si="2165"/>
        <v/>
      </c>
      <c r="AN2819" s="506"/>
      <c r="AO2819" s="507"/>
      <c r="AP2819" s="507"/>
      <c r="AQ2819" s="507"/>
      <c r="AR2819" s="507"/>
      <c r="AS2819" s="507"/>
      <c r="AT2819" s="507"/>
      <c r="AU2819" s="507"/>
      <c r="AV2819" s="225"/>
      <c r="AW2819" s="508"/>
      <c r="AX2819" s="225"/>
      <c r="AY2819" s="225"/>
      <c r="AZ2819" s="225"/>
      <c r="BA2819" s="225"/>
      <c r="BB2819" s="225"/>
      <c r="BC2819" s="56"/>
      <c r="BD2819" s="56"/>
      <c r="BE2819" s="56"/>
      <c r="BF2819" s="107" t="str">
        <f t="shared" si="2166"/>
        <v>https://www.google.com/search?tbm=isch&amp;q=Petite%20Indigo%20Butterfly%20Bush%20Buddleia%20davidii%20%27Petite%20Indigo%27</v>
      </c>
      <c r="BG2819" s="107" t="str">
        <f t="shared" si="2167"/>
        <v>P</v>
      </c>
      <c r="BH2819" s="254"/>
      <c r="BI2819" s="254"/>
    </row>
    <row r="2820" spans="1:61" customFormat="1" ht="15.75" x14ac:dyDescent="0.25">
      <c r="A2820" s="276">
        <v>3</v>
      </c>
      <c r="B2820" s="240" t="s">
        <v>291</v>
      </c>
      <c r="C2820" s="241" t="s">
        <v>1505</v>
      </c>
      <c r="D2820" s="242" t="s">
        <v>297</v>
      </c>
      <c r="E2820" s="243">
        <v>22.95</v>
      </c>
      <c r="F2820" s="517" t="s">
        <v>293</v>
      </c>
      <c r="G2820" s="232">
        <v>0</v>
      </c>
      <c r="H2820" s="661" t="str">
        <f>IF(G2820=0,"",IF(F2820="Buy",IF(G2820=1,"plant","plants"),IF(F2820&gt;0.01,"warranty","Error")))</f>
        <v/>
      </c>
      <c r="I2820" s="244">
        <f>IF(H2820="free",0,IF(H2820="credit",((E2820*(F2820))*G2820*-1),IF(F2820="Buy",(E2820*G2820),((E2820*(1-F2820))*G2820))))</f>
        <v>0</v>
      </c>
      <c r="J2820" s="244">
        <f>IF(H2820="warranty",0,(I2820*(_xlfn.SINGLE(SalesTaxPercentage))))</f>
        <v>0</v>
      </c>
      <c r="K2820" s="696">
        <f t="shared" ref="K2820" si="2195">I2820+J2820</f>
        <v>0</v>
      </c>
      <c r="L2820" s="696"/>
      <c r="M2820" s="659" t="str">
        <f>IF(AND(G2820&gt;0,E2820=0),"WARNING - no PRICE inserted",IF(H2820="free"," FREE ~ no charge this plant",IF(H2820="credit",CONCATENATE(" -$",ROUND(K2820*(1-T2GDiscount)*-1,2)," CREDIT after discount"),IF(T2GDiscount=0,"",IF(G2820=0,"",IF(F2820="Buy",CONCATENATE(" $",ROUND(K2820*(1-T2GDiscount),2)," with ",(T2GDiscount*100),"% discount"),CONCATENATE(" $",ROUND(K2820*(1-T2GDiscount),2)," with ",((T2GDiscount*100+F2820*100)-(T2GDiscount*100*F2820)),IF(F2820&gt;0,"% discounts",IF(NoWarrantyDiscount&gt;0,"% discounts","% discount")))))))))</f>
        <v/>
      </c>
      <c r="N2820" s="660"/>
      <c r="O2820" s="233"/>
      <c r="P2820" s="233"/>
      <c r="Q2820" s="233"/>
      <c r="R2820" s="233"/>
      <c r="S2820" s="233"/>
      <c r="T2820" s="508">
        <f t="shared" si="2155"/>
        <v>0</v>
      </c>
      <c r="U2820" s="225">
        <f>IF(NOT(ISNUMBER(G2820)), "", VLOOKUP(A2820,'Discount Lookup'!D:E,2,FALSE)*G2820)</f>
        <v>0</v>
      </c>
      <c r="V2820" s="225">
        <f>IF(NOT(ISNUMBER(G2820)), "", VLOOKUP(A2820,'Discount Lookup'!G:H,2,FALSE)*G2820)</f>
        <v>0</v>
      </c>
      <c r="W2820" s="508">
        <f t="shared" si="2156"/>
        <v>0</v>
      </c>
      <c r="X2820" s="508">
        <f t="shared" si="2157"/>
        <v>0</v>
      </c>
      <c r="Y2820" s="509" t="b">
        <f t="shared" si="2158"/>
        <v>0</v>
      </c>
      <c r="Z2820" s="510">
        <f t="shared" si="2159"/>
        <v>0</v>
      </c>
      <c r="AA2820" s="511"/>
      <c r="AB2820" s="511" t="str">
        <f t="shared" si="2160"/>
        <v/>
      </c>
      <c r="AC2820" s="698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698"/>
      <c r="AE2820" s="631" t="str">
        <f t="shared" si="2161"/>
        <v/>
      </c>
      <c r="AF2820" s="699" t="str">
        <f t="shared" si="2162"/>
        <v/>
      </c>
      <c r="AG2820" s="699"/>
      <c r="AH2820" s="699"/>
      <c r="AI2820" s="512">
        <f>IF(H2820="credit",0,IF(AE2820="free",0,IF(AE2820="me",0,IF(G2820&gt;0,(VLOOKUP(A2820,'Discount Lookup'!J:K,2)*G2820),0))))</f>
        <v>0</v>
      </c>
      <c r="AJ2820" s="513" t="str">
        <f t="shared" ca="1" si="2163"/>
        <v/>
      </c>
      <c r="AK2820" s="700" t="str">
        <f t="shared" si="2164"/>
        <v/>
      </c>
      <c r="AL2820" s="700"/>
      <c r="AM2820" s="505" t="str">
        <f t="shared" si="2165"/>
        <v/>
      </c>
      <c r="AN2820" s="506"/>
      <c r="AO2820" s="507"/>
      <c r="AP2820" s="507"/>
      <c r="AQ2820" s="507"/>
      <c r="AR2820" s="507"/>
      <c r="AS2820" s="507"/>
      <c r="AT2820" s="507"/>
      <c r="AU2820" s="507"/>
      <c r="AV2820" s="225"/>
      <c r="AW2820" s="508"/>
      <c r="AX2820" s="225"/>
      <c r="AY2820" s="225"/>
      <c r="AZ2820" s="225"/>
      <c r="BA2820" s="225"/>
      <c r="BB2820" s="225"/>
      <c r="BC2820" s="56"/>
      <c r="BD2820" s="56"/>
      <c r="BE2820" s="56"/>
      <c r="BF2820" s="107" t="str">
        <f t="shared" si="2166"/>
        <v>https://www.google.com/search?tbm=isch&amp;q=3%20G3</v>
      </c>
      <c r="BG2820" s="107" t="str">
        <f t="shared" si="2167"/>
        <v>P</v>
      </c>
      <c r="BH2820" s="254"/>
      <c r="BI2820" s="254"/>
    </row>
    <row r="2821" spans="1:61" customFormat="1" ht="17.25" thickBot="1" x14ac:dyDescent="0.3">
      <c r="A2821" s="524" t="s">
        <v>3153</v>
      </c>
      <c r="B2821" s="245"/>
      <c r="C2821" s="677"/>
      <c r="D2821" s="499"/>
      <c r="E2821" s="499"/>
      <c r="F2821" s="500"/>
      <c r="G2821" s="501"/>
      <c r="H2821" s="502"/>
      <c r="I2821" s="246"/>
      <c r="J2821" s="247"/>
      <c r="K2821" s="503"/>
      <c r="L2821" s="544"/>
      <c r="M2821" s="544"/>
      <c r="N2821" s="500"/>
      <c r="O2821" s="500"/>
      <c r="P2821" s="500"/>
      <c r="Q2821" s="500"/>
      <c r="R2821" s="500"/>
      <c r="S2821" s="669" t="s">
        <v>4980</v>
      </c>
      <c r="T2821" s="508">
        <f t="shared" si="2155"/>
        <v>0</v>
      </c>
      <c r="U2821" s="225" t="str">
        <f>IF(NOT(ISNUMBER(G2821)), "", VLOOKUP(A2821,'Discount Lookup'!D:E,2,FALSE)*G2821)</f>
        <v/>
      </c>
      <c r="V2821" s="225" t="str">
        <f>IF(NOT(ISNUMBER(G2821)), "", VLOOKUP(A2821,'Discount Lookup'!G:H,2,FALSE)*G2821)</f>
        <v/>
      </c>
      <c r="W2821" s="508">
        <f t="shared" si="2156"/>
        <v>0</v>
      </c>
      <c r="X2821" s="508">
        <f t="shared" si="2157"/>
        <v>0</v>
      </c>
      <c r="Y2821" s="509" t="b">
        <f t="shared" si="2158"/>
        <v>0</v>
      </c>
      <c r="Z2821" s="510">
        <f t="shared" si="2159"/>
        <v>0</v>
      </c>
      <c r="AA2821" s="511"/>
      <c r="AB2821" s="511" t="str">
        <f t="shared" si="2160"/>
        <v/>
      </c>
      <c r="AC2821" s="698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698"/>
      <c r="AE2821" s="631" t="str">
        <f t="shared" si="2161"/>
        <v/>
      </c>
      <c r="AF2821" s="699" t="str">
        <f t="shared" si="2162"/>
        <v/>
      </c>
      <c r="AG2821" s="699"/>
      <c r="AH2821" s="699"/>
      <c r="AI2821" s="512">
        <f>IF(H2821="credit",0,IF(AE2821="free",0,IF(AE2821="me",0,IF(G2821&gt;0,(VLOOKUP(A2821,'Discount Lookup'!J:K,2)*G2821),0))))</f>
        <v>0</v>
      </c>
      <c r="AJ2821" s="513" t="str">
        <f t="shared" ca="1" si="2163"/>
        <v/>
      </c>
      <c r="AK2821" s="700" t="str">
        <f t="shared" si="2164"/>
        <v/>
      </c>
      <c r="AL2821" s="700"/>
      <c r="AM2821" s="505" t="str">
        <f t="shared" si="2165"/>
        <v/>
      </c>
      <c r="AN2821" s="506"/>
      <c r="AO2821" s="507"/>
      <c r="AP2821" s="507"/>
      <c r="AQ2821" s="507"/>
      <c r="AR2821" s="507"/>
      <c r="AS2821" s="507"/>
      <c r="AT2821" s="507"/>
      <c r="AU2821" s="507"/>
      <c r="AV2821" s="225"/>
      <c r="AW2821" s="508"/>
      <c r="AX2821" s="225"/>
      <c r="AY2821" s="225"/>
      <c r="AZ2821" s="225"/>
      <c r="BA2821" s="225"/>
      <c r="BB2821" s="225"/>
      <c r="BC2821" s="56"/>
      <c r="BD2821" s="56"/>
      <c r="BE2821" s="56"/>
      <c r="BF2821" s="107" t="str">
        <f t="shared" si="2166"/>
        <v>https://www.google.com/search?tbm=isch&amp;q=Petite%20Indigo%20has%20Gray-Green%20foliage%20and%20a%20fragrance.%20%20All%20BB%20bloom%20summer%20to%20frost%2C%20on%20new%20wood%2C%20so%20cut%20back%20hard%20late%20winter%20</v>
      </c>
      <c r="BG2821" s="107" t="str">
        <f t="shared" si="2167"/>
        <v>P</v>
      </c>
      <c r="BH2821" s="254"/>
      <c r="BI2821" s="254"/>
    </row>
    <row r="2822" spans="1:61" customFormat="1" ht="18" x14ac:dyDescent="0.25">
      <c r="A2822" s="523" t="s">
        <v>4143</v>
      </c>
      <c r="B2822" s="235"/>
      <c r="C2822" s="676"/>
      <c r="D2822" s="255" t="s">
        <v>4144</v>
      </c>
      <c r="E2822" s="236"/>
      <c r="F2822" s="236"/>
      <c r="G2822" s="236"/>
      <c r="H2822" s="582" t="s">
        <v>303</v>
      </c>
      <c r="I2822" s="498" t="s">
        <v>4145</v>
      </c>
      <c r="J2822" s="237"/>
      <c r="K2822" s="237"/>
      <c r="L2822" s="274"/>
      <c r="M2822" s="668" t="s">
        <v>4975</v>
      </c>
      <c r="N2822" s="681" t="str">
        <f>IF(AND(ISTEXT($A2822), ISERROR($A2822+0)), HYPERLINK($BF2822, "Images"), "")</f>
        <v>Images</v>
      </c>
      <c r="O2822" s="663" t="s">
        <v>4974</v>
      </c>
      <c r="P2822" s="253"/>
      <c r="Q2822" s="238"/>
      <c r="R2822" s="239"/>
      <c r="S2822" s="275" t="s">
        <v>305</v>
      </c>
      <c r="T2822" s="508">
        <f t="shared" si="2155"/>
        <v>0</v>
      </c>
      <c r="U2822" s="225" t="str">
        <f>IF(NOT(ISNUMBER(G2822)), "", VLOOKUP(A2822,'Discount Lookup'!D:E,2,FALSE)*G2822)</f>
        <v/>
      </c>
      <c r="V2822" s="225" t="str">
        <f>IF(NOT(ISNUMBER(G2822)), "", VLOOKUP(A2822,'Discount Lookup'!G:H,2,FALSE)*G2822)</f>
        <v/>
      </c>
      <c r="W2822" s="508">
        <f t="shared" si="2156"/>
        <v>0</v>
      </c>
      <c r="X2822" s="508" t="str">
        <f t="shared" si="2157"/>
        <v>Feathery Green needles</v>
      </c>
      <c r="Y2822" s="509" t="b">
        <f t="shared" si="2158"/>
        <v>0</v>
      </c>
      <c r="Z2822" s="510">
        <f t="shared" si="2159"/>
        <v>0</v>
      </c>
      <c r="AA2822" s="511"/>
      <c r="AB2822" s="511" t="str">
        <f t="shared" si="2160"/>
        <v/>
      </c>
      <c r="AC2822" s="698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698"/>
      <c r="AE2822" s="631" t="str">
        <f t="shared" si="2161"/>
        <v/>
      </c>
      <c r="AF2822" s="699" t="str">
        <f t="shared" si="2162"/>
        <v/>
      </c>
      <c r="AG2822" s="699"/>
      <c r="AH2822" s="699"/>
      <c r="AI2822" s="512">
        <f>IF(H2822="credit",0,IF(AE2822="free",0,IF(AE2822="me",0,IF(G2822&gt;0,(VLOOKUP(A2822,'Discount Lookup'!J:K,2)*G2822),0))))</f>
        <v>0</v>
      </c>
      <c r="AJ2822" s="513" t="str">
        <f t="shared" ca="1" si="2163"/>
        <v/>
      </c>
      <c r="AK2822" s="700" t="str">
        <f t="shared" si="2164"/>
        <v/>
      </c>
      <c r="AL2822" s="700"/>
      <c r="AM2822" s="505" t="str">
        <f t="shared" si="2165"/>
        <v/>
      </c>
      <c r="AN2822" s="506"/>
      <c r="AO2822" s="507"/>
      <c r="AP2822" s="507"/>
      <c r="AQ2822" s="507"/>
      <c r="AR2822" s="507"/>
      <c r="AS2822" s="507"/>
      <c r="AT2822" s="507"/>
      <c r="AU2822" s="507"/>
      <c r="AV2822" s="225"/>
      <c r="AW2822" s="508"/>
      <c r="AX2822" s="225"/>
      <c r="AY2822" s="225"/>
      <c r="AZ2822" s="225"/>
      <c r="BA2822" s="225"/>
      <c r="BB2822" s="225"/>
      <c r="BC2822" s="56"/>
      <c r="BD2822" s="56"/>
      <c r="BE2822" s="56"/>
      <c r="BF2822" s="107" t="str">
        <f t="shared" si="2166"/>
        <v>https://www.google.com/search?tbm=isch&amp;q=Peve%20Minaret%20Dwarf%20Bald%20Cypress%20Taxodium%20distichum%20%27Peve%20Minaret%27</v>
      </c>
      <c r="BG2822" s="107" t="str">
        <f t="shared" si="2167"/>
        <v>P</v>
      </c>
      <c r="BH2822" s="254"/>
      <c r="BI2822" s="254"/>
    </row>
    <row r="2823" spans="1:61" customFormat="1" ht="15.75" x14ac:dyDescent="0.25">
      <c r="A2823" s="276">
        <v>7</v>
      </c>
      <c r="B2823" s="240" t="s">
        <v>291</v>
      </c>
      <c r="C2823" s="241" t="s">
        <v>4146</v>
      </c>
      <c r="D2823" s="242" t="s">
        <v>292</v>
      </c>
      <c r="E2823" s="243">
        <v>148.94999999999999</v>
      </c>
      <c r="F2823" s="517" t="s">
        <v>293</v>
      </c>
      <c r="G2823" s="232">
        <v>0</v>
      </c>
      <c r="H2823" s="661" t="str">
        <f>IF(G2823=0,"",IF(F2823="Buy",IF(G2823=1,"plant","plants"),IF(F2823&gt;0.01,"warranty","Error")))</f>
        <v/>
      </c>
      <c r="I2823" s="244">
        <f>IF(H2823="free",0,IF(H2823="credit",((E2823*(F2823))*G2823*-1),IF(F2823="Buy",(E2823*G2823),((E2823*(1-F2823))*G2823))))</f>
        <v>0</v>
      </c>
      <c r="J2823" s="244">
        <f>IF(H2823="warranty",0,(I2823*(_xlfn.SINGLE(SalesTaxPercentage))))</f>
        <v>0</v>
      </c>
      <c r="K2823" s="696">
        <f t="shared" ref="K2823" si="2196">I2823+J2823</f>
        <v>0</v>
      </c>
      <c r="L2823" s="696"/>
      <c r="M2823" s="659" t="str">
        <f>IF(AND(G2823&gt;0,E2823=0),"WARNING - no PRICE inserted",IF(H2823="free"," FREE ~ no charge this plant",IF(H2823="credit",CONCATENATE(" -$",ROUND(K2823*(1-T2GDiscount)*-1,2)," CREDIT after discount"),IF(T2GDiscount=0,"",IF(G2823=0,"",IF(F2823="Buy",CONCATENATE(" $",ROUND(K2823*(1-T2GDiscount),2)," with ",(T2GDiscount*100),"% discount"),CONCATENATE(" $",ROUND(K2823*(1-T2GDiscount),2)," with ",((T2GDiscount*100+F2823*100)-(T2GDiscount*100*F2823)),IF(F2823&gt;0,"% discounts",IF(NoWarrantyDiscount&gt;0,"% discounts","% discount")))))))))</f>
        <v/>
      </c>
      <c r="N2823" s="660"/>
      <c r="O2823" s="233"/>
      <c r="P2823" s="233"/>
      <c r="Q2823" s="233"/>
      <c r="R2823" s="233"/>
      <c r="S2823" s="233"/>
      <c r="T2823" s="508">
        <f t="shared" si="2155"/>
        <v>0</v>
      </c>
      <c r="U2823" s="225">
        <f>IF(NOT(ISNUMBER(G2823)), "", VLOOKUP(A2823,'Discount Lookup'!D:E,2,FALSE)*G2823)</f>
        <v>0</v>
      </c>
      <c r="V2823" s="225">
        <f>IF(NOT(ISNUMBER(G2823)), "", VLOOKUP(A2823,'Discount Lookup'!G:H,2,FALSE)*G2823)</f>
        <v>0</v>
      </c>
      <c r="W2823" s="508">
        <f t="shared" si="2156"/>
        <v>0</v>
      </c>
      <c r="X2823" s="508">
        <f t="shared" si="2157"/>
        <v>0</v>
      </c>
      <c r="Y2823" s="509" t="b">
        <f t="shared" si="2158"/>
        <v>0</v>
      </c>
      <c r="Z2823" s="510">
        <f t="shared" si="2159"/>
        <v>0</v>
      </c>
      <c r="AA2823" s="511"/>
      <c r="AB2823" s="511" t="str">
        <f t="shared" si="2160"/>
        <v/>
      </c>
      <c r="AC2823" s="698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698"/>
      <c r="AE2823" s="631" t="str">
        <f t="shared" si="2161"/>
        <v/>
      </c>
      <c r="AF2823" s="699" t="str">
        <f t="shared" si="2162"/>
        <v/>
      </c>
      <c r="AG2823" s="699"/>
      <c r="AH2823" s="699"/>
      <c r="AI2823" s="512">
        <f>IF(H2823="credit",0,IF(AE2823="free",0,IF(AE2823="me",0,IF(G2823&gt;0,(VLOOKUP(A2823,'Discount Lookup'!J:K,2)*G2823),0))))</f>
        <v>0</v>
      </c>
      <c r="AJ2823" s="513" t="str">
        <f t="shared" ca="1" si="2163"/>
        <v/>
      </c>
      <c r="AK2823" s="700" t="str">
        <f t="shared" si="2164"/>
        <v/>
      </c>
      <c r="AL2823" s="700"/>
      <c r="AM2823" s="505" t="str">
        <f t="shared" si="2165"/>
        <v/>
      </c>
      <c r="AN2823" s="506"/>
      <c r="AO2823" s="507"/>
      <c r="AP2823" s="507"/>
      <c r="AQ2823" s="507"/>
      <c r="AR2823" s="507"/>
      <c r="AS2823" s="507"/>
      <c r="AT2823" s="507"/>
      <c r="AU2823" s="507"/>
      <c r="AV2823" s="225"/>
      <c r="AW2823" s="508"/>
      <c r="AX2823" s="225"/>
      <c r="AY2823" s="225"/>
      <c r="AZ2823" s="225"/>
      <c r="BA2823" s="225"/>
      <c r="BB2823" s="225"/>
      <c r="BC2823" s="56"/>
      <c r="BD2823" s="56"/>
      <c r="BE2823" s="56"/>
      <c r="BF2823" s="107" t="str">
        <f t="shared" si="2166"/>
        <v>https://www.google.com/search?tbm=isch&amp;q=7%20G4</v>
      </c>
      <c r="BG2823" s="107" t="str">
        <f t="shared" si="2167"/>
        <v>P</v>
      </c>
      <c r="BH2823" s="254"/>
      <c r="BI2823" s="254"/>
    </row>
    <row r="2824" spans="1:61" customFormat="1" ht="15.75" x14ac:dyDescent="0.25">
      <c r="A2824" s="276">
        <v>15</v>
      </c>
      <c r="B2824" s="240" t="s">
        <v>291</v>
      </c>
      <c r="C2824" s="241" t="s">
        <v>4147</v>
      </c>
      <c r="D2824" s="242" t="s">
        <v>292</v>
      </c>
      <c r="E2824" s="243">
        <v>270.95</v>
      </c>
      <c r="F2824" s="517" t="s">
        <v>293</v>
      </c>
      <c r="G2824" s="232">
        <v>0</v>
      </c>
      <c r="H2824" s="661" t="str">
        <f>IF(G2824=0,"",IF(F2824="Buy",IF(G2824=1,"plant","plants"),IF(F2824&gt;0.01,"warranty","Error")))</f>
        <v/>
      </c>
      <c r="I2824" s="244">
        <f>IF(H2824="free",0,IF(H2824="credit",((E2824*(F2824))*G2824*-1),IF(F2824="Buy",(E2824*G2824),((E2824*(1-F2824))*G2824))))</f>
        <v>0</v>
      </c>
      <c r="J2824" s="244">
        <f>IF(H2824="warranty",0,(I2824*(_xlfn.SINGLE(SalesTaxPercentage))))</f>
        <v>0</v>
      </c>
      <c r="K2824" s="696">
        <f t="shared" ref="K2824" si="2197">I2824+J2824</f>
        <v>0</v>
      </c>
      <c r="L2824" s="696"/>
      <c r="M2824" s="659" t="str">
        <f>IF(AND(G2824&gt;0,E2824=0),"WARNING - no PRICE inserted",IF(H2824="free"," FREE ~ no charge this plant",IF(H2824="credit",CONCATENATE(" -$",ROUND(K2824*(1-T2GDiscount)*-1,2)," CREDIT after discount"),IF(T2GDiscount=0,"",IF(G2824=0,"",IF(F2824="Buy",CONCATENATE(" $",ROUND(K2824*(1-T2GDiscount),2)," with ",(T2GDiscount*100),"% discount"),CONCATENATE(" $",ROUND(K2824*(1-T2GDiscount),2)," with ",((T2GDiscount*100+F2824*100)-(T2GDiscount*100*F2824)),IF(F2824&gt;0,"% discounts",IF(NoWarrantyDiscount&gt;0,"% discounts","% discount")))))))))</f>
        <v/>
      </c>
      <c r="N2824" s="660"/>
      <c r="O2824" s="233"/>
      <c r="P2824" s="233"/>
      <c r="Q2824" s="233"/>
      <c r="R2824" s="233"/>
      <c r="S2824" s="233"/>
      <c r="T2824" s="508">
        <f t="shared" si="2155"/>
        <v>0</v>
      </c>
      <c r="U2824" s="225">
        <f>IF(NOT(ISNUMBER(G2824)), "", VLOOKUP(A2824,'Discount Lookup'!D:E,2,FALSE)*G2824)</f>
        <v>0</v>
      </c>
      <c r="V2824" s="225">
        <f>IF(NOT(ISNUMBER(G2824)), "", VLOOKUP(A2824,'Discount Lookup'!G:H,2,FALSE)*G2824)</f>
        <v>0</v>
      </c>
      <c r="W2824" s="508">
        <f t="shared" si="2156"/>
        <v>0</v>
      </c>
      <c r="X2824" s="508">
        <f t="shared" si="2157"/>
        <v>0</v>
      </c>
      <c r="Y2824" s="509" t="b">
        <f t="shared" si="2158"/>
        <v>0</v>
      </c>
      <c r="Z2824" s="510">
        <f t="shared" si="2159"/>
        <v>0</v>
      </c>
      <c r="AA2824" s="511"/>
      <c r="AB2824" s="511" t="str">
        <f t="shared" si="2160"/>
        <v/>
      </c>
      <c r="AC2824" s="698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698"/>
      <c r="AE2824" s="631" t="str">
        <f t="shared" si="2161"/>
        <v/>
      </c>
      <c r="AF2824" s="699" t="str">
        <f t="shared" si="2162"/>
        <v/>
      </c>
      <c r="AG2824" s="699"/>
      <c r="AH2824" s="699"/>
      <c r="AI2824" s="512">
        <f>IF(H2824="credit",0,IF(AE2824="free",0,IF(AE2824="me",0,IF(G2824&gt;0,(VLOOKUP(A2824,'Discount Lookup'!J:K,2)*G2824),0))))</f>
        <v>0</v>
      </c>
      <c r="AJ2824" s="513" t="str">
        <f t="shared" ca="1" si="2163"/>
        <v/>
      </c>
      <c r="AK2824" s="700" t="str">
        <f t="shared" si="2164"/>
        <v/>
      </c>
      <c r="AL2824" s="700"/>
      <c r="AM2824" s="505" t="str">
        <f t="shared" si="2165"/>
        <v/>
      </c>
      <c r="AN2824" s="506"/>
      <c r="AO2824" s="507"/>
      <c r="AP2824" s="507"/>
      <c r="AQ2824" s="507"/>
      <c r="AR2824" s="507"/>
      <c r="AS2824" s="507"/>
      <c r="AT2824" s="507"/>
      <c r="AU2824" s="507"/>
      <c r="AV2824" s="225"/>
      <c r="AW2824" s="508"/>
      <c r="AX2824" s="225"/>
      <c r="AY2824" s="225"/>
      <c r="AZ2824" s="225"/>
      <c r="BA2824" s="225"/>
      <c r="BB2824" s="225"/>
      <c r="BC2824" s="56"/>
      <c r="BD2824" s="56"/>
      <c r="BE2824" s="56"/>
      <c r="BF2824" s="107" t="str">
        <f t="shared" si="2166"/>
        <v>https://www.google.com/search?tbm=isch&amp;q=15%20G4</v>
      </c>
      <c r="BG2824" s="107" t="str">
        <f t="shared" si="2167"/>
        <v>P</v>
      </c>
      <c r="BH2824" s="254"/>
      <c r="BI2824" s="254"/>
    </row>
    <row r="2825" spans="1:61" customFormat="1" ht="17.25" thickBot="1" x14ac:dyDescent="0.3">
      <c r="A2825" s="673" t="s">
        <v>5202</v>
      </c>
      <c r="B2825" s="245"/>
      <c r="C2825" s="677"/>
      <c r="D2825" s="499"/>
      <c r="E2825" s="499"/>
      <c r="F2825" s="500"/>
      <c r="G2825" s="501"/>
      <c r="H2825" s="502"/>
      <c r="I2825" s="246"/>
      <c r="J2825" s="247"/>
      <c r="K2825" s="503"/>
      <c r="L2825" s="544"/>
      <c r="M2825" s="544"/>
      <c r="N2825" s="500"/>
      <c r="O2825" s="500"/>
      <c r="P2825" s="500"/>
      <c r="Q2825" s="500"/>
      <c r="R2825" s="500"/>
      <c r="S2825" s="278"/>
      <c r="T2825" s="508">
        <f t="shared" si="2155"/>
        <v>0</v>
      </c>
      <c r="U2825" s="225" t="str">
        <f>IF(NOT(ISNUMBER(G2825)), "", VLOOKUP(A2825,'Discount Lookup'!D:E,2,FALSE)*G2825)</f>
        <v/>
      </c>
      <c r="V2825" s="225" t="str">
        <f>IF(NOT(ISNUMBER(G2825)), "", VLOOKUP(A2825,'Discount Lookup'!G:H,2,FALSE)*G2825)</f>
        <v/>
      </c>
      <c r="W2825" s="508">
        <f t="shared" si="2156"/>
        <v>0</v>
      </c>
      <c r="X2825" s="508">
        <f t="shared" si="2157"/>
        <v>0</v>
      </c>
      <c r="Y2825" s="509" t="b">
        <f t="shared" si="2158"/>
        <v>0</v>
      </c>
      <c r="Z2825" s="510">
        <f t="shared" si="2159"/>
        <v>0</v>
      </c>
      <c r="AA2825" s="511"/>
      <c r="AB2825" s="511" t="str">
        <f t="shared" si="2160"/>
        <v/>
      </c>
      <c r="AC2825" s="698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698"/>
      <c r="AE2825" s="631" t="str">
        <f t="shared" si="2161"/>
        <v/>
      </c>
      <c r="AF2825" s="699" t="str">
        <f t="shared" si="2162"/>
        <v/>
      </c>
      <c r="AG2825" s="699"/>
      <c r="AH2825" s="699"/>
      <c r="AI2825" s="512">
        <f>IF(H2825="credit",0,IF(AE2825="free",0,IF(AE2825="me",0,IF(G2825&gt;0,(VLOOKUP(A2825,'Discount Lookup'!J:K,2)*G2825),0))))</f>
        <v>0</v>
      </c>
      <c r="AJ2825" s="513" t="str">
        <f t="shared" ca="1" si="2163"/>
        <v/>
      </c>
      <c r="AK2825" s="700" t="str">
        <f t="shared" si="2164"/>
        <v/>
      </c>
      <c r="AL2825" s="700"/>
      <c r="AM2825" s="505" t="str">
        <f t="shared" si="2165"/>
        <v/>
      </c>
      <c r="AN2825" s="506"/>
      <c r="AO2825" s="507"/>
      <c r="AP2825" s="507"/>
      <c r="AQ2825" s="507"/>
      <c r="AR2825" s="507"/>
      <c r="AS2825" s="507"/>
      <c r="AT2825" s="507"/>
      <c r="AU2825" s="507"/>
      <c r="AV2825" s="225"/>
      <c r="AW2825" s="508"/>
      <c r="AX2825" s="225"/>
      <c r="AY2825" s="225"/>
      <c r="AZ2825" s="225"/>
      <c r="BA2825" s="225"/>
      <c r="BB2825" s="225"/>
      <c r="BC2825" s="56"/>
      <c r="BD2825" s="56"/>
      <c r="BE2825" s="56"/>
      <c r="BF2825" s="107" t="str">
        <f t="shared" si="2166"/>
        <v>https://www.google.com/search?tbm=isch&amp;q=wet%20sites%F0%9F%92%A7BEST%2C%20Peve%20Minaret%20foliage%20is%20feathery%20dark%20green%2C%20rust%20color%20in%20fall.%20Chestnut-red%20bark%20</v>
      </c>
      <c r="BG2825" s="107" t="str">
        <f t="shared" si="2167"/>
        <v>w</v>
      </c>
      <c r="BH2825" s="254"/>
      <c r="BI2825" s="254"/>
    </row>
    <row r="2826" spans="1:61" customFormat="1" ht="18" x14ac:dyDescent="0.25">
      <c r="A2826" s="523" t="s">
        <v>1506</v>
      </c>
      <c r="B2826" s="235"/>
      <c r="C2826" s="676"/>
      <c r="D2826" s="255" t="s">
        <v>1507</v>
      </c>
      <c r="E2826" s="236"/>
      <c r="F2826" s="236"/>
      <c r="G2826" s="236"/>
      <c r="H2826" s="582" t="s">
        <v>1044</v>
      </c>
      <c r="I2826" s="498" t="s">
        <v>2109</v>
      </c>
      <c r="J2826" s="237"/>
      <c r="K2826" s="237"/>
      <c r="L2826" s="274"/>
      <c r="M2826" s="668" t="s">
        <v>4962</v>
      </c>
      <c r="N2826" s="681" t="str">
        <f>IF(AND(ISTEXT($A2826), ISERROR($A2826+0)), HYPERLINK($BF2826, "Images"), "")</f>
        <v>Images</v>
      </c>
      <c r="O2826" s="663" t="s">
        <v>4974</v>
      </c>
      <c r="P2826" s="253"/>
      <c r="Q2826" s="238"/>
      <c r="R2826" s="239"/>
      <c r="S2826" s="275" t="s">
        <v>305</v>
      </c>
      <c r="T2826" s="508">
        <f t="shared" si="2155"/>
        <v>0</v>
      </c>
      <c r="U2826" s="225" t="str">
        <f>IF(NOT(ISNUMBER(G2826)), "", VLOOKUP(A2826,'Discount Lookup'!D:E,2,FALSE)*G2826)</f>
        <v/>
      </c>
      <c r="V2826" s="225" t="str">
        <f>IF(NOT(ISNUMBER(G2826)), "", VLOOKUP(A2826,'Discount Lookup'!G:H,2,FALSE)*G2826)</f>
        <v/>
      </c>
      <c r="W2826" s="508">
        <f t="shared" si="2156"/>
        <v>0</v>
      </c>
      <c r="X2826" s="508" t="str">
        <f t="shared" si="2157"/>
        <v>Green foliage</v>
      </c>
      <c r="Y2826" s="509" t="b">
        <f t="shared" si="2158"/>
        <v>0</v>
      </c>
      <c r="Z2826" s="510">
        <f t="shared" si="2159"/>
        <v>0</v>
      </c>
      <c r="AA2826" s="511"/>
      <c r="AB2826" s="511" t="str">
        <f t="shared" si="2160"/>
        <v/>
      </c>
      <c r="AC2826" s="698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698"/>
      <c r="AE2826" s="631" t="str">
        <f t="shared" si="2161"/>
        <v/>
      </c>
      <c r="AF2826" s="699" t="str">
        <f t="shared" si="2162"/>
        <v/>
      </c>
      <c r="AG2826" s="699"/>
      <c r="AH2826" s="699"/>
      <c r="AI2826" s="512">
        <f>IF(H2826="credit",0,IF(AE2826="free",0,IF(AE2826="me",0,IF(G2826&gt;0,(VLOOKUP(A2826,'Discount Lookup'!J:K,2)*G2826),0))))</f>
        <v>0</v>
      </c>
      <c r="AJ2826" s="513" t="str">
        <f t="shared" ca="1" si="2163"/>
        <v/>
      </c>
      <c r="AK2826" s="700" t="str">
        <f t="shared" si="2164"/>
        <v/>
      </c>
      <c r="AL2826" s="700"/>
      <c r="AM2826" s="505" t="str">
        <f t="shared" si="2165"/>
        <v/>
      </c>
      <c r="AN2826" s="506"/>
      <c r="AO2826" s="507"/>
      <c r="AP2826" s="507"/>
      <c r="AQ2826" s="507"/>
      <c r="AR2826" s="507"/>
      <c r="AS2826" s="507"/>
      <c r="AT2826" s="507"/>
      <c r="AU2826" s="507"/>
      <c r="AV2826" s="225"/>
      <c r="AW2826" s="508"/>
      <c r="AX2826" s="225"/>
      <c r="AY2826" s="225"/>
      <c r="AZ2826" s="225"/>
      <c r="BA2826" s="225"/>
      <c r="BB2826" s="225"/>
      <c r="BC2826" s="56"/>
      <c r="BD2826" s="56"/>
      <c r="BE2826" s="56"/>
      <c r="BF2826" s="107" t="str">
        <f t="shared" si="2166"/>
        <v>https://www.google.com/search?tbm=isch&amp;q=Pin%20Oak%20Quercus%20palustris</v>
      </c>
      <c r="BG2826" s="107" t="str">
        <f t="shared" si="2167"/>
        <v>P</v>
      </c>
      <c r="BH2826" s="254"/>
      <c r="BI2826" s="254"/>
    </row>
    <row r="2827" spans="1:61" customFormat="1" ht="15.75" x14ac:dyDescent="0.25">
      <c r="A2827" s="276">
        <v>25</v>
      </c>
      <c r="B2827" s="240" t="s">
        <v>291</v>
      </c>
      <c r="C2827" s="241" t="s">
        <v>1508</v>
      </c>
      <c r="D2827" s="242" t="s">
        <v>300</v>
      </c>
      <c r="E2827" s="243">
        <v>299.95</v>
      </c>
      <c r="F2827" s="517" t="s">
        <v>293</v>
      </c>
      <c r="G2827" s="232">
        <v>0</v>
      </c>
      <c r="H2827" s="661" t="str">
        <f>IF(G2827=0,"",IF(F2827="Buy",IF(G2827=1,"plant","plants"),IF(F2827&gt;0.01,"warranty","Error")))</f>
        <v/>
      </c>
      <c r="I2827" s="244">
        <f>IF(H2827="free",0,IF(H2827="credit",((E2827*(F2827))*G2827*-1),IF(F2827="Buy",(E2827*G2827),((E2827*(1-F2827))*G2827))))</f>
        <v>0</v>
      </c>
      <c r="J2827" s="244">
        <f>IF(H2827="warranty",0,(I2827*(_xlfn.SINGLE(SalesTaxPercentage))))</f>
        <v>0</v>
      </c>
      <c r="K2827" s="696">
        <f t="shared" ref="K2827" si="2198">I2827+J2827</f>
        <v>0</v>
      </c>
      <c r="L2827" s="696"/>
      <c r="M2827" s="659" t="str">
        <f>IF(AND(G2827&gt;0,E2827=0),"WARNING - no PRICE inserted",IF(H2827="free"," FREE ~ no charge this plant",IF(H2827="credit",CONCATENATE(" -$",ROUND(K2827*(1-T2GDiscount)*-1,2)," CREDIT after discount"),IF(T2GDiscount=0,"",IF(G2827=0,"",IF(F2827="Buy",CONCATENATE(" $",ROUND(K2827*(1-T2GDiscount),2)," with ",(T2GDiscount*100),"% discount"),CONCATENATE(" $",ROUND(K2827*(1-T2GDiscount),2)," with ",((T2GDiscount*100+F2827*100)-(T2GDiscount*100*F2827)),IF(F2827&gt;0,"% discounts",IF(NoWarrantyDiscount&gt;0,"% discounts","% discount")))))))))</f>
        <v/>
      </c>
      <c r="N2827" s="660"/>
      <c r="O2827" s="233"/>
      <c r="P2827" s="233"/>
      <c r="Q2827" s="233"/>
      <c r="R2827" s="233"/>
      <c r="S2827" s="233"/>
      <c r="T2827" s="508">
        <f t="shared" si="2155"/>
        <v>0</v>
      </c>
      <c r="U2827" s="225">
        <f>IF(NOT(ISNUMBER(G2827)), "", VLOOKUP(A2827,'Discount Lookup'!D:E,2,FALSE)*G2827)</f>
        <v>0</v>
      </c>
      <c r="V2827" s="225">
        <f>IF(NOT(ISNUMBER(G2827)), "", VLOOKUP(A2827,'Discount Lookup'!G:H,2,FALSE)*G2827)</f>
        <v>0</v>
      </c>
      <c r="W2827" s="508">
        <f t="shared" si="2156"/>
        <v>0</v>
      </c>
      <c r="X2827" s="508">
        <f t="shared" si="2157"/>
        <v>0</v>
      </c>
      <c r="Y2827" s="509" t="b">
        <f t="shared" si="2158"/>
        <v>0</v>
      </c>
      <c r="Z2827" s="510">
        <f t="shared" si="2159"/>
        <v>0</v>
      </c>
      <c r="AA2827" s="511"/>
      <c r="AB2827" s="511" t="str">
        <f t="shared" si="2160"/>
        <v/>
      </c>
      <c r="AC2827" s="698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698"/>
      <c r="AE2827" s="631" t="str">
        <f t="shared" si="2161"/>
        <v/>
      </c>
      <c r="AF2827" s="699" t="str">
        <f t="shared" si="2162"/>
        <v/>
      </c>
      <c r="AG2827" s="699"/>
      <c r="AH2827" s="699"/>
      <c r="AI2827" s="512">
        <f>IF(H2827="credit",0,IF(AE2827="free",0,IF(AE2827="me",0,IF(G2827&gt;0,(VLOOKUP(A2827,'Discount Lookup'!J:K,2)*G2827),0))))</f>
        <v>0</v>
      </c>
      <c r="AJ2827" s="513" t="str">
        <f t="shared" ca="1" si="2163"/>
        <v/>
      </c>
      <c r="AK2827" s="700" t="str">
        <f t="shared" si="2164"/>
        <v/>
      </c>
      <c r="AL2827" s="700"/>
      <c r="AM2827" s="505" t="str">
        <f t="shared" si="2165"/>
        <v/>
      </c>
      <c r="AN2827" s="506"/>
      <c r="AO2827" s="507"/>
      <c r="AP2827" s="507"/>
      <c r="AQ2827" s="507"/>
      <c r="AR2827" s="507"/>
      <c r="AS2827" s="507"/>
      <c r="AT2827" s="507"/>
      <c r="AU2827" s="507"/>
      <c r="AV2827" s="225"/>
      <c r="AW2827" s="508"/>
      <c r="AX2827" s="225"/>
      <c r="AY2827" s="225"/>
      <c r="AZ2827" s="225"/>
      <c r="BA2827" s="225"/>
      <c r="BB2827" s="225"/>
      <c r="BC2827" s="56"/>
      <c r="BD2827" s="56"/>
      <c r="BE2827" s="56"/>
      <c r="BF2827" s="107" t="str">
        <f t="shared" si="2166"/>
        <v>https://www.google.com/search?tbm=isch&amp;q=25%20G6</v>
      </c>
      <c r="BG2827" s="107" t="str">
        <f t="shared" si="2167"/>
        <v>P</v>
      </c>
      <c r="BH2827" s="254"/>
      <c r="BI2827" s="254"/>
    </row>
    <row r="2828" spans="1:61" customFormat="1" ht="17.25" thickBot="1" x14ac:dyDescent="0.3">
      <c r="A2828" s="673" t="s">
        <v>5203</v>
      </c>
      <c r="B2828" s="245"/>
      <c r="C2828" s="677"/>
      <c r="D2828" s="499"/>
      <c r="E2828" s="499"/>
      <c r="F2828" s="500"/>
      <c r="G2828" s="501"/>
      <c r="H2828" s="502"/>
      <c r="I2828" s="246"/>
      <c r="J2828" s="247"/>
      <c r="K2828" s="503"/>
      <c r="L2828" s="544"/>
      <c r="M2828" s="544"/>
      <c r="N2828" s="500"/>
      <c r="O2828" s="500"/>
      <c r="P2828" s="500"/>
      <c r="Q2828" s="500"/>
      <c r="R2828" s="500"/>
      <c r="S2828" s="669" t="s">
        <v>4978</v>
      </c>
      <c r="T2828" s="508">
        <f t="shared" si="2155"/>
        <v>0</v>
      </c>
      <c r="U2828" s="225" t="str">
        <f>IF(NOT(ISNUMBER(G2828)), "", VLOOKUP(A2828,'Discount Lookup'!D:E,2,FALSE)*G2828)</f>
        <v/>
      </c>
      <c r="V2828" s="225" t="str">
        <f>IF(NOT(ISNUMBER(G2828)), "", VLOOKUP(A2828,'Discount Lookup'!G:H,2,FALSE)*G2828)</f>
        <v/>
      </c>
      <c r="W2828" s="508">
        <f t="shared" si="2156"/>
        <v>0</v>
      </c>
      <c r="X2828" s="508">
        <f t="shared" si="2157"/>
        <v>0</v>
      </c>
      <c r="Y2828" s="509" t="b">
        <f t="shared" si="2158"/>
        <v>0</v>
      </c>
      <c r="Z2828" s="510">
        <f t="shared" si="2159"/>
        <v>0</v>
      </c>
      <c r="AA2828" s="511"/>
      <c r="AB2828" s="511" t="str">
        <f t="shared" si="2160"/>
        <v/>
      </c>
      <c r="AC2828" s="698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698"/>
      <c r="AE2828" s="631" t="str">
        <f t="shared" si="2161"/>
        <v/>
      </c>
      <c r="AF2828" s="699" t="str">
        <f t="shared" si="2162"/>
        <v/>
      </c>
      <c r="AG2828" s="699"/>
      <c r="AH2828" s="699"/>
      <c r="AI2828" s="512">
        <f>IF(H2828="credit",0,IF(AE2828="free",0,IF(AE2828="me",0,IF(G2828&gt;0,(VLOOKUP(A2828,'Discount Lookup'!J:K,2)*G2828),0))))</f>
        <v>0</v>
      </c>
      <c r="AJ2828" s="513" t="str">
        <f t="shared" ca="1" si="2163"/>
        <v/>
      </c>
      <c r="AK2828" s="700" t="str">
        <f t="shared" si="2164"/>
        <v/>
      </c>
      <c r="AL2828" s="700"/>
      <c r="AM2828" s="505" t="str">
        <f t="shared" si="2165"/>
        <v/>
      </c>
      <c r="AN2828" s="506"/>
      <c r="AO2828" s="507"/>
      <c r="AP2828" s="507"/>
      <c r="AQ2828" s="507"/>
      <c r="AR2828" s="507"/>
      <c r="AS2828" s="507"/>
      <c r="AT2828" s="507"/>
      <c r="AU2828" s="507"/>
      <c r="AV2828" s="225"/>
      <c r="AW2828" s="508"/>
      <c r="AX2828" s="225"/>
      <c r="AY2828" s="225"/>
      <c r="AZ2828" s="225"/>
      <c r="BA2828" s="225"/>
      <c r="BB2828" s="225"/>
      <c r="BC2828" s="56"/>
      <c r="BD2828" s="56"/>
      <c r="BE2828" s="56"/>
      <c r="BF2828" s="107" t="str">
        <f t="shared" si="2166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2828" s="107" t="str">
        <f t="shared" si="2167"/>
        <v>w</v>
      </c>
      <c r="BH2828" s="254"/>
      <c r="BI2828" s="254"/>
    </row>
    <row r="2829" spans="1:61" customFormat="1" ht="18" x14ac:dyDescent="0.25">
      <c r="A2829" s="521" t="s">
        <v>1509</v>
      </c>
      <c r="B2829" s="477"/>
      <c r="C2829" s="674"/>
      <c r="D2829" s="478" t="s">
        <v>1510</v>
      </c>
      <c r="E2829" s="479"/>
      <c r="F2829" s="479"/>
      <c r="G2829" s="479"/>
      <c r="H2829" s="582" t="s">
        <v>1164</v>
      </c>
      <c r="I2829" s="480" t="s">
        <v>2950</v>
      </c>
      <c r="J2829" s="479"/>
      <c r="K2829" s="479"/>
      <c r="L2829" s="560"/>
      <c r="M2829" s="671" t="s">
        <v>4985</v>
      </c>
      <c r="N2829" s="680" t="str">
        <f>IF(AND(ISTEXT($A2829), ISERROR($A2829+0)), HYPERLINK($BF2829, "Images"), "")</f>
        <v>Images</v>
      </c>
      <c r="O2829" s="662" t="s">
        <v>4969</v>
      </c>
      <c r="P2829" s="482"/>
      <c r="Q2829" s="483"/>
      <c r="R2829" s="483"/>
      <c r="S2829" s="484"/>
      <c r="T2829" s="508">
        <f t="shared" si="2155"/>
        <v>0</v>
      </c>
      <c r="U2829" s="225" t="str">
        <f>IF(NOT(ISNUMBER(G2829)), "", VLOOKUP(A2829,'Discount Lookup'!D:E,2,FALSE)*G2829)</f>
        <v/>
      </c>
      <c r="V2829" s="225" t="str">
        <f>IF(NOT(ISNUMBER(G2829)), "", VLOOKUP(A2829,'Discount Lookup'!G:H,2,FALSE)*G2829)</f>
        <v/>
      </c>
      <c r="W2829" s="508">
        <f t="shared" si="2156"/>
        <v>0</v>
      </c>
      <c r="X2829" s="508" t="str">
        <f t="shared" si="2157"/>
        <v>White, Pink, Red, more…</v>
      </c>
      <c r="Y2829" s="509" t="b">
        <f t="shared" si="2158"/>
        <v>0</v>
      </c>
      <c r="Z2829" s="510">
        <f t="shared" si="2159"/>
        <v>0</v>
      </c>
      <c r="AA2829" s="511"/>
      <c r="AB2829" s="511" t="str">
        <f t="shared" si="2160"/>
        <v/>
      </c>
      <c r="AC2829" s="698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698"/>
      <c r="AE2829" s="631" t="str">
        <f t="shared" si="2161"/>
        <v/>
      </c>
      <c r="AF2829" s="699" t="str">
        <f t="shared" si="2162"/>
        <v/>
      </c>
      <c r="AG2829" s="699"/>
      <c r="AH2829" s="699"/>
      <c r="AI2829" s="512">
        <f>IF(H2829="credit",0,IF(AE2829="free",0,IF(AE2829="me",0,IF(G2829&gt;0,(VLOOKUP(A2829,'Discount Lookup'!J:K,2)*G2829),0))))</f>
        <v>0</v>
      </c>
      <c r="AJ2829" s="513" t="str">
        <f t="shared" ca="1" si="2163"/>
        <v/>
      </c>
      <c r="AK2829" s="700" t="str">
        <f t="shared" si="2164"/>
        <v/>
      </c>
      <c r="AL2829" s="700"/>
      <c r="AM2829" s="505" t="str">
        <f t="shared" si="2165"/>
        <v/>
      </c>
      <c r="AN2829" s="506"/>
      <c r="AO2829" s="507"/>
      <c r="AP2829" s="507"/>
      <c r="AQ2829" s="507"/>
      <c r="AR2829" s="507"/>
      <c r="AS2829" s="507"/>
      <c r="AT2829" s="507"/>
      <c r="AU2829" s="507"/>
      <c r="AV2829" s="225"/>
      <c r="AW2829" s="508"/>
      <c r="AX2829" s="225"/>
      <c r="AY2829" s="225"/>
      <c r="AZ2829" s="225"/>
      <c r="BA2829" s="225"/>
      <c r="BB2829" s="225"/>
      <c r="BC2829" s="56"/>
      <c r="BD2829" s="56"/>
      <c r="BE2829" s="56"/>
      <c r="BF2829" s="107" t="str">
        <f t="shared" si="2166"/>
        <v>https://www.google.com/search?tbm=isch&amp;q=Pine%20Knot%20Lenten%20Rose%20Helleborus%20x%20hybridus%20%27Pine%20Knot%20Strain%27</v>
      </c>
      <c r="BG2829" s="107" t="str">
        <f t="shared" si="2167"/>
        <v>P</v>
      </c>
      <c r="BH2829" s="254"/>
      <c r="BI2829" s="254"/>
    </row>
    <row r="2830" spans="1:61" customFormat="1" ht="15.75" x14ac:dyDescent="0.25">
      <c r="A2830" s="485">
        <v>1</v>
      </c>
      <c r="B2830" s="486" t="s">
        <v>291</v>
      </c>
      <c r="C2830" s="487"/>
      <c r="D2830" s="488" t="s">
        <v>300</v>
      </c>
      <c r="E2830" s="489">
        <v>21.95</v>
      </c>
      <c r="F2830" s="516" t="s">
        <v>293</v>
      </c>
      <c r="G2830" s="232">
        <v>0</v>
      </c>
      <c r="H2830" s="658" t="str">
        <f>IF(G2830=0,"",IF(F2830="Buy",IF(G2830=1,"plant","plants"),IF(F2830&gt;0.01,"warranty","Error")))</f>
        <v/>
      </c>
      <c r="I2830" s="490">
        <f>IF(H2830="free",0,IF(H2830="credit",((E2830*(F2830))*G2830*-1),IF(F2830="Buy",(E2830*G2830),((E2830*(1-F2830))*G2830))))</f>
        <v>0</v>
      </c>
      <c r="J2830" s="490">
        <f>IF(H2830="warranty",0,(I2830*(_xlfn.SINGLE(SalesTaxPercentage))))</f>
        <v>0</v>
      </c>
      <c r="K2830" s="695">
        <f t="shared" ref="K2830" si="2199">I2830+J2830</f>
        <v>0</v>
      </c>
      <c r="L2830" s="695"/>
      <c r="M2830" s="659" t="str">
        <f>IF(AND(G2830&gt;0,E2830=0),"WARNING - no PRICE inserted",IF(H2830="free"," FREE ~ no charge this plant",IF(H2830="credit",CONCATENATE(" -$",ROUND(K2830*(1-T2GDiscount)*-1,2)," CREDIT after discount"),IF(T2GDiscount=0,"",IF(G2830=0,"",IF(F2830="Buy",CONCATENATE(" $",ROUND(K2830*(1-T2GDiscount),2)," with ",(T2GDiscount*100),"% discount"),CONCATENATE(" $",ROUND(K2830*(1-T2GDiscount),2)," with ",((T2GDiscount*100+F2830*100)-(T2GDiscount*100*F2830)),IF(F2830&gt;0,"% discounts",IF(NoWarrantyDiscount&gt;0,"% discounts","% discount")))))))))</f>
        <v/>
      </c>
      <c r="N2830" s="660"/>
      <c r="O2830" s="233"/>
      <c r="P2830" s="233"/>
      <c r="Q2830" s="233"/>
      <c r="R2830" s="233"/>
      <c r="S2830" s="233"/>
      <c r="T2830" s="508">
        <f t="shared" ref="T2830:T2893" si="2200">E2830*G2830</f>
        <v>0</v>
      </c>
      <c r="U2830" s="225">
        <f>IF(NOT(ISNUMBER(G2830)), "", VLOOKUP(A2830,'Discount Lookup'!D:E,2,FALSE)*G2830)</f>
        <v>0</v>
      </c>
      <c r="V2830" s="225">
        <f>IF(NOT(ISNUMBER(G2830)), "", VLOOKUP(A2830,'Discount Lookup'!G:H,2,FALSE)*G2830)</f>
        <v>0</v>
      </c>
      <c r="W2830" s="508">
        <f t="shared" ref="W2830:W2893" si="2201">IF(H2830="credit",0,E2830*(SalesTaxPercentage)*G2830)</f>
        <v>0</v>
      </c>
      <c r="X2830" s="508">
        <f t="shared" ref="X2830:X2893" si="2202">I2830</f>
        <v>0</v>
      </c>
      <c r="Y2830" s="509" t="b">
        <f t="shared" ref="Y2830:Y2893" si="2203">IF(AE2830="T2G",0,IF(H2830="credit",0,IF(G2830&gt;0,IF(AE2830="me","",G2830))))</f>
        <v>0</v>
      </c>
      <c r="Z2830" s="510">
        <f t="shared" ref="Z2830:Z2893" si="2204">IF(H2830="credit",G2830,0)</f>
        <v>0</v>
      </c>
      <c r="AA2830" s="511"/>
      <c r="AB2830" s="511" t="str">
        <f t="shared" ref="AB2830:AB2893" si="2205">IF(AE2830="T2G","by Trees2Go",IF(H2830="credit","CREDIT only ~",IF(AND(K2830="",AE2830=OR(PlanterYesMe="No",PlanterYesMe="N",PlanterYesMe="me")),"not THIS line⇨",IF(AND(K2830="images",AE2830="me"),"not THIS line⇨",IF(H2830="credit","",IF(G2830=0,"",IF(AE2830="me","",IF(OR(PlanterYesMe="No",PlanterYesMe="N",PlanterYesMe="me"),"",IF(AE2830="free","warranty",IF(OR(PlanterYesMe="yes",PlanterYesMe="y"),"Edison install:","to install:"))))))))))</f>
        <v/>
      </c>
      <c r="AC2830" s="698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698"/>
      <c r="AE2830" s="631" t="str">
        <f t="shared" ref="AE2830:AE2893" si="2206">IF(H2830="credit","",IF(G2830=0,"",IF(OR(PlanterYesMe="No",PlanterYesMe="N",PlanterYesMe="me"),"me",IF(H2830="warranty","free",IF(OR(PlanterYesMe="yes",PlanterYesMe="y"),"ELP","")))))</f>
        <v/>
      </c>
      <c r="AF2830" s="699" t="str">
        <f t="shared" ref="AF2830:AF2893" si="2207">IF(OR(PlanterYesMe="No",PlanterYesMe="N",PlanterYesMe="me"),"",IF(H2830="credit","",IF(G2830&gt;0,(CONCATENATE((G2830)," quantity, ",(A2830)," ",B2830)),"")))</f>
        <v/>
      </c>
      <c r="AG2830" s="699"/>
      <c r="AH2830" s="699"/>
      <c r="AI2830" s="512">
        <f>IF(H2830="credit",0,IF(AE2830="free",0,IF(AE2830="me",0,IF(G2830&gt;0,(VLOOKUP(A2830,'Discount Lookup'!J:K,2)*G2830),0))))</f>
        <v>0</v>
      </c>
      <c r="AJ2830" s="513" t="str">
        <f t="shared" ref="AJ2830:AJ2893" ca="1" si="2208">IF(AND(ISREF(H2830),H2830="credit"),"",IF(AND(AND(OFFSET(G2830,0,0)=0,OFFSET(G2830,1,0)&gt;0,ISNUMBER(OFFSET(AC2830,1,0)),OFFSET(AC2830,1,0)&gt;0),OR(PlanterYesMe="yes",PlanterYesMe="y")),"T2G+ELP=",IF(AND(OFFSET(G2830,0,0)=0,OFFSET(G2830,1,0)&gt;0,ISNUMBER(OFFSET(AC2830,1,0)),OFFSET(AC2830,1,0)&gt;0),"if T2G+ELP=",IF(AND(OFFSET(G2830,0,0)=0,OFFSET(G2830,1,0)&gt;0),"T2G Subtotal",IF(H2830="credit","",IF(G2830=0,"",IF(AE2830="free",(K2830*(1-T2GDiscount)),IF(OR(PlanterYesMe="No",PlanterYesMe="N",PlanterYesMe="me"),(K2830*(1-T2GDiscount)),IF(OR(AE2830="me",AE2830="T2G"),(K2830*(1-T2GDiscount)),(K2830*(1-T2GDiscount))+AC2830)))))))))</f>
        <v/>
      </c>
      <c r="AK2830" s="700" t="str">
        <f t="shared" ref="AK2830:AK2893" si="2209">IF(H2830="credit","",IF(G2830=0,"",IF(OR(AE2830="me",AE2830="T2G"),"  delivery-only",IF(OR(PlanterYesMe="No",PlanterYesMe="N",PlanterYesMe="me"),"  delivery-only",CONCATENATE(" $",ROUND(AJ2830/G2830,2)," each")))))</f>
        <v/>
      </c>
      <c r="AL2830" s="700"/>
      <c r="AM2830" s="505" t="str">
        <f t="shared" ref="AM2830:AM2893" si="2210">IF(H2830="credit","",IF(AE2830="free","      ~ discounts included, no tax or planting fee applies ~",IF(G2830=0,"",IF(OR(PlanterYesMe="No",PlanterYesMe="N",PlanterYesMe="me"),CONCATENATE(" $",ROUND(AJ2830/G2830,2)," per plant, with tax &amp; discount"),IF(OR(AE2830="me",AE2830="T2G"),CONCATENATE(" $",ROUND(AJ2830/G2830,2)," per plant, with tax &amp; discount"),CONCATENATE("= $",ROUND((K2830*(1-T2GDiscount))/G2830,2)," per plant + $",AC2830/G2830,(" per planting      ~ includes tax &amp; discounts ~")))))))</f>
        <v/>
      </c>
      <c r="AN2830" s="506"/>
      <c r="AO2830" s="507"/>
      <c r="AP2830" s="507"/>
      <c r="AQ2830" s="507"/>
      <c r="AR2830" s="507"/>
      <c r="AS2830" s="507"/>
      <c r="AT2830" s="507"/>
      <c r="AU2830" s="507"/>
      <c r="AV2830" s="225"/>
      <c r="AW2830" s="508"/>
      <c r="AX2830" s="225"/>
      <c r="AY2830" s="225"/>
      <c r="AZ2830" s="225"/>
      <c r="BA2830" s="225"/>
      <c r="BB2830" s="225"/>
      <c r="BC2830" s="56"/>
      <c r="BD2830" s="56"/>
      <c r="BE2830" s="56"/>
      <c r="BF2830" s="107" t="str">
        <f t="shared" ref="BF2830:BF2893" si="2211">"https://www.google.com/search?tbm=isch&amp;q=" &amp; _xlfn.ENCODEURL($A2830 &amp; " " &amp; $D2830)</f>
        <v>https://www.google.com/search?tbm=isch&amp;q=1%20G6</v>
      </c>
      <c r="BG2830" s="107" t="str">
        <f t="shared" ref="BG2830:BG2893" si="2212">IF(ISTEXT(A2830),LEFT(A2830,1),BG2829)</f>
        <v>P</v>
      </c>
      <c r="BH2830" s="254"/>
      <c r="BI2830" s="254"/>
    </row>
    <row r="2831" spans="1:61" customFormat="1" ht="16.5" thickBot="1" x14ac:dyDescent="0.3">
      <c r="A2831" s="672" t="s">
        <v>5204</v>
      </c>
      <c r="B2831" s="491"/>
      <c r="C2831" s="675"/>
      <c r="D2831" s="491"/>
      <c r="E2831" s="491"/>
      <c r="F2831" s="492"/>
      <c r="G2831" s="493"/>
      <c r="H2831" s="491"/>
      <c r="I2831" s="234"/>
      <c r="J2831" s="234"/>
      <c r="K2831" s="494"/>
      <c r="L2831" s="543"/>
      <c r="M2831" s="561"/>
      <c r="N2831" s="495"/>
      <c r="O2831" s="496"/>
      <c r="P2831" s="497"/>
      <c r="Q2831" s="495"/>
      <c r="R2831" s="495"/>
      <c r="S2831" s="667" t="s">
        <v>4968</v>
      </c>
      <c r="T2831" s="508">
        <f t="shared" si="2200"/>
        <v>0</v>
      </c>
      <c r="U2831" s="225" t="str">
        <f>IF(NOT(ISNUMBER(G2831)), "", VLOOKUP(A2831,'Discount Lookup'!D:E,2,FALSE)*G2831)</f>
        <v/>
      </c>
      <c r="V2831" s="225" t="str">
        <f>IF(NOT(ISNUMBER(G2831)), "", VLOOKUP(A2831,'Discount Lookup'!G:H,2,FALSE)*G2831)</f>
        <v/>
      </c>
      <c r="W2831" s="508">
        <f t="shared" si="2201"/>
        <v>0</v>
      </c>
      <c r="X2831" s="508">
        <f t="shared" si="2202"/>
        <v>0</v>
      </c>
      <c r="Y2831" s="509" t="b">
        <f t="shared" si="2203"/>
        <v>0</v>
      </c>
      <c r="Z2831" s="510">
        <f t="shared" si="2204"/>
        <v>0</v>
      </c>
      <c r="AA2831" s="511"/>
      <c r="AB2831" s="511" t="str">
        <f t="shared" si="2205"/>
        <v/>
      </c>
      <c r="AC2831" s="698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698"/>
      <c r="AE2831" s="631" t="str">
        <f t="shared" si="2206"/>
        <v/>
      </c>
      <c r="AF2831" s="699" t="str">
        <f t="shared" si="2207"/>
        <v/>
      </c>
      <c r="AG2831" s="699"/>
      <c r="AH2831" s="699"/>
      <c r="AI2831" s="512">
        <f>IF(H2831="credit",0,IF(AE2831="free",0,IF(AE2831="me",0,IF(G2831&gt;0,(VLOOKUP(A2831,'Discount Lookup'!J:K,2)*G2831),0))))</f>
        <v>0</v>
      </c>
      <c r="AJ2831" s="513" t="str">
        <f t="shared" ca="1" si="2208"/>
        <v/>
      </c>
      <c r="AK2831" s="700" t="str">
        <f t="shared" si="2209"/>
        <v/>
      </c>
      <c r="AL2831" s="700"/>
      <c r="AM2831" s="505" t="str">
        <f t="shared" si="2210"/>
        <v/>
      </c>
      <c r="AN2831" s="506"/>
      <c r="AO2831" s="507"/>
      <c r="AP2831" s="507"/>
      <c r="AQ2831" s="507"/>
      <c r="AR2831" s="507"/>
      <c r="AS2831" s="507"/>
      <c r="AT2831" s="507"/>
      <c r="AU2831" s="507"/>
      <c r="AV2831" s="225"/>
      <c r="AW2831" s="508"/>
      <c r="AX2831" s="225"/>
      <c r="AY2831" s="225"/>
      <c r="AZ2831" s="225"/>
      <c r="BA2831" s="225"/>
      <c r="BB2831" s="225"/>
      <c r="BC2831" s="56"/>
      <c r="BD2831" s="56"/>
      <c r="BE2831" s="56"/>
      <c r="BF2831" s="107" t="str">
        <f t="shared" si="2211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2831" s="107" t="str">
        <f t="shared" si="2212"/>
        <v>m</v>
      </c>
      <c r="BH2831" s="254"/>
      <c r="BI2831" s="254"/>
    </row>
    <row r="2832" spans="1:61" customFormat="1" ht="18" x14ac:dyDescent="0.25">
      <c r="A2832" s="523" t="s">
        <v>1511</v>
      </c>
      <c r="B2832" s="235"/>
      <c r="C2832" s="676"/>
      <c r="D2832" s="255" t="s">
        <v>1512</v>
      </c>
      <c r="E2832" s="236"/>
      <c r="F2832" s="236"/>
      <c r="G2832" s="236"/>
      <c r="H2832" s="582" t="s">
        <v>474</v>
      </c>
      <c r="I2832" s="498" t="s">
        <v>3154</v>
      </c>
      <c r="J2832" s="237"/>
      <c r="K2832" s="237"/>
      <c r="L2832" s="274"/>
      <c r="M2832" s="668" t="s">
        <v>4962</v>
      </c>
      <c r="N2832" s="681" t="str">
        <f>IF(AND(ISTEXT($A2832), ISERROR($A2832+0)), HYPERLINK($BF2832, "Images"), "")</f>
        <v>Images</v>
      </c>
      <c r="O2832" s="663" t="s">
        <v>4967</v>
      </c>
      <c r="P2832" s="253"/>
      <c r="Q2832" s="238"/>
      <c r="R2832" s="239"/>
      <c r="S2832" s="275"/>
      <c r="T2832" s="508">
        <f t="shared" si="2200"/>
        <v>0</v>
      </c>
      <c r="U2832" s="225" t="str">
        <f>IF(NOT(ISNUMBER(G2832)), "", VLOOKUP(A2832,'Discount Lookup'!D:E,2,FALSE)*G2832)</f>
        <v/>
      </c>
      <c r="V2832" s="225" t="str">
        <f>IF(NOT(ISNUMBER(G2832)), "", VLOOKUP(A2832,'Discount Lookup'!G:H,2,FALSE)*G2832)</f>
        <v/>
      </c>
      <c r="W2832" s="508">
        <f t="shared" si="2201"/>
        <v>0</v>
      </c>
      <c r="X2832" s="508" t="str">
        <f t="shared" si="2202"/>
        <v>Pink bloom, Orange-Gold eye</v>
      </c>
      <c r="Y2832" s="509" t="b">
        <f t="shared" si="2203"/>
        <v>0</v>
      </c>
      <c r="Z2832" s="510">
        <f t="shared" si="2204"/>
        <v>0</v>
      </c>
      <c r="AA2832" s="511"/>
      <c r="AB2832" s="511" t="str">
        <f t="shared" si="2205"/>
        <v/>
      </c>
      <c r="AC2832" s="698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698"/>
      <c r="AE2832" s="631" t="str">
        <f t="shared" si="2206"/>
        <v/>
      </c>
      <c r="AF2832" s="699" t="str">
        <f t="shared" si="2207"/>
        <v/>
      </c>
      <c r="AG2832" s="699"/>
      <c r="AH2832" s="699"/>
      <c r="AI2832" s="512">
        <f>IF(H2832="credit",0,IF(AE2832="free",0,IF(AE2832="me",0,IF(G2832&gt;0,(VLOOKUP(A2832,'Discount Lookup'!J:K,2)*G2832),0))))</f>
        <v>0</v>
      </c>
      <c r="AJ2832" s="513" t="str">
        <f t="shared" ca="1" si="2208"/>
        <v/>
      </c>
      <c r="AK2832" s="700" t="str">
        <f t="shared" si="2209"/>
        <v/>
      </c>
      <c r="AL2832" s="700"/>
      <c r="AM2832" s="505" t="str">
        <f t="shared" si="2210"/>
        <v/>
      </c>
      <c r="AN2832" s="506"/>
      <c r="AO2832" s="507"/>
      <c r="AP2832" s="507"/>
      <c r="AQ2832" s="507"/>
      <c r="AR2832" s="507"/>
      <c r="AS2832" s="507"/>
      <c r="AT2832" s="507"/>
      <c r="AU2832" s="507"/>
      <c r="AV2832" s="225"/>
      <c r="AW2832" s="508"/>
      <c r="AX2832" s="225"/>
      <c r="AY2832" s="225"/>
      <c r="AZ2832" s="225"/>
      <c r="BA2832" s="225"/>
      <c r="BB2832" s="225"/>
      <c r="BC2832" s="56"/>
      <c r="BD2832" s="56"/>
      <c r="BE2832" s="56"/>
      <c r="BF2832" s="107" t="str">
        <f t="shared" si="2211"/>
        <v>https://www.google.com/search?tbm=isch&amp;q=Pink%20Cascade%20II%20Butterfly%20Bush%20Buddleia%20%27Pink%20Cascade%20II%27%20PP%2335438</v>
      </c>
      <c r="BG2832" s="107" t="str">
        <f t="shared" si="2212"/>
        <v>P</v>
      </c>
      <c r="BH2832" s="254"/>
      <c r="BI2832" s="254"/>
    </row>
    <row r="2833" spans="1:61" customFormat="1" ht="15.75" x14ac:dyDescent="0.25">
      <c r="A2833" s="276">
        <v>3</v>
      </c>
      <c r="B2833" s="240" t="s">
        <v>291</v>
      </c>
      <c r="C2833" s="241" t="s">
        <v>4632</v>
      </c>
      <c r="D2833" s="242" t="s">
        <v>312</v>
      </c>
      <c r="E2833" s="243">
        <v>30.95</v>
      </c>
      <c r="F2833" s="517" t="s">
        <v>293</v>
      </c>
      <c r="G2833" s="232">
        <v>0</v>
      </c>
      <c r="H2833" s="661" t="str">
        <f>IF(G2833=0,"",IF(F2833="Buy",IF(G2833=1,"plant","plants"),IF(F2833&gt;0.01,"warranty","Error")))</f>
        <v/>
      </c>
      <c r="I2833" s="244">
        <f>IF(H2833="free",0,IF(H2833="credit",((E2833*(F2833))*G2833*-1),IF(F2833="Buy",(E2833*G2833),((E2833*(1-F2833))*G2833))))</f>
        <v>0</v>
      </c>
      <c r="J2833" s="244">
        <f>IF(H2833="warranty",0,(I2833*(_xlfn.SINGLE(SalesTaxPercentage))))</f>
        <v>0</v>
      </c>
      <c r="K2833" s="696">
        <f t="shared" ref="K2833" si="2213">I2833+J2833</f>
        <v>0</v>
      </c>
      <c r="L2833" s="696"/>
      <c r="M2833" s="659" t="str">
        <f>IF(AND(G2833&gt;0,E2833=0),"WARNING - no PRICE inserted",IF(H2833="free"," FREE ~ no charge this plant",IF(H2833="credit",CONCATENATE(" -$",ROUND(K2833*(1-T2GDiscount)*-1,2)," CREDIT after discount"),IF(T2GDiscount=0,"",IF(G2833=0,"",IF(F2833="Buy",CONCATENATE(" $",ROUND(K2833*(1-T2GDiscount),2)," with ",(T2GDiscount*100),"% discount"),CONCATENATE(" $",ROUND(K2833*(1-T2GDiscount),2)," with ",((T2GDiscount*100+F2833*100)-(T2GDiscount*100*F2833)),IF(F2833&gt;0,"% discounts",IF(NoWarrantyDiscount&gt;0,"% discounts","% discount")))))))))</f>
        <v/>
      </c>
      <c r="N2833" s="660"/>
      <c r="O2833" s="233"/>
      <c r="P2833" s="233"/>
      <c r="Q2833" s="233"/>
      <c r="R2833" s="233"/>
      <c r="S2833" s="233"/>
      <c r="T2833" s="508">
        <f t="shared" si="2200"/>
        <v>0</v>
      </c>
      <c r="U2833" s="225">
        <f>IF(NOT(ISNUMBER(G2833)), "", VLOOKUP(A2833,'Discount Lookup'!D:E,2,FALSE)*G2833)</f>
        <v>0</v>
      </c>
      <c r="V2833" s="225">
        <f>IF(NOT(ISNUMBER(G2833)), "", VLOOKUP(A2833,'Discount Lookup'!G:H,2,FALSE)*G2833)</f>
        <v>0</v>
      </c>
      <c r="W2833" s="508">
        <f t="shared" si="2201"/>
        <v>0</v>
      </c>
      <c r="X2833" s="508">
        <f t="shared" si="2202"/>
        <v>0</v>
      </c>
      <c r="Y2833" s="509" t="b">
        <f t="shared" si="2203"/>
        <v>0</v>
      </c>
      <c r="Z2833" s="510">
        <f t="shared" si="2204"/>
        <v>0</v>
      </c>
      <c r="AA2833" s="511"/>
      <c r="AB2833" s="511" t="str">
        <f t="shared" si="2205"/>
        <v/>
      </c>
      <c r="AC2833" s="698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698"/>
      <c r="AE2833" s="631" t="str">
        <f t="shared" si="2206"/>
        <v/>
      </c>
      <c r="AF2833" s="699" t="str">
        <f t="shared" si="2207"/>
        <v/>
      </c>
      <c r="AG2833" s="699"/>
      <c r="AH2833" s="699"/>
      <c r="AI2833" s="512">
        <f>IF(H2833="credit",0,IF(AE2833="free",0,IF(AE2833="me",0,IF(G2833&gt;0,(VLOOKUP(A2833,'Discount Lookup'!J:K,2)*G2833),0))))</f>
        <v>0</v>
      </c>
      <c r="AJ2833" s="513" t="str">
        <f t="shared" ca="1" si="2208"/>
        <v/>
      </c>
      <c r="AK2833" s="700" t="str">
        <f t="shared" si="2209"/>
        <v/>
      </c>
      <c r="AL2833" s="700"/>
      <c r="AM2833" s="505" t="str">
        <f t="shared" si="2210"/>
        <v/>
      </c>
      <c r="AN2833" s="506"/>
      <c r="AO2833" s="507"/>
      <c r="AP2833" s="507"/>
      <c r="AQ2833" s="507"/>
      <c r="AR2833" s="507"/>
      <c r="AS2833" s="507"/>
      <c r="AT2833" s="507"/>
      <c r="AU2833" s="507"/>
      <c r="AV2833" s="225"/>
      <c r="AW2833" s="508"/>
      <c r="AX2833" s="225"/>
      <c r="AY2833" s="225"/>
      <c r="AZ2833" s="225"/>
      <c r="BA2833" s="225"/>
      <c r="BB2833" s="225"/>
      <c r="BC2833" s="56"/>
      <c r="BD2833" s="56"/>
      <c r="BE2833" s="56"/>
      <c r="BF2833" s="107" t="str">
        <f t="shared" si="2211"/>
        <v>https://www.google.com/search?tbm=isch&amp;q=3%20G2</v>
      </c>
      <c r="BG2833" s="107" t="str">
        <f t="shared" si="2212"/>
        <v>P</v>
      </c>
      <c r="BH2833" s="254"/>
      <c r="BI2833" s="254"/>
    </row>
    <row r="2834" spans="1:61" customFormat="1" ht="17.25" thickBot="1" x14ac:dyDescent="0.3">
      <c r="A2834" s="524" t="s">
        <v>3155</v>
      </c>
      <c r="B2834" s="245"/>
      <c r="C2834" s="677"/>
      <c r="D2834" s="499"/>
      <c r="E2834" s="499"/>
      <c r="F2834" s="500"/>
      <c r="G2834" s="501"/>
      <c r="H2834" s="502"/>
      <c r="I2834" s="246"/>
      <c r="J2834" s="247"/>
      <c r="K2834" s="503"/>
      <c r="L2834" s="544"/>
      <c r="M2834" s="544"/>
      <c r="N2834" s="500"/>
      <c r="O2834" s="500"/>
      <c r="P2834" s="500"/>
      <c r="Q2834" s="500"/>
      <c r="R2834" s="500"/>
      <c r="S2834" s="669" t="s">
        <v>4980</v>
      </c>
      <c r="T2834" s="508">
        <f t="shared" si="2200"/>
        <v>0</v>
      </c>
      <c r="U2834" s="225" t="str">
        <f>IF(NOT(ISNUMBER(G2834)), "", VLOOKUP(A2834,'Discount Lookup'!D:E,2,FALSE)*G2834)</f>
        <v/>
      </c>
      <c r="V2834" s="225" t="str">
        <f>IF(NOT(ISNUMBER(G2834)), "", VLOOKUP(A2834,'Discount Lookup'!G:H,2,FALSE)*G2834)</f>
        <v/>
      </c>
      <c r="W2834" s="508">
        <f t="shared" si="2201"/>
        <v>0</v>
      </c>
      <c r="X2834" s="508">
        <f t="shared" si="2202"/>
        <v>0</v>
      </c>
      <c r="Y2834" s="509" t="b">
        <f t="shared" si="2203"/>
        <v>0</v>
      </c>
      <c r="Z2834" s="510">
        <f t="shared" si="2204"/>
        <v>0</v>
      </c>
      <c r="AA2834" s="511"/>
      <c r="AB2834" s="511" t="str">
        <f t="shared" si="2205"/>
        <v/>
      </c>
      <c r="AC2834" s="698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698"/>
      <c r="AE2834" s="631" t="str">
        <f t="shared" si="2206"/>
        <v/>
      </c>
      <c r="AF2834" s="699" t="str">
        <f t="shared" si="2207"/>
        <v/>
      </c>
      <c r="AG2834" s="699"/>
      <c r="AH2834" s="699"/>
      <c r="AI2834" s="512">
        <f>IF(H2834="credit",0,IF(AE2834="free",0,IF(AE2834="me",0,IF(G2834&gt;0,(VLOOKUP(A2834,'Discount Lookup'!J:K,2)*G2834),0))))</f>
        <v>0</v>
      </c>
      <c r="AJ2834" s="513" t="str">
        <f t="shared" ca="1" si="2208"/>
        <v/>
      </c>
      <c r="AK2834" s="700" t="str">
        <f t="shared" si="2209"/>
        <v/>
      </c>
      <c r="AL2834" s="700"/>
      <c r="AM2834" s="505" t="str">
        <f t="shared" si="2210"/>
        <v/>
      </c>
      <c r="AN2834" s="506"/>
      <c r="AO2834" s="507"/>
      <c r="AP2834" s="507"/>
      <c r="AQ2834" s="507"/>
      <c r="AR2834" s="507"/>
      <c r="AS2834" s="507"/>
      <c r="AT2834" s="507"/>
      <c r="AU2834" s="507"/>
      <c r="AV2834" s="225"/>
      <c r="AW2834" s="508"/>
      <c r="AX2834" s="225"/>
      <c r="AY2834" s="225"/>
      <c r="AZ2834" s="225"/>
      <c r="BA2834" s="225"/>
      <c r="BB2834" s="225"/>
      <c r="BC2834" s="56"/>
      <c r="BD2834" s="56"/>
      <c r="BE2834" s="56"/>
      <c r="BF2834" s="107" t="str">
        <f t="shared" si="2211"/>
        <v>https://www.google.com/search?tbm=isch&amp;q=Pink%20Cascade%20II%20has%20Green%20foliage%20and%20a%20fragrance.%20All%20BB%20bloom%20summer%20to%20frost%2C%20on%20new%20wood%2C%20so%20cut%20back%20hard%20late%20winter%20</v>
      </c>
      <c r="BG2834" s="107" t="str">
        <f t="shared" si="2212"/>
        <v>P</v>
      </c>
      <c r="BH2834" s="254"/>
      <c r="BI2834" s="254"/>
    </row>
    <row r="2835" spans="1:61" customFormat="1" ht="18" x14ac:dyDescent="0.25">
      <c r="A2835" s="523" t="s">
        <v>5488</v>
      </c>
      <c r="B2835" s="235"/>
      <c r="C2835" s="676"/>
      <c r="D2835" s="255" t="s">
        <v>1513</v>
      </c>
      <c r="E2835" s="236"/>
      <c r="F2835" s="236"/>
      <c r="G2835" s="236"/>
      <c r="H2835" s="582" t="s">
        <v>2232</v>
      </c>
      <c r="I2835" s="498" t="s">
        <v>1378</v>
      </c>
      <c r="J2835" s="237"/>
      <c r="K2835" s="237"/>
      <c r="L2835" s="274"/>
      <c r="M2835" s="668" t="s">
        <v>4962</v>
      </c>
      <c r="N2835" s="681" t="str">
        <f>IF(AND(ISTEXT($A2835), ISERROR($A2835+0)), HYPERLINK($BF2835, "Images"), "")</f>
        <v>Images</v>
      </c>
      <c r="O2835" s="663" t="s">
        <v>4971</v>
      </c>
      <c r="P2835" s="253"/>
      <c r="Q2835" s="238"/>
      <c r="R2835" s="239"/>
      <c r="S2835" s="275"/>
      <c r="T2835" s="508">
        <f t="shared" si="2200"/>
        <v>0</v>
      </c>
      <c r="U2835" s="225" t="str">
        <f>IF(NOT(ISNUMBER(G2835)), "", VLOOKUP(A2835,'Discount Lookup'!D:E,2,FALSE)*G2835)</f>
        <v/>
      </c>
      <c r="V2835" s="225" t="str">
        <f>IF(NOT(ISNUMBER(G2835)), "", VLOOKUP(A2835,'Discount Lookup'!G:H,2,FALSE)*G2835)</f>
        <v/>
      </c>
      <c r="W2835" s="508">
        <f t="shared" si="2201"/>
        <v>0</v>
      </c>
      <c r="X2835" s="508" t="str">
        <f t="shared" si="2202"/>
        <v>Bright Pink bloom</v>
      </c>
      <c r="Y2835" s="509" t="b">
        <f t="shared" si="2203"/>
        <v>0</v>
      </c>
      <c r="Z2835" s="510">
        <f t="shared" si="2204"/>
        <v>0</v>
      </c>
      <c r="AA2835" s="511"/>
      <c r="AB2835" s="511" t="str">
        <f t="shared" si="2205"/>
        <v/>
      </c>
      <c r="AC2835" s="698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698"/>
      <c r="AE2835" s="631" t="str">
        <f t="shared" si="2206"/>
        <v/>
      </c>
      <c r="AF2835" s="699" t="str">
        <f t="shared" si="2207"/>
        <v/>
      </c>
      <c r="AG2835" s="699"/>
      <c r="AH2835" s="699"/>
      <c r="AI2835" s="512">
        <f>IF(H2835="credit",0,IF(AE2835="free",0,IF(AE2835="me",0,IF(G2835&gt;0,(VLOOKUP(A2835,'Discount Lookup'!J:K,2)*G2835),0))))</f>
        <v>0</v>
      </c>
      <c r="AJ2835" s="513" t="str">
        <f t="shared" ca="1" si="2208"/>
        <v/>
      </c>
      <c r="AK2835" s="700" t="str">
        <f t="shared" si="2209"/>
        <v/>
      </c>
      <c r="AL2835" s="700"/>
      <c r="AM2835" s="505" t="str">
        <f t="shared" si="2210"/>
        <v/>
      </c>
      <c r="AN2835" s="506"/>
      <c r="AO2835" s="507"/>
      <c r="AP2835" s="507"/>
      <c r="AQ2835" s="507"/>
      <c r="AR2835" s="507"/>
      <c r="AS2835" s="507"/>
      <c r="AT2835" s="507"/>
      <c r="AU2835" s="507"/>
      <c r="AV2835" s="225"/>
      <c r="AW2835" s="508"/>
      <c r="AX2835" s="225"/>
      <c r="AY2835" s="225"/>
      <c r="AZ2835" s="225"/>
      <c r="BA2835" s="225"/>
      <c r="BB2835" s="225"/>
      <c r="BC2835" s="56"/>
      <c r="BD2835" s="56"/>
      <c r="BE2835" s="56"/>
      <c r="BF2835" s="107" t="str">
        <f t="shared" si="2211"/>
        <v>https://www.google.com/search?tbm=isch&amp;q=Pink%20Cascade%C2%AE%20Flowering%20Cherry%20Prunus%20%27NCPH1%27%20PP%2327579</v>
      </c>
      <c r="BG2835" s="107" t="str">
        <f t="shared" si="2212"/>
        <v>P</v>
      </c>
      <c r="BH2835" s="254"/>
      <c r="BI2835" s="254"/>
    </row>
    <row r="2836" spans="1:61" customFormat="1" ht="15.75" x14ac:dyDescent="0.25">
      <c r="A2836" s="276">
        <v>7</v>
      </c>
      <c r="B2836" s="240" t="s">
        <v>291</v>
      </c>
      <c r="C2836" s="241" t="s">
        <v>3693</v>
      </c>
      <c r="D2836" s="242" t="s">
        <v>292</v>
      </c>
      <c r="E2836" s="243">
        <v>111.95</v>
      </c>
      <c r="F2836" s="517" t="s">
        <v>293</v>
      </c>
      <c r="G2836" s="232">
        <v>0</v>
      </c>
      <c r="H2836" s="661" t="str">
        <f>IF(G2836=0,"",IF(F2836="Buy",IF(G2836=1,"plant","plants"),IF(F2836&gt;0.01,"warranty","Error")))</f>
        <v/>
      </c>
      <c r="I2836" s="244">
        <f>IF(H2836="free",0,IF(H2836="credit",((E2836*(F2836))*G2836*-1),IF(F2836="Buy",(E2836*G2836),((E2836*(1-F2836))*G2836))))</f>
        <v>0</v>
      </c>
      <c r="J2836" s="244">
        <f>IF(H2836="warranty",0,(I2836*(_xlfn.SINGLE(SalesTaxPercentage))))</f>
        <v>0</v>
      </c>
      <c r="K2836" s="696">
        <f t="shared" ref="K2836" si="2214">I2836+J2836</f>
        <v>0</v>
      </c>
      <c r="L2836" s="696"/>
      <c r="M2836" s="659" t="str">
        <f>IF(AND(G2836&gt;0,E2836=0),"WARNING - no PRICE inserted",IF(H2836="free"," FREE ~ no charge this plant",IF(H2836="credit",CONCATENATE(" -$",ROUND(K2836*(1-T2GDiscount)*-1,2)," CREDIT after discount"),IF(T2GDiscount=0,"",IF(G2836=0,"",IF(F2836="Buy",CONCATENATE(" $",ROUND(K2836*(1-T2GDiscount),2)," with ",(T2GDiscount*100),"% discount"),CONCATENATE(" $",ROUND(K2836*(1-T2GDiscount),2)," with ",((T2GDiscount*100+F2836*100)-(T2GDiscount*100*F2836)),IF(F2836&gt;0,"% discounts",IF(NoWarrantyDiscount&gt;0,"% discounts","% discount")))))))))</f>
        <v/>
      </c>
      <c r="N2836" s="660"/>
      <c r="O2836" s="233"/>
      <c r="P2836" s="233"/>
      <c r="Q2836" s="233"/>
      <c r="R2836" s="233"/>
      <c r="S2836" s="233"/>
      <c r="T2836" s="508">
        <f t="shared" si="2200"/>
        <v>0</v>
      </c>
      <c r="U2836" s="225">
        <f>IF(NOT(ISNUMBER(G2836)), "", VLOOKUP(A2836,'Discount Lookup'!D:E,2,FALSE)*G2836)</f>
        <v>0</v>
      </c>
      <c r="V2836" s="225">
        <f>IF(NOT(ISNUMBER(G2836)), "", VLOOKUP(A2836,'Discount Lookup'!G:H,2,FALSE)*G2836)</f>
        <v>0</v>
      </c>
      <c r="W2836" s="508">
        <f t="shared" si="2201"/>
        <v>0</v>
      </c>
      <c r="X2836" s="508">
        <f t="shared" si="2202"/>
        <v>0</v>
      </c>
      <c r="Y2836" s="509" t="b">
        <f t="shared" si="2203"/>
        <v>0</v>
      </c>
      <c r="Z2836" s="510">
        <f t="shared" si="2204"/>
        <v>0</v>
      </c>
      <c r="AA2836" s="511"/>
      <c r="AB2836" s="511" t="str">
        <f t="shared" si="2205"/>
        <v/>
      </c>
      <c r="AC2836" s="698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698"/>
      <c r="AE2836" s="631" t="str">
        <f t="shared" si="2206"/>
        <v/>
      </c>
      <c r="AF2836" s="699" t="str">
        <f t="shared" si="2207"/>
        <v/>
      </c>
      <c r="AG2836" s="699"/>
      <c r="AH2836" s="699"/>
      <c r="AI2836" s="512">
        <f>IF(H2836="credit",0,IF(AE2836="free",0,IF(AE2836="me",0,IF(G2836&gt;0,(VLOOKUP(A2836,'Discount Lookup'!J:K,2)*G2836),0))))</f>
        <v>0</v>
      </c>
      <c r="AJ2836" s="513" t="str">
        <f t="shared" ca="1" si="2208"/>
        <v/>
      </c>
      <c r="AK2836" s="700" t="str">
        <f t="shared" si="2209"/>
        <v/>
      </c>
      <c r="AL2836" s="700"/>
      <c r="AM2836" s="505" t="str">
        <f t="shared" si="2210"/>
        <v/>
      </c>
      <c r="AN2836" s="506"/>
      <c r="AO2836" s="507"/>
      <c r="AP2836" s="507"/>
      <c r="AQ2836" s="507"/>
      <c r="AR2836" s="507"/>
      <c r="AS2836" s="507"/>
      <c r="AT2836" s="507"/>
      <c r="AU2836" s="507"/>
      <c r="AV2836" s="225"/>
      <c r="AW2836" s="508"/>
      <c r="AX2836" s="225"/>
      <c r="AY2836" s="225"/>
      <c r="AZ2836" s="225"/>
      <c r="BA2836" s="225"/>
      <c r="BB2836" s="225"/>
      <c r="BC2836" s="56"/>
      <c r="BD2836" s="56"/>
      <c r="BE2836" s="56"/>
      <c r="BF2836" s="107" t="str">
        <f t="shared" si="2211"/>
        <v>https://www.google.com/search?tbm=isch&amp;q=7%20G4</v>
      </c>
      <c r="BG2836" s="107" t="str">
        <f t="shared" si="2212"/>
        <v>P</v>
      </c>
      <c r="BH2836" s="254"/>
      <c r="BI2836" s="254"/>
    </row>
    <row r="2837" spans="1:61" customFormat="1" ht="27" x14ac:dyDescent="0.25">
      <c r="A2837" s="276">
        <v>10</v>
      </c>
      <c r="B2837" s="240" t="s">
        <v>291</v>
      </c>
      <c r="C2837" s="241" t="s">
        <v>3694</v>
      </c>
      <c r="D2837" s="242" t="s">
        <v>292</v>
      </c>
      <c r="E2837" s="243">
        <v>169.95</v>
      </c>
      <c r="F2837" s="517" t="s">
        <v>293</v>
      </c>
      <c r="G2837" s="232">
        <v>0</v>
      </c>
      <c r="H2837" s="661" t="str">
        <f>IF(G2837=0,"",IF(F2837="Buy",IF(G2837=1,"plant","plants"),IF(F2837&gt;0.01,"warranty","Error")))</f>
        <v/>
      </c>
      <c r="I2837" s="244">
        <f>IF(H2837="free",0,IF(H2837="credit",((E2837*(F2837))*G2837*-1),IF(F2837="Buy",(E2837*G2837),((E2837*(1-F2837))*G2837))))</f>
        <v>0</v>
      </c>
      <c r="J2837" s="244">
        <f>IF(H2837="warranty",0,(I2837*(_xlfn.SINGLE(SalesTaxPercentage))))</f>
        <v>0</v>
      </c>
      <c r="K2837" s="696">
        <f t="shared" ref="K2837" si="2215">I2837+J2837</f>
        <v>0</v>
      </c>
      <c r="L2837" s="696"/>
      <c r="M2837" s="659" t="str">
        <f>IF(AND(G2837&gt;0,E2837=0),"WARNING - no PRICE inserted",IF(H2837="free"," FREE ~ no charge this plant",IF(H2837="credit",CONCATENATE(" -$",ROUND(K2837*(1-T2GDiscount)*-1,2)," CREDIT after discount"),IF(T2GDiscount=0,"",IF(G2837=0,"",IF(F2837="Buy",CONCATENATE(" $",ROUND(K2837*(1-T2GDiscount),2)," with ",(T2GDiscount*100),"% discount"),CONCATENATE(" $",ROUND(K2837*(1-T2GDiscount),2)," with ",((T2GDiscount*100+F2837*100)-(T2GDiscount*100*F2837)),IF(F2837&gt;0,"% discounts",IF(NoWarrantyDiscount&gt;0,"% discounts","% discount")))))))))</f>
        <v/>
      </c>
      <c r="N2837" s="660"/>
      <c r="O2837" s="233"/>
      <c r="P2837" s="233"/>
      <c r="Q2837" s="233"/>
      <c r="R2837" s="233"/>
      <c r="S2837" s="233"/>
      <c r="T2837" s="508">
        <f t="shared" si="2200"/>
        <v>0</v>
      </c>
      <c r="U2837" s="225">
        <f>IF(NOT(ISNUMBER(G2837)), "", VLOOKUP(A2837,'Discount Lookup'!D:E,2,FALSE)*G2837)</f>
        <v>0</v>
      </c>
      <c r="V2837" s="225">
        <f>IF(NOT(ISNUMBER(G2837)), "", VLOOKUP(A2837,'Discount Lookup'!G:H,2,FALSE)*G2837)</f>
        <v>0</v>
      </c>
      <c r="W2837" s="508">
        <f t="shared" si="2201"/>
        <v>0</v>
      </c>
      <c r="X2837" s="508">
        <f t="shared" si="2202"/>
        <v>0</v>
      </c>
      <c r="Y2837" s="509" t="b">
        <f t="shared" si="2203"/>
        <v>0</v>
      </c>
      <c r="Z2837" s="510">
        <f t="shared" si="2204"/>
        <v>0</v>
      </c>
      <c r="AA2837" s="511"/>
      <c r="AB2837" s="511" t="str">
        <f t="shared" si="2205"/>
        <v/>
      </c>
      <c r="AC2837" s="698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698"/>
      <c r="AE2837" s="631" t="str">
        <f t="shared" si="2206"/>
        <v/>
      </c>
      <c r="AF2837" s="699" t="str">
        <f t="shared" si="2207"/>
        <v/>
      </c>
      <c r="AG2837" s="699"/>
      <c r="AH2837" s="699"/>
      <c r="AI2837" s="512">
        <f>IF(H2837="credit",0,IF(AE2837="free",0,IF(AE2837="me",0,IF(G2837&gt;0,(VLOOKUP(A2837,'Discount Lookup'!J:K,2)*G2837),0))))</f>
        <v>0</v>
      </c>
      <c r="AJ2837" s="513" t="str">
        <f t="shared" ca="1" si="2208"/>
        <v/>
      </c>
      <c r="AK2837" s="700" t="str">
        <f t="shared" si="2209"/>
        <v/>
      </c>
      <c r="AL2837" s="700"/>
      <c r="AM2837" s="505" t="str">
        <f t="shared" si="2210"/>
        <v/>
      </c>
      <c r="AN2837" s="506"/>
      <c r="AO2837" s="507"/>
      <c r="AP2837" s="507"/>
      <c r="AQ2837" s="507"/>
      <c r="AR2837" s="507"/>
      <c r="AS2837" s="507"/>
      <c r="AT2837" s="507"/>
      <c r="AU2837" s="507"/>
      <c r="AV2837" s="225"/>
      <c r="AW2837" s="508"/>
      <c r="AX2837" s="225"/>
      <c r="AY2837" s="225"/>
      <c r="AZ2837" s="225"/>
      <c r="BA2837" s="225"/>
      <c r="BB2837" s="225"/>
      <c r="BC2837" s="56"/>
      <c r="BD2837" s="56"/>
      <c r="BE2837" s="56"/>
      <c r="BF2837" s="107" t="str">
        <f t="shared" si="2211"/>
        <v>https://www.google.com/search?tbm=isch&amp;q=10%20G4</v>
      </c>
      <c r="BG2837" s="107" t="str">
        <f t="shared" si="2212"/>
        <v>P</v>
      </c>
      <c r="BH2837" s="254"/>
      <c r="BI2837" s="254"/>
    </row>
    <row r="2838" spans="1:61" customFormat="1" ht="15.75" x14ac:dyDescent="0.25">
      <c r="A2838" s="276">
        <v>15</v>
      </c>
      <c r="B2838" s="240" t="s">
        <v>291</v>
      </c>
      <c r="C2838" s="241" t="s">
        <v>4437</v>
      </c>
      <c r="D2838" s="242" t="s">
        <v>292</v>
      </c>
      <c r="E2838" s="243">
        <v>215.95</v>
      </c>
      <c r="F2838" s="517" t="s">
        <v>293</v>
      </c>
      <c r="G2838" s="232">
        <v>0</v>
      </c>
      <c r="H2838" s="661" t="str">
        <f>IF(G2838=0,"",IF(F2838="Buy",IF(G2838=1,"plant","plants"),IF(F2838&gt;0.01,"warranty","Error")))</f>
        <v/>
      </c>
      <c r="I2838" s="244">
        <f>IF(H2838="free",0,IF(H2838="credit",((E2838*(F2838))*G2838*-1),IF(F2838="Buy",(E2838*G2838),((E2838*(1-F2838))*G2838))))</f>
        <v>0</v>
      </c>
      <c r="J2838" s="244">
        <f>IF(H2838="warranty",0,(I2838*(_xlfn.SINGLE(SalesTaxPercentage))))</f>
        <v>0</v>
      </c>
      <c r="K2838" s="696">
        <f t="shared" ref="K2838" si="2216">I2838+J2838</f>
        <v>0</v>
      </c>
      <c r="L2838" s="696"/>
      <c r="M2838" s="659" t="str">
        <f>IF(AND(G2838&gt;0,E2838=0),"WARNING - no PRICE inserted",IF(H2838="free"," FREE ~ no charge this plant",IF(H2838="credit",CONCATENATE(" -$",ROUND(K2838*(1-T2GDiscount)*-1,2)," CREDIT after discount"),IF(T2GDiscount=0,"",IF(G2838=0,"",IF(F2838="Buy",CONCATENATE(" $",ROUND(K2838*(1-T2GDiscount),2)," with ",(T2GDiscount*100),"% discount"),CONCATENATE(" $",ROUND(K2838*(1-T2GDiscount),2)," with ",((T2GDiscount*100+F2838*100)-(T2GDiscount*100*F2838)),IF(F2838&gt;0,"% discounts",IF(NoWarrantyDiscount&gt;0,"% discounts","% discount")))))))))</f>
        <v/>
      </c>
      <c r="N2838" s="660"/>
      <c r="O2838" s="233"/>
      <c r="P2838" s="233"/>
      <c r="Q2838" s="233"/>
      <c r="R2838" s="233"/>
      <c r="S2838" s="233"/>
      <c r="T2838" s="508">
        <f t="shared" si="2200"/>
        <v>0</v>
      </c>
      <c r="U2838" s="225">
        <f>IF(NOT(ISNUMBER(G2838)), "", VLOOKUP(A2838,'Discount Lookup'!D:E,2,FALSE)*G2838)</f>
        <v>0</v>
      </c>
      <c r="V2838" s="225">
        <f>IF(NOT(ISNUMBER(G2838)), "", VLOOKUP(A2838,'Discount Lookup'!G:H,2,FALSE)*G2838)</f>
        <v>0</v>
      </c>
      <c r="W2838" s="508">
        <f t="shared" si="2201"/>
        <v>0</v>
      </c>
      <c r="X2838" s="508">
        <f t="shared" si="2202"/>
        <v>0</v>
      </c>
      <c r="Y2838" s="509" t="b">
        <f t="shared" si="2203"/>
        <v>0</v>
      </c>
      <c r="Z2838" s="510">
        <f t="shared" si="2204"/>
        <v>0</v>
      </c>
      <c r="AA2838" s="511"/>
      <c r="AB2838" s="511" t="str">
        <f t="shared" si="2205"/>
        <v/>
      </c>
      <c r="AC2838" s="698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698"/>
      <c r="AE2838" s="631" t="str">
        <f t="shared" si="2206"/>
        <v/>
      </c>
      <c r="AF2838" s="699" t="str">
        <f t="shared" si="2207"/>
        <v/>
      </c>
      <c r="AG2838" s="699"/>
      <c r="AH2838" s="699"/>
      <c r="AI2838" s="512">
        <f>IF(H2838="credit",0,IF(AE2838="free",0,IF(AE2838="me",0,IF(G2838&gt;0,(VLOOKUP(A2838,'Discount Lookup'!J:K,2)*G2838),0))))</f>
        <v>0</v>
      </c>
      <c r="AJ2838" s="513" t="str">
        <f t="shared" ca="1" si="2208"/>
        <v/>
      </c>
      <c r="AK2838" s="700" t="str">
        <f t="shared" si="2209"/>
        <v/>
      </c>
      <c r="AL2838" s="700"/>
      <c r="AM2838" s="505" t="str">
        <f t="shared" si="2210"/>
        <v/>
      </c>
      <c r="AN2838" s="506"/>
      <c r="AO2838" s="507"/>
      <c r="AP2838" s="507"/>
      <c r="AQ2838" s="507"/>
      <c r="AR2838" s="507"/>
      <c r="AS2838" s="507"/>
      <c r="AT2838" s="507"/>
      <c r="AU2838" s="507"/>
      <c r="AV2838" s="225"/>
      <c r="AW2838" s="508"/>
      <c r="AX2838" s="225"/>
      <c r="AY2838" s="225"/>
      <c r="AZ2838" s="225"/>
      <c r="BA2838" s="225"/>
      <c r="BB2838" s="225"/>
      <c r="BC2838" s="56"/>
      <c r="BD2838" s="56"/>
      <c r="BE2838" s="56"/>
      <c r="BF2838" s="107" t="str">
        <f t="shared" si="2211"/>
        <v>https://www.google.com/search?tbm=isch&amp;q=15%20G4</v>
      </c>
      <c r="BG2838" s="107" t="str">
        <f t="shared" si="2212"/>
        <v>P</v>
      </c>
      <c r="BH2838" s="254"/>
      <c r="BI2838" s="254"/>
    </row>
    <row r="2839" spans="1:61" customFormat="1" ht="17.25" thickBot="1" x14ac:dyDescent="0.3">
      <c r="A2839" s="524" t="s">
        <v>4148</v>
      </c>
      <c r="B2839" s="245"/>
      <c r="C2839" s="677"/>
      <c r="D2839" s="499"/>
      <c r="E2839" s="499"/>
      <c r="F2839" s="500"/>
      <c r="G2839" s="501"/>
      <c r="H2839" s="502"/>
      <c r="I2839" s="246"/>
      <c r="J2839" s="247"/>
      <c r="K2839" s="503"/>
      <c r="L2839" s="544"/>
      <c r="M2839" s="544"/>
      <c r="N2839" s="500"/>
      <c r="O2839" s="500"/>
      <c r="P2839" s="500"/>
      <c r="Q2839" s="500"/>
      <c r="R2839" s="500"/>
      <c r="S2839" s="669" t="s">
        <v>4972</v>
      </c>
      <c r="T2839" s="508">
        <f t="shared" si="2200"/>
        <v>0</v>
      </c>
      <c r="U2839" s="225" t="str">
        <f>IF(NOT(ISNUMBER(G2839)), "", VLOOKUP(A2839,'Discount Lookup'!D:E,2,FALSE)*G2839)</f>
        <v/>
      </c>
      <c r="V2839" s="225" t="str">
        <f>IF(NOT(ISNUMBER(G2839)), "", VLOOKUP(A2839,'Discount Lookup'!G:H,2,FALSE)*G2839)</f>
        <v/>
      </c>
      <c r="W2839" s="508">
        <f t="shared" si="2201"/>
        <v>0</v>
      </c>
      <c r="X2839" s="508">
        <f t="shared" si="2202"/>
        <v>0</v>
      </c>
      <c r="Y2839" s="509" t="b">
        <f t="shared" si="2203"/>
        <v>0</v>
      </c>
      <c r="Z2839" s="510">
        <f t="shared" si="2204"/>
        <v>0</v>
      </c>
      <c r="AA2839" s="511"/>
      <c r="AB2839" s="511" t="str">
        <f t="shared" si="2205"/>
        <v/>
      </c>
      <c r="AC2839" s="698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698"/>
      <c r="AE2839" s="631" t="str">
        <f t="shared" si="2206"/>
        <v/>
      </c>
      <c r="AF2839" s="699" t="str">
        <f t="shared" si="2207"/>
        <v/>
      </c>
      <c r="AG2839" s="699"/>
      <c r="AH2839" s="699"/>
      <c r="AI2839" s="512">
        <f>IF(H2839="credit",0,IF(AE2839="free",0,IF(AE2839="me",0,IF(G2839&gt;0,(VLOOKUP(A2839,'Discount Lookup'!J:K,2)*G2839),0))))</f>
        <v>0</v>
      </c>
      <c r="AJ2839" s="513" t="str">
        <f t="shared" ca="1" si="2208"/>
        <v/>
      </c>
      <c r="AK2839" s="700" t="str">
        <f t="shared" si="2209"/>
        <v/>
      </c>
      <c r="AL2839" s="700"/>
      <c r="AM2839" s="505" t="str">
        <f t="shared" si="2210"/>
        <v/>
      </c>
      <c r="AN2839" s="506"/>
      <c r="AO2839" s="507"/>
      <c r="AP2839" s="507"/>
      <c r="AQ2839" s="507"/>
      <c r="AR2839" s="507"/>
      <c r="AS2839" s="507"/>
      <c r="AT2839" s="507"/>
      <c r="AU2839" s="507"/>
      <c r="AV2839" s="225"/>
      <c r="AW2839" s="508"/>
      <c r="AX2839" s="225"/>
      <c r="AY2839" s="225"/>
      <c r="AZ2839" s="225"/>
      <c r="BA2839" s="225"/>
      <c r="BB2839" s="225"/>
      <c r="BC2839" s="56"/>
      <c r="BD2839" s="56"/>
      <c r="BE2839" s="56"/>
      <c r="BF2839" s="107" t="str">
        <f t="shared" si="2211"/>
        <v>https://www.google.com/search?tbm=isch&amp;q=Pink%20Cascade%20enchants%20with%20its%20waterfall-like%20pink%20blooms%20and%20graceful%20weeping%20form.%20Foliage%20turns%20Red-Gold%20in%20fall%20</v>
      </c>
      <c r="BG2839" s="107" t="str">
        <f t="shared" si="2212"/>
        <v>P</v>
      </c>
      <c r="BH2839" s="254"/>
      <c r="BI2839" s="254"/>
    </row>
    <row r="2840" spans="1:61" customFormat="1" ht="18" x14ac:dyDescent="0.25">
      <c r="A2840" s="523" t="s">
        <v>2783</v>
      </c>
      <c r="B2840" s="235"/>
      <c r="C2840" s="676"/>
      <c r="D2840" s="255" t="s">
        <v>2784</v>
      </c>
      <c r="E2840" s="236"/>
      <c r="F2840" s="236"/>
      <c r="G2840" s="236"/>
      <c r="H2840" s="582" t="s">
        <v>366</v>
      </c>
      <c r="I2840" s="498" t="s">
        <v>656</v>
      </c>
      <c r="J2840" s="237"/>
      <c r="K2840" s="237"/>
      <c r="L2840" s="274"/>
      <c r="M2840" s="668" t="s">
        <v>4975</v>
      </c>
      <c r="N2840" s="681" t="str">
        <f>IF(AND(ISTEXT($A2840), ISERROR($A2840+0)), HYPERLINK($BF2840, "Images"), "")</f>
        <v>Images</v>
      </c>
      <c r="O2840" s="663" t="s">
        <v>4969</v>
      </c>
      <c r="P2840" s="253"/>
      <c r="Q2840" s="238"/>
      <c r="R2840" s="239"/>
      <c r="S2840" s="275"/>
      <c r="T2840" s="508">
        <f t="shared" si="2200"/>
        <v>0</v>
      </c>
      <c r="U2840" s="225" t="str">
        <f>IF(NOT(ISNUMBER(G2840)), "", VLOOKUP(A2840,'Discount Lookup'!D:E,2,FALSE)*G2840)</f>
        <v/>
      </c>
      <c r="V2840" s="225" t="str">
        <f>IF(NOT(ISNUMBER(G2840)), "", VLOOKUP(A2840,'Discount Lookup'!G:H,2,FALSE)*G2840)</f>
        <v/>
      </c>
      <c r="W2840" s="508">
        <f t="shared" si="2201"/>
        <v>0</v>
      </c>
      <c r="X2840" s="508" t="str">
        <f t="shared" si="2202"/>
        <v>Pink bloom</v>
      </c>
      <c r="Y2840" s="509" t="b">
        <f t="shared" si="2203"/>
        <v>0</v>
      </c>
      <c r="Z2840" s="510">
        <f t="shared" si="2204"/>
        <v>0</v>
      </c>
      <c r="AA2840" s="511"/>
      <c r="AB2840" s="511" t="str">
        <f t="shared" si="2205"/>
        <v/>
      </c>
      <c r="AC2840" s="698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698"/>
      <c r="AE2840" s="631" t="str">
        <f t="shared" si="2206"/>
        <v/>
      </c>
      <c r="AF2840" s="699" t="str">
        <f t="shared" si="2207"/>
        <v/>
      </c>
      <c r="AG2840" s="699"/>
      <c r="AH2840" s="699"/>
      <c r="AI2840" s="512">
        <f>IF(H2840="credit",0,IF(AE2840="free",0,IF(AE2840="me",0,IF(G2840&gt;0,(VLOOKUP(A2840,'Discount Lookup'!J:K,2)*G2840),0))))</f>
        <v>0</v>
      </c>
      <c r="AJ2840" s="513" t="str">
        <f t="shared" ca="1" si="2208"/>
        <v/>
      </c>
      <c r="AK2840" s="700" t="str">
        <f t="shared" si="2209"/>
        <v/>
      </c>
      <c r="AL2840" s="700"/>
      <c r="AM2840" s="505" t="str">
        <f t="shared" si="2210"/>
        <v/>
      </c>
      <c r="AN2840" s="506"/>
      <c r="AO2840" s="507"/>
      <c r="AP2840" s="507"/>
      <c r="AQ2840" s="507"/>
      <c r="AR2840" s="507"/>
      <c r="AS2840" s="507"/>
      <c r="AT2840" s="507"/>
      <c r="AU2840" s="507"/>
      <c r="AV2840" s="225"/>
      <c r="AW2840" s="508"/>
      <c r="AX2840" s="225"/>
      <c r="AY2840" s="225"/>
      <c r="AZ2840" s="225"/>
      <c r="BA2840" s="225"/>
      <c r="BB2840" s="225"/>
      <c r="BC2840" s="56"/>
      <c r="BD2840" s="56"/>
      <c r="BE2840" s="56"/>
      <c r="BF2840" s="107" t="str">
        <f t="shared" si="2211"/>
        <v>https://www.google.com/search?tbm=isch&amp;q=Pink%20Chimes%20Japanese%20Snowbell%20Styrax%20japonicus%20%27Pink%20Chimes%27</v>
      </c>
      <c r="BG2840" s="107" t="str">
        <f t="shared" si="2212"/>
        <v>P</v>
      </c>
      <c r="BH2840" s="254"/>
      <c r="BI2840" s="254"/>
    </row>
    <row r="2841" spans="1:61" customFormat="1" ht="15.75" x14ac:dyDescent="0.25">
      <c r="A2841" s="276">
        <v>15</v>
      </c>
      <c r="B2841" s="240" t="s">
        <v>291</v>
      </c>
      <c r="C2841" s="241" t="s">
        <v>4438</v>
      </c>
      <c r="D2841" s="242" t="s">
        <v>292</v>
      </c>
      <c r="E2841" s="243">
        <v>196.95</v>
      </c>
      <c r="F2841" s="517" t="s">
        <v>293</v>
      </c>
      <c r="G2841" s="232">
        <v>0</v>
      </c>
      <c r="H2841" s="661" t="str">
        <f>IF(G2841=0,"",IF(F2841="Buy",IF(G2841=1,"plant","plants"),IF(F2841&gt;0.01,"warranty","Error")))</f>
        <v/>
      </c>
      <c r="I2841" s="244">
        <f>IF(H2841="free",0,IF(H2841="credit",((E2841*(F2841))*G2841*-1),IF(F2841="Buy",(E2841*G2841),((E2841*(1-F2841))*G2841))))</f>
        <v>0</v>
      </c>
      <c r="J2841" s="244">
        <f>IF(H2841="warranty",0,(I2841*(_xlfn.SINGLE(SalesTaxPercentage))))</f>
        <v>0</v>
      </c>
      <c r="K2841" s="696">
        <f t="shared" ref="K2841" si="2217">I2841+J2841</f>
        <v>0</v>
      </c>
      <c r="L2841" s="696"/>
      <c r="M2841" s="659" t="str">
        <f>IF(AND(G2841&gt;0,E2841=0),"WARNING - no PRICE inserted",IF(H2841="free"," FREE ~ no charge this plant",IF(H2841="credit",CONCATENATE(" -$",ROUND(K2841*(1-T2GDiscount)*-1,2)," CREDIT after discount"),IF(T2GDiscount=0,"",IF(G2841=0,"",IF(F2841="Buy",CONCATENATE(" $",ROUND(K2841*(1-T2GDiscount),2)," with ",(T2GDiscount*100),"% discount"),CONCATENATE(" $",ROUND(K2841*(1-T2GDiscount),2)," with ",((T2GDiscount*100+F2841*100)-(T2GDiscount*100*F2841)),IF(F2841&gt;0,"% discounts",IF(NoWarrantyDiscount&gt;0,"% discounts","% discount")))))))))</f>
        <v/>
      </c>
      <c r="N2841" s="660"/>
      <c r="O2841" s="233"/>
      <c r="P2841" s="233"/>
      <c r="Q2841" s="233"/>
      <c r="R2841" s="233"/>
      <c r="S2841" s="233"/>
      <c r="T2841" s="508">
        <f t="shared" si="2200"/>
        <v>0</v>
      </c>
      <c r="U2841" s="225">
        <f>IF(NOT(ISNUMBER(G2841)), "", VLOOKUP(A2841,'Discount Lookup'!D:E,2,FALSE)*G2841)</f>
        <v>0</v>
      </c>
      <c r="V2841" s="225">
        <f>IF(NOT(ISNUMBER(G2841)), "", VLOOKUP(A2841,'Discount Lookup'!G:H,2,FALSE)*G2841)</f>
        <v>0</v>
      </c>
      <c r="W2841" s="508">
        <f t="shared" si="2201"/>
        <v>0</v>
      </c>
      <c r="X2841" s="508">
        <f t="shared" si="2202"/>
        <v>0</v>
      </c>
      <c r="Y2841" s="509" t="b">
        <f t="shared" si="2203"/>
        <v>0</v>
      </c>
      <c r="Z2841" s="510">
        <f t="shared" si="2204"/>
        <v>0</v>
      </c>
      <c r="AA2841" s="511"/>
      <c r="AB2841" s="511" t="str">
        <f t="shared" si="2205"/>
        <v/>
      </c>
      <c r="AC2841" s="698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698"/>
      <c r="AE2841" s="631" t="str">
        <f t="shared" si="2206"/>
        <v/>
      </c>
      <c r="AF2841" s="699" t="str">
        <f t="shared" si="2207"/>
        <v/>
      </c>
      <c r="AG2841" s="699"/>
      <c r="AH2841" s="699"/>
      <c r="AI2841" s="512">
        <f>IF(H2841="credit",0,IF(AE2841="free",0,IF(AE2841="me",0,IF(G2841&gt;0,(VLOOKUP(A2841,'Discount Lookup'!J:K,2)*G2841),0))))</f>
        <v>0</v>
      </c>
      <c r="AJ2841" s="513" t="str">
        <f t="shared" ca="1" si="2208"/>
        <v/>
      </c>
      <c r="AK2841" s="700" t="str">
        <f t="shared" si="2209"/>
        <v/>
      </c>
      <c r="AL2841" s="700"/>
      <c r="AM2841" s="505" t="str">
        <f t="shared" si="2210"/>
        <v/>
      </c>
      <c r="AN2841" s="506"/>
      <c r="AO2841" s="507"/>
      <c r="AP2841" s="507"/>
      <c r="AQ2841" s="507"/>
      <c r="AR2841" s="507"/>
      <c r="AS2841" s="507"/>
      <c r="AT2841" s="507"/>
      <c r="AU2841" s="507"/>
      <c r="AV2841" s="225"/>
      <c r="AW2841" s="508"/>
      <c r="AX2841" s="225"/>
      <c r="AY2841" s="225"/>
      <c r="AZ2841" s="225"/>
      <c r="BA2841" s="225"/>
      <c r="BB2841" s="225"/>
      <c r="BC2841" s="56"/>
      <c r="BD2841" s="56"/>
      <c r="BE2841" s="56"/>
      <c r="BF2841" s="107" t="str">
        <f t="shared" si="2211"/>
        <v>https://www.google.com/search?tbm=isch&amp;q=15%20G4</v>
      </c>
      <c r="BG2841" s="107" t="str">
        <f t="shared" si="2212"/>
        <v>P</v>
      </c>
      <c r="BH2841" s="254"/>
      <c r="BI2841" s="254"/>
    </row>
    <row r="2842" spans="1:61" customFormat="1" ht="17.25" thickBot="1" x14ac:dyDescent="0.3">
      <c r="A2842" s="673" t="s">
        <v>5205</v>
      </c>
      <c r="B2842" s="245"/>
      <c r="C2842" s="677"/>
      <c r="D2842" s="499"/>
      <c r="E2842" s="499"/>
      <c r="F2842" s="500"/>
      <c r="G2842" s="501"/>
      <c r="H2842" s="502"/>
      <c r="I2842" s="246"/>
      <c r="J2842" s="247"/>
      <c r="K2842" s="503"/>
      <c r="L2842" s="544"/>
      <c r="M2842" s="544"/>
      <c r="N2842" s="500"/>
      <c r="O2842" s="500"/>
      <c r="P2842" s="500"/>
      <c r="Q2842" s="500"/>
      <c r="R2842" s="500"/>
      <c r="S2842" s="669" t="s">
        <v>4972</v>
      </c>
      <c r="T2842" s="508">
        <f t="shared" si="2200"/>
        <v>0</v>
      </c>
      <c r="U2842" s="225" t="str">
        <f>IF(NOT(ISNUMBER(G2842)), "", VLOOKUP(A2842,'Discount Lookup'!D:E,2,FALSE)*G2842)</f>
        <v/>
      </c>
      <c r="V2842" s="225" t="str">
        <f>IF(NOT(ISNUMBER(G2842)), "", VLOOKUP(A2842,'Discount Lookup'!G:H,2,FALSE)*G2842)</f>
        <v/>
      </c>
      <c r="W2842" s="508">
        <f t="shared" si="2201"/>
        <v>0</v>
      </c>
      <c r="X2842" s="508">
        <f t="shared" si="2202"/>
        <v>0</v>
      </c>
      <c r="Y2842" s="509" t="b">
        <f t="shared" si="2203"/>
        <v>0</v>
      </c>
      <c r="Z2842" s="510">
        <f t="shared" si="2204"/>
        <v>0</v>
      </c>
      <c r="AA2842" s="511"/>
      <c r="AB2842" s="511" t="str">
        <f t="shared" si="2205"/>
        <v/>
      </c>
      <c r="AC2842" s="698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698"/>
      <c r="AE2842" s="631" t="str">
        <f t="shared" si="2206"/>
        <v/>
      </c>
      <c r="AF2842" s="699" t="str">
        <f t="shared" si="2207"/>
        <v/>
      </c>
      <c r="AG2842" s="699"/>
      <c r="AH2842" s="699"/>
      <c r="AI2842" s="512">
        <f>IF(H2842="credit",0,IF(AE2842="free",0,IF(AE2842="me",0,IF(G2842&gt;0,(VLOOKUP(A2842,'Discount Lookup'!J:K,2)*G2842),0))))</f>
        <v>0</v>
      </c>
      <c r="AJ2842" s="513" t="str">
        <f t="shared" ca="1" si="2208"/>
        <v/>
      </c>
      <c r="AK2842" s="700" t="str">
        <f t="shared" si="2209"/>
        <v/>
      </c>
      <c r="AL2842" s="700"/>
      <c r="AM2842" s="505" t="str">
        <f t="shared" si="2210"/>
        <v/>
      </c>
      <c r="AN2842" s="506"/>
      <c r="AO2842" s="507"/>
      <c r="AP2842" s="507"/>
      <c r="AQ2842" s="507"/>
      <c r="AR2842" s="507"/>
      <c r="AS2842" s="507"/>
      <c r="AT2842" s="507"/>
      <c r="AU2842" s="507"/>
      <c r="AV2842" s="225"/>
      <c r="AW2842" s="508"/>
      <c r="AX2842" s="225"/>
      <c r="AY2842" s="225"/>
      <c r="AZ2842" s="225"/>
      <c r="BA2842" s="225"/>
      <c r="BB2842" s="225"/>
      <c r="BC2842" s="56"/>
      <c r="BD2842" s="56"/>
      <c r="BE2842" s="56"/>
      <c r="BF2842" s="107" t="str">
        <f t="shared" si="2211"/>
        <v>https://www.google.com/search?tbm=isch&amp;q=moist%20sites%F0%9F%92%A7GOOD%2C%20Pink%20Chimes%20has%20pendulous%20clusters%20of%20fragrant%20bell-shaped%20flowers%20</v>
      </c>
      <c r="BG2842" s="107" t="str">
        <f t="shared" si="2212"/>
        <v>m</v>
      </c>
      <c r="BH2842" s="254"/>
      <c r="BI2842" s="254"/>
    </row>
    <row r="2843" spans="1:61" customFormat="1" ht="18" x14ac:dyDescent="0.25">
      <c r="A2843" s="523" t="s">
        <v>5489</v>
      </c>
      <c r="B2843" s="235"/>
      <c r="C2843" s="676"/>
      <c r="D2843" s="255" t="s">
        <v>1514</v>
      </c>
      <c r="E2843" s="236"/>
      <c r="F2843" s="236"/>
      <c r="G2843" s="236"/>
      <c r="H2843" s="582" t="s">
        <v>356</v>
      </c>
      <c r="I2843" s="498" t="s">
        <v>656</v>
      </c>
      <c r="J2843" s="237"/>
      <c r="K2843" s="237"/>
      <c r="L2843" s="274"/>
      <c r="M2843" s="668" t="s">
        <v>4962</v>
      </c>
      <c r="N2843" s="681" t="str">
        <f>IF(AND(ISTEXT($A2843), ISERROR($A2843+0)), HYPERLINK($BF2843, "Images"), "")</f>
        <v>Images</v>
      </c>
      <c r="O2843" s="663" t="s">
        <v>4974</v>
      </c>
      <c r="P2843" s="253"/>
      <c r="Q2843" s="238"/>
      <c r="R2843" s="239"/>
      <c r="S2843" s="275"/>
      <c r="T2843" s="508">
        <f t="shared" si="2200"/>
        <v>0</v>
      </c>
      <c r="U2843" s="225" t="str">
        <f>IF(NOT(ISNUMBER(G2843)), "", VLOOKUP(A2843,'Discount Lookup'!D:E,2,FALSE)*G2843)</f>
        <v/>
      </c>
      <c r="V2843" s="225" t="str">
        <f>IF(NOT(ISNUMBER(G2843)), "", VLOOKUP(A2843,'Discount Lookup'!G:H,2,FALSE)*G2843)</f>
        <v/>
      </c>
      <c r="W2843" s="508">
        <f t="shared" si="2201"/>
        <v>0</v>
      </c>
      <c r="X2843" s="508" t="str">
        <f t="shared" si="2202"/>
        <v>Pink bloom</v>
      </c>
      <c r="Y2843" s="509" t="b">
        <f t="shared" si="2203"/>
        <v>0</v>
      </c>
      <c r="Z2843" s="510">
        <f t="shared" si="2204"/>
        <v>0</v>
      </c>
      <c r="AA2843" s="511"/>
      <c r="AB2843" s="511" t="str">
        <f t="shared" si="2205"/>
        <v/>
      </c>
      <c r="AC2843" s="698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698"/>
      <c r="AE2843" s="631" t="str">
        <f t="shared" si="2206"/>
        <v/>
      </c>
      <c r="AF2843" s="699" t="str">
        <f t="shared" si="2207"/>
        <v/>
      </c>
      <c r="AG2843" s="699"/>
      <c r="AH2843" s="699"/>
      <c r="AI2843" s="512">
        <f>IF(H2843="credit",0,IF(AE2843="free",0,IF(AE2843="me",0,IF(G2843&gt;0,(VLOOKUP(A2843,'Discount Lookup'!J:K,2)*G2843),0))))</f>
        <v>0</v>
      </c>
      <c r="AJ2843" s="513" t="str">
        <f t="shared" ca="1" si="2208"/>
        <v/>
      </c>
      <c r="AK2843" s="700" t="str">
        <f t="shared" si="2209"/>
        <v/>
      </c>
      <c r="AL2843" s="700"/>
      <c r="AM2843" s="505" t="str">
        <f t="shared" si="2210"/>
        <v/>
      </c>
      <c r="AN2843" s="506"/>
      <c r="AO2843" s="507"/>
      <c r="AP2843" s="507"/>
      <c r="AQ2843" s="507"/>
      <c r="AR2843" s="507"/>
      <c r="AS2843" s="507"/>
      <c r="AT2843" s="507"/>
      <c r="AU2843" s="507"/>
      <c r="AV2843" s="225"/>
      <c r="AW2843" s="508"/>
      <c r="AX2843" s="225"/>
      <c r="AY2843" s="225"/>
      <c r="AZ2843" s="225"/>
      <c r="BA2843" s="225"/>
      <c r="BB2843" s="225"/>
      <c r="BC2843" s="56"/>
      <c r="BD2843" s="56"/>
      <c r="BE2843" s="56"/>
      <c r="BF2843" s="107" t="str">
        <f t="shared" si="2211"/>
        <v>https://www.google.com/search?tbm=isch&amp;q=Pink%20Double%20Knock%20Out%C2%AE%20Rose%20Rosa%20%27Radtkopink%27%20PP%2318507</v>
      </c>
      <c r="BG2843" s="107" t="str">
        <f t="shared" si="2212"/>
        <v>P</v>
      </c>
      <c r="BH2843" s="254"/>
      <c r="BI2843" s="254"/>
    </row>
    <row r="2844" spans="1:61" customFormat="1" ht="15.75" x14ac:dyDescent="0.25">
      <c r="A2844" s="276">
        <v>3</v>
      </c>
      <c r="B2844" s="240" t="s">
        <v>291</v>
      </c>
      <c r="C2844" s="241" t="s">
        <v>4872</v>
      </c>
      <c r="D2844" s="242" t="s">
        <v>312</v>
      </c>
      <c r="E2844" s="243">
        <v>30.95</v>
      </c>
      <c r="F2844" s="517" t="s">
        <v>293</v>
      </c>
      <c r="G2844" s="232">
        <v>0</v>
      </c>
      <c r="H2844" s="661" t="str">
        <f>IF(G2844=0,"",IF(F2844="Buy",IF(G2844=1,"plant","plants"),IF(F2844&gt;0.01,"warranty","Error")))</f>
        <v/>
      </c>
      <c r="I2844" s="244">
        <f>IF(H2844="free",0,IF(H2844="credit",((E2844*(F2844))*G2844*-1),IF(F2844="Buy",(E2844*G2844),((E2844*(1-F2844))*G2844))))</f>
        <v>0</v>
      </c>
      <c r="J2844" s="244">
        <f>IF(H2844="warranty",0,(I2844*(_xlfn.SINGLE(SalesTaxPercentage))))</f>
        <v>0</v>
      </c>
      <c r="K2844" s="696">
        <f t="shared" ref="K2844" si="2218">I2844+J2844</f>
        <v>0</v>
      </c>
      <c r="L2844" s="696"/>
      <c r="M2844" s="659" t="str">
        <f>IF(AND(G2844&gt;0,E2844=0),"WARNING - no PRICE inserted",IF(H2844="free"," FREE ~ no charge this plant",IF(H2844="credit",CONCATENATE(" -$",ROUND(K2844*(1-T2GDiscount)*-1,2)," CREDIT after discount"),IF(T2GDiscount=0,"",IF(G2844=0,"",IF(F2844="Buy",CONCATENATE(" $",ROUND(K2844*(1-T2GDiscount),2)," with ",(T2GDiscount*100),"% discount"),CONCATENATE(" $",ROUND(K2844*(1-T2GDiscount),2)," with ",((T2GDiscount*100+F2844*100)-(T2GDiscount*100*F2844)),IF(F2844&gt;0,"% discounts",IF(NoWarrantyDiscount&gt;0,"% discounts","% discount")))))))))</f>
        <v/>
      </c>
      <c r="N2844" s="660"/>
      <c r="O2844" s="233"/>
      <c r="P2844" s="233"/>
      <c r="Q2844" s="233"/>
      <c r="R2844" s="233"/>
      <c r="S2844" s="233"/>
      <c r="T2844" s="508">
        <f t="shared" si="2200"/>
        <v>0</v>
      </c>
      <c r="U2844" s="225">
        <f>IF(NOT(ISNUMBER(G2844)), "", VLOOKUP(A2844,'Discount Lookup'!D:E,2,FALSE)*G2844)</f>
        <v>0</v>
      </c>
      <c r="V2844" s="225">
        <f>IF(NOT(ISNUMBER(G2844)), "", VLOOKUP(A2844,'Discount Lookup'!G:H,2,FALSE)*G2844)</f>
        <v>0</v>
      </c>
      <c r="W2844" s="508">
        <f t="shared" si="2201"/>
        <v>0</v>
      </c>
      <c r="X2844" s="508">
        <f t="shared" si="2202"/>
        <v>0</v>
      </c>
      <c r="Y2844" s="509" t="b">
        <f t="shared" si="2203"/>
        <v>0</v>
      </c>
      <c r="Z2844" s="510">
        <f t="shared" si="2204"/>
        <v>0</v>
      </c>
      <c r="AA2844" s="511"/>
      <c r="AB2844" s="511" t="str">
        <f t="shared" si="2205"/>
        <v/>
      </c>
      <c r="AC2844" s="698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698"/>
      <c r="AE2844" s="631" t="str">
        <f t="shared" si="2206"/>
        <v/>
      </c>
      <c r="AF2844" s="699" t="str">
        <f t="shared" si="2207"/>
        <v/>
      </c>
      <c r="AG2844" s="699"/>
      <c r="AH2844" s="699"/>
      <c r="AI2844" s="512">
        <f>IF(H2844="credit",0,IF(AE2844="free",0,IF(AE2844="me",0,IF(G2844&gt;0,(VLOOKUP(A2844,'Discount Lookup'!J:K,2)*G2844),0))))</f>
        <v>0</v>
      </c>
      <c r="AJ2844" s="513" t="str">
        <f t="shared" ca="1" si="2208"/>
        <v/>
      </c>
      <c r="AK2844" s="700" t="str">
        <f t="shared" si="2209"/>
        <v/>
      </c>
      <c r="AL2844" s="700"/>
      <c r="AM2844" s="505" t="str">
        <f t="shared" si="2210"/>
        <v/>
      </c>
      <c r="AN2844" s="506"/>
      <c r="AO2844" s="507"/>
      <c r="AP2844" s="507"/>
      <c r="AQ2844" s="507"/>
      <c r="AR2844" s="507"/>
      <c r="AS2844" s="507"/>
      <c r="AT2844" s="507"/>
      <c r="AU2844" s="507"/>
      <c r="AV2844" s="225"/>
      <c r="AW2844" s="508"/>
      <c r="AX2844" s="225"/>
      <c r="AY2844" s="225"/>
      <c r="AZ2844" s="225"/>
      <c r="BA2844" s="225"/>
      <c r="BB2844" s="225"/>
      <c r="BC2844" s="56"/>
      <c r="BD2844" s="56"/>
      <c r="BE2844" s="56"/>
      <c r="BF2844" s="107" t="str">
        <f t="shared" si="2211"/>
        <v>https://www.google.com/search?tbm=isch&amp;q=3%20G2</v>
      </c>
      <c r="BG2844" s="107" t="str">
        <f t="shared" si="2212"/>
        <v>P</v>
      </c>
      <c r="BH2844" s="254"/>
      <c r="BI2844" s="254"/>
    </row>
    <row r="2845" spans="1:61" customFormat="1" ht="15.75" x14ac:dyDescent="0.25">
      <c r="A2845" s="276">
        <v>3</v>
      </c>
      <c r="B2845" s="240" t="s">
        <v>291</v>
      </c>
      <c r="C2845" s="241" t="s">
        <v>9</v>
      </c>
      <c r="D2845" s="242" t="s">
        <v>298</v>
      </c>
      <c r="E2845" s="243">
        <v>31.95</v>
      </c>
      <c r="F2845" s="517" t="s">
        <v>293</v>
      </c>
      <c r="G2845" s="232">
        <v>0</v>
      </c>
      <c r="H2845" s="661" t="str">
        <f>IF(G2845=0,"",IF(F2845="Buy",IF(G2845=1,"plant","plants"),IF(F2845&gt;0.01,"warranty","Error")))</f>
        <v/>
      </c>
      <c r="I2845" s="244">
        <f>IF(H2845="free",0,IF(H2845="credit",((E2845*(F2845))*G2845*-1),IF(F2845="Buy",(E2845*G2845),((E2845*(1-F2845))*G2845))))</f>
        <v>0</v>
      </c>
      <c r="J2845" s="244">
        <f>IF(H2845="warranty",0,(I2845*(_xlfn.SINGLE(SalesTaxPercentage))))</f>
        <v>0</v>
      </c>
      <c r="K2845" s="696">
        <f t="shared" ref="K2845" si="2219">I2845+J2845</f>
        <v>0</v>
      </c>
      <c r="L2845" s="696"/>
      <c r="M2845" s="659" t="str">
        <f>IF(AND(G2845&gt;0,E2845=0),"WARNING - no PRICE inserted",IF(H2845="free"," FREE ~ no charge this plant",IF(H2845="credit",CONCATENATE(" -$",ROUND(K2845*(1-T2GDiscount)*-1,2)," CREDIT after discount"),IF(T2GDiscount=0,"",IF(G2845=0,"",IF(F2845="Buy",CONCATENATE(" $",ROUND(K2845*(1-T2GDiscount),2)," with ",(T2GDiscount*100),"% discount"),CONCATENATE(" $",ROUND(K2845*(1-T2GDiscount),2)," with ",((T2GDiscount*100+F2845*100)-(T2GDiscount*100*F2845)),IF(F2845&gt;0,"% discounts",IF(NoWarrantyDiscount&gt;0,"% discounts","% discount")))))))))</f>
        <v/>
      </c>
      <c r="N2845" s="660"/>
      <c r="O2845" s="233"/>
      <c r="P2845" s="233"/>
      <c r="Q2845" s="233"/>
      <c r="R2845" s="233"/>
      <c r="S2845" s="233"/>
      <c r="T2845" s="508">
        <f t="shared" si="2200"/>
        <v>0</v>
      </c>
      <c r="U2845" s="225">
        <f>IF(NOT(ISNUMBER(G2845)), "", VLOOKUP(A2845,'Discount Lookup'!D:E,2,FALSE)*G2845)</f>
        <v>0</v>
      </c>
      <c r="V2845" s="225">
        <f>IF(NOT(ISNUMBER(G2845)), "", VLOOKUP(A2845,'Discount Lookup'!G:H,2,FALSE)*G2845)</f>
        <v>0</v>
      </c>
      <c r="W2845" s="508">
        <f t="shared" si="2201"/>
        <v>0</v>
      </c>
      <c r="X2845" s="508">
        <f t="shared" si="2202"/>
        <v>0</v>
      </c>
      <c r="Y2845" s="509" t="b">
        <f t="shared" si="2203"/>
        <v>0</v>
      </c>
      <c r="Z2845" s="510">
        <f t="shared" si="2204"/>
        <v>0</v>
      </c>
      <c r="AA2845" s="511"/>
      <c r="AB2845" s="511" t="str">
        <f t="shared" si="2205"/>
        <v/>
      </c>
      <c r="AC2845" s="698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698"/>
      <c r="AE2845" s="631" t="str">
        <f t="shared" si="2206"/>
        <v/>
      </c>
      <c r="AF2845" s="699" t="str">
        <f t="shared" si="2207"/>
        <v/>
      </c>
      <c r="AG2845" s="699"/>
      <c r="AH2845" s="699"/>
      <c r="AI2845" s="512">
        <f>IF(H2845="credit",0,IF(AE2845="free",0,IF(AE2845="me",0,IF(G2845&gt;0,(VLOOKUP(A2845,'Discount Lookup'!J:K,2)*G2845),0))))</f>
        <v>0</v>
      </c>
      <c r="AJ2845" s="513" t="str">
        <f t="shared" ca="1" si="2208"/>
        <v/>
      </c>
      <c r="AK2845" s="700" t="str">
        <f t="shared" si="2209"/>
        <v/>
      </c>
      <c r="AL2845" s="700"/>
      <c r="AM2845" s="505" t="str">
        <f t="shared" si="2210"/>
        <v/>
      </c>
      <c r="AN2845" s="506"/>
      <c r="AO2845" s="507"/>
      <c r="AP2845" s="507"/>
      <c r="AQ2845" s="507"/>
      <c r="AR2845" s="507"/>
      <c r="AS2845" s="507"/>
      <c r="AT2845" s="507"/>
      <c r="AU2845" s="507"/>
      <c r="AV2845" s="225"/>
      <c r="AW2845" s="508"/>
      <c r="AX2845" s="225"/>
      <c r="AY2845" s="225"/>
      <c r="AZ2845" s="225"/>
      <c r="BA2845" s="225"/>
      <c r="BB2845" s="225"/>
      <c r="BC2845" s="56"/>
      <c r="BD2845" s="56"/>
      <c r="BE2845" s="56"/>
      <c r="BF2845" s="107" t="str">
        <f t="shared" si="2211"/>
        <v>https://www.google.com/search?tbm=isch&amp;q=3%20G1</v>
      </c>
      <c r="BG2845" s="107" t="str">
        <f t="shared" si="2212"/>
        <v>P</v>
      </c>
      <c r="BH2845" s="254"/>
      <c r="BI2845" s="254"/>
    </row>
    <row r="2846" spans="1:61" customFormat="1" ht="17.25" thickBot="1" x14ac:dyDescent="0.3">
      <c r="A2846" s="524" t="s">
        <v>4075</v>
      </c>
      <c r="B2846" s="245"/>
      <c r="C2846" s="677"/>
      <c r="D2846" s="499"/>
      <c r="E2846" s="499"/>
      <c r="F2846" s="500"/>
      <c r="G2846" s="501"/>
      <c r="H2846" s="502"/>
      <c r="I2846" s="246"/>
      <c r="J2846" s="247"/>
      <c r="K2846" s="503"/>
      <c r="L2846" s="544"/>
      <c r="M2846" s="544"/>
      <c r="N2846" s="500"/>
      <c r="O2846" s="500"/>
      <c r="P2846" s="500"/>
      <c r="Q2846" s="500"/>
      <c r="R2846" s="500"/>
      <c r="S2846" s="669" t="s">
        <v>4980</v>
      </c>
      <c r="T2846" s="508">
        <f t="shared" si="2200"/>
        <v>0</v>
      </c>
      <c r="U2846" s="225" t="str">
        <f>IF(NOT(ISNUMBER(G2846)), "", VLOOKUP(A2846,'Discount Lookup'!D:E,2,FALSE)*G2846)</f>
        <v/>
      </c>
      <c r="V2846" s="225" t="str">
        <f>IF(NOT(ISNUMBER(G2846)), "", VLOOKUP(A2846,'Discount Lookup'!G:H,2,FALSE)*G2846)</f>
        <v/>
      </c>
      <c r="W2846" s="508">
        <f t="shared" si="2201"/>
        <v>0</v>
      </c>
      <c r="X2846" s="508">
        <f t="shared" si="2202"/>
        <v>0</v>
      </c>
      <c r="Y2846" s="509" t="b">
        <f t="shared" si="2203"/>
        <v>0</v>
      </c>
      <c r="Z2846" s="510">
        <f t="shared" si="2204"/>
        <v>0</v>
      </c>
      <c r="AA2846" s="511"/>
      <c r="AB2846" s="511" t="str">
        <f t="shared" si="2205"/>
        <v/>
      </c>
      <c r="AC2846" s="698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698"/>
      <c r="AE2846" s="631" t="str">
        <f t="shared" si="2206"/>
        <v/>
      </c>
      <c r="AF2846" s="699" t="str">
        <f t="shared" si="2207"/>
        <v/>
      </c>
      <c r="AG2846" s="699"/>
      <c r="AH2846" s="699"/>
      <c r="AI2846" s="512">
        <f>IF(H2846="credit",0,IF(AE2846="free",0,IF(AE2846="me",0,IF(G2846&gt;0,(VLOOKUP(A2846,'Discount Lookup'!J:K,2)*G2846),0))))</f>
        <v>0</v>
      </c>
      <c r="AJ2846" s="513" t="str">
        <f t="shared" ca="1" si="2208"/>
        <v/>
      </c>
      <c r="AK2846" s="700" t="str">
        <f t="shared" si="2209"/>
        <v/>
      </c>
      <c r="AL2846" s="700"/>
      <c r="AM2846" s="505" t="str">
        <f t="shared" si="2210"/>
        <v/>
      </c>
      <c r="AN2846" s="506"/>
      <c r="AO2846" s="507"/>
      <c r="AP2846" s="507"/>
      <c r="AQ2846" s="507"/>
      <c r="AR2846" s="507"/>
      <c r="AS2846" s="507"/>
      <c r="AT2846" s="507"/>
      <c r="AU2846" s="507"/>
      <c r="AV2846" s="225"/>
      <c r="AW2846" s="508"/>
      <c r="AX2846" s="225"/>
      <c r="AY2846" s="225"/>
      <c r="AZ2846" s="225"/>
      <c r="BA2846" s="225"/>
      <c r="BB2846" s="225"/>
      <c r="BC2846" s="56"/>
      <c r="BD2846" s="56"/>
      <c r="BE2846" s="56"/>
      <c r="BF2846" s="107" t="str">
        <f t="shared" si="2211"/>
        <v>https://www.google.com/search?tbm=isch&amp;q=Knock%20Out%20bloom%20all%20summer%20and%20don%27t%20need%20deadheading.%20Glossy%20Green%20foliage%20and%20thorns%20%28rabbits%20may%20still%20nibble%29.%20Cut%20back%20annually%20</v>
      </c>
      <c r="BG2846" s="107" t="str">
        <f t="shared" si="2212"/>
        <v>K</v>
      </c>
      <c r="BH2846" s="254"/>
      <c r="BI2846" s="254"/>
    </row>
    <row r="2847" spans="1:61" customFormat="1" ht="18" x14ac:dyDescent="0.25">
      <c r="A2847" s="523" t="s">
        <v>5490</v>
      </c>
      <c r="B2847" s="235"/>
      <c r="C2847" s="676"/>
      <c r="D2847" s="255" t="s">
        <v>1515</v>
      </c>
      <c r="E2847" s="236"/>
      <c r="F2847" s="236"/>
      <c r="G2847" s="236"/>
      <c r="H2847" s="582" t="s">
        <v>508</v>
      </c>
      <c r="I2847" s="498" t="s">
        <v>1516</v>
      </c>
      <c r="J2847" s="237"/>
      <c r="K2847" s="237"/>
      <c r="L2847" s="274"/>
      <c r="M2847" s="668" t="s">
        <v>4962</v>
      </c>
      <c r="N2847" s="681" t="str">
        <f>IF(AND(ISTEXT($A2847), ISERROR($A2847+0)), HYPERLINK($BF2847, "Images"), "")</f>
        <v>Images</v>
      </c>
      <c r="O2847" s="663" t="s">
        <v>4974</v>
      </c>
      <c r="P2847" s="253"/>
      <c r="Q2847" s="238"/>
      <c r="R2847" s="239"/>
      <c r="S2847" s="275"/>
      <c r="T2847" s="508">
        <f t="shared" si="2200"/>
        <v>0</v>
      </c>
      <c r="U2847" s="225" t="str">
        <f>IF(NOT(ISNUMBER(G2847)), "", VLOOKUP(A2847,'Discount Lookup'!D:E,2,FALSE)*G2847)</f>
        <v/>
      </c>
      <c r="V2847" s="225" t="str">
        <f>IF(NOT(ISNUMBER(G2847)), "", VLOOKUP(A2847,'Discount Lookup'!G:H,2,FALSE)*G2847)</f>
        <v/>
      </c>
      <c r="W2847" s="508">
        <f t="shared" si="2201"/>
        <v>0</v>
      </c>
      <c r="X2847" s="508" t="str">
        <f t="shared" si="2202"/>
        <v>Pink, White center bloom</v>
      </c>
      <c r="Y2847" s="509" t="b">
        <f t="shared" si="2203"/>
        <v>0</v>
      </c>
      <c r="Z2847" s="510">
        <f t="shared" si="2204"/>
        <v>0</v>
      </c>
      <c r="AA2847" s="511"/>
      <c r="AB2847" s="511" t="str">
        <f t="shared" si="2205"/>
        <v/>
      </c>
      <c r="AC2847" s="698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698"/>
      <c r="AE2847" s="631" t="str">
        <f t="shared" si="2206"/>
        <v/>
      </c>
      <c r="AF2847" s="699" t="str">
        <f t="shared" si="2207"/>
        <v/>
      </c>
      <c r="AG2847" s="699"/>
      <c r="AH2847" s="699"/>
      <c r="AI2847" s="512">
        <f>IF(H2847="credit",0,IF(AE2847="free",0,IF(AE2847="me",0,IF(G2847&gt;0,(VLOOKUP(A2847,'Discount Lookup'!J:K,2)*G2847),0))))</f>
        <v>0</v>
      </c>
      <c r="AJ2847" s="513" t="str">
        <f t="shared" ca="1" si="2208"/>
        <v/>
      </c>
      <c r="AK2847" s="700" t="str">
        <f t="shared" si="2209"/>
        <v/>
      </c>
      <c r="AL2847" s="700"/>
      <c r="AM2847" s="505" t="str">
        <f t="shared" si="2210"/>
        <v/>
      </c>
      <c r="AN2847" s="506"/>
      <c r="AO2847" s="507"/>
      <c r="AP2847" s="507"/>
      <c r="AQ2847" s="507"/>
      <c r="AR2847" s="507"/>
      <c r="AS2847" s="507"/>
      <c r="AT2847" s="507"/>
      <c r="AU2847" s="507"/>
      <c r="AV2847" s="225"/>
      <c r="AW2847" s="508"/>
      <c r="AX2847" s="225"/>
      <c r="AY2847" s="225"/>
      <c r="AZ2847" s="225"/>
      <c r="BA2847" s="225"/>
      <c r="BB2847" s="225"/>
      <c r="BC2847" s="56"/>
      <c r="BD2847" s="56"/>
      <c r="BE2847" s="56"/>
      <c r="BF2847" s="107" t="str">
        <f t="shared" si="2211"/>
        <v>https://www.google.com/search?tbm=isch&amp;q=Pink%20Drift%C2%AE%20Rose%20Rosa%20%27Meijocos%27%20PP%2318874</v>
      </c>
      <c r="BG2847" s="107" t="str">
        <f t="shared" si="2212"/>
        <v>P</v>
      </c>
      <c r="BH2847" s="254"/>
      <c r="BI2847" s="254"/>
    </row>
    <row r="2848" spans="1:61" customFormat="1" ht="15.75" x14ac:dyDescent="0.25">
      <c r="A2848" s="276">
        <v>3</v>
      </c>
      <c r="B2848" s="240" t="s">
        <v>291</v>
      </c>
      <c r="C2848" s="241"/>
      <c r="D2848" s="242" t="s">
        <v>298</v>
      </c>
      <c r="E2848" s="243">
        <v>31.95</v>
      </c>
      <c r="F2848" s="517" t="s">
        <v>293</v>
      </c>
      <c r="G2848" s="232">
        <v>0</v>
      </c>
      <c r="H2848" s="661" t="str">
        <f>IF(G2848=0,"",IF(F2848="Buy",IF(G2848=1,"plant","plants"),IF(F2848&gt;0.01,"warranty","Error")))</f>
        <v/>
      </c>
      <c r="I2848" s="244">
        <f>IF(H2848="free",0,IF(H2848="credit",((E2848*(F2848))*G2848*-1),IF(F2848="Buy",(E2848*G2848),((E2848*(1-F2848))*G2848))))</f>
        <v>0</v>
      </c>
      <c r="J2848" s="244">
        <f>IF(H2848="warranty",0,(I2848*(_xlfn.SINGLE(SalesTaxPercentage))))</f>
        <v>0</v>
      </c>
      <c r="K2848" s="696">
        <f t="shared" ref="K2848" si="2220">I2848+J2848</f>
        <v>0</v>
      </c>
      <c r="L2848" s="696"/>
      <c r="M2848" s="659" t="str">
        <f>IF(AND(G2848&gt;0,E2848=0),"WARNING - no PRICE inserted",IF(H2848="free"," FREE ~ no charge this plant",IF(H2848="credit",CONCATENATE(" -$",ROUND(K2848*(1-T2GDiscount)*-1,2)," CREDIT after discount"),IF(T2GDiscount=0,"",IF(G2848=0,"",IF(F2848="Buy",CONCATENATE(" $",ROUND(K2848*(1-T2GDiscount),2)," with ",(T2GDiscount*100),"% discount"),CONCATENATE(" $",ROUND(K2848*(1-T2GDiscount),2)," with ",((T2GDiscount*100+F2848*100)-(T2GDiscount*100*F2848)),IF(F2848&gt;0,"% discounts",IF(NoWarrantyDiscount&gt;0,"% discounts","% discount")))))))))</f>
        <v/>
      </c>
      <c r="N2848" s="660"/>
      <c r="O2848" s="233"/>
      <c r="P2848" s="233"/>
      <c r="Q2848" s="233"/>
      <c r="R2848" s="233"/>
      <c r="S2848" s="233"/>
      <c r="T2848" s="508">
        <f t="shared" si="2200"/>
        <v>0</v>
      </c>
      <c r="U2848" s="225">
        <f>IF(NOT(ISNUMBER(G2848)), "", VLOOKUP(A2848,'Discount Lookup'!D:E,2,FALSE)*G2848)</f>
        <v>0</v>
      </c>
      <c r="V2848" s="225">
        <f>IF(NOT(ISNUMBER(G2848)), "", VLOOKUP(A2848,'Discount Lookup'!G:H,2,FALSE)*G2848)</f>
        <v>0</v>
      </c>
      <c r="W2848" s="508">
        <f t="shared" si="2201"/>
        <v>0</v>
      </c>
      <c r="X2848" s="508">
        <f t="shared" si="2202"/>
        <v>0</v>
      </c>
      <c r="Y2848" s="509" t="b">
        <f t="shared" si="2203"/>
        <v>0</v>
      </c>
      <c r="Z2848" s="510">
        <f t="shared" si="2204"/>
        <v>0</v>
      </c>
      <c r="AA2848" s="511"/>
      <c r="AB2848" s="511" t="str">
        <f t="shared" si="2205"/>
        <v/>
      </c>
      <c r="AC2848" s="698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698"/>
      <c r="AE2848" s="631" t="str">
        <f t="shared" si="2206"/>
        <v/>
      </c>
      <c r="AF2848" s="699" t="str">
        <f t="shared" si="2207"/>
        <v/>
      </c>
      <c r="AG2848" s="699"/>
      <c r="AH2848" s="699"/>
      <c r="AI2848" s="512">
        <f>IF(H2848="credit",0,IF(AE2848="free",0,IF(AE2848="me",0,IF(G2848&gt;0,(VLOOKUP(A2848,'Discount Lookup'!J:K,2)*G2848),0))))</f>
        <v>0</v>
      </c>
      <c r="AJ2848" s="513" t="str">
        <f t="shared" ca="1" si="2208"/>
        <v/>
      </c>
      <c r="AK2848" s="700" t="str">
        <f t="shared" si="2209"/>
        <v/>
      </c>
      <c r="AL2848" s="700"/>
      <c r="AM2848" s="505" t="str">
        <f t="shared" si="2210"/>
        <v/>
      </c>
      <c r="AN2848" s="506"/>
      <c r="AO2848" s="507"/>
      <c r="AP2848" s="507"/>
      <c r="AQ2848" s="507"/>
      <c r="AR2848" s="507"/>
      <c r="AS2848" s="507"/>
      <c r="AT2848" s="507"/>
      <c r="AU2848" s="507"/>
      <c r="AV2848" s="225"/>
      <c r="AW2848" s="508"/>
      <c r="AX2848" s="225"/>
      <c r="AY2848" s="225"/>
      <c r="AZ2848" s="225"/>
      <c r="BA2848" s="225"/>
      <c r="BB2848" s="225"/>
      <c r="BC2848" s="56"/>
      <c r="BD2848" s="56"/>
      <c r="BE2848" s="56"/>
      <c r="BF2848" s="107" t="str">
        <f t="shared" si="2211"/>
        <v>https://www.google.com/search?tbm=isch&amp;q=3%20G1</v>
      </c>
      <c r="BG2848" s="107" t="str">
        <f t="shared" si="2212"/>
        <v>P</v>
      </c>
      <c r="BH2848" s="254"/>
      <c r="BI2848" s="254"/>
    </row>
    <row r="2849" spans="1:61" customFormat="1" ht="15.75" x14ac:dyDescent="0.25">
      <c r="A2849" s="276">
        <v>3</v>
      </c>
      <c r="B2849" s="240" t="s">
        <v>291</v>
      </c>
      <c r="C2849" s="241" t="s">
        <v>4859</v>
      </c>
      <c r="D2849" s="242" t="s">
        <v>312</v>
      </c>
      <c r="E2849" s="243">
        <v>31.95</v>
      </c>
      <c r="F2849" s="517" t="s">
        <v>293</v>
      </c>
      <c r="G2849" s="232">
        <v>0</v>
      </c>
      <c r="H2849" s="661" t="str">
        <f>IF(G2849=0,"",IF(F2849="Buy",IF(G2849=1,"plant","plants"),IF(F2849&gt;0.01,"warranty","Error")))</f>
        <v/>
      </c>
      <c r="I2849" s="244">
        <f>IF(H2849="free",0,IF(H2849="credit",((E2849*(F2849))*G2849*-1),IF(F2849="Buy",(E2849*G2849),((E2849*(1-F2849))*G2849))))</f>
        <v>0</v>
      </c>
      <c r="J2849" s="244">
        <f>IF(H2849="warranty",0,(I2849*(_xlfn.SINGLE(SalesTaxPercentage))))</f>
        <v>0</v>
      </c>
      <c r="K2849" s="696">
        <f t="shared" ref="K2849" si="2221">I2849+J2849</f>
        <v>0</v>
      </c>
      <c r="L2849" s="696"/>
      <c r="M2849" s="659" t="str">
        <f>IF(AND(G2849&gt;0,E2849=0),"WARNING - no PRICE inserted",IF(H2849="free"," FREE ~ no charge this plant",IF(H2849="credit",CONCATENATE(" -$",ROUND(K2849*(1-T2GDiscount)*-1,2)," CREDIT after discount"),IF(T2GDiscount=0,"",IF(G2849=0,"",IF(F2849="Buy",CONCATENATE(" $",ROUND(K2849*(1-T2GDiscount),2)," with ",(T2GDiscount*100),"% discount"),CONCATENATE(" $",ROUND(K2849*(1-T2GDiscount),2)," with ",((T2GDiscount*100+F2849*100)-(T2GDiscount*100*F2849)),IF(F2849&gt;0,"% discounts",IF(NoWarrantyDiscount&gt;0,"% discounts","% discount")))))))))</f>
        <v/>
      </c>
      <c r="N2849" s="660"/>
      <c r="O2849" s="233"/>
      <c r="P2849" s="233"/>
      <c r="Q2849" s="233"/>
      <c r="R2849" s="233"/>
      <c r="S2849" s="233"/>
      <c r="T2849" s="508">
        <f t="shared" si="2200"/>
        <v>0</v>
      </c>
      <c r="U2849" s="225">
        <f>IF(NOT(ISNUMBER(G2849)), "", VLOOKUP(A2849,'Discount Lookup'!D:E,2,FALSE)*G2849)</f>
        <v>0</v>
      </c>
      <c r="V2849" s="225">
        <f>IF(NOT(ISNUMBER(G2849)), "", VLOOKUP(A2849,'Discount Lookup'!G:H,2,FALSE)*G2849)</f>
        <v>0</v>
      </c>
      <c r="W2849" s="508">
        <f t="shared" si="2201"/>
        <v>0</v>
      </c>
      <c r="X2849" s="508">
        <f t="shared" si="2202"/>
        <v>0</v>
      </c>
      <c r="Y2849" s="509" t="b">
        <f t="shared" si="2203"/>
        <v>0</v>
      </c>
      <c r="Z2849" s="510">
        <f t="shared" si="2204"/>
        <v>0</v>
      </c>
      <c r="AA2849" s="511"/>
      <c r="AB2849" s="511" t="str">
        <f t="shared" si="2205"/>
        <v/>
      </c>
      <c r="AC2849" s="698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698"/>
      <c r="AE2849" s="631" t="str">
        <f t="shared" si="2206"/>
        <v/>
      </c>
      <c r="AF2849" s="699" t="str">
        <f t="shared" si="2207"/>
        <v/>
      </c>
      <c r="AG2849" s="699"/>
      <c r="AH2849" s="699"/>
      <c r="AI2849" s="512">
        <f>IF(H2849="credit",0,IF(AE2849="free",0,IF(AE2849="me",0,IF(G2849&gt;0,(VLOOKUP(A2849,'Discount Lookup'!J:K,2)*G2849),0))))</f>
        <v>0</v>
      </c>
      <c r="AJ2849" s="513" t="str">
        <f t="shared" ca="1" si="2208"/>
        <v/>
      </c>
      <c r="AK2849" s="700" t="str">
        <f t="shared" si="2209"/>
        <v/>
      </c>
      <c r="AL2849" s="700"/>
      <c r="AM2849" s="505" t="str">
        <f t="shared" si="2210"/>
        <v/>
      </c>
      <c r="AN2849" s="506"/>
      <c r="AO2849" s="507"/>
      <c r="AP2849" s="507"/>
      <c r="AQ2849" s="507"/>
      <c r="AR2849" s="507"/>
      <c r="AS2849" s="507"/>
      <c r="AT2849" s="507"/>
      <c r="AU2849" s="507"/>
      <c r="AV2849" s="225"/>
      <c r="AW2849" s="508"/>
      <c r="AX2849" s="225"/>
      <c r="AY2849" s="225"/>
      <c r="AZ2849" s="225"/>
      <c r="BA2849" s="225"/>
      <c r="BB2849" s="225"/>
      <c r="BC2849" s="56"/>
      <c r="BD2849" s="56"/>
      <c r="BE2849" s="56"/>
      <c r="BF2849" s="107" t="str">
        <f t="shared" si="2211"/>
        <v>https://www.google.com/search?tbm=isch&amp;q=3%20G2</v>
      </c>
      <c r="BG2849" s="107" t="str">
        <f t="shared" si="2212"/>
        <v>P</v>
      </c>
      <c r="BH2849" s="254"/>
      <c r="BI2849" s="254"/>
    </row>
    <row r="2850" spans="1:61" customFormat="1" ht="15.75" x14ac:dyDescent="0.25">
      <c r="A2850" s="276">
        <v>3</v>
      </c>
      <c r="B2850" s="240" t="s">
        <v>291</v>
      </c>
      <c r="C2850" s="241" t="s">
        <v>2785</v>
      </c>
      <c r="D2850" s="242" t="s">
        <v>299</v>
      </c>
      <c r="E2850" s="243">
        <v>35.950000000000003</v>
      </c>
      <c r="F2850" s="517" t="s">
        <v>293</v>
      </c>
      <c r="G2850" s="232">
        <v>0</v>
      </c>
      <c r="H2850" s="661" t="str">
        <f>IF(G2850=0,"",IF(F2850="Buy",IF(G2850=1,"plant","plants"),IF(F2850&gt;0.01,"warranty","Error")))</f>
        <v/>
      </c>
      <c r="I2850" s="244">
        <f>IF(H2850="free",0,IF(H2850="credit",((E2850*(F2850))*G2850*-1),IF(F2850="Buy",(E2850*G2850),((E2850*(1-F2850))*G2850))))</f>
        <v>0</v>
      </c>
      <c r="J2850" s="244">
        <f>IF(H2850="warranty",0,(I2850*(_xlfn.SINGLE(SalesTaxPercentage))))</f>
        <v>0</v>
      </c>
      <c r="K2850" s="696">
        <f t="shared" ref="K2850" si="2222">I2850+J2850</f>
        <v>0</v>
      </c>
      <c r="L2850" s="696"/>
      <c r="M2850" s="659" t="str">
        <f>IF(AND(G2850&gt;0,E2850=0),"WARNING - no PRICE inserted",IF(H2850="free"," FREE ~ no charge this plant",IF(H2850="credit",CONCATENATE(" -$",ROUND(K2850*(1-T2GDiscount)*-1,2)," CREDIT after discount"),IF(T2GDiscount=0,"",IF(G2850=0,"",IF(F2850="Buy",CONCATENATE(" $",ROUND(K2850*(1-T2GDiscount),2)," with ",(T2GDiscount*100),"% discount"),CONCATENATE(" $",ROUND(K2850*(1-T2GDiscount),2)," with ",((T2GDiscount*100+F2850*100)-(T2GDiscount*100*F2850)),IF(F2850&gt;0,"% discounts",IF(NoWarrantyDiscount&gt;0,"% discounts","% discount")))))))))</f>
        <v/>
      </c>
      <c r="N2850" s="660"/>
      <c r="O2850" s="233"/>
      <c r="P2850" s="233"/>
      <c r="Q2850" s="233"/>
      <c r="R2850" s="233"/>
      <c r="S2850" s="233"/>
      <c r="T2850" s="508">
        <f t="shared" si="2200"/>
        <v>0</v>
      </c>
      <c r="U2850" s="225">
        <f>IF(NOT(ISNUMBER(G2850)), "", VLOOKUP(A2850,'Discount Lookup'!D:E,2,FALSE)*G2850)</f>
        <v>0</v>
      </c>
      <c r="V2850" s="225">
        <f>IF(NOT(ISNUMBER(G2850)), "", VLOOKUP(A2850,'Discount Lookup'!G:H,2,FALSE)*G2850)</f>
        <v>0</v>
      </c>
      <c r="W2850" s="508">
        <f t="shared" si="2201"/>
        <v>0</v>
      </c>
      <c r="X2850" s="508">
        <f t="shared" si="2202"/>
        <v>0</v>
      </c>
      <c r="Y2850" s="509" t="b">
        <f t="shared" si="2203"/>
        <v>0</v>
      </c>
      <c r="Z2850" s="510">
        <f t="shared" si="2204"/>
        <v>0</v>
      </c>
      <c r="AA2850" s="511"/>
      <c r="AB2850" s="511" t="str">
        <f t="shared" si="2205"/>
        <v/>
      </c>
      <c r="AC2850" s="698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698"/>
      <c r="AE2850" s="631" t="str">
        <f t="shared" si="2206"/>
        <v/>
      </c>
      <c r="AF2850" s="699" t="str">
        <f t="shared" si="2207"/>
        <v/>
      </c>
      <c r="AG2850" s="699"/>
      <c r="AH2850" s="699"/>
      <c r="AI2850" s="512">
        <f>IF(H2850="credit",0,IF(AE2850="free",0,IF(AE2850="me",0,IF(G2850&gt;0,(VLOOKUP(A2850,'Discount Lookup'!J:K,2)*G2850),0))))</f>
        <v>0</v>
      </c>
      <c r="AJ2850" s="513" t="str">
        <f t="shared" ca="1" si="2208"/>
        <v/>
      </c>
      <c r="AK2850" s="700" t="str">
        <f t="shared" si="2209"/>
        <v/>
      </c>
      <c r="AL2850" s="700"/>
      <c r="AM2850" s="505" t="str">
        <f t="shared" si="2210"/>
        <v/>
      </c>
      <c r="AN2850" s="506"/>
      <c r="AO2850" s="507"/>
      <c r="AP2850" s="507"/>
      <c r="AQ2850" s="507"/>
      <c r="AR2850" s="507"/>
      <c r="AS2850" s="507"/>
      <c r="AT2850" s="507"/>
      <c r="AU2850" s="507"/>
      <c r="AV2850" s="225"/>
      <c r="AW2850" s="508"/>
      <c r="AX2850" s="225"/>
      <c r="AY2850" s="225"/>
      <c r="AZ2850" s="225"/>
      <c r="BA2850" s="225"/>
      <c r="BB2850" s="225"/>
      <c r="BC2850" s="56"/>
      <c r="BD2850" s="56"/>
      <c r="BE2850" s="56"/>
      <c r="BF2850" s="107" t="str">
        <f t="shared" si="2211"/>
        <v>https://www.google.com/search?tbm=isch&amp;q=3%20G5</v>
      </c>
      <c r="BG2850" s="107" t="str">
        <f t="shared" si="2212"/>
        <v>P</v>
      </c>
      <c r="BH2850" s="254"/>
      <c r="BI2850" s="254"/>
    </row>
    <row r="2851" spans="1:61" customFormat="1" ht="17.25" thickBot="1" x14ac:dyDescent="0.3">
      <c r="A2851" s="524" t="s">
        <v>4052</v>
      </c>
      <c r="B2851" s="245"/>
      <c r="C2851" s="677"/>
      <c r="D2851" s="499"/>
      <c r="E2851" s="499"/>
      <c r="F2851" s="500"/>
      <c r="G2851" s="501"/>
      <c r="H2851" s="502"/>
      <c r="I2851" s="246"/>
      <c r="J2851" s="247"/>
      <c r="K2851" s="503"/>
      <c r="L2851" s="544"/>
      <c r="M2851" s="544"/>
      <c r="N2851" s="500"/>
      <c r="O2851" s="500"/>
      <c r="P2851" s="500"/>
      <c r="Q2851" s="500"/>
      <c r="R2851" s="500"/>
      <c r="S2851" s="669" t="s">
        <v>4980</v>
      </c>
      <c r="T2851" s="508">
        <f t="shared" si="2200"/>
        <v>0</v>
      </c>
      <c r="U2851" s="225" t="str">
        <f>IF(NOT(ISNUMBER(G2851)), "", VLOOKUP(A2851,'Discount Lookup'!D:E,2,FALSE)*G2851)</f>
        <v/>
      </c>
      <c r="V2851" s="225" t="str">
        <f>IF(NOT(ISNUMBER(G2851)), "", VLOOKUP(A2851,'Discount Lookup'!G:H,2,FALSE)*G2851)</f>
        <v/>
      </c>
      <c r="W2851" s="508">
        <f t="shared" si="2201"/>
        <v>0</v>
      </c>
      <c r="X2851" s="508">
        <f t="shared" si="2202"/>
        <v>0</v>
      </c>
      <c r="Y2851" s="509" t="b">
        <f t="shared" si="2203"/>
        <v>0</v>
      </c>
      <c r="Z2851" s="510">
        <f t="shared" si="2204"/>
        <v>0</v>
      </c>
      <c r="AA2851" s="511"/>
      <c r="AB2851" s="511" t="str">
        <f t="shared" si="2205"/>
        <v/>
      </c>
      <c r="AC2851" s="698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698"/>
      <c r="AE2851" s="631" t="str">
        <f t="shared" si="2206"/>
        <v/>
      </c>
      <c r="AF2851" s="699" t="str">
        <f t="shared" si="2207"/>
        <v/>
      </c>
      <c r="AG2851" s="699"/>
      <c r="AH2851" s="699"/>
      <c r="AI2851" s="512">
        <f>IF(H2851="credit",0,IF(AE2851="free",0,IF(AE2851="me",0,IF(G2851&gt;0,(VLOOKUP(A2851,'Discount Lookup'!J:K,2)*G2851),0))))</f>
        <v>0</v>
      </c>
      <c r="AJ2851" s="513" t="str">
        <f t="shared" ca="1" si="2208"/>
        <v/>
      </c>
      <c r="AK2851" s="700" t="str">
        <f t="shared" si="2209"/>
        <v/>
      </c>
      <c r="AL2851" s="700"/>
      <c r="AM2851" s="505" t="str">
        <f t="shared" si="2210"/>
        <v/>
      </c>
      <c r="AN2851" s="506"/>
      <c r="AO2851" s="507"/>
      <c r="AP2851" s="507"/>
      <c r="AQ2851" s="507"/>
      <c r="AR2851" s="507"/>
      <c r="AS2851" s="507"/>
      <c r="AT2851" s="507"/>
      <c r="AU2851" s="507"/>
      <c r="AV2851" s="225"/>
      <c r="AW2851" s="508"/>
      <c r="AX2851" s="225"/>
      <c r="AY2851" s="225"/>
      <c r="AZ2851" s="225"/>
      <c r="BA2851" s="225"/>
      <c r="BB2851" s="225"/>
      <c r="BC2851" s="56"/>
      <c r="BD2851" s="56"/>
      <c r="BE2851" s="56"/>
      <c r="BF2851" s="107" t="str">
        <f t="shared" si="2211"/>
        <v>https://www.google.com/search?tbm=isch&amp;q=Drift%20Roses%20bloom%20all%20summer%20and%20don%27t%20need%20deadheading%2C%20Glossy%20Green%20foliage%20and%20thorns%20%28rabbits%20may%20still%20nibble%29.%20Cut%20back%20annually%20</v>
      </c>
      <c r="BG2851" s="107" t="str">
        <f t="shared" si="2212"/>
        <v>D</v>
      </c>
      <c r="BH2851" s="254"/>
      <c r="BI2851" s="254"/>
    </row>
    <row r="2852" spans="1:61" customFormat="1" ht="18" x14ac:dyDescent="0.25">
      <c r="A2852" s="523" t="s">
        <v>5491</v>
      </c>
      <c r="B2852" s="235"/>
      <c r="C2852" s="676"/>
      <c r="D2852" s="255" t="s">
        <v>1517</v>
      </c>
      <c r="E2852" s="236"/>
      <c r="F2852" s="236"/>
      <c r="G2852" s="236"/>
      <c r="H2852" s="582" t="s">
        <v>443</v>
      </c>
      <c r="I2852" s="498" t="s">
        <v>3119</v>
      </c>
      <c r="J2852" s="237"/>
      <c r="K2852" s="237"/>
      <c r="L2852" s="274"/>
      <c r="M2852" s="670" t="s">
        <v>4973</v>
      </c>
      <c r="N2852" s="681" t="str">
        <f>IF(AND(ISTEXT($A2852), ISERROR($A2852+0)), HYPERLINK($BF2852, "Images"), "")</f>
        <v>Images</v>
      </c>
      <c r="O2852" s="663" t="s">
        <v>4974</v>
      </c>
      <c r="P2852" s="253"/>
      <c r="Q2852" s="238"/>
      <c r="R2852" s="239"/>
      <c r="S2852" s="275"/>
      <c r="T2852" s="508">
        <f t="shared" si="2200"/>
        <v>0</v>
      </c>
      <c r="U2852" s="225" t="str">
        <f>IF(NOT(ISNUMBER(G2852)), "", VLOOKUP(A2852,'Discount Lookup'!D:E,2,FALSE)*G2852)</f>
        <v/>
      </c>
      <c r="V2852" s="225" t="str">
        <f>IF(NOT(ISNUMBER(G2852)), "", VLOOKUP(A2852,'Discount Lookup'!G:H,2,FALSE)*G2852)</f>
        <v/>
      </c>
      <c r="W2852" s="508">
        <f t="shared" si="2201"/>
        <v>0</v>
      </c>
      <c r="X2852" s="508" t="str">
        <f t="shared" si="2202"/>
        <v>Hot Pink to Purple bloom</v>
      </c>
      <c r="Y2852" s="509" t="b">
        <f t="shared" si="2203"/>
        <v>0</v>
      </c>
      <c r="Z2852" s="510">
        <f t="shared" si="2204"/>
        <v>0</v>
      </c>
      <c r="AA2852" s="511"/>
      <c r="AB2852" s="511" t="str">
        <f t="shared" si="2205"/>
        <v/>
      </c>
      <c r="AC2852" s="698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698"/>
      <c r="AE2852" s="631" t="str">
        <f t="shared" si="2206"/>
        <v/>
      </c>
      <c r="AF2852" s="699" t="str">
        <f t="shared" si="2207"/>
        <v/>
      </c>
      <c r="AG2852" s="699"/>
      <c r="AH2852" s="699"/>
      <c r="AI2852" s="512">
        <f>IF(H2852="credit",0,IF(AE2852="free",0,IF(AE2852="me",0,IF(G2852&gt;0,(VLOOKUP(A2852,'Discount Lookup'!J:K,2)*G2852),0))))</f>
        <v>0</v>
      </c>
      <c r="AJ2852" s="513" t="str">
        <f t="shared" ca="1" si="2208"/>
        <v/>
      </c>
      <c r="AK2852" s="700" t="str">
        <f t="shared" si="2209"/>
        <v/>
      </c>
      <c r="AL2852" s="700"/>
      <c r="AM2852" s="505" t="str">
        <f t="shared" si="2210"/>
        <v/>
      </c>
      <c r="AN2852" s="506"/>
      <c r="AO2852" s="507"/>
      <c r="AP2852" s="507"/>
      <c r="AQ2852" s="507"/>
      <c r="AR2852" s="507"/>
      <c r="AS2852" s="507"/>
      <c r="AT2852" s="507"/>
      <c r="AU2852" s="507"/>
      <c r="AV2852" s="225"/>
      <c r="AW2852" s="508"/>
      <c r="AX2852" s="225"/>
      <c r="AY2852" s="225"/>
      <c r="AZ2852" s="225"/>
      <c r="BA2852" s="225"/>
      <c r="BB2852" s="225"/>
      <c r="BC2852" s="56"/>
      <c r="BD2852" s="56"/>
      <c r="BE2852" s="56"/>
      <c r="BF2852" s="107" t="str">
        <f t="shared" si="2211"/>
        <v>https://www.google.com/search?tbm=isch&amp;q=Pink%20Dynamo%E2%84%A2%20Mountain%20Hydrangea%20Hyd.%20serrata%20%27JPD01%27%20PP%2333412</v>
      </c>
      <c r="BG2852" s="107" t="str">
        <f t="shared" si="2212"/>
        <v>P</v>
      </c>
      <c r="BH2852" s="254"/>
      <c r="BI2852" s="254"/>
    </row>
    <row r="2853" spans="1:61" customFormat="1" ht="15.75" x14ac:dyDescent="0.25">
      <c r="A2853" s="276">
        <v>1</v>
      </c>
      <c r="B2853" s="240" t="s">
        <v>291</v>
      </c>
      <c r="C2853" s="241" t="s">
        <v>329</v>
      </c>
      <c r="D2853" s="242" t="s">
        <v>312</v>
      </c>
      <c r="E2853" s="243">
        <v>30.95</v>
      </c>
      <c r="F2853" s="517" t="s">
        <v>293</v>
      </c>
      <c r="G2853" s="232">
        <v>0</v>
      </c>
      <c r="H2853" s="661" t="str">
        <f>IF(G2853=0,"",IF(F2853="Buy",IF(G2853=1,"plant","plants"),IF(F2853&gt;0.01,"warranty","Error")))</f>
        <v/>
      </c>
      <c r="I2853" s="244">
        <f>IF(H2853="free",0,IF(H2853="credit",((E2853*(F2853))*G2853*-1),IF(F2853="Buy",(E2853*G2853),((E2853*(1-F2853))*G2853))))</f>
        <v>0</v>
      </c>
      <c r="J2853" s="244">
        <f>IF(H2853="warranty",0,(I2853*(_xlfn.SINGLE(SalesTaxPercentage))))</f>
        <v>0</v>
      </c>
      <c r="K2853" s="696">
        <f t="shared" ref="K2853" si="2223">I2853+J2853</f>
        <v>0</v>
      </c>
      <c r="L2853" s="696"/>
      <c r="M2853" s="659" t="str">
        <f>IF(AND(G2853&gt;0,E2853=0),"WARNING - no PRICE inserted",IF(H2853="free"," FREE ~ no charge this plant",IF(H2853="credit",CONCATENATE(" -$",ROUND(K2853*(1-T2GDiscount)*-1,2)," CREDIT after discount"),IF(T2GDiscount=0,"",IF(G2853=0,"",IF(F2853="Buy",CONCATENATE(" $",ROUND(K2853*(1-T2GDiscount),2)," with ",(T2GDiscount*100),"% discount"),CONCATENATE(" $",ROUND(K2853*(1-T2GDiscount),2)," with ",((T2GDiscount*100+F2853*100)-(T2GDiscount*100*F2853)),IF(F2853&gt;0,"% discounts",IF(NoWarrantyDiscount&gt;0,"% discounts","% discount")))))))))</f>
        <v/>
      </c>
      <c r="N2853" s="660"/>
      <c r="O2853" s="233"/>
      <c r="P2853" s="233"/>
      <c r="Q2853" s="233"/>
      <c r="R2853" s="233"/>
      <c r="S2853" s="233"/>
      <c r="T2853" s="508">
        <f t="shared" si="2200"/>
        <v>0</v>
      </c>
      <c r="U2853" s="225">
        <f>IF(NOT(ISNUMBER(G2853)), "", VLOOKUP(A2853,'Discount Lookup'!D:E,2,FALSE)*G2853)</f>
        <v>0</v>
      </c>
      <c r="V2853" s="225">
        <f>IF(NOT(ISNUMBER(G2853)), "", VLOOKUP(A2853,'Discount Lookup'!G:H,2,FALSE)*G2853)</f>
        <v>0</v>
      </c>
      <c r="W2853" s="508">
        <f t="shared" si="2201"/>
        <v>0</v>
      </c>
      <c r="X2853" s="508">
        <f t="shared" si="2202"/>
        <v>0</v>
      </c>
      <c r="Y2853" s="509" t="b">
        <f t="shared" si="2203"/>
        <v>0</v>
      </c>
      <c r="Z2853" s="510">
        <f t="shared" si="2204"/>
        <v>0</v>
      </c>
      <c r="AA2853" s="511"/>
      <c r="AB2853" s="511" t="str">
        <f t="shared" si="2205"/>
        <v/>
      </c>
      <c r="AC2853" s="698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698"/>
      <c r="AE2853" s="631" t="str">
        <f t="shared" si="2206"/>
        <v/>
      </c>
      <c r="AF2853" s="699" t="str">
        <f t="shared" si="2207"/>
        <v/>
      </c>
      <c r="AG2853" s="699"/>
      <c r="AH2853" s="699"/>
      <c r="AI2853" s="512">
        <f>IF(H2853="credit",0,IF(AE2853="free",0,IF(AE2853="me",0,IF(G2853&gt;0,(VLOOKUP(A2853,'Discount Lookup'!J:K,2)*G2853),0))))</f>
        <v>0</v>
      </c>
      <c r="AJ2853" s="513" t="str">
        <f t="shared" ca="1" si="2208"/>
        <v/>
      </c>
      <c r="AK2853" s="700" t="str">
        <f t="shared" si="2209"/>
        <v/>
      </c>
      <c r="AL2853" s="700"/>
      <c r="AM2853" s="505" t="str">
        <f t="shared" si="2210"/>
        <v/>
      </c>
      <c r="AN2853" s="506"/>
      <c r="AO2853" s="507"/>
      <c r="AP2853" s="507"/>
      <c r="AQ2853" s="507"/>
      <c r="AR2853" s="507"/>
      <c r="AS2853" s="507"/>
      <c r="AT2853" s="507"/>
      <c r="AU2853" s="507"/>
      <c r="AV2853" s="225"/>
      <c r="AW2853" s="508"/>
      <c r="AX2853" s="225"/>
      <c r="AY2853" s="225"/>
      <c r="AZ2853" s="225"/>
      <c r="BA2853" s="225"/>
      <c r="BB2853" s="225"/>
      <c r="BC2853" s="56"/>
      <c r="BD2853" s="56"/>
      <c r="BE2853" s="56"/>
      <c r="BF2853" s="107" t="str">
        <f t="shared" si="2211"/>
        <v>https://www.google.com/search?tbm=isch&amp;q=1%20G2</v>
      </c>
      <c r="BG2853" s="107" t="str">
        <f t="shared" si="2212"/>
        <v>P</v>
      </c>
      <c r="BH2853" s="254"/>
      <c r="BI2853" s="254"/>
    </row>
    <row r="2854" spans="1:61" customFormat="1" ht="15.75" x14ac:dyDescent="0.25">
      <c r="A2854" s="276">
        <v>3</v>
      </c>
      <c r="B2854" s="240" t="s">
        <v>291</v>
      </c>
      <c r="C2854" s="241" t="s">
        <v>329</v>
      </c>
      <c r="D2854" s="242" t="s">
        <v>312</v>
      </c>
      <c r="E2854" s="243">
        <v>33.950000000000003</v>
      </c>
      <c r="F2854" s="517" t="s">
        <v>293</v>
      </c>
      <c r="G2854" s="232">
        <v>0</v>
      </c>
      <c r="H2854" s="661" t="str">
        <f>IF(G2854=0,"",IF(F2854="Buy",IF(G2854=1,"plant","plants"),IF(F2854&gt;0.01,"warranty","Error")))</f>
        <v/>
      </c>
      <c r="I2854" s="244">
        <f>IF(H2854="free",0,IF(H2854="credit",((E2854*(F2854))*G2854*-1),IF(F2854="Buy",(E2854*G2854),((E2854*(1-F2854))*G2854))))</f>
        <v>0</v>
      </c>
      <c r="J2854" s="244">
        <f>IF(H2854="warranty",0,(I2854*(_xlfn.SINGLE(SalesTaxPercentage))))</f>
        <v>0</v>
      </c>
      <c r="K2854" s="696">
        <f t="shared" ref="K2854" si="2224">I2854+J2854</f>
        <v>0</v>
      </c>
      <c r="L2854" s="696"/>
      <c r="M2854" s="659" t="str">
        <f>IF(AND(G2854&gt;0,E2854=0),"WARNING - no PRICE inserted",IF(H2854="free"," FREE ~ no charge this plant",IF(H2854="credit",CONCATENATE(" -$",ROUND(K2854*(1-T2GDiscount)*-1,2)," CREDIT after discount"),IF(T2GDiscount=0,"",IF(G2854=0,"",IF(F2854="Buy",CONCATENATE(" $",ROUND(K2854*(1-T2GDiscount),2)," with ",(T2GDiscount*100),"% discount"),CONCATENATE(" $",ROUND(K2854*(1-T2GDiscount),2)," with ",((T2GDiscount*100+F2854*100)-(T2GDiscount*100*F2854)),IF(F2854&gt;0,"% discounts",IF(NoWarrantyDiscount&gt;0,"% discounts","% discount")))))))))</f>
        <v/>
      </c>
      <c r="N2854" s="660"/>
      <c r="O2854" s="233"/>
      <c r="P2854" s="233"/>
      <c r="Q2854" s="233"/>
      <c r="R2854" s="233"/>
      <c r="S2854" s="233"/>
      <c r="T2854" s="508">
        <f t="shared" si="2200"/>
        <v>0</v>
      </c>
      <c r="U2854" s="225">
        <f>IF(NOT(ISNUMBER(G2854)), "", VLOOKUP(A2854,'Discount Lookup'!D:E,2,FALSE)*G2854)</f>
        <v>0</v>
      </c>
      <c r="V2854" s="225">
        <f>IF(NOT(ISNUMBER(G2854)), "", VLOOKUP(A2854,'Discount Lookup'!G:H,2,FALSE)*G2854)</f>
        <v>0</v>
      </c>
      <c r="W2854" s="508">
        <f t="shared" si="2201"/>
        <v>0</v>
      </c>
      <c r="X2854" s="508">
        <f t="shared" si="2202"/>
        <v>0</v>
      </c>
      <c r="Y2854" s="509" t="b">
        <f t="shared" si="2203"/>
        <v>0</v>
      </c>
      <c r="Z2854" s="510">
        <f t="shared" si="2204"/>
        <v>0</v>
      </c>
      <c r="AA2854" s="511"/>
      <c r="AB2854" s="511" t="str">
        <f t="shared" si="2205"/>
        <v/>
      </c>
      <c r="AC2854" s="698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698"/>
      <c r="AE2854" s="631" t="str">
        <f t="shared" si="2206"/>
        <v/>
      </c>
      <c r="AF2854" s="699" t="str">
        <f t="shared" si="2207"/>
        <v/>
      </c>
      <c r="AG2854" s="699"/>
      <c r="AH2854" s="699"/>
      <c r="AI2854" s="512">
        <f>IF(H2854="credit",0,IF(AE2854="free",0,IF(AE2854="me",0,IF(G2854&gt;0,(VLOOKUP(A2854,'Discount Lookup'!J:K,2)*G2854),0))))</f>
        <v>0</v>
      </c>
      <c r="AJ2854" s="513" t="str">
        <f t="shared" ca="1" si="2208"/>
        <v/>
      </c>
      <c r="AK2854" s="700" t="str">
        <f t="shared" si="2209"/>
        <v/>
      </c>
      <c r="AL2854" s="700"/>
      <c r="AM2854" s="505" t="str">
        <f t="shared" si="2210"/>
        <v/>
      </c>
      <c r="AN2854" s="506"/>
      <c r="AO2854" s="507"/>
      <c r="AP2854" s="507"/>
      <c r="AQ2854" s="507"/>
      <c r="AR2854" s="507"/>
      <c r="AS2854" s="507"/>
      <c r="AT2854" s="507"/>
      <c r="AU2854" s="507"/>
      <c r="AV2854" s="225"/>
      <c r="AW2854" s="508"/>
      <c r="AX2854" s="225"/>
      <c r="AY2854" s="225"/>
      <c r="AZ2854" s="225"/>
      <c r="BA2854" s="225"/>
      <c r="BB2854" s="225"/>
      <c r="BC2854" s="56"/>
      <c r="BD2854" s="56"/>
      <c r="BE2854" s="56"/>
      <c r="BF2854" s="107" t="str">
        <f t="shared" si="2211"/>
        <v>https://www.google.com/search?tbm=isch&amp;q=3%20G2</v>
      </c>
      <c r="BG2854" s="107" t="str">
        <f t="shared" si="2212"/>
        <v>P</v>
      </c>
      <c r="BH2854" s="254"/>
      <c r="BI2854" s="254"/>
    </row>
    <row r="2855" spans="1:61" customFormat="1" ht="17.25" thickBot="1" x14ac:dyDescent="0.3">
      <c r="A2855" s="673" t="s">
        <v>5206</v>
      </c>
      <c r="B2855" s="245"/>
      <c r="C2855" s="677"/>
      <c r="D2855" s="499"/>
      <c r="E2855" s="499"/>
      <c r="F2855" s="500"/>
      <c r="G2855" s="501"/>
      <c r="H2855" s="502"/>
      <c r="I2855" s="246"/>
      <c r="J2855" s="247"/>
      <c r="K2855" s="503"/>
      <c r="L2855" s="544"/>
      <c r="M2855" s="544"/>
      <c r="N2855" s="500"/>
      <c r="O2855" s="500"/>
      <c r="P2855" s="500"/>
      <c r="Q2855" s="500"/>
      <c r="R2855" s="500"/>
      <c r="S2855" s="278"/>
      <c r="T2855" s="508">
        <f t="shared" si="2200"/>
        <v>0</v>
      </c>
      <c r="U2855" s="225" t="str">
        <f>IF(NOT(ISNUMBER(G2855)), "", VLOOKUP(A2855,'Discount Lookup'!D:E,2,FALSE)*G2855)</f>
        <v/>
      </c>
      <c r="V2855" s="225" t="str">
        <f>IF(NOT(ISNUMBER(G2855)), "", VLOOKUP(A2855,'Discount Lookup'!G:H,2,FALSE)*G2855)</f>
        <v/>
      </c>
      <c r="W2855" s="508">
        <f t="shared" si="2201"/>
        <v>0</v>
      </c>
      <c r="X2855" s="508">
        <f t="shared" si="2202"/>
        <v>0</v>
      </c>
      <c r="Y2855" s="509" t="b">
        <f t="shared" si="2203"/>
        <v>0</v>
      </c>
      <c r="Z2855" s="510">
        <f t="shared" si="2204"/>
        <v>0</v>
      </c>
      <c r="AA2855" s="511"/>
      <c r="AB2855" s="511" t="str">
        <f t="shared" si="2205"/>
        <v/>
      </c>
      <c r="AC2855" s="698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698"/>
      <c r="AE2855" s="631" t="str">
        <f t="shared" si="2206"/>
        <v/>
      </c>
      <c r="AF2855" s="699" t="str">
        <f t="shared" si="2207"/>
        <v/>
      </c>
      <c r="AG2855" s="699"/>
      <c r="AH2855" s="699"/>
      <c r="AI2855" s="512">
        <f>IF(H2855="credit",0,IF(AE2855="free",0,IF(AE2855="me",0,IF(G2855&gt;0,(VLOOKUP(A2855,'Discount Lookup'!J:K,2)*G2855),0))))</f>
        <v>0</v>
      </c>
      <c r="AJ2855" s="513" t="str">
        <f t="shared" ca="1" si="2208"/>
        <v/>
      </c>
      <c r="AK2855" s="700" t="str">
        <f t="shared" si="2209"/>
        <v/>
      </c>
      <c r="AL2855" s="700"/>
      <c r="AM2855" s="505" t="str">
        <f t="shared" si="2210"/>
        <v/>
      </c>
      <c r="AN2855" s="506"/>
      <c r="AO2855" s="507"/>
      <c r="AP2855" s="507"/>
      <c r="AQ2855" s="507"/>
      <c r="AR2855" s="507"/>
      <c r="AS2855" s="507"/>
      <c r="AT2855" s="507"/>
      <c r="AU2855" s="507"/>
      <c r="AV2855" s="225"/>
      <c r="AW2855" s="508"/>
      <c r="AX2855" s="225"/>
      <c r="AY2855" s="225"/>
      <c r="AZ2855" s="225"/>
      <c r="BA2855" s="225"/>
      <c r="BB2855" s="225"/>
      <c r="BC2855" s="56"/>
      <c r="BD2855" s="56"/>
      <c r="BE2855" s="56"/>
      <c r="BF2855" s="107" t="str">
        <f t="shared" si="2211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855" s="107" t="str">
        <f t="shared" si="2212"/>
        <v>m</v>
      </c>
      <c r="BH2855" s="254"/>
      <c r="BI2855" s="254"/>
    </row>
    <row r="2856" spans="1:61" customFormat="1" ht="18" x14ac:dyDescent="0.25">
      <c r="A2856" s="521" t="s">
        <v>1518</v>
      </c>
      <c r="B2856" s="477"/>
      <c r="C2856" s="674"/>
      <c r="D2856" s="478" t="s">
        <v>1519</v>
      </c>
      <c r="E2856" s="479"/>
      <c r="F2856" s="479"/>
      <c r="G2856" s="479"/>
      <c r="H2856" s="582" t="s">
        <v>508</v>
      </c>
      <c r="I2856" s="480" t="s">
        <v>2613</v>
      </c>
      <c r="J2856" s="479"/>
      <c r="K2856" s="479"/>
      <c r="L2856" s="560"/>
      <c r="M2856" s="666" t="s">
        <v>4966</v>
      </c>
      <c r="N2856" s="680" t="str">
        <f>IF(AND(ISTEXT($A2856), ISERROR($A2856+0)), HYPERLINK($BF2856, "Images"), "")</f>
        <v>Images</v>
      </c>
      <c r="O2856" s="662" t="s">
        <v>4974</v>
      </c>
      <c r="P2856" s="482"/>
      <c r="Q2856" s="483"/>
      <c r="R2856" s="483"/>
      <c r="S2856" s="484"/>
      <c r="T2856" s="508">
        <f t="shared" si="2200"/>
        <v>0</v>
      </c>
      <c r="U2856" s="225" t="str">
        <f>IF(NOT(ISNUMBER(G2856)), "", VLOOKUP(A2856,'Discount Lookup'!D:E,2,FALSE)*G2856)</f>
        <v/>
      </c>
      <c r="V2856" s="225" t="str">
        <f>IF(NOT(ISNUMBER(G2856)), "", VLOOKUP(A2856,'Discount Lookup'!G:H,2,FALSE)*G2856)</f>
        <v/>
      </c>
      <c r="W2856" s="508">
        <f t="shared" si="2201"/>
        <v>0</v>
      </c>
      <c r="X2856" s="508" t="str">
        <f t="shared" si="2202"/>
        <v>light Pink bloom</v>
      </c>
      <c r="Y2856" s="509" t="b">
        <f t="shared" si="2203"/>
        <v>0</v>
      </c>
      <c r="Z2856" s="510">
        <f t="shared" si="2204"/>
        <v>0</v>
      </c>
      <c r="AA2856" s="511"/>
      <c r="AB2856" s="511" t="str">
        <f t="shared" si="2205"/>
        <v/>
      </c>
      <c r="AC2856" s="698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698"/>
      <c r="AE2856" s="631" t="str">
        <f t="shared" si="2206"/>
        <v/>
      </c>
      <c r="AF2856" s="699" t="str">
        <f t="shared" si="2207"/>
        <v/>
      </c>
      <c r="AG2856" s="699"/>
      <c r="AH2856" s="699"/>
      <c r="AI2856" s="512">
        <f>IF(H2856="credit",0,IF(AE2856="free",0,IF(AE2856="me",0,IF(G2856&gt;0,(VLOOKUP(A2856,'Discount Lookup'!J:K,2)*G2856),0))))</f>
        <v>0</v>
      </c>
      <c r="AJ2856" s="513" t="str">
        <f t="shared" ca="1" si="2208"/>
        <v/>
      </c>
      <c r="AK2856" s="700" t="str">
        <f t="shared" si="2209"/>
        <v/>
      </c>
      <c r="AL2856" s="700"/>
      <c r="AM2856" s="505" t="str">
        <f t="shared" si="2210"/>
        <v/>
      </c>
      <c r="AN2856" s="506"/>
      <c r="AO2856" s="507"/>
      <c r="AP2856" s="507"/>
      <c r="AQ2856" s="507"/>
      <c r="AR2856" s="507"/>
      <c r="AS2856" s="507"/>
      <c r="AT2856" s="507"/>
      <c r="AU2856" s="507"/>
      <c r="AV2856" s="225"/>
      <c r="AW2856" s="508"/>
      <c r="AX2856" s="225"/>
      <c r="AY2856" s="225"/>
      <c r="AZ2856" s="225"/>
      <c r="BA2856" s="225"/>
      <c r="BB2856" s="225"/>
      <c r="BC2856" s="56"/>
      <c r="BD2856" s="56"/>
      <c r="BE2856" s="56"/>
      <c r="BF2856" s="107" t="str">
        <f t="shared" si="2211"/>
        <v>https://www.google.com/search?tbm=isch&amp;q=Pink%20Gumpo%20Azalea%20Rhod.%20eriocarpum%20%27Gumpo%20Pink%27</v>
      </c>
      <c r="BG2856" s="107" t="str">
        <f t="shared" si="2212"/>
        <v>P</v>
      </c>
      <c r="BH2856" s="254"/>
      <c r="BI2856" s="254"/>
    </row>
    <row r="2857" spans="1:61" customFormat="1" ht="15.75" x14ac:dyDescent="0.25">
      <c r="A2857" s="485">
        <v>3</v>
      </c>
      <c r="B2857" s="486" t="s">
        <v>291</v>
      </c>
      <c r="C2857" s="487" t="s">
        <v>2452</v>
      </c>
      <c r="D2857" s="488" t="s">
        <v>312</v>
      </c>
      <c r="E2857" s="489">
        <v>24.95</v>
      </c>
      <c r="F2857" s="516" t="s">
        <v>293</v>
      </c>
      <c r="G2857" s="232">
        <v>0</v>
      </c>
      <c r="H2857" s="658" t="str">
        <f>IF(G2857=0,"",IF(F2857="Buy",IF(G2857=1,"plant","plants"),IF(F2857&gt;0.01,"warranty","Error")))</f>
        <v/>
      </c>
      <c r="I2857" s="490">
        <f>IF(H2857="free",0,IF(H2857="credit",((E2857*(F2857))*G2857*-1),IF(F2857="Buy",(E2857*G2857),((E2857*(1-F2857))*G2857))))</f>
        <v>0</v>
      </c>
      <c r="J2857" s="490">
        <f>IF(H2857="warranty",0,(I2857*(_xlfn.SINGLE(SalesTaxPercentage))))</f>
        <v>0</v>
      </c>
      <c r="K2857" s="695">
        <f t="shared" ref="K2857" si="2225">I2857+J2857</f>
        <v>0</v>
      </c>
      <c r="L2857" s="695"/>
      <c r="M2857" s="659" t="str">
        <f>IF(AND(G2857&gt;0,E2857=0),"WARNING - no PRICE inserted",IF(H2857="free"," FREE ~ no charge this plant",IF(H2857="credit",CONCATENATE(" -$",ROUND(K2857*(1-T2GDiscount)*-1,2)," CREDIT after discount"),IF(T2GDiscount=0,"",IF(G2857=0,"",IF(F2857="Buy",CONCATENATE(" $",ROUND(K2857*(1-T2GDiscount),2)," with ",(T2GDiscount*100),"% discount"),CONCATENATE(" $",ROUND(K2857*(1-T2GDiscount),2)," with ",((T2GDiscount*100+F2857*100)-(T2GDiscount*100*F2857)),IF(F2857&gt;0,"% discounts",IF(NoWarrantyDiscount&gt;0,"% discounts","% discount")))))))))</f>
        <v/>
      </c>
      <c r="N2857" s="660"/>
      <c r="O2857" s="233"/>
      <c r="P2857" s="233"/>
      <c r="Q2857" s="233"/>
      <c r="R2857" s="233"/>
      <c r="S2857" s="233"/>
      <c r="T2857" s="508">
        <f t="shared" si="2200"/>
        <v>0</v>
      </c>
      <c r="U2857" s="225">
        <f>IF(NOT(ISNUMBER(G2857)), "", VLOOKUP(A2857,'Discount Lookup'!D:E,2,FALSE)*G2857)</f>
        <v>0</v>
      </c>
      <c r="V2857" s="225">
        <f>IF(NOT(ISNUMBER(G2857)), "", VLOOKUP(A2857,'Discount Lookup'!G:H,2,FALSE)*G2857)</f>
        <v>0</v>
      </c>
      <c r="W2857" s="508">
        <f t="shared" si="2201"/>
        <v>0</v>
      </c>
      <c r="X2857" s="508">
        <f t="shared" si="2202"/>
        <v>0</v>
      </c>
      <c r="Y2857" s="509" t="b">
        <f t="shared" si="2203"/>
        <v>0</v>
      </c>
      <c r="Z2857" s="510">
        <f t="shared" si="2204"/>
        <v>0</v>
      </c>
      <c r="AA2857" s="511"/>
      <c r="AB2857" s="511" t="str">
        <f t="shared" si="2205"/>
        <v/>
      </c>
      <c r="AC2857" s="698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698"/>
      <c r="AE2857" s="631" t="str">
        <f t="shared" si="2206"/>
        <v/>
      </c>
      <c r="AF2857" s="699" t="str">
        <f t="shared" si="2207"/>
        <v/>
      </c>
      <c r="AG2857" s="699"/>
      <c r="AH2857" s="699"/>
      <c r="AI2857" s="512">
        <f>IF(H2857="credit",0,IF(AE2857="free",0,IF(AE2857="me",0,IF(G2857&gt;0,(VLOOKUP(A2857,'Discount Lookup'!J:K,2)*G2857),0))))</f>
        <v>0</v>
      </c>
      <c r="AJ2857" s="513" t="str">
        <f t="shared" ca="1" si="2208"/>
        <v/>
      </c>
      <c r="AK2857" s="700" t="str">
        <f t="shared" si="2209"/>
        <v/>
      </c>
      <c r="AL2857" s="700"/>
      <c r="AM2857" s="505" t="str">
        <f t="shared" si="2210"/>
        <v/>
      </c>
      <c r="AN2857" s="506"/>
      <c r="AO2857" s="507"/>
      <c r="AP2857" s="507"/>
      <c r="AQ2857" s="507"/>
      <c r="AR2857" s="507"/>
      <c r="AS2857" s="507"/>
      <c r="AT2857" s="507"/>
      <c r="AU2857" s="507"/>
      <c r="AV2857" s="225"/>
      <c r="AW2857" s="508"/>
      <c r="AX2857" s="225"/>
      <c r="AY2857" s="225"/>
      <c r="AZ2857" s="225"/>
      <c r="BA2857" s="225"/>
      <c r="BB2857" s="225"/>
      <c r="BC2857" s="56"/>
      <c r="BD2857" s="56"/>
      <c r="BE2857" s="56"/>
      <c r="BF2857" s="107" t="str">
        <f t="shared" si="2211"/>
        <v>https://www.google.com/search?tbm=isch&amp;q=3%20G2</v>
      </c>
      <c r="BG2857" s="107" t="str">
        <f t="shared" si="2212"/>
        <v>P</v>
      </c>
      <c r="BH2857" s="254"/>
      <c r="BI2857" s="254"/>
    </row>
    <row r="2858" spans="1:61" customFormat="1" ht="15.75" x14ac:dyDescent="0.25">
      <c r="A2858" s="485">
        <v>3</v>
      </c>
      <c r="B2858" s="486" t="s">
        <v>291</v>
      </c>
      <c r="C2858" s="487" t="s">
        <v>2786</v>
      </c>
      <c r="D2858" s="488" t="s">
        <v>299</v>
      </c>
      <c r="E2858" s="489">
        <v>33.950000000000003</v>
      </c>
      <c r="F2858" s="516" t="s">
        <v>293</v>
      </c>
      <c r="G2858" s="232">
        <v>0</v>
      </c>
      <c r="H2858" s="658" t="str">
        <f>IF(G2858=0,"",IF(F2858="Buy",IF(G2858=1,"plant","plants"),IF(F2858&gt;0.01,"warranty","Error")))</f>
        <v/>
      </c>
      <c r="I2858" s="490">
        <f>IF(H2858="free",0,IF(H2858="credit",((E2858*(F2858))*G2858*-1),IF(F2858="Buy",(E2858*G2858),((E2858*(1-F2858))*G2858))))</f>
        <v>0</v>
      </c>
      <c r="J2858" s="490">
        <f>IF(H2858="warranty",0,(I2858*(_xlfn.SINGLE(SalesTaxPercentage))))</f>
        <v>0</v>
      </c>
      <c r="K2858" s="695">
        <f t="shared" ref="K2858" si="2226">I2858+J2858</f>
        <v>0</v>
      </c>
      <c r="L2858" s="695"/>
      <c r="M2858" s="659" t="str">
        <f>IF(AND(G2858&gt;0,E2858=0),"WARNING - no PRICE inserted",IF(H2858="free"," FREE ~ no charge this plant",IF(H2858="credit",CONCATENATE(" -$",ROUND(K2858*(1-T2GDiscount)*-1,2)," CREDIT after discount"),IF(T2GDiscount=0,"",IF(G2858=0,"",IF(F2858="Buy",CONCATENATE(" $",ROUND(K2858*(1-T2GDiscount),2)," with ",(T2GDiscount*100),"% discount"),CONCATENATE(" $",ROUND(K2858*(1-T2GDiscount),2)," with ",((T2GDiscount*100+F2858*100)-(T2GDiscount*100*F2858)),IF(F2858&gt;0,"% discounts",IF(NoWarrantyDiscount&gt;0,"% discounts","% discount")))))))))</f>
        <v/>
      </c>
      <c r="N2858" s="660"/>
      <c r="O2858" s="233"/>
      <c r="P2858" s="233"/>
      <c r="Q2858" s="233"/>
      <c r="R2858" s="233"/>
      <c r="S2858" s="233"/>
      <c r="T2858" s="508">
        <f t="shared" si="2200"/>
        <v>0</v>
      </c>
      <c r="U2858" s="225">
        <f>IF(NOT(ISNUMBER(G2858)), "", VLOOKUP(A2858,'Discount Lookup'!D:E,2,FALSE)*G2858)</f>
        <v>0</v>
      </c>
      <c r="V2858" s="225">
        <f>IF(NOT(ISNUMBER(G2858)), "", VLOOKUP(A2858,'Discount Lookup'!G:H,2,FALSE)*G2858)</f>
        <v>0</v>
      </c>
      <c r="W2858" s="508">
        <f t="shared" si="2201"/>
        <v>0</v>
      </c>
      <c r="X2858" s="508">
        <f t="shared" si="2202"/>
        <v>0</v>
      </c>
      <c r="Y2858" s="509" t="b">
        <f t="shared" si="2203"/>
        <v>0</v>
      </c>
      <c r="Z2858" s="510">
        <f t="shared" si="2204"/>
        <v>0</v>
      </c>
      <c r="AA2858" s="511"/>
      <c r="AB2858" s="511" t="str">
        <f t="shared" si="2205"/>
        <v/>
      </c>
      <c r="AC2858" s="698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698"/>
      <c r="AE2858" s="631" t="str">
        <f t="shared" si="2206"/>
        <v/>
      </c>
      <c r="AF2858" s="699" t="str">
        <f t="shared" si="2207"/>
        <v/>
      </c>
      <c r="AG2858" s="699"/>
      <c r="AH2858" s="699"/>
      <c r="AI2858" s="512">
        <f>IF(H2858="credit",0,IF(AE2858="free",0,IF(AE2858="me",0,IF(G2858&gt;0,(VLOOKUP(A2858,'Discount Lookup'!J:K,2)*G2858),0))))</f>
        <v>0</v>
      </c>
      <c r="AJ2858" s="513" t="str">
        <f t="shared" ca="1" si="2208"/>
        <v/>
      </c>
      <c r="AK2858" s="700" t="str">
        <f t="shared" si="2209"/>
        <v/>
      </c>
      <c r="AL2858" s="700"/>
      <c r="AM2858" s="505" t="str">
        <f t="shared" si="2210"/>
        <v/>
      </c>
      <c r="AN2858" s="506"/>
      <c r="AO2858" s="507"/>
      <c r="AP2858" s="507"/>
      <c r="AQ2858" s="507"/>
      <c r="AR2858" s="507"/>
      <c r="AS2858" s="507"/>
      <c r="AT2858" s="507"/>
      <c r="AU2858" s="507"/>
      <c r="AV2858" s="225"/>
      <c r="AW2858" s="508"/>
      <c r="AX2858" s="225"/>
      <c r="AY2858" s="225"/>
      <c r="AZ2858" s="225"/>
      <c r="BA2858" s="225"/>
      <c r="BB2858" s="225"/>
      <c r="BC2858" s="56"/>
      <c r="BD2858" s="56"/>
      <c r="BE2858" s="56"/>
      <c r="BF2858" s="107" t="str">
        <f t="shared" si="2211"/>
        <v>https://www.google.com/search?tbm=isch&amp;q=3%20G5</v>
      </c>
      <c r="BG2858" s="107" t="str">
        <f t="shared" si="2212"/>
        <v>P</v>
      </c>
      <c r="BH2858" s="254"/>
      <c r="BI2858" s="254"/>
    </row>
    <row r="2859" spans="1:61" customFormat="1" ht="17.25" thickBot="1" x14ac:dyDescent="0.3">
      <c r="A2859" s="522" t="s">
        <v>2988</v>
      </c>
      <c r="B2859" s="491"/>
      <c r="C2859" s="675"/>
      <c r="D2859" s="491"/>
      <c r="E2859" s="491"/>
      <c r="F2859" s="492"/>
      <c r="G2859" s="493"/>
      <c r="H2859" s="491"/>
      <c r="I2859" s="234"/>
      <c r="J2859" s="234"/>
      <c r="K2859" s="494"/>
      <c r="L2859" s="543"/>
      <c r="M2859" s="561"/>
      <c r="N2859" s="495"/>
      <c r="O2859" s="496"/>
      <c r="P2859" s="497"/>
      <c r="Q2859" s="495"/>
      <c r="R2859" s="495"/>
      <c r="S2859" s="667" t="s">
        <v>4997</v>
      </c>
      <c r="T2859" s="508">
        <f t="shared" si="2200"/>
        <v>0</v>
      </c>
      <c r="U2859" s="225" t="str">
        <f>IF(NOT(ISNUMBER(G2859)), "", VLOOKUP(A2859,'Discount Lookup'!D:E,2,FALSE)*G2859)</f>
        <v/>
      </c>
      <c r="V2859" s="225" t="str">
        <f>IF(NOT(ISNUMBER(G2859)), "", VLOOKUP(A2859,'Discount Lookup'!G:H,2,FALSE)*G2859)</f>
        <v/>
      </c>
      <c r="W2859" s="508">
        <f t="shared" si="2201"/>
        <v>0</v>
      </c>
      <c r="X2859" s="508">
        <f t="shared" si="2202"/>
        <v>0</v>
      </c>
      <c r="Y2859" s="509" t="b">
        <f t="shared" si="2203"/>
        <v>0</v>
      </c>
      <c r="Z2859" s="510">
        <f t="shared" si="2204"/>
        <v>0</v>
      </c>
      <c r="AA2859" s="511"/>
      <c r="AB2859" s="511" t="str">
        <f t="shared" si="2205"/>
        <v/>
      </c>
      <c r="AC2859" s="698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698"/>
      <c r="AE2859" s="631" t="str">
        <f t="shared" si="2206"/>
        <v/>
      </c>
      <c r="AF2859" s="699" t="str">
        <f t="shared" si="2207"/>
        <v/>
      </c>
      <c r="AG2859" s="699"/>
      <c r="AH2859" s="699"/>
      <c r="AI2859" s="512">
        <f>IF(H2859="credit",0,IF(AE2859="free",0,IF(AE2859="me",0,IF(G2859&gt;0,(VLOOKUP(A2859,'Discount Lookup'!J:K,2)*G2859),0))))</f>
        <v>0</v>
      </c>
      <c r="AJ2859" s="513" t="str">
        <f t="shared" ca="1" si="2208"/>
        <v/>
      </c>
      <c r="AK2859" s="700" t="str">
        <f t="shared" si="2209"/>
        <v/>
      </c>
      <c r="AL2859" s="700"/>
      <c r="AM2859" s="505" t="str">
        <f t="shared" si="2210"/>
        <v/>
      </c>
      <c r="AN2859" s="506"/>
      <c r="AO2859" s="507"/>
      <c r="AP2859" s="507"/>
      <c r="AQ2859" s="507"/>
      <c r="AR2859" s="507"/>
      <c r="AS2859" s="507"/>
      <c r="AT2859" s="507"/>
      <c r="AU2859" s="507"/>
      <c r="AV2859" s="225"/>
      <c r="AW2859" s="508"/>
      <c r="AX2859" s="225"/>
      <c r="AY2859" s="225"/>
      <c r="AZ2859" s="225"/>
      <c r="BA2859" s="225"/>
      <c r="BB2859" s="225"/>
      <c r="BC2859" s="56"/>
      <c r="BD2859" s="56"/>
      <c r="BE2859" s="56"/>
      <c r="BF2859" s="107" t="str">
        <f t="shared" si="2211"/>
        <v>https://www.google.com/search?tbm=isch&amp;q=Pink%20%28and%20White%29%20Gumpo%20flower%20late%20spring.%20Foliage%20fills%20out%20first%2C%20often%20creating%20peek-a-boo%20blooms%20</v>
      </c>
      <c r="BG2859" s="107" t="str">
        <f t="shared" si="2212"/>
        <v>P</v>
      </c>
      <c r="BH2859" s="254"/>
      <c r="BI2859" s="254"/>
    </row>
    <row r="2860" spans="1:61" customFormat="1" ht="18" x14ac:dyDescent="0.25">
      <c r="A2860" s="523" t="s">
        <v>5492</v>
      </c>
      <c r="B2860" s="235"/>
      <c r="C2860" s="676"/>
      <c r="D2860" s="255" t="s">
        <v>1520</v>
      </c>
      <c r="E2860" s="236"/>
      <c r="F2860" s="236"/>
      <c r="G2860" s="236"/>
      <c r="H2860" s="582" t="s">
        <v>1521</v>
      </c>
      <c r="I2860" s="498" t="s">
        <v>1522</v>
      </c>
      <c r="J2860" s="237"/>
      <c r="K2860" s="237"/>
      <c r="L2860" s="274"/>
      <c r="M2860" s="668" t="s">
        <v>4975</v>
      </c>
      <c r="N2860" s="681" t="str">
        <f>IF(AND(ISTEXT($A2860), ISERROR($A2860+0)), HYPERLINK($BF2860, "Images"), "")</f>
        <v>Images</v>
      </c>
      <c r="O2860" s="663" t="s">
        <v>4974</v>
      </c>
      <c r="P2860" s="253"/>
      <c r="Q2860" s="238"/>
      <c r="R2860" s="239"/>
      <c r="S2860" s="275"/>
      <c r="T2860" s="508">
        <f t="shared" si="2200"/>
        <v>0</v>
      </c>
      <c r="U2860" s="225" t="str">
        <f>IF(NOT(ISNUMBER(G2860)), "", VLOOKUP(A2860,'Discount Lookup'!D:E,2,FALSE)*G2860)</f>
        <v/>
      </c>
      <c r="V2860" s="225" t="str">
        <f>IF(NOT(ISNUMBER(G2860)), "", VLOOKUP(A2860,'Discount Lookup'!G:H,2,FALSE)*G2860)</f>
        <v/>
      </c>
      <c r="W2860" s="508">
        <f t="shared" si="2201"/>
        <v>0</v>
      </c>
      <c r="X2860" s="508" t="str">
        <f t="shared" si="2202"/>
        <v>Lavender-Pink bloom</v>
      </c>
      <c r="Y2860" s="509" t="b">
        <f t="shared" si="2203"/>
        <v>0</v>
      </c>
      <c r="Z2860" s="510">
        <f t="shared" si="2204"/>
        <v>0</v>
      </c>
      <c r="AA2860" s="511"/>
      <c r="AB2860" s="511" t="str">
        <f t="shared" si="2205"/>
        <v/>
      </c>
      <c r="AC2860" s="698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698"/>
      <c r="AE2860" s="631" t="str">
        <f t="shared" si="2206"/>
        <v/>
      </c>
      <c r="AF2860" s="699" t="str">
        <f t="shared" si="2207"/>
        <v/>
      </c>
      <c r="AG2860" s="699"/>
      <c r="AH2860" s="699"/>
      <c r="AI2860" s="512">
        <f>IF(H2860="credit",0,IF(AE2860="free",0,IF(AE2860="me",0,IF(G2860&gt;0,(VLOOKUP(A2860,'Discount Lookup'!J:K,2)*G2860),0))))</f>
        <v>0</v>
      </c>
      <c r="AJ2860" s="513" t="str">
        <f t="shared" ca="1" si="2208"/>
        <v/>
      </c>
      <c r="AK2860" s="700" t="str">
        <f t="shared" si="2209"/>
        <v/>
      </c>
      <c r="AL2860" s="700"/>
      <c r="AM2860" s="505" t="str">
        <f t="shared" si="2210"/>
        <v/>
      </c>
      <c r="AN2860" s="506"/>
      <c r="AO2860" s="507"/>
      <c r="AP2860" s="507"/>
      <c r="AQ2860" s="507"/>
      <c r="AR2860" s="507"/>
      <c r="AS2860" s="507"/>
      <c r="AT2860" s="507"/>
      <c r="AU2860" s="507"/>
      <c r="AV2860" s="225"/>
      <c r="AW2860" s="508"/>
      <c r="AX2860" s="225"/>
      <c r="AY2860" s="225"/>
      <c r="AZ2860" s="225"/>
      <c r="BA2860" s="225"/>
      <c r="BB2860" s="225"/>
      <c r="BC2860" s="56"/>
      <c r="BD2860" s="56"/>
      <c r="BE2860" s="56"/>
      <c r="BF2860" s="107" t="str">
        <f t="shared" si="2211"/>
        <v>https://www.google.com/search?tbm=isch&amp;q=Pink%20Heartbreaker%C2%AE%20Weeping%20Redbud%20Cercis%20canadensis%20%27Pink%20Heartbreaker%27%20PP%2323043</v>
      </c>
      <c r="BG2860" s="107" t="str">
        <f t="shared" si="2212"/>
        <v>P</v>
      </c>
      <c r="BH2860" s="254"/>
      <c r="BI2860" s="254"/>
    </row>
    <row r="2861" spans="1:61" customFormat="1" ht="15.75" x14ac:dyDescent="0.25">
      <c r="A2861" s="276">
        <v>7</v>
      </c>
      <c r="B2861" s="240" t="s">
        <v>291</v>
      </c>
      <c r="C2861" s="241" t="s">
        <v>3695</v>
      </c>
      <c r="D2861" s="242" t="s">
        <v>292</v>
      </c>
      <c r="E2861" s="243">
        <v>123.95</v>
      </c>
      <c r="F2861" s="517" t="s">
        <v>293</v>
      </c>
      <c r="G2861" s="232">
        <v>0</v>
      </c>
      <c r="H2861" s="661" t="str">
        <f>IF(G2861=0,"",IF(F2861="Buy",IF(G2861=1,"plant","plants"),IF(F2861&gt;0.01,"warranty","Error")))</f>
        <v/>
      </c>
      <c r="I2861" s="244">
        <f>IF(H2861="free",0,IF(H2861="credit",((E2861*(F2861))*G2861*-1),IF(F2861="Buy",(E2861*G2861),((E2861*(1-F2861))*G2861))))</f>
        <v>0</v>
      </c>
      <c r="J2861" s="244">
        <f>IF(H2861="warranty",0,(I2861*(_xlfn.SINGLE(SalesTaxPercentage))))</f>
        <v>0</v>
      </c>
      <c r="K2861" s="696">
        <f t="shared" ref="K2861" si="2227">I2861+J2861</f>
        <v>0</v>
      </c>
      <c r="L2861" s="696"/>
      <c r="M2861" s="659" t="str">
        <f>IF(AND(G2861&gt;0,E2861=0),"WARNING - no PRICE inserted",IF(H2861="free"," FREE ~ no charge this plant",IF(H2861="credit",CONCATENATE(" -$",ROUND(K2861*(1-T2GDiscount)*-1,2)," CREDIT after discount"),IF(T2GDiscount=0,"",IF(G2861=0,"",IF(F2861="Buy",CONCATENATE(" $",ROUND(K2861*(1-T2GDiscount),2)," with ",(T2GDiscount*100),"% discount"),CONCATENATE(" $",ROUND(K2861*(1-T2GDiscount),2)," with ",((T2GDiscount*100+F2861*100)-(T2GDiscount*100*F2861)),IF(F2861&gt;0,"% discounts",IF(NoWarrantyDiscount&gt;0,"% discounts","% discount")))))))))</f>
        <v/>
      </c>
      <c r="N2861" s="660"/>
      <c r="O2861" s="233"/>
      <c r="P2861" s="233"/>
      <c r="Q2861" s="233"/>
      <c r="R2861" s="233"/>
      <c r="S2861" s="233"/>
      <c r="T2861" s="508">
        <f t="shared" si="2200"/>
        <v>0</v>
      </c>
      <c r="U2861" s="225">
        <f>IF(NOT(ISNUMBER(G2861)), "", VLOOKUP(A2861,'Discount Lookup'!D:E,2,FALSE)*G2861)</f>
        <v>0</v>
      </c>
      <c r="V2861" s="225">
        <f>IF(NOT(ISNUMBER(G2861)), "", VLOOKUP(A2861,'Discount Lookup'!G:H,2,FALSE)*G2861)</f>
        <v>0</v>
      </c>
      <c r="W2861" s="508">
        <f t="shared" si="2201"/>
        <v>0</v>
      </c>
      <c r="X2861" s="508">
        <f t="shared" si="2202"/>
        <v>0</v>
      </c>
      <c r="Y2861" s="509" t="b">
        <f t="shared" si="2203"/>
        <v>0</v>
      </c>
      <c r="Z2861" s="510">
        <f t="shared" si="2204"/>
        <v>0</v>
      </c>
      <c r="AA2861" s="511"/>
      <c r="AB2861" s="511" t="str">
        <f t="shared" si="2205"/>
        <v/>
      </c>
      <c r="AC2861" s="698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698"/>
      <c r="AE2861" s="631" t="str">
        <f t="shared" si="2206"/>
        <v/>
      </c>
      <c r="AF2861" s="699" t="str">
        <f t="shared" si="2207"/>
        <v/>
      </c>
      <c r="AG2861" s="699"/>
      <c r="AH2861" s="699"/>
      <c r="AI2861" s="512">
        <f>IF(H2861="credit",0,IF(AE2861="free",0,IF(AE2861="me",0,IF(G2861&gt;0,(VLOOKUP(A2861,'Discount Lookup'!J:K,2)*G2861),0))))</f>
        <v>0</v>
      </c>
      <c r="AJ2861" s="513" t="str">
        <f t="shared" ca="1" si="2208"/>
        <v/>
      </c>
      <c r="AK2861" s="700" t="str">
        <f t="shared" si="2209"/>
        <v/>
      </c>
      <c r="AL2861" s="700"/>
      <c r="AM2861" s="505" t="str">
        <f t="shared" si="2210"/>
        <v/>
      </c>
      <c r="AN2861" s="506"/>
      <c r="AO2861" s="507"/>
      <c r="AP2861" s="507"/>
      <c r="AQ2861" s="507"/>
      <c r="AR2861" s="507"/>
      <c r="AS2861" s="507"/>
      <c r="AT2861" s="507"/>
      <c r="AU2861" s="507"/>
      <c r="AV2861" s="225"/>
      <c r="AW2861" s="508"/>
      <c r="AX2861" s="225"/>
      <c r="AY2861" s="225"/>
      <c r="AZ2861" s="225"/>
      <c r="BA2861" s="225"/>
      <c r="BB2861" s="225"/>
      <c r="BC2861" s="56"/>
      <c r="BD2861" s="56"/>
      <c r="BE2861" s="56"/>
      <c r="BF2861" s="107" t="str">
        <f t="shared" si="2211"/>
        <v>https://www.google.com/search?tbm=isch&amp;q=7%20G4</v>
      </c>
      <c r="BG2861" s="107" t="str">
        <f t="shared" si="2212"/>
        <v>P</v>
      </c>
      <c r="BH2861" s="254"/>
      <c r="BI2861" s="254"/>
    </row>
    <row r="2862" spans="1:61" customFormat="1" ht="15.75" x14ac:dyDescent="0.25">
      <c r="A2862" s="276">
        <v>10</v>
      </c>
      <c r="B2862" s="240" t="s">
        <v>291</v>
      </c>
      <c r="C2862" s="241">
        <v>45846</v>
      </c>
      <c r="D2862" s="242" t="s">
        <v>312</v>
      </c>
      <c r="E2862" s="243">
        <v>146.94999999999999</v>
      </c>
      <c r="F2862" s="517" t="s">
        <v>293</v>
      </c>
      <c r="G2862" s="232">
        <v>0</v>
      </c>
      <c r="H2862" s="661" t="str">
        <f>IF(G2862=0,"",IF(F2862="Buy",IF(G2862=1,"plant","plants"),IF(F2862&gt;0.01,"warranty","Error")))</f>
        <v/>
      </c>
      <c r="I2862" s="244">
        <f>IF(H2862="free",0,IF(H2862="credit",((E2862*(F2862))*G2862*-1),IF(F2862="Buy",(E2862*G2862),((E2862*(1-F2862))*G2862))))</f>
        <v>0</v>
      </c>
      <c r="J2862" s="244">
        <f>IF(H2862="warranty",0,(I2862*(_xlfn.SINGLE(SalesTaxPercentage))))</f>
        <v>0</v>
      </c>
      <c r="K2862" s="696">
        <f t="shared" ref="K2862" si="2228">I2862+J2862</f>
        <v>0</v>
      </c>
      <c r="L2862" s="696"/>
      <c r="M2862" s="659" t="str">
        <f>IF(AND(G2862&gt;0,E2862=0),"WARNING - no PRICE inserted",IF(H2862="free"," FREE ~ no charge this plant",IF(H2862="credit",CONCATENATE(" -$",ROUND(K2862*(1-T2GDiscount)*-1,2)," CREDIT after discount"),IF(T2GDiscount=0,"",IF(G2862=0,"",IF(F2862="Buy",CONCATENATE(" $",ROUND(K2862*(1-T2GDiscount),2)," with ",(T2GDiscount*100),"% discount"),CONCATENATE(" $",ROUND(K2862*(1-T2GDiscount),2)," with ",((T2GDiscount*100+F2862*100)-(T2GDiscount*100*F2862)),IF(F2862&gt;0,"% discounts",IF(NoWarrantyDiscount&gt;0,"% discounts","% discount")))))))))</f>
        <v/>
      </c>
      <c r="N2862" s="660"/>
      <c r="O2862" s="233"/>
      <c r="P2862" s="233"/>
      <c r="Q2862" s="233"/>
      <c r="R2862" s="233"/>
      <c r="S2862" s="233"/>
      <c r="T2862" s="508">
        <f t="shared" si="2200"/>
        <v>0</v>
      </c>
      <c r="U2862" s="225">
        <f>IF(NOT(ISNUMBER(G2862)), "", VLOOKUP(A2862,'Discount Lookup'!D:E,2,FALSE)*G2862)</f>
        <v>0</v>
      </c>
      <c r="V2862" s="225">
        <f>IF(NOT(ISNUMBER(G2862)), "", VLOOKUP(A2862,'Discount Lookup'!G:H,2,FALSE)*G2862)</f>
        <v>0</v>
      </c>
      <c r="W2862" s="508">
        <f t="shared" si="2201"/>
        <v>0</v>
      </c>
      <c r="X2862" s="508">
        <f t="shared" si="2202"/>
        <v>0</v>
      </c>
      <c r="Y2862" s="509" t="b">
        <f t="shared" si="2203"/>
        <v>0</v>
      </c>
      <c r="Z2862" s="510">
        <f t="shared" si="2204"/>
        <v>0</v>
      </c>
      <c r="AA2862" s="511"/>
      <c r="AB2862" s="511" t="str">
        <f t="shared" si="2205"/>
        <v/>
      </c>
      <c r="AC2862" s="698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698"/>
      <c r="AE2862" s="631" t="str">
        <f t="shared" si="2206"/>
        <v/>
      </c>
      <c r="AF2862" s="699" t="str">
        <f t="shared" si="2207"/>
        <v/>
      </c>
      <c r="AG2862" s="699"/>
      <c r="AH2862" s="699"/>
      <c r="AI2862" s="512">
        <f>IF(H2862="credit",0,IF(AE2862="free",0,IF(AE2862="me",0,IF(G2862&gt;0,(VLOOKUP(A2862,'Discount Lookup'!J:K,2)*G2862),0))))</f>
        <v>0</v>
      </c>
      <c r="AJ2862" s="513" t="str">
        <f t="shared" ca="1" si="2208"/>
        <v/>
      </c>
      <c r="AK2862" s="700" t="str">
        <f t="shared" si="2209"/>
        <v/>
      </c>
      <c r="AL2862" s="700"/>
      <c r="AM2862" s="505" t="str">
        <f t="shared" si="2210"/>
        <v/>
      </c>
      <c r="AN2862" s="506"/>
      <c r="AO2862" s="507"/>
      <c r="AP2862" s="507"/>
      <c r="AQ2862" s="507"/>
      <c r="AR2862" s="507"/>
      <c r="AS2862" s="507"/>
      <c r="AT2862" s="507"/>
      <c r="AU2862" s="507"/>
      <c r="AV2862" s="225"/>
      <c r="AW2862" s="508"/>
      <c r="AX2862" s="225"/>
      <c r="AY2862" s="225"/>
      <c r="AZ2862" s="225"/>
      <c r="BA2862" s="225"/>
      <c r="BB2862" s="225"/>
      <c r="BC2862" s="56"/>
      <c r="BD2862" s="56"/>
      <c r="BE2862" s="56"/>
      <c r="BF2862" s="107" t="str">
        <f t="shared" si="2211"/>
        <v>https://www.google.com/search?tbm=isch&amp;q=10%20G2</v>
      </c>
      <c r="BG2862" s="107" t="str">
        <f t="shared" si="2212"/>
        <v>P</v>
      </c>
      <c r="BH2862" s="254"/>
      <c r="BI2862" s="254"/>
    </row>
    <row r="2863" spans="1:61" customFormat="1" ht="15.75" x14ac:dyDescent="0.25">
      <c r="A2863" s="276">
        <v>15</v>
      </c>
      <c r="B2863" s="240" t="s">
        <v>291</v>
      </c>
      <c r="C2863" s="241" t="s">
        <v>3695</v>
      </c>
      <c r="D2863" s="242" t="s">
        <v>292</v>
      </c>
      <c r="E2863" s="243">
        <v>169.95</v>
      </c>
      <c r="F2863" s="517" t="s">
        <v>293</v>
      </c>
      <c r="G2863" s="232">
        <v>0</v>
      </c>
      <c r="H2863" s="661" t="str">
        <f>IF(G2863=0,"",IF(F2863="Buy",IF(G2863=1,"plant","plants"),IF(F2863&gt;0.01,"warranty","Error")))</f>
        <v/>
      </c>
      <c r="I2863" s="244">
        <f>IF(H2863="free",0,IF(H2863="credit",((E2863*(F2863))*G2863*-1),IF(F2863="Buy",(E2863*G2863),((E2863*(1-F2863))*G2863))))</f>
        <v>0</v>
      </c>
      <c r="J2863" s="244">
        <f>IF(H2863="warranty",0,(I2863*(_xlfn.SINGLE(SalesTaxPercentage))))</f>
        <v>0</v>
      </c>
      <c r="K2863" s="696">
        <f t="shared" ref="K2863" si="2229">I2863+J2863</f>
        <v>0</v>
      </c>
      <c r="L2863" s="696"/>
      <c r="M2863" s="659" t="str">
        <f>IF(AND(G2863&gt;0,E2863=0),"WARNING - no PRICE inserted",IF(H2863="free"," FREE ~ no charge this plant",IF(H2863="credit",CONCATENATE(" -$",ROUND(K2863*(1-T2GDiscount)*-1,2)," CREDIT after discount"),IF(T2GDiscount=0,"",IF(G2863=0,"",IF(F2863="Buy",CONCATENATE(" $",ROUND(K2863*(1-T2GDiscount),2)," with ",(T2GDiscount*100),"% discount"),CONCATENATE(" $",ROUND(K2863*(1-T2GDiscount),2)," with ",((T2GDiscount*100+F2863*100)-(T2GDiscount*100*F2863)),IF(F2863&gt;0,"% discounts",IF(NoWarrantyDiscount&gt;0,"% discounts","% discount")))))))))</f>
        <v/>
      </c>
      <c r="N2863" s="660"/>
      <c r="O2863" s="233"/>
      <c r="P2863" s="233"/>
      <c r="Q2863" s="233"/>
      <c r="R2863" s="233"/>
      <c r="S2863" s="233"/>
      <c r="T2863" s="508">
        <f t="shared" si="2200"/>
        <v>0</v>
      </c>
      <c r="U2863" s="225">
        <f>IF(NOT(ISNUMBER(G2863)), "", VLOOKUP(A2863,'Discount Lookup'!D:E,2,FALSE)*G2863)</f>
        <v>0</v>
      </c>
      <c r="V2863" s="225">
        <f>IF(NOT(ISNUMBER(G2863)), "", VLOOKUP(A2863,'Discount Lookup'!G:H,2,FALSE)*G2863)</f>
        <v>0</v>
      </c>
      <c r="W2863" s="508">
        <f t="shared" si="2201"/>
        <v>0</v>
      </c>
      <c r="X2863" s="508">
        <f t="shared" si="2202"/>
        <v>0</v>
      </c>
      <c r="Y2863" s="509" t="b">
        <f t="shared" si="2203"/>
        <v>0</v>
      </c>
      <c r="Z2863" s="510">
        <f t="shared" si="2204"/>
        <v>0</v>
      </c>
      <c r="AA2863" s="511"/>
      <c r="AB2863" s="511" t="str">
        <f t="shared" si="2205"/>
        <v/>
      </c>
      <c r="AC2863" s="698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698"/>
      <c r="AE2863" s="631" t="str">
        <f t="shared" si="2206"/>
        <v/>
      </c>
      <c r="AF2863" s="699" t="str">
        <f t="shared" si="2207"/>
        <v/>
      </c>
      <c r="AG2863" s="699"/>
      <c r="AH2863" s="699"/>
      <c r="AI2863" s="512">
        <f>IF(H2863="credit",0,IF(AE2863="free",0,IF(AE2863="me",0,IF(G2863&gt;0,(VLOOKUP(A2863,'Discount Lookup'!J:K,2)*G2863),0))))</f>
        <v>0</v>
      </c>
      <c r="AJ2863" s="513" t="str">
        <f t="shared" ca="1" si="2208"/>
        <v/>
      </c>
      <c r="AK2863" s="700" t="str">
        <f t="shared" si="2209"/>
        <v/>
      </c>
      <c r="AL2863" s="700"/>
      <c r="AM2863" s="505" t="str">
        <f t="shared" si="2210"/>
        <v/>
      </c>
      <c r="AN2863" s="506"/>
      <c r="AO2863" s="507"/>
      <c r="AP2863" s="507"/>
      <c r="AQ2863" s="507"/>
      <c r="AR2863" s="507"/>
      <c r="AS2863" s="507"/>
      <c r="AT2863" s="507"/>
      <c r="AU2863" s="507"/>
      <c r="AV2863" s="225"/>
      <c r="AW2863" s="508"/>
      <c r="AX2863" s="225"/>
      <c r="AY2863" s="225"/>
      <c r="AZ2863" s="225"/>
      <c r="BA2863" s="225"/>
      <c r="BB2863" s="225"/>
      <c r="BC2863" s="56"/>
      <c r="BD2863" s="56"/>
      <c r="BE2863" s="56"/>
      <c r="BF2863" s="107" t="str">
        <f t="shared" si="2211"/>
        <v>https://www.google.com/search?tbm=isch&amp;q=15%20G4</v>
      </c>
      <c r="BG2863" s="107" t="str">
        <f t="shared" si="2212"/>
        <v>P</v>
      </c>
      <c r="BH2863" s="254"/>
      <c r="BI2863" s="254"/>
    </row>
    <row r="2864" spans="1:61" customFormat="1" ht="17.25" thickBot="1" x14ac:dyDescent="0.3">
      <c r="A2864" s="524" t="s">
        <v>2172</v>
      </c>
      <c r="B2864" s="245"/>
      <c r="C2864" s="677"/>
      <c r="D2864" s="499"/>
      <c r="E2864" s="499"/>
      <c r="F2864" s="500"/>
      <c r="G2864" s="501"/>
      <c r="H2864" s="502"/>
      <c r="I2864" s="246"/>
      <c r="J2864" s="247"/>
      <c r="K2864" s="503"/>
      <c r="L2864" s="544"/>
      <c r="M2864" s="544"/>
      <c r="N2864" s="500"/>
      <c r="O2864" s="500"/>
      <c r="P2864" s="500"/>
      <c r="Q2864" s="500"/>
      <c r="R2864" s="500"/>
      <c r="S2864" s="669" t="s">
        <v>4996</v>
      </c>
      <c r="T2864" s="508">
        <f t="shared" si="2200"/>
        <v>0</v>
      </c>
      <c r="U2864" s="225" t="str">
        <f>IF(NOT(ISNUMBER(G2864)), "", VLOOKUP(A2864,'Discount Lookup'!D:E,2,FALSE)*G2864)</f>
        <v/>
      </c>
      <c r="V2864" s="225" t="str">
        <f>IF(NOT(ISNUMBER(G2864)), "", VLOOKUP(A2864,'Discount Lookup'!G:H,2,FALSE)*G2864)</f>
        <v/>
      </c>
      <c r="W2864" s="508">
        <f t="shared" si="2201"/>
        <v>0</v>
      </c>
      <c r="X2864" s="508">
        <f t="shared" si="2202"/>
        <v>0</v>
      </c>
      <c r="Y2864" s="509" t="b">
        <f t="shared" si="2203"/>
        <v>0</v>
      </c>
      <c r="Z2864" s="510">
        <f t="shared" si="2204"/>
        <v>0</v>
      </c>
      <c r="AA2864" s="511"/>
      <c r="AB2864" s="511" t="str">
        <f t="shared" si="2205"/>
        <v/>
      </c>
      <c r="AC2864" s="698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698"/>
      <c r="AE2864" s="631" t="str">
        <f t="shared" si="2206"/>
        <v/>
      </c>
      <c r="AF2864" s="699" t="str">
        <f t="shared" si="2207"/>
        <v/>
      </c>
      <c r="AG2864" s="699"/>
      <c r="AH2864" s="699"/>
      <c r="AI2864" s="512">
        <f>IF(H2864="credit",0,IF(AE2864="free",0,IF(AE2864="me",0,IF(G2864&gt;0,(VLOOKUP(A2864,'Discount Lookup'!J:K,2)*G2864),0))))</f>
        <v>0</v>
      </c>
      <c r="AJ2864" s="513" t="str">
        <f t="shared" ca="1" si="2208"/>
        <v/>
      </c>
      <c r="AK2864" s="700" t="str">
        <f t="shared" si="2209"/>
        <v/>
      </c>
      <c r="AL2864" s="700"/>
      <c r="AM2864" s="505" t="str">
        <f t="shared" si="2210"/>
        <v/>
      </c>
      <c r="AN2864" s="506"/>
      <c r="AO2864" s="507"/>
      <c r="AP2864" s="507"/>
      <c r="AQ2864" s="507"/>
      <c r="AR2864" s="507"/>
      <c r="AS2864" s="507"/>
      <c r="AT2864" s="507"/>
      <c r="AU2864" s="507"/>
      <c r="AV2864" s="225"/>
      <c r="AW2864" s="508"/>
      <c r="AX2864" s="225"/>
      <c r="AY2864" s="225"/>
      <c r="AZ2864" s="225"/>
      <c r="BA2864" s="225"/>
      <c r="BB2864" s="225"/>
      <c r="BC2864" s="56"/>
      <c r="BD2864" s="56"/>
      <c r="BE2864" s="56"/>
      <c r="BF2864" s="107" t="str">
        <f t="shared" si="2211"/>
        <v>https://www.google.com/search?tbm=isch&amp;q=Pink%20Heartbreaker%20foliage%20changes%20from%20red%20to%20green%20over%20season.%20Rambling%20brancshes%20are%20less%20formal%20</v>
      </c>
      <c r="BG2864" s="107" t="str">
        <f t="shared" si="2212"/>
        <v>P</v>
      </c>
      <c r="BH2864" s="254"/>
      <c r="BI2864" s="254"/>
    </row>
    <row r="2865" spans="1:61" customFormat="1" ht="18" x14ac:dyDescent="0.25">
      <c r="A2865" s="523" t="s">
        <v>5615</v>
      </c>
      <c r="B2865" s="235"/>
      <c r="C2865" s="676"/>
      <c r="D2865" s="255" t="s">
        <v>648</v>
      </c>
      <c r="E2865" s="236"/>
      <c r="F2865" s="236"/>
      <c r="G2865" s="236"/>
      <c r="H2865" s="582" t="s">
        <v>441</v>
      </c>
      <c r="I2865" s="498" t="s">
        <v>654</v>
      </c>
      <c r="J2865" s="237"/>
      <c r="K2865" s="237"/>
      <c r="L2865" s="274"/>
      <c r="M2865" s="668" t="s">
        <v>4962</v>
      </c>
      <c r="N2865" s="681" t="str">
        <f>IF(AND(ISTEXT($A2865), ISERROR($A2865+0)), HYPERLINK($BF2865, "Images"), "")</f>
        <v>Images</v>
      </c>
      <c r="O2865" s="663" t="s">
        <v>4971</v>
      </c>
      <c r="P2865" s="253"/>
      <c r="Q2865" s="238"/>
      <c r="R2865" s="239"/>
      <c r="S2865" s="275" t="s">
        <v>305</v>
      </c>
      <c r="T2865" s="508">
        <f t="shared" si="2200"/>
        <v>0</v>
      </c>
      <c r="U2865" s="225" t="str">
        <f>IF(NOT(ISNUMBER(G2865)), "", VLOOKUP(A2865,'Discount Lookup'!D:E,2,FALSE)*G2865)</f>
        <v/>
      </c>
      <c r="V2865" s="225" t="str">
        <f>IF(NOT(ISNUMBER(G2865)), "", VLOOKUP(A2865,'Discount Lookup'!G:H,2,FALSE)*G2865)</f>
        <v/>
      </c>
      <c r="W2865" s="508">
        <f t="shared" si="2201"/>
        <v>0</v>
      </c>
      <c r="X2865" s="508" t="str">
        <f t="shared" si="2202"/>
        <v>White bloom</v>
      </c>
      <c r="Y2865" s="509" t="b">
        <f t="shared" si="2203"/>
        <v>0</v>
      </c>
      <c r="Z2865" s="510">
        <f t="shared" si="2204"/>
        <v>0</v>
      </c>
      <c r="AA2865" s="511"/>
      <c r="AB2865" s="511" t="str">
        <f t="shared" si="2205"/>
        <v/>
      </c>
      <c r="AC2865" s="698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698"/>
      <c r="AE2865" s="631" t="str">
        <f t="shared" si="2206"/>
        <v/>
      </c>
      <c r="AF2865" s="699" t="str">
        <f t="shared" si="2207"/>
        <v/>
      </c>
      <c r="AG2865" s="699"/>
      <c r="AH2865" s="699"/>
      <c r="AI2865" s="512">
        <f>IF(H2865="credit",0,IF(AE2865="free",0,IF(AE2865="me",0,IF(G2865&gt;0,(VLOOKUP(A2865,'Discount Lookup'!J:K,2)*G2865),0))))</f>
        <v>0</v>
      </c>
      <c r="AJ2865" s="513" t="str">
        <f t="shared" ca="1" si="2208"/>
        <v/>
      </c>
      <c r="AK2865" s="700" t="str">
        <f t="shared" si="2209"/>
        <v/>
      </c>
      <c r="AL2865" s="700"/>
      <c r="AM2865" s="505" t="str">
        <f t="shared" si="2210"/>
        <v/>
      </c>
      <c r="AN2865" s="506"/>
      <c r="AO2865" s="507"/>
      <c r="AP2865" s="507"/>
      <c r="AQ2865" s="507"/>
      <c r="AR2865" s="507"/>
      <c r="AS2865" s="507"/>
      <c r="AT2865" s="507"/>
      <c r="AU2865" s="507"/>
      <c r="AV2865" s="225"/>
      <c r="AW2865" s="508"/>
      <c r="AX2865" s="225"/>
      <c r="AY2865" s="225"/>
      <c r="AZ2865" s="225"/>
      <c r="BA2865" s="225"/>
      <c r="BB2865" s="225"/>
      <c r="BC2865" s="56"/>
      <c r="BD2865" s="56"/>
      <c r="BE2865" s="56"/>
      <c r="BF2865" s="107" t="str">
        <f t="shared" si="2211"/>
        <v>https://www.google.com/search?tbm=isch&amp;q=Pink%20Icing%C2%AE%20Blueberry%20%28BB%C2%AE%29%20Vac.%20corymbosum%20%27ZF06-079%27%20PP%2323336</v>
      </c>
      <c r="BG2865" s="107" t="str">
        <f t="shared" si="2212"/>
        <v>P</v>
      </c>
      <c r="BH2865" s="254"/>
      <c r="BI2865" s="254"/>
    </row>
    <row r="2866" spans="1:61" customFormat="1" ht="15.75" x14ac:dyDescent="0.25">
      <c r="A2866" s="276">
        <v>2</v>
      </c>
      <c r="B2866" s="240" t="s">
        <v>291</v>
      </c>
      <c r="C2866" s="241"/>
      <c r="D2866" s="242" t="s">
        <v>298</v>
      </c>
      <c r="E2866" s="243">
        <v>34.950000000000003</v>
      </c>
      <c r="F2866" s="517" t="s">
        <v>293</v>
      </c>
      <c r="G2866" s="232">
        <v>0</v>
      </c>
      <c r="H2866" s="661" t="str">
        <f>IF(G2866=0,"",IF(F2866="Buy",IF(G2866=1,"plant","plants"),IF(F2866&gt;0.01,"warranty","Error")))</f>
        <v/>
      </c>
      <c r="I2866" s="244">
        <f>IF(H2866="free",0,IF(H2866="credit",((E2866*(F2866))*G2866*-1),IF(F2866="Buy",(E2866*G2866),((E2866*(1-F2866))*G2866))))</f>
        <v>0</v>
      </c>
      <c r="J2866" s="244">
        <f>IF(H2866="warranty",0,(I2866*(_xlfn.SINGLE(SalesTaxPercentage))))</f>
        <v>0</v>
      </c>
      <c r="K2866" s="696">
        <f t="shared" ref="K2866" si="2230">I2866+J2866</f>
        <v>0</v>
      </c>
      <c r="L2866" s="696"/>
      <c r="M2866" s="659" t="str">
        <f>IF(AND(G2866&gt;0,E2866=0),"WARNING - no PRICE inserted",IF(H2866="free"," FREE ~ no charge this plant",IF(H2866="credit",CONCATENATE(" -$",ROUND(K2866*(1-T2GDiscount)*-1,2)," CREDIT after discount"),IF(T2GDiscount=0,"",IF(G2866=0,"",IF(F2866="Buy",CONCATENATE(" $",ROUND(K2866*(1-T2GDiscount),2)," with ",(T2GDiscount*100),"% discount"),CONCATENATE(" $",ROUND(K2866*(1-T2GDiscount),2)," with ",((T2GDiscount*100+F2866*100)-(T2GDiscount*100*F2866)),IF(F2866&gt;0,"% discounts",IF(NoWarrantyDiscount&gt;0,"% discounts","% discount")))))))))</f>
        <v/>
      </c>
      <c r="N2866" s="660"/>
      <c r="O2866" s="233"/>
      <c r="P2866" s="233"/>
      <c r="Q2866" s="233"/>
      <c r="R2866" s="233"/>
      <c r="S2866" s="233"/>
      <c r="T2866" s="508">
        <f t="shared" si="2200"/>
        <v>0</v>
      </c>
      <c r="U2866" s="225">
        <f>IF(NOT(ISNUMBER(G2866)), "", VLOOKUP(A2866,'Discount Lookup'!D:E,2,FALSE)*G2866)</f>
        <v>0</v>
      </c>
      <c r="V2866" s="225">
        <f>IF(NOT(ISNUMBER(G2866)), "", VLOOKUP(A2866,'Discount Lookup'!G:H,2,FALSE)*G2866)</f>
        <v>0</v>
      </c>
      <c r="W2866" s="508">
        <f t="shared" si="2201"/>
        <v>0</v>
      </c>
      <c r="X2866" s="508">
        <f t="shared" si="2202"/>
        <v>0</v>
      </c>
      <c r="Y2866" s="509" t="b">
        <f t="shared" si="2203"/>
        <v>0</v>
      </c>
      <c r="Z2866" s="510">
        <f t="shared" si="2204"/>
        <v>0</v>
      </c>
      <c r="AA2866" s="511"/>
      <c r="AB2866" s="511" t="str">
        <f t="shared" si="2205"/>
        <v/>
      </c>
      <c r="AC2866" s="698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698"/>
      <c r="AE2866" s="631" t="str">
        <f t="shared" si="2206"/>
        <v/>
      </c>
      <c r="AF2866" s="699" t="str">
        <f t="shared" si="2207"/>
        <v/>
      </c>
      <c r="AG2866" s="699"/>
      <c r="AH2866" s="699"/>
      <c r="AI2866" s="512">
        <f>IF(H2866="credit",0,IF(AE2866="free",0,IF(AE2866="me",0,IF(G2866&gt;0,(VLOOKUP(A2866,'Discount Lookup'!J:K,2)*G2866),0))))</f>
        <v>0</v>
      </c>
      <c r="AJ2866" s="513" t="str">
        <f t="shared" ca="1" si="2208"/>
        <v/>
      </c>
      <c r="AK2866" s="700" t="str">
        <f t="shared" si="2209"/>
        <v/>
      </c>
      <c r="AL2866" s="700"/>
      <c r="AM2866" s="505" t="str">
        <f t="shared" si="2210"/>
        <v/>
      </c>
      <c r="AN2866" s="506"/>
      <c r="AO2866" s="507"/>
      <c r="AP2866" s="507"/>
      <c r="AQ2866" s="507"/>
      <c r="AR2866" s="507"/>
      <c r="AS2866" s="507"/>
      <c r="AT2866" s="507"/>
      <c r="AU2866" s="507"/>
      <c r="AV2866" s="225"/>
      <c r="AW2866" s="508"/>
      <c r="AX2866" s="225"/>
      <c r="AY2866" s="225"/>
      <c r="AZ2866" s="225"/>
      <c r="BA2866" s="225"/>
      <c r="BB2866" s="225"/>
      <c r="BC2866" s="56"/>
      <c r="BD2866" s="56"/>
      <c r="BE2866" s="56"/>
      <c r="BF2866" s="107" t="str">
        <f t="shared" si="2211"/>
        <v>https://www.google.com/search?tbm=isch&amp;q=2%20G1</v>
      </c>
      <c r="BG2866" s="107" t="str">
        <f t="shared" si="2212"/>
        <v>P</v>
      </c>
      <c r="BH2866" s="254"/>
      <c r="BI2866" s="254"/>
    </row>
    <row r="2867" spans="1:61" customFormat="1" ht="17.25" thickBot="1" x14ac:dyDescent="0.3">
      <c r="A2867" s="673" t="s">
        <v>5207</v>
      </c>
      <c r="B2867" s="245"/>
      <c r="C2867" s="677"/>
      <c r="D2867" s="499"/>
      <c r="E2867" s="499"/>
      <c r="F2867" s="500"/>
      <c r="G2867" s="501"/>
      <c r="H2867" s="502"/>
      <c r="I2867" s="246"/>
      <c r="J2867" s="247"/>
      <c r="K2867" s="503"/>
      <c r="L2867" s="544"/>
      <c r="M2867" s="544"/>
      <c r="N2867" s="500"/>
      <c r="O2867" s="500"/>
      <c r="P2867" s="500"/>
      <c r="Q2867" s="500"/>
      <c r="R2867" s="500"/>
      <c r="S2867" s="669" t="s">
        <v>5021</v>
      </c>
      <c r="T2867" s="508">
        <f t="shared" si="2200"/>
        <v>0</v>
      </c>
      <c r="U2867" s="225" t="str">
        <f>IF(NOT(ISNUMBER(G2867)), "", VLOOKUP(A2867,'Discount Lookup'!D:E,2,FALSE)*G2867)</f>
        <v/>
      </c>
      <c r="V2867" s="225" t="str">
        <f>IF(NOT(ISNUMBER(G2867)), "", VLOOKUP(A2867,'Discount Lookup'!G:H,2,FALSE)*G2867)</f>
        <v/>
      </c>
      <c r="W2867" s="508">
        <f t="shared" si="2201"/>
        <v>0</v>
      </c>
      <c r="X2867" s="508">
        <f t="shared" si="2202"/>
        <v>0</v>
      </c>
      <c r="Y2867" s="509" t="b">
        <f t="shared" si="2203"/>
        <v>0</v>
      </c>
      <c r="Z2867" s="510">
        <f t="shared" si="2204"/>
        <v>0</v>
      </c>
      <c r="AA2867" s="511"/>
      <c r="AB2867" s="511" t="str">
        <f t="shared" si="2205"/>
        <v/>
      </c>
      <c r="AC2867" s="698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698"/>
      <c r="AE2867" s="631" t="str">
        <f t="shared" si="2206"/>
        <v/>
      </c>
      <c r="AF2867" s="699" t="str">
        <f t="shared" si="2207"/>
        <v/>
      </c>
      <c r="AG2867" s="699"/>
      <c r="AH2867" s="699"/>
      <c r="AI2867" s="512">
        <f>IF(H2867="credit",0,IF(AE2867="free",0,IF(AE2867="me",0,IF(G2867&gt;0,(VLOOKUP(A2867,'Discount Lookup'!J:K,2)*G2867),0))))</f>
        <v>0</v>
      </c>
      <c r="AJ2867" s="513" t="str">
        <f t="shared" ca="1" si="2208"/>
        <v/>
      </c>
      <c r="AK2867" s="700" t="str">
        <f t="shared" si="2209"/>
        <v/>
      </c>
      <c r="AL2867" s="700"/>
      <c r="AM2867" s="505" t="str">
        <f t="shared" si="2210"/>
        <v/>
      </c>
      <c r="AN2867" s="506"/>
      <c r="AO2867" s="507"/>
      <c r="AP2867" s="507"/>
      <c r="AQ2867" s="507"/>
      <c r="AR2867" s="507"/>
      <c r="AS2867" s="507"/>
      <c r="AT2867" s="507"/>
      <c r="AU2867" s="507"/>
      <c r="AV2867" s="225"/>
      <c r="AW2867" s="508"/>
      <c r="AX2867" s="225"/>
      <c r="AY2867" s="225"/>
      <c r="AZ2867" s="225"/>
      <c r="BA2867" s="225"/>
      <c r="BB2867" s="225"/>
      <c r="BC2867" s="56"/>
      <c r="BD2867" s="56"/>
      <c r="BE2867" s="56"/>
      <c r="BF2867" s="107" t="str">
        <f t="shared" si="2211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2867" s="107" t="str">
        <f t="shared" si="2212"/>
        <v>m</v>
      </c>
      <c r="BH2867" s="254"/>
      <c r="BI2867" s="254"/>
    </row>
    <row r="2868" spans="1:61" customFormat="1" ht="18" x14ac:dyDescent="0.25">
      <c r="A2868" s="523" t="s">
        <v>1523</v>
      </c>
      <c r="B2868" s="235"/>
      <c r="C2868" s="676"/>
      <c r="D2868" s="255" t="s">
        <v>1524</v>
      </c>
      <c r="E2868" s="236"/>
      <c r="F2868" s="236"/>
      <c r="G2868" s="236"/>
      <c r="H2868" s="582" t="s">
        <v>441</v>
      </c>
      <c r="I2868" s="498" t="s">
        <v>3109</v>
      </c>
      <c r="J2868" s="237"/>
      <c r="K2868" s="237"/>
      <c r="L2868" s="274"/>
      <c r="M2868" s="668" t="s">
        <v>4962</v>
      </c>
      <c r="N2868" s="681" t="str">
        <f>IF(AND(ISTEXT($A2868), ISERROR($A2868+0)), HYPERLINK($BF2868, "Images"), "")</f>
        <v>Images</v>
      </c>
      <c r="O2868" s="663" t="s">
        <v>4969</v>
      </c>
      <c r="P2868" s="253"/>
      <c r="Q2868" s="238"/>
      <c r="R2868" s="239"/>
      <c r="S2868" s="275"/>
      <c r="T2868" s="508">
        <f t="shared" si="2200"/>
        <v>0</v>
      </c>
      <c r="U2868" s="225" t="str">
        <f>IF(NOT(ISNUMBER(G2868)), "", VLOOKUP(A2868,'Discount Lookup'!D:E,2,FALSE)*G2868)</f>
        <v/>
      </c>
      <c r="V2868" s="225" t="str">
        <f>IF(NOT(ISNUMBER(G2868)), "", VLOOKUP(A2868,'Discount Lookup'!G:H,2,FALSE)*G2868)</f>
        <v/>
      </c>
      <c r="W2868" s="508">
        <f t="shared" si="2201"/>
        <v>0</v>
      </c>
      <c r="X2868" s="508" t="str">
        <f t="shared" si="2202"/>
        <v>Yellow bloom ages to Purple</v>
      </c>
      <c r="Y2868" s="509" t="b">
        <f t="shared" si="2203"/>
        <v>0</v>
      </c>
      <c r="Z2868" s="510">
        <f t="shared" si="2204"/>
        <v>0</v>
      </c>
      <c r="AA2868" s="511"/>
      <c r="AB2868" s="511" t="str">
        <f t="shared" si="2205"/>
        <v/>
      </c>
      <c r="AC2868" s="698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698"/>
      <c r="AE2868" s="631" t="str">
        <f t="shared" si="2206"/>
        <v/>
      </c>
      <c r="AF2868" s="699" t="str">
        <f t="shared" si="2207"/>
        <v/>
      </c>
      <c r="AG2868" s="699"/>
      <c r="AH2868" s="699"/>
      <c r="AI2868" s="512">
        <f>IF(H2868="credit",0,IF(AE2868="free",0,IF(AE2868="me",0,IF(G2868&gt;0,(VLOOKUP(A2868,'Discount Lookup'!J:K,2)*G2868),0))))</f>
        <v>0</v>
      </c>
      <c r="AJ2868" s="513" t="str">
        <f t="shared" ca="1" si="2208"/>
        <v/>
      </c>
      <c r="AK2868" s="700" t="str">
        <f t="shared" si="2209"/>
        <v/>
      </c>
      <c r="AL2868" s="700"/>
      <c r="AM2868" s="505" t="str">
        <f t="shared" si="2210"/>
        <v/>
      </c>
      <c r="AN2868" s="506"/>
      <c r="AO2868" s="507"/>
      <c r="AP2868" s="507"/>
      <c r="AQ2868" s="507"/>
      <c r="AR2868" s="507"/>
      <c r="AS2868" s="507"/>
      <c r="AT2868" s="507"/>
      <c r="AU2868" s="507"/>
      <c r="AV2868" s="225"/>
      <c r="AW2868" s="508"/>
      <c r="AX2868" s="225"/>
      <c r="AY2868" s="225"/>
      <c r="AZ2868" s="225"/>
      <c r="BA2868" s="225"/>
      <c r="BB2868" s="225"/>
      <c r="BC2868" s="56"/>
      <c r="BD2868" s="56"/>
      <c r="BE2868" s="56"/>
      <c r="BF2868" s="107" t="str">
        <f t="shared" si="2211"/>
        <v>https://www.google.com/search?tbm=isch&amp;q=Pink%20Lemonade%20False%20Indigo%20Baptisia%20%27Pink%20Lemonade%27%20PP%2330669</v>
      </c>
      <c r="BG2868" s="107" t="str">
        <f t="shared" si="2212"/>
        <v>P</v>
      </c>
      <c r="BH2868" s="254"/>
      <c r="BI2868" s="254"/>
    </row>
    <row r="2869" spans="1:61" customFormat="1" ht="15.75" x14ac:dyDescent="0.25">
      <c r="A2869" s="276">
        <v>3</v>
      </c>
      <c r="B2869" s="240" t="s">
        <v>291</v>
      </c>
      <c r="C2869" s="241"/>
      <c r="D2869" s="242" t="s">
        <v>300</v>
      </c>
      <c r="E2869" s="243">
        <v>48.95</v>
      </c>
      <c r="F2869" s="517" t="s">
        <v>293</v>
      </c>
      <c r="G2869" s="232">
        <v>0</v>
      </c>
      <c r="H2869" s="661" t="str">
        <f>IF(G2869=0,"",IF(F2869="Buy",IF(G2869=1,"plant","plants"),IF(F2869&gt;0.01,"warranty","Error")))</f>
        <v/>
      </c>
      <c r="I2869" s="244">
        <f>IF(H2869="free",0,IF(H2869="credit",((E2869*(F2869))*G2869*-1),IF(F2869="Buy",(E2869*G2869),((E2869*(1-F2869))*G2869))))</f>
        <v>0</v>
      </c>
      <c r="J2869" s="244">
        <f>IF(H2869="warranty",0,(I2869*(_xlfn.SINGLE(SalesTaxPercentage))))</f>
        <v>0</v>
      </c>
      <c r="K2869" s="696">
        <f t="shared" ref="K2869" si="2231">I2869+J2869</f>
        <v>0</v>
      </c>
      <c r="L2869" s="696"/>
      <c r="M2869" s="659" t="str">
        <f>IF(AND(G2869&gt;0,E2869=0),"WARNING - no PRICE inserted",IF(H2869="free"," FREE ~ no charge this plant",IF(H2869="credit",CONCATENATE(" -$",ROUND(K2869*(1-T2GDiscount)*-1,2)," CREDIT after discount"),IF(T2GDiscount=0,"",IF(G2869=0,"",IF(F2869="Buy",CONCATENATE(" $",ROUND(K2869*(1-T2GDiscount),2)," with ",(T2GDiscount*100),"% discount"),CONCATENATE(" $",ROUND(K2869*(1-T2GDiscount),2)," with ",((T2GDiscount*100+F2869*100)-(T2GDiscount*100*F2869)),IF(F2869&gt;0,"% discounts",IF(NoWarrantyDiscount&gt;0,"% discounts","% discount")))))))))</f>
        <v/>
      </c>
      <c r="N2869" s="660"/>
      <c r="O2869" s="233"/>
      <c r="P2869" s="233"/>
      <c r="Q2869" s="233"/>
      <c r="R2869" s="233"/>
      <c r="S2869" s="233"/>
      <c r="T2869" s="508">
        <f t="shared" si="2200"/>
        <v>0</v>
      </c>
      <c r="U2869" s="225">
        <f>IF(NOT(ISNUMBER(G2869)), "", VLOOKUP(A2869,'Discount Lookup'!D:E,2,FALSE)*G2869)</f>
        <v>0</v>
      </c>
      <c r="V2869" s="225">
        <f>IF(NOT(ISNUMBER(G2869)), "", VLOOKUP(A2869,'Discount Lookup'!G:H,2,FALSE)*G2869)</f>
        <v>0</v>
      </c>
      <c r="W2869" s="508">
        <f t="shared" si="2201"/>
        <v>0</v>
      </c>
      <c r="X2869" s="508">
        <f t="shared" si="2202"/>
        <v>0</v>
      </c>
      <c r="Y2869" s="509" t="b">
        <f t="shared" si="2203"/>
        <v>0</v>
      </c>
      <c r="Z2869" s="510">
        <f t="shared" si="2204"/>
        <v>0</v>
      </c>
      <c r="AA2869" s="511"/>
      <c r="AB2869" s="511" t="str">
        <f t="shared" si="2205"/>
        <v/>
      </c>
      <c r="AC2869" s="698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698"/>
      <c r="AE2869" s="631" t="str">
        <f t="shared" si="2206"/>
        <v/>
      </c>
      <c r="AF2869" s="699" t="str">
        <f t="shared" si="2207"/>
        <v/>
      </c>
      <c r="AG2869" s="699"/>
      <c r="AH2869" s="699"/>
      <c r="AI2869" s="512">
        <f>IF(H2869="credit",0,IF(AE2869="free",0,IF(AE2869="me",0,IF(G2869&gt;0,(VLOOKUP(A2869,'Discount Lookup'!J:K,2)*G2869),0))))</f>
        <v>0</v>
      </c>
      <c r="AJ2869" s="513" t="str">
        <f t="shared" ca="1" si="2208"/>
        <v/>
      </c>
      <c r="AK2869" s="700" t="str">
        <f t="shared" si="2209"/>
        <v/>
      </c>
      <c r="AL2869" s="700"/>
      <c r="AM2869" s="505" t="str">
        <f t="shared" si="2210"/>
        <v/>
      </c>
      <c r="AN2869" s="506"/>
      <c r="AO2869" s="507"/>
      <c r="AP2869" s="507"/>
      <c r="AQ2869" s="507"/>
      <c r="AR2869" s="507"/>
      <c r="AS2869" s="507"/>
      <c r="AT2869" s="507"/>
      <c r="AU2869" s="507"/>
      <c r="AV2869" s="225"/>
      <c r="AW2869" s="508"/>
      <c r="AX2869" s="225"/>
      <c r="AY2869" s="225"/>
      <c r="AZ2869" s="225"/>
      <c r="BA2869" s="225"/>
      <c r="BB2869" s="225"/>
      <c r="BC2869" s="56"/>
      <c r="BD2869" s="56"/>
      <c r="BE2869" s="56"/>
      <c r="BF2869" s="107" t="str">
        <f t="shared" si="2211"/>
        <v>https://www.google.com/search?tbm=isch&amp;q=3%20G6</v>
      </c>
      <c r="BG2869" s="107" t="str">
        <f t="shared" si="2212"/>
        <v>P</v>
      </c>
      <c r="BH2869" s="254"/>
      <c r="BI2869" s="254"/>
    </row>
    <row r="2870" spans="1:61" customFormat="1" ht="17.25" thickBot="1" x14ac:dyDescent="0.3">
      <c r="A2870" s="524" t="s">
        <v>4209</v>
      </c>
      <c r="B2870" s="245"/>
      <c r="C2870" s="677"/>
      <c r="D2870" s="499"/>
      <c r="E2870" s="499"/>
      <c r="F2870" s="500"/>
      <c r="G2870" s="501"/>
      <c r="H2870" s="502"/>
      <c r="I2870" s="246"/>
      <c r="J2870" s="247"/>
      <c r="K2870" s="503"/>
      <c r="L2870" s="544"/>
      <c r="M2870" s="544"/>
      <c r="N2870" s="500"/>
      <c r="O2870" s="500"/>
      <c r="P2870" s="500"/>
      <c r="Q2870" s="500"/>
      <c r="R2870" s="500"/>
      <c r="S2870" s="669" t="s">
        <v>4999</v>
      </c>
      <c r="T2870" s="508">
        <f t="shared" si="2200"/>
        <v>0</v>
      </c>
      <c r="U2870" s="225" t="str">
        <f>IF(NOT(ISNUMBER(G2870)), "", VLOOKUP(A2870,'Discount Lookup'!D:E,2,FALSE)*G2870)</f>
        <v/>
      </c>
      <c r="V2870" s="225" t="str">
        <f>IF(NOT(ISNUMBER(G2870)), "", VLOOKUP(A2870,'Discount Lookup'!G:H,2,FALSE)*G2870)</f>
        <v/>
      </c>
      <c r="W2870" s="508">
        <f t="shared" si="2201"/>
        <v>0</v>
      </c>
      <c r="X2870" s="508">
        <f t="shared" si="2202"/>
        <v>0</v>
      </c>
      <c r="Y2870" s="509" t="b">
        <f t="shared" si="2203"/>
        <v>0</v>
      </c>
      <c r="Z2870" s="510">
        <f t="shared" si="2204"/>
        <v>0</v>
      </c>
      <c r="AA2870" s="511"/>
      <c r="AB2870" s="511" t="str">
        <f t="shared" si="2205"/>
        <v/>
      </c>
      <c r="AC2870" s="698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698"/>
      <c r="AE2870" s="631" t="str">
        <f t="shared" si="2206"/>
        <v/>
      </c>
      <c r="AF2870" s="699" t="str">
        <f t="shared" si="2207"/>
        <v/>
      </c>
      <c r="AG2870" s="699"/>
      <c r="AH2870" s="699"/>
      <c r="AI2870" s="512">
        <f>IF(H2870="credit",0,IF(AE2870="free",0,IF(AE2870="me",0,IF(G2870&gt;0,(VLOOKUP(A2870,'Discount Lookup'!J:K,2)*G2870),0))))</f>
        <v>0</v>
      </c>
      <c r="AJ2870" s="513" t="str">
        <f t="shared" ca="1" si="2208"/>
        <v/>
      </c>
      <c r="AK2870" s="700" t="str">
        <f t="shared" si="2209"/>
        <v/>
      </c>
      <c r="AL2870" s="700"/>
      <c r="AM2870" s="505" t="str">
        <f t="shared" si="2210"/>
        <v/>
      </c>
      <c r="AN2870" s="506"/>
      <c r="AO2870" s="507"/>
      <c r="AP2870" s="507"/>
      <c r="AQ2870" s="507"/>
      <c r="AR2870" s="507"/>
      <c r="AS2870" s="507"/>
      <c r="AT2870" s="507"/>
      <c r="AU2870" s="507"/>
      <c r="AV2870" s="225"/>
      <c r="AW2870" s="508"/>
      <c r="AX2870" s="225"/>
      <c r="AY2870" s="225"/>
      <c r="AZ2870" s="225"/>
      <c r="BA2870" s="225"/>
      <c r="BB2870" s="225"/>
      <c r="BC2870" s="56"/>
      <c r="BD2870" s="56"/>
      <c r="BE2870" s="56"/>
      <c r="BF2870" s="107" t="str">
        <f t="shared" si="2211"/>
        <v>https://www.google.com/search?tbm=isch&amp;q=Pink%20Lemonade%20has%20bicolor%20flower%20spikes%20that%20shift%20hues%2C%20supported%20by%20Charcoal%20stems%20and%20persistent%20seed%20pods%20</v>
      </c>
      <c r="BG2870" s="107" t="str">
        <f t="shared" si="2212"/>
        <v>P</v>
      </c>
      <c r="BH2870" s="254"/>
      <c r="BI2870" s="254"/>
    </row>
    <row r="2871" spans="1:61" customFormat="1" ht="18" x14ac:dyDescent="0.25">
      <c r="A2871" s="523" t="s">
        <v>1525</v>
      </c>
      <c r="B2871" s="235"/>
      <c r="C2871" s="676"/>
      <c r="D2871" s="255" t="s">
        <v>1526</v>
      </c>
      <c r="E2871" s="236"/>
      <c r="F2871" s="236"/>
      <c r="G2871" s="236"/>
      <c r="H2871" s="582" t="s">
        <v>443</v>
      </c>
      <c r="I2871" s="498" t="s">
        <v>1527</v>
      </c>
      <c r="J2871" s="237"/>
      <c r="K2871" s="237"/>
      <c r="L2871" s="274"/>
      <c r="M2871" s="668" t="s">
        <v>4962</v>
      </c>
      <c r="N2871" s="681" t="str">
        <f>IF(AND(ISTEXT($A2871), ISERROR($A2871+0)), HYPERLINK($BF2871, "Images"), "")</f>
        <v>Images</v>
      </c>
      <c r="O2871" s="663" t="s">
        <v>4969</v>
      </c>
      <c r="P2871" s="253"/>
      <c r="Q2871" s="238"/>
      <c r="R2871" s="239"/>
      <c r="S2871" s="275" t="s">
        <v>305</v>
      </c>
      <c r="T2871" s="508">
        <f t="shared" si="2200"/>
        <v>0</v>
      </c>
      <c r="U2871" s="225" t="str">
        <f>IF(NOT(ISNUMBER(G2871)), "", VLOOKUP(A2871,'Discount Lookup'!D:E,2,FALSE)*G2871)</f>
        <v/>
      </c>
      <c r="V2871" s="225" t="str">
        <f>IF(NOT(ISNUMBER(G2871)), "", VLOOKUP(A2871,'Discount Lookup'!G:H,2,FALSE)*G2871)</f>
        <v/>
      </c>
      <c r="W2871" s="508">
        <f t="shared" si="2201"/>
        <v>0</v>
      </c>
      <c r="X2871" s="508" t="str">
        <f t="shared" si="2202"/>
        <v>Pink to Pinkish-Red bloom</v>
      </c>
      <c r="Y2871" s="509" t="b">
        <f t="shared" si="2203"/>
        <v>0</v>
      </c>
      <c r="Z2871" s="510">
        <f t="shared" si="2204"/>
        <v>0</v>
      </c>
      <c r="AA2871" s="511"/>
      <c r="AB2871" s="511" t="str">
        <f t="shared" si="2205"/>
        <v/>
      </c>
      <c r="AC2871" s="698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698"/>
      <c r="AE2871" s="631" t="str">
        <f t="shared" si="2206"/>
        <v/>
      </c>
      <c r="AF2871" s="699" t="str">
        <f t="shared" si="2207"/>
        <v/>
      </c>
      <c r="AG2871" s="699"/>
      <c r="AH2871" s="699"/>
      <c r="AI2871" s="512">
        <f>IF(H2871="credit",0,IF(AE2871="free",0,IF(AE2871="me",0,IF(G2871&gt;0,(VLOOKUP(A2871,'Discount Lookup'!J:K,2)*G2871),0))))</f>
        <v>0</v>
      </c>
      <c r="AJ2871" s="513" t="str">
        <f t="shared" ca="1" si="2208"/>
        <v/>
      </c>
      <c r="AK2871" s="700" t="str">
        <f t="shared" si="2209"/>
        <v/>
      </c>
      <c r="AL2871" s="700"/>
      <c r="AM2871" s="505" t="str">
        <f t="shared" si="2210"/>
        <v/>
      </c>
      <c r="AN2871" s="506"/>
      <c r="AO2871" s="507"/>
      <c r="AP2871" s="507"/>
      <c r="AQ2871" s="507"/>
      <c r="AR2871" s="507"/>
      <c r="AS2871" s="507"/>
      <c r="AT2871" s="507"/>
      <c r="AU2871" s="507"/>
      <c r="AV2871" s="225"/>
      <c r="AW2871" s="508"/>
      <c r="AX2871" s="225"/>
      <c r="AY2871" s="225"/>
      <c r="AZ2871" s="225"/>
      <c r="BA2871" s="225"/>
      <c r="BB2871" s="225"/>
      <c r="BC2871" s="56"/>
      <c r="BD2871" s="56"/>
      <c r="BE2871" s="56"/>
      <c r="BF2871" s="107" t="str">
        <f t="shared" si="2211"/>
        <v>https://www.google.com/search?tbm=isch&amp;q=Pink%20Muhly%20Grass%20Muhlenbergia%20capillaris</v>
      </c>
      <c r="BG2871" s="107" t="str">
        <f t="shared" si="2212"/>
        <v>P</v>
      </c>
      <c r="BH2871" s="254"/>
      <c r="BI2871" s="254"/>
    </row>
    <row r="2872" spans="1:61" customFormat="1" ht="15.75" x14ac:dyDescent="0.25">
      <c r="A2872" s="276">
        <v>4</v>
      </c>
      <c r="B2872" s="240" t="s">
        <v>340</v>
      </c>
      <c r="C2872" s="241"/>
      <c r="D2872" s="242" t="s">
        <v>312</v>
      </c>
      <c r="E2872" s="243">
        <v>11.95</v>
      </c>
      <c r="F2872" s="517" t="s">
        <v>293</v>
      </c>
      <c r="G2872" s="232">
        <v>0</v>
      </c>
      <c r="H2872" s="661" t="str">
        <f t="shared" ref="H2872:H2877" si="2232">IF(G2872=0,"",IF(F2872="Buy",IF(G2872=1,"plant","plants"),IF(F2872&gt;0.01,"warranty","Error")))</f>
        <v/>
      </c>
      <c r="I2872" s="244">
        <f t="shared" ref="I2872:I2877" si="2233">IF(H2872="free",0,IF(H2872="credit",((E2872*(F2872))*G2872*-1),IF(F2872="Buy",(E2872*G2872),((E2872*(1-F2872))*G2872))))</f>
        <v>0</v>
      </c>
      <c r="J2872" s="244">
        <f t="shared" ref="J2872:J2877" si="2234">IF(H2872="warranty",0,(I2872*(_xlfn.SINGLE(SalesTaxPercentage))))</f>
        <v>0</v>
      </c>
      <c r="K2872" s="696">
        <f t="shared" ref="K2872" si="2235">I2872+J2872</f>
        <v>0</v>
      </c>
      <c r="L2872" s="696"/>
      <c r="M2872" s="659" t="str">
        <f t="shared" ref="M2872:M2877" si="2236">IF(AND(G2872&gt;0,E2872=0),"WARNING - no PRICE inserted",IF(H2872="free"," FREE ~ no charge this plant",IF(H2872="credit",CONCATENATE(" -$",ROUND(K2872*(1-T2GDiscount)*-1,2)," CREDIT after discount"),IF(T2GDiscount=0,"",IF(G2872=0,"",IF(F2872="Buy",CONCATENATE(" $",ROUND(K2872*(1-T2GDiscount),2)," with ",(T2GDiscount*100),"% discount"),CONCATENATE(" $",ROUND(K2872*(1-T2GDiscount),2)," with ",((T2GDiscount*100+F2872*100)-(T2GDiscount*100*F2872)),IF(F2872&gt;0,"% discounts",IF(NoWarrantyDiscount&gt;0,"% discounts","% discount")))))))))</f>
        <v/>
      </c>
      <c r="N2872" s="660"/>
      <c r="O2872" s="233"/>
      <c r="P2872" s="233"/>
      <c r="Q2872" s="233"/>
      <c r="R2872" s="233"/>
      <c r="S2872" s="233"/>
      <c r="T2872" s="508">
        <f t="shared" si="2200"/>
        <v>0</v>
      </c>
      <c r="U2872" s="225">
        <f>IF(NOT(ISNUMBER(G2872)), "", VLOOKUP(A2872,'Discount Lookup'!D:E,2,FALSE)*G2872)</f>
        <v>0</v>
      </c>
      <c r="V2872" s="225">
        <f>IF(NOT(ISNUMBER(G2872)), "", VLOOKUP(A2872,'Discount Lookup'!G:H,2,FALSE)*G2872)</f>
        <v>0</v>
      </c>
      <c r="W2872" s="508">
        <f t="shared" si="2201"/>
        <v>0</v>
      </c>
      <c r="X2872" s="508">
        <f t="shared" si="2202"/>
        <v>0</v>
      </c>
      <c r="Y2872" s="509" t="b">
        <f t="shared" si="2203"/>
        <v>0</v>
      </c>
      <c r="Z2872" s="510">
        <f t="shared" si="2204"/>
        <v>0</v>
      </c>
      <c r="AA2872" s="511"/>
      <c r="AB2872" s="511" t="str">
        <f t="shared" si="2205"/>
        <v/>
      </c>
      <c r="AC2872" s="698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698"/>
      <c r="AE2872" s="631" t="str">
        <f t="shared" si="2206"/>
        <v/>
      </c>
      <c r="AF2872" s="699" t="str">
        <f t="shared" si="2207"/>
        <v/>
      </c>
      <c r="AG2872" s="699"/>
      <c r="AH2872" s="699"/>
      <c r="AI2872" s="512">
        <f>IF(H2872="credit",0,IF(AE2872="free",0,IF(AE2872="me",0,IF(G2872&gt;0,(VLOOKUP(A2872,'Discount Lookup'!J:K,2)*G2872),0))))</f>
        <v>0</v>
      </c>
      <c r="AJ2872" s="513" t="str">
        <f t="shared" ca="1" si="2208"/>
        <v/>
      </c>
      <c r="AK2872" s="700" t="str">
        <f t="shared" si="2209"/>
        <v/>
      </c>
      <c r="AL2872" s="700"/>
      <c r="AM2872" s="505" t="str">
        <f t="shared" si="2210"/>
        <v/>
      </c>
      <c r="AN2872" s="506"/>
      <c r="AO2872" s="507"/>
      <c r="AP2872" s="507"/>
      <c r="AQ2872" s="507"/>
      <c r="AR2872" s="507"/>
      <c r="AS2872" s="507"/>
      <c r="AT2872" s="507"/>
      <c r="AU2872" s="507"/>
      <c r="AV2872" s="225"/>
      <c r="AW2872" s="508"/>
      <c r="AX2872" s="225"/>
      <c r="AY2872" s="225"/>
      <c r="AZ2872" s="225"/>
      <c r="BA2872" s="225"/>
      <c r="BB2872" s="225"/>
      <c r="BC2872" s="56"/>
      <c r="BD2872" s="56"/>
      <c r="BE2872" s="56"/>
      <c r="BF2872" s="107" t="str">
        <f t="shared" si="2211"/>
        <v>https://www.google.com/search?tbm=isch&amp;q=4%20G2</v>
      </c>
      <c r="BG2872" s="107" t="str">
        <f t="shared" si="2212"/>
        <v>P</v>
      </c>
      <c r="BH2872" s="254"/>
      <c r="BI2872" s="254"/>
    </row>
    <row r="2873" spans="1:61" customFormat="1" ht="15.75" x14ac:dyDescent="0.25">
      <c r="A2873" s="276">
        <v>3</v>
      </c>
      <c r="B2873" s="240" t="s">
        <v>291</v>
      </c>
      <c r="C2873" s="241" t="s">
        <v>4681</v>
      </c>
      <c r="D2873" s="242" t="s">
        <v>312</v>
      </c>
      <c r="E2873" s="243">
        <v>24.95</v>
      </c>
      <c r="F2873" s="517" t="s">
        <v>293</v>
      </c>
      <c r="G2873" s="232">
        <v>0</v>
      </c>
      <c r="H2873" s="661" t="str">
        <f t="shared" si="2232"/>
        <v/>
      </c>
      <c r="I2873" s="244">
        <f t="shared" si="2233"/>
        <v>0</v>
      </c>
      <c r="J2873" s="244">
        <f t="shared" si="2234"/>
        <v>0</v>
      </c>
      <c r="K2873" s="696">
        <f t="shared" ref="K2873" si="2237">I2873+J2873</f>
        <v>0</v>
      </c>
      <c r="L2873" s="696"/>
      <c r="M2873" s="659" t="str">
        <f t="shared" si="2236"/>
        <v/>
      </c>
      <c r="N2873" s="660"/>
      <c r="O2873" s="233"/>
      <c r="P2873" s="233"/>
      <c r="Q2873" s="233"/>
      <c r="R2873" s="233"/>
      <c r="S2873" s="233"/>
      <c r="T2873" s="508">
        <f t="shared" si="2200"/>
        <v>0</v>
      </c>
      <c r="U2873" s="225">
        <f>IF(NOT(ISNUMBER(G2873)), "", VLOOKUP(A2873,'Discount Lookup'!D:E,2,FALSE)*G2873)</f>
        <v>0</v>
      </c>
      <c r="V2873" s="225">
        <f>IF(NOT(ISNUMBER(G2873)), "", VLOOKUP(A2873,'Discount Lookup'!G:H,2,FALSE)*G2873)</f>
        <v>0</v>
      </c>
      <c r="W2873" s="508">
        <f t="shared" si="2201"/>
        <v>0</v>
      </c>
      <c r="X2873" s="508">
        <f t="shared" si="2202"/>
        <v>0</v>
      </c>
      <c r="Y2873" s="509" t="b">
        <f t="shared" si="2203"/>
        <v>0</v>
      </c>
      <c r="Z2873" s="510">
        <f t="shared" si="2204"/>
        <v>0</v>
      </c>
      <c r="AA2873" s="511"/>
      <c r="AB2873" s="511" t="str">
        <f t="shared" si="2205"/>
        <v/>
      </c>
      <c r="AC2873" s="698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698"/>
      <c r="AE2873" s="631" t="str">
        <f t="shared" si="2206"/>
        <v/>
      </c>
      <c r="AF2873" s="699" t="str">
        <f t="shared" si="2207"/>
        <v/>
      </c>
      <c r="AG2873" s="699"/>
      <c r="AH2873" s="699"/>
      <c r="AI2873" s="512">
        <f>IF(H2873="credit",0,IF(AE2873="free",0,IF(AE2873="me",0,IF(G2873&gt;0,(VLOOKUP(A2873,'Discount Lookup'!J:K,2)*G2873),0))))</f>
        <v>0</v>
      </c>
      <c r="AJ2873" s="513" t="str">
        <f t="shared" ca="1" si="2208"/>
        <v/>
      </c>
      <c r="AK2873" s="700" t="str">
        <f t="shared" si="2209"/>
        <v/>
      </c>
      <c r="AL2873" s="700"/>
      <c r="AM2873" s="505" t="str">
        <f t="shared" si="2210"/>
        <v/>
      </c>
      <c r="AN2873" s="506"/>
      <c r="AO2873" s="507"/>
      <c r="AP2873" s="507"/>
      <c r="AQ2873" s="507"/>
      <c r="AR2873" s="507"/>
      <c r="AS2873" s="507"/>
      <c r="AT2873" s="507"/>
      <c r="AU2873" s="507"/>
      <c r="AV2873" s="225"/>
      <c r="AW2873" s="508"/>
      <c r="AX2873" s="225"/>
      <c r="AY2873" s="225"/>
      <c r="AZ2873" s="225"/>
      <c r="BA2873" s="225"/>
      <c r="BB2873" s="225"/>
      <c r="BC2873" s="56"/>
      <c r="BD2873" s="56"/>
      <c r="BE2873" s="56"/>
      <c r="BF2873" s="107" t="str">
        <f t="shared" si="2211"/>
        <v>https://www.google.com/search?tbm=isch&amp;q=3%20G2</v>
      </c>
      <c r="BG2873" s="107" t="str">
        <f t="shared" si="2212"/>
        <v>P</v>
      </c>
      <c r="BH2873" s="254"/>
      <c r="BI2873" s="254"/>
    </row>
    <row r="2874" spans="1:61" customFormat="1" ht="15.75" x14ac:dyDescent="0.25">
      <c r="A2874" s="276">
        <v>3</v>
      </c>
      <c r="B2874" s="240" t="s">
        <v>291</v>
      </c>
      <c r="C2874" s="241"/>
      <c r="D2874" s="242" t="s">
        <v>312</v>
      </c>
      <c r="E2874" s="243">
        <v>24.95</v>
      </c>
      <c r="F2874" s="517" t="s">
        <v>293</v>
      </c>
      <c r="G2874" s="232">
        <v>0</v>
      </c>
      <c r="H2874" s="661" t="str">
        <f t="shared" si="2232"/>
        <v/>
      </c>
      <c r="I2874" s="244">
        <f t="shared" si="2233"/>
        <v>0</v>
      </c>
      <c r="J2874" s="244">
        <f t="shared" si="2234"/>
        <v>0</v>
      </c>
      <c r="K2874" s="696">
        <f t="shared" ref="K2874" si="2238">I2874+J2874</f>
        <v>0</v>
      </c>
      <c r="L2874" s="696"/>
      <c r="M2874" s="659" t="str">
        <f t="shared" si="2236"/>
        <v/>
      </c>
      <c r="N2874" s="660"/>
      <c r="O2874" s="233"/>
      <c r="P2874" s="233"/>
      <c r="Q2874" s="233"/>
      <c r="R2874" s="233"/>
      <c r="S2874" s="233"/>
      <c r="T2874" s="508">
        <f t="shared" si="2200"/>
        <v>0</v>
      </c>
      <c r="U2874" s="225">
        <f>IF(NOT(ISNUMBER(G2874)), "", VLOOKUP(A2874,'Discount Lookup'!D:E,2,FALSE)*G2874)</f>
        <v>0</v>
      </c>
      <c r="V2874" s="225">
        <f>IF(NOT(ISNUMBER(G2874)), "", VLOOKUP(A2874,'Discount Lookup'!G:H,2,FALSE)*G2874)</f>
        <v>0</v>
      </c>
      <c r="W2874" s="508">
        <f t="shared" si="2201"/>
        <v>0</v>
      </c>
      <c r="X2874" s="508">
        <f t="shared" si="2202"/>
        <v>0</v>
      </c>
      <c r="Y2874" s="509" t="b">
        <f t="shared" si="2203"/>
        <v>0</v>
      </c>
      <c r="Z2874" s="510">
        <f t="shared" si="2204"/>
        <v>0</v>
      </c>
      <c r="AA2874" s="511"/>
      <c r="AB2874" s="511" t="str">
        <f t="shared" si="2205"/>
        <v/>
      </c>
      <c r="AC2874" s="698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698"/>
      <c r="AE2874" s="631" t="str">
        <f t="shared" si="2206"/>
        <v/>
      </c>
      <c r="AF2874" s="699" t="str">
        <f t="shared" si="2207"/>
        <v/>
      </c>
      <c r="AG2874" s="699"/>
      <c r="AH2874" s="699"/>
      <c r="AI2874" s="512">
        <f>IF(H2874="credit",0,IF(AE2874="free",0,IF(AE2874="me",0,IF(G2874&gt;0,(VLOOKUP(A2874,'Discount Lookup'!J:K,2)*G2874),0))))</f>
        <v>0</v>
      </c>
      <c r="AJ2874" s="513" t="str">
        <f t="shared" ca="1" si="2208"/>
        <v/>
      </c>
      <c r="AK2874" s="700" t="str">
        <f t="shared" si="2209"/>
        <v/>
      </c>
      <c r="AL2874" s="700"/>
      <c r="AM2874" s="505" t="str">
        <f t="shared" si="2210"/>
        <v/>
      </c>
      <c r="AN2874" s="506"/>
      <c r="AO2874" s="507"/>
      <c r="AP2874" s="507"/>
      <c r="AQ2874" s="507"/>
      <c r="AR2874" s="507"/>
      <c r="AS2874" s="507"/>
      <c r="AT2874" s="507"/>
      <c r="AU2874" s="507"/>
      <c r="AV2874" s="225"/>
      <c r="AW2874" s="508"/>
      <c r="AX2874" s="225"/>
      <c r="AY2874" s="225"/>
      <c r="AZ2874" s="225"/>
      <c r="BA2874" s="225"/>
      <c r="BB2874" s="225"/>
      <c r="BC2874" s="56"/>
      <c r="BD2874" s="56"/>
      <c r="BE2874" s="56"/>
      <c r="BF2874" s="107" t="str">
        <f t="shared" si="2211"/>
        <v>https://www.google.com/search?tbm=isch&amp;q=3%20G2</v>
      </c>
      <c r="BG2874" s="107" t="str">
        <f t="shared" si="2212"/>
        <v>P</v>
      </c>
      <c r="BH2874" s="254"/>
      <c r="BI2874" s="254"/>
    </row>
    <row r="2875" spans="1:61" customFormat="1" ht="15.75" x14ac:dyDescent="0.25">
      <c r="A2875" s="276">
        <v>3</v>
      </c>
      <c r="B2875" s="240" t="s">
        <v>291</v>
      </c>
      <c r="C2875" s="241"/>
      <c r="D2875" s="242" t="s">
        <v>298</v>
      </c>
      <c r="E2875" s="243">
        <v>25.95</v>
      </c>
      <c r="F2875" s="517" t="s">
        <v>293</v>
      </c>
      <c r="G2875" s="232">
        <v>0</v>
      </c>
      <c r="H2875" s="661" t="str">
        <f t="shared" si="2232"/>
        <v/>
      </c>
      <c r="I2875" s="244">
        <f t="shared" si="2233"/>
        <v>0</v>
      </c>
      <c r="J2875" s="244">
        <f t="shared" si="2234"/>
        <v>0</v>
      </c>
      <c r="K2875" s="696">
        <f t="shared" ref="K2875" si="2239">I2875+J2875</f>
        <v>0</v>
      </c>
      <c r="L2875" s="696"/>
      <c r="M2875" s="659" t="str">
        <f t="shared" si="2236"/>
        <v/>
      </c>
      <c r="N2875" s="660"/>
      <c r="O2875" s="233"/>
      <c r="P2875" s="233"/>
      <c r="Q2875" s="233"/>
      <c r="R2875" s="233"/>
      <c r="S2875" s="233"/>
      <c r="T2875" s="508">
        <f t="shared" si="2200"/>
        <v>0</v>
      </c>
      <c r="U2875" s="225">
        <f>IF(NOT(ISNUMBER(G2875)), "", VLOOKUP(A2875,'Discount Lookup'!D:E,2,FALSE)*G2875)</f>
        <v>0</v>
      </c>
      <c r="V2875" s="225">
        <f>IF(NOT(ISNUMBER(G2875)), "", VLOOKUP(A2875,'Discount Lookup'!G:H,2,FALSE)*G2875)</f>
        <v>0</v>
      </c>
      <c r="W2875" s="508">
        <f t="shared" si="2201"/>
        <v>0</v>
      </c>
      <c r="X2875" s="508">
        <f t="shared" si="2202"/>
        <v>0</v>
      </c>
      <c r="Y2875" s="509" t="b">
        <f t="shared" si="2203"/>
        <v>0</v>
      </c>
      <c r="Z2875" s="510">
        <f t="shared" si="2204"/>
        <v>0</v>
      </c>
      <c r="AA2875" s="511"/>
      <c r="AB2875" s="511" t="str">
        <f t="shared" si="2205"/>
        <v/>
      </c>
      <c r="AC2875" s="698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698"/>
      <c r="AE2875" s="631" t="str">
        <f t="shared" si="2206"/>
        <v/>
      </c>
      <c r="AF2875" s="699" t="str">
        <f t="shared" si="2207"/>
        <v/>
      </c>
      <c r="AG2875" s="699"/>
      <c r="AH2875" s="699"/>
      <c r="AI2875" s="512">
        <f>IF(H2875="credit",0,IF(AE2875="free",0,IF(AE2875="me",0,IF(G2875&gt;0,(VLOOKUP(A2875,'Discount Lookup'!J:K,2)*G2875),0))))</f>
        <v>0</v>
      </c>
      <c r="AJ2875" s="513" t="str">
        <f t="shared" ca="1" si="2208"/>
        <v/>
      </c>
      <c r="AK2875" s="700" t="str">
        <f t="shared" si="2209"/>
        <v/>
      </c>
      <c r="AL2875" s="700"/>
      <c r="AM2875" s="505" t="str">
        <f t="shared" si="2210"/>
        <v/>
      </c>
      <c r="AN2875" s="506"/>
      <c r="AO2875" s="507"/>
      <c r="AP2875" s="507"/>
      <c r="AQ2875" s="507"/>
      <c r="AR2875" s="507"/>
      <c r="AS2875" s="507"/>
      <c r="AT2875" s="507"/>
      <c r="AU2875" s="507"/>
      <c r="AV2875" s="225"/>
      <c r="AW2875" s="508"/>
      <c r="AX2875" s="225"/>
      <c r="AY2875" s="225"/>
      <c r="AZ2875" s="225"/>
      <c r="BA2875" s="225"/>
      <c r="BB2875" s="225"/>
      <c r="BC2875" s="56"/>
      <c r="BD2875" s="56"/>
      <c r="BE2875" s="56"/>
      <c r="BF2875" s="107" t="str">
        <f t="shared" si="2211"/>
        <v>https://www.google.com/search?tbm=isch&amp;q=3%20G1</v>
      </c>
      <c r="BG2875" s="107" t="str">
        <f t="shared" si="2212"/>
        <v>P</v>
      </c>
      <c r="BH2875" s="254"/>
      <c r="BI2875" s="254"/>
    </row>
    <row r="2876" spans="1:61" customFormat="1" ht="15.75" x14ac:dyDescent="0.25">
      <c r="A2876" s="276">
        <v>3</v>
      </c>
      <c r="B2876" s="240" t="s">
        <v>291</v>
      </c>
      <c r="C2876" s="241"/>
      <c r="D2876" s="242" t="s">
        <v>300</v>
      </c>
      <c r="E2876" s="243">
        <v>29.95</v>
      </c>
      <c r="F2876" s="517" t="s">
        <v>293</v>
      </c>
      <c r="G2876" s="232">
        <v>0</v>
      </c>
      <c r="H2876" s="661" t="str">
        <f t="shared" si="2232"/>
        <v/>
      </c>
      <c r="I2876" s="244">
        <f t="shared" si="2233"/>
        <v>0</v>
      </c>
      <c r="J2876" s="244">
        <f t="shared" si="2234"/>
        <v>0</v>
      </c>
      <c r="K2876" s="696">
        <f t="shared" ref="K2876" si="2240">I2876+J2876</f>
        <v>0</v>
      </c>
      <c r="L2876" s="696"/>
      <c r="M2876" s="659" t="str">
        <f t="shared" si="2236"/>
        <v/>
      </c>
      <c r="N2876" s="660"/>
      <c r="O2876" s="233"/>
      <c r="P2876" s="233"/>
      <c r="Q2876" s="233"/>
      <c r="R2876" s="233"/>
      <c r="S2876" s="233"/>
      <c r="T2876" s="508">
        <f t="shared" si="2200"/>
        <v>0</v>
      </c>
      <c r="U2876" s="225">
        <f>IF(NOT(ISNUMBER(G2876)), "", VLOOKUP(A2876,'Discount Lookup'!D:E,2,FALSE)*G2876)</f>
        <v>0</v>
      </c>
      <c r="V2876" s="225">
        <f>IF(NOT(ISNUMBER(G2876)), "", VLOOKUP(A2876,'Discount Lookup'!G:H,2,FALSE)*G2876)</f>
        <v>0</v>
      </c>
      <c r="W2876" s="508">
        <f t="shared" si="2201"/>
        <v>0</v>
      </c>
      <c r="X2876" s="508">
        <f t="shared" si="2202"/>
        <v>0</v>
      </c>
      <c r="Y2876" s="509" t="b">
        <f t="shared" si="2203"/>
        <v>0</v>
      </c>
      <c r="Z2876" s="510">
        <f t="shared" si="2204"/>
        <v>0</v>
      </c>
      <c r="AA2876" s="511"/>
      <c r="AB2876" s="511" t="str">
        <f t="shared" si="2205"/>
        <v/>
      </c>
      <c r="AC2876" s="698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698"/>
      <c r="AE2876" s="631" t="str">
        <f t="shared" si="2206"/>
        <v/>
      </c>
      <c r="AF2876" s="699" t="str">
        <f t="shared" si="2207"/>
        <v/>
      </c>
      <c r="AG2876" s="699"/>
      <c r="AH2876" s="699"/>
      <c r="AI2876" s="512">
        <f>IF(H2876="credit",0,IF(AE2876="free",0,IF(AE2876="me",0,IF(G2876&gt;0,(VLOOKUP(A2876,'Discount Lookup'!J:K,2)*G2876),0))))</f>
        <v>0</v>
      </c>
      <c r="AJ2876" s="513" t="str">
        <f t="shared" ca="1" si="2208"/>
        <v/>
      </c>
      <c r="AK2876" s="700" t="str">
        <f t="shared" si="2209"/>
        <v/>
      </c>
      <c r="AL2876" s="700"/>
      <c r="AM2876" s="505" t="str">
        <f t="shared" si="2210"/>
        <v/>
      </c>
      <c r="AN2876" s="506"/>
      <c r="AO2876" s="507"/>
      <c r="AP2876" s="507"/>
      <c r="AQ2876" s="507"/>
      <c r="AR2876" s="507"/>
      <c r="AS2876" s="507"/>
      <c r="AT2876" s="507"/>
      <c r="AU2876" s="507"/>
      <c r="AV2876" s="225"/>
      <c r="AW2876" s="508"/>
      <c r="AX2876" s="225"/>
      <c r="AY2876" s="225"/>
      <c r="AZ2876" s="225"/>
      <c r="BA2876" s="225"/>
      <c r="BB2876" s="225"/>
      <c r="BC2876" s="56"/>
      <c r="BD2876" s="56"/>
      <c r="BE2876" s="56"/>
      <c r="BF2876" s="107" t="str">
        <f t="shared" si="2211"/>
        <v>https://www.google.com/search?tbm=isch&amp;q=3%20G6</v>
      </c>
      <c r="BG2876" s="107" t="str">
        <f t="shared" si="2212"/>
        <v>P</v>
      </c>
      <c r="BH2876" s="254"/>
      <c r="BI2876" s="254"/>
    </row>
    <row r="2877" spans="1:61" customFormat="1" ht="15.75" x14ac:dyDescent="0.25">
      <c r="A2877" s="276">
        <v>3</v>
      </c>
      <c r="B2877" s="240" t="s">
        <v>291</v>
      </c>
      <c r="C2877" s="241"/>
      <c r="D2877" s="242" t="s">
        <v>300</v>
      </c>
      <c r="E2877" s="243">
        <v>29.95</v>
      </c>
      <c r="F2877" s="517" t="s">
        <v>293</v>
      </c>
      <c r="G2877" s="232">
        <v>0</v>
      </c>
      <c r="H2877" s="661" t="str">
        <f t="shared" si="2232"/>
        <v/>
      </c>
      <c r="I2877" s="244">
        <f t="shared" si="2233"/>
        <v>0</v>
      </c>
      <c r="J2877" s="244">
        <f t="shared" si="2234"/>
        <v>0</v>
      </c>
      <c r="K2877" s="696">
        <f t="shared" ref="K2877" si="2241">I2877+J2877</f>
        <v>0</v>
      </c>
      <c r="L2877" s="696"/>
      <c r="M2877" s="659" t="str">
        <f t="shared" si="2236"/>
        <v/>
      </c>
      <c r="N2877" s="660"/>
      <c r="O2877" s="233"/>
      <c r="P2877" s="233"/>
      <c r="Q2877" s="233"/>
      <c r="R2877" s="233"/>
      <c r="S2877" s="233"/>
      <c r="T2877" s="508">
        <f t="shared" si="2200"/>
        <v>0</v>
      </c>
      <c r="U2877" s="225">
        <f>IF(NOT(ISNUMBER(G2877)), "", VLOOKUP(A2877,'Discount Lookup'!D:E,2,FALSE)*G2877)</f>
        <v>0</v>
      </c>
      <c r="V2877" s="225">
        <f>IF(NOT(ISNUMBER(G2877)), "", VLOOKUP(A2877,'Discount Lookup'!G:H,2,FALSE)*G2877)</f>
        <v>0</v>
      </c>
      <c r="W2877" s="508">
        <f t="shared" si="2201"/>
        <v>0</v>
      </c>
      <c r="X2877" s="508">
        <f t="shared" si="2202"/>
        <v>0</v>
      </c>
      <c r="Y2877" s="509" t="b">
        <f t="shared" si="2203"/>
        <v>0</v>
      </c>
      <c r="Z2877" s="510">
        <f t="shared" si="2204"/>
        <v>0</v>
      </c>
      <c r="AA2877" s="511"/>
      <c r="AB2877" s="511" t="str">
        <f t="shared" si="2205"/>
        <v/>
      </c>
      <c r="AC2877" s="698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698"/>
      <c r="AE2877" s="631" t="str">
        <f t="shared" si="2206"/>
        <v/>
      </c>
      <c r="AF2877" s="699" t="str">
        <f t="shared" si="2207"/>
        <v/>
      </c>
      <c r="AG2877" s="699"/>
      <c r="AH2877" s="699"/>
      <c r="AI2877" s="512">
        <f>IF(H2877="credit",0,IF(AE2877="free",0,IF(AE2877="me",0,IF(G2877&gt;0,(VLOOKUP(A2877,'Discount Lookup'!J:K,2)*G2877),0))))</f>
        <v>0</v>
      </c>
      <c r="AJ2877" s="513" t="str">
        <f t="shared" ca="1" si="2208"/>
        <v/>
      </c>
      <c r="AK2877" s="700" t="str">
        <f t="shared" si="2209"/>
        <v/>
      </c>
      <c r="AL2877" s="700"/>
      <c r="AM2877" s="505" t="str">
        <f t="shared" si="2210"/>
        <v/>
      </c>
      <c r="AN2877" s="506"/>
      <c r="AO2877" s="507"/>
      <c r="AP2877" s="507"/>
      <c r="AQ2877" s="507"/>
      <c r="AR2877" s="507"/>
      <c r="AS2877" s="507"/>
      <c r="AT2877" s="507"/>
      <c r="AU2877" s="507"/>
      <c r="AV2877" s="225"/>
      <c r="AW2877" s="508"/>
      <c r="AX2877" s="225"/>
      <c r="AY2877" s="225"/>
      <c r="AZ2877" s="225"/>
      <c r="BA2877" s="225"/>
      <c r="BB2877" s="225"/>
      <c r="BC2877" s="56"/>
      <c r="BD2877" s="56"/>
      <c r="BE2877" s="56"/>
      <c r="BF2877" s="107" t="str">
        <f t="shared" si="2211"/>
        <v>https://www.google.com/search?tbm=isch&amp;q=3%20G6</v>
      </c>
      <c r="BG2877" s="107" t="str">
        <f t="shared" si="2212"/>
        <v>P</v>
      </c>
      <c r="BH2877" s="254"/>
      <c r="BI2877" s="254"/>
    </row>
    <row r="2878" spans="1:61" customFormat="1" ht="17.25" thickBot="1" x14ac:dyDescent="0.3">
      <c r="A2878" s="524" t="s">
        <v>3940</v>
      </c>
      <c r="B2878" s="245"/>
      <c r="C2878" s="677"/>
      <c r="D2878" s="499"/>
      <c r="E2878" s="499"/>
      <c r="F2878" s="500"/>
      <c r="G2878" s="501"/>
      <c r="H2878" s="502"/>
      <c r="I2878" s="246"/>
      <c r="J2878" s="247"/>
      <c r="K2878" s="503"/>
      <c r="L2878" s="544"/>
      <c r="M2878" s="544"/>
      <c r="N2878" s="500"/>
      <c r="O2878" s="500"/>
      <c r="P2878" s="500"/>
      <c r="Q2878" s="500"/>
      <c r="R2878" s="500"/>
      <c r="S2878" s="669" t="s">
        <v>4996</v>
      </c>
      <c r="T2878" s="508">
        <f t="shared" si="2200"/>
        <v>0</v>
      </c>
      <c r="U2878" s="225" t="str">
        <f>IF(NOT(ISNUMBER(G2878)), "", VLOOKUP(A2878,'Discount Lookup'!D:E,2,FALSE)*G2878)</f>
        <v/>
      </c>
      <c r="V2878" s="225" t="str">
        <f>IF(NOT(ISNUMBER(G2878)), "", VLOOKUP(A2878,'Discount Lookup'!G:H,2,FALSE)*G2878)</f>
        <v/>
      </c>
      <c r="W2878" s="508">
        <f t="shared" si="2201"/>
        <v>0</v>
      </c>
      <c r="X2878" s="508">
        <f t="shared" si="2202"/>
        <v>0</v>
      </c>
      <c r="Y2878" s="509" t="b">
        <f t="shared" si="2203"/>
        <v>0</v>
      </c>
      <c r="Z2878" s="510">
        <f t="shared" si="2204"/>
        <v>0</v>
      </c>
      <c r="AA2878" s="511"/>
      <c r="AB2878" s="511" t="str">
        <f t="shared" si="2205"/>
        <v/>
      </c>
      <c r="AC2878" s="698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698"/>
      <c r="AE2878" s="631" t="str">
        <f t="shared" si="2206"/>
        <v/>
      </c>
      <c r="AF2878" s="699" t="str">
        <f t="shared" si="2207"/>
        <v/>
      </c>
      <c r="AG2878" s="699"/>
      <c r="AH2878" s="699"/>
      <c r="AI2878" s="512">
        <f>IF(H2878="credit",0,IF(AE2878="free",0,IF(AE2878="me",0,IF(G2878&gt;0,(VLOOKUP(A2878,'Discount Lookup'!J:K,2)*G2878),0))))</f>
        <v>0</v>
      </c>
      <c r="AJ2878" s="513" t="str">
        <f t="shared" ca="1" si="2208"/>
        <v/>
      </c>
      <c r="AK2878" s="700" t="str">
        <f t="shared" si="2209"/>
        <v/>
      </c>
      <c r="AL2878" s="700"/>
      <c r="AM2878" s="505" t="str">
        <f t="shared" si="2210"/>
        <v/>
      </c>
      <c r="AN2878" s="506"/>
      <c r="AO2878" s="507"/>
      <c r="AP2878" s="507"/>
      <c r="AQ2878" s="507"/>
      <c r="AR2878" s="507"/>
      <c r="AS2878" s="507"/>
      <c r="AT2878" s="507"/>
      <c r="AU2878" s="507"/>
      <c r="AV2878" s="225"/>
      <c r="AW2878" s="508"/>
      <c r="AX2878" s="225"/>
      <c r="AY2878" s="225"/>
      <c r="AZ2878" s="225"/>
      <c r="BA2878" s="225"/>
      <c r="BB2878" s="225"/>
      <c r="BC2878" s="56"/>
      <c r="BD2878" s="56"/>
      <c r="BE2878" s="56"/>
      <c r="BF2878" s="107" t="str">
        <f t="shared" si="2211"/>
        <v>https://www.google.com/search?tbm=isch&amp;q=Pink%20Muhly%20has%20thread-like%2C%20Dark%20Blue-Green%20foliage%2C%20supporting%20the%20blooms%20from%20September%20to%20November%20</v>
      </c>
      <c r="BG2878" s="107" t="str">
        <f t="shared" si="2212"/>
        <v>P</v>
      </c>
      <c r="BH2878" s="254"/>
      <c r="BI2878" s="254"/>
    </row>
    <row r="2879" spans="1:61" customFormat="1" ht="18" x14ac:dyDescent="0.25">
      <c r="A2879" s="523" t="s">
        <v>1528</v>
      </c>
      <c r="B2879" s="235"/>
      <c r="C2879" s="676"/>
      <c r="D2879" s="255" t="s">
        <v>1529</v>
      </c>
      <c r="E2879" s="236"/>
      <c r="F2879" s="236"/>
      <c r="G2879" s="236"/>
      <c r="H2879" s="582" t="s">
        <v>311</v>
      </c>
      <c r="I2879" s="498" t="s">
        <v>656</v>
      </c>
      <c r="J2879" s="237"/>
      <c r="K2879" s="237"/>
      <c r="L2879" s="274"/>
      <c r="M2879" s="668" t="s">
        <v>4975</v>
      </c>
      <c r="N2879" s="681" t="str">
        <f>IF(AND(ISTEXT($A2879), ISERROR($A2879+0)), HYPERLINK($BF2879, "Images"), "")</f>
        <v>Images</v>
      </c>
      <c r="O2879" s="663" t="s">
        <v>4974</v>
      </c>
      <c r="P2879" s="253"/>
      <c r="Q2879" s="238"/>
      <c r="R2879" s="239"/>
      <c r="S2879" s="275" t="s">
        <v>305</v>
      </c>
      <c r="T2879" s="508">
        <f t="shared" si="2200"/>
        <v>0</v>
      </c>
      <c r="U2879" s="225" t="str">
        <f>IF(NOT(ISNUMBER(G2879)), "", VLOOKUP(A2879,'Discount Lookup'!D:E,2,FALSE)*G2879)</f>
        <v/>
      </c>
      <c r="V2879" s="225" t="str">
        <f>IF(NOT(ISNUMBER(G2879)), "", VLOOKUP(A2879,'Discount Lookup'!G:H,2,FALSE)*G2879)</f>
        <v/>
      </c>
      <c r="W2879" s="508">
        <f t="shared" si="2201"/>
        <v>0</v>
      </c>
      <c r="X2879" s="508" t="str">
        <f t="shared" si="2202"/>
        <v>Pink bloom</v>
      </c>
      <c r="Y2879" s="509" t="b">
        <f t="shared" si="2203"/>
        <v>0</v>
      </c>
      <c r="Z2879" s="510">
        <f t="shared" si="2204"/>
        <v>0</v>
      </c>
      <c r="AA2879" s="511"/>
      <c r="AB2879" s="511" t="str">
        <f t="shared" si="2205"/>
        <v/>
      </c>
      <c r="AC2879" s="698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698"/>
      <c r="AE2879" s="631" t="str">
        <f t="shared" si="2206"/>
        <v/>
      </c>
      <c r="AF2879" s="699" t="str">
        <f t="shared" si="2207"/>
        <v/>
      </c>
      <c r="AG2879" s="699"/>
      <c r="AH2879" s="699"/>
      <c r="AI2879" s="512">
        <f>IF(H2879="credit",0,IF(AE2879="free",0,IF(AE2879="me",0,IF(G2879&gt;0,(VLOOKUP(A2879,'Discount Lookup'!J:K,2)*G2879),0))))</f>
        <v>0</v>
      </c>
      <c r="AJ2879" s="513" t="str">
        <f t="shared" ca="1" si="2208"/>
        <v/>
      </c>
      <c r="AK2879" s="700" t="str">
        <f t="shared" si="2209"/>
        <v/>
      </c>
      <c r="AL2879" s="700"/>
      <c r="AM2879" s="505" t="str">
        <f t="shared" si="2210"/>
        <v/>
      </c>
      <c r="AN2879" s="506"/>
      <c r="AO2879" s="507"/>
      <c r="AP2879" s="507"/>
      <c r="AQ2879" s="507"/>
      <c r="AR2879" s="507"/>
      <c r="AS2879" s="507"/>
      <c r="AT2879" s="507"/>
      <c r="AU2879" s="507"/>
      <c r="AV2879" s="225"/>
      <c r="AW2879" s="508"/>
      <c r="AX2879" s="225"/>
      <c r="AY2879" s="225"/>
      <c r="AZ2879" s="225"/>
      <c r="BA2879" s="225"/>
      <c r="BB2879" s="225"/>
      <c r="BC2879" s="56"/>
      <c r="BD2879" s="56"/>
      <c r="BE2879" s="56"/>
      <c r="BF2879" s="107" t="str">
        <f t="shared" si="2211"/>
        <v>https://www.google.com/search?tbm=isch&amp;q=Pink%20Pom%20Poms%20Redbud%20Cercis%20canadensis%20%27Pink%20Pom%20Poms%27%20PP%2327630</v>
      </c>
      <c r="BG2879" s="107" t="str">
        <f t="shared" si="2212"/>
        <v>P</v>
      </c>
      <c r="BH2879" s="254"/>
      <c r="BI2879" s="254"/>
    </row>
    <row r="2880" spans="1:61" customFormat="1" ht="15.75" x14ac:dyDescent="0.25">
      <c r="A2880" s="276">
        <v>10</v>
      </c>
      <c r="B2880" s="240" t="s">
        <v>291</v>
      </c>
      <c r="C2880" s="241" t="s">
        <v>4800</v>
      </c>
      <c r="D2880" s="242" t="s">
        <v>312</v>
      </c>
      <c r="E2880" s="243">
        <v>146.94999999999999</v>
      </c>
      <c r="F2880" s="517" t="s">
        <v>293</v>
      </c>
      <c r="G2880" s="232">
        <v>0</v>
      </c>
      <c r="H2880" s="661" t="str">
        <f>IF(G2880=0,"",IF(F2880="Buy",IF(G2880=1,"plant","plants"),IF(F2880&gt;0.01,"warranty","Error")))</f>
        <v/>
      </c>
      <c r="I2880" s="244">
        <f>IF(H2880="free",0,IF(H2880="credit",((E2880*(F2880))*G2880*-1),IF(F2880="Buy",(E2880*G2880),((E2880*(1-F2880))*G2880))))</f>
        <v>0</v>
      </c>
      <c r="J2880" s="244">
        <f>IF(H2880="warranty",0,(I2880*(_xlfn.SINGLE(SalesTaxPercentage))))</f>
        <v>0</v>
      </c>
      <c r="K2880" s="696">
        <f t="shared" ref="K2880" si="2242">I2880+J2880</f>
        <v>0</v>
      </c>
      <c r="L2880" s="696"/>
      <c r="M2880" s="659" t="str">
        <f>IF(AND(G2880&gt;0,E2880=0),"WARNING - no PRICE inserted",IF(H2880="free"," FREE ~ no charge this plant",IF(H2880="credit",CONCATENATE(" -$",ROUND(K2880*(1-T2GDiscount)*-1,2)," CREDIT after discount"),IF(T2GDiscount=0,"",IF(G2880=0,"",IF(F2880="Buy",CONCATENATE(" $",ROUND(K2880*(1-T2GDiscount),2)," with ",(T2GDiscount*100),"% discount"),CONCATENATE(" $",ROUND(K2880*(1-T2GDiscount),2)," with ",((T2GDiscount*100+F2880*100)-(T2GDiscount*100*F2880)),IF(F2880&gt;0,"% discounts",IF(NoWarrantyDiscount&gt;0,"% discounts","% discount")))))))))</f>
        <v/>
      </c>
      <c r="N2880" s="660"/>
      <c r="O2880" s="233"/>
      <c r="P2880" s="233"/>
      <c r="Q2880" s="233"/>
      <c r="R2880" s="233"/>
      <c r="S2880" s="233"/>
      <c r="T2880" s="508">
        <f t="shared" si="2200"/>
        <v>0</v>
      </c>
      <c r="U2880" s="225">
        <f>IF(NOT(ISNUMBER(G2880)), "", VLOOKUP(A2880,'Discount Lookup'!D:E,2,FALSE)*G2880)</f>
        <v>0</v>
      </c>
      <c r="V2880" s="225">
        <f>IF(NOT(ISNUMBER(G2880)), "", VLOOKUP(A2880,'Discount Lookup'!G:H,2,FALSE)*G2880)</f>
        <v>0</v>
      </c>
      <c r="W2880" s="508">
        <f t="shared" si="2201"/>
        <v>0</v>
      </c>
      <c r="X2880" s="508">
        <f t="shared" si="2202"/>
        <v>0</v>
      </c>
      <c r="Y2880" s="509" t="b">
        <f t="shared" si="2203"/>
        <v>0</v>
      </c>
      <c r="Z2880" s="510">
        <f t="shared" si="2204"/>
        <v>0</v>
      </c>
      <c r="AA2880" s="511"/>
      <c r="AB2880" s="511" t="str">
        <f t="shared" si="2205"/>
        <v/>
      </c>
      <c r="AC2880" s="698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698"/>
      <c r="AE2880" s="631" t="str">
        <f t="shared" si="2206"/>
        <v/>
      </c>
      <c r="AF2880" s="699" t="str">
        <f t="shared" si="2207"/>
        <v/>
      </c>
      <c r="AG2880" s="699"/>
      <c r="AH2880" s="699"/>
      <c r="AI2880" s="512">
        <f>IF(H2880="credit",0,IF(AE2880="free",0,IF(AE2880="me",0,IF(G2880&gt;0,(VLOOKUP(A2880,'Discount Lookup'!J:K,2)*G2880),0))))</f>
        <v>0</v>
      </c>
      <c r="AJ2880" s="513" t="str">
        <f t="shared" ca="1" si="2208"/>
        <v/>
      </c>
      <c r="AK2880" s="700" t="str">
        <f t="shared" si="2209"/>
        <v/>
      </c>
      <c r="AL2880" s="700"/>
      <c r="AM2880" s="505" t="str">
        <f t="shared" si="2210"/>
        <v/>
      </c>
      <c r="AN2880" s="506"/>
      <c r="AO2880" s="507"/>
      <c r="AP2880" s="507"/>
      <c r="AQ2880" s="507"/>
      <c r="AR2880" s="507"/>
      <c r="AS2880" s="507"/>
      <c r="AT2880" s="507"/>
      <c r="AU2880" s="507"/>
      <c r="AV2880" s="225"/>
      <c r="AW2880" s="508"/>
      <c r="AX2880" s="225"/>
      <c r="AY2880" s="225"/>
      <c r="AZ2880" s="225"/>
      <c r="BA2880" s="225"/>
      <c r="BB2880" s="225"/>
      <c r="BC2880" s="56"/>
      <c r="BD2880" s="56"/>
      <c r="BE2880" s="56"/>
      <c r="BF2880" s="107" t="str">
        <f t="shared" si="2211"/>
        <v>https://www.google.com/search?tbm=isch&amp;q=10%20G2</v>
      </c>
      <c r="BG2880" s="107" t="str">
        <f t="shared" si="2212"/>
        <v>P</v>
      </c>
      <c r="BH2880" s="254"/>
      <c r="BI2880" s="254"/>
    </row>
    <row r="2881" spans="1:61" customFormat="1" ht="17.25" thickBot="1" x14ac:dyDescent="0.3">
      <c r="A2881" s="524" t="s">
        <v>2453</v>
      </c>
      <c r="B2881" s="245"/>
      <c r="C2881" s="677"/>
      <c r="D2881" s="499"/>
      <c r="E2881" s="499"/>
      <c r="F2881" s="500"/>
      <c r="G2881" s="501"/>
      <c r="H2881" s="502"/>
      <c r="I2881" s="246"/>
      <c r="J2881" s="247"/>
      <c r="K2881" s="503"/>
      <c r="L2881" s="544"/>
      <c r="M2881" s="544"/>
      <c r="N2881" s="500"/>
      <c r="O2881" s="500"/>
      <c r="P2881" s="500"/>
      <c r="Q2881" s="500"/>
      <c r="R2881" s="500"/>
      <c r="S2881" s="669" t="s">
        <v>4976</v>
      </c>
      <c r="T2881" s="508">
        <f t="shared" si="2200"/>
        <v>0</v>
      </c>
      <c r="U2881" s="225" t="str">
        <f>IF(NOT(ISNUMBER(G2881)), "", VLOOKUP(A2881,'Discount Lookup'!D:E,2,FALSE)*G2881)</f>
        <v/>
      </c>
      <c r="V2881" s="225" t="str">
        <f>IF(NOT(ISNUMBER(G2881)), "", VLOOKUP(A2881,'Discount Lookup'!G:H,2,FALSE)*G2881)</f>
        <v/>
      </c>
      <c r="W2881" s="508">
        <f t="shared" si="2201"/>
        <v>0</v>
      </c>
      <c r="X2881" s="508">
        <f t="shared" si="2202"/>
        <v>0</v>
      </c>
      <c r="Y2881" s="509" t="b">
        <f t="shared" si="2203"/>
        <v>0</v>
      </c>
      <c r="Z2881" s="510">
        <f t="shared" si="2204"/>
        <v>0</v>
      </c>
      <c r="AA2881" s="511"/>
      <c r="AB2881" s="511" t="str">
        <f t="shared" si="2205"/>
        <v/>
      </c>
      <c r="AC2881" s="698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698"/>
      <c r="AE2881" s="631" t="str">
        <f t="shared" si="2206"/>
        <v/>
      </c>
      <c r="AF2881" s="699" t="str">
        <f t="shared" si="2207"/>
        <v/>
      </c>
      <c r="AG2881" s="699"/>
      <c r="AH2881" s="699"/>
      <c r="AI2881" s="512">
        <f>IF(H2881="credit",0,IF(AE2881="free",0,IF(AE2881="me",0,IF(G2881&gt;0,(VLOOKUP(A2881,'Discount Lookup'!J:K,2)*G2881),0))))</f>
        <v>0</v>
      </c>
      <c r="AJ2881" s="513" t="str">
        <f t="shared" ca="1" si="2208"/>
        <v/>
      </c>
      <c r="AK2881" s="700" t="str">
        <f t="shared" si="2209"/>
        <v/>
      </c>
      <c r="AL2881" s="700"/>
      <c r="AM2881" s="505" t="str">
        <f t="shared" si="2210"/>
        <v/>
      </c>
      <c r="AN2881" s="506"/>
      <c r="AO2881" s="507"/>
      <c r="AP2881" s="507"/>
      <c r="AQ2881" s="507"/>
      <c r="AR2881" s="507"/>
      <c r="AS2881" s="507"/>
      <c r="AT2881" s="507"/>
      <c r="AU2881" s="507"/>
      <c r="AV2881" s="225"/>
      <c r="AW2881" s="508"/>
      <c r="AX2881" s="225"/>
      <c r="AY2881" s="225"/>
      <c r="AZ2881" s="225"/>
      <c r="BA2881" s="225"/>
      <c r="BB2881" s="225"/>
      <c r="BC2881" s="56"/>
      <c r="BD2881" s="56"/>
      <c r="BE2881" s="56"/>
      <c r="BF2881" s="107" t="str">
        <f t="shared" si="2211"/>
        <v>https://www.google.com/search?tbm=isch&amp;q=Pink%20Pom%20Poms%20produces%20a%20heavy%20bloomset%20of%20double-pink%20flowers.%20Sterile%2C%20so%20no%20seed%20heads%20</v>
      </c>
      <c r="BG2881" s="107" t="str">
        <f t="shared" si="2212"/>
        <v>P</v>
      </c>
      <c r="BH2881" s="254"/>
      <c r="BI2881" s="254"/>
    </row>
    <row r="2882" spans="1:61" customFormat="1" ht="18" x14ac:dyDescent="0.25">
      <c r="A2882" s="521" t="s">
        <v>5616</v>
      </c>
      <c r="B2882" s="477"/>
      <c r="C2882" s="674"/>
      <c r="D2882" s="478" t="s">
        <v>1580</v>
      </c>
      <c r="E2882" s="479"/>
      <c r="F2882" s="479"/>
      <c r="G2882" s="479"/>
      <c r="H2882" s="582" t="s">
        <v>441</v>
      </c>
      <c r="I2882" s="480" t="s">
        <v>2616</v>
      </c>
      <c r="J2882" s="479"/>
      <c r="K2882" s="479"/>
      <c r="L2882" s="560"/>
      <c r="M2882" s="671" t="s">
        <v>4990</v>
      </c>
      <c r="N2882" s="680" t="str">
        <f>IF(AND(ISTEXT($A2882), ISERROR($A2882+0)), HYPERLINK($BF2882, "Images"), "")</f>
        <v>Images</v>
      </c>
      <c r="O2882" s="662" t="s">
        <v>4974</v>
      </c>
      <c r="P2882" s="482"/>
      <c r="Q2882" s="483"/>
      <c r="R2882" s="483"/>
      <c r="S2882" s="484"/>
      <c r="T2882" s="508">
        <f t="shared" si="2200"/>
        <v>0</v>
      </c>
      <c r="U2882" s="225" t="str">
        <f>IF(NOT(ISNUMBER(G2882)), "", VLOOKUP(A2882,'Discount Lookup'!D:E,2,FALSE)*G2882)</f>
        <v/>
      </c>
      <c r="V2882" s="225" t="str">
        <f>IF(NOT(ISNUMBER(G2882)), "", VLOOKUP(A2882,'Discount Lookup'!G:H,2,FALSE)*G2882)</f>
        <v/>
      </c>
      <c r="W2882" s="508">
        <f t="shared" si="2201"/>
        <v>0</v>
      </c>
      <c r="X2882" s="508" t="str">
        <f t="shared" si="2202"/>
        <v>Soft Pink, darker spotting</v>
      </c>
      <c r="Y2882" s="509" t="b">
        <f t="shared" si="2203"/>
        <v>0</v>
      </c>
      <c r="Z2882" s="510">
        <f t="shared" si="2204"/>
        <v>0</v>
      </c>
      <c r="AA2882" s="511"/>
      <c r="AB2882" s="511" t="str">
        <f t="shared" si="2205"/>
        <v/>
      </c>
      <c r="AC2882" s="698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698"/>
      <c r="AE2882" s="631" t="str">
        <f t="shared" si="2206"/>
        <v/>
      </c>
      <c r="AF2882" s="699" t="str">
        <f t="shared" si="2207"/>
        <v/>
      </c>
      <c r="AG2882" s="699"/>
      <c r="AH2882" s="699"/>
      <c r="AI2882" s="512">
        <f>IF(H2882="credit",0,IF(AE2882="free",0,IF(AE2882="me",0,IF(G2882&gt;0,(VLOOKUP(A2882,'Discount Lookup'!J:K,2)*G2882),0))))</f>
        <v>0</v>
      </c>
      <c r="AJ2882" s="513" t="str">
        <f t="shared" ca="1" si="2208"/>
        <v/>
      </c>
      <c r="AK2882" s="700" t="str">
        <f t="shared" si="2209"/>
        <v/>
      </c>
      <c r="AL2882" s="700"/>
      <c r="AM2882" s="505" t="str">
        <f t="shared" si="2210"/>
        <v/>
      </c>
      <c r="AN2882" s="506"/>
      <c r="AO2882" s="507"/>
      <c r="AP2882" s="507"/>
      <c r="AQ2882" s="507"/>
      <c r="AR2882" s="507"/>
      <c r="AS2882" s="507"/>
      <c r="AT2882" s="507"/>
      <c r="AU2882" s="507"/>
      <c r="AV2882" s="225"/>
      <c r="AW2882" s="508"/>
      <c r="AX2882" s="225"/>
      <c r="AY2882" s="225"/>
      <c r="AZ2882" s="225"/>
      <c r="BA2882" s="225"/>
      <c r="BB2882" s="225"/>
      <c r="BC2882" s="56"/>
      <c r="BD2882" s="56"/>
      <c r="BE2882" s="56"/>
      <c r="BF2882" s="107" t="str">
        <f t="shared" si="2211"/>
        <v>https://www.google.com/search?tbm=isch&amp;q=Pink%20Ruffles%20Azalea%20%28PW%C2%AE%29%20Rhod.%20%27Pink%20Ruffles%27</v>
      </c>
      <c r="BG2882" s="107" t="str">
        <f t="shared" si="2212"/>
        <v>P</v>
      </c>
      <c r="BH2882" s="254"/>
      <c r="BI2882" s="254"/>
    </row>
    <row r="2883" spans="1:61" customFormat="1" ht="15.75" x14ac:dyDescent="0.25">
      <c r="A2883" s="485">
        <v>3</v>
      </c>
      <c r="B2883" s="486" t="s">
        <v>291</v>
      </c>
      <c r="C2883" s="487" t="s">
        <v>1581</v>
      </c>
      <c r="D2883" s="488" t="s">
        <v>297</v>
      </c>
      <c r="E2883" s="489">
        <v>22.95</v>
      </c>
      <c r="F2883" s="516" t="s">
        <v>293</v>
      </c>
      <c r="G2883" s="232">
        <v>0</v>
      </c>
      <c r="H2883" s="658" t="str">
        <f>IF(G2883=0,"",IF(F2883="Buy",IF(G2883=1,"plant","plants"),IF(F2883&gt;0.01,"warranty","Error")))</f>
        <v/>
      </c>
      <c r="I2883" s="490">
        <f>IF(H2883="free",0,IF(H2883="credit",((E2883*(F2883))*G2883*-1),IF(F2883="Buy",(E2883*G2883),((E2883*(1-F2883))*G2883))))</f>
        <v>0</v>
      </c>
      <c r="J2883" s="490">
        <f>IF(H2883="warranty",0,(I2883*(_xlfn.SINGLE(SalesTaxPercentage))))</f>
        <v>0</v>
      </c>
      <c r="K2883" s="695">
        <f t="shared" ref="K2883" si="2243">I2883+J2883</f>
        <v>0</v>
      </c>
      <c r="L2883" s="695"/>
      <c r="M2883" s="659" t="str">
        <f>IF(AND(G2883&gt;0,E2883=0),"WARNING - no PRICE inserted",IF(H2883="free"," FREE ~ no charge this plant",IF(H2883="credit",CONCATENATE(" -$",ROUND(K2883*(1-T2GDiscount)*-1,2)," CREDIT after discount"),IF(T2GDiscount=0,"",IF(G2883=0,"",IF(F2883="Buy",CONCATENATE(" $",ROUND(K2883*(1-T2GDiscount),2)," with ",(T2GDiscount*100),"% discount"),CONCATENATE(" $",ROUND(K2883*(1-T2GDiscount),2)," with ",((T2GDiscount*100+F2883*100)-(T2GDiscount*100*F2883)),IF(F2883&gt;0,"% discounts",IF(NoWarrantyDiscount&gt;0,"% discounts","% discount")))))))))</f>
        <v/>
      </c>
      <c r="N2883" s="660"/>
      <c r="O2883" s="233"/>
      <c r="P2883" s="233"/>
      <c r="Q2883" s="233"/>
      <c r="R2883" s="233"/>
      <c r="S2883" s="233"/>
      <c r="T2883" s="508">
        <f t="shared" si="2200"/>
        <v>0</v>
      </c>
      <c r="U2883" s="225">
        <f>IF(NOT(ISNUMBER(G2883)), "", VLOOKUP(A2883,'Discount Lookup'!D:E,2,FALSE)*G2883)</f>
        <v>0</v>
      </c>
      <c r="V2883" s="225">
        <f>IF(NOT(ISNUMBER(G2883)), "", VLOOKUP(A2883,'Discount Lookup'!G:H,2,FALSE)*G2883)</f>
        <v>0</v>
      </c>
      <c r="W2883" s="508">
        <f t="shared" si="2201"/>
        <v>0</v>
      </c>
      <c r="X2883" s="508">
        <f t="shared" si="2202"/>
        <v>0</v>
      </c>
      <c r="Y2883" s="509" t="b">
        <f t="shared" si="2203"/>
        <v>0</v>
      </c>
      <c r="Z2883" s="510">
        <f t="shared" si="2204"/>
        <v>0</v>
      </c>
      <c r="AA2883" s="511"/>
      <c r="AB2883" s="511" t="str">
        <f t="shared" si="2205"/>
        <v/>
      </c>
      <c r="AC2883" s="698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698"/>
      <c r="AE2883" s="631" t="str">
        <f t="shared" si="2206"/>
        <v/>
      </c>
      <c r="AF2883" s="699" t="str">
        <f t="shared" si="2207"/>
        <v/>
      </c>
      <c r="AG2883" s="699"/>
      <c r="AH2883" s="699"/>
      <c r="AI2883" s="512">
        <f>IF(H2883="credit",0,IF(AE2883="free",0,IF(AE2883="me",0,IF(G2883&gt;0,(VLOOKUP(A2883,'Discount Lookup'!J:K,2)*G2883),0))))</f>
        <v>0</v>
      </c>
      <c r="AJ2883" s="513" t="str">
        <f t="shared" ca="1" si="2208"/>
        <v/>
      </c>
      <c r="AK2883" s="700" t="str">
        <f t="shared" si="2209"/>
        <v/>
      </c>
      <c r="AL2883" s="700"/>
      <c r="AM2883" s="505" t="str">
        <f t="shared" si="2210"/>
        <v/>
      </c>
      <c r="AN2883" s="506"/>
      <c r="AO2883" s="507"/>
      <c r="AP2883" s="507"/>
      <c r="AQ2883" s="507"/>
      <c r="AR2883" s="507"/>
      <c r="AS2883" s="507"/>
      <c r="AT2883" s="507"/>
      <c r="AU2883" s="507"/>
      <c r="AV2883" s="225"/>
      <c r="AW2883" s="508"/>
      <c r="AX2883" s="225"/>
      <c r="AY2883" s="225"/>
      <c r="AZ2883" s="225"/>
      <c r="BA2883" s="225"/>
      <c r="BB2883" s="225"/>
      <c r="BC2883" s="56"/>
      <c r="BD2883" s="56"/>
      <c r="BE2883" s="56"/>
      <c r="BF2883" s="107" t="str">
        <f t="shared" si="2211"/>
        <v>https://www.google.com/search?tbm=isch&amp;q=3%20G3</v>
      </c>
      <c r="BG2883" s="107" t="str">
        <f t="shared" si="2212"/>
        <v>P</v>
      </c>
      <c r="BH2883" s="254"/>
      <c r="BI2883" s="254"/>
    </row>
    <row r="2884" spans="1:61" customFormat="1" ht="17.25" thickBot="1" x14ac:dyDescent="0.3">
      <c r="A2884" s="522" t="s">
        <v>2617</v>
      </c>
      <c r="B2884" s="491"/>
      <c r="C2884" s="675"/>
      <c r="D2884" s="491"/>
      <c r="E2884" s="491"/>
      <c r="F2884" s="492"/>
      <c r="G2884" s="493"/>
      <c r="H2884" s="491"/>
      <c r="I2884" s="234"/>
      <c r="J2884" s="234"/>
      <c r="K2884" s="494"/>
      <c r="L2884" s="543"/>
      <c r="M2884" s="561"/>
      <c r="N2884" s="495"/>
      <c r="O2884" s="496"/>
      <c r="P2884" s="497"/>
      <c r="Q2884" s="495"/>
      <c r="R2884" s="495"/>
      <c r="S2884" s="667" t="s">
        <v>4988</v>
      </c>
      <c r="T2884" s="508">
        <f t="shared" si="2200"/>
        <v>0</v>
      </c>
      <c r="U2884" s="225" t="str">
        <f>IF(NOT(ISNUMBER(G2884)), "", VLOOKUP(A2884,'Discount Lookup'!D:E,2,FALSE)*G2884)</f>
        <v/>
      </c>
      <c r="V2884" s="225" t="str">
        <f>IF(NOT(ISNUMBER(G2884)), "", VLOOKUP(A2884,'Discount Lookup'!G:H,2,FALSE)*G2884)</f>
        <v/>
      </c>
      <c r="W2884" s="508">
        <f t="shared" si="2201"/>
        <v>0</v>
      </c>
      <c r="X2884" s="508">
        <f t="shared" si="2202"/>
        <v>0</v>
      </c>
      <c r="Y2884" s="509" t="b">
        <f t="shared" si="2203"/>
        <v>0</v>
      </c>
      <c r="Z2884" s="510">
        <f t="shared" si="2204"/>
        <v>0</v>
      </c>
      <c r="AA2884" s="511"/>
      <c r="AB2884" s="511" t="str">
        <f t="shared" si="2205"/>
        <v/>
      </c>
      <c r="AC2884" s="698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698"/>
      <c r="AE2884" s="631" t="str">
        <f t="shared" si="2206"/>
        <v/>
      </c>
      <c r="AF2884" s="699" t="str">
        <f t="shared" si="2207"/>
        <v/>
      </c>
      <c r="AG2884" s="699"/>
      <c r="AH2884" s="699"/>
      <c r="AI2884" s="512">
        <f>IF(H2884="credit",0,IF(AE2884="free",0,IF(AE2884="me",0,IF(G2884&gt;0,(VLOOKUP(A2884,'Discount Lookup'!J:K,2)*G2884),0))))</f>
        <v>0</v>
      </c>
      <c r="AJ2884" s="513" t="str">
        <f t="shared" ca="1" si="2208"/>
        <v/>
      </c>
      <c r="AK2884" s="700" t="str">
        <f t="shared" si="2209"/>
        <v/>
      </c>
      <c r="AL2884" s="700"/>
      <c r="AM2884" s="505" t="str">
        <f t="shared" si="2210"/>
        <v/>
      </c>
      <c r="AN2884" s="506"/>
      <c r="AO2884" s="507"/>
      <c r="AP2884" s="507"/>
      <c r="AQ2884" s="507"/>
      <c r="AR2884" s="507"/>
      <c r="AS2884" s="507"/>
      <c r="AT2884" s="507"/>
      <c r="AU2884" s="507"/>
      <c r="AV2884" s="225"/>
      <c r="AW2884" s="508"/>
      <c r="AX2884" s="225"/>
      <c r="AY2884" s="225"/>
      <c r="AZ2884" s="225"/>
      <c r="BA2884" s="225"/>
      <c r="BB2884" s="225"/>
      <c r="BC2884" s="56"/>
      <c r="BD2884" s="56"/>
      <c r="BE2884" s="56"/>
      <c r="BF2884" s="107" t="str">
        <f t="shared" si="2211"/>
        <v>https://www.google.com/search?tbm=isch&amp;q=Pink%20Ruffles%20puts%20out%20ruffled%20spring%20flowers%2C%20plus%20a%20limited%20repeat%20in%20the%20fall.%20Upright%20habit%20</v>
      </c>
      <c r="BG2884" s="107" t="str">
        <f t="shared" si="2212"/>
        <v>P</v>
      </c>
      <c r="BH2884" s="254"/>
      <c r="BI2884" s="254"/>
    </row>
    <row r="2885" spans="1:61" customFormat="1" ht="18" x14ac:dyDescent="0.25">
      <c r="A2885" s="523" t="s">
        <v>5493</v>
      </c>
      <c r="B2885" s="235"/>
      <c r="C2885" s="676"/>
      <c r="D2885" s="255" t="s">
        <v>1530</v>
      </c>
      <c r="E2885" s="236"/>
      <c r="F2885" s="236"/>
      <c r="G2885" s="236"/>
      <c r="H2885" s="582" t="s">
        <v>769</v>
      </c>
      <c r="I2885" s="498" t="s">
        <v>1531</v>
      </c>
      <c r="J2885" s="237"/>
      <c r="K2885" s="237"/>
      <c r="L2885" s="274"/>
      <c r="M2885" s="668" t="s">
        <v>4962</v>
      </c>
      <c r="N2885" s="681" t="str">
        <f>IF(AND(ISTEXT($A2885), ISERROR($A2885+0)), HYPERLINK($BF2885, "Images"), "")</f>
        <v>Images</v>
      </c>
      <c r="O2885" s="663" t="s">
        <v>4967</v>
      </c>
      <c r="P2885" s="253"/>
      <c r="Q2885" s="238"/>
      <c r="R2885" s="239"/>
      <c r="S2885" s="275"/>
      <c r="T2885" s="508">
        <f t="shared" si="2200"/>
        <v>0</v>
      </c>
      <c r="U2885" s="225" t="str">
        <f>IF(NOT(ISNUMBER(G2885)), "", VLOOKUP(A2885,'Discount Lookup'!D:E,2,FALSE)*G2885)</f>
        <v/>
      </c>
      <c r="V2885" s="225" t="str">
        <f>IF(NOT(ISNUMBER(G2885)), "", VLOOKUP(A2885,'Discount Lookup'!G:H,2,FALSE)*G2885)</f>
        <v/>
      </c>
      <c r="W2885" s="508">
        <f t="shared" si="2201"/>
        <v>0</v>
      </c>
      <c r="X2885" s="508" t="str">
        <f t="shared" si="2202"/>
        <v>Magenta Pink bloom</v>
      </c>
      <c r="Y2885" s="509" t="b">
        <f t="shared" si="2203"/>
        <v>0</v>
      </c>
      <c r="Z2885" s="510">
        <f t="shared" si="2204"/>
        <v>0</v>
      </c>
      <c r="AA2885" s="511"/>
      <c r="AB2885" s="511" t="str">
        <f t="shared" si="2205"/>
        <v/>
      </c>
      <c r="AC2885" s="698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698"/>
      <c r="AE2885" s="631" t="str">
        <f t="shared" si="2206"/>
        <v/>
      </c>
      <c r="AF2885" s="699" t="str">
        <f t="shared" si="2207"/>
        <v/>
      </c>
      <c r="AG2885" s="699"/>
      <c r="AH2885" s="699"/>
      <c r="AI2885" s="512">
        <f>IF(H2885="credit",0,IF(AE2885="free",0,IF(AE2885="me",0,IF(G2885&gt;0,(VLOOKUP(A2885,'Discount Lookup'!J:K,2)*G2885),0))))</f>
        <v>0</v>
      </c>
      <c r="AJ2885" s="513" t="str">
        <f t="shared" ca="1" si="2208"/>
        <v/>
      </c>
      <c r="AK2885" s="700" t="str">
        <f t="shared" si="2209"/>
        <v/>
      </c>
      <c r="AL2885" s="700"/>
      <c r="AM2885" s="505" t="str">
        <f t="shared" si="2210"/>
        <v/>
      </c>
      <c r="AN2885" s="506"/>
      <c r="AO2885" s="507"/>
      <c r="AP2885" s="507"/>
      <c r="AQ2885" s="507"/>
      <c r="AR2885" s="507"/>
      <c r="AS2885" s="507"/>
      <c r="AT2885" s="507"/>
      <c r="AU2885" s="507"/>
      <c r="AV2885" s="225"/>
      <c r="AW2885" s="508"/>
      <c r="AX2885" s="225"/>
      <c r="AY2885" s="225"/>
      <c r="AZ2885" s="225"/>
      <c r="BA2885" s="225"/>
      <c r="BB2885" s="225"/>
      <c r="BC2885" s="56"/>
      <c r="BD2885" s="56"/>
      <c r="BE2885" s="56"/>
      <c r="BF2885" s="107" t="str">
        <f t="shared" si="2211"/>
        <v>https://www.google.com/search?tbm=isch&amp;q=Pink%20Velour%C2%AE%20Crape%20Myrtle%20Lagerstroemia%20indica%20%27Whit%20III%27%20PP%2310319</v>
      </c>
      <c r="BG2885" s="107" t="str">
        <f t="shared" si="2212"/>
        <v>P</v>
      </c>
      <c r="BH2885" s="254"/>
      <c r="BI2885" s="254"/>
    </row>
    <row r="2886" spans="1:61" customFormat="1" ht="40.5" x14ac:dyDescent="0.25">
      <c r="A2886" s="276">
        <v>7</v>
      </c>
      <c r="B2886" s="240" t="s">
        <v>291</v>
      </c>
      <c r="C2886" s="241" t="s">
        <v>3696</v>
      </c>
      <c r="D2886" s="242" t="s">
        <v>292</v>
      </c>
      <c r="E2886" s="243">
        <v>123.95</v>
      </c>
      <c r="F2886" s="517" t="s">
        <v>293</v>
      </c>
      <c r="G2886" s="232">
        <v>0</v>
      </c>
      <c r="H2886" s="661" t="str">
        <f>IF(G2886=0,"",IF(F2886="Buy",IF(G2886=1,"plant","plants"),IF(F2886&gt;0.01,"warranty","Error")))</f>
        <v/>
      </c>
      <c r="I2886" s="244">
        <f>IF(H2886="free",0,IF(H2886="credit",((E2886*(F2886))*G2886*-1),IF(F2886="Buy",(E2886*G2886),((E2886*(1-F2886))*G2886))))</f>
        <v>0</v>
      </c>
      <c r="J2886" s="244">
        <f>IF(H2886="warranty",0,(I2886*(_xlfn.SINGLE(SalesTaxPercentage))))</f>
        <v>0</v>
      </c>
      <c r="K2886" s="696">
        <f t="shared" ref="K2886" si="2244">I2886+J2886</f>
        <v>0</v>
      </c>
      <c r="L2886" s="696"/>
      <c r="M2886" s="659" t="str">
        <f>IF(AND(G2886&gt;0,E2886=0),"WARNING - no PRICE inserted",IF(H2886="free"," FREE ~ no charge this plant",IF(H2886="credit",CONCATENATE(" -$",ROUND(K2886*(1-T2GDiscount)*-1,2)," CREDIT after discount"),IF(T2GDiscount=0,"",IF(G2886=0,"",IF(F2886="Buy",CONCATENATE(" $",ROUND(K2886*(1-T2GDiscount),2)," with ",(T2GDiscount*100),"% discount"),CONCATENATE(" $",ROUND(K2886*(1-T2GDiscount),2)," with ",((T2GDiscount*100+F2886*100)-(T2GDiscount*100*F2886)),IF(F2886&gt;0,"% discounts",IF(NoWarrantyDiscount&gt;0,"% discounts","% discount")))))))))</f>
        <v/>
      </c>
      <c r="N2886" s="660"/>
      <c r="O2886" s="233"/>
      <c r="P2886" s="233"/>
      <c r="Q2886" s="233"/>
      <c r="R2886" s="233"/>
      <c r="S2886" s="233"/>
      <c r="T2886" s="508">
        <f t="shared" si="2200"/>
        <v>0</v>
      </c>
      <c r="U2886" s="225">
        <f>IF(NOT(ISNUMBER(G2886)), "", VLOOKUP(A2886,'Discount Lookup'!D:E,2,FALSE)*G2886)</f>
        <v>0</v>
      </c>
      <c r="V2886" s="225">
        <f>IF(NOT(ISNUMBER(G2886)), "", VLOOKUP(A2886,'Discount Lookup'!G:H,2,FALSE)*G2886)</f>
        <v>0</v>
      </c>
      <c r="W2886" s="508">
        <f t="shared" si="2201"/>
        <v>0</v>
      </c>
      <c r="X2886" s="508">
        <f t="shared" si="2202"/>
        <v>0</v>
      </c>
      <c r="Y2886" s="509" t="b">
        <f t="shared" si="2203"/>
        <v>0</v>
      </c>
      <c r="Z2886" s="510">
        <f t="shared" si="2204"/>
        <v>0</v>
      </c>
      <c r="AA2886" s="511"/>
      <c r="AB2886" s="511" t="str">
        <f t="shared" si="2205"/>
        <v/>
      </c>
      <c r="AC2886" s="698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698"/>
      <c r="AE2886" s="631" t="str">
        <f t="shared" si="2206"/>
        <v/>
      </c>
      <c r="AF2886" s="699" t="str">
        <f t="shared" si="2207"/>
        <v/>
      </c>
      <c r="AG2886" s="699"/>
      <c r="AH2886" s="699"/>
      <c r="AI2886" s="512">
        <f>IF(H2886="credit",0,IF(AE2886="free",0,IF(AE2886="me",0,IF(G2886&gt;0,(VLOOKUP(A2886,'Discount Lookup'!J:K,2)*G2886),0))))</f>
        <v>0</v>
      </c>
      <c r="AJ2886" s="513" t="str">
        <f t="shared" ca="1" si="2208"/>
        <v/>
      </c>
      <c r="AK2886" s="700" t="str">
        <f t="shared" si="2209"/>
        <v/>
      </c>
      <c r="AL2886" s="700"/>
      <c r="AM2886" s="505" t="str">
        <f t="shared" si="2210"/>
        <v/>
      </c>
      <c r="AN2886" s="506"/>
      <c r="AO2886" s="507"/>
      <c r="AP2886" s="507"/>
      <c r="AQ2886" s="507"/>
      <c r="AR2886" s="507"/>
      <c r="AS2886" s="507"/>
      <c r="AT2886" s="507"/>
      <c r="AU2886" s="507"/>
      <c r="AV2886" s="225"/>
      <c r="AW2886" s="508"/>
      <c r="AX2886" s="225"/>
      <c r="AY2886" s="225"/>
      <c r="AZ2886" s="225"/>
      <c r="BA2886" s="225"/>
      <c r="BB2886" s="225"/>
      <c r="BC2886" s="56"/>
      <c r="BD2886" s="56"/>
      <c r="BE2886" s="56"/>
      <c r="BF2886" s="107" t="str">
        <f t="shared" si="2211"/>
        <v>https://www.google.com/search?tbm=isch&amp;q=7%20G4</v>
      </c>
      <c r="BG2886" s="107" t="str">
        <f t="shared" si="2212"/>
        <v>P</v>
      </c>
      <c r="BH2886" s="254"/>
      <c r="BI2886" s="254"/>
    </row>
    <row r="2887" spans="1:61" customFormat="1" ht="40.5" x14ac:dyDescent="0.25">
      <c r="A2887" s="276">
        <v>15</v>
      </c>
      <c r="B2887" s="240" t="s">
        <v>291</v>
      </c>
      <c r="C2887" s="241" t="s">
        <v>3697</v>
      </c>
      <c r="D2887" s="242" t="s">
        <v>292</v>
      </c>
      <c r="E2887" s="243">
        <v>224.95</v>
      </c>
      <c r="F2887" s="517" t="s">
        <v>293</v>
      </c>
      <c r="G2887" s="232">
        <v>0</v>
      </c>
      <c r="H2887" s="661" t="str">
        <f>IF(G2887=0,"",IF(F2887="Buy",IF(G2887=1,"plant","plants"),IF(F2887&gt;0.01,"warranty","Error")))</f>
        <v/>
      </c>
      <c r="I2887" s="244">
        <f>IF(H2887="free",0,IF(H2887="credit",((E2887*(F2887))*G2887*-1),IF(F2887="Buy",(E2887*G2887),((E2887*(1-F2887))*G2887))))</f>
        <v>0</v>
      </c>
      <c r="J2887" s="244">
        <f>IF(H2887="warranty",0,(I2887*(_xlfn.SINGLE(SalesTaxPercentage))))</f>
        <v>0</v>
      </c>
      <c r="K2887" s="696">
        <f t="shared" ref="K2887" si="2245">I2887+J2887</f>
        <v>0</v>
      </c>
      <c r="L2887" s="696"/>
      <c r="M2887" s="659" t="str">
        <f>IF(AND(G2887&gt;0,E2887=0),"WARNING - no PRICE inserted",IF(H2887="free"," FREE ~ no charge this plant",IF(H2887="credit",CONCATENATE(" -$",ROUND(K2887*(1-T2GDiscount)*-1,2)," CREDIT after discount"),IF(T2GDiscount=0,"",IF(G2887=0,"",IF(F2887="Buy",CONCATENATE(" $",ROUND(K2887*(1-T2GDiscount),2)," with ",(T2GDiscount*100),"% discount"),CONCATENATE(" $",ROUND(K2887*(1-T2GDiscount),2)," with ",((T2GDiscount*100+F2887*100)-(T2GDiscount*100*F2887)),IF(F2887&gt;0,"% discounts",IF(NoWarrantyDiscount&gt;0,"% discounts","% discount")))))))))</f>
        <v/>
      </c>
      <c r="N2887" s="660"/>
      <c r="O2887" s="233"/>
      <c r="P2887" s="233"/>
      <c r="Q2887" s="233"/>
      <c r="R2887" s="233"/>
      <c r="S2887" s="233"/>
      <c r="T2887" s="508">
        <f t="shared" si="2200"/>
        <v>0</v>
      </c>
      <c r="U2887" s="225">
        <f>IF(NOT(ISNUMBER(G2887)), "", VLOOKUP(A2887,'Discount Lookup'!D:E,2,FALSE)*G2887)</f>
        <v>0</v>
      </c>
      <c r="V2887" s="225">
        <f>IF(NOT(ISNUMBER(G2887)), "", VLOOKUP(A2887,'Discount Lookup'!G:H,2,FALSE)*G2887)</f>
        <v>0</v>
      </c>
      <c r="W2887" s="508">
        <f t="shared" si="2201"/>
        <v>0</v>
      </c>
      <c r="X2887" s="508">
        <f t="shared" si="2202"/>
        <v>0</v>
      </c>
      <c r="Y2887" s="509" t="b">
        <f t="shared" si="2203"/>
        <v>0</v>
      </c>
      <c r="Z2887" s="510">
        <f t="shared" si="2204"/>
        <v>0</v>
      </c>
      <c r="AA2887" s="511"/>
      <c r="AB2887" s="511" t="str">
        <f t="shared" si="2205"/>
        <v/>
      </c>
      <c r="AC2887" s="698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698"/>
      <c r="AE2887" s="631" t="str">
        <f t="shared" si="2206"/>
        <v/>
      </c>
      <c r="AF2887" s="699" t="str">
        <f t="shared" si="2207"/>
        <v/>
      </c>
      <c r="AG2887" s="699"/>
      <c r="AH2887" s="699"/>
      <c r="AI2887" s="512">
        <f>IF(H2887="credit",0,IF(AE2887="free",0,IF(AE2887="me",0,IF(G2887&gt;0,(VLOOKUP(A2887,'Discount Lookup'!J:K,2)*G2887),0))))</f>
        <v>0</v>
      </c>
      <c r="AJ2887" s="513" t="str">
        <f t="shared" ca="1" si="2208"/>
        <v/>
      </c>
      <c r="AK2887" s="700" t="str">
        <f t="shared" si="2209"/>
        <v/>
      </c>
      <c r="AL2887" s="700"/>
      <c r="AM2887" s="505" t="str">
        <f t="shared" si="2210"/>
        <v/>
      </c>
      <c r="AN2887" s="506"/>
      <c r="AO2887" s="507"/>
      <c r="AP2887" s="507"/>
      <c r="AQ2887" s="507"/>
      <c r="AR2887" s="507"/>
      <c r="AS2887" s="507"/>
      <c r="AT2887" s="507"/>
      <c r="AU2887" s="507"/>
      <c r="AV2887" s="225"/>
      <c r="AW2887" s="508"/>
      <c r="AX2887" s="225"/>
      <c r="AY2887" s="225"/>
      <c r="AZ2887" s="225"/>
      <c r="BA2887" s="225"/>
      <c r="BB2887" s="225"/>
      <c r="BC2887" s="56"/>
      <c r="BD2887" s="56"/>
      <c r="BE2887" s="56"/>
      <c r="BF2887" s="107" t="str">
        <f t="shared" si="2211"/>
        <v>https://www.google.com/search?tbm=isch&amp;q=15%20G4</v>
      </c>
      <c r="BG2887" s="107" t="str">
        <f t="shared" si="2212"/>
        <v>P</v>
      </c>
      <c r="BH2887" s="254"/>
      <c r="BI2887" s="254"/>
    </row>
    <row r="2888" spans="1:61" customFormat="1" ht="17.25" thickBot="1" x14ac:dyDescent="0.3">
      <c r="A2888" s="524" t="s">
        <v>2741</v>
      </c>
      <c r="B2888" s="245"/>
      <c r="C2888" s="677"/>
      <c r="D2888" s="499"/>
      <c r="E2888" s="499"/>
      <c r="F2888" s="500"/>
      <c r="G2888" s="501"/>
      <c r="H2888" s="502"/>
      <c r="I2888" s="246"/>
      <c r="J2888" s="247"/>
      <c r="K2888" s="503"/>
      <c r="L2888" s="544"/>
      <c r="M2888" s="544"/>
      <c r="N2888" s="500"/>
      <c r="O2888" s="500"/>
      <c r="P2888" s="500"/>
      <c r="Q2888" s="500"/>
      <c r="R2888" s="500"/>
      <c r="S2888" s="278"/>
      <c r="T2888" s="508">
        <f t="shared" si="2200"/>
        <v>0</v>
      </c>
      <c r="U2888" s="225" t="str">
        <f>IF(NOT(ISNUMBER(G2888)), "", VLOOKUP(A2888,'Discount Lookup'!D:E,2,FALSE)*G2888)</f>
        <v/>
      </c>
      <c r="V2888" s="225" t="str">
        <f>IF(NOT(ISNUMBER(G2888)), "", VLOOKUP(A2888,'Discount Lookup'!G:H,2,FALSE)*G2888)</f>
        <v/>
      </c>
      <c r="W2888" s="508">
        <f t="shared" si="2201"/>
        <v>0</v>
      </c>
      <c r="X2888" s="508">
        <f t="shared" si="2202"/>
        <v>0</v>
      </c>
      <c r="Y2888" s="509" t="b">
        <f t="shared" si="2203"/>
        <v>0</v>
      </c>
      <c r="Z2888" s="510">
        <f t="shared" si="2204"/>
        <v>0</v>
      </c>
      <c r="AA2888" s="511"/>
      <c r="AB2888" s="511" t="str">
        <f t="shared" si="2205"/>
        <v/>
      </c>
      <c r="AC2888" s="698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698"/>
      <c r="AE2888" s="631" t="str">
        <f t="shared" si="2206"/>
        <v/>
      </c>
      <c r="AF2888" s="699" t="str">
        <f t="shared" si="2207"/>
        <v/>
      </c>
      <c r="AG2888" s="699"/>
      <c r="AH2888" s="699"/>
      <c r="AI2888" s="512">
        <f>IF(H2888="credit",0,IF(AE2888="free",0,IF(AE2888="me",0,IF(G2888&gt;0,(VLOOKUP(A2888,'Discount Lookup'!J:K,2)*G2888),0))))</f>
        <v>0</v>
      </c>
      <c r="AJ2888" s="513" t="str">
        <f t="shared" ca="1" si="2208"/>
        <v/>
      </c>
      <c r="AK2888" s="700" t="str">
        <f t="shared" si="2209"/>
        <v/>
      </c>
      <c r="AL2888" s="700"/>
      <c r="AM2888" s="505" t="str">
        <f t="shared" si="2210"/>
        <v/>
      </c>
      <c r="AN2888" s="506"/>
      <c r="AO2888" s="507"/>
      <c r="AP2888" s="507"/>
      <c r="AQ2888" s="507"/>
      <c r="AR2888" s="507"/>
      <c r="AS2888" s="507"/>
      <c r="AT2888" s="507"/>
      <c r="AU2888" s="507"/>
      <c r="AV2888" s="225"/>
      <c r="AW2888" s="508"/>
      <c r="AX2888" s="225"/>
      <c r="AY2888" s="225"/>
      <c r="AZ2888" s="225"/>
      <c r="BA2888" s="225"/>
      <c r="BB2888" s="225"/>
      <c r="BC2888" s="56"/>
      <c r="BD2888" s="56"/>
      <c r="BE2888" s="56"/>
      <c r="BF2888" s="107" t="str">
        <f t="shared" si="2211"/>
        <v>https://www.google.com/search?tbm=isch&amp;q=Pink%20Velour%20foliage%20starts%20deep%20wine%20red%2C%20turns%20purplish-green%2C%20then%20orange-brown%20in%20fall.%20Grey-brown%20bark%20exfoliates%20</v>
      </c>
      <c r="BG2888" s="107" t="str">
        <f t="shared" si="2212"/>
        <v>P</v>
      </c>
      <c r="BH2888" s="254"/>
      <c r="BI2888" s="254"/>
    </row>
    <row r="2889" spans="1:61" customFormat="1" ht="18" x14ac:dyDescent="0.25">
      <c r="A2889" s="521" t="s">
        <v>5494</v>
      </c>
      <c r="B2889" s="477"/>
      <c r="C2889" s="674"/>
      <c r="D2889" s="478" t="s">
        <v>4555</v>
      </c>
      <c r="E2889" s="479"/>
      <c r="F2889" s="479"/>
      <c r="G2889" s="479"/>
      <c r="H2889" s="582" t="s">
        <v>443</v>
      </c>
      <c r="I2889" s="480" t="s">
        <v>4556</v>
      </c>
      <c r="J2889" s="479"/>
      <c r="K2889" s="479"/>
      <c r="L2889" s="560"/>
      <c r="M2889" s="666" t="s">
        <v>4966</v>
      </c>
      <c r="N2889" s="680" t="str">
        <f>IF(AND(ISTEXT($A2889), ISERROR($A2889+0)), HYPERLINK($BF2889, "Images"), "")</f>
        <v>Images</v>
      </c>
      <c r="O2889" s="662" t="s">
        <v>4969</v>
      </c>
      <c r="P2889" s="482"/>
      <c r="Q2889" s="483"/>
      <c r="R2889" s="483"/>
      <c r="S2889" s="484"/>
      <c r="T2889" s="508">
        <f t="shared" si="2200"/>
        <v>0</v>
      </c>
      <c r="U2889" s="225" t="str">
        <f>IF(NOT(ISNUMBER(G2889)), "", VLOOKUP(A2889,'Discount Lookup'!D:E,2,FALSE)*G2889)</f>
        <v/>
      </c>
      <c r="V2889" s="225" t="str">
        <f>IF(NOT(ISNUMBER(G2889)), "", VLOOKUP(A2889,'Discount Lookup'!G:H,2,FALSE)*G2889)</f>
        <v/>
      </c>
      <c r="W2889" s="508">
        <f t="shared" si="2201"/>
        <v>0</v>
      </c>
      <c r="X2889" s="508" t="str">
        <f t="shared" si="2202"/>
        <v>Cream-White variegation</v>
      </c>
      <c r="Y2889" s="509" t="b">
        <f t="shared" si="2203"/>
        <v>0</v>
      </c>
      <c r="Z2889" s="510">
        <f t="shared" si="2204"/>
        <v>0</v>
      </c>
      <c r="AA2889" s="511"/>
      <c r="AB2889" s="511" t="str">
        <f t="shared" si="2205"/>
        <v/>
      </c>
      <c r="AC2889" s="698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698"/>
      <c r="AE2889" s="631" t="str">
        <f t="shared" si="2206"/>
        <v/>
      </c>
      <c r="AF2889" s="699" t="str">
        <f t="shared" si="2207"/>
        <v/>
      </c>
      <c r="AG2889" s="699"/>
      <c r="AH2889" s="699"/>
      <c r="AI2889" s="512">
        <f>IF(H2889="credit",0,IF(AE2889="free",0,IF(AE2889="me",0,IF(G2889&gt;0,(VLOOKUP(A2889,'Discount Lookup'!J:K,2)*G2889),0))))</f>
        <v>0</v>
      </c>
      <c r="AJ2889" s="513" t="str">
        <f t="shared" ca="1" si="2208"/>
        <v/>
      </c>
      <c r="AK2889" s="700" t="str">
        <f t="shared" si="2209"/>
        <v/>
      </c>
      <c r="AL2889" s="700"/>
      <c r="AM2889" s="505" t="str">
        <f t="shared" si="2210"/>
        <v/>
      </c>
      <c r="AN2889" s="506"/>
      <c r="AO2889" s="507"/>
      <c r="AP2889" s="507"/>
      <c r="AQ2889" s="507"/>
      <c r="AR2889" s="507"/>
      <c r="AS2889" s="507"/>
      <c r="AT2889" s="507"/>
      <c r="AU2889" s="507"/>
      <c r="AV2889" s="225"/>
      <c r="AW2889" s="508"/>
      <c r="AX2889" s="225"/>
      <c r="AY2889" s="225"/>
      <c r="AZ2889" s="225"/>
      <c r="BA2889" s="225"/>
      <c r="BB2889" s="225"/>
      <c r="BC2889" s="56"/>
      <c r="BD2889" s="56"/>
      <c r="BE2889" s="56"/>
      <c r="BF2889" s="107" t="str">
        <f t="shared" si="2211"/>
        <v>https://www.google.com/search?tbm=isch&amp;q=Platinum%20Beauty%E2%84%A2%20Lomandra%20Lomandra%20longifolia%20%27Platinum%20Beauty%27%20PP%2325962</v>
      </c>
      <c r="BG2889" s="107" t="str">
        <f t="shared" si="2212"/>
        <v>P</v>
      </c>
      <c r="BH2889" s="254"/>
      <c r="BI2889" s="254"/>
    </row>
    <row r="2890" spans="1:61" customFormat="1" ht="15.75" x14ac:dyDescent="0.25">
      <c r="A2890" s="485">
        <v>1</v>
      </c>
      <c r="B2890" s="486" t="s">
        <v>291</v>
      </c>
      <c r="C2890" s="487"/>
      <c r="D2890" s="488" t="s">
        <v>312</v>
      </c>
      <c r="E2890" s="489">
        <v>13.95</v>
      </c>
      <c r="F2890" s="516" t="s">
        <v>293</v>
      </c>
      <c r="G2890" s="232">
        <v>0</v>
      </c>
      <c r="H2890" s="658" t="str">
        <f>IF(G2890=0,"",IF(F2890="Buy",IF(G2890=1,"plant","plants"),IF(F2890&gt;0.01,"warranty","Error")))</f>
        <v/>
      </c>
      <c r="I2890" s="490">
        <f>IF(H2890="free",0,IF(H2890="credit",((E2890*(F2890))*G2890*-1),IF(F2890="Buy",(E2890*G2890),((E2890*(1-F2890))*G2890))))</f>
        <v>0</v>
      </c>
      <c r="J2890" s="490">
        <f>IF(H2890="warranty",0,(I2890*(_xlfn.SINGLE(SalesTaxPercentage))))</f>
        <v>0</v>
      </c>
      <c r="K2890" s="695">
        <f t="shared" ref="K2890" si="2246">I2890+J2890</f>
        <v>0</v>
      </c>
      <c r="L2890" s="695"/>
      <c r="M2890" s="659" t="str">
        <f>IF(AND(G2890&gt;0,E2890=0),"WARNING - no PRICE inserted",IF(H2890="free"," FREE ~ no charge this plant",IF(H2890="credit",CONCATENATE(" -$",ROUND(K2890*(1-T2GDiscount)*-1,2)," CREDIT after discount"),IF(T2GDiscount=0,"",IF(G2890=0,"",IF(F2890="Buy",CONCATENATE(" $",ROUND(K2890*(1-T2GDiscount),2)," with ",(T2GDiscount*100),"% discount"),CONCATENATE(" $",ROUND(K2890*(1-T2GDiscount),2)," with ",((T2GDiscount*100+F2890*100)-(T2GDiscount*100*F2890)),IF(F2890&gt;0,"% discounts",IF(NoWarrantyDiscount&gt;0,"% discounts","% discount")))))))))</f>
        <v/>
      </c>
      <c r="N2890" s="660"/>
      <c r="O2890" s="233"/>
      <c r="P2890" s="233"/>
      <c r="Q2890" s="233"/>
      <c r="R2890" s="233"/>
      <c r="S2890" s="233"/>
      <c r="T2890" s="508">
        <f t="shared" si="2200"/>
        <v>0</v>
      </c>
      <c r="U2890" s="225">
        <f>IF(NOT(ISNUMBER(G2890)), "", VLOOKUP(A2890,'Discount Lookup'!D:E,2,FALSE)*G2890)</f>
        <v>0</v>
      </c>
      <c r="V2890" s="225">
        <f>IF(NOT(ISNUMBER(G2890)), "", VLOOKUP(A2890,'Discount Lookup'!G:H,2,FALSE)*G2890)</f>
        <v>0</v>
      </c>
      <c r="W2890" s="508">
        <f t="shared" si="2201"/>
        <v>0</v>
      </c>
      <c r="X2890" s="508">
        <f t="shared" si="2202"/>
        <v>0</v>
      </c>
      <c r="Y2890" s="509" t="b">
        <f t="shared" si="2203"/>
        <v>0</v>
      </c>
      <c r="Z2890" s="510">
        <f t="shared" si="2204"/>
        <v>0</v>
      </c>
      <c r="AA2890" s="511"/>
      <c r="AB2890" s="511" t="str">
        <f t="shared" si="2205"/>
        <v/>
      </c>
      <c r="AC2890" s="698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698"/>
      <c r="AE2890" s="631" t="str">
        <f t="shared" si="2206"/>
        <v/>
      </c>
      <c r="AF2890" s="699" t="str">
        <f t="shared" si="2207"/>
        <v/>
      </c>
      <c r="AG2890" s="699"/>
      <c r="AH2890" s="699"/>
      <c r="AI2890" s="512">
        <f>IF(H2890="credit",0,IF(AE2890="free",0,IF(AE2890="me",0,IF(G2890&gt;0,(VLOOKUP(A2890,'Discount Lookup'!J:K,2)*G2890),0))))</f>
        <v>0</v>
      </c>
      <c r="AJ2890" s="513" t="str">
        <f t="shared" ca="1" si="2208"/>
        <v/>
      </c>
      <c r="AK2890" s="700" t="str">
        <f t="shared" si="2209"/>
        <v/>
      </c>
      <c r="AL2890" s="700"/>
      <c r="AM2890" s="505" t="str">
        <f t="shared" si="2210"/>
        <v/>
      </c>
      <c r="AN2890" s="506"/>
      <c r="AO2890" s="507"/>
      <c r="AP2890" s="507"/>
      <c r="AQ2890" s="507"/>
      <c r="AR2890" s="507"/>
      <c r="AS2890" s="507"/>
      <c r="AT2890" s="507"/>
      <c r="AU2890" s="507"/>
      <c r="AV2890" s="225"/>
      <c r="AW2890" s="508"/>
      <c r="AX2890" s="225"/>
      <c r="AY2890" s="225"/>
      <c r="AZ2890" s="225"/>
      <c r="BA2890" s="225"/>
      <c r="BB2890" s="225"/>
      <c r="BC2890" s="56"/>
      <c r="BD2890" s="56"/>
      <c r="BE2890" s="56"/>
      <c r="BF2890" s="107" t="str">
        <f t="shared" si="2211"/>
        <v>https://www.google.com/search?tbm=isch&amp;q=1%20G2</v>
      </c>
      <c r="BG2890" s="107" t="str">
        <f t="shared" si="2212"/>
        <v>P</v>
      </c>
      <c r="BH2890" s="254"/>
      <c r="BI2890" s="254"/>
    </row>
    <row r="2891" spans="1:61" customFormat="1" ht="16.5" thickBot="1" x14ac:dyDescent="0.3">
      <c r="A2891" s="522" t="s">
        <v>4557</v>
      </c>
      <c r="B2891" s="491"/>
      <c r="C2891" s="675"/>
      <c r="D2891" s="491"/>
      <c r="E2891" s="491"/>
      <c r="F2891" s="492"/>
      <c r="G2891" s="493"/>
      <c r="H2891" s="491"/>
      <c r="I2891" s="234"/>
      <c r="J2891" s="234"/>
      <c r="K2891" s="494"/>
      <c r="L2891" s="543"/>
      <c r="M2891" s="561"/>
      <c r="N2891" s="495"/>
      <c r="O2891" s="496"/>
      <c r="P2891" s="497"/>
      <c r="Q2891" s="495"/>
      <c r="R2891" s="495"/>
      <c r="S2891" s="277"/>
      <c r="T2891" s="508">
        <f t="shared" si="2200"/>
        <v>0</v>
      </c>
      <c r="U2891" s="225" t="str">
        <f>IF(NOT(ISNUMBER(G2891)), "", VLOOKUP(A2891,'Discount Lookup'!D:E,2,FALSE)*G2891)</f>
        <v/>
      </c>
      <c r="V2891" s="225" t="str">
        <f>IF(NOT(ISNUMBER(G2891)), "", VLOOKUP(A2891,'Discount Lookup'!G:H,2,FALSE)*G2891)</f>
        <v/>
      </c>
      <c r="W2891" s="508">
        <f t="shared" si="2201"/>
        <v>0</v>
      </c>
      <c r="X2891" s="508">
        <f t="shared" si="2202"/>
        <v>0</v>
      </c>
      <c r="Y2891" s="509" t="b">
        <f t="shared" si="2203"/>
        <v>0</v>
      </c>
      <c r="Z2891" s="510">
        <f t="shared" si="2204"/>
        <v>0</v>
      </c>
      <c r="AA2891" s="511"/>
      <c r="AB2891" s="511" t="str">
        <f t="shared" si="2205"/>
        <v/>
      </c>
      <c r="AC2891" s="698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698"/>
      <c r="AE2891" s="631" t="str">
        <f t="shared" si="2206"/>
        <v/>
      </c>
      <c r="AF2891" s="699" t="str">
        <f t="shared" si="2207"/>
        <v/>
      </c>
      <c r="AG2891" s="699"/>
      <c r="AH2891" s="699"/>
      <c r="AI2891" s="512">
        <f>IF(H2891="credit",0,IF(AE2891="free",0,IF(AE2891="me",0,IF(G2891&gt;0,(VLOOKUP(A2891,'Discount Lookup'!J:K,2)*G2891),0))))</f>
        <v>0</v>
      </c>
      <c r="AJ2891" s="513" t="str">
        <f t="shared" ca="1" si="2208"/>
        <v/>
      </c>
      <c r="AK2891" s="700" t="str">
        <f t="shared" si="2209"/>
        <v/>
      </c>
      <c r="AL2891" s="700"/>
      <c r="AM2891" s="505" t="str">
        <f t="shared" si="2210"/>
        <v/>
      </c>
      <c r="AN2891" s="506"/>
      <c r="AO2891" s="507"/>
      <c r="AP2891" s="507"/>
      <c r="AQ2891" s="507"/>
      <c r="AR2891" s="507"/>
      <c r="AS2891" s="507"/>
      <c r="AT2891" s="507"/>
      <c r="AU2891" s="507"/>
      <c r="AV2891" s="225"/>
      <c r="AW2891" s="508"/>
      <c r="AX2891" s="225"/>
      <c r="AY2891" s="225"/>
      <c r="AZ2891" s="225"/>
      <c r="BA2891" s="225"/>
      <c r="BB2891" s="225"/>
      <c r="BC2891" s="56"/>
      <c r="BD2891" s="56"/>
      <c r="BE2891" s="56"/>
      <c r="BF2891" s="107" t="str">
        <f t="shared" si="2211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2891" s="107" t="str">
        <f t="shared" si="2212"/>
        <v>P</v>
      </c>
      <c r="BH2891" s="254"/>
      <c r="BI2891" s="254"/>
    </row>
    <row r="2892" spans="1:61" customFormat="1" ht="18" x14ac:dyDescent="0.25">
      <c r="A2892" s="521" t="s">
        <v>5495</v>
      </c>
      <c r="B2892" s="477"/>
      <c r="C2892" s="674"/>
      <c r="D2892" s="478" t="s">
        <v>1532</v>
      </c>
      <c r="E2892" s="479"/>
      <c r="F2892" s="479"/>
      <c r="G2892" s="479"/>
      <c r="H2892" s="582" t="s">
        <v>483</v>
      </c>
      <c r="I2892" s="480" t="s">
        <v>2688</v>
      </c>
      <c r="J2892" s="479"/>
      <c r="K2892" s="479"/>
      <c r="L2892" s="560"/>
      <c r="M2892" s="666" t="s">
        <v>4966</v>
      </c>
      <c r="N2892" s="680" t="str">
        <f>IF(AND(ISTEXT($A2892), ISERROR($A2892+0)), HYPERLINK($BF2892, "Images"), "")</f>
        <v>Images</v>
      </c>
      <c r="O2892" s="662" t="s">
        <v>4967</v>
      </c>
      <c r="P2892" s="482"/>
      <c r="Q2892" s="483"/>
      <c r="R2892" s="483"/>
      <c r="S2892" s="484"/>
      <c r="T2892" s="508">
        <f t="shared" si="2200"/>
        <v>0</v>
      </c>
      <c r="U2892" s="225" t="str">
        <f>IF(NOT(ISNUMBER(G2892)), "", VLOOKUP(A2892,'Discount Lookup'!D:E,2,FALSE)*G2892)</f>
        <v/>
      </c>
      <c r="V2892" s="225" t="str">
        <f>IF(NOT(ISNUMBER(G2892)), "", VLOOKUP(A2892,'Discount Lookup'!G:H,2,FALSE)*G2892)</f>
        <v/>
      </c>
      <c r="W2892" s="508">
        <f t="shared" si="2201"/>
        <v>0</v>
      </c>
      <c r="X2892" s="508" t="str">
        <f t="shared" si="2202"/>
        <v>Deep Plum-Purple bloom</v>
      </c>
      <c r="Y2892" s="509" t="b">
        <f t="shared" si="2203"/>
        <v>0</v>
      </c>
      <c r="Z2892" s="510">
        <f t="shared" si="2204"/>
        <v>0</v>
      </c>
      <c r="AA2892" s="511"/>
      <c r="AB2892" s="511" t="str">
        <f t="shared" si="2205"/>
        <v/>
      </c>
      <c r="AC2892" s="698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698"/>
      <c r="AE2892" s="631" t="str">
        <f t="shared" si="2206"/>
        <v/>
      </c>
      <c r="AF2892" s="699" t="str">
        <f t="shared" si="2207"/>
        <v/>
      </c>
      <c r="AG2892" s="699"/>
      <c r="AH2892" s="699"/>
      <c r="AI2892" s="512">
        <f>IF(H2892="credit",0,IF(AE2892="free",0,IF(AE2892="me",0,IF(G2892&gt;0,(VLOOKUP(A2892,'Discount Lookup'!J:K,2)*G2892),0))))</f>
        <v>0</v>
      </c>
      <c r="AJ2892" s="513" t="str">
        <f t="shared" ca="1" si="2208"/>
        <v/>
      </c>
      <c r="AK2892" s="700" t="str">
        <f t="shared" si="2209"/>
        <v/>
      </c>
      <c r="AL2892" s="700"/>
      <c r="AM2892" s="505" t="str">
        <f t="shared" si="2210"/>
        <v/>
      </c>
      <c r="AN2892" s="506"/>
      <c r="AO2892" s="507"/>
      <c r="AP2892" s="507"/>
      <c r="AQ2892" s="507"/>
      <c r="AR2892" s="507"/>
      <c r="AS2892" s="507"/>
      <c r="AT2892" s="507"/>
      <c r="AU2892" s="507"/>
      <c r="AV2892" s="225"/>
      <c r="AW2892" s="508"/>
      <c r="AX2892" s="225"/>
      <c r="AY2892" s="225"/>
      <c r="AZ2892" s="225"/>
      <c r="BA2892" s="225"/>
      <c r="BB2892" s="225"/>
      <c r="BC2892" s="56"/>
      <c r="BD2892" s="56"/>
      <c r="BE2892" s="56"/>
      <c r="BF2892" s="107" t="str">
        <f t="shared" si="2211"/>
        <v>https://www.google.com/search?tbm=isch&amp;q=Plum%20Gorgeous%E2%84%A2%20Loropetalum%20Loropetalum%20chin.%20var.%20r.%20%27Plum%20Gorgeous%27%20PPAF</v>
      </c>
      <c r="BG2892" s="107" t="str">
        <f t="shared" si="2212"/>
        <v>P</v>
      </c>
      <c r="BH2892" s="254"/>
      <c r="BI2892" s="254"/>
    </row>
    <row r="2893" spans="1:61" customFormat="1" ht="15.75" x14ac:dyDescent="0.25">
      <c r="A2893" s="485">
        <v>1</v>
      </c>
      <c r="B2893" s="486" t="s">
        <v>291</v>
      </c>
      <c r="C2893" s="487"/>
      <c r="D2893" s="488" t="s">
        <v>312</v>
      </c>
      <c r="E2893" s="489">
        <v>29.95</v>
      </c>
      <c r="F2893" s="516" t="s">
        <v>293</v>
      </c>
      <c r="G2893" s="232">
        <v>0</v>
      </c>
      <c r="H2893" s="658" t="str">
        <f>IF(G2893=0,"",IF(F2893="Buy",IF(G2893=1,"plant","plants"),IF(F2893&gt;0.01,"warranty","Error")))</f>
        <v/>
      </c>
      <c r="I2893" s="490">
        <f>IF(H2893="free",0,IF(H2893="credit",((E2893*(F2893))*G2893*-1),IF(F2893="Buy",(E2893*G2893),((E2893*(1-F2893))*G2893))))</f>
        <v>0</v>
      </c>
      <c r="J2893" s="490">
        <f>IF(H2893="warranty",0,(I2893*(_xlfn.SINGLE(SalesTaxPercentage))))</f>
        <v>0</v>
      </c>
      <c r="K2893" s="695">
        <f t="shared" ref="K2893" si="2247">I2893+J2893</f>
        <v>0</v>
      </c>
      <c r="L2893" s="695"/>
      <c r="M2893" s="659" t="str">
        <f>IF(AND(G2893&gt;0,E2893=0),"WARNING - no PRICE inserted",IF(H2893="free"," FREE ~ no charge this plant",IF(H2893="credit",CONCATENATE(" -$",ROUND(K2893*(1-T2GDiscount)*-1,2)," CREDIT after discount"),IF(T2GDiscount=0,"",IF(G2893=0,"",IF(F2893="Buy",CONCATENATE(" $",ROUND(K2893*(1-T2GDiscount),2)," with ",(T2GDiscount*100),"% discount"),CONCATENATE(" $",ROUND(K2893*(1-T2GDiscount),2)," with ",((T2GDiscount*100+F2893*100)-(T2GDiscount*100*F2893)),IF(F2893&gt;0,"% discounts",IF(NoWarrantyDiscount&gt;0,"% discounts","% discount")))))))))</f>
        <v/>
      </c>
      <c r="N2893" s="660"/>
      <c r="O2893" s="233"/>
      <c r="P2893" s="233"/>
      <c r="Q2893" s="233"/>
      <c r="R2893" s="233"/>
      <c r="S2893" s="233"/>
      <c r="T2893" s="508">
        <f t="shared" si="2200"/>
        <v>0</v>
      </c>
      <c r="U2893" s="225">
        <f>IF(NOT(ISNUMBER(G2893)), "", VLOOKUP(A2893,'Discount Lookup'!D:E,2,FALSE)*G2893)</f>
        <v>0</v>
      </c>
      <c r="V2893" s="225">
        <f>IF(NOT(ISNUMBER(G2893)), "", VLOOKUP(A2893,'Discount Lookup'!G:H,2,FALSE)*G2893)</f>
        <v>0</v>
      </c>
      <c r="W2893" s="508">
        <f t="shared" si="2201"/>
        <v>0</v>
      </c>
      <c r="X2893" s="508">
        <f t="shared" si="2202"/>
        <v>0</v>
      </c>
      <c r="Y2893" s="509" t="b">
        <f t="shared" si="2203"/>
        <v>0</v>
      </c>
      <c r="Z2893" s="510">
        <f t="shared" si="2204"/>
        <v>0</v>
      </c>
      <c r="AA2893" s="511"/>
      <c r="AB2893" s="511" t="str">
        <f t="shared" si="2205"/>
        <v/>
      </c>
      <c r="AC2893" s="698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698"/>
      <c r="AE2893" s="631" t="str">
        <f t="shared" si="2206"/>
        <v/>
      </c>
      <c r="AF2893" s="699" t="str">
        <f t="shared" si="2207"/>
        <v/>
      </c>
      <c r="AG2893" s="699"/>
      <c r="AH2893" s="699"/>
      <c r="AI2893" s="512">
        <f>IF(H2893="credit",0,IF(AE2893="free",0,IF(AE2893="me",0,IF(G2893&gt;0,(VLOOKUP(A2893,'Discount Lookup'!J:K,2)*G2893),0))))</f>
        <v>0</v>
      </c>
      <c r="AJ2893" s="513" t="str">
        <f t="shared" ca="1" si="2208"/>
        <v/>
      </c>
      <c r="AK2893" s="700" t="str">
        <f t="shared" si="2209"/>
        <v/>
      </c>
      <c r="AL2893" s="700"/>
      <c r="AM2893" s="505" t="str">
        <f t="shared" si="2210"/>
        <v/>
      </c>
      <c r="AN2893" s="506"/>
      <c r="AO2893" s="507"/>
      <c r="AP2893" s="507"/>
      <c r="AQ2893" s="507"/>
      <c r="AR2893" s="507"/>
      <c r="AS2893" s="507"/>
      <c r="AT2893" s="507"/>
      <c r="AU2893" s="507"/>
      <c r="AV2893" s="225"/>
      <c r="AW2893" s="508"/>
      <c r="AX2893" s="225"/>
      <c r="AY2893" s="225"/>
      <c r="AZ2893" s="225"/>
      <c r="BA2893" s="225"/>
      <c r="BB2893" s="225"/>
      <c r="BC2893" s="56"/>
      <c r="BD2893" s="56"/>
      <c r="BE2893" s="56"/>
      <c r="BF2893" s="107" t="str">
        <f t="shared" si="2211"/>
        <v>https://www.google.com/search?tbm=isch&amp;q=1%20G2</v>
      </c>
      <c r="BG2893" s="107" t="str">
        <f t="shared" si="2212"/>
        <v>P</v>
      </c>
      <c r="BH2893" s="254"/>
      <c r="BI2893" s="254"/>
    </row>
    <row r="2894" spans="1:61" customFormat="1" ht="16.5" thickBot="1" x14ac:dyDescent="0.3">
      <c r="A2894" s="522" t="s">
        <v>4149</v>
      </c>
      <c r="B2894" s="491"/>
      <c r="C2894" s="675"/>
      <c r="D2894" s="491"/>
      <c r="E2894" s="491"/>
      <c r="F2894" s="492"/>
      <c r="G2894" s="493"/>
      <c r="H2894" s="491"/>
      <c r="I2894" s="234"/>
      <c r="J2894" s="234"/>
      <c r="K2894" s="494"/>
      <c r="L2894" s="543"/>
      <c r="M2894" s="561"/>
      <c r="N2894" s="495"/>
      <c r="O2894" s="496"/>
      <c r="P2894" s="497"/>
      <c r="Q2894" s="495"/>
      <c r="R2894" s="495"/>
      <c r="S2894" s="277"/>
      <c r="T2894" s="508">
        <f t="shared" ref="T2894:T2957" si="2248">E2894*G2894</f>
        <v>0</v>
      </c>
      <c r="U2894" s="225" t="str">
        <f>IF(NOT(ISNUMBER(G2894)), "", VLOOKUP(A2894,'Discount Lookup'!D:E,2,FALSE)*G2894)</f>
        <v/>
      </c>
      <c r="V2894" s="225" t="str">
        <f>IF(NOT(ISNUMBER(G2894)), "", VLOOKUP(A2894,'Discount Lookup'!G:H,2,FALSE)*G2894)</f>
        <v/>
      </c>
      <c r="W2894" s="508">
        <f t="shared" ref="W2894:W2957" si="2249">IF(H2894="credit",0,E2894*(SalesTaxPercentage)*G2894)</f>
        <v>0</v>
      </c>
      <c r="X2894" s="508">
        <f t="shared" ref="X2894:X2957" si="2250">I2894</f>
        <v>0</v>
      </c>
      <c r="Y2894" s="509" t="b">
        <f t="shared" ref="Y2894:Y2957" si="2251">IF(AE2894="T2G",0,IF(H2894="credit",0,IF(G2894&gt;0,IF(AE2894="me","",G2894))))</f>
        <v>0</v>
      </c>
      <c r="Z2894" s="510">
        <f t="shared" ref="Z2894:Z2957" si="2252">IF(H2894="credit",G2894,0)</f>
        <v>0</v>
      </c>
      <c r="AA2894" s="511"/>
      <c r="AB2894" s="511" t="str">
        <f t="shared" ref="AB2894:AB2957" si="2253">IF(AE2894="T2G","by Trees2Go",IF(H2894="credit","CREDIT only ~",IF(AND(K2894="",AE2894=OR(PlanterYesMe="No",PlanterYesMe="N",PlanterYesMe="me")),"not THIS line⇨",IF(AND(K2894="images",AE2894="me"),"not THIS line⇨",IF(H2894="credit","",IF(G2894=0,"",IF(AE2894="me","",IF(OR(PlanterYesMe="No",PlanterYesMe="N",PlanterYesMe="me"),"",IF(AE2894="free","warranty",IF(OR(PlanterYesMe="yes",PlanterYesMe="y"),"Edison install:","to install:"))))))))))</f>
        <v/>
      </c>
      <c r="AC2894" s="698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698"/>
      <c r="AE2894" s="631" t="str">
        <f t="shared" ref="AE2894:AE2957" si="2254">IF(H2894="credit","",IF(G2894=0,"",IF(OR(PlanterYesMe="No",PlanterYesMe="N",PlanterYesMe="me"),"me",IF(H2894="warranty","free",IF(OR(PlanterYesMe="yes",PlanterYesMe="y"),"ELP","")))))</f>
        <v/>
      </c>
      <c r="AF2894" s="699" t="str">
        <f t="shared" ref="AF2894:AF2957" si="2255">IF(OR(PlanterYesMe="No",PlanterYesMe="N",PlanterYesMe="me"),"",IF(H2894="credit","",IF(G2894&gt;0,(CONCATENATE((G2894)," quantity, ",(A2894)," ",B2894)),"")))</f>
        <v/>
      </c>
      <c r="AG2894" s="699"/>
      <c r="AH2894" s="699"/>
      <c r="AI2894" s="512">
        <f>IF(H2894="credit",0,IF(AE2894="free",0,IF(AE2894="me",0,IF(G2894&gt;0,(VLOOKUP(A2894,'Discount Lookup'!J:K,2)*G2894),0))))</f>
        <v>0</v>
      </c>
      <c r="AJ2894" s="513" t="str">
        <f t="shared" ref="AJ2894:AJ2957" ca="1" si="2256">IF(AND(ISREF(H2894),H2894="credit"),"",IF(AND(AND(OFFSET(G2894,0,0)=0,OFFSET(G2894,1,0)&gt;0,ISNUMBER(OFFSET(AC2894,1,0)),OFFSET(AC2894,1,0)&gt;0),OR(PlanterYesMe="yes",PlanterYesMe="y")),"T2G+ELP=",IF(AND(OFFSET(G2894,0,0)=0,OFFSET(G2894,1,0)&gt;0,ISNUMBER(OFFSET(AC2894,1,0)),OFFSET(AC2894,1,0)&gt;0),"if T2G+ELP=",IF(AND(OFFSET(G2894,0,0)=0,OFFSET(G2894,1,0)&gt;0),"T2G Subtotal",IF(H2894="credit","",IF(G2894=0,"",IF(AE2894="free",(K2894*(1-T2GDiscount)),IF(OR(PlanterYesMe="No",PlanterYesMe="N",PlanterYesMe="me"),(K2894*(1-T2GDiscount)),IF(OR(AE2894="me",AE2894="T2G"),(K2894*(1-T2GDiscount)),(K2894*(1-T2GDiscount))+AC2894)))))))))</f>
        <v/>
      </c>
      <c r="AK2894" s="700" t="str">
        <f t="shared" ref="AK2894:AK2957" si="2257">IF(H2894="credit","",IF(G2894=0,"",IF(OR(AE2894="me",AE2894="T2G"),"  delivery-only",IF(OR(PlanterYesMe="No",PlanterYesMe="N",PlanterYesMe="me"),"  delivery-only",CONCATENATE(" $",ROUND(AJ2894/G2894,2)," each")))))</f>
        <v/>
      </c>
      <c r="AL2894" s="700"/>
      <c r="AM2894" s="505" t="str">
        <f t="shared" ref="AM2894:AM2957" si="2258">IF(H2894="credit","",IF(AE2894="free","      ~ discounts included, no tax or planting fee applies ~",IF(G2894=0,"",IF(OR(PlanterYesMe="No",PlanterYesMe="N",PlanterYesMe="me"),CONCATENATE(" $",ROUND(AJ2894/G2894,2)," per plant, with tax &amp; discount"),IF(OR(AE2894="me",AE2894="T2G"),CONCATENATE(" $",ROUND(AJ2894/G2894,2)," per plant, with tax &amp; discount"),CONCATENATE("= $",ROUND((K2894*(1-T2GDiscount))/G2894,2)," per plant + $",AC2894/G2894,(" per planting      ~ includes tax &amp; discounts ~")))))))</f>
        <v/>
      </c>
      <c r="AN2894" s="506"/>
      <c r="AO2894" s="507"/>
      <c r="AP2894" s="507"/>
      <c r="AQ2894" s="507"/>
      <c r="AR2894" s="507"/>
      <c r="AS2894" s="507"/>
      <c r="AT2894" s="507"/>
      <c r="AU2894" s="507"/>
      <c r="AV2894" s="225"/>
      <c r="AW2894" s="508"/>
      <c r="AX2894" s="225"/>
      <c r="AY2894" s="225"/>
      <c r="AZ2894" s="225"/>
      <c r="BA2894" s="225"/>
      <c r="BB2894" s="225"/>
      <c r="BC2894" s="56"/>
      <c r="BD2894" s="56"/>
      <c r="BE2894" s="56"/>
      <c r="BF2894" s="107" t="str">
        <f t="shared" ref="BF2894:BF2957" si="2259">"https://www.google.com/search?tbm=isch&amp;q=" &amp; _xlfn.ENCODEURL($A2894 &amp; " " &amp; $D2894)</f>
        <v>https://www.google.com/search?tbm=isch&amp;q=Plum%20Gorgeous%20offers%20bold%20Purple%20foliage.%20Fringe-like%20flowers%20bloom%20periodically%20after%20spring%20</v>
      </c>
      <c r="BG2894" s="107" t="str">
        <f t="shared" ref="BG2894:BG2957" si="2260">IF(ISTEXT(A2894),LEFT(A2894,1),BG2893)</f>
        <v>P</v>
      </c>
      <c r="BH2894" s="254"/>
      <c r="BI2894" s="254"/>
    </row>
    <row r="2895" spans="1:61" customFormat="1" ht="18" x14ac:dyDescent="0.25">
      <c r="A2895" s="521" t="s">
        <v>1533</v>
      </c>
      <c r="B2895" s="477"/>
      <c r="C2895" s="674"/>
      <c r="D2895" s="478" t="s">
        <v>1534</v>
      </c>
      <c r="E2895" s="479"/>
      <c r="F2895" s="479"/>
      <c r="G2895" s="479"/>
      <c r="H2895" s="582" t="s">
        <v>810</v>
      </c>
      <c r="I2895" s="480" t="s">
        <v>2966</v>
      </c>
      <c r="J2895" s="479"/>
      <c r="K2895" s="479"/>
      <c r="L2895" s="560"/>
      <c r="M2895" s="666" t="s">
        <v>4966</v>
      </c>
      <c r="N2895" s="680" t="str">
        <f>IF(AND(ISTEXT($A2895), ISERROR($A2895+0)), HYPERLINK($BF2895, "Images"), "")</f>
        <v>Images</v>
      </c>
      <c r="O2895" s="662" t="s">
        <v>4967</v>
      </c>
      <c r="P2895" s="482"/>
      <c r="Q2895" s="483"/>
      <c r="R2895" s="483"/>
      <c r="S2895" s="484"/>
      <c r="T2895" s="508">
        <f t="shared" si="2248"/>
        <v>0</v>
      </c>
      <c r="U2895" s="225" t="str">
        <f>IF(NOT(ISNUMBER(G2895)), "", VLOOKUP(A2895,'Discount Lookup'!D:E,2,FALSE)*G2895)</f>
        <v/>
      </c>
      <c r="V2895" s="225" t="str">
        <f>IF(NOT(ISNUMBER(G2895)), "", VLOOKUP(A2895,'Discount Lookup'!G:H,2,FALSE)*G2895)</f>
        <v/>
      </c>
      <c r="W2895" s="508">
        <f t="shared" si="2249"/>
        <v>0</v>
      </c>
      <c r="X2895" s="508" t="str">
        <f t="shared" si="2250"/>
        <v>Purple-Plum foliage</v>
      </c>
      <c r="Y2895" s="509" t="b">
        <f t="shared" si="2251"/>
        <v>0</v>
      </c>
      <c r="Z2895" s="510">
        <f t="shared" si="2252"/>
        <v>0</v>
      </c>
      <c r="AA2895" s="511"/>
      <c r="AB2895" s="511" t="str">
        <f t="shared" si="2253"/>
        <v/>
      </c>
      <c r="AC2895" s="698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698"/>
      <c r="AE2895" s="631" t="str">
        <f t="shared" si="2254"/>
        <v/>
      </c>
      <c r="AF2895" s="699" t="str">
        <f t="shared" si="2255"/>
        <v/>
      </c>
      <c r="AG2895" s="699"/>
      <c r="AH2895" s="699"/>
      <c r="AI2895" s="512">
        <f>IF(H2895="credit",0,IF(AE2895="free",0,IF(AE2895="me",0,IF(G2895&gt;0,(VLOOKUP(A2895,'Discount Lookup'!J:K,2)*G2895),0))))</f>
        <v>0</v>
      </c>
      <c r="AJ2895" s="513" t="str">
        <f t="shared" ca="1" si="2256"/>
        <v/>
      </c>
      <c r="AK2895" s="700" t="str">
        <f t="shared" si="2257"/>
        <v/>
      </c>
      <c r="AL2895" s="700"/>
      <c r="AM2895" s="505" t="str">
        <f t="shared" si="2258"/>
        <v/>
      </c>
      <c r="AN2895" s="506"/>
      <c r="AO2895" s="507"/>
      <c r="AP2895" s="507"/>
      <c r="AQ2895" s="507"/>
      <c r="AR2895" s="507"/>
      <c r="AS2895" s="507"/>
      <c r="AT2895" s="507"/>
      <c r="AU2895" s="507"/>
      <c r="AV2895" s="225"/>
      <c r="AW2895" s="508"/>
      <c r="AX2895" s="225"/>
      <c r="AY2895" s="225"/>
      <c r="AZ2895" s="225"/>
      <c r="BA2895" s="225"/>
      <c r="BB2895" s="225"/>
      <c r="BC2895" s="56"/>
      <c r="BD2895" s="56"/>
      <c r="BE2895" s="56"/>
      <c r="BF2895" s="107" t="str">
        <f t="shared" si="2259"/>
        <v>https://www.google.com/search?tbm=isch&amp;q=Plum%20Passion%20Nandina%20Nandina%20domestica%20%27Monum%27</v>
      </c>
      <c r="BG2895" s="107" t="str">
        <f t="shared" si="2260"/>
        <v>P</v>
      </c>
      <c r="BH2895" s="254"/>
      <c r="BI2895" s="254"/>
    </row>
    <row r="2896" spans="1:61" customFormat="1" ht="15.75" x14ac:dyDescent="0.25">
      <c r="A2896" s="485">
        <v>15</v>
      </c>
      <c r="B2896" s="486" t="s">
        <v>291</v>
      </c>
      <c r="C2896" s="487" t="s">
        <v>3698</v>
      </c>
      <c r="D2896" s="488" t="s">
        <v>292</v>
      </c>
      <c r="E2896" s="489">
        <v>173.95</v>
      </c>
      <c r="F2896" s="516" t="s">
        <v>293</v>
      </c>
      <c r="G2896" s="232">
        <v>0</v>
      </c>
      <c r="H2896" s="658" t="str">
        <f>IF(G2896=0,"",IF(F2896="Buy",IF(G2896=1,"plant","plants"),IF(F2896&gt;0.01,"warranty","Error")))</f>
        <v/>
      </c>
      <c r="I2896" s="490">
        <f>IF(H2896="free",0,IF(H2896="credit",((E2896*(F2896))*G2896*-1),IF(F2896="Buy",(E2896*G2896),((E2896*(1-F2896))*G2896))))</f>
        <v>0</v>
      </c>
      <c r="J2896" s="490">
        <f>IF(H2896="warranty",0,(I2896*(_xlfn.SINGLE(SalesTaxPercentage))))</f>
        <v>0</v>
      </c>
      <c r="K2896" s="695">
        <f t="shared" ref="K2896" si="2261">I2896+J2896</f>
        <v>0</v>
      </c>
      <c r="L2896" s="695"/>
      <c r="M2896" s="659" t="str">
        <f>IF(AND(G2896&gt;0,E2896=0),"WARNING - no PRICE inserted",IF(H2896="free"," FREE ~ no charge this plant",IF(H2896="credit",CONCATENATE(" -$",ROUND(K2896*(1-T2GDiscount)*-1,2)," CREDIT after discount"),IF(T2GDiscount=0,"",IF(G2896=0,"",IF(F2896="Buy",CONCATENATE(" $",ROUND(K2896*(1-T2GDiscount),2)," with ",(T2GDiscount*100),"% discount"),CONCATENATE(" $",ROUND(K2896*(1-T2GDiscount),2)," with ",((T2GDiscount*100+F2896*100)-(T2GDiscount*100*F2896)),IF(F2896&gt;0,"% discounts",IF(NoWarrantyDiscount&gt;0,"% discounts","% discount")))))))))</f>
        <v/>
      </c>
      <c r="N2896" s="660"/>
      <c r="O2896" s="233"/>
      <c r="P2896" s="233"/>
      <c r="Q2896" s="233"/>
      <c r="R2896" s="233"/>
      <c r="S2896" s="233"/>
      <c r="T2896" s="508">
        <f t="shared" si="2248"/>
        <v>0</v>
      </c>
      <c r="U2896" s="225">
        <f>IF(NOT(ISNUMBER(G2896)), "", VLOOKUP(A2896,'Discount Lookup'!D:E,2,FALSE)*G2896)</f>
        <v>0</v>
      </c>
      <c r="V2896" s="225">
        <f>IF(NOT(ISNUMBER(G2896)), "", VLOOKUP(A2896,'Discount Lookup'!G:H,2,FALSE)*G2896)</f>
        <v>0</v>
      </c>
      <c r="W2896" s="508">
        <f t="shared" si="2249"/>
        <v>0</v>
      </c>
      <c r="X2896" s="508">
        <f t="shared" si="2250"/>
        <v>0</v>
      </c>
      <c r="Y2896" s="509" t="b">
        <f t="shared" si="2251"/>
        <v>0</v>
      </c>
      <c r="Z2896" s="510">
        <f t="shared" si="2252"/>
        <v>0</v>
      </c>
      <c r="AA2896" s="511"/>
      <c r="AB2896" s="511" t="str">
        <f t="shared" si="2253"/>
        <v/>
      </c>
      <c r="AC2896" s="698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698"/>
      <c r="AE2896" s="631" t="str">
        <f t="shared" si="2254"/>
        <v/>
      </c>
      <c r="AF2896" s="699" t="str">
        <f t="shared" si="2255"/>
        <v/>
      </c>
      <c r="AG2896" s="699"/>
      <c r="AH2896" s="699"/>
      <c r="AI2896" s="512">
        <f>IF(H2896="credit",0,IF(AE2896="free",0,IF(AE2896="me",0,IF(G2896&gt;0,(VLOOKUP(A2896,'Discount Lookup'!J:K,2)*G2896),0))))</f>
        <v>0</v>
      </c>
      <c r="AJ2896" s="513" t="str">
        <f t="shared" ca="1" si="2256"/>
        <v/>
      </c>
      <c r="AK2896" s="700" t="str">
        <f t="shared" si="2257"/>
        <v/>
      </c>
      <c r="AL2896" s="700"/>
      <c r="AM2896" s="505" t="str">
        <f t="shared" si="2258"/>
        <v/>
      </c>
      <c r="AN2896" s="506"/>
      <c r="AO2896" s="507"/>
      <c r="AP2896" s="507"/>
      <c r="AQ2896" s="507"/>
      <c r="AR2896" s="507"/>
      <c r="AS2896" s="507"/>
      <c r="AT2896" s="507"/>
      <c r="AU2896" s="507"/>
      <c r="AV2896" s="225"/>
      <c r="AW2896" s="508"/>
      <c r="AX2896" s="225"/>
      <c r="AY2896" s="225"/>
      <c r="AZ2896" s="225"/>
      <c r="BA2896" s="225"/>
      <c r="BB2896" s="225"/>
      <c r="BC2896" s="56"/>
      <c r="BD2896" s="56"/>
      <c r="BE2896" s="56"/>
      <c r="BF2896" s="107" t="str">
        <f t="shared" si="2259"/>
        <v>https://www.google.com/search?tbm=isch&amp;q=15%20G4</v>
      </c>
      <c r="BG2896" s="107" t="str">
        <f t="shared" si="2260"/>
        <v>P</v>
      </c>
      <c r="BH2896" s="254"/>
      <c r="BI2896" s="254"/>
    </row>
    <row r="2897" spans="1:61" customFormat="1" ht="16.5" thickBot="1" x14ac:dyDescent="0.3">
      <c r="A2897" s="522" t="s">
        <v>2967</v>
      </c>
      <c r="B2897" s="491"/>
      <c r="C2897" s="675"/>
      <c r="D2897" s="491"/>
      <c r="E2897" s="491"/>
      <c r="F2897" s="492"/>
      <c r="G2897" s="493"/>
      <c r="H2897" s="491"/>
      <c r="I2897" s="234"/>
      <c r="J2897" s="234"/>
      <c r="K2897" s="494"/>
      <c r="L2897" s="543"/>
      <c r="M2897" s="561"/>
      <c r="N2897" s="495"/>
      <c r="O2897" s="496"/>
      <c r="P2897" s="497"/>
      <c r="Q2897" s="495"/>
      <c r="R2897" s="495"/>
      <c r="S2897" s="277"/>
      <c r="T2897" s="508">
        <f t="shared" si="2248"/>
        <v>0</v>
      </c>
      <c r="U2897" s="225" t="str">
        <f>IF(NOT(ISNUMBER(G2897)), "", VLOOKUP(A2897,'Discount Lookup'!D:E,2,FALSE)*G2897)</f>
        <v/>
      </c>
      <c r="V2897" s="225" t="str">
        <f>IF(NOT(ISNUMBER(G2897)), "", VLOOKUP(A2897,'Discount Lookup'!G:H,2,FALSE)*G2897)</f>
        <v/>
      </c>
      <c r="W2897" s="508">
        <f t="shared" si="2249"/>
        <v>0</v>
      </c>
      <c r="X2897" s="508">
        <f t="shared" si="2250"/>
        <v>0</v>
      </c>
      <c r="Y2897" s="509" t="b">
        <f t="shared" si="2251"/>
        <v>0</v>
      </c>
      <c r="Z2897" s="510">
        <f t="shared" si="2252"/>
        <v>0</v>
      </c>
      <c r="AA2897" s="511"/>
      <c r="AB2897" s="511" t="str">
        <f t="shared" si="2253"/>
        <v/>
      </c>
      <c r="AC2897" s="698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698"/>
      <c r="AE2897" s="631" t="str">
        <f t="shared" si="2254"/>
        <v/>
      </c>
      <c r="AF2897" s="699" t="str">
        <f t="shared" si="2255"/>
        <v/>
      </c>
      <c r="AG2897" s="699"/>
      <c r="AH2897" s="699"/>
      <c r="AI2897" s="512">
        <f>IF(H2897="credit",0,IF(AE2897="free",0,IF(AE2897="me",0,IF(G2897&gt;0,(VLOOKUP(A2897,'Discount Lookup'!J:K,2)*G2897),0))))</f>
        <v>0</v>
      </c>
      <c r="AJ2897" s="513" t="str">
        <f t="shared" ca="1" si="2256"/>
        <v/>
      </c>
      <c r="AK2897" s="700" t="str">
        <f t="shared" si="2257"/>
        <v/>
      </c>
      <c r="AL2897" s="700"/>
      <c r="AM2897" s="505" t="str">
        <f t="shared" si="2258"/>
        <v/>
      </c>
      <c r="AN2897" s="506"/>
      <c r="AO2897" s="507"/>
      <c r="AP2897" s="507"/>
      <c r="AQ2897" s="507"/>
      <c r="AR2897" s="507"/>
      <c r="AS2897" s="507"/>
      <c r="AT2897" s="507"/>
      <c r="AU2897" s="507"/>
      <c r="AV2897" s="225"/>
      <c r="AW2897" s="508"/>
      <c r="AX2897" s="225"/>
      <c r="AY2897" s="225"/>
      <c r="AZ2897" s="225"/>
      <c r="BA2897" s="225"/>
      <c r="BB2897" s="225"/>
      <c r="BC2897" s="56"/>
      <c r="BD2897" s="56"/>
      <c r="BE2897" s="56"/>
      <c r="BF2897" s="107" t="str">
        <f t="shared" si="2259"/>
        <v>https://www.google.com/search?tbm=isch&amp;q=Plum%20Passion%20known%20for%20deep%2C%20saturated%20color%2C%20that%20deepens%20to%20Rich%20Burgundy-Purple%20in%20fall%2Fwinter.%20Sparse%20berries%20for%20less%20spreading%20</v>
      </c>
      <c r="BG2897" s="107" t="str">
        <f t="shared" si="2260"/>
        <v>P</v>
      </c>
      <c r="BH2897" s="254"/>
      <c r="BI2897" s="254"/>
    </row>
    <row r="2898" spans="1:61" customFormat="1" ht="18" x14ac:dyDescent="0.25">
      <c r="A2898" s="521" t="s">
        <v>1535</v>
      </c>
      <c r="B2898" s="477"/>
      <c r="C2898" s="674"/>
      <c r="D2898" s="478" t="s">
        <v>1536</v>
      </c>
      <c r="E2898" s="479"/>
      <c r="F2898" s="479"/>
      <c r="G2898" s="479"/>
      <c r="H2898" s="582" t="s">
        <v>441</v>
      </c>
      <c r="I2898" s="480" t="s">
        <v>2093</v>
      </c>
      <c r="J2898" s="479"/>
      <c r="K2898" s="479"/>
      <c r="L2898" s="560"/>
      <c r="M2898" s="671" t="s">
        <v>4985</v>
      </c>
      <c r="N2898" s="680" t="str">
        <f>IF(AND(ISTEXT($A2898), ISERROR($A2898+0)), HYPERLINK($BF2898, "Images"), "")</f>
        <v>Images</v>
      </c>
      <c r="O2898" s="662" t="s">
        <v>4969</v>
      </c>
      <c r="P2898" s="482"/>
      <c r="Q2898" s="483"/>
      <c r="R2898" s="483"/>
      <c r="S2898" s="484"/>
      <c r="T2898" s="508">
        <f t="shared" si="2248"/>
        <v>0</v>
      </c>
      <c r="U2898" s="225" t="str">
        <f>IF(NOT(ISNUMBER(G2898)), "", VLOOKUP(A2898,'Discount Lookup'!D:E,2,FALSE)*G2898)</f>
        <v/>
      </c>
      <c r="V2898" s="225" t="str">
        <f>IF(NOT(ISNUMBER(G2898)), "", VLOOKUP(A2898,'Discount Lookup'!G:H,2,FALSE)*G2898)</f>
        <v/>
      </c>
      <c r="W2898" s="508">
        <f t="shared" si="2249"/>
        <v>0</v>
      </c>
      <c r="X2898" s="508" t="str">
        <f t="shared" si="2250"/>
        <v>Dark Green foliage</v>
      </c>
      <c r="Y2898" s="509" t="b">
        <f t="shared" si="2251"/>
        <v>0</v>
      </c>
      <c r="Z2898" s="510">
        <f t="shared" si="2252"/>
        <v>0</v>
      </c>
      <c r="AA2898" s="511"/>
      <c r="AB2898" s="511" t="str">
        <f t="shared" si="2253"/>
        <v/>
      </c>
      <c r="AC2898" s="698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698"/>
      <c r="AE2898" s="631" t="str">
        <f t="shared" si="2254"/>
        <v/>
      </c>
      <c r="AF2898" s="699" t="str">
        <f t="shared" si="2255"/>
        <v/>
      </c>
      <c r="AG2898" s="699"/>
      <c r="AH2898" s="699"/>
      <c r="AI2898" s="512">
        <f>IF(H2898="credit",0,IF(AE2898="free",0,IF(AE2898="me",0,IF(G2898&gt;0,(VLOOKUP(A2898,'Discount Lookup'!J:K,2)*G2898),0))))</f>
        <v>0</v>
      </c>
      <c r="AJ2898" s="513" t="str">
        <f t="shared" ca="1" si="2256"/>
        <v/>
      </c>
      <c r="AK2898" s="700" t="str">
        <f t="shared" si="2257"/>
        <v/>
      </c>
      <c r="AL2898" s="700"/>
      <c r="AM2898" s="505" t="str">
        <f t="shared" si="2258"/>
        <v/>
      </c>
      <c r="AN2898" s="506"/>
      <c r="AO2898" s="507"/>
      <c r="AP2898" s="507"/>
      <c r="AQ2898" s="507"/>
      <c r="AR2898" s="507"/>
      <c r="AS2898" s="507"/>
      <c r="AT2898" s="507"/>
      <c r="AU2898" s="507"/>
      <c r="AV2898" s="225"/>
      <c r="AW2898" s="508"/>
      <c r="AX2898" s="225"/>
      <c r="AY2898" s="225"/>
      <c r="AZ2898" s="225"/>
      <c r="BA2898" s="225"/>
      <c r="BB2898" s="225"/>
      <c r="BC2898" s="56"/>
      <c r="BD2898" s="56"/>
      <c r="BE2898" s="56"/>
      <c r="BF2898" s="107" t="str">
        <f t="shared" si="2259"/>
        <v>https://www.google.com/search?tbm=isch&amp;q=Poet%27s%20Laurel%20Danae%20racemosa</v>
      </c>
      <c r="BG2898" s="107" t="str">
        <f t="shared" si="2260"/>
        <v>P</v>
      </c>
      <c r="BH2898" s="254"/>
      <c r="BI2898" s="254"/>
    </row>
    <row r="2899" spans="1:61" customFormat="1" ht="15.75" x14ac:dyDescent="0.25">
      <c r="A2899" s="485">
        <v>3</v>
      </c>
      <c r="B2899" s="486" t="s">
        <v>291</v>
      </c>
      <c r="C2899" s="487" t="s">
        <v>3699</v>
      </c>
      <c r="D2899" s="488" t="s">
        <v>292</v>
      </c>
      <c r="E2899" s="489">
        <v>63.95</v>
      </c>
      <c r="F2899" s="516" t="s">
        <v>293</v>
      </c>
      <c r="G2899" s="232">
        <v>0</v>
      </c>
      <c r="H2899" s="658" t="str">
        <f>IF(G2899=0,"",IF(F2899="Buy",IF(G2899=1,"plant","plants"),IF(F2899&gt;0.01,"warranty","Error")))</f>
        <v/>
      </c>
      <c r="I2899" s="490">
        <f>IF(H2899="free",0,IF(H2899="credit",((E2899*(F2899))*G2899*-1),IF(F2899="Buy",(E2899*G2899),((E2899*(1-F2899))*G2899))))</f>
        <v>0</v>
      </c>
      <c r="J2899" s="490">
        <f>IF(H2899="warranty",0,(I2899*(_xlfn.SINGLE(SalesTaxPercentage))))</f>
        <v>0</v>
      </c>
      <c r="K2899" s="695">
        <f t="shared" ref="K2899" si="2262">I2899+J2899</f>
        <v>0</v>
      </c>
      <c r="L2899" s="695"/>
      <c r="M2899" s="659" t="str">
        <f>IF(AND(G2899&gt;0,E2899=0),"WARNING - no PRICE inserted",IF(H2899="free"," FREE ~ no charge this plant",IF(H2899="credit",CONCATENATE(" -$",ROUND(K2899*(1-T2GDiscount)*-1,2)," CREDIT after discount"),IF(T2GDiscount=0,"",IF(G2899=0,"",IF(F2899="Buy",CONCATENATE(" $",ROUND(K2899*(1-T2GDiscount),2)," with ",(T2GDiscount*100),"% discount"),CONCATENATE(" $",ROUND(K2899*(1-T2GDiscount),2)," with ",((T2GDiscount*100+F2899*100)-(T2GDiscount*100*F2899)),IF(F2899&gt;0,"% discounts",IF(NoWarrantyDiscount&gt;0,"% discounts","% discount")))))))))</f>
        <v/>
      </c>
      <c r="N2899" s="660"/>
      <c r="O2899" s="233"/>
      <c r="P2899" s="233"/>
      <c r="Q2899" s="233"/>
      <c r="R2899" s="233"/>
      <c r="S2899" s="233"/>
      <c r="T2899" s="508">
        <f t="shared" si="2248"/>
        <v>0</v>
      </c>
      <c r="U2899" s="225">
        <f>IF(NOT(ISNUMBER(G2899)), "", VLOOKUP(A2899,'Discount Lookup'!D:E,2,FALSE)*G2899)</f>
        <v>0</v>
      </c>
      <c r="V2899" s="225">
        <f>IF(NOT(ISNUMBER(G2899)), "", VLOOKUP(A2899,'Discount Lookup'!G:H,2,FALSE)*G2899)</f>
        <v>0</v>
      </c>
      <c r="W2899" s="508">
        <f t="shared" si="2249"/>
        <v>0</v>
      </c>
      <c r="X2899" s="508">
        <f t="shared" si="2250"/>
        <v>0</v>
      </c>
      <c r="Y2899" s="509" t="b">
        <f t="shared" si="2251"/>
        <v>0</v>
      </c>
      <c r="Z2899" s="510">
        <f t="shared" si="2252"/>
        <v>0</v>
      </c>
      <c r="AA2899" s="511"/>
      <c r="AB2899" s="511" t="str">
        <f t="shared" si="2253"/>
        <v/>
      </c>
      <c r="AC2899" s="698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698"/>
      <c r="AE2899" s="631" t="str">
        <f t="shared" si="2254"/>
        <v/>
      </c>
      <c r="AF2899" s="699" t="str">
        <f t="shared" si="2255"/>
        <v/>
      </c>
      <c r="AG2899" s="699"/>
      <c r="AH2899" s="699"/>
      <c r="AI2899" s="512">
        <f>IF(H2899="credit",0,IF(AE2899="free",0,IF(AE2899="me",0,IF(G2899&gt;0,(VLOOKUP(A2899,'Discount Lookup'!J:K,2)*G2899),0))))</f>
        <v>0</v>
      </c>
      <c r="AJ2899" s="513" t="str">
        <f t="shared" ca="1" si="2256"/>
        <v/>
      </c>
      <c r="AK2899" s="700" t="str">
        <f t="shared" si="2257"/>
        <v/>
      </c>
      <c r="AL2899" s="700"/>
      <c r="AM2899" s="505" t="str">
        <f t="shared" si="2258"/>
        <v/>
      </c>
      <c r="AN2899" s="506"/>
      <c r="AO2899" s="507"/>
      <c r="AP2899" s="507"/>
      <c r="AQ2899" s="507"/>
      <c r="AR2899" s="507"/>
      <c r="AS2899" s="507"/>
      <c r="AT2899" s="507"/>
      <c r="AU2899" s="507"/>
      <c r="AV2899" s="225"/>
      <c r="AW2899" s="508"/>
      <c r="AX2899" s="225"/>
      <c r="AY2899" s="225"/>
      <c r="AZ2899" s="225"/>
      <c r="BA2899" s="225"/>
      <c r="BB2899" s="225"/>
      <c r="BC2899" s="56"/>
      <c r="BD2899" s="56"/>
      <c r="BE2899" s="56"/>
      <c r="BF2899" s="107" t="str">
        <f t="shared" si="2259"/>
        <v>https://www.google.com/search?tbm=isch&amp;q=3%20G4</v>
      </c>
      <c r="BG2899" s="107" t="str">
        <f t="shared" si="2260"/>
        <v>P</v>
      </c>
      <c r="BH2899" s="254"/>
      <c r="BI2899" s="254"/>
    </row>
    <row r="2900" spans="1:61" customFormat="1" ht="15.75" x14ac:dyDescent="0.25">
      <c r="A2900" s="485">
        <v>3</v>
      </c>
      <c r="B2900" s="486" t="s">
        <v>291</v>
      </c>
      <c r="C2900" s="487" t="s">
        <v>1537</v>
      </c>
      <c r="D2900" s="488" t="s">
        <v>300</v>
      </c>
      <c r="E2900" s="489">
        <v>72.95</v>
      </c>
      <c r="F2900" s="516" t="s">
        <v>293</v>
      </c>
      <c r="G2900" s="232">
        <v>0</v>
      </c>
      <c r="H2900" s="658" t="str">
        <f>IF(G2900=0,"",IF(F2900="Buy",IF(G2900=1,"plant","plants"),IF(F2900&gt;0.01,"warranty","Error")))</f>
        <v/>
      </c>
      <c r="I2900" s="490">
        <f>IF(H2900="free",0,IF(H2900="credit",((E2900*(F2900))*G2900*-1),IF(F2900="Buy",(E2900*G2900),((E2900*(1-F2900))*G2900))))</f>
        <v>0</v>
      </c>
      <c r="J2900" s="490">
        <f>IF(H2900="warranty",0,(I2900*(_xlfn.SINGLE(SalesTaxPercentage))))</f>
        <v>0</v>
      </c>
      <c r="K2900" s="695">
        <f t="shared" ref="K2900" si="2263">I2900+J2900</f>
        <v>0</v>
      </c>
      <c r="L2900" s="695"/>
      <c r="M2900" s="659" t="str">
        <f>IF(AND(G2900&gt;0,E2900=0),"WARNING - no PRICE inserted",IF(H2900="free"," FREE ~ no charge this plant",IF(H2900="credit",CONCATENATE(" -$",ROUND(K2900*(1-T2GDiscount)*-1,2)," CREDIT after discount"),IF(T2GDiscount=0,"",IF(G2900=0,"",IF(F2900="Buy",CONCATENATE(" $",ROUND(K2900*(1-T2GDiscount),2)," with ",(T2GDiscount*100),"% discount"),CONCATENATE(" $",ROUND(K2900*(1-T2GDiscount),2)," with ",((T2GDiscount*100+F2900*100)-(T2GDiscount*100*F2900)),IF(F2900&gt;0,"% discounts",IF(NoWarrantyDiscount&gt;0,"% discounts","% discount")))))))))</f>
        <v/>
      </c>
      <c r="N2900" s="660"/>
      <c r="O2900" s="233"/>
      <c r="P2900" s="233"/>
      <c r="Q2900" s="233"/>
      <c r="R2900" s="233"/>
      <c r="S2900" s="233"/>
      <c r="T2900" s="508">
        <f t="shared" si="2248"/>
        <v>0</v>
      </c>
      <c r="U2900" s="225">
        <f>IF(NOT(ISNUMBER(G2900)), "", VLOOKUP(A2900,'Discount Lookup'!D:E,2,FALSE)*G2900)</f>
        <v>0</v>
      </c>
      <c r="V2900" s="225">
        <f>IF(NOT(ISNUMBER(G2900)), "", VLOOKUP(A2900,'Discount Lookup'!G:H,2,FALSE)*G2900)</f>
        <v>0</v>
      </c>
      <c r="W2900" s="508">
        <f t="shared" si="2249"/>
        <v>0</v>
      </c>
      <c r="X2900" s="508">
        <f t="shared" si="2250"/>
        <v>0</v>
      </c>
      <c r="Y2900" s="509" t="b">
        <f t="shared" si="2251"/>
        <v>0</v>
      </c>
      <c r="Z2900" s="510">
        <f t="shared" si="2252"/>
        <v>0</v>
      </c>
      <c r="AA2900" s="511"/>
      <c r="AB2900" s="511" t="str">
        <f t="shared" si="2253"/>
        <v/>
      </c>
      <c r="AC2900" s="698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698"/>
      <c r="AE2900" s="631" t="str">
        <f t="shared" si="2254"/>
        <v/>
      </c>
      <c r="AF2900" s="699" t="str">
        <f t="shared" si="2255"/>
        <v/>
      </c>
      <c r="AG2900" s="699"/>
      <c r="AH2900" s="699"/>
      <c r="AI2900" s="512">
        <f>IF(H2900="credit",0,IF(AE2900="free",0,IF(AE2900="me",0,IF(G2900&gt;0,(VLOOKUP(A2900,'Discount Lookup'!J:K,2)*G2900),0))))</f>
        <v>0</v>
      </c>
      <c r="AJ2900" s="513" t="str">
        <f t="shared" ca="1" si="2256"/>
        <v/>
      </c>
      <c r="AK2900" s="700" t="str">
        <f t="shared" si="2257"/>
        <v/>
      </c>
      <c r="AL2900" s="700"/>
      <c r="AM2900" s="505" t="str">
        <f t="shared" si="2258"/>
        <v/>
      </c>
      <c r="AN2900" s="506"/>
      <c r="AO2900" s="507"/>
      <c r="AP2900" s="507"/>
      <c r="AQ2900" s="507"/>
      <c r="AR2900" s="507"/>
      <c r="AS2900" s="507"/>
      <c r="AT2900" s="507"/>
      <c r="AU2900" s="507"/>
      <c r="AV2900" s="225"/>
      <c r="AW2900" s="508"/>
      <c r="AX2900" s="225"/>
      <c r="AY2900" s="225"/>
      <c r="AZ2900" s="225"/>
      <c r="BA2900" s="225"/>
      <c r="BB2900" s="225"/>
      <c r="BC2900" s="56"/>
      <c r="BD2900" s="56"/>
      <c r="BE2900" s="56"/>
      <c r="BF2900" s="107" t="str">
        <f t="shared" si="2259"/>
        <v>https://www.google.com/search?tbm=isch&amp;q=3%20G6</v>
      </c>
      <c r="BG2900" s="107" t="str">
        <f t="shared" si="2260"/>
        <v>P</v>
      </c>
      <c r="BH2900" s="254"/>
      <c r="BI2900" s="254"/>
    </row>
    <row r="2901" spans="1:61" customFormat="1" ht="17.25" thickBot="1" x14ac:dyDescent="0.3">
      <c r="A2901" s="522" t="s">
        <v>2989</v>
      </c>
      <c r="B2901" s="491"/>
      <c r="C2901" s="675"/>
      <c r="D2901" s="491"/>
      <c r="E2901" s="491"/>
      <c r="F2901" s="492"/>
      <c r="G2901" s="493"/>
      <c r="H2901" s="491"/>
      <c r="I2901" s="234"/>
      <c r="J2901" s="234"/>
      <c r="K2901" s="494"/>
      <c r="L2901" s="543"/>
      <c r="M2901" s="561"/>
      <c r="N2901" s="495"/>
      <c r="O2901" s="496"/>
      <c r="P2901" s="497"/>
      <c r="Q2901" s="495"/>
      <c r="R2901" s="495"/>
      <c r="S2901" s="667" t="s">
        <v>4982</v>
      </c>
      <c r="T2901" s="508">
        <f t="shared" si="2248"/>
        <v>0</v>
      </c>
      <c r="U2901" s="225" t="str">
        <f>IF(NOT(ISNUMBER(G2901)), "", VLOOKUP(A2901,'Discount Lookup'!D:E,2,FALSE)*G2901)</f>
        <v/>
      </c>
      <c r="V2901" s="225" t="str">
        <f>IF(NOT(ISNUMBER(G2901)), "", VLOOKUP(A2901,'Discount Lookup'!G:H,2,FALSE)*G2901)</f>
        <v/>
      </c>
      <c r="W2901" s="508">
        <f t="shared" si="2249"/>
        <v>0</v>
      </c>
      <c r="X2901" s="508">
        <f t="shared" si="2250"/>
        <v>0</v>
      </c>
      <c r="Y2901" s="509" t="b">
        <f t="shared" si="2251"/>
        <v>0</v>
      </c>
      <c r="Z2901" s="510">
        <f t="shared" si="2252"/>
        <v>0</v>
      </c>
      <c r="AA2901" s="511"/>
      <c r="AB2901" s="511" t="str">
        <f t="shared" si="2253"/>
        <v/>
      </c>
      <c r="AC2901" s="698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698"/>
      <c r="AE2901" s="631" t="str">
        <f t="shared" si="2254"/>
        <v/>
      </c>
      <c r="AF2901" s="699" t="str">
        <f t="shared" si="2255"/>
        <v/>
      </c>
      <c r="AG2901" s="699"/>
      <c r="AH2901" s="699"/>
      <c r="AI2901" s="512">
        <f>IF(H2901="credit",0,IF(AE2901="free",0,IF(AE2901="me",0,IF(G2901&gt;0,(VLOOKUP(A2901,'Discount Lookup'!J:K,2)*G2901),0))))</f>
        <v>0</v>
      </c>
      <c r="AJ2901" s="513" t="str">
        <f t="shared" ca="1" si="2256"/>
        <v/>
      </c>
      <c r="AK2901" s="700" t="str">
        <f t="shared" si="2257"/>
        <v/>
      </c>
      <c r="AL2901" s="700"/>
      <c r="AM2901" s="505" t="str">
        <f t="shared" si="2258"/>
        <v/>
      </c>
      <c r="AN2901" s="506"/>
      <c r="AO2901" s="507"/>
      <c r="AP2901" s="507"/>
      <c r="AQ2901" s="507"/>
      <c r="AR2901" s="507"/>
      <c r="AS2901" s="507"/>
      <c r="AT2901" s="507"/>
      <c r="AU2901" s="507"/>
      <c r="AV2901" s="225"/>
      <c r="AW2901" s="508"/>
      <c r="AX2901" s="225"/>
      <c r="AY2901" s="225"/>
      <c r="AZ2901" s="225"/>
      <c r="BA2901" s="225"/>
      <c r="BB2901" s="225"/>
      <c r="BC2901" s="56"/>
      <c r="BD2901" s="56"/>
      <c r="BE2901" s="56"/>
      <c r="BF2901" s="107" t="str">
        <f t="shared" si="2259"/>
        <v>https://www.google.com/search?tbm=isch&amp;q=Poet%27s%20Laurel%20has%20graceful%2C%20arching%20stems%20and%20lance-shaped%20foliage.%20Small%2C%20Yellowish-Green%20flowers.%20Orange-Red%20berries%20</v>
      </c>
      <c r="BG2901" s="107" t="str">
        <f t="shared" si="2260"/>
        <v>P</v>
      </c>
      <c r="BH2901" s="254"/>
      <c r="BI2901" s="254"/>
    </row>
    <row r="2902" spans="1:61" customFormat="1" ht="18" x14ac:dyDescent="0.25">
      <c r="A2902" s="523" t="s">
        <v>5496</v>
      </c>
      <c r="B2902" s="235"/>
      <c r="C2902" s="676"/>
      <c r="D2902" s="255" t="s">
        <v>1538</v>
      </c>
      <c r="E2902" s="236"/>
      <c r="F2902" s="236"/>
      <c r="G2902" s="236"/>
      <c r="H2902" s="582" t="s">
        <v>443</v>
      </c>
      <c r="I2902" s="498" t="s">
        <v>847</v>
      </c>
      <c r="J2902" s="237"/>
      <c r="K2902" s="237"/>
      <c r="L2902" s="274"/>
      <c r="M2902" s="670" t="s">
        <v>4973</v>
      </c>
      <c r="N2902" s="681" t="str">
        <f>IF(AND(ISTEXT($A2902), ISERROR($A2902+0)), HYPERLINK($BF2902, "Images"), "")</f>
        <v>Images</v>
      </c>
      <c r="O2902" s="663" t="s">
        <v>4974</v>
      </c>
      <c r="P2902" s="253"/>
      <c r="Q2902" s="238"/>
      <c r="R2902" s="239"/>
      <c r="S2902" s="275"/>
      <c r="T2902" s="508">
        <f t="shared" si="2248"/>
        <v>0</v>
      </c>
      <c r="U2902" s="225" t="str">
        <f>IF(NOT(ISNUMBER(G2902)), "", VLOOKUP(A2902,'Discount Lookup'!D:E,2,FALSE)*G2902)</f>
        <v/>
      </c>
      <c r="V2902" s="225" t="str">
        <f>IF(NOT(ISNUMBER(G2902)), "", VLOOKUP(A2902,'Discount Lookup'!G:H,2,FALSE)*G2902)</f>
        <v/>
      </c>
      <c r="W2902" s="508">
        <f t="shared" si="2249"/>
        <v>0</v>
      </c>
      <c r="X2902" s="508" t="str">
        <f t="shared" si="2250"/>
        <v>Blue to Pink bloom</v>
      </c>
      <c r="Y2902" s="509" t="b">
        <f t="shared" si="2251"/>
        <v>0</v>
      </c>
      <c r="Z2902" s="510">
        <f t="shared" si="2252"/>
        <v>0</v>
      </c>
      <c r="AA2902" s="511"/>
      <c r="AB2902" s="511" t="str">
        <f t="shared" si="2253"/>
        <v/>
      </c>
      <c r="AC2902" s="698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698"/>
      <c r="AE2902" s="631" t="str">
        <f t="shared" si="2254"/>
        <v/>
      </c>
      <c r="AF2902" s="699" t="str">
        <f t="shared" si="2255"/>
        <v/>
      </c>
      <c r="AG2902" s="699"/>
      <c r="AH2902" s="699"/>
      <c r="AI2902" s="512">
        <f>IF(H2902="credit",0,IF(AE2902="free",0,IF(AE2902="me",0,IF(G2902&gt;0,(VLOOKUP(A2902,'Discount Lookup'!J:K,2)*G2902),0))))</f>
        <v>0</v>
      </c>
      <c r="AJ2902" s="513" t="str">
        <f t="shared" ca="1" si="2256"/>
        <v/>
      </c>
      <c r="AK2902" s="700" t="str">
        <f t="shared" si="2257"/>
        <v/>
      </c>
      <c r="AL2902" s="700"/>
      <c r="AM2902" s="505" t="str">
        <f t="shared" si="2258"/>
        <v/>
      </c>
      <c r="AN2902" s="506"/>
      <c r="AO2902" s="507"/>
      <c r="AP2902" s="507"/>
      <c r="AQ2902" s="507"/>
      <c r="AR2902" s="507"/>
      <c r="AS2902" s="507"/>
      <c r="AT2902" s="507"/>
      <c r="AU2902" s="507"/>
      <c r="AV2902" s="225"/>
      <c r="AW2902" s="508"/>
      <c r="AX2902" s="225"/>
      <c r="AY2902" s="225"/>
      <c r="AZ2902" s="225"/>
      <c r="BA2902" s="225"/>
      <c r="BB2902" s="225"/>
      <c r="BC2902" s="56"/>
      <c r="BD2902" s="56"/>
      <c r="BE2902" s="56"/>
      <c r="BF2902" s="107" t="str">
        <f t="shared" si="2259"/>
        <v>https://www.google.com/search?tbm=isch&amp;q=Pop%20Star%E2%84%A2%20Bigleaf%20Hydrangea%20Hyd.%20macrophylla%20%27Bailmacsix%27%20PP%2333703</v>
      </c>
      <c r="BG2902" s="107" t="str">
        <f t="shared" si="2260"/>
        <v>P</v>
      </c>
      <c r="BH2902" s="254"/>
      <c r="BI2902" s="254"/>
    </row>
    <row r="2903" spans="1:61" customFormat="1" ht="15.75" x14ac:dyDescent="0.25">
      <c r="A2903" s="276">
        <v>3</v>
      </c>
      <c r="B2903" s="240" t="s">
        <v>291</v>
      </c>
      <c r="C2903" s="241" t="s">
        <v>4683</v>
      </c>
      <c r="D2903" s="242" t="s">
        <v>312</v>
      </c>
      <c r="E2903" s="243">
        <v>32.950000000000003</v>
      </c>
      <c r="F2903" s="517" t="s">
        <v>293</v>
      </c>
      <c r="G2903" s="232">
        <v>0</v>
      </c>
      <c r="H2903" s="661" t="str">
        <f>IF(G2903=0,"",IF(F2903="Buy",IF(G2903=1,"plant","plants"),IF(F2903&gt;0.01,"warranty","Error")))</f>
        <v/>
      </c>
      <c r="I2903" s="244">
        <f>IF(H2903="free",0,IF(H2903="credit",((E2903*(F2903))*G2903*-1),IF(F2903="Buy",(E2903*G2903),((E2903*(1-F2903))*G2903))))</f>
        <v>0</v>
      </c>
      <c r="J2903" s="244">
        <f>IF(H2903="warranty",0,(I2903*(_xlfn.SINGLE(SalesTaxPercentage))))</f>
        <v>0</v>
      </c>
      <c r="K2903" s="696">
        <f t="shared" ref="K2903" si="2264">I2903+J2903</f>
        <v>0</v>
      </c>
      <c r="L2903" s="696"/>
      <c r="M2903" s="659" t="str">
        <f>IF(AND(G2903&gt;0,E2903=0),"WARNING - no PRICE inserted",IF(H2903="free"," FREE ~ no charge this plant",IF(H2903="credit",CONCATENATE(" -$",ROUND(K2903*(1-T2GDiscount)*-1,2)," CREDIT after discount"),IF(T2GDiscount=0,"",IF(G2903=0,"",IF(F2903="Buy",CONCATENATE(" $",ROUND(K2903*(1-T2GDiscount),2)," with ",(T2GDiscount*100),"% discount"),CONCATENATE(" $",ROUND(K2903*(1-T2GDiscount),2)," with ",((T2GDiscount*100+F2903*100)-(T2GDiscount*100*F2903)),IF(F2903&gt;0,"% discounts",IF(NoWarrantyDiscount&gt;0,"% discounts","% discount")))))))))</f>
        <v/>
      </c>
      <c r="N2903" s="660"/>
      <c r="O2903" s="233"/>
      <c r="P2903" s="233"/>
      <c r="Q2903" s="233"/>
      <c r="R2903" s="233"/>
      <c r="S2903" s="233"/>
      <c r="T2903" s="508">
        <f t="shared" si="2248"/>
        <v>0</v>
      </c>
      <c r="U2903" s="225">
        <f>IF(NOT(ISNUMBER(G2903)), "", VLOOKUP(A2903,'Discount Lookup'!D:E,2,FALSE)*G2903)</f>
        <v>0</v>
      </c>
      <c r="V2903" s="225">
        <f>IF(NOT(ISNUMBER(G2903)), "", VLOOKUP(A2903,'Discount Lookup'!G:H,2,FALSE)*G2903)</f>
        <v>0</v>
      </c>
      <c r="W2903" s="508">
        <f t="shared" si="2249"/>
        <v>0</v>
      </c>
      <c r="X2903" s="508">
        <f t="shared" si="2250"/>
        <v>0</v>
      </c>
      <c r="Y2903" s="509" t="b">
        <f t="shared" si="2251"/>
        <v>0</v>
      </c>
      <c r="Z2903" s="510">
        <f t="shared" si="2252"/>
        <v>0</v>
      </c>
      <c r="AA2903" s="511"/>
      <c r="AB2903" s="511" t="str">
        <f t="shared" si="2253"/>
        <v/>
      </c>
      <c r="AC2903" s="698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698"/>
      <c r="AE2903" s="631" t="str">
        <f t="shared" si="2254"/>
        <v/>
      </c>
      <c r="AF2903" s="699" t="str">
        <f t="shared" si="2255"/>
        <v/>
      </c>
      <c r="AG2903" s="699"/>
      <c r="AH2903" s="699"/>
      <c r="AI2903" s="512">
        <f>IF(H2903="credit",0,IF(AE2903="free",0,IF(AE2903="me",0,IF(G2903&gt;0,(VLOOKUP(A2903,'Discount Lookup'!J:K,2)*G2903),0))))</f>
        <v>0</v>
      </c>
      <c r="AJ2903" s="513" t="str">
        <f t="shared" ca="1" si="2256"/>
        <v/>
      </c>
      <c r="AK2903" s="700" t="str">
        <f t="shared" si="2257"/>
        <v/>
      </c>
      <c r="AL2903" s="700"/>
      <c r="AM2903" s="505" t="str">
        <f t="shared" si="2258"/>
        <v/>
      </c>
      <c r="AN2903" s="506"/>
      <c r="AO2903" s="507"/>
      <c r="AP2903" s="507"/>
      <c r="AQ2903" s="507"/>
      <c r="AR2903" s="507"/>
      <c r="AS2903" s="507"/>
      <c r="AT2903" s="507"/>
      <c r="AU2903" s="507"/>
      <c r="AV2903" s="225"/>
      <c r="AW2903" s="508"/>
      <c r="AX2903" s="225"/>
      <c r="AY2903" s="225"/>
      <c r="AZ2903" s="225"/>
      <c r="BA2903" s="225"/>
      <c r="BB2903" s="225"/>
      <c r="BC2903" s="56"/>
      <c r="BD2903" s="56"/>
      <c r="BE2903" s="56"/>
      <c r="BF2903" s="107" t="str">
        <f t="shared" si="2259"/>
        <v>https://www.google.com/search?tbm=isch&amp;q=3%20G2</v>
      </c>
      <c r="BG2903" s="107" t="str">
        <f t="shared" si="2260"/>
        <v>P</v>
      </c>
      <c r="BH2903" s="254"/>
      <c r="BI2903" s="254"/>
    </row>
    <row r="2904" spans="1:61" customFormat="1" ht="17.25" thickBot="1" x14ac:dyDescent="0.3">
      <c r="A2904" s="673" t="s">
        <v>5208</v>
      </c>
      <c r="B2904" s="245"/>
      <c r="C2904" s="677"/>
      <c r="D2904" s="499"/>
      <c r="E2904" s="499"/>
      <c r="F2904" s="500"/>
      <c r="G2904" s="501"/>
      <c r="H2904" s="502"/>
      <c r="I2904" s="246"/>
      <c r="J2904" s="247"/>
      <c r="K2904" s="503"/>
      <c r="L2904" s="544"/>
      <c r="M2904" s="544"/>
      <c r="N2904" s="500"/>
      <c r="O2904" s="500"/>
      <c r="P2904" s="500"/>
      <c r="Q2904" s="500"/>
      <c r="R2904" s="500"/>
      <c r="S2904" s="278"/>
      <c r="T2904" s="508">
        <f t="shared" si="2248"/>
        <v>0</v>
      </c>
      <c r="U2904" s="225" t="str">
        <f>IF(NOT(ISNUMBER(G2904)), "", VLOOKUP(A2904,'Discount Lookup'!D:E,2,FALSE)*G2904)</f>
        <v/>
      </c>
      <c r="V2904" s="225" t="str">
        <f>IF(NOT(ISNUMBER(G2904)), "", VLOOKUP(A2904,'Discount Lookup'!G:H,2,FALSE)*G2904)</f>
        <v/>
      </c>
      <c r="W2904" s="508">
        <f t="shared" si="2249"/>
        <v>0</v>
      </c>
      <c r="X2904" s="508">
        <f t="shared" si="2250"/>
        <v>0</v>
      </c>
      <c r="Y2904" s="509" t="b">
        <f t="shared" si="2251"/>
        <v>0</v>
      </c>
      <c r="Z2904" s="510">
        <f t="shared" si="2252"/>
        <v>0</v>
      </c>
      <c r="AA2904" s="511"/>
      <c r="AB2904" s="511" t="str">
        <f t="shared" si="2253"/>
        <v/>
      </c>
      <c r="AC2904" s="698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698"/>
      <c r="AE2904" s="631" t="str">
        <f t="shared" si="2254"/>
        <v/>
      </c>
      <c r="AF2904" s="699" t="str">
        <f t="shared" si="2255"/>
        <v/>
      </c>
      <c r="AG2904" s="699"/>
      <c r="AH2904" s="699"/>
      <c r="AI2904" s="512">
        <f>IF(H2904="credit",0,IF(AE2904="free",0,IF(AE2904="me",0,IF(G2904&gt;0,(VLOOKUP(A2904,'Discount Lookup'!J:K,2)*G2904),0))))</f>
        <v>0</v>
      </c>
      <c r="AJ2904" s="513" t="str">
        <f t="shared" ca="1" si="2256"/>
        <v/>
      </c>
      <c r="AK2904" s="700" t="str">
        <f t="shared" si="2257"/>
        <v/>
      </c>
      <c r="AL2904" s="700"/>
      <c r="AM2904" s="505" t="str">
        <f t="shared" si="2258"/>
        <v/>
      </c>
      <c r="AN2904" s="506"/>
      <c r="AO2904" s="507"/>
      <c r="AP2904" s="507"/>
      <c r="AQ2904" s="507"/>
      <c r="AR2904" s="507"/>
      <c r="AS2904" s="507"/>
      <c r="AT2904" s="507"/>
      <c r="AU2904" s="507"/>
      <c r="AV2904" s="225"/>
      <c r="AW2904" s="508"/>
      <c r="AX2904" s="225"/>
      <c r="AY2904" s="225"/>
      <c r="AZ2904" s="225"/>
      <c r="BA2904" s="225"/>
      <c r="BB2904" s="225"/>
      <c r="BC2904" s="56"/>
      <c r="BD2904" s="56"/>
      <c r="BE2904" s="56"/>
      <c r="BF2904" s="107" t="str">
        <f t="shared" si="2259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2904" s="107" t="str">
        <f t="shared" si="2260"/>
        <v>m</v>
      </c>
      <c r="BH2904" s="254"/>
      <c r="BI2904" s="254"/>
    </row>
    <row r="2905" spans="1:61" customFormat="1" ht="18" x14ac:dyDescent="0.25">
      <c r="A2905" s="523" t="s">
        <v>5497</v>
      </c>
      <c r="B2905" s="235"/>
      <c r="C2905" s="676"/>
      <c r="D2905" s="255" t="s">
        <v>1539</v>
      </c>
      <c r="E2905" s="236"/>
      <c r="F2905" s="236"/>
      <c r="G2905" s="236"/>
      <c r="H2905" s="582" t="s">
        <v>508</v>
      </c>
      <c r="I2905" s="498" t="s">
        <v>1540</v>
      </c>
      <c r="J2905" s="237"/>
      <c r="K2905" s="237"/>
      <c r="L2905" s="274"/>
      <c r="M2905" s="668" t="s">
        <v>4962</v>
      </c>
      <c r="N2905" s="681" t="str">
        <f>IF(AND(ISTEXT($A2905), ISERROR($A2905+0)), HYPERLINK($BF2905, "Images"), "")</f>
        <v>Images</v>
      </c>
      <c r="O2905" s="663" t="s">
        <v>4974</v>
      </c>
      <c r="P2905" s="253"/>
      <c r="Q2905" s="238"/>
      <c r="R2905" s="239"/>
      <c r="S2905" s="275"/>
      <c r="T2905" s="508">
        <f t="shared" si="2248"/>
        <v>0</v>
      </c>
      <c r="U2905" s="225" t="str">
        <f>IF(NOT(ISNUMBER(G2905)), "", VLOOKUP(A2905,'Discount Lookup'!D:E,2,FALSE)*G2905)</f>
        <v/>
      </c>
      <c r="V2905" s="225" t="str">
        <f>IF(NOT(ISNUMBER(G2905)), "", VLOOKUP(A2905,'Discount Lookup'!G:H,2,FALSE)*G2905)</f>
        <v/>
      </c>
      <c r="W2905" s="508">
        <f t="shared" si="2249"/>
        <v>0</v>
      </c>
      <c r="X2905" s="508" t="str">
        <f t="shared" si="2250"/>
        <v>Yellow to White to Pink bloom</v>
      </c>
      <c r="Y2905" s="509" t="b">
        <f t="shared" si="2251"/>
        <v>0</v>
      </c>
      <c r="Z2905" s="510">
        <f t="shared" si="2252"/>
        <v>0</v>
      </c>
      <c r="AA2905" s="511"/>
      <c r="AB2905" s="511" t="str">
        <f t="shared" si="2253"/>
        <v/>
      </c>
      <c r="AC2905" s="698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698"/>
      <c r="AE2905" s="631" t="str">
        <f t="shared" si="2254"/>
        <v/>
      </c>
      <c r="AF2905" s="699" t="str">
        <f t="shared" si="2255"/>
        <v/>
      </c>
      <c r="AG2905" s="699"/>
      <c r="AH2905" s="699"/>
      <c r="AI2905" s="512">
        <f>IF(H2905="credit",0,IF(AE2905="free",0,IF(AE2905="me",0,IF(G2905&gt;0,(VLOOKUP(A2905,'Discount Lookup'!J:K,2)*G2905),0))))</f>
        <v>0</v>
      </c>
      <c r="AJ2905" s="513" t="str">
        <f t="shared" ca="1" si="2256"/>
        <v/>
      </c>
      <c r="AK2905" s="700" t="str">
        <f t="shared" si="2257"/>
        <v/>
      </c>
      <c r="AL2905" s="700"/>
      <c r="AM2905" s="505" t="str">
        <f t="shared" si="2258"/>
        <v/>
      </c>
      <c r="AN2905" s="506"/>
      <c r="AO2905" s="507"/>
      <c r="AP2905" s="507"/>
      <c r="AQ2905" s="507"/>
      <c r="AR2905" s="507"/>
      <c r="AS2905" s="507"/>
      <c r="AT2905" s="507"/>
      <c r="AU2905" s="507"/>
      <c r="AV2905" s="225"/>
      <c r="AW2905" s="508"/>
      <c r="AX2905" s="225"/>
      <c r="AY2905" s="225"/>
      <c r="AZ2905" s="225"/>
      <c r="BA2905" s="225"/>
      <c r="BB2905" s="225"/>
      <c r="BC2905" s="56"/>
      <c r="BD2905" s="56"/>
      <c r="BE2905" s="56"/>
      <c r="BF2905" s="107" t="str">
        <f t="shared" si="2259"/>
        <v>https://www.google.com/search?tbm=isch&amp;q=Popcorn%20Drift%C2%AE%20Rose%20Rosa%20%27Novarospop%27%20PP%2324773</v>
      </c>
      <c r="BG2905" s="107" t="str">
        <f t="shared" si="2260"/>
        <v>P</v>
      </c>
      <c r="BH2905" s="254"/>
      <c r="BI2905" s="254"/>
    </row>
    <row r="2906" spans="1:61" customFormat="1" ht="15.75" x14ac:dyDescent="0.25">
      <c r="A2906" s="276">
        <v>3</v>
      </c>
      <c r="B2906" s="240" t="s">
        <v>291</v>
      </c>
      <c r="C2906" s="241"/>
      <c r="D2906" s="242" t="s">
        <v>298</v>
      </c>
      <c r="E2906" s="243">
        <v>31.95</v>
      </c>
      <c r="F2906" s="517" t="s">
        <v>293</v>
      </c>
      <c r="G2906" s="232">
        <v>0</v>
      </c>
      <c r="H2906" s="661" t="str">
        <f>IF(G2906=0,"",IF(F2906="Buy",IF(G2906=1,"plant","plants"),IF(F2906&gt;0.01,"warranty","Error")))</f>
        <v/>
      </c>
      <c r="I2906" s="244">
        <f>IF(H2906="free",0,IF(H2906="credit",((E2906*(F2906))*G2906*-1),IF(F2906="Buy",(E2906*G2906),((E2906*(1-F2906))*G2906))))</f>
        <v>0</v>
      </c>
      <c r="J2906" s="244">
        <f>IF(H2906="warranty",0,(I2906*(_xlfn.SINGLE(SalesTaxPercentage))))</f>
        <v>0</v>
      </c>
      <c r="K2906" s="696">
        <f t="shared" ref="K2906" si="2265">I2906+J2906</f>
        <v>0</v>
      </c>
      <c r="L2906" s="696"/>
      <c r="M2906" s="659" t="str">
        <f>IF(AND(G2906&gt;0,E2906=0),"WARNING - no PRICE inserted",IF(H2906="free"," FREE ~ no charge this plant",IF(H2906="credit",CONCATENATE(" -$",ROUND(K2906*(1-T2GDiscount)*-1,2)," CREDIT after discount"),IF(T2GDiscount=0,"",IF(G2906=0,"",IF(F2906="Buy",CONCATENATE(" $",ROUND(K2906*(1-T2GDiscount),2)," with ",(T2GDiscount*100),"% discount"),CONCATENATE(" $",ROUND(K2906*(1-T2GDiscount),2)," with ",((T2GDiscount*100+F2906*100)-(T2GDiscount*100*F2906)),IF(F2906&gt;0,"% discounts",IF(NoWarrantyDiscount&gt;0,"% discounts","% discount")))))))))</f>
        <v/>
      </c>
      <c r="N2906" s="660"/>
      <c r="O2906" s="233"/>
      <c r="P2906" s="233"/>
      <c r="Q2906" s="233"/>
      <c r="R2906" s="233"/>
      <c r="S2906" s="233"/>
      <c r="T2906" s="508">
        <f t="shared" si="2248"/>
        <v>0</v>
      </c>
      <c r="U2906" s="225">
        <f>IF(NOT(ISNUMBER(G2906)), "", VLOOKUP(A2906,'Discount Lookup'!D:E,2,FALSE)*G2906)</f>
        <v>0</v>
      </c>
      <c r="V2906" s="225">
        <f>IF(NOT(ISNUMBER(G2906)), "", VLOOKUP(A2906,'Discount Lookup'!G:H,2,FALSE)*G2906)</f>
        <v>0</v>
      </c>
      <c r="W2906" s="508">
        <f t="shared" si="2249"/>
        <v>0</v>
      </c>
      <c r="X2906" s="508">
        <f t="shared" si="2250"/>
        <v>0</v>
      </c>
      <c r="Y2906" s="509" t="b">
        <f t="shared" si="2251"/>
        <v>0</v>
      </c>
      <c r="Z2906" s="510">
        <f t="shared" si="2252"/>
        <v>0</v>
      </c>
      <c r="AA2906" s="511"/>
      <c r="AB2906" s="511" t="str">
        <f t="shared" si="2253"/>
        <v/>
      </c>
      <c r="AC2906" s="698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698"/>
      <c r="AE2906" s="631" t="str">
        <f t="shared" si="2254"/>
        <v/>
      </c>
      <c r="AF2906" s="699" t="str">
        <f t="shared" si="2255"/>
        <v/>
      </c>
      <c r="AG2906" s="699"/>
      <c r="AH2906" s="699"/>
      <c r="AI2906" s="512">
        <f>IF(H2906="credit",0,IF(AE2906="free",0,IF(AE2906="me",0,IF(G2906&gt;0,(VLOOKUP(A2906,'Discount Lookup'!J:K,2)*G2906),0))))</f>
        <v>0</v>
      </c>
      <c r="AJ2906" s="513" t="str">
        <f t="shared" ca="1" si="2256"/>
        <v/>
      </c>
      <c r="AK2906" s="700" t="str">
        <f t="shared" si="2257"/>
        <v/>
      </c>
      <c r="AL2906" s="700"/>
      <c r="AM2906" s="505" t="str">
        <f t="shared" si="2258"/>
        <v/>
      </c>
      <c r="AN2906" s="506"/>
      <c r="AO2906" s="507"/>
      <c r="AP2906" s="507"/>
      <c r="AQ2906" s="507"/>
      <c r="AR2906" s="507"/>
      <c r="AS2906" s="507"/>
      <c r="AT2906" s="507"/>
      <c r="AU2906" s="507"/>
      <c r="AV2906" s="225"/>
      <c r="AW2906" s="508"/>
      <c r="AX2906" s="225"/>
      <c r="AY2906" s="225"/>
      <c r="AZ2906" s="225"/>
      <c r="BA2906" s="225"/>
      <c r="BB2906" s="225"/>
      <c r="BC2906" s="56"/>
      <c r="BD2906" s="56"/>
      <c r="BE2906" s="56"/>
      <c r="BF2906" s="107" t="str">
        <f t="shared" si="2259"/>
        <v>https://www.google.com/search?tbm=isch&amp;q=3%20G1</v>
      </c>
      <c r="BG2906" s="107" t="str">
        <f t="shared" si="2260"/>
        <v>P</v>
      </c>
      <c r="BH2906" s="254"/>
      <c r="BI2906" s="254"/>
    </row>
    <row r="2907" spans="1:61" customFormat="1" ht="27" x14ac:dyDescent="0.25">
      <c r="A2907" s="276">
        <v>3</v>
      </c>
      <c r="B2907" s="240" t="s">
        <v>291</v>
      </c>
      <c r="C2907" s="241" t="s">
        <v>3270</v>
      </c>
      <c r="D2907" s="242" t="s">
        <v>299</v>
      </c>
      <c r="E2907" s="243">
        <v>35.950000000000003</v>
      </c>
      <c r="F2907" s="517" t="s">
        <v>293</v>
      </c>
      <c r="G2907" s="232">
        <v>0</v>
      </c>
      <c r="H2907" s="661" t="str">
        <f>IF(G2907=0,"",IF(F2907="Buy",IF(G2907=1,"plant","plants"),IF(F2907&gt;0.01,"warranty","Error")))</f>
        <v/>
      </c>
      <c r="I2907" s="244">
        <f>IF(H2907="free",0,IF(H2907="credit",((E2907*(F2907))*G2907*-1),IF(F2907="Buy",(E2907*G2907),((E2907*(1-F2907))*G2907))))</f>
        <v>0</v>
      </c>
      <c r="J2907" s="244">
        <f>IF(H2907="warranty",0,(I2907*(_xlfn.SINGLE(SalesTaxPercentage))))</f>
        <v>0</v>
      </c>
      <c r="K2907" s="696">
        <f t="shared" ref="K2907" si="2266">I2907+J2907</f>
        <v>0</v>
      </c>
      <c r="L2907" s="696"/>
      <c r="M2907" s="659" t="str">
        <f>IF(AND(G2907&gt;0,E2907=0),"WARNING - no PRICE inserted",IF(H2907="free"," FREE ~ no charge this plant",IF(H2907="credit",CONCATENATE(" -$",ROUND(K2907*(1-T2GDiscount)*-1,2)," CREDIT after discount"),IF(T2GDiscount=0,"",IF(G2907=0,"",IF(F2907="Buy",CONCATENATE(" $",ROUND(K2907*(1-T2GDiscount),2)," with ",(T2GDiscount*100),"% discount"),CONCATENATE(" $",ROUND(K2907*(1-T2GDiscount),2)," with ",((T2GDiscount*100+F2907*100)-(T2GDiscount*100*F2907)),IF(F2907&gt;0,"% discounts",IF(NoWarrantyDiscount&gt;0,"% discounts","% discount")))))))))</f>
        <v/>
      </c>
      <c r="N2907" s="660"/>
      <c r="O2907" s="233"/>
      <c r="P2907" s="233"/>
      <c r="Q2907" s="233"/>
      <c r="R2907" s="233"/>
      <c r="S2907" s="233"/>
      <c r="T2907" s="508">
        <f t="shared" si="2248"/>
        <v>0</v>
      </c>
      <c r="U2907" s="225">
        <f>IF(NOT(ISNUMBER(G2907)), "", VLOOKUP(A2907,'Discount Lookup'!D:E,2,FALSE)*G2907)</f>
        <v>0</v>
      </c>
      <c r="V2907" s="225">
        <f>IF(NOT(ISNUMBER(G2907)), "", VLOOKUP(A2907,'Discount Lookup'!G:H,2,FALSE)*G2907)</f>
        <v>0</v>
      </c>
      <c r="W2907" s="508">
        <f t="shared" si="2249"/>
        <v>0</v>
      </c>
      <c r="X2907" s="508">
        <f t="shared" si="2250"/>
        <v>0</v>
      </c>
      <c r="Y2907" s="509" t="b">
        <f t="shared" si="2251"/>
        <v>0</v>
      </c>
      <c r="Z2907" s="510">
        <f t="shared" si="2252"/>
        <v>0</v>
      </c>
      <c r="AA2907" s="511"/>
      <c r="AB2907" s="511" t="str">
        <f t="shared" si="2253"/>
        <v/>
      </c>
      <c r="AC2907" s="698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698"/>
      <c r="AE2907" s="631" t="str">
        <f t="shared" si="2254"/>
        <v/>
      </c>
      <c r="AF2907" s="699" t="str">
        <f t="shared" si="2255"/>
        <v/>
      </c>
      <c r="AG2907" s="699"/>
      <c r="AH2907" s="699"/>
      <c r="AI2907" s="512">
        <f>IF(H2907="credit",0,IF(AE2907="free",0,IF(AE2907="me",0,IF(G2907&gt;0,(VLOOKUP(A2907,'Discount Lookup'!J:K,2)*G2907),0))))</f>
        <v>0</v>
      </c>
      <c r="AJ2907" s="513" t="str">
        <f t="shared" ca="1" si="2256"/>
        <v/>
      </c>
      <c r="AK2907" s="700" t="str">
        <f t="shared" si="2257"/>
        <v/>
      </c>
      <c r="AL2907" s="700"/>
      <c r="AM2907" s="505" t="str">
        <f t="shared" si="2258"/>
        <v/>
      </c>
      <c r="AN2907" s="506"/>
      <c r="AO2907" s="507"/>
      <c r="AP2907" s="507"/>
      <c r="AQ2907" s="507"/>
      <c r="AR2907" s="507"/>
      <c r="AS2907" s="507"/>
      <c r="AT2907" s="507"/>
      <c r="AU2907" s="507"/>
      <c r="AV2907" s="225"/>
      <c r="AW2907" s="508"/>
      <c r="AX2907" s="225"/>
      <c r="AY2907" s="225"/>
      <c r="AZ2907" s="225"/>
      <c r="BA2907" s="225"/>
      <c r="BB2907" s="225"/>
      <c r="BC2907" s="56"/>
      <c r="BD2907" s="56"/>
      <c r="BE2907" s="56"/>
      <c r="BF2907" s="107" t="str">
        <f t="shared" si="2259"/>
        <v>https://www.google.com/search?tbm=isch&amp;q=3%20G5</v>
      </c>
      <c r="BG2907" s="107" t="str">
        <f t="shared" si="2260"/>
        <v>P</v>
      </c>
      <c r="BH2907" s="254"/>
      <c r="BI2907" s="254"/>
    </row>
    <row r="2908" spans="1:61" customFormat="1" ht="15.75" x14ac:dyDescent="0.25">
      <c r="A2908" s="276">
        <v>3</v>
      </c>
      <c r="B2908" s="240" t="s">
        <v>291</v>
      </c>
      <c r="C2908" s="241" t="s">
        <v>3700</v>
      </c>
      <c r="D2908" s="242" t="s">
        <v>292</v>
      </c>
      <c r="E2908" s="243">
        <v>37.950000000000003</v>
      </c>
      <c r="F2908" s="517" t="s">
        <v>293</v>
      </c>
      <c r="G2908" s="232">
        <v>0</v>
      </c>
      <c r="H2908" s="661" t="str">
        <f>IF(G2908=0,"",IF(F2908="Buy",IF(G2908=1,"plant","plants"),IF(F2908&gt;0.01,"warranty","Error")))</f>
        <v/>
      </c>
      <c r="I2908" s="244">
        <f>IF(H2908="free",0,IF(H2908="credit",((E2908*(F2908))*G2908*-1),IF(F2908="Buy",(E2908*G2908),((E2908*(1-F2908))*G2908))))</f>
        <v>0</v>
      </c>
      <c r="J2908" s="244">
        <f>IF(H2908="warranty",0,(I2908*(_xlfn.SINGLE(SalesTaxPercentage))))</f>
        <v>0</v>
      </c>
      <c r="K2908" s="696">
        <f t="shared" ref="K2908" si="2267">I2908+J2908</f>
        <v>0</v>
      </c>
      <c r="L2908" s="696"/>
      <c r="M2908" s="659" t="str">
        <f>IF(AND(G2908&gt;0,E2908=0),"WARNING - no PRICE inserted",IF(H2908="free"," FREE ~ no charge this plant",IF(H2908="credit",CONCATENATE(" -$",ROUND(K2908*(1-T2GDiscount)*-1,2)," CREDIT after discount"),IF(T2GDiscount=0,"",IF(G2908=0,"",IF(F2908="Buy",CONCATENATE(" $",ROUND(K2908*(1-T2GDiscount),2)," with ",(T2GDiscount*100),"% discount"),CONCATENATE(" $",ROUND(K2908*(1-T2GDiscount),2)," with ",((T2GDiscount*100+F2908*100)-(T2GDiscount*100*F2908)),IF(F2908&gt;0,"% discounts",IF(NoWarrantyDiscount&gt;0,"% discounts","% discount")))))))))</f>
        <v/>
      </c>
      <c r="N2908" s="660"/>
      <c r="O2908" s="233"/>
      <c r="P2908" s="233"/>
      <c r="Q2908" s="233"/>
      <c r="R2908" s="233"/>
      <c r="S2908" s="233"/>
      <c r="T2908" s="508">
        <f t="shared" si="2248"/>
        <v>0</v>
      </c>
      <c r="U2908" s="225">
        <f>IF(NOT(ISNUMBER(G2908)), "", VLOOKUP(A2908,'Discount Lookup'!D:E,2,FALSE)*G2908)</f>
        <v>0</v>
      </c>
      <c r="V2908" s="225">
        <f>IF(NOT(ISNUMBER(G2908)), "", VLOOKUP(A2908,'Discount Lookup'!G:H,2,FALSE)*G2908)</f>
        <v>0</v>
      </c>
      <c r="W2908" s="508">
        <f t="shared" si="2249"/>
        <v>0</v>
      </c>
      <c r="X2908" s="508">
        <f t="shared" si="2250"/>
        <v>0</v>
      </c>
      <c r="Y2908" s="509" t="b">
        <f t="shared" si="2251"/>
        <v>0</v>
      </c>
      <c r="Z2908" s="510">
        <f t="shared" si="2252"/>
        <v>0</v>
      </c>
      <c r="AA2908" s="511"/>
      <c r="AB2908" s="511" t="str">
        <f t="shared" si="2253"/>
        <v/>
      </c>
      <c r="AC2908" s="698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698"/>
      <c r="AE2908" s="631" t="str">
        <f t="shared" si="2254"/>
        <v/>
      </c>
      <c r="AF2908" s="699" t="str">
        <f t="shared" si="2255"/>
        <v/>
      </c>
      <c r="AG2908" s="699"/>
      <c r="AH2908" s="699"/>
      <c r="AI2908" s="512">
        <f>IF(H2908="credit",0,IF(AE2908="free",0,IF(AE2908="me",0,IF(G2908&gt;0,(VLOOKUP(A2908,'Discount Lookup'!J:K,2)*G2908),0))))</f>
        <v>0</v>
      </c>
      <c r="AJ2908" s="513" t="str">
        <f t="shared" ca="1" si="2256"/>
        <v/>
      </c>
      <c r="AK2908" s="700" t="str">
        <f t="shared" si="2257"/>
        <v/>
      </c>
      <c r="AL2908" s="700"/>
      <c r="AM2908" s="505" t="str">
        <f t="shared" si="2258"/>
        <v/>
      </c>
      <c r="AN2908" s="506"/>
      <c r="AO2908" s="507"/>
      <c r="AP2908" s="507"/>
      <c r="AQ2908" s="507"/>
      <c r="AR2908" s="507"/>
      <c r="AS2908" s="507"/>
      <c r="AT2908" s="507"/>
      <c r="AU2908" s="507"/>
      <c r="AV2908" s="225"/>
      <c r="AW2908" s="508"/>
      <c r="AX2908" s="225"/>
      <c r="AY2908" s="225"/>
      <c r="AZ2908" s="225"/>
      <c r="BA2908" s="225"/>
      <c r="BB2908" s="225"/>
      <c r="BC2908" s="56"/>
      <c r="BD2908" s="56"/>
      <c r="BE2908" s="56"/>
      <c r="BF2908" s="107" t="str">
        <f t="shared" si="2259"/>
        <v>https://www.google.com/search?tbm=isch&amp;q=3%20G4</v>
      </c>
      <c r="BG2908" s="107" t="str">
        <f t="shared" si="2260"/>
        <v>P</v>
      </c>
      <c r="BH2908" s="254"/>
      <c r="BI2908" s="254"/>
    </row>
    <row r="2909" spans="1:61" customFormat="1" ht="17.25" thickBot="1" x14ac:dyDescent="0.3">
      <c r="A2909" s="524" t="s">
        <v>4052</v>
      </c>
      <c r="B2909" s="245"/>
      <c r="C2909" s="677"/>
      <c r="D2909" s="499"/>
      <c r="E2909" s="499"/>
      <c r="F2909" s="500"/>
      <c r="G2909" s="501"/>
      <c r="H2909" s="502"/>
      <c r="I2909" s="246"/>
      <c r="J2909" s="247"/>
      <c r="K2909" s="503"/>
      <c r="L2909" s="544"/>
      <c r="M2909" s="544"/>
      <c r="N2909" s="500"/>
      <c r="O2909" s="500"/>
      <c r="P2909" s="500"/>
      <c r="Q2909" s="500"/>
      <c r="R2909" s="500"/>
      <c r="S2909" s="669" t="s">
        <v>4980</v>
      </c>
      <c r="T2909" s="508">
        <f t="shared" si="2248"/>
        <v>0</v>
      </c>
      <c r="U2909" s="225" t="str">
        <f>IF(NOT(ISNUMBER(G2909)), "", VLOOKUP(A2909,'Discount Lookup'!D:E,2,FALSE)*G2909)</f>
        <v/>
      </c>
      <c r="V2909" s="225" t="str">
        <f>IF(NOT(ISNUMBER(G2909)), "", VLOOKUP(A2909,'Discount Lookup'!G:H,2,FALSE)*G2909)</f>
        <v/>
      </c>
      <c r="W2909" s="508">
        <f t="shared" si="2249"/>
        <v>0</v>
      </c>
      <c r="X2909" s="508">
        <f t="shared" si="2250"/>
        <v>0</v>
      </c>
      <c r="Y2909" s="509" t="b">
        <f t="shared" si="2251"/>
        <v>0</v>
      </c>
      <c r="Z2909" s="510">
        <f t="shared" si="2252"/>
        <v>0</v>
      </c>
      <c r="AA2909" s="511"/>
      <c r="AB2909" s="511" t="str">
        <f t="shared" si="2253"/>
        <v/>
      </c>
      <c r="AC2909" s="698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698"/>
      <c r="AE2909" s="631" t="str">
        <f t="shared" si="2254"/>
        <v/>
      </c>
      <c r="AF2909" s="699" t="str">
        <f t="shared" si="2255"/>
        <v/>
      </c>
      <c r="AG2909" s="699"/>
      <c r="AH2909" s="699"/>
      <c r="AI2909" s="512">
        <f>IF(H2909="credit",0,IF(AE2909="free",0,IF(AE2909="me",0,IF(G2909&gt;0,(VLOOKUP(A2909,'Discount Lookup'!J:K,2)*G2909),0))))</f>
        <v>0</v>
      </c>
      <c r="AJ2909" s="513" t="str">
        <f t="shared" ca="1" si="2256"/>
        <v/>
      </c>
      <c r="AK2909" s="700" t="str">
        <f t="shared" si="2257"/>
        <v/>
      </c>
      <c r="AL2909" s="700"/>
      <c r="AM2909" s="505" t="str">
        <f t="shared" si="2258"/>
        <v/>
      </c>
      <c r="AN2909" s="506"/>
      <c r="AO2909" s="507"/>
      <c r="AP2909" s="507"/>
      <c r="AQ2909" s="507"/>
      <c r="AR2909" s="507"/>
      <c r="AS2909" s="507"/>
      <c r="AT2909" s="507"/>
      <c r="AU2909" s="507"/>
      <c r="AV2909" s="225"/>
      <c r="AW2909" s="508"/>
      <c r="AX2909" s="225"/>
      <c r="AY2909" s="225"/>
      <c r="AZ2909" s="225"/>
      <c r="BA2909" s="225"/>
      <c r="BB2909" s="225"/>
      <c r="BC2909" s="56"/>
      <c r="BD2909" s="56"/>
      <c r="BE2909" s="56"/>
      <c r="BF2909" s="107" t="str">
        <f t="shared" si="2259"/>
        <v>https://www.google.com/search?tbm=isch&amp;q=Drift%20Roses%20bloom%20all%20summer%20and%20don%27t%20need%20deadheading%2C%20Glossy%20Green%20foliage%20and%20thorns%20%28rabbits%20may%20still%20nibble%29.%20Cut%20back%20annually%20</v>
      </c>
      <c r="BG2909" s="107" t="str">
        <f t="shared" si="2260"/>
        <v>D</v>
      </c>
      <c r="BH2909" s="254"/>
      <c r="BI2909" s="254"/>
    </row>
    <row r="2910" spans="1:61" customFormat="1" ht="18" x14ac:dyDescent="0.25">
      <c r="A2910" s="523" t="s">
        <v>5498</v>
      </c>
      <c r="B2910" s="235"/>
      <c r="C2910" s="676"/>
      <c r="D2910" s="255" t="s">
        <v>4558</v>
      </c>
      <c r="E2910" s="236"/>
      <c r="F2910" s="236"/>
      <c r="G2910" s="236"/>
      <c r="H2910" s="582" t="s">
        <v>344</v>
      </c>
      <c r="I2910" s="498" t="s">
        <v>4559</v>
      </c>
      <c r="J2910" s="237"/>
      <c r="K2910" s="237"/>
      <c r="L2910" s="274"/>
      <c r="M2910" s="668" t="s">
        <v>4975</v>
      </c>
      <c r="N2910" s="681" t="str">
        <f>IF(AND(ISTEXT($A2910), ISERROR($A2910+0)), HYPERLINK($BF2910, "Images"), "")</f>
        <v>Images</v>
      </c>
      <c r="O2910" s="663" t="s">
        <v>4974</v>
      </c>
      <c r="P2910" s="253"/>
      <c r="Q2910" s="238"/>
      <c r="R2910" s="239"/>
      <c r="S2910" s="275"/>
      <c r="T2910" s="508">
        <f t="shared" si="2248"/>
        <v>0</v>
      </c>
      <c r="U2910" s="225" t="str">
        <f>IF(NOT(ISNUMBER(G2910)), "", VLOOKUP(A2910,'Discount Lookup'!D:E,2,FALSE)*G2910)</f>
        <v/>
      </c>
      <c r="V2910" s="225" t="str">
        <f>IF(NOT(ISNUMBER(G2910)), "", VLOOKUP(A2910,'Discount Lookup'!G:H,2,FALSE)*G2910)</f>
        <v/>
      </c>
      <c r="W2910" s="508">
        <f t="shared" si="2249"/>
        <v>0</v>
      </c>
      <c r="X2910" s="508" t="str">
        <f t="shared" si="2250"/>
        <v>Yellow-Purple-White bloom</v>
      </c>
      <c r="Y2910" s="509" t="b">
        <f t="shared" si="2251"/>
        <v>0</v>
      </c>
      <c r="Z2910" s="510">
        <f t="shared" si="2252"/>
        <v>0</v>
      </c>
      <c r="AA2910" s="511"/>
      <c r="AB2910" s="511" t="str">
        <f t="shared" si="2253"/>
        <v/>
      </c>
      <c r="AC2910" s="698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698"/>
      <c r="AE2910" s="631" t="str">
        <f t="shared" si="2254"/>
        <v/>
      </c>
      <c r="AF2910" s="699" t="str">
        <f t="shared" si="2255"/>
        <v/>
      </c>
      <c r="AG2910" s="699"/>
      <c r="AH2910" s="699"/>
      <c r="AI2910" s="512">
        <f>IF(H2910="credit",0,IF(AE2910="free",0,IF(AE2910="me",0,IF(G2910&gt;0,(VLOOKUP(A2910,'Discount Lookup'!J:K,2)*G2910),0))))</f>
        <v>0</v>
      </c>
      <c r="AJ2910" s="513" t="str">
        <f t="shared" ca="1" si="2256"/>
        <v/>
      </c>
      <c r="AK2910" s="700" t="str">
        <f t="shared" si="2257"/>
        <v/>
      </c>
      <c r="AL2910" s="700"/>
      <c r="AM2910" s="505" t="str">
        <f t="shared" si="2258"/>
        <v/>
      </c>
      <c r="AN2910" s="506"/>
      <c r="AO2910" s="507"/>
      <c r="AP2910" s="507"/>
      <c r="AQ2910" s="507"/>
      <c r="AR2910" s="507"/>
      <c r="AS2910" s="507"/>
      <c r="AT2910" s="507"/>
      <c r="AU2910" s="507"/>
      <c r="AV2910" s="225"/>
      <c r="AW2910" s="508"/>
      <c r="AX2910" s="225"/>
      <c r="AY2910" s="225"/>
      <c r="AZ2910" s="225"/>
      <c r="BA2910" s="225"/>
      <c r="BB2910" s="225"/>
      <c r="BC2910" s="56"/>
      <c r="BD2910" s="56"/>
      <c r="BE2910" s="56"/>
      <c r="BF2910" s="107" t="str">
        <f t="shared" si="2259"/>
        <v>https://www.google.com/search?tbm=isch&amp;q=Poppin%27%20Passion%E2%84%A2%20Passionflower%20Vine%20Passiflora%20%27Poppin%E2%80%99%20Passion%27%20PP%2335636</v>
      </c>
      <c r="BG2910" s="107" t="str">
        <f t="shared" si="2260"/>
        <v>P</v>
      </c>
      <c r="BH2910" s="254"/>
      <c r="BI2910" s="254"/>
    </row>
    <row r="2911" spans="1:61" customFormat="1" ht="15.75" x14ac:dyDescent="0.25">
      <c r="A2911" s="276">
        <v>3</v>
      </c>
      <c r="B2911" s="240" t="s">
        <v>291</v>
      </c>
      <c r="C2911" s="241"/>
      <c r="D2911" s="242" t="s">
        <v>312</v>
      </c>
      <c r="E2911" s="243">
        <v>34.950000000000003</v>
      </c>
      <c r="F2911" s="517" t="s">
        <v>293</v>
      </c>
      <c r="G2911" s="232">
        <v>0</v>
      </c>
      <c r="H2911" s="661" t="str">
        <f>IF(G2911=0,"",IF(F2911="Buy",IF(G2911=1,"plant","plants"),IF(F2911&gt;0.01,"warranty","Error")))</f>
        <v/>
      </c>
      <c r="I2911" s="244">
        <f>IF(H2911="free",0,IF(H2911="credit",((E2911*(F2911))*G2911*-1),IF(F2911="Buy",(E2911*G2911),((E2911*(1-F2911))*G2911))))</f>
        <v>0</v>
      </c>
      <c r="J2911" s="244">
        <f>IF(H2911="warranty",0,(I2911*(_xlfn.SINGLE(SalesTaxPercentage))))</f>
        <v>0</v>
      </c>
      <c r="K2911" s="696">
        <f t="shared" ref="K2911" si="2268">I2911+J2911</f>
        <v>0</v>
      </c>
      <c r="L2911" s="696"/>
      <c r="M2911" s="659" t="str">
        <f>IF(AND(G2911&gt;0,E2911=0),"WARNING - no PRICE inserted",IF(H2911="free"," FREE ~ no charge this plant",IF(H2911="credit",CONCATENATE(" -$",ROUND(K2911*(1-T2GDiscount)*-1,2)," CREDIT after discount"),IF(T2GDiscount=0,"",IF(G2911=0,"",IF(F2911="Buy",CONCATENATE(" $",ROUND(K2911*(1-T2GDiscount),2)," with ",(T2GDiscount*100),"% discount"),CONCATENATE(" $",ROUND(K2911*(1-T2GDiscount),2)," with ",((T2GDiscount*100+F2911*100)-(T2GDiscount*100*F2911)),IF(F2911&gt;0,"% discounts",IF(NoWarrantyDiscount&gt;0,"% discounts","% discount")))))))))</f>
        <v/>
      </c>
      <c r="N2911" s="660"/>
      <c r="O2911" s="233"/>
      <c r="P2911" s="233"/>
      <c r="Q2911" s="233"/>
      <c r="R2911" s="233"/>
      <c r="S2911" s="233"/>
      <c r="T2911" s="508">
        <f t="shared" si="2248"/>
        <v>0</v>
      </c>
      <c r="U2911" s="225">
        <f>IF(NOT(ISNUMBER(G2911)), "", VLOOKUP(A2911,'Discount Lookup'!D:E,2,FALSE)*G2911)</f>
        <v>0</v>
      </c>
      <c r="V2911" s="225">
        <f>IF(NOT(ISNUMBER(G2911)), "", VLOOKUP(A2911,'Discount Lookup'!G:H,2,FALSE)*G2911)</f>
        <v>0</v>
      </c>
      <c r="W2911" s="508">
        <f t="shared" si="2249"/>
        <v>0</v>
      </c>
      <c r="X2911" s="508">
        <f t="shared" si="2250"/>
        <v>0</v>
      </c>
      <c r="Y2911" s="509" t="b">
        <f t="shared" si="2251"/>
        <v>0</v>
      </c>
      <c r="Z2911" s="510">
        <f t="shared" si="2252"/>
        <v>0</v>
      </c>
      <c r="AA2911" s="511"/>
      <c r="AB2911" s="511" t="str">
        <f t="shared" si="2253"/>
        <v/>
      </c>
      <c r="AC2911" s="698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698"/>
      <c r="AE2911" s="631" t="str">
        <f t="shared" si="2254"/>
        <v/>
      </c>
      <c r="AF2911" s="699" t="str">
        <f t="shared" si="2255"/>
        <v/>
      </c>
      <c r="AG2911" s="699"/>
      <c r="AH2911" s="699"/>
      <c r="AI2911" s="512">
        <f>IF(H2911="credit",0,IF(AE2911="free",0,IF(AE2911="me",0,IF(G2911&gt;0,(VLOOKUP(A2911,'Discount Lookup'!J:K,2)*G2911),0))))</f>
        <v>0</v>
      </c>
      <c r="AJ2911" s="513" t="str">
        <f t="shared" ca="1" si="2256"/>
        <v/>
      </c>
      <c r="AK2911" s="700" t="str">
        <f t="shared" si="2257"/>
        <v/>
      </c>
      <c r="AL2911" s="700"/>
      <c r="AM2911" s="505" t="str">
        <f t="shared" si="2258"/>
        <v/>
      </c>
      <c r="AN2911" s="506"/>
      <c r="AO2911" s="507"/>
      <c r="AP2911" s="507"/>
      <c r="AQ2911" s="507"/>
      <c r="AR2911" s="507"/>
      <c r="AS2911" s="507"/>
      <c r="AT2911" s="507"/>
      <c r="AU2911" s="507"/>
      <c r="AV2911" s="225"/>
      <c r="AW2911" s="508"/>
      <c r="AX2911" s="225"/>
      <c r="AY2911" s="225"/>
      <c r="AZ2911" s="225"/>
      <c r="BA2911" s="225"/>
      <c r="BB2911" s="225"/>
      <c r="BC2911" s="56"/>
      <c r="BD2911" s="56"/>
      <c r="BE2911" s="56"/>
      <c r="BF2911" s="107" t="str">
        <f t="shared" si="2259"/>
        <v>https://www.google.com/search?tbm=isch&amp;q=3%20G2</v>
      </c>
      <c r="BG2911" s="107" t="str">
        <f t="shared" si="2260"/>
        <v>P</v>
      </c>
      <c r="BH2911" s="254"/>
      <c r="BI2911" s="254"/>
    </row>
    <row r="2912" spans="1:61" customFormat="1" ht="17.25" thickBot="1" x14ac:dyDescent="0.3">
      <c r="A2912" s="524" t="s">
        <v>4560</v>
      </c>
      <c r="B2912" s="245"/>
      <c r="C2912" s="677"/>
      <c r="D2912" s="499"/>
      <c r="E2912" s="499"/>
      <c r="F2912" s="500"/>
      <c r="G2912" s="501"/>
      <c r="H2912" s="502"/>
      <c r="I2912" s="246"/>
      <c r="J2912" s="247"/>
      <c r="K2912" s="503"/>
      <c r="L2912" s="544"/>
      <c r="M2912" s="544"/>
      <c r="N2912" s="500"/>
      <c r="O2912" s="500"/>
      <c r="P2912" s="500"/>
      <c r="Q2912" s="500"/>
      <c r="R2912" s="500"/>
      <c r="S2912" s="669" t="s">
        <v>4980</v>
      </c>
      <c r="T2912" s="508">
        <f t="shared" si="2248"/>
        <v>0</v>
      </c>
      <c r="U2912" s="225" t="str">
        <f>IF(NOT(ISNUMBER(G2912)), "", VLOOKUP(A2912,'Discount Lookup'!D:E,2,FALSE)*G2912)</f>
        <v/>
      </c>
      <c r="V2912" s="225" t="str">
        <f>IF(NOT(ISNUMBER(G2912)), "", VLOOKUP(A2912,'Discount Lookup'!G:H,2,FALSE)*G2912)</f>
        <v/>
      </c>
      <c r="W2912" s="508">
        <f t="shared" si="2249"/>
        <v>0</v>
      </c>
      <c r="X2912" s="508">
        <f t="shared" si="2250"/>
        <v>0</v>
      </c>
      <c r="Y2912" s="509" t="b">
        <f t="shared" si="2251"/>
        <v>0</v>
      </c>
      <c r="Z2912" s="510">
        <f t="shared" si="2252"/>
        <v>0</v>
      </c>
      <c r="AA2912" s="511"/>
      <c r="AB2912" s="511" t="str">
        <f t="shared" si="2253"/>
        <v/>
      </c>
      <c r="AC2912" s="698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698"/>
      <c r="AE2912" s="631" t="str">
        <f t="shared" si="2254"/>
        <v/>
      </c>
      <c r="AF2912" s="699" t="str">
        <f t="shared" si="2255"/>
        <v/>
      </c>
      <c r="AG2912" s="699"/>
      <c r="AH2912" s="699"/>
      <c r="AI2912" s="512">
        <f>IF(H2912="credit",0,IF(AE2912="free",0,IF(AE2912="me",0,IF(G2912&gt;0,(VLOOKUP(A2912,'Discount Lookup'!J:K,2)*G2912),0))))</f>
        <v>0</v>
      </c>
      <c r="AJ2912" s="513" t="str">
        <f t="shared" ca="1" si="2256"/>
        <v/>
      </c>
      <c r="AK2912" s="700" t="str">
        <f t="shared" si="2257"/>
        <v/>
      </c>
      <c r="AL2912" s="700"/>
      <c r="AM2912" s="505" t="str">
        <f t="shared" si="2258"/>
        <v/>
      </c>
      <c r="AN2912" s="506"/>
      <c r="AO2912" s="507"/>
      <c r="AP2912" s="507"/>
      <c r="AQ2912" s="507"/>
      <c r="AR2912" s="507"/>
      <c r="AS2912" s="507"/>
      <c r="AT2912" s="507"/>
      <c r="AU2912" s="507"/>
      <c r="AV2912" s="225"/>
      <c r="AW2912" s="508"/>
      <c r="AX2912" s="225"/>
      <c r="AY2912" s="225"/>
      <c r="AZ2912" s="225"/>
      <c r="BA2912" s="225"/>
      <c r="BB2912" s="225"/>
      <c r="BC2912" s="56"/>
      <c r="BD2912" s="56"/>
      <c r="BE2912" s="56"/>
      <c r="BF2912" s="107" t="str">
        <f t="shared" si="2259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2912" s="107" t="str">
        <f t="shared" si="2260"/>
        <v>P</v>
      </c>
      <c r="BH2912" s="254"/>
      <c r="BI2912" s="254"/>
    </row>
    <row r="2913" spans="1:61" customFormat="1" ht="18" x14ac:dyDescent="0.25">
      <c r="A2913" s="523" t="s">
        <v>5499</v>
      </c>
      <c r="B2913" s="235"/>
      <c r="C2913" s="676"/>
      <c r="D2913" s="255" t="s">
        <v>3086</v>
      </c>
      <c r="E2913" s="236"/>
      <c r="F2913" s="236"/>
      <c r="G2913" s="236"/>
      <c r="H2913" s="582" t="s">
        <v>508</v>
      </c>
      <c r="I2913" s="498" t="s">
        <v>3292</v>
      </c>
      <c r="J2913" s="237"/>
      <c r="K2913" s="237"/>
      <c r="L2913" s="274"/>
      <c r="M2913" s="668" t="s">
        <v>4962</v>
      </c>
      <c r="N2913" s="681" t="str">
        <f>IF(AND(ISTEXT($A2913), ISERROR($A2913+0)), HYPERLINK($BF2913, "Images"), "")</f>
        <v>Images</v>
      </c>
      <c r="O2913" s="663" t="s">
        <v>4967</v>
      </c>
      <c r="P2913" s="253"/>
      <c r="Q2913" s="238"/>
      <c r="R2913" s="239"/>
      <c r="S2913" s="275"/>
      <c r="T2913" s="508">
        <f t="shared" si="2248"/>
        <v>0</v>
      </c>
      <c r="U2913" s="225" t="str">
        <f>IF(NOT(ISNUMBER(G2913)), "", VLOOKUP(A2913,'Discount Lookup'!D:E,2,FALSE)*G2913)</f>
        <v/>
      </c>
      <c r="V2913" s="225" t="str">
        <f>IF(NOT(ISNUMBER(G2913)), "", VLOOKUP(A2913,'Discount Lookup'!G:H,2,FALSE)*G2913)</f>
        <v/>
      </c>
      <c r="W2913" s="508">
        <f t="shared" si="2249"/>
        <v>0</v>
      </c>
      <c r="X2913" s="508" t="str">
        <f t="shared" si="2250"/>
        <v>Candy-Pink bloom</v>
      </c>
      <c r="Y2913" s="509" t="b">
        <f t="shared" si="2251"/>
        <v>0</v>
      </c>
      <c r="Z2913" s="510">
        <f t="shared" si="2252"/>
        <v>0</v>
      </c>
      <c r="AA2913" s="511"/>
      <c r="AB2913" s="511" t="str">
        <f t="shared" si="2253"/>
        <v/>
      </c>
      <c r="AC2913" s="698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698"/>
      <c r="AE2913" s="631" t="str">
        <f t="shared" si="2254"/>
        <v/>
      </c>
      <c r="AF2913" s="699" t="str">
        <f t="shared" si="2255"/>
        <v/>
      </c>
      <c r="AG2913" s="699"/>
      <c r="AH2913" s="699"/>
      <c r="AI2913" s="512">
        <f>IF(H2913="credit",0,IF(AE2913="free",0,IF(AE2913="me",0,IF(G2913&gt;0,(VLOOKUP(A2913,'Discount Lookup'!J:K,2)*G2913),0))))</f>
        <v>0</v>
      </c>
      <c r="AJ2913" s="513" t="str">
        <f t="shared" ca="1" si="2256"/>
        <v/>
      </c>
      <c r="AK2913" s="700" t="str">
        <f t="shared" si="2257"/>
        <v/>
      </c>
      <c r="AL2913" s="700"/>
      <c r="AM2913" s="505" t="str">
        <f t="shared" si="2258"/>
        <v/>
      </c>
      <c r="AN2913" s="506"/>
      <c r="AO2913" s="507"/>
      <c r="AP2913" s="507"/>
      <c r="AQ2913" s="507"/>
      <c r="AR2913" s="507"/>
      <c r="AS2913" s="507"/>
      <c r="AT2913" s="507"/>
      <c r="AU2913" s="507"/>
      <c r="AV2913" s="225"/>
      <c r="AW2913" s="508"/>
      <c r="AX2913" s="225"/>
      <c r="AY2913" s="225"/>
      <c r="AZ2913" s="225"/>
      <c r="BA2913" s="225"/>
      <c r="BB2913" s="225"/>
      <c r="BC2913" s="56"/>
      <c r="BD2913" s="56"/>
      <c r="BE2913" s="56"/>
      <c r="BF2913" s="107" t="str">
        <f t="shared" si="2259"/>
        <v>https://www.google.com/search?tbm=isch&amp;q=Poprocks%C2%AE%20Petite%20Japanese%20Spirea%20Spiraea%20japonica%20%27Odessa%27%20PP%2328508</v>
      </c>
      <c r="BG2913" s="107" t="str">
        <f t="shared" si="2260"/>
        <v>P</v>
      </c>
      <c r="BH2913" s="254"/>
      <c r="BI2913" s="254"/>
    </row>
    <row r="2914" spans="1:61" customFormat="1" ht="15.75" x14ac:dyDescent="0.25">
      <c r="A2914" s="276">
        <v>1</v>
      </c>
      <c r="B2914" s="240" t="s">
        <v>291</v>
      </c>
      <c r="C2914" s="241"/>
      <c r="D2914" s="242" t="s">
        <v>312</v>
      </c>
      <c r="E2914" s="243">
        <v>28.95</v>
      </c>
      <c r="F2914" s="517" t="s">
        <v>293</v>
      </c>
      <c r="G2914" s="232">
        <v>0</v>
      </c>
      <c r="H2914" s="661" t="str">
        <f>IF(G2914=0,"",IF(F2914="Buy",IF(G2914=1,"plant","plants"),IF(F2914&gt;0.01,"warranty","Error")))</f>
        <v/>
      </c>
      <c r="I2914" s="244">
        <f>IF(H2914="free",0,IF(H2914="credit",((E2914*(F2914))*G2914*-1),IF(F2914="Buy",(E2914*G2914),((E2914*(1-F2914))*G2914))))</f>
        <v>0</v>
      </c>
      <c r="J2914" s="244">
        <f>IF(H2914="warranty",0,(I2914*(_xlfn.SINGLE(SalesTaxPercentage))))</f>
        <v>0</v>
      </c>
      <c r="K2914" s="696">
        <f t="shared" ref="K2914" si="2269">I2914+J2914</f>
        <v>0</v>
      </c>
      <c r="L2914" s="696"/>
      <c r="M2914" s="659" t="str">
        <f>IF(AND(G2914&gt;0,E2914=0),"WARNING - no PRICE inserted",IF(H2914="free"," FREE ~ no charge this plant",IF(H2914="credit",CONCATENATE(" -$",ROUND(K2914*(1-T2GDiscount)*-1,2)," CREDIT after discount"),IF(T2GDiscount=0,"",IF(G2914=0,"",IF(F2914="Buy",CONCATENATE(" $",ROUND(K2914*(1-T2GDiscount),2)," with ",(T2GDiscount*100),"% discount"),CONCATENATE(" $",ROUND(K2914*(1-T2GDiscount),2)," with ",((T2GDiscount*100+F2914*100)-(T2GDiscount*100*F2914)),IF(F2914&gt;0,"% discounts",IF(NoWarrantyDiscount&gt;0,"% discounts","% discount")))))))))</f>
        <v/>
      </c>
      <c r="N2914" s="660"/>
      <c r="O2914" s="233"/>
      <c r="P2914" s="233"/>
      <c r="Q2914" s="233"/>
      <c r="R2914" s="233"/>
      <c r="S2914" s="233"/>
      <c r="T2914" s="508">
        <f t="shared" si="2248"/>
        <v>0</v>
      </c>
      <c r="U2914" s="225">
        <f>IF(NOT(ISNUMBER(G2914)), "", VLOOKUP(A2914,'Discount Lookup'!D:E,2,FALSE)*G2914)</f>
        <v>0</v>
      </c>
      <c r="V2914" s="225">
        <f>IF(NOT(ISNUMBER(G2914)), "", VLOOKUP(A2914,'Discount Lookup'!G:H,2,FALSE)*G2914)</f>
        <v>0</v>
      </c>
      <c r="W2914" s="508">
        <f t="shared" si="2249"/>
        <v>0</v>
      </c>
      <c r="X2914" s="508">
        <f t="shared" si="2250"/>
        <v>0</v>
      </c>
      <c r="Y2914" s="509" t="b">
        <f t="shared" si="2251"/>
        <v>0</v>
      </c>
      <c r="Z2914" s="510">
        <f t="shared" si="2252"/>
        <v>0</v>
      </c>
      <c r="AA2914" s="511"/>
      <c r="AB2914" s="511" t="str">
        <f t="shared" si="2253"/>
        <v/>
      </c>
      <c r="AC2914" s="698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698"/>
      <c r="AE2914" s="631" t="str">
        <f t="shared" si="2254"/>
        <v/>
      </c>
      <c r="AF2914" s="699" t="str">
        <f t="shared" si="2255"/>
        <v/>
      </c>
      <c r="AG2914" s="699"/>
      <c r="AH2914" s="699"/>
      <c r="AI2914" s="512">
        <f>IF(H2914="credit",0,IF(AE2914="free",0,IF(AE2914="me",0,IF(G2914&gt;0,(VLOOKUP(A2914,'Discount Lookup'!J:K,2)*G2914),0))))</f>
        <v>0</v>
      </c>
      <c r="AJ2914" s="513" t="str">
        <f t="shared" ca="1" si="2256"/>
        <v/>
      </c>
      <c r="AK2914" s="700" t="str">
        <f t="shared" si="2257"/>
        <v/>
      </c>
      <c r="AL2914" s="700"/>
      <c r="AM2914" s="505" t="str">
        <f t="shared" si="2258"/>
        <v/>
      </c>
      <c r="AN2914" s="506"/>
      <c r="AO2914" s="507"/>
      <c r="AP2914" s="507"/>
      <c r="AQ2914" s="507"/>
      <c r="AR2914" s="507"/>
      <c r="AS2914" s="507"/>
      <c r="AT2914" s="507"/>
      <c r="AU2914" s="507"/>
      <c r="AV2914" s="225"/>
      <c r="AW2914" s="508"/>
      <c r="AX2914" s="225"/>
      <c r="AY2914" s="225"/>
      <c r="AZ2914" s="225"/>
      <c r="BA2914" s="225"/>
      <c r="BB2914" s="225"/>
      <c r="BC2914" s="56"/>
      <c r="BD2914" s="56"/>
      <c r="BE2914" s="56"/>
      <c r="BF2914" s="107" t="str">
        <f t="shared" si="2259"/>
        <v>https://www.google.com/search?tbm=isch&amp;q=1%20G2</v>
      </c>
      <c r="BG2914" s="107" t="str">
        <f t="shared" si="2260"/>
        <v>P</v>
      </c>
      <c r="BH2914" s="254"/>
      <c r="BI2914" s="254"/>
    </row>
    <row r="2915" spans="1:61" customFormat="1" ht="17.25" thickBot="1" x14ac:dyDescent="0.3">
      <c r="A2915" s="524" t="s">
        <v>4210</v>
      </c>
      <c r="B2915" s="245"/>
      <c r="C2915" s="677"/>
      <c r="D2915" s="499"/>
      <c r="E2915" s="499"/>
      <c r="F2915" s="500"/>
      <c r="G2915" s="501"/>
      <c r="H2915" s="502"/>
      <c r="I2915" s="246"/>
      <c r="J2915" s="247"/>
      <c r="K2915" s="503"/>
      <c r="L2915" s="544"/>
      <c r="M2915" s="544"/>
      <c r="N2915" s="500"/>
      <c r="O2915" s="500"/>
      <c r="P2915" s="500"/>
      <c r="Q2915" s="500"/>
      <c r="R2915" s="500"/>
      <c r="S2915" s="669" t="s">
        <v>4980</v>
      </c>
      <c r="T2915" s="508">
        <f t="shared" si="2248"/>
        <v>0</v>
      </c>
      <c r="U2915" s="225" t="str">
        <f>IF(NOT(ISNUMBER(G2915)), "", VLOOKUP(A2915,'Discount Lookup'!D:E,2,FALSE)*G2915)</f>
        <v/>
      </c>
      <c r="V2915" s="225" t="str">
        <f>IF(NOT(ISNUMBER(G2915)), "", VLOOKUP(A2915,'Discount Lookup'!G:H,2,FALSE)*G2915)</f>
        <v/>
      </c>
      <c r="W2915" s="508">
        <f t="shared" si="2249"/>
        <v>0</v>
      </c>
      <c r="X2915" s="508">
        <f t="shared" si="2250"/>
        <v>0</v>
      </c>
      <c r="Y2915" s="509" t="b">
        <f t="shared" si="2251"/>
        <v>0</v>
      </c>
      <c r="Z2915" s="510">
        <f t="shared" si="2252"/>
        <v>0</v>
      </c>
      <c r="AA2915" s="511"/>
      <c r="AB2915" s="511" t="str">
        <f t="shared" si="2253"/>
        <v/>
      </c>
      <c r="AC2915" s="698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698"/>
      <c r="AE2915" s="631" t="str">
        <f t="shared" si="2254"/>
        <v/>
      </c>
      <c r="AF2915" s="699" t="str">
        <f t="shared" si="2255"/>
        <v/>
      </c>
      <c r="AG2915" s="699"/>
      <c r="AH2915" s="699"/>
      <c r="AI2915" s="512">
        <f>IF(H2915="credit",0,IF(AE2915="free",0,IF(AE2915="me",0,IF(G2915&gt;0,(VLOOKUP(A2915,'Discount Lookup'!J:K,2)*G2915),0))))</f>
        <v>0</v>
      </c>
      <c r="AJ2915" s="513" t="str">
        <f t="shared" ca="1" si="2256"/>
        <v/>
      </c>
      <c r="AK2915" s="700" t="str">
        <f t="shared" si="2257"/>
        <v/>
      </c>
      <c r="AL2915" s="700"/>
      <c r="AM2915" s="505" t="str">
        <f t="shared" si="2258"/>
        <v/>
      </c>
      <c r="AN2915" s="506"/>
      <c r="AO2915" s="507"/>
      <c r="AP2915" s="507"/>
      <c r="AQ2915" s="507"/>
      <c r="AR2915" s="507"/>
      <c r="AS2915" s="507"/>
      <c r="AT2915" s="507"/>
      <c r="AU2915" s="507"/>
      <c r="AV2915" s="225"/>
      <c r="AW2915" s="508"/>
      <c r="AX2915" s="225"/>
      <c r="AY2915" s="225"/>
      <c r="AZ2915" s="225"/>
      <c r="BA2915" s="225"/>
      <c r="BB2915" s="225"/>
      <c r="BC2915" s="56"/>
      <c r="BD2915" s="56"/>
      <c r="BE2915" s="56"/>
      <c r="BF2915" s="107" t="str">
        <f t="shared" si="2259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2915" s="107" t="str">
        <f t="shared" si="2260"/>
        <v>P</v>
      </c>
      <c r="BH2915" s="254"/>
      <c r="BI2915" s="254"/>
    </row>
    <row r="2916" spans="1:61" customFormat="1" ht="18" x14ac:dyDescent="0.25">
      <c r="A2916" s="523" t="s">
        <v>5500</v>
      </c>
      <c r="B2916" s="235"/>
      <c r="C2916" s="676"/>
      <c r="D2916" s="255" t="s">
        <v>2533</v>
      </c>
      <c r="E2916" s="236"/>
      <c r="F2916" s="236"/>
      <c r="G2916" s="236"/>
      <c r="H2916" s="582" t="s">
        <v>443</v>
      </c>
      <c r="I2916" s="498" t="s">
        <v>656</v>
      </c>
      <c r="J2916" s="237"/>
      <c r="K2916" s="237"/>
      <c r="L2916" s="274"/>
      <c r="M2916" s="668" t="s">
        <v>4962</v>
      </c>
      <c r="N2916" s="681" t="str">
        <f>IF(AND(ISTEXT($A2916), ISERROR($A2916+0)), HYPERLINK($BF2916, "Images"), "")</f>
        <v>Images</v>
      </c>
      <c r="O2916" s="663" t="s">
        <v>4967</v>
      </c>
      <c r="P2916" s="253"/>
      <c r="Q2916" s="238"/>
      <c r="R2916" s="239"/>
      <c r="S2916" s="275"/>
      <c r="T2916" s="508">
        <f t="shared" si="2248"/>
        <v>0</v>
      </c>
      <c r="U2916" s="225" t="str">
        <f>IF(NOT(ISNUMBER(G2916)), "", VLOOKUP(A2916,'Discount Lookup'!D:E,2,FALSE)*G2916)</f>
        <v/>
      </c>
      <c r="V2916" s="225" t="str">
        <f>IF(NOT(ISNUMBER(G2916)), "", VLOOKUP(A2916,'Discount Lookup'!G:H,2,FALSE)*G2916)</f>
        <v/>
      </c>
      <c r="W2916" s="508">
        <f t="shared" si="2249"/>
        <v>0</v>
      </c>
      <c r="X2916" s="508" t="str">
        <f t="shared" si="2250"/>
        <v>Pink bloom</v>
      </c>
      <c r="Y2916" s="509" t="b">
        <f t="shared" si="2251"/>
        <v>0</v>
      </c>
      <c r="Z2916" s="510">
        <f t="shared" si="2252"/>
        <v>0</v>
      </c>
      <c r="AA2916" s="511"/>
      <c r="AB2916" s="511" t="str">
        <f t="shared" si="2253"/>
        <v/>
      </c>
      <c r="AC2916" s="698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698"/>
      <c r="AE2916" s="631" t="str">
        <f t="shared" si="2254"/>
        <v/>
      </c>
      <c r="AF2916" s="699" t="str">
        <f t="shared" si="2255"/>
        <v/>
      </c>
      <c r="AG2916" s="699"/>
      <c r="AH2916" s="699"/>
      <c r="AI2916" s="512">
        <f>IF(H2916="credit",0,IF(AE2916="free",0,IF(AE2916="me",0,IF(G2916&gt;0,(VLOOKUP(A2916,'Discount Lookup'!J:K,2)*G2916),0))))</f>
        <v>0</v>
      </c>
      <c r="AJ2916" s="513" t="str">
        <f t="shared" ca="1" si="2256"/>
        <v/>
      </c>
      <c r="AK2916" s="700" t="str">
        <f t="shared" si="2257"/>
        <v/>
      </c>
      <c r="AL2916" s="700"/>
      <c r="AM2916" s="505" t="str">
        <f t="shared" si="2258"/>
        <v/>
      </c>
      <c r="AN2916" s="506"/>
      <c r="AO2916" s="507"/>
      <c r="AP2916" s="507"/>
      <c r="AQ2916" s="507"/>
      <c r="AR2916" s="507"/>
      <c r="AS2916" s="507"/>
      <c r="AT2916" s="507"/>
      <c r="AU2916" s="507"/>
      <c r="AV2916" s="225"/>
      <c r="AW2916" s="508"/>
      <c r="AX2916" s="225"/>
      <c r="AY2916" s="225"/>
      <c r="AZ2916" s="225"/>
      <c r="BA2916" s="225"/>
      <c r="BB2916" s="225"/>
      <c r="BC2916" s="56"/>
      <c r="BD2916" s="56"/>
      <c r="BE2916" s="56"/>
      <c r="BF2916" s="107" t="str">
        <f t="shared" si="2259"/>
        <v>https://www.google.com/search?tbm=isch&amp;q=Poprocks%C2%AE%20Pineapple%20Japanese%20Spirea%20Spiraea%20japonica%20%27Golden%20Jack%27%20PPAF</v>
      </c>
      <c r="BG2916" s="107" t="str">
        <f t="shared" si="2260"/>
        <v>P</v>
      </c>
      <c r="BH2916" s="254"/>
      <c r="BI2916" s="254"/>
    </row>
    <row r="2917" spans="1:61" customFormat="1" ht="15.75" x14ac:dyDescent="0.25">
      <c r="A2917" s="276">
        <v>1</v>
      </c>
      <c r="B2917" s="240" t="s">
        <v>291</v>
      </c>
      <c r="C2917" s="241" t="s">
        <v>3085</v>
      </c>
      <c r="D2917" s="242" t="s">
        <v>312</v>
      </c>
      <c r="E2917" s="243">
        <v>28.95</v>
      </c>
      <c r="F2917" s="517" t="s">
        <v>293</v>
      </c>
      <c r="G2917" s="232">
        <v>0</v>
      </c>
      <c r="H2917" s="661" t="str">
        <f>IF(G2917=0,"",IF(F2917="Buy",IF(G2917=1,"plant","plants"),IF(F2917&gt;0.01,"warranty","Error")))</f>
        <v/>
      </c>
      <c r="I2917" s="244">
        <f>IF(H2917="free",0,IF(H2917="credit",((E2917*(F2917))*G2917*-1),IF(F2917="Buy",(E2917*G2917),((E2917*(1-F2917))*G2917))))</f>
        <v>0</v>
      </c>
      <c r="J2917" s="244">
        <f>IF(H2917="warranty",0,(I2917*(_xlfn.SINGLE(SalesTaxPercentage))))</f>
        <v>0</v>
      </c>
      <c r="K2917" s="696">
        <f t="shared" ref="K2917" si="2270">I2917+J2917</f>
        <v>0</v>
      </c>
      <c r="L2917" s="696"/>
      <c r="M2917" s="659" t="str">
        <f>IF(AND(G2917&gt;0,E2917=0),"WARNING - no PRICE inserted",IF(H2917="free"," FREE ~ no charge this plant",IF(H2917="credit",CONCATENATE(" -$",ROUND(K2917*(1-T2GDiscount)*-1,2)," CREDIT after discount"),IF(T2GDiscount=0,"",IF(G2917=0,"",IF(F2917="Buy",CONCATENATE(" $",ROUND(K2917*(1-T2GDiscount),2)," with ",(T2GDiscount*100),"% discount"),CONCATENATE(" $",ROUND(K2917*(1-T2GDiscount),2)," with ",((T2GDiscount*100+F2917*100)-(T2GDiscount*100*F2917)),IF(F2917&gt;0,"% discounts",IF(NoWarrantyDiscount&gt;0,"% discounts","% discount")))))))))</f>
        <v/>
      </c>
      <c r="N2917" s="660"/>
      <c r="O2917" s="233"/>
      <c r="P2917" s="233"/>
      <c r="Q2917" s="233"/>
      <c r="R2917" s="233"/>
      <c r="S2917" s="233"/>
      <c r="T2917" s="508">
        <f t="shared" si="2248"/>
        <v>0</v>
      </c>
      <c r="U2917" s="225">
        <f>IF(NOT(ISNUMBER(G2917)), "", VLOOKUP(A2917,'Discount Lookup'!D:E,2,FALSE)*G2917)</f>
        <v>0</v>
      </c>
      <c r="V2917" s="225">
        <f>IF(NOT(ISNUMBER(G2917)), "", VLOOKUP(A2917,'Discount Lookup'!G:H,2,FALSE)*G2917)</f>
        <v>0</v>
      </c>
      <c r="W2917" s="508">
        <f t="shared" si="2249"/>
        <v>0</v>
      </c>
      <c r="X2917" s="508">
        <f t="shared" si="2250"/>
        <v>0</v>
      </c>
      <c r="Y2917" s="509" t="b">
        <f t="shared" si="2251"/>
        <v>0</v>
      </c>
      <c r="Z2917" s="510">
        <f t="shared" si="2252"/>
        <v>0</v>
      </c>
      <c r="AA2917" s="511"/>
      <c r="AB2917" s="511" t="str">
        <f t="shared" si="2253"/>
        <v/>
      </c>
      <c r="AC2917" s="698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698"/>
      <c r="AE2917" s="631" t="str">
        <f t="shared" si="2254"/>
        <v/>
      </c>
      <c r="AF2917" s="699" t="str">
        <f t="shared" si="2255"/>
        <v/>
      </c>
      <c r="AG2917" s="699"/>
      <c r="AH2917" s="699"/>
      <c r="AI2917" s="512">
        <f>IF(H2917="credit",0,IF(AE2917="free",0,IF(AE2917="me",0,IF(G2917&gt;0,(VLOOKUP(A2917,'Discount Lookup'!J:K,2)*G2917),0))))</f>
        <v>0</v>
      </c>
      <c r="AJ2917" s="513" t="str">
        <f t="shared" ca="1" si="2256"/>
        <v/>
      </c>
      <c r="AK2917" s="700" t="str">
        <f t="shared" si="2257"/>
        <v/>
      </c>
      <c r="AL2917" s="700"/>
      <c r="AM2917" s="505" t="str">
        <f t="shared" si="2258"/>
        <v/>
      </c>
      <c r="AN2917" s="506"/>
      <c r="AO2917" s="507"/>
      <c r="AP2917" s="507"/>
      <c r="AQ2917" s="507"/>
      <c r="AR2917" s="507"/>
      <c r="AS2917" s="507"/>
      <c r="AT2917" s="507"/>
      <c r="AU2917" s="507"/>
      <c r="AV2917" s="225"/>
      <c r="AW2917" s="508"/>
      <c r="AX2917" s="225"/>
      <c r="AY2917" s="225"/>
      <c r="AZ2917" s="225"/>
      <c r="BA2917" s="225"/>
      <c r="BB2917" s="225"/>
      <c r="BC2917" s="56"/>
      <c r="BD2917" s="56"/>
      <c r="BE2917" s="56"/>
      <c r="BF2917" s="107" t="str">
        <f t="shared" si="2259"/>
        <v>https://www.google.com/search?tbm=isch&amp;q=1%20G2</v>
      </c>
      <c r="BG2917" s="107" t="str">
        <f t="shared" si="2260"/>
        <v>P</v>
      </c>
      <c r="BH2917" s="254"/>
      <c r="BI2917" s="254"/>
    </row>
    <row r="2918" spans="1:61" customFormat="1" ht="17.25" thickBot="1" x14ac:dyDescent="0.3">
      <c r="A2918" s="524" t="s">
        <v>4211</v>
      </c>
      <c r="B2918" s="245"/>
      <c r="C2918" s="677"/>
      <c r="D2918" s="499"/>
      <c r="E2918" s="499"/>
      <c r="F2918" s="500"/>
      <c r="G2918" s="501"/>
      <c r="H2918" s="502"/>
      <c r="I2918" s="246"/>
      <c r="J2918" s="247"/>
      <c r="K2918" s="503"/>
      <c r="L2918" s="544"/>
      <c r="M2918" s="544"/>
      <c r="N2918" s="500"/>
      <c r="O2918" s="500"/>
      <c r="P2918" s="500"/>
      <c r="Q2918" s="500"/>
      <c r="R2918" s="500"/>
      <c r="S2918" s="669" t="s">
        <v>4980</v>
      </c>
      <c r="T2918" s="508">
        <f t="shared" si="2248"/>
        <v>0</v>
      </c>
      <c r="U2918" s="225" t="str">
        <f>IF(NOT(ISNUMBER(G2918)), "", VLOOKUP(A2918,'Discount Lookup'!D:E,2,FALSE)*G2918)</f>
        <v/>
      </c>
      <c r="V2918" s="225" t="str">
        <f>IF(NOT(ISNUMBER(G2918)), "", VLOOKUP(A2918,'Discount Lookup'!G:H,2,FALSE)*G2918)</f>
        <v/>
      </c>
      <c r="W2918" s="508">
        <f t="shared" si="2249"/>
        <v>0</v>
      </c>
      <c r="X2918" s="508">
        <f t="shared" si="2250"/>
        <v>0</v>
      </c>
      <c r="Y2918" s="509" t="b">
        <f t="shared" si="2251"/>
        <v>0</v>
      </c>
      <c r="Z2918" s="510">
        <f t="shared" si="2252"/>
        <v>0</v>
      </c>
      <c r="AA2918" s="511"/>
      <c r="AB2918" s="511" t="str">
        <f t="shared" si="2253"/>
        <v/>
      </c>
      <c r="AC2918" s="698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698"/>
      <c r="AE2918" s="631" t="str">
        <f t="shared" si="2254"/>
        <v/>
      </c>
      <c r="AF2918" s="699" t="str">
        <f t="shared" si="2255"/>
        <v/>
      </c>
      <c r="AG2918" s="699"/>
      <c r="AH2918" s="699"/>
      <c r="AI2918" s="512">
        <f>IF(H2918="credit",0,IF(AE2918="free",0,IF(AE2918="me",0,IF(G2918&gt;0,(VLOOKUP(A2918,'Discount Lookup'!J:K,2)*G2918),0))))</f>
        <v>0</v>
      </c>
      <c r="AJ2918" s="513" t="str">
        <f t="shared" ca="1" si="2256"/>
        <v/>
      </c>
      <c r="AK2918" s="700" t="str">
        <f t="shared" si="2257"/>
        <v/>
      </c>
      <c r="AL2918" s="700"/>
      <c r="AM2918" s="505" t="str">
        <f t="shared" si="2258"/>
        <v/>
      </c>
      <c r="AN2918" s="506"/>
      <c r="AO2918" s="507"/>
      <c r="AP2918" s="507"/>
      <c r="AQ2918" s="507"/>
      <c r="AR2918" s="507"/>
      <c r="AS2918" s="507"/>
      <c r="AT2918" s="507"/>
      <c r="AU2918" s="507"/>
      <c r="AV2918" s="225"/>
      <c r="AW2918" s="508"/>
      <c r="AX2918" s="225"/>
      <c r="AY2918" s="225"/>
      <c r="AZ2918" s="225"/>
      <c r="BA2918" s="225"/>
      <c r="BB2918" s="225"/>
      <c r="BC2918" s="56"/>
      <c r="BD2918" s="56"/>
      <c r="BE2918" s="56"/>
      <c r="BF2918" s="107" t="str">
        <f t="shared" si="2259"/>
        <v>https://www.google.com/search?tbm=isch&amp;q=Poprocks%20Pineapple%20has%20Chartreuse%20to%20Yellow%20foliage%2C%20turning%20Fiery%20Red%20in%20fall.%20Summer%20bloom%2C%20on%20new%20wood%2C%20so%20prune%20late%20winter%20</v>
      </c>
      <c r="BG2918" s="107" t="str">
        <f t="shared" si="2260"/>
        <v>P</v>
      </c>
      <c r="BH2918" s="254"/>
      <c r="BI2918" s="254"/>
    </row>
    <row r="2919" spans="1:61" customFormat="1" ht="18" x14ac:dyDescent="0.25">
      <c r="A2919" s="523" t="s">
        <v>1541</v>
      </c>
      <c r="B2919" s="235"/>
      <c r="C2919" s="676"/>
      <c r="D2919" s="255" t="s">
        <v>1542</v>
      </c>
      <c r="E2919" s="236"/>
      <c r="F2919" s="236"/>
      <c r="G2919" s="236"/>
      <c r="H2919" s="582" t="s">
        <v>471</v>
      </c>
      <c r="I2919" s="498" t="s">
        <v>2990</v>
      </c>
      <c r="J2919" s="237"/>
      <c r="K2919" s="237"/>
      <c r="L2919" s="274"/>
      <c r="M2919" s="670" t="s">
        <v>4973</v>
      </c>
      <c r="N2919" s="681" t="str">
        <f>IF(AND(ISTEXT($A2919), ISERROR($A2919+0)), HYPERLINK($BF2919, "Images"), "")</f>
        <v>Images</v>
      </c>
      <c r="O2919" s="663" t="s">
        <v>4974</v>
      </c>
      <c r="P2919" s="253"/>
      <c r="Q2919" s="238"/>
      <c r="R2919" s="239"/>
      <c r="S2919" s="275"/>
      <c r="T2919" s="508">
        <f t="shared" si="2248"/>
        <v>0</v>
      </c>
      <c r="U2919" s="225" t="str">
        <f>IF(NOT(ISNUMBER(G2919)), "", VLOOKUP(A2919,'Discount Lookup'!D:E,2,FALSE)*G2919)</f>
        <v/>
      </c>
      <c r="V2919" s="225" t="str">
        <f>IF(NOT(ISNUMBER(G2919)), "", VLOOKUP(A2919,'Discount Lookup'!G:H,2,FALSE)*G2919)</f>
        <v/>
      </c>
      <c r="W2919" s="508">
        <f t="shared" si="2249"/>
        <v>0</v>
      </c>
      <c r="X2919" s="508" t="str">
        <f t="shared" si="2250"/>
        <v>Green &amp; Purple foliage</v>
      </c>
      <c r="Y2919" s="509" t="b">
        <f t="shared" si="2251"/>
        <v>0</v>
      </c>
      <c r="Z2919" s="510">
        <f t="shared" si="2252"/>
        <v>0</v>
      </c>
      <c r="AA2919" s="511"/>
      <c r="AB2919" s="511" t="str">
        <f t="shared" si="2253"/>
        <v/>
      </c>
      <c r="AC2919" s="698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698"/>
      <c r="AE2919" s="631" t="str">
        <f t="shared" si="2254"/>
        <v/>
      </c>
      <c r="AF2919" s="699" t="str">
        <f t="shared" si="2255"/>
        <v/>
      </c>
      <c r="AG2919" s="699"/>
      <c r="AH2919" s="699"/>
      <c r="AI2919" s="512">
        <f>IF(H2919="credit",0,IF(AE2919="free",0,IF(AE2919="me",0,IF(G2919&gt;0,(VLOOKUP(A2919,'Discount Lookup'!J:K,2)*G2919),0))))</f>
        <v>0</v>
      </c>
      <c r="AJ2919" s="513" t="str">
        <f t="shared" ca="1" si="2256"/>
        <v/>
      </c>
      <c r="AK2919" s="700" t="str">
        <f t="shared" si="2257"/>
        <v/>
      </c>
      <c r="AL2919" s="700"/>
      <c r="AM2919" s="505" t="str">
        <f t="shared" si="2258"/>
        <v/>
      </c>
      <c r="AN2919" s="506"/>
      <c r="AO2919" s="507"/>
      <c r="AP2919" s="507"/>
      <c r="AQ2919" s="507"/>
      <c r="AR2919" s="507"/>
      <c r="AS2919" s="507"/>
      <c r="AT2919" s="507"/>
      <c r="AU2919" s="507"/>
      <c r="AV2919" s="225"/>
      <c r="AW2919" s="508"/>
      <c r="AX2919" s="225"/>
      <c r="AY2919" s="225"/>
      <c r="AZ2919" s="225"/>
      <c r="BA2919" s="225"/>
      <c r="BB2919" s="225"/>
      <c r="BC2919" s="56"/>
      <c r="BD2919" s="56"/>
      <c r="BE2919" s="56"/>
      <c r="BF2919" s="107" t="str">
        <f t="shared" si="2259"/>
        <v>https://www.google.com/search?tbm=isch&amp;q=Portora%20Elephant%20Ear%20Alocasia%20%27Portora%27</v>
      </c>
      <c r="BG2919" s="107" t="str">
        <f t="shared" si="2260"/>
        <v>P</v>
      </c>
      <c r="BH2919" s="254"/>
      <c r="BI2919" s="254"/>
    </row>
    <row r="2920" spans="1:61" customFormat="1" ht="15.75" x14ac:dyDescent="0.25">
      <c r="A2920" s="276">
        <v>4</v>
      </c>
      <c r="B2920" s="240" t="s">
        <v>340</v>
      </c>
      <c r="C2920" s="241"/>
      <c r="D2920" s="242" t="s">
        <v>312</v>
      </c>
      <c r="E2920" s="243">
        <v>16.95</v>
      </c>
      <c r="F2920" s="517" t="s">
        <v>293</v>
      </c>
      <c r="G2920" s="232">
        <v>0</v>
      </c>
      <c r="H2920" s="661" t="str">
        <f>IF(G2920=0,"",IF(F2920="Buy",IF(G2920=1,"plant","plants"),IF(F2920&gt;0.01,"warranty","Error")))</f>
        <v/>
      </c>
      <c r="I2920" s="244">
        <f>IF(H2920="free",0,IF(H2920="credit",((E2920*(F2920))*G2920*-1),IF(F2920="Buy",(E2920*G2920),((E2920*(1-F2920))*G2920))))</f>
        <v>0</v>
      </c>
      <c r="J2920" s="244">
        <f>IF(H2920="warranty",0,(I2920*(_xlfn.SINGLE(SalesTaxPercentage))))</f>
        <v>0</v>
      </c>
      <c r="K2920" s="696">
        <f t="shared" ref="K2920" si="2271">I2920+J2920</f>
        <v>0</v>
      </c>
      <c r="L2920" s="696"/>
      <c r="M2920" s="659" t="str">
        <f>IF(AND(G2920&gt;0,E2920=0),"WARNING - no PRICE inserted",IF(H2920="free"," FREE ~ no charge this plant",IF(H2920="credit",CONCATENATE(" -$",ROUND(K2920*(1-T2GDiscount)*-1,2)," CREDIT after discount"),IF(T2GDiscount=0,"",IF(G2920=0,"",IF(F2920="Buy",CONCATENATE(" $",ROUND(K2920*(1-T2GDiscount),2)," with ",(T2GDiscount*100),"% discount"),CONCATENATE(" $",ROUND(K2920*(1-T2GDiscount),2)," with ",((T2GDiscount*100+F2920*100)-(T2GDiscount*100*F2920)),IF(F2920&gt;0,"% discounts",IF(NoWarrantyDiscount&gt;0,"% discounts","% discount")))))))))</f>
        <v/>
      </c>
      <c r="N2920" s="660"/>
      <c r="O2920" s="233"/>
      <c r="P2920" s="233"/>
      <c r="Q2920" s="233"/>
      <c r="R2920" s="233"/>
      <c r="S2920" s="233"/>
      <c r="T2920" s="508">
        <f t="shared" si="2248"/>
        <v>0</v>
      </c>
      <c r="U2920" s="225">
        <f>IF(NOT(ISNUMBER(G2920)), "", VLOOKUP(A2920,'Discount Lookup'!D:E,2,FALSE)*G2920)</f>
        <v>0</v>
      </c>
      <c r="V2920" s="225">
        <f>IF(NOT(ISNUMBER(G2920)), "", VLOOKUP(A2920,'Discount Lookup'!G:H,2,FALSE)*G2920)</f>
        <v>0</v>
      </c>
      <c r="W2920" s="508">
        <f t="shared" si="2249"/>
        <v>0</v>
      </c>
      <c r="X2920" s="508">
        <f t="shared" si="2250"/>
        <v>0</v>
      </c>
      <c r="Y2920" s="509" t="b">
        <f t="shared" si="2251"/>
        <v>0</v>
      </c>
      <c r="Z2920" s="510">
        <f t="shared" si="2252"/>
        <v>0</v>
      </c>
      <c r="AA2920" s="511"/>
      <c r="AB2920" s="511" t="str">
        <f t="shared" si="2253"/>
        <v/>
      </c>
      <c r="AC2920" s="698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698"/>
      <c r="AE2920" s="631" t="str">
        <f t="shared" si="2254"/>
        <v/>
      </c>
      <c r="AF2920" s="699" t="str">
        <f t="shared" si="2255"/>
        <v/>
      </c>
      <c r="AG2920" s="699"/>
      <c r="AH2920" s="699"/>
      <c r="AI2920" s="512">
        <f>IF(H2920="credit",0,IF(AE2920="free",0,IF(AE2920="me",0,IF(G2920&gt;0,(VLOOKUP(A2920,'Discount Lookup'!J:K,2)*G2920),0))))</f>
        <v>0</v>
      </c>
      <c r="AJ2920" s="513" t="str">
        <f t="shared" ca="1" si="2256"/>
        <v/>
      </c>
      <c r="AK2920" s="700" t="str">
        <f t="shared" si="2257"/>
        <v/>
      </c>
      <c r="AL2920" s="700"/>
      <c r="AM2920" s="505" t="str">
        <f t="shared" si="2258"/>
        <v/>
      </c>
      <c r="AN2920" s="506"/>
      <c r="AO2920" s="507"/>
      <c r="AP2920" s="507"/>
      <c r="AQ2920" s="507"/>
      <c r="AR2920" s="507"/>
      <c r="AS2920" s="507"/>
      <c r="AT2920" s="507"/>
      <c r="AU2920" s="507"/>
      <c r="AV2920" s="225"/>
      <c r="AW2920" s="508"/>
      <c r="AX2920" s="225"/>
      <c r="AY2920" s="225"/>
      <c r="AZ2920" s="225"/>
      <c r="BA2920" s="225"/>
      <c r="BB2920" s="225"/>
      <c r="BC2920" s="56"/>
      <c r="BD2920" s="56"/>
      <c r="BE2920" s="56"/>
      <c r="BF2920" s="107" t="str">
        <f t="shared" si="2259"/>
        <v>https://www.google.com/search?tbm=isch&amp;q=4%20G2</v>
      </c>
      <c r="BG2920" s="107" t="str">
        <f t="shared" si="2260"/>
        <v>P</v>
      </c>
      <c r="BH2920" s="254"/>
      <c r="BI2920" s="254"/>
    </row>
    <row r="2921" spans="1:61" customFormat="1" ht="17.25" thickBot="1" x14ac:dyDescent="0.3">
      <c r="A2921" s="673" t="s">
        <v>5209</v>
      </c>
      <c r="B2921" s="245"/>
      <c r="C2921" s="677"/>
      <c r="D2921" s="499"/>
      <c r="E2921" s="499"/>
      <c r="F2921" s="500"/>
      <c r="G2921" s="501"/>
      <c r="H2921" s="502"/>
      <c r="I2921" s="246"/>
      <c r="J2921" s="247"/>
      <c r="K2921" s="503"/>
      <c r="L2921" s="544"/>
      <c r="M2921" s="544"/>
      <c r="N2921" s="500"/>
      <c r="O2921" s="500"/>
      <c r="P2921" s="500"/>
      <c r="Q2921" s="500"/>
      <c r="R2921" s="500"/>
      <c r="S2921" s="278"/>
      <c r="T2921" s="508">
        <f t="shared" si="2248"/>
        <v>0</v>
      </c>
      <c r="U2921" s="225" t="str">
        <f>IF(NOT(ISNUMBER(G2921)), "", VLOOKUP(A2921,'Discount Lookup'!D:E,2,FALSE)*G2921)</f>
        <v/>
      </c>
      <c r="V2921" s="225" t="str">
        <f>IF(NOT(ISNUMBER(G2921)), "", VLOOKUP(A2921,'Discount Lookup'!G:H,2,FALSE)*G2921)</f>
        <v/>
      </c>
      <c r="W2921" s="508">
        <f t="shared" si="2249"/>
        <v>0</v>
      </c>
      <c r="X2921" s="508">
        <f t="shared" si="2250"/>
        <v>0</v>
      </c>
      <c r="Y2921" s="509" t="b">
        <f t="shared" si="2251"/>
        <v>0</v>
      </c>
      <c r="Z2921" s="510">
        <f t="shared" si="2252"/>
        <v>0</v>
      </c>
      <c r="AA2921" s="511"/>
      <c r="AB2921" s="511" t="str">
        <f t="shared" si="2253"/>
        <v/>
      </c>
      <c r="AC2921" s="698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698"/>
      <c r="AE2921" s="631" t="str">
        <f t="shared" si="2254"/>
        <v/>
      </c>
      <c r="AF2921" s="699" t="str">
        <f t="shared" si="2255"/>
        <v/>
      </c>
      <c r="AG2921" s="699"/>
      <c r="AH2921" s="699"/>
      <c r="AI2921" s="512">
        <f>IF(H2921="credit",0,IF(AE2921="free",0,IF(AE2921="me",0,IF(G2921&gt;0,(VLOOKUP(A2921,'Discount Lookup'!J:K,2)*G2921),0))))</f>
        <v>0</v>
      </c>
      <c r="AJ2921" s="513" t="str">
        <f t="shared" ca="1" si="2256"/>
        <v/>
      </c>
      <c r="AK2921" s="700" t="str">
        <f t="shared" si="2257"/>
        <v/>
      </c>
      <c r="AL2921" s="700"/>
      <c r="AM2921" s="505" t="str">
        <f t="shared" si="2258"/>
        <v/>
      </c>
      <c r="AN2921" s="506"/>
      <c r="AO2921" s="507"/>
      <c r="AP2921" s="507"/>
      <c r="AQ2921" s="507"/>
      <c r="AR2921" s="507"/>
      <c r="AS2921" s="507"/>
      <c r="AT2921" s="507"/>
      <c r="AU2921" s="507"/>
      <c r="AV2921" s="225"/>
      <c r="AW2921" s="508"/>
      <c r="AX2921" s="225"/>
      <c r="AY2921" s="225"/>
      <c r="AZ2921" s="225"/>
      <c r="BA2921" s="225"/>
      <c r="BB2921" s="225"/>
      <c r="BC2921" s="56"/>
      <c r="BD2921" s="56"/>
      <c r="BE2921" s="56"/>
      <c r="BF2921" s="107" t="str">
        <f t="shared" si="2259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2921" s="107" t="str">
        <f t="shared" si="2260"/>
        <v>m</v>
      </c>
      <c r="BH2921" s="254"/>
      <c r="BI2921" s="254"/>
    </row>
    <row r="2922" spans="1:61" customFormat="1" ht="18" x14ac:dyDescent="0.25">
      <c r="A2922" s="523" t="s">
        <v>1543</v>
      </c>
      <c r="B2922" s="235"/>
      <c r="C2922" s="676"/>
      <c r="D2922" s="255" t="s">
        <v>1544</v>
      </c>
      <c r="E2922" s="236"/>
      <c r="F2922" s="236"/>
      <c r="G2922" s="236"/>
      <c r="H2922" s="582" t="s">
        <v>463</v>
      </c>
      <c r="I2922" s="498" t="s">
        <v>654</v>
      </c>
      <c r="J2922" s="237"/>
      <c r="K2922" s="237"/>
      <c r="L2922" s="274"/>
      <c r="M2922" s="668" t="s">
        <v>4962</v>
      </c>
      <c r="N2922" s="681" t="str">
        <f>IF(AND(ISTEXT($A2922), ISERROR($A2922+0)), HYPERLINK($BF2922, "Images"), "")</f>
        <v>Images</v>
      </c>
      <c r="O2922" s="663" t="s">
        <v>4971</v>
      </c>
      <c r="P2922" s="253"/>
      <c r="Q2922" s="238"/>
      <c r="R2922" s="239"/>
      <c r="S2922" s="275" t="s">
        <v>305</v>
      </c>
      <c r="T2922" s="508">
        <f t="shared" si="2248"/>
        <v>0</v>
      </c>
      <c r="U2922" s="225" t="str">
        <f>IF(NOT(ISNUMBER(G2922)), "", VLOOKUP(A2922,'Discount Lookup'!D:E,2,FALSE)*G2922)</f>
        <v/>
      </c>
      <c r="V2922" s="225" t="str">
        <f>IF(NOT(ISNUMBER(G2922)), "", VLOOKUP(A2922,'Discount Lookup'!G:H,2,FALSE)*G2922)</f>
        <v/>
      </c>
      <c r="W2922" s="508">
        <f t="shared" si="2249"/>
        <v>0</v>
      </c>
      <c r="X2922" s="508" t="str">
        <f t="shared" si="2250"/>
        <v>White bloom</v>
      </c>
      <c r="Y2922" s="509" t="b">
        <f t="shared" si="2251"/>
        <v>0</v>
      </c>
      <c r="Z2922" s="510">
        <f t="shared" si="2252"/>
        <v>0</v>
      </c>
      <c r="AA2922" s="511"/>
      <c r="AB2922" s="511" t="str">
        <f t="shared" si="2253"/>
        <v/>
      </c>
      <c r="AC2922" s="698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698"/>
      <c r="AE2922" s="631" t="str">
        <f t="shared" si="2254"/>
        <v/>
      </c>
      <c r="AF2922" s="699" t="str">
        <f t="shared" si="2255"/>
        <v/>
      </c>
      <c r="AG2922" s="699"/>
      <c r="AH2922" s="699"/>
      <c r="AI2922" s="512">
        <f>IF(H2922="credit",0,IF(AE2922="free",0,IF(AE2922="me",0,IF(G2922&gt;0,(VLOOKUP(A2922,'Discount Lookup'!J:K,2)*G2922),0))))</f>
        <v>0</v>
      </c>
      <c r="AJ2922" s="513" t="str">
        <f t="shared" ca="1" si="2256"/>
        <v/>
      </c>
      <c r="AK2922" s="700" t="str">
        <f t="shared" si="2257"/>
        <v/>
      </c>
      <c r="AL2922" s="700"/>
      <c r="AM2922" s="505" t="str">
        <f t="shared" si="2258"/>
        <v/>
      </c>
      <c r="AN2922" s="506"/>
      <c r="AO2922" s="507"/>
      <c r="AP2922" s="507"/>
      <c r="AQ2922" s="507"/>
      <c r="AR2922" s="507"/>
      <c r="AS2922" s="507"/>
      <c r="AT2922" s="507"/>
      <c r="AU2922" s="507"/>
      <c r="AV2922" s="225"/>
      <c r="AW2922" s="508"/>
      <c r="AX2922" s="225"/>
      <c r="AY2922" s="225"/>
      <c r="AZ2922" s="225"/>
      <c r="BA2922" s="225"/>
      <c r="BB2922" s="225"/>
      <c r="BC2922" s="56"/>
      <c r="BD2922" s="56"/>
      <c r="BE2922" s="56"/>
      <c r="BF2922" s="107" t="str">
        <f t="shared" si="2259"/>
        <v>https://www.google.com/search?tbm=isch&amp;q=Powderblue%20Blueberry%20Vac.%20ashei%20%27Powderblue%27</v>
      </c>
      <c r="BG2922" s="107" t="str">
        <f t="shared" si="2260"/>
        <v>P</v>
      </c>
      <c r="BH2922" s="254"/>
      <c r="BI2922" s="254"/>
    </row>
    <row r="2923" spans="1:61" customFormat="1" ht="15.75" x14ac:dyDescent="0.25">
      <c r="A2923" s="276">
        <v>3</v>
      </c>
      <c r="B2923" s="240" t="s">
        <v>291</v>
      </c>
      <c r="C2923" s="241"/>
      <c r="D2923" s="242" t="s">
        <v>298</v>
      </c>
      <c r="E2923" s="243">
        <v>25.95</v>
      </c>
      <c r="F2923" s="517" t="s">
        <v>293</v>
      </c>
      <c r="G2923" s="232">
        <v>0</v>
      </c>
      <c r="H2923" s="661" t="str">
        <f>IF(G2923=0,"",IF(F2923="Buy",IF(G2923=1,"plant","plants"),IF(F2923&gt;0.01,"warranty","Error")))</f>
        <v/>
      </c>
      <c r="I2923" s="244">
        <f>IF(H2923="free",0,IF(H2923="credit",((E2923*(F2923))*G2923*-1),IF(F2923="Buy",(E2923*G2923),((E2923*(1-F2923))*G2923))))</f>
        <v>0</v>
      </c>
      <c r="J2923" s="244">
        <f>IF(H2923="warranty",0,(I2923*(_xlfn.SINGLE(SalesTaxPercentage))))</f>
        <v>0</v>
      </c>
      <c r="K2923" s="696">
        <f t="shared" ref="K2923" si="2272">I2923+J2923</f>
        <v>0</v>
      </c>
      <c r="L2923" s="696"/>
      <c r="M2923" s="659" t="str">
        <f>IF(AND(G2923&gt;0,E2923=0),"WARNING - no PRICE inserted",IF(H2923="free"," FREE ~ no charge this plant",IF(H2923="credit",CONCATENATE(" -$",ROUND(K2923*(1-T2GDiscount)*-1,2)," CREDIT after discount"),IF(T2GDiscount=0,"",IF(G2923=0,"",IF(F2923="Buy",CONCATENATE(" $",ROUND(K2923*(1-T2GDiscount),2)," with ",(T2GDiscount*100),"% discount"),CONCATENATE(" $",ROUND(K2923*(1-T2GDiscount),2)," with ",((T2GDiscount*100+F2923*100)-(T2GDiscount*100*F2923)),IF(F2923&gt;0,"% discounts",IF(NoWarrantyDiscount&gt;0,"% discounts","% discount")))))))))</f>
        <v/>
      </c>
      <c r="N2923" s="660"/>
      <c r="O2923" s="233"/>
      <c r="P2923" s="233"/>
      <c r="Q2923" s="233"/>
      <c r="R2923" s="233"/>
      <c r="S2923" s="233"/>
      <c r="T2923" s="508">
        <f t="shared" si="2248"/>
        <v>0</v>
      </c>
      <c r="U2923" s="225">
        <f>IF(NOT(ISNUMBER(G2923)), "", VLOOKUP(A2923,'Discount Lookup'!D:E,2,FALSE)*G2923)</f>
        <v>0</v>
      </c>
      <c r="V2923" s="225">
        <f>IF(NOT(ISNUMBER(G2923)), "", VLOOKUP(A2923,'Discount Lookup'!G:H,2,FALSE)*G2923)</f>
        <v>0</v>
      </c>
      <c r="W2923" s="508">
        <f t="shared" si="2249"/>
        <v>0</v>
      </c>
      <c r="X2923" s="508">
        <f t="shared" si="2250"/>
        <v>0</v>
      </c>
      <c r="Y2923" s="509" t="b">
        <f t="shared" si="2251"/>
        <v>0</v>
      </c>
      <c r="Z2923" s="510">
        <f t="shared" si="2252"/>
        <v>0</v>
      </c>
      <c r="AA2923" s="511"/>
      <c r="AB2923" s="511" t="str">
        <f t="shared" si="2253"/>
        <v/>
      </c>
      <c r="AC2923" s="698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698"/>
      <c r="AE2923" s="631" t="str">
        <f t="shared" si="2254"/>
        <v/>
      </c>
      <c r="AF2923" s="699" t="str">
        <f t="shared" si="2255"/>
        <v/>
      </c>
      <c r="AG2923" s="699"/>
      <c r="AH2923" s="699"/>
      <c r="AI2923" s="512">
        <f>IF(H2923="credit",0,IF(AE2923="free",0,IF(AE2923="me",0,IF(G2923&gt;0,(VLOOKUP(A2923,'Discount Lookup'!J:K,2)*G2923),0))))</f>
        <v>0</v>
      </c>
      <c r="AJ2923" s="513" t="str">
        <f t="shared" ca="1" si="2256"/>
        <v/>
      </c>
      <c r="AK2923" s="700" t="str">
        <f t="shared" si="2257"/>
        <v/>
      </c>
      <c r="AL2923" s="700"/>
      <c r="AM2923" s="505" t="str">
        <f t="shared" si="2258"/>
        <v/>
      </c>
      <c r="AN2923" s="506"/>
      <c r="AO2923" s="507"/>
      <c r="AP2923" s="507"/>
      <c r="AQ2923" s="507"/>
      <c r="AR2923" s="507"/>
      <c r="AS2923" s="507"/>
      <c r="AT2923" s="507"/>
      <c r="AU2923" s="507"/>
      <c r="AV2923" s="225"/>
      <c r="AW2923" s="508"/>
      <c r="AX2923" s="225"/>
      <c r="AY2923" s="225"/>
      <c r="AZ2923" s="225"/>
      <c r="BA2923" s="225"/>
      <c r="BB2923" s="225"/>
      <c r="BC2923" s="56"/>
      <c r="BD2923" s="56"/>
      <c r="BE2923" s="56"/>
      <c r="BF2923" s="107" t="str">
        <f t="shared" si="2259"/>
        <v>https://www.google.com/search?tbm=isch&amp;q=3%20G1</v>
      </c>
      <c r="BG2923" s="107" t="str">
        <f t="shared" si="2260"/>
        <v>P</v>
      </c>
      <c r="BH2923" s="254"/>
      <c r="BI2923" s="254"/>
    </row>
    <row r="2924" spans="1:61" customFormat="1" ht="15.75" x14ac:dyDescent="0.25">
      <c r="A2924" s="276">
        <v>3</v>
      </c>
      <c r="B2924" s="240" t="s">
        <v>291</v>
      </c>
      <c r="C2924" s="241" t="s">
        <v>2788</v>
      </c>
      <c r="D2924" s="242" t="s">
        <v>299</v>
      </c>
      <c r="E2924" s="243">
        <v>33.950000000000003</v>
      </c>
      <c r="F2924" s="517" t="s">
        <v>293</v>
      </c>
      <c r="G2924" s="232">
        <v>0</v>
      </c>
      <c r="H2924" s="661" t="str">
        <f>IF(G2924=0,"",IF(F2924="Buy",IF(G2924=1,"plant","plants"),IF(F2924&gt;0.01,"warranty","Error")))</f>
        <v/>
      </c>
      <c r="I2924" s="244">
        <f>IF(H2924="free",0,IF(H2924="credit",((E2924*(F2924))*G2924*-1),IF(F2924="Buy",(E2924*G2924),((E2924*(1-F2924))*G2924))))</f>
        <v>0</v>
      </c>
      <c r="J2924" s="244">
        <f>IF(H2924="warranty",0,(I2924*(_xlfn.SINGLE(SalesTaxPercentage))))</f>
        <v>0</v>
      </c>
      <c r="K2924" s="696">
        <f t="shared" ref="K2924" si="2273">I2924+J2924</f>
        <v>0</v>
      </c>
      <c r="L2924" s="696"/>
      <c r="M2924" s="659" t="str">
        <f>IF(AND(G2924&gt;0,E2924=0),"WARNING - no PRICE inserted",IF(H2924="free"," FREE ~ no charge this plant",IF(H2924="credit",CONCATENATE(" -$",ROUND(K2924*(1-T2GDiscount)*-1,2)," CREDIT after discount"),IF(T2GDiscount=0,"",IF(G2924=0,"",IF(F2924="Buy",CONCATENATE(" $",ROUND(K2924*(1-T2GDiscount),2)," with ",(T2GDiscount*100),"% discount"),CONCATENATE(" $",ROUND(K2924*(1-T2GDiscount),2)," with ",((T2GDiscount*100+F2924*100)-(T2GDiscount*100*F2924)),IF(F2924&gt;0,"% discounts",IF(NoWarrantyDiscount&gt;0,"% discounts","% discount")))))))))</f>
        <v/>
      </c>
      <c r="N2924" s="660"/>
      <c r="O2924" s="233"/>
      <c r="P2924" s="233"/>
      <c r="Q2924" s="233"/>
      <c r="R2924" s="233"/>
      <c r="S2924" s="233"/>
      <c r="T2924" s="508">
        <f t="shared" si="2248"/>
        <v>0</v>
      </c>
      <c r="U2924" s="225">
        <f>IF(NOT(ISNUMBER(G2924)), "", VLOOKUP(A2924,'Discount Lookup'!D:E,2,FALSE)*G2924)</f>
        <v>0</v>
      </c>
      <c r="V2924" s="225">
        <f>IF(NOT(ISNUMBER(G2924)), "", VLOOKUP(A2924,'Discount Lookup'!G:H,2,FALSE)*G2924)</f>
        <v>0</v>
      </c>
      <c r="W2924" s="508">
        <f t="shared" si="2249"/>
        <v>0</v>
      </c>
      <c r="X2924" s="508">
        <f t="shared" si="2250"/>
        <v>0</v>
      </c>
      <c r="Y2924" s="509" t="b">
        <f t="shared" si="2251"/>
        <v>0</v>
      </c>
      <c r="Z2924" s="510">
        <f t="shared" si="2252"/>
        <v>0</v>
      </c>
      <c r="AA2924" s="511"/>
      <c r="AB2924" s="511" t="str">
        <f t="shared" si="2253"/>
        <v/>
      </c>
      <c r="AC2924" s="698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698"/>
      <c r="AE2924" s="631" t="str">
        <f t="shared" si="2254"/>
        <v/>
      </c>
      <c r="AF2924" s="699" t="str">
        <f t="shared" si="2255"/>
        <v/>
      </c>
      <c r="AG2924" s="699"/>
      <c r="AH2924" s="699"/>
      <c r="AI2924" s="512">
        <f>IF(H2924="credit",0,IF(AE2924="free",0,IF(AE2924="me",0,IF(G2924&gt;0,(VLOOKUP(A2924,'Discount Lookup'!J:K,2)*G2924),0))))</f>
        <v>0</v>
      </c>
      <c r="AJ2924" s="513" t="str">
        <f t="shared" ca="1" si="2256"/>
        <v/>
      </c>
      <c r="AK2924" s="700" t="str">
        <f t="shared" si="2257"/>
        <v/>
      </c>
      <c r="AL2924" s="700"/>
      <c r="AM2924" s="505" t="str">
        <f t="shared" si="2258"/>
        <v/>
      </c>
      <c r="AN2924" s="506"/>
      <c r="AO2924" s="507"/>
      <c r="AP2924" s="507"/>
      <c r="AQ2924" s="507"/>
      <c r="AR2924" s="507"/>
      <c r="AS2924" s="507"/>
      <c r="AT2924" s="507"/>
      <c r="AU2924" s="507"/>
      <c r="AV2924" s="225"/>
      <c r="AW2924" s="508"/>
      <c r="AX2924" s="225"/>
      <c r="AY2924" s="225"/>
      <c r="AZ2924" s="225"/>
      <c r="BA2924" s="225"/>
      <c r="BB2924" s="225"/>
      <c r="BC2924" s="56"/>
      <c r="BD2924" s="56"/>
      <c r="BE2924" s="56"/>
      <c r="BF2924" s="107" t="str">
        <f t="shared" si="2259"/>
        <v>https://www.google.com/search?tbm=isch&amp;q=3%20G5</v>
      </c>
      <c r="BG2924" s="107" t="str">
        <f t="shared" si="2260"/>
        <v>P</v>
      </c>
      <c r="BH2924" s="254"/>
      <c r="BI2924" s="254"/>
    </row>
    <row r="2925" spans="1:61" customFormat="1" ht="17.25" thickBot="1" x14ac:dyDescent="0.3">
      <c r="A2925" s="673" t="s">
        <v>5210</v>
      </c>
      <c r="B2925" s="245"/>
      <c r="C2925" s="677"/>
      <c r="D2925" s="499"/>
      <c r="E2925" s="499"/>
      <c r="F2925" s="500"/>
      <c r="G2925" s="501"/>
      <c r="H2925" s="502"/>
      <c r="I2925" s="246"/>
      <c r="J2925" s="247"/>
      <c r="K2925" s="503"/>
      <c r="L2925" s="544"/>
      <c r="M2925" s="544"/>
      <c r="N2925" s="500"/>
      <c r="O2925" s="500"/>
      <c r="P2925" s="500"/>
      <c r="Q2925" s="500"/>
      <c r="R2925" s="500"/>
      <c r="S2925" s="669" t="s">
        <v>5005</v>
      </c>
      <c r="T2925" s="508">
        <f t="shared" si="2248"/>
        <v>0</v>
      </c>
      <c r="U2925" s="225" t="str">
        <f>IF(NOT(ISNUMBER(G2925)), "", VLOOKUP(A2925,'Discount Lookup'!D:E,2,FALSE)*G2925)</f>
        <v/>
      </c>
      <c r="V2925" s="225" t="str">
        <f>IF(NOT(ISNUMBER(G2925)), "", VLOOKUP(A2925,'Discount Lookup'!G:H,2,FALSE)*G2925)</f>
        <v/>
      </c>
      <c r="W2925" s="508">
        <f t="shared" si="2249"/>
        <v>0</v>
      </c>
      <c r="X2925" s="508">
        <f t="shared" si="2250"/>
        <v>0</v>
      </c>
      <c r="Y2925" s="509" t="b">
        <f t="shared" si="2251"/>
        <v>0</v>
      </c>
      <c r="Z2925" s="510">
        <f t="shared" si="2252"/>
        <v>0</v>
      </c>
      <c r="AA2925" s="511"/>
      <c r="AB2925" s="511" t="str">
        <f t="shared" si="2253"/>
        <v/>
      </c>
      <c r="AC2925" s="698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698"/>
      <c r="AE2925" s="631" t="str">
        <f t="shared" si="2254"/>
        <v/>
      </c>
      <c r="AF2925" s="699" t="str">
        <f t="shared" si="2255"/>
        <v/>
      </c>
      <c r="AG2925" s="699"/>
      <c r="AH2925" s="699"/>
      <c r="AI2925" s="512">
        <f>IF(H2925="credit",0,IF(AE2925="free",0,IF(AE2925="me",0,IF(G2925&gt;0,(VLOOKUP(A2925,'Discount Lookup'!J:K,2)*G2925),0))))</f>
        <v>0</v>
      </c>
      <c r="AJ2925" s="513" t="str">
        <f t="shared" ca="1" si="2256"/>
        <v/>
      </c>
      <c r="AK2925" s="700" t="str">
        <f t="shared" si="2257"/>
        <v/>
      </c>
      <c r="AL2925" s="700"/>
      <c r="AM2925" s="505" t="str">
        <f t="shared" si="2258"/>
        <v/>
      </c>
      <c r="AN2925" s="506"/>
      <c r="AO2925" s="507"/>
      <c r="AP2925" s="507"/>
      <c r="AQ2925" s="507"/>
      <c r="AR2925" s="507"/>
      <c r="AS2925" s="507"/>
      <c r="AT2925" s="507"/>
      <c r="AU2925" s="507"/>
      <c r="AV2925" s="225"/>
      <c r="AW2925" s="508"/>
      <c r="AX2925" s="225"/>
      <c r="AY2925" s="225"/>
      <c r="AZ2925" s="225"/>
      <c r="BA2925" s="225"/>
      <c r="BB2925" s="225"/>
      <c r="BC2925" s="56"/>
      <c r="BD2925" s="56"/>
      <c r="BE2925" s="56"/>
      <c r="BF2925" s="107" t="str">
        <f t="shared" si="2259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2925" s="107" t="str">
        <f t="shared" si="2260"/>
        <v>m</v>
      </c>
      <c r="BH2925" s="254"/>
      <c r="BI2925" s="254"/>
    </row>
    <row r="2926" spans="1:61" customFormat="1" ht="18" x14ac:dyDescent="0.25">
      <c r="A2926" s="521" t="s">
        <v>1545</v>
      </c>
      <c r="B2926" s="477"/>
      <c r="C2926" s="674"/>
      <c r="D2926" s="478" t="s">
        <v>1546</v>
      </c>
      <c r="E2926" s="479"/>
      <c r="F2926" s="479"/>
      <c r="G2926" s="479"/>
      <c r="H2926" s="582" t="s">
        <v>833</v>
      </c>
      <c r="I2926" s="480" t="s">
        <v>2293</v>
      </c>
      <c r="J2926" s="479"/>
      <c r="K2926" s="479"/>
      <c r="L2926" s="560"/>
      <c r="M2926" s="666" t="s">
        <v>4963</v>
      </c>
      <c r="N2926" s="680" t="str">
        <f>IF(AND(ISTEXT($A2926), ISERROR($A2926+0)), HYPERLINK($BF2926, "Images"), "")</f>
        <v>Images</v>
      </c>
      <c r="O2926" s="662" t="s">
        <v>4971</v>
      </c>
      <c r="P2926" s="482"/>
      <c r="Q2926" s="483"/>
      <c r="R2926" s="483"/>
      <c r="S2926" s="484"/>
      <c r="T2926" s="508">
        <f t="shared" si="2248"/>
        <v>0</v>
      </c>
      <c r="U2926" s="225" t="str">
        <f>IF(NOT(ISNUMBER(G2926)), "", VLOOKUP(A2926,'Discount Lookup'!D:E,2,FALSE)*G2926)</f>
        <v/>
      </c>
      <c r="V2926" s="225" t="str">
        <f>IF(NOT(ISNUMBER(G2926)), "", VLOOKUP(A2926,'Discount Lookup'!G:H,2,FALSE)*G2926)</f>
        <v/>
      </c>
      <c r="W2926" s="508">
        <f t="shared" si="2249"/>
        <v>0</v>
      </c>
      <c r="X2926" s="508" t="str">
        <f t="shared" si="2250"/>
        <v>Golden-Yellow foliage</v>
      </c>
      <c r="Y2926" s="509" t="b">
        <f t="shared" si="2251"/>
        <v>0</v>
      </c>
      <c r="Z2926" s="510">
        <f t="shared" si="2252"/>
        <v>0</v>
      </c>
      <c r="AA2926" s="511"/>
      <c r="AB2926" s="511" t="str">
        <f t="shared" si="2253"/>
        <v/>
      </c>
      <c r="AC2926" s="698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698"/>
      <c r="AE2926" s="631" t="str">
        <f t="shared" si="2254"/>
        <v/>
      </c>
      <c r="AF2926" s="699" t="str">
        <f t="shared" si="2255"/>
        <v/>
      </c>
      <c r="AG2926" s="699"/>
      <c r="AH2926" s="699"/>
      <c r="AI2926" s="512">
        <f>IF(H2926="credit",0,IF(AE2926="free",0,IF(AE2926="me",0,IF(G2926&gt;0,(VLOOKUP(A2926,'Discount Lookup'!J:K,2)*G2926),0))))</f>
        <v>0</v>
      </c>
      <c r="AJ2926" s="513" t="str">
        <f t="shared" ca="1" si="2256"/>
        <v/>
      </c>
      <c r="AK2926" s="700" t="str">
        <f t="shared" si="2257"/>
        <v/>
      </c>
      <c r="AL2926" s="700"/>
      <c r="AM2926" s="505" t="str">
        <f t="shared" si="2258"/>
        <v/>
      </c>
      <c r="AN2926" s="506"/>
      <c r="AO2926" s="507"/>
      <c r="AP2926" s="507"/>
      <c r="AQ2926" s="507"/>
      <c r="AR2926" s="507"/>
      <c r="AS2926" s="507"/>
      <c r="AT2926" s="507"/>
      <c r="AU2926" s="507"/>
      <c r="AV2926" s="225"/>
      <c r="AW2926" s="508"/>
      <c r="AX2926" s="225"/>
      <c r="AY2926" s="225"/>
      <c r="AZ2926" s="225"/>
      <c r="BA2926" s="225"/>
      <c r="BB2926" s="225"/>
      <c r="BC2926" s="56"/>
      <c r="BD2926" s="56"/>
      <c r="BE2926" s="56"/>
      <c r="BF2926" s="107" t="str">
        <f t="shared" si="2259"/>
        <v>https://www.google.com/search?tbm=isch&amp;q=Powdered%20Gold%20Arborvitae%20Thuja%20occidentalis%20%27SMTOYB%27%20PP%2325388</v>
      </c>
      <c r="BG2926" s="107" t="str">
        <f t="shared" si="2260"/>
        <v>P</v>
      </c>
      <c r="BH2926" s="254"/>
      <c r="BI2926" s="254"/>
    </row>
    <row r="2927" spans="1:61" customFormat="1" ht="27" x14ac:dyDescent="0.25">
      <c r="A2927" s="485">
        <v>15</v>
      </c>
      <c r="B2927" s="486" t="s">
        <v>291</v>
      </c>
      <c r="C2927" s="487" t="s">
        <v>4010</v>
      </c>
      <c r="D2927" s="488" t="s">
        <v>297</v>
      </c>
      <c r="E2927" s="489">
        <v>155.94999999999999</v>
      </c>
      <c r="F2927" s="516" t="s">
        <v>293</v>
      </c>
      <c r="G2927" s="232">
        <v>0</v>
      </c>
      <c r="H2927" s="658" t="str">
        <f>IF(G2927=0,"",IF(F2927="Buy",IF(G2927=1,"plant","plants"),IF(F2927&gt;0.01,"warranty","Error")))</f>
        <v/>
      </c>
      <c r="I2927" s="490">
        <f>IF(H2927="free",0,IF(H2927="credit",((E2927*(F2927))*G2927*-1),IF(F2927="Buy",(E2927*G2927),((E2927*(1-F2927))*G2927))))</f>
        <v>0</v>
      </c>
      <c r="J2927" s="490">
        <f>IF(H2927="warranty",0,(I2927*(_xlfn.SINGLE(SalesTaxPercentage))))</f>
        <v>0</v>
      </c>
      <c r="K2927" s="695">
        <f t="shared" ref="K2927" si="2274">I2927+J2927</f>
        <v>0</v>
      </c>
      <c r="L2927" s="695"/>
      <c r="M2927" s="659" t="str">
        <f>IF(AND(G2927&gt;0,E2927=0),"WARNING - no PRICE inserted",IF(H2927="free"," FREE ~ no charge this plant",IF(H2927="credit",CONCATENATE(" -$",ROUND(K2927*(1-T2GDiscount)*-1,2)," CREDIT after discount"),IF(T2GDiscount=0,"",IF(G2927=0,"",IF(F2927="Buy",CONCATENATE(" $",ROUND(K2927*(1-T2GDiscount),2)," with ",(T2GDiscount*100),"% discount"),CONCATENATE(" $",ROUND(K2927*(1-T2GDiscount),2)," with ",((T2GDiscount*100+F2927*100)-(T2GDiscount*100*F2927)),IF(F2927&gt;0,"% discounts",IF(NoWarrantyDiscount&gt;0,"% discounts","% discount")))))))))</f>
        <v/>
      </c>
      <c r="N2927" s="660"/>
      <c r="O2927" s="233"/>
      <c r="P2927" s="233"/>
      <c r="Q2927" s="233"/>
      <c r="R2927" s="233"/>
      <c r="S2927" s="233"/>
      <c r="T2927" s="508">
        <f t="shared" si="2248"/>
        <v>0</v>
      </c>
      <c r="U2927" s="225">
        <f>IF(NOT(ISNUMBER(G2927)), "", VLOOKUP(A2927,'Discount Lookup'!D:E,2,FALSE)*G2927)</f>
        <v>0</v>
      </c>
      <c r="V2927" s="225">
        <f>IF(NOT(ISNUMBER(G2927)), "", VLOOKUP(A2927,'Discount Lookup'!G:H,2,FALSE)*G2927)</f>
        <v>0</v>
      </c>
      <c r="W2927" s="508">
        <f t="shared" si="2249"/>
        <v>0</v>
      </c>
      <c r="X2927" s="508">
        <f t="shared" si="2250"/>
        <v>0</v>
      </c>
      <c r="Y2927" s="509" t="b">
        <f t="shared" si="2251"/>
        <v>0</v>
      </c>
      <c r="Z2927" s="510">
        <f t="shared" si="2252"/>
        <v>0</v>
      </c>
      <c r="AA2927" s="511"/>
      <c r="AB2927" s="511" t="str">
        <f t="shared" si="2253"/>
        <v/>
      </c>
      <c r="AC2927" s="698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698"/>
      <c r="AE2927" s="631" t="str">
        <f t="shared" si="2254"/>
        <v/>
      </c>
      <c r="AF2927" s="699" t="str">
        <f t="shared" si="2255"/>
        <v/>
      </c>
      <c r="AG2927" s="699"/>
      <c r="AH2927" s="699"/>
      <c r="AI2927" s="512">
        <f>IF(H2927="credit",0,IF(AE2927="free",0,IF(AE2927="me",0,IF(G2927&gt;0,(VLOOKUP(A2927,'Discount Lookup'!J:K,2)*G2927),0))))</f>
        <v>0</v>
      </c>
      <c r="AJ2927" s="513" t="str">
        <f t="shared" ca="1" si="2256"/>
        <v/>
      </c>
      <c r="AK2927" s="700" t="str">
        <f t="shared" si="2257"/>
        <v/>
      </c>
      <c r="AL2927" s="700"/>
      <c r="AM2927" s="505" t="str">
        <f t="shared" si="2258"/>
        <v/>
      </c>
      <c r="AN2927" s="506"/>
      <c r="AO2927" s="507"/>
      <c r="AP2927" s="507"/>
      <c r="AQ2927" s="507"/>
      <c r="AR2927" s="507"/>
      <c r="AS2927" s="507"/>
      <c r="AT2927" s="507"/>
      <c r="AU2927" s="507"/>
      <c r="AV2927" s="225"/>
      <c r="AW2927" s="508"/>
      <c r="AX2927" s="225"/>
      <c r="AY2927" s="225"/>
      <c r="AZ2927" s="225"/>
      <c r="BA2927" s="225"/>
      <c r="BB2927" s="225"/>
      <c r="BC2927" s="56"/>
      <c r="BD2927" s="56"/>
      <c r="BE2927" s="56"/>
      <c r="BF2927" s="107" t="str">
        <f t="shared" si="2259"/>
        <v>https://www.google.com/search?tbm=isch&amp;q=15%20G3</v>
      </c>
      <c r="BG2927" s="107" t="str">
        <f t="shared" si="2260"/>
        <v>P</v>
      </c>
      <c r="BH2927" s="254"/>
      <c r="BI2927" s="254"/>
    </row>
    <row r="2928" spans="1:61" customFormat="1" ht="16.5" thickBot="1" x14ac:dyDescent="0.3">
      <c r="A2928" s="522" t="s">
        <v>2299</v>
      </c>
      <c r="B2928" s="491"/>
      <c r="C2928" s="675"/>
      <c r="D2928" s="491"/>
      <c r="E2928" s="491"/>
      <c r="F2928" s="492"/>
      <c r="G2928" s="493"/>
      <c r="H2928" s="491"/>
      <c r="I2928" s="234"/>
      <c r="J2928" s="234"/>
      <c r="K2928" s="494"/>
      <c r="L2928" s="543"/>
      <c r="M2928" s="561"/>
      <c r="N2928" s="495"/>
      <c r="O2928" s="496"/>
      <c r="P2928" s="497"/>
      <c r="Q2928" s="495"/>
      <c r="R2928" s="495"/>
      <c r="S2928" s="277"/>
      <c r="T2928" s="508">
        <f t="shared" si="2248"/>
        <v>0</v>
      </c>
      <c r="U2928" s="225" t="str">
        <f>IF(NOT(ISNUMBER(G2928)), "", VLOOKUP(A2928,'Discount Lookup'!D:E,2,FALSE)*G2928)</f>
        <v/>
      </c>
      <c r="V2928" s="225" t="str">
        <f>IF(NOT(ISNUMBER(G2928)), "", VLOOKUP(A2928,'Discount Lookup'!G:H,2,FALSE)*G2928)</f>
        <v/>
      </c>
      <c r="W2928" s="508">
        <f t="shared" si="2249"/>
        <v>0</v>
      </c>
      <c r="X2928" s="508">
        <f t="shared" si="2250"/>
        <v>0</v>
      </c>
      <c r="Y2928" s="509" t="b">
        <f t="shared" si="2251"/>
        <v>0</v>
      </c>
      <c r="Z2928" s="510">
        <f t="shared" si="2252"/>
        <v>0</v>
      </c>
      <c r="AA2928" s="511"/>
      <c r="AB2928" s="511" t="str">
        <f t="shared" si="2253"/>
        <v/>
      </c>
      <c r="AC2928" s="698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698"/>
      <c r="AE2928" s="631" t="str">
        <f t="shared" si="2254"/>
        <v/>
      </c>
      <c r="AF2928" s="699" t="str">
        <f t="shared" si="2255"/>
        <v/>
      </c>
      <c r="AG2928" s="699"/>
      <c r="AH2928" s="699"/>
      <c r="AI2928" s="512">
        <f>IF(H2928="credit",0,IF(AE2928="free",0,IF(AE2928="me",0,IF(G2928&gt;0,(VLOOKUP(A2928,'Discount Lookup'!J:K,2)*G2928),0))))</f>
        <v>0</v>
      </c>
      <c r="AJ2928" s="513" t="str">
        <f t="shared" ca="1" si="2256"/>
        <v/>
      </c>
      <c r="AK2928" s="700" t="str">
        <f t="shared" si="2257"/>
        <v/>
      </c>
      <c r="AL2928" s="700"/>
      <c r="AM2928" s="505" t="str">
        <f t="shared" si="2258"/>
        <v/>
      </c>
      <c r="AN2928" s="506"/>
      <c r="AO2928" s="507"/>
      <c r="AP2928" s="507"/>
      <c r="AQ2928" s="507"/>
      <c r="AR2928" s="507"/>
      <c r="AS2928" s="507"/>
      <c r="AT2928" s="507"/>
      <c r="AU2928" s="507"/>
      <c r="AV2928" s="225"/>
      <c r="AW2928" s="508"/>
      <c r="AX2928" s="225"/>
      <c r="AY2928" s="225"/>
      <c r="AZ2928" s="225"/>
      <c r="BA2928" s="225"/>
      <c r="BB2928" s="225"/>
      <c r="BC2928" s="56"/>
      <c r="BD2928" s="56"/>
      <c r="BE2928" s="56"/>
      <c r="BF2928" s="107" t="str">
        <f t="shared" si="2259"/>
        <v>https://www.google.com/search?tbm=isch&amp;q=Powdered%20Gold%20is%20a%20compact%20evergreen%20with%20vibrant%20Golden%20foliage%20that%20adds%20year-round%20color.%20Aromatic%20foliage%20when%20crushed%20</v>
      </c>
      <c r="BG2928" s="107" t="str">
        <f t="shared" si="2260"/>
        <v>P</v>
      </c>
      <c r="BH2928" s="254"/>
      <c r="BI2928" s="254"/>
    </row>
    <row r="2929" spans="1:61" customFormat="1" ht="18" x14ac:dyDescent="0.25">
      <c r="A2929" s="523" t="s">
        <v>5501</v>
      </c>
      <c r="B2929" s="235"/>
      <c r="C2929" s="676"/>
      <c r="D2929" s="255" t="s">
        <v>1547</v>
      </c>
      <c r="E2929" s="236"/>
      <c r="F2929" s="236"/>
      <c r="G2929" s="236"/>
      <c r="H2929" s="582" t="s">
        <v>4246</v>
      </c>
      <c r="I2929" s="498" t="s">
        <v>4254</v>
      </c>
      <c r="J2929" s="237"/>
      <c r="K2929" s="237"/>
      <c r="L2929" s="274"/>
      <c r="M2929" s="668" t="s">
        <v>4962</v>
      </c>
      <c r="N2929" s="681" t="str">
        <f>IF(AND(ISTEXT($A2929), ISERROR($A2929+0)), HYPERLINK($BF2929, "Images"), "")</f>
        <v>Images</v>
      </c>
      <c r="O2929" s="663" t="s">
        <v>4967</v>
      </c>
      <c r="P2929" s="253"/>
      <c r="Q2929" s="238"/>
      <c r="R2929" s="239"/>
      <c r="S2929" s="275" t="s">
        <v>305</v>
      </c>
      <c r="T2929" s="508">
        <f t="shared" si="2248"/>
        <v>0</v>
      </c>
      <c r="U2929" s="225" t="str">
        <f>IF(NOT(ISNUMBER(G2929)), "", VLOOKUP(A2929,'Discount Lookup'!D:E,2,FALSE)*G2929)</f>
        <v/>
      </c>
      <c r="V2929" s="225" t="str">
        <f>IF(NOT(ISNUMBER(G2929)), "", VLOOKUP(A2929,'Discount Lookup'!G:H,2,FALSE)*G2929)</f>
        <v/>
      </c>
      <c r="W2929" s="508">
        <f t="shared" si="2249"/>
        <v>0</v>
      </c>
      <c r="X2929" s="508" t="str">
        <f t="shared" si="2250"/>
        <v>Deep Rose-Purple bloom</v>
      </c>
      <c r="Y2929" s="509" t="b">
        <f t="shared" si="2251"/>
        <v>0</v>
      </c>
      <c r="Z2929" s="510">
        <f t="shared" si="2252"/>
        <v>0</v>
      </c>
      <c r="AA2929" s="511"/>
      <c r="AB2929" s="511" t="str">
        <f t="shared" si="2253"/>
        <v/>
      </c>
      <c r="AC2929" s="698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698"/>
      <c r="AE2929" s="631" t="str">
        <f t="shared" si="2254"/>
        <v/>
      </c>
      <c r="AF2929" s="699" t="str">
        <f t="shared" si="2255"/>
        <v/>
      </c>
      <c r="AG2929" s="699"/>
      <c r="AH2929" s="699"/>
      <c r="AI2929" s="512">
        <f>IF(H2929="credit",0,IF(AE2929="free",0,IF(AE2929="me",0,IF(G2929&gt;0,(VLOOKUP(A2929,'Discount Lookup'!J:K,2)*G2929),0))))</f>
        <v>0</v>
      </c>
      <c r="AJ2929" s="513" t="str">
        <f t="shared" ca="1" si="2256"/>
        <v/>
      </c>
      <c r="AK2929" s="700" t="str">
        <f t="shared" si="2257"/>
        <v/>
      </c>
      <c r="AL2929" s="700"/>
      <c r="AM2929" s="505" t="str">
        <f t="shared" si="2258"/>
        <v/>
      </c>
      <c r="AN2929" s="506"/>
      <c r="AO2929" s="507"/>
      <c r="AP2929" s="507"/>
      <c r="AQ2929" s="507"/>
      <c r="AR2929" s="507"/>
      <c r="AS2929" s="507"/>
      <c r="AT2929" s="507"/>
      <c r="AU2929" s="507"/>
      <c r="AV2929" s="225"/>
      <c r="AW2929" s="508"/>
      <c r="AX2929" s="225"/>
      <c r="AY2929" s="225"/>
      <c r="AZ2929" s="225"/>
      <c r="BA2929" s="225"/>
      <c r="BB2929" s="225"/>
      <c r="BC2929" s="56"/>
      <c r="BD2929" s="56"/>
      <c r="BE2929" s="56"/>
      <c r="BF2929" s="107" t="str">
        <f t="shared" si="2259"/>
        <v>https://www.google.com/search?tbm=isch&amp;q=PowWow%C2%AE%20Wild%20Berry%20Coneflower%20Echinacea%20purpurea%20%27PAS702917%27%20PP%237982110</v>
      </c>
      <c r="BG2929" s="107" t="str">
        <f t="shared" si="2260"/>
        <v>P</v>
      </c>
      <c r="BH2929" s="254"/>
      <c r="BI2929" s="254"/>
    </row>
    <row r="2930" spans="1:61" customFormat="1" ht="15.75" x14ac:dyDescent="0.25">
      <c r="A2930" s="276">
        <v>2</v>
      </c>
      <c r="B2930" s="240" t="s">
        <v>291</v>
      </c>
      <c r="C2930" s="241"/>
      <c r="D2930" s="242" t="s">
        <v>300</v>
      </c>
      <c r="E2930" s="243">
        <v>26.95</v>
      </c>
      <c r="F2930" s="517" t="s">
        <v>293</v>
      </c>
      <c r="G2930" s="232">
        <v>0</v>
      </c>
      <c r="H2930" s="661" t="str">
        <f>IF(G2930=0,"",IF(F2930="Buy",IF(G2930=1,"plant","plants"),IF(F2930&gt;0.01,"warranty","Error")))</f>
        <v/>
      </c>
      <c r="I2930" s="244">
        <f>IF(H2930="free",0,IF(H2930="credit",((E2930*(F2930))*G2930*-1),IF(F2930="Buy",(E2930*G2930),((E2930*(1-F2930))*G2930))))</f>
        <v>0</v>
      </c>
      <c r="J2930" s="244">
        <f>IF(H2930="warranty",0,(I2930*(_xlfn.SINGLE(SalesTaxPercentage))))</f>
        <v>0</v>
      </c>
      <c r="K2930" s="696">
        <f t="shared" ref="K2930" si="2275">I2930+J2930</f>
        <v>0</v>
      </c>
      <c r="L2930" s="696"/>
      <c r="M2930" s="659" t="str">
        <f>IF(AND(G2930&gt;0,E2930=0),"WARNING - no PRICE inserted",IF(H2930="free"," FREE ~ no charge this plant",IF(H2930="credit",CONCATENATE(" -$",ROUND(K2930*(1-T2GDiscount)*-1,2)," CREDIT after discount"),IF(T2GDiscount=0,"",IF(G2930=0,"",IF(F2930="Buy",CONCATENATE(" $",ROUND(K2930*(1-T2GDiscount),2)," with ",(T2GDiscount*100),"% discount"),CONCATENATE(" $",ROUND(K2930*(1-T2GDiscount),2)," with ",((T2GDiscount*100+F2930*100)-(T2GDiscount*100*F2930)),IF(F2930&gt;0,"% discounts",IF(NoWarrantyDiscount&gt;0,"% discounts","% discount")))))))))</f>
        <v/>
      </c>
      <c r="N2930" s="660"/>
      <c r="O2930" s="233"/>
      <c r="P2930" s="233"/>
      <c r="Q2930" s="233"/>
      <c r="R2930" s="233"/>
      <c r="S2930" s="233"/>
      <c r="T2930" s="508">
        <f t="shared" si="2248"/>
        <v>0</v>
      </c>
      <c r="U2930" s="225">
        <f>IF(NOT(ISNUMBER(G2930)), "", VLOOKUP(A2930,'Discount Lookup'!D:E,2,FALSE)*G2930)</f>
        <v>0</v>
      </c>
      <c r="V2930" s="225">
        <f>IF(NOT(ISNUMBER(G2930)), "", VLOOKUP(A2930,'Discount Lookup'!G:H,2,FALSE)*G2930)</f>
        <v>0</v>
      </c>
      <c r="W2930" s="508">
        <f t="shared" si="2249"/>
        <v>0</v>
      </c>
      <c r="X2930" s="508">
        <f t="shared" si="2250"/>
        <v>0</v>
      </c>
      <c r="Y2930" s="509" t="b">
        <f t="shared" si="2251"/>
        <v>0</v>
      </c>
      <c r="Z2930" s="510">
        <f t="shared" si="2252"/>
        <v>0</v>
      </c>
      <c r="AA2930" s="511"/>
      <c r="AB2930" s="511" t="str">
        <f t="shared" si="2253"/>
        <v/>
      </c>
      <c r="AC2930" s="698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698"/>
      <c r="AE2930" s="631" t="str">
        <f t="shared" si="2254"/>
        <v/>
      </c>
      <c r="AF2930" s="699" t="str">
        <f t="shared" si="2255"/>
        <v/>
      </c>
      <c r="AG2930" s="699"/>
      <c r="AH2930" s="699"/>
      <c r="AI2930" s="512">
        <f>IF(H2930="credit",0,IF(AE2930="free",0,IF(AE2930="me",0,IF(G2930&gt;0,(VLOOKUP(A2930,'Discount Lookup'!J:K,2)*G2930),0))))</f>
        <v>0</v>
      </c>
      <c r="AJ2930" s="513" t="str">
        <f t="shared" ca="1" si="2256"/>
        <v/>
      </c>
      <c r="AK2930" s="700" t="str">
        <f t="shared" si="2257"/>
        <v/>
      </c>
      <c r="AL2930" s="700"/>
      <c r="AM2930" s="505" t="str">
        <f t="shared" si="2258"/>
        <v/>
      </c>
      <c r="AN2930" s="506"/>
      <c r="AO2930" s="507"/>
      <c r="AP2930" s="507"/>
      <c r="AQ2930" s="507"/>
      <c r="AR2930" s="507"/>
      <c r="AS2930" s="507"/>
      <c r="AT2930" s="507"/>
      <c r="AU2930" s="507"/>
      <c r="AV2930" s="225"/>
      <c r="AW2930" s="508"/>
      <c r="AX2930" s="225"/>
      <c r="AY2930" s="225"/>
      <c r="AZ2930" s="225"/>
      <c r="BA2930" s="225"/>
      <c r="BB2930" s="225"/>
      <c r="BC2930" s="56"/>
      <c r="BD2930" s="56"/>
      <c r="BE2930" s="56"/>
      <c r="BF2930" s="107" t="str">
        <f t="shared" si="2259"/>
        <v>https://www.google.com/search?tbm=isch&amp;q=2%20G6</v>
      </c>
      <c r="BG2930" s="107" t="str">
        <f t="shared" si="2260"/>
        <v>P</v>
      </c>
      <c r="BH2930" s="254"/>
      <c r="BI2930" s="254"/>
    </row>
    <row r="2931" spans="1:61" customFormat="1" ht="17.25" thickBot="1" x14ac:dyDescent="0.3">
      <c r="A2931" s="524" t="s">
        <v>4267</v>
      </c>
      <c r="B2931" s="245"/>
      <c r="C2931" s="677"/>
      <c r="D2931" s="499"/>
      <c r="E2931" s="499"/>
      <c r="F2931" s="500"/>
      <c r="G2931" s="501"/>
      <c r="H2931" s="502"/>
      <c r="I2931" s="246"/>
      <c r="J2931" s="247"/>
      <c r="K2931" s="503"/>
      <c r="L2931" s="544"/>
      <c r="M2931" s="544"/>
      <c r="N2931" s="500"/>
      <c r="O2931" s="500"/>
      <c r="P2931" s="500"/>
      <c r="Q2931" s="500"/>
      <c r="R2931" s="500"/>
      <c r="S2931" s="669" t="s">
        <v>4979</v>
      </c>
      <c r="T2931" s="508">
        <f t="shared" si="2248"/>
        <v>0</v>
      </c>
      <c r="U2931" s="225" t="str">
        <f>IF(NOT(ISNUMBER(G2931)), "", VLOOKUP(A2931,'Discount Lookup'!D:E,2,FALSE)*G2931)</f>
        <v/>
      </c>
      <c r="V2931" s="225" t="str">
        <f>IF(NOT(ISNUMBER(G2931)), "", VLOOKUP(A2931,'Discount Lookup'!G:H,2,FALSE)*G2931)</f>
        <v/>
      </c>
      <c r="W2931" s="508">
        <f t="shared" si="2249"/>
        <v>0</v>
      </c>
      <c r="X2931" s="508">
        <f t="shared" si="2250"/>
        <v>0</v>
      </c>
      <c r="Y2931" s="509" t="b">
        <f t="shared" si="2251"/>
        <v>0</v>
      </c>
      <c r="Z2931" s="510">
        <f t="shared" si="2252"/>
        <v>0</v>
      </c>
      <c r="AA2931" s="511"/>
      <c r="AB2931" s="511" t="str">
        <f t="shared" si="2253"/>
        <v/>
      </c>
      <c r="AC2931" s="698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698"/>
      <c r="AE2931" s="631" t="str">
        <f t="shared" si="2254"/>
        <v/>
      </c>
      <c r="AF2931" s="699" t="str">
        <f t="shared" si="2255"/>
        <v/>
      </c>
      <c r="AG2931" s="699"/>
      <c r="AH2931" s="699"/>
      <c r="AI2931" s="512">
        <f>IF(H2931="credit",0,IF(AE2931="free",0,IF(AE2931="me",0,IF(G2931&gt;0,(VLOOKUP(A2931,'Discount Lookup'!J:K,2)*G2931),0))))</f>
        <v>0</v>
      </c>
      <c r="AJ2931" s="513" t="str">
        <f t="shared" ca="1" si="2256"/>
        <v/>
      </c>
      <c r="AK2931" s="700" t="str">
        <f t="shared" si="2257"/>
        <v/>
      </c>
      <c r="AL2931" s="700"/>
      <c r="AM2931" s="505" t="str">
        <f t="shared" si="2258"/>
        <v/>
      </c>
      <c r="AN2931" s="506"/>
      <c r="AO2931" s="507"/>
      <c r="AP2931" s="507"/>
      <c r="AQ2931" s="507"/>
      <c r="AR2931" s="507"/>
      <c r="AS2931" s="507"/>
      <c r="AT2931" s="507"/>
      <c r="AU2931" s="507"/>
      <c r="AV2931" s="225"/>
      <c r="AW2931" s="508"/>
      <c r="AX2931" s="225"/>
      <c r="AY2931" s="225"/>
      <c r="AZ2931" s="225"/>
      <c r="BA2931" s="225"/>
      <c r="BB2931" s="225"/>
      <c r="BC2931" s="56"/>
      <c r="BD2931" s="56"/>
      <c r="BE2931" s="56"/>
      <c r="BF2931" s="107" t="str">
        <f t="shared" si="2259"/>
        <v>https://www.google.com/search?tbm=isch&amp;q=PowWow%20Wild%20Berry%20produces%20of%20vibrant%2C%20wild%20berry-colored%20blooms%20that%20last%20from%20late%20spring%20until%20fall%20</v>
      </c>
      <c r="BG2931" s="107" t="str">
        <f t="shared" si="2260"/>
        <v>P</v>
      </c>
      <c r="BH2931" s="254"/>
      <c r="BI2931" s="254"/>
    </row>
    <row r="2932" spans="1:61" customFormat="1" ht="18" x14ac:dyDescent="0.25">
      <c r="A2932" s="523" t="s">
        <v>4633</v>
      </c>
      <c r="B2932" s="235"/>
      <c r="C2932" s="676"/>
      <c r="D2932" s="255" t="s">
        <v>4634</v>
      </c>
      <c r="E2932" s="236"/>
      <c r="F2932" s="236"/>
      <c r="G2932" s="236"/>
      <c r="H2932" s="582" t="s">
        <v>394</v>
      </c>
      <c r="I2932" s="498" t="s">
        <v>4635</v>
      </c>
      <c r="J2932" s="237"/>
      <c r="K2932" s="237"/>
      <c r="L2932" s="274"/>
      <c r="M2932" s="668" t="s">
        <v>4962</v>
      </c>
      <c r="N2932" s="681" t="str">
        <f>IF(AND(ISTEXT($A2932), ISERROR($A2932+0)), HYPERLINK($BF2932, "Images"), "")</f>
        <v>Images</v>
      </c>
      <c r="O2932" s="663" t="s">
        <v>4969</v>
      </c>
      <c r="P2932" s="253"/>
      <c r="Q2932" s="238"/>
      <c r="R2932" s="239"/>
      <c r="S2932" s="275" t="s">
        <v>305</v>
      </c>
      <c r="T2932" s="508">
        <f t="shared" si="2248"/>
        <v>0</v>
      </c>
      <c r="U2932" s="225" t="str">
        <f>IF(NOT(ISNUMBER(G2932)), "", VLOOKUP(A2932,'Discount Lookup'!D:E,2,FALSE)*G2932)</f>
        <v/>
      </c>
      <c r="V2932" s="225" t="str">
        <f>IF(NOT(ISNUMBER(G2932)), "", VLOOKUP(A2932,'Discount Lookup'!G:H,2,FALSE)*G2932)</f>
        <v/>
      </c>
      <c r="W2932" s="508">
        <f t="shared" si="2249"/>
        <v>0</v>
      </c>
      <c r="X2932" s="508" t="str">
        <f t="shared" si="2250"/>
        <v>Deep Green blades</v>
      </c>
      <c r="Y2932" s="509" t="b">
        <f t="shared" si="2251"/>
        <v>0</v>
      </c>
      <c r="Z2932" s="510">
        <f t="shared" si="2252"/>
        <v>0</v>
      </c>
      <c r="AA2932" s="511"/>
      <c r="AB2932" s="511" t="str">
        <f t="shared" si="2253"/>
        <v/>
      </c>
      <c r="AC2932" s="698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698"/>
      <c r="AE2932" s="631" t="str">
        <f t="shared" si="2254"/>
        <v/>
      </c>
      <c r="AF2932" s="699" t="str">
        <f t="shared" si="2255"/>
        <v/>
      </c>
      <c r="AG2932" s="699"/>
      <c r="AH2932" s="699"/>
      <c r="AI2932" s="512">
        <f>IF(H2932="credit",0,IF(AE2932="free",0,IF(AE2932="me",0,IF(G2932&gt;0,(VLOOKUP(A2932,'Discount Lookup'!J:K,2)*G2932),0))))</f>
        <v>0</v>
      </c>
      <c r="AJ2932" s="513" t="str">
        <f t="shared" ca="1" si="2256"/>
        <v/>
      </c>
      <c r="AK2932" s="700" t="str">
        <f t="shared" si="2257"/>
        <v/>
      </c>
      <c r="AL2932" s="700"/>
      <c r="AM2932" s="505" t="str">
        <f t="shared" si="2258"/>
        <v/>
      </c>
      <c r="AN2932" s="506"/>
      <c r="AO2932" s="507"/>
      <c r="AP2932" s="507"/>
      <c r="AQ2932" s="507"/>
      <c r="AR2932" s="507"/>
      <c r="AS2932" s="507"/>
      <c r="AT2932" s="507"/>
      <c r="AU2932" s="507"/>
      <c r="AV2932" s="225"/>
      <c r="AW2932" s="508"/>
      <c r="AX2932" s="225"/>
      <c r="AY2932" s="225"/>
      <c r="AZ2932" s="225"/>
      <c r="BA2932" s="225"/>
      <c r="BB2932" s="225"/>
      <c r="BC2932" s="56"/>
      <c r="BD2932" s="56"/>
      <c r="BE2932" s="56"/>
      <c r="BF2932" s="107" t="str">
        <f t="shared" si="2259"/>
        <v>https://www.google.com/search?tbm=isch&amp;q=Prairie%20Dropseed%20Sporobolis%20heterolepis</v>
      </c>
      <c r="BG2932" s="107" t="str">
        <f t="shared" si="2260"/>
        <v>P</v>
      </c>
      <c r="BH2932" s="254"/>
      <c r="BI2932" s="254"/>
    </row>
    <row r="2933" spans="1:61" customFormat="1" ht="15.75" x14ac:dyDescent="0.25">
      <c r="A2933" s="276">
        <v>1</v>
      </c>
      <c r="B2933" s="240" t="s">
        <v>291</v>
      </c>
      <c r="C2933" s="241"/>
      <c r="D2933" s="242" t="s">
        <v>312</v>
      </c>
      <c r="E2933" s="243">
        <v>13.95</v>
      </c>
      <c r="F2933" s="517" t="s">
        <v>293</v>
      </c>
      <c r="G2933" s="232">
        <v>0</v>
      </c>
      <c r="H2933" s="661" t="str">
        <f>IF(G2933=0,"",IF(F2933="Buy",IF(G2933=1,"plant","plants"),IF(F2933&gt;0.01,"warranty","Error")))</f>
        <v/>
      </c>
      <c r="I2933" s="244">
        <f>IF(H2933="free",0,IF(H2933="credit",((E2933*(F2933))*G2933*-1),IF(F2933="Buy",(E2933*G2933),((E2933*(1-F2933))*G2933))))</f>
        <v>0</v>
      </c>
      <c r="J2933" s="244">
        <f>IF(H2933="warranty",0,(I2933*(_xlfn.SINGLE(SalesTaxPercentage))))</f>
        <v>0</v>
      </c>
      <c r="K2933" s="696">
        <f t="shared" ref="K2933" si="2276">I2933+J2933</f>
        <v>0</v>
      </c>
      <c r="L2933" s="696"/>
      <c r="M2933" s="659" t="str">
        <f>IF(AND(G2933&gt;0,E2933=0),"WARNING - no PRICE inserted",IF(H2933="free"," FREE ~ no charge this plant",IF(H2933="credit",CONCATENATE(" -$",ROUND(K2933*(1-T2GDiscount)*-1,2)," CREDIT after discount"),IF(T2GDiscount=0,"",IF(G2933=0,"",IF(F2933="Buy",CONCATENATE(" $",ROUND(K2933*(1-T2GDiscount),2)," with ",(T2GDiscount*100),"% discount"),CONCATENATE(" $",ROUND(K2933*(1-T2GDiscount),2)," with ",((T2GDiscount*100+F2933*100)-(T2GDiscount*100*F2933)),IF(F2933&gt;0,"% discounts",IF(NoWarrantyDiscount&gt;0,"% discounts","% discount")))))))))</f>
        <v/>
      </c>
      <c r="N2933" s="660"/>
      <c r="O2933" s="233"/>
      <c r="P2933" s="233"/>
      <c r="Q2933" s="233"/>
      <c r="R2933" s="233"/>
      <c r="S2933" s="233"/>
      <c r="T2933" s="508">
        <f t="shared" si="2248"/>
        <v>0</v>
      </c>
      <c r="U2933" s="225">
        <f>IF(NOT(ISNUMBER(G2933)), "", VLOOKUP(A2933,'Discount Lookup'!D:E,2,FALSE)*G2933)</f>
        <v>0</v>
      </c>
      <c r="V2933" s="225">
        <f>IF(NOT(ISNUMBER(G2933)), "", VLOOKUP(A2933,'Discount Lookup'!G:H,2,FALSE)*G2933)</f>
        <v>0</v>
      </c>
      <c r="W2933" s="508">
        <f t="shared" si="2249"/>
        <v>0</v>
      </c>
      <c r="X2933" s="508">
        <f t="shared" si="2250"/>
        <v>0</v>
      </c>
      <c r="Y2933" s="509" t="b">
        <f t="shared" si="2251"/>
        <v>0</v>
      </c>
      <c r="Z2933" s="510">
        <f t="shared" si="2252"/>
        <v>0</v>
      </c>
      <c r="AA2933" s="511"/>
      <c r="AB2933" s="511" t="str">
        <f t="shared" si="2253"/>
        <v/>
      </c>
      <c r="AC2933" s="698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698"/>
      <c r="AE2933" s="631" t="str">
        <f t="shared" si="2254"/>
        <v/>
      </c>
      <c r="AF2933" s="699" t="str">
        <f t="shared" si="2255"/>
        <v/>
      </c>
      <c r="AG2933" s="699"/>
      <c r="AH2933" s="699"/>
      <c r="AI2933" s="512">
        <f>IF(H2933="credit",0,IF(AE2933="free",0,IF(AE2933="me",0,IF(G2933&gt;0,(VLOOKUP(A2933,'Discount Lookup'!J:K,2)*G2933),0))))</f>
        <v>0</v>
      </c>
      <c r="AJ2933" s="513" t="str">
        <f t="shared" ca="1" si="2256"/>
        <v/>
      </c>
      <c r="AK2933" s="700" t="str">
        <f t="shared" si="2257"/>
        <v/>
      </c>
      <c r="AL2933" s="700"/>
      <c r="AM2933" s="505" t="str">
        <f t="shared" si="2258"/>
        <v/>
      </c>
      <c r="AN2933" s="506"/>
      <c r="AO2933" s="507"/>
      <c r="AP2933" s="507"/>
      <c r="AQ2933" s="507"/>
      <c r="AR2933" s="507"/>
      <c r="AS2933" s="507"/>
      <c r="AT2933" s="507"/>
      <c r="AU2933" s="507"/>
      <c r="AV2933" s="225"/>
      <c r="AW2933" s="508"/>
      <c r="AX2933" s="225"/>
      <c r="AY2933" s="225"/>
      <c r="AZ2933" s="225"/>
      <c r="BA2933" s="225"/>
      <c r="BB2933" s="225"/>
      <c r="BC2933" s="56"/>
      <c r="BD2933" s="56"/>
      <c r="BE2933" s="56"/>
      <c r="BF2933" s="107" t="str">
        <f t="shared" si="2259"/>
        <v>https://www.google.com/search?tbm=isch&amp;q=1%20G2</v>
      </c>
      <c r="BG2933" s="107" t="str">
        <f t="shared" si="2260"/>
        <v>P</v>
      </c>
      <c r="BH2933" s="254"/>
      <c r="BI2933" s="254"/>
    </row>
    <row r="2934" spans="1:61" customFormat="1" ht="17.25" thickBot="1" x14ac:dyDescent="0.3">
      <c r="A2934" s="524" t="s">
        <v>4636</v>
      </c>
      <c r="B2934" s="245"/>
      <c r="C2934" s="677"/>
      <c r="D2934" s="499"/>
      <c r="E2934" s="499"/>
      <c r="F2934" s="500"/>
      <c r="G2934" s="501"/>
      <c r="H2934" s="502"/>
      <c r="I2934" s="246"/>
      <c r="J2934" s="247"/>
      <c r="K2934" s="503"/>
      <c r="L2934" s="544"/>
      <c r="M2934" s="544"/>
      <c r="N2934" s="500"/>
      <c r="O2934" s="500"/>
      <c r="P2934" s="500"/>
      <c r="Q2934" s="500"/>
      <c r="R2934" s="500"/>
      <c r="S2934" s="669" t="s">
        <v>4972</v>
      </c>
      <c r="T2934" s="508">
        <f t="shared" si="2248"/>
        <v>0</v>
      </c>
      <c r="U2934" s="225" t="str">
        <f>IF(NOT(ISNUMBER(G2934)), "", VLOOKUP(A2934,'Discount Lookup'!D:E,2,FALSE)*G2934)</f>
        <v/>
      </c>
      <c r="V2934" s="225" t="str">
        <f>IF(NOT(ISNUMBER(G2934)), "", VLOOKUP(A2934,'Discount Lookup'!G:H,2,FALSE)*G2934)</f>
        <v/>
      </c>
      <c r="W2934" s="508">
        <f t="shared" si="2249"/>
        <v>0</v>
      </c>
      <c r="X2934" s="508">
        <f t="shared" si="2250"/>
        <v>0</v>
      </c>
      <c r="Y2934" s="509" t="b">
        <f t="shared" si="2251"/>
        <v>0</v>
      </c>
      <c r="Z2934" s="510">
        <f t="shared" si="2252"/>
        <v>0</v>
      </c>
      <c r="AA2934" s="511"/>
      <c r="AB2934" s="511" t="str">
        <f t="shared" si="2253"/>
        <v/>
      </c>
      <c r="AC2934" s="698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698"/>
      <c r="AE2934" s="631" t="str">
        <f t="shared" si="2254"/>
        <v/>
      </c>
      <c r="AF2934" s="699" t="str">
        <f t="shared" si="2255"/>
        <v/>
      </c>
      <c r="AG2934" s="699"/>
      <c r="AH2934" s="699"/>
      <c r="AI2934" s="512">
        <f>IF(H2934="credit",0,IF(AE2934="free",0,IF(AE2934="me",0,IF(G2934&gt;0,(VLOOKUP(A2934,'Discount Lookup'!J:K,2)*G2934),0))))</f>
        <v>0</v>
      </c>
      <c r="AJ2934" s="513" t="str">
        <f t="shared" ca="1" si="2256"/>
        <v/>
      </c>
      <c r="AK2934" s="700" t="str">
        <f t="shared" si="2257"/>
        <v/>
      </c>
      <c r="AL2934" s="700"/>
      <c r="AM2934" s="505" t="str">
        <f t="shared" si="2258"/>
        <v/>
      </c>
      <c r="AN2934" s="506"/>
      <c r="AO2934" s="507"/>
      <c r="AP2934" s="507"/>
      <c r="AQ2934" s="507"/>
      <c r="AR2934" s="507"/>
      <c r="AS2934" s="507"/>
      <c r="AT2934" s="507"/>
      <c r="AU2934" s="507"/>
      <c r="AV2934" s="225"/>
      <c r="AW2934" s="508"/>
      <c r="AX2934" s="225"/>
      <c r="AY2934" s="225"/>
      <c r="AZ2934" s="225"/>
      <c r="BA2934" s="225"/>
      <c r="BB2934" s="225"/>
      <c r="BC2934" s="56"/>
      <c r="BD2934" s="56"/>
      <c r="BE2934" s="56"/>
      <c r="BF2934" s="107" t="str">
        <f t="shared" si="2259"/>
        <v>https://www.google.com/search?tbm=isch&amp;q=Prairie%20Dropseed%20is%20a%20fine-textured%2C%20clumping%20native%20grass%20with%20fragrant%20airy%20blooms%20and%20Golden%20fall%20color.%20Excellent%20drought%20tolerance%20</v>
      </c>
      <c r="BG2934" s="107" t="str">
        <f t="shared" si="2260"/>
        <v>P</v>
      </c>
      <c r="BH2934" s="254"/>
      <c r="BI2934" s="254"/>
    </row>
    <row r="2935" spans="1:61" customFormat="1" ht="18" x14ac:dyDescent="0.25">
      <c r="A2935" s="521" t="s">
        <v>5502</v>
      </c>
      <c r="B2935" s="477"/>
      <c r="C2935" s="674"/>
      <c r="D2935" s="478" t="s">
        <v>1548</v>
      </c>
      <c r="E2935" s="479"/>
      <c r="F2935" s="479"/>
      <c r="G2935" s="479"/>
      <c r="H2935" s="582" t="s">
        <v>1164</v>
      </c>
      <c r="I2935" s="480" t="s">
        <v>2314</v>
      </c>
      <c r="J2935" s="479"/>
      <c r="K2935" s="479"/>
      <c r="L2935" s="560"/>
      <c r="M2935" s="666" t="s">
        <v>4966</v>
      </c>
      <c r="N2935" s="680" t="str">
        <f>IF(AND(ISTEXT($A2935), ISERROR($A2935+0)), HYPERLINK($BF2935, "Images"), "")</f>
        <v>Images</v>
      </c>
      <c r="O2935" s="662" t="s">
        <v>4969</v>
      </c>
      <c r="P2935" s="482"/>
      <c r="Q2935" s="483"/>
      <c r="R2935" s="483"/>
      <c r="S2935" s="484"/>
      <c r="T2935" s="508">
        <f t="shared" si="2248"/>
        <v>0</v>
      </c>
      <c r="U2935" s="225" t="str">
        <f>IF(NOT(ISNUMBER(G2935)), "", VLOOKUP(A2935,'Discount Lookup'!D:E,2,FALSE)*G2935)</f>
        <v/>
      </c>
      <c r="V2935" s="225" t="str">
        <f>IF(NOT(ISNUMBER(G2935)), "", VLOOKUP(A2935,'Discount Lookup'!G:H,2,FALSE)*G2935)</f>
        <v/>
      </c>
      <c r="W2935" s="508">
        <f t="shared" si="2249"/>
        <v>0</v>
      </c>
      <c r="X2935" s="508" t="str">
        <f t="shared" si="2250"/>
        <v>Olive-Green foliage</v>
      </c>
      <c r="Y2935" s="509" t="b">
        <f t="shared" si="2251"/>
        <v>0</v>
      </c>
      <c r="Z2935" s="510">
        <f t="shared" si="2252"/>
        <v>0</v>
      </c>
      <c r="AA2935" s="511"/>
      <c r="AB2935" s="511" t="str">
        <f t="shared" si="2253"/>
        <v/>
      </c>
      <c r="AC2935" s="698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698"/>
      <c r="AE2935" s="631" t="str">
        <f t="shared" si="2254"/>
        <v/>
      </c>
      <c r="AF2935" s="699" t="str">
        <f t="shared" si="2255"/>
        <v/>
      </c>
      <c r="AG2935" s="699"/>
      <c r="AH2935" s="699"/>
      <c r="AI2935" s="512">
        <f>IF(H2935="credit",0,IF(AE2935="free",0,IF(AE2935="me",0,IF(G2935&gt;0,(VLOOKUP(A2935,'Discount Lookup'!J:K,2)*G2935),0))))</f>
        <v>0</v>
      </c>
      <c r="AJ2935" s="513" t="str">
        <f t="shared" ca="1" si="2256"/>
        <v/>
      </c>
      <c r="AK2935" s="700" t="str">
        <f t="shared" si="2257"/>
        <v/>
      </c>
      <c r="AL2935" s="700"/>
      <c r="AM2935" s="505" t="str">
        <f t="shared" si="2258"/>
        <v/>
      </c>
      <c r="AN2935" s="506"/>
      <c r="AO2935" s="507"/>
      <c r="AP2935" s="507"/>
      <c r="AQ2935" s="507"/>
      <c r="AR2935" s="507"/>
      <c r="AS2935" s="507"/>
      <c r="AT2935" s="507"/>
      <c r="AU2935" s="507"/>
      <c r="AV2935" s="225"/>
      <c r="AW2935" s="508"/>
      <c r="AX2935" s="225"/>
      <c r="AY2935" s="225"/>
      <c r="AZ2935" s="225"/>
      <c r="BA2935" s="225"/>
      <c r="BB2935" s="225"/>
      <c r="BC2935" s="56"/>
      <c r="BD2935" s="56"/>
      <c r="BE2935" s="56"/>
      <c r="BF2935" s="107" t="str">
        <f t="shared" si="2259"/>
        <v>https://www.google.com/search?tbm=isch&amp;q=Prairie%20Fire%E2%84%A2%20Sedge%20Carex%20testacea%20%27Prairie%20Fire%27</v>
      </c>
      <c r="BG2935" s="107" t="str">
        <f t="shared" si="2260"/>
        <v>P</v>
      </c>
      <c r="BH2935" s="254"/>
      <c r="BI2935" s="254"/>
    </row>
    <row r="2936" spans="1:61" customFormat="1" ht="15.75" x14ac:dyDescent="0.25">
      <c r="A2936" s="485">
        <v>1</v>
      </c>
      <c r="B2936" s="486" t="s">
        <v>291</v>
      </c>
      <c r="C2936" s="487"/>
      <c r="D2936" s="488" t="s">
        <v>312</v>
      </c>
      <c r="E2936" s="489">
        <v>13.95</v>
      </c>
      <c r="F2936" s="516" t="s">
        <v>293</v>
      </c>
      <c r="G2936" s="232">
        <v>0</v>
      </c>
      <c r="H2936" s="658" t="str">
        <f>IF(G2936=0,"",IF(F2936="Buy",IF(G2936=1,"plant","plants"),IF(F2936&gt;0.01,"warranty","Error")))</f>
        <v/>
      </c>
      <c r="I2936" s="490">
        <f>IF(H2936="free",0,IF(H2936="credit",((E2936*(F2936))*G2936*-1),IF(F2936="Buy",(E2936*G2936),((E2936*(1-F2936))*G2936))))</f>
        <v>0</v>
      </c>
      <c r="J2936" s="490">
        <f>IF(H2936="warranty",0,(I2936*(_xlfn.SINGLE(SalesTaxPercentage))))</f>
        <v>0</v>
      </c>
      <c r="K2936" s="695">
        <f t="shared" ref="K2936" si="2277">I2936+J2936</f>
        <v>0</v>
      </c>
      <c r="L2936" s="695"/>
      <c r="M2936" s="659" t="str">
        <f>IF(AND(G2936&gt;0,E2936=0),"WARNING - no PRICE inserted",IF(H2936="free"," FREE ~ no charge this plant",IF(H2936="credit",CONCATENATE(" -$",ROUND(K2936*(1-T2GDiscount)*-1,2)," CREDIT after discount"),IF(T2GDiscount=0,"",IF(G2936=0,"",IF(F2936="Buy",CONCATENATE(" $",ROUND(K2936*(1-T2GDiscount),2)," with ",(T2GDiscount*100),"% discount"),CONCATENATE(" $",ROUND(K2936*(1-T2GDiscount),2)," with ",((T2GDiscount*100+F2936*100)-(T2GDiscount*100*F2936)),IF(F2936&gt;0,"% discounts",IF(NoWarrantyDiscount&gt;0,"% discounts","% discount")))))))))</f>
        <v/>
      </c>
      <c r="N2936" s="660"/>
      <c r="O2936" s="233"/>
      <c r="P2936" s="233"/>
      <c r="Q2936" s="233"/>
      <c r="R2936" s="233"/>
      <c r="S2936" s="233"/>
      <c r="T2936" s="508">
        <f t="shared" si="2248"/>
        <v>0</v>
      </c>
      <c r="U2936" s="225">
        <f>IF(NOT(ISNUMBER(G2936)), "", VLOOKUP(A2936,'Discount Lookup'!D:E,2,FALSE)*G2936)</f>
        <v>0</v>
      </c>
      <c r="V2936" s="225">
        <f>IF(NOT(ISNUMBER(G2936)), "", VLOOKUP(A2936,'Discount Lookup'!G:H,2,FALSE)*G2936)</f>
        <v>0</v>
      </c>
      <c r="W2936" s="508">
        <f t="shared" si="2249"/>
        <v>0</v>
      </c>
      <c r="X2936" s="508">
        <f t="shared" si="2250"/>
        <v>0</v>
      </c>
      <c r="Y2936" s="509" t="b">
        <f t="shared" si="2251"/>
        <v>0</v>
      </c>
      <c r="Z2936" s="510">
        <f t="shared" si="2252"/>
        <v>0</v>
      </c>
      <c r="AA2936" s="511"/>
      <c r="AB2936" s="511" t="str">
        <f t="shared" si="2253"/>
        <v/>
      </c>
      <c r="AC2936" s="698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698"/>
      <c r="AE2936" s="631" t="str">
        <f t="shared" si="2254"/>
        <v/>
      </c>
      <c r="AF2936" s="699" t="str">
        <f t="shared" si="2255"/>
        <v/>
      </c>
      <c r="AG2936" s="699"/>
      <c r="AH2936" s="699"/>
      <c r="AI2936" s="512">
        <f>IF(H2936="credit",0,IF(AE2936="free",0,IF(AE2936="me",0,IF(G2936&gt;0,(VLOOKUP(A2936,'Discount Lookup'!J:K,2)*G2936),0))))</f>
        <v>0</v>
      </c>
      <c r="AJ2936" s="513" t="str">
        <f t="shared" ca="1" si="2256"/>
        <v/>
      </c>
      <c r="AK2936" s="700" t="str">
        <f t="shared" si="2257"/>
        <v/>
      </c>
      <c r="AL2936" s="700"/>
      <c r="AM2936" s="505" t="str">
        <f t="shared" si="2258"/>
        <v/>
      </c>
      <c r="AN2936" s="506"/>
      <c r="AO2936" s="507"/>
      <c r="AP2936" s="507"/>
      <c r="AQ2936" s="507"/>
      <c r="AR2936" s="507"/>
      <c r="AS2936" s="507"/>
      <c r="AT2936" s="507"/>
      <c r="AU2936" s="507"/>
      <c r="AV2936" s="225"/>
      <c r="AW2936" s="508"/>
      <c r="AX2936" s="225"/>
      <c r="AY2936" s="225"/>
      <c r="AZ2936" s="225"/>
      <c r="BA2936" s="225"/>
      <c r="BB2936" s="225"/>
      <c r="BC2936" s="56"/>
      <c r="BD2936" s="56"/>
      <c r="BE2936" s="56"/>
      <c r="BF2936" s="107" t="str">
        <f t="shared" si="2259"/>
        <v>https://www.google.com/search?tbm=isch&amp;q=1%20G2</v>
      </c>
      <c r="BG2936" s="107" t="str">
        <f t="shared" si="2260"/>
        <v>P</v>
      </c>
      <c r="BH2936" s="254"/>
      <c r="BI2936" s="254"/>
    </row>
    <row r="2937" spans="1:61" customFormat="1" ht="17.25" thickBot="1" x14ac:dyDescent="0.3">
      <c r="A2937" s="522" t="s">
        <v>2910</v>
      </c>
      <c r="B2937" s="491"/>
      <c r="C2937" s="675"/>
      <c r="D2937" s="491"/>
      <c r="E2937" s="491"/>
      <c r="F2937" s="492"/>
      <c r="G2937" s="493"/>
      <c r="H2937" s="491"/>
      <c r="I2937" s="234"/>
      <c r="J2937" s="234"/>
      <c r="K2937" s="494"/>
      <c r="L2937" s="543"/>
      <c r="M2937" s="561"/>
      <c r="N2937" s="495"/>
      <c r="O2937" s="496"/>
      <c r="P2937" s="497"/>
      <c r="Q2937" s="495"/>
      <c r="R2937" s="495"/>
      <c r="S2937" s="667" t="s">
        <v>5006</v>
      </c>
      <c r="T2937" s="508">
        <f t="shared" si="2248"/>
        <v>0</v>
      </c>
      <c r="U2937" s="225" t="str">
        <f>IF(NOT(ISNUMBER(G2937)), "", VLOOKUP(A2937,'Discount Lookup'!D:E,2,FALSE)*G2937)</f>
        <v/>
      </c>
      <c r="V2937" s="225" t="str">
        <f>IF(NOT(ISNUMBER(G2937)), "", VLOOKUP(A2937,'Discount Lookup'!G:H,2,FALSE)*G2937)</f>
        <v/>
      </c>
      <c r="W2937" s="508">
        <f t="shared" si="2249"/>
        <v>0</v>
      </c>
      <c r="X2937" s="508">
        <f t="shared" si="2250"/>
        <v>0</v>
      </c>
      <c r="Y2937" s="509" t="b">
        <f t="shared" si="2251"/>
        <v>0</v>
      </c>
      <c r="Z2937" s="510">
        <f t="shared" si="2252"/>
        <v>0</v>
      </c>
      <c r="AA2937" s="511"/>
      <c r="AB2937" s="511" t="str">
        <f t="shared" si="2253"/>
        <v/>
      </c>
      <c r="AC2937" s="698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698"/>
      <c r="AE2937" s="631" t="str">
        <f t="shared" si="2254"/>
        <v/>
      </c>
      <c r="AF2937" s="699" t="str">
        <f t="shared" si="2255"/>
        <v/>
      </c>
      <c r="AG2937" s="699"/>
      <c r="AH2937" s="699"/>
      <c r="AI2937" s="512">
        <f>IF(H2937="credit",0,IF(AE2937="free",0,IF(AE2937="me",0,IF(G2937&gt;0,(VLOOKUP(A2937,'Discount Lookup'!J:K,2)*G2937),0))))</f>
        <v>0</v>
      </c>
      <c r="AJ2937" s="513" t="str">
        <f t="shared" ca="1" si="2256"/>
        <v/>
      </c>
      <c r="AK2937" s="700" t="str">
        <f t="shared" si="2257"/>
        <v/>
      </c>
      <c r="AL2937" s="700"/>
      <c r="AM2937" s="505" t="str">
        <f t="shared" si="2258"/>
        <v/>
      </c>
      <c r="AN2937" s="506"/>
      <c r="AO2937" s="507"/>
      <c r="AP2937" s="507"/>
      <c r="AQ2937" s="507"/>
      <c r="AR2937" s="507"/>
      <c r="AS2937" s="507"/>
      <c r="AT2937" s="507"/>
      <c r="AU2937" s="507"/>
      <c r="AV2937" s="225"/>
      <c r="AW2937" s="508"/>
      <c r="AX2937" s="225"/>
      <c r="AY2937" s="225"/>
      <c r="AZ2937" s="225"/>
      <c r="BA2937" s="225"/>
      <c r="BB2937" s="225"/>
      <c r="BC2937" s="56"/>
      <c r="BD2937" s="56"/>
      <c r="BE2937" s="56"/>
      <c r="BF2937" s="107" t="str">
        <f t="shared" si="2259"/>
        <v>https://www.google.com/search?tbm=isch&amp;q=Prairie%20Fire%20Olive-Green%20leaves%20with%20Bright%20Bronze%20to%20Orange%20to%20Red%20highlights.%20Much%20less%20spreading%20than%20other%20Carex%20</v>
      </c>
      <c r="BG2937" s="107" t="str">
        <f t="shared" si="2260"/>
        <v>P</v>
      </c>
      <c r="BH2937" s="254"/>
      <c r="BI2937" s="254"/>
    </row>
    <row r="2938" spans="1:61" customFormat="1" ht="18" x14ac:dyDescent="0.25">
      <c r="A2938" s="523" t="s">
        <v>1549</v>
      </c>
      <c r="B2938" s="235"/>
      <c r="C2938" s="676"/>
      <c r="D2938" s="255" t="s">
        <v>1550</v>
      </c>
      <c r="E2938" s="236"/>
      <c r="F2938" s="236"/>
      <c r="G2938" s="236"/>
      <c r="H2938" s="582" t="s">
        <v>467</v>
      </c>
      <c r="I2938" s="498" t="s">
        <v>2362</v>
      </c>
      <c r="J2938" s="237"/>
      <c r="K2938" s="237"/>
      <c r="L2938" s="274"/>
      <c r="M2938" s="668" t="s">
        <v>4962</v>
      </c>
      <c r="N2938" s="681" t="str">
        <f>IF(AND(ISTEXT($A2938), ISERROR($A2938+0)), HYPERLINK($BF2938, "Images"), "")</f>
        <v>Images</v>
      </c>
      <c r="O2938" s="663" t="s">
        <v>4971</v>
      </c>
      <c r="P2938" s="253"/>
      <c r="Q2938" s="238"/>
      <c r="R2938" s="239"/>
      <c r="S2938" s="275" t="s">
        <v>305</v>
      </c>
      <c r="T2938" s="508">
        <f t="shared" si="2248"/>
        <v>0</v>
      </c>
      <c r="U2938" s="225" t="str">
        <f>IF(NOT(ISNUMBER(G2938)), "", VLOOKUP(A2938,'Discount Lookup'!D:E,2,FALSE)*G2938)</f>
        <v/>
      </c>
      <c r="V2938" s="225" t="str">
        <f>IF(NOT(ISNUMBER(G2938)), "", VLOOKUP(A2938,'Discount Lookup'!G:H,2,FALSE)*G2938)</f>
        <v/>
      </c>
      <c r="W2938" s="508">
        <f t="shared" si="2249"/>
        <v>0</v>
      </c>
      <c r="X2938" s="508" t="str">
        <f t="shared" si="2250"/>
        <v>White to pale Pink bloom</v>
      </c>
      <c r="Y2938" s="509" t="b">
        <f t="shared" si="2251"/>
        <v>0</v>
      </c>
      <c r="Z2938" s="510">
        <f t="shared" si="2252"/>
        <v>0</v>
      </c>
      <c r="AA2938" s="511"/>
      <c r="AB2938" s="511" t="str">
        <f t="shared" si="2253"/>
        <v/>
      </c>
      <c r="AC2938" s="698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698"/>
      <c r="AE2938" s="631" t="str">
        <f t="shared" si="2254"/>
        <v/>
      </c>
      <c r="AF2938" s="699" t="str">
        <f t="shared" si="2255"/>
        <v/>
      </c>
      <c r="AG2938" s="699"/>
      <c r="AH2938" s="699"/>
      <c r="AI2938" s="512">
        <f>IF(H2938="credit",0,IF(AE2938="free",0,IF(AE2938="me",0,IF(G2938&gt;0,(VLOOKUP(A2938,'Discount Lookup'!J:K,2)*G2938),0))))</f>
        <v>0</v>
      </c>
      <c r="AJ2938" s="513" t="str">
        <f t="shared" ca="1" si="2256"/>
        <v/>
      </c>
      <c r="AK2938" s="700" t="str">
        <f t="shared" si="2257"/>
        <v/>
      </c>
      <c r="AL2938" s="700"/>
      <c r="AM2938" s="505" t="str">
        <f t="shared" si="2258"/>
        <v/>
      </c>
      <c r="AN2938" s="506"/>
      <c r="AO2938" s="507"/>
      <c r="AP2938" s="507"/>
      <c r="AQ2938" s="507"/>
      <c r="AR2938" s="507"/>
      <c r="AS2938" s="507"/>
      <c r="AT2938" s="507"/>
      <c r="AU2938" s="507"/>
      <c r="AV2938" s="225"/>
      <c r="AW2938" s="508"/>
      <c r="AX2938" s="225"/>
      <c r="AY2938" s="225"/>
      <c r="AZ2938" s="225"/>
      <c r="BA2938" s="225"/>
      <c r="BB2938" s="225"/>
      <c r="BC2938" s="56"/>
      <c r="BD2938" s="56"/>
      <c r="BE2938" s="56"/>
      <c r="BF2938" s="107" t="str">
        <f t="shared" si="2259"/>
        <v>https://www.google.com/search?tbm=isch&amp;q=Premier%20Blueberry%20Vac.%20corymbosum%20%27Premier%27</v>
      </c>
      <c r="BG2938" s="107" t="str">
        <f t="shared" si="2260"/>
        <v>P</v>
      </c>
      <c r="BH2938" s="254"/>
      <c r="BI2938" s="254"/>
    </row>
    <row r="2939" spans="1:61" customFormat="1" ht="15.75" x14ac:dyDescent="0.25">
      <c r="A2939" s="276">
        <v>3</v>
      </c>
      <c r="B2939" s="240" t="s">
        <v>291</v>
      </c>
      <c r="C2939" s="241"/>
      <c r="D2939" s="242" t="s">
        <v>298</v>
      </c>
      <c r="E2939" s="243">
        <v>25.95</v>
      </c>
      <c r="F2939" s="517" t="s">
        <v>293</v>
      </c>
      <c r="G2939" s="232">
        <v>0</v>
      </c>
      <c r="H2939" s="661" t="str">
        <f>IF(G2939=0,"",IF(F2939="Buy",IF(G2939=1,"plant","plants"),IF(F2939&gt;0.01,"warranty","Error")))</f>
        <v/>
      </c>
      <c r="I2939" s="244">
        <f>IF(H2939="free",0,IF(H2939="credit",((E2939*(F2939))*G2939*-1),IF(F2939="Buy",(E2939*G2939),((E2939*(1-F2939))*G2939))))</f>
        <v>0</v>
      </c>
      <c r="J2939" s="244">
        <f>IF(H2939="warranty",0,(I2939*(_xlfn.SINGLE(SalesTaxPercentage))))</f>
        <v>0</v>
      </c>
      <c r="K2939" s="696">
        <f t="shared" ref="K2939" si="2278">I2939+J2939</f>
        <v>0</v>
      </c>
      <c r="L2939" s="696"/>
      <c r="M2939" s="659" t="str">
        <f>IF(AND(G2939&gt;0,E2939=0),"WARNING - no PRICE inserted",IF(H2939="free"," FREE ~ no charge this plant",IF(H2939="credit",CONCATENATE(" -$",ROUND(K2939*(1-T2GDiscount)*-1,2)," CREDIT after discount"),IF(T2GDiscount=0,"",IF(G2939=0,"",IF(F2939="Buy",CONCATENATE(" $",ROUND(K2939*(1-T2GDiscount),2)," with ",(T2GDiscount*100),"% discount"),CONCATENATE(" $",ROUND(K2939*(1-T2GDiscount),2)," with ",((T2GDiscount*100+F2939*100)-(T2GDiscount*100*F2939)),IF(F2939&gt;0,"% discounts",IF(NoWarrantyDiscount&gt;0,"% discounts","% discount")))))))))</f>
        <v/>
      </c>
      <c r="N2939" s="660"/>
      <c r="O2939" s="233"/>
      <c r="P2939" s="233"/>
      <c r="Q2939" s="233"/>
      <c r="R2939" s="233"/>
      <c r="S2939" s="233"/>
      <c r="T2939" s="508">
        <f t="shared" si="2248"/>
        <v>0</v>
      </c>
      <c r="U2939" s="225">
        <f>IF(NOT(ISNUMBER(G2939)), "", VLOOKUP(A2939,'Discount Lookup'!D:E,2,FALSE)*G2939)</f>
        <v>0</v>
      </c>
      <c r="V2939" s="225">
        <f>IF(NOT(ISNUMBER(G2939)), "", VLOOKUP(A2939,'Discount Lookup'!G:H,2,FALSE)*G2939)</f>
        <v>0</v>
      </c>
      <c r="W2939" s="508">
        <f t="shared" si="2249"/>
        <v>0</v>
      </c>
      <c r="X2939" s="508">
        <f t="shared" si="2250"/>
        <v>0</v>
      </c>
      <c r="Y2939" s="509" t="b">
        <f t="shared" si="2251"/>
        <v>0</v>
      </c>
      <c r="Z2939" s="510">
        <f t="shared" si="2252"/>
        <v>0</v>
      </c>
      <c r="AA2939" s="511"/>
      <c r="AB2939" s="511" t="str">
        <f t="shared" si="2253"/>
        <v/>
      </c>
      <c r="AC2939" s="698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698"/>
      <c r="AE2939" s="631" t="str">
        <f t="shared" si="2254"/>
        <v/>
      </c>
      <c r="AF2939" s="699" t="str">
        <f t="shared" si="2255"/>
        <v/>
      </c>
      <c r="AG2939" s="699"/>
      <c r="AH2939" s="699"/>
      <c r="AI2939" s="512">
        <f>IF(H2939="credit",0,IF(AE2939="free",0,IF(AE2939="me",0,IF(G2939&gt;0,(VLOOKUP(A2939,'Discount Lookup'!J:K,2)*G2939),0))))</f>
        <v>0</v>
      </c>
      <c r="AJ2939" s="513" t="str">
        <f t="shared" ca="1" si="2256"/>
        <v/>
      </c>
      <c r="AK2939" s="700" t="str">
        <f t="shared" si="2257"/>
        <v/>
      </c>
      <c r="AL2939" s="700"/>
      <c r="AM2939" s="505" t="str">
        <f t="shared" si="2258"/>
        <v/>
      </c>
      <c r="AN2939" s="506"/>
      <c r="AO2939" s="507"/>
      <c r="AP2939" s="507"/>
      <c r="AQ2939" s="507"/>
      <c r="AR2939" s="507"/>
      <c r="AS2939" s="507"/>
      <c r="AT2939" s="507"/>
      <c r="AU2939" s="507"/>
      <c r="AV2939" s="225"/>
      <c r="AW2939" s="508"/>
      <c r="AX2939" s="225"/>
      <c r="AY2939" s="225"/>
      <c r="AZ2939" s="225"/>
      <c r="BA2939" s="225"/>
      <c r="BB2939" s="225"/>
      <c r="BC2939" s="56"/>
      <c r="BD2939" s="56"/>
      <c r="BE2939" s="56"/>
      <c r="BF2939" s="107" t="str">
        <f t="shared" si="2259"/>
        <v>https://www.google.com/search?tbm=isch&amp;q=3%20G1</v>
      </c>
      <c r="BG2939" s="107" t="str">
        <f t="shared" si="2260"/>
        <v>P</v>
      </c>
      <c r="BH2939" s="254"/>
      <c r="BI2939" s="254"/>
    </row>
    <row r="2940" spans="1:61" customFormat="1" ht="17.25" thickBot="1" x14ac:dyDescent="0.3">
      <c r="A2940" s="673" t="s">
        <v>5211</v>
      </c>
      <c r="B2940" s="245"/>
      <c r="C2940" s="677"/>
      <c r="D2940" s="499"/>
      <c r="E2940" s="499"/>
      <c r="F2940" s="500"/>
      <c r="G2940" s="501"/>
      <c r="H2940" s="502"/>
      <c r="I2940" s="246"/>
      <c r="J2940" s="247"/>
      <c r="K2940" s="503"/>
      <c r="L2940" s="544"/>
      <c r="M2940" s="544"/>
      <c r="N2940" s="500"/>
      <c r="O2940" s="500"/>
      <c r="P2940" s="500"/>
      <c r="Q2940" s="500"/>
      <c r="R2940" s="500"/>
      <c r="S2940" s="669" t="s">
        <v>5005</v>
      </c>
      <c r="T2940" s="508">
        <f t="shared" si="2248"/>
        <v>0</v>
      </c>
      <c r="U2940" s="225" t="str">
        <f>IF(NOT(ISNUMBER(G2940)), "", VLOOKUP(A2940,'Discount Lookup'!D:E,2,FALSE)*G2940)</f>
        <v/>
      </c>
      <c r="V2940" s="225" t="str">
        <f>IF(NOT(ISNUMBER(G2940)), "", VLOOKUP(A2940,'Discount Lookup'!G:H,2,FALSE)*G2940)</f>
        <v/>
      </c>
      <c r="W2940" s="508">
        <f t="shared" si="2249"/>
        <v>0</v>
      </c>
      <c r="X2940" s="508">
        <f t="shared" si="2250"/>
        <v>0</v>
      </c>
      <c r="Y2940" s="509" t="b">
        <f t="shared" si="2251"/>
        <v>0</v>
      </c>
      <c r="Z2940" s="510">
        <f t="shared" si="2252"/>
        <v>0</v>
      </c>
      <c r="AA2940" s="511"/>
      <c r="AB2940" s="511" t="str">
        <f t="shared" si="2253"/>
        <v/>
      </c>
      <c r="AC2940" s="698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698"/>
      <c r="AE2940" s="631" t="str">
        <f t="shared" si="2254"/>
        <v/>
      </c>
      <c r="AF2940" s="699" t="str">
        <f t="shared" si="2255"/>
        <v/>
      </c>
      <c r="AG2940" s="699"/>
      <c r="AH2940" s="699"/>
      <c r="AI2940" s="512">
        <f>IF(H2940="credit",0,IF(AE2940="free",0,IF(AE2940="me",0,IF(G2940&gt;0,(VLOOKUP(A2940,'Discount Lookup'!J:K,2)*G2940),0))))</f>
        <v>0</v>
      </c>
      <c r="AJ2940" s="513" t="str">
        <f t="shared" ca="1" si="2256"/>
        <v/>
      </c>
      <c r="AK2940" s="700" t="str">
        <f t="shared" si="2257"/>
        <v/>
      </c>
      <c r="AL2940" s="700"/>
      <c r="AM2940" s="505" t="str">
        <f t="shared" si="2258"/>
        <v/>
      </c>
      <c r="AN2940" s="506"/>
      <c r="AO2940" s="507"/>
      <c r="AP2940" s="507"/>
      <c r="AQ2940" s="507"/>
      <c r="AR2940" s="507"/>
      <c r="AS2940" s="507"/>
      <c r="AT2940" s="507"/>
      <c r="AU2940" s="507"/>
      <c r="AV2940" s="225"/>
      <c r="AW2940" s="508"/>
      <c r="AX2940" s="225"/>
      <c r="AY2940" s="225"/>
      <c r="AZ2940" s="225"/>
      <c r="BA2940" s="225"/>
      <c r="BB2940" s="225"/>
      <c r="BC2940" s="56"/>
      <c r="BD2940" s="56"/>
      <c r="BE2940" s="56"/>
      <c r="BF2940" s="107" t="str">
        <f t="shared" si="2259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2940" s="107" t="str">
        <f t="shared" si="2260"/>
        <v>m</v>
      </c>
      <c r="BH2940" s="254"/>
      <c r="BI2940" s="254"/>
    </row>
    <row r="2941" spans="1:61" customFormat="1" ht="18" x14ac:dyDescent="0.25">
      <c r="A2941" s="523" t="s">
        <v>4298</v>
      </c>
      <c r="B2941" s="235"/>
      <c r="C2941" s="676"/>
      <c r="D2941" s="255" t="s">
        <v>4299</v>
      </c>
      <c r="E2941" s="236"/>
      <c r="F2941" s="236"/>
      <c r="G2941" s="236"/>
      <c r="H2941" s="582" t="s">
        <v>810</v>
      </c>
      <c r="I2941" s="498" t="s">
        <v>4300</v>
      </c>
      <c r="J2941" s="237"/>
      <c r="K2941" s="237"/>
      <c r="L2941" s="274"/>
      <c r="M2941" s="668" t="s">
        <v>4962</v>
      </c>
      <c r="N2941" s="681" t="str">
        <f>IF(AND(ISTEXT($A2941), ISERROR($A2941+0)), HYPERLINK($BF2941, "Images"), "")</f>
        <v>Images</v>
      </c>
      <c r="O2941" s="663" t="s">
        <v>4969</v>
      </c>
      <c r="P2941" s="253"/>
      <c r="Q2941" s="238"/>
      <c r="R2941" s="239"/>
      <c r="S2941" s="275"/>
      <c r="T2941" s="508">
        <f t="shared" si="2248"/>
        <v>0</v>
      </c>
      <c r="U2941" s="225" t="str">
        <f>IF(NOT(ISNUMBER(G2941)), "", VLOOKUP(A2941,'Discount Lookup'!D:E,2,FALSE)*G2941)</f>
        <v/>
      </c>
      <c r="V2941" s="225" t="str">
        <f>IF(NOT(ISNUMBER(G2941)), "", VLOOKUP(A2941,'Discount Lookup'!G:H,2,FALSE)*G2941)</f>
        <v/>
      </c>
      <c r="W2941" s="508">
        <f t="shared" si="2249"/>
        <v>0</v>
      </c>
      <c r="X2941" s="508" t="str">
        <f t="shared" si="2250"/>
        <v>Purple-Maroon blades</v>
      </c>
      <c r="Y2941" s="509" t="b">
        <f t="shared" si="2251"/>
        <v>0</v>
      </c>
      <c r="Z2941" s="510">
        <f t="shared" si="2252"/>
        <v>0</v>
      </c>
      <c r="AA2941" s="511"/>
      <c r="AB2941" s="511" t="str">
        <f t="shared" si="2253"/>
        <v/>
      </c>
      <c r="AC2941" s="698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698"/>
      <c r="AE2941" s="631" t="str">
        <f t="shared" si="2254"/>
        <v/>
      </c>
      <c r="AF2941" s="699" t="str">
        <f t="shared" si="2255"/>
        <v/>
      </c>
      <c r="AG2941" s="699"/>
      <c r="AH2941" s="699"/>
      <c r="AI2941" s="512">
        <f>IF(H2941="credit",0,IF(AE2941="free",0,IF(AE2941="me",0,IF(G2941&gt;0,(VLOOKUP(A2941,'Discount Lookup'!J:K,2)*G2941),0))))</f>
        <v>0</v>
      </c>
      <c r="AJ2941" s="513" t="str">
        <f t="shared" ca="1" si="2256"/>
        <v/>
      </c>
      <c r="AK2941" s="700" t="str">
        <f t="shared" si="2257"/>
        <v/>
      </c>
      <c r="AL2941" s="700"/>
      <c r="AM2941" s="505" t="str">
        <f t="shared" si="2258"/>
        <v/>
      </c>
      <c r="AN2941" s="506"/>
      <c r="AO2941" s="507"/>
      <c r="AP2941" s="507"/>
      <c r="AQ2941" s="507"/>
      <c r="AR2941" s="507"/>
      <c r="AS2941" s="507"/>
      <c r="AT2941" s="507"/>
      <c r="AU2941" s="507"/>
      <c r="AV2941" s="225"/>
      <c r="AW2941" s="508"/>
      <c r="AX2941" s="225"/>
      <c r="AY2941" s="225"/>
      <c r="AZ2941" s="225"/>
      <c r="BA2941" s="225"/>
      <c r="BB2941" s="225"/>
      <c r="BC2941" s="56"/>
      <c r="BD2941" s="56"/>
      <c r="BE2941" s="56"/>
      <c r="BF2941" s="107" t="str">
        <f t="shared" si="2259"/>
        <v>https://www.google.com/search?tbm=isch&amp;q=Princess%20Carolina%20Purple%20Fountain%20Grass%20Pennisetum%20purpureum%20%27Princesss%20Caroline%27%20PP%2321464</v>
      </c>
      <c r="BG2941" s="107" t="str">
        <f t="shared" si="2260"/>
        <v>P</v>
      </c>
      <c r="BH2941" s="254"/>
      <c r="BI2941" s="254"/>
    </row>
    <row r="2942" spans="1:61" customFormat="1" ht="15.75" x14ac:dyDescent="0.25">
      <c r="A2942" s="276">
        <v>3</v>
      </c>
      <c r="B2942" s="240" t="s">
        <v>291</v>
      </c>
      <c r="C2942" s="241"/>
      <c r="D2942" s="242" t="s">
        <v>312</v>
      </c>
      <c r="E2942" s="243">
        <v>24.95</v>
      </c>
      <c r="F2942" s="517" t="s">
        <v>293</v>
      </c>
      <c r="G2942" s="232">
        <v>0</v>
      </c>
      <c r="H2942" s="661" t="str">
        <f>IF(G2942=0,"",IF(F2942="Buy",IF(G2942=1,"plant","plants"),IF(F2942&gt;0.01,"warranty","Error")))</f>
        <v/>
      </c>
      <c r="I2942" s="244">
        <f>IF(H2942="free",0,IF(H2942="credit",((E2942*(F2942))*G2942*-1),IF(F2942="Buy",(E2942*G2942),((E2942*(1-F2942))*G2942))))</f>
        <v>0</v>
      </c>
      <c r="J2942" s="244">
        <f>IF(H2942="warranty",0,(I2942*(_xlfn.SINGLE(SalesTaxPercentage))))</f>
        <v>0</v>
      </c>
      <c r="K2942" s="696">
        <f t="shared" ref="K2942" si="2279">I2942+J2942</f>
        <v>0</v>
      </c>
      <c r="L2942" s="696"/>
      <c r="M2942" s="659" t="str">
        <f>IF(AND(G2942&gt;0,E2942=0),"WARNING - no PRICE inserted",IF(H2942="free"," FREE ~ no charge this plant",IF(H2942="credit",CONCATENATE(" -$",ROUND(K2942*(1-T2GDiscount)*-1,2)," CREDIT after discount"),IF(T2GDiscount=0,"",IF(G2942=0,"",IF(F2942="Buy",CONCATENATE(" $",ROUND(K2942*(1-T2GDiscount),2)," with ",(T2GDiscount*100),"% discount"),CONCATENATE(" $",ROUND(K2942*(1-T2GDiscount),2)," with ",((T2GDiscount*100+F2942*100)-(T2GDiscount*100*F2942)),IF(F2942&gt;0,"% discounts",IF(NoWarrantyDiscount&gt;0,"% discounts","% discount")))))))))</f>
        <v/>
      </c>
      <c r="N2942" s="660"/>
      <c r="O2942" s="233"/>
      <c r="P2942" s="233"/>
      <c r="Q2942" s="233"/>
      <c r="R2942" s="233"/>
      <c r="S2942" s="233"/>
      <c r="T2942" s="508">
        <f t="shared" si="2248"/>
        <v>0</v>
      </c>
      <c r="U2942" s="225">
        <f>IF(NOT(ISNUMBER(G2942)), "", VLOOKUP(A2942,'Discount Lookup'!D:E,2,FALSE)*G2942)</f>
        <v>0</v>
      </c>
      <c r="V2942" s="225">
        <f>IF(NOT(ISNUMBER(G2942)), "", VLOOKUP(A2942,'Discount Lookup'!G:H,2,FALSE)*G2942)</f>
        <v>0</v>
      </c>
      <c r="W2942" s="508">
        <f t="shared" si="2249"/>
        <v>0</v>
      </c>
      <c r="X2942" s="508">
        <f t="shared" si="2250"/>
        <v>0</v>
      </c>
      <c r="Y2942" s="509" t="b">
        <f t="shared" si="2251"/>
        <v>0</v>
      </c>
      <c r="Z2942" s="510">
        <f t="shared" si="2252"/>
        <v>0</v>
      </c>
      <c r="AA2942" s="511"/>
      <c r="AB2942" s="511" t="str">
        <f t="shared" si="2253"/>
        <v/>
      </c>
      <c r="AC2942" s="698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698"/>
      <c r="AE2942" s="631" t="str">
        <f t="shared" si="2254"/>
        <v/>
      </c>
      <c r="AF2942" s="699" t="str">
        <f t="shared" si="2255"/>
        <v/>
      </c>
      <c r="AG2942" s="699"/>
      <c r="AH2942" s="699"/>
      <c r="AI2942" s="512">
        <f>IF(H2942="credit",0,IF(AE2942="free",0,IF(AE2942="me",0,IF(G2942&gt;0,(VLOOKUP(A2942,'Discount Lookup'!J:K,2)*G2942),0))))</f>
        <v>0</v>
      </c>
      <c r="AJ2942" s="513" t="str">
        <f t="shared" ca="1" si="2256"/>
        <v/>
      </c>
      <c r="AK2942" s="700" t="str">
        <f t="shared" si="2257"/>
        <v/>
      </c>
      <c r="AL2942" s="700"/>
      <c r="AM2942" s="505" t="str">
        <f t="shared" si="2258"/>
        <v/>
      </c>
      <c r="AN2942" s="506"/>
      <c r="AO2942" s="507"/>
      <c r="AP2942" s="507"/>
      <c r="AQ2942" s="507"/>
      <c r="AR2942" s="507"/>
      <c r="AS2942" s="507"/>
      <c r="AT2942" s="507"/>
      <c r="AU2942" s="507"/>
      <c r="AV2942" s="225"/>
      <c r="AW2942" s="508"/>
      <c r="AX2942" s="225"/>
      <c r="AY2942" s="225"/>
      <c r="AZ2942" s="225"/>
      <c r="BA2942" s="225"/>
      <c r="BB2942" s="225"/>
      <c r="BC2942" s="56"/>
      <c r="BD2942" s="56"/>
      <c r="BE2942" s="56"/>
      <c r="BF2942" s="107" t="str">
        <f t="shared" si="2259"/>
        <v>https://www.google.com/search?tbm=isch&amp;q=3%20G2</v>
      </c>
      <c r="BG2942" s="107" t="str">
        <f t="shared" si="2260"/>
        <v>P</v>
      </c>
      <c r="BH2942" s="254"/>
      <c r="BI2942" s="254"/>
    </row>
    <row r="2943" spans="1:61" customFormat="1" ht="17.25" thickBot="1" x14ac:dyDescent="0.3">
      <c r="A2943" s="524" t="s">
        <v>4301</v>
      </c>
      <c r="B2943" s="245"/>
      <c r="C2943" s="677"/>
      <c r="D2943" s="499"/>
      <c r="E2943" s="499"/>
      <c r="F2943" s="500"/>
      <c r="G2943" s="501"/>
      <c r="H2943" s="502"/>
      <c r="I2943" s="246"/>
      <c r="J2943" s="247"/>
      <c r="K2943" s="503"/>
      <c r="L2943" s="544"/>
      <c r="M2943" s="544"/>
      <c r="N2943" s="500"/>
      <c r="O2943" s="500"/>
      <c r="P2943" s="500"/>
      <c r="Q2943" s="500"/>
      <c r="R2943" s="500"/>
      <c r="S2943" s="669" t="s">
        <v>5003</v>
      </c>
      <c r="T2943" s="508">
        <f t="shared" si="2248"/>
        <v>0</v>
      </c>
      <c r="U2943" s="225" t="str">
        <f>IF(NOT(ISNUMBER(G2943)), "", VLOOKUP(A2943,'Discount Lookup'!D:E,2,FALSE)*G2943)</f>
        <v/>
      </c>
      <c r="V2943" s="225" t="str">
        <f>IF(NOT(ISNUMBER(G2943)), "", VLOOKUP(A2943,'Discount Lookup'!G:H,2,FALSE)*G2943)</f>
        <v/>
      </c>
      <c r="W2943" s="508">
        <f t="shared" si="2249"/>
        <v>0</v>
      </c>
      <c r="X2943" s="508">
        <f t="shared" si="2250"/>
        <v>0</v>
      </c>
      <c r="Y2943" s="509" t="b">
        <f t="shared" si="2251"/>
        <v>0</v>
      </c>
      <c r="Z2943" s="510">
        <f t="shared" si="2252"/>
        <v>0</v>
      </c>
      <c r="AA2943" s="511"/>
      <c r="AB2943" s="511" t="str">
        <f t="shared" si="2253"/>
        <v/>
      </c>
      <c r="AC2943" s="698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698"/>
      <c r="AE2943" s="631" t="str">
        <f t="shared" si="2254"/>
        <v/>
      </c>
      <c r="AF2943" s="699" t="str">
        <f t="shared" si="2255"/>
        <v/>
      </c>
      <c r="AG2943" s="699"/>
      <c r="AH2943" s="699"/>
      <c r="AI2943" s="512">
        <f>IF(H2943="credit",0,IF(AE2943="free",0,IF(AE2943="me",0,IF(G2943&gt;0,(VLOOKUP(A2943,'Discount Lookup'!J:K,2)*G2943),0))))</f>
        <v>0</v>
      </c>
      <c r="AJ2943" s="513" t="str">
        <f t="shared" ca="1" si="2256"/>
        <v/>
      </c>
      <c r="AK2943" s="700" t="str">
        <f t="shared" si="2257"/>
        <v/>
      </c>
      <c r="AL2943" s="700"/>
      <c r="AM2943" s="505" t="str">
        <f t="shared" si="2258"/>
        <v/>
      </c>
      <c r="AN2943" s="506"/>
      <c r="AO2943" s="507"/>
      <c r="AP2943" s="507"/>
      <c r="AQ2943" s="507"/>
      <c r="AR2943" s="507"/>
      <c r="AS2943" s="507"/>
      <c r="AT2943" s="507"/>
      <c r="AU2943" s="507"/>
      <c r="AV2943" s="225"/>
      <c r="AW2943" s="508"/>
      <c r="AX2943" s="225"/>
      <c r="AY2943" s="225"/>
      <c r="AZ2943" s="225"/>
      <c r="BA2943" s="225"/>
      <c r="BB2943" s="225"/>
      <c r="BC2943" s="56"/>
      <c r="BD2943" s="56"/>
      <c r="BE2943" s="56"/>
      <c r="BF2943" s="107" t="str">
        <f t="shared" si="2259"/>
        <v>https://www.google.com/search?tbm=isch&amp;q=Princess%20Caroline%20offers%20unrivaled%20texture%20and%20heat%20tolerance.%20Rare%2C%20Reddish%20blooms.%20Blade%20color%20deepens%20to%20Rich%20Burgundy-Purple%20in%20fall%20</v>
      </c>
      <c r="BG2943" s="107" t="str">
        <f t="shared" si="2260"/>
        <v>P</v>
      </c>
      <c r="BH2943" s="254"/>
      <c r="BI2943" s="254"/>
    </row>
    <row r="2944" spans="1:61" customFormat="1" ht="18" x14ac:dyDescent="0.25">
      <c r="A2944" s="523" t="s">
        <v>1551</v>
      </c>
      <c r="B2944" s="235"/>
      <c r="C2944" s="676"/>
      <c r="D2944" s="255" t="s">
        <v>1552</v>
      </c>
      <c r="E2944" s="236"/>
      <c r="F2944" s="236"/>
      <c r="G2944" s="236"/>
      <c r="H2944" s="582" t="s">
        <v>1553</v>
      </c>
      <c r="I2944" s="498" t="s">
        <v>2093</v>
      </c>
      <c r="J2944" s="237"/>
      <c r="K2944" s="237"/>
      <c r="L2944" s="274"/>
      <c r="M2944" s="668" t="s">
        <v>4962</v>
      </c>
      <c r="N2944" s="681" t="str">
        <f>IF(AND(ISTEXT($A2944), ISERROR($A2944+0)), HYPERLINK($BF2944, "Images"), "")</f>
        <v>Images</v>
      </c>
      <c r="O2944" s="663" t="s">
        <v>4967</v>
      </c>
      <c r="P2944" s="253"/>
      <c r="Q2944" s="238"/>
      <c r="R2944" s="239"/>
      <c r="S2944" s="275" t="s">
        <v>305</v>
      </c>
      <c r="T2944" s="508">
        <f t="shared" si="2248"/>
        <v>0</v>
      </c>
      <c r="U2944" s="225" t="str">
        <f>IF(NOT(ISNUMBER(G2944)), "", VLOOKUP(A2944,'Discount Lookup'!D:E,2,FALSE)*G2944)</f>
        <v/>
      </c>
      <c r="V2944" s="225" t="str">
        <f>IF(NOT(ISNUMBER(G2944)), "", VLOOKUP(A2944,'Discount Lookup'!G:H,2,FALSE)*G2944)</f>
        <v/>
      </c>
      <c r="W2944" s="508">
        <f t="shared" si="2249"/>
        <v>0</v>
      </c>
      <c r="X2944" s="508" t="str">
        <f t="shared" si="2250"/>
        <v>Dark Green foliage</v>
      </c>
      <c r="Y2944" s="509" t="b">
        <f t="shared" si="2251"/>
        <v>0</v>
      </c>
      <c r="Z2944" s="510">
        <f t="shared" si="2252"/>
        <v>0</v>
      </c>
      <c r="AA2944" s="511"/>
      <c r="AB2944" s="511" t="str">
        <f t="shared" si="2253"/>
        <v/>
      </c>
      <c r="AC2944" s="698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698"/>
      <c r="AE2944" s="631" t="str">
        <f t="shared" si="2254"/>
        <v/>
      </c>
      <c r="AF2944" s="699" t="str">
        <f t="shared" si="2255"/>
        <v/>
      </c>
      <c r="AG2944" s="699"/>
      <c r="AH2944" s="699"/>
      <c r="AI2944" s="512">
        <f>IF(H2944="credit",0,IF(AE2944="free",0,IF(AE2944="me",0,IF(G2944&gt;0,(VLOOKUP(A2944,'Discount Lookup'!J:K,2)*G2944),0))))</f>
        <v>0</v>
      </c>
      <c r="AJ2944" s="513" t="str">
        <f t="shared" ca="1" si="2256"/>
        <v/>
      </c>
      <c r="AK2944" s="700" t="str">
        <f t="shared" si="2257"/>
        <v/>
      </c>
      <c r="AL2944" s="700"/>
      <c r="AM2944" s="505" t="str">
        <f t="shared" si="2258"/>
        <v/>
      </c>
      <c r="AN2944" s="506"/>
      <c r="AO2944" s="507"/>
      <c r="AP2944" s="507"/>
      <c r="AQ2944" s="507"/>
      <c r="AR2944" s="507"/>
      <c r="AS2944" s="507"/>
      <c r="AT2944" s="507"/>
      <c r="AU2944" s="507"/>
      <c r="AV2944" s="225"/>
      <c r="AW2944" s="508"/>
      <c r="AX2944" s="225"/>
      <c r="AY2944" s="225"/>
      <c r="AZ2944" s="225"/>
      <c r="BA2944" s="225"/>
      <c r="BB2944" s="225"/>
      <c r="BC2944" s="56"/>
      <c r="BD2944" s="56"/>
      <c r="BE2944" s="56"/>
      <c r="BF2944" s="107" t="str">
        <f t="shared" si="2259"/>
        <v>https://www.google.com/search?tbm=isch&amp;q=Princeton%20Elm%20Ulmus%20americana%20%27Princeton%27</v>
      </c>
      <c r="BG2944" s="107" t="str">
        <f t="shared" si="2260"/>
        <v>P</v>
      </c>
      <c r="BH2944" s="254"/>
      <c r="BI2944" s="254"/>
    </row>
    <row r="2945" spans="1:61" customFormat="1" ht="27" x14ac:dyDescent="0.25">
      <c r="A2945" s="276">
        <v>7</v>
      </c>
      <c r="B2945" s="240" t="s">
        <v>291</v>
      </c>
      <c r="C2945" s="241" t="s">
        <v>3701</v>
      </c>
      <c r="D2945" s="242" t="s">
        <v>292</v>
      </c>
      <c r="E2945" s="243">
        <v>107.95</v>
      </c>
      <c r="F2945" s="517" t="s">
        <v>293</v>
      </c>
      <c r="G2945" s="232">
        <v>0</v>
      </c>
      <c r="H2945" s="661" t="str">
        <f>IF(G2945=0,"",IF(F2945="Buy",IF(G2945=1,"plant","plants"),IF(F2945&gt;0.01,"warranty","Error")))</f>
        <v/>
      </c>
      <c r="I2945" s="244">
        <f>IF(H2945="free",0,IF(H2945="credit",((E2945*(F2945))*G2945*-1),IF(F2945="Buy",(E2945*G2945),((E2945*(1-F2945))*G2945))))</f>
        <v>0</v>
      </c>
      <c r="J2945" s="244">
        <f>IF(H2945="warranty",0,(I2945*(_xlfn.SINGLE(SalesTaxPercentage))))</f>
        <v>0</v>
      </c>
      <c r="K2945" s="696">
        <f t="shared" ref="K2945" si="2280">I2945+J2945</f>
        <v>0</v>
      </c>
      <c r="L2945" s="696"/>
      <c r="M2945" s="659" t="str">
        <f>IF(AND(G2945&gt;0,E2945=0),"WARNING - no PRICE inserted",IF(H2945="free"," FREE ~ no charge this plant",IF(H2945="credit",CONCATENATE(" -$",ROUND(K2945*(1-T2GDiscount)*-1,2)," CREDIT after discount"),IF(T2GDiscount=0,"",IF(G2945=0,"",IF(F2945="Buy",CONCATENATE(" $",ROUND(K2945*(1-T2GDiscount),2)," with ",(T2GDiscount*100),"% discount"),CONCATENATE(" $",ROUND(K2945*(1-T2GDiscount),2)," with ",((T2GDiscount*100+F2945*100)-(T2GDiscount*100*F2945)),IF(F2945&gt;0,"% discounts",IF(NoWarrantyDiscount&gt;0,"% discounts","% discount")))))))))</f>
        <v/>
      </c>
      <c r="N2945" s="660"/>
      <c r="O2945" s="233"/>
      <c r="P2945" s="233"/>
      <c r="Q2945" s="233"/>
      <c r="R2945" s="233"/>
      <c r="S2945" s="233"/>
      <c r="T2945" s="508">
        <f t="shared" si="2248"/>
        <v>0</v>
      </c>
      <c r="U2945" s="225">
        <f>IF(NOT(ISNUMBER(G2945)), "", VLOOKUP(A2945,'Discount Lookup'!D:E,2,FALSE)*G2945)</f>
        <v>0</v>
      </c>
      <c r="V2945" s="225">
        <f>IF(NOT(ISNUMBER(G2945)), "", VLOOKUP(A2945,'Discount Lookup'!G:H,2,FALSE)*G2945)</f>
        <v>0</v>
      </c>
      <c r="W2945" s="508">
        <f t="shared" si="2249"/>
        <v>0</v>
      </c>
      <c r="X2945" s="508">
        <f t="shared" si="2250"/>
        <v>0</v>
      </c>
      <c r="Y2945" s="509" t="b">
        <f t="shared" si="2251"/>
        <v>0</v>
      </c>
      <c r="Z2945" s="510">
        <f t="shared" si="2252"/>
        <v>0</v>
      </c>
      <c r="AA2945" s="511"/>
      <c r="AB2945" s="511" t="str">
        <f t="shared" si="2253"/>
        <v/>
      </c>
      <c r="AC2945" s="698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698"/>
      <c r="AE2945" s="631" t="str">
        <f t="shared" si="2254"/>
        <v/>
      </c>
      <c r="AF2945" s="699" t="str">
        <f t="shared" si="2255"/>
        <v/>
      </c>
      <c r="AG2945" s="699"/>
      <c r="AH2945" s="699"/>
      <c r="AI2945" s="512">
        <f>IF(H2945="credit",0,IF(AE2945="free",0,IF(AE2945="me",0,IF(G2945&gt;0,(VLOOKUP(A2945,'Discount Lookup'!J:K,2)*G2945),0))))</f>
        <v>0</v>
      </c>
      <c r="AJ2945" s="513" t="str">
        <f t="shared" ca="1" si="2256"/>
        <v/>
      </c>
      <c r="AK2945" s="700" t="str">
        <f t="shared" si="2257"/>
        <v/>
      </c>
      <c r="AL2945" s="700"/>
      <c r="AM2945" s="505" t="str">
        <f t="shared" si="2258"/>
        <v/>
      </c>
      <c r="AN2945" s="506"/>
      <c r="AO2945" s="507"/>
      <c r="AP2945" s="507"/>
      <c r="AQ2945" s="507"/>
      <c r="AR2945" s="507"/>
      <c r="AS2945" s="507"/>
      <c r="AT2945" s="507"/>
      <c r="AU2945" s="507"/>
      <c r="AV2945" s="225"/>
      <c r="AW2945" s="508"/>
      <c r="AX2945" s="225"/>
      <c r="AY2945" s="225"/>
      <c r="AZ2945" s="225"/>
      <c r="BA2945" s="225"/>
      <c r="BB2945" s="225"/>
      <c r="BC2945" s="56"/>
      <c r="BD2945" s="56"/>
      <c r="BE2945" s="56"/>
      <c r="BF2945" s="107" t="str">
        <f t="shared" si="2259"/>
        <v>https://www.google.com/search?tbm=isch&amp;q=7%20G4</v>
      </c>
      <c r="BG2945" s="107" t="str">
        <f t="shared" si="2260"/>
        <v>P</v>
      </c>
      <c r="BH2945" s="254"/>
      <c r="BI2945" s="254"/>
    </row>
    <row r="2946" spans="1:61" customFormat="1" ht="15.75" x14ac:dyDescent="0.25">
      <c r="A2946" s="276">
        <v>15</v>
      </c>
      <c r="B2946" s="240" t="s">
        <v>291</v>
      </c>
      <c r="C2946" s="241" t="s">
        <v>3337</v>
      </c>
      <c r="D2946" s="242" t="s">
        <v>292</v>
      </c>
      <c r="E2946" s="243">
        <v>178.95</v>
      </c>
      <c r="F2946" s="517" t="s">
        <v>293</v>
      </c>
      <c r="G2946" s="232">
        <v>0</v>
      </c>
      <c r="H2946" s="661" t="str">
        <f>IF(G2946=0,"",IF(F2946="Buy",IF(G2946=1,"plant","plants"),IF(F2946&gt;0.01,"warranty","Error")))</f>
        <v/>
      </c>
      <c r="I2946" s="244">
        <f>IF(H2946="free",0,IF(H2946="credit",((E2946*(F2946))*G2946*-1),IF(F2946="Buy",(E2946*G2946),((E2946*(1-F2946))*G2946))))</f>
        <v>0</v>
      </c>
      <c r="J2946" s="244">
        <f>IF(H2946="warranty",0,(I2946*(_xlfn.SINGLE(SalesTaxPercentage))))</f>
        <v>0</v>
      </c>
      <c r="K2946" s="696">
        <f t="shared" ref="K2946" si="2281">I2946+J2946</f>
        <v>0</v>
      </c>
      <c r="L2946" s="696"/>
      <c r="M2946" s="659" t="str">
        <f>IF(AND(G2946&gt;0,E2946=0),"WARNING - no PRICE inserted",IF(H2946="free"," FREE ~ no charge this plant",IF(H2946="credit",CONCATENATE(" -$",ROUND(K2946*(1-T2GDiscount)*-1,2)," CREDIT after discount"),IF(T2GDiscount=0,"",IF(G2946=0,"",IF(F2946="Buy",CONCATENATE(" $",ROUND(K2946*(1-T2GDiscount),2)," with ",(T2GDiscount*100),"% discount"),CONCATENATE(" $",ROUND(K2946*(1-T2GDiscount),2)," with ",((T2GDiscount*100+F2946*100)-(T2GDiscount*100*F2946)),IF(F2946&gt;0,"% discounts",IF(NoWarrantyDiscount&gt;0,"% discounts","% discount")))))))))</f>
        <v/>
      </c>
      <c r="N2946" s="660"/>
      <c r="O2946" s="233"/>
      <c r="P2946" s="233"/>
      <c r="Q2946" s="233"/>
      <c r="R2946" s="233"/>
      <c r="S2946" s="233"/>
      <c r="T2946" s="508">
        <f t="shared" si="2248"/>
        <v>0</v>
      </c>
      <c r="U2946" s="225">
        <f>IF(NOT(ISNUMBER(G2946)), "", VLOOKUP(A2946,'Discount Lookup'!D:E,2,FALSE)*G2946)</f>
        <v>0</v>
      </c>
      <c r="V2946" s="225">
        <f>IF(NOT(ISNUMBER(G2946)), "", VLOOKUP(A2946,'Discount Lookup'!G:H,2,FALSE)*G2946)</f>
        <v>0</v>
      </c>
      <c r="W2946" s="508">
        <f t="shared" si="2249"/>
        <v>0</v>
      </c>
      <c r="X2946" s="508">
        <f t="shared" si="2250"/>
        <v>0</v>
      </c>
      <c r="Y2946" s="509" t="b">
        <f t="shared" si="2251"/>
        <v>0</v>
      </c>
      <c r="Z2946" s="510">
        <f t="shared" si="2252"/>
        <v>0</v>
      </c>
      <c r="AA2946" s="511"/>
      <c r="AB2946" s="511" t="str">
        <f t="shared" si="2253"/>
        <v/>
      </c>
      <c r="AC2946" s="698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698"/>
      <c r="AE2946" s="631" t="str">
        <f t="shared" si="2254"/>
        <v/>
      </c>
      <c r="AF2946" s="699" t="str">
        <f t="shared" si="2255"/>
        <v/>
      </c>
      <c r="AG2946" s="699"/>
      <c r="AH2946" s="699"/>
      <c r="AI2946" s="512">
        <f>IF(H2946="credit",0,IF(AE2946="free",0,IF(AE2946="me",0,IF(G2946&gt;0,(VLOOKUP(A2946,'Discount Lookup'!J:K,2)*G2946),0))))</f>
        <v>0</v>
      </c>
      <c r="AJ2946" s="513" t="str">
        <f t="shared" ca="1" si="2256"/>
        <v/>
      </c>
      <c r="AK2946" s="700" t="str">
        <f t="shared" si="2257"/>
        <v/>
      </c>
      <c r="AL2946" s="700"/>
      <c r="AM2946" s="505" t="str">
        <f t="shared" si="2258"/>
        <v/>
      </c>
      <c r="AN2946" s="506"/>
      <c r="AO2946" s="507"/>
      <c r="AP2946" s="507"/>
      <c r="AQ2946" s="507"/>
      <c r="AR2946" s="507"/>
      <c r="AS2946" s="507"/>
      <c r="AT2946" s="507"/>
      <c r="AU2946" s="507"/>
      <c r="AV2946" s="225"/>
      <c r="AW2946" s="508"/>
      <c r="AX2946" s="225"/>
      <c r="AY2946" s="225"/>
      <c r="AZ2946" s="225"/>
      <c r="BA2946" s="225"/>
      <c r="BB2946" s="225"/>
      <c r="BC2946" s="56"/>
      <c r="BD2946" s="56"/>
      <c r="BE2946" s="56"/>
      <c r="BF2946" s="107" t="str">
        <f t="shared" si="2259"/>
        <v>https://www.google.com/search?tbm=isch&amp;q=15%20G4</v>
      </c>
      <c r="BG2946" s="107" t="str">
        <f t="shared" si="2260"/>
        <v>P</v>
      </c>
      <c r="BH2946" s="254"/>
      <c r="BI2946" s="254"/>
    </row>
    <row r="2947" spans="1:61" customFormat="1" ht="15.75" x14ac:dyDescent="0.25">
      <c r="A2947" s="276">
        <v>25</v>
      </c>
      <c r="B2947" s="240" t="s">
        <v>291</v>
      </c>
      <c r="C2947" s="241" t="s">
        <v>4439</v>
      </c>
      <c r="D2947" s="242" t="s">
        <v>292</v>
      </c>
      <c r="E2947" s="243">
        <v>334.95</v>
      </c>
      <c r="F2947" s="517" t="s">
        <v>293</v>
      </c>
      <c r="G2947" s="232">
        <v>0</v>
      </c>
      <c r="H2947" s="661" t="str">
        <f>IF(G2947=0,"",IF(F2947="Buy",IF(G2947=1,"plant","plants"),IF(F2947&gt;0.01,"warranty","Error")))</f>
        <v/>
      </c>
      <c r="I2947" s="244">
        <f>IF(H2947="free",0,IF(H2947="credit",((E2947*(F2947))*G2947*-1),IF(F2947="Buy",(E2947*G2947),((E2947*(1-F2947))*G2947))))</f>
        <v>0</v>
      </c>
      <c r="J2947" s="244">
        <f>IF(H2947="warranty",0,(I2947*(_xlfn.SINGLE(SalesTaxPercentage))))</f>
        <v>0</v>
      </c>
      <c r="K2947" s="696">
        <f t="shared" ref="K2947" si="2282">I2947+J2947</f>
        <v>0</v>
      </c>
      <c r="L2947" s="696"/>
      <c r="M2947" s="659" t="str">
        <f>IF(AND(G2947&gt;0,E2947=0),"WARNING - no PRICE inserted",IF(H2947="free"," FREE ~ no charge this plant",IF(H2947="credit",CONCATENATE(" -$",ROUND(K2947*(1-T2GDiscount)*-1,2)," CREDIT after discount"),IF(T2GDiscount=0,"",IF(G2947=0,"",IF(F2947="Buy",CONCATENATE(" $",ROUND(K2947*(1-T2GDiscount),2)," with ",(T2GDiscount*100),"% discount"),CONCATENATE(" $",ROUND(K2947*(1-T2GDiscount),2)," with ",((T2GDiscount*100+F2947*100)-(T2GDiscount*100*F2947)),IF(F2947&gt;0,"% discounts",IF(NoWarrantyDiscount&gt;0,"% discounts","% discount")))))))))</f>
        <v/>
      </c>
      <c r="N2947" s="660"/>
      <c r="O2947" s="233"/>
      <c r="P2947" s="233"/>
      <c r="Q2947" s="233"/>
      <c r="R2947" s="233"/>
      <c r="S2947" s="233"/>
      <c r="T2947" s="508">
        <f t="shared" si="2248"/>
        <v>0</v>
      </c>
      <c r="U2947" s="225">
        <f>IF(NOT(ISNUMBER(G2947)), "", VLOOKUP(A2947,'Discount Lookup'!D:E,2,FALSE)*G2947)</f>
        <v>0</v>
      </c>
      <c r="V2947" s="225">
        <f>IF(NOT(ISNUMBER(G2947)), "", VLOOKUP(A2947,'Discount Lookup'!G:H,2,FALSE)*G2947)</f>
        <v>0</v>
      </c>
      <c r="W2947" s="508">
        <f t="shared" si="2249"/>
        <v>0</v>
      </c>
      <c r="X2947" s="508">
        <f t="shared" si="2250"/>
        <v>0</v>
      </c>
      <c r="Y2947" s="509" t="b">
        <f t="shared" si="2251"/>
        <v>0</v>
      </c>
      <c r="Z2947" s="510">
        <f t="shared" si="2252"/>
        <v>0</v>
      </c>
      <c r="AA2947" s="511"/>
      <c r="AB2947" s="511" t="str">
        <f t="shared" si="2253"/>
        <v/>
      </c>
      <c r="AC2947" s="698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698"/>
      <c r="AE2947" s="631" t="str">
        <f t="shared" si="2254"/>
        <v/>
      </c>
      <c r="AF2947" s="699" t="str">
        <f t="shared" si="2255"/>
        <v/>
      </c>
      <c r="AG2947" s="699"/>
      <c r="AH2947" s="699"/>
      <c r="AI2947" s="512">
        <f>IF(H2947="credit",0,IF(AE2947="free",0,IF(AE2947="me",0,IF(G2947&gt;0,(VLOOKUP(A2947,'Discount Lookup'!J:K,2)*G2947),0))))</f>
        <v>0</v>
      </c>
      <c r="AJ2947" s="513" t="str">
        <f t="shared" ca="1" si="2256"/>
        <v/>
      </c>
      <c r="AK2947" s="700" t="str">
        <f t="shared" si="2257"/>
        <v/>
      </c>
      <c r="AL2947" s="700"/>
      <c r="AM2947" s="505" t="str">
        <f t="shared" si="2258"/>
        <v/>
      </c>
      <c r="AN2947" s="506"/>
      <c r="AO2947" s="507"/>
      <c r="AP2947" s="507"/>
      <c r="AQ2947" s="507"/>
      <c r="AR2947" s="507"/>
      <c r="AS2947" s="507"/>
      <c r="AT2947" s="507"/>
      <c r="AU2947" s="507"/>
      <c r="AV2947" s="225"/>
      <c r="AW2947" s="508"/>
      <c r="AX2947" s="225"/>
      <c r="AY2947" s="225"/>
      <c r="AZ2947" s="225"/>
      <c r="BA2947" s="225"/>
      <c r="BB2947" s="225"/>
      <c r="BC2947" s="56"/>
      <c r="BD2947" s="56"/>
      <c r="BE2947" s="56"/>
      <c r="BF2947" s="107" t="str">
        <f t="shared" si="2259"/>
        <v>https://www.google.com/search?tbm=isch&amp;q=25%20G4</v>
      </c>
      <c r="BG2947" s="107" t="str">
        <f t="shared" si="2260"/>
        <v>P</v>
      </c>
      <c r="BH2947" s="254"/>
      <c r="BI2947" s="254"/>
    </row>
    <row r="2948" spans="1:61" customFormat="1" ht="15.75" x14ac:dyDescent="0.25">
      <c r="A2948" s="276">
        <v>25</v>
      </c>
      <c r="B2948" s="240" t="s">
        <v>291</v>
      </c>
      <c r="C2948" s="241" t="s">
        <v>3087</v>
      </c>
      <c r="D2948" s="242" t="s">
        <v>300</v>
      </c>
      <c r="E2948" s="243">
        <v>377.95</v>
      </c>
      <c r="F2948" s="517" t="s">
        <v>293</v>
      </c>
      <c r="G2948" s="232">
        <v>0</v>
      </c>
      <c r="H2948" s="661" t="str">
        <f>IF(G2948=0,"",IF(F2948="Buy",IF(G2948=1,"plant","plants"),IF(F2948&gt;0.01,"warranty","Error")))</f>
        <v/>
      </c>
      <c r="I2948" s="244">
        <f>IF(H2948="free",0,IF(H2948="credit",((E2948*(F2948))*G2948*-1),IF(F2948="Buy",(E2948*G2948),((E2948*(1-F2948))*G2948))))</f>
        <v>0</v>
      </c>
      <c r="J2948" s="244">
        <f>IF(H2948="warranty",0,(I2948*(_xlfn.SINGLE(SalesTaxPercentage))))</f>
        <v>0</v>
      </c>
      <c r="K2948" s="696">
        <f t="shared" ref="K2948" si="2283">I2948+J2948</f>
        <v>0</v>
      </c>
      <c r="L2948" s="696"/>
      <c r="M2948" s="659" t="str">
        <f>IF(AND(G2948&gt;0,E2948=0),"WARNING - no PRICE inserted",IF(H2948="free"," FREE ~ no charge this plant",IF(H2948="credit",CONCATENATE(" -$",ROUND(K2948*(1-T2GDiscount)*-1,2)," CREDIT after discount"),IF(T2GDiscount=0,"",IF(G2948=0,"",IF(F2948="Buy",CONCATENATE(" $",ROUND(K2948*(1-T2GDiscount),2)," with ",(T2GDiscount*100),"% discount"),CONCATENATE(" $",ROUND(K2948*(1-T2GDiscount),2)," with ",((T2GDiscount*100+F2948*100)-(T2GDiscount*100*F2948)),IF(F2948&gt;0,"% discounts",IF(NoWarrantyDiscount&gt;0,"% discounts","% discount")))))))))</f>
        <v/>
      </c>
      <c r="N2948" s="660"/>
      <c r="O2948" s="233"/>
      <c r="P2948" s="233"/>
      <c r="Q2948" s="233"/>
      <c r="R2948" s="233"/>
      <c r="S2948" s="233"/>
      <c r="T2948" s="508">
        <f t="shared" si="2248"/>
        <v>0</v>
      </c>
      <c r="U2948" s="225">
        <f>IF(NOT(ISNUMBER(G2948)), "", VLOOKUP(A2948,'Discount Lookup'!D:E,2,FALSE)*G2948)</f>
        <v>0</v>
      </c>
      <c r="V2948" s="225">
        <f>IF(NOT(ISNUMBER(G2948)), "", VLOOKUP(A2948,'Discount Lookup'!G:H,2,FALSE)*G2948)</f>
        <v>0</v>
      </c>
      <c r="W2948" s="508">
        <f t="shared" si="2249"/>
        <v>0</v>
      </c>
      <c r="X2948" s="508">
        <f t="shared" si="2250"/>
        <v>0</v>
      </c>
      <c r="Y2948" s="509" t="b">
        <f t="shared" si="2251"/>
        <v>0</v>
      </c>
      <c r="Z2948" s="510">
        <f t="shared" si="2252"/>
        <v>0</v>
      </c>
      <c r="AA2948" s="511"/>
      <c r="AB2948" s="511" t="str">
        <f t="shared" si="2253"/>
        <v/>
      </c>
      <c r="AC2948" s="698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698"/>
      <c r="AE2948" s="631" t="str">
        <f t="shared" si="2254"/>
        <v/>
      </c>
      <c r="AF2948" s="699" t="str">
        <f t="shared" si="2255"/>
        <v/>
      </c>
      <c r="AG2948" s="699"/>
      <c r="AH2948" s="699"/>
      <c r="AI2948" s="512">
        <f>IF(H2948="credit",0,IF(AE2948="free",0,IF(AE2948="me",0,IF(G2948&gt;0,(VLOOKUP(A2948,'Discount Lookup'!J:K,2)*G2948),0))))</f>
        <v>0</v>
      </c>
      <c r="AJ2948" s="513" t="str">
        <f t="shared" ca="1" si="2256"/>
        <v/>
      </c>
      <c r="AK2948" s="700" t="str">
        <f t="shared" si="2257"/>
        <v/>
      </c>
      <c r="AL2948" s="700"/>
      <c r="AM2948" s="505" t="str">
        <f t="shared" si="2258"/>
        <v/>
      </c>
      <c r="AN2948" s="506"/>
      <c r="AO2948" s="507"/>
      <c r="AP2948" s="507"/>
      <c r="AQ2948" s="507"/>
      <c r="AR2948" s="507"/>
      <c r="AS2948" s="507"/>
      <c r="AT2948" s="507"/>
      <c r="AU2948" s="507"/>
      <c r="AV2948" s="225"/>
      <c r="AW2948" s="508"/>
      <c r="AX2948" s="225"/>
      <c r="AY2948" s="225"/>
      <c r="AZ2948" s="225"/>
      <c r="BA2948" s="225"/>
      <c r="BB2948" s="225"/>
      <c r="BC2948" s="56"/>
      <c r="BD2948" s="56"/>
      <c r="BE2948" s="56"/>
      <c r="BF2948" s="107" t="str">
        <f t="shared" si="2259"/>
        <v>https://www.google.com/search?tbm=isch&amp;q=25%20G6</v>
      </c>
      <c r="BG2948" s="107" t="str">
        <f t="shared" si="2260"/>
        <v>P</v>
      </c>
      <c r="BH2948" s="254"/>
      <c r="BI2948" s="254"/>
    </row>
    <row r="2949" spans="1:61" customFormat="1" ht="17.25" thickBot="1" x14ac:dyDescent="0.3">
      <c r="A2949" s="673" t="s">
        <v>5212</v>
      </c>
      <c r="B2949" s="245"/>
      <c r="C2949" s="677"/>
      <c r="D2949" s="499"/>
      <c r="E2949" s="499"/>
      <c r="F2949" s="500"/>
      <c r="G2949" s="501"/>
      <c r="H2949" s="502"/>
      <c r="I2949" s="246"/>
      <c r="J2949" s="247"/>
      <c r="K2949" s="503"/>
      <c r="L2949" s="544"/>
      <c r="M2949" s="544"/>
      <c r="N2949" s="500"/>
      <c r="O2949" s="500"/>
      <c r="P2949" s="500"/>
      <c r="Q2949" s="500"/>
      <c r="R2949" s="500"/>
      <c r="S2949" s="669" t="s">
        <v>4978</v>
      </c>
      <c r="T2949" s="508">
        <f t="shared" si="2248"/>
        <v>0</v>
      </c>
      <c r="U2949" s="225" t="str">
        <f>IF(NOT(ISNUMBER(G2949)), "", VLOOKUP(A2949,'Discount Lookup'!D:E,2,FALSE)*G2949)</f>
        <v/>
      </c>
      <c r="V2949" s="225" t="str">
        <f>IF(NOT(ISNUMBER(G2949)), "", VLOOKUP(A2949,'Discount Lookup'!G:H,2,FALSE)*G2949)</f>
        <v/>
      </c>
      <c r="W2949" s="508">
        <f t="shared" si="2249"/>
        <v>0</v>
      </c>
      <c r="X2949" s="508">
        <f t="shared" si="2250"/>
        <v>0</v>
      </c>
      <c r="Y2949" s="509" t="b">
        <f t="shared" si="2251"/>
        <v>0</v>
      </c>
      <c r="Z2949" s="510">
        <f t="shared" si="2252"/>
        <v>0</v>
      </c>
      <c r="AA2949" s="511"/>
      <c r="AB2949" s="511" t="str">
        <f t="shared" si="2253"/>
        <v/>
      </c>
      <c r="AC2949" s="698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698"/>
      <c r="AE2949" s="631" t="str">
        <f t="shared" si="2254"/>
        <v/>
      </c>
      <c r="AF2949" s="699" t="str">
        <f t="shared" si="2255"/>
        <v/>
      </c>
      <c r="AG2949" s="699"/>
      <c r="AH2949" s="699"/>
      <c r="AI2949" s="512">
        <f>IF(H2949="credit",0,IF(AE2949="free",0,IF(AE2949="me",0,IF(G2949&gt;0,(VLOOKUP(A2949,'Discount Lookup'!J:K,2)*G2949),0))))</f>
        <v>0</v>
      </c>
      <c r="AJ2949" s="513" t="str">
        <f t="shared" ca="1" si="2256"/>
        <v/>
      </c>
      <c r="AK2949" s="700" t="str">
        <f t="shared" si="2257"/>
        <v/>
      </c>
      <c r="AL2949" s="700"/>
      <c r="AM2949" s="505" t="str">
        <f t="shared" si="2258"/>
        <v/>
      </c>
      <c r="AN2949" s="506"/>
      <c r="AO2949" s="507"/>
      <c r="AP2949" s="507"/>
      <c r="AQ2949" s="507"/>
      <c r="AR2949" s="507"/>
      <c r="AS2949" s="507"/>
      <c r="AT2949" s="507"/>
      <c r="AU2949" s="507"/>
      <c r="AV2949" s="225"/>
      <c r="AW2949" s="508"/>
      <c r="AX2949" s="225"/>
      <c r="AY2949" s="225"/>
      <c r="AZ2949" s="225"/>
      <c r="BA2949" s="225"/>
      <c r="BB2949" s="225"/>
      <c r="BC2949" s="56"/>
      <c r="BD2949" s="56"/>
      <c r="BE2949" s="56"/>
      <c r="BF2949" s="107" t="str">
        <f t="shared" si="2259"/>
        <v>https://www.google.com/search?tbm=isch&amp;q=moist%20sites%F0%9F%92%A7GOOD%2C%20Princeton%20Elm%20is%20best%20replacemnt%20for%20classic%20American%20Elm%20%28most%20lost%20to%20Dutch%20Elm%20disease%29.%20Yellow-Orange%20in%20fall%20</v>
      </c>
      <c r="BG2949" s="107" t="str">
        <f t="shared" si="2260"/>
        <v>m</v>
      </c>
      <c r="BH2949" s="254"/>
      <c r="BI2949" s="254"/>
    </row>
    <row r="2950" spans="1:61" customFormat="1" ht="18" x14ac:dyDescent="0.25">
      <c r="A2950" s="523" t="s">
        <v>5503</v>
      </c>
      <c r="B2950" s="235"/>
      <c r="C2950" s="676"/>
      <c r="D2950" s="255" t="s">
        <v>1554</v>
      </c>
      <c r="E2950" s="236"/>
      <c r="F2950" s="236"/>
      <c r="G2950" s="236"/>
      <c r="H2950" s="582" t="s">
        <v>1031</v>
      </c>
      <c r="I2950" s="498" t="s">
        <v>2109</v>
      </c>
      <c r="J2950" s="237"/>
      <c r="K2950" s="237"/>
      <c r="L2950" s="274"/>
      <c r="M2950" s="668" t="s">
        <v>4962</v>
      </c>
      <c r="N2950" s="681" t="str">
        <f>IF(AND(ISTEXT($A2950), ISERROR($A2950+0)), HYPERLINK($BF2950, "Images"), "")</f>
        <v>Images</v>
      </c>
      <c r="O2950" s="663" t="s">
        <v>4967</v>
      </c>
      <c r="P2950" s="253"/>
      <c r="Q2950" s="238"/>
      <c r="R2950" s="239"/>
      <c r="S2950" s="275"/>
      <c r="T2950" s="508">
        <f t="shared" si="2248"/>
        <v>0</v>
      </c>
      <c r="U2950" s="225" t="str">
        <f>IF(NOT(ISNUMBER(G2950)), "", VLOOKUP(A2950,'Discount Lookup'!D:E,2,FALSE)*G2950)</f>
        <v/>
      </c>
      <c r="V2950" s="225" t="str">
        <f>IF(NOT(ISNUMBER(G2950)), "", VLOOKUP(A2950,'Discount Lookup'!G:H,2,FALSE)*G2950)</f>
        <v/>
      </c>
      <c r="W2950" s="508">
        <f t="shared" si="2249"/>
        <v>0</v>
      </c>
      <c r="X2950" s="508" t="str">
        <f t="shared" si="2250"/>
        <v>Green foliage</v>
      </c>
      <c r="Y2950" s="509" t="b">
        <f t="shared" si="2251"/>
        <v>0</v>
      </c>
      <c r="Z2950" s="510">
        <f t="shared" si="2252"/>
        <v>0</v>
      </c>
      <c r="AA2950" s="511"/>
      <c r="AB2950" s="511" t="str">
        <f t="shared" si="2253"/>
        <v/>
      </c>
      <c r="AC2950" s="698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698"/>
      <c r="AE2950" s="631" t="str">
        <f t="shared" si="2254"/>
        <v/>
      </c>
      <c r="AF2950" s="699" t="str">
        <f t="shared" si="2255"/>
        <v/>
      </c>
      <c r="AG2950" s="699"/>
      <c r="AH2950" s="699"/>
      <c r="AI2950" s="512">
        <f>IF(H2950="credit",0,IF(AE2950="free",0,IF(AE2950="me",0,IF(G2950&gt;0,(VLOOKUP(A2950,'Discount Lookup'!J:K,2)*G2950),0))))</f>
        <v>0</v>
      </c>
      <c r="AJ2950" s="513" t="str">
        <f t="shared" ca="1" si="2256"/>
        <v/>
      </c>
      <c r="AK2950" s="700" t="str">
        <f t="shared" si="2257"/>
        <v/>
      </c>
      <c r="AL2950" s="700"/>
      <c r="AM2950" s="505" t="str">
        <f t="shared" si="2258"/>
        <v/>
      </c>
      <c r="AN2950" s="506"/>
      <c r="AO2950" s="507"/>
      <c r="AP2950" s="507"/>
      <c r="AQ2950" s="507"/>
      <c r="AR2950" s="507"/>
      <c r="AS2950" s="507"/>
      <c r="AT2950" s="507"/>
      <c r="AU2950" s="507"/>
      <c r="AV2950" s="225"/>
      <c r="AW2950" s="508"/>
      <c r="AX2950" s="225"/>
      <c r="AY2950" s="225"/>
      <c r="AZ2950" s="225"/>
      <c r="BA2950" s="225"/>
      <c r="BB2950" s="225"/>
      <c r="BC2950" s="56"/>
      <c r="BD2950" s="56"/>
      <c r="BE2950" s="56"/>
      <c r="BF2950" s="107" t="str">
        <f t="shared" si="2259"/>
        <v>https://www.google.com/search?tbm=isch&amp;q=Princeton%20Sentry%C2%AE%20Ginkgo%20Ginkgo%20biloba%20%27Princeton%20Sentry%27%20PP%232720Exp.</v>
      </c>
      <c r="BG2950" s="107" t="str">
        <f t="shared" si="2260"/>
        <v>P</v>
      </c>
      <c r="BH2950" s="254"/>
      <c r="BI2950" s="254"/>
    </row>
    <row r="2951" spans="1:61" customFormat="1" ht="15.75" x14ac:dyDescent="0.25">
      <c r="A2951" s="276">
        <v>7</v>
      </c>
      <c r="B2951" s="240" t="s">
        <v>291</v>
      </c>
      <c r="C2951" s="241" t="s">
        <v>1555</v>
      </c>
      <c r="D2951" s="242" t="s">
        <v>312</v>
      </c>
      <c r="E2951" s="243">
        <v>133.94999999999999</v>
      </c>
      <c r="F2951" s="517" t="s">
        <v>293</v>
      </c>
      <c r="G2951" s="232">
        <v>0</v>
      </c>
      <c r="H2951" s="661" t="str">
        <f>IF(G2951=0,"",IF(F2951="Buy",IF(G2951=1,"plant","plants"),IF(F2951&gt;0.01,"warranty","Error")))</f>
        <v/>
      </c>
      <c r="I2951" s="244">
        <f>IF(H2951="free",0,IF(H2951="credit",((E2951*(F2951))*G2951*-1),IF(F2951="Buy",(E2951*G2951),((E2951*(1-F2951))*G2951))))</f>
        <v>0</v>
      </c>
      <c r="J2951" s="244">
        <f>IF(H2951="warranty",0,(I2951*(_xlfn.SINGLE(SalesTaxPercentage))))</f>
        <v>0</v>
      </c>
      <c r="K2951" s="696">
        <f t="shared" ref="K2951" si="2284">I2951+J2951</f>
        <v>0</v>
      </c>
      <c r="L2951" s="696"/>
      <c r="M2951" s="659" t="str">
        <f>IF(AND(G2951&gt;0,E2951=0),"WARNING - no PRICE inserted",IF(H2951="free"," FREE ~ no charge this plant",IF(H2951="credit",CONCATENATE(" -$",ROUND(K2951*(1-T2GDiscount)*-1,2)," CREDIT after discount"),IF(T2GDiscount=0,"",IF(G2951=0,"",IF(F2951="Buy",CONCATENATE(" $",ROUND(K2951*(1-T2GDiscount),2)," with ",(T2GDiscount*100),"% discount"),CONCATENATE(" $",ROUND(K2951*(1-T2GDiscount),2)," with ",((T2GDiscount*100+F2951*100)-(T2GDiscount*100*F2951)),IF(F2951&gt;0,"% discounts",IF(NoWarrantyDiscount&gt;0,"% discounts","% discount")))))))))</f>
        <v/>
      </c>
      <c r="N2951" s="660"/>
      <c r="O2951" s="233"/>
      <c r="P2951" s="233"/>
      <c r="Q2951" s="233"/>
      <c r="R2951" s="233"/>
      <c r="S2951" s="233"/>
      <c r="T2951" s="508">
        <f t="shared" si="2248"/>
        <v>0</v>
      </c>
      <c r="U2951" s="225">
        <f>IF(NOT(ISNUMBER(G2951)), "", VLOOKUP(A2951,'Discount Lookup'!D:E,2,FALSE)*G2951)</f>
        <v>0</v>
      </c>
      <c r="V2951" s="225">
        <f>IF(NOT(ISNUMBER(G2951)), "", VLOOKUP(A2951,'Discount Lookup'!G:H,2,FALSE)*G2951)</f>
        <v>0</v>
      </c>
      <c r="W2951" s="508">
        <f t="shared" si="2249"/>
        <v>0</v>
      </c>
      <c r="X2951" s="508">
        <f t="shared" si="2250"/>
        <v>0</v>
      </c>
      <c r="Y2951" s="509" t="b">
        <f t="shared" si="2251"/>
        <v>0</v>
      </c>
      <c r="Z2951" s="510">
        <f t="shared" si="2252"/>
        <v>0</v>
      </c>
      <c r="AA2951" s="511"/>
      <c r="AB2951" s="511" t="str">
        <f t="shared" si="2253"/>
        <v/>
      </c>
      <c r="AC2951" s="698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698"/>
      <c r="AE2951" s="631" t="str">
        <f t="shared" si="2254"/>
        <v/>
      </c>
      <c r="AF2951" s="699" t="str">
        <f t="shared" si="2255"/>
        <v/>
      </c>
      <c r="AG2951" s="699"/>
      <c r="AH2951" s="699"/>
      <c r="AI2951" s="512">
        <f>IF(H2951="credit",0,IF(AE2951="free",0,IF(AE2951="me",0,IF(G2951&gt;0,(VLOOKUP(A2951,'Discount Lookup'!J:K,2)*G2951),0))))</f>
        <v>0</v>
      </c>
      <c r="AJ2951" s="513" t="str">
        <f t="shared" ca="1" si="2256"/>
        <v/>
      </c>
      <c r="AK2951" s="700" t="str">
        <f t="shared" si="2257"/>
        <v/>
      </c>
      <c r="AL2951" s="700"/>
      <c r="AM2951" s="505" t="str">
        <f t="shared" si="2258"/>
        <v/>
      </c>
      <c r="AN2951" s="506"/>
      <c r="AO2951" s="507"/>
      <c r="AP2951" s="507"/>
      <c r="AQ2951" s="507"/>
      <c r="AR2951" s="507"/>
      <c r="AS2951" s="507"/>
      <c r="AT2951" s="507"/>
      <c r="AU2951" s="507"/>
      <c r="AV2951" s="225"/>
      <c r="AW2951" s="508"/>
      <c r="AX2951" s="225"/>
      <c r="AY2951" s="225"/>
      <c r="AZ2951" s="225"/>
      <c r="BA2951" s="225"/>
      <c r="BB2951" s="225"/>
      <c r="BC2951" s="56"/>
      <c r="BD2951" s="56"/>
      <c r="BE2951" s="56"/>
      <c r="BF2951" s="107" t="str">
        <f t="shared" si="2259"/>
        <v>https://www.google.com/search?tbm=isch&amp;q=7%20G2</v>
      </c>
      <c r="BG2951" s="107" t="str">
        <f t="shared" si="2260"/>
        <v>P</v>
      </c>
      <c r="BH2951" s="254"/>
      <c r="BI2951" s="254"/>
    </row>
    <row r="2952" spans="1:61" customFormat="1" ht="27" x14ac:dyDescent="0.25">
      <c r="A2952" s="276">
        <v>7</v>
      </c>
      <c r="B2952" s="240" t="s">
        <v>291</v>
      </c>
      <c r="C2952" s="241" t="s">
        <v>3702</v>
      </c>
      <c r="D2952" s="242" t="s">
        <v>292</v>
      </c>
      <c r="E2952" s="243">
        <v>155.94999999999999</v>
      </c>
      <c r="F2952" s="517" t="s">
        <v>293</v>
      </c>
      <c r="G2952" s="232">
        <v>0</v>
      </c>
      <c r="H2952" s="661" t="str">
        <f>IF(G2952=0,"",IF(F2952="Buy",IF(G2952=1,"plant","plants"),IF(F2952&gt;0.01,"warranty","Error")))</f>
        <v/>
      </c>
      <c r="I2952" s="244">
        <f>IF(H2952="free",0,IF(H2952="credit",((E2952*(F2952))*G2952*-1),IF(F2952="Buy",(E2952*G2952),((E2952*(1-F2952))*G2952))))</f>
        <v>0</v>
      </c>
      <c r="J2952" s="244">
        <f>IF(H2952="warranty",0,(I2952*(_xlfn.SINGLE(SalesTaxPercentage))))</f>
        <v>0</v>
      </c>
      <c r="K2952" s="696">
        <f t="shared" ref="K2952" si="2285">I2952+J2952</f>
        <v>0</v>
      </c>
      <c r="L2952" s="696"/>
      <c r="M2952" s="659" t="str">
        <f>IF(AND(G2952&gt;0,E2952=0),"WARNING - no PRICE inserted",IF(H2952="free"," FREE ~ no charge this plant",IF(H2952="credit",CONCATENATE(" -$",ROUND(K2952*(1-T2GDiscount)*-1,2)," CREDIT after discount"),IF(T2GDiscount=0,"",IF(G2952=0,"",IF(F2952="Buy",CONCATENATE(" $",ROUND(K2952*(1-T2GDiscount),2)," with ",(T2GDiscount*100),"% discount"),CONCATENATE(" $",ROUND(K2952*(1-T2GDiscount),2)," with ",((T2GDiscount*100+F2952*100)-(T2GDiscount*100*F2952)),IF(F2952&gt;0,"% discounts",IF(NoWarrantyDiscount&gt;0,"% discounts","% discount")))))))))</f>
        <v/>
      </c>
      <c r="N2952" s="660"/>
      <c r="O2952" s="233"/>
      <c r="P2952" s="233"/>
      <c r="Q2952" s="233"/>
      <c r="R2952" s="233"/>
      <c r="S2952" s="233"/>
      <c r="T2952" s="508">
        <f t="shared" si="2248"/>
        <v>0</v>
      </c>
      <c r="U2952" s="225">
        <f>IF(NOT(ISNUMBER(G2952)), "", VLOOKUP(A2952,'Discount Lookup'!D:E,2,FALSE)*G2952)</f>
        <v>0</v>
      </c>
      <c r="V2952" s="225">
        <f>IF(NOT(ISNUMBER(G2952)), "", VLOOKUP(A2952,'Discount Lookup'!G:H,2,FALSE)*G2952)</f>
        <v>0</v>
      </c>
      <c r="W2952" s="508">
        <f t="shared" si="2249"/>
        <v>0</v>
      </c>
      <c r="X2952" s="508">
        <f t="shared" si="2250"/>
        <v>0</v>
      </c>
      <c r="Y2952" s="509" t="b">
        <f t="shared" si="2251"/>
        <v>0</v>
      </c>
      <c r="Z2952" s="510">
        <f t="shared" si="2252"/>
        <v>0</v>
      </c>
      <c r="AA2952" s="511"/>
      <c r="AB2952" s="511" t="str">
        <f t="shared" si="2253"/>
        <v/>
      </c>
      <c r="AC2952" s="698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698"/>
      <c r="AE2952" s="631" t="str">
        <f t="shared" si="2254"/>
        <v/>
      </c>
      <c r="AF2952" s="699" t="str">
        <f t="shared" si="2255"/>
        <v/>
      </c>
      <c r="AG2952" s="699"/>
      <c r="AH2952" s="699"/>
      <c r="AI2952" s="512">
        <f>IF(H2952="credit",0,IF(AE2952="free",0,IF(AE2952="me",0,IF(G2952&gt;0,(VLOOKUP(A2952,'Discount Lookup'!J:K,2)*G2952),0))))</f>
        <v>0</v>
      </c>
      <c r="AJ2952" s="513" t="str">
        <f t="shared" ca="1" si="2256"/>
        <v/>
      </c>
      <c r="AK2952" s="700" t="str">
        <f t="shared" si="2257"/>
        <v/>
      </c>
      <c r="AL2952" s="700"/>
      <c r="AM2952" s="505" t="str">
        <f t="shared" si="2258"/>
        <v/>
      </c>
      <c r="AN2952" s="506"/>
      <c r="AO2952" s="507"/>
      <c r="AP2952" s="507"/>
      <c r="AQ2952" s="507"/>
      <c r="AR2952" s="507"/>
      <c r="AS2952" s="507"/>
      <c r="AT2952" s="507"/>
      <c r="AU2952" s="507"/>
      <c r="AV2952" s="225"/>
      <c r="AW2952" s="508"/>
      <c r="AX2952" s="225"/>
      <c r="AY2952" s="225"/>
      <c r="AZ2952" s="225"/>
      <c r="BA2952" s="225"/>
      <c r="BB2952" s="225"/>
      <c r="BC2952" s="56"/>
      <c r="BD2952" s="56"/>
      <c r="BE2952" s="56"/>
      <c r="BF2952" s="107" t="str">
        <f t="shared" si="2259"/>
        <v>https://www.google.com/search?tbm=isch&amp;q=7%20G4</v>
      </c>
      <c r="BG2952" s="107" t="str">
        <f t="shared" si="2260"/>
        <v>P</v>
      </c>
      <c r="BH2952" s="254"/>
      <c r="BI2952" s="254"/>
    </row>
    <row r="2953" spans="1:61" customFormat="1" ht="15.75" x14ac:dyDescent="0.25">
      <c r="A2953" s="276">
        <v>15</v>
      </c>
      <c r="B2953" s="240" t="s">
        <v>291</v>
      </c>
      <c r="C2953" s="241" t="s">
        <v>3703</v>
      </c>
      <c r="D2953" s="242" t="s">
        <v>292</v>
      </c>
      <c r="E2953" s="243">
        <v>270.95</v>
      </c>
      <c r="F2953" s="517" t="s">
        <v>293</v>
      </c>
      <c r="G2953" s="232">
        <v>0</v>
      </c>
      <c r="H2953" s="661" t="str">
        <f>IF(G2953=0,"",IF(F2953="Buy",IF(G2953=1,"plant","plants"),IF(F2953&gt;0.01,"warranty","Error")))</f>
        <v/>
      </c>
      <c r="I2953" s="244">
        <f>IF(H2953="free",0,IF(H2953="credit",((E2953*(F2953))*G2953*-1),IF(F2953="Buy",(E2953*G2953),((E2953*(1-F2953))*G2953))))</f>
        <v>0</v>
      </c>
      <c r="J2953" s="244">
        <f>IF(H2953="warranty",0,(I2953*(_xlfn.SINGLE(SalesTaxPercentage))))</f>
        <v>0</v>
      </c>
      <c r="K2953" s="696">
        <f t="shared" ref="K2953" si="2286">I2953+J2953</f>
        <v>0</v>
      </c>
      <c r="L2953" s="696"/>
      <c r="M2953" s="659" t="str">
        <f>IF(AND(G2953&gt;0,E2953=0),"WARNING - no PRICE inserted",IF(H2953="free"," FREE ~ no charge this plant",IF(H2953="credit",CONCATENATE(" -$",ROUND(K2953*(1-T2GDiscount)*-1,2)," CREDIT after discount"),IF(T2GDiscount=0,"",IF(G2953=0,"",IF(F2953="Buy",CONCATENATE(" $",ROUND(K2953*(1-T2GDiscount),2)," with ",(T2GDiscount*100),"% discount"),CONCATENATE(" $",ROUND(K2953*(1-T2GDiscount),2)," with ",((T2GDiscount*100+F2953*100)-(T2GDiscount*100*F2953)),IF(F2953&gt;0,"% discounts",IF(NoWarrantyDiscount&gt;0,"% discounts","% discount")))))))))</f>
        <v/>
      </c>
      <c r="N2953" s="660"/>
      <c r="O2953" s="233"/>
      <c r="P2953" s="233"/>
      <c r="Q2953" s="233"/>
      <c r="R2953" s="233"/>
      <c r="S2953" s="233"/>
      <c r="T2953" s="508">
        <f t="shared" si="2248"/>
        <v>0</v>
      </c>
      <c r="U2953" s="225">
        <f>IF(NOT(ISNUMBER(G2953)), "", VLOOKUP(A2953,'Discount Lookup'!D:E,2,FALSE)*G2953)</f>
        <v>0</v>
      </c>
      <c r="V2953" s="225">
        <f>IF(NOT(ISNUMBER(G2953)), "", VLOOKUP(A2953,'Discount Lookup'!G:H,2,FALSE)*G2953)</f>
        <v>0</v>
      </c>
      <c r="W2953" s="508">
        <f t="shared" si="2249"/>
        <v>0</v>
      </c>
      <c r="X2953" s="508">
        <f t="shared" si="2250"/>
        <v>0</v>
      </c>
      <c r="Y2953" s="509" t="b">
        <f t="shared" si="2251"/>
        <v>0</v>
      </c>
      <c r="Z2953" s="510">
        <f t="shared" si="2252"/>
        <v>0</v>
      </c>
      <c r="AA2953" s="511"/>
      <c r="AB2953" s="511" t="str">
        <f t="shared" si="2253"/>
        <v/>
      </c>
      <c r="AC2953" s="698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698"/>
      <c r="AE2953" s="631" t="str">
        <f t="shared" si="2254"/>
        <v/>
      </c>
      <c r="AF2953" s="699" t="str">
        <f t="shared" si="2255"/>
        <v/>
      </c>
      <c r="AG2953" s="699"/>
      <c r="AH2953" s="699"/>
      <c r="AI2953" s="512">
        <f>IF(H2953="credit",0,IF(AE2953="free",0,IF(AE2953="me",0,IF(G2953&gt;0,(VLOOKUP(A2953,'Discount Lookup'!J:K,2)*G2953),0))))</f>
        <v>0</v>
      </c>
      <c r="AJ2953" s="513" t="str">
        <f t="shared" ca="1" si="2256"/>
        <v/>
      </c>
      <c r="AK2953" s="700" t="str">
        <f t="shared" si="2257"/>
        <v/>
      </c>
      <c r="AL2953" s="700"/>
      <c r="AM2953" s="505" t="str">
        <f t="shared" si="2258"/>
        <v/>
      </c>
      <c r="AN2953" s="506"/>
      <c r="AO2953" s="507"/>
      <c r="AP2953" s="507"/>
      <c r="AQ2953" s="507"/>
      <c r="AR2953" s="507"/>
      <c r="AS2953" s="507"/>
      <c r="AT2953" s="507"/>
      <c r="AU2953" s="507"/>
      <c r="AV2953" s="225"/>
      <c r="AW2953" s="508"/>
      <c r="AX2953" s="225"/>
      <c r="AY2953" s="225"/>
      <c r="AZ2953" s="225"/>
      <c r="BA2953" s="225"/>
      <c r="BB2953" s="225"/>
      <c r="BC2953" s="56"/>
      <c r="BD2953" s="56"/>
      <c r="BE2953" s="56"/>
      <c r="BF2953" s="107" t="str">
        <f t="shared" si="2259"/>
        <v>https://www.google.com/search?tbm=isch&amp;q=15%20G4</v>
      </c>
      <c r="BG2953" s="107" t="str">
        <f t="shared" si="2260"/>
        <v>P</v>
      </c>
      <c r="BH2953" s="254"/>
      <c r="BI2953" s="254"/>
    </row>
    <row r="2954" spans="1:61" customFormat="1" ht="15.75" x14ac:dyDescent="0.25">
      <c r="A2954" s="276">
        <v>25</v>
      </c>
      <c r="B2954" s="240" t="s">
        <v>291</v>
      </c>
      <c r="C2954" s="241"/>
      <c r="D2954" s="242" t="s">
        <v>300</v>
      </c>
      <c r="E2954" s="243">
        <v>489.95</v>
      </c>
      <c r="F2954" s="517" t="s">
        <v>293</v>
      </c>
      <c r="G2954" s="232">
        <v>0</v>
      </c>
      <c r="H2954" s="661" t="str">
        <f>IF(G2954=0,"",IF(F2954="Buy",IF(G2954=1,"plant","plants"),IF(F2954&gt;0.01,"warranty","Error")))</f>
        <v/>
      </c>
      <c r="I2954" s="244">
        <f>IF(H2954="free",0,IF(H2954="credit",((E2954*(F2954))*G2954*-1),IF(F2954="Buy",(E2954*G2954),((E2954*(1-F2954))*G2954))))</f>
        <v>0</v>
      </c>
      <c r="J2954" s="244">
        <f>IF(H2954="warranty",0,(I2954*(_xlfn.SINGLE(SalesTaxPercentage))))</f>
        <v>0</v>
      </c>
      <c r="K2954" s="696">
        <f t="shared" ref="K2954" si="2287">I2954+J2954</f>
        <v>0</v>
      </c>
      <c r="L2954" s="696"/>
      <c r="M2954" s="659" t="str">
        <f>IF(AND(G2954&gt;0,E2954=0),"WARNING - no PRICE inserted",IF(H2954="free"," FREE ~ no charge this plant",IF(H2954="credit",CONCATENATE(" -$",ROUND(K2954*(1-T2GDiscount)*-1,2)," CREDIT after discount"),IF(T2GDiscount=0,"",IF(G2954=0,"",IF(F2954="Buy",CONCATENATE(" $",ROUND(K2954*(1-T2GDiscount),2)," with ",(T2GDiscount*100),"% discount"),CONCATENATE(" $",ROUND(K2954*(1-T2GDiscount),2)," with ",((T2GDiscount*100+F2954*100)-(T2GDiscount*100*F2954)),IF(F2954&gt;0,"% discounts",IF(NoWarrantyDiscount&gt;0,"% discounts","% discount")))))))))</f>
        <v/>
      </c>
      <c r="N2954" s="660"/>
      <c r="O2954" s="233"/>
      <c r="P2954" s="233"/>
      <c r="Q2954" s="233"/>
      <c r="R2954" s="233"/>
      <c r="S2954" s="233"/>
      <c r="T2954" s="508">
        <f t="shared" si="2248"/>
        <v>0</v>
      </c>
      <c r="U2954" s="225">
        <f>IF(NOT(ISNUMBER(G2954)), "", VLOOKUP(A2954,'Discount Lookup'!D:E,2,FALSE)*G2954)</f>
        <v>0</v>
      </c>
      <c r="V2954" s="225">
        <f>IF(NOT(ISNUMBER(G2954)), "", VLOOKUP(A2954,'Discount Lookup'!G:H,2,FALSE)*G2954)</f>
        <v>0</v>
      </c>
      <c r="W2954" s="508">
        <f t="shared" si="2249"/>
        <v>0</v>
      </c>
      <c r="X2954" s="508">
        <f t="shared" si="2250"/>
        <v>0</v>
      </c>
      <c r="Y2954" s="509" t="b">
        <f t="shared" si="2251"/>
        <v>0</v>
      </c>
      <c r="Z2954" s="510">
        <f t="shared" si="2252"/>
        <v>0</v>
      </c>
      <c r="AA2954" s="511"/>
      <c r="AB2954" s="511" t="str">
        <f t="shared" si="2253"/>
        <v/>
      </c>
      <c r="AC2954" s="698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698"/>
      <c r="AE2954" s="631" t="str">
        <f t="shared" si="2254"/>
        <v/>
      </c>
      <c r="AF2954" s="699" t="str">
        <f t="shared" si="2255"/>
        <v/>
      </c>
      <c r="AG2954" s="699"/>
      <c r="AH2954" s="699"/>
      <c r="AI2954" s="512">
        <f>IF(H2954="credit",0,IF(AE2954="free",0,IF(AE2954="me",0,IF(G2954&gt;0,(VLOOKUP(A2954,'Discount Lookup'!J:K,2)*G2954),0))))</f>
        <v>0</v>
      </c>
      <c r="AJ2954" s="513" t="str">
        <f t="shared" ca="1" si="2256"/>
        <v/>
      </c>
      <c r="AK2954" s="700" t="str">
        <f t="shared" si="2257"/>
        <v/>
      </c>
      <c r="AL2954" s="700"/>
      <c r="AM2954" s="505" t="str">
        <f t="shared" si="2258"/>
        <v/>
      </c>
      <c r="AN2954" s="506"/>
      <c r="AO2954" s="507"/>
      <c r="AP2954" s="507"/>
      <c r="AQ2954" s="507"/>
      <c r="AR2954" s="507"/>
      <c r="AS2954" s="507"/>
      <c r="AT2954" s="507"/>
      <c r="AU2954" s="507"/>
      <c r="AV2954" s="225"/>
      <c r="AW2954" s="508"/>
      <c r="AX2954" s="225"/>
      <c r="AY2954" s="225"/>
      <c r="AZ2954" s="225"/>
      <c r="BA2954" s="225"/>
      <c r="BB2954" s="225"/>
      <c r="BC2954" s="56"/>
      <c r="BD2954" s="56"/>
      <c r="BE2954" s="56"/>
      <c r="BF2954" s="107" t="str">
        <f t="shared" si="2259"/>
        <v>https://www.google.com/search?tbm=isch&amp;q=25%20G6</v>
      </c>
      <c r="BG2954" s="107" t="str">
        <f t="shared" si="2260"/>
        <v>P</v>
      </c>
      <c r="BH2954" s="254"/>
      <c r="BI2954" s="254"/>
    </row>
    <row r="2955" spans="1:61" customFormat="1" ht="17.25" thickBot="1" x14ac:dyDescent="0.3">
      <c r="A2955" s="524" t="s">
        <v>2454</v>
      </c>
      <c r="B2955" s="245"/>
      <c r="C2955" s="677"/>
      <c r="D2955" s="499"/>
      <c r="E2955" s="499"/>
      <c r="F2955" s="500"/>
      <c r="G2955" s="501"/>
      <c r="H2955" s="502"/>
      <c r="I2955" s="246"/>
      <c r="J2955" s="247"/>
      <c r="K2955" s="503"/>
      <c r="L2955" s="544"/>
      <c r="M2955" s="544"/>
      <c r="N2955" s="500"/>
      <c r="O2955" s="500"/>
      <c r="P2955" s="500"/>
      <c r="Q2955" s="500"/>
      <c r="R2955" s="500"/>
      <c r="S2955" s="278"/>
      <c r="T2955" s="508">
        <f t="shared" si="2248"/>
        <v>0</v>
      </c>
      <c r="U2955" s="225" t="str">
        <f>IF(NOT(ISNUMBER(G2955)), "", VLOOKUP(A2955,'Discount Lookup'!D:E,2,FALSE)*G2955)</f>
        <v/>
      </c>
      <c r="V2955" s="225" t="str">
        <f>IF(NOT(ISNUMBER(G2955)), "", VLOOKUP(A2955,'Discount Lookup'!G:H,2,FALSE)*G2955)</f>
        <v/>
      </c>
      <c r="W2955" s="508">
        <f t="shared" si="2249"/>
        <v>0</v>
      </c>
      <c r="X2955" s="508">
        <f t="shared" si="2250"/>
        <v>0</v>
      </c>
      <c r="Y2955" s="509" t="b">
        <f t="shared" si="2251"/>
        <v>0</v>
      </c>
      <c r="Z2955" s="510">
        <f t="shared" si="2252"/>
        <v>0</v>
      </c>
      <c r="AA2955" s="511"/>
      <c r="AB2955" s="511" t="str">
        <f t="shared" si="2253"/>
        <v/>
      </c>
      <c r="AC2955" s="698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698"/>
      <c r="AE2955" s="631" t="str">
        <f t="shared" si="2254"/>
        <v/>
      </c>
      <c r="AF2955" s="699" t="str">
        <f t="shared" si="2255"/>
        <v/>
      </c>
      <c r="AG2955" s="699"/>
      <c r="AH2955" s="699"/>
      <c r="AI2955" s="512">
        <f>IF(H2955="credit",0,IF(AE2955="free",0,IF(AE2955="me",0,IF(G2955&gt;0,(VLOOKUP(A2955,'Discount Lookup'!J:K,2)*G2955),0))))</f>
        <v>0</v>
      </c>
      <c r="AJ2955" s="513" t="str">
        <f t="shared" ca="1" si="2256"/>
        <v/>
      </c>
      <c r="AK2955" s="700" t="str">
        <f t="shared" si="2257"/>
        <v/>
      </c>
      <c r="AL2955" s="700"/>
      <c r="AM2955" s="505" t="str">
        <f t="shared" si="2258"/>
        <v/>
      </c>
      <c r="AN2955" s="506"/>
      <c r="AO2955" s="507"/>
      <c r="AP2955" s="507"/>
      <c r="AQ2955" s="507"/>
      <c r="AR2955" s="507"/>
      <c r="AS2955" s="507"/>
      <c r="AT2955" s="507"/>
      <c r="AU2955" s="507"/>
      <c r="AV2955" s="225"/>
      <c r="AW2955" s="508"/>
      <c r="AX2955" s="225"/>
      <c r="AY2955" s="225"/>
      <c r="AZ2955" s="225"/>
      <c r="BA2955" s="225"/>
      <c r="BB2955" s="225"/>
      <c r="BC2955" s="56"/>
      <c r="BD2955" s="56"/>
      <c r="BE2955" s="56"/>
      <c r="BF2955" s="107" t="str">
        <f t="shared" si="2259"/>
        <v>https://www.google.com/search?tbm=isch&amp;q=Princeton%20Sentry%20are%20all%20male%20%28less%20mess%2C%20not%20stiky%29.%20Named%20for%20columnar%20growth.%20Fan-shaped%20leaves%20turn%20vibrant%20Yellow%20in%20fall%20</v>
      </c>
      <c r="BG2955" s="107" t="str">
        <f t="shared" si="2260"/>
        <v>P</v>
      </c>
      <c r="BH2955" s="254"/>
      <c r="BI2955" s="254"/>
    </row>
    <row r="2956" spans="1:61" customFormat="1" ht="18" x14ac:dyDescent="0.25">
      <c r="A2956" s="521" t="s">
        <v>5504</v>
      </c>
      <c r="B2956" s="477"/>
      <c r="C2956" s="674"/>
      <c r="D2956" s="478" t="s">
        <v>1556</v>
      </c>
      <c r="E2956" s="479"/>
      <c r="F2956" s="479"/>
      <c r="G2956" s="479"/>
      <c r="H2956" s="582" t="s">
        <v>342</v>
      </c>
      <c r="I2956" s="480" t="s">
        <v>2106</v>
      </c>
      <c r="J2956" s="479"/>
      <c r="K2956" s="479"/>
      <c r="L2956" s="560"/>
      <c r="M2956" s="666" t="s">
        <v>4966</v>
      </c>
      <c r="N2956" s="680" t="str">
        <f>IF(AND(ISTEXT($A2956), ISERROR($A2956+0)), HYPERLINK($BF2956, "Images"), "")</f>
        <v>Images</v>
      </c>
      <c r="O2956" s="662" t="s">
        <v>4974</v>
      </c>
      <c r="P2956" s="482"/>
      <c r="Q2956" s="483"/>
      <c r="R2956" s="483"/>
      <c r="S2956" s="484"/>
      <c r="T2956" s="508">
        <f t="shared" si="2248"/>
        <v>0</v>
      </c>
      <c r="U2956" s="225" t="str">
        <f>IF(NOT(ISNUMBER(G2956)), "", VLOOKUP(A2956,'Discount Lookup'!D:E,2,FALSE)*G2956)</f>
        <v/>
      </c>
      <c r="V2956" s="225" t="str">
        <f>IF(NOT(ISNUMBER(G2956)), "", VLOOKUP(A2956,'Discount Lookup'!G:H,2,FALSE)*G2956)</f>
        <v/>
      </c>
      <c r="W2956" s="508">
        <f t="shared" si="2249"/>
        <v>0</v>
      </c>
      <c r="X2956" s="508" t="str">
        <f t="shared" si="2250"/>
        <v>Bright Green foliage</v>
      </c>
      <c r="Y2956" s="509" t="b">
        <f t="shared" si="2251"/>
        <v>0</v>
      </c>
      <c r="Z2956" s="510">
        <f t="shared" si="2252"/>
        <v>0</v>
      </c>
      <c r="AA2956" s="511"/>
      <c r="AB2956" s="511" t="str">
        <f t="shared" si="2253"/>
        <v/>
      </c>
      <c r="AC2956" s="698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698"/>
      <c r="AE2956" s="631" t="str">
        <f t="shared" si="2254"/>
        <v/>
      </c>
      <c r="AF2956" s="699" t="str">
        <f t="shared" si="2255"/>
        <v/>
      </c>
      <c r="AG2956" s="699"/>
      <c r="AH2956" s="699"/>
      <c r="AI2956" s="512">
        <f>IF(H2956="credit",0,IF(AE2956="free",0,IF(AE2956="me",0,IF(G2956&gt;0,(VLOOKUP(A2956,'Discount Lookup'!J:K,2)*G2956),0))))</f>
        <v>0</v>
      </c>
      <c r="AJ2956" s="513" t="str">
        <f t="shared" ca="1" si="2256"/>
        <v/>
      </c>
      <c r="AK2956" s="700" t="str">
        <f t="shared" si="2257"/>
        <v/>
      </c>
      <c r="AL2956" s="700"/>
      <c r="AM2956" s="505" t="str">
        <f t="shared" si="2258"/>
        <v/>
      </c>
      <c r="AN2956" s="506"/>
      <c r="AO2956" s="507"/>
      <c r="AP2956" s="507"/>
      <c r="AQ2956" s="507"/>
      <c r="AR2956" s="507"/>
      <c r="AS2956" s="507"/>
      <c r="AT2956" s="507"/>
      <c r="AU2956" s="507"/>
      <c r="AV2956" s="225"/>
      <c r="AW2956" s="508"/>
      <c r="AX2956" s="225"/>
      <c r="AY2956" s="225"/>
      <c r="AZ2956" s="225"/>
      <c r="BA2956" s="225"/>
      <c r="BB2956" s="225"/>
      <c r="BC2956" s="56"/>
      <c r="BD2956" s="56"/>
      <c r="BE2956" s="56"/>
      <c r="BF2956" s="107" t="str">
        <f t="shared" si="2259"/>
        <v>https://www.google.com/search?tbm=isch&amp;q=Private%20Jet%E2%84%A2%20Arborvitae%20Thuja%20occidentalis%20%27King%20of%20Brabant%27%20PP%2329678</v>
      </c>
      <c r="BG2956" s="107" t="str">
        <f t="shared" si="2260"/>
        <v>P</v>
      </c>
      <c r="BH2956" s="254"/>
      <c r="BI2956" s="254"/>
    </row>
    <row r="2957" spans="1:61" customFormat="1" ht="15.75" x14ac:dyDescent="0.25">
      <c r="A2957" s="485">
        <v>1</v>
      </c>
      <c r="B2957" s="486" t="s">
        <v>291</v>
      </c>
      <c r="C2957" s="487" t="s">
        <v>334</v>
      </c>
      <c r="D2957" s="488" t="s">
        <v>312</v>
      </c>
      <c r="E2957" s="489">
        <v>29.95</v>
      </c>
      <c r="F2957" s="516" t="s">
        <v>293</v>
      </c>
      <c r="G2957" s="232">
        <v>0</v>
      </c>
      <c r="H2957" s="658" t="str">
        <f>IF(G2957=0,"",IF(F2957="Buy",IF(G2957=1,"plant","plants"),IF(F2957&gt;0.01,"warranty","Error")))</f>
        <v/>
      </c>
      <c r="I2957" s="490">
        <f>IF(H2957="free",0,IF(H2957="credit",((E2957*(F2957))*G2957*-1),IF(F2957="Buy",(E2957*G2957),((E2957*(1-F2957))*G2957))))</f>
        <v>0</v>
      </c>
      <c r="J2957" s="490">
        <f>IF(H2957="warranty",0,(I2957*(_xlfn.SINGLE(SalesTaxPercentage))))</f>
        <v>0</v>
      </c>
      <c r="K2957" s="695">
        <f t="shared" ref="K2957" si="2288">I2957+J2957</f>
        <v>0</v>
      </c>
      <c r="L2957" s="695"/>
      <c r="M2957" s="659" t="str">
        <f>IF(AND(G2957&gt;0,E2957=0),"WARNING - no PRICE inserted",IF(H2957="free"," FREE ~ no charge this plant",IF(H2957="credit",CONCATENATE(" -$",ROUND(K2957*(1-T2GDiscount)*-1,2)," CREDIT after discount"),IF(T2GDiscount=0,"",IF(G2957=0,"",IF(F2957="Buy",CONCATENATE(" $",ROUND(K2957*(1-T2GDiscount),2)," with ",(T2GDiscount*100),"% discount"),CONCATENATE(" $",ROUND(K2957*(1-T2GDiscount),2)," with ",((T2GDiscount*100+F2957*100)-(T2GDiscount*100*F2957)),IF(F2957&gt;0,"% discounts",IF(NoWarrantyDiscount&gt;0,"% discounts","% discount")))))))))</f>
        <v/>
      </c>
      <c r="N2957" s="660"/>
      <c r="O2957" s="233"/>
      <c r="P2957" s="233"/>
      <c r="Q2957" s="233"/>
      <c r="R2957" s="233"/>
      <c r="S2957" s="233"/>
      <c r="T2957" s="508">
        <f t="shared" si="2248"/>
        <v>0</v>
      </c>
      <c r="U2957" s="225">
        <f>IF(NOT(ISNUMBER(G2957)), "", VLOOKUP(A2957,'Discount Lookup'!D:E,2,FALSE)*G2957)</f>
        <v>0</v>
      </c>
      <c r="V2957" s="225">
        <f>IF(NOT(ISNUMBER(G2957)), "", VLOOKUP(A2957,'Discount Lookup'!G:H,2,FALSE)*G2957)</f>
        <v>0</v>
      </c>
      <c r="W2957" s="508">
        <f t="shared" si="2249"/>
        <v>0</v>
      </c>
      <c r="X2957" s="508">
        <f t="shared" si="2250"/>
        <v>0</v>
      </c>
      <c r="Y2957" s="509" t="b">
        <f t="shared" si="2251"/>
        <v>0</v>
      </c>
      <c r="Z2957" s="510">
        <f t="shared" si="2252"/>
        <v>0</v>
      </c>
      <c r="AA2957" s="511"/>
      <c r="AB2957" s="511" t="str">
        <f t="shared" si="2253"/>
        <v/>
      </c>
      <c r="AC2957" s="698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698"/>
      <c r="AE2957" s="631" t="str">
        <f t="shared" si="2254"/>
        <v/>
      </c>
      <c r="AF2957" s="699" t="str">
        <f t="shared" si="2255"/>
        <v/>
      </c>
      <c r="AG2957" s="699"/>
      <c r="AH2957" s="699"/>
      <c r="AI2957" s="512">
        <f>IF(H2957="credit",0,IF(AE2957="free",0,IF(AE2957="me",0,IF(G2957&gt;0,(VLOOKUP(A2957,'Discount Lookup'!J:K,2)*G2957),0))))</f>
        <v>0</v>
      </c>
      <c r="AJ2957" s="513" t="str">
        <f t="shared" ca="1" si="2256"/>
        <v/>
      </c>
      <c r="AK2957" s="700" t="str">
        <f t="shared" si="2257"/>
        <v/>
      </c>
      <c r="AL2957" s="700"/>
      <c r="AM2957" s="505" t="str">
        <f t="shared" si="2258"/>
        <v/>
      </c>
      <c r="AN2957" s="506"/>
      <c r="AO2957" s="507"/>
      <c r="AP2957" s="507"/>
      <c r="AQ2957" s="507"/>
      <c r="AR2957" s="507"/>
      <c r="AS2957" s="507"/>
      <c r="AT2957" s="507"/>
      <c r="AU2957" s="507"/>
      <c r="AV2957" s="225"/>
      <c r="AW2957" s="508"/>
      <c r="AX2957" s="225"/>
      <c r="AY2957" s="225"/>
      <c r="AZ2957" s="225"/>
      <c r="BA2957" s="225"/>
      <c r="BB2957" s="225"/>
      <c r="BC2957" s="56"/>
      <c r="BD2957" s="56"/>
      <c r="BE2957" s="56"/>
      <c r="BF2957" s="107" t="str">
        <f t="shared" si="2259"/>
        <v>https://www.google.com/search?tbm=isch&amp;q=1%20G2</v>
      </c>
      <c r="BG2957" s="107" t="str">
        <f t="shared" si="2260"/>
        <v>P</v>
      </c>
      <c r="BH2957" s="254"/>
      <c r="BI2957" s="254"/>
    </row>
    <row r="2958" spans="1:61" customFormat="1" ht="17.25" thickBot="1" x14ac:dyDescent="0.3">
      <c r="A2958" s="522" t="s">
        <v>4150</v>
      </c>
      <c r="B2958" s="491"/>
      <c r="C2958" s="675"/>
      <c r="D2958" s="491"/>
      <c r="E2958" s="491"/>
      <c r="F2958" s="492"/>
      <c r="G2958" s="493"/>
      <c r="H2958" s="491"/>
      <c r="I2958" s="234"/>
      <c r="J2958" s="234"/>
      <c r="K2958" s="494"/>
      <c r="L2958" s="543"/>
      <c r="M2958" s="561"/>
      <c r="N2958" s="495"/>
      <c r="O2958" s="496"/>
      <c r="P2958" s="497"/>
      <c r="Q2958" s="495"/>
      <c r="R2958" s="495"/>
      <c r="S2958" s="667" t="s">
        <v>4984</v>
      </c>
      <c r="T2958" s="508">
        <f t="shared" ref="T2958:T3021" si="2289">E2958*G2958</f>
        <v>0</v>
      </c>
      <c r="U2958" s="225" t="str">
        <f>IF(NOT(ISNUMBER(G2958)), "", VLOOKUP(A2958,'Discount Lookup'!D:E,2,FALSE)*G2958)</f>
        <v/>
      </c>
      <c r="V2958" s="225" t="str">
        <f>IF(NOT(ISNUMBER(G2958)), "", VLOOKUP(A2958,'Discount Lookup'!G:H,2,FALSE)*G2958)</f>
        <v/>
      </c>
      <c r="W2958" s="508">
        <f t="shared" ref="W2958:W3021" si="2290">IF(H2958="credit",0,E2958*(SalesTaxPercentage)*G2958)</f>
        <v>0</v>
      </c>
      <c r="X2958" s="508">
        <f t="shared" ref="X2958:X3021" si="2291">I2958</f>
        <v>0</v>
      </c>
      <c r="Y2958" s="509" t="b">
        <f t="shared" ref="Y2958:Y3021" si="2292">IF(AE2958="T2G",0,IF(H2958="credit",0,IF(G2958&gt;0,IF(AE2958="me","",G2958))))</f>
        <v>0</v>
      </c>
      <c r="Z2958" s="510">
        <f t="shared" ref="Z2958:Z3021" si="2293">IF(H2958="credit",G2958,0)</f>
        <v>0</v>
      </c>
      <c r="AA2958" s="511"/>
      <c r="AB2958" s="511" t="str">
        <f t="shared" ref="AB2958:AB3021" si="2294">IF(AE2958="T2G","by Trees2Go",IF(H2958="credit","CREDIT only ~",IF(AND(K2958="",AE2958=OR(PlanterYesMe="No",PlanterYesMe="N",PlanterYesMe="me")),"not THIS line⇨",IF(AND(K2958="images",AE2958="me"),"not THIS line⇨",IF(H2958="credit","",IF(G2958=0,"",IF(AE2958="me","",IF(OR(PlanterYesMe="No",PlanterYesMe="N",PlanterYesMe="me"),"",IF(AE2958="free","warranty",IF(OR(PlanterYesMe="yes",PlanterYesMe="y"),"Edison install:","to install:"))))))))))</f>
        <v/>
      </c>
      <c r="AC2958" s="698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698"/>
      <c r="AE2958" s="631" t="str">
        <f t="shared" ref="AE2958:AE3021" si="2295">IF(H2958="credit","",IF(G2958=0,"",IF(OR(PlanterYesMe="No",PlanterYesMe="N",PlanterYesMe="me"),"me",IF(H2958="warranty","free",IF(OR(PlanterYesMe="yes",PlanterYesMe="y"),"ELP","")))))</f>
        <v/>
      </c>
      <c r="AF2958" s="699" t="str">
        <f t="shared" ref="AF2958:AF3021" si="2296">IF(OR(PlanterYesMe="No",PlanterYesMe="N",PlanterYesMe="me"),"",IF(H2958="credit","",IF(G2958&gt;0,(CONCATENATE((G2958)," quantity, ",(A2958)," ",B2958)),"")))</f>
        <v/>
      </c>
      <c r="AG2958" s="699"/>
      <c r="AH2958" s="699"/>
      <c r="AI2958" s="512">
        <f>IF(H2958="credit",0,IF(AE2958="free",0,IF(AE2958="me",0,IF(G2958&gt;0,(VLOOKUP(A2958,'Discount Lookup'!J:K,2)*G2958),0))))</f>
        <v>0</v>
      </c>
      <c r="AJ2958" s="513" t="str">
        <f t="shared" ref="AJ2958:AJ3021" ca="1" si="2297">IF(AND(ISREF(H2958),H2958="credit"),"",IF(AND(AND(OFFSET(G2958,0,0)=0,OFFSET(G2958,1,0)&gt;0,ISNUMBER(OFFSET(AC2958,1,0)),OFFSET(AC2958,1,0)&gt;0),OR(PlanterYesMe="yes",PlanterYesMe="y")),"T2G+ELP=",IF(AND(OFFSET(G2958,0,0)=0,OFFSET(G2958,1,0)&gt;0,ISNUMBER(OFFSET(AC2958,1,0)),OFFSET(AC2958,1,0)&gt;0),"if T2G+ELP=",IF(AND(OFFSET(G2958,0,0)=0,OFFSET(G2958,1,0)&gt;0),"T2G Subtotal",IF(H2958="credit","",IF(G2958=0,"",IF(AE2958="free",(K2958*(1-T2GDiscount)),IF(OR(PlanterYesMe="No",PlanterYesMe="N",PlanterYesMe="me"),(K2958*(1-T2GDiscount)),IF(OR(AE2958="me",AE2958="T2G"),(K2958*(1-T2GDiscount)),(K2958*(1-T2GDiscount))+AC2958)))))))))</f>
        <v/>
      </c>
      <c r="AK2958" s="700" t="str">
        <f t="shared" ref="AK2958:AK3021" si="2298">IF(H2958="credit","",IF(G2958=0,"",IF(OR(AE2958="me",AE2958="T2G"),"  delivery-only",IF(OR(PlanterYesMe="No",PlanterYesMe="N",PlanterYesMe="me"),"  delivery-only",CONCATENATE(" $",ROUND(AJ2958/G2958,2)," each")))))</f>
        <v/>
      </c>
      <c r="AL2958" s="700"/>
      <c r="AM2958" s="505" t="str">
        <f t="shared" ref="AM2958:AM3021" si="2299">IF(H2958="credit","",IF(AE2958="free","      ~ discounts included, no tax or planting fee applies ~",IF(G2958=0,"",IF(OR(PlanterYesMe="No",PlanterYesMe="N",PlanterYesMe="me"),CONCATENATE(" $",ROUND(AJ2958/G2958,2)," per plant, with tax &amp; discount"),IF(OR(AE2958="me",AE2958="T2G"),CONCATENATE(" $",ROUND(AJ2958/G2958,2)," per plant, with tax &amp; discount"),CONCATENATE("= $",ROUND((K2958*(1-T2GDiscount))/G2958,2)," per plant + $",AC2958/G2958,(" per planting      ~ includes tax &amp; discounts ~")))))))</f>
        <v/>
      </c>
      <c r="AN2958" s="506"/>
      <c r="AO2958" s="507"/>
      <c r="AP2958" s="507"/>
      <c r="AQ2958" s="507"/>
      <c r="AR2958" s="507"/>
      <c r="AS2958" s="507"/>
      <c r="AT2958" s="507"/>
      <c r="AU2958" s="507"/>
      <c r="AV2958" s="225"/>
      <c r="AW2958" s="508"/>
      <c r="AX2958" s="225"/>
      <c r="AY2958" s="225"/>
      <c r="AZ2958" s="225"/>
      <c r="BA2958" s="225"/>
      <c r="BB2958" s="225"/>
      <c r="BC2958" s="56"/>
      <c r="BD2958" s="56"/>
      <c r="BE2958" s="56"/>
      <c r="BF2958" s="107" t="str">
        <f t="shared" ref="BF2958:BF3021" si="2300">"https://www.google.com/search?tbm=isch&amp;q=" &amp; _xlfn.ENCODEURL($A2958 &amp; " " &amp; $D2958)</f>
        <v>https://www.google.com/search?tbm=isch&amp;q=Private%20Jet%20grows%20fast%2C%20stays%20tight%20and%20narrow%2C%20has%20improved%20winter%20color%2C%20and%20resists%20disease%20better%20</v>
      </c>
      <c r="BG2958" s="107" t="str">
        <f t="shared" ref="BG2958:BG3021" si="2301">IF(ISTEXT(A2958),LEFT(A2958,1),BG2957)</f>
        <v>P</v>
      </c>
      <c r="BH2958" s="254"/>
      <c r="BI2958" s="254"/>
    </row>
    <row r="2959" spans="1:61" customFormat="1" ht="18" x14ac:dyDescent="0.25">
      <c r="A2959" s="521" t="s">
        <v>1557</v>
      </c>
      <c r="B2959" s="477"/>
      <c r="C2959" s="674"/>
      <c r="D2959" s="478" t="s">
        <v>1558</v>
      </c>
      <c r="E2959" s="479"/>
      <c r="F2959" s="479"/>
      <c r="G2959" s="479"/>
      <c r="H2959" s="582" t="s">
        <v>463</v>
      </c>
      <c r="I2959" s="480" t="s">
        <v>2231</v>
      </c>
      <c r="J2959" s="479"/>
      <c r="K2959" s="479"/>
      <c r="L2959" s="560"/>
      <c r="M2959" s="671" t="s">
        <v>4990</v>
      </c>
      <c r="N2959" s="680" t="str">
        <f>IF(AND(ISTEXT($A2959), ISERROR($A2959+0)), HYPERLINK($BF2959, "Images"), "")</f>
        <v>Images</v>
      </c>
      <c r="O2959" s="662" t="s">
        <v>4967</v>
      </c>
      <c r="P2959" s="482"/>
      <c r="Q2959" s="483"/>
      <c r="R2959" s="483"/>
      <c r="S2959" s="484"/>
      <c r="T2959" s="508">
        <f t="shared" si="2289"/>
        <v>0</v>
      </c>
      <c r="U2959" s="225" t="str">
        <f>IF(NOT(ISNUMBER(G2959)), "", VLOOKUP(A2959,'Discount Lookup'!D:E,2,FALSE)*G2959)</f>
        <v/>
      </c>
      <c r="V2959" s="225" t="str">
        <f>IF(NOT(ISNUMBER(G2959)), "", VLOOKUP(A2959,'Discount Lookup'!G:H,2,FALSE)*G2959)</f>
        <v/>
      </c>
      <c r="W2959" s="508">
        <f t="shared" si="2290"/>
        <v>0</v>
      </c>
      <c r="X2959" s="508" t="str">
        <f t="shared" si="2291"/>
        <v>Crimson-Red bloom</v>
      </c>
      <c r="Y2959" s="509" t="b">
        <f t="shared" si="2292"/>
        <v>0</v>
      </c>
      <c r="Z2959" s="510">
        <f t="shared" si="2293"/>
        <v>0</v>
      </c>
      <c r="AA2959" s="511"/>
      <c r="AB2959" s="511" t="str">
        <f t="shared" si="2294"/>
        <v/>
      </c>
      <c r="AC2959" s="698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698"/>
      <c r="AE2959" s="631" t="str">
        <f t="shared" si="2295"/>
        <v/>
      </c>
      <c r="AF2959" s="699" t="str">
        <f t="shared" si="2296"/>
        <v/>
      </c>
      <c r="AG2959" s="699"/>
      <c r="AH2959" s="699"/>
      <c r="AI2959" s="512">
        <f>IF(H2959="credit",0,IF(AE2959="free",0,IF(AE2959="me",0,IF(G2959&gt;0,(VLOOKUP(A2959,'Discount Lookup'!J:K,2)*G2959),0))))</f>
        <v>0</v>
      </c>
      <c r="AJ2959" s="513" t="str">
        <f t="shared" ca="1" si="2297"/>
        <v/>
      </c>
      <c r="AK2959" s="700" t="str">
        <f t="shared" si="2298"/>
        <v/>
      </c>
      <c r="AL2959" s="700"/>
      <c r="AM2959" s="505" t="str">
        <f t="shared" si="2299"/>
        <v/>
      </c>
      <c r="AN2959" s="506"/>
      <c r="AO2959" s="507"/>
      <c r="AP2959" s="507"/>
      <c r="AQ2959" s="507"/>
      <c r="AR2959" s="507"/>
      <c r="AS2959" s="507"/>
      <c r="AT2959" s="507"/>
      <c r="AU2959" s="507"/>
      <c r="AV2959" s="225"/>
      <c r="AW2959" s="508"/>
      <c r="AX2959" s="225"/>
      <c r="AY2959" s="225"/>
      <c r="AZ2959" s="225"/>
      <c r="BA2959" s="225"/>
      <c r="BB2959" s="225"/>
      <c r="BC2959" s="56"/>
      <c r="BD2959" s="56"/>
      <c r="BE2959" s="56"/>
      <c r="BF2959" s="107" t="str">
        <f t="shared" si="2300"/>
        <v>https://www.google.com/search?tbm=isch&amp;q=Professor%20Sargent%20Camellia%20Camellia%20japonica%20%27Professor%20Sargent%27</v>
      </c>
      <c r="BG2959" s="107" t="str">
        <f t="shared" si="2301"/>
        <v>P</v>
      </c>
      <c r="BH2959" s="254"/>
      <c r="BI2959" s="254"/>
    </row>
    <row r="2960" spans="1:61" customFormat="1" ht="15.75" x14ac:dyDescent="0.25">
      <c r="A2960" s="485">
        <v>7</v>
      </c>
      <c r="B2960" s="486" t="s">
        <v>291</v>
      </c>
      <c r="C2960" s="487" t="s">
        <v>4801</v>
      </c>
      <c r="D2960" s="488" t="s">
        <v>292</v>
      </c>
      <c r="E2960" s="489">
        <v>104.95</v>
      </c>
      <c r="F2960" s="516" t="s">
        <v>293</v>
      </c>
      <c r="G2960" s="232">
        <v>0</v>
      </c>
      <c r="H2960" s="658" t="str">
        <f>IF(G2960=0,"",IF(F2960="Buy",IF(G2960=1,"plant","plants"),IF(F2960&gt;0.01,"warranty","Error")))</f>
        <v/>
      </c>
      <c r="I2960" s="490">
        <f>IF(H2960="free",0,IF(H2960="credit",((E2960*(F2960))*G2960*-1),IF(F2960="Buy",(E2960*G2960),((E2960*(1-F2960))*G2960))))</f>
        <v>0</v>
      </c>
      <c r="J2960" s="490">
        <f>IF(H2960="warranty",0,(I2960*(_xlfn.SINGLE(SalesTaxPercentage))))</f>
        <v>0</v>
      </c>
      <c r="K2960" s="695">
        <f t="shared" ref="K2960" si="2302">I2960+J2960</f>
        <v>0</v>
      </c>
      <c r="L2960" s="695"/>
      <c r="M2960" s="659" t="str">
        <f>IF(AND(G2960&gt;0,E2960=0),"WARNING - no PRICE inserted",IF(H2960="free"," FREE ~ no charge this plant",IF(H2960="credit",CONCATENATE(" -$",ROUND(K2960*(1-T2GDiscount)*-1,2)," CREDIT after discount"),IF(T2GDiscount=0,"",IF(G2960=0,"",IF(F2960="Buy",CONCATENATE(" $",ROUND(K2960*(1-T2GDiscount),2)," with ",(T2GDiscount*100),"% discount"),CONCATENATE(" $",ROUND(K2960*(1-T2GDiscount),2)," with ",((T2GDiscount*100+F2960*100)-(T2GDiscount*100*F2960)),IF(F2960&gt;0,"% discounts",IF(NoWarrantyDiscount&gt;0,"% discounts","% discount")))))))))</f>
        <v/>
      </c>
      <c r="N2960" s="660"/>
      <c r="O2960" s="233"/>
      <c r="P2960" s="233"/>
      <c r="Q2960" s="233"/>
      <c r="R2960" s="233"/>
      <c r="S2960" s="233"/>
      <c r="T2960" s="508">
        <f t="shared" si="2289"/>
        <v>0</v>
      </c>
      <c r="U2960" s="225">
        <f>IF(NOT(ISNUMBER(G2960)), "", VLOOKUP(A2960,'Discount Lookup'!D:E,2,FALSE)*G2960)</f>
        <v>0</v>
      </c>
      <c r="V2960" s="225">
        <f>IF(NOT(ISNUMBER(G2960)), "", VLOOKUP(A2960,'Discount Lookup'!G:H,2,FALSE)*G2960)</f>
        <v>0</v>
      </c>
      <c r="W2960" s="508">
        <f t="shared" si="2290"/>
        <v>0</v>
      </c>
      <c r="X2960" s="508">
        <f t="shared" si="2291"/>
        <v>0</v>
      </c>
      <c r="Y2960" s="509" t="b">
        <f t="shared" si="2292"/>
        <v>0</v>
      </c>
      <c r="Z2960" s="510">
        <f t="shared" si="2293"/>
        <v>0</v>
      </c>
      <c r="AA2960" s="511"/>
      <c r="AB2960" s="511" t="str">
        <f t="shared" si="2294"/>
        <v/>
      </c>
      <c r="AC2960" s="698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698"/>
      <c r="AE2960" s="631" t="str">
        <f t="shared" si="2295"/>
        <v/>
      </c>
      <c r="AF2960" s="699" t="str">
        <f t="shared" si="2296"/>
        <v/>
      </c>
      <c r="AG2960" s="699"/>
      <c r="AH2960" s="699"/>
      <c r="AI2960" s="512">
        <f>IF(H2960="credit",0,IF(AE2960="free",0,IF(AE2960="me",0,IF(G2960&gt;0,(VLOOKUP(A2960,'Discount Lookup'!J:K,2)*G2960),0))))</f>
        <v>0</v>
      </c>
      <c r="AJ2960" s="513" t="str">
        <f t="shared" ca="1" si="2297"/>
        <v/>
      </c>
      <c r="AK2960" s="700" t="str">
        <f t="shared" si="2298"/>
        <v/>
      </c>
      <c r="AL2960" s="700"/>
      <c r="AM2960" s="505" t="str">
        <f t="shared" si="2299"/>
        <v/>
      </c>
      <c r="AN2960" s="506"/>
      <c r="AO2960" s="507"/>
      <c r="AP2960" s="507"/>
      <c r="AQ2960" s="507"/>
      <c r="AR2960" s="507"/>
      <c r="AS2960" s="507"/>
      <c r="AT2960" s="507"/>
      <c r="AU2960" s="507"/>
      <c r="AV2960" s="225"/>
      <c r="AW2960" s="508"/>
      <c r="AX2960" s="225"/>
      <c r="AY2960" s="225"/>
      <c r="AZ2960" s="225"/>
      <c r="BA2960" s="225"/>
      <c r="BB2960" s="225"/>
      <c r="BC2960" s="56"/>
      <c r="BD2960" s="56"/>
      <c r="BE2960" s="56"/>
      <c r="BF2960" s="107" t="str">
        <f t="shared" si="2300"/>
        <v>https://www.google.com/search?tbm=isch&amp;q=7%20G4</v>
      </c>
      <c r="BG2960" s="107" t="str">
        <f t="shared" si="2301"/>
        <v>P</v>
      </c>
      <c r="BH2960" s="254"/>
      <c r="BI2960" s="254"/>
    </row>
    <row r="2961" spans="1:61" customFormat="1" ht="27" x14ac:dyDescent="0.25">
      <c r="A2961" s="485">
        <v>15</v>
      </c>
      <c r="B2961" s="486" t="s">
        <v>291</v>
      </c>
      <c r="C2961" s="487" t="s">
        <v>4802</v>
      </c>
      <c r="D2961" s="488" t="s">
        <v>292</v>
      </c>
      <c r="E2961" s="489">
        <v>217.95</v>
      </c>
      <c r="F2961" s="516" t="s">
        <v>293</v>
      </c>
      <c r="G2961" s="232">
        <v>0</v>
      </c>
      <c r="H2961" s="658" t="str">
        <f>IF(G2961=0,"",IF(F2961="Buy",IF(G2961=1,"plant","plants"),IF(F2961&gt;0.01,"warranty","Error")))</f>
        <v/>
      </c>
      <c r="I2961" s="490">
        <f>IF(H2961="free",0,IF(H2961="credit",((E2961*(F2961))*G2961*-1),IF(F2961="Buy",(E2961*G2961),((E2961*(1-F2961))*G2961))))</f>
        <v>0</v>
      </c>
      <c r="J2961" s="490">
        <f>IF(H2961="warranty",0,(I2961*(_xlfn.SINGLE(SalesTaxPercentage))))</f>
        <v>0</v>
      </c>
      <c r="K2961" s="695">
        <f t="shared" ref="K2961" si="2303">I2961+J2961</f>
        <v>0</v>
      </c>
      <c r="L2961" s="695"/>
      <c r="M2961" s="659" t="str">
        <f>IF(AND(G2961&gt;0,E2961=0),"WARNING - no PRICE inserted",IF(H2961="free"," FREE ~ no charge this plant",IF(H2961="credit",CONCATENATE(" -$",ROUND(K2961*(1-T2GDiscount)*-1,2)," CREDIT after discount"),IF(T2GDiscount=0,"",IF(G2961=0,"",IF(F2961="Buy",CONCATENATE(" $",ROUND(K2961*(1-T2GDiscount),2)," with ",(T2GDiscount*100),"% discount"),CONCATENATE(" $",ROUND(K2961*(1-T2GDiscount),2)," with ",((T2GDiscount*100+F2961*100)-(T2GDiscount*100*F2961)),IF(F2961&gt;0,"% discounts",IF(NoWarrantyDiscount&gt;0,"% discounts","% discount")))))))))</f>
        <v/>
      </c>
      <c r="N2961" s="660"/>
      <c r="O2961" s="233"/>
      <c r="P2961" s="233"/>
      <c r="Q2961" s="233"/>
      <c r="R2961" s="233"/>
      <c r="S2961" s="233"/>
      <c r="T2961" s="508">
        <f t="shared" si="2289"/>
        <v>0</v>
      </c>
      <c r="U2961" s="225">
        <f>IF(NOT(ISNUMBER(G2961)), "", VLOOKUP(A2961,'Discount Lookup'!D:E,2,FALSE)*G2961)</f>
        <v>0</v>
      </c>
      <c r="V2961" s="225">
        <f>IF(NOT(ISNUMBER(G2961)), "", VLOOKUP(A2961,'Discount Lookup'!G:H,2,FALSE)*G2961)</f>
        <v>0</v>
      </c>
      <c r="W2961" s="508">
        <f t="shared" si="2290"/>
        <v>0</v>
      </c>
      <c r="X2961" s="508">
        <f t="shared" si="2291"/>
        <v>0</v>
      </c>
      <c r="Y2961" s="509" t="b">
        <f t="shared" si="2292"/>
        <v>0</v>
      </c>
      <c r="Z2961" s="510">
        <f t="shared" si="2293"/>
        <v>0</v>
      </c>
      <c r="AA2961" s="511"/>
      <c r="AB2961" s="511" t="str">
        <f t="shared" si="2294"/>
        <v/>
      </c>
      <c r="AC2961" s="698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698"/>
      <c r="AE2961" s="631" t="str">
        <f t="shared" si="2295"/>
        <v/>
      </c>
      <c r="AF2961" s="699" t="str">
        <f t="shared" si="2296"/>
        <v/>
      </c>
      <c r="AG2961" s="699"/>
      <c r="AH2961" s="699"/>
      <c r="AI2961" s="512">
        <f>IF(H2961="credit",0,IF(AE2961="free",0,IF(AE2961="me",0,IF(G2961&gt;0,(VLOOKUP(A2961,'Discount Lookup'!J:K,2)*G2961),0))))</f>
        <v>0</v>
      </c>
      <c r="AJ2961" s="513" t="str">
        <f t="shared" ca="1" si="2297"/>
        <v/>
      </c>
      <c r="AK2961" s="700" t="str">
        <f t="shared" si="2298"/>
        <v/>
      </c>
      <c r="AL2961" s="700"/>
      <c r="AM2961" s="505" t="str">
        <f t="shared" si="2299"/>
        <v/>
      </c>
      <c r="AN2961" s="506"/>
      <c r="AO2961" s="507"/>
      <c r="AP2961" s="507"/>
      <c r="AQ2961" s="507"/>
      <c r="AR2961" s="507"/>
      <c r="AS2961" s="507"/>
      <c r="AT2961" s="507"/>
      <c r="AU2961" s="507"/>
      <c r="AV2961" s="225"/>
      <c r="AW2961" s="508"/>
      <c r="AX2961" s="225"/>
      <c r="AY2961" s="225"/>
      <c r="AZ2961" s="225"/>
      <c r="BA2961" s="225"/>
      <c r="BB2961" s="225"/>
      <c r="BC2961" s="56"/>
      <c r="BD2961" s="56"/>
      <c r="BE2961" s="56"/>
      <c r="BF2961" s="107" t="str">
        <f t="shared" si="2300"/>
        <v>https://www.google.com/search?tbm=isch&amp;q=15%20G4</v>
      </c>
      <c r="BG2961" s="107" t="str">
        <f t="shared" si="2301"/>
        <v>P</v>
      </c>
      <c r="BH2961" s="254"/>
      <c r="BI2961" s="254"/>
    </row>
    <row r="2962" spans="1:61" customFormat="1" ht="17.25" thickBot="1" x14ac:dyDescent="0.3">
      <c r="A2962" s="522" t="s">
        <v>2689</v>
      </c>
      <c r="B2962" s="491"/>
      <c r="C2962" s="675"/>
      <c r="D2962" s="491"/>
      <c r="E2962" s="491"/>
      <c r="F2962" s="492"/>
      <c r="G2962" s="493"/>
      <c r="H2962" s="491"/>
      <c r="I2962" s="234"/>
      <c r="J2962" s="234"/>
      <c r="K2962" s="494"/>
      <c r="L2962" s="543"/>
      <c r="M2962" s="561"/>
      <c r="N2962" s="495"/>
      <c r="O2962" s="496"/>
      <c r="P2962" s="497"/>
      <c r="Q2962" s="495"/>
      <c r="R2962" s="495"/>
      <c r="S2962" s="667" t="s">
        <v>4986</v>
      </c>
      <c r="T2962" s="508">
        <f t="shared" si="2289"/>
        <v>0</v>
      </c>
      <c r="U2962" s="225" t="str">
        <f>IF(NOT(ISNUMBER(G2962)), "", VLOOKUP(A2962,'Discount Lookup'!D:E,2,FALSE)*G2962)</f>
        <v/>
      </c>
      <c r="V2962" s="225" t="str">
        <f>IF(NOT(ISNUMBER(G2962)), "", VLOOKUP(A2962,'Discount Lookup'!G:H,2,FALSE)*G2962)</f>
        <v/>
      </c>
      <c r="W2962" s="508">
        <f t="shared" si="2290"/>
        <v>0</v>
      </c>
      <c r="X2962" s="508">
        <f t="shared" si="2291"/>
        <v>0</v>
      </c>
      <c r="Y2962" s="509" t="b">
        <f t="shared" si="2292"/>
        <v>0</v>
      </c>
      <c r="Z2962" s="510">
        <f t="shared" si="2293"/>
        <v>0</v>
      </c>
      <c r="AA2962" s="511"/>
      <c r="AB2962" s="511" t="str">
        <f t="shared" si="2294"/>
        <v/>
      </c>
      <c r="AC2962" s="698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698"/>
      <c r="AE2962" s="631" t="str">
        <f t="shared" si="2295"/>
        <v/>
      </c>
      <c r="AF2962" s="699" t="str">
        <f t="shared" si="2296"/>
        <v/>
      </c>
      <c r="AG2962" s="699"/>
      <c r="AH2962" s="699"/>
      <c r="AI2962" s="512">
        <f>IF(H2962="credit",0,IF(AE2962="free",0,IF(AE2962="me",0,IF(G2962&gt;0,(VLOOKUP(A2962,'Discount Lookup'!J:K,2)*G2962),0))))</f>
        <v>0</v>
      </c>
      <c r="AJ2962" s="513" t="str">
        <f t="shared" ca="1" si="2297"/>
        <v/>
      </c>
      <c r="AK2962" s="700" t="str">
        <f t="shared" si="2298"/>
        <v/>
      </c>
      <c r="AL2962" s="700"/>
      <c r="AM2962" s="505" t="str">
        <f t="shared" si="2299"/>
        <v/>
      </c>
      <c r="AN2962" s="506"/>
      <c r="AO2962" s="507"/>
      <c r="AP2962" s="507"/>
      <c r="AQ2962" s="507"/>
      <c r="AR2962" s="507"/>
      <c r="AS2962" s="507"/>
      <c r="AT2962" s="507"/>
      <c r="AU2962" s="507"/>
      <c r="AV2962" s="225"/>
      <c r="AW2962" s="508"/>
      <c r="AX2962" s="225"/>
      <c r="AY2962" s="225"/>
      <c r="AZ2962" s="225"/>
      <c r="BA2962" s="225"/>
      <c r="BB2962" s="225"/>
      <c r="BC2962" s="56"/>
      <c r="BD2962" s="56"/>
      <c r="BE2962" s="56"/>
      <c r="BF2962" s="107" t="str">
        <f t="shared" si="2300"/>
        <v>https://www.google.com/search?tbm=isch&amp;q=Professor%20Sargent%20is%20known%20for%20its%20abundant%20peony-like%20blooms%20that%20provide%20striking%20winter%20and%20early%20spring%20color%20</v>
      </c>
      <c r="BG2962" s="107" t="str">
        <f t="shared" si="2301"/>
        <v>P</v>
      </c>
      <c r="BH2962" s="254"/>
      <c r="BI2962" s="254"/>
    </row>
    <row r="2963" spans="1:61" customFormat="1" ht="18" x14ac:dyDescent="0.25">
      <c r="A2963" s="521" t="s">
        <v>1559</v>
      </c>
      <c r="B2963" s="477"/>
      <c r="C2963" s="674"/>
      <c r="D2963" s="478" t="s">
        <v>1560</v>
      </c>
      <c r="E2963" s="479"/>
      <c r="F2963" s="479"/>
      <c r="G2963" s="479"/>
      <c r="H2963" s="582" t="s">
        <v>1561</v>
      </c>
      <c r="I2963" s="480" t="s">
        <v>2515</v>
      </c>
      <c r="J2963" s="479"/>
      <c r="K2963" s="479"/>
      <c r="L2963" s="560"/>
      <c r="M2963" s="666" t="s">
        <v>4966</v>
      </c>
      <c r="N2963" s="680" t="str">
        <f>IF(AND(ISTEXT($A2963), ISERROR($A2963+0)), HYPERLINK($BF2963, "Images"), "")</f>
        <v>Images</v>
      </c>
      <c r="O2963" s="662" t="s">
        <v>4967</v>
      </c>
      <c r="P2963" s="482"/>
      <c r="Q2963" s="483"/>
      <c r="R2963" s="483"/>
      <c r="S2963" s="484"/>
      <c r="T2963" s="508">
        <f t="shared" si="2289"/>
        <v>0</v>
      </c>
      <c r="U2963" s="225" t="str">
        <f>IF(NOT(ISNUMBER(G2963)), "", VLOOKUP(A2963,'Discount Lookup'!D:E,2,FALSE)*G2963)</f>
        <v/>
      </c>
      <c r="V2963" s="225" t="str">
        <f>IF(NOT(ISNUMBER(G2963)), "", VLOOKUP(A2963,'Discount Lookup'!G:H,2,FALSE)*G2963)</f>
        <v/>
      </c>
      <c r="W2963" s="508">
        <f t="shared" si="2290"/>
        <v>0</v>
      </c>
      <c r="X2963" s="508" t="str">
        <f t="shared" si="2291"/>
        <v>Bluish-Green needles</v>
      </c>
      <c r="Y2963" s="509" t="b">
        <f t="shared" si="2292"/>
        <v>0</v>
      </c>
      <c r="Z2963" s="510">
        <f t="shared" si="2293"/>
        <v>0</v>
      </c>
      <c r="AA2963" s="511"/>
      <c r="AB2963" s="511" t="str">
        <f t="shared" si="2294"/>
        <v/>
      </c>
      <c r="AC2963" s="698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698"/>
      <c r="AE2963" s="631" t="str">
        <f t="shared" si="2295"/>
        <v/>
      </c>
      <c r="AF2963" s="699" t="str">
        <f t="shared" si="2296"/>
        <v/>
      </c>
      <c r="AG2963" s="699"/>
      <c r="AH2963" s="699"/>
      <c r="AI2963" s="512">
        <f>IF(H2963="credit",0,IF(AE2963="free",0,IF(AE2963="me",0,IF(G2963&gt;0,(VLOOKUP(A2963,'Discount Lookup'!J:K,2)*G2963),0))))</f>
        <v>0</v>
      </c>
      <c r="AJ2963" s="513" t="str">
        <f t="shared" ca="1" si="2297"/>
        <v/>
      </c>
      <c r="AK2963" s="700" t="str">
        <f t="shared" si="2298"/>
        <v/>
      </c>
      <c r="AL2963" s="700"/>
      <c r="AM2963" s="505" t="str">
        <f t="shared" si="2299"/>
        <v/>
      </c>
      <c r="AN2963" s="506"/>
      <c r="AO2963" s="507"/>
      <c r="AP2963" s="507"/>
      <c r="AQ2963" s="507"/>
      <c r="AR2963" s="507"/>
      <c r="AS2963" s="507"/>
      <c r="AT2963" s="507"/>
      <c r="AU2963" s="507"/>
      <c r="AV2963" s="225"/>
      <c r="AW2963" s="508"/>
      <c r="AX2963" s="225"/>
      <c r="AY2963" s="225"/>
      <c r="AZ2963" s="225"/>
      <c r="BA2963" s="225"/>
      <c r="BB2963" s="225"/>
      <c r="BC2963" s="56"/>
      <c r="BD2963" s="56"/>
      <c r="BE2963" s="56"/>
      <c r="BF2963" s="107" t="str">
        <f t="shared" si="2300"/>
        <v>https://www.google.com/search?tbm=isch&amp;q=Prostrate%20Beauty%20Deodar%20Cedar%20Cedrus%20deodara%20%27Prostrate%20Beauty%27</v>
      </c>
      <c r="BG2963" s="107" t="str">
        <f t="shared" si="2301"/>
        <v>P</v>
      </c>
      <c r="BH2963" s="254"/>
      <c r="BI2963" s="254"/>
    </row>
    <row r="2964" spans="1:61" customFormat="1" ht="27" x14ac:dyDescent="0.25">
      <c r="A2964" s="485">
        <v>7</v>
      </c>
      <c r="B2964" s="486" t="s">
        <v>291</v>
      </c>
      <c r="C2964" s="487" t="s">
        <v>3704</v>
      </c>
      <c r="D2964" s="488" t="s">
        <v>292</v>
      </c>
      <c r="E2964" s="489">
        <v>178.95</v>
      </c>
      <c r="F2964" s="516" t="s">
        <v>293</v>
      </c>
      <c r="G2964" s="232">
        <v>0</v>
      </c>
      <c r="H2964" s="658" t="str">
        <f>IF(G2964=0,"",IF(F2964="Buy",IF(G2964=1,"plant","plants"),IF(F2964&gt;0.01,"warranty","Error")))</f>
        <v/>
      </c>
      <c r="I2964" s="490">
        <f>IF(H2964="free",0,IF(H2964="credit",((E2964*(F2964))*G2964*-1),IF(F2964="Buy",(E2964*G2964),((E2964*(1-F2964))*G2964))))</f>
        <v>0</v>
      </c>
      <c r="J2964" s="490">
        <f>IF(H2964="warranty",0,(I2964*(_xlfn.SINGLE(SalesTaxPercentage))))</f>
        <v>0</v>
      </c>
      <c r="K2964" s="695">
        <f t="shared" ref="K2964" si="2304">I2964+J2964</f>
        <v>0</v>
      </c>
      <c r="L2964" s="695"/>
      <c r="M2964" s="659" t="str">
        <f>IF(AND(G2964&gt;0,E2964=0),"WARNING - no PRICE inserted",IF(H2964="free"," FREE ~ no charge this plant",IF(H2964="credit",CONCATENATE(" -$",ROUND(K2964*(1-T2GDiscount)*-1,2)," CREDIT after discount"),IF(T2GDiscount=0,"",IF(G2964=0,"",IF(F2964="Buy",CONCATENATE(" $",ROUND(K2964*(1-T2GDiscount),2)," with ",(T2GDiscount*100),"% discount"),CONCATENATE(" $",ROUND(K2964*(1-T2GDiscount),2)," with ",((T2GDiscount*100+F2964*100)-(T2GDiscount*100*F2964)),IF(F2964&gt;0,"% discounts",IF(NoWarrantyDiscount&gt;0,"% discounts","% discount")))))))))</f>
        <v/>
      </c>
      <c r="N2964" s="660"/>
      <c r="O2964" s="233"/>
      <c r="P2964" s="233"/>
      <c r="Q2964" s="233"/>
      <c r="R2964" s="233"/>
      <c r="S2964" s="233"/>
      <c r="T2964" s="508">
        <f t="shared" si="2289"/>
        <v>0</v>
      </c>
      <c r="U2964" s="225">
        <f>IF(NOT(ISNUMBER(G2964)), "", VLOOKUP(A2964,'Discount Lookup'!D:E,2,FALSE)*G2964)</f>
        <v>0</v>
      </c>
      <c r="V2964" s="225">
        <f>IF(NOT(ISNUMBER(G2964)), "", VLOOKUP(A2964,'Discount Lookup'!G:H,2,FALSE)*G2964)</f>
        <v>0</v>
      </c>
      <c r="W2964" s="508">
        <f t="shared" si="2290"/>
        <v>0</v>
      </c>
      <c r="X2964" s="508">
        <f t="shared" si="2291"/>
        <v>0</v>
      </c>
      <c r="Y2964" s="509" t="b">
        <f t="shared" si="2292"/>
        <v>0</v>
      </c>
      <c r="Z2964" s="510">
        <f t="shared" si="2293"/>
        <v>0</v>
      </c>
      <c r="AA2964" s="511"/>
      <c r="AB2964" s="511" t="str">
        <f t="shared" si="2294"/>
        <v/>
      </c>
      <c r="AC2964" s="698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698"/>
      <c r="AE2964" s="631" t="str">
        <f t="shared" si="2295"/>
        <v/>
      </c>
      <c r="AF2964" s="699" t="str">
        <f t="shared" si="2296"/>
        <v/>
      </c>
      <c r="AG2964" s="699"/>
      <c r="AH2964" s="699"/>
      <c r="AI2964" s="512">
        <f>IF(H2964="credit",0,IF(AE2964="free",0,IF(AE2964="me",0,IF(G2964&gt;0,(VLOOKUP(A2964,'Discount Lookup'!J:K,2)*G2964),0))))</f>
        <v>0</v>
      </c>
      <c r="AJ2964" s="513" t="str">
        <f t="shared" ca="1" si="2297"/>
        <v/>
      </c>
      <c r="AK2964" s="700" t="str">
        <f t="shared" si="2298"/>
        <v/>
      </c>
      <c r="AL2964" s="700"/>
      <c r="AM2964" s="505" t="str">
        <f t="shared" si="2299"/>
        <v/>
      </c>
      <c r="AN2964" s="506"/>
      <c r="AO2964" s="507"/>
      <c r="AP2964" s="507"/>
      <c r="AQ2964" s="507"/>
      <c r="AR2964" s="507"/>
      <c r="AS2964" s="507"/>
      <c r="AT2964" s="507"/>
      <c r="AU2964" s="507"/>
      <c r="AV2964" s="225"/>
      <c r="AW2964" s="508"/>
      <c r="AX2964" s="225"/>
      <c r="AY2964" s="225"/>
      <c r="AZ2964" s="225"/>
      <c r="BA2964" s="225"/>
      <c r="BB2964" s="225"/>
      <c r="BC2964" s="56"/>
      <c r="BD2964" s="56"/>
      <c r="BE2964" s="56"/>
      <c r="BF2964" s="107" t="str">
        <f t="shared" si="2300"/>
        <v>https://www.google.com/search?tbm=isch&amp;q=7%20G4</v>
      </c>
      <c r="BG2964" s="107" t="str">
        <f t="shared" si="2301"/>
        <v>P</v>
      </c>
      <c r="BH2964" s="254"/>
      <c r="BI2964" s="254"/>
    </row>
    <row r="2965" spans="1:61" customFormat="1" ht="15.75" x14ac:dyDescent="0.25">
      <c r="A2965" s="485">
        <v>10</v>
      </c>
      <c r="B2965" s="486" t="s">
        <v>291</v>
      </c>
      <c r="C2965" s="487" t="s">
        <v>3705</v>
      </c>
      <c r="D2965" s="488" t="s">
        <v>292</v>
      </c>
      <c r="E2965" s="489">
        <v>247.95</v>
      </c>
      <c r="F2965" s="516" t="s">
        <v>293</v>
      </c>
      <c r="G2965" s="232">
        <v>0</v>
      </c>
      <c r="H2965" s="658" t="str">
        <f>IF(G2965=0,"",IF(F2965="Buy",IF(G2965=1,"plant","plants"),IF(F2965&gt;0.01,"warranty","Error")))</f>
        <v/>
      </c>
      <c r="I2965" s="490">
        <f>IF(H2965="free",0,IF(H2965="credit",((E2965*(F2965))*G2965*-1),IF(F2965="Buy",(E2965*G2965),((E2965*(1-F2965))*G2965))))</f>
        <v>0</v>
      </c>
      <c r="J2965" s="490">
        <f>IF(H2965="warranty",0,(I2965*(_xlfn.SINGLE(SalesTaxPercentage))))</f>
        <v>0</v>
      </c>
      <c r="K2965" s="695">
        <f t="shared" ref="K2965" si="2305">I2965+J2965</f>
        <v>0</v>
      </c>
      <c r="L2965" s="695"/>
      <c r="M2965" s="659" t="str">
        <f>IF(AND(G2965&gt;0,E2965=0),"WARNING - no PRICE inserted",IF(H2965="free"," FREE ~ no charge this plant",IF(H2965="credit",CONCATENATE(" -$",ROUND(K2965*(1-T2GDiscount)*-1,2)," CREDIT after discount"),IF(T2GDiscount=0,"",IF(G2965=0,"",IF(F2965="Buy",CONCATENATE(" $",ROUND(K2965*(1-T2GDiscount),2)," with ",(T2GDiscount*100),"% discount"),CONCATENATE(" $",ROUND(K2965*(1-T2GDiscount),2)," with ",((T2GDiscount*100+F2965*100)-(T2GDiscount*100*F2965)),IF(F2965&gt;0,"% discounts",IF(NoWarrantyDiscount&gt;0,"% discounts","% discount")))))))))</f>
        <v/>
      </c>
      <c r="N2965" s="660"/>
      <c r="O2965" s="233"/>
      <c r="P2965" s="233"/>
      <c r="Q2965" s="233"/>
      <c r="R2965" s="233"/>
      <c r="S2965" s="233"/>
      <c r="T2965" s="508">
        <f t="shared" si="2289"/>
        <v>0</v>
      </c>
      <c r="U2965" s="225">
        <f>IF(NOT(ISNUMBER(G2965)), "", VLOOKUP(A2965,'Discount Lookup'!D:E,2,FALSE)*G2965)</f>
        <v>0</v>
      </c>
      <c r="V2965" s="225">
        <f>IF(NOT(ISNUMBER(G2965)), "", VLOOKUP(A2965,'Discount Lookup'!G:H,2,FALSE)*G2965)</f>
        <v>0</v>
      </c>
      <c r="W2965" s="508">
        <f t="shared" si="2290"/>
        <v>0</v>
      </c>
      <c r="X2965" s="508">
        <f t="shared" si="2291"/>
        <v>0</v>
      </c>
      <c r="Y2965" s="509" t="b">
        <f t="shared" si="2292"/>
        <v>0</v>
      </c>
      <c r="Z2965" s="510">
        <f t="shared" si="2293"/>
        <v>0</v>
      </c>
      <c r="AA2965" s="511"/>
      <c r="AB2965" s="511" t="str">
        <f t="shared" si="2294"/>
        <v/>
      </c>
      <c r="AC2965" s="698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698"/>
      <c r="AE2965" s="631" t="str">
        <f t="shared" si="2295"/>
        <v/>
      </c>
      <c r="AF2965" s="699" t="str">
        <f t="shared" si="2296"/>
        <v/>
      </c>
      <c r="AG2965" s="699"/>
      <c r="AH2965" s="699"/>
      <c r="AI2965" s="512">
        <f>IF(H2965="credit",0,IF(AE2965="free",0,IF(AE2965="me",0,IF(G2965&gt;0,(VLOOKUP(A2965,'Discount Lookup'!J:K,2)*G2965),0))))</f>
        <v>0</v>
      </c>
      <c r="AJ2965" s="513" t="str">
        <f t="shared" ca="1" si="2297"/>
        <v/>
      </c>
      <c r="AK2965" s="700" t="str">
        <f t="shared" si="2298"/>
        <v/>
      </c>
      <c r="AL2965" s="700"/>
      <c r="AM2965" s="505" t="str">
        <f t="shared" si="2299"/>
        <v/>
      </c>
      <c r="AN2965" s="506"/>
      <c r="AO2965" s="507"/>
      <c r="AP2965" s="507"/>
      <c r="AQ2965" s="507"/>
      <c r="AR2965" s="507"/>
      <c r="AS2965" s="507"/>
      <c r="AT2965" s="507"/>
      <c r="AU2965" s="507"/>
      <c r="AV2965" s="225"/>
      <c r="AW2965" s="508"/>
      <c r="AX2965" s="225"/>
      <c r="AY2965" s="225"/>
      <c r="AZ2965" s="225"/>
      <c r="BA2965" s="225"/>
      <c r="BB2965" s="225"/>
      <c r="BC2965" s="56"/>
      <c r="BD2965" s="56"/>
      <c r="BE2965" s="56"/>
      <c r="BF2965" s="107" t="str">
        <f t="shared" si="2300"/>
        <v>https://www.google.com/search?tbm=isch&amp;q=10%20G4</v>
      </c>
      <c r="BG2965" s="107" t="str">
        <f t="shared" si="2301"/>
        <v>P</v>
      </c>
      <c r="BH2965" s="254"/>
      <c r="BI2965" s="254"/>
    </row>
    <row r="2966" spans="1:61" customFormat="1" ht="27" x14ac:dyDescent="0.25">
      <c r="A2966" s="485">
        <v>10</v>
      </c>
      <c r="B2966" s="486" t="s">
        <v>291</v>
      </c>
      <c r="C2966" s="487" t="s">
        <v>3706</v>
      </c>
      <c r="D2966" s="488" t="s">
        <v>292</v>
      </c>
      <c r="E2966" s="489">
        <v>270.95</v>
      </c>
      <c r="F2966" s="516" t="s">
        <v>293</v>
      </c>
      <c r="G2966" s="232">
        <v>0</v>
      </c>
      <c r="H2966" s="658" t="str">
        <f>IF(G2966=0,"",IF(F2966="Buy",IF(G2966=1,"plant","plants"),IF(F2966&gt;0.01,"warranty","Error")))</f>
        <v/>
      </c>
      <c r="I2966" s="490">
        <f>IF(H2966="free",0,IF(H2966="credit",((E2966*(F2966))*G2966*-1),IF(F2966="Buy",(E2966*G2966),((E2966*(1-F2966))*G2966))))</f>
        <v>0</v>
      </c>
      <c r="J2966" s="490">
        <f>IF(H2966="warranty",0,(I2966*(_xlfn.SINGLE(SalesTaxPercentage))))</f>
        <v>0</v>
      </c>
      <c r="K2966" s="695">
        <f t="shared" ref="K2966" si="2306">I2966+J2966</f>
        <v>0</v>
      </c>
      <c r="L2966" s="695"/>
      <c r="M2966" s="659" t="str">
        <f>IF(AND(G2966&gt;0,E2966=0),"WARNING - no PRICE inserted",IF(H2966="free"," FREE ~ no charge this plant",IF(H2966="credit",CONCATENATE(" -$",ROUND(K2966*(1-T2GDiscount)*-1,2)," CREDIT after discount"),IF(T2GDiscount=0,"",IF(G2966=0,"",IF(F2966="Buy",CONCATENATE(" $",ROUND(K2966*(1-T2GDiscount),2)," with ",(T2GDiscount*100),"% discount"),CONCATENATE(" $",ROUND(K2966*(1-T2GDiscount),2)," with ",((T2GDiscount*100+F2966*100)-(T2GDiscount*100*F2966)),IF(F2966&gt;0,"% discounts",IF(NoWarrantyDiscount&gt;0,"% discounts","% discount")))))))))</f>
        <v/>
      </c>
      <c r="N2966" s="660"/>
      <c r="O2966" s="233"/>
      <c r="P2966" s="233"/>
      <c r="Q2966" s="233"/>
      <c r="R2966" s="233"/>
      <c r="S2966" s="233"/>
      <c r="T2966" s="508">
        <f t="shared" si="2289"/>
        <v>0</v>
      </c>
      <c r="U2966" s="225">
        <f>IF(NOT(ISNUMBER(G2966)), "", VLOOKUP(A2966,'Discount Lookup'!D:E,2,FALSE)*G2966)</f>
        <v>0</v>
      </c>
      <c r="V2966" s="225">
        <f>IF(NOT(ISNUMBER(G2966)), "", VLOOKUP(A2966,'Discount Lookup'!G:H,2,FALSE)*G2966)</f>
        <v>0</v>
      </c>
      <c r="W2966" s="508">
        <f t="shared" si="2290"/>
        <v>0</v>
      </c>
      <c r="X2966" s="508">
        <f t="shared" si="2291"/>
        <v>0</v>
      </c>
      <c r="Y2966" s="509" t="b">
        <f t="shared" si="2292"/>
        <v>0</v>
      </c>
      <c r="Z2966" s="510">
        <f t="shared" si="2293"/>
        <v>0</v>
      </c>
      <c r="AA2966" s="511"/>
      <c r="AB2966" s="511" t="str">
        <f t="shared" si="2294"/>
        <v/>
      </c>
      <c r="AC2966" s="698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698"/>
      <c r="AE2966" s="631" t="str">
        <f t="shared" si="2295"/>
        <v/>
      </c>
      <c r="AF2966" s="699" t="str">
        <f t="shared" si="2296"/>
        <v/>
      </c>
      <c r="AG2966" s="699"/>
      <c r="AH2966" s="699"/>
      <c r="AI2966" s="512">
        <f>IF(H2966="credit",0,IF(AE2966="free",0,IF(AE2966="me",0,IF(G2966&gt;0,(VLOOKUP(A2966,'Discount Lookup'!J:K,2)*G2966),0))))</f>
        <v>0</v>
      </c>
      <c r="AJ2966" s="513" t="str">
        <f t="shared" ca="1" si="2297"/>
        <v/>
      </c>
      <c r="AK2966" s="700" t="str">
        <f t="shared" si="2298"/>
        <v/>
      </c>
      <c r="AL2966" s="700"/>
      <c r="AM2966" s="505" t="str">
        <f t="shared" si="2299"/>
        <v/>
      </c>
      <c r="AN2966" s="506"/>
      <c r="AO2966" s="507"/>
      <c r="AP2966" s="507"/>
      <c r="AQ2966" s="507"/>
      <c r="AR2966" s="507"/>
      <c r="AS2966" s="507"/>
      <c r="AT2966" s="507"/>
      <c r="AU2966" s="507"/>
      <c r="AV2966" s="225"/>
      <c r="AW2966" s="508"/>
      <c r="AX2966" s="225"/>
      <c r="AY2966" s="225"/>
      <c r="AZ2966" s="225"/>
      <c r="BA2966" s="225"/>
      <c r="BB2966" s="225"/>
      <c r="BC2966" s="56"/>
      <c r="BD2966" s="56"/>
      <c r="BE2966" s="56"/>
      <c r="BF2966" s="107" t="str">
        <f t="shared" si="2300"/>
        <v>https://www.google.com/search?tbm=isch&amp;q=10%20G4</v>
      </c>
      <c r="BG2966" s="107" t="str">
        <f t="shared" si="2301"/>
        <v>P</v>
      </c>
      <c r="BH2966" s="254"/>
      <c r="BI2966" s="254"/>
    </row>
    <row r="2967" spans="1:61" customFormat="1" ht="16.5" thickBot="1" x14ac:dyDescent="0.3">
      <c r="A2967" s="522" t="s">
        <v>2173</v>
      </c>
      <c r="B2967" s="491"/>
      <c r="C2967" s="675"/>
      <c r="D2967" s="491"/>
      <c r="E2967" s="491"/>
      <c r="F2967" s="492"/>
      <c r="G2967" s="493"/>
      <c r="H2967" s="491"/>
      <c r="I2967" s="234"/>
      <c r="J2967" s="234"/>
      <c r="K2967" s="494"/>
      <c r="L2967" s="543"/>
      <c r="M2967" s="561"/>
      <c r="N2967" s="495"/>
      <c r="O2967" s="496"/>
      <c r="P2967" s="497"/>
      <c r="Q2967" s="495"/>
      <c r="R2967" s="495"/>
      <c r="S2967" s="277"/>
      <c r="T2967" s="508">
        <f t="shared" si="2289"/>
        <v>0</v>
      </c>
      <c r="U2967" s="225" t="str">
        <f>IF(NOT(ISNUMBER(G2967)), "", VLOOKUP(A2967,'Discount Lookup'!D:E,2,FALSE)*G2967)</f>
        <v/>
      </c>
      <c r="V2967" s="225" t="str">
        <f>IF(NOT(ISNUMBER(G2967)), "", VLOOKUP(A2967,'Discount Lookup'!G:H,2,FALSE)*G2967)</f>
        <v/>
      </c>
      <c r="W2967" s="508">
        <f t="shared" si="2290"/>
        <v>0</v>
      </c>
      <c r="X2967" s="508">
        <f t="shared" si="2291"/>
        <v>0</v>
      </c>
      <c r="Y2967" s="509" t="b">
        <f t="shared" si="2292"/>
        <v>0</v>
      </c>
      <c r="Z2967" s="510">
        <f t="shared" si="2293"/>
        <v>0</v>
      </c>
      <c r="AA2967" s="511"/>
      <c r="AB2967" s="511" t="str">
        <f t="shared" si="2294"/>
        <v/>
      </c>
      <c r="AC2967" s="698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698"/>
      <c r="AE2967" s="631" t="str">
        <f t="shared" si="2295"/>
        <v/>
      </c>
      <c r="AF2967" s="699" t="str">
        <f t="shared" si="2296"/>
        <v/>
      </c>
      <c r="AG2967" s="699"/>
      <c r="AH2967" s="699"/>
      <c r="AI2967" s="512">
        <f>IF(H2967="credit",0,IF(AE2967="free",0,IF(AE2967="me",0,IF(G2967&gt;0,(VLOOKUP(A2967,'Discount Lookup'!J:K,2)*G2967),0))))</f>
        <v>0</v>
      </c>
      <c r="AJ2967" s="513" t="str">
        <f t="shared" ca="1" si="2297"/>
        <v/>
      </c>
      <c r="AK2967" s="700" t="str">
        <f t="shared" si="2298"/>
        <v/>
      </c>
      <c r="AL2967" s="700"/>
      <c r="AM2967" s="505" t="str">
        <f t="shared" si="2299"/>
        <v/>
      </c>
      <c r="AN2967" s="506"/>
      <c r="AO2967" s="507"/>
      <c r="AP2967" s="507"/>
      <c r="AQ2967" s="507"/>
      <c r="AR2967" s="507"/>
      <c r="AS2967" s="507"/>
      <c r="AT2967" s="507"/>
      <c r="AU2967" s="507"/>
      <c r="AV2967" s="225"/>
      <c r="AW2967" s="508"/>
      <c r="AX2967" s="225"/>
      <c r="AY2967" s="225"/>
      <c r="AZ2967" s="225"/>
      <c r="BA2967" s="225"/>
      <c r="BB2967" s="225"/>
      <c r="BC2967" s="56"/>
      <c r="BD2967" s="56"/>
      <c r="BE2967" s="56"/>
      <c r="BF2967" s="107" t="str">
        <f t="shared" si="2300"/>
        <v>https://www.google.com/search?tbm=isch&amp;q=Prostrate%20Beauty%20is%20a%20silvery%20%27true%20blue%27.%20%20Let%20it%20drape%20around%20features%20or%20down%20a%20wall.%20Prune%20leader%20to%20keep%20about%202%27%20tall%20</v>
      </c>
      <c r="BG2967" s="107" t="str">
        <f t="shared" si="2301"/>
        <v>P</v>
      </c>
      <c r="BH2967" s="254"/>
      <c r="BI2967" s="254"/>
    </row>
    <row r="2968" spans="1:61" customFormat="1" ht="18" x14ac:dyDescent="0.25">
      <c r="A2968" s="521" t="s">
        <v>1562</v>
      </c>
      <c r="B2968" s="477"/>
      <c r="C2968" s="674"/>
      <c r="D2968" s="478" t="s">
        <v>1563</v>
      </c>
      <c r="E2968" s="479"/>
      <c r="F2968" s="479"/>
      <c r="G2968" s="479"/>
      <c r="H2968" s="582" t="s">
        <v>873</v>
      </c>
      <c r="I2968" s="480" t="s">
        <v>2093</v>
      </c>
      <c r="J2968" s="479"/>
      <c r="K2968" s="479"/>
      <c r="L2968" s="560"/>
      <c r="M2968" s="671" t="s">
        <v>4985</v>
      </c>
      <c r="N2968" s="680" t="str">
        <f>IF(AND(ISTEXT($A2968), ISERROR($A2968+0)), HYPERLINK($BF2968, "Images"), "")</f>
        <v>Images</v>
      </c>
      <c r="O2968" s="662" t="s">
        <v>4969</v>
      </c>
      <c r="P2968" s="482"/>
      <c r="Q2968" s="483"/>
      <c r="R2968" s="483"/>
      <c r="S2968" s="484"/>
      <c r="T2968" s="508">
        <f t="shared" si="2289"/>
        <v>0</v>
      </c>
      <c r="U2968" s="225" t="str">
        <f>IF(NOT(ISNUMBER(G2968)), "", VLOOKUP(A2968,'Discount Lookup'!D:E,2,FALSE)*G2968)</f>
        <v/>
      </c>
      <c r="V2968" s="225" t="str">
        <f>IF(NOT(ISNUMBER(G2968)), "", VLOOKUP(A2968,'Discount Lookup'!G:H,2,FALSE)*G2968)</f>
        <v/>
      </c>
      <c r="W2968" s="508">
        <f t="shared" si="2290"/>
        <v>0</v>
      </c>
      <c r="X2968" s="508" t="str">
        <f t="shared" si="2291"/>
        <v>Dark Green foliage</v>
      </c>
      <c r="Y2968" s="509" t="b">
        <f t="shared" si="2292"/>
        <v>0</v>
      </c>
      <c r="Z2968" s="510">
        <f t="shared" si="2293"/>
        <v>0</v>
      </c>
      <c r="AA2968" s="511"/>
      <c r="AB2968" s="511" t="str">
        <f t="shared" si="2294"/>
        <v/>
      </c>
      <c r="AC2968" s="698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698"/>
      <c r="AE2968" s="631" t="str">
        <f t="shared" si="2295"/>
        <v/>
      </c>
      <c r="AF2968" s="699" t="str">
        <f t="shared" si="2296"/>
        <v/>
      </c>
      <c r="AG2968" s="699"/>
      <c r="AH2968" s="699"/>
      <c r="AI2968" s="512">
        <f>IF(H2968="credit",0,IF(AE2968="free",0,IF(AE2968="me",0,IF(G2968&gt;0,(VLOOKUP(A2968,'Discount Lookup'!J:K,2)*G2968),0))))</f>
        <v>0</v>
      </c>
      <c r="AJ2968" s="513" t="str">
        <f t="shared" ca="1" si="2297"/>
        <v/>
      </c>
      <c r="AK2968" s="700" t="str">
        <f t="shared" si="2298"/>
        <v/>
      </c>
      <c r="AL2968" s="700"/>
      <c r="AM2968" s="505" t="str">
        <f t="shared" si="2299"/>
        <v/>
      </c>
      <c r="AN2968" s="506"/>
      <c r="AO2968" s="507"/>
      <c r="AP2968" s="507"/>
      <c r="AQ2968" s="507"/>
      <c r="AR2968" s="507"/>
      <c r="AS2968" s="507"/>
      <c r="AT2968" s="507"/>
      <c r="AU2968" s="507"/>
      <c r="AV2968" s="225"/>
      <c r="AW2968" s="508"/>
      <c r="AX2968" s="225"/>
      <c r="AY2968" s="225"/>
      <c r="AZ2968" s="225"/>
      <c r="BA2968" s="225"/>
      <c r="BB2968" s="225"/>
      <c r="BC2968" s="56"/>
      <c r="BD2968" s="56"/>
      <c r="BE2968" s="56"/>
      <c r="BF2968" s="107" t="str">
        <f t="shared" si="2300"/>
        <v>https://www.google.com/search?tbm=isch&amp;q=Prostrate%20Japanese%20Plum%20Yew%20Cephalotaxus%20harringtonia%20%27Prostrata%27</v>
      </c>
      <c r="BG2968" s="107" t="str">
        <f t="shared" si="2301"/>
        <v>P</v>
      </c>
      <c r="BH2968" s="254"/>
      <c r="BI2968" s="254"/>
    </row>
    <row r="2969" spans="1:61" customFormat="1" ht="15.75" x14ac:dyDescent="0.25">
      <c r="A2969" s="485">
        <v>3</v>
      </c>
      <c r="B2969" s="486" t="s">
        <v>291</v>
      </c>
      <c r="C2969" s="487" t="s">
        <v>4016</v>
      </c>
      <c r="D2969" s="488" t="s">
        <v>312</v>
      </c>
      <c r="E2969" s="489">
        <v>32.950000000000003</v>
      </c>
      <c r="F2969" s="516" t="s">
        <v>293</v>
      </c>
      <c r="G2969" s="232">
        <v>0</v>
      </c>
      <c r="H2969" s="658" t="str">
        <f>IF(G2969=0,"",IF(F2969="Buy",IF(G2969=1,"plant","plants"),IF(F2969&gt;0.01,"warranty","Error")))</f>
        <v/>
      </c>
      <c r="I2969" s="490">
        <f>IF(H2969="free",0,IF(H2969="credit",((E2969*(F2969))*G2969*-1),IF(F2969="Buy",(E2969*G2969),((E2969*(1-F2969))*G2969))))</f>
        <v>0</v>
      </c>
      <c r="J2969" s="490">
        <f>IF(H2969="warranty",0,(I2969*(_xlfn.SINGLE(SalesTaxPercentage))))</f>
        <v>0</v>
      </c>
      <c r="K2969" s="695">
        <f t="shared" ref="K2969" si="2307">I2969+J2969</f>
        <v>0</v>
      </c>
      <c r="L2969" s="695"/>
      <c r="M2969" s="659" t="str">
        <f>IF(AND(G2969&gt;0,E2969=0),"WARNING - no PRICE inserted",IF(H2969="free"," FREE ~ no charge this plant",IF(H2969="credit",CONCATENATE(" -$",ROUND(K2969*(1-T2GDiscount)*-1,2)," CREDIT after discount"),IF(T2GDiscount=0,"",IF(G2969=0,"",IF(F2969="Buy",CONCATENATE(" $",ROUND(K2969*(1-T2GDiscount),2)," with ",(T2GDiscount*100),"% discount"),CONCATENATE(" $",ROUND(K2969*(1-T2GDiscount),2)," with ",((T2GDiscount*100+F2969*100)-(T2GDiscount*100*F2969)),IF(F2969&gt;0,"% discounts",IF(NoWarrantyDiscount&gt;0,"% discounts","% discount")))))))))</f>
        <v/>
      </c>
      <c r="N2969" s="660"/>
      <c r="O2969" s="233"/>
      <c r="P2969" s="233"/>
      <c r="Q2969" s="233"/>
      <c r="R2969" s="233"/>
      <c r="S2969" s="233"/>
      <c r="T2969" s="508">
        <f t="shared" si="2289"/>
        <v>0</v>
      </c>
      <c r="U2969" s="225">
        <f>IF(NOT(ISNUMBER(G2969)), "", VLOOKUP(A2969,'Discount Lookup'!D:E,2,FALSE)*G2969)</f>
        <v>0</v>
      </c>
      <c r="V2969" s="225">
        <f>IF(NOT(ISNUMBER(G2969)), "", VLOOKUP(A2969,'Discount Lookup'!G:H,2,FALSE)*G2969)</f>
        <v>0</v>
      </c>
      <c r="W2969" s="508">
        <f t="shared" si="2290"/>
        <v>0</v>
      </c>
      <c r="X2969" s="508">
        <f t="shared" si="2291"/>
        <v>0</v>
      </c>
      <c r="Y2969" s="509" t="b">
        <f t="shared" si="2292"/>
        <v>0</v>
      </c>
      <c r="Z2969" s="510">
        <f t="shared" si="2293"/>
        <v>0</v>
      </c>
      <c r="AA2969" s="511"/>
      <c r="AB2969" s="511" t="str">
        <f t="shared" si="2294"/>
        <v/>
      </c>
      <c r="AC2969" s="698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698"/>
      <c r="AE2969" s="631" t="str">
        <f t="shared" si="2295"/>
        <v/>
      </c>
      <c r="AF2969" s="699" t="str">
        <f t="shared" si="2296"/>
        <v/>
      </c>
      <c r="AG2969" s="699"/>
      <c r="AH2969" s="699"/>
      <c r="AI2969" s="512">
        <f>IF(H2969="credit",0,IF(AE2969="free",0,IF(AE2969="me",0,IF(G2969&gt;0,(VLOOKUP(A2969,'Discount Lookup'!J:K,2)*G2969),0))))</f>
        <v>0</v>
      </c>
      <c r="AJ2969" s="513" t="str">
        <f t="shared" ca="1" si="2297"/>
        <v/>
      </c>
      <c r="AK2969" s="700" t="str">
        <f t="shared" si="2298"/>
        <v/>
      </c>
      <c r="AL2969" s="700"/>
      <c r="AM2969" s="505" t="str">
        <f t="shared" si="2299"/>
        <v/>
      </c>
      <c r="AN2969" s="506"/>
      <c r="AO2969" s="507"/>
      <c r="AP2969" s="507"/>
      <c r="AQ2969" s="507"/>
      <c r="AR2969" s="507"/>
      <c r="AS2969" s="507"/>
      <c r="AT2969" s="507"/>
      <c r="AU2969" s="507"/>
      <c r="AV2969" s="225"/>
      <c r="AW2969" s="508"/>
      <c r="AX2969" s="225"/>
      <c r="AY2969" s="225"/>
      <c r="AZ2969" s="225"/>
      <c r="BA2969" s="225"/>
      <c r="BB2969" s="225"/>
      <c r="BC2969" s="56"/>
      <c r="BD2969" s="56"/>
      <c r="BE2969" s="56"/>
      <c r="BF2969" s="107" t="str">
        <f t="shared" si="2300"/>
        <v>https://www.google.com/search?tbm=isch&amp;q=3%20G2</v>
      </c>
      <c r="BG2969" s="107" t="str">
        <f t="shared" si="2301"/>
        <v>P</v>
      </c>
      <c r="BH2969" s="254"/>
      <c r="BI2969" s="254"/>
    </row>
    <row r="2970" spans="1:61" customFormat="1" ht="15.75" x14ac:dyDescent="0.25">
      <c r="A2970" s="485">
        <v>3</v>
      </c>
      <c r="B2970" s="486" t="s">
        <v>291</v>
      </c>
      <c r="C2970" s="487" t="s">
        <v>2233</v>
      </c>
      <c r="D2970" s="488" t="s">
        <v>300</v>
      </c>
      <c r="E2970" s="489">
        <v>52.95</v>
      </c>
      <c r="F2970" s="516" t="s">
        <v>293</v>
      </c>
      <c r="G2970" s="232">
        <v>0</v>
      </c>
      <c r="H2970" s="658" t="str">
        <f>IF(G2970=0,"",IF(F2970="Buy",IF(G2970=1,"plant","plants"),IF(F2970&gt;0.01,"warranty","Error")))</f>
        <v/>
      </c>
      <c r="I2970" s="490">
        <f>IF(H2970="free",0,IF(H2970="credit",((E2970*(F2970))*G2970*-1),IF(F2970="Buy",(E2970*G2970),((E2970*(1-F2970))*G2970))))</f>
        <v>0</v>
      </c>
      <c r="J2970" s="490">
        <f>IF(H2970="warranty",0,(I2970*(_xlfn.SINGLE(SalesTaxPercentage))))</f>
        <v>0</v>
      </c>
      <c r="K2970" s="695">
        <f t="shared" ref="K2970" si="2308">I2970+J2970</f>
        <v>0</v>
      </c>
      <c r="L2970" s="695"/>
      <c r="M2970" s="659" t="str">
        <f>IF(AND(G2970&gt;0,E2970=0),"WARNING - no PRICE inserted",IF(H2970="free"," FREE ~ no charge this plant",IF(H2970="credit",CONCATENATE(" -$",ROUND(K2970*(1-T2GDiscount)*-1,2)," CREDIT after discount"),IF(T2GDiscount=0,"",IF(G2970=0,"",IF(F2970="Buy",CONCATENATE(" $",ROUND(K2970*(1-T2GDiscount),2)," with ",(T2GDiscount*100),"% discount"),CONCATENATE(" $",ROUND(K2970*(1-T2GDiscount),2)," with ",((T2GDiscount*100+F2970*100)-(T2GDiscount*100*F2970)),IF(F2970&gt;0,"% discounts",IF(NoWarrantyDiscount&gt;0,"% discounts","% discount")))))))))</f>
        <v/>
      </c>
      <c r="N2970" s="660"/>
      <c r="O2970" s="233"/>
      <c r="P2970" s="233"/>
      <c r="Q2970" s="233"/>
      <c r="R2970" s="233"/>
      <c r="S2970" s="233"/>
      <c r="T2970" s="508">
        <f t="shared" si="2289"/>
        <v>0</v>
      </c>
      <c r="U2970" s="225">
        <f>IF(NOT(ISNUMBER(G2970)), "", VLOOKUP(A2970,'Discount Lookup'!D:E,2,FALSE)*G2970)</f>
        <v>0</v>
      </c>
      <c r="V2970" s="225">
        <f>IF(NOT(ISNUMBER(G2970)), "", VLOOKUP(A2970,'Discount Lookup'!G:H,2,FALSE)*G2970)</f>
        <v>0</v>
      </c>
      <c r="W2970" s="508">
        <f t="shared" si="2290"/>
        <v>0</v>
      </c>
      <c r="X2970" s="508">
        <f t="shared" si="2291"/>
        <v>0</v>
      </c>
      <c r="Y2970" s="509" t="b">
        <f t="shared" si="2292"/>
        <v>0</v>
      </c>
      <c r="Z2970" s="510">
        <f t="shared" si="2293"/>
        <v>0</v>
      </c>
      <c r="AA2970" s="511"/>
      <c r="AB2970" s="511" t="str">
        <f t="shared" si="2294"/>
        <v/>
      </c>
      <c r="AC2970" s="698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698"/>
      <c r="AE2970" s="631" t="str">
        <f t="shared" si="2295"/>
        <v/>
      </c>
      <c r="AF2970" s="699" t="str">
        <f t="shared" si="2296"/>
        <v/>
      </c>
      <c r="AG2970" s="699"/>
      <c r="AH2970" s="699"/>
      <c r="AI2970" s="512">
        <f>IF(H2970="credit",0,IF(AE2970="free",0,IF(AE2970="me",0,IF(G2970&gt;0,(VLOOKUP(A2970,'Discount Lookup'!J:K,2)*G2970),0))))</f>
        <v>0</v>
      </c>
      <c r="AJ2970" s="513" t="str">
        <f t="shared" ca="1" si="2297"/>
        <v/>
      </c>
      <c r="AK2970" s="700" t="str">
        <f t="shared" si="2298"/>
        <v/>
      </c>
      <c r="AL2970" s="700"/>
      <c r="AM2970" s="505" t="str">
        <f t="shared" si="2299"/>
        <v/>
      </c>
      <c r="AN2970" s="506"/>
      <c r="AO2970" s="507"/>
      <c r="AP2970" s="507"/>
      <c r="AQ2970" s="507"/>
      <c r="AR2970" s="507"/>
      <c r="AS2970" s="507"/>
      <c r="AT2970" s="507"/>
      <c r="AU2970" s="507"/>
      <c r="AV2970" s="225"/>
      <c r="AW2970" s="508"/>
      <c r="AX2970" s="225"/>
      <c r="AY2970" s="225"/>
      <c r="AZ2970" s="225"/>
      <c r="BA2970" s="225"/>
      <c r="BB2970" s="225"/>
      <c r="BC2970" s="56"/>
      <c r="BD2970" s="56"/>
      <c r="BE2970" s="56"/>
      <c r="BF2970" s="107" t="str">
        <f t="shared" si="2300"/>
        <v>https://www.google.com/search?tbm=isch&amp;q=3%20G6</v>
      </c>
      <c r="BG2970" s="107" t="str">
        <f t="shared" si="2301"/>
        <v>P</v>
      </c>
      <c r="BH2970" s="254"/>
      <c r="BI2970" s="254"/>
    </row>
    <row r="2971" spans="1:61" customFormat="1" ht="27" x14ac:dyDescent="0.25">
      <c r="A2971" s="485">
        <v>7</v>
      </c>
      <c r="B2971" s="486" t="s">
        <v>291</v>
      </c>
      <c r="C2971" s="487" t="s">
        <v>3707</v>
      </c>
      <c r="D2971" s="488" t="s">
        <v>292</v>
      </c>
      <c r="E2971" s="489">
        <v>104.95</v>
      </c>
      <c r="F2971" s="516" t="s">
        <v>293</v>
      </c>
      <c r="G2971" s="232">
        <v>0</v>
      </c>
      <c r="H2971" s="658" t="str">
        <f>IF(G2971=0,"",IF(F2971="Buy",IF(G2971=1,"plant","plants"),IF(F2971&gt;0.01,"warranty","Error")))</f>
        <v/>
      </c>
      <c r="I2971" s="490">
        <f>IF(H2971="free",0,IF(H2971="credit",((E2971*(F2971))*G2971*-1),IF(F2971="Buy",(E2971*G2971),((E2971*(1-F2971))*G2971))))</f>
        <v>0</v>
      </c>
      <c r="J2971" s="490">
        <f>IF(H2971="warranty",0,(I2971*(_xlfn.SINGLE(SalesTaxPercentage))))</f>
        <v>0</v>
      </c>
      <c r="K2971" s="695">
        <f t="shared" ref="K2971" si="2309">I2971+J2971</f>
        <v>0</v>
      </c>
      <c r="L2971" s="695"/>
      <c r="M2971" s="659" t="str">
        <f>IF(AND(G2971&gt;0,E2971=0),"WARNING - no PRICE inserted",IF(H2971="free"," FREE ~ no charge this plant",IF(H2971="credit",CONCATENATE(" -$",ROUND(K2971*(1-T2GDiscount)*-1,2)," CREDIT after discount"),IF(T2GDiscount=0,"",IF(G2971=0,"",IF(F2971="Buy",CONCATENATE(" $",ROUND(K2971*(1-T2GDiscount),2)," with ",(T2GDiscount*100),"% discount"),CONCATENATE(" $",ROUND(K2971*(1-T2GDiscount),2)," with ",((T2GDiscount*100+F2971*100)-(T2GDiscount*100*F2971)),IF(F2971&gt;0,"% discounts",IF(NoWarrantyDiscount&gt;0,"% discounts","% discount")))))))))</f>
        <v/>
      </c>
      <c r="N2971" s="660"/>
      <c r="O2971" s="233"/>
      <c r="P2971" s="233"/>
      <c r="Q2971" s="233"/>
      <c r="R2971" s="233"/>
      <c r="S2971" s="233"/>
      <c r="T2971" s="508">
        <f t="shared" si="2289"/>
        <v>0</v>
      </c>
      <c r="U2971" s="225">
        <f>IF(NOT(ISNUMBER(G2971)), "", VLOOKUP(A2971,'Discount Lookup'!D:E,2,FALSE)*G2971)</f>
        <v>0</v>
      </c>
      <c r="V2971" s="225">
        <f>IF(NOT(ISNUMBER(G2971)), "", VLOOKUP(A2971,'Discount Lookup'!G:H,2,FALSE)*G2971)</f>
        <v>0</v>
      </c>
      <c r="W2971" s="508">
        <f t="shared" si="2290"/>
        <v>0</v>
      </c>
      <c r="X2971" s="508">
        <f t="shared" si="2291"/>
        <v>0</v>
      </c>
      <c r="Y2971" s="509" t="b">
        <f t="shared" si="2292"/>
        <v>0</v>
      </c>
      <c r="Z2971" s="510">
        <f t="shared" si="2293"/>
        <v>0</v>
      </c>
      <c r="AA2971" s="511"/>
      <c r="AB2971" s="511" t="str">
        <f t="shared" si="2294"/>
        <v/>
      </c>
      <c r="AC2971" s="698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698"/>
      <c r="AE2971" s="631" t="str">
        <f t="shared" si="2295"/>
        <v/>
      </c>
      <c r="AF2971" s="699" t="str">
        <f t="shared" si="2296"/>
        <v/>
      </c>
      <c r="AG2971" s="699"/>
      <c r="AH2971" s="699"/>
      <c r="AI2971" s="512">
        <f>IF(H2971="credit",0,IF(AE2971="free",0,IF(AE2971="me",0,IF(G2971&gt;0,(VLOOKUP(A2971,'Discount Lookup'!J:K,2)*G2971),0))))</f>
        <v>0</v>
      </c>
      <c r="AJ2971" s="513" t="str">
        <f t="shared" ca="1" si="2297"/>
        <v/>
      </c>
      <c r="AK2971" s="700" t="str">
        <f t="shared" si="2298"/>
        <v/>
      </c>
      <c r="AL2971" s="700"/>
      <c r="AM2971" s="505" t="str">
        <f t="shared" si="2299"/>
        <v/>
      </c>
      <c r="AN2971" s="506"/>
      <c r="AO2971" s="507"/>
      <c r="AP2971" s="507"/>
      <c r="AQ2971" s="507"/>
      <c r="AR2971" s="507"/>
      <c r="AS2971" s="507"/>
      <c r="AT2971" s="507"/>
      <c r="AU2971" s="507"/>
      <c r="AV2971" s="225"/>
      <c r="AW2971" s="508"/>
      <c r="AX2971" s="225"/>
      <c r="AY2971" s="225"/>
      <c r="AZ2971" s="225"/>
      <c r="BA2971" s="225"/>
      <c r="BB2971" s="225"/>
      <c r="BC2971" s="56"/>
      <c r="BD2971" s="56"/>
      <c r="BE2971" s="56"/>
      <c r="BF2971" s="107" t="str">
        <f t="shared" si="2300"/>
        <v>https://www.google.com/search?tbm=isch&amp;q=7%20G4</v>
      </c>
      <c r="BG2971" s="107" t="str">
        <f t="shared" si="2301"/>
        <v>P</v>
      </c>
      <c r="BH2971" s="254"/>
      <c r="BI2971" s="254"/>
    </row>
    <row r="2972" spans="1:61" customFormat="1" ht="17.25" thickBot="1" x14ac:dyDescent="0.3">
      <c r="A2972" s="522" t="s">
        <v>2876</v>
      </c>
      <c r="B2972" s="491"/>
      <c r="C2972" s="675"/>
      <c r="D2972" s="491"/>
      <c r="E2972" s="491"/>
      <c r="F2972" s="492"/>
      <c r="G2972" s="493"/>
      <c r="H2972" s="491"/>
      <c r="I2972" s="234"/>
      <c r="J2972" s="234"/>
      <c r="K2972" s="494"/>
      <c r="L2972" s="543"/>
      <c r="M2972" s="561"/>
      <c r="N2972" s="495"/>
      <c r="O2972" s="496"/>
      <c r="P2972" s="497"/>
      <c r="Q2972" s="495"/>
      <c r="R2972" s="495"/>
      <c r="S2972" s="667" t="s">
        <v>5009</v>
      </c>
      <c r="T2972" s="508">
        <f t="shared" si="2289"/>
        <v>0</v>
      </c>
      <c r="U2972" s="225" t="str">
        <f>IF(NOT(ISNUMBER(G2972)), "", VLOOKUP(A2972,'Discount Lookup'!D:E,2,FALSE)*G2972)</f>
        <v/>
      </c>
      <c r="V2972" s="225" t="str">
        <f>IF(NOT(ISNUMBER(G2972)), "", VLOOKUP(A2972,'Discount Lookup'!G:H,2,FALSE)*G2972)</f>
        <v/>
      </c>
      <c r="W2972" s="508">
        <f t="shared" si="2290"/>
        <v>0</v>
      </c>
      <c r="X2972" s="508">
        <f t="shared" si="2291"/>
        <v>0</v>
      </c>
      <c r="Y2972" s="509" t="b">
        <f t="shared" si="2292"/>
        <v>0</v>
      </c>
      <c r="Z2972" s="510">
        <f t="shared" si="2293"/>
        <v>0</v>
      </c>
      <c r="AA2972" s="511"/>
      <c r="AB2972" s="511" t="str">
        <f t="shared" si="2294"/>
        <v/>
      </c>
      <c r="AC2972" s="698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698"/>
      <c r="AE2972" s="631" t="str">
        <f t="shared" si="2295"/>
        <v/>
      </c>
      <c r="AF2972" s="699" t="str">
        <f t="shared" si="2296"/>
        <v/>
      </c>
      <c r="AG2972" s="699"/>
      <c r="AH2972" s="699"/>
      <c r="AI2972" s="512">
        <f>IF(H2972="credit",0,IF(AE2972="free",0,IF(AE2972="me",0,IF(G2972&gt;0,(VLOOKUP(A2972,'Discount Lookup'!J:K,2)*G2972),0))))</f>
        <v>0</v>
      </c>
      <c r="AJ2972" s="513" t="str">
        <f t="shared" ca="1" si="2297"/>
        <v/>
      </c>
      <c r="AK2972" s="700" t="str">
        <f t="shared" si="2298"/>
        <v/>
      </c>
      <c r="AL2972" s="700"/>
      <c r="AM2972" s="505" t="str">
        <f t="shared" si="2299"/>
        <v/>
      </c>
      <c r="AN2972" s="506"/>
      <c r="AO2972" s="507"/>
      <c r="AP2972" s="507"/>
      <c r="AQ2972" s="507"/>
      <c r="AR2972" s="507"/>
      <c r="AS2972" s="507"/>
      <c r="AT2972" s="507"/>
      <c r="AU2972" s="507"/>
      <c r="AV2972" s="225"/>
      <c r="AW2972" s="508"/>
      <c r="AX2972" s="225"/>
      <c r="AY2972" s="225"/>
      <c r="AZ2972" s="225"/>
      <c r="BA2972" s="225"/>
      <c r="BB2972" s="225"/>
      <c r="BC2972" s="56"/>
      <c r="BD2972" s="56"/>
      <c r="BE2972" s="56"/>
      <c r="BF2972" s="107" t="str">
        <f t="shared" si="2300"/>
        <v>https://www.google.com/search?tbm=isch&amp;q=All%20Plum%20Yews%20have%20fine-textured%20foliage%20with%20brown%2C%20scaly%20bark.%20Slow%20growing%2C%20heat%20and%20shade%20tolerant%20</v>
      </c>
      <c r="BG2972" s="107" t="str">
        <f t="shared" si="2301"/>
        <v>A</v>
      </c>
      <c r="BH2972" s="254"/>
      <c r="BI2972" s="254"/>
    </row>
    <row r="2973" spans="1:61" customFormat="1" ht="18" x14ac:dyDescent="0.25">
      <c r="A2973" s="523" t="s">
        <v>5505</v>
      </c>
      <c r="B2973" s="235"/>
      <c r="C2973" s="676"/>
      <c r="D2973" s="255" t="s">
        <v>1566</v>
      </c>
      <c r="E2973" s="236"/>
      <c r="F2973" s="236"/>
      <c r="G2973" s="236"/>
      <c r="H2973" s="582" t="s">
        <v>1565</v>
      </c>
      <c r="I2973" s="498" t="s">
        <v>3157</v>
      </c>
      <c r="J2973" s="237"/>
      <c r="K2973" s="237"/>
      <c r="L2973" s="274"/>
      <c r="M2973" s="668" t="s">
        <v>4962</v>
      </c>
      <c r="N2973" s="681" t="str">
        <f>IF(AND(ISTEXT($A2973), ISERROR($A2973+0)), HYPERLINK($BF2973, "Images"), "")</f>
        <v>Images</v>
      </c>
      <c r="O2973" s="663" t="s">
        <v>4969</v>
      </c>
      <c r="P2973" s="253"/>
      <c r="Q2973" s="238"/>
      <c r="R2973" s="239"/>
      <c r="S2973" s="275"/>
      <c r="T2973" s="508">
        <f t="shared" si="2289"/>
        <v>0</v>
      </c>
      <c r="U2973" s="225" t="str">
        <f>IF(NOT(ISNUMBER(G2973)), "", VLOOKUP(A2973,'Discount Lookup'!D:E,2,FALSE)*G2973)</f>
        <v/>
      </c>
      <c r="V2973" s="225" t="str">
        <f>IF(NOT(ISNUMBER(G2973)), "", VLOOKUP(A2973,'Discount Lookup'!G:H,2,FALSE)*G2973)</f>
        <v/>
      </c>
      <c r="W2973" s="508">
        <f t="shared" si="2290"/>
        <v>0</v>
      </c>
      <c r="X2973" s="508" t="str">
        <f t="shared" si="2291"/>
        <v>True-Blue bloom. Yellow-Orange eye</v>
      </c>
      <c r="Y2973" s="509" t="b">
        <f t="shared" si="2292"/>
        <v>0</v>
      </c>
      <c r="Z2973" s="510">
        <f t="shared" si="2293"/>
        <v>0</v>
      </c>
      <c r="AA2973" s="511"/>
      <c r="AB2973" s="511" t="str">
        <f t="shared" si="2294"/>
        <v/>
      </c>
      <c r="AC2973" s="698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698"/>
      <c r="AE2973" s="631" t="str">
        <f t="shared" si="2295"/>
        <v/>
      </c>
      <c r="AF2973" s="699" t="str">
        <f t="shared" si="2296"/>
        <v/>
      </c>
      <c r="AG2973" s="699"/>
      <c r="AH2973" s="699"/>
      <c r="AI2973" s="512">
        <f>IF(H2973="credit",0,IF(AE2973="free",0,IF(AE2973="me",0,IF(G2973&gt;0,(VLOOKUP(A2973,'Discount Lookup'!J:K,2)*G2973),0))))</f>
        <v>0</v>
      </c>
      <c r="AJ2973" s="513" t="str">
        <f t="shared" ca="1" si="2297"/>
        <v/>
      </c>
      <c r="AK2973" s="700" t="str">
        <f t="shared" si="2298"/>
        <v/>
      </c>
      <c r="AL2973" s="700"/>
      <c r="AM2973" s="505" t="str">
        <f t="shared" si="2299"/>
        <v/>
      </c>
      <c r="AN2973" s="506"/>
      <c r="AO2973" s="507"/>
      <c r="AP2973" s="507"/>
      <c r="AQ2973" s="507"/>
      <c r="AR2973" s="507"/>
      <c r="AS2973" s="507"/>
      <c r="AT2973" s="507"/>
      <c r="AU2973" s="507"/>
      <c r="AV2973" s="225"/>
      <c r="AW2973" s="508"/>
      <c r="AX2973" s="225"/>
      <c r="AY2973" s="225"/>
      <c r="AZ2973" s="225"/>
      <c r="BA2973" s="225"/>
      <c r="BB2973" s="225"/>
      <c r="BC2973" s="56"/>
      <c r="BD2973" s="56"/>
      <c r="BE2973" s="56"/>
      <c r="BF2973" s="107" t="str">
        <f t="shared" si="2300"/>
        <v>https://www.google.com/search?tbm=isch&amp;q=Pugster%20Blue%C2%AE%20Butterfly%20Bush%20Buddleia%20%27SMNBDBT%27%20PP%2328794</v>
      </c>
      <c r="BG2973" s="107" t="str">
        <f t="shared" si="2301"/>
        <v>P</v>
      </c>
      <c r="BH2973" s="254"/>
      <c r="BI2973" s="254"/>
    </row>
    <row r="2974" spans="1:61" customFormat="1" ht="15.75" x14ac:dyDescent="0.25">
      <c r="A2974" s="276">
        <v>3</v>
      </c>
      <c r="B2974" s="240" t="s">
        <v>291</v>
      </c>
      <c r="C2974" s="241" t="s">
        <v>4803</v>
      </c>
      <c r="D2974" s="242" t="s">
        <v>292</v>
      </c>
      <c r="E2974" s="243">
        <v>39.950000000000003</v>
      </c>
      <c r="F2974" s="517" t="s">
        <v>293</v>
      </c>
      <c r="G2974" s="232">
        <v>0</v>
      </c>
      <c r="H2974" s="661" t="str">
        <f>IF(G2974=0,"",IF(F2974="Buy",IF(G2974=1,"plant","plants"),IF(F2974&gt;0.01,"warranty","Error")))</f>
        <v/>
      </c>
      <c r="I2974" s="244">
        <f>IF(H2974="free",0,IF(H2974="credit",((E2974*(F2974))*G2974*-1),IF(F2974="Buy",(E2974*G2974),((E2974*(1-F2974))*G2974))))</f>
        <v>0</v>
      </c>
      <c r="J2974" s="244">
        <f>IF(H2974="warranty",0,(I2974*(_xlfn.SINGLE(SalesTaxPercentage))))</f>
        <v>0</v>
      </c>
      <c r="K2974" s="696">
        <f t="shared" ref="K2974" si="2310">I2974+J2974</f>
        <v>0</v>
      </c>
      <c r="L2974" s="696"/>
      <c r="M2974" s="659" t="str">
        <f>IF(AND(G2974&gt;0,E2974=0),"WARNING - no PRICE inserted",IF(H2974="free"," FREE ~ no charge this plant",IF(H2974="credit",CONCATENATE(" -$",ROUND(K2974*(1-T2GDiscount)*-1,2)," CREDIT after discount"),IF(T2GDiscount=0,"",IF(G2974=0,"",IF(F2974="Buy",CONCATENATE(" $",ROUND(K2974*(1-T2GDiscount),2)," with ",(T2GDiscount*100),"% discount"),CONCATENATE(" $",ROUND(K2974*(1-T2GDiscount),2)," with ",((T2GDiscount*100+F2974*100)-(T2GDiscount*100*F2974)),IF(F2974&gt;0,"% discounts",IF(NoWarrantyDiscount&gt;0,"% discounts","% discount")))))))))</f>
        <v/>
      </c>
      <c r="N2974" s="660"/>
      <c r="O2974" s="233"/>
      <c r="P2974" s="233"/>
      <c r="Q2974" s="233"/>
      <c r="R2974" s="233"/>
      <c r="S2974" s="233"/>
      <c r="T2974" s="508">
        <f t="shared" si="2289"/>
        <v>0</v>
      </c>
      <c r="U2974" s="225">
        <f>IF(NOT(ISNUMBER(G2974)), "", VLOOKUP(A2974,'Discount Lookup'!D:E,2,FALSE)*G2974)</f>
        <v>0</v>
      </c>
      <c r="V2974" s="225">
        <f>IF(NOT(ISNUMBER(G2974)), "", VLOOKUP(A2974,'Discount Lookup'!G:H,2,FALSE)*G2974)</f>
        <v>0</v>
      </c>
      <c r="W2974" s="508">
        <f t="shared" si="2290"/>
        <v>0</v>
      </c>
      <c r="X2974" s="508">
        <f t="shared" si="2291"/>
        <v>0</v>
      </c>
      <c r="Y2974" s="509" t="b">
        <f t="shared" si="2292"/>
        <v>0</v>
      </c>
      <c r="Z2974" s="510">
        <f t="shared" si="2293"/>
        <v>0</v>
      </c>
      <c r="AA2974" s="511"/>
      <c r="AB2974" s="511" t="str">
        <f t="shared" si="2294"/>
        <v/>
      </c>
      <c r="AC2974" s="698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698"/>
      <c r="AE2974" s="631" t="str">
        <f t="shared" si="2295"/>
        <v/>
      </c>
      <c r="AF2974" s="699" t="str">
        <f t="shared" si="2296"/>
        <v/>
      </c>
      <c r="AG2974" s="699"/>
      <c r="AH2974" s="699"/>
      <c r="AI2974" s="512">
        <f>IF(H2974="credit",0,IF(AE2974="free",0,IF(AE2974="me",0,IF(G2974&gt;0,(VLOOKUP(A2974,'Discount Lookup'!J:K,2)*G2974),0))))</f>
        <v>0</v>
      </c>
      <c r="AJ2974" s="513" t="str">
        <f t="shared" ca="1" si="2297"/>
        <v/>
      </c>
      <c r="AK2974" s="700" t="str">
        <f t="shared" si="2298"/>
        <v/>
      </c>
      <c r="AL2974" s="700"/>
      <c r="AM2974" s="505" t="str">
        <f t="shared" si="2299"/>
        <v/>
      </c>
      <c r="AN2974" s="506"/>
      <c r="AO2974" s="507"/>
      <c r="AP2974" s="507"/>
      <c r="AQ2974" s="507"/>
      <c r="AR2974" s="507"/>
      <c r="AS2974" s="507"/>
      <c r="AT2974" s="507"/>
      <c r="AU2974" s="507"/>
      <c r="AV2974" s="225"/>
      <c r="AW2974" s="508"/>
      <c r="AX2974" s="225"/>
      <c r="AY2974" s="225"/>
      <c r="AZ2974" s="225"/>
      <c r="BA2974" s="225"/>
      <c r="BB2974" s="225"/>
      <c r="BC2974" s="56"/>
      <c r="BD2974" s="56"/>
      <c r="BE2974" s="56"/>
      <c r="BF2974" s="107" t="str">
        <f t="shared" si="2300"/>
        <v>https://www.google.com/search?tbm=isch&amp;q=3%20G4</v>
      </c>
      <c r="BG2974" s="107" t="str">
        <f t="shared" si="2301"/>
        <v>P</v>
      </c>
      <c r="BH2974" s="254"/>
      <c r="BI2974" s="254"/>
    </row>
    <row r="2975" spans="1:61" customFormat="1" ht="15.75" x14ac:dyDescent="0.25">
      <c r="A2975" s="276">
        <v>3</v>
      </c>
      <c r="B2975" s="240" t="s">
        <v>291</v>
      </c>
      <c r="C2975" s="241" t="s">
        <v>4804</v>
      </c>
      <c r="D2975" s="242" t="s">
        <v>312</v>
      </c>
      <c r="E2975" s="243">
        <v>41.95</v>
      </c>
      <c r="F2975" s="517" t="s">
        <v>293</v>
      </c>
      <c r="G2975" s="232">
        <v>0</v>
      </c>
      <c r="H2975" s="661" t="str">
        <f>IF(G2975=0,"",IF(F2975="Buy",IF(G2975=1,"plant","plants"),IF(F2975&gt;0.01,"warranty","Error")))</f>
        <v/>
      </c>
      <c r="I2975" s="244">
        <f>IF(H2975="free",0,IF(H2975="credit",((E2975*(F2975))*G2975*-1),IF(F2975="Buy",(E2975*G2975),((E2975*(1-F2975))*G2975))))</f>
        <v>0</v>
      </c>
      <c r="J2975" s="244">
        <f>IF(H2975="warranty",0,(I2975*(_xlfn.SINGLE(SalesTaxPercentage))))</f>
        <v>0</v>
      </c>
      <c r="K2975" s="696">
        <f t="shared" ref="K2975" si="2311">I2975+J2975</f>
        <v>0</v>
      </c>
      <c r="L2975" s="696"/>
      <c r="M2975" s="659" t="str">
        <f>IF(AND(G2975&gt;0,E2975=0),"WARNING - no PRICE inserted",IF(H2975="free"," FREE ~ no charge this plant",IF(H2975="credit",CONCATENATE(" -$",ROUND(K2975*(1-T2GDiscount)*-1,2)," CREDIT after discount"),IF(T2GDiscount=0,"",IF(G2975=0,"",IF(F2975="Buy",CONCATENATE(" $",ROUND(K2975*(1-T2GDiscount),2)," with ",(T2GDiscount*100),"% discount"),CONCATENATE(" $",ROUND(K2975*(1-T2GDiscount),2)," with ",((T2GDiscount*100+F2975*100)-(T2GDiscount*100*F2975)),IF(F2975&gt;0,"% discounts",IF(NoWarrantyDiscount&gt;0,"% discounts","% discount")))))))))</f>
        <v/>
      </c>
      <c r="N2975" s="660"/>
      <c r="O2975" s="233"/>
      <c r="P2975" s="233"/>
      <c r="Q2975" s="233"/>
      <c r="R2975" s="233"/>
      <c r="S2975" s="233"/>
      <c r="T2975" s="508">
        <f t="shared" si="2289"/>
        <v>0</v>
      </c>
      <c r="U2975" s="225">
        <f>IF(NOT(ISNUMBER(G2975)), "", VLOOKUP(A2975,'Discount Lookup'!D:E,2,FALSE)*G2975)</f>
        <v>0</v>
      </c>
      <c r="V2975" s="225">
        <f>IF(NOT(ISNUMBER(G2975)), "", VLOOKUP(A2975,'Discount Lookup'!G:H,2,FALSE)*G2975)</f>
        <v>0</v>
      </c>
      <c r="W2975" s="508">
        <f t="shared" si="2290"/>
        <v>0</v>
      </c>
      <c r="X2975" s="508">
        <f t="shared" si="2291"/>
        <v>0</v>
      </c>
      <c r="Y2975" s="509" t="b">
        <f t="shared" si="2292"/>
        <v>0</v>
      </c>
      <c r="Z2975" s="510">
        <f t="shared" si="2293"/>
        <v>0</v>
      </c>
      <c r="AA2975" s="511"/>
      <c r="AB2975" s="511" t="str">
        <f t="shared" si="2294"/>
        <v/>
      </c>
      <c r="AC2975" s="698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698"/>
      <c r="AE2975" s="631" t="str">
        <f t="shared" si="2295"/>
        <v/>
      </c>
      <c r="AF2975" s="699" t="str">
        <f t="shared" si="2296"/>
        <v/>
      </c>
      <c r="AG2975" s="699"/>
      <c r="AH2975" s="699"/>
      <c r="AI2975" s="512">
        <f>IF(H2975="credit",0,IF(AE2975="free",0,IF(AE2975="me",0,IF(G2975&gt;0,(VLOOKUP(A2975,'Discount Lookup'!J:K,2)*G2975),0))))</f>
        <v>0</v>
      </c>
      <c r="AJ2975" s="513" t="str">
        <f t="shared" ca="1" si="2297"/>
        <v/>
      </c>
      <c r="AK2975" s="700" t="str">
        <f t="shared" si="2298"/>
        <v/>
      </c>
      <c r="AL2975" s="700"/>
      <c r="AM2975" s="505" t="str">
        <f t="shared" si="2299"/>
        <v/>
      </c>
      <c r="AN2975" s="506"/>
      <c r="AO2975" s="507"/>
      <c r="AP2975" s="507"/>
      <c r="AQ2975" s="507"/>
      <c r="AR2975" s="507"/>
      <c r="AS2975" s="507"/>
      <c r="AT2975" s="507"/>
      <c r="AU2975" s="507"/>
      <c r="AV2975" s="225"/>
      <c r="AW2975" s="508"/>
      <c r="AX2975" s="225"/>
      <c r="AY2975" s="225"/>
      <c r="AZ2975" s="225"/>
      <c r="BA2975" s="225"/>
      <c r="BB2975" s="225"/>
      <c r="BC2975" s="56"/>
      <c r="BD2975" s="56"/>
      <c r="BE2975" s="56"/>
      <c r="BF2975" s="107" t="str">
        <f t="shared" si="2300"/>
        <v>https://www.google.com/search?tbm=isch&amp;q=3%20G2</v>
      </c>
      <c r="BG2975" s="107" t="str">
        <f t="shared" si="2301"/>
        <v>P</v>
      </c>
      <c r="BH2975" s="254"/>
      <c r="BI2975" s="254"/>
    </row>
    <row r="2976" spans="1:61" customFormat="1" ht="15.75" x14ac:dyDescent="0.25">
      <c r="A2976" s="276">
        <v>3</v>
      </c>
      <c r="B2976" s="240" t="s">
        <v>291</v>
      </c>
      <c r="C2976" s="241" t="s">
        <v>4011</v>
      </c>
      <c r="D2976" s="242" t="s">
        <v>299</v>
      </c>
      <c r="E2976" s="243">
        <v>42.95</v>
      </c>
      <c r="F2976" s="517" t="s">
        <v>293</v>
      </c>
      <c r="G2976" s="232">
        <v>0</v>
      </c>
      <c r="H2976" s="661" t="str">
        <f>IF(G2976=0,"",IF(F2976="Buy",IF(G2976=1,"plant","plants"),IF(F2976&gt;0.01,"warranty","Error")))</f>
        <v/>
      </c>
      <c r="I2976" s="244">
        <f>IF(H2976="free",0,IF(H2976="credit",((E2976*(F2976))*G2976*-1),IF(F2976="Buy",(E2976*G2976),((E2976*(1-F2976))*G2976))))</f>
        <v>0</v>
      </c>
      <c r="J2976" s="244">
        <f>IF(H2976="warranty",0,(I2976*(_xlfn.SINGLE(SalesTaxPercentage))))</f>
        <v>0</v>
      </c>
      <c r="K2976" s="696">
        <f t="shared" ref="K2976" si="2312">I2976+J2976</f>
        <v>0</v>
      </c>
      <c r="L2976" s="696"/>
      <c r="M2976" s="659" t="str">
        <f>IF(AND(G2976&gt;0,E2976=0),"WARNING - no PRICE inserted",IF(H2976="free"," FREE ~ no charge this plant",IF(H2976="credit",CONCATENATE(" -$",ROUND(K2976*(1-T2GDiscount)*-1,2)," CREDIT after discount"),IF(T2GDiscount=0,"",IF(G2976=0,"",IF(F2976="Buy",CONCATENATE(" $",ROUND(K2976*(1-T2GDiscount),2)," with ",(T2GDiscount*100),"% discount"),CONCATENATE(" $",ROUND(K2976*(1-T2GDiscount),2)," with ",((T2GDiscount*100+F2976*100)-(T2GDiscount*100*F2976)),IF(F2976&gt;0,"% discounts",IF(NoWarrantyDiscount&gt;0,"% discounts","% discount")))))))))</f>
        <v/>
      </c>
      <c r="N2976" s="660"/>
      <c r="O2976" s="233"/>
      <c r="P2976" s="233"/>
      <c r="Q2976" s="233"/>
      <c r="R2976" s="233"/>
      <c r="S2976" s="233"/>
      <c r="T2976" s="508">
        <f t="shared" si="2289"/>
        <v>0</v>
      </c>
      <c r="U2976" s="225">
        <f>IF(NOT(ISNUMBER(G2976)), "", VLOOKUP(A2976,'Discount Lookup'!D:E,2,FALSE)*G2976)</f>
        <v>0</v>
      </c>
      <c r="V2976" s="225">
        <f>IF(NOT(ISNUMBER(G2976)), "", VLOOKUP(A2976,'Discount Lookup'!G:H,2,FALSE)*G2976)</f>
        <v>0</v>
      </c>
      <c r="W2976" s="508">
        <f t="shared" si="2290"/>
        <v>0</v>
      </c>
      <c r="X2976" s="508">
        <f t="shared" si="2291"/>
        <v>0</v>
      </c>
      <c r="Y2976" s="509" t="b">
        <f t="shared" si="2292"/>
        <v>0</v>
      </c>
      <c r="Z2976" s="510">
        <f t="shared" si="2293"/>
        <v>0</v>
      </c>
      <c r="AA2976" s="511"/>
      <c r="AB2976" s="511" t="str">
        <f t="shared" si="2294"/>
        <v/>
      </c>
      <c r="AC2976" s="698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698"/>
      <c r="AE2976" s="631" t="str">
        <f t="shared" si="2295"/>
        <v/>
      </c>
      <c r="AF2976" s="699" t="str">
        <f t="shared" si="2296"/>
        <v/>
      </c>
      <c r="AG2976" s="699"/>
      <c r="AH2976" s="699"/>
      <c r="AI2976" s="512">
        <f>IF(H2976="credit",0,IF(AE2976="free",0,IF(AE2976="me",0,IF(G2976&gt;0,(VLOOKUP(A2976,'Discount Lookup'!J:K,2)*G2976),0))))</f>
        <v>0</v>
      </c>
      <c r="AJ2976" s="513" t="str">
        <f t="shared" ca="1" si="2297"/>
        <v/>
      </c>
      <c r="AK2976" s="700" t="str">
        <f t="shared" si="2298"/>
        <v/>
      </c>
      <c r="AL2976" s="700"/>
      <c r="AM2976" s="505" t="str">
        <f t="shared" si="2299"/>
        <v/>
      </c>
      <c r="AN2976" s="506"/>
      <c r="AO2976" s="507"/>
      <c r="AP2976" s="507"/>
      <c r="AQ2976" s="507"/>
      <c r="AR2976" s="507"/>
      <c r="AS2976" s="507"/>
      <c r="AT2976" s="507"/>
      <c r="AU2976" s="507"/>
      <c r="AV2976" s="225"/>
      <c r="AW2976" s="508"/>
      <c r="AX2976" s="225"/>
      <c r="AY2976" s="225"/>
      <c r="AZ2976" s="225"/>
      <c r="BA2976" s="225"/>
      <c r="BB2976" s="225"/>
      <c r="BC2976" s="56"/>
      <c r="BD2976" s="56"/>
      <c r="BE2976" s="56"/>
      <c r="BF2976" s="107" t="str">
        <f t="shared" si="2300"/>
        <v>https://www.google.com/search?tbm=isch&amp;q=3%20G5</v>
      </c>
      <c r="BG2976" s="107" t="str">
        <f t="shared" si="2301"/>
        <v>P</v>
      </c>
      <c r="BH2976" s="254"/>
      <c r="BI2976" s="254"/>
    </row>
    <row r="2977" spans="1:61" customFormat="1" ht="17.25" thickBot="1" x14ac:dyDescent="0.3">
      <c r="A2977" s="524" t="s">
        <v>4151</v>
      </c>
      <c r="B2977" s="245"/>
      <c r="C2977" s="677"/>
      <c r="D2977" s="499"/>
      <c r="E2977" s="499"/>
      <c r="F2977" s="500"/>
      <c r="G2977" s="501"/>
      <c r="H2977" s="502"/>
      <c r="I2977" s="246"/>
      <c r="J2977" s="247"/>
      <c r="K2977" s="503"/>
      <c r="L2977" s="544"/>
      <c r="M2977" s="544"/>
      <c r="N2977" s="500"/>
      <c r="O2977" s="500"/>
      <c r="P2977" s="500"/>
      <c r="Q2977" s="500"/>
      <c r="R2977" s="500"/>
      <c r="S2977" s="669" t="s">
        <v>4999</v>
      </c>
      <c r="T2977" s="508">
        <f t="shared" si="2289"/>
        <v>0</v>
      </c>
      <c r="U2977" s="225" t="str">
        <f>IF(NOT(ISNUMBER(G2977)), "", VLOOKUP(A2977,'Discount Lookup'!D:E,2,FALSE)*G2977)</f>
        <v/>
      </c>
      <c r="V2977" s="225" t="str">
        <f>IF(NOT(ISNUMBER(G2977)), "", VLOOKUP(A2977,'Discount Lookup'!G:H,2,FALSE)*G2977)</f>
        <v/>
      </c>
      <c r="W2977" s="508">
        <f t="shared" si="2290"/>
        <v>0</v>
      </c>
      <c r="X2977" s="508">
        <f t="shared" si="2291"/>
        <v>0</v>
      </c>
      <c r="Y2977" s="509" t="b">
        <f t="shared" si="2292"/>
        <v>0</v>
      </c>
      <c r="Z2977" s="510">
        <f t="shared" si="2293"/>
        <v>0</v>
      </c>
      <c r="AA2977" s="511"/>
      <c r="AB2977" s="511" t="str">
        <f t="shared" si="2294"/>
        <v/>
      </c>
      <c r="AC2977" s="698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698"/>
      <c r="AE2977" s="631" t="str">
        <f t="shared" si="2295"/>
        <v/>
      </c>
      <c r="AF2977" s="699" t="str">
        <f t="shared" si="2296"/>
        <v/>
      </c>
      <c r="AG2977" s="699"/>
      <c r="AH2977" s="699"/>
      <c r="AI2977" s="512">
        <f>IF(H2977="credit",0,IF(AE2977="free",0,IF(AE2977="me",0,IF(G2977&gt;0,(VLOOKUP(A2977,'Discount Lookup'!J:K,2)*G2977),0))))</f>
        <v>0</v>
      </c>
      <c r="AJ2977" s="513" t="str">
        <f t="shared" ca="1" si="2297"/>
        <v/>
      </c>
      <c r="AK2977" s="700" t="str">
        <f t="shared" si="2298"/>
        <v/>
      </c>
      <c r="AL2977" s="700"/>
      <c r="AM2977" s="505" t="str">
        <f t="shared" si="2299"/>
        <v/>
      </c>
      <c r="AN2977" s="506"/>
      <c r="AO2977" s="507"/>
      <c r="AP2977" s="507"/>
      <c r="AQ2977" s="507"/>
      <c r="AR2977" s="507"/>
      <c r="AS2977" s="507"/>
      <c r="AT2977" s="507"/>
      <c r="AU2977" s="507"/>
      <c r="AV2977" s="225"/>
      <c r="AW2977" s="508"/>
      <c r="AX2977" s="225"/>
      <c r="AY2977" s="225"/>
      <c r="AZ2977" s="225"/>
      <c r="BA2977" s="225"/>
      <c r="BB2977" s="225"/>
      <c r="BC2977" s="56"/>
      <c r="BD2977" s="56"/>
      <c r="BE2977" s="56"/>
      <c r="BF2977" s="107" t="str">
        <f t="shared" si="2300"/>
        <v>https://www.google.com/search?tbm=isch&amp;q=Pugster%20Blue%20has%20Green%20foliage%20and%20a%20fragrance.%20All%20BB%20bloom%20summer%20to%20frost%2C%20on%20new%20wood%2C%20so%20cut%20back%20hard%20late%20winter%20</v>
      </c>
      <c r="BG2977" s="107" t="str">
        <f t="shared" si="2301"/>
        <v>P</v>
      </c>
      <c r="BH2977" s="254"/>
      <c r="BI2977" s="254"/>
    </row>
    <row r="2978" spans="1:61" customFormat="1" ht="18" x14ac:dyDescent="0.25">
      <c r="A2978" s="523" t="s">
        <v>5506</v>
      </c>
      <c r="B2978" s="235"/>
      <c r="C2978" s="676"/>
      <c r="D2978" s="255" t="s">
        <v>1567</v>
      </c>
      <c r="E2978" s="236"/>
      <c r="F2978" s="236"/>
      <c r="G2978" s="236"/>
      <c r="H2978" s="582" t="s">
        <v>1565</v>
      </c>
      <c r="I2978" s="498" t="s">
        <v>1568</v>
      </c>
      <c r="J2978" s="237"/>
      <c r="K2978" s="237"/>
      <c r="L2978" s="274"/>
      <c r="M2978" s="668" t="s">
        <v>4962</v>
      </c>
      <c r="N2978" s="681" t="str">
        <f>IF(AND(ISTEXT($A2978), ISERROR($A2978+0)), HYPERLINK($BF2978, "Images"), "")</f>
        <v>Images</v>
      </c>
      <c r="O2978" s="663" t="s">
        <v>4969</v>
      </c>
      <c r="P2978" s="253"/>
      <c r="Q2978" s="238"/>
      <c r="R2978" s="239"/>
      <c r="S2978" s="275"/>
      <c r="T2978" s="508">
        <f t="shared" si="2289"/>
        <v>0</v>
      </c>
      <c r="U2978" s="225" t="str">
        <f>IF(NOT(ISNUMBER(G2978)), "", VLOOKUP(A2978,'Discount Lookup'!D:E,2,FALSE)*G2978)</f>
        <v/>
      </c>
      <c r="V2978" s="225" t="str">
        <f>IF(NOT(ISNUMBER(G2978)), "", VLOOKUP(A2978,'Discount Lookup'!G:H,2,FALSE)*G2978)</f>
        <v/>
      </c>
      <c r="W2978" s="508">
        <f t="shared" si="2290"/>
        <v>0</v>
      </c>
      <c r="X2978" s="508" t="str">
        <f t="shared" si="2291"/>
        <v>Taffy-Pink bloom</v>
      </c>
      <c r="Y2978" s="509" t="b">
        <f t="shared" si="2292"/>
        <v>0</v>
      </c>
      <c r="Z2978" s="510">
        <f t="shared" si="2293"/>
        <v>0</v>
      </c>
      <c r="AA2978" s="511"/>
      <c r="AB2978" s="511" t="str">
        <f t="shared" si="2294"/>
        <v/>
      </c>
      <c r="AC2978" s="698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698"/>
      <c r="AE2978" s="631" t="str">
        <f t="shared" si="2295"/>
        <v/>
      </c>
      <c r="AF2978" s="699" t="str">
        <f t="shared" si="2296"/>
        <v/>
      </c>
      <c r="AG2978" s="699"/>
      <c r="AH2978" s="699"/>
      <c r="AI2978" s="512">
        <f>IF(H2978="credit",0,IF(AE2978="free",0,IF(AE2978="me",0,IF(G2978&gt;0,(VLOOKUP(A2978,'Discount Lookup'!J:K,2)*G2978),0))))</f>
        <v>0</v>
      </c>
      <c r="AJ2978" s="513" t="str">
        <f t="shared" ca="1" si="2297"/>
        <v/>
      </c>
      <c r="AK2978" s="700" t="str">
        <f t="shared" si="2298"/>
        <v/>
      </c>
      <c r="AL2978" s="700"/>
      <c r="AM2978" s="505" t="str">
        <f t="shared" si="2299"/>
        <v/>
      </c>
      <c r="AN2978" s="506"/>
      <c r="AO2978" s="507"/>
      <c r="AP2978" s="507"/>
      <c r="AQ2978" s="507"/>
      <c r="AR2978" s="507"/>
      <c r="AS2978" s="507"/>
      <c r="AT2978" s="507"/>
      <c r="AU2978" s="507"/>
      <c r="AV2978" s="225"/>
      <c r="AW2978" s="508"/>
      <c r="AX2978" s="225"/>
      <c r="AY2978" s="225"/>
      <c r="AZ2978" s="225"/>
      <c r="BA2978" s="225"/>
      <c r="BB2978" s="225"/>
      <c r="BC2978" s="56"/>
      <c r="BD2978" s="56"/>
      <c r="BE2978" s="56"/>
      <c r="BF2978" s="107" t="str">
        <f t="shared" si="2300"/>
        <v>https://www.google.com/search?tbm=isch&amp;q=Pugster%20Pink%C2%AE%20Butterfly%20Bush%20Buddleia%20%27SMNBDB%27%20PP%2333565</v>
      </c>
      <c r="BG2978" s="107" t="str">
        <f t="shared" si="2301"/>
        <v>P</v>
      </c>
      <c r="BH2978" s="254"/>
      <c r="BI2978" s="254"/>
    </row>
    <row r="2979" spans="1:61" customFormat="1" ht="15.75" x14ac:dyDescent="0.25">
      <c r="A2979" s="276">
        <v>3</v>
      </c>
      <c r="B2979" s="240" t="s">
        <v>291</v>
      </c>
      <c r="C2979" s="241" t="s">
        <v>4716</v>
      </c>
      <c r="D2979" s="242" t="s">
        <v>312</v>
      </c>
      <c r="E2979" s="243">
        <v>41.95</v>
      </c>
      <c r="F2979" s="517" t="s">
        <v>293</v>
      </c>
      <c r="G2979" s="232">
        <v>0</v>
      </c>
      <c r="H2979" s="661" t="str">
        <f>IF(G2979=0,"",IF(F2979="Buy",IF(G2979=1,"plant","plants"),IF(F2979&gt;0.01,"warranty","Error")))</f>
        <v/>
      </c>
      <c r="I2979" s="244">
        <f>IF(H2979="free",0,IF(H2979="credit",((E2979*(F2979))*G2979*-1),IF(F2979="Buy",(E2979*G2979),((E2979*(1-F2979))*G2979))))</f>
        <v>0</v>
      </c>
      <c r="J2979" s="244">
        <f>IF(H2979="warranty",0,(I2979*(_xlfn.SINGLE(SalesTaxPercentage))))</f>
        <v>0</v>
      </c>
      <c r="K2979" s="696">
        <f t="shared" ref="K2979" si="2313">I2979+J2979</f>
        <v>0</v>
      </c>
      <c r="L2979" s="696"/>
      <c r="M2979" s="659" t="str">
        <f>IF(AND(G2979&gt;0,E2979=0),"WARNING - no PRICE inserted",IF(H2979="free"," FREE ~ no charge this plant",IF(H2979="credit",CONCATENATE(" -$",ROUND(K2979*(1-T2GDiscount)*-1,2)," CREDIT after discount"),IF(T2GDiscount=0,"",IF(G2979=0,"",IF(F2979="Buy",CONCATENATE(" $",ROUND(K2979*(1-T2GDiscount),2)," with ",(T2GDiscount*100),"% discount"),CONCATENATE(" $",ROUND(K2979*(1-T2GDiscount),2)," with ",((T2GDiscount*100+F2979*100)-(T2GDiscount*100*F2979)),IF(F2979&gt;0,"% discounts",IF(NoWarrantyDiscount&gt;0,"% discounts","% discount")))))))))</f>
        <v/>
      </c>
      <c r="N2979" s="660"/>
      <c r="O2979" s="233"/>
      <c r="P2979" s="233"/>
      <c r="Q2979" s="233"/>
      <c r="R2979" s="233"/>
      <c r="S2979" s="233"/>
      <c r="T2979" s="508">
        <f t="shared" si="2289"/>
        <v>0</v>
      </c>
      <c r="U2979" s="225">
        <f>IF(NOT(ISNUMBER(G2979)), "", VLOOKUP(A2979,'Discount Lookup'!D:E,2,FALSE)*G2979)</f>
        <v>0</v>
      </c>
      <c r="V2979" s="225">
        <f>IF(NOT(ISNUMBER(G2979)), "", VLOOKUP(A2979,'Discount Lookup'!G:H,2,FALSE)*G2979)</f>
        <v>0</v>
      </c>
      <c r="W2979" s="508">
        <f t="shared" si="2290"/>
        <v>0</v>
      </c>
      <c r="X2979" s="508">
        <f t="shared" si="2291"/>
        <v>0</v>
      </c>
      <c r="Y2979" s="509" t="b">
        <f t="shared" si="2292"/>
        <v>0</v>
      </c>
      <c r="Z2979" s="510">
        <f t="shared" si="2293"/>
        <v>0</v>
      </c>
      <c r="AA2979" s="511"/>
      <c r="AB2979" s="511" t="str">
        <f t="shared" si="2294"/>
        <v/>
      </c>
      <c r="AC2979" s="698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698"/>
      <c r="AE2979" s="631" t="str">
        <f t="shared" si="2295"/>
        <v/>
      </c>
      <c r="AF2979" s="699" t="str">
        <f t="shared" si="2296"/>
        <v/>
      </c>
      <c r="AG2979" s="699"/>
      <c r="AH2979" s="699"/>
      <c r="AI2979" s="512">
        <f>IF(H2979="credit",0,IF(AE2979="free",0,IF(AE2979="me",0,IF(G2979&gt;0,(VLOOKUP(A2979,'Discount Lookup'!J:K,2)*G2979),0))))</f>
        <v>0</v>
      </c>
      <c r="AJ2979" s="513" t="str">
        <f t="shared" ca="1" si="2297"/>
        <v/>
      </c>
      <c r="AK2979" s="700" t="str">
        <f t="shared" si="2298"/>
        <v/>
      </c>
      <c r="AL2979" s="700"/>
      <c r="AM2979" s="505" t="str">
        <f t="shared" si="2299"/>
        <v/>
      </c>
      <c r="AN2979" s="506"/>
      <c r="AO2979" s="507"/>
      <c r="AP2979" s="507"/>
      <c r="AQ2979" s="507"/>
      <c r="AR2979" s="507"/>
      <c r="AS2979" s="507"/>
      <c r="AT2979" s="507"/>
      <c r="AU2979" s="507"/>
      <c r="AV2979" s="225"/>
      <c r="AW2979" s="508"/>
      <c r="AX2979" s="225"/>
      <c r="AY2979" s="225"/>
      <c r="AZ2979" s="225"/>
      <c r="BA2979" s="225"/>
      <c r="BB2979" s="225"/>
      <c r="BC2979" s="56"/>
      <c r="BD2979" s="56"/>
      <c r="BE2979" s="56"/>
      <c r="BF2979" s="107" t="str">
        <f t="shared" si="2300"/>
        <v>https://www.google.com/search?tbm=isch&amp;q=3%20G2</v>
      </c>
      <c r="BG2979" s="107" t="str">
        <f t="shared" si="2301"/>
        <v>P</v>
      </c>
      <c r="BH2979" s="254"/>
      <c r="BI2979" s="254"/>
    </row>
    <row r="2980" spans="1:61" customFormat="1" ht="15.75" x14ac:dyDescent="0.25">
      <c r="A2980" s="276">
        <v>3</v>
      </c>
      <c r="B2980" s="240" t="s">
        <v>291</v>
      </c>
      <c r="C2980" s="241" t="s">
        <v>2789</v>
      </c>
      <c r="D2980" s="242" t="s">
        <v>299</v>
      </c>
      <c r="E2980" s="243">
        <v>42.95</v>
      </c>
      <c r="F2980" s="517" t="s">
        <v>293</v>
      </c>
      <c r="G2980" s="232">
        <v>0</v>
      </c>
      <c r="H2980" s="661" t="str">
        <f>IF(G2980=0,"",IF(F2980="Buy",IF(G2980=1,"plant","plants"),IF(F2980&gt;0.01,"warranty","Error")))</f>
        <v/>
      </c>
      <c r="I2980" s="244">
        <f>IF(H2980="free",0,IF(H2980="credit",((E2980*(F2980))*G2980*-1),IF(F2980="Buy",(E2980*G2980),((E2980*(1-F2980))*G2980))))</f>
        <v>0</v>
      </c>
      <c r="J2980" s="244">
        <f>IF(H2980="warranty",0,(I2980*(_xlfn.SINGLE(SalesTaxPercentage))))</f>
        <v>0</v>
      </c>
      <c r="K2980" s="696">
        <f t="shared" ref="K2980" si="2314">I2980+J2980</f>
        <v>0</v>
      </c>
      <c r="L2980" s="696"/>
      <c r="M2980" s="659" t="str">
        <f>IF(AND(G2980&gt;0,E2980=0),"WARNING - no PRICE inserted",IF(H2980="free"," FREE ~ no charge this plant",IF(H2980="credit",CONCATENATE(" -$",ROUND(K2980*(1-T2GDiscount)*-1,2)," CREDIT after discount"),IF(T2GDiscount=0,"",IF(G2980=0,"",IF(F2980="Buy",CONCATENATE(" $",ROUND(K2980*(1-T2GDiscount),2)," with ",(T2GDiscount*100),"% discount"),CONCATENATE(" $",ROUND(K2980*(1-T2GDiscount),2)," with ",((T2GDiscount*100+F2980*100)-(T2GDiscount*100*F2980)),IF(F2980&gt;0,"% discounts",IF(NoWarrantyDiscount&gt;0,"% discounts","% discount")))))))))</f>
        <v/>
      </c>
      <c r="N2980" s="660"/>
      <c r="O2980" s="233"/>
      <c r="P2980" s="233"/>
      <c r="Q2980" s="233"/>
      <c r="R2980" s="233"/>
      <c r="S2980" s="233"/>
      <c r="T2980" s="508">
        <f t="shared" si="2289"/>
        <v>0</v>
      </c>
      <c r="U2980" s="225">
        <f>IF(NOT(ISNUMBER(G2980)), "", VLOOKUP(A2980,'Discount Lookup'!D:E,2,FALSE)*G2980)</f>
        <v>0</v>
      </c>
      <c r="V2980" s="225">
        <f>IF(NOT(ISNUMBER(G2980)), "", VLOOKUP(A2980,'Discount Lookup'!G:H,2,FALSE)*G2980)</f>
        <v>0</v>
      </c>
      <c r="W2980" s="508">
        <f t="shared" si="2290"/>
        <v>0</v>
      </c>
      <c r="X2980" s="508">
        <f t="shared" si="2291"/>
        <v>0</v>
      </c>
      <c r="Y2980" s="509" t="b">
        <f t="shared" si="2292"/>
        <v>0</v>
      </c>
      <c r="Z2980" s="510">
        <f t="shared" si="2293"/>
        <v>0</v>
      </c>
      <c r="AA2980" s="511"/>
      <c r="AB2980" s="511" t="str">
        <f t="shared" si="2294"/>
        <v/>
      </c>
      <c r="AC2980" s="698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698"/>
      <c r="AE2980" s="631" t="str">
        <f t="shared" si="2295"/>
        <v/>
      </c>
      <c r="AF2980" s="699" t="str">
        <f t="shared" si="2296"/>
        <v/>
      </c>
      <c r="AG2980" s="699"/>
      <c r="AH2980" s="699"/>
      <c r="AI2980" s="512">
        <f>IF(H2980="credit",0,IF(AE2980="free",0,IF(AE2980="me",0,IF(G2980&gt;0,(VLOOKUP(A2980,'Discount Lookup'!J:K,2)*G2980),0))))</f>
        <v>0</v>
      </c>
      <c r="AJ2980" s="513" t="str">
        <f t="shared" ca="1" si="2297"/>
        <v/>
      </c>
      <c r="AK2980" s="700" t="str">
        <f t="shared" si="2298"/>
        <v/>
      </c>
      <c r="AL2980" s="700"/>
      <c r="AM2980" s="505" t="str">
        <f t="shared" si="2299"/>
        <v/>
      </c>
      <c r="AN2980" s="506"/>
      <c r="AO2980" s="507"/>
      <c r="AP2980" s="507"/>
      <c r="AQ2980" s="507"/>
      <c r="AR2980" s="507"/>
      <c r="AS2980" s="507"/>
      <c r="AT2980" s="507"/>
      <c r="AU2980" s="507"/>
      <c r="AV2980" s="225"/>
      <c r="AW2980" s="508"/>
      <c r="AX2980" s="225"/>
      <c r="AY2980" s="225"/>
      <c r="AZ2980" s="225"/>
      <c r="BA2980" s="225"/>
      <c r="BB2980" s="225"/>
      <c r="BC2980" s="56"/>
      <c r="BD2980" s="56"/>
      <c r="BE2980" s="56"/>
      <c r="BF2980" s="107" t="str">
        <f t="shared" si="2300"/>
        <v>https://www.google.com/search?tbm=isch&amp;q=3%20G5</v>
      </c>
      <c r="BG2980" s="107" t="str">
        <f t="shared" si="2301"/>
        <v>P</v>
      </c>
      <c r="BH2980" s="254"/>
      <c r="BI2980" s="254"/>
    </row>
    <row r="2981" spans="1:61" customFormat="1" ht="17.25" thickBot="1" x14ac:dyDescent="0.3">
      <c r="A2981" s="524" t="s">
        <v>4283</v>
      </c>
      <c r="B2981" s="245"/>
      <c r="C2981" s="677"/>
      <c r="D2981" s="499"/>
      <c r="E2981" s="499"/>
      <c r="F2981" s="500"/>
      <c r="G2981" s="501"/>
      <c r="H2981" s="502"/>
      <c r="I2981" s="246"/>
      <c r="J2981" s="247"/>
      <c r="K2981" s="503"/>
      <c r="L2981" s="544"/>
      <c r="M2981" s="544"/>
      <c r="N2981" s="500"/>
      <c r="O2981" s="500"/>
      <c r="P2981" s="500"/>
      <c r="Q2981" s="500"/>
      <c r="R2981" s="500"/>
      <c r="S2981" s="669" t="s">
        <v>4999</v>
      </c>
      <c r="T2981" s="508">
        <f t="shared" si="2289"/>
        <v>0</v>
      </c>
      <c r="U2981" s="225" t="str">
        <f>IF(NOT(ISNUMBER(G2981)), "", VLOOKUP(A2981,'Discount Lookup'!D:E,2,FALSE)*G2981)</f>
        <v/>
      </c>
      <c r="V2981" s="225" t="str">
        <f>IF(NOT(ISNUMBER(G2981)), "", VLOOKUP(A2981,'Discount Lookup'!G:H,2,FALSE)*G2981)</f>
        <v/>
      </c>
      <c r="W2981" s="508">
        <f t="shared" si="2290"/>
        <v>0</v>
      </c>
      <c r="X2981" s="508">
        <f t="shared" si="2291"/>
        <v>0</v>
      </c>
      <c r="Y2981" s="509" t="b">
        <f t="shared" si="2292"/>
        <v>0</v>
      </c>
      <c r="Z2981" s="510">
        <f t="shared" si="2293"/>
        <v>0</v>
      </c>
      <c r="AA2981" s="511"/>
      <c r="AB2981" s="511" t="str">
        <f t="shared" si="2294"/>
        <v/>
      </c>
      <c r="AC2981" s="698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698"/>
      <c r="AE2981" s="631" t="str">
        <f t="shared" si="2295"/>
        <v/>
      </c>
      <c r="AF2981" s="699" t="str">
        <f t="shared" si="2296"/>
        <v/>
      </c>
      <c r="AG2981" s="699"/>
      <c r="AH2981" s="699"/>
      <c r="AI2981" s="512">
        <f>IF(H2981="credit",0,IF(AE2981="free",0,IF(AE2981="me",0,IF(G2981&gt;0,(VLOOKUP(A2981,'Discount Lookup'!J:K,2)*G2981),0))))</f>
        <v>0</v>
      </c>
      <c r="AJ2981" s="513" t="str">
        <f t="shared" ca="1" si="2297"/>
        <v/>
      </c>
      <c r="AK2981" s="700" t="str">
        <f t="shared" si="2298"/>
        <v/>
      </c>
      <c r="AL2981" s="700"/>
      <c r="AM2981" s="505" t="str">
        <f t="shared" si="2299"/>
        <v/>
      </c>
      <c r="AN2981" s="506"/>
      <c r="AO2981" s="507"/>
      <c r="AP2981" s="507"/>
      <c r="AQ2981" s="507"/>
      <c r="AR2981" s="507"/>
      <c r="AS2981" s="507"/>
      <c r="AT2981" s="507"/>
      <c r="AU2981" s="507"/>
      <c r="AV2981" s="225"/>
      <c r="AW2981" s="508"/>
      <c r="AX2981" s="225"/>
      <c r="AY2981" s="225"/>
      <c r="AZ2981" s="225"/>
      <c r="BA2981" s="225"/>
      <c r="BB2981" s="225"/>
      <c r="BC2981" s="56"/>
      <c r="BD2981" s="56"/>
      <c r="BE2981" s="56"/>
      <c r="BF2981" s="107" t="str">
        <f t="shared" si="2300"/>
        <v>https://www.google.com/search?tbm=isch&amp;q=Pugster%20Pink%20has%20Green%20foliage%20and%20fragrant%2C%20oversize%20blooms.%20All%20BB%20bloom%20summer%20to%20frost%2C%20on%20new%20wood%2C%20so%20cut%20back%20hard%20late%20winter%20</v>
      </c>
      <c r="BG2981" s="107" t="str">
        <f t="shared" si="2301"/>
        <v>P</v>
      </c>
      <c r="BH2981" s="254"/>
      <c r="BI2981" s="254"/>
    </row>
    <row r="2982" spans="1:61" customFormat="1" ht="18" x14ac:dyDescent="0.25">
      <c r="A2982" s="523" t="s">
        <v>5507</v>
      </c>
      <c r="B2982" s="235"/>
      <c r="C2982" s="676"/>
      <c r="D2982" s="255" t="s">
        <v>1564</v>
      </c>
      <c r="E2982" s="236"/>
      <c r="F2982" s="236"/>
      <c r="G2982" s="236"/>
      <c r="H2982" s="582" t="s">
        <v>1565</v>
      </c>
      <c r="I2982" s="498" t="s">
        <v>3156</v>
      </c>
      <c r="J2982" s="237"/>
      <c r="K2982" s="237"/>
      <c r="L2982" s="274"/>
      <c r="M2982" s="668" t="s">
        <v>4962</v>
      </c>
      <c r="N2982" s="681" t="str">
        <f>IF(AND(ISTEXT($A2982), ISERROR($A2982+0)), HYPERLINK($BF2982, "Images"), "")</f>
        <v>Images</v>
      </c>
      <c r="O2982" s="663" t="s">
        <v>4969</v>
      </c>
      <c r="P2982" s="253"/>
      <c r="Q2982" s="238"/>
      <c r="R2982" s="239"/>
      <c r="S2982" s="275"/>
      <c r="T2982" s="508">
        <f t="shared" si="2289"/>
        <v>0</v>
      </c>
      <c r="U2982" s="225" t="str">
        <f>IF(NOT(ISNUMBER(G2982)), "", VLOOKUP(A2982,'Discount Lookup'!D:E,2,FALSE)*G2982)</f>
        <v/>
      </c>
      <c r="V2982" s="225" t="str">
        <f>IF(NOT(ISNUMBER(G2982)), "", VLOOKUP(A2982,'Discount Lookup'!G:H,2,FALSE)*G2982)</f>
        <v/>
      </c>
      <c r="W2982" s="508">
        <f t="shared" si="2290"/>
        <v>0</v>
      </c>
      <c r="X2982" s="508" t="str">
        <f t="shared" si="2291"/>
        <v>Amethyst bloom, Yellow eye</v>
      </c>
      <c r="Y2982" s="509" t="b">
        <f t="shared" si="2292"/>
        <v>0</v>
      </c>
      <c r="Z2982" s="510">
        <f t="shared" si="2293"/>
        <v>0</v>
      </c>
      <c r="AA2982" s="511"/>
      <c r="AB2982" s="511" t="str">
        <f t="shared" si="2294"/>
        <v/>
      </c>
      <c r="AC2982" s="698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698"/>
      <c r="AE2982" s="631" t="str">
        <f t="shared" si="2295"/>
        <v/>
      </c>
      <c r="AF2982" s="699" t="str">
        <f t="shared" si="2296"/>
        <v/>
      </c>
      <c r="AG2982" s="699"/>
      <c r="AH2982" s="699"/>
      <c r="AI2982" s="512">
        <f>IF(H2982="credit",0,IF(AE2982="free",0,IF(AE2982="me",0,IF(G2982&gt;0,(VLOOKUP(A2982,'Discount Lookup'!J:K,2)*G2982),0))))</f>
        <v>0</v>
      </c>
      <c r="AJ2982" s="513" t="str">
        <f t="shared" ca="1" si="2297"/>
        <v/>
      </c>
      <c r="AK2982" s="700" t="str">
        <f t="shared" si="2298"/>
        <v/>
      </c>
      <c r="AL2982" s="700"/>
      <c r="AM2982" s="505" t="str">
        <f t="shared" si="2299"/>
        <v/>
      </c>
      <c r="AN2982" s="506"/>
      <c r="AO2982" s="507"/>
      <c r="AP2982" s="507"/>
      <c r="AQ2982" s="507"/>
      <c r="AR2982" s="507"/>
      <c r="AS2982" s="507"/>
      <c r="AT2982" s="507"/>
      <c r="AU2982" s="507"/>
      <c r="AV2982" s="225"/>
      <c r="AW2982" s="508"/>
      <c r="AX2982" s="225"/>
      <c r="AY2982" s="225"/>
      <c r="AZ2982" s="225"/>
      <c r="BA2982" s="225"/>
      <c r="BB2982" s="225"/>
      <c r="BC2982" s="56"/>
      <c r="BD2982" s="56"/>
      <c r="BE2982" s="56"/>
      <c r="BF2982" s="107" t="str">
        <f t="shared" si="2300"/>
        <v>https://www.google.com/search?tbm=isch&amp;q=Pugster%C2%AE%20Amethyst%20Butterfly%20Bush%20Buddleia%20%27SMNBDL%27%20PP%2330236</v>
      </c>
      <c r="BG2982" s="107" t="str">
        <f t="shared" si="2301"/>
        <v>P</v>
      </c>
      <c r="BH2982" s="254"/>
      <c r="BI2982" s="254"/>
    </row>
    <row r="2983" spans="1:61" customFormat="1" ht="15.75" x14ac:dyDescent="0.25">
      <c r="A2983" s="276">
        <v>3</v>
      </c>
      <c r="B2983" s="240" t="s">
        <v>291</v>
      </c>
      <c r="C2983" s="241" t="s">
        <v>1371</v>
      </c>
      <c r="D2983" s="242" t="s">
        <v>312</v>
      </c>
      <c r="E2983" s="243">
        <v>41.95</v>
      </c>
      <c r="F2983" s="517" t="s">
        <v>293</v>
      </c>
      <c r="G2983" s="232">
        <v>0</v>
      </c>
      <c r="H2983" s="661" t="str">
        <f>IF(G2983=0,"",IF(F2983="Buy",IF(G2983=1,"plant","plants"),IF(F2983&gt;0.01,"warranty","Error")))</f>
        <v/>
      </c>
      <c r="I2983" s="244">
        <f>IF(H2983="free",0,IF(H2983="credit",((E2983*(F2983))*G2983*-1),IF(F2983="Buy",(E2983*G2983),((E2983*(1-F2983))*G2983))))</f>
        <v>0</v>
      </c>
      <c r="J2983" s="244">
        <f>IF(H2983="warranty",0,(I2983*(_xlfn.SINGLE(SalesTaxPercentage))))</f>
        <v>0</v>
      </c>
      <c r="K2983" s="696">
        <f t="shared" ref="K2983" si="2315">I2983+J2983</f>
        <v>0</v>
      </c>
      <c r="L2983" s="696"/>
      <c r="M2983" s="659" t="str">
        <f>IF(AND(G2983&gt;0,E2983=0),"WARNING - no PRICE inserted",IF(H2983="free"," FREE ~ no charge this plant",IF(H2983="credit",CONCATENATE(" -$",ROUND(K2983*(1-T2GDiscount)*-1,2)," CREDIT after discount"),IF(T2GDiscount=0,"",IF(G2983=0,"",IF(F2983="Buy",CONCATENATE(" $",ROUND(K2983*(1-T2GDiscount),2)," with ",(T2GDiscount*100),"% discount"),CONCATENATE(" $",ROUND(K2983*(1-T2GDiscount),2)," with ",((T2GDiscount*100+F2983*100)-(T2GDiscount*100*F2983)),IF(F2983&gt;0,"% discounts",IF(NoWarrantyDiscount&gt;0,"% discounts","% discount")))))))))</f>
        <v/>
      </c>
      <c r="N2983" s="660"/>
      <c r="O2983" s="233"/>
      <c r="P2983" s="233"/>
      <c r="Q2983" s="233"/>
      <c r="R2983" s="233"/>
      <c r="S2983" s="233"/>
      <c r="T2983" s="508">
        <f t="shared" si="2289"/>
        <v>0</v>
      </c>
      <c r="U2983" s="225">
        <f>IF(NOT(ISNUMBER(G2983)), "", VLOOKUP(A2983,'Discount Lookup'!D:E,2,FALSE)*G2983)</f>
        <v>0</v>
      </c>
      <c r="V2983" s="225">
        <f>IF(NOT(ISNUMBER(G2983)), "", VLOOKUP(A2983,'Discount Lookup'!G:H,2,FALSE)*G2983)</f>
        <v>0</v>
      </c>
      <c r="W2983" s="508">
        <f t="shared" si="2290"/>
        <v>0</v>
      </c>
      <c r="X2983" s="508">
        <f t="shared" si="2291"/>
        <v>0</v>
      </c>
      <c r="Y2983" s="509" t="b">
        <f t="shared" si="2292"/>
        <v>0</v>
      </c>
      <c r="Z2983" s="510">
        <f t="shared" si="2293"/>
        <v>0</v>
      </c>
      <c r="AA2983" s="511"/>
      <c r="AB2983" s="511" t="str">
        <f t="shared" si="2294"/>
        <v/>
      </c>
      <c r="AC2983" s="698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698"/>
      <c r="AE2983" s="631" t="str">
        <f t="shared" si="2295"/>
        <v/>
      </c>
      <c r="AF2983" s="699" t="str">
        <f t="shared" si="2296"/>
        <v/>
      </c>
      <c r="AG2983" s="699"/>
      <c r="AH2983" s="699"/>
      <c r="AI2983" s="512">
        <f>IF(H2983="credit",0,IF(AE2983="free",0,IF(AE2983="me",0,IF(G2983&gt;0,(VLOOKUP(A2983,'Discount Lookup'!J:K,2)*G2983),0))))</f>
        <v>0</v>
      </c>
      <c r="AJ2983" s="513" t="str">
        <f t="shared" ca="1" si="2297"/>
        <v/>
      </c>
      <c r="AK2983" s="700" t="str">
        <f t="shared" si="2298"/>
        <v/>
      </c>
      <c r="AL2983" s="700"/>
      <c r="AM2983" s="505" t="str">
        <f t="shared" si="2299"/>
        <v/>
      </c>
      <c r="AN2983" s="506"/>
      <c r="AO2983" s="507"/>
      <c r="AP2983" s="507"/>
      <c r="AQ2983" s="507"/>
      <c r="AR2983" s="507"/>
      <c r="AS2983" s="507"/>
      <c r="AT2983" s="507"/>
      <c r="AU2983" s="507"/>
      <c r="AV2983" s="225"/>
      <c r="AW2983" s="508"/>
      <c r="AX2983" s="225"/>
      <c r="AY2983" s="225"/>
      <c r="AZ2983" s="225"/>
      <c r="BA2983" s="225"/>
      <c r="BB2983" s="225"/>
      <c r="BC2983" s="56"/>
      <c r="BD2983" s="56"/>
      <c r="BE2983" s="56"/>
      <c r="BF2983" s="107" t="str">
        <f t="shared" si="2300"/>
        <v>https://www.google.com/search?tbm=isch&amp;q=3%20G2</v>
      </c>
      <c r="BG2983" s="107" t="str">
        <f t="shared" si="2301"/>
        <v>P</v>
      </c>
      <c r="BH2983" s="254"/>
      <c r="BI2983" s="254"/>
    </row>
    <row r="2984" spans="1:61" customFormat="1" ht="15.75" x14ac:dyDescent="0.25">
      <c r="A2984" s="276">
        <v>3</v>
      </c>
      <c r="B2984" s="240" t="s">
        <v>291</v>
      </c>
      <c r="C2984" s="241" t="s">
        <v>4012</v>
      </c>
      <c r="D2984" s="242" t="s">
        <v>299</v>
      </c>
      <c r="E2984" s="243">
        <v>42.95</v>
      </c>
      <c r="F2984" s="517" t="s">
        <v>293</v>
      </c>
      <c r="G2984" s="232">
        <v>0</v>
      </c>
      <c r="H2984" s="661" t="str">
        <f>IF(G2984=0,"",IF(F2984="Buy",IF(G2984=1,"plant","plants"),IF(F2984&gt;0.01,"warranty","Error")))</f>
        <v/>
      </c>
      <c r="I2984" s="244">
        <f>IF(H2984="free",0,IF(H2984="credit",((E2984*(F2984))*G2984*-1),IF(F2984="Buy",(E2984*G2984),((E2984*(1-F2984))*G2984))))</f>
        <v>0</v>
      </c>
      <c r="J2984" s="244">
        <f>IF(H2984="warranty",0,(I2984*(_xlfn.SINGLE(SalesTaxPercentage))))</f>
        <v>0</v>
      </c>
      <c r="K2984" s="696">
        <f t="shared" ref="K2984" si="2316">I2984+J2984</f>
        <v>0</v>
      </c>
      <c r="L2984" s="696"/>
      <c r="M2984" s="659" t="str">
        <f>IF(AND(G2984&gt;0,E2984=0),"WARNING - no PRICE inserted",IF(H2984="free"," FREE ~ no charge this plant",IF(H2984="credit",CONCATENATE(" -$",ROUND(K2984*(1-T2GDiscount)*-1,2)," CREDIT after discount"),IF(T2GDiscount=0,"",IF(G2984=0,"",IF(F2984="Buy",CONCATENATE(" $",ROUND(K2984*(1-T2GDiscount),2)," with ",(T2GDiscount*100),"% discount"),CONCATENATE(" $",ROUND(K2984*(1-T2GDiscount),2)," with ",((T2GDiscount*100+F2984*100)-(T2GDiscount*100*F2984)),IF(F2984&gt;0,"% discounts",IF(NoWarrantyDiscount&gt;0,"% discounts","% discount")))))))))</f>
        <v/>
      </c>
      <c r="N2984" s="660"/>
      <c r="O2984" s="233"/>
      <c r="P2984" s="233"/>
      <c r="Q2984" s="233"/>
      <c r="R2984" s="233"/>
      <c r="S2984" s="233"/>
      <c r="T2984" s="508">
        <f t="shared" si="2289"/>
        <v>0</v>
      </c>
      <c r="U2984" s="225">
        <f>IF(NOT(ISNUMBER(G2984)), "", VLOOKUP(A2984,'Discount Lookup'!D:E,2,FALSE)*G2984)</f>
        <v>0</v>
      </c>
      <c r="V2984" s="225">
        <f>IF(NOT(ISNUMBER(G2984)), "", VLOOKUP(A2984,'Discount Lookup'!G:H,2,FALSE)*G2984)</f>
        <v>0</v>
      </c>
      <c r="W2984" s="508">
        <f t="shared" si="2290"/>
        <v>0</v>
      </c>
      <c r="X2984" s="508">
        <f t="shared" si="2291"/>
        <v>0</v>
      </c>
      <c r="Y2984" s="509" t="b">
        <f t="shared" si="2292"/>
        <v>0</v>
      </c>
      <c r="Z2984" s="510">
        <f t="shared" si="2293"/>
        <v>0</v>
      </c>
      <c r="AA2984" s="511"/>
      <c r="AB2984" s="511" t="str">
        <f t="shared" si="2294"/>
        <v/>
      </c>
      <c r="AC2984" s="698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698"/>
      <c r="AE2984" s="631" t="str">
        <f t="shared" si="2295"/>
        <v/>
      </c>
      <c r="AF2984" s="699" t="str">
        <f t="shared" si="2296"/>
        <v/>
      </c>
      <c r="AG2984" s="699"/>
      <c r="AH2984" s="699"/>
      <c r="AI2984" s="512">
        <f>IF(H2984="credit",0,IF(AE2984="free",0,IF(AE2984="me",0,IF(G2984&gt;0,(VLOOKUP(A2984,'Discount Lookup'!J:K,2)*G2984),0))))</f>
        <v>0</v>
      </c>
      <c r="AJ2984" s="513" t="str">
        <f t="shared" ca="1" si="2297"/>
        <v/>
      </c>
      <c r="AK2984" s="700" t="str">
        <f t="shared" si="2298"/>
        <v/>
      </c>
      <c r="AL2984" s="700"/>
      <c r="AM2984" s="505" t="str">
        <f t="shared" si="2299"/>
        <v/>
      </c>
      <c r="AN2984" s="506"/>
      <c r="AO2984" s="507"/>
      <c r="AP2984" s="507"/>
      <c r="AQ2984" s="507"/>
      <c r="AR2984" s="507"/>
      <c r="AS2984" s="507"/>
      <c r="AT2984" s="507"/>
      <c r="AU2984" s="507"/>
      <c r="AV2984" s="225"/>
      <c r="AW2984" s="508"/>
      <c r="AX2984" s="225"/>
      <c r="AY2984" s="225"/>
      <c r="AZ2984" s="225"/>
      <c r="BA2984" s="225"/>
      <c r="BB2984" s="225"/>
      <c r="BC2984" s="56"/>
      <c r="BD2984" s="56"/>
      <c r="BE2984" s="56"/>
      <c r="BF2984" s="107" t="str">
        <f t="shared" si="2300"/>
        <v>https://www.google.com/search?tbm=isch&amp;q=3%20G5</v>
      </c>
      <c r="BG2984" s="107" t="str">
        <f t="shared" si="2301"/>
        <v>P</v>
      </c>
      <c r="BH2984" s="254"/>
      <c r="BI2984" s="254"/>
    </row>
    <row r="2985" spans="1:61" customFormat="1" ht="17.25" thickBot="1" x14ac:dyDescent="0.3">
      <c r="A2985" s="524" t="s">
        <v>4212</v>
      </c>
      <c r="B2985" s="245"/>
      <c r="C2985" s="677"/>
      <c r="D2985" s="499"/>
      <c r="E2985" s="499"/>
      <c r="F2985" s="500"/>
      <c r="G2985" s="501"/>
      <c r="H2985" s="502"/>
      <c r="I2985" s="246"/>
      <c r="J2985" s="247"/>
      <c r="K2985" s="503"/>
      <c r="L2985" s="544"/>
      <c r="M2985" s="544"/>
      <c r="N2985" s="500"/>
      <c r="O2985" s="500"/>
      <c r="P2985" s="500"/>
      <c r="Q2985" s="500"/>
      <c r="R2985" s="500"/>
      <c r="S2985" s="669" t="s">
        <v>4999</v>
      </c>
      <c r="T2985" s="508">
        <f t="shared" si="2289"/>
        <v>0</v>
      </c>
      <c r="U2985" s="225" t="str">
        <f>IF(NOT(ISNUMBER(G2985)), "", VLOOKUP(A2985,'Discount Lookup'!D:E,2,FALSE)*G2985)</f>
        <v/>
      </c>
      <c r="V2985" s="225" t="str">
        <f>IF(NOT(ISNUMBER(G2985)), "", VLOOKUP(A2985,'Discount Lookup'!G:H,2,FALSE)*G2985)</f>
        <v/>
      </c>
      <c r="W2985" s="508">
        <f t="shared" si="2290"/>
        <v>0</v>
      </c>
      <c r="X2985" s="508">
        <f t="shared" si="2291"/>
        <v>0</v>
      </c>
      <c r="Y2985" s="509" t="b">
        <f t="shared" si="2292"/>
        <v>0</v>
      </c>
      <c r="Z2985" s="510">
        <f t="shared" si="2293"/>
        <v>0</v>
      </c>
      <c r="AA2985" s="511"/>
      <c r="AB2985" s="511" t="str">
        <f t="shared" si="2294"/>
        <v/>
      </c>
      <c r="AC2985" s="698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698"/>
      <c r="AE2985" s="631" t="str">
        <f t="shared" si="2295"/>
        <v/>
      </c>
      <c r="AF2985" s="699" t="str">
        <f t="shared" si="2296"/>
        <v/>
      </c>
      <c r="AG2985" s="699"/>
      <c r="AH2985" s="699"/>
      <c r="AI2985" s="512">
        <f>IF(H2985="credit",0,IF(AE2985="free",0,IF(AE2985="me",0,IF(G2985&gt;0,(VLOOKUP(A2985,'Discount Lookup'!J:K,2)*G2985),0))))</f>
        <v>0</v>
      </c>
      <c r="AJ2985" s="513" t="str">
        <f t="shared" ca="1" si="2297"/>
        <v/>
      </c>
      <c r="AK2985" s="700" t="str">
        <f t="shared" si="2298"/>
        <v/>
      </c>
      <c r="AL2985" s="700"/>
      <c r="AM2985" s="505" t="str">
        <f t="shared" si="2299"/>
        <v/>
      </c>
      <c r="AN2985" s="506"/>
      <c r="AO2985" s="507"/>
      <c r="AP2985" s="507"/>
      <c r="AQ2985" s="507"/>
      <c r="AR2985" s="507"/>
      <c r="AS2985" s="507"/>
      <c r="AT2985" s="507"/>
      <c r="AU2985" s="507"/>
      <c r="AV2985" s="225"/>
      <c r="AW2985" s="508"/>
      <c r="AX2985" s="225"/>
      <c r="AY2985" s="225"/>
      <c r="AZ2985" s="225"/>
      <c r="BA2985" s="225"/>
      <c r="BB2985" s="225"/>
      <c r="BC2985" s="56"/>
      <c r="BD2985" s="56"/>
      <c r="BE2985" s="56"/>
      <c r="BF2985" s="107" t="str">
        <f t="shared" si="2300"/>
        <v>https://www.google.com/search?tbm=isch&amp;q=Pugster%20Amethyst%20has%20Green%20foliage%20and%20a%20fragrance.%20All%20BB%20bloom%20on%20new%20wood%2C%20so%20cut%20back%20hard%20late%20winter%20</v>
      </c>
      <c r="BG2985" s="107" t="str">
        <f t="shared" si="2301"/>
        <v>P</v>
      </c>
      <c r="BH2985" s="254"/>
      <c r="BI2985" s="254"/>
    </row>
    <row r="2986" spans="1:61" customFormat="1" ht="18" x14ac:dyDescent="0.25">
      <c r="A2986" s="521" t="s">
        <v>5508</v>
      </c>
      <c r="B2986" s="477"/>
      <c r="C2986" s="674"/>
      <c r="D2986" s="478" t="s">
        <v>1569</v>
      </c>
      <c r="E2986" s="479"/>
      <c r="F2986" s="479"/>
      <c r="G2986" s="479"/>
      <c r="H2986" s="582" t="s">
        <v>720</v>
      </c>
      <c r="I2986" s="480" t="s">
        <v>1330</v>
      </c>
      <c r="J2986" s="479"/>
      <c r="K2986" s="479"/>
      <c r="L2986" s="560"/>
      <c r="M2986" s="666" t="s">
        <v>4966</v>
      </c>
      <c r="N2986" s="680" t="str">
        <f>IF(AND(ISTEXT($A2986), ISERROR($A2986+0)), HYPERLINK($BF2986, "Images"), "")</f>
        <v>Images</v>
      </c>
      <c r="O2986" s="662" t="s">
        <v>4967</v>
      </c>
      <c r="P2986" s="482"/>
      <c r="Q2986" s="483"/>
      <c r="R2986" s="483"/>
      <c r="S2986" s="484"/>
      <c r="T2986" s="508">
        <f t="shared" si="2289"/>
        <v>0</v>
      </c>
      <c r="U2986" s="225" t="str">
        <f>IF(NOT(ISNUMBER(G2986)), "", VLOOKUP(A2986,'Discount Lookup'!D:E,2,FALSE)*G2986)</f>
        <v/>
      </c>
      <c r="V2986" s="225" t="str">
        <f>IF(NOT(ISNUMBER(G2986)), "", VLOOKUP(A2986,'Discount Lookup'!G:H,2,FALSE)*G2986)</f>
        <v/>
      </c>
      <c r="W2986" s="508">
        <f t="shared" si="2290"/>
        <v>0</v>
      </c>
      <c r="X2986" s="508" t="str">
        <f t="shared" si="2291"/>
        <v>Dark Pink bloom</v>
      </c>
      <c r="Y2986" s="509" t="b">
        <f t="shared" si="2292"/>
        <v>0</v>
      </c>
      <c r="Z2986" s="510">
        <f t="shared" si="2293"/>
        <v>0</v>
      </c>
      <c r="AA2986" s="511"/>
      <c r="AB2986" s="511" t="str">
        <f t="shared" si="2294"/>
        <v/>
      </c>
      <c r="AC2986" s="698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698"/>
      <c r="AE2986" s="631" t="str">
        <f t="shared" si="2295"/>
        <v/>
      </c>
      <c r="AF2986" s="699" t="str">
        <f t="shared" si="2296"/>
        <v/>
      </c>
      <c r="AG2986" s="699"/>
      <c r="AH2986" s="699"/>
      <c r="AI2986" s="512">
        <f>IF(H2986="credit",0,IF(AE2986="free",0,IF(AE2986="me",0,IF(G2986&gt;0,(VLOOKUP(A2986,'Discount Lookup'!J:K,2)*G2986),0))))</f>
        <v>0</v>
      </c>
      <c r="AJ2986" s="513" t="str">
        <f t="shared" ca="1" si="2297"/>
        <v/>
      </c>
      <c r="AK2986" s="700" t="str">
        <f t="shared" si="2298"/>
        <v/>
      </c>
      <c r="AL2986" s="700"/>
      <c r="AM2986" s="505" t="str">
        <f t="shared" si="2299"/>
        <v/>
      </c>
      <c r="AN2986" s="506"/>
      <c r="AO2986" s="507"/>
      <c r="AP2986" s="507"/>
      <c r="AQ2986" s="507"/>
      <c r="AR2986" s="507"/>
      <c r="AS2986" s="507"/>
      <c r="AT2986" s="507"/>
      <c r="AU2986" s="507"/>
      <c r="AV2986" s="225"/>
      <c r="AW2986" s="508"/>
      <c r="AX2986" s="225"/>
      <c r="AY2986" s="225"/>
      <c r="AZ2986" s="225"/>
      <c r="BA2986" s="225"/>
      <c r="BB2986" s="225"/>
      <c r="BC2986" s="56"/>
      <c r="BD2986" s="56"/>
      <c r="BE2986" s="56"/>
      <c r="BF2986" s="107" t="str">
        <f t="shared" si="2300"/>
        <v>https://www.google.com/search?tbm=isch&amp;q=Purple%20Daydream%C2%AE%20Loropetalum%20Loropetalum%20chin.%20var.%20r.%20%27PIILC-III%27%20PP%2325471</v>
      </c>
      <c r="BG2986" s="107" t="str">
        <f t="shared" si="2301"/>
        <v>P</v>
      </c>
      <c r="BH2986" s="254"/>
      <c r="BI2986" s="254"/>
    </row>
    <row r="2987" spans="1:61" customFormat="1" ht="15.75" x14ac:dyDescent="0.25">
      <c r="A2987" s="485">
        <v>3</v>
      </c>
      <c r="B2987" s="486" t="s">
        <v>291</v>
      </c>
      <c r="C2987" s="487" t="s">
        <v>2790</v>
      </c>
      <c r="D2987" s="488" t="s">
        <v>299</v>
      </c>
      <c r="E2987" s="489">
        <v>40.950000000000003</v>
      </c>
      <c r="F2987" s="516" t="s">
        <v>293</v>
      </c>
      <c r="G2987" s="232">
        <v>0</v>
      </c>
      <c r="H2987" s="658" t="str">
        <f>IF(G2987=0,"",IF(F2987="Buy",IF(G2987=1,"plant","plants"),IF(F2987&gt;0.01,"warranty","Error")))</f>
        <v/>
      </c>
      <c r="I2987" s="490">
        <f>IF(H2987="free",0,IF(H2987="credit",((E2987*(F2987))*G2987*-1),IF(F2987="Buy",(E2987*G2987),((E2987*(1-F2987))*G2987))))</f>
        <v>0</v>
      </c>
      <c r="J2987" s="490">
        <f>IF(H2987="warranty",0,(I2987*(_xlfn.SINGLE(SalesTaxPercentage))))</f>
        <v>0</v>
      </c>
      <c r="K2987" s="695">
        <f t="shared" ref="K2987" si="2317">I2987+J2987</f>
        <v>0</v>
      </c>
      <c r="L2987" s="695"/>
      <c r="M2987" s="659" t="str">
        <f>IF(AND(G2987&gt;0,E2987=0),"WARNING - no PRICE inserted",IF(H2987="free"," FREE ~ no charge this plant",IF(H2987="credit",CONCATENATE(" -$",ROUND(K2987*(1-T2GDiscount)*-1,2)," CREDIT after discount"),IF(T2GDiscount=0,"",IF(G2987=0,"",IF(F2987="Buy",CONCATENATE(" $",ROUND(K2987*(1-T2GDiscount),2)," with ",(T2GDiscount*100),"% discount"),CONCATENATE(" $",ROUND(K2987*(1-T2GDiscount),2)," with ",((T2GDiscount*100+F2987*100)-(T2GDiscount*100*F2987)),IF(F2987&gt;0,"% discounts",IF(NoWarrantyDiscount&gt;0,"% discounts","% discount")))))))))</f>
        <v/>
      </c>
      <c r="N2987" s="660"/>
      <c r="O2987" s="233"/>
      <c r="P2987" s="233"/>
      <c r="Q2987" s="233"/>
      <c r="R2987" s="233"/>
      <c r="S2987" s="233"/>
      <c r="T2987" s="508">
        <f t="shared" si="2289"/>
        <v>0</v>
      </c>
      <c r="U2987" s="225">
        <f>IF(NOT(ISNUMBER(G2987)), "", VLOOKUP(A2987,'Discount Lookup'!D:E,2,FALSE)*G2987)</f>
        <v>0</v>
      </c>
      <c r="V2987" s="225">
        <f>IF(NOT(ISNUMBER(G2987)), "", VLOOKUP(A2987,'Discount Lookup'!G:H,2,FALSE)*G2987)</f>
        <v>0</v>
      </c>
      <c r="W2987" s="508">
        <f t="shared" si="2290"/>
        <v>0</v>
      </c>
      <c r="X2987" s="508">
        <f t="shared" si="2291"/>
        <v>0</v>
      </c>
      <c r="Y2987" s="509" t="b">
        <f t="shared" si="2292"/>
        <v>0</v>
      </c>
      <c r="Z2987" s="510">
        <f t="shared" si="2293"/>
        <v>0</v>
      </c>
      <c r="AA2987" s="511"/>
      <c r="AB2987" s="511" t="str">
        <f t="shared" si="2294"/>
        <v/>
      </c>
      <c r="AC2987" s="698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698"/>
      <c r="AE2987" s="631" t="str">
        <f t="shared" si="2295"/>
        <v/>
      </c>
      <c r="AF2987" s="699" t="str">
        <f t="shared" si="2296"/>
        <v/>
      </c>
      <c r="AG2987" s="699"/>
      <c r="AH2987" s="699"/>
      <c r="AI2987" s="512">
        <f>IF(H2987="credit",0,IF(AE2987="free",0,IF(AE2987="me",0,IF(G2987&gt;0,(VLOOKUP(A2987,'Discount Lookup'!J:K,2)*G2987),0))))</f>
        <v>0</v>
      </c>
      <c r="AJ2987" s="513" t="str">
        <f t="shared" ca="1" si="2297"/>
        <v/>
      </c>
      <c r="AK2987" s="700" t="str">
        <f t="shared" si="2298"/>
        <v/>
      </c>
      <c r="AL2987" s="700"/>
      <c r="AM2987" s="505" t="str">
        <f t="shared" si="2299"/>
        <v/>
      </c>
      <c r="AN2987" s="506"/>
      <c r="AO2987" s="507"/>
      <c r="AP2987" s="507"/>
      <c r="AQ2987" s="507"/>
      <c r="AR2987" s="507"/>
      <c r="AS2987" s="507"/>
      <c r="AT2987" s="507"/>
      <c r="AU2987" s="507"/>
      <c r="AV2987" s="225"/>
      <c r="AW2987" s="508"/>
      <c r="AX2987" s="225"/>
      <c r="AY2987" s="225"/>
      <c r="AZ2987" s="225"/>
      <c r="BA2987" s="225"/>
      <c r="BB2987" s="225"/>
      <c r="BC2987" s="56"/>
      <c r="BD2987" s="56"/>
      <c r="BE2987" s="56"/>
      <c r="BF2987" s="107" t="str">
        <f t="shared" si="2300"/>
        <v>https://www.google.com/search?tbm=isch&amp;q=3%20G5</v>
      </c>
      <c r="BG2987" s="107" t="str">
        <f t="shared" si="2301"/>
        <v>P</v>
      </c>
      <c r="BH2987" s="254"/>
      <c r="BI2987" s="254"/>
    </row>
    <row r="2988" spans="1:61" customFormat="1" ht="15.75" x14ac:dyDescent="0.25">
      <c r="A2988" s="485">
        <v>5</v>
      </c>
      <c r="B2988" s="486" t="s">
        <v>291</v>
      </c>
      <c r="C2988" s="487" t="s">
        <v>4013</v>
      </c>
      <c r="D2988" s="488" t="s">
        <v>300</v>
      </c>
      <c r="E2988" s="489">
        <v>64.95</v>
      </c>
      <c r="F2988" s="516" t="s">
        <v>293</v>
      </c>
      <c r="G2988" s="232">
        <v>0</v>
      </c>
      <c r="H2988" s="658" t="str">
        <f>IF(G2988=0,"",IF(F2988="Buy",IF(G2988=1,"plant","plants"),IF(F2988&gt;0.01,"warranty","Error")))</f>
        <v/>
      </c>
      <c r="I2988" s="490">
        <f>IF(H2988="free",0,IF(H2988="credit",((E2988*(F2988))*G2988*-1),IF(F2988="Buy",(E2988*G2988),((E2988*(1-F2988))*G2988))))</f>
        <v>0</v>
      </c>
      <c r="J2988" s="490">
        <f>IF(H2988="warranty",0,(I2988*(_xlfn.SINGLE(SalesTaxPercentage))))</f>
        <v>0</v>
      </c>
      <c r="K2988" s="695">
        <f t="shared" ref="K2988" si="2318">I2988+J2988</f>
        <v>0</v>
      </c>
      <c r="L2988" s="695"/>
      <c r="M2988" s="659" t="str">
        <f>IF(AND(G2988&gt;0,E2988=0),"WARNING - no PRICE inserted",IF(H2988="free"," FREE ~ no charge this plant",IF(H2988="credit",CONCATENATE(" -$",ROUND(K2988*(1-T2GDiscount)*-1,2)," CREDIT after discount"),IF(T2GDiscount=0,"",IF(G2988=0,"",IF(F2988="Buy",CONCATENATE(" $",ROUND(K2988*(1-T2GDiscount),2)," with ",(T2GDiscount*100),"% discount"),CONCATENATE(" $",ROUND(K2988*(1-T2GDiscount),2)," with ",((T2GDiscount*100+F2988*100)-(T2GDiscount*100*F2988)),IF(F2988&gt;0,"% discounts",IF(NoWarrantyDiscount&gt;0,"% discounts","% discount")))))))))</f>
        <v/>
      </c>
      <c r="N2988" s="660"/>
      <c r="O2988" s="233"/>
      <c r="P2988" s="233"/>
      <c r="Q2988" s="233"/>
      <c r="R2988" s="233"/>
      <c r="S2988" s="233"/>
      <c r="T2988" s="508">
        <f t="shared" si="2289"/>
        <v>0</v>
      </c>
      <c r="U2988" s="225">
        <f>IF(NOT(ISNUMBER(G2988)), "", VLOOKUP(A2988,'Discount Lookup'!D:E,2,FALSE)*G2988)</f>
        <v>0</v>
      </c>
      <c r="V2988" s="225">
        <f>IF(NOT(ISNUMBER(G2988)), "", VLOOKUP(A2988,'Discount Lookup'!G:H,2,FALSE)*G2988)</f>
        <v>0</v>
      </c>
      <c r="W2988" s="508">
        <f t="shared" si="2290"/>
        <v>0</v>
      </c>
      <c r="X2988" s="508">
        <f t="shared" si="2291"/>
        <v>0</v>
      </c>
      <c r="Y2988" s="509" t="b">
        <f t="shared" si="2292"/>
        <v>0</v>
      </c>
      <c r="Z2988" s="510">
        <f t="shared" si="2293"/>
        <v>0</v>
      </c>
      <c r="AA2988" s="511"/>
      <c r="AB2988" s="511" t="str">
        <f t="shared" si="2294"/>
        <v/>
      </c>
      <c r="AC2988" s="698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698"/>
      <c r="AE2988" s="631" t="str">
        <f t="shared" si="2295"/>
        <v/>
      </c>
      <c r="AF2988" s="699" t="str">
        <f t="shared" si="2296"/>
        <v/>
      </c>
      <c r="AG2988" s="699"/>
      <c r="AH2988" s="699"/>
      <c r="AI2988" s="512">
        <f>IF(H2988="credit",0,IF(AE2988="free",0,IF(AE2988="me",0,IF(G2988&gt;0,(VLOOKUP(A2988,'Discount Lookup'!J:K,2)*G2988),0))))</f>
        <v>0</v>
      </c>
      <c r="AJ2988" s="513" t="str">
        <f t="shared" ca="1" si="2297"/>
        <v/>
      </c>
      <c r="AK2988" s="700" t="str">
        <f t="shared" si="2298"/>
        <v/>
      </c>
      <c r="AL2988" s="700"/>
      <c r="AM2988" s="505" t="str">
        <f t="shared" si="2299"/>
        <v/>
      </c>
      <c r="AN2988" s="506"/>
      <c r="AO2988" s="507"/>
      <c r="AP2988" s="507"/>
      <c r="AQ2988" s="507"/>
      <c r="AR2988" s="507"/>
      <c r="AS2988" s="507"/>
      <c r="AT2988" s="507"/>
      <c r="AU2988" s="507"/>
      <c r="AV2988" s="225"/>
      <c r="AW2988" s="508"/>
      <c r="AX2988" s="225"/>
      <c r="AY2988" s="225"/>
      <c r="AZ2988" s="225"/>
      <c r="BA2988" s="225"/>
      <c r="BB2988" s="225"/>
      <c r="BC2988" s="56"/>
      <c r="BD2988" s="56"/>
      <c r="BE2988" s="56"/>
      <c r="BF2988" s="107" t="str">
        <f t="shared" si="2300"/>
        <v>https://www.google.com/search?tbm=isch&amp;q=5%20G6</v>
      </c>
      <c r="BG2988" s="107" t="str">
        <f t="shared" si="2301"/>
        <v>P</v>
      </c>
      <c r="BH2988" s="254"/>
      <c r="BI2988" s="254"/>
    </row>
    <row r="2989" spans="1:61" customFormat="1" ht="16.5" thickBot="1" x14ac:dyDescent="0.3">
      <c r="A2989" s="522" t="s">
        <v>2968</v>
      </c>
      <c r="B2989" s="491"/>
      <c r="C2989" s="675"/>
      <c r="D2989" s="491"/>
      <c r="E2989" s="491"/>
      <c r="F2989" s="492"/>
      <c r="G2989" s="493"/>
      <c r="H2989" s="491"/>
      <c r="I2989" s="234"/>
      <c r="J2989" s="234"/>
      <c r="K2989" s="494"/>
      <c r="L2989" s="543"/>
      <c r="M2989" s="561"/>
      <c r="N2989" s="495"/>
      <c r="O2989" s="496"/>
      <c r="P2989" s="497"/>
      <c r="Q2989" s="495"/>
      <c r="R2989" s="495"/>
      <c r="S2989" s="277"/>
      <c r="T2989" s="508">
        <f t="shared" si="2289"/>
        <v>0</v>
      </c>
      <c r="U2989" s="225" t="str">
        <f>IF(NOT(ISNUMBER(G2989)), "", VLOOKUP(A2989,'Discount Lookup'!D:E,2,FALSE)*G2989)</f>
        <v/>
      </c>
      <c r="V2989" s="225" t="str">
        <f>IF(NOT(ISNUMBER(G2989)), "", VLOOKUP(A2989,'Discount Lookup'!G:H,2,FALSE)*G2989)</f>
        <v/>
      </c>
      <c r="W2989" s="508">
        <f t="shared" si="2290"/>
        <v>0</v>
      </c>
      <c r="X2989" s="508">
        <f t="shared" si="2291"/>
        <v>0</v>
      </c>
      <c r="Y2989" s="509" t="b">
        <f t="shared" si="2292"/>
        <v>0</v>
      </c>
      <c r="Z2989" s="510">
        <f t="shared" si="2293"/>
        <v>0</v>
      </c>
      <c r="AA2989" s="511"/>
      <c r="AB2989" s="511" t="str">
        <f t="shared" si="2294"/>
        <v/>
      </c>
      <c r="AC2989" s="698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698"/>
      <c r="AE2989" s="631" t="str">
        <f t="shared" si="2295"/>
        <v/>
      </c>
      <c r="AF2989" s="699" t="str">
        <f t="shared" si="2296"/>
        <v/>
      </c>
      <c r="AG2989" s="699"/>
      <c r="AH2989" s="699"/>
      <c r="AI2989" s="512">
        <f>IF(H2989="credit",0,IF(AE2989="free",0,IF(AE2989="me",0,IF(G2989&gt;0,(VLOOKUP(A2989,'Discount Lookup'!J:K,2)*G2989),0))))</f>
        <v>0</v>
      </c>
      <c r="AJ2989" s="513" t="str">
        <f t="shared" ca="1" si="2297"/>
        <v/>
      </c>
      <c r="AK2989" s="700" t="str">
        <f t="shared" si="2298"/>
        <v/>
      </c>
      <c r="AL2989" s="700"/>
      <c r="AM2989" s="505" t="str">
        <f t="shared" si="2299"/>
        <v/>
      </c>
      <c r="AN2989" s="506"/>
      <c r="AO2989" s="507"/>
      <c r="AP2989" s="507"/>
      <c r="AQ2989" s="507"/>
      <c r="AR2989" s="507"/>
      <c r="AS2989" s="507"/>
      <c r="AT2989" s="507"/>
      <c r="AU2989" s="507"/>
      <c r="AV2989" s="225"/>
      <c r="AW2989" s="508"/>
      <c r="AX2989" s="225"/>
      <c r="AY2989" s="225"/>
      <c r="AZ2989" s="225"/>
      <c r="BA2989" s="225"/>
      <c r="BB2989" s="225"/>
      <c r="BC2989" s="56"/>
      <c r="BD2989" s="56"/>
      <c r="BE2989" s="56"/>
      <c r="BF2989" s="107" t="str">
        <f t="shared" si="2300"/>
        <v>https://www.google.com/search?tbm=isch&amp;q=Purple%20Daydream%20has%20Deep%20Burgundy-Purple%20foliage.%20Fringe-like%20flowers%20bloom%20periodically%20after%20spring%20</v>
      </c>
      <c r="BG2989" s="107" t="str">
        <f t="shared" si="2301"/>
        <v>P</v>
      </c>
      <c r="BH2989" s="254"/>
      <c r="BI2989" s="254"/>
    </row>
    <row r="2990" spans="1:61" customFormat="1" ht="18" x14ac:dyDescent="0.25">
      <c r="A2990" s="521" t="s">
        <v>5509</v>
      </c>
      <c r="B2990" s="477"/>
      <c r="C2990" s="674"/>
      <c r="D2990" s="478" t="s">
        <v>1570</v>
      </c>
      <c r="E2990" s="479"/>
      <c r="F2990" s="479"/>
      <c r="G2990" s="479"/>
      <c r="H2990" s="582" t="s">
        <v>474</v>
      </c>
      <c r="I2990" s="480" t="s">
        <v>2670</v>
      </c>
      <c r="J2990" s="479"/>
      <c r="K2990" s="479"/>
      <c r="L2990" s="560"/>
      <c r="M2990" s="666" t="s">
        <v>4966</v>
      </c>
      <c r="N2990" s="680" t="str">
        <f>IF(AND(ISTEXT($A2990), ISERROR($A2990+0)), HYPERLINK($BF2990, "Images"), "")</f>
        <v>Images</v>
      </c>
      <c r="O2990" s="662" t="s">
        <v>4967</v>
      </c>
      <c r="P2990" s="482"/>
      <c r="Q2990" s="483"/>
      <c r="R2990" s="483"/>
      <c r="S2990" s="484"/>
      <c r="T2990" s="508">
        <f t="shared" si="2289"/>
        <v>0</v>
      </c>
      <c r="U2990" s="225" t="str">
        <f>IF(NOT(ISNUMBER(G2990)), "", VLOOKUP(A2990,'Discount Lookup'!D:E,2,FALSE)*G2990)</f>
        <v/>
      </c>
      <c r="V2990" s="225" t="str">
        <f>IF(NOT(ISNUMBER(G2990)), "", VLOOKUP(A2990,'Discount Lookup'!G:H,2,FALSE)*G2990)</f>
        <v/>
      </c>
      <c r="W2990" s="508">
        <f t="shared" si="2290"/>
        <v>0</v>
      </c>
      <c r="X2990" s="508" t="str">
        <f t="shared" si="2291"/>
        <v>Neon-Pink bloom</v>
      </c>
      <c r="Y2990" s="509" t="b">
        <f t="shared" si="2292"/>
        <v>0</v>
      </c>
      <c r="Z2990" s="510">
        <f t="shared" si="2293"/>
        <v>0</v>
      </c>
      <c r="AA2990" s="511"/>
      <c r="AB2990" s="511" t="str">
        <f t="shared" si="2294"/>
        <v/>
      </c>
      <c r="AC2990" s="698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698"/>
      <c r="AE2990" s="631" t="str">
        <f t="shared" si="2295"/>
        <v/>
      </c>
      <c r="AF2990" s="699" t="str">
        <f t="shared" si="2296"/>
        <v/>
      </c>
      <c r="AG2990" s="699"/>
      <c r="AH2990" s="699"/>
      <c r="AI2990" s="512">
        <f>IF(H2990="credit",0,IF(AE2990="free",0,IF(AE2990="me",0,IF(G2990&gt;0,(VLOOKUP(A2990,'Discount Lookup'!J:K,2)*G2990),0))))</f>
        <v>0</v>
      </c>
      <c r="AJ2990" s="513" t="str">
        <f t="shared" ca="1" si="2297"/>
        <v/>
      </c>
      <c r="AK2990" s="700" t="str">
        <f t="shared" si="2298"/>
        <v/>
      </c>
      <c r="AL2990" s="700"/>
      <c r="AM2990" s="505" t="str">
        <f t="shared" si="2299"/>
        <v/>
      </c>
      <c r="AN2990" s="506"/>
      <c r="AO2990" s="507"/>
      <c r="AP2990" s="507"/>
      <c r="AQ2990" s="507"/>
      <c r="AR2990" s="507"/>
      <c r="AS2990" s="507"/>
      <c r="AT2990" s="507"/>
      <c r="AU2990" s="507"/>
      <c r="AV2990" s="225"/>
      <c r="AW2990" s="508"/>
      <c r="AX2990" s="225"/>
      <c r="AY2990" s="225"/>
      <c r="AZ2990" s="225"/>
      <c r="BA2990" s="225"/>
      <c r="BB2990" s="225"/>
      <c r="BC2990" s="56"/>
      <c r="BD2990" s="56"/>
      <c r="BE2990" s="56"/>
      <c r="BF2990" s="107" t="str">
        <f t="shared" si="2300"/>
        <v>https://www.google.com/search?tbm=isch&amp;q=Purple%20Diamond%C2%AE%20Loropetalum%20Loropetalum%20chin.%20var.%20r.%20%27Shang-hi%27%20PP%2318331</v>
      </c>
      <c r="BG2990" s="107" t="str">
        <f t="shared" si="2301"/>
        <v>P</v>
      </c>
      <c r="BH2990" s="254"/>
      <c r="BI2990" s="254"/>
    </row>
    <row r="2991" spans="1:61" customFormat="1" ht="15.75" x14ac:dyDescent="0.25">
      <c r="A2991" s="485">
        <v>3</v>
      </c>
      <c r="B2991" s="486" t="s">
        <v>291</v>
      </c>
      <c r="C2991" s="487" t="s">
        <v>2798</v>
      </c>
      <c r="D2991" s="488" t="s">
        <v>312</v>
      </c>
      <c r="E2991" s="489">
        <v>37.950000000000003</v>
      </c>
      <c r="F2991" s="516" t="s">
        <v>293</v>
      </c>
      <c r="G2991" s="232">
        <v>0</v>
      </c>
      <c r="H2991" s="658" t="str">
        <f>IF(G2991=0,"",IF(F2991="Buy",IF(G2991=1,"plant","plants"),IF(F2991&gt;0.01,"warranty","Error")))</f>
        <v/>
      </c>
      <c r="I2991" s="490">
        <f>IF(H2991="free",0,IF(H2991="credit",((E2991*(F2991))*G2991*-1),IF(F2991="Buy",(E2991*G2991),((E2991*(1-F2991))*G2991))))</f>
        <v>0</v>
      </c>
      <c r="J2991" s="490">
        <f>IF(H2991="warranty",0,(I2991*(_xlfn.SINGLE(SalesTaxPercentage))))</f>
        <v>0</v>
      </c>
      <c r="K2991" s="695">
        <f t="shared" ref="K2991" si="2319">I2991+J2991</f>
        <v>0</v>
      </c>
      <c r="L2991" s="695"/>
      <c r="M2991" s="659" t="str">
        <f>IF(AND(G2991&gt;0,E2991=0),"WARNING - no PRICE inserted",IF(H2991="free"," FREE ~ no charge this plant",IF(H2991="credit",CONCATENATE(" -$",ROUND(K2991*(1-T2GDiscount)*-1,2)," CREDIT after discount"),IF(T2GDiscount=0,"",IF(G2991=0,"",IF(F2991="Buy",CONCATENATE(" $",ROUND(K2991*(1-T2GDiscount),2)," with ",(T2GDiscount*100),"% discount"),CONCATENATE(" $",ROUND(K2991*(1-T2GDiscount),2)," with ",((T2GDiscount*100+F2991*100)-(T2GDiscount*100*F2991)),IF(F2991&gt;0,"% discounts",IF(NoWarrantyDiscount&gt;0,"% discounts","% discount")))))))))</f>
        <v/>
      </c>
      <c r="N2991" s="660"/>
      <c r="O2991" s="233"/>
      <c r="P2991" s="233"/>
      <c r="Q2991" s="233"/>
      <c r="R2991" s="233"/>
      <c r="S2991" s="233"/>
      <c r="T2991" s="508">
        <f t="shared" si="2289"/>
        <v>0</v>
      </c>
      <c r="U2991" s="225">
        <f>IF(NOT(ISNUMBER(G2991)), "", VLOOKUP(A2991,'Discount Lookup'!D:E,2,FALSE)*G2991)</f>
        <v>0</v>
      </c>
      <c r="V2991" s="225">
        <f>IF(NOT(ISNUMBER(G2991)), "", VLOOKUP(A2991,'Discount Lookup'!G:H,2,FALSE)*G2991)</f>
        <v>0</v>
      </c>
      <c r="W2991" s="508">
        <f t="shared" si="2290"/>
        <v>0</v>
      </c>
      <c r="X2991" s="508">
        <f t="shared" si="2291"/>
        <v>0</v>
      </c>
      <c r="Y2991" s="509" t="b">
        <f t="shared" si="2292"/>
        <v>0</v>
      </c>
      <c r="Z2991" s="510">
        <f t="shared" si="2293"/>
        <v>0</v>
      </c>
      <c r="AA2991" s="511"/>
      <c r="AB2991" s="511" t="str">
        <f t="shared" si="2294"/>
        <v/>
      </c>
      <c r="AC2991" s="698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698"/>
      <c r="AE2991" s="631" t="str">
        <f t="shared" si="2295"/>
        <v/>
      </c>
      <c r="AF2991" s="699" t="str">
        <f t="shared" si="2296"/>
        <v/>
      </c>
      <c r="AG2991" s="699"/>
      <c r="AH2991" s="699"/>
      <c r="AI2991" s="512">
        <f>IF(H2991="credit",0,IF(AE2991="free",0,IF(AE2991="me",0,IF(G2991&gt;0,(VLOOKUP(A2991,'Discount Lookup'!J:K,2)*G2991),0))))</f>
        <v>0</v>
      </c>
      <c r="AJ2991" s="513" t="str">
        <f t="shared" ca="1" si="2297"/>
        <v/>
      </c>
      <c r="AK2991" s="700" t="str">
        <f t="shared" si="2298"/>
        <v/>
      </c>
      <c r="AL2991" s="700"/>
      <c r="AM2991" s="505" t="str">
        <f t="shared" si="2299"/>
        <v/>
      </c>
      <c r="AN2991" s="506"/>
      <c r="AO2991" s="507"/>
      <c r="AP2991" s="507"/>
      <c r="AQ2991" s="507"/>
      <c r="AR2991" s="507"/>
      <c r="AS2991" s="507"/>
      <c r="AT2991" s="507"/>
      <c r="AU2991" s="507"/>
      <c r="AV2991" s="225"/>
      <c r="AW2991" s="508"/>
      <c r="AX2991" s="225"/>
      <c r="AY2991" s="225"/>
      <c r="AZ2991" s="225"/>
      <c r="BA2991" s="225"/>
      <c r="BB2991" s="225"/>
      <c r="BC2991" s="56"/>
      <c r="BD2991" s="56"/>
      <c r="BE2991" s="56"/>
      <c r="BF2991" s="107" t="str">
        <f t="shared" si="2300"/>
        <v>https://www.google.com/search?tbm=isch&amp;q=3%20G2</v>
      </c>
      <c r="BG2991" s="107" t="str">
        <f t="shared" si="2301"/>
        <v>P</v>
      </c>
      <c r="BH2991" s="254"/>
      <c r="BI2991" s="254"/>
    </row>
    <row r="2992" spans="1:61" customFormat="1" ht="27" x14ac:dyDescent="0.25">
      <c r="A2992" s="485">
        <v>3</v>
      </c>
      <c r="B2992" s="486" t="s">
        <v>291</v>
      </c>
      <c r="C2992" s="487" t="s">
        <v>3708</v>
      </c>
      <c r="D2992" s="488" t="s">
        <v>292</v>
      </c>
      <c r="E2992" s="489">
        <v>40.950000000000003</v>
      </c>
      <c r="F2992" s="516" t="s">
        <v>293</v>
      </c>
      <c r="G2992" s="232">
        <v>0</v>
      </c>
      <c r="H2992" s="658" t="str">
        <f>IF(G2992=0,"",IF(F2992="Buy",IF(G2992=1,"plant","plants"),IF(F2992&gt;0.01,"warranty","Error")))</f>
        <v/>
      </c>
      <c r="I2992" s="490">
        <f>IF(H2992="free",0,IF(H2992="credit",((E2992*(F2992))*G2992*-1),IF(F2992="Buy",(E2992*G2992),((E2992*(1-F2992))*G2992))))</f>
        <v>0</v>
      </c>
      <c r="J2992" s="490">
        <f>IF(H2992="warranty",0,(I2992*(_xlfn.SINGLE(SalesTaxPercentage))))</f>
        <v>0</v>
      </c>
      <c r="K2992" s="695">
        <f t="shared" ref="K2992" si="2320">I2992+J2992</f>
        <v>0</v>
      </c>
      <c r="L2992" s="695"/>
      <c r="M2992" s="659" t="str">
        <f>IF(AND(G2992&gt;0,E2992=0),"WARNING - no PRICE inserted",IF(H2992="free"," FREE ~ no charge this plant",IF(H2992="credit",CONCATENATE(" -$",ROUND(K2992*(1-T2GDiscount)*-1,2)," CREDIT after discount"),IF(T2GDiscount=0,"",IF(G2992=0,"",IF(F2992="Buy",CONCATENATE(" $",ROUND(K2992*(1-T2GDiscount),2)," with ",(T2GDiscount*100),"% discount"),CONCATENATE(" $",ROUND(K2992*(1-T2GDiscount),2)," with ",((T2GDiscount*100+F2992*100)-(T2GDiscount*100*F2992)),IF(F2992&gt;0,"% discounts",IF(NoWarrantyDiscount&gt;0,"% discounts","% discount")))))))))</f>
        <v/>
      </c>
      <c r="N2992" s="660"/>
      <c r="O2992" s="233"/>
      <c r="P2992" s="233"/>
      <c r="Q2992" s="233"/>
      <c r="R2992" s="233"/>
      <c r="S2992" s="233"/>
      <c r="T2992" s="508">
        <f t="shared" si="2289"/>
        <v>0</v>
      </c>
      <c r="U2992" s="225">
        <f>IF(NOT(ISNUMBER(G2992)), "", VLOOKUP(A2992,'Discount Lookup'!D:E,2,FALSE)*G2992)</f>
        <v>0</v>
      </c>
      <c r="V2992" s="225">
        <f>IF(NOT(ISNUMBER(G2992)), "", VLOOKUP(A2992,'Discount Lookup'!G:H,2,FALSE)*G2992)</f>
        <v>0</v>
      </c>
      <c r="W2992" s="508">
        <f t="shared" si="2290"/>
        <v>0</v>
      </c>
      <c r="X2992" s="508">
        <f t="shared" si="2291"/>
        <v>0</v>
      </c>
      <c r="Y2992" s="509" t="b">
        <f t="shared" si="2292"/>
        <v>0</v>
      </c>
      <c r="Z2992" s="510">
        <f t="shared" si="2293"/>
        <v>0</v>
      </c>
      <c r="AA2992" s="511"/>
      <c r="AB2992" s="511" t="str">
        <f t="shared" si="2294"/>
        <v/>
      </c>
      <c r="AC2992" s="698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698"/>
      <c r="AE2992" s="631" t="str">
        <f t="shared" si="2295"/>
        <v/>
      </c>
      <c r="AF2992" s="699" t="str">
        <f t="shared" si="2296"/>
        <v/>
      </c>
      <c r="AG2992" s="699"/>
      <c r="AH2992" s="699"/>
      <c r="AI2992" s="512">
        <f>IF(H2992="credit",0,IF(AE2992="free",0,IF(AE2992="me",0,IF(G2992&gt;0,(VLOOKUP(A2992,'Discount Lookup'!J:K,2)*G2992),0))))</f>
        <v>0</v>
      </c>
      <c r="AJ2992" s="513" t="str">
        <f t="shared" ca="1" si="2297"/>
        <v/>
      </c>
      <c r="AK2992" s="700" t="str">
        <f t="shared" si="2298"/>
        <v/>
      </c>
      <c r="AL2992" s="700"/>
      <c r="AM2992" s="505" t="str">
        <f t="shared" si="2299"/>
        <v/>
      </c>
      <c r="AN2992" s="506"/>
      <c r="AO2992" s="507"/>
      <c r="AP2992" s="507"/>
      <c r="AQ2992" s="507"/>
      <c r="AR2992" s="507"/>
      <c r="AS2992" s="507"/>
      <c r="AT2992" s="507"/>
      <c r="AU2992" s="507"/>
      <c r="AV2992" s="225"/>
      <c r="AW2992" s="508"/>
      <c r="AX2992" s="225"/>
      <c r="AY2992" s="225"/>
      <c r="AZ2992" s="225"/>
      <c r="BA2992" s="225"/>
      <c r="BB2992" s="225"/>
      <c r="BC2992" s="56"/>
      <c r="BD2992" s="56"/>
      <c r="BE2992" s="56"/>
      <c r="BF2992" s="107" t="str">
        <f t="shared" si="2300"/>
        <v>https://www.google.com/search?tbm=isch&amp;q=3%20G4</v>
      </c>
      <c r="BG2992" s="107" t="str">
        <f t="shared" si="2301"/>
        <v>P</v>
      </c>
      <c r="BH2992" s="254"/>
      <c r="BI2992" s="254"/>
    </row>
    <row r="2993" spans="1:61" customFormat="1" ht="16.5" thickBot="1" x14ac:dyDescent="0.3">
      <c r="A2993" s="522" t="s">
        <v>4152</v>
      </c>
      <c r="B2993" s="491"/>
      <c r="C2993" s="675"/>
      <c r="D2993" s="491"/>
      <c r="E2993" s="491"/>
      <c r="F2993" s="492"/>
      <c r="G2993" s="493"/>
      <c r="H2993" s="491"/>
      <c r="I2993" s="234"/>
      <c r="J2993" s="234"/>
      <c r="K2993" s="494"/>
      <c r="L2993" s="543"/>
      <c r="M2993" s="561"/>
      <c r="N2993" s="495"/>
      <c r="O2993" s="496"/>
      <c r="P2993" s="497"/>
      <c r="Q2993" s="495"/>
      <c r="R2993" s="495"/>
      <c r="S2993" s="277"/>
      <c r="T2993" s="508">
        <f t="shared" si="2289"/>
        <v>0</v>
      </c>
      <c r="U2993" s="225" t="str">
        <f>IF(NOT(ISNUMBER(G2993)), "", VLOOKUP(A2993,'Discount Lookup'!D:E,2,FALSE)*G2993)</f>
        <v/>
      </c>
      <c r="V2993" s="225" t="str">
        <f>IF(NOT(ISNUMBER(G2993)), "", VLOOKUP(A2993,'Discount Lookup'!G:H,2,FALSE)*G2993)</f>
        <v/>
      </c>
      <c r="W2993" s="508">
        <f t="shared" si="2290"/>
        <v>0</v>
      </c>
      <c r="X2993" s="508">
        <f t="shared" si="2291"/>
        <v>0</v>
      </c>
      <c r="Y2993" s="509" t="b">
        <f t="shared" si="2292"/>
        <v>0</v>
      </c>
      <c r="Z2993" s="510">
        <f t="shared" si="2293"/>
        <v>0</v>
      </c>
      <c r="AA2993" s="511"/>
      <c r="AB2993" s="511" t="str">
        <f t="shared" si="2294"/>
        <v/>
      </c>
      <c r="AC2993" s="698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698"/>
      <c r="AE2993" s="631" t="str">
        <f t="shared" si="2295"/>
        <v/>
      </c>
      <c r="AF2993" s="699" t="str">
        <f t="shared" si="2296"/>
        <v/>
      </c>
      <c r="AG2993" s="699"/>
      <c r="AH2993" s="699"/>
      <c r="AI2993" s="512">
        <f>IF(H2993="credit",0,IF(AE2993="free",0,IF(AE2993="me",0,IF(G2993&gt;0,(VLOOKUP(A2993,'Discount Lookup'!J:K,2)*G2993),0))))</f>
        <v>0</v>
      </c>
      <c r="AJ2993" s="513" t="str">
        <f t="shared" ca="1" si="2297"/>
        <v/>
      </c>
      <c r="AK2993" s="700" t="str">
        <f t="shared" si="2298"/>
        <v/>
      </c>
      <c r="AL2993" s="700"/>
      <c r="AM2993" s="505" t="str">
        <f t="shared" si="2299"/>
        <v/>
      </c>
      <c r="AN2993" s="506"/>
      <c r="AO2993" s="507"/>
      <c r="AP2993" s="507"/>
      <c r="AQ2993" s="507"/>
      <c r="AR2993" s="507"/>
      <c r="AS2993" s="507"/>
      <c r="AT2993" s="507"/>
      <c r="AU2993" s="507"/>
      <c r="AV2993" s="225"/>
      <c r="AW2993" s="508"/>
      <c r="AX2993" s="225"/>
      <c r="AY2993" s="225"/>
      <c r="AZ2993" s="225"/>
      <c r="BA2993" s="225"/>
      <c r="BB2993" s="225"/>
      <c r="BC2993" s="56"/>
      <c r="BD2993" s="56"/>
      <c r="BE2993" s="56"/>
      <c r="BF2993" s="107" t="str">
        <f t="shared" si="2300"/>
        <v>https://www.google.com/search?tbm=isch&amp;q=Purple%20Diamond%20has%20Deep%20Burgundy-Purple%20foliage.%20Fringe-like%20flowers%20bloom%20peridically%20after%20spring%20</v>
      </c>
      <c r="BG2993" s="107" t="str">
        <f t="shared" si="2301"/>
        <v>P</v>
      </c>
      <c r="BH2993" s="254"/>
      <c r="BI2993" s="254"/>
    </row>
    <row r="2994" spans="1:61" customFormat="1" ht="18" x14ac:dyDescent="0.25">
      <c r="A2994" s="523" t="s">
        <v>3271</v>
      </c>
      <c r="B2994" s="235"/>
      <c r="C2994" s="676"/>
      <c r="D2994" s="255" t="s">
        <v>3272</v>
      </c>
      <c r="E2994" s="236"/>
      <c r="F2994" s="236"/>
      <c r="G2994" s="236"/>
      <c r="H2994" s="582" t="s">
        <v>2947</v>
      </c>
      <c r="I2994" s="498" t="s">
        <v>3273</v>
      </c>
      <c r="J2994" s="237"/>
      <c r="K2994" s="237"/>
      <c r="L2994" s="274"/>
      <c r="M2994" s="668" t="s">
        <v>4975</v>
      </c>
      <c r="N2994" s="681" t="str">
        <f>IF(AND(ISTEXT($A2994), ISERROR($A2994+0)), HYPERLINK($BF2994, "Images"), "")</f>
        <v>Images</v>
      </c>
      <c r="O2994" s="663" t="s">
        <v>4974</v>
      </c>
      <c r="P2994" s="253"/>
      <c r="Q2994" s="238"/>
      <c r="R2994" s="239"/>
      <c r="S2994" s="275"/>
      <c r="T2994" s="508">
        <f t="shared" si="2289"/>
        <v>0</v>
      </c>
      <c r="U2994" s="225" t="str">
        <f>IF(NOT(ISNUMBER(G2994)), "", VLOOKUP(A2994,'Discount Lookup'!D:E,2,FALSE)*G2994)</f>
        <v/>
      </c>
      <c r="V2994" s="225" t="str">
        <f>IF(NOT(ISNUMBER(G2994)), "", VLOOKUP(A2994,'Discount Lookup'!G:H,2,FALSE)*G2994)</f>
        <v/>
      </c>
      <c r="W2994" s="508">
        <f t="shared" si="2290"/>
        <v>0</v>
      </c>
      <c r="X2994" s="508" t="str">
        <f t="shared" si="2291"/>
        <v>Purple, Yellow throat</v>
      </c>
      <c r="Y2994" s="509" t="b">
        <f t="shared" si="2292"/>
        <v>0</v>
      </c>
      <c r="Z2994" s="510">
        <f t="shared" si="2293"/>
        <v>0</v>
      </c>
      <c r="AA2994" s="511"/>
      <c r="AB2994" s="511" t="str">
        <f t="shared" si="2294"/>
        <v/>
      </c>
      <c r="AC2994" s="698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698"/>
      <c r="AE2994" s="631" t="str">
        <f t="shared" si="2295"/>
        <v/>
      </c>
      <c r="AF2994" s="699" t="str">
        <f t="shared" si="2296"/>
        <v/>
      </c>
      <c r="AG2994" s="699"/>
      <c r="AH2994" s="699"/>
      <c r="AI2994" s="512">
        <f>IF(H2994="credit",0,IF(AE2994="free",0,IF(AE2994="me",0,IF(G2994&gt;0,(VLOOKUP(A2994,'Discount Lookup'!J:K,2)*G2994),0))))</f>
        <v>0</v>
      </c>
      <c r="AJ2994" s="513" t="str">
        <f t="shared" ca="1" si="2297"/>
        <v/>
      </c>
      <c r="AK2994" s="700" t="str">
        <f t="shared" si="2298"/>
        <v/>
      </c>
      <c r="AL2994" s="700"/>
      <c r="AM2994" s="505" t="str">
        <f t="shared" si="2299"/>
        <v/>
      </c>
      <c r="AN2994" s="506"/>
      <c r="AO2994" s="507"/>
      <c r="AP2994" s="507"/>
      <c r="AQ2994" s="507"/>
      <c r="AR2994" s="507"/>
      <c r="AS2994" s="507"/>
      <c r="AT2994" s="507"/>
      <c r="AU2994" s="507"/>
      <c r="AV2994" s="225"/>
      <c r="AW2994" s="508"/>
      <c r="AX2994" s="225"/>
      <c r="AY2994" s="225"/>
      <c r="AZ2994" s="225"/>
      <c r="BA2994" s="225"/>
      <c r="BB2994" s="225"/>
      <c r="BC2994" s="56"/>
      <c r="BD2994" s="56"/>
      <c r="BE2994" s="56"/>
      <c r="BF2994" s="107" t="str">
        <f t="shared" si="2300"/>
        <v>https://www.google.com/search?tbm=isch&amp;q=Purple%20d%27Oro%20Daylily%20Hemerocallis%20%27Purple%20d%27Oro%27</v>
      </c>
      <c r="BG2994" s="107" t="str">
        <f t="shared" si="2301"/>
        <v>P</v>
      </c>
      <c r="BH2994" s="254"/>
      <c r="BI2994" s="254"/>
    </row>
    <row r="2995" spans="1:61" customFormat="1" ht="15.75" x14ac:dyDescent="0.25">
      <c r="A2995" s="276">
        <v>1</v>
      </c>
      <c r="B2995" s="240" t="s">
        <v>291</v>
      </c>
      <c r="C2995" s="241" t="s">
        <v>3274</v>
      </c>
      <c r="D2995" s="242" t="s">
        <v>297</v>
      </c>
      <c r="E2995" s="243">
        <v>6.95</v>
      </c>
      <c r="F2995" s="517" t="s">
        <v>293</v>
      </c>
      <c r="G2995" s="232">
        <v>0</v>
      </c>
      <c r="H2995" s="661" t="str">
        <f>IF(G2995=0,"",IF(F2995="Buy",IF(G2995=1,"plant","plants"),IF(F2995&gt;0.01,"warranty","Error")))</f>
        <v/>
      </c>
      <c r="I2995" s="244">
        <f>IF(H2995="free",0,IF(H2995="credit",((E2995*(F2995))*G2995*-1),IF(F2995="Buy",(E2995*G2995),((E2995*(1-F2995))*G2995))))</f>
        <v>0</v>
      </c>
      <c r="J2995" s="244">
        <f>IF(H2995="warranty",0,(I2995*(_xlfn.SINGLE(SalesTaxPercentage))))</f>
        <v>0</v>
      </c>
      <c r="K2995" s="696">
        <f t="shared" ref="K2995" si="2321">I2995+J2995</f>
        <v>0</v>
      </c>
      <c r="L2995" s="696"/>
      <c r="M2995" s="659" t="str">
        <f>IF(AND(G2995&gt;0,E2995=0),"WARNING - no PRICE inserted",IF(H2995="free"," FREE ~ no charge this plant",IF(H2995="credit",CONCATENATE(" -$",ROUND(K2995*(1-T2GDiscount)*-1,2)," CREDIT after discount"),IF(T2GDiscount=0,"",IF(G2995=0,"",IF(F2995="Buy",CONCATENATE(" $",ROUND(K2995*(1-T2GDiscount),2)," with ",(T2GDiscount*100),"% discount"),CONCATENATE(" $",ROUND(K2995*(1-T2GDiscount),2)," with ",((T2GDiscount*100+F2995*100)-(T2GDiscount*100*F2995)),IF(F2995&gt;0,"% discounts",IF(NoWarrantyDiscount&gt;0,"% discounts","% discount")))))))))</f>
        <v/>
      </c>
      <c r="N2995" s="660"/>
      <c r="O2995" s="233"/>
      <c r="P2995" s="233"/>
      <c r="Q2995" s="233"/>
      <c r="R2995" s="233"/>
      <c r="S2995" s="233"/>
      <c r="T2995" s="508">
        <f t="shared" si="2289"/>
        <v>0</v>
      </c>
      <c r="U2995" s="225">
        <f>IF(NOT(ISNUMBER(G2995)), "", VLOOKUP(A2995,'Discount Lookup'!D:E,2,FALSE)*G2995)</f>
        <v>0</v>
      </c>
      <c r="V2995" s="225">
        <f>IF(NOT(ISNUMBER(G2995)), "", VLOOKUP(A2995,'Discount Lookup'!G:H,2,FALSE)*G2995)</f>
        <v>0</v>
      </c>
      <c r="W2995" s="508">
        <f t="shared" si="2290"/>
        <v>0</v>
      </c>
      <c r="X2995" s="508">
        <f t="shared" si="2291"/>
        <v>0</v>
      </c>
      <c r="Y2995" s="509" t="b">
        <f t="shared" si="2292"/>
        <v>0</v>
      </c>
      <c r="Z2995" s="510">
        <f t="shared" si="2293"/>
        <v>0</v>
      </c>
      <c r="AA2995" s="511"/>
      <c r="AB2995" s="511" t="str">
        <f t="shared" si="2294"/>
        <v/>
      </c>
      <c r="AC2995" s="698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698"/>
      <c r="AE2995" s="631" t="str">
        <f t="shared" si="2295"/>
        <v/>
      </c>
      <c r="AF2995" s="699" t="str">
        <f t="shared" si="2296"/>
        <v/>
      </c>
      <c r="AG2995" s="699"/>
      <c r="AH2995" s="699"/>
      <c r="AI2995" s="512">
        <f>IF(H2995="credit",0,IF(AE2995="free",0,IF(AE2995="me",0,IF(G2995&gt;0,(VLOOKUP(A2995,'Discount Lookup'!J:K,2)*G2995),0))))</f>
        <v>0</v>
      </c>
      <c r="AJ2995" s="513" t="str">
        <f t="shared" ca="1" si="2297"/>
        <v/>
      </c>
      <c r="AK2995" s="700" t="str">
        <f t="shared" si="2298"/>
        <v/>
      </c>
      <c r="AL2995" s="700"/>
      <c r="AM2995" s="505" t="str">
        <f t="shared" si="2299"/>
        <v/>
      </c>
      <c r="AN2995" s="506"/>
      <c r="AO2995" s="507"/>
      <c r="AP2995" s="507"/>
      <c r="AQ2995" s="507"/>
      <c r="AR2995" s="507"/>
      <c r="AS2995" s="507"/>
      <c r="AT2995" s="507"/>
      <c r="AU2995" s="507"/>
      <c r="AV2995" s="225"/>
      <c r="AW2995" s="508"/>
      <c r="AX2995" s="225"/>
      <c r="AY2995" s="225"/>
      <c r="AZ2995" s="225"/>
      <c r="BA2995" s="225"/>
      <c r="BB2995" s="225"/>
      <c r="BC2995" s="56"/>
      <c r="BD2995" s="56"/>
      <c r="BE2995" s="56"/>
      <c r="BF2995" s="107" t="str">
        <f t="shared" si="2300"/>
        <v>https://www.google.com/search?tbm=isch&amp;q=1%20G3</v>
      </c>
      <c r="BG2995" s="107" t="str">
        <f t="shared" si="2301"/>
        <v>P</v>
      </c>
      <c r="BH2995" s="254"/>
      <c r="BI2995" s="254"/>
    </row>
    <row r="2996" spans="1:61" customFormat="1" ht="17.25" thickBot="1" x14ac:dyDescent="0.3">
      <c r="A2996" s="673" t="s">
        <v>5213</v>
      </c>
      <c r="B2996" s="245"/>
      <c r="C2996" s="677"/>
      <c r="D2996" s="499"/>
      <c r="E2996" s="499"/>
      <c r="F2996" s="500"/>
      <c r="G2996" s="501"/>
      <c r="H2996" s="502"/>
      <c r="I2996" s="246"/>
      <c r="J2996" s="247"/>
      <c r="K2996" s="503"/>
      <c r="L2996" s="544"/>
      <c r="M2996" s="544"/>
      <c r="N2996" s="500"/>
      <c r="O2996" s="500"/>
      <c r="P2996" s="500"/>
      <c r="Q2996" s="500"/>
      <c r="R2996" s="500"/>
      <c r="S2996" s="669" t="s">
        <v>4976</v>
      </c>
      <c r="T2996" s="508">
        <f t="shared" si="2289"/>
        <v>0</v>
      </c>
      <c r="U2996" s="225" t="str">
        <f>IF(NOT(ISNUMBER(G2996)), "", VLOOKUP(A2996,'Discount Lookup'!D:E,2,FALSE)*G2996)</f>
        <v/>
      </c>
      <c r="V2996" s="225" t="str">
        <f>IF(NOT(ISNUMBER(G2996)), "", VLOOKUP(A2996,'Discount Lookup'!G:H,2,FALSE)*G2996)</f>
        <v/>
      </c>
      <c r="W2996" s="508">
        <f t="shared" si="2290"/>
        <v>0</v>
      </c>
      <c r="X2996" s="508">
        <f t="shared" si="2291"/>
        <v>0</v>
      </c>
      <c r="Y2996" s="509" t="b">
        <f t="shared" si="2292"/>
        <v>0</v>
      </c>
      <c r="Z2996" s="510">
        <f t="shared" si="2293"/>
        <v>0</v>
      </c>
      <c r="AA2996" s="511"/>
      <c r="AB2996" s="511" t="str">
        <f t="shared" si="2294"/>
        <v/>
      </c>
      <c r="AC2996" s="698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698"/>
      <c r="AE2996" s="631" t="str">
        <f t="shared" si="2295"/>
        <v/>
      </c>
      <c r="AF2996" s="699" t="str">
        <f t="shared" si="2296"/>
        <v/>
      </c>
      <c r="AG2996" s="699"/>
      <c r="AH2996" s="699"/>
      <c r="AI2996" s="512">
        <f>IF(H2996="credit",0,IF(AE2996="free",0,IF(AE2996="me",0,IF(G2996&gt;0,(VLOOKUP(A2996,'Discount Lookup'!J:K,2)*G2996),0))))</f>
        <v>0</v>
      </c>
      <c r="AJ2996" s="513" t="str">
        <f t="shared" ca="1" si="2297"/>
        <v/>
      </c>
      <c r="AK2996" s="700" t="str">
        <f t="shared" si="2298"/>
        <v/>
      </c>
      <c r="AL2996" s="700"/>
      <c r="AM2996" s="505" t="str">
        <f t="shared" si="2299"/>
        <v/>
      </c>
      <c r="AN2996" s="506"/>
      <c r="AO2996" s="507"/>
      <c r="AP2996" s="507"/>
      <c r="AQ2996" s="507"/>
      <c r="AR2996" s="507"/>
      <c r="AS2996" s="507"/>
      <c r="AT2996" s="507"/>
      <c r="AU2996" s="507"/>
      <c r="AV2996" s="225"/>
      <c r="AW2996" s="508"/>
      <c r="AX2996" s="225"/>
      <c r="AY2996" s="225"/>
      <c r="AZ2996" s="225"/>
      <c r="BA2996" s="225"/>
      <c r="BB2996" s="225"/>
      <c r="BC2996" s="56"/>
      <c r="BD2996" s="56"/>
      <c r="BE2996" s="56"/>
      <c r="BF2996" s="107" t="str">
        <f t="shared" si="2300"/>
        <v>https://www.google.com/search?tbm=isch&amp;q=wet%20sites%F0%9F%92%A7OK%2C%20Purple%20d%27Oro%20is%20a%20cultivar%20of%20Stella%20d%27Oro.%20Repeat%20bloomer%2C%20June%20to%20frost%20</v>
      </c>
      <c r="BG2996" s="107" t="str">
        <f t="shared" si="2301"/>
        <v>w</v>
      </c>
      <c r="BH2996" s="254"/>
      <c r="BI2996" s="254"/>
    </row>
    <row r="2997" spans="1:61" customFormat="1" ht="18" x14ac:dyDescent="0.25">
      <c r="A2997" s="523" t="s">
        <v>2791</v>
      </c>
      <c r="B2997" s="235"/>
      <c r="C2997" s="676"/>
      <c r="D2997" s="255" t="s">
        <v>2792</v>
      </c>
      <c r="E2997" s="236"/>
      <c r="F2997" s="236"/>
      <c r="G2997" s="236"/>
      <c r="H2997" s="582" t="s">
        <v>1521</v>
      </c>
      <c r="I2997" s="498" t="s">
        <v>2793</v>
      </c>
      <c r="J2997" s="237"/>
      <c r="K2997" s="237"/>
      <c r="L2997" s="274"/>
      <c r="M2997" s="668" t="s">
        <v>4975</v>
      </c>
      <c r="N2997" s="681" t="str">
        <f>IF(AND(ISTEXT($A2997), ISERROR($A2997+0)), HYPERLINK($BF2997, "Images"), "")</f>
        <v>Images</v>
      </c>
      <c r="O2997" s="663" t="s">
        <v>4967</v>
      </c>
      <c r="P2997" s="253"/>
      <c r="Q2997" s="238"/>
      <c r="R2997" s="239"/>
      <c r="S2997" s="275"/>
      <c r="T2997" s="508">
        <f t="shared" si="2289"/>
        <v>0</v>
      </c>
      <c r="U2997" s="225" t="str">
        <f>IF(NOT(ISNUMBER(G2997)), "", VLOOKUP(A2997,'Discount Lookup'!D:E,2,FALSE)*G2997)</f>
        <v/>
      </c>
      <c r="V2997" s="225" t="str">
        <f>IF(NOT(ISNUMBER(G2997)), "", VLOOKUP(A2997,'Discount Lookup'!G:H,2,FALSE)*G2997)</f>
        <v/>
      </c>
      <c r="W2997" s="508">
        <f t="shared" si="2290"/>
        <v>0</v>
      </c>
      <c r="X2997" s="508" t="str">
        <f t="shared" si="2291"/>
        <v>Red-Purple-Green foliage</v>
      </c>
      <c r="Y2997" s="509" t="b">
        <f t="shared" si="2292"/>
        <v>0</v>
      </c>
      <c r="Z2997" s="510">
        <f t="shared" si="2293"/>
        <v>0</v>
      </c>
      <c r="AA2997" s="511"/>
      <c r="AB2997" s="511" t="str">
        <f t="shared" si="2294"/>
        <v/>
      </c>
      <c r="AC2997" s="698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698"/>
      <c r="AE2997" s="631" t="str">
        <f t="shared" si="2295"/>
        <v/>
      </c>
      <c r="AF2997" s="699" t="str">
        <f t="shared" si="2296"/>
        <v/>
      </c>
      <c r="AG2997" s="699"/>
      <c r="AH2997" s="699"/>
      <c r="AI2997" s="512">
        <f>IF(H2997="credit",0,IF(AE2997="free",0,IF(AE2997="me",0,IF(G2997&gt;0,(VLOOKUP(A2997,'Discount Lookup'!J:K,2)*G2997),0))))</f>
        <v>0</v>
      </c>
      <c r="AJ2997" s="513" t="str">
        <f t="shared" ca="1" si="2297"/>
        <v/>
      </c>
      <c r="AK2997" s="700" t="str">
        <f t="shared" si="2298"/>
        <v/>
      </c>
      <c r="AL2997" s="700"/>
      <c r="AM2997" s="505" t="str">
        <f t="shared" si="2299"/>
        <v/>
      </c>
      <c r="AN2997" s="506"/>
      <c r="AO2997" s="507"/>
      <c r="AP2997" s="507"/>
      <c r="AQ2997" s="507"/>
      <c r="AR2997" s="507"/>
      <c r="AS2997" s="507"/>
      <c r="AT2997" s="507"/>
      <c r="AU2997" s="507"/>
      <c r="AV2997" s="225"/>
      <c r="AW2997" s="508"/>
      <c r="AX2997" s="225"/>
      <c r="AY2997" s="225"/>
      <c r="AZ2997" s="225"/>
      <c r="BA2997" s="225"/>
      <c r="BB2997" s="225"/>
      <c r="BC2997" s="56"/>
      <c r="BD2997" s="56"/>
      <c r="BE2997" s="56"/>
      <c r="BF2997" s="107" t="str">
        <f t="shared" si="2300"/>
        <v>https://www.google.com/search?tbm=isch&amp;q=Purple%20Ghost%20Japanese%20Maple%20Acer%20palmatum%20%27Purple%20Ghost%27</v>
      </c>
      <c r="BG2997" s="107" t="str">
        <f t="shared" si="2301"/>
        <v>P</v>
      </c>
      <c r="BH2997" s="254"/>
      <c r="BI2997" s="254"/>
    </row>
    <row r="2998" spans="1:61" customFormat="1" ht="15.75" x14ac:dyDescent="0.25">
      <c r="A2998" s="276">
        <v>7</v>
      </c>
      <c r="B2998" s="240" t="s">
        <v>291</v>
      </c>
      <c r="C2998" s="241" t="s">
        <v>3709</v>
      </c>
      <c r="D2998" s="242" t="s">
        <v>292</v>
      </c>
      <c r="E2998" s="243">
        <v>224.95</v>
      </c>
      <c r="F2998" s="517" t="s">
        <v>293</v>
      </c>
      <c r="G2998" s="232">
        <v>0</v>
      </c>
      <c r="H2998" s="661" t="str">
        <f>IF(G2998=0,"",IF(F2998="Buy",IF(G2998=1,"plant","plants"),IF(F2998&gt;0.01,"warranty","Error")))</f>
        <v/>
      </c>
      <c r="I2998" s="244">
        <f>IF(H2998="free",0,IF(H2998="credit",((E2998*(F2998))*G2998*-1),IF(F2998="Buy",(E2998*G2998),((E2998*(1-F2998))*G2998))))</f>
        <v>0</v>
      </c>
      <c r="J2998" s="244">
        <f>IF(H2998="warranty",0,(I2998*(_xlfn.SINGLE(SalesTaxPercentage))))</f>
        <v>0</v>
      </c>
      <c r="K2998" s="696">
        <f t="shared" ref="K2998" si="2322">I2998+J2998</f>
        <v>0</v>
      </c>
      <c r="L2998" s="696"/>
      <c r="M2998" s="659" t="str">
        <f>IF(AND(G2998&gt;0,E2998=0),"WARNING - no PRICE inserted",IF(H2998="free"," FREE ~ no charge this plant",IF(H2998="credit",CONCATENATE(" -$",ROUND(K2998*(1-T2GDiscount)*-1,2)," CREDIT after discount"),IF(T2GDiscount=0,"",IF(G2998=0,"",IF(F2998="Buy",CONCATENATE(" $",ROUND(K2998*(1-T2GDiscount),2)," with ",(T2GDiscount*100),"% discount"),CONCATENATE(" $",ROUND(K2998*(1-T2GDiscount),2)," with ",((T2GDiscount*100+F2998*100)-(T2GDiscount*100*F2998)),IF(F2998&gt;0,"% discounts",IF(NoWarrantyDiscount&gt;0,"% discounts","% discount")))))))))</f>
        <v/>
      </c>
      <c r="N2998" s="660"/>
      <c r="O2998" s="233"/>
      <c r="P2998" s="233"/>
      <c r="Q2998" s="233"/>
      <c r="R2998" s="233"/>
      <c r="S2998" s="233"/>
      <c r="T2998" s="508">
        <f t="shared" si="2289"/>
        <v>0</v>
      </c>
      <c r="U2998" s="225">
        <f>IF(NOT(ISNUMBER(G2998)), "", VLOOKUP(A2998,'Discount Lookup'!D:E,2,FALSE)*G2998)</f>
        <v>0</v>
      </c>
      <c r="V2998" s="225">
        <f>IF(NOT(ISNUMBER(G2998)), "", VLOOKUP(A2998,'Discount Lookup'!G:H,2,FALSE)*G2998)</f>
        <v>0</v>
      </c>
      <c r="W2998" s="508">
        <f t="shared" si="2290"/>
        <v>0</v>
      </c>
      <c r="X2998" s="508">
        <f t="shared" si="2291"/>
        <v>0</v>
      </c>
      <c r="Y2998" s="509" t="b">
        <f t="shared" si="2292"/>
        <v>0</v>
      </c>
      <c r="Z2998" s="510">
        <f t="shared" si="2293"/>
        <v>0</v>
      </c>
      <c r="AA2998" s="511"/>
      <c r="AB2998" s="511" t="str">
        <f t="shared" si="2294"/>
        <v/>
      </c>
      <c r="AC2998" s="698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698"/>
      <c r="AE2998" s="631" t="str">
        <f t="shared" si="2295"/>
        <v/>
      </c>
      <c r="AF2998" s="699" t="str">
        <f t="shared" si="2296"/>
        <v/>
      </c>
      <c r="AG2998" s="699"/>
      <c r="AH2998" s="699"/>
      <c r="AI2998" s="512">
        <f>IF(H2998="credit",0,IF(AE2998="free",0,IF(AE2998="me",0,IF(G2998&gt;0,(VLOOKUP(A2998,'Discount Lookup'!J:K,2)*G2998),0))))</f>
        <v>0</v>
      </c>
      <c r="AJ2998" s="513" t="str">
        <f t="shared" ca="1" si="2297"/>
        <v/>
      </c>
      <c r="AK2998" s="700" t="str">
        <f t="shared" si="2298"/>
        <v/>
      </c>
      <c r="AL2998" s="700"/>
      <c r="AM2998" s="505" t="str">
        <f t="shared" si="2299"/>
        <v/>
      </c>
      <c r="AN2998" s="506"/>
      <c r="AO2998" s="507"/>
      <c r="AP2998" s="507"/>
      <c r="AQ2998" s="507"/>
      <c r="AR2998" s="507"/>
      <c r="AS2998" s="507"/>
      <c r="AT2998" s="507"/>
      <c r="AU2998" s="507"/>
      <c r="AV2998" s="225"/>
      <c r="AW2998" s="508"/>
      <c r="AX2998" s="225"/>
      <c r="AY2998" s="225"/>
      <c r="AZ2998" s="225"/>
      <c r="BA2998" s="225"/>
      <c r="BB2998" s="225"/>
      <c r="BC2998" s="56"/>
      <c r="BD2998" s="56"/>
      <c r="BE2998" s="56"/>
      <c r="BF2998" s="107" t="str">
        <f t="shared" si="2300"/>
        <v>https://www.google.com/search?tbm=isch&amp;q=7%20G4</v>
      </c>
      <c r="BG2998" s="107" t="str">
        <f t="shared" si="2301"/>
        <v>P</v>
      </c>
      <c r="BH2998" s="254"/>
      <c r="BI2998" s="254"/>
    </row>
    <row r="2999" spans="1:61" customFormat="1" ht="15.75" x14ac:dyDescent="0.25">
      <c r="A2999" s="276">
        <v>10</v>
      </c>
      <c r="B2999" s="240" t="s">
        <v>291</v>
      </c>
      <c r="C2999" s="241" t="s">
        <v>3710</v>
      </c>
      <c r="D2999" s="242" t="s">
        <v>292</v>
      </c>
      <c r="E2999" s="243">
        <v>309.95</v>
      </c>
      <c r="F2999" s="517" t="s">
        <v>293</v>
      </c>
      <c r="G2999" s="232">
        <v>0</v>
      </c>
      <c r="H2999" s="661" t="str">
        <f>IF(G2999=0,"",IF(F2999="Buy",IF(G2999=1,"plant","plants"),IF(F2999&gt;0.01,"warranty","Error")))</f>
        <v/>
      </c>
      <c r="I2999" s="244">
        <f>IF(H2999="free",0,IF(H2999="credit",((E2999*(F2999))*G2999*-1),IF(F2999="Buy",(E2999*G2999),((E2999*(1-F2999))*G2999))))</f>
        <v>0</v>
      </c>
      <c r="J2999" s="244">
        <f>IF(H2999="warranty",0,(I2999*(_xlfn.SINGLE(SalesTaxPercentage))))</f>
        <v>0</v>
      </c>
      <c r="K2999" s="696">
        <f t="shared" ref="K2999" si="2323">I2999+J2999</f>
        <v>0</v>
      </c>
      <c r="L2999" s="696"/>
      <c r="M2999" s="659" t="str">
        <f>IF(AND(G2999&gt;0,E2999=0),"WARNING - no PRICE inserted",IF(H2999="free"," FREE ~ no charge this plant",IF(H2999="credit",CONCATENATE(" -$",ROUND(K2999*(1-T2GDiscount)*-1,2)," CREDIT after discount"),IF(T2GDiscount=0,"",IF(G2999=0,"",IF(F2999="Buy",CONCATENATE(" $",ROUND(K2999*(1-T2GDiscount),2)," with ",(T2GDiscount*100),"% discount"),CONCATENATE(" $",ROUND(K2999*(1-T2GDiscount),2)," with ",((T2GDiscount*100+F2999*100)-(T2GDiscount*100*F2999)),IF(F2999&gt;0,"% discounts",IF(NoWarrantyDiscount&gt;0,"% discounts","% discount")))))))))</f>
        <v/>
      </c>
      <c r="N2999" s="660"/>
      <c r="O2999" s="233"/>
      <c r="P2999" s="233"/>
      <c r="Q2999" s="233"/>
      <c r="R2999" s="233"/>
      <c r="S2999" s="233"/>
      <c r="T2999" s="508">
        <f t="shared" si="2289"/>
        <v>0</v>
      </c>
      <c r="U2999" s="225">
        <f>IF(NOT(ISNUMBER(G2999)), "", VLOOKUP(A2999,'Discount Lookup'!D:E,2,FALSE)*G2999)</f>
        <v>0</v>
      </c>
      <c r="V2999" s="225">
        <f>IF(NOT(ISNUMBER(G2999)), "", VLOOKUP(A2999,'Discount Lookup'!G:H,2,FALSE)*G2999)</f>
        <v>0</v>
      </c>
      <c r="W2999" s="508">
        <f t="shared" si="2290"/>
        <v>0</v>
      </c>
      <c r="X2999" s="508">
        <f t="shared" si="2291"/>
        <v>0</v>
      </c>
      <c r="Y2999" s="509" t="b">
        <f t="shared" si="2292"/>
        <v>0</v>
      </c>
      <c r="Z2999" s="510">
        <f t="shared" si="2293"/>
        <v>0</v>
      </c>
      <c r="AA2999" s="511"/>
      <c r="AB2999" s="511" t="str">
        <f t="shared" si="2294"/>
        <v/>
      </c>
      <c r="AC2999" s="698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698"/>
      <c r="AE2999" s="631" t="str">
        <f t="shared" si="2295"/>
        <v/>
      </c>
      <c r="AF2999" s="699" t="str">
        <f t="shared" si="2296"/>
        <v/>
      </c>
      <c r="AG2999" s="699"/>
      <c r="AH2999" s="699"/>
      <c r="AI2999" s="512">
        <f>IF(H2999="credit",0,IF(AE2999="free",0,IF(AE2999="me",0,IF(G2999&gt;0,(VLOOKUP(A2999,'Discount Lookup'!J:K,2)*G2999),0))))</f>
        <v>0</v>
      </c>
      <c r="AJ2999" s="513" t="str">
        <f t="shared" ca="1" si="2297"/>
        <v/>
      </c>
      <c r="AK2999" s="700" t="str">
        <f t="shared" si="2298"/>
        <v/>
      </c>
      <c r="AL2999" s="700"/>
      <c r="AM2999" s="505" t="str">
        <f t="shared" si="2299"/>
        <v/>
      </c>
      <c r="AN2999" s="506"/>
      <c r="AO2999" s="507"/>
      <c r="AP2999" s="507"/>
      <c r="AQ2999" s="507"/>
      <c r="AR2999" s="507"/>
      <c r="AS2999" s="507"/>
      <c r="AT2999" s="507"/>
      <c r="AU2999" s="507"/>
      <c r="AV2999" s="225"/>
      <c r="AW2999" s="508"/>
      <c r="AX2999" s="225"/>
      <c r="AY2999" s="225"/>
      <c r="AZ2999" s="225"/>
      <c r="BA2999" s="225"/>
      <c r="BB2999" s="225"/>
      <c r="BC2999" s="56"/>
      <c r="BD2999" s="56"/>
      <c r="BE2999" s="56"/>
      <c r="BF2999" s="107" t="str">
        <f t="shared" si="2300"/>
        <v>https://www.google.com/search?tbm=isch&amp;q=10%20G4</v>
      </c>
      <c r="BG2999" s="107" t="str">
        <f t="shared" si="2301"/>
        <v>P</v>
      </c>
      <c r="BH2999" s="254"/>
      <c r="BI2999" s="254"/>
    </row>
    <row r="3000" spans="1:61" customFormat="1" ht="15.75" x14ac:dyDescent="0.25">
      <c r="A3000" s="276">
        <v>15</v>
      </c>
      <c r="B3000" s="240" t="s">
        <v>291</v>
      </c>
      <c r="C3000" s="241" t="s">
        <v>3533</v>
      </c>
      <c r="D3000" s="242" t="s">
        <v>292</v>
      </c>
      <c r="E3000" s="243">
        <v>424.95</v>
      </c>
      <c r="F3000" s="517" t="s">
        <v>293</v>
      </c>
      <c r="G3000" s="232">
        <v>0</v>
      </c>
      <c r="H3000" s="661" t="str">
        <f>IF(G3000=0,"",IF(F3000="Buy",IF(G3000=1,"plant","plants"),IF(F3000&gt;0.01,"warranty","Error")))</f>
        <v/>
      </c>
      <c r="I3000" s="244">
        <f>IF(H3000="free",0,IF(H3000="credit",((E3000*(F3000))*G3000*-1),IF(F3000="Buy",(E3000*G3000),((E3000*(1-F3000))*G3000))))</f>
        <v>0</v>
      </c>
      <c r="J3000" s="244">
        <f>IF(H3000="warranty",0,(I3000*(_xlfn.SINGLE(SalesTaxPercentage))))</f>
        <v>0</v>
      </c>
      <c r="K3000" s="696">
        <f t="shared" ref="K3000" si="2324">I3000+J3000</f>
        <v>0</v>
      </c>
      <c r="L3000" s="696"/>
      <c r="M3000" s="659" t="str">
        <f>IF(AND(G3000&gt;0,E3000=0),"WARNING - no PRICE inserted",IF(H3000="free"," FREE ~ no charge this plant",IF(H3000="credit",CONCATENATE(" -$",ROUND(K3000*(1-T2GDiscount)*-1,2)," CREDIT after discount"),IF(T2GDiscount=0,"",IF(G3000=0,"",IF(F3000="Buy",CONCATENATE(" $",ROUND(K3000*(1-T2GDiscount),2)," with ",(T2GDiscount*100),"% discount"),CONCATENATE(" $",ROUND(K3000*(1-T2GDiscount),2)," with ",((T2GDiscount*100+F3000*100)-(T2GDiscount*100*F3000)),IF(F3000&gt;0,"% discounts",IF(NoWarrantyDiscount&gt;0,"% discounts","% discount")))))))))</f>
        <v/>
      </c>
      <c r="N3000" s="660"/>
      <c r="O3000" s="233"/>
      <c r="P3000" s="233"/>
      <c r="Q3000" s="233"/>
      <c r="R3000" s="233"/>
      <c r="S3000" s="233"/>
      <c r="T3000" s="508">
        <f t="shared" si="2289"/>
        <v>0</v>
      </c>
      <c r="U3000" s="225">
        <f>IF(NOT(ISNUMBER(G3000)), "", VLOOKUP(A3000,'Discount Lookup'!D:E,2,FALSE)*G3000)</f>
        <v>0</v>
      </c>
      <c r="V3000" s="225">
        <f>IF(NOT(ISNUMBER(G3000)), "", VLOOKUP(A3000,'Discount Lookup'!G:H,2,FALSE)*G3000)</f>
        <v>0</v>
      </c>
      <c r="W3000" s="508">
        <f t="shared" si="2290"/>
        <v>0</v>
      </c>
      <c r="X3000" s="508">
        <f t="shared" si="2291"/>
        <v>0</v>
      </c>
      <c r="Y3000" s="509" t="b">
        <f t="shared" si="2292"/>
        <v>0</v>
      </c>
      <c r="Z3000" s="510">
        <f t="shared" si="2293"/>
        <v>0</v>
      </c>
      <c r="AA3000" s="511"/>
      <c r="AB3000" s="511" t="str">
        <f t="shared" si="2294"/>
        <v/>
      </c>
      <c r="AC3000" s="698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698"/>
      <c r="AE3000" s="631" t="str">
        <f t="shared" si="2295"/>
        <v/>
      </c>
      <c r="AF3000" s="699" t="str">
        <f t="shared" si="2296"/>
        <v/>
      </c>
      <c r="AG3000" s="699"/>
      <c r="AH3000" s="699"/>
      <c r="AI3000" s="512">
        <f>IF(H3000="credit",0,IF(AE3000="free",0,IF(AE3000="me",0,IF(G3000&gt;0,(VLOOKUP(A3000,'Discount Lookup'!J:K,2)*G3000),0))))</f>
        <v>0</v>
      </c>
      <c r="AJ3000" s="513" t="str">
        <f t="shared" ca="1" si="2297"/>
        <v/>
      </c>
      <c r="AK3000" s="700" t="str">
        <f t="shared" si="2298"/>
        <v/>
      </c>
      <c r="AL3000" s="700"/>
      <c r="AM3000" s="505" t="str">
        <f t="shared" si="2299"/>
        <v/>
      </c>
      <c r="AN3000" s="506"/>
      <c r="AO3000" s="507"/>
      <c r="AP3000" s="507"/>
      <c r="AQ3000" s="507"/>
      <c r="AR3000" s="507"/>
      <c r="AS3000" s="507"/>
      <c r="AT3000" s="507"/>
      <c r="AU3000" s="507"/>
      <c r="AV3000" s="225"/>
      <c r="AW3000" s="508"/>
      <c r="AX3000" s="225"/>
      <c r="AY3000" s="225"/>
      <c r="AZ3000" s="225"/>
      <c r="BA3000" s="225"/>
      <c r="BB3000" s="225"/>
      <c r="BC3000" s="56"/>
      <c r="BD3000" s="56"/>
      <c r="BE3000" s="56"/>
      <c r="BF3000" s="107" t="str">
        <f t="shared" si="2300"/>
        <v>https://www.google.com/search?tbm=isch&amp;q=15%20G4</v>
      </c>
      <c r="BG3000" s="107" t="str">
        <f t="shared" si="2301"/>
        <v>P</v>
      </c>
      <c r="BH3000" s="254"/>
      <c r="BI3000" s="254"/>
    </row>
    <row r="3001" spans="1:61" customFormat="1" ht="15.75" x14ac:dyDescent="0.25">
      <c r="A3001" s="276">
        <v>45</v>
      </c>
      <c r="B3001" s="240" t="s">
        <v>291</v>
      </c>
      <c r="C3001" s="241" t="s">
        <v>3711</v>
      </c>
      <c r="D3001" s="242" t="s">
        <v>292</v>
      </c>
      <c r="E3001" s="243">
        <v>1064.95</v>
      </c>
      <c r="F3001" s="517" t="s">
        <v>293</v>
      </c>
      <c r="G3001" s="232">
        <v>0</v>
      </c>
      <c r="H3001" s="661" t="str">
        <f>IF(G3001=0,"",IF(F3001="Buy",IF(G3001=1,"plant","plants"),IF(F3001&gt;0.01,"warranty","Error")))</f>
        <v/>
      </c>
      <c r="I3001" s="244">
        <f>IF(H3001="free",0,IF(H3001="credit",((E3001*(F3001))*G3001*-1),IF(F3001="Buy",(E3001*G3001),((E3001*(1-F3001))*G3001))))</f>
        <v>0</v>
      </c>
      <c r="J3001" s="244">
        <f>IF(H3001="warranty",0,(I3001*(_xlfn.SINGLE(SalesTaxPercentage))))</f>
        <v>0</v>
      </c>
      <c r="K3001" s="696">
        <f t="shared" ref="K3001" si="2325">I3001+J3001</f>
        <v>0</v>
      </c>
      <c r="L3001" s="696"/>
      <c r="M3001" s="659" t="str">
        <f>IF(AND(G3001&gt;0,E3001=0),"WARNING - no PRICE inserted",IF(H3001="free"," FREE ~ no charge this plant",IF(H3001="credit",CONCATENATE(" -$",ROUND(K3001*(1-T2GDiscount)*-1,2)," CREDIT after discount"),IF(T2GDiscount=0,"",IF(G3001=0,"",IF(F3001="Buy",CONCATENATE(" $",ROUND(K3001*(1-T2GDiscount),2)," with ",(T2GDiscount*100),"% discount"),CONCATENATE(" $",ROUND(K3001*(1-T2GDiscount),2)," with ",((T2GDiscount*100+F3001*100)-(T2GDiscount*100*F3001)),IF(F3001&gt;0,"% discounts",IF(NoWarrantyDiscount&gt;0,"% discounts","% discount")))))))))</f>
        <v/>
      </c>
      <c r="N3001" s="660"/>
      <c r="O3001" s="233"/>
      <c r="P3001" s="233"/>
      <c r="Q3001" s="233"/>
      <c r="R3001" s="233"/>
      <c r="S3001" s="233"/>
      <c r="T3001" s="508">
        <f t="shared" si="2289"/>
        <v>0</v>
      </c>
      <c r="U3001" s="225">
        <f>IF(NOT(ISNUMBER(G3001)), "", VLOOKUP(A3001,'Discount Lookup'!D:E,2,FALSE)*G3001)</f>
        <v>0</v>
      </c>
      <c r="V3001" s="225">
        <f>IF(NOT(ISNUMBER(G3001)), "", VLOOKUP(A3001,'Discount Lookup'!G:H,2,FALSE)*G3001)</f>
        <v>0</v>
      </c>
      <c r="W3001" s="508">
        <f t="shared" si="2290"/>
        <v>0</v>
      </c>
      <c r="X3001" s="508">
        <f t="shared" si="2291"/>
        <v>0</v>
      </c>
      <c r="Y3001" s="509" t="b">
        <f t="shared" si="2292"/>
        <v>0</v>
      </c>
      <c r="Z3001" s="510">
        <f t="shared" si="2293"/>
        <v>0</v>
      </c>
      <c r="AA3001" s="511"/>
      <c r="AB3001" s="511" t="str">
        <f t="shared" si="2294"/>
        <v/>
      </c>
      <c r="AC3001" s="698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698"/>
      <c r="AE3001" s="631" t="str">
        <f t="shared" si="2295"/>
        <v/>
      </c>
      <c r="AF3001" s="699" t="str">
        <f t="shared" si="2296"/>
        <v/>
      </c>
      <c r="AG3001" s="699"/>
      <c r="AH3001" s="699"/>
      <c r="AI3001" s="512">
        <f>IF(H3001="credit",0,IF(AE3001="free",0,IF(AE3001="me",0,IF(G3001&gt;0,(VLOOKUP(A3001,'Discount Lookup'!J:K,2)*G3001),0))))</f>
        <v>0</v>
      </c>
      <c r="AJ3001" s="513" t="str">
        <f t="shared" ca="1" si="2297"/>
        <v/>
      </c>
      <c r="AK3001" s="700" t="str">
        <f t="shared" si="2298"/>
        <v/>
      </c>
      <c r="AL3001" s="700"/>
      <c r="AM3001" s="505" t="str">
        <f t="shared" si="2299"/>
        <v/>
      </c>
      <c r="AN3001" s="506"/>
      <c r="AO3001" s="507"/>
      <c r="AP3001" s="507"/>
      <c r="AQ3001" s="507"/>
      <c r="AR3001" s="507"/>
      <c r="AS3001" s="507"/>
      <c r="AT3001" s="507"/>
      <c r="AU3001" s="507"/>
      <c r="AV3001" s="225"/>
      <c r="AW3001" s="508"/>
      <c r="AX3001" s="225"/>
      <c r="AY3001" s="225"/>
      <c r="AZ3001" s="225"/>
      <c r="BA3001" s="225"/>
      <c r="BB3001" s="225"/>
      <c r="BC3001" s="56"/>
      <c r="BD3001" s="56"/>
      <c r="BE3001" s="56"/>
      <c r="BF3001" s="107" t="str">
        <f t="shared" si="2300"/>
        <v>https://www.google.com/search?tbm=isch&amp;q=45%20G4</v>
      </c>
      <c r="BG3001" s="107" t="str">
        <f t="shared" si="2301"/>
        <v>P</v>
      </c>
      <c r="BH3001" s="254"/>
      <c r="BI3001" s="254"/>
    </row>
    <row r="3002" spans="1:61" customFormat="1" ht="17.25" thickBot="1" x14ac:dyDescent="0.3">
      <c r="A3002" s="524" t="s">
        <v>2794</v>
      </c>
      <c r="B3002" s="245"/>
      <c r="C3002" s="677"/>
      <c r="D3002" s="499"/>
      <c r="E3002" s="499"/>
      <c r="F3002" s="500"/>
      <c r="G3002" s="501"/>
      <c r="H3002" s="502"/>
      <c r="I3002" s="246"/>
      <c r="J3002" s="247"/>
      <c r="K3002" s="503"/>
      <c r="L3002" s="544"/>
      <c r="M3002" s="544"/>
      <c r="N3002" s="500"/>
      <c r="O3002" s="500"/>
      <c r="P3002" s="500"/>
      <c r="Q3002" s="500"/>
      <c r="R3002" s="500"/>
      <c r="S3002" s="278"/>
      <c r="T3002" s="508">
        <f t="shared" si="2289"/>
        <v>0</v>
      </c>
      <c r="U3002" s="225" t="str">
        <f>IF(NOT(ISNUMBER(G3002)), "", VLOOKUP(A3002,'Discount Lookup'!D:E,2,FALSE)*G3002)</f>
        <v/>
      </c>
      <c r="V3002" s="225" t="str">
        <f>IF(NOT(ISNUMBER(G3002)), "", VLOOKUP(A3002,'Discount Lookup'!G:H,2,FALSE)*G3002)</f>
        <v/>
      </c>
      <c r="W3002" s="508">
        <f t="shared" si="2290"/>
        <v>0</v>
      </c>
      <c r="X3002" s="508">
        <f t="shared" si="2291"/>
        <v>0</v>
      </c>
      <c r="Y3002" s="509" t="b">
        <f t="shared" si="2292"/>
        <v>0</v>
      </c>
      <c r="Z3002" s="510">
        <f t="shared" si="2293"/>
        <v>0</v>
      </c>
      <c r="AA3002" s="511"/>
      <c r="AB3002" s="511" t="str">
        <f t="shared" si="2294"/>
        <v/>
      </c>
      <c r="AC3002" s="698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698"/>
      <c r="AE3002" s="631" t="str">
        <f t="shared" si="2295"/>
        <v/>
      </c>
      <c r="AF3002" s="699" t="str">
        <f t="shared" si="2296"/>
        <v/>
      </c>
      <c r="AG3002" s="699"/>
      <c r="AH3002" s="699"/>
      <c r="AI3002" s="512">
        <f>IF(H3002="credit",0,IF(AE3002="free",0,IF(AE3002="me",0,IF(G3002&gt;0,(VLOOKUP(A3002,'Discount Lookup'!J:K,2)*G3002),0))))</f>
        <v>0</v>
      </c>
      <c r="AJ3002" s="513" t="str">
        <f t="shared" ca="1" si="2297"/>
        <v/>
      </c>
      <c r="AK3002" s="700" t="str">
        <f t="shared" si="2298"/>
        <v/>
      </c>
      <c r="AL3002" s="700"/>
      <c r="AM3002" s="505" t="str">
        <f t="shared" si="2299"/>
        <v/>
      </c>
      <c r="AN3002" s="506"/>
      <c r="AO3002" s="507"/>
      <c r="AP3002" s="507"/>
      <c r="AQ3002" s="507"/>
      <c r="AR3002" s="507"/>
      <c r="AS3002" s="507"/>
      <c r="AT3002" s="507"/>
      <c r="AU3002" s="507"/>
      <c r="AV3002" s="225"/>
      <c r="AW3002" s="508"/>
      <c r="AX3002" s="225"/>
      <c r="AY3002" s="225"/>
      <c r="AZ3002" s="225"/>
      <c r="BA3002" s="225"/>
      <c r="BB3002" s="225"/>
      <c r="BC3002" s="56"/>
      <c r="BD3002" s="56"/>
      <c r="BE3002" s="56"/>
      <c r="BF3002" s="107" t="str">
        <f t="shared" si="2300"/>
        <v>https://www.google.com/search?tbm=isch&amp;q=Purple%20Ghost%20is%20named%20for%20it%27s%20skeletal%20appearance%20in%20the%20foliage.%20A%20stunner.%20Foliage%20turns%20fiery%20Orange%20to%20Crimson-Red%20in%20fall%20</v>
      </c>
      <c r="BG3002" s="107" t="str">
        <f t="shared" si="2301"/>
        <v>P</v>
      </c>
      <c r="BH3002" s="254"/>
      <c r="BI3002" s="254"/>
    </row>
    <row r="3003" spans="1:61" customFormat="1" ht="18" x14ac:dyDescent="0.25">
      <c r="A3003" s="521" t="s">
        <v>5510</v>
      </c>
      <c r="B3003" s="477"/>
      <c r="C3003" s="674"/>
      <c r="D3003" s="478" t="s">
        <v>1571</v>
      </c>
      <c r="E3003" s="479"/>
      <c r="F3003" s="479"/>
      <c r="G3003" s="479"/>
      <c r="H3003" s="582" t="s">
        <v>2969</v>
      </c>
      <c r="I3003" s="480" t="s">
        <v>2970</v>
      </c>
      <c r="J3003" s="479"/>
      <c r="K3003" s="479"/>
      <c r="L3003" s="560"/>
      <c r="M3003" s="671" t="s">
        <v>4985</v>
      </c>
      <c r="N3003" s="680" t="str">
        <f>IF(AND(ISTEXT($A3003), ISERROR($A3003+0)), HYPERLINK($BF3003, "Images"), "")</f>
        <v>Images</v>
      </c>
      <c r="O3003" s="662" t="s">
        <v>4969</v>
      </c>
      <c r="P3003" s="482"/>
      <c r="Q3003" s="483"/>
      <c r="R3003" s="483"/>
      <c r="S3003" s="484"/>
      <c r="T3003" s="508">
        <f t="shared" si="2289"/>
        <v>0</v>
      </c>
      <c r="U3003" s="225" t="str">
        <f>IF(NOT(ISNUMBER(G3003)), "", VLOOKUP(A3003,'Discount Lookup'!D:E,2,FALSE)*G3003)</f>
        <v/>
      </c>
      <c r="V3003" s="225" t="str">
        <f>IF(NOT(ISNUMBER(G3003)), "", VLOOKUP(A3003,'Discount Lookup'!G:H,2,FALSE)*G3003)</f>
        <v/>
      </c>
      <c r="W3003" s="508">
        <f t="shared" si="2290"/>
        <v>0</v>
      </c>
      <c r="X3003" s="508" t="str">
        <f t="shared" si="2291"/>
        <v>Forest Green &amp; Purple foliage</v>
      </c>
      <c r="Y3003" s="509" t="b">
        <f t="shared" si="2292"/>
        <v>0</v>
      </c>
      <c r="Z3003" s="510">
        <f t="shared" si="2293"/>
        <v>0</v>
      </c>
      <c r="AA3003" s="511"/>
      <c r="AB3003" s="511" t="str">
        <f t="shared" si="2294"/>
        <v/>
      </c>
      <c r="AC3003" s="698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698"/>
      <c r="AE3003" s="631" t="str">
        <f t="shared" si="2295"/>
        <v/>
      </c>
      <c r="AF3003" s="699" t="str">
        <f t="shared" si="2296"/>
        <v/>
      </c>
      <c r="AG3003" s="699"/>
      <c r="AH3003" s="699"/>
      <c r="AI3003" s="512">
        <f>IF(H3003="credit",0,IF(AE3003="free",0,IF(AE3003="me",0,IF(G3003&gt;0,(VLOOKUP(A3003,'Discount Lookup'!J:K,2)*G3003),0))))</f>
        <v>0</v>
      </c>
      <c r="AJ3003" s="513" t="str">
        <f t="shared" ca="1" si="2297"/>
        <v/>
      </c>
      <c r="AK3003" s="700" t="str">
        <f t="shared" si="2298"/>
        <v/>
      </c>
      <c r="AL3003" s="700"/>
      <c r="AM3003" s="505" t="str">
        <f t="shared" si="2299"/>
        <v/>
      </c>
      <c r="AN3003" s="506"/>
      <c r="AO3003" s="507"/>
      <c r="AP3003" s="507"/>
      <c r="AQ3003" s="507"/>
      <c r="AR3003" s="507"/>
      <c r="AS3003" s="507"/>
      <c r="AT3003" s="507"/>
      <c r="AU3003" s="507"/>
      <c r="AV3003" s="225"/>
      <c r="AW3003" s="508"/>
      <c r="AX3003" s="225"/>
      <c r="AY3003" s="225"/>
      <c r="AZ3003" s="225"/>
      <c r="BA3003" s="225"/>
      <c r="BB3003" s="225"/>
      <c r="BC3003" s="56"/>
      <c r="BD3003" s="56"/>
      <c r="BE3003" s="56"/>
      <c r="BF3003" s="107" t="str">
        <f t="shared" si="2300"/>
        <v>https://www.google.com/search?tbm=isch&amp;q=Purple%20Glaze%E2%84%A2%20Anise%20Tree%20Illicium%20anisatum%20%27Murasaki-no-Sato%27%20PP%2326864</v>
      </c>
      <c r="BG3003" s="107" t="str">
        <f t="shared" si="2301"/>
        <v>P</v>
      </c>
      <c r="BH3003" s="254"/>
      <c r="BI3003" s="254"/>
    </row>
    <row r="3004" spans="1:61" customFormat="1" ht="27" x14ac:dyDescent="0.25">
      <c r="A3004" s="485">
        <v>3</v>
      </c>
      <c r="B3004" s="486" t="s">
        <v>291</v>
      </c>
      <c r="C3004" s="487" t="s">
        <v>3712</v>
      </c>
      <c r="D3004" s="488" t="s">
        <v>292</v>
      </c>
      <c r="E3004" s="489">
        <v>40.950000000000003</v>
      </c>
      <c r="F3004" s="516" t="s">
        <v>293</v>
      </c>
      <c r="G3004" s="232">
        <v>0</v>
      </c>
      <c r="H3004" s="658" t="str">
        <f>IF(G3004=0,"",IF(F3004="Buy",IF(G3004=1,"plant","plants"),IF(F3004&gt;0.01,"warranty","Error")))</f>
        <v/>
      </c>
      <c r="I3004" s="490">
        <f>IF(H3004="free",0,IF(H3004="credit",((E3004*(F3004))*G3004*-1),IF(F3004="Buy",(E3004*G3004),((E3004*(1-F3004))*G3004))))</f>
        <v>0</v>
      </c>
      <c r="J3004" s="490">
        <f>IF(H3004="warranty",0,(I3004*(_xlfn.SINGLE(SalesTaxPercentage))))</f>
        <v>0</v>
      </c>
      <c r="K3004" s="695">
        <f t="shared" ref="K3004" si="2326">I3004+J3004</f>
        <v>0</v>
      </c>
      <c r="L3004" s="695"/>
      <c r="M3004" s="659" t="str">
        <f>IF(AND(G3004&gt;0,E3004=0),"WARNING - no PRICE inserted",IF(H3004="free"," FREE ~ no charge this plant",IF(H3004="credit",CONCATENATE(" -$",ROUND(K3004*(1-T2GDiscount)*-1,2)," CREDIT after discount"),IF(T2GDiscount=0,"",IF(G3004=0,"",IF(F3004="Buy",CONCATENATE(" $",ROUND(K3004*(1-T2GDiscount),2)," with ",(T2GDiscount*100),"% discount"),CONCATENATE(" $",ROUND(K3004*(1-T2GDiscount),2)," with ",((T2GDiscount*100+F3004*100)-(T2GDiscount*100*F3004)),IF(F3004&gt;0,"% discounts",IF(NoWarrantyDiscount&gt;0,"% discounts","% discount")))))))))</f>
        <v/>
      </c>
      <c r="N3004" s="660"/>
      <c r="O3004" s="233"/>
      <c r="P3004" s="233"/>
      <c r="Q3004" s="233"/>
      <c r="R3004" s="233"/>
      <c r="S3004" s="233"/>
      <c r="T3004" s="508">
        <f t="shared" si="2289"/>
        <v>0</v>
      </c>
      <c r="U3004" s="225">
        <f>IF(NOT(ISNUMBER(G3004)), "", VLOOKUP(A3004,'Discount Lookup'!D:E,2,FALSE)*G3004)</f>
        <v>0</v>
      </c>
      <c r="V3004" s="225">
        <f>IF(NOT(ISNUMBER(G3004)), "", VLOOKUP(A3004,'Discount Lookup'!G:H,2,FALSE)*G3004)</f>
        <v>0</v>
      </c>
      <c r="W3004" s="508">
        <f t="shared" si="2290"/>
        <v>0</v>
      </c>
      <c r="X3004" s="508">
        <f t="shared" si="2291"/>
        <v>0</v>
      </c>
      <c r="Y3004" s="509" t="b">
        <f t="shared" si="2292"/>
        <v>0</v>
      </c>
      <c r="Z3004" s="510">
        <f t="shared" si="2293"/>
        <v>0</v>
      </c>
      <c r="AA3004" s="511"/>
      <c r="AB3004" s="511" t="str">
        <f t="shared" si="2294"/>
        <v/>
      </c>
      <c r="AC3004" s="698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698"/>
      <c r="AE3004" s="631" t="str">
        <f t="shared" si="2295"/>
        <v/>
      </c>
      <c r="AF3004" s="699" t="str">
        <f t="shared" si="2296"/>
        <v/>
      </c>
      <c r="AG3004" s="699"/>
      <c r="AH3004" s="699"/>
      <c r="AI3004" s="512">
        <f>IF(H3004="credit",0,IF(AE3004="free",0,IF(AE3004="me",0,IF(G3004&gt;0,(VLOOKUP(A3004,'Discount Lookup'!J:K,2)*G3004),0))))</f>
        <v>0</v>
      </c>
      <c r="AJ3004" s="513" t="str">
        <f t="shared" ca="1" si="2297"/>
        <v/>
      </c>
      <c r="AK3004" s="700" t="str">
        <f t="shared" si="2298"/>
        <v/>
      </c>
      <c r="AL3004" s="700"/>
      <c r="AM3004" s="505" t="str">
        <f t="shared" si="2299"/>
        <v/>
      </c>
      <c r="AN3004" s="506"/>
      <c r="AO3004" s="507"/>
      <c r="AP3004" s="507"/>
      <c r="AQ3004" s="507"/>
      <c r="AR3004" s="507"/>
      <c r="AS3004" s="507"/>
      <c r="AT3004" s="507"/>
      <c r="AU3004" s="507"/>
      <c r="AV3004" s="225"/>
      <c r="AW3004" s="508"/>
      <c r="AX3004" s="225"/>
      <c r="AY3004" s="225"/>
      <c r="AZ3004" s="225"/>
      <c r="BA3004" s="225"/>
      <c r="BB3004" s="225"/>
      <c r="BC3004" s="56"/>
      <c r="BD3004" s="56"/>
      <c r="BE3004" s="56"/>
      <c r="BF3004" s="107" t="str">
        <f t="shared" si="2300"/>
        <v>https://www.google.com/search?tbm=isch&amp;q=3%20G4</v>
      </c>
      <c r="BG3004" s="107" t="str">
        <f t="shared" si="2301"/>
        <v>P</v>
      </c>
      <c r="BH3004" s="254"/>
      <c r="BI3004" s="254"/>
    </row>
    <row r="3005" spans="1:61" customFormat="1" ht="16.5" thickBot="1" x14ac:dyDescent="0.3">
      <c r="A3005" s="522" t="s">
        <v>4153</v>
      </c>
      <c r="B3005" s="491"/>
      <c r="C3005" s="675"/>
      <c r="D3005" s="491"/>
      <c r="E3005" s="491"/>
      <c r="F3005" s="492"/>
      <c r="G3005" s="493"/>
      <c r="H3005" s="491"/>
      <c r="I3005" s="234"/>
      <c r="J3005" s="234"/>
      <c r="K3005" s="494"/>
      <c r="L3005" s="543"/>
      <c r="M3005" s="561"/>
      <c r="N3005" s="495"/>
      <c r="O3005" s="496"/>
      <c r="P3005" s="497"/>
      <c r="Q3005" s="495"/>
      <c r="R3005" s="495"/>
      <c r="S3005" s="667" t="s">
        <v>4968</v>
      </c>
      <c r="T3005" s="508">
        <f t="shared" si="2289"/>
        <v>0</v>
      </c>
      <c r="U3005" s="225" t="str">
        <f>IF(NOT(ISNUMBER(G3005)), "", VLOOKUP(A3005,'Discount Lookup'!D:E,2,FALSE)*G3005)</f>
        <v/>
      </c>
      <c r="V3005" s="225" t="str">
        <f>IF(NOT(ISNUMBER(G3005)), "", VLOOKUP(A3005,'Discount Lookup'!G:H,2,FALSE)*G3005)</f>
        <v/>
      </c>
      <c r="W3005" s="508">
        <f t="shared" si="2290"/>
        <v>0</v>
      </c>
      <c r="X3005" s="508">
        <f t="shared" si="2291"/>
        <v>0</v>
      </c>
      <c r="Y3005" s="509" t="b">
        <f t="shared" si="2292"/>
        <v>0</v>
      </c>
      <c r="Z3005" s="510">
        <f t="shared" si="2293"/>
        <v>0</v>
      </c>
      <c r="AA3005" s="511"/>
      <c r="AB3005" s="511" t="str">
        <f t="shared" si="2294"/>
        <v/>
      </c>
      <c r="AC3005" s="698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698"/>
      <c r="AE3005" s="631" t="str">
        <f t="shared" si="2295"/>
        <v/>
      </c>
      <c r="AF3005" s="699" t="str">
        <f t="shared" si="2296"/>
        <v/>
      </c>
      <c r="AG3005" s="699"/>
      <c r="AH3005" s="699"/>
      <c r="AI3005" s="512">
        <f>IF(H3005="credit",0,IF(AE3005="free",0,IF(AE3005="me",0,IF(G3005&gt;0,(VLOOKUP(A3005,'Discount Lookup'!J:K,2)*G3005),0))))</f>
        <v>0</v>
      </c>
      <c r="AJ3005" s="513" t="str">
        <f t="shared" ca="1" si="2297"/>
        <v/>
      </c>
      <c r="AK3005" s="700" t="str">
        <f t="shared" si="2298"/>
        <v/>
      </c>
      <c r="AL3005" s="700"/>
      <c r="AM3005" s="505" t="str">
        <f t="shared" si="2299"/>
        <v/>
      </c>
      <c r="AN3005" s="506"/>
      <c r="AO3005" s="507"/>
      <c r="AP3005" s="507"/>
      <c r="AQ3005" s="507"/>
      <c r="AR3005" s="507"/>
      <c r="AS3005" s="507"/>
      <c r="AT3005" s="507"/>
      <c r="AU3005" s="507"/>
      <c r="AV3005" s="225"/>
      <c r="AW3005" s="508"/>
      <c r="AX3005" s="225"/>
      <c r="AY3005" s="225"/>
      <c r="AZ3005" s="225"/>
      <c r="BA3005" s="225"/>
      <c r="BB3005" s="225"/>
      <c r="BC3005" s="56"/>
      <c r="BD3005" s="56"/>
      <c r="BE3005" s="56"/>
      <c r="BF3005" s="107" t="str">
        <f t="shared" si="2300"/>
        <v>https://www.google.com/search?tbm=isch&amp;q=Purple%20Glaze%20new%20growth%20emerges%20Deep%20Burgundy%2C%20gradually%20turning%20Dark%20Green.%20Small%20Creamy-White%20blooms%2C%20often%20with%20Pink%20streaks%20</v>
      </c>
      <c r="BG3005" s="107" t="str">
        <f t="shared" si="2301"/>
        <v>P</v>
      </c>
      <c r="BH3005" s="254"/>
      <c r="BI3005" s="254"/>
    </row>
    <row r="3006" spans="1:61" customFormat="1" ht="18" x14ac:dyDescent="0.25">
      <c r="A3006" s="523" t="s">
        <v>5617</v>
      </c>
      <c r="B3006" s="235"/>
      <c r="C3006" s="676"/>
      <c r="D3006" s="255" t="s">
        <v>1226</v>
      </c>
      <c r="E3006" s="236"/>
      <c r="F3006" s="236"/>
      <c r="G3006" s="236"/>
      <c r="H3006" s="582" t="s">
        <v>438</v>
      </c>
      <c r="I3006" s="498" t="s">
        <v>3149</v>
      </c>
      <c r="J3006" s="237"/>
      <c r="K3006" s="237"/>
      <c r="L3006" s="274"/>
      <c r="M3006" s="668" t="s">
        <v>4962</v>
      </c>
      <c r="N3006" s="681" t="str">
        <f>IF(AND(ISTEXT($A3006), ISERROR($A3006+0)), HYPERLINK($BF3006, "Images"), "")</f>
        <v>Images</v>
      </c>
      <c r="O3006" s="663" t="s">
        <v>4969</v>
      </c>
      <c r="P3006" s="253"/>
      <c r="Q3006" s="238"/>
      <c r="R3006" s="239"/>
      <c r="S3006" s="275"/>
      <c r="T3006" s="508">
        <f t="shared" si="2289"/>
        <v>0</v>
      </c>
      <c r="U3006" s="225" t="str">
        <f>IF(NOT(ISNUMBER(G3006)), "", VLOOKUP(A3006,'Discount Lookup'!D:E,2,FALSE)*G3006)</f>
        <v/>
      </c>
      <c r="V3006" s="225" t="str">
        <f>IF(NOT(ISNUMBER(G3006)), "", VLOOKUP(A3006,'Discount Lookup'!G:H,2,FALSE)*G3006)</f>
        <v/>
      </c>
      <c r="W3006" s="508">
        <f t="shared" si="2290"/>
        <v>0</v>
      </c>
      <c r="X3006" s="508" t="str">
        <f t="shared" si="2291"/>
        <v>Purple-Blue bloom, Orange eye</v>
      </c>
      <c r="Y3006" s="509" t="b">
        <f t="shared" si="2292"/>
        <v>0</v>
      </c>
      <c r="Z3006" s="510">
        <f t="shared" si="2293"/>
        <v>0</v>
      </c>
      <c r="AA3006" s="511"/>
      <c r="AB3006" s="511" t="str">
        <f t="shared" si="2294"/>
        <v/>
      </c>
      <c r="AC3006" s="698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698"/>
      <c r="AE3006" s="631" t="str">
        <f t="shared" si="2295"/>
        <v/>
      </c>
      <c r="AF3006" s="699" t="str">
        <f t="shared" si="2296"/>
        <v/>
      </c>
      <c r="AG3006" s="699"/>
      <c r="AH3006" s="699"/>
      <c r="AI3006" s="512">
        <f>IF(H3006="credit",0,IF(AE3006="free",0,IF(AE3006="me",0,IF(G3006&gt;0,(VLOOKUP(A3006,'Discount Lookup'!J:K,2)*G3006),0))))</f>
        <v>0</v>
      </c>
      <c r="AJ3006" s="513" t="str">
        <f t="shared" ca="1" si="2297"/>
        <v/>
      </c>
      <c r="AK3006" s="700" t="str">
        <f t="shared" si="2298"/>
        <v/>
      </c>
      <c r="AL3006" s="700"/>
      <c r="AM3006" s="505" t="str">
        <f t="shared" si="2299"/>
        <v/>
      </c>
      <c r="AN3006" s="506"/>
      <c r="AO3006" s="507"/>
      <c r="AP3006" s="507"/>
      <c r="AQ3006" s="507"/>
      <c r="AR3006" s="507"/>
      <c r="AS3006" s="507"/>
      <c r="AT3006" s="507"/>
      <c r="AU3006" s="507"/>
      <c r="AV3006" s="225"/>
      <c r="AW3006" s="508"/>
      <c r="AX3006" s="225"/>
      <c r="AY3006" s="225"/>
      <c r="AZ3006" s="225"/>
      <c r="BA3006" s="225"/>
      <c r="BB3006" s="225"/>
      <c r="BC3006" s="56"/>
      <c r="BD3006" s="56"/>
      <c r="BE3006" s="56"/>
      <c r="BF3006" s="107" t="str">
        <f t="shared" si="2300"/>
        <v>https://www.google.com/search?tbm=isch&amp;q=Purple%20Haze%C2%AE%20Butterfly%20Bush%20%28L%26B%C2%AE%29%20Buddleia%20%27Purple%20Haze%27%20PP%2324514</v>
      </c>
      <c r="BG3006" s="107" t="str">
        <f t="shared" si="2301"/>
        <v>P</v>
      </c>
      <c r="BH3006" s="254"/>
      <c r="BI3006" s="254"/>
    </row>
    <row r="3007" spans="1:61" customFormat="1" ht="27" x14ac:dyDescent="0.25">
      <c r="A3007" s="276">
        <v>3</v>
      </c>
      <c r="B3007" s="240" t="s">
        <v>291</v>
      </c>
      <c r="C3007" s="241" t="s">
        <v>4805</v>
      </c>
      <c r="D3007" s="242" t="s">
        <v>292</v>
      </c>
      <c r="E3007" s="243">
        <v>38.950000000000003</v>
      </c>
      <c r="F3007" s="517" t="s">
        <v>293</v>
      </c>
      <c r="G3007" s="232">
        <v>0</v>
      </c>
      <c r="H3007" s="661" t="str">
        <f>IF(G3007=0,"",IF(F3007="Buy",IF(G3007=1,"plant","plants"),IF(F3007&gt;0.01,"warranty","Error")))</f>
        <v/>
      </c>
      <c r="I3007" s="244">
        <f>IF(H3007="free",0,IF(H3007="credit",((E3007*(F3007))*G3007*-1),IF(F3007="Buy",(E3007*G3007),((E3007*(1-F3007))*G3007))))</f>
        <v>0</v>
      </c>
      <c r="J3007" s="244">
        <f>IF(H3007="warranty",0,(I3007*(_xlfn.SINGLE(SalesTaxPercentage))))</f>
        <v>0</v>
      </c>
      <c r="K3007" s="696">
        <f t="shared" ref="K3007" si="2327">I3007+J3007</f>
        <v>0</v>
      </c>
      <c r="L3007" s="696"/>
      <c r="M3007" s="659" t="str">
        <f>IF(AND(G3007&gt;0,E3007=0),"WARNING - no PRICE inserted",IF(H3007="free"," FREE ~ no charge this plant",IF(H3007="credit",CONCATENATE(" -$",ROUND(K3007*(1-T2GDiscount)*-1,2)," CREDIT after discount"),IF(T2GDiscount=0,"",IF(G3007=0,"",IF(F3007="Buy",CONCATENATE(" $",ROUND(K3007*(1-T2GDiscount),2)," with ",(T2GDiscount*100),"% discount"),CONCATENATE(" $",ROUND(K3007*(1-T2GDiscount),2)," with ",((T2GDiscount*100+F3007*100)-(T2GDiscount*100*F3007)),IF(F3007&gt;0,"% discounts",IF(NoWarrantyDiscount&gt;0,"% discounts","% discount")))))))))</f>
        <v/>
      </c>
      <c r="N3007" s="660"/>
      <c r="O3007" s="233"/>
      <c r="P3007" s="233"/>
      <c r="Q3007" s="233"/>
      <c r="R3007" s="233"/>
      <c r="S3007" s="233"/>
      <c r="T3007" s="508">
        <f t="shared" si="2289"/>
        <v>0</v>
      </c>
      <c r="U3007" s="225">
        <f>IF(NOT(ISNUMBER(G3007)), "", VLOOKUP(A3007,'Discount Lookup'!D:E,2,FALSE)*G3007)</f>
        <v>0</v>
      </c>
      <c r="V3007" s="225">
        <f>IF(NOT(ISNUMBER(G3007)), "", VLOOKUP(A3007,'Discount Lookup'!G:H,2,FALSE)*G3007)</f>
        <v>0</v>
      </c>
      <c r="W3007" s="508">
        <f t="shared" si="2290"/>
        <v>0</v>
      </c>
      <c r="X3007" s="508">
        <f t="shared" si="2291"/>
        <v>0</v>
      </c>
      <c r="Y3007" s="509" t="b">
        <f t="shared" si="2292"/>
        <v>0</v>
      </c>
      <c r="Z3007" s="510">
        <f t="shared" si="2293"/>
        <v>0</v>
      </c>
      <c r="AA3007" s="511"/>
      <c r="AB3007" s="511" t="str">
        <f t="shared" si="2294"/>
        <v/>
      </c>
      <c r="AC3007" s="698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698"/>
      <c r="AE3007" s="631" t="str">
        <f t="shared" si="2295"/>
        <v/>
      </c>
      <c r="AF3007" s="699" t="str">
        <f t="shared" si="2296"/>
        <v/>
      </c>
      <c r="AG3007" s="699"/>
      <c r="AH3007" s="699"/>
      <c r="AI3007" s="512">
        <f>IF(H3007="credit",0,IF(AE3007="free",0,IF(AE3007="me",0,IF(G3007&gt;0,(VLOOKUP(A3007,'Discount Lookup'!J:K,2)*G3007),0))))</f>
        <v>0</v>
      </c>
      <c r="AJ3007" s="513" t="str">
        <f t="shared" ca="1" si="2297"/>
        <v/>
      </c>
      <c r="AK3007" s="700" t="str">
        <f t="shared" si="2298"/>
        <v/>
      </c>
      <c r="AL3007" s="700"/>
      <c r="AM3007" s="505" t="str">
        <f t="shared" si="2299"/>
        <v/>
      </c>
      <c r="AN3007" s="506"/>
      <c r="AO3007" s="507"/>
      <c r="AP3007" s="507"/>
      <c r="AQ3007" s="507"/>
      <c r="AR3007" s="507"/>
      <c r="AS3007" s="507"/>
      <c r="AT3007" s="507"/>
      <c r="AU3007" s="507"/>
      <c r="AV3007" s="225"/>
      <c r="AW3007" s="508"/>
      <c r="AX3007" s="225"/>
      <c r="AY3007" s="225"/>
      <c r="AZ3007" s="225"/>
      <c r="BA3007" s="225"/>
      <c r="BB3007" s="225"/>
      <c r="BC3007" s="56"/>
      <c r="BD3007" s="56"/>
      <c r="BE3007" s="56"/>
      <c r="BF3007" s="107" t="str">
        <f t="shared" si="2300"/>
        <v>https://www.google.com/search?tbm=isch&amp;q=3%20G4</v>
      </c>
      <c r="BG3007" s="107" t="str">
        <f t="shared" si="2301"/>
        <v>P</v>
      </c>
      <c r="BH3007" s="254"/>
      <c r="BI3007" s="254"/>
    </row>
    <row r="3008" spans="1:61" customFormat="1" ht="17.25" thickBot="1" x14ac:dyDescent="0.3">
      <c r="A3008" s="524" t="s">
        <v>4154</v>
      </c>
      <c r="B3008" s="245"/>
      <c r="C3008" s="677"/>
      <c r="D3008" s="499"/>
      <c r="E3008" s="499"/>
      <c r="F3008" s="500"/>
      <c r="G3008" s="501"/>
      <c r="H3008" s="502"/>
      <c r="I3008" s="246"/>
      <c r="J3008" s="247"/>
      <c r="K3008" s="503"/>
      <c r="L3008" s="544"/>
      <c r="M3008" s="544"/>
      <c r="N3008" s="500"/>
      <c r="O3008" s="500"/>
      <c r="P3008" s="500"/>
      <c r="Q3008" s="500"/>
      <c r="R3008" s="500"/>
      <c r="S3008" s="669" t="s">
        <v>4980</v>
      </c>
      <c r="T3008" s="508">
        <f t="shared" si="2289"/>
        <v>0</v>
      </c>
      <c r="U3008" s="225" t="str">
        <f>IF(NOT(ISNUMBER(G3008)), "", VLOOKUP(A3008,'Discount Lookup'!D:E,2,FALSE)*G3008)</f>
        <v/>
      </c>
      <c r="V3008" s="225" t="str">
        <f>IF(NOT(ISNUMBER(G3008)), "", VLOOKUP(A3008,'Discount Lookup'!G:H,2,FALSE)*G3008)</f>
        <v/>
      </c>
      <c r="W3008" s="508">
        <f t="shared" si="2290"/>
        <v>0</v>
      </c>
      <c r="X3008" s="508">
        <f t="shared" si="2291"/>
        <v>0</v>
      </c>
      <c r="Y3008" s="509" t="b">
        <f t="shared" si="2292"/>
        <v>0</v>
      </c>
      <c r="Z3008" s="510">
        <f t="shared" si="2293"/>
        <v>0</v>
      </c>
      <c r="AA3008" s="511"/>
      <c r="AB3008" s="511" t="str">
        <f t="shared" si="2294"/>
        <v/>
      </c>
      <c r="AC3008" s="698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698"/>
      <c r="AE3008" s="631" t="str">
        <f t="shared" si="2295"/>
        <v/>
      </c>
      <c r="AF3008" s="699" t="str">
        <f t="shared" si="2296"/>
        <v/>
      </c>
      <c r="AG3008" s="699"/>
      <c r="AH3008" s="699"/>
      <c r="AI3008" s="512">
        <f>IF(H3008="credit",0,IF(AE3008="free",0,IF(AE3008="me",0,IF(G3008&gt;0,(VLOOKUP(A3008,'Discount Lookup'!J:K,2)*G3008),0))))</f>
        <v>0</v>
      </c>
      <c r="AJ3008" s="513" t="str">
        <f t="shared" ca="1" si="2297"/>
        <v/>
      </c>
      <c r="AK3008" s="700" t="str">
        <f t="shared" si="2298"/>
        <v/>
      </c>
      <c r="AL3008" s="700"/>
      <c r="AM3008" s="505" t="str">
        <f t="shared" si="2299"/>
        <v/>
      </c>
      <c r="AN3008" s="506"/>
      <c r="AO3008" s="507"/>
      <c r="AP3008" s="507"/>
      <c r="AQ3008" s="507"/>
      <c r="AR3008" s="507"/>
      <c r="AS3008" s="507"/>
      <c r="AT3008" s="507"/>
      <c r="AU3008" s="507"/>
      <c r="AV3008" s="225"/>
      <c r="AW3008" s="508"/>
      <c r="AX3008" s="225"/>
      <c r="AY3008" s="225"/>
      <c r="AZ3008" s="225"/>
      <c r="BA3008" s="225"/>
      <c r="BB3008" s="225"/>
      <c r="BC3008" s="56"/>
      <c r="BD3008" s="56"/>
      <c r="BE3008" s="56"/>
      <c r="BF3008" s="107" t="str">
        <f t="shared" si="2300"/>
        <v>https://www.google.com/search?tbm=isch&amp;q=Purple%20Haze%20has%20Silvery-Green%20foliage%20and%20is%20non-invasive.%20%20All%20BB%20bloom%20summer%20to%20frost%2C%20on%20new%20wood%2C%20so%20cut%20back%20hard%20late%20winter%20</v>
      </c>
      <c r="BG3008" s="107" t="str">
        <f t="shared" si="2301"/>
        <v>P</v>
      </c>
      <c r="BH3008" s="254"/>
      <c r="BI3008" s="254"/>
    </row>
    <row r="3009" spans="1:61" customFormat="1" ht="18" x14ac:dyDescent="0.25">
      <c r="A3009" s="523" t="s">
        <v>1572</v>
      </c>
      <c r="B3009" s="235"/>
      <c r="C3009" s="676"/>
      <c r="D3009" s="255" t="s">
        <v>1573</v>
      </c>
      <c r="E3009" s="236"/>
      <c r="F3009" s="236"/>
      <c r="G3009" s="236"/>
      <c r="H3009" s="582" t="s">
        <v>303</v>
      </c>
      <c r="I3009" s="498" t="s">
        <v>657</v>
      </c>
      <c r="J3009" s="237"/>
      <c r="K3009" s="237"/>
      <c r="L3009" s="274"/>
      <c r="M3009" s="668" t="s">
        <v>4962</v>
      </c>
      <c r="N3009" s="681" t="str">
        <f>IF(AND(ISTEXT($A3009), ISERROR($A3009+0)), HYPERLINK($BF3009, "Images"), "")</f>
        <v>Images</v>
      </c>
      <c r="O3009" s="663" t="s">
        <v>4967</v>
      </c>
      <c r="P3009" s="253"/>
      <c r="Q3009" s="238"/>
      <c r="R3009" s="239"/>
      <c r="S3009" s="275"/>
      <c r="T3009" s="508">
        <f t="shared" si="2289"/>
        <v>0</v>
      </c>
      <c r="U3009" s="225" t="str">
        <f>IF(NOT(ISNUMBER(G3009)), "", VLOOKUP(A3009,'Discount Lookup'!D:E,2,FALSE)*G3009)</f>
        <v/>
      </c>
      <c r="V3009" s="225" t="str">
        <f>IF(NOT(ISNUMBER(G3009)), "", VLOOKUP(A3009,'Discount Lookup'!G:H,2,FALSE)*G3009)</f>
        <v/>
      </c>
      <c r="W3009" s="508">
        <f t="shared" si="2290"/>
        <v>0</v>
      </c>
      <c r="X3009" s="508" t="str">
        <f t="shared" si="2291"/>
        <v>Purple bloom</v>
      </c>
      <c r="Y3009" s="509" t="b">
        <f t="shared" si="2292"/>
        <v>0</v>
      </c>
      <c r="Z3009" s="510">
        <f t="shared" si="2293"/>
        <v>0</v>
      </c>
      <c r="AA3009" s="511"/>
      <c r="AB3009" s="511" t="str">
        <f t="shared" si="2294"/>
        <v/>
      </c>
      <c r="AC3009" s="698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698"/>
      <c r="AE3009" s="631" t="str">
        <f t="shared" si="2295"/>
        <v/>
      </c>
      <c r="AF3009" s="699" t="str">
        <f t="shared" si="2296"/>
        <v/>
      </c>
      <c r="AG3009" s="699"/>
      <c r="AH3009" s="699"/>
      <c r="AI3009" s="512">
        <f>IF(H3009="credit",0,IF(AE3009="free",0,IF(AE3009="me",0,IF(G3009&gt;0,(VLOOKUP(A3009,'Discount Lookup'!J:K,2)*G3009),0))))</f>
        <v>0</v>
      </c>
      <c r="AJ3009" s="513" t="str">
        <f t="shared" ca="1" si="2297"/>
        <v/>
      </c>
      <c r="AK3009" s="700" t="str">
        <f t="shared" si="2298"/>
        <v/>
      </c>
      <c r="AL3009" s="700"/>
      <c r="AM3009" s="505" t="str">
        <f t="shared" si="2299"/>
        <v/>
      </c>
      <c r="AN3009" s="506"/>
      <c r="AO3009" s="507"/>
      <c r="AP3009" s="507"/>
      <c r="AQ3009" s="507"/>
      <c r="AR3009" s="507"/>
      <c r="AS3009" s="507"/>
      <c r="AT3009" s="507"/>
      <c r="AU3009" s="507"/>
      <c r="AV3009" s="225"/>
      <c r="AW3009" s="508"/>
      <c r="AX3009" s="225"/>
      <c r="AY3009" s="225"/>
      <c r="AZ3009" s="225"/>
      <c r="BA3009" s="225"/>
      <c r="BB3009" s="225"/>
      <c r="BC3009" s="56"/>
      <c r="BD3009" s="56"/>
      <c r="BE3009" s="56"/>
      <c r="BF3009" s="107" t="str">
        <f t="shared" si="2300"/>
        <v>https://www.google.com/search?tbm=isch&amp;q=Purple%20Magic%20Crape%20Myrtle%20Lagerstroemia%20%27Purple%20Magic%27%20PP%2328906</v>
      </c>
      <c r="BG3009" s="107" t="str">
        <f t="shared" si="2301"/>
        <v>P</v>
      </c>
      <c r="BH3009" s="254"/>
      <c r="BI3009" s="254"/>
    </row>
    <row r="3010" spans="1:61" customFormat="1" ht="15.75" x14ac:dyDescent="0.25">
      <c r="A3010" s="276">
        <v>3</v>
      </c>
      <c r="B3010" s="240" t="s">
        <v>291</v>
      </c>
      <c r="C3010" s="241" t="s">
        <v>408</v>
      </c>
      <c r="D3010" s="242" t="s">
        <v>299</v>
      </c>
      <c r="E3010" s="243">
        <v>36.950000000000003</v>
      </c>
      <c r="F3010" s="517" t="s">
        <v>293</v>
      </c>
      <c r="G3010" s="232">
        <v>0</v>
      </c>
      <c r="H3010" s="661" t="str">
        <f>IF(G3010=0,"",IF(F3010="Buy",IF(G3010=1,"plant","plants"),IF(F3010&gt;0.01,"warranty","Error")))</f>
        <v/>
      </c>
      <c r="I3010" s="244">
        <f>IF(H3010="free",0,IF(H3010="credit",((E3010*(F3010))*G3010*-1),IF(F3010="Buy",(E3010*G3010),((E3010*(1-F3010))*G3010))))</f>
        <v>0</v>
      </c>
      <c r="J3010" s="244">
        <f>IF(H3010="warranty",0,(I3010*(_xlfn.SINGLE(SalesTaxPercentage))))</f>
        <v>0</v>
      </c>
      <c r="K3010" s="696">
        <f t="shared" ref="K3010" si="2328">I3010+J3010</f>
        <v>0</v>
      </c>
      <c r="L3010" s="696"/>
      <c r="M3010" s="659" t="str">
        <f>IF(AND(G3010&gt;0,E3010=0),"WARNING - no PRICE inserted",IF(H3010="free"," FREE ~ no charge this plant",IF(H3010="credit",CONCATENATE(" -$",ROUND(K3010*(1-T2GDiscount)*-1,2)," CREDIT after discount"),IF(T2GDiscount=0,"",IF(G3010=0,"",IF(F3010="Buy",CONCATENATE(" $",ROUND(K3010*(1-T2GDiscount),2)," with ",(T2GDiscount*100),"% discount"),CONCATENATE(" $",ROUND(K3010*(1-T2GDiscount),2)," with ",((T2GDiscount*100+F3010*100)-(T2GDiscount*100*F3010)),IF(F3010&gt;0,"% discounts",IF(NoWarrantyDiscount&gt;0,"% discounts","% discount")))))))))</f>
        <v/>
      </c>
      <c r="N3010" s="660"/>
      <c r="O3010" s="233"/>
      <c r="P3010" s="233"/>
      <c r="Q3010" s="233"/>
      <c r="R3010" s="233"/>
      <c r="S3010" s="233"/>
      <c r="T3010" s="508">
        <f t="shared" si="2289"/>
        <v>0</v>
      </c>
      <c r="U3010" s="225">
        <f>IF(NOT(ISNUMBER(G3010)), "", VLOOKUP(A3010,'Discount Lookup'!D:E,2,FALSE)*G3010)</f>
        <v>0</v>
      </c>
      <c r="V3010" s="225">
        <f>IF(NOT(ISNUMBER(G3010)), "", VLOOKUP(A3010,'Discount Lookup'!G:H,2,FALSE)*G3010)</f>
        <v>0</v>
      </c>
      <c r="W3010" s="508">
        <f t="shared" si="2290"/>
        <v>0</v>
      </c>
      <c r="X3010" s="508">
        <f t="shared" si="2291"/>
        <v>0</v>
      </c>
      <c r="Y3010" s="509" t="b">
        <f t="shared" si="2292"/>
        <v>0</v>
      </c>
      <c r="Z3010" s="510">
        <f t="shared" si="2293"/>
        <v>0</v>
      </c>
      <c r="AA3010" s="511"/>
      <c r="AB3010" s="511" t="str">
        <f t="shared" si="2294"/>
        <v/>
      </c>
      <c r="AC3010" s="698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698"/>
      <c r="AE3010" s="631" t="str">
        <f t="shared" si="2295"/>
        <v/>
      </c>
      <c r="AF3010" s="699" t="str">
        <f t="shared" si="2296"/>
        <v/>
      </c>
      <c r="AG3010" s="699"/>
      <c r="AH3010" s="699"/>
      <c r="AI3010" s="512">
        <f>IF(H3010="credit",0,IF(AE3010="free",0,IF(AE3010="me",0,IF(G3010&gt;0,(VLOOKUP(A3010,'Discount Lookup'!J:K,2)*G3010),0))))</f>
        <v>0</v>
      </c>
      <c r="AJ3010" s="513" t="str">
        <f t="shared" ca="1" si="2297"/>
        <v/>
      </c>
      <c r="AK3010" s="700" t="str">
        <f t="shared" si="2298"/>
        <v/>
      </c>
      <c r="AL3010" s="700"/>
      <c r="AM3010" s="505" t="str">
        <f t="shared" si="2299"/>
        <v/>
      </c>
      <c r="AN3010" s="506"/>
      <c r="AO3010" s="507"/>
      <c r="AP3010" s="507"/>
      <c r="AQ3010" s="507"/>
      <c r="AR3010" s="507"/>
      <c r="AS3010" s="507"/>
      <c r="AT3010" s="507"/>
      <c r="AU3010" s="507"/>
      <c r="AV3010" s="225"/>
      <c r="AW3010" s="508"/>
      <c r="AX3010" s="225"/>
      <c r="AY3010" s="225"/>
      <c r="AZ3010" s="225"/>
      <c r="BA3010" s="225"/>
      <c r="BB3010" s="225"/>
      <c r="BC3010" s="56"/>
      <c r="BD3010" s="56"/>
      <c r="BE3010" s="56"/>
      <c r="BF3010" s="107" t="str">
        <f t="shared" si="2300"/>
        <v>https://www.google.com/search?tbm=isch&amp;q=3%20G5</v>
      </c>
      <c r="BG3010" s="107" t="str">
        <f t="shared" si="2301"/>
        <v>P</v>
      </c>
      <c r="BH3010" s="254"/>
      <c r="BI3010" s="254"/>
    </row>
    <row r="3011" spans="1:61" customFormat="1" ht="15.75" x14ac:dyDescent="0.25">
      <c r="A3011" s="276">
        <v>7</v>
      </c>
      <c r="B3011" s="240" t="s">
        <v>291</v>
      </c>
      <c r="C3011" s="241" t="s">
        <v>4684</v>
      </c>
      <c r="D3011" s="242" t="s">
        <v>299</v>
      </c>
      <c r="E3011" s="243">
        <v>73.95</v>
      </c>
      <c r="F3011" s="517" t="s">
        <v>293</v>
      </c>
      <c r="G3011" s="232">
        <v>0</v>
      </c>
      <c r="H3011" s="661" t="str">
        <f>IF(G3011=0,"",IF(F3011="Buy",IF(G3011=1,"plant","plants"),IF(F3011&gt;0.01,"warranty","Error")))</f>
        <v/>
      </c>
      <c r="I3011" s="244">
        <f>IF(H3011="free",0,IF(H3011="credit",((E3011*(F3011))*G3011*-1),IF(F3011="Buy",(E3011*G3011),((E3011*(1-F3011))*G3011))))</f>
        <v>0</v>
      </c>
      <c r="J3011" s="244">
        <f>IF(H3011="warranty",0,(I3011*(_xlfn.SINGLE(SalesTaxPercentage))))</f>
        <v>0</v>
      </c>
      <c r="K3011" s="696">
        <f t="shared" ref="K3011" si="2329">I3011+J3011</f>
        <v>0</v>
      </c>
      <c r="L3011" s="696"/>
      <c r="M3011" s="659" t="str">
        <f>IF(AND(G3011&gt;0,E3011=0),"WARNING - no PRICE inserted",IF(H3011="free"," FREE ~ no charge this plant",IF(H3011="credit",CONCATENATE(" -$",ROUND(K3011*(1-T2GDiscount)*-1,2)," CREDIT after discount"),IF(T2GDiscount=0,"",IF(G3011=0,"",IF(F3011="Buy",CONCATENATE(" $",ROUND(K3011*(1-T2GDiscount),2)," with ",(T2GDiscount*100),"% discount"),CONCATENATE(" $",ROUND(K3011*(1-T2GDiscount),2)," with ",((T2GDiscount*100+F3011*100)-(T2GDiscount*100*F3011)),IF(F3011&gt;0,"% discounts",IF(NoWarrantyDiscount&gt;0,"% discounts","% discount")))))))))</f>
        <v/>
      </c>
      <c r="N3011" s="660"/>
      <c r="O3011" s="233"/>
      <c r="P3011" s="233"/>
      <c r="Q3011" s="233"/>
      <c r="R3011" s="233"/>
      <c r="S3011" s="233"/>
      <c r="T3011" s="508">
        <f t="shared" si="2289"/>
        <v>0</v>
      </c>
      <c r="U3011" s="225">
        <f>IF(NOT(ISNUMBER(G3011)), "", VLOOKUP(A3011,'Discount Lookup'!D:E,2,FALSE)*G3011)</f>
        <v>0</v>
      </c>
      <c r="V3011" s="225">
        <f>IF(NOT(ISNUMBER(G3011)), "", VLOOKUP(A3011,'Discount Lookup'!G:H,2,FALSE)*G3011)</f>
        <v>0</v>
      </c>
      <c r="W3011" s="508">
        <f t="shared" si="2290"/>
        <v>0</v>
      </c>
      <c r="X3011" s="508">
        <f t="shared" si="2291"/>
        <v>0</v>
      </c>
      <c r="Y3011" s="509" t="b">
        <f t="shared" si="2292"/>
        <v>0</v>
      </c>
      <c r="Z3011" s="510">
        <f t="shared" si="2293"/>
        <v>0</v>
      </c>
      <c r="AA3011" s="511"/>
      <c r="AB3011" s="511" t="str">
        <f t="shared" si="2294"/>
        <v/>
      </c>
      <c r="AC3011" s="698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698"/>
      <c r="AE3011" s="631" t="str">
        <f t="shared" si="2295"/>
        <v/>
      </c>
      <c r="AF3011" s="699" t="str">
        <f t="shared" si="2296"/>
        <v/>
      </c>
      <c r="AG3011" s="699"/>
      <c r="AH3011" s="699"/>
      <c r="AI3011" s="512">
        <f>IF(H3011="credit",0,IF(AE3011="free",0,IF(AE3011="me",0,IF(G3011&gt;0,(VLOOKUP(A3011,'Discount Lookup'!J:K,2)*G3011),0))))</f>
        <v>0</v>
      </c>
      <c r="AJ3011" s="513" t="str">
        <f t="shared" ca="1" si="2297"/>
        <v/>
      </c>
      <c r="AK3011" s="700" t="str">
        <f t="shared" si="2298"/>
        <v/>
      </c>
      <c r="AL3011" s="700"/>
      <c r="AM3011" s="505" t="str">
        <f t="shared" si="2299"/>
        <v/>
      </c>
      <c r="AN3011" s="506"/>
      <c r="AO3011" s="507"/>
      <c r="AP3011" s="507"/>
      <c r="AQ3011" s="507"/>
      <c r="AR3011" s="507"/>
      <c r="AS3011" s="507"/>
      <c r="AT3011" s="507"/>
      <c r="AU3011" s="507"/>
      <c r="AV3011" s="225"/>
      <c r="AW3011" s="508"/>
      <c r="AX3011" s="225"/>
      <c r="AY3011" s="225"/>
      <c r="AZ3011" s="225"/>
      <c r="BA3011" s="225"/>
      <c r="BB3011" s="225"/>
      <c r="BC3011" s="56"/>
      <c r="BD3011" s="56"/>
      <c r="BE3011" s="56"/>
      <c r="BF3011" s="107" t="str">
        <f t="shared" si="2300"/>
        <v>https://www.google.com/search?tbm=isch&amp;q=7%20G5</v>
      </c>
      <c r="BG3011" s="107" t="str">
        <f t="shared" si="2301"/>
        <v>P</v>
      </c>
      <c r="BH3011" s="254"/>
      <c r="BI3011" s="254"/>
    </row>
    <row r="3012" spans="1:61" customFormat="1" ht="17.25" thickBot="1" x14ac:dyDescent="0.3">
      <c r="A3012" s="524" t="s">
        <v>2455</v>
      </c>
      <c r="B3012" s="245"/>
      <c r="C3012" s="677"/>
      <c r="D3012" s="499"/>
      <c r="E3012" s="499"/>
      <c r="F3012" s="500"/>
      <c r="G3012" s="501"/>
      <c r="H3012" s="502"/>
      <c r="I3012" s="246"/>
      <c r="J3012" s="247"/>
      <c r="K3012" s="503"/>
      <c r="L3012" s="544"/>
      <c r="M3012" s="544"/>
      <c r="N3012" s="500"/>
      <c r="O3012" s="500"/>
      <c r="P3012" s="500"/>
      <c r="Q3012" s="500"/>
      <c r="R3012" s="500"/>
      <c r="S3012" s="278"/>
      <c r="T3012" s="508">
        <f t="shared" si="2289"/>
        <v>0</v>
      </c>
      <c r="U3012" s="225" t="str">
        <f>IF(NOT(ISNUMBER(G3012)), "", VLOOKUP(A3012,'Discount Lookup'!D:E,2,FALSE)*G3012)</f>
        <v/>
      </c>
      <c r="V3012" s="225" t="str">
        <f>IF(NOT(ISNUMBER(G3012)), "", VLOOKUP(A3012,'Discount Lookup'!G:H,2,FALSE)*G3012)</f>
        <v/>
      </c>
      <c r="W3012" s="508">
        <f t="shared" si="2290"/>
        <v>0</v>
      </c>
      <c r="X3012" s="508">
        <f t="shared" si="2291"/>
        <v>0</v>
      </c>
      <c r="Y3012" s="509" t="b">
        <f t="shared" si="2292"/>
        <v>0</v>
      </c>
      <c r="Z3012" s="510">
        <f t="shared" si="2293"/>
        <v>0</v>
      </c>
      <c r="AA3012" s="511"/>
      <c r="AB3012" s="511" t="str">
        <f t="shared" si="2294"/>
        <v/>
      </c>
      <c r="AC3012" s="698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698"/>
      <c r="AE3012" s="631" t="str">
        <f t="shared" si="2295"/>
        <v/>
      </c>
      <c r="AF3012" s="699" t="str">
        <f t="shared" si="2296"/>
        <v/>
      </c>
      <c r="AG3012" s="699"/>
      <c r="AH3012" s="699"/>
      <c r="AI3012" s="512">
        <f>IF(H3012="credit",0,IF(AE3012="free",0,IF(AE3012="me",0,IF(G3012&gt;0,(VLOOKUP(A3012,'Discount Lookup'!J:K,2)*G3012),0))))</f>
        <v>0</v>
      </c>
      <c r="AJ3012" s="513" t="str">
        <f t="shared" ca="1" si="2297"/>
        <v/>
      </c>
      <c r="AK3012" s="700" t="str">
        <f t="shared" si="2298"/>
        <v/>
      </c>
      <c r="AL3012" s="700"/>
      <c r="AM3012" s="505" t="str">
        <f t="shared" si="2299"/>
        <v/>
      </c>
      <c r="AN3012" s="506"/>
      <c r="AO3012" s="507"/>
      <c r="AP3012" s="507"/>
      <c r="AQ3012" s="507"/>
      <c r="AR3012" s="507"/>
      <c r="AS3012" s="507"/>
      <c r="AT3012" s="507"/>
      <c r="AU3012" s="507"/>
      <c r="AV3012" s="225"/>
      <c r="AW3012" s="508"/>
      <c r="AX3012" s="225"/>
      <c r="AY3012" s="225"/>
      <c r="AZ3012" s="225"/>
      <c r="BA3012" s="225"/>
      <c r="BB3012" s="225"/>
      <c r="BC3012" s="56"/>
      <c r="BD3012" s="56"/>
      <c r="BE3012" s="56"/>
      <c r="BF3012" s="107" t="str">
        <f t="shared" si="2300"/>
        <v>https://www.google.com/search?tbm=isch&amp;q=Purple%20Magic%20foliage%20is%20a%20glossy%20red%2Fgreen%2C%20turning%20orange%2Fred%20in%20fall.%20Tan%20bark%20exfoliates%20</v>
      </c>
      <c r="BG3012" s="107" t="str">
        <f t="shared" si="2301"/>
        <v>P</v>
      </c>
      <c r="BH3012" s="254"/>
      <c r="BI3012" s="254"/>
    </row>
    <row r="3013" spans="1:61" customFormat="1" ht="18" x14ac:dyDescent="0.25">
      <c r="A3013" s="523" t="s">
        <v>5511</v>
      </c>
      <c r="B3013" s="235"/>
      <c r="C3013" s="676"/>
      <c r="D3013" s="255" t="s">
        <v>1574</v>
      </c>
      <c r="E3013" s="236"/>
      <c r="F3013" s="236"/>
      <c r="G3013" s="236"/>
      <c r="H3013" s="582" t="s">
        <v>3122</v>
      </c>
      <c r="I3013" s="498" t="s">
        <v>3123</v>
      </c>
      <c r="J3013" s="237"/>
      <c r="K3013" s="237"/>
      <c r="L3013" s="274"/>
      <c r="M3013" s="668" t="s">
        <v>4962</v>
      </c>
      <c r="N3013" s="681" t="str">
        <f>IF(AND(ISTEXT($A3013), ISERROR($A3013+0)), HYPERLINK($BF3013, "Images"), "")</f>
        <v>Images</v>
      </c>
      <c r="O3013" s="663" t="s">
        <v>4967</v>
      </c>
      <c r="P3013" s="253"/>
      <c r="Q3013" s="238"/>
      <c r="R3013" s="239"/>
      <c r="S3013" s="275"/>
      <c r="T3013" s="508">
        <f t="shared" si="2289"/>
        <v>0</v>
      </c>
      <c r="U3013" s="225" t="str">
        <f>IF(NOT(ISNUMBER(G3013)), "", VLOOKUP(A3013,'Discount Lookup'!D:E,2,FALSE)*G3013)</f>
        <v/>
      </c>
      <c r="V3013" s="225" t="str">
        <f>IF(NOT(ISNUMBER(G3013)), "", VLOOKUP(A3013,'Discount Lookup'!G:H,2,FALSE)*G3013)</f>
        <v/>
      </c>
      <c r="W3013" s="508">
        <f t="shared" si="2290"/>
        <v>0</v>
      </c>
      <c r="X3013" s="508" t="str">
        <f t="shared" si="2291"/>
        <v>Rich Purple bloom, Red ey</v>
      </c>
      <c r="Y3013" s="509" t="b">
        <f t="shared" si="2292"/>
        <v>0</v>
      </c>
      <c r="Z3013" s="510">
        <f t="shared" si="2293"/>
        <v>0</v>
      </c>
      <c r="AA3013" s="511"/>
      <c r="AB3013" s="511" t="str">
        <f t="shared" si="2294"/>
        <v/>
      </c>
      <c r="AC3013" s="698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698"/>
      <c r="AE3013" s="631" t="str">
        <f t="shared" si="2295"/>
        <v/>
      </c>
      <c r="AF3013" s="699" t="str">
        <f t="shared" si="2296"/>
        <v/>
      </c>
      <c r="AG3013" s="699"/>
      <c r="AH3013" s="699"/>
      <c r="AI3013" s="512">
        <f>IF(H3013="credit",0,IF(AE3013="free",0,IF(AE3013="me",0,IF(G3013&gt;0,(VLOOKUP(A3013,'Discount Lookup'!J:K,2)*G3013),0))))</f>
        <v>0</v>
      </c>
      <c r="AJ3013" s="513" t="str">
        <f t="shared" ca="1" si="2297"/>
        <v/>
      </c>
      <c r="AK3013" s="700" t="str">
        <f t="shared" si="2298"/>
        <v/>
      </c>
      <c r="AL3013" s="700"/>
      <c r="AM3013" s="505" t="str">
        <f t="shared" si="2299"/>
        <v/>
      </c>
      <c r="AN3013" s="506"/>
      <c r="AO3013" s="507"/>
      <c r="AP3013" s="507"/>
      <c r="AQ3013" s="507"/>
      <c r="AR3013" s="507"/>
      <c r="AS3013" s="507"/>
      <c r="AT3013" s="507"/>
      <c r="AU3013" s="507"/>
      <c r="AV3013" s="225"/>
      <c r="AW3013" s="508"/>
      <c r="AX3013" s="225"/>
      <c r="AY3013" s="225"/>
      <c r="AZ3013" s="225"/>
      <c r="BA3013" s="225"/>
      <c r="BB3013" s="225"/>
      <c r="BC3013" s="56"/>
      <c r="BD3013" s="56"/>
      <c r="BE3013" s="56"/>
      <c r="BF3013" s="107" t="str">
        <f t="shared" si="2300"/>
        <v>https://www.google.com/search?tbm=isch&amp;q=Purple%20Pillar%C2%AE%20Rose%20of%20Sharon%20Hibiscus%20syriacus%20%27Gandini%20Santiago%27%20PP%2325568</v>
      </c>
      <c r="BG3013" s="107" t="str">
        <f t="shared" si="2301"/>
        <v>P</v>
      </c>
      <c r="BH3013" s="254"/>
      <c r="BI3013" s="254"/>
    </row>
    <row r="3014" spans="1:61" customFormat="1" ht="15.75" x14ac:dyDescent="0.25">
      <c r="A3014" s="276">
        <v>3</v>
      </c>
      <c r="B3014" s="240" t="s">
        <v>291</v>
      </c>
      <c r="C3014" s="241" t="s">
        <v>933</v>
      </c>
      <c r="D3014" s="242" t="s">
        <v>299</v>
      </c>
      <c r="E3014" s="243">
        <v>42.95</v>
      </c>
      <c r="F3014" s="517" t="s">
        <v>293</v>
      </c>
      <c r="G3014" s="232">
        <v>0</v>
      </c>
      <c r="H3014" s="661" t="str">
        <f>IF(G3014=0,"",IF(F3014="Buy",IF(G3014=1,"plant","plants"),IF(F3014&gt;0.01,"warranty","Error")))</f>
        <v/>
      </c>
      <c r="I3014" s="244">
        <f>IF(H3014="free",0,IF(H3014="credit",((E3014*(F3014))*G3014*-1),IF(F3014="Buy",(E3014*G3014),((E3014*(1-F3014))*G3014))))</f>
        <v>0</v>
      </c>
      <c r="J3014" s="244">
        <f>IF(H3014="warranty",0,(I3014*(_xlfn.SINGLE(SalesTaxPercentage))))</f>
        <v>0</v>
      </c>
      <c r="K3014" s="696">
        <f t="shared" ref="K3014" si="2330">I3014+J3014</f>
        <v>0</v>
      </c>
      <c r="L3014" s="696"/>
      <c r="M3014" s="659" t="str">
        <f>IF(AND(G3014&gt;0,E3014=0),"WARNING - no PRICE inserted",IF(H3014="free"," FREE ~ no charge this plant",IF(H3014="credit",CONCATENATE(" -$",ROUND(K3014*(1-T2GDiscount)*-1,2)," CREDIT after discount"),IF(T2GDiscount=0,"",IF(G3014=0,"",IF(F3014="Buy",CONCATENATE(" $",ROUND(K3014*(1-T2GDiscount),2)," with ",(T2GDiscount*100),"% discount"),CONCATENATE(" $",ROUND(K3014*(1-T2GDiscount),2)," with ",((T2GDiscount*100+F3014*100)-(T2GDiscount*100*F3014)),IF(F3014&gt;0,"% discounts",IF(NoWarrantyDiscount&gt;0,"% discounts","% discount")))))))))</f>
        <v/>
      </c>
      <c r="N3014" s="660"/>
      <c r="O3014" s="233"/>
      <c r="P3014" s="233"/>
      <c r="Q3014" s="233"/>
      <c r="R3014" s="233"/>
      <c r="S3014" s="233"/>
      <c r="T3014" s="508">
        <f t="shared" si="2289"/>
        <v>0</v>
      </c>
      <c r="U3014" s="225">
        <f>IF(NOT(ISNUMBER(G3014)), "", VLOOKUP(A3014,'Discount Lookup'!D:E,2,FALSE)*G3014)</f>
        <v>0</v>
      </c>
      <c r="V3014" s="225">
        <f>IF(NOT(ISNUMBER(G3014)), "", VLOOKUP(A3014,'Discount Lookup'!G:H,2,FALSE)*G3014)</f>
        <v>0</v>
      </c>
      <c r="W3014" s="508">
        <f t="shared" si="2290"/>
        <v>0</v>
      </c>
      <c r="X3014" s="508">
        <f t="shared" si="2291"/>
        <v>0</v>
      </c>
      <c r="Y3014" s="509" t="b">
        <f t="shared" si="2292"/>
        <v>0</v>
      </c>
      <c r="Z3014" s="510">
        <f t="shared" si="2293"/>
        <v>0</v>
      </c>
      <c r="AA3014" s="511"/>
      <c r="AB3014" s="511" t="str">
        <f t="shared" si="2294"/>
        <v/>
      </c>
      <c r="AC3014" s="698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698"/>
      <c r="AE3014" s="631" t="str">
        <f t="shared" si="2295"/>
        <v/>
      </c>
      <c r="AF3014" s="699" t="str">
        <f t="shared" si="2296"/>
        <v/>
      </c>
      <c r="AG3014" s="699"/>
      <c r="AH3014" s="699"/>
      <c r="AI3014" s="512">
        <f>IF(H3014="credit",0,IF(AE3014="free",0,IF(AE3014="me",0,IF(G3014&gt;0,(VLOOKUP(A3014,'Discount Lookup'!J:K,2)*G3014),0))))</f>
        <v>0</v>
      </c>
      <c r="AJ3014" s="513" t="str">
        <f t="shared" ca="1" si="2297"/>
        <v/>
      </c>
      <c r="AK3014" s="700" t="str">
        <f t="shared" si="2298"/>
        <v/>
      </c>
      <c r="AL3014" s="700"/>
      <c r="AM3014" s="505" t="str">
        <f t="shared" si="2299"/>
        <v/>
      </c>
      <c r="AN3014" s="506"/>
      <c r="AO3014" s="507"/>
      <c r="AP3014" s="507"/>
      <c r="AQ3014" s="507"/>
      <c r="AR3014" s="507"/>
      <c r="AS3014" s="507"/>
      <c r="AT3014" s="507"/>
      <c r="AU3014" s="507"/>
      <c r="AV3014" s="225"/>
      <c r="AW3014" s="508"/>
      <c r="AX3014" s="225"/>
      <c r="AY3014" s="225"/>
      <c r="AZ3014" s="225"/>
      <c r="BA3014" s="225"/>
      <c r="BB3014" s="225"/>
      <c r="BC3014" s="56"/>
      <c r="BD3014" s="56"/>
      <c r="BE3014" s="56"/>
      <c r="BF3014" s="107" t="str">
        <f t="shared" si="2300"/>
        <v>https://www.google.com/search?tbm=isch&amp;q=3%20G5</v>
      </c>
      <c r="BG3014" s="107" t="str">
        <f t="shared" si="2301"/>
        <v>P</v>
      </c>
      <c r="BH3014" s="254"/>
      <c r="BI3014" s="254"/>
    </row>
    <row r="3015" spans="1:61" customFormat="1" ht="15.75" x14ac:dyDescent="0.25">
      <c r="A3015" s="276">
        <v>7</v>
      </c>
      <c r="B3015" s="240" t="s">
        <v>291</v>
      </c>
      <c r="C3015" s="241" t="s">
        <v>2723</v>
      </c>
      <c r="D3015" s="242" t="s">
        <v>299</v>
      </c>
      <c r="E3015" s="243">
        <v>91.95</v>
      </c>
      <c r="F3015" s="517" t="s">
        <v>293</v>
      </c>
      <c r="G3015" s="232">
        <v>0</v>
      </c>
      <c r="H3015" s="661" t="str">
        <f>IF(G3015=0,"",IF(F3015="Buy",IF(G3015=1,"plant","plants"),IF(F3015&gt;0.01,"warranty","Error")))</f>
        <v/>
      </c>
      <c r="I3015" s="244">
        <f>IF(H3015="free",0,IF(H3015="credit",((E3015*(F3015))*G3015*-1),IF(F3015="Buy",(E3015*G3015),((E3015*(1-F3015))*G3015))))</f>
        <v>0</v>
      </c>
      <c r="J3015" s="244">
        <f>IF(H3015="warranty",0,(I3015*(_xlfn.SINGLE(SalesTaxPercentage))))</f>
        <v>0</v>
      </c>
      <c r="K3015" s="696">
        <f t="shared" ref="K3015" si="2331">I3015+J3015</f>
        <v>0</v>
      </c>
      <c r="L3015" s="696"/>
      <c r="M3015" s="659" t="str">
        <f>IF(AND(G3015&gt;0,E3015=0),"WARNING - no PRICE inserted",IF(H3015="free"," FREE ~ no charge this plant",IF(H3015="credit",CONCATENATE(" -$",ROUND(K3015*(1-T2GDiscount)*-1,2)," CREDIT after discount"),IF(T2GDiscount=0,"",IF(G3015=0,"",IF(F3015="Buy",CONCATENATE(" $",ROUND(K3015*(1-T2GDiscount),2)," with ",(T2GDiscount*100),"% discount"),CONCATENATE(" $",ROUND(K3015*(1-T2GDiscount),2)," with ",((T2GDiscount*100+F3015*100)-(T2GDiscount*100*F3015)),IF(F3015&gt;0,"% discounts",IF(NoWarrantyDiscount&gt;0,"% discounts","% discount")))))))))</f>
        <v/>
      </c>
      <c r="N3015" s="660"/>
      <c r="O3015" s="233"/>
      <c r="P3015" s="233"/>
      <c r="Q3015" s="233"/>
      <c r="R3015" s="233"/>
      <c r="S3015" s="233"/>
      <c r="T3015" s="508">
        <f t="shared" si="2289"/>
        <v>0</v>
      </c>
      <c r="U3015" s="225">
        <f>IF(NOT(ISNUMBER(G3015)), "", VLOOKUP(A3015,'Discount Lookup'!D:E,2,FALSE)*G3015)</f>
        <v>0</v>
      </c>
      <c r="V3015" s="225">
        <f>IF(NOT(ISNUMBER(G3015)), "", VLOOKUP(A3015,'Discount Lookup'!G:H,2,FALSE)*G3015)</f>
        <v>0</v>
      </c>
      <c r="W3015" s="508">
        <f t="shared" si="2290"/>
        <v>0</v>
      </c>
      <c r="X3015" s="508">
        <f t="shared" si="2291"/>
        <v>0</v>
      </c>
      <c r="Y3015" s="509" t="b">
        <f t="shared" si="2292"/>
        <v>0</v>
      </c>
      <c r="Z3015" s="510">
        <f t="shared" si="2293"/>
        <v>0</v>
      </c>
      <c r="AA3015" s="511"/>
      <c r="AB3015" s="511" t="str">
        <f t="shared" si="2294"/>
        <v/>
      </c>
      <c r="AC3015" s="698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698"/>
      <c r="AE3015" s="631" t="str">
        <f t="shared" si="2295"/>
        <v/>
      </c>
      <c r="AF3015" s="699" t="str">
        <f t="shared" si="2296"/>
        <v/>
      </c>
      <c r="AG3015" s="699"/>
      <c r="AH3015" s="699"/>
      <c r="AI3015" s="512">
        <f>IF(H3015="credit",0,IF(AE3015="free",0,IF(AE3015="me",0,IF(G3015&gt;0,(VLOOKUP(A3015,'Discount Lookup'!J:K,2)*G3015),0))))</f>
        <v>0</v>
      </c>
      <c r="AJ3015" s="513" t="str">
        <f t="shared" ca="1" si="2297"/>
        <v/>
      </c>
      <c r="AK3015" s="700" t="str">
        <f t="shared" si="2298"/>
        <v/>
      </c>
      <c r="AL3015" s="700"/>
      <c r="AM3015" s="505" t="str">
        <f t="shared" si="2299"/>
        <v/>
      </c>
      <c r="AN3015" s="506"/>
      <c r="AO3015" s="507"/>
      <c r="AP3015" s="507"/>
      <c r="AQ3015" s="507"/>
      <c r="AR3015" s="507"/>
      <c r="AS3015" s="507"/>
      <c r="AT3015" s="507"/>
      <c r="AU3015" s="507"/>
      <c r="AV3015" s="225"/>
      <c r="AW3015" s="508"/>
      <c r="AX3015" s="225"/>
      <c r="AY3015" s="225"/>
      <c r="AZ3015" s="225"/>
      <c r="BA3015" s="225"/>
      <c r="BB3015" s="225"/>
      <c r="BC3015" s="56"/>
      <c r="BD3015" s="56"/>
      <c r="BE3015" s="56"/>
      <c r="BF3015" s="107" t="str">
        <f t="shared" si="2300"/>
        <v>https://www.google.com/search?tbm=isch&amp;q=7%20G5</v>
      </c>
      <c r="BG3015" s="107" t="str">
        <f t="shared" si="2301"/>
        <v>P</v>
      </c>
      <c r="BH3015" s="254"/>
      <c r="BI3015" s="254"/>
    </row>
    <row r="3016" spans="1:61" customFormat="1" ht="17.25" thickBot="1" x14ac:dyDescent="0.3">
      <c r="A3016" s="524" t="s">
        <v>4213</v>
      </c>
      <c r="B3016" s="245"/>
      <c r="C3016" s="677"/>
      <c r="D3016" s="499"/>
      <c r="E3016" s="499"/>
      <c r="F3016" s="500"/>
      <c r="G3016" s="501"/>
      <c r="H3016" s="502"/>
      <c r="I3016" s="246"/>
      <c r="J3016" s="247"/>
      <c r="K3016" s="503"/>
      <c r="L3016" s="544"/>
      <c r="M3016" s="544"/>
      <c r="N3016" s="500"/>
      <c r="O3016" s="500"/>
      <c r="P3016" s="500"/>
      <c r="Q3016" s="500"/>
      <c r="R3016" s="500"/>
      <c r="S3016" s="669" t="s">
        <v>4976</v>
      </c>
      <c r="T3016" s="508">
        <f t="shared" si="2289"/>
        <v>0</v>
      </c>
      <c r="U3016" s="225" t="str">
        <f>IF(NOT(ISNUMBER(G3016)), "", VLOOKUP(A3016,'Discount Lookup'!D:E,2,FALSE)*G3016)</f>
        <v/>
      </c>
      <c r="V3016" s="225" t="str">
        <f>IF(NOT(ISNUMBER(G3016)), "", VLOOKUP(A3016,'Discount Lookup'!G:H,2,FALSE)*G3016)</f>
        <v/>
      </c>
      <c r="W3016" s="508">
        <f t="shared" si="2290"/>
        <v>0</v>
      </c>
      <c r="X3016" s="508">
        <f t="shared" si="2291"/>
        <v>0</v>
      </c>
      <c r="Y3016" s="509" t="b">
        <f t="shared" si="2292"/>
        <v>0</v>
      </c>
      <c r="Z3016" s="510">
        <f t="shared" si="2293"/>
        <v>0</v>
      </c>
      <c r="AA3016" s="511"/>
      <c r="AB3016" s="511" t="str">
        <f t="shared" si="2294"/>
        <v/>
      </c>
      <c r="AC3016" s="698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698"/>
      <c r="AE3016" s="631" t="str">
        <f t="shared" si="2295"/>
        <v/>
      </c>
      <c r="AF3016" s="699" t="str">
        <f t="shared" si="2296"/>
        <v/>
      </c>
      <c r="AG3016" s="699"/>
      <c r="AH3016" s="699"/>
      <c r="AI3016" s="512">
        <f>IF(H3016="credit",0,IF(AE3016="free",0,IF(AE3016="me",0,IF(G3016&gt;0,(VLOOKUP(A3016,'Discount Lookup'!J:K,2)*G3016),0))))</f>
        <v>0</v>
      </c>
      <c r="AJ3016" s="513" t="str">
        <f t="shared" ca="1" si="2297"/>
        <v/>
      </c>
      <c r="AK3016" s="700" t="str">
        <f t="shared" si="2298"/>
        <v/>
      </c>
      <c r="AL3016" s="700"/>
      <c r="AM3016" s="505" t="str">
        <f t="shared" si="2299"/>
        <v/>
      </c>
      <c r="AN3016" s="506"/>
      <c r="AO3016" s="507"/>
      <c r="AP3016" s="507"/>
      <c r="AQ3016" s="507"/>
      <c r="AR3016" s="507"/>
      <c r="AS3016" s="507"/>
      <c r="AT3016" s="507"/>
      <c r="AU3016" s="507"/>
      <c r="AV3016" s="225"/>
      <c r="AW3016" s="508"/>
      <c r="AX3016" s="225"/>
      <c r="AY3016" s="225"/>
      <c r="AZ3016" s="225"/>
      <c r="BA3016" s="225"/>
      <c r="BB3016" s="225"/>
      <c r="BC3016" s="56"/>
      <c r="BD3016" s="56"/>
      <c r="BE3016" s="56"/>
      <c r="BF3016" s="107" t="str">
        <f t="shared" si="2300"/>
        <v>https://www.google.com/search?tbm=isch&amp;q=Purple%20Pillar%20has%20Green%20foliage.%20%22Rose%20of%20Sharon%22%20Hibiscus%20have%20trumpet-shaped%20flowers%20on%20new%20wood.%20Woody%20stems%20remain%20</v>
      </c>
      <c r="BG3016" s="107" t="str">
        <f t="shared" si="2301"/>
        <v>P</v>
      </c>
      <c r="BH3016" s="254"/>
      <c r="BI3016" s="254"/>
    </row>
    <row r="3017" spans="1:61" customFormat="1" ht="18" x14ac:dyDescent="0.25">
      <c r="A3017" s="521" t="s">
        <v>5512</v>
      </c>
      <c r="B3017" s="477"/>
      <c r="C3017" s="674"/>
      <c r="D3017" s="478" t="s">
        <v>4014</v>
      </c>
      <c r="E3017" s="479"/>
      <c r="F3017" s="479"/>
      <c r="G3017" s="479"/>
      <c r="H3017" s="582" t="s">
        <v>4015</v>
      </c>
      <c r="I3017" s="480" t="s">
        <v>2670</v>
      </c>
      <c r="J3017" s="479"/>
      <c r="K3017" s="479"/>
      <c r="L3017" s="560"/>
      <c r="M3017" s="666" t="s">
        <v>4966</v>
      </c>
      <c r="N3017" s="680" t="str">
        <f>IF(AND(ISTEXT($A3017), ISERROR($A3017+0)), HYPERLINK($BF3017, "Images"), "")</f>
        <v>Images</v>
      </c>
      <c r="O3017" s="662" t="s">
        <v>4967</v>
      </c>
      <c r="P3017" s="482"/>
      <c r="Q3017" s="483"/>
      <c r="R3017" s="483"/>
      <c r="S3017" s="484"/>
      <c r="T3017" s="508">
        <f t="shared" si="2289"/>
        <v>0</v>
      </c>
      <c r="U3017" s="225" t="str">
        <f>IF(NOT(ISNUMBER(G3017)), "", VLOOKUP(A3017,'Discount Lookup'!D:E,2,FALSE)*G3017)</f>
        <v/>
      </c>
      <c r="V3017" s="225" t="str">
        <f>IF(NOT(ISNUMBER(G3017)), "", VLOOKUP(A3017,'Discount Lookup'!G:H,2,FALSE)*G3017)</f>
        <v/>
      </c>
      <c r="W3017" s="508">
        <f t="shared" si="2290"/>
        <v>0</v>
      </c>
      <c r="X3017" s="508" t="str">
        <f t="shared" si="2291"/>
        <v>Neon-Pink bloom</v>
      </c>
      <c r="Y3017" s="509" t="b">
        <f t="shared" si="2292"/>
        <v>0</v>
      </c>
      <c r="Z3017" s="510">
        <f t="shared" si="2293"/>
        <v>0</v>
      </c>
      <c r="AA3017" s="511"/>
      <c r="AB3017" s="511" t="str">
        <f t="shared" si="2294"/>
        <v/>
      </c>
      <c r="AC3017" s="698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698"/>
      <c r="AE3017" s="631" t="str">
        <f t="shared" si="2295"/>
        <v/>
      </c>
      <c r="AF3017" s="699" t="str">
        <f t="shared" si="2296"/>
        <v/>
      </c>
      <c r="AG3017" s="699"/>
      <c r="AH3017" s="699"/>
      <c r="AI3017" s="512">
        <f>IF(H3017="credit",0,IF(AE3017="free",0,IF(AE3017="me",0,IF(G3017&gt;0,(VLOOKUP(A3017,'Discount Lookup'!J:K,2)*G3017),0))))</f>
        <v>0</v>
      </c>
      <c r="AJ3017" s="513" t="str">
        <f t="shared" ca="1" si="2297"/>
        <v/>
      </c>
      <c r="AK3017" s="700" t="str">
        <f t="shared" si="2298"/>
        <v/>
      </c>
      <c r="AL3017" s="700"/>
      <c r="AM3017" s="505" t="str">
        <f t="shared" si="2299"/>
        <v/>
      </c>
      <c r="AN3017" s="506"/>
      <c r="AO3017" s="507"/>
      <c r="AP3017" s="507"/>
      <c r="AQ3017" s="507"/>
      <c r="AR3017" s="507"/>
      <c r="AS3017" s="507"/>
      <c r="AT3017" s="507"/>
      <c r="AU3017" s="507"/>
      <c r="AV3017" s="225"/>
      <c r="AW3017" s="508"/>
      <c r="AX3017" s="225"/>
      <c r="AY3017" s="225"/>
      <c r="AZ3017" s="225"/>
      <c r="BA3017" s="225"/>
      <c r="BB3017" s="225"/>
      <c r="BC3017" s="56"/>
      <c r="BD3017" s="56"/>
      <c r="BE3017" s="56"/>
      <c r="BF3017" s="107" t="str">
        <f t="shared" si="2300"/>
        <v>https://www.google.com/search?tbm=isch&amp;q=Purple%20Pixie%C2%AE%20Loropetalum%20Loropetalum%20chin.%20var.%20r.%20%27Peack%27%20PP%2318441</v>
      </c>
      <c r="BG3017" s="107" t="str">
        <f t="shared" si="2301"/>
        <v>P</v>
      </c>
      <c r="BH3017" s="254"/>
      <c r="BI3017" s="254"/>
    </row>
    <row r="3018" spans="1:61" customFormat="1" ht="15.75" x14ac:dyDescent="0.25">
      <c r="A3018" s="485">
        <v>3</v>
      </c>
      <c r="B3018" s="486" t="s">
        <v>291</v>
      </c>
      <c r="C3018" s="487" t="s">
        <v>4016</v>
      </c>
      <c r="D3018" s="488" t="s">
        <v>312</v>
      </c>
      <c r="E3018" s="489">
        <v>43.95</v>
      </c>
      <c r="F3018" s="516" t="s">
        <v>293</v>
      </c>
      <c r="G3018" s="232">
        <v>0</v>
      </c>
      <c r="H3018" s="658" t="str">
        <f>IF(G3018=0,"",IF(F3018="Buy",IF(G3018=1,"plant","plants"),IF(F3018&gt;0.01,"warranty","Error")))</f>
        <v/>
      </c>
      <c r="I3018" s="490">
        <f>IF(H3018="free",0,IF(H3018="credit",((E3018*(F3018))*G3018*-1),IF(F3018="Buy",(E3018*G3018),((E3018*(1-F3018))*G3018))))</f>
        <v>0</v>
      </c>
      <c r="J3018" s="490">
        <f>IF(H3018="warranty",0,(I3018*(_xlfn.SINGLE(SalesTaxPercentage))))</f>
        <v>0</v>
      </c>
      <c r="K3018" s="695">
        <f t="shared" ref="K3018" si="2332">I3018+J3018</f>
        <v>0</v>
      </c>
      <c r="L3018" s="695"/>
      <c r="M3018" s="659" t="str">
        <f>IF(AND(G3018&gt;0,E3018=0),"WARNING - no PRICE inserted",IF(H3018="free"," FREE ~ no charge this plant",IF(H3018="credit",CONCATENATE(" -$",ROUND(K3018*(1-T2GDiscount)*-1,2)," CREDIT after discount"),IF(T2GDiscount=0,"",IF(G3018=0,"",IF(F3018="Buy",CONCATENATE(" $",ROUND(K3018*(1-T2GDiscount),2)," with ",(T2GDiscount*100),"% discount"),CONCATENATE(" $",ROUND(K3018*(1-T2GDiscount),2)," with ",((T2GDiscount*100+F3018*100)-(T2GDiscount*100*F3018)),IF(F3018&gt;0,"% discounts",IF(NoWarrantyDiscount&gt;0,"% discounts","% discount")))))))))</f>
        <v/>
      </c>
      <c r="N3018" s="660"/>
      <c r="O3018" s="233"/>
      <c r="P3018" s="233"/>
      <c r="Q3018" s="233"/>
      <c r="R3018" s="233"/>
      <c r="S3018" s="233"/>
      <c r="T3018" s="508">
        <f t="shared" si="2289"/>
        <v>0</v>
      </c>
      <c r="U3018" s="225">
        <f>IF(NOT(ISNUMBER(G3018)), "", VLOOKUP(A3018,'Discount Lookup'!D:E,2,FALSE)*G3018)</f>
        <v>0</v>
      </c>
      <c r="V3018" s="225">
        <f>IF(NOT(ISNUMBER(G3018)), "", VLOOKUP(A3018,'Discount Lookup'!G:H,2,FALSE)*G3018)</f>
        <v>0</v>
      </c>
      <c r="W3018" s="508">
        <f t="shared" si="2290"/>
        <v>0</v>
      </c>
      <c r="X3018" s="508">
        <f t="shared" si="2291"/>
        <v>0</v>
      </c>
      <c r="Y3018" s="509" t="b">
        <f t="shared" si="2292"/>
        <v>0</v>
      </c>
      <c r="Z3018" s="510">
        <f t="shared" si="2293"/>
        <v>0</v>
      </c>
      <c r="AA3018" s="511"/>
      <c r="AB3018" s="511" t="str">
        <f t="shared" si="2294"/>
        <v/>
      </c>
      <c r="AC3018" s="698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698"/>
      <c r="AE3018" s="631" t="str">
        <f t="shared" si="2295"/>
        <v/>
      </c>
      <c r="AF3018" s="699" t="str">
        <f t="shared" si="2296"/>
        <v/>
      </c>
      <c r="AG3018" s="699"/>
      <c r="AH3018" s="699"/>
      <c r="AI3018" s="512">
        <f>IF(H3018="credit",0,IF(AE3018="free",0,IF(AE3018="me",0,IF(G3018&gt;0,(VLOOKUP(A3018,'Discount Lookup'!J:K,2)*G3018),0))))</f>
        <v>0</v>
      </c>
      <c r="AJ3018" s="513" t="str">
        <f t="shared" ca="1" si="2297"/>
        <v/>
      </c>
      <c r="AK3018" s="700" t="str">
        <f t="shared" si="2298"/>
        <v/>
      </c>
      <c r="AL3018" s="700"/>
      <c r="AM3018" s="505" t="str">
        <f t="shared" si="2299"/>
        <v/>
      </c>
      <c r="AN3018" s="506"/>
      <c r="AO3018" s="507"/>
      <c r="AP3018" s="507"/>
      <c r="AQ3018" s="507"/>
      <c r="AR3018" s="507"/>
      <c r="AS3018" s="507"/>
      <c r="AT3018" s="507"/>
      <c r="AU3018" s="507"/>
      <c r="AV3018" s="225"/>
      <c r="AW3018" s="508"/>
      <c r="AX3018" s="225"/>
      <c r="AY3018" s="225"/>
      <c r="AZ3018" s="225"/>
      <c r="BA3018" s="225"/>
      <c r="BB3018" s="225"/>
      <c r="BC3018" s="56"/>
      <c r="BD3018" s="56"/>
      <c r="BE3018" s="56"/>
      <c r="BF3018" s="107" t="str">
        <f t="shared" si="2300"/>
        <v>https://www.google.com/search?tbm=isch&amp;q=3%20G2</v>
      </c>
      <c r="BG3018" s="107" t="str">
        <f t="shared" si="2301"/>
        <v>P</v>
      </c>
      <c r="BH3018" s="254"/>
      <c r="BI3018" s="254"/>
    </row>
    <row r="3019" spans="1:61" customFormat="1" ht="16.5" thickBot="1" x14ac:dyDescent="0.3">
      <c r="A3019" s="522" t="s">
        <v>4017</v>
      </c>
      <c r="B3019" s="491"/>
      <c r="C3019" s="675"/>
      <c r="D3019" s="491"/>
      <c r="E3019" s="491"/>
      <c r="F3019" s="492"/>
      <c r="G3019" s="493"/>
      <c r="H3019" s="491"/>
      <c r="I3019" s="234"/>
      <c r="J3019" s="234"/>
      <c r="K3019" s="494"/>
      <c r="L3019" s="543"/>
      <c r="M3019" s="561"/>
      <c r="N3019" s="495"/>
      <c r="O3019" s="496"/>
      <c r="P3019" s="497"/>
      <c r="Q3019" s="495"/>
      <c r="R3019" s="495"/>
      <c r="S3019" s="277"/>
      <c r="T3019" s="508">
        <f t="shared" si="2289"/>
        <v>0</v>
      </c>
      <c r="U3019" s="225" t="str">
        <f>IF(NOT(ISNUMBER(G3019)), "", VLOOKUP(A3019,'Discount Lookup'!D:E,2,FALSE)*G3019)</f>
        <v/>
      </c>
      <c r="V3019" s="225" t="str">
        <f>IF(NOT(ISNUMBER(G3019)), "", VLOOKUP(A3019,'Discount Lookup'!G:H,2,FALSE)*G3019)</f>
        <v/>
      </c>
      <c r="W3019" s="508">
        <f t="shared" si="2290"/>
        <v>0</v>
      </c>
      <c r="X3019" s="508">
        <f t="shared" si="2291"/>
        <v>0</v>
      </c>
      <c r="Y3019" s="509" t="b">
        <f t="shared" si="2292"/>
        <v>0</v>
      </c>
      <c r="Z3019" s="510">
        <f t="shared" si="2293"/>
        <v>0</v>
      </c>
      <c r="AA3019" s="511"/>
      <c r="AB3019" s="511" t="str">
        <f t="shared" si="2294"/>
        <v/>
      </c>
      <c r="AC3019" s="698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698"/>
      <c r="AE3019" s="631" t="str">
        <f t="shared" si="2295"/>
        <v/>
      </c>
      <c r="AF3019" s="699" t="str">
        <f t="shared" si="2296"/>
        <v/>
      </c>
      <c r="AG3019" s="699"/>
      <c r="AH3019" s="699"/>
      <c r="AI3019" s="512">
        <f>IF(H3019="credit",0,IF(AE3019="free",0,IF(AE3019="me",0,IF(G3019&gt;0,(VLOOKUP(A3019,'Discount Lookup'!J:K,2)*G3019),0))))</f>
        <v>0</v>
      </c>
      <c r="AJ3019" s="513" t="str">
        <f t="shared" ca="1" si="2297"/>
        <v/>
      </c>
      <c r="AK3019" s="700" t="str">
        <f t="shared" si="2298"/>
        <v/>
      </c>
      <c r="AL3019" s="700"/>
      <c r="AM3019" s="505" t="str">
        <f t="shared" si="2299"/>
        <v/>
      </c>
      <c r="AN3019" s="506"/>
      <c r="AO3019" s="507"/>
      <c r="AP3019" s="507"/>
      <c r="AQ3019" s="507"/>
      <c r="AR3019" s="507"/>
      <c r="AS3019" s="507"/>
      <c r="AT3019" s="507"/>
      <c r="AU3019" s="507"/>
      <c r="AV3019" s="225"/>
      <c r="AW3019" s="508"/>
      <c r="AX3019" s="225"/>
      <c r="AY3019" s="225"/>
      <c r="AZ3019" s="225"/>
      <c r="BA3019" s="225"/>
      <c r="BB3019" s="225"/>
      <c r="BC3019" s="56"/>
      <c r="BD3019" s="56"/>
      <c r="BE3019" s="56"/>
      <c r="BF3019" s="107" t="str">
        <f t="shared" si="2300"/>
        <v>https://www.google.com/search?tbm=isch&amp;q=Purple%20Pixie%20will%20weep%20nicely.%20Let%20it%20fall%20out%20of%20a%20pot%20or%20over%20a%20wall.%20Fringe-like%20flowers%20bloom%20periodically%20against%20Deep%20Purple%20foliage%20</v>
      </c>
      <c r="BG3019" s="107" t="str">
        <f t="shared" si="2301"/>
        <v>P</v>
      </c>
      <c r="BH3019" s="254"/>
      <c r="BI3019" s="254"/>
    </row>
    <row r="3020" spans="1:61" customFormat="1" ht="18" x14ac:dyDescent="0.25">
      <c r="A3020" s="523" t="s">
        <v>1575</v>
      </c>
      <c r="B3020" s="235"/>
      <c r="C3020" s="676"/>
      <c r="D3020" s="255" t="s">
        <v>1576</v>
      </c>
      <c r="E3020" s="236"/>
      <c r="F3020" s="236"/>
      <c r="G3020" s="236"/>
      <c r="H3020" s="582" t="s">
        <v>463</v>
      </c>
      <c r="I3020" s="498" t="s">
        <v>2234</v>
      </c>
      <c r="J3020" s="237"/>
      <c r="K3020" s="237"/>
      <c r="L3020" s="274"/>
      <c r="M3020" s="668" t="s">
        <v>4975</v>
      </c>
      <c r="N3020" s="681" t="str">
        <f>IF(AND(ISTEXT($A3020), ISERROR($A3020+0)), HYPERLINK($BF3020, "Images"), "")</f>
        <v>Images</v>
      </c>
      <c r="O3020" s="663" t="s">
        <v>4974</v>
      </c>
      <c r="P3020" s="253"/>
      <c r="Q3020" s="238"/>
      <c r="R3020" s="239"/>
      <c r="S3020" s="275" t="s">
        <v>305</v>
      </c>
      <c r="T3020" s="508">
        <f t="shared" si="2289"/>
        <v>0</v>
      </c>
      <c r="U3020" s="225" t="str">
        <f>IF(NOT(ISNUMBER(G3020)), "", VLOOKUP(A3020,'Discount Lookup'!D:E,2,FALSE)*G3020)</f>
        <v/>
      </c>
      <c r="V3020" s="225" t="str">
        <f>IF(NOT(ISNUMBER(G3020)), "", VLOOKUP(A3020,'Discount Lookup'!G:H,2,FALSE)*G3020)</f>
        <v/>
      </c>
      <c r="W3020" s="508">
        <f t="shared" si="2290"/>
        <v>0</v>
      </c>
      <c r="X3020" s="508" t="str">
        <f t="shared" si="2291"/>
        <v>Rosey-Pink bloom</v>
      </c>
      <c r="Y3020" s="509" t="b">
        <f t="shared" si="2292"/>
        <v>0</v>
      </c>
      <c r="Z3020" s="510">
        <f t="shared" si="2293"/>
        <v>0</v>
      </c>
      <c r="AA3020" s="511"/>
      <c r="AB3020" s="511" t="str">
        <f t="shared" si="2294"/>
        <v/>
      </c>
      <c r="AC3020" s="698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698"/>
      <c r="AE3020" s="631" t="str">
        <f t="shared" si="2295"/>
        <v/>
      </c>
      <c r="AF3020" s="699" t="str">
        <f t="shared" si="2296"/>
        <v/>
      </c>
      <c r="AG3020" s="699"/>
      <c r="AH3020" s="699"/>
      <c r="AI3020" s="512">
        <f>IF(H3020="credit",0,IF(AE3020="free",0,IF(AE3020="me",0,IF(G3020&gt;0,(VLOOKUP(A3020,'Discount Lookup'!J:K,2)*G3020),0))))</f>
        <v>0</v>
      </c>
      <c r="AJ3020" s="513" t="str">
        <f t="shared" ca="1" si="2297"/>
        <v/>
      </c>
      <c r="AK3020" s="700" t="str">
        <f t="shared" si="2298"/>
        <v/>
      </c>
      <c r="AL3020" s="700"/>
      <c r="AM3020" s="505" t="str">
        <f t="shared" si="2299"/>
        <v/>
      </c>
      <c r="AN3020" s="506"/>
      <c r="AO3020" s="507"/>
      <c r="AP3020" s="507"/>
      <c r="AQ3020" s="507"/>
      <c r="AR3020" s="507"/>
      <c r="AS3020" s="507"/>
      <c r="AT3020" s="507"/>
      <c r="AU3020" s="507"/>
      <c r="AV3020" s="225"/>
      <c r="AW3020" s="508"/>
      <c r="AX3020" s="225"/>
      <c r="AY3020" s="225"/>
      <c r="AZ3020" s="225"/>
      <c r="BA3020" s="225"/>
      <c r="BB3020" s="225"/>
      <c r="BC3020" s="56"/>
      <c r="BD3020" s="56"/>
      <c r="BE3020" s="56"/>
      <c r="BF3020" s="107" t="str">
        <f t="shared" si="2300"/>
        <v>https://www.google.com/search?tbm=isch&amp;q=Purple%20Rain%20Weeping%20Redbud%20Cercis%20canadensis%20%27Purple%20Rain%27</v>
      </c>
      <c r="BG3020" s="107" t="str">
        <f t="shared" si="2301"/>
        <v>P</v>
      </c>
      <c r="BH3020" s="254"/>
      <c r="BI3020" s="254"/>
    </row>
    <row r="3021" spans="1:61" customFormat="1" ht="15.75" x14ac:dyDescent="0.25">
      <c r="A3021" s="276">
        <v>7</v>
      </c>
      <c r="B3021" s="240" t="s">
        <v>291</v>
      </c>
      <c r="C3021" s="241" t="s">
        <v>3713</v>
      </c>
      <c r="D3021" s="242" t="s">
        <v>292</v>
      </c>
      <c r="E3021" s="243">
        <v>137.94999999999999</v>
      </c>
      <c r="F3021" s="517" t="s">
        <v>293</v>
      </c>
      <c r="G3021" s="232">
        <v>0</v>
      </c>
      <c r="H3021" s="661" t="str">
        <f>IF(G3021=0,"",IF(F3021="Buy",IF(G3021=1,"plant","plants"),IF(F3021&gt;0.01,"warranty","Error")))</f>
        <v/>
      </c>
      <c r="I3021" s="244">
        <f>IF(H3021="free",0,IF(H3021="credit",((E3021*(F3021))*G3021*-1),IF(F3021="Buy",(E3021*G3021),((E3021*(1-F3021))*G3021))))</f>
        <v>0</v>
      </c>
      <c r="J3021" s="244">
        <f>IF(H3021="warranty",0,(I3021*(_xlfn.SINGLE(SalesTaxPercentage))))</f>
        <v>0</v>
      </c>
      <c r="K3021" s="696">
        <f t="shared" ref="K3021" si="2333">I3021+J3021</f>
        <v>0</v>
      </c>
      <c r="L3021" s="696"/>
      <c r="M3021" s="659" t="str">
        <f>IF(AND(G3021&gt;0,E3021=0),"WARNING - no PRICE inserted",IF(H3021="free"," FREE ~ no charge this plant",IF(H3021="credit",CONCATENATE(" -$",ROUND(K3021*(1-T2GDiscount)*-1,2)," CREDIT after discount"),IF(T2GDiscount=0,"",IF(G3021=0,"",IF(F3021="Buy",CONCATENATE(" $",ROUND(K3021*(1-T2GDiscount),2)," with ",(T2GDiscount*100),"% discount"),CONCATENATE(" $",ROUND(K3021*(1-T2GDiscount),2)," with ",((T2GDiscount*100+F3021*100)-(T2GDiscount*100*F3021)),IF(F3021&gt;0,"% discounts",IF(NoWarrantyDiscount&gt;0,"% discounts","% discount")))))))))</f>
        <v/>
      </c>
      <c r="N3021" s="660"/>
      <c r="O3021" s="233"/>
      <c r="P3021" s="233"/>
      <c r="Q3021" s="233"/>
      <c r="R3021" s="233"/>
      <c r="S3021" s="233"/>
      <c r="T3021" s="508">
        <f t="shared" si="2289"/>
        <v>0</v>
      </c>
      <c r="U3021" s="225">
        <f>IF(NOT(ISNUMBER(G3021)), "", VLOOKUP(A3021,'Discount Lookup'!D:E,2,FALSE)*G3021)</f>
        <v>0</v>
      </c>
      <c r="V3021" s="225">
        <f>IF(NOT(ISNUMBER(G3021)), "", VLOOKUP(A3021,'Discount Lookup'!G:H,2,FALSE)*G3021)</f>
        <v>0</v>
      </c>
      <c r="W3021" s="508">
        <f t="shared" si="2290"/>
        <v>0</v>
      </c>
      <c r="X3021" s="508">
        <f t="shared" si="2291"/>
        <v>0</v>
      </c>
      <c r="Y3021" s="509" t="b">
        <f t="shared" si="2292"/>
        <v>0</v>
      </c>
      <c r="Z3021" s="510">
        <f t="shared" si="2293"/>
        <v>0</v>
      </c>
      <c r="AA3021" s="511"/>
      <c r="AB3021" s="511" t="str">
        <f t="shared" si="2294"/>
        <v/>
      </c>
      <c r="AC3021" s="698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698"/>
      <c r="AE3021" s="631" t="str">
        <f t="shared" si="2295"/>
        <v/>
      </c>
      <c r="AF3021" s="699" t="str">
        <f t="shared" si="2296"/>
        <v/>
      </c>
      <c r="AG3021" s="699"/>
      <c r="AH3021" s="699"/>
      <c r="AI3021" s="512">
        <f>IF(H3021="credit",0,IF(AE3021="free",0,IF(AE3021="me",0,IF(G3021&gt;0,(VLOOKUP(A3021,'Discount Lookup'!J:K,2)*G3021),0))))</f>
        <v>0</v>
      </c>
      <c r="AJ3021" s="513" t="str">
        <f t="shared" ca="1" si="2297"/>
        <v/>
      </c>
      <c r="AK3021" s="700" t="str">
        <f t="shared" si="2298"/>
        <v/>
      </c>
      <c r="AL3021" s="700"/>
      <c r="AM3021" s="505" t="str">
        <f t="shared" si="2299"/>
        <v/>
      </c>
      <c r="AN3021" s="506"/>
      <c r="AO3021" s="507"/>
      <c r="AP3021" s="507"/>
      <c r="AQ3021" s="507"/>
      <c r="AR3021" s="507"/>
      <c r="AS3021" s="507"/>
      <c r="AT3021" s="507"/>
      <c r="AU3021" s="507"/>
      <c r="AV3021" s="225"/>
      <c r="AW3021" s="508"/>
      <c r="AX3021" s="225"/>
      <c r="AY3021" s="225"/>
      <c r="AZ3021" s="225"/>
      <c r="BA3021" s="225"/>
      <c r="BB3021" s="225"/>
      <c r="BC3021" s="56"/>
      <c r="BD3021" s="56"/>
      <c r="BE3021" s="56"/>
      <c r="BF3021" s="107" t="str">
        <f t="shared" si="2300"/>
        <v>https://www.google.com/search?tbm=isch&amp;q=7%20G4</v>
      </c>
      <c r="BG3021" s="107" t="str">
        <f t="shared" si="2301"/>
        <v>P</v>
      </c>
      <c r="BH3021" s="254"/>
      <c r="BI3021" s="254"/>
    </row>
    <row r="3022" spans="1:61" customFormat="1" ht="15.75" x14ac:dyDescent="0.25">
      <c r="A3022" s="276">
        <v>10</v>
      </c>
      <c r="B3022" s="240" t="s">
        <v>291</v>
      </c>
      <c r="C3022" s="241" t="s">
        <v>3714</v>
      </c>
      <c r="D3022" s="242" t="s">
        <v>292</v>
      </c>
      <c r="E3022" s="243">
        <v>160.94999999999999</v>
      </c>
      <c r="F3022" s="517" t="s">
        <v>293</v>
      </c>
      <c r="G3022" s="232">
        <v>0</v>
      </c>
      <c r="H3022" s="661" t="str">
        <f>IF(G3022=0,"",IF(F3022="Buy",IF(G3022=1,"plant","plants"),IF(F3022&gt;0.01,"warranty","Error")))</f>
        <v/>
      </c>
      <c r="I3022" s="244">
        <f>IF(H3022="free",0,IF(H3022="credit",((E3022*(F3022))*G3022*-1),IF(F3022="Buy",(E3022*G3022),((E3022*(1-F3022))*G3022))))</f>
        <v>0</v>
      </c>
      <c r="J3022" s="244">
        <f>IF(H3022="warranty",0,(I3022*(_xlfn.SINGLE(SalesTaxPercentage))))</f>
        <v>0</v>
      </c>
      <c r="K3022" s="696">
        <f t="shared" ref="K3022" si="2334">I3022+J3022</f>
        <v>0</v>
      </c>
      <c r="L3022" s="696"/>
      <c r="M3022" s="659" t="str">
        <f>IF(AND(G3022&gt;0,E3022=0),"WARNING - no PRICE inserted",IF(H3022="free"," FREE ~ no charge this plant",IF(H3022="credit",CONCATENATE(" -$",ROUND(K3022*(1-T2GDiscount)*-1,2)," CREDIT after discount"),IF(T2GDiscount=0,"",IF(G3022=0,"",IF(F3022="Buy",CONCATENATE(" $",ROUND(K3022*(1-T2GDiscount),2)," with ",(T2GDiscount*100),"% discount"),CONCATENATE(" $",ROUND(K3022*(1-T2GDiscount),2)," with ",((T2GDiscount*100+F3022*100)-(T2GDiscount*100*F3022)),IF(F3022&gt;0,"% discounts",IF(NoWarrantyDiscount&gt;0,"% discounts","% discount")))))))))</f>
        <v/>
      </c>
      <c r="N3022" s="660"/>
      <c r="O3022" s="233"/>
      <c r="P3022" s="233"/>
      <c r="Q3022" s="233"/>
      <c r="R3022" s="233"/>
      <c r="S3022" s="233"/>
      <c r="T3022" s="508">
        <f t="shared" ref="T3022:T3085" si="2335">E3022*G3022</f>
        <v>0</v>
      </c>
      <c r="U3022" s="225">
        <f>IF(NOT(ISNUMBER(G3022)), "", VLOOKUP(A3022,'Discount Lookup'!D:E,2,FALSE)*G3022)</f>
        <v>0</v>
      </c>
      <c r="V3022" s="225">
        <f>IF(NOT(ISNUMBER(G3022)), "", VLOOKUP(A3022,'Discount Lookup'!G:H,2,FALSE)*G3022)</f>
        <v>0</v>
      </c>
      <c r="W3022" s="508">
        <f t="shared" ref="W3022:W3085" si="2336">IF(H3022="credit",0,E3022*(SalesTaxPercentage)*G3022)</f>
        <v>0</v>
      </c>
      <c r="X3022" s="508">
        <f t="shared" ref="X3022:X3085" si="2337">I3022</f>
        <v>0</v>
      </c>
      <c r="Y3022" s="509" t="b">
        <f t="shared" ref="Y3022:Y3085" si="2338">IF(AE3022="T2G",0,IF(H3022="credit",0,IF(G3022&gt;0,IF(AE3022="me","",G3022))))</f>
        <v>0</v>
      </c>
      <c r="Z3022" s="510">
        <f t="shared" ref="Z3022:Z3085" si="2339">IF(H3022="credit",G3022,0)</f>
        <v>0</v>
      </c>
      <c r="AA3022" s="511"/>
      <c r="AB3022" s="511" t="str">
        <f t="shared" ref="AB3022:AB3085" si="2340">IF(AE3022="T2G","by Trees2Go",IF(H3022="credit","CREDIT only ~",IF(AND(K3022="",AE3022=OR(PlanterYesMe="No",PlanterYesMe="N",PlanterYesMe="me")),"not THIS line⇨",IF(AND(K3022="images",AE3022="me"),"not THIS line⇨",IF(H3022="credit","",IF(G3022=0,"",IF(AE3022="me","",IF(OR(PlanterYesMe="No",PlanterYesMe="N",PlanterYesMe="me"),"",IF(AE3022="free","warranty",IF(OR(PlanterYesMe="yes",PlanterYesMe="y"),"Edison install:","to install:"))))))))))</f>
        <v/>
      </c>
      <c r="AC3022" s="698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698"/>
      <c r="AE3022" s="631" t="str">
        <f t="shared" ref="AE3022:AE3085" si="2341">IF(H3022="credit","",IF(G3022=0,"",IF(OR(PlanterYesMe="No",PlanterYesMe="N",PlanterYesMe="me"),"me",IF(H3022="warranty","free",IF(OR(PlanterYesMe="yes",PlanterYesMe="y"),"ELP","")))))</f>
        <v/>
      </c>
      <c r="AF3022" s="699" t="str">
        <f t="shared" ref="AF3022:AF3085" si="2342">IF(OR(PlanterYesMe="No",PlanterYesMe="N",PlanterYesMe="me"),"",IF(H3022="credit","",IF(G3022&gt;0,(CONCATENATE((G3022)," quantity, ",(A3022)," ",B3022)),"")))</f>
        <v/>
      </c>
      <c r="AG3022" s="699"/>
      <c r="AH3022" s="699"/>
      <c r="AI3022" s="512">
        <f>IF(H3022="credit",0,IF(AE3022="free",0,IF(AE3022="me",0,IF(G3022&gt;0,(VLOOKUP(A3022,'Discount Lookup'!J:K,2)*G3022),0))))</f>
        <v>0</v>
      </c>
      <c r="AJ3022" s="513" t="str">
        <f t="shared" ref="AJ3022:AJ3085" ca="1" si="2343">IF(AND(ISREF(H3022),H3022="credit"),"",IF(AND(AND(OFFSET(G3022,0,0)=0,OFFSET(G3022,1,0)&gt;0,ISNUMBER(OFFSET(AC3022,1,0)),OFFSET(AC3022,1,0)&gt;0),OR(PlanterYesMe="yes",PlanterYesMe="y")),"T2G+ELP=",IF(AND(OFFSET(G3022,0,0)=0,OFFSET(G3022,1,0)&gt;0,ISNUMBER(OFFSET(AC3022,1,0)),OFFSET(AC3022,1,0)&gt;0),"if T2G+ELP=",IF(AND(OFFSET(G3022,0,0)=0,OFFSET(G3022,1,0)&gt;0),"T2G Subtotal",IF(H3022="credit","",IF(G3022=0,"",IF(AE3022="free",(K3022*(1-T2GDiscount)),IF(OR(PlanterYesMe="No",PlanterYesMe="N",PlanterYesMe="me"),(K3022*(1-T2GDiscount)),IF(OR(AE3022="me",AE3022="T2G"),(K3022*(1-T2GDiscount)),(K3022*(1-T2GDiscount))+AC3022)))))))))</f>
        <v/>
      </c>
      <c r="AK3022" s="700" t="str">
        <f t="shared" ref="AK3022:AK3085" si="2344">IF(H3022="credit","",IF(G3022=0,"",IF(OR(AE3022="me",AE3022="T2G"),"  delivery-only",IF(OR(PlanterYesMe="No",PlanterYesMe="N",PlanterYesMe="me"),"  delivery-only",CONCATENATE(" $",ROUND(AJ3022/G3022,2)," each")))))</f>
        <v/>
      </c>
      <c r="AL3022" s="700"/>
      <c r="AM3022" s="505" t="str">
        <f t="shared" ref="AM3022:AM3085" si="2345">IF(H3022="credit","",IF(AE3022="free","      ~ discounts included, no tax or planting fee applies ~",IF(G3022=0,"",IF(OR(PlanterYesMe="No",PlanterYesMe="N",PlanterYesMe="me"),CONCATENATE(" $",ROUND(AJ3022/G3022,2)," per plant, with tax &amp; discount"),IF(OR(AE3022="me",AE3022="T2G"),CONCATENATE(" $",ROUND(AJ3022/G3022,2)," per plant, with tax &amp; discount"),CONCATENATE("= $",ROUND((K3022*(1-T2GDiscount))/G3022,2)," per plant + $",AC3022/G3022,(" per planting      ~ includes tax &amp; discounts ~")))))))</f>
        <v/>
      </c>
      <c r="AN3022" s="506"/>
      <c r="AO3022" s="507"/>
      <c r="AP3022" s="507"/>
      <c r="AQ3022" s="507"/>
      <c r="AR3022" s="507"/>
      <c r="AS3022" s="507"/>
      <c r="AT3022" s="507"/>
      <c r="AU3022" s="507"/>
      <c r="AV3022" s="225"/>
      <c r="AW3022" s="508"/>
      <c r="AX3022" s="225"/>
      <c r="AY3022" s="225"/>
      <c r="AZ3022" s="225"/>
      <c r="BA3022" s="225"/>
      <c r="BB3022" s="225"/>
      <c r="BC3022" s="56"/>
      <c r="BD3022" s="56"/>
      <c r="BE3022" s="56"/>
      <c r="BF3022" s="107" t="str">
        <f t="shared" ref="BF3022:BF3085" si="2346">"https://www.google.com/search?tbm=isch&amp;q=" &amp; _xlfn.ENCODEURL($A3022 &amp; " " &amp; $D3022)</f>
        <v>https://www.google.com/search?tbm=isch&amp;q=10%20G4</v>
      </c>
      <c r="BG3022" s="107" t="str">
        <f t="shared" ref="BG3022:BG3085" si="2347">IF(ISTEXT(A3022),LEFT(A3022,1),BG3021)</f>
        <v>P</v>
      </c>
      <c r="BH3022" s="254"/>
      <c r="BI3022" s="254"/>
    </row>
    <row r="3023" spans="1:61" customFormat="1" ht="17.25" thickBot="1" x14ac:dyDescent="0.3">
      <c r="A3023" s="524" t="s">
        <v>2911</v>
      </c>
      <c r="B3023" s="245"/>
      <c r="C3023" s="677"/>
      <c r="D3023" s="499"/>
      <c r="E3023" s="499"/>
      <c r="F3023" s="500"/>
      <c r="G3023" s="501"/>
      <c r="H3023" s="502"/>
      <c r="I3023" s="246"/>
      <c r="J3023" s="247"/>
      <c r="K3023" s="503"/>
      <c r="L3023" s="544"/>
      <c r="M3023" s="544"/>
      <c r="N3023" s="500"/>
      <c r="O3023" s="500"/>
      <c r="P3023" s="500"/>
      <c r="Q3023" s="500"/>
      <c r="R3023" s="500"/>
      <c r="S3023" s="669" t="s">
        <v>4996</v>
      </c>
      <c r="T3023" s="508">
        <f t="shared" si="2335"/>
        <v>0</v>
      </c>
      <c r="U3023" s="225" t="str">
        <f>IF(NOT(ISNUMBER(G3023)), "", VLOOKUP(A3023,'Discount Lookup'!D:E,2,FALSE)*G3023)</f>
        <v/>
      </c>
      <c r="V3023" s="225" t="str">
        <f>IF(NOT(ISNUMBER(G3023)), "", VLOOKUP(A3023,'Discount Lookup'!G:H,2,FALSE)*G3023)</f>
        <v/>
      </c>
      <c r="W3023" s="508">
        <f t="shared" si="2336"/>
        <v>0</v>
      </c>
      <c r="X3023" s="508">
        <f t="shared" si="2337"/>
        <v>0</v>
      </c>
      <c r="Y3023" s="509" t="b">
        <f t="shared" si="2338"/>
        <v>0</v>
      </c>
      <c r="Z3023" s="510">
        <f t="shared" si="2339"/>
        <v>0</v>
      </c>
      <c r="AA3023" s="511"/>
      <c r="AB3023" s="511" t="str">
        <f t="shared" si="2340"/>
        <v/>
      </c>
      <c r="AC3023" s="698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698"/>
      <c r="AE3023" s="631" t="str">
        <f t="shared" si="2341"/>
        <v/>
      </c>
      <c r="AF3023" s="699" t="str">
        <f t="shared" si="2342"/>
        <v/>
      </c>
      <c r="AG3023" s="699"/>
      <c r="AH3023" s="699"/>
      <c r="AI3023" s="512">
        <f>IF(H3023="credit",0,IF(AE3023="free",0,IF(AE3023="me",0,IF(G3023&gt;0,(VLOOKUP(A3023,'Discount Lookup'!J:K,2)*G3023),0))))</f>
        <v>0</v>
      </c>
      <c r="AJ3023" s="513" t="str">
        <f t="shared" ca="1" si="2343"/>
        <v/>
      </c>
      <c r="AK3023" s="700" t="str">
        <f t="shared" si="2344"/>
        <v/>
      </c>
      <c r="AL3023" s="700"/>
      <c r="AM3023" s="505" t="str">
        <f t="shared" si="2345"/>
        <v/>
      </c>
      <c r="AN3023" s="506"/>
      <c r="AO3023" s="507"/>
      <c r="AP3023" s="507"/>
      <c r="AQ3023" s="507"/>
      <c r="AR3023" s="507"/>
      <c r="AS3023" s="507"/>
      <c r="AT3023" s="507"/>
      <c r="AU3023" s="507"/>
      <c r="AV3023" s="225"/>
      <c r="AW3023" s="508"/>
      <c r="AX3023" s="225"/>
      <c r="AY3023" s="225"/>
      <c r="AZ3023" s="225"/>
      <c r="BA3023" s="225"/>
      <c r="BB3023" s="225"/>
      <c r="BC3023" s="56"/>
      <c r="BD3023" s="56"/>
      <c r="BE3023" s="56"/>
      <c r="BF3023" s="107" t="str">
        <f t="shared" si="2346"/>
        <v>https://www.google.com/search?tbm=isch&amp;q=Purple%20Rain%20has%20cascading%20blooms%20and%20dramatic%20Purple%20foliage%20that%20shifts%20from%20Dark%20Purple%20to%20Purple-Green%20to%20Bright%20Yellow%20in%20fall%20</v>
      </c>
      <c r="BG3023" s="107" t="str">
        <f t="shared" si="2347"/>
        <v>P</v>
      </c>
      <c r="BH3023" s="254"/>
      <c r="BI3023" s="254"/>
    </row>
    <row r="3024" spans="1:61" customFormat="1" ht="18" x14ac:dyDescent="0.25">
      <c r="A3024" s="523" t="s">
        <v>1587</v>
      </c>
      <c r="B3024" s="235"/>
      <c r="C3024" s="676"/>
      <c r="D3024" s="255" t="s">
        <v>1588</v>
      </c>
      <c r="E3024" s="236"/>
      <c r="F3024" s="236"/>
      <c r="G3024" s="236"/>
      <c r="H3024" s="582" t="s">
        <v>496</v>
      </c>
      <c r="I3024" s="498" t="s">
        <v>654</v>
      </c>
      <c r="J3024" s="237"/>
      <c r="K3024" s="237"/>
      <c r="L3024" s="274"/>
      <c r="M3024" s="668" t="s">
        <v>4975</v>
      </c>
      <c r="N3024" s="681" t="str">
        <f>IF(AND(ISTEXT($A3024), ISERROR($A3024+0)), HYPERLINK($BF3024, "Images"), "")</f>
        <v>Images</v>
      </c>
      <c r="O3024" s="663" t="s">
        <v>4967</v>
      </c>
      <c r="P3024" s="253"/>
      <c r="Q3024" s="238"/>
      <c r="R3024" s="239"/>
      <c r="S3024" s="275" t="s">
        <v>305</v>
      </c>
      <c r="T3024" s="508">
        <f t="shared" si="2335"/>
        <v>0</v>
      </c>
      <c r="U3024" s="225" t="str">
        <f>IF(NOT(ISNUMBER(G3024)), "", VLOOKUP(A3024,'Discount Lookup'!D:E,2,FALSE)*G3024)</f>
        <v/>
      </c>
      <c r="V3024" s="225" t="str">
        <f>IF(NOT(ISNUMBER(G3024)), "", VLOOKUP(A3024,'Discount Lookup'!G:H,2,FALSE)*G3024)</f>
        <v/>
      </c>
      <c r="W3024" s="508">
        <f t="shared" si="2336"/>
        <v>0</v>
      </c>
      <c r="X3024" s="508" t="str">
        <f t="shared" si="2337"/>
        <v>White bloom</v>
      </c>
      <c r="Y3024" s="509" t="b">
        <f t="shared" si="2338"/>
        <v>0</v>
      </c>
      <c r="Z3024" s="510">
        <f t="shared" si="2339"/>
        <v>0</v>
      </c>
      <c r="AA3024" s="511"/>
      <c r="AB3024" s="511" t="str">
        <f t="shared" si="2340"/>
        <v/>
      </c>
      <c r="AC3024" s="698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698"/>
      <c r="AE3024" s="631" t="str">
        <f t="shared" si="2341"/>
        <v/>
      </c>
      <c r="AF3024" s="699" t="str">
        <f t="shared" si="2342"/>
        <v/>
      </c>
      <c r="AG3024" s="699"/>
      <c r="AH3024" s="699"/>
      <c r="AI3024" s="512">
        <f>IF(H3024="credit",0,IF(AE3024="free",0,IF(AE3024="me",0,IF(G3024&gt;0,(VLOOKUP(A3024,'Discount Lookup'!J:K,2)*G3024),0))))</f>
        <v>0</v>
      </c>
      <c r="AJ3024" s="513" t="str">
        <f t="shared" ca="1" si="2343"/>
        <v/>
      </c>
      <c r="AK3024" s="700" t="str">
        <f t="shared" si="2344"/>
        <v/>
      </c>
      <c r="AL3024" s="700"/>
      <c r="AM3024" s="505" t="str">
        <f t="shared" si="2345"/>
        <v/>
      </c>
      <c r="AN3024" s="506"/>
      <c r="AO3024" s="507"/>
      <c r="AP3024" s="507"/>
      <c r="AQ3024" s="507"/>
      <c r="AR3024" s="507"/>
      <c r="AS3024" s="507"/>
      <c r="AT3024" s="507"/>
      <c r="AU3024" s="507"/>
      <c r="AV3024" s="225"/>
      <c r="AW3024" s="508"/>
      <c r="AX3024" s="225"/>
      <c r="AY3024" s="225"/>
      <c r="AZ3024" s="225"/>
      <c r="BA3024" s="225"/>
      <c r="BB3024" s="225"/>
      <c r="BC3024" s="56"/>
      <c r="BD3024" s="56"/>
      <c r="BE3024" s="56"/>
      <c r="BF3024" s="107" t="str">
        <f t="shared" si="2346"/>
        <v>https://www.google.com/search?tbm=isch&amp;q=Pygmy%20Fringetree%20Chionanthus%20pygmaeus</v>
      </c>
      <c r="BG3024" s="107" t="str">
        <f t="shared" si="2347"/>
        <v>P</v>
      </c>
      <c r="BH3024" s="254"/>
      <c r="BI3024" s="254"/>
    </row>
    <row r="3025" spans="1:61" customFormat="1" ht="27" x14ac:dyDescent="0.25">
      <c r="A3025" s="276">
        <v>7</v>
      </c>
      <c r="B3025" s="240" t="s">
        <v>291</v>
      </c>
      <c r="C3025" s="241" t="s">
        <v>3717</v>
      </c>
      <c r="D3025" s="242" t="s">
        <v>292</v>
      </c>
      <c r="E3025" s="243">
        <v>104.95</v>
      </c>
      <c r="F3025" s="517" t="s">
        <v>293</v>
      </c>
      <c r="G3025" s="232">
        <v>0</v>
      </c>
      <c r="H3025" s="661" t="str">
        <f>IF(G3025=0,"",IF(F3025="Buy",IF(G3025=1,"plant","plants"),IF(F3025&gt;0.01,"warranty","Error")))</f>
        <v/>
      </c>
      <c r="I3025" s="244">
        <f>IF(H3025="free",0,IF(H3025="credit",((E3025*(F3025))*G3025*-1),IF(F3025="Buy",(E3025*G3025),((E3025*(1-F3025))*G3025))))</f>
        <v>0</v>
      </c>
      <c r="J3025" s="244">
        <f>IF(H3025="warranty",0,(I3025*(_xlfn.SINGLE(SalesTaxPercentage))))</f>
        <v>0</v>
      </c>
      <c r="K3025" s="696">
        <f t="shared" ref="K3025" si="2348">I3025+J3025</f>
        <v>0</v>
      </c>
      <c r="L3025" s="696"/>
      <c r="M3025" s="659" t="str">
        <f>IF(AND(G3025&gt;0,E3025=0),"WARNING - no PRICE inserted",IF(H3025="free"," FREE ~ no charge this plant",IF(H3025="credit",CONCATENATE(" -$",ROUND(K3025*(1-T2GDiscount)*-1,2)," CREDIT after discount"),IF(T2GDiscount=0,"",IF(G3025=0,"",IF(F3025="Buy",CONCATENATE(" $",ROUND(K3025*(1-T2GDiscount),2)," with ",(T2GDiscount*100),"% discount"),CONCATENATE(" $",ROUND(K3025*(1-T2GDiscount),2)," with ",((T2GDiscount*100+F3025*100)-(T2GDiscount*100*F3025)),IF(F3025&gt;0,"% discounts",IF(NoWarrantyDiscount&gt;0,"% discounts","% discount")))))))))</f>
        <v/>
      </c>
      <c r="N3025" s="660"/>
      <c r="O3025" s="233"/>
      <c r="P3025" s="233"/>
      <c r="Q3025" s="233"/>
      <c r="R3025" s="233"/>
      <c r="S3025" s="233"/>
      <c r="T3025" s="508">
        <f t="shared" si="2335"/>
        <v>0</v>
      </c>
      <c r="U3025" s="225">
        <f>IF(NOT(ISNUMBER(G3025)), "", VLOOKUP(A3025,'Discount Lookup'!D:E,2,FALSE)*G3025)</f>
        <v>0</v>
      </c>
      <c r="V3025" s="225">
        <f>IF(NOT(ISNUMBER(G3025)), "", VLOOKUP(A3025,'Discount Lookup'!G:H,2,FALSE)*G3025)</f>
        <v>0</v>
      </c>
      <c r="W3025" s="508">
        <f t="shared" si="2336"/>
        <v>0</v>
      </c>
      <c r="X3025" s="508">
        <f t="shared" si="2337"/>
        <v>0</v>
      </c>
      <c r="Y3025" s="509" t="b">
        <f t="shared" si="2338"/>
        <v>0</v>
      </c>
      <c r="Z3025" s="510">
        <f t="shared" si="2339"/>
        <v>0</v>
      </c>
      <c r="AA3025" s="511"/>
      <c r="AB3025" s="511" t="str">
        <f t="shared" si="2340"/>
        <v/>
      </c>
      <c r="AC3025" s="698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698"/>
      <c r="AE3025" s="631" t="str">
        <f t="shared" si="2341"/>
        <v/>
      </c>
      <c r="AF3025" s="699" t="str">
        <f t="shared" si="2342"/>
        <v/>
      </c>
      <c r="AG3025" s="699"/>
      <c r="AH3025" s="699"/>
      <c r="AI3025" s="512">
        <f>IF(H3025="credit",0,IF(AE3025="free",0,IF(AE3025="me",0,IF(G3025&gt;0,(VLOOKUP(A3025,'Discount Lookup'!J:K,2)*G3025),0))))</f>
        <v>0</v>
      </c>
      <c r="AJ3025" s="513" t="str">
        <f t="shared" ca="1" si="2343"/>
        <v/>
      </c>
      <c r="AK3025" s="700" t="str">
        <f t="shared" si="2344"/>
        <v/>
      </c>
      <c r="AL3025" s="700"/>
      <c r="AM3025" s="505" t="str">
        <f t="shared" si="2345"/>
        <v/>
      </c>
      <c r="AN3025" s="506"/>
      <c r="AO3025" s="507"/>
      <c r="AP3025" s="507"/>
      <c r="AQ3025" s="507"/>
      <c r="AR3025" s="507"/>
      <c r="AS3025" s="507"/>
      <c r="AT3025" s="507"/>
      <c r="AU3025" s="507"/>
      <c r="AV3025" s="225"/>
      <c r="AW3025" s="508"/>
      <c r="AX3025" s="225"/>
      <c r="AY3025" s="225"/>
      <c r="AZ3025" s="225"/>
      <c r="BA3025" s="225"/>
      <c r="BB3025" s="225"/>
      <c r="BC3025" s="56"/>
      <c r="BD3025" s="56"/>
      <c r="BE3025" s="56"/>
      <c r="BF3025" s="107" t="str">
        <f t="shared" si="2346"/>
        <v>https://www.google.com/search?tbm=isch&amp;q=7%20G4</v>
      </c>
      <c r="BG3025" s="107" t="str">
        <f t="shared" si="2347"/>
        <v>P</v>
      </c>
      <c r="BH3025" s="254"/>
      <c r="BI3025" s="254"/>
    </row>
    <row r="3026" spans="1:61" customFormat="1" ht="27" x14ac:dyDescent="0.25">
      <c r="A3026" s="276">
        <v>15</v>
      </c>
      <c r="B3026" s="240" t="s">
        <v>291</v>
      </c>
      <c r="C3026" s="241" t="s">
        <v>3718</v>
      </c>
      <c r="D3026" s="242" t="s">
        <v>292</v>
      </c>
      <c r="E3026" s="243">
        <v>183.95</v>
      </c>
      <c r="F3026" s="517" t="s">
        <v>293</v>
      </c>
      <c r="G3026" s="232">
        <v>0</v>
      </c>
      <c r="H3026" s="661" t="str">
        <f>IF(G3026=0,"",IF(F3026="Buy",IF(G3026=1,"plant","plants"),IF(F3026&gt;0.01,"warranty","Error")))</f>
        <v/>
      </c>
      <c r="I3026" s="244">
        <f>IF(H3026="free",0,IF(H3026="credit",((E3026*(F3026))*G3026*-1),IF(F3026="Buy",(E3026*G3026),((E3026*(1-F3026))*G3026))))</f>
        <v>0</v>
      </c>
      <c r="J3026" s="244">
        <f>IF(H3026="warranty",0,(I3026*(_xlfn.SINGLE(SalesTaxPercentage))))</f>
        <v>0</v>
      </c>
      <c r="K3026" s="696">
        <f t="shared" ref="K3026" si="2349">I3026+J3026</f>
        <v>0</v>
      </c>
      <c r="L3026" s="696"/>
      <c r="M3026" s="659" t="str">
        <f>IF(AND(G3026&gt;0,E3026=0),"WARNING - no PRICE inserted",IF(H3026="free"," FREE ~ no charge this plant",IF(H3026="credit",CONCATENATE(" -$",ROUND(K3026*(1-T2GDiscount)*-1,2)," CREDIT after discount"),IF(T2GDiscount=0,"",IF(G3026=0,"",IF(F3026="Buy",CONCATENATE(" $",ROUND(K3026*(1-T2GDiscount),2)," with ",(T2GDiscount*100),"% discount"),CONCATENATE(" $",ROUND(K3026*(1-T2GDiscount),2)," with ",((T2GDiscount*100+F3026*100)-(T2GDiscount*100*F3026)),IF(F3026&gt;0,"% discounts",IF(NoWarrantyDiscount&gt;0,"% discounts","% discount")))))))))</f>
        <v/>
      </c>
      <c r="N3026" s="660"/>
      <c r="O3026" s="233"/>
      <c r="P3026" s="233"/>
      <c r="Q3026" s="233"/>
      <c r="R3026" s="233"/>
      <c r="S3026" s="233"/>
      <c r="T3026" s="508">
        <f t="shared" si="2335"/>
        <v>0</v>
      </c>
      <c r="U3026" s="225">
        <f>IF(NOT(ISNUMBER(G3026)), "", VLOOKUP(A3026,'Discount Lookup'!D:E,2,FALSE)*G3026)</f>
        <v>0</v>
      </c>
      <c r="V3026" s="225">
        <f>IF(NOT(ISNUMBER(G3026)), "", VLOOKUP(A3026,'Discount Lookup'!G:H,2,FALSE)*G3026)</f>
        <v>0</v>
      </c>
      <c r="W3026" s="508">
        <f t="shared" si="2336"/>
        <v>0</v>
      </c>
      <c r="X3026" s="508">
        <f t="shared" si="2337"/>
        <v>0</v>
      </c>
      <c r="Y3026" s="509" t="b">
        <f t="shared" si="2338"/>
        <v>0</v>
      </c>
      <c r="Z3026" s="510">
        <f t="shared" si="2339"/>
        <v>0</v>
      </c>
      <c r="AA3026" s="511"/>
      <c r="AB3026" s="511" t="str">
        <f t="shared" si="2340"/>
        <v/>
      </c>
      <c r="AC3026" s="698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698"/>
      <c r="AE3026" s="631" t="str">
        <f t="shared" si="2341"/>
        <v/>
      </c>
      <c r="AF3026" s="699" t="str">
        <f t="shared" si="2342"/>
        <v/>
      </c>
      <c r="AG3026" s="699"/>
      <c r="AH3026" s="699"/>
      <c r="AI3026" s="512">
        <f>IF(H3026="credit",0,IF(AE3026="free",0,IF(AE3026="me",0,IF(G3026&gt;0,(VLOOKUP(A3026,'Discount Lookup'!J:K,2)*G3026),0))))</f>
        <v>0</v>
      </c>
      <c r="AJ3026" s="513" t="str">
        <f t="shared" ca="1" si="2343"/>
        <v/>
      </c>
      <c r="AK3026" s="700" t="str">
        <f t="shared" si="2344"/>
        <v/>
      </c>
      <c r="AL3026" s="700"/>
      <c r="AM3026" s="505" t="str">
        <f t="shared" si="2345"/>
        <v/>
      </c>
      <c r="AN3026" s="506"/>
      <c r="AO3026" s="507"/>
      <c r="AP3026" s="507"/>
      <c r="AQ3026" s="507"/>
      <c r="AR3026" s="507"/>
      <c r="AS3026" s="507"/>
      <c r="AT3026" s="507"/>
      <c r="AU3026" s="507"/>
      <c r="AV3026" s="225"/>
      <c r="AW3026" s="508"/>
      <c r="AX3026" s="225"/>
      <c r="AY3026" s="225"/>
      <c r="AZ3026" s="225"/>
      <c r="BA3026" s="225"/>
      <c r="BB3026" s="225"/>
      <c r="BC3026" s="56"/>
      <c r="BD3026" s="56"/>
      <c r="BE3026" s="56"/>
      <c r="BF3026" s="107" t="str">
        <f t="shared" si="2346"/>
        <v>https://www.google.com/search?tbm=isch&amp;q=15%20G4</v>
      </c>
      <c r="BG3026" s="107" t="str">
        <f t="shared" si="2347"/>
        <v>P</v>
      </c>
      <c r="BH3026" s="254"/>
      <c r="BI3026" s="254"/>
    </row>
    <row r="3027" spans="1:61" customFormat="1" ht="27" x14ac:dyDescent="0.25">
      <c r="A3027" s="276">
        <v>15</v>
      </c>
      <c r="B3027" s="240" t="s">
        <v>291</v>
      </c>
      <c r="C3027" s="241" t="s">
        <v>3719</v>
      </c>
      <c r="D3027" s="242" t="s">
        <v>292</v>
      </c>
      <c r="E3027" s="243">
        <v>210.95</v>
      </c>
      <c r="F3027" s="517" t="s">
        <v>293</v>
      </c>
      <c r="G3027" s="232">
        <v>0</v>
      </c>
      <c r="H3027" s="661" t="str">
        <f>IF(G3027=0,"",IF(F3027="Buy",IF(G3027=1,"plant","plants"),IF(F3027&gt;0.01,"warranty","Error")))</f>
        <v/>
      </c>
      <c r="I3027" s="244">
        <f>IF(H3027="free",0,IF(H3027="credit",((E3027*(F3027))*G3027*-1),IF(F3027="Buy",(E3027*G3027),((E3027*(1-F3027))*G3027))))</f>
        <v>0</v>
      </c>
      <c r="J3027" s="244">
        <f>IF(H3027="warranty",0,(I3027*(_xlfn.SINGLE(SalesTaxPercentage))))</f>
        <v>0</v>
      </c>
      <c r="K3027" s="696">
        <f t="shared" ref="K3027" si="2350">I3027+J3027</f>
        <v>0</v>
      </c>
      <c r="L3027" s="696"/>
      <c r="M3027" s="659" t="str">
        <f>IF(AND(G3027&gt;0,E3027=0),"WARNING - no PRICE inserted",IF(H3027="free"," FREE ~ no charge this plant",IF(H3027="credit",CONCATENATE(" -$",ROUND(K3027*(1-T2GDiscount)*-1,2)," CREDIT after discount"),IF(T2GDiscount=0,"",IF(G3027=0,"",IF(F3027="Buy",CONCATENATE(" $",ROUND(K3027*(1-T2GDiscount),2)," with ",(T2GDiscount*100),"% discount"),CONCATENATE(" $",ROUND(K3027*(1-T2GDiscount),2)," with ",((T2GDiscount*100+F3027*100)-(T2GDiscount*100*F3027)),IF(F3027&gt;0,"% discounts",IF(NoWarrantyDiscount&gt;0,"% discounts","% discount")))))))))</f>
        <v/>
      </c>
      <c r="N3027" s="660"/>
      <c r="O3027" s="233"/>
      <c r="P3027" s="233"/>
      <c r="Q3027" s="233"/>
      <c r="R3027" s="233"/>
      <c r="S3027" s="233"/>
      <c r="T3027" s="508">
        <f t="shared" si="2335"/>
        <v>0</v>
      </c>
      <c r="U3027" s="225">
        <f>IF(NOT(ISNUMBER(G3027)), "", VLOOKUP(A3027,'Discount Lookup'!D:E,2,FALSE)*G3027)</f>
        <v>0</v>
      </c>
      <c r="V3027" s="225">
        <f>IF(NOT(ISNUMBER(G3027)), "", VLOOKUP(A3027,'Discount Lookup'!G:H,2,FALSE)*G3027)</f>
        <v>0</v>
      </c>
      <c r="W3027" s="508">
        <f t="shared" si="2336"/>
        <v>0</v>
      </c>
      <c r="X3027" s="508">
        <f t="shared" si="2337"/>
        <v>0</v>
      </c>
      <c r="Y3027" s="509" t="b">
        <f t="shared" si="2338"/>
        <v>0</v>
      </c>
      <c r="Z3027" s="510">
        <f t="shared" si="2339"/>
        <v>0</v>
      </c>
      <c r="AA3027" s="511"/>
      <c r="AB3027" s="511" t="str">
        <f t="shared" si="2340"/>
        <v/>
      </c>
      <c r="AC3027" s="698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698"/>
      <c r="AE3027" s="631" t="str">
        <f t="shared" si="2341"/>
        <v/>
      </c>
      <c r="AF3027" s="699" t="str">
        <f t="shared" si="2342"/>
        <v/>
      </c>
      <c r="AG3027" s="699"/>
      <c r="AH3027" s="699"/>
      <c r="AI3027" s="512">
        <f>IF(H3027="credit",0,IF(AE3027="free",0,IF(AE3027="me",0,IF(G3027&gt;0,(VLOOKUP(A3027,'Discount Lookup'!J:K,2)*G3027),0))))</f>
        <v>0</v>
      </c>
      <c r="AJ3027" s="513" t="str">
        <f t="shared" ca="1" si="2343"/>
        <v/>
      </c>
      <c r="AK3027" s="700" t="str">
        <f t="shared" si="2344"/>
        <v/>
      </c>
      <c r="AL3027" s="700"/>
      <c r="AM3027" s="505" t="str">
        <f t="shared" si="2345"/>
        <v/>
      </c>
      <c r="AN3027" s="506"/>
      <c r="AO3027" s="507"/>
      <c r="AP3027" s="507"/>
      <c r="AQ3027" s="507"/>
      <c r="AR3027" s="507"/>
      <c r="AS3027" s="507"/>
      <c r="AT3027" s="507"/>
      <c r="AU3027" s="507"/>
      <c r="AV3027" s="225"/>
      <c r="AW3027" s="508"/>
      <c r="AX3027" s="225"/>
      <c r="AY3027" s="225"/>
      <c r="AZ3027" s="225"/>
      <c r="BA3027" s="225"/>
      <c r="BB3027" s="225"/>
      <c r="BC3027" s="56"/>
      <c r="BD3027" s="56"/>
      <c r="BE3027" s="56"/>
      <c r="BF3027" s="107" t="str">
        <f t="shared" si="2346"/>
        <v>https://www.google.com/search?tbm=isch&amp;q=15%20G4</v>
      </c>
      <c r="BG3027" s="107" t="str">
        <f t="shared" si="2347"/>
        <v>P</v>
      </c>
      <c r="BH3027" s="254"/>
      <c r="BI3027" s="254"/>
    </row>
    <row r="3028" spans="1:61" customFormat="1" ht="15.75" x14ac:dyDescent="0.25">
      <c r="A3028" s="276">
        <v>15</v>
      </c>
      <c r="B3028" s="240" t="s">
        <v>291</v>
      </c>
      <c r="C3028" s="241" t="s">
        <v>1589</v>
      </c>
      <c r="D3028" s="242" t="s">
        <v>300</v>
      </c>
      <c r="E3028" s="243">
        <v>299.95</v>
      </c>
      <c r="F3028" s="517" t="s">
        <v>293</v>
      </c>
      <c r="G3028" s="232">
        <v>0</v>
      </c>
      <c r="H3028" s="661" t="str">
        <f>IF(G3028=0,"",IF(F3028="Buy",IF(G3028=1,"plant","plants"),IF(F3028&gt;0.01,"warranty","Error")))</f>
        <v/>
      </c>
      <c r="I3028" s="244">
        <f>IF(H3028="free",0,IF(H3028="credit",((E3028*(F3028))*G3028*-1),IF(F3028="Buy",(E3028*G3028),((E3028*(1-F3028))*G3028))))</f>
        <v>0</v>
      </c>
      <c r="J3028" s="244">
        <f>IF(H3028="warranty",0,(I3028*(_xlfn.SINGLE(SalesTaxPercentage))))</f>
        <v>0</v>
      </c>
      <c r="K3028" s="696">
        <f t="shared" ref="K3028" si="2351">I3028+J3028</f>
        <v>0</v>
      </c>
      <c r="L3028" s="696"/>
      <c r="M3028" s="659" t="str">
        <f>IF(AND(G3028&gt;0,E3028=0),"WARNING - no PRICE inserted",IF(H3028="free"," FREE ~ no charge this plant",IF(H3028="credit",CONCATENATE(" -$",ROUND(K3028*(1-T2GDiscount)*-1,2)," CREDIT after discount"),IF(T2GDiscount=0,"",IF(G3028=0,"",IF(F3028="Buy",CONCATENATE(" $",ROUND(K3028*(1-T2GDiscount),2)," with ",(T2GDiscount*100),"% discount"),CONCATENATE(" $",ROUND(K3028*(1-T2GDiscount),2)," with ",((T2GDiscount*100+F3028*100)-(T2GDiscount*100*F3028)),IF(F3028&gt;0,"% discounts",IF(NoWarrantyDiscount&gt;0,"% discounts","% discount")))))))))</f>
        <v/>
      </c>
      <c r="N3028" s="660"/>
      <c r="O3028" s="233"/>
      <c r="P3028" s="233"/>
      <c r="Q3028" s="233"/>
      <c r="R3028" s="233"/>
      <c r="S3028" s="233"/>
      <c r="T3028" s="508">
        <f t="shared" si="2335"/>
        <v>0</v>
      </c>
      <c r="U3028" s="225">
        <f>IF(NOT(ISNUMBER(G3028)), "", VLOOKUP(A3028,'Discount Lookup'!D:E,2,FALSE)*G3028)</f>
        <v>0</v>
      </c>
      <c r="V3028" s="225">
        <f>IF(NOT(ISNUMBER(G3028)), "", VLOOKUP(A3028,'Discount Lookup'!G:H,2,FALSE)*G3028)</f>
        <v>0</v>
      </c>
      <c r="W3028" s="508">
        <f t="shared" si="2336"/>
        <v>0</v>
      </c>
      <c r="X3028" s="508">
        <f t="shared" si="2337"/>
        <v>0</v>
      </c>
      <c r="Y3028" s="509" t="b">
        <f t="shared" si="2338"/>
        <v>0</v>
      </c>
      <c r="Z3028" s="510">
        <f t="shared" si="2339"/>
        <v>0</v>
      </c>
      <c r="AA3028" s="511"/>
      <c r="AB3028" s="511" t="str">
        <f t="shared" si="2340"/>
        <v/>
      </c>
      <c r="AC3028" s="698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698"/>
      <c r="AE3028" s="631" t="str">
        <f t="shared" si="2341"/>
        <v/>
      </c>
      <c r="AF3028" s="699" t="str">
        <f t="shared" si="2342"/>
        <v/>
      </c>
      <c r="AG3028" s="699"/>
      <c r="AH3028" s="699"/>
      <c r="AI3028" s="512">
        <f>IF(H3028="credit",0,IF(AE3028="free",0,IF(AE3028="me",0,IF(G3028&gt;0,(VLOOKUP(A3028,'Discount Lookup'!J:K,2)*G3028),0))))</f>
        <v>0</v>
      </c>
      <c r="AJ3028" s="513" t="str">
        <f t="shared" ca="1" si="2343"/>
        <v/>
      </c>
      <c r="AK3028" s="700" t="str">
        <f t="shared" si="2344"/>
        <v/>
      </c>
      <c r="AL3028" s="700"/>
      <c r="AM3028" s="505" t="str">
        <f t="shared" si="2345"/>
        <v/>
      </c>
      <c r="AN3028" s="506"/>
      <c r="AO3028" s="507"/>
      <c r="AP3028" s="507"/>
      <c r="AQ3028" s="507"/>
      <c r="AR3028" s="507"/>
      <c r="AS3028" s="507"/>
      <c r="AT3028" s="507"/>
      <c r="AU3028" s="507"/>
      <c r="AV3028" s="225"/>
      <c r="AW3028" s="508"/>
      <c r="AX3028" s="225"/>
      <c r="AY3028" s="225"/>
      <c r="AZ3028" s="225"/>
      <c r="BA3028" s="225"/>
      <c r="BB3028" s="225"/>
      <c r="BC3028" s="56"/>
      <c r="BD3028" s="56"/>
      <c r="BE3028" s="56"/>
      <c r="BF3028" s="107" t="str">
        <f t="shared" si="2346"/>
        <v>https://www.google.com/search?tbm=isch&amp;q=15%20G6</v>
      </c>
      <c r="BG3028" s="107" t="str">
        <f t="shared" si="2347"/>
        <v>P</v>
      </c>
      <c r="BH3028" s="254"/>
      <c r="BI3028" s="254"/>
    </row>
    <row r="3029" spans="1:61" customFormat="1" ht="16.5" x14ac:dyDescent="0.25">
      <c r="A3029" s="524" t="s">
        <v>2456</v>
      </c>
      <c r="B3029" s="245"/>
      <c r="C3029" s="677"/>
      <c r="D3029" s="499"/>
      <c r="E3029" s="499"/>
      <c r="F3029" s="500"/>
      <c r="G3029" s="501"/>
      <c r="H3029" s="502"/>
      <c r="I3029" s="246"/>
      <c r="J3029" s="247"/>
      <c r="K3029" s="503"/>
      <c r="L3029" s="544"/>
      <c r="M3029" s="544"/>
      <c r="N3029" s="500"/>
      <c r="O3029" s="500"/>
      <c r="P3029" s="500"/>
      <c r="Q3029" s="500"/>
      <c r="R3029" s="500"/>
      <c r="S3029" s="669" t="s">
        <v>4978</v>
      </c>
      <c r="T3029" s="508">
        <f t="shared" si="2335"/>
        <v>0</v>
      </c>
      <c r="U3029" s="225" t="str">
        <f>IF(NOT(ISNUMBER(G3029)), "", VLOOKUP(A3029,'Discount Lookup'!D:E,2,FALSE)*G3029)</f>
        <v/>
      </c>
      <c r="V3029" s="225" t="str">
        <f>IF(NOT(ISNUMBER(G3029)), "", VLOOKUP(A3029,'Discount Lookup'!G:H,2,FALSE)*G3029)</f>
        <v/>
      </c>
      <c r="W3029" s="508">
        <f t="shared" si="2336"/>
        <v>0</v>
      </c>
      <c r="X3029" s="508">
        <f t="shared" si="2337"/>
        <v>0</v>
      </c>
      <c r="Y3029" s="509" t="b">
        <f t="shared" si="2338"/>
        <v>0</v>
      </c>
      <c r="Z3029" s="510">
        <f t="shared" si="2339"/>
        <v>0</v>
      </c>
      <c r="AA3029" s="511"/>
      <c r="AB3029" s="511" t="str">
        <f t="shared" si="2340"/>
        <v/>
      </c>
      <c r="AC3029" s="698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698"/>
      <c r="AE3029" s="631" t="str">
        <f t="shared" si="2341"/>
        <v/>
      </c>
      <c r="AF3029" s="699" t="str">
        <f t="shared" si="2342"/>
        <v/>
      </c>
      <c r="AG3029" s="699"/>
      <c r="AH3029" s="699"/>
      <c r="AI3029" s="512">
        <f>IF(H3029="credit",0,IF(AE3029="free",0,IF(AE3029="me",0,IF(G3029&gt;0,(VLOOKUP(A3029,'Discount Lookup'!J:K,2)*G3029),0))))</f>
        <v>0</v>
      </c>
      <c r="AJ3029" s="513" t="str">
        <f t="shared" ca="1" si="2343"/>
        <v/>
      </c>
      <c r="AK3029" s="700" t="str">
        <f t="shared" si="2344"/>
        <v/>
      </c>
      <c r="AL3029" s="700"/>
      <c r="AM3029" s="505" t="str">
        <f t="shared" si="2345"/>
        <v/>
      </c>
      <c r="AN3029" s="506"/>
      <c r="AO3029" s="507"/>
      <c r="AP3029" s="507"/>
      <c r="AQ3029" s="507"/>
      <c r="AR3029" s="507"/>
      <c r="AS3029" s="507"/>
      <c r="AT3029" s="507"/>
      <c r="AU3029" s="507"/>
      <c r="AV3029" s="225"/>
      <c r="AW3029" s="508"/>
      <c r="AX3029" s="225"/>
      <c r="AY3029" s="225"/>
      <c r="AZ3029" s="225"/>
      <c r="BA3029" s="225"/>
      <c r="BB3029" s="225"/>
      <c r="BC3029" s="56"/>
      <c r="BD3029" s="56"/>
      <c r="BE3029" s="56"/>
      <c r="BF3029" s="107" t="str">
        <f t="shared" si="2346"/>
        <v>https://www.google.com/search?tbm=isch&amp;q=Pygmy%20is%20endangered%2C%20so%20plant%20if%20you%20can.%20Fragrant.%20Yellow-Green%20summer%20foliage%20follow%20by%20Golden%20tones%20in%20the%20fall%20</v>
      </c>
      <c r="BG3029" s="107" t="str">
        <f t="shared" si="2347"/>
        <v>P</v>
      </c>
      <c r="BH3029" s="254"/>
      <c r="BI3029" s="254"/>
    </row>
    <row r="3030" spans="1:61" customFormat="1" ht="45.75" thickBot="1" x14ac:dyDescent="0.35">
      <c r="A3030" s="525" t="s">
        <v>1590</v>
      </c>
      <c r="B3030" s="248"/>
      <c r="C3030" s="678" t="s">
        <v>673</v>
      </c>
      <c r="D3030" s="249"/>
      <c r="E3030" s="249"/>
      <c r="F3030" s="249"/>
      <c r="G3030" s="249"/>
      <c r="H3030" s="250"/>
      <c r="I3030" s="249"/>
      <c r="J3030" s="249"/>
      <c r="K3030" s="526" t="s">
        <v>2840</v>
      </c>
      <c r="L3030" s="279"/>
      <c r="M3030" s="251"/>
      <c r="S3030" s="504" t="s">
        <v>2841</v>
      </c>
      <c r="T3030" s="508">
        <f t="shared" si="2335"/>
        <v>0</v>
      </c>
      <c r="U3030" s="225" t="str">
        <f>IF(NOT(ISNUMBER(G3030)), "", VLOOKUP(A3030,'Discount Lookup'!D:E,2,FALSE)*G3030)</f>
        <v/>
      </c>
      <c r="V3030" s="225" t="str">
        <f>IF(NOT(ISNUMBER(G3030)), "", VLOOKUP(A3030,'Discount Lookup'!G:H,2,FALSE)*G3030)</f>
        <v/>
      </c>
      <c r="W3030" s="508">
        <f t="shared" si="2336"/>
        <v>0</v>
      </c>
      <c r="X3030" s="508">
        <f t="shared" si="2337"/>
        <v>0</v>
      </c>
      <c r="Y3030" s="509" t="b">
        <f t="shared" si="2338"/>
        <v>0</v>
      </c>
      <c r="Z3030" s="510">
        <f t="shared" si="2339"/>
        <v>0</v>
      </c>
      <c r="AA3030" s="511"/>
      <c r="AB3030" s="511" t="str">
        <f t="shared" si="2340"/>
        <v/>
      </c>
      <c r="AC3030" s="698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698"/>
      <c r="AE3030" s="631" t="str">
        <f t="shared" si="2341"/>
        <v/>
      </c>
      <c r="AF3030" s="699" t="str">
        <f t="shared" si="2342"/>
        <v/>
      </c>
      <c r="AG3030" s="699"/>
      <c r="AH3030" s="699"/>
      <c r="AI3030" s="512">
        <f>IF(H3030="credit",0,IF(AE3030="free",0,IF(AE3030="me",0,IF(G3030&gt;0,(VLOOKUP(A3030,'Discount Lookup'!J:K,2)*G3030),0))))</f>
        <v>0</v>
      </c>
      <c r="AJ3030" s="513" t="str">
        <f t="shared" ca="1" si="2343"/>
        <v/>
      </c>
      <c r="AK3030" s="700" t="str">
        <f t="shared" si="2344"/>
        <v/>
      </c>
      <c r="AL3030" s="700"/>
      <c r="AM3030" s="505" t="str">
        <f t="shared" si="2345"/>
        <v/>
      </c>
      <c r="AN3030" s="506"/>
      <c r="AO3030" s="507"/>
      <c r="AP3030" s="507"/>
      <c r="AQ3030" s="507"/>
      <c r="AR3030" s="507"/>
      <c r="AS3030" s="507"/>
      <c r="AT3030" s="507"/>
      <c r="AU3030" s="507"/>
      <c r="AV3030" s="225"/>
      <c r="AW3030" s="508"/>
      <c r="AX3030" s="225"/>
      <c r="AY3030" s="225"/>
      <c r="AZ3030" s="225"/>
      <c r="BA3030" s="225"/>
      <c r="BB3030" s="225"/>
      <c r="BC3030" s="56"/>
      <c r="BD3030" s="56"/>
      <c r="BE3030" s="56"/>
      <c r="BF3030" s="107" t="str">
        <f t="shared" si="2346"/>
        <v>https://www.google.com/search?tbm=isch&amp;q=Q%20</v>
      </c>
      <c r="BG3030" s="107" t="str">
        <f t="shared" si="2347"/>
        <v>Q</v>
      </c>
      <c r="BH3030" s="254"/>
      <c r="BI3030" s="254"/>
    </row>
    <row r="3031" spans="1:61" customFormat="1" ht="18" x14ac:dyDescent="0.25">
      <c r="A3031" s="523" t="s">
        <v>5513</v>
      </c>
      <c r="B3031" s="235"/>
      <c r="C3031" s="676"/>
      <c r="D3031" s="255" t="s">
        <v>1591</v>
      </c>
      <c r="E3031" s="236"/>
      <c r="F3031" s="236"/>
      <c r="G3031" s="236"/>
      <c r="H3031" s="582" t="s">
        <v>467</v>
      </c>
      <c r="I3031" s="498" t="s">
        <v>3113</v>
      </c>
      <c r="J3031" s="237"/>
      <c r="K3031" s="237"/>
      <c r="L3031" s="274"/>
      <c r="M3031" s="668" t="s">
        <v>4975</v>
      </c>
      <c r="N3031" s="681" t="str">
        <f>IF(AND(ISTEXT($A3031), ISERROR($A3031+0)), HYPERLINK($BF3031, "Images"), "")</f>
        <v>Images</v>
      </c>
      <c r="O3031" s="663" t="s">
        <v>4967</v>
      </c>
      <c r="P3031" s="253"/>
      <c r="Q3031" s="238"/>
      <c r="R3031" s="239"/>
      <c r="S3031" s="275"/>
      <c r="T3031" s="508">
        <f t="shared" si="2335"/>
        <v>0</v>
      </c>
      <c r="U3031" s="225" t="str">
        <f>IF(NOT(ISNUMBER(G3031)), "", VLOOKUP(A3031,'Discount Lookup'!D:E,2,FALSE)*G3031)</f>
        <v/>
      </c>
      <c r="V3031" s="225" t="str">
        <f>IF(NOT(ISNUMBER(G3031)), "", VLOOKUP(A3031,'Discount Lookup'!G:H,2,FALSE)*G3031)</f>
        <v/>
      </c>
      <c r="W3031" s="508">
        <f t="shared" si="2336"/>
        <v>0</v>
      </c>
      <c r="X3031" s="508" t="str">
        <f t="shared" si="2337"/>
        <v>White bloom ages to Pink</v>
      </c>
      <c r="Y3031" s="509" t="b">
        <f t="shared" si="2338"/>
        <v>0</v>
      </c>
      <c r="Z3031" s="510">
        <f t="shared" si="2339"/>
        <v>0</v>
      </c>
      <c r="AA3031" s="511"/>
      <c r="AB3031" s="511" t="str">
        <f t="shared" si="2340"/>
        <v/>
      </c>
      <c r="AC3031" s="698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698"/>
      <c r="AE3031" s="631" t="str">
        <f t="shared" si="2341"/>
        <v/>
      </c>
      <c r="AF3031" s="699" t="str">
        <f t="shared" si="2342"/>
        <v/>
      </c>
      <c r="AG3031" s="699"/>
      <c r="AH3031" s="699"/>
      <c r="AI3031" s="512">
        <f>IF(H3031="credit",0,IF(AE3031="free",0,IF(AE3031="me",0,IF(G3031&gt;0,(VLOOKUP(A3031,'Discount Lookup'!J:K,2)*G3031),0))))</f>
        <v>0</v>
      </c>
      <c r="AJ3031" s="513" t="str">
        <f t="shared" ca="1" si="2343"/>
        <v/>
      </c>
      <c r="AK3031" s="700" t="str">
        <f t="shared" si="2344"/>
        <v/>
      </c>
      <c r="AL3031" s="700"/>
      <c r="AM3031" s="505" t="str">
        <f t="shared" si="2345"/>
        <v/>
      </c>
      <c r="AN3031" s="506"/>
      <c r="AO3031" s="507"/>
      <c r="AP3031" s="507"/>
      <c r="AQ3031" s="507"/>
      <c r="AR3031" s="507"/>
      <c r="AS3031" s="507"/>
      <c r="AT3031" s="507"/>
      <c r="AU3031" s="507"/>
      <c r="AV3031" s="225"/>
      <c r="AW3031" s="508"/>
      <c r="AX3031" s="225"/>
      <c r="AY3031" s="225"/>
      <c r="AZ3031" s="225"/>
      <c r="BA3031" s="225"/>
      <c r="BB3031" s="225"/>
      <c r="BC3031" s="56"/>
      <c r="BD3031" s="56"/>
      <c r="BE3031" s="56"/>
      <c r="BF3031" s="107" t="str">
        <f t="shared" si="2346"/>
        <v>https://www.google.com/search?tbm=isch&amp;q=Quick%20Fire%C2%AE%20Hydrangea%20Hyd.%20paniculata%20%27Bulk%27%20PP%2316812</v>
      </c>
      <c r="BG3031" s="107" t="str">
        <f t="shared" si="2347"/>
        <v>Q</v>
      </c>
      <c r="BH3031" s="254"/>
      <c r="BI3031" s="254"/>
    </row>
    <row r="3032" spans="1:61" customFormat="1" ht="15.75" x14ac:dyDescent="0.25">
      <c r="A3032" s="276">
        <v>5</v>
      </c>
      <c r="B3032" s="240" t="s">
        <v>291</v>
      </c>
      <c r="C3032" s="241" t="s">
        <v>4018</v>
      </c>
      <c r="D3032" s="242" t="s">
        <v>300</v>
      </c>
      <c r="E3032" s="243">
        <v>64.95</v>
      </c>
      <c r="F3032" s="517" t="s">
        <v>293</v>
      </c>
      <c r="G3032" s="232">
        <v>0</v>
      </c>
      <c r="H3032" s="661" t="str">
        <f>IF(G3032=0,"",IF(F3032="Buy",IF(G3032=1,"plant","plants"),IF(F3032&gt;0.01,"warranty","Error")))</f>
        <v/>
      </c>
      <c r="I3032" s="244">
        <f>IF(H3032="free",0,IF(H3032="credit",((E3032*(F3032))*G3032*-1),IF(F3032="Buy",(E3032*G3032),((E3032*(1-F3032))*G3032))))</f>
        <v>0</v>
      </c>
      <c r="J3032" s="244">
        <f>IF(H3032="warranty",0,(I3032*(_xlfn.SINGLE(SalesTaxPercentage))))</f>
        <v>0</v>
      </c>
      <c r="K3032" s="696">
        <f t="shared" ref="K3032" si="2352">I3032+J3032</f>
        <v>0</v>
      </c>
      <c r="L3032" s="696"/>
      <c r="M3032" s="659" t="str">
        <f>IF(AND(G3032&gt;0,E3032=0),"WARNING - no PRICE inserted",IF(H3032="free"," FREE ~ no charge this plant",IF(H3032="credit",CONCATENATE(" -$",ROUND(K3032*(1-T2GDiscount)*-1,2)," CREDIT after discount"),IF(T2GDiscount=0,"",IF(G3032=0,"",IF(F3032="Buy",CONCATENATE(" $",ROUND(K3032*(1-T2GDiscount),2)," with ",(T2GDiscount*100),"% discount"),CONCATENATE(" $",ROUND(K3032*(1-T2GDiscount),2)," with ",((T2GDiscount*100+F3032*100)-(T2GDiscount*100*F3032)),IF(F3032&gt;0,"% discounts",IF(NoWarrantyDiscount&gt;0,"% discounts","% discount")))))))))</f>
        <v/>
      </c>
      <c r="N3032" s="660"/>
      <c r="O3032" s="233"/>
      <c r="P3032" s="233"/>
      <c r="Q3032" s="233"/>
      <c r="R3032" s="233"/>
      <c r="S3032" s="233"/>
      <c r="T3032" s="508">
        <f t="shared" si="2335"/>
        <v>0</v>
      </c>
      <c r="U3032" s="225">
        <f>IF(NOT(ISNUMBER(G3032)), "", VLOOKUP(A3032,'Discount Lookup'!D:E,2,FALSE)*G3032)</f>
        <v>0</v>
      </c>
      <c r="V3032" s="225">
        <f>IF(NOT(ISNUMBER(G3032)), "", VLOOKUP(A3032,'Discount Lookup'!G:H,2,FALSE)*G3032)</f>
        <v>0</v>
      </c>
      <c r="W3032" s="508">
        <f t="shared" si="2336"/>
        <v>0</v>
      </c>
      <c r="X3032" s="508">
        <f t="shared" si="2337"/>
        <v>0</v>
      </c>
      <c r="Y3032" s="509" t="b">
        <f t="shared" si="2338"/>
        <v>0</v>
      </c>
      <c r="Z3032" s="510">
        <f t="shared" si="2339"/>
        <v>0</v>
      </c>
      <c r="AA3032" s="511"/>
      <c r="AB3032" s="511" t="str">
        <f t="shared" si="2340"/>
        <v/>
      </c>
      <c r="AC3032" s="698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698"/>
      <c r="AE3032" s="631" t="str">
        <f t="shared" si="2341"/>
        <v/>
      </c>
      <c r="AF3032" s="699" t="str">
        <f t="shared" si="2342"/>
        <v/>
      </c>
      <c r="AG3032" s="699"/>
      <c r="AH3032" s="699"/>
      <c r="AI3032" s="512">
        <f>IF(H3032="credit",0,IF(AE3032="free",0,IF(AE3032="me",0,IF(G3032&gt;0,(VLOOKUP(A3032,'Discount Lookup'!J:K,2)*G3032),0))))</f>
        <v>0</v>
      </c>
      <c r="AJ3032" s="513" t="str">
        <f t="shared" ca="1" si="2343"/>
        <v/>
      </c>
      <c r="AK3032" s="700" t="str">
        <f t="shared" si="2344"/>
        <v/>
      </c>
      <c r="AL3032" s="700"/>
      <c r="AM3032" s="505" t="str">
        <f t="shared" si="2345"/>
        <v/>
      </c>
      <c r="AN3032" s="506"/>
      <c r="AO3032" s="507"/>
      <c r="AP3032" s="507"/>
      <c r="AQ3032" s="507"/>
      <c r="AR3032" s="507"/>
      <c r="AS3032" s="507"/>
      <c r="AT3032" s="507"/>
      <c r="AU3032" s="507"/>
      <c r="AV3032" s="225"/>
      <c r="AW3032" s="508"/>
      <c r="AX3032" s="225"/>
      <c r="AY3032" s="225"/>
      <c r="AZ3032" s="225"/>
      <c r="BA3032" s="225"/>
      <c r="BB3032" s="225"/>
      <c r="BC3032" s="56"/>
      <c r="BD3032" s="56"/>
      <c r="BE3032" s="56"/>
      <c r="BF3032" s="107" t="str">
        <f t="shared" si="2346"/>
        <v>https://www.google.com/search?tbm=isch&amp;q=5%20G6</v>
      </c>
      <c r="BG3032" s="107" t="str">
        <f t="shared" si="2347"/>
        <v>Q</v>
      </c>
      <c r="BH3032" s="254"/>
      <c r="BI3032" s="254"/>
    </row>
    <row r="3033" spans="1:61" customFormat="1" ht="27" x14ac:dyDescent="0.25">
      <c r="A3033" s="276">
        <v>7</v>
      </c>
      <c r="B3033" s="240" t="s">
        <v>291</v>
      </c>
      <c r="C3033" s="241" t="s">
        <v>3720</v>
      </c>
      <c r="D3033" s="242" t="s">
        <v>292</v>
      </c>
      <c r="E3033" s="243">
        <v>180.95</v>
      </c>
      <c r="F3033" s="517" t="s">
        <v>293</v>
      </c>
      <c r="G3033" s="232">
        <v>0</v>
      </c>
      <c r="H3033" s="661" t="str">
        <f>IF(G3033=0,"",IF(F3033="Buy",IF(G3033=1,"plant","plants"),IF(F3033&gt;0.01,"warranty","Error")))</f>
        <v/>
      </c>
      <c r="I3033" s="244">
        <f>IF(H3033="free",0,IF(H3033="credit",((E3033*(F3033))*G3033*-1),IF(F3033="Buy",(E3033*G3033),((E3033*(1-F3033))*G3033))))</f>
        <v>0</v>
      </c>
      <c r="J3033" s="244">
        <f>IF(H3033="warranty",0,(I3033*(_xlfn.SINGLE(SalesTaxPercentage))))</f>
        <v>0</v>
      </c>
      <c r="K3033" s="696">
        <f t="shared" ref="K3033" si="2353">I3033+J3033</f>
        <v>0</v>
      </c>
      <c r="L3033" s="696"/>
      <c r="M3033" s="659" t="str">
        <f>IF(AND(G3033&gt;0,E3033=0),"WARNING - no PRICE inserted",IF(H3033="free"," FREE ~ no charge this plant",IF(H3033="credit",CONCATENATE(" -$",ROUND(K3033*(1-T2GDiscount)*-1,2)," CREDIT after discount"),IF(T2GDiscount=0,"",IF(G3033=0,"",IF(F3033="Buy",CONCATENATE(" $",ROUND(K3033*(1-T2GDiscount),2)," with ",(T2GDiscount*100),"% discount"),CONCATENATE(" $",ROUND(K3033*(1-T2GDiscount),2)," with ",((T2GDiscount*100+F3033*100)-(T2GDiscount*100*F3033)),IF(F3033&gt;0,"% discounts",IF(NoWarrantyDiscount&gt;0,"% discounts","% discount")))))))))</f>
        <v/>
      </c>
      <c r="N3033" s="660"/>
      <c r="O3033" s="233"/>
      <c r="P3033" s="233"/>
      <c r="Q3033" s="233"/>
      <c r="R3033" s="233"/>
      <c r="S3033" s="233"/>
      <c r="T3033" s="508">
        <f t="shared" si="2335"/>
        <v>0</v>
      </c>
      <c r="U3033" s="225">
        <f>IF(NOT(ISNUMBER(G3033)), "", VLOOKUP(A3033,'Discount Lookup'!D:E,2,FALSE)*G3033)</f>
        <v>0</v>
      </c>
      <c r="V3033" s="225">
        <f>IF(NOT(ISNUMBER(G3033)), "", VLOOKUP(A3033,'Discount Lookup'!G:H,2,FALSE)*G3033)</f>
        <v>0</v>
      </c>
      <c r="W3033" s="508">
        <f t="shared" si="2336"/>
        <v>0</v>
      </c>
      <c r="X3033" s="508">
        <f t="shared" si="2337"/>
        <v>0</v>
      </c>
      <c r="Y3033" s="509" t="b">
        <f t="shared" si="2338"/>
        <v>0</v>
      </c>
      <c r="Z3033" s="510">
        <f t="shared" si="2339"/>
        <v>0</v>
      </c>
      <c r="AA3033" s="511"/>
      <c r="AB3033" s="511" t="str">
        <f t="shared" si="2340"/>
        <v/>
      </c>
      <c r="AC3033" s="698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698"/>
      <c r="AE3033" s="631" t="str">
        <f t="shared" si="2341"/>
        <v/>
      </c>
      <c r="AF3033" s="699" t="str">
        <f t="shared" si="2342"/>
        <v/>
      </c>
      <c r="AG3033" s="699"/>
      <c r="AH3033" s="699"/>
      <c r="AI3033" s="512">
        <f>IF(H3033="credit",0,IF(AE3033="free",0,IF(AE3033="me",0,IF(G3033&gt;0,(VLOOKUP(A3033,'Discount Lookup'!J:K,2)*G3033),0))))</f>
        <v>0</v>
      </c>
      <c r="AJ3033" s="513" t="str">
        <f t="shared" ca="1" si="2343"/>
        <v/>
      </c>
      <c r="AK3033" s="700" t="str">
        <f t="shared" si="2344"/>
        <v/>
      </c>
      <c r="AL3033" s="700"/>
      <c r="AM3033" s="505" t="str">
        <f t="shared" si="2345"/>
        <v/>
      </c>
      <c r="AN3033" s="506"/>
      <c r="AO3033" s="507"/>
      <c r="AP3033" s="507"/>
      <c r="AQ3033" s="507"/>
      <c r="AR3033" s="507"/>
      <c r="AS3033" s="507"/>
      <c r="AT3033" s="507"/>
      <c r="AU3033" s="507"/>
      <c r="AV3033" s="225"/>
      <c r="AW3033" s="508"/>
      <c r="AX3033" s="225"/>
      <c r="AY3033" s="225"/>
      <c r="AZ3033" s="225"/>
      <c r="BA3033" s="225"/>
      <c r="BB3033" s="225"/>
      <c r="BC3033" s="56"/>
      <c r="BD3033" s="56"/>
      <c r="BE3033" s="56"/>
      <c r="BF3033" s="107" t="str">
        <f t="shared" si="2346"/>
        <v>https://www.google.com/search?tbm=isch&amp;q=7%20G4</v>
      </c>
      <c r="BG3033" s="107" t="str">
        <f t="shared" si="2347"/>
        <v>Q</v>
      </c>
      <c r="BH3033" s="254"/>
      <c r="BI3033" s="254"/>
    </row>
    <row r="3034" spans="1:61" customFormat="1" ht="27" x14ac:dyDescent="0.25">
      <c r="A3034" s="276">
        <v>15</v>
      </c>
      <c r="B3034" s="240" t="s">
        <v>291</v>
      </c>
      <c r="C3034" s="241" t="s">
        <v>3721</v>
      </c>
      <c r="D3034" s="242" t="s">
        <v>292</v>
      </c>
      <c r="E3034" s="243">
        <v>321.95</v>
      </c>
      <c r="F3034" s="517" t="s">
        <v>293</v>
      </c>
      <c r="G3034" s="232">
        <v>0</v>
      </c>
      <c r="H3034" s="661" t="str">
        <f>IF(G3034=0,"",IF(F3034="Buy",IF(G3034=1,"plant","plants"),IF(F3034&gt;0.01,"warranty","Error")))</f>
        <v/>
      </c>
      <c r="I3034" s="244">
        <f>IF(H3034="free",0,IF(H3034="credit",((E3034*(F3034))*G3034*-1),IF(F3034="Buy",(E3034*G3034),((E3034*(1-F3034))*G3034))))</f>
        <v>0</v>
      </c>
      <c r="J3034" s="244">
        <f>IF(H3034="warranty",0,(I3034*(_xlfn.SINGLE(SalesTaxPercentage))))</f>
        <v>0</v>
      </c>
      <c r="K3034" s="696">
        <f t="shared" ref="K3034" si="2354">I3034+J3034</f>
        <v>0</v>
      </c>
      <c r="L3034" s="696"/>
      <c r="M3034" s="659" t="str">
        <f>IF(AND(G3034&gt;0,E3034=0),"WARNING - no PRICE inserted",IF(H3034="free"," FREE ~ no charge this plant",IF(H3034="credit",CONCATENATE(" -$",ROUND(K3034*(1-T2GDiscount)*-1,2)," CREDIT after discount"),IF(T2GDiscount=0,"",IF(G3034=0,"",IF(F3034="Buy",CONCATENATE(" $",ROUND(K3034*(1-T2GDiscount),2)," with ",(T2GDiscount*100),"% discount"),CONCATENATE(" $",ROUND(K3034*(1-T2GDiscount),2)," with ",((T2GDiscount*100+F3034*100)-(T2GDiscount*100*F3034)),IF(F3034&gt;0,"% discounts",IF(NoWarrantyDiscount&gt;0,"% discounts","% discount")))))))))</f>
        <v/>
      </c>
      <c r="N3034" s="660"/>
      <c r="O3034" s="233"/>
      <c r="P3034" s="233"/>
      <c r="Q3034" s="233"/>
      <c r="R3034" s="233"/>
      <c r="S3034" s="233"/>
      <c r="T3034" s="508">
        <f t="shared" si="2335"/>
        <v>0</v>
      </c>
      <c r="U3034" s="225">
        <f>IF(NOT(ISNUMBER(G3034)), "", VLOOKUP(A3034,'Discount Lookup'!D:E,2,FALSE)*G3034)</f>
        <v>0</v>
      </c>
      <c r="V3034" s="225">
        <f>IF(NOT(ISNUMBER(G3034)), "", VLOOKUP(A3034,'Discount Lookup'!G:H,2,FALSE)*G3034)</f>
        <v>0</v>
      </c>
      <c r="W3034" s="508">
        <f t="shared" si="2336"/>
        <v>0</v>
      </c>
      <c r="X3034" s="508">
        <f t="shared" si="2337"/>
        <v>0</v>
      </c>
      <c r="Y3034" s="509" t="b">
        <f t="shared" si="2338"/>
        <v>0</v>
      </c>
      <c r="Z3034" s="510">
        <f t="shared" si="2339"/>
        <v>0</v>
      </c>
      <c r="AA3034" s="511"/>
      <c r="AB3034" s="511" t="str">
        <f t="shared" si="2340"/>
        <v/>
      </c>
      <c r="AC3034" s="698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698"/>
      <c r="AE3034" s="631" t="str">
        <f t="shared" si="2341"/>
        <v/>
      </c>
      <c r="AF3034" s="699" t="str">
        <f t="shared" si="2342"/>
        <v/>
      </c>
      <c r="AG3034" s="699"/>
      <c r="AH3034" s="699"/>
      <c r="AI3034" s="512">
        <f>IF(H3034="credit",0,IF(AE3034="free",0,IF(AE3034="me",0,IF(G3034&gt;0,(VLOOKUP(A3034,'Discount Lookup'!J:K,2)*G3034),0))))</f>
        <v>0</v>
      </c>
      <c r="AJ3034" s="513" t="str">
        <f t="shared" ca="1" si="2343"/>
        <v/>
      </c>
      <c r="AK3034" s="700" t="str">
        <f t="shared" si="2344"/>
        <v/>
      </c>
      <c r="AL3034" s="700"/>
      <c r="AM3034" s="505" t="str">
        <f t="shared" si="2345"/>
        <v/>
      </c>
      <c r="AN3034" s="506"/>
      <c r="AO3034" s="507"/>
      <c r="AP3034" s="507"/>
      <c r="AQ3034" s="507"/>
      <c r="AR3034" s="507"/>
      <c r="AS3034" s="507"/>
      <c r="AT3034" s="507"/>
      <c r="AU3034" s="507"/>
      <c r="AV3034" s="225"/>
      <c r="AW3034" s="508"/>
      <c r="AX3034" s="225"/>
      <c r="AY3034" s="225"/>
      <c r="AZ3034" s="225"/>
      <c r="BA3034" s="225"/>
      <c r="BB3034" s="225"/>
      <c r="BC3034" s="56"/>
      <c r="BD3034" s="56"/>
      <c r="BE3034" s="56"/>
      <c r="BF3034" s="107" t="str">
        <f t="shared" si="2346"/>
        <v>https://www.google.com/search?tbm=isch&amp;q=15%20G4</v>
      </c>
      <c r="BG3034" s="107" t="str">
        <f t="shared" si="2347"/>
        <v>Q</v>
      </c>
      <c r="BH3034" s="254"/>
      <c r="BI3034" s="254"/>
    </row>
    <row r="3035" spans="1:61" customFormat="1" ht="15.75" x14ac:dyDescent="0.25">
      <c r="A3035" s="276">
        <v>15</v>
      </c>
      <c r="B3035" s="240" t="s">
        <v>291</v>
      </c>
      <c r="C3035" s="241" t="s">
        <v>2235</v>
      </c>
      <c r="D3035" s="242" t="s">
        <v>300</v>
      </c>
      <c r="E3035" s="243">
        <v>333.95</v>
      </c>
      <c r="F3035" s="517" t="s">
        <v>293</v>
      </c>
      <c r="G3035" s="232">
        <v>0</v>
      </c>
      <c r="H3035" s="661" t="str">
        <f>IF(G3035=0,"",IF(F3035="Buy",IF(G3035=1,"plant","plants"),IF(F3035&gt;0.01,"warranty","Error")))</f>
        <v/>
      </c>
      <c r="I3035" s="244">
        <f>IF(H3035="free",0,IF(H3035="credit",((E3035*(F3035))*G3035*-1),IF(F3035="Buy",(E3035*G3035),((E3035*(1-F3035))*G3035))))</f>
        <v>0</v>
      </c>
      <c r="J3035" s="244">
        <f>IF(H3035="warranty",0,(I3035*(_xlfn.SINGLE(SalesTaxPercentage))))</f>
        <v>0</v>
      </c>
      <c r="K3035" s="696">
        <f t="shared" ref="K3035" si="2355">I3035+J3035</f>
        <v>0</v>
      </c>
      <c r="L3035" s="696"/>
      <c r="M3035" s="659" t="str">
        <f>IF(AND(G3035&gt;0,E3035=0),"WARNING - no PRICE inserted",IF(H3035="free"," FREE ~ no charge this plant",IF(H3035="credit",CONCATENATE(" -$",ROUND(K3035*(1-T2GDiscount)*-1,2)," CREDIT after discount"),IF(T2GDiscount=0,"",IF(G3035=0,"",IF(F3035="Buy",CONCATENATE(" $",ROUND(K3035*(1-T2GDiscount),2)," with ",(T2GDiscount*100),"% discount"),CONCATENATE(" $",ROUND(K3035*(1-T2GDiscount),2)," with ",((T2GDiscount*100+F3035*100)-(T2GDiscount*100*F3035)),IF(F3035&gt;0,"% discounts",IF(NoWarrantyDiscount&gt;0,"% discounts","% discount")))))))))</f>
        <v/>
      </c>
      <c r="N3035" s="660"/>
      <c r="O3035" s="233"/>
      <c r="P3035" s="233"/>
      <c r="Q3035" s="233"/>
      <c r="R3035" s="233"/>
      <c r="S3035" s="233"/>
      <c r="T3035" s="508">
        <f t="shared" si="2335"/>
        <v>0</v>
      </c>
      <c r="U3035" s="225">
        <f>IF(NOT(ISNUMBER(G3035)), "", VLOOKUP(A3035,'Discount Lookup'!D:E,2,FALSE)*G3035)</f>
        <v>0</v>
      </c>
      <c r="V3035" s="225">
        <f>IF(NOT(ISNUMBER(G3035)), "", VLOOKUP(A3035,'Discount Lookup'!G:H,2,FALSE)*G3035)</f>
        <v>0</v>
      </c>
      <c r="W3035" s="508">
        <f t="shared" si="2336"/>
        <v>0</v>
      </c>
      <c r="X3035" s="508">
        <f t="shared" si="2337"/>
        <v>0</v>
      </c>
      <c r="Y3035" s="509" t="b">
        <f t="shared" si="2338"/>
        <v>0</v>
      </c>
      <c r="Z3035" s="510">
        <f t="shared" si="2339"/>
        <v>0</v>
      </c>
      <c r="AA3035" s="511"/>
      <c r="AB3035" s="511" t="str">
        <f t="shared" si="2340"/>
        <v/>
      </c>
      <c r="AC3035" s="698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698"/>
      <c r="AE3035" s="631" t="str">
        <f t="shared" si="2341"/>
        <v/>
      </c>
      <c r="AF3035" s="699" t="str">
        <f t="shared" si="2342"/>
        <v/>
      </c>
      <c r="AG3035" s="699"/>
      <c r="AH3035" s="699"/>
      <c r="AI3035" s="512">
        <f>IF(H3035="credit",0,IF(AE3035="free",0,IF(AE3035="me",0,IF(G3035&gt;0,(VLOOKUP(A3035,'Discount Lookup'!J:K,2)*G3035),0))))</f>
        <v>0</v>
      </c>
      <c r="AJ3035" s="513" t="str">
        <f t="shared" ca="1" si="2343"/>
        <v/>
      </c>
      <c r="AK3035" s="700" t="str">
        <f t="shared" si="2344"/>
        <v/>
      </c>
      <c r="AL3035" s="700"/>
      <c r="AM3035" s="505" t="str">
        <f t="shared" si="2345"/>
        <v/>
      </c>
      <c r="AN3035" s="506"/>
      <c r="AO3035" s="507"/>
      <c r="AP3035" s="507"/>
      <c r="AQ3035" s="507"/>
      <c r="AR3035" s="507"/>
      <c r="AS3035" s="507"/>
      <c r="AT3035" s="507"/>
      <c r="AU3035" s="507"/>
      <c r="AV3035" s="225"/>
      <c r="AW3035" s="508"/>
      <c r="AX3035" s="225"/>
      <c r="AY3035" s="225"/>
      <c r="AZ3035" s="225"/>
      <c r="BA3035" s="225"/>
      <c r="BB3035" s="225"/>
      <c r="BC3035" s="56"/>
      <c r="BD3035" s="56"/>
      <c r="BE3035" s="56"/>
      <c r="BF3035" s="107" t="str">
        <f t="shared" si="2346"/>
        <v>https://www.google.com/search?tbm=isch&amp;q=15%20G6</v>
      </c>
      <c r="BG3035" s="107" t="str">
        <f t="shared" si="2347"/>
        <v>Q</v>
      </c>
      <c r="BH3035" s="254"/>
      <c r="BI3035" s="254"/>
    </row>
    <row r="3036" spans="1:61" customFormat="1" ht="17.25" thickBot="1" x14ac:dyDescent="0.3">
      <c r="A3036" s="524" t="s">
        <v>4155</v>
      </c>
      <c r="B3036" s="245"/>
      <c r="C3036" s="677"/>
      <c r="D3036" s="499"/>
      <c r="E3036" s="499"/>
      <c r="F3036" s="500"/>
      <c r="G3036" s="501"/>
      <c r="H3036" s="502"/>
      <c r="I3036" s="246"/>
      <c r="J3036" s="247"/>
      <c r="K3036" s="503"/>
      <c r="L3036" s="544"/>
      <c r="M3036" s="544"/>
      <c r="N3036" s="500"/>
      <c r="O3036" s="500"/>
      <c r="P3036" s="500"/>
      <c r="Q3036" s="500"/>
      <c r="R3036" s="500"/>
      <c r="S3036" s="278"/>
      <c r="T3036" s="508">
        <f t="shared" si="2335"/>
        <v>0</v>
      </c>
      <c r="U3036" s="225" t="str">
        <f>IF(NOT(ISNUMBER(G3036)), "", VLOOKUP(A3036,'Discount Lookup'!D:E,2,FALSE)*G3036)</f>
        <v/>
      </c>
      <c r="V3036" s="225" t="str">
        <f>IF(NOT(ISNUMBER(G3036)), "", VLOOKUP(A3036,'Discount Lookup'!G:H,2,FALSE)*G3036)</f>
        <v/>
      </c>
      <c r="W3036" s="508">
        <f t="shared" si="2336"/>
        <v>0</v>
      </c>
      <c r="X3036" s="508">
        <f t="shared" si="2337"/>
        <v>0</v>
      </c>
      <c r="Y3036" s="509" t="b">
        <f t="shared" si="2338"/>
        <v>0</v>
      </c>
      <c r="Z3036" s="510">
        <f t="shared" si="2339"/>
        <v>0</v>
      </c>
      <c r="AA3036" s="511"/>
      <c r="AB3036" s="511" t="str">
        <f t="shared" si="2340"/>
        <v/>
      </c>
      <c r="AC3036" s="698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698"/>
      <c r="AE3036" s="631" t="str">
        <f t="shared" si="2341"/>
        <v/>
      </c>
      <c r="AF3036" s="699" t="str">
        <f t="shared" si="2342"/>
        <v/>
      </c>
      <c r="AG3036" s="699"/>
      <c r="AH3036" s="699"/>
      <c r="AI3036" s="512">
        <f>IF(H3036="credit",0,IF(AE3036="free",0,IF(AE3036="me",0,IF(G3036&gt;0,(VLOOKUP(A3036,'Discount Lookup'!J:K,2)*G3036),0))))</f>
        <v>0</v>
      </c>
      <c r="AJ3036" s="513" t="str">
        <f t="shared" ca="1" si="2343"/>
        <v/>
      </c>
      <c r="AK3036" s="700" t="str">
        <f t="shared" si="2344"/>
        <v/>
      </c>
      <c r="AL3036" s="700"/>
      <c r="AM3036" s="505" t="str">
        <f t="shared" si="2345"/>
        <v/>
      </c>
      <c r="AN3036" s="506"/>
      <c r="AO3036" s="507"/>
      <c r="AP3036" s="507"/>
      <c r="AQ3036" s="507"/>
      <c r="AR3036" s="507"/>
      <c r="AS3036" s="507"/>
      <c r="AT3036" s="507"/>
      <c r="AU3036" s="507"/>
      <c r="AV3036" s="225"/>
      <c r="AW3036" s="508"/>
      <c r="AX3036" s="225"/>
      <c r="AY3036" s="225"/>
      <c r="AZ3036" s="225"/>
      <c r="BA3036" s="225"/>
      <c r="BB3036" s="225"/>
      <c r="BC3036" s="56"/>
      <c r="BD3036" s="56"/>
      <c r="BE3036" s="56"/>
      <c r="BF3036" s="107" t="str">
        <f t="shared" si="2346"/>
        <v>https://www.google.com/search?tbm=isch&amp;q=Quick%20Fire%20has%20Green%20foliage.%20All%20%22Hardy%22%20Hydrangea%20have%20cone-shaped%20flowers%20on%20new%20wood.%20Flowers%20change%20color%20with%20age.%20Extremely%20cold-hardy%20</v>
      </c>
      <c r="BG3036" s="107" t="str">
        <f t="shared" si="2347"/>
        <v>Q</v>
      </c>
      <c r="BH3036" s="254"/>
      <c r="BI3036" s="254"/>
    </row>
    <row r="3037" spans="1:61" customFormat="1" ht="18" x14ac:dyDescent="0.25">
      <c r="A3037" s="521" t="s">
        <v>1592</v>
      </c>
      <c r="B3037" s="477"/>
      <c r="C3037" s="674"/>
      <c r="D3037" s="478" t="s">
        <v>1593</v>
      </c>
      <c r="E3037" s="479"/>
      <c r="F3037" s="479"/>
      <c r="G3037" s="479"/>
      <c r="H3037" s="582" t="s">
        <v>1368</v>
      </c>
      <c r="I3037" s="480" t="s">
        <v>2107</v>
      </c>
      <c r="J3037" s="479"/>
      <c r="K3037" s="479"/>
      <c r="L3037" s="560"/>
      <c r="M3037" s="666" t="s">
        <v>4963</v>
      </c>
      <c r="N3037" s="680" t="str">
        <f>IF(AND(ISTEXT($A3037), ISERROR($A3037+0)), HYPERLINK($BF3037, "Images"), "")</f>
        <v>Images</v>
      </c>
      <c r="O3037" s="662" t="s">
        <v>4967</v>
      </c>
      <c r="P3037" s="482"/>
      <c r="Q3037" s="483"/>
      <c r="R3037" s="483"/>
      <c r="S3037" s="484"/>
      <c r="T3037" s="508">
        <f t="shared" si="2335"/>
        <v>0</v>
      </c>
      <c r="U3037" s="225" t="str">
        <f>IF(NOT(ISNUMBER(G3037)), "", VLOOKUP(A3037,'Discount Lookup'!D:E,2,FALSE)*G3037)</f>
        <v/>
      </c>
      <c r="V3037" s="225" t="str">
        <f>IF(NOT(ISNUMBER(G3037)), "", VLOOKUP(A3037,'Discount Lookup'!G:H,2,FALSE)*G3037)</f>
        <v/>
      </c>
      <c r="W3037" s="508">
        <f t="shared" si="2336"/>
        <v>0</v>
      </c>
      <c r="X3037" s="508" t="str">
        <f t="shared" si="2337"/>
        <v>Silvery Blue foliage</v>
      </c>
      <c r="Y3037" s="509" t="b">
        <f t="shared" si="2338"/>
        <v>0</v>
      </c>
      <c r="Z3037" s="510">
        <f t="shared" si="2339"/>
        <v>0</v>
      </c>
      <c r="AA3037" s="511"/>
      <c r="AB3037" s="511" t="str">
        <f t="shared" si="2340"/>
        <v/>
      </c>
      <c r="AC3037" s="698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698"/>
      <c r="AE3037" s="631" t="str">
        <f t="shared" si="2341"/>
        <v/>
      </c>
      <c r="AF3037" s="699" t="str">
        <f t="shared" si="2342"/>
        <v/>
      </c>
      <c r="AG3037" s="699"/>
      <c r="AH3037" s="699"/>
      <c r="AI3037" s="512">
        <f>IF(H3037="credit",0,IF(AE3037="free",0,IF(AE3037="me",0,IF(G3037&gt;0,(VLOOKUP(A3037,'Discount Lookup'!J:K,2)*G3037),0))))</f>
        <v>0</v>
      </c>
      <c r="AJ3037" s="513" t="str">
        <f t="shared" ca="1" si="2343"/>
        <v/>
      </c>
      <c r="AK3037" s="700" t="str">
        <f t="shared" si="2344"/>
        <v/>
      </c>
      <c r="AL3037" s="700"/>
      <c r="AM3037" s="505" t="str">
        <f t="shared" si="2345"/>
        <v/>
      </c>
      <c r="AN3037" s="506"/>
      <c r="AO3037" s="507"/>
      <c r="AP3037" s="507"/>
      <c r="AQ3037" s="507"/>
      <c r="AR3037" s="507"/>
      <c r="AS3037" s="507"/>
      <c r="AT3037" s="507"/>
      <c r="AU3037" s="507"/>
      <c r="AV3037" s="225"/>
      <c r="AW3037" s="508"/>
      <c r="AX3037" s="225"/>
      <c r="AY3037" s="225"/>
      <c r="AZ3037" s="225"/>
      <c r="BA3037" s="225"/>
      <c r="BB3037" s="225"/>
      <c r="BC3037" s="56"/>
      <c r="BD3037" s="56"/>
      <c r="BE3037" s="56"/>
      <c r="BF3037" s="107" t="str">
        <f t="shared" si="2346"/>
        <v>https://www.google.com/search?tbm=isch&amp;q=Quick%20Frost%20Arizona%20Cypress%20Hesperocyparis%20arizonica%20%27Quick%20Frost%27</v>
      </c>
      <c r="BG3037" s="107" t="str">
        <f t="shared" si="2347"/>
        <v>Q</v>
      </c>
      <c r="BH3037" s="254"/>
      <c r="BI3037" s="254"/>
    </row>
    <row r="3038" spans="1:61" customFormat="1" ht="15.75" x14ac:dyDescent="0.25">
      <c r="A3038" s="485">
        <v>7</v>
      </c>
      <c r="B3038" s="486" t="s">
        <v>291</v>
      </c>
      <c r="C3038" s="487" t="s">
        <v>3722</v>
      </c>
      <c r="D3038" s="488" t="s">
        <v>292</v>
      </c>
      <c r="E3038" s="489">
        <v>100.95</v>
      </c>
      <c r="F3038" s="516" t="s">
        <v>293</v>
      </c>
      <c r="G3038" s="232">
        <v>0</v>
      </c>
      <c r="H3038" s="658" t="str">
        <f>IF(G3038=0,"",IF(F3038="Buy",IF(G3038=1,"plant","plants"),IF(F3038&gt;0.01,"warranty","Error")))</f>
        <v/>
      </c>
      <c r="I3038" s="490">
        <f>IF(H3038="free",0,IF(H3038="credit",((E3038*(F3038))*G3038*-1),IF(F3038="Buy",(E3038*G3038),((E3038*(1-F3038))*G3038))))</f>
        <v>0</v>
      </c>
      <c r="J3038" s="490">
        <f>IF(H3038="warranty",0,(I3038*(_xlfn.SINGLE(SalesTaxPercentage))))</f>
        <v>0</v>
      </c>
      <c r="K3038" s="695">
        <f t="shared" ref="K3038" si="2356">I3038+J3038</f>
        <v>0</v>
      </c>
      <c r="L3038" s="695"/>
      <c r="M3038" s="659" t="str">
        <f>IF(AND(G3038&gt;0,E3038=0),"WARNING - no PRICE inserted",IF(H3038="free"," FREE ~ no charge this plant",IF(H3038="credit",CONCATENATE(" -$",ROUND(K3038*(1-T2GDiscount)*-1,2)," CREDIT after discount"),IF(T2GDiscount=0,"",IF(G3038=0,"",IF(F3038="Buy",CONCATENATE(" $",ROUND(K3038*(1-T2GDiscount),2)," with ",(T2GDiscount*100),"% discount"),CONCATENATE(" $",ROUND(K3038*(1-T2GDiscount),2)," with ",((T2GDiscount*100+F3038*100)-(T2GDiscount*100*F3038)),IF(F3038&gt;0,"% discounts",IF(NoWarrantyDiscount&gt;0,"% discounts","% discount")))))))))</f>
        <v/>
      </c>
      <c r="N3038" s="660"/>
      <c r="O3038" s="233"/>
      <c r="P3038" s="233"/>
      <c r="Q3038" s="233"/>
      <c r="R3038" s="233"/>
      <c r="S3038" s="233"/>
      <c r="T3038" s="508">
        <f t="shared" si="2335"/>
        <v>0</v>
      </c>
      <c r="U3038" s="225">
        <f>IF(NOT(ISNUMBER(G3038)), "", VLOOKUP(A3038,'Discount Lookup'!D:E,2,FALSE)*G3038)</f>
        <v>0</v>
      </c>
      <c r="V3038" s="225">
        <f>IF(NOT(ISNUMBER(G3038)), "", VLOOKUP(A3038,'Discount Lookup'!G:H,2,FALSE)*G3038)</f>
        <v>0</v>
      </c>
      <c r="W3038" s="508">
        <f t="shared" si="2336"/>
        <v>0</v>
      </c>
      <c r="X3038" s="508">
        <f t="shared" si="2337"/>
        <v>0</v>
      </c>
      <c r="Y3038" s="509" t="b">
        <f t="shared" si="2338"/>
        <v>0</v>
      </c>
      <c r="Z3038" s="510">
        <f t="shared" si="2339"/>
        <v>0</v>
      </c>
      <c r="AA3038" s="511"/>
      <c r="AB3038" s="511" t="str">
        <f t="shared" si="2340"/>
        <v/>
      </c>
      <c r="AC3038" s="698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698"/>
      <c r="AE3038" s="631" t="str">
        <f t="shared" si="2341"/>
        <v/>
      </c>
      <c r="AF3038" s="699" t="str">
        <f t="shared" si="2342"/>
        <v/>
      </c>
      <c r="AG3038" s="699"/>
      <c r="AH3038" s="699"/>
      <c r="AI3038" s="512">
        <f>IF(H3038="credit",0,IF(AE3038="free",0,IF(AE3038="me",0,IF(G3038&gt;0,(VLOOKUP(A3038,'Discount Lookup'!J:K,2)*G3038),0))))</f>
        <v>0</v>
      </c>
      <c r="AJ3038" s="513" t="str">
        <f t="shared" ca="1" si="2343"/>
        <v/>
      </c>
      <c r="AK3038" s="700" t="str">
        <f t="shared" si="2344"/>
        <v/>
      </c>
      <c r="AL3038" s="700"/>
      <c r="AM3038" s="505" t="str">
        <f t="shared" si="2345"/>
        <v/>
      </c>
      <c r="AN3038" s="506"/>
      <c r="AO3038" s="507"/>
      <c r="AP3038" s="507"/>
      <c r="AQ3038" s="507"/>
      <c r="AR3038" s="507"/>
      <c r="AS3038" s="507"/>
      <c r="AT3038" s="507"/>
      <c r="AU3038" s="507"/>
      <c r="AV3038" s="225"/>
      <c r="AW3038" s="508"/>
      <c r="AX3038" s="225"/>
      <c r="AY3038" s="225"/>
      <c r="AZ3038" s="225"/>
      <c r="BA3038" s="225"/>
      <c r="BB3038" s="225"/>
      <c r="BC3038" s="56"/>
      <c r="BD3038" s="56"/>
      <c r="BE3038" s="56"/>
      <c r="BF3038" s="107" t="str">
        <f t="shared" si="2346"/>
        <v>https://www.google.com/search?tbm=isch&amp;q=7%20G4</v>
      </c>
      <c r="BG3038" s="107" t="str">
        <f t="shared" si="2347"/>
        <v>Q</v>
      </c>
      <c r="BH3038" s="254"/>
      <c r="BI3038" s="254"/>
    </row>
    <row r="3039" spans="1:61" customFormat="1" ht="16.5" x14ac:dyDescent="0.25">
      <c r="A3039" s="522" t="s">
        <v>2457</v>
      </c>
      <c r="B3039" s="491"/>
      <c r="C3039" s="675"/>
      <c r="D3039" s="491"/>
      <c r="E3039" s="491"/>
      <c r="F3039" s="492"/>
      <c r="G3039" s="493"/>
      <c r="H3039" s="491"/>
      <c r="I3039" s="234"/>
      <c r="J3039" s="234"/>
      <c r="K3039" s="494"/>
      <c r="L3039" s="543"/>
      <c r="M3039" s="561"/>
      <c r="N3039" s="495"/>
      <c r="O3039" s="496"/>
      <c r="P3039" s="497"/>
      <c r="Q3039" s="495"/>
      <c r="R3039" s="495"/>
      <c r="S3039" s="667" t="s">
        <v>4984</v>
      </c>
      <c r="T3039" s="508">
        <f t="shared" si="2335"/>
        <v>0</v>
      </c>
      <c r="U3039" s="225" t="str">
        <f>IF(NOT(ISNUMBER(G3039)), "", VLOOKUP(A3039,'Discount Lookup'!D:E,2,FALSE)*G3039)</f>
        <v/>
      </c>
      <c r="V3039" s="225" t="str">
        <f>IF(NOT(ISNUMBER(G3039)), "", VLOOKUP(A3039,'Discount Lookup'!G:H,2,FALSE)*G3039)</f>
        <v/>
      </c>
      <c r="W3039" s="508">
        <f t="shared" si="2336"/>
        <v>0</v>
      </c>
      <c r="X3039" s="508">
        <f t="shared" si="2337"/>
        <v>0</v>
      </c>
      <c r="Y3039" s="509" t="b">
        <f t="shared" si="2338"/>
        <v>0</v>
      </c>
      <c r="Z3039" s="510">
        <f t="shared" si="2339"/>
        <v>0</v>
      </c>
      <c r="AA3039" s="511"/>
      <c r="AB3039" s="511" t="str">
        <f t="shared" si="2340"/>
        <v/>
      </c>
      <c r="AC3039" s="698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698"/>
      <c r="AE3039" s="631" t="str">
        <f t="shared" si="2341"/>
        <v/>
      </c>
      <c r="AF3039" s="699" t="str">
        <f t="shared" si="2342"/>
        <v/>
      </c>
      <c r="AG3039" s="699"/>
      <c r="AH3039" s="699"/>
      <c r="AI3039" s="512">
        <f>IF(H3039="credit",0,IF(AE3039="free",0,IF(AE3039="me",0,IF(G3039&gt;0,(VLOOKUP(A3039,'Discount Lookup'!J:K,2)*G3039),0))))</f>
        <v>0</v>
      </c>
      <c r="AJ3039" s="513" t="str">
        <f t="shared" ca="1" si="2343"/>
        <v/>
      </c>
      <c r="AK3039" s="700" t="str">
        <f t="shared" si="2344"/>
        <v/>
      </c>
      <c r="AL3039" s="700"/>
      <c r="AM3039" s="505" t="str">
        <f t="shared" si="2345"/>
        <v/>
      </c>
      <c r="AN3039" s="506"/>
      <c r="AO3039" s="507"/>
      <c r="AP3039" s="507"/>
      <c r="AQ3039" s="507"/>
      <c r="AR3039" s="507"/>
      <c r="AS3039" s="507"/>
      <c r="AT3039" s="507"/>
      <c r="AU3039" s="507"/>
      <c r="AV3039" s="225"/>
      <c r="AW3039" s="508"/>
      <c r="AX3039" s="225"/>
      <c r="AY3039" s="225"/>
      <c r="AZ3039" s="225"/>
      <c r="BA3039" s="225"/>
      <c r="BB3039" s="225"/>
      <c r="BC3039" s="56"/>
      <c r="BD3039" s="56"/>
      <c r="BE3039" s="56"/>
      <c r="BF3039" s="107" t="str">
        <f t="shared" si="2346"/>
        <v>https://www.google.com/search?tbm=isch&amp;q=Quick%20Frost%20grows%20fast%2C%20is%20good%20for%20dry%20sites%2C%20and%20it%27s%20foliage%20is%20fragrant%20when%20crushed%20</v>
      </c>
      <c r="BG3039" s="107" t="str">
        <f t="shared" si="2347"/>
        <v>Q</v>
      </c>
      <c r="BH3039" s="254"/>
      <c r="BI3039" s="254"/>
    </row>
    <row r="3040" spans="1:61" customFormat="1" ht="45.75" thickBot="1" x14ac:dyDescent="0.35">
      <c r="A3040" s="525" t="s">
        <v>1594</v>
      </c>
      <c r="B3040" s="248"/>
      <c r="C3040" s="678" t="s">
        <v>673</v>
      </c>
      <c r="D3040" s="249"/>
      <c r="E3040" s="249"/>
      <c r="F3040" s="249"/>
      <c r="G3040" s="249"/>
      <c r="H3040" s="250"/>
      <c r="I3040" s="249"/>
      <c r="J3040" s="249"/>
      <c r="K3040" s="526" t="s">
        <v>2840</v>
      </c>
      <c r="L3040" s="279"/>
      <c r="M3040" s="251"/>
      <c r="S3040" s="504" t="s">
        <v>2841</v>
      </c>
      <c r="T3040" s="508">
        <f t="shared" si="2335"/>
        <v>0</v>
      </c>
      <c r="U3040" s="225" t="str">
        <f>IF(NOT(ISNUMBER(G3040)), "", VLOOKUP(A3040,'Discount Lookup'!D:E,2,FALSE)*G3040)</f>
        <v/>
      </c>
      <c r="V3040" s="225" t="str">
        <f>IF(NOT(ISNUMBER(G3040)), "", VLOOKUP(A3040,'Discount Lookup'!G:H,2,FALSE)*G3040)</f>
        <v/>
      </c>
      <c r="W3040" s="508">
        <f t="shared" si="2336"/>
        <v>0</v>
      </c>
      <c r="X3040" s="508">
        <f t="shared" si="2337"/>
        <v>0</v>
      </c>
      <c r="Y3040" s="509" t="b">
        <f t="shared" si="2338"/>
        <v>0</v>
      </c>
      <c r="Z3040" s="510">
        <f t="shared" si="2339"/>
        <v>0</v>
      </c>
      <c r="AA3040" s="511"/>
      <c r="AB3040" s="511" t="str">
        <f t="shared" si="2340"/>
        <v/>
      </c>
      <c r="AC3040" s="698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698"/>
      <c r="AE3040" s="631" t="str">
        <f t="shared" si="2341"/>
        <v/>
      </c>
      <c r="AF3040" s="699" t="str">
        <f t="shared" si="2342"/>
        <v/>
      </c>
      <c r="AG3040" s="699"/>
      <c r="AH3040" s="699"/>
      <c r="AI3040" s="512">
        <f>IF(H3040="credit",0,IF(AE3040="free",0,IF(AE3040="me",0,IF(G3040&gt;0,(VLOOKUP(A3040,'Discount Lookup'!J:K,2)*G3040),0))))</f>
        <v>0</v>
      </c>
      <c r="AJ3040" s="513" t="str">
        <f t="shared" ca="1" si="2343"/>
        <v/>
      </c>
      <c r="AK3040" s="700" t="str">
        <f t="shared" si="2344"/>
        <v/>
      </c>
      <c r="AL3040" s="700"/>
      <c r="AM3040" s="505" t="str">
        <f t="shared" si="2345"/>
        <v/>
      </c>
      <c r="AN3040" s="506"/>
      <c r="AO3040" s="507"/>
      <c r="AP3040" s="507"/>
      <c r="AQ3040" s="507"/>
      <c r="AR3040" s="507"/>
      <c r="AS3040" s="507"/>
      <c r="AT3040" s="507"/>
      <c r="AU3040" s="507"/>
      <c r="AV3040" s="225"/>
      <c r="AW3040" s="508"/>
      <c r="AX3040" s="225"/>
      <c r="AY3040" s="225"/>
      <c r="AZ3040" s="225"/>
      <c r="BA3040" s="225"/>
      <c r="BB3040" s="225"/>
      <c r="BC3040" s="56"/>
      <c r="BD3040" s="56"/>
      <c r="BE3040" s="56"/>
      <c r="BF3040" s="107" t="str">
        <f t="shared" si="2346"/>
        <v>https://www.google.com/search?tbm=isch&amp;q=R%20</v>
      </c>
      <c r="BG3040" s="107" t="str">
        <f t="shared" si="2347"/>
        <v>R</v>
      </c>
      <c r="BH3040" s="254"/>
      <c r="BI3040" s="254"/>
    </row>
    <row r="3041" spans="1:61" customFormat="1" ht="18" x14ac:dyDescent="0.25">
      <c r="A3041" s="521" t="s">
        <v>1595</v>
      </c>
      <c r="B3041" s="477"/>
      <c r="C3041" s="674"/>
      <c r="D3041" s="478" t="s">
        <v>1596</v>
      </c>
      <c r="E3041" s="479"/>
      <c r="F3041" s="479"/>
      <c r="G3041" s="479"/>
      <c r="H3041" s="582" t="s">
        <v>720</v>
      </c>
      <c r="I3041" s="480" t="s">
        <v>654</v>
      </c>
      <c r="J3041" s="479"/>
      <c r="K3041" s="479"/>
      <c r="L3041" s="560"/>
      <c r="M3041" s="666" t="s">
        <v>4966</v>
      </c>
      <c r="N3041" s="680" t="str">
        <f>IF(AND(ISTEXT($A3041), ISERROR($A3041+0)), HYPERLINK($BF3041, "Images"), "")</f>
        <v>Images</v>
      </c>
      <c r="O3041" s="662" t="s">
        <v>4969</v>
      </c>
      <c r="P3041" s="482"/>
      <c r="Q3041" s="483"/>
      <c r="R3041" s="483"/>
      <c r="S3041" s="484"/>
      <c r="T3041" s="508">
        <f t="shared" si="2335"/>
        <v>0</v>
      </c>
      <c r="U3041" s="225" t="str">
        <f>IF(NOT(ISNUMBER(G3041)), "", VLOOKUP(A3041,'Discount Lookup'!D:E,2,FALSE)*G3041)</f>
        <v/>
      </c>
      <c r="V3041" s="225" t="str">
        <f>IF(NOT(ISNUMBER(G3041)), "", VLOOKUP(A3041,'Discount Lookup'!G:H,2,FALSE)*G3041)</f>
        <v/>
      </c>
      <c r="W3041" s="508">
        <f t="shared" si="2336"/>
        <v>0</v>
      </c>
      <c r="X3041" s="508" t="str">
        <f t="shared" si="2337"/>
        <v>White bloom</v>
      </c>
      <c r="Y3041" s="509" t="b">
        <f t="shared" si="2338"/>
        <v>0</v>
      </c>
      <c r="Z3041" s="510">
        <f t="shared" si="2339"/>
        <v>0</v>
      </c>
      <c r="AA3041" s="511"/>
      <c r="AB3041" s="511" t="str">
        <f t="shared" si="2340"/>
        <v/>
      </c>
      <c r="AC3041" s="698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698"/>
      <c r="AE3041" s="631" t="str">
        <f t="shared" si="2341"/>
        <v/>
      </c>
      <c r="AF3041" s="699" t="str">
        <f t="shared" si="2342"/>
        <v/>
      </c>
      <c r="AG3041" s="699"/>
      <c r="AH3041" s="699"/>
      <c r="AI3041" s="512">
        <f>IF(H3041="credit",0,IF(AE3041="free",0,IF(AE3041="me",0,IF(G3041&gt;0,(VLOOKUP(A3041,'Discount Lookup'!J:K,2)*G3041),0))))</f>
        <v>0</v>
      </c>
      <c r="AJ3041" s="513" t="str">
        <f t="shared" ca="1" si="2343"/>
        <v/>
      </c>
      <c r="AK3041" s="700" t="str">
        <f t="shared" si="2344"/>
        <v/>
      </c>
      <c r="AL3041" s="700"/>
      <c r="AM3041" s="505" t="str">
        <f t="shared" si="2345"/>
        <v/>
      </c>
      <c r="AN3041" s="506"/>
      <c r="AO3041" s="507"/>
      <c r="AP3041" s="507"/>
      <c r="AQ3041" s="507"/>
      <c r="AR3041" s="507"/>
      <c r="AS3041" s="507"/>
      <c r="AT3041" s="507"/>
      <c r="AU3041" s="507"/>
      <c r="AV3041" s="225"/>
      <c r="AW3041" s="508"/>
      <c r="AX3041" s="225"/>
      <c r="AY3041" s="225"/>
      <c r="AZ3041" s="225"/>
      <c r="BA3041" s="225"/>
      <c r="BB3041" s="225"/>
      <c r="BC3041" s="56"/>
      <c r="BD3041" s="56"/>
      <c r="BE3041" s="56"/>
      <c r="BF3041" s="107" t="str">
        <f t="shared" si="2346"/>
        <v>https://www.google.com/search?tbm=isch&amp;q=Radiance%20Abelia%20Abelia%20x%20grandiflora%20%27Radiance%27%20PP%2321929</v>
      </c>
      <c r="BG3041" s="107" t="str">
        <f t="shared" si="2347"/>
        <v>R</v>
      </c>
      <c r="BH3041" s="254"/>
      <c r="BI3041" s="254"/>
    </row>
    <row r="3042" spans="1:61" customFormat="1" ht="15.75" x14ac:dyDescent="0.25">
      <c r="A3042" s="485">
        <v>3</v>
      </c>
      <c r="B3042" s="486" t="s">
        <v>291</v>
      </c>
      <c r="C3042" s="487" t="s">
        <v>1597</v>
      </c>
      <c r="D3042" s="488" t="s">
        <v>299</v>
      </c>
      <c r="E3042" s="489">
        <v>36.950000000000003</v>
      </c>
      <c r="F3042" s="516" t="s">
        <v>293</v>
      </c>
      <c r="G3042" s="232">
        <v>0</v>
      </c>
      <c r="H3042" s="658" t="str">
        <f>IF(G3042=0,"",IF(F3042="Buy",IF(G3042=1,"plant","plants"),IF(F3042&gt;0.01,"warranty","Error")))</f>
        <v/>
      </c>
      <c r="I3042" s="490">
        <f>IF(H3042="free",0,IF(H3042="credit",((E3042*(F3042))*G3042*-1),IF(F3042="Buy",(E3042*G3042),((E3042*(1-F3042))*G3042))))</f>
        <v>0</v>
      </c>
      <c r="J3042" s="490">
        <f>IF(H3042="warranty",0,(I3042*(_xlfn.SINGLE(SalesTaxPercentage))))</f>
        <v>0</v>
      </c>
      <c r="K3042" s="695">
        <f t="shared" ref="K3042" si="2357">I3042+J3042</f>
        <v>0</v>
      </c>
      <c r="L3042" s="695"/>
      <c r="M3042" s="659" t="str">
        <f>IF(AND(G3042&gt;0,E3042=0),"WARNING - no PRICE inserted",IF(H3042="free"," FREE ~ no charge this plant",IF(H3042="credit",CONCATENATE(" -$",ROUND(K3042*(1-T2GDiscount)*-1,2)," CREDIT after discount"),IF(T2GDiscount=0,"",IF(G3042=0,"",IF(F3042="Buy",CONCATENATE(" $",ROUND(K3042*(1-T2GDiscount),2)," with ",(T2GDiscount*100),"% discount"),CONCATENATE(" $",ROUND(K3042*(1-T2GDiscount),2)," with ",((T2GDiscount*100+F3042*100)-(T2GDiscount*100*F3042)),IF(F3042&gt;0,"% discounts",IF(NoWarrantyDiscount&gt;0,"% discounts","% discount")))))))))</f>
        <v/>
      </c>
      <c r="N3042" s="660"/>
      <c r="O3042" s="233"/>
      <c r="P3042" s="233"/>
      <c r="Q3042" s="233"/>
      <c r="R3042" s="233"/>
      <c r="S3042" s="233"/>
      <c r="T3042" s="508">
        <f t="shared" si="2335"/>
        <v>0</v>
      </c>
      <c r="U3042" s="225">
        <f>IF(NOT(ISNUMBER(G3042)), "", VLOOKUP(A3042,'Discount Lookup'!D:E,2,FALSE)*G3042)</f>
        <v>0</v>
      </c>
      <c r="V3042" s="225">
        <f>IF(NOT(ISNUMBER(G3042)), "", VLOOKUP(A3042,'Discount Lookup'!G:H,2,FALSE)*G3042)</f>
        <v>0</v>
      </c>
      <c r="W3042" s="508">
        <f t="shared" si="2336"/>
        <v>0</v>
      </c>
      <c r="X3042" s="508">
        <f t="shared" si="2337"/>
        <v>0</v>
      </c>
      <c r="Y3042" s="509" t="b">
        <f t="shared" si="2338"/>
        <v>0</v>
      </c>
      <c r="Z3042" s="510">
        <f t="shared" si="2339"/>
        <v>0</v>
      </c>
      <c r="AA3042" s="511"/>
      <c r="AB3042" s="511" t="str">
        <f t="shared" si="2340"/>
        <v/>
      </c>
      <c r="AC3042" s="698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698"/>
      <c r="AE3042" s="631" t="str">
        <f t="shared" si="2341"/>
        <v/>
      </c>
      <c r="AF3042" s="699" t="str">
        <f t="shared" si="2342"/>
        <v/>
      </c>
      <c r="AG3042" s="699"/>
      <c r="AH3042" s="699"/>
      <c r="AI3042" s="512">
        <f>IF(H3042="credit",0,IF(AE3042="free",0,IF(AE3042="me",0,IF(G3042&gt;0,(VLOOKUP(A3042,'Discount Lookup'!J:K,2)*G3042),0))))</f>
        <v>0</v>
      </c>
      <c r="AJ3042" s="513" t="str">
        <f t="shared" ca="1" si="2343"/>
        <v/>
      </c>
      <c r="AK3042" s="700" t="str">
        <f t="shared" si="2344"/>
        <v/>
      </c>
      <c r="AL3042" s="700"/>
      <c r="AM3042" s="505" t="str">
        <f t="shared" si="2345"/>
        <v/>
      </c>
      <c r="AN3042" s="506"/>
      <c r="AO3042" s="507"/>
      <c r="AP3042" s="507"/>
      <c r="AQ3042" s="507"/>
      <c r="AR3042" s="507"/>
      <c r="AS3042" s="507"/>
      <c r="AT3042" s="507"/>
      <c r="AU3042" s="507"/>
      <c r="AV3042" s="225"/>
      <c r="AW3042" s="508"/>
      <c r="AX3042" s="225"/>
      <c r="AY3042" s="225"/>
      <c r="AZ3042" s="225"/>
      <c r="BA3042" s="225"/>
      <c r="BB3042" s="225"/>
      <c r="BC3042" s="56"/>
      <c r="BD3042" s="56"/>
      <c r="BE3042" s="56"/>
      <c r="BF3042" s="107" t="str">
        <f t="shared" si="2346"/>
        <v>https://www.google.com/search?tbm=isch&amp;q=3%20G5</v>
      </c>
      <c r="BG3042" s="107" t="str">
        <f t="shared" si="2347"/>
        <v>R</v>
      </c>
      <c r="BH3042" s="254"/>
      <c r="BI3042" s="254"/>
    </row>
    <row r="3043" spans="1:61" customFormat="1" ht="15.75" x14ac:dyDescent="0.25">
      <c r="A3043" s="485">
        <v>3</v>
      </c>
      <c r="B3043" s="486" t="s">
        <v>291</v>
      </c>
      <c r="C3043" s="487" t="s">
        <v>4806</v>
      </c>
      <c r="D3043" s="488" t="s">
        <v>312</v>
      </c>
      <c r="E3043" s="489">
        <v>41.95</v>
      </c>
      <c r="F3043" s="516" t="s">
        <v>293</v>
      </c>
      <c r="G3043" s="232">
        <v>0</v>
      </c>
      <c r="H3043" s="658" t="str">
        <f>IF(G3043=0,"",IF(F3043="Buy",IF(G3043=1,"plant","plants"),IF(F3043&gt;0.01,"warranty","Error")))</f>
        <v/>
      </c>
      <c r="I3043" s="490">
        <f>IF(H3043="free",0,IF(H3043="credit",((E3043*(F3043))*G3043*-1),IF(F3043="Buy",(E3043*G3043),((E3043*(1-F3043))*G3043))))</f>
        <v>0</v>
      </c>
      <c r="J3043" s="490">
        <f>IF(H3043="warranty",0,(I3043*(_xlfn.SINGLE(SalesTaxPercentage))))</f>
        <v>0</v>
      </c>
      <c r="K3043" s="695">
        <f t="shared" ref="K3043" si="2358">I3043+J3043</f>
        <v>0</v>
      </c>
      <c r="L3043" s="695"/>
      <c r="M3043" s="659" t="str">
        <f>IF(AND(G3043&gt;0,E3043=0),"WARNING - no PRICE inserted",IF(H3043="free"," FREE ~ no charge this plant",IF(H3043="credit",CONCATENATE(" -$",ROUND(K3043*(1-T2GDiscount)*-1,2)," CREDIT after discount"),IF(T2GDiscount=0,"",IF(G3043=0,"",IF(F3043="Buy",CONCATENATE(" $",ROUND(K3043*(1-T2GDiscount),2)," with ",(T2GDiscount*100),"% discount"),CONCATENATE(" $",ROUND(K3043*(1-T2GDiscount),2)," with ",((T2GDiscount*100+F3043*100)-(T2GDiscount*100*F3043)),IF(F3043&gt;0,"% discounts",IF(NoWarrantyDiscount&gt;0,"% discounts","% discount")))))))))</f>
        <v/>
      </c>
      <c r="N3043" s="660"/>
      <c r="O3043" s="233"/>
      <c r="P3043" s="233"/>
      <c r="Q3043" s="233"/>
      <c r="R3043" s="233"/>
      <c r="S3043" s="233"/>
      <c r="T3043" s="508">
        <f t="shared" si="2335"/>
        <v>0</v>
      </c>
      <c r="U3043" s="225">
        <f>IF(NOT(ISNUMBER(G3043)), "", VLOOKUP(A3043,'Discount Lookup'!D:E,2,FALSE)*G3043)</f>
        <v>0</v>
      </c>
      <c r="V3043" s="225">
        <f>IF(NOT(ISNUMBER(G3043)), "", VLOOKUP(A3043,'Discount Lookup'!G:H,2,FALSE)*G3043)</f>
        <v>0</v>
      </c>
      <c r="W3043" s="508">
        <f t="shared" si="2336"/>
        <v>0</v>
      </c>
      <c r="X3043" s="508">
        <f t="shared" si="2337"/>
        <v>0</v>
      </c>
      <c r="Y3043" s="509" t="b">
        <f t="shared" si="2338"/>
        <v>0</v>
      </c>
      <c r="Z3043" s="510">
        <f t="shared" si="2339"/>
        <v>0</v>
      </c>
      <c r="AA3043" s="511"/>
      <c r="AB3043" s="511" t="str">
        <f t="shared" si="2340"/>
        <v/>
      </c>
      <c r="AC3043" s="698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698"/>
      <c r="AE3043" s="631" t="str">
        <f t="shared" si="2341"/>
        <v/>
      </c>
      <c r="AF3043" s="699" t="str">
        <f t="shared" si="2342"/>
        <v/>
      </c>
      <c r="AG3043" s="699"/>
      <c r="AH3043" s="699"/>
      <c r="AI3043" s="512">
        <f>IF(H3043="credit",0,IF(AE3043="free",0,IF(AE3043="me",0,IF(G3043&gt;0,(VLOOKUP(A3043,'Discount Lookup'!J:K,2)*G3043),0))))</f>
        <v>0</v>
      </c>
      <c r="AJ3043" s="513" t="str">
        <f t="shared" ca="1" si="2343"/>
        <v/>
      </c>
      <c r="AK3043" s="700" t="str">
        <f t="shared" si="2344"/>
        <v/>
      </c>
      <c r="AL3043" s="700"/>
      <c r="AM3043" s="505" t="str">
        <f t="shared" si="2345"/>
        <v/>
      </c>
      <c r="AN3043" s="506"/>
      <c r="AO3043" s="507"/>
      <c r="AP3043" s="507"/>
      <c r="AQ3043" s="507"/>
      <c r="AR3043" s="507"/>
      <c r="AS3043" s="507"/>
      <c r="AT3043" s="507"/>
      <c r="AU3043" s="507"/>
      <c r="AV3043" s="225"/>
      <c r="AW3043" s="508"/>
      <c r="AX3043" s="225"/>
      <c r="AY3043" s="225"/>
      <c r="AZ3043" s="225"/>
      <c r="BA3043" s="225"/>
      <c r="BB3043" s="225"/>
      <c r="BC3043" s="56"/>
      <c r="BD3043" s="56"/>
      <c r="BE3043" s="56"/>
      <c r="BF3043" s="107" t="str">
        <f t="shared" si="2346"/>
        <v>https://www.google.com/search?tbm=isch&amp;q=3%20G2</v>
      </c>
      <c r="BG3043" s="107" t="str">
        <f t="shared" si="2347"/>
        <v>R</v>
      </c>
      <c r="BH3043" s="254"/>
      <c r="BI3043" s="254"/>
    </row>
    <row r="3044" spans="1:61" customFormat="1" ht="15.75" x14ac:dyDescent="0.25">
      <c r="A3044" s="485">
        <v>3</v>
      </c>
      <c r="B3044" s="486" t="s">
        <v>291</v>
      </c>
      <c r="C3044" s="487" t="s">
        <v>2236</v>
      </c>
      <c r="D3044" s="488" t="s">
        <v>300</v>
      </c>
      <c r="E3044" s="489">
        <v>56.95</v>
      </c>
      <c r="F3044" s="516" t="s">
        <v>293</v>
      </c>
      <c r="G3044" s="232">
        <v>0</v>
      </c>
      <c r="H3044" s="658" t="str">
        <f>IF(G3044=0,"",IF(F3044="Buy",IF(G3044=1,"plant","plants"),IF(F3044&gt;0.01,"warranty","Error")))</f>
        <v/>
      </c>
      <c r="I3044" s="490">
        <f>IF(H3044="free",0,IF(H3044="credit",((E3044*(F3044))*G3044*-1),IF(F3044="Buy",(E3044*G3044),((E3044*(1-F3044))*G3044))))</f>
        <v>0</v>
      </c>
      <c r="J3044" s="490">
        <f>IF(H3044="warranty",0,(I3044*(_xlfn.SINGLE(SalesTaxPercentage))))</f>
        <v>0</v>
      </c>
      <c r="K3044" s="695">
        <f t="shared" ref="K3044" si="2359">I3044+J3044</f>
        <v>0</v>
      </c>
      <c r="L3044" s="695"/>
      <c r="M3044" s="659" t="str">
        <f>IF(AND(G3044&gt;0,E3044=0),"WARNING - no PRICE inserted",IF(H3044="free"," FREE ~ no charge this plant",IF(H3044="credit",CONCATENATE(" -$",ROUND(K3044*(1-T2GDiscount)*-1,2)," CREDIT after discount"),IF(T2GDiscount=0,"",IF(G3044=0,"",IF(F3044="Buy",CONCATENATE(" $",ROUND(K3044*(1-T2GDiscount),2)," with ",(T2GDiscount*100),"% discount"),CONCATENATE(" $",ROUND(K3044*(1-T2GDiscount),2)," with ",((T2GDiscount*100+F3044*100)-(T2GDiscount*100*F3044)),IF(F3044&gt;0,"% discounts",IF(NoWarrantyDiscount&gt;0,"% discounts","% discount")))))))))</f>
        <v/>
      </c>
      <c r="N3044" s="660"/>
      <c r="O3044" s="233"/>
      <c r="P3044" s="233"/>
      <c r="Q3044" s="233"/>
      <c r="R3044" s="233"/>
      <c r="S3044" s="233"/>
      <c r="T3044" s="508">
        <f t="shared" si="2335"/>
        <v>0</v>
      </c>
      <c r="U3044" s="225">
        <f>IF(NOT(ISNUMBER(G3044)), "", VLOOKUP(A3044,'Discount Lookup'!D:E,2,FALSE)*G3044)</f>
        <v>0</v>
      </c>
      <c r="V3044" s="225">
        <f>IF(NOT(ISNUMBER(G3044)), "", VLOOKUP(A3044,'Discount Lookup'!G:H,2,FALSE)*G3044)</f>
        <v>0</v>
      </c>
      <c r="W3044" s="508">
        <f t="shared" si="2336"/>
        <v>0</v>
      </c>
      <c r="X3044" s="508">
        <f t="shared" si="2337"/>
        <v>0</v>
      </c>
      <c r="Y3044" s="509" t="b">
        <f t="shared" si="2338"/>
        <v>0</v>
      </c>
      <c r="Z3044" s="510">
        <f t="shared" si="2339"/>
        <v>0</v>
      </c>
      <c r="AA3044" s="511"/>
      <c r="AB3044" s="511" t="str">
        <f t="shared" si="2340"/>
        <v/>
      </c>
      <c r="AC3044" s="698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698"/>
      <c r="AE3044" s="631" t="str">
        <f t="shared" si="2341"/>
        <v/>
      </c>
      <c r="AF3044" s="699" t="str">
        <f t="shared" si="2342"/>
        <v/>
      </c>
      <c r="AG3044" s="699"/>
      <c r="AH3044" s="699"/>
      <c r="AI3044" s="512">
        <f>IF(H3044="credit",0,IF(AE3044="free",0,IF(AE3044="me",0,IF(G3044&gt;0,(VLOOKUP(A3044,'Discount Lookup'!J:K,2)*G3044),0))))</f>
        <v>0</v>
      </c>
      <c r="AJ3044" s="513" t="str">
        <f t="shared" ca="1" si="2343"/>
        <v/>
      </c>
      <c r="AK3044" s="700" t="str">
        <f t="shared" si="2344"/>
        <v/>
      </c>
      <c r="AL3044" s="700"/>
      <c r="AM3044" s="505" t="str">
        <f t="shared" si="2345"/>
        <v/>
      </c>
      <c r="AN3044" s="506"/>
      <c r="AO3044" s="507"/>
      <c r="AP3044" s="507"/>
      <c r="AQ3044" s="507"/>
      <c r="AR3044" s="507"/>
      <c r="AS3044" s="507"/>
      <c r="AT3044" s="507"/>
      <c r="AU3044" s="507"/>
      <c r="AV3044" s="225"/>
      <c r="AW3044" s="508"/>
      <c r="AX3044" s="225"/>
      <c r="AY3044" s="225"/>
      <c r="AZ3044" s="225"/>
      <c r="BA3044" s="225"/>
      <c r="BB3044" s="225"/>
      <c r="BC3044" s="56"/>
      <c r="BD3044" s="56"/>
      <c r="BE3044" s="56"/>
      <c r="BF3044" s="107" t="str">
        <f t="shared" si="2346"/>
        <v>https://www.google.com/search?tbm=isch&amp;q=3%20G6</v>
      </c>
      <c r="BG3044" s="107" t="str">
        <f t="shared" si="2347"/>
        <v>R</v>
      </c>
      <c r="BH3044" s="254"/>
      <c r="BI3044" s="254"/>
    </row>
    <row r="3045" spans="1:61" customFormat="1" ht="17.25" thickBot="1" x14ac:dyDescent="0.3">
      <c r="A3045" s="522" t="s">
        <v>2516</v>
      </c>
      <c r="B3045" s="491"/>
      <c r="C3045" s="675"/>
      <c r="D3045" s="491"/>
      <c r="E3045" s="491"/>
      <c r="F3045" s="492"/>
      <c r="G3045" s="493"/>
      <c r="H3045" s="491"/>
      <c r="I3045" s="234"/>
      <c r="J3045" s="234"/>
      <c r="K3045" s="494"/>
      <c r="L3045" s="543"/>
      <c r="M3045" s="561"/>
      <c r="N3045" s="495"/>
      <c r="O3045" s="496"/>
      <c r="P3045" s="497"/>
      <c r="Q3045" s="495"/>
      <c r="R3045" s="495"/>
      <c r="S3045" s="667" t="s">
        <v>4988</v>
      </c>
      <c r="T3045" s="508">
        <f t="shared" si="2335"/>
        <v>0</v>
      </c>
      <c r="U3045" s="225" t="str">
        <f>IF(NOT(ISNUMBER(G3045)), "", VLOOKUP(A3045,'Discount Lookup'!D:E,2,FALSE)*G3045)</f>
        <v/>
      </c>
      <c r="V3045" s="225" t="str">
        <f>IF(NOT(ISNUMBER(G3045)), "", VLOOKUP(A3045,'Discount Lookup'!G:H,2,FALSE)*G3045)</f>
        <v/>
      </c>
      <c r="W3045" s="508">
        <f t="shared" si="2336"/>
        <v>0</v>
      </c>
      <c r="X3045" s="508">
        <f t="shared" si="2337"/>
        <v>0</v>
      </c>
      <c r="Y3045" s="509" t="b">
        <f t="shared" si="2338"/>
        <v>0</v>
      </c>
      <c r="Z3045" s="510">
        <f t="shared" si="2339"/>
        <v>0</v>
      </c>
      <c r="AA3045" s="511"/>
      <c r="AB3045" s="511" t="str">
        <f t="shared" si="2340"/>
        <v/>
      </c>
      <c r="AC3045" s="698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698"/>
      <c r="AE3045" s="631" t="str">
        <f t="shared" si="2341"/>
        <v/>
      </c>
      <c r="AF3045" s="699" t="str">
        <f t="shared" si="2342"/>
        <v/>
      </c>
      <c r="AG3045" s="699"/>
      <c r="AH3045" s="699"/>
      <c r="AI3045" s="512">
        <f>IF(H3045="credit",0,IF(AE3045="free",0,IF(AE3045="me",0,IF(G3045&gt;0,(VLOOKUP(A3045,'Discount Lookup'!J:K,2)*G3045),0))))</f>
        <v>0</v>
      </c>
      <c r="AJ3045" s="513" t="str">
        <f t="shared" ca="1" si="2343"/>
        <v/>
      </c>
      <c r="AK3045" s="700" t="str">
        <f t="shared" si="2344"/>
        <v/>
      </c>
      <c r="AL3045" s="700"/>
      <c r="AM3045" s="505" t="str">
        <f t="shared" si="2345"/>
        <v/>
      </c>
      <c r="AN3045" s="506"/>
      <c r="AO3045" s="507"/>
      <c r="AP3045" s="507"/>
      <c r="AQ3045" s="507"/>
      <c r="AR3045" s="507"/>
      <c r="AS3045" s="507"/>
      <c r="AT3045" s="507"/>
      <c r="AU3045" s="507"/>
      <c r="AV3045" s="225"/>
      <c r="AW3045" s="508"/>
      <c r="AX3045" s="225"/>
      <c r="AY3045" s="225"/>
      <c r="AZ3045" s="225"/>
      <c r="BA3045" s="225"/>
      <c r="BB3045" s="225"/>
      <c r="BC3045" s="56"/>
      <c r="BD3045" s="56"/>
      <c r="BE3045" s="56"/>
      <c r="BF3045" s="107" t="str">
        <f t="shared" si="2346"/>
        <v>https://www.google.com/search?tbm=isch&amp;q=Radiance%20has%20vivd%20variegated%20foliage.%20Wine-Red%20stems%20contrast%20with%20the%20Green-Yellow%20foliage.%20Fragrant%20flowers%20</v>
      </c>
      <c r="BG3045" s="107" t="str">
        <f t="shared" si="2347"/>
        <v>R</v>
      </c>
      <c r="BH3045" s="254"/>
      <c r="BI3045" s="254"/>
    </row>
    <row r="3046" spans="1:61" customFormat="1" ht="18" x14ac:dyDescent="0.25">
      <c r="A3046" s="521" t="s">
        <v>1598</v>
      </c>
      <c r="B3046" s="477"/>
      <c r="C3046" s="674"/>
      <c r="D3046" s="478" t="s">
        <v>1599</v>
      </c>
      <c r="E3046" s="479"/>
      <c r="F3046" s="479"/>
      <c r="G3046" s="479"/>
      <c r="H3046" s="582" t="s">
        <v>2300</v>
      </c>
      <c r="I3046" s="480" t="s">
        <v>2093</v>
      </c>
      <c r="J3046" s="479"/>
      <c r="K3046" s="479"/>
      <c r="L3046" s="560"/>
      <c r="M3046" s="666" t="s">
        <v>4963</v>
      </c>
      <c r="N3046" s="680" t="str">
        <f>IF(AND(ISTEXT($A3046), ISERROR($A3046+0)), HYPERLINK($BF3046, "Images"), "")</f>
        <v>Images</v>
      </c>
      <c r="O3046" s="662" t="s">
        <v>4967</v>
      </c>
      <c r="P3046" s="482"/>
      <c r="Q3046" s="483"/>
      <c r="R3046" s="483"/>
      <c r="S3046" s="484"/>
      <c r="T3046" s="508">
        <f t="shared" si="2335"/>
        <v>0</v>
      </c>
      <c r="U3046" s="225" t="str">
        <f>IF(NOT(ISNUMBER(G3046)), "", VLOOKUP(A3046,'Discount Lookup'!D:E,2,FALSE)*G3046)</f>
        <v/>
      </c>
      <c r="V3046" s="225" t="str">
        <f>IF(NOT(ISNUMBER(G3046)), "", VLOOKUP(A3046,'Discount Lookup'!G:H,2,FALSE)*G3046)</f>
        <v/>
      </c>
      <c r="W3046" s="508">
        <f t="shared" si="2336"/>
        <v>0</v>
      </c>
      <c r="X3046" s="508" t="str">
        <f t="shared" si="2337"/>
        <v>Dark Green foliage</v>
      </c>
      <c r="Y3046" s="509" t="b">
        <f t="shared" si="2338"/>
        <v>0</v>
      </c>
      <c r="Z3046" s="510">
        <f t="shared" si="2339"/>
        <v>0</v>
      </c>
      <c r="AA3046" s="511"/>
      <c r="AB3046" s="511" t="str">
        <f t="shared" si="2340"/>
        <v/>
      </c>
      <c r="AC3046" s="698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698"/>
      <c r="AE3046" s="631" t="str">
        <f t="shared" si="2341"/>
        <v/>
      </c>
      <c r="AF3046" s="699" t="str">
        <f t="shared" si="2342"/>
        <v/>
      </c>
      <c r="AG3046" s="699"/>
      <c r="AH3046" s="699"/>
      <c r="AI3046" s="512">
        <f>IF(H3046="credit",0,IF(AE3046="free",0,IF(AE3046="me",0,IF(G3046&gt;0,(VLOOKUP(A3046,'Discount Lookup'!J:K,2)*G3046),0))))</f>
        <v>0</v>
      </c>
      <c r="AJ3046" s="513" t="str">
        <f t="shared" ca="1" si="2343"/>
        <v/>
      </c>
      <c r="AK3046" s="700" t="str">
        <f t="shared" si="2344"/>
        <v/>
      </c>
      <c r="AL3046" s="700"/>
      <c r="AM3046" s="505" t="str">
        <f t="shared" si="2345"/>
        <v/>
      </c>
      <c r="AN3046" s="506"/>
      <c r="AO3046" s="507"/>
      <c r="AP3046" s="507"/>
      <c r="AQ3046" s="507"/>
      <c r="AR3046" s="507"/>
      <c r="AS3046" s="507"/>
      <c r="AT3046" s="507"/>
      <c r="AU3046" s="507"/>
      <c r="AV3046" s="225"/>
      <c r="AW3046" s="508"/>
      <c r="AX3046" s="225"/>
      <c r="AY3046" s="225"/>
      <c r="AZ3046" s="225"/>
      <c r="BA3046" s="225"/>
      <c r="BB3046" s="225"/>
      <c r="BC3046" s="56"/>
      <c r="BD3046" s="56"/>
      <c r="BE3046" s="56"/>
      <c r="BF3046" s="107" t="str">
        <f t="shared" si="2346"/>
        <v>https://www.google.com/search?tbm=isch&amp;q=Radicans%20Cryptomeria%20Cryptomeria%20japonica%20%27Radicans%27</v>
      </c>
      <c r="BG3046" s="107" t="str">
        <f t="shared" si="2347"/>
        <v>R</v>
      </c>
      <c r="BH3046" s="254"/>
      <c r="BI3046" s="254"/>
    </row>
    <row r="3047" spans="1:61" customFormat="1" ht="15.75" x14ac:dyDescent="0.25">
      <c r="A3047" s="485">
        <v>25</v>
      </c>
      <c r="B3047" s="486" t="s">
        <v>291</v>
      </c>
      <c r="C3047" s="487" t="s">
        <v>4685</v>
      </c>
      <c r="D3047" s="488" t="s">
        <v>300</v>
      </c>
      <c r="E3047" s="489">
        <v>342.95</v>
      </c>
      <c r="F3047" s="516" t="s">
        <v>293</v>
      </c>
      <c r="G3047" s="232">
        <v>0</v>
      </c>
      <c r="H3047" s="658" t="str">
        <f>IF(G3047=0,"",IF(F3047="Buy",IF(G3047=1,"plant","plants"),IF(F3047&gt;0.01,"warranty","Error")))</f>
        <v/>
      </c>
      <c r="I3047" s="490">
        <f>IF(H3047="free",0,IF(H3047="credit",((E3047*(F3047))*G3047*-1),IF(F3047="Buy",(E3047*G3047),((E3047*(1-F3047))*G3047))))</f>
        <v>0</v>
      </c>
      <c r="J3047" s="490">
        <f>IF(H3047="warranty",0,(I3047*(_xlfn.SINGLE(SalesTaxPercentage))))</f>
        <v>0</v>
      </c>
      <c r="K3047" s="695">
        <f t="shared" ref="K3047" si="2360">I3047+J3047</f>
        <v>0</v>
      </c>
      <c r="L3047" s="695"/>
      <c r="M3047" s="659" t="str">
        <f>IF(AND(G3047&gt;0,E3047=0),"WARNING - no PRICE inserted",IF(H3047="free"," FREE ~ no charge this plant",IF(H3047="credit",CONCATENATE(" -$",ROUND(K3047*(1-T2GDiscount)*-1,2)," CREDIT after discount"),IF(T2GDiscount=0,"",IF(G3047=0,"",IF(F3047="Buy",CONCATENATE(" $",ROUND(K3047*(1-T2GDiscount),2)," with ",(T2GDiscount*100),"% discount"),CONCATENATE(" $",ROUND(K3047*(1-T2GDiscount),2)," with ",((T2GDiscount*100+F3047*100)-(T2GDiscount*100*F3047)),IF(F3047&gt;0,"% discounts",IF(NoWarrantyDiscount&gt;0,"% discounts","% discount")))))))))</f>
        <v/>
      </c>
      <c r="N3047" s="660"/>
      <c r="O3047" s="233"/>
      <c r="P3047" s="233"/>
      <c r="Q3047" s="233"/>
      <c r="R3047" s="233"/>
      <c r="S3047" s="233"/>
      <c r="T3047" s="508">
        <f t="shared" si="2335"/>
        <v>0</v>
      </c>
      <c r="U3047" s="225">
        <f>IF(NOT(ISNUMBER(G3047)), "", VLOOKUP(A3047,'Discount Lookup'!D:E,2,FALSE)*G3047)</f>
        <v>0</v>
      </c>
      <c r="V3047" s="225">
        <f>IF(NOT(ISNUMBER(G3047)), "", VLOOKUP(A3047,'Discount Lookup'!G:H,2,FALSE)*G3047)</f>
        <v>0</v>
      </c>
      <c r="W3047" s="508">
        <f t="shared" si="2336"/>
        <v>0</v>
      </c>
      <c r="X3047" s="508">
        <f t="shared" si="2337"/>
        <v>0</v>
      </c>
      <c r="Y3047" s="509" t="b">
        <f t="shared" si="2338"/>
        <v>0</v>
      </c>
      <c r="Z3047" s="510">
        <f t="shared" si="2339"/>
        <v>0</v>
      </c>
      <c r="AA3047" s="511"/>
      <c r="AB3047" s="511" t="str">
        <f t="shared" si="2340"/>
        <v/>
      </c>
      <c r="AC3047" s="698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698"/>
      <c r="AE3047" s="631" t="str">
        <f t="shared" si="2341"/>
        <v/>
      </c>
      <c r="AF3047" s="699" t="str">
        <f t="shared" si="2342"/>
        <v/>
      </c>
      <c r="AG3047" s="699"/>
      <c r="AH3047" s="699"/>
      <c r="AI3047" s="512">
        <f>IF(H3047="credit",0,IF(AE3047="free",0,IF(AE3047="me",0,IF(G3047&gt;0,(VLOOKUP(A3047,'Discount Lookup'!J:K,2)*G3047),0))))</f>
        <v>0</v>
      </c>
      <c r="AJ3047" s="513" t="str">
        <f t="shared" ca="1" si="2343"/>
        <v/>
      </c>
      <c r="AK3047" s="700" t="str">
        <f t="shared" si="2344"/>
        <v/>
      </c>
      <c r="AL3047" s="700"/>
      <c r="AM3047" s="505" t="str">
        <f t="shared" si="2345"/>
        <v/>
      </c>
      <c r="AN3047" s="506"/>
      <c r="AO3047" s="507"/>
      <c r="AP3047" s="507"/>
      <c r="AQ3047" s="507"/>
      <c r="AR3047" s="507"/>
      <c r="AS3047" s="507"/>
      <c r="AT3047" s="507"/>
      <c r="AU3047" s="507"/>
      <c r="AV3047" s="225"/>
      <c r="AW3047" s="508"/>
      <c r="AX3047" s="225"/>
      <c r="AY3047" s="225"/>
      <c r="AZ3047" s="225"/>
      <c r="BA3047" s="225"/>
      <c r="BB3047" s="225"/>
      <c r="BC3047" s="56"/>
      <c r="BD3047" s="56"/>
      <c r="BE3047" s="56"/>
      <c r="BF3047" s="107" t="str">
        <f t="shared" si="2346"/>
        <v>https://www.google.com/search?tbm=isch&amp;q=25%20G6</v>
      </c>
      <c r="BG3047" s="107" t="str">
        <f t="shared" si="2347"/>
        <v>R</v>
      </c>
      <c r="BH3047" s="254"/>
      <c r="BI3047" s="254"/>
    </row>
    <row r="3048" spans="1:61" customFormat="1" ht="17.25" thickBot="1" x14ac:dyDescent="0.3">
      <c r="A3048" s="522" t="s">
        <v>2690</v>
      </c>
      <c r="B3048" s="491"/>
      <c r="C3048" s="675"/>
      <c r="D3048" s="491"/>
      <c r="E3048" s="491"/>
      <c r="F3048" s="492"/>
      <c r="G3048" s="493"/>
      <c r="H3048" s="491"/>
      <c r="I3048" s="234"/>
      <c r="J3048" s="234"/>
      <c r="K3048" s="494"/>
      <c r="L3048" s="543"/>
      <c r="M3048" s="561"/>
      <c r="N3048" s="495"/>
      <c r="O3048" s="496"/>
      <c r="P3048" s="497"/>
      <c r="Q3048" s="495"/>
      <c r="R3048" s="495"/>
      <c r="S3048" s="667" t="s">
        <v>5002</v>
      </c>
      <c r="T3048" s="508">
        <f t="shared" si="2335"/>
        <v>0</v>
      </c>
      <c r="U3048" s="225" t="str">
        <f>IF(NOT(ISNUMBER(G3048)), "", VLOOKUP(A3048,'Discount Lookup'!D:E,2,FALSE)*G3048)</f>
        <v/>
      </c>
      <c r="V3048" s="225" t="str">
        <f>IF(NOT(ISNUMBER(G3048)), "", VLOOKUP(A3048,'Discount Lookup'!G:H,2,FALSE)*G3048)</f>
        <v/>
      </c>
      <c r="W3048" s="508">
        <f t="shared" si="2336"/>
        <v>0</v>
      </c>
      <c r="X3048" s="508">
        <f t="shared" si="2337"/>
        <v>0</v>
      </c>
      <c r="Y3048" s="509" t="b">
        <f t="shared" si="2338"/>
        <v>0</v>
      </c>
      <c r="Z3048" s="510">
        <f t="shared" si="2339"/>
        <v>0</v>
      </c>
      <c r="AA3048" s="511"/>
      <c r="AB3048" s="511" t="str">
        <f t="shared" si="2340"/>
        <v/>
      </c>
      <c r="AC3048" s="698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698"/>
      <c r="AE3048" s="631" t="str">
        <f t="shared" si="2341"/>
        <v/>
      </c>
      <c r="AF3048" s="699" t="str">
        <f t="shared" si="2342"/>
        <v/>
      </c>
      <c r="AG3048" s="699"/>
      <c r="AH3048" s="699"/>
      <c r="AI3048" s="512">
        <f>IF(H3048="credit",0,IF(AE3048="free",0,IF(AE3048="me",0,IF(G3048&gt;0,(VLOOKUP(A3048,'Discount Lookup'!J:K,2)*G3048),0))))</f>
        <v>0</v>
      </c>
      <c r="AJ3048" s="513" t="str">
        <f t="shared" ca="1" si="2343"/>
        <v/>
      </c>
      <c r="AK3048" s="700" t="str">
        <f t="shared" si="2344"/>
        <v/>
      </c>
      <c r="AL3048" s="700"/>
      <c r="AM3048" s="505" t="str">
        <f t="shared" si="2345"/>
        <v/>
      </c>
      <c r="AN3048" s="506"/>
      <c r="AO3048" s="507"/>
      <c r="AP3048" s="507"/>
      <c r="AQ3048" s="507"/>
      <c r="AR3048" s="507"/>
      <c r="AS3048" s="507"/>
      <c r="AT3048" s="507"/>
      <c r="AU3048" s="507"/>
      <c r="AV3048" s="225"/>
      <c r="AW3048" s="508"/>
      <c r="AX3048" s="225"/>
      <c r="AY3048" s="225"/>
      <c r="AZ3048" s="225"/>
      <c r="BA3048" s="225"/>
      <c r="BB3048" s="225"/>
      <c r="BC3048" s="56"/>
      <c r="BD3048" s="56"/>
      <c r="BE3048" s="56"/>
      <c r="BF3048" s="107" t="str">
        <f t="shared" si="2346"/>
        <v>https://www.google.com/search?tbm=isch&amp;q=Radicans%20is%20a%20fast%20grower.%20Foliage%20scent%20pleasant%20when%20crushed.%20Peeling%20bark.%20Foliage%20bronzes%20in%20winter%20more%20than%20Yoshino%20</v>
      </c>
      <c r="BG3048" s="107" t="str">
        <f t="shared" si="2347"/>
        <v>R</v>
      </c>
      <c r="BH3048" s="254"/>
      <c r="BI3048" s="254"/>
    </row>
    <row r="3049" spans="1:61" customFormat="1" ht="18" x14ac:dyDescent="0.25">
      <c r="A3049" s="523" t="s">
        <v>5514</v>
      </c>
      <c r="B3049" s="235"/>
      <c r="C3049" s="676"/>
      <c r="D3049" s="255" t="s">
        <v>2534</v>
      </c>
      <c r="E3049" s="236"/>
      <c r="F3049" s="236"/>
      <c r="G3049" s="236"/>
      <c r="H3049" s="582" t="s">
        <v>441</v>
      </c>
      <c r="I3049" s="498" t="s">
        <v>1378</v>
      </c>
      <c r="J3049" s="237"/>
      <c r="K3049" s="237"/>
      <c r="L3049" s="274"/>
      <c r="M3049" s="668" t="s">
        <v>4962</v>
      </c>
      <c r="N3049" s="681" t="str">
        <f>IF(AND(ISTEXT($A3049), ISERROR($A3049+0)), HYPERLINK($BF3049, "Images"), "")</f>
        <v>Images</v>
      </c>
      <c r="O3049" s="663" t="s">
        <v>4967</v>
      </c>
      <c r="P3049" s="253"/>
      <c r="Q3049" s="238"/>
      <c r="R3049" s="239"/>
      <c r="S3049" s="275"/>
      <c r="T3049" s="508">
        <f t="shared" si="2335"/>
        <v>0</v>
      </c>
      <c r="U3049" s="225" t="str">
        <f>IF(NOT(ISNUMBER(G3049)), "", VLOOKUP(A3049,'Discount Lookup'!D:E,2,FALSE)*G3049)</f>
        <v/>
      </c>
      <c r="V3049" s="225" t="str">
        <f>IF(NOT(ISNUMBER(G3049)), "", VLOOKUP(A3049,'Discount Lookup'!G:H,2,FALSE)*G3049)</f>
        <v/>
      </c>
      <c r="W3049" s="508">
        <f t="shared" si="2336"/>
        <v>0</v>
      </c>
      <c r="X3049" s="508" t="str">
        <f t="shared" si="2337"/>
        <v>Bright Pink bloom</v>
      </c>
      <c r="Y3049" s="509" t="b">
        <f t="shared" si="2338"/>
        <v>0</v>
      </c>
      <c r="Z3049" s="510">
        <f t="shared" si="2339"/>
        <v>0</v>
      </c>
      <c r="AA3049" s="511"/>
      <c r="AB3049" s="511" t="str">
        <f t="shared" si="2340"/>
        <v/>
      </c>
      <c r="AC3049" s="698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698"/>
      <c r="AE3049" s="631" t="str">
        <f t="shared" si="2341"/>
        <v/>
      </c>
      <c r="AF3049" s="699" t="str">
        <f t="shared" si="2342"/>
        <v/>
      </c>
      <c r="AG3049" s="699"/>
      <c r="AH3049" s="699"/>
      <c r="AI3049" s="512">
        <f>IF(H3049="credit",0,IF(AE3049="free",0,IF(AE3049="me",0,IF(G3049&gt;0,(VLOOKUP(A3049,'Discount Lookup'!J:K,2)*G3049),0))))</f>
        <v>0</v>
      </c>
      <c r="AJ3049" s="513" t="str">
        <f t="shared" ca="1" si="2343"/>
        <v/>
      </c>
      <c r="AK3049" s="700" t="str">
        <f t="shared" si="2344"/>
        <v/>
      </c>
      <c r="AL3049" s="700"/>
      <c r="AM3049" s="505" t="str">
        <f t="shared" si="2345"/>
        <v/>
      </c>
      <c r="AN3049" s="506"/>
      <c r="AO3049" s="507"/>
      <c r="AP3049" s="507"/>
      <c r="AQ3049" s="507"/>
      <c r="AR3049" s="507"/>
      <c r="AS3049" s="507"/>
      <c r="AT3049" s="507"/>
      <c r="AU3049" s="507"/>
      <c r="AV3049" s="225"/>
      <c r="AW3049" s="508"/>
      <c r="AX3049" s="225"/>
      <c r="AY3049" s="225"/>
      <c r="AZ3049" s="225"/>
      <c r="BA3049" s="225"/>
      <c r="BB3049" s="225"/>
      <c r="BC3049" s="56"/>
      <c r="BD3049" s="56"/>
      <c r="BE3049" s="56"/>
      <c r="BF3049" s="107" t="str">
        <f t="shared" si="2346"/>
        <v>https://www.google.com/search?tbm=isch&amp;q=Rainbow%20Fizz%E2%84%A2%20Japanese%20Spirea%20Spiraea%20japonica%20%27Matgold%27%20PP%2328876</v>
      </c>
      <c r="BG3049" s="107" t="str">
        <f t="shared" si="2347"/>
        <v>R</v>
      </c>
      <c r="BH3049" s="254"/>
      <c r="BI3049" s="254"/>
    </row>
    <row r="3050" spans="1:61" customFormat="1" ht="15.75" x14ac:dyDescent="0.25">
      <c r="A3050" s="276">
        <v>1</v>
      </c>
      <c r="B3050" s="240" t="s">
        <v>291</v>
      </c>
      <c r="C3050" s="241"/>
      <c r="D3050" s="242" t="s">
        <v>312</v>
      </c>
      <c r="E3050" s="243">
        <v>28.95</v>
      </c>
      <c r="F3050" s="517" t="s">
        <v>293</v>
      </c>
      <c r="G3050" s="232">
        <v>0</v>
      </c>
      <c r="H3050" s="661" t="str">
        <f>IF(G3050=0,"",IF(F3050="Buy",IF(G3050=1,"plant","plants"),IF(F3050&gt;0.01,"warranty","Error")))</f>
        <v/>
      </c>
      <c r="I3050" s="244">
        <f>IF(H3050="free",0,IF(H3050="credit",((E3050*(F3050))*G3050*-1),IF(F3050="Buy",(E3050*G3050),((E3050*(1-F3050))*G3050))))</f>
        <v>0</v>
      </c>
      <c r="J3050" s="244">
        <f>IF(H3050="warranty",0,(I3050*(_xlfn.SINGLE(SalesTaxPercentage))))</f>
        <v>0</v>
      </c>
      <c r="K3050" s="696">
        <f t="shared" ref="K3050" si="2361">I3050+J3050</f>
        <v>0</v>
      </c>
      <c r="L3050" s="696"/>
      <c r="M3050" s="659" t="str">
        <f>IF(AND(G3050&gt;0,E3050=0),"WARNING - no PRICE inserted",IF(H3050="free"," FREE ~ no charge this plant",IF(H3050="credit",CONCATENATE(" -$",ROUND(K3050*(1-T2GDiscount)*-1,2)," CREDIT after discount"),IF(T2GDiscount=0,"",IF(G3050=0,"",IF(F3050="Buy",CONCATENATE(" $",ROUND(K3050*(1-T2GDiscount),2)," with ",(T2GDiscount*100),"% discount"),CONCATENATE(" $",ROUND(K3050*(1-T2GDiscount),2)," with ",((T2GDiscount*100+F3050*100)-(T2GDiscount*100*F3050)),IF(F3050&gt;0,"% discounts",IF(NoWarrantyDiscount&gt;0,"% discounts","% discount")))))))))</f>
        <v/>
      </c>
      <c r="N3050" s="660"/>
      <c r="O3050" s="233"/>
      <c r="P3050" s="233"/>
      <c r="Q3050" s="233"/>
      <c r="R3050" s="233"/>
      <c r="S3050" s="233"/>
      <c r="T3050" s="508">
        <f t="shared" si="2335"/>
        <v>0</v>
      </c>
      <c r="U3050" s="225">
        <f>IF(NOT(ISNUMBER(G3050)), "", VLOOKUP(A3050,'Discount Lookup'!D:E,2,FALSE)*G3050)</f>
        <v>0</v>
      </c>
      <c r="V3050" s="225">
        <f>IF(NOT(ISNUMBER(G3050)), "", VLOOKUP(A3050,'Discount Lookup'!G:H,2,FALSE)*G3050)</f>
        <v>0</v>
      </c>
      <c r="W3050" s="508">
        <f t="shared" si="2336"/>
        <v>0</v>
      </c>
      <c r="X3050" s="508">
        <f t="shared" si="2337"/>
        <v>0</v>
      </c>
      <c r="Y3050" s="509" t="b">
        <f t="shared" si="2338"/>
        <v>0</v>
      </c>
      <c r="Z3050" s="510">
        <f t="shared" si="2339"/>
        <v>0</v>
      </c>
      <c r="AA3050" s="511"/>
      <c r="AB3050" s="511" t="str">
        <f t="shared" si="2340"/>
        <v/>
      </c>
      <c r="AC3050" s="698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698"/>
      <c r="AE3050" s="631" t="str">
        <f t="shared" si="2341"/>
        <v/>
      </c>
      <c r="AF3050" s="699" t="str">
        <f t="shared" si="2342"/>
        <v/>
      </c>
      <c r="AG3050" s="699"/>
      <c r="AH3050" s="699"/>
      <c r="AI3050" s="512">
        <f>IF(H3050="credit",0,IF(AE3050="free",0,IF(AE3050="me",0,IF(G3050&gt;0,(VLOOKUP(A3050,'Discount Lookup'!J:K,2)*G3050),0))))</f>
        <v>0</v>
      </c>
      <c r="AJ3050" s="513" t="str">
        <f t="shared" ca="1" si="2343"/>
        <v/>
      </c>
      <c r="AK3050" s="700" t="str">
        <f t="shared" si="2344"/>
        <v/>
      </c>
      <c r="AL3050" s="700"/>
      <c r="AM3050" s="505" t="str">
        <f t="shared" si="2345"/>
        <v/>
      </c>
      <c r="AN3050" s="506"/>
      <c r="AO3050" s="507"/>
      <c r="AP3050" s="507"/>
      <c r="AQ3050" s="507"/>
      <c r="AR3050" s="507"/>
      <c r="AS3050" s="507"/>
      <c r="AT3050" s="507"/>
      <c r="AU3050" s="507"/>
      <c r="AV3050" s="225"/>
      <c r="AW3050" s="508"/>
      <c r="AX3050" s="225"/>
      <c r="AY3050" s="225"/>
      <c r="AZ3050" s="225"/>
      <c r="BA3050" s="225"/>
      <c r="BB3050" s="225"/>
      <c r="BC3050" s="56"/>
      <c r="BD3050" s="56"/>
      <c r="BE3050" s="56"/>
      <c r="BF3050" s="107" t="str">
        <f t="shared" si="2346"/>
        <v>https://www.google.com/search?tbm=isch&amp;q=1%20G2</v>
      </c>
      <c r="BG3050" s="107" t="str">
        <f t="shared" si="2347"/>
        <v>R</v>
      </c>
      <c r="BH3050" s="254"/>
      <c r="BI3050" s="254"/>
    </row>
    <row r="3051" spans="1:61" customFormat="1" ht="17.25" thickBot="1" x14ac:dyDescent="0.3">
      <c r="A3051" s="524" t="s">
        <v>4214</v>
      </c>
      <c r="B3051" s="245"/>
      <c r="C3051" s="677"/>
      <c r="D3051" s="499"/>
      <c r="E3051" s="499"/>
      <c r="F3051" s="500"/>
      <c r="G3051" s="501"/>
      <c r="H3051" s="502"/>
      <c r="I3051" s="246"/>
      <c r="J3051" s="247"/>
      <c r="K3051" s="503"/>
      <c r="L3051" s="544"/>
      <c r="M3051" s="544"/>
      <c r="N3051" s="500"/>
      <c r="O3051" s="500"/>
      <c r="P3051" s="500"/>
      <c r="Q3051" s="500"/>
      <c r="R3051" s="500"/>
      <c r="S3051" s="669" t="s">
        <v>4980</v>
      </c>
      <c r="T3051" s="508">
        <f t="shared" si="2335"/>
        <v>0</v>
      </c>
      <c r="U3051" s="225" t="str">
        <f>IF(NOT(ISNUMBER(G3051)), "", VLOOKUP(A3051,'Discount Lookup'!D:E,2,FALSE)*G3051)</f>
        <v/>
      </c>
      <c r="V3051" s="225" t="str">
        <f>IF(NOT(ISNUMBER(G3051)), "", VLOOKUP(A3051,'Discount Lookup'!G:H,2,FALSE)*G3051)</f>
        <v/>
      </c>
      <c r="W3051" s="508">
        <f t="shared" si="2336"/>
        <v>0</v>
      </c>
      <c r="X3051" s="508">
        <f t="shared" si="2337"/>
        <v>0</v>
      </c>
      <c r="Y3051" s="509" t="b">
        <f t="shared" si="2338"/>
        <v>0</v>
      </c>
      <c r="Z3051" s="510">
        <f t="shared" si="2339"/>
        <v>0</v>
      </c>
      <c r="AA3051" s="511"/>
      <c r="AB3051" s="511" t="str">
        <f t="shared" si="2340"/>
        <v/>
      </c>
      <c r="AC3051" s="698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698"/>
      <c r="AE3051" s="631" t="str">
        <f t="shared" si="2341"/>
        <v/>
      </c>
      <c r="AF3051" s="699" t="str">
        <f t="shared" si="2342"/>
        <v/>
      </c>
      <c r="AG3051" s="699"/>
      <c r="AH3051" s="699"/>
      <c r="AI3051" s="512">
        <f>IF(H3051="credit",0,IF(AE3051="free",0,IF(AE3051="me",0,IF(G3051&gt;0,(VLOOKUP(A3051,'Discount Lookup'!J:K,2)*G3051),0))))</f>
        <v>0</v>
      </c>
      <c r="AJ3051" s="513" t="str">
        <f t="shared" ca="1" si="2343"/>
        <v/>
      </c>
      <c r="AK3051" s="700" t="str">
        <f t="shared" si="2344"/>
        <v/>
      </c>
      <c r="AL3051" s="700"/>
      <c r="AM3051" s="505" t="str">
        <f t="shared" si="2345"/>
        <v/>
      </c>
      <c r="AN3051" s="506"/>
      <c r="AO3051" s="507"/>
      <c r="AP3051" s="507"/>
      <c r="AQ3051" s="507"/>
      <c r="AR3051" s="507"/>
      <c r="AS3051" s="507"/>
      <c r="AT3051" s="507"/>
      <c r="AU3051" s="507"/>
      <c r="AV3051" s="225"/>
      <c r="AW3051" s="508"/>
      <c r="AX3051" s="225"/>
      <c r="AY3051" s="225"/>
      <c r="AZ3051" s="225"/>
      <c r="BA3051" s="225"/>
      <c r="BB3051" s="225"/>
      <c r="BC3051" s="56"/>
      <c r="BD3051" s="56"/>
      <c r="BE3051" s="56"/>
      <c r="BF3051" s="107" t="str">
        <f t="shared" si="2346"/>
        <v>https://www.google.com/search?tbm=isch&amp;q=Rainbow%20Fizz%20has%20shifting%20Copper%20to%20Green%20to%20Gold%20foliage%2C%20with%20Orange-Red%20fall%20tones.%20Summer%20bloom%2C%20on%20new%20wood%2C%20so%20prune%20late%20winter%20</v>
      </c>
      <c r="BG3051" s="107" t="str">
        <f t="shared" si="2347"/>
        <v>R</v>
      </c>
      <c r="BH3051" s="254"/>
      <c r="BI3051" s="254"/>
    </row>
    <row r="3052" spans="1:61" customFormat="1" ht="18" x14ac:dyDescent="0.25">
      <c r="A3052" s="523" t="s">
        <v>5515</v>
      </c>
      <c r="B3052" s="235"/>
      <c r="C3052" s="676"/>
      <c r="D3052" s="255" t="s">
        <v>1600</v>
      </c>
      <c r="E3052" s="236"/>
      <c r="F3052" s="236"/>
      <c r="G3052" s="236"/>
      <c r="H3052" s="582" t="s">
        <v>1007</v>
      </c>
      <c r="I3052" s="498" t="s">
        <v>654</v>
      </c>
      <c r="J3052" s="237"/>
      <c r="K3052" s="237"/>
      <c r="L3052" s="274"/>
      <c r="M3052" s="668" t="s">
        <v>4975</v>
      </c>
      <c r="N3052" s="681" t="str">
        <f>IF(AND(ISTEXT($A3052), ISERROR($A3052+0)), HYPERLINK($BF3052, "Images"), "")</f>
        <v>Images</v>
      </c>
      <c r="O3052" s="663" t="s">
        <v>4967</v>
      </c>
      <c r="P3052" s="253"/>
      <c r="Q3052" s="238"/>
      <c r="R3052" s="239"/>
      <c r="S3052" s="275"/>
      <c r="T3052" s="508">
        <f t="shared" si="2335"/>
        <v>0</v>
      </c>
      <c r="U3052" s="225" t="str">
        <f>IF(NOT(ISNUMBER(G3052)), "", VLOOKUP(A3052,'Discount Lookup'!D:E,2,FALSE)*G3052)</f>
        <v/>
      </c>
      <c r="V3052" s="225" t="str">
        <f>IF(NOT(ISNUMBER(G3052)), "", VLOOKUP(A3052,'Discount Lookup'!G:H,2,FALSE)*G3052)</f>
        <v/>
      </c>
      <c r="W3052" s="508">
        <f t="shared" si="2336"/>
        <v>0</v>
      </c>
      <c r="X3052" s="508" t="str">
        <f t="shared" si="2337"/>
        <v>White bloom</v>
      </c>
      <c r="Y3052" s="509" t="b">
        <f t="shared" si="2338"/>
        <v>0</v>
      </c>
      <c r="Z3052" s="510">
        <f t="shared" si="2339"/>
        <v>0</v>
      </c>
      <c r="AA3052" s="511"/>
      <c r="AB3052" s="511" t="str">
        <f t="shared" si="2340"/>
        <v/>
      </c>
      <c r="AC3052" s="698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698"/>
      <c r="AE3052" s="631" t="str">
        <f t="shared" si="2341"/>
        <v/>
      </c>
      <c r="AF3052" s="699" t="str">
        <f t="shared" si="2342"/>
        <v/>
      </c>
      <c r="AG3052" s="699"/>
      <c r="AH3052" s="699"/>
      <c r="AI3052" s="512">
        <f>IF(H3052="credit",0,IF(AE3052="free",0,IF(AE3052="me",0,IF(G3052&gt;0,(VLOOKUP(A3052,'Discount Lookup'!J:K,2)*G3052),0))))</f>
        <v>0</v>
      </c>
      <c r="AJ3052" s="513" t="str">
        <f t="shared" ca="1" si="2343"/>
        <v/>
      </c>
      <c r="AK3052" s="700" t="str">
        <f t="shared" si="2344"/>
        <v/>
      </c>
      <c r="AL3052" s="700"/>
      <c r="AM3052" s="505" t="str">
        <f t="shared" si="2345"/>
        <v/>
      </c>
      <c r="AN3052" s="506"/>
      <c r="AO3052" s="507"/>
      <c r="AP3052" s="507"/>
      <c r="AQ3052" s="507"/>
      <c r="AR3052" s="507"/>
      <c r="AS3052" s="507"/>
      <c r="AT3052" s="507"/>
      <c r="AU3052" s="507"/>
      <c r="AV3052" s="225"/>
      <c r="AW3052" s="508"/>
      <c r="AX3052" s="225"/>
      <c r="AY3052" s="225"/>
      <c r="AZ3052" s="225"/>
      <c r="BA3052" s="225"/>
      <c r="BB3052" s="225"/>
      <c r="BC3052" s="56"/>
      <c r="BD3052" s="56"/>
      <c r="BE3052" s="56"/>
      <c r="BF3052" s="107" t="str">
        <f t="shared" si="2346"/>
        <v>https://www.google.com/search?tbm=isch&amp;q=Rainbow%20Pillar%C2%AE%20Serviceberry%20Amelanchier%20%27Glenn%20Form%27%20PP%239092Exp.</v>
      </c>
      <c r="BG3052" s="107" t="str">
        <f t="shared" si="2347"/>
        <v>R</v>
      </c>
      <c r="BH3052" s="254"/>
      <c r="BI3052" s="254"/>
    </row>
    <row r="3053" spans="1:61" customFormat="1" ht="27" x14ac:dyDescent="0.25">
      <c r="A3053" s="276">
        <v>15</v>
      </c>
      <c r="B3053" s="240" t="s">
        <v>291</v>
      </c>
      <c r="C3053" s="241" t="s">
        <v>3723</v>
      </c>
      <c r="D3053" s="242" t="s">
        <v>292</v>
      </c>
      <c r="E3053" s="243">
        <v>192.95</v>
      </c>
      <c r="F3053" s="517" t="s">
        <v>293</v>
      </c>
      <c r="G3053" s="232">
        <v>0</v>
      </c>
      <c r="H3053" s="661" t="str">
        <f>IF(G3053=0,"",IF(F3053="Buy",IF(G3053=1,"plant","plants"),IF(F3053&gt;0.01,"warranty","Error")))</f>
        <v/>
      </c>
      <c r="I3053" s="244">
        <f>IF(H3053="free",0,IF(H3053="credit",((E3053*(F3053))*G3053*-1),IF(F3053="Buy",(E3053*G3053),((E3053*(1-F3053))*G3053))))</f>
        <v>0</v>
      </c>
      <c r="J3053" s="244">
        <f>IF(H3053="warranty",0,(I3053*(_xlfn.SINGLE(SalesTaxPercentage))))</f>
        <v>0</v>
      </c>
      <c r="K3053" s="696">
        <f t="shared" ref="K3053" si="2362">I3053+J3053</f>
        <v>0</v>
      </c>
      <c r="L3053" s="696"/>
      <c r="M3053" s="659" t="str">
        <f>IF(AND(G3053&gt;0,E3053=0),"WARNING - no PRICE inserted",IF(H3053="free"," FREE ~ no charge this plant",IF(H3053="credit",CONCATENATE(" -$",ROUND(K3053*(1-T2GDiscount)*-1,2)," CREDIT after discount"),IF(T2GDiscount=0,"",IF(G3053=0,"",IF(F3053="Buy",CONCATENATE(" $",ROUND(K3053*(1-T2GDiscount),2)," with ",(T2GDiscount*100),"% discount"),CONCATENATE(" $",ROUND(K3053*(1-T2GDiscount),2)," with ",((T2GDiscount*100+F3053*100)-(T2GDiscount*100*F3053)),IF(F3053&gt;0,"% discounts",IF(NoWarrantyDiscount&gt;0,"% discounts","% discount")))))))))</f>
        <v/>
      </c>
      <c r="N3053" s="660"/>
      <c r="O3053" s="233"/>
      <c r="P3053" s="233"/>
      <c r="Q3053" s="233"/>
      <c r="R3053" s="233"/>
      <c r="S3053" s="233"/>
      <c r="T3053" s="508">
        <f t="shared" si="2335"/>
        <v>0</v>
      </c>
      <c r="U3053" s="225">
        <f>IF(NOT(ISNUMBER(G3053)), "", VLOOKUP(A3053,'Discount Lookup'!D:E,2,FALSE)*G3053)</f>
        <v>0</v>
      </c>
      <c r="V3053" s="225">
        <f>IF(NOT(ISNUMBER(G3053)), "", VLOOKUP(A3053,'Discount Lookup'!G:H,2,FALSE)*G3053)</f>
        <v>0</v>
      </c>
      <c r="W3053" s="508">
        <f t="shared" si="2336"/>
        <v>0</v>
      </c>
      <c r="X3053" s="508">
        <f t="shared" si="2337"/>
        <v>0</v>
      </c>
      <c r="Y3053" s="509" t="b">
        <f t="shared" si="2338"/>
        <v>0</v>
      </c>
      <c r="Z3053" s="510">
        <f t="shared" si="2339"/>
        <v>0</v>
      </c>
      <c r="AA3053" s="511"/>
      <c r="AB3053" s="511" t="str">
        <f t="shared" si="2340"/>
        <v/>
      </c>
      <c r="AC3053" s="698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698"/>
      <c r="AE3053" s="631" t="str">
        <f t="shared" si="2341"/>
        <v/>
      </c>
      <c r="AF3053" s="699" t="str">
        <f t="shared" si="2342"/>
        <v/>
      </c>
      <c r="AG3053" s="699"/>
      <c r="AH3053" s="699"/>
      <c r="AI3053" s="512">
        <f>IF(H3053="credit",0,IF(AE3053="free",0,IF(AE3053="me",0,IF(G3053&gt;0,(VLOOKUP(A3053,'Discount Lookup'!J:K,2)*G3053),0))))</f>
        <v>0</v>
      </c>
      <c r="AJ3053" s="513" t="str">
        <f t="shared" ca="1" si="2343"/>
        <v/>
      </c>
      <c r="AK3053" s="700" t="str">
        <f t="shared" si="2344"/>
        <v/>
      </c>
      <c r="AL3053" s="700"/>
      <c r="AM3053" s="505" t="str">
        <f t="shared" si="2345"/>
        <v/>
      </c>
      <c r="AN3053" s="506"/>
      <c r="AO3053" s="507"/>
      <c r="AP3053" s="507"/>
      <c r="AQ3053" s="507"/>
      <c r="AR3053" s="507"/>
      <c r="AS3053" s="507"/>
      <c r="AT3053" s="507"/>
      <c r="AU3053" s="507"/>
      <c r="AV3053" s="225"/>
      <c r="AW3053" s="508"/>
      <c r="AX3053" s="225"/>
      <c r="AY3053" s="225"/>
      <c r="AZ3053" s="225"/>
      <c r="BA3053" s="225"/>
      <c r="BB3053" s="225"/>
      <c r="BC3053" s="56"/>
      <c r="BD3053" s="56"/>
      <c r="BE3053" s="56"/>
      <c r="BF3053" s="107" t="str">
        <f t="shared" si="2346"/>
        <v>https://www.google.com/search?tbm=isch&amp;q=15%20G4</v>
      </c>
      <c r="BG3053" s="107" t="str">
        <f t="shared" si="2347"/>
        <v>R</v>
      </c>
      <c r="BH3053" s="254"/>
      <c r="BI3053" s="254"/>
    </row>
    <row r="3054" spans="1:61" customFormat="1" ht="17.25" thickBot="1" x14ac:dyDescent="0.3">
      <c r="A3054" s="673" t="s">
        <v>5214</v>
      </c>
      <c r="B3054" s="245"/>
      <c r="C3054" s="677"/>
      <c r="D3054" s="499"/>
      <c r="E3054" s="499"/>
      <c r="F3054" s="500"/>
      <c r="G3054" s="501"/>
      <c r="H3054" s="502"/>
      <c r="I3054" s="246"/>
      <c r="J3054" s="247"/>
      <c r="K3054" s="503"/>
      <c r="L3054" s="544"/>
      <c r="M3054" s="544"/>
      <c r="N3054" s="500"/>
      <c r="O3054" s="500"/>
      <c r="P3054" s="500"/>
      <c r="Q3054" s="500"/>
      <c r="R3054" s="500"/>
      <c r="S3054" s="669" t="s">
        <v>5024</v>
      </c>
      <c r="T3054" s="508">
        <f t="shared" si="2335"/>
        <v>0</v>
      </c>
      <c r="U3054" s="225" t="str">
        <f>IF(NOT(ISNUMBER(G3054)), "", VLOOKUP(A3054,'Discount Lookup'!D:E,2,FALSE)*G3054)</f>
        <v/>
      </c>
      <c r="V3054" s="225" t="str">
        <f>IF(NOT(ISNUMBER(G3054)), "", VLOOKUP(A3054,'Discount Lookup'!G:H,2,FALSE)*G3054)</f>
        <v/>
      </c>
      <c r="W3054" s="508">
        <f t="shared" si="2336"/>
        <v>0</v>
      </c>
      <c r="X3054" s="508">
        <f t="shared" si="2337"/>
        <v>0</v>
      </c>
      <c r="Y3054" s="509" t="b">
        <f t="shared" si="2338"/>
        <v>0</v>
      </c>
      <c r="Z3054" s="510">
        <f t="shared" si="2339"/>
        <v>0</v>
      </c>
      <c r="AA3054" s="511"/>
      <c r="AB3054" s="511" t="str">
        <f t="shared" si="2340"/>
        <v/>
      </c>
      <c r="AC3054" s="698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698"/>
      <c r="AE3054" s="631" t="str">
        <f t="shared" si="2341"/>
        <v/>
      </c>
      <c r="AF3054" s="699" t="str">
        <f t="shared" si="2342"/>
        <v/>
      </c>
      <c r="AG3054" s="699"/>
      <c r="AH3054" s="699"/>
      <c r="AI3054" s="512">
        <f>IF(H3054="credit",0,IF(AE3054="free",0,IF(AE3054="me",0,IF(G3054&gt;0,(VLOOKUP(A3054,'Discount Lookup'!J:K,2)*G3054),0))))</f>
        <v>0</v>
      </c>
      <c r="AJ3054" s="513" t="str">
        <f t="shared" ca="1" si="2343"/>
        <v/>
      </c>
      <c r="AK3054" s="700" t="str">
        <f t="shared" si="2344"/>
        <v/>
      </c>
      <c r="AL3054" s="700"/>
      <c r="AM3054" s="505" t="str">
        <f t="shared" si="2345"/>
        <v/>
      </c>
      <c r="AN3054" s="506"/>
      <c r="AO3054" s="507"/>
      <c r="AP3054" s="507"/>
      <c r="AQ3054" s="507"/>
      <c r="AR3054" s="507"/>
      <c r="AS3054" s="507"/>
      <c r="AT3054" s="507"/>
      <c r="AU3054" s="507"/>
      <c r="AV3054" s="225"/>
      <c r="AW3054" s="508"/>
      <c r="AX3054" s="225"/>
      <c r="AY3054" s="225"/>
      <c r="AZ3054" s="225"/>
      <c r="BA3054" s="225"/>
      <c r="BB3054" s="225"/>
      <c r="BC3054" s="56"/>
      <c r="BD3054" s="56"/>
      <c r="BE3054" s="56"/>
      <c r="BF3054" s="107" t="str">
        <f t="shared" si="2346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054" s="107" t="str">
        <f t="shared" si="2347"/>
        <v>m</v>
      </c>
      <c r="BH3054" s="254"/>
      <c r="BI3054" s="254"/>
    </row>
    <row r="3055" spans="1:61" customFormat="1" ht="18" x14ac:dyDescent="0.25">
      <c r="A3055" s="523" t="s">
        <v>5516</v>
      </c>
      <c r="B3055" s="235"/>
      <c r="C3055" s="676"/>
      <c r="D3055" s="255" t="s">
        <v>1601</v>
      </c>
      <c r="E3055" s="236"/>
      <c r="F3055" s="236"/>
      <c r="G3055" s="236"/>
      <c r="H3055" s="582" t="s">
        <v>394</v>
      </c>
      <c r="I3055" s="498" t="s">
        <v>3013</v>
      </c>
      <c r="J3055" s="237"/>
      <c r="K3055" s="237"/>
      <c r="L3055" s="274"/>
      <c r="M3055" s="668" t="s">
        <v>4962</v>
      </c>
      <c r="N3055" s="681" t="str">
        <f>IF(AND(ISTEXT($A3055), ISERROR($A3055+0)), HYPERLINK($BF3055, "Images"), "")</f>
        <v>Images</v>
      </c>
      <c r="O3055" s="663" t="s">
        <v>4974</v>
      </c>
      <c r="P3055" s="253"/>
      <c r="Q3055" s="238"/>
      <c r="R3055" s="239"/>
      <c r="S3055" s="275"/>
      <c r="T3055" s="508">
        <f t="shared" si="2335"/>
        <v>0</v>
      </c>
      <c r="U3055" s="225" t="str">
        <f>IF(NOT(ISNUMBER(G3055)), "", VLOOKUP(A3055,'Discount Lookup'!D:E,2,FALSE)*G3055)</f>
        <v/>
      </c>
      <c r="V3055" s="225" t="str">
        <f>IF(NOT(ISNUMBER(G3055)), "", VLOOKUP(A3055,'Discount Lookup'!G:H,2,FALSE)*G3055)</f>
        <v/>
      </c>
      <c r="W3055" s="508">
        <f t="shared" si="2336"/>
        <v>0</v>
      </c>
      <c r="X3055" s="508" t="str">
        <f t="shared" si="2337"/>
        <v>Raspberry-Pink bloom</v>
      </c>
      <c r="Y3055" s="509" t="b">
        <f t="shared" si="2338"/>
        <v>0</v>
      </c>
      <c r="Z3055" s="510">
        <f t="shared" si="2339"/>
        <v>0</v>
      </c>
      <c r="AA3055" s="511"/>
      <c r="AB3055" s="511" t="str">
        <f t="shared" si="2340"/>
        <v/>
      </c>
      <c r="AC3055" s="698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698"/>
      <c r="AE3055" s="631" t="str">
        <f t="shared" si="2341"/>
        <v/>
      </c>
      <c r="AF3055" s="699" t="str">
        <f t="shared" si="2342"/>
        <v/>
      </c>
      <c r="AG3055" s="699"/>
      <c r="AH3055" s="699"/>
      <c r="AI3055" s="512">
        <f>IF(H3055="credit",0,IF(AE3055="free",0,IF(AE3055="me",0,IF(G3055&gt;0,(VLOOKUP(A3055,'Discount Lookup'!J:K,2)*G3055),0))))</f>
        <v>0</v>
      </c>
      <c r="AJ3055" s="513" t="str">
        <f t="shared" ca="1" si="2343"/>
        <v/>
      </c>
      <c r="AK3055" s="700" t="str">
        <f t="shared" si="2344"/>
        <v/>
      </c>
      <c r="AL3055" s="700"/>
      <c r="AM3055" s="505" t="str">
        <f t="shared" si="2345"/>
        <v/>
      </c>
      <c r="AN3055" s="506"/>
      <c r="AO3055" s="507"/>
      <c r="AP3055" s="507"/>
      <c r="AQ3055" s="507"/>
      <c r="AR3055" s="507"/>
      <c r="AS3055" s="507"/>
      <c r="AT3055" s="507"/>
      <c r="AU3055" s="507"/>
      <c r="AV3055" s="225"/>
      <c r="AW3055" s="508"/>
      <c r="AX3055" s="225"/>
      <c r="AY3055" s="225"/>
      <c r="AZ3055" s="225"/>
      <c r="BA3055" s="225"/>
      <c r="BB3055" s="225"/>
      <c r="BC3055" s="56"/>
      <c r="BD3055" s="56"/>
      <c r="BE3055" s="56"/>
      <c r="BF3055" s="107" t="str">
        <f t="shared" si="2346"/>
        <v>https://www.google.com/search?tbm=isch&amp;q=Raspberry%20Cupcake%E2%84%A2%20Hybrid%20Tea%20Rose%20Rosa%20%27KORcarmsis%27%20PP%2333406</v>
      </c>
      <c r="BG3055" s="107" t="str">
        <f t="shared" si="2347"/>
        <v>R</v>
      </c>
      <c r="BH3055" s="254"/>
      <c r="BI3055" s="254"/>
    </row>
    <row r="3056" spans="1:61" customFormat="1" ht="15.75" x14ac:dyDescent="0.25">
      <c r="A3056" s="276">
        <v>3</v>
      </c>
      <c r="B3056" s="240" t="s">
        <v>291</v>
      </c>
      <c r="C3056" s="241" t="s">
        <v>3046</v>
      </c>
      <c r="D3056" s="242" t="s">
        <v>312</v>
      </c>
      <c r="E3056" s="243">
        <v>43.95</v>
      </c>
      <c r="F3056" s="517" t="s">
        <v>293</v>
      </c>
      <c r="G3056" s="232">
        <v>0</v>
      </c>
      <c r="H3056" s="661" t="str">
        <f>IF(G3056=0,"",IF(F3056="Buy",IF(G3056=1,"plant","plants"),IF(F3056&gt;0.01,"warranty","Error")))</f>
        <v/>
      </c>
      <c r="I3056" s="244">
        <f>IF(H3056="free",0,IF(H3056="credit",((E3056*(F3056))*G3056*-1),IF(F3056="Buy",(E3056*G3056),((E3056*(1-F3056))*G3056))))</f>
        <v>0</v>
      </c>
      <c r="J3056" s="244">
        <f>IF(H3056="warranty",0,(I3056*(_xlfn.SINGLE(SalesTaxPercentage))))</f>
        <v>0</v>
      </c>
      <c r="K3056" s="696">
        <f t="shared" ref="K3056" si="2363">I3056+J3056</f>
        <v>0</v>
      </c>
      <c r="L3056" s="696"/>
      <c r="M3056" s="659" t="str">
        <f>IF(AND(G3056&gt;0,E3056=0),"WARNING - no PRICE inserted",IF(H3056="free"," FREE ~ no charge this plant",IF(H3056="credit",CONCATENATE(" -$",ROUND(K3056*(1-T2GDiscount)*-1,2)," CREDIT after discount"),IF(T2GDiscount=0,"",IF(G3056=0,"",IF(F3056="Buy",CONCATENATE(" $",ROUND(K3056*(1-T2GDiscount),2)," with ",(T2GDiscount*100),"% discount"),CONCATENATE(" $",ROUND(K3056*(1-T2GDiscount),2)," with ",((T2GDiscount*100+F3056*100)-(T2GDiscount*100*F3056)),IF(F3056&gt;0,"% discounts",IF(NoWarrantyDiscount&gt;0,"% discounts","% discount")))))))))</f>
        <v/>
      </c>
      <c r="N3056" s="660"/>
      <c r="O3056" s="233"/>
      <c r="P3056" s="233"/>
      <c r="Q3056" s="233"/>
      <c r="R3056" s="233"/>
      <c r="S3056" s="233"/>
      <c r="T3056" s="508">
        <f t="shared" si="2335"/>
        <v>0</v>
      </c>
      <c r="U3056" s="225">
        <f>IF(NOT(ISNUMBER(G3056)), "", VLOOKUP(A3056,'Discount Lookup'!D:E,2,FALSE)*G3056)</f>
        <v>0</v>
      </c>
      <c r="V3056" s="225">
        <f>IF(NOT(ISNUMBER(G3056)), "", VLOOKUP(A3056,'Discount Lookup'!G:H,2,FALSE)*G3056)</f>
        <v>0</v>
      </c>
      <c r="W3056" s="508">
        <f t="shared" si="2336"/>
        <v>0</v>
      </c>
      <c r="X3056" s="508">
        <f t="shared" si="2337"/>
        <v>0</v>
      </c>
      <c r="Y3056" s="509" t="b">
        <f t="shared" si="2338"/>
        <v>0</v>
      </c>
      <c r="Z3056" s="510">
        <f t="shared" si="2339"/>
        <v>0</v>
      </c>
      <c r="AA3056" s="511"/>
      <c r="AB3056" s="511" t="str">
        <f t="shared" si="2340"/>
        <v/>
      </c>
      <c r="AC3056" s="698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698"/>
      <c r="AE3056" s="631" t="str">
        <f t="shared" si="2341"/>
        <v/>
      </c>
      <c r="AF3056" s="699" t="str">
        <f t="shared" si="2342"/>
        <v/>
      </c>
      <c r="AG3056" s="699"/>
      <c r="AH3056" s="699"/>
      <c r="AI3056" s="512">
        <f>IF(H3056="credit",0,IF(AE3056="free",0,IF(AE3056="me",0,IF(G3056&gt;0,(VLOOKUP(A3056,'Discount Lookup'!J:K,2)*G3056),0))))</f>
        <v>0</v>
      </c>
      <c r="AJ3056" s="513" t="str">
        <f t="shared" ca="1" si="2343"/>
        <v/>
      </c>
      <c r="AK3056" s="700" t="str">
        <f t="shared" si="2344"/>
        <v/>
      </c>
      <c r="AL3056" s="700"/>
      <c r="AM3056" s="505" t="str">
        <f t="shared" si="2345"/>
        <v/>
      </c>
      <c r="AN3056" s="506"/>
      <c r="AO3056" s="507"/>
      <c r="AP3056" s="507"/>
      <c r="AQ3056" s="507"/>
      <c r="AR3056" s="507"/>
      <c r="AS3056" s="507"/>
      <c r="AT3056" s="507"/>
      <c r="AU3056" s="507"/>
      <c r="AV3056" s="225"/>
      <c r="AW3056" s="508"/>
      <c r="AX3056" s="225"/>
      <c r="AY3056" s="225"/>
      <c r="AZ3056" s="225"/>
      <c r="BA3056" s="225"/>
      <c r="BB3056" s="225"/>
      <c r="BC3056" s="56"/>
      <c r="BD3056" s="56"/>
      <c r="BE3056" s="56"/>
      <c r="BF3056" s="107" t="str">
        <f t="shared" si="2346"/>
        <v>https://www.google.com/search?tbm=isch&amp;q=3%20G2</v>
      </c>
      <c r="BG3056" s="107" t="str">
        <f t="shared" si="2347"/>
        <v>R</v>
      </c>
      <c r="BH3056" s="254"/>
      <c r="BI3056" s="254"/>
    </row>
    <row r="3057" spans="1:61" customFormat="1" ht="17.25" thickBot="1" x14ac:dyDescent="0.3">
      <c r="A3057" s="524" t="s">
        <v>4156</v>
      </c>
      <c r="B3057" s="245"/>
      <c r="C3057" s="677"/>
      <c r="D3057" s="499"/>
      <c r="E3057" s="499"/>
      <c r="F3057" s="500"/>
      <c r="G3057" s="501"/>
      <c r="H3057" s="502"/>
      <c r="I3057" s="246"/>
      <c r="J3057" s="247"/>
      <c r="K3057" s="503"/>
      <c r="L3057" s="544"/>
      <c r="M3057" s="544"/>
      <c r="N3057" s="500"/>
      <c r="O3057" s="500"/>
      <c r="P3057" s="500"/>
      <c r="Q3057" s="500"/>
      <c r="R3057" s="500"/>
      <c r="S3057" s="669" t="s">
        <v>4980</v>
      </c>
      <c r="T3057" s="508">
        <f t="shared" si="2335"/>
        <v>0</v>
      </c>
      <c r="U3057" s="225" t="str">
        <f>IF(NOT(ISNUMBER(G3057)), "", VLOOKUP(A3057,'Discount Lookup'!D:E,2,FALSE)*G3057)</f>
        <v/>
      </c>
      <c r="V3057" s="225" t="str">
        <f>IF(NOT(ISNUMBER(G3057)), "", VLOOKUP(A3057,'Discount Lookup'!G:H,2,FALSE)*G3057)</f>
        <v/>
      </c>
      <c r="W3057" s="508">
        <f t="shared" si="2336"/>
        <v>0</v>
      </c>
      <c r="X3057" s="508">
        <f t="shared" si="2337"/>
        <v>0</v>
      </c>
      <c r="Y3057" s="509" t="b">
        <f t="shared" si="2338"/>
        <v>0</v>
      </c>
      <c r="Z3057" s="510">
        <f t="shared" si="2339"/>
        <v>0</v>
      </c>
      <c r="AA3057" s="511"/>
      <c r="AB3057" s="511" t="str">
        <f t="shared" si="2340"/>
        <v/>
      </c>
      <c r="AC3057" s="698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698"/>
      <c r="AE3057" s="631" t="str">
        <f t="shared" si="2341"/>
        <v/>
      </c>
      <c r="AF3057" s="699" t="str">
        <f t="shared" si="2342"/>
        <v/>
      </c>
      <c r="AG3057" s="699"/>
      <c r="AH3057" s="699"/>
      <c r="AI3057" s="512">
        <f>IF(H3057="credit",0,IF(AE3057="free",0,IF(AE3057="me",0,IF(G3057&gt;0,(VLOOKUP(A3057,'Discount Lookup'!J:K,2)*G3057),0))))</f>
        <v>0</v>
      </c>
      <c r="AJ3057" s="513" t="str">
        <f t="shared" ca="1" si="2343"/>
        <v/>
      </c>
      <c r="AK3057" s="700" t="str">
        <f t="shared" si="2344"/>
        <v/>
      </c>
      <c r="AL3057" s="700"/>
      <c r="AM3057" s="505" t="str">
        <f t="shared" si="2345"/>
        <v/>
      </c>
      <c r="AN3057" s="506"/>
      <c r="AO3057" s="507"/>
      <c r="AP3057" s="507"/>
      <c r="AQ3057" s="507"/>
      <c r="AR3057" s="507"/>
      <c r="AS3057" s="507"/>
      <c r="AT3057" s="507"/>
      <c r="AU3057" s="507"/>
      <c r="AV3057" s="225"/>
      <c r="AW3057" s="508"/>
      <c r="AX3057" s="225"/>
      <c r="AY3057" s="225"/>
      <c r="AZ3057" s="225"/>
      <c r="BA3057" s="225"/>
      <c r="BB3057" s="225"/>
      <c r="BC3057" s="56"/>
      <c r="BD3057" s="56"/>
      <c r="BE3057" s="56"/>
      <c r="BF3057" s="107" t="str">
        <f t="shared" si="2346"/>
        <v>https://www.google.com/search?tbm=isch&amp;q=Raspberry%20Cupcake%20has%20raspberry%2Flemony%20fragrance.%20Deadhead%20as%20needed.%20Thorny%20%28rabbits%20may%20still%20nibble%29.%20Cut%20back%20annually%20</v>
      </c>
      <c r="BG3057" s="107" t="str">
        <f t="shared" si="2347"/>
        <v>R</v>
      </c>
      <c r="BH3057" s="254"/>
      <c r="BI3057" s="254"/>
    </row>
    <row r="3058" spans="1:61" customFormat="1" ht="18" x14ac:dyDescent="0.25">
      <c r="A3058" s="523" t="s">
        <v>1602</v>
      </c>
      <c r="B3058" s="235"/>
      <c r="C3058" s="676"/>
      <c r="D3058" s="255" t="s">
        <v>1603</v>
      </c>
      <c r="E3058" s="236"/>
      <c r="F3058" s="236"/>
      <c r="G3058" s="236"/>
      <c r="H3058" s="582" t="s">
        <v>356</v>
      </c>
      <c r="I3058" s="498" t="s">
        <v>3158</v>
      </c>
      <c r="J3058" s="237"/>
      <c r="K3058" s="237"/>
      <c r="L3058" s="274"/>
      <c r="M3058" s="668" t="s">
        <v>4962</v>
      </c>
      <c r="N3058" s="681" t="str">
        <f>IF(AND(ISTEXT($A3058), ISERROR($A3058+0)), HYPERLINK($BF3058, "Images"), "")</f>
        <v>Images</v>
      </c>
      <c r="O3058" s="663" t="s">
        <v>4967</v>
      </c>
      <c r="P3058" s="253"/>
      <c r="Q3058" s="238"/>
      <c r="R3058" s="239"/>
      <c r="S3058" s="275"/>
      <c r="T3058" s="508">
        <f t="shared" si="2335"/>
        <v>0</v>
      </c>
      <c r="U3058" s="225" t="str">
        <f>IF(NOT(ISNUMBER(G3058)), "", VLOOKUP(A3058,'Discount Lookup'!D:E,2,FALSE)*G3058)</f>
        <v/>
      </c>
      <c r="V3058" s="225" t="str">
        <f>IF(NOT(ISNUMBER(G3058)), "", VLOOKUP(A3058,'Discount Lookup'!G:H,2,FALSE)*G3058)</f>
        <v/>
      </c>
      <c r="W3058" s="508">
        <f t="shared" si="2336"/>
        <v>0</v>
      </c>
      <c r="X3058" s="508" t="str">
        <f t="shared" si="2337"/>
        <v>Pink bloom, Raspberry eye</v>
      </c>
      <c r="Y3058" s="509" t="b">
        <f t="shared" si="2338"/>
        <v>0</v>
      </c>
      <c r="Z3058" s="510">
        <f t="shared" si="2339"/>
        <v>0</v>
      </c>
      <c r="AA3058" s="511"/>
      <c r="AB3058" s="511" t="str">
        <f t="shared" si="2340"/>
        <v/>
      </c>
      <c r="AC3058" s="698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698"/>
      <c r="AE3058" s="631" t="str">
        <f t="shared" si="2341"/>
        <v/>
      </c>
      <c r="AF3058" s="699" t="str">
        <f t="shared" si="2342"/>
        <v/>
      </c>
      <c r="AG3058" s="699"/>
      <c r="AH3058" s="699"/>
      <c r="AI3058" s="512">
        <f>IF(H3058="credit",0,IF(AE3058="free",0,IF(AE3058="me",0,IF(G3058&gt;0,(VLOOKUP(A3058,'Discount Lookup'!J:K,2)*G3058),0))))</f>
        <v>0</v>
      </c>
      <c r="AJ3058" s="513" t="str">
        <f t="shared" ca="1" si="2343"/>
        <v/>
      </c>
      <c r="AK3058" s="700" t="str">
        <f t="shared" si="2344"/>
        <v/>
      </c>
      <c r="AL3058" s="700"/>
      <c r="AM3058" s="505" t="str">
        <f t="shared" si="2345"/>
        <v/>
      </c>
      <c r="AN3058" s="506"/>
      <c r="AO3058" s="507"/>
      <c r="AP3058" s="507"/>
      <c r="AQ3058" s="507"/>
      <c r="AR3058" s="507"/>
      <c r="AS3058" s="507"/>
      <c r="AT3058" s="507"/>
      <c r="AU3058" s="507"/>
      <c r="AV3058" s="225"/>
      <c r="AW3058" s="508"/>
      <c r="AX3058" s="225"/>
      <c r="AY3058" s="225"/>
      <c r="AZ3058" s="225"/>
      <c r="BA3058" s="225"/>
      <c r="BB3058" s="225"/>
      <c r="BC3058" s="56"/>
      <c r="BD3058" s="56"/>
      <c r="BE3058" s="56"/>
      <c r="BF3058" s="107" t="str">
        <f t="shared" si="2346"/>
        <v>https://www.google.com/search?tbm=isch&amp;q=Raspberry%20Eyes%20Butterfly%20Bush%20Buddleia%20davidii%20%27Raspberry%20Eyes%27</v>
      </c>
      <c r="BG3058" s="107" t="str">
        <f t="shared" si="2347"/>
        <v>R</v>
      </c>
      <c r="BH3058" s="254"/>
      <c r="BI3058" s="254"/>
    </row>
    <row r="3059" spans="1:61" customFormat="1" ht="15.75" x14ac:dyDescent="0.25">
      <c r="A3059" s="276">
        <v>3</v>
      </c>
      <c r="B3059" s="240" t="s">
        <v>291</v>
      </c>
      <c r="C3059" s="241"/>
      <c r="D3059" s="242" t="s">
        <v>298</v>
      </c>
      <c r="E3059" s="243">
        <v>25.95</v>
      </c>
      <c r="F3059" s="517" t="s">
        <v>293</v>
      </c>
      <c r="G3059" s="232">
        <v>0</v>
      </c>
      <c r="H3059" s="661" t="str">
        <f>IF(G3059=0,"",IF(F3059="Buy",IF(G3059=1,"plant","plants"),IF(F3059&gt;0.01,"warranty","Error")))</f>
        <v/>
      </c>
      <c r="I3059" s="244">
        <f>IF(H3059="free",0,IF(H3059="credit",((E3059*(F3059))*G3059*-1),IF(F3059="Buy",(E3059*G3059),((E3059*(1-F3059))*G3059))))</f>
        <v>0</v>
      </c>
      <c r="J3059" s="244">
        <f>IF(H3059="warranty",0,(I3059*(_xlfn.SINGLE(SalesTaxPercentage))))</f>
        <v>0</v>
      </c>
      <c r="K3059" s="696">
        <f t="shared" ref="K3059" si="2364">I3059+J3059</f>
        <v>0</v>
      </c>
      <c r="L3059" s="696"/>
      <c r="M3059" s="659" t="str">
        <f>IF(AND(G3059&gt;0,E3059=0),"WARNING - no PRICE inserted",IF(H3059="free"," FREE ~ no charge this plant",IF(H3059="credit",CONCATENATE(" -$",ROUND(K3059*(1-T2GDiscount)*-1,2)," CREDIT after discount"),IF(T2GDiscount=0,"",IF(G3059=0,"",IF(F3059="Buy",CONCATENATE(" $",ROUND(K3059*(1-T2GDiscount),2)," with ",(T2GDiscount*100),"% discount"),CONCATENATE(" $",ROUND(K3059*(1-T2GDiscount),2)," with ",((T2GDiscount*100+F3059*100)-(T2GDiscount*100*F3059)),IF(F3059&gt;0,"% discounts",IF(NoWarrantyDiscount&gt;0,"% discounts","% discount")))))))))</f>
        <v/>
      </c>
      <c r="N3059" s="660"/>
      <c r="O3059" s="233"/>
      <c r="P3059" s="233"/>
      <c r="Q3059" s="233"/>
      <c r="R3059" s="233"/>
      <c r="S3059" s="233"/>
      <c r="T3059" s="508">
        <f t="shared" si="2335"/>
        <v>0</v>
      </c>
      <c r="U3059" s="225">
        <f>IF(NOT(ISNUMBER(G3059)), "", VLOOKUP(A3059,'Discount Lookup'!D:E,2,FALSE)*G3059)</f>
        <v>0</v>
      </c>
      <c r="V3059" s="225">
        <f>IF(NOT(ISNUMBER(G3059)), "", VLOOKUP(A3059,'Discount Lookup'!G:H,2,FALSE)*G3059)</f>
        <v>0</v>
      </c>
      <c r="W3059" s="508">
        <f t="shared" si="2336"/>
        <v>0</v>
      </c>
      <c r="X3059" s="508">
        <f t="shared" si="2337"/>
        <v>0</v>
      </c>
      <c r="Y3059" s="509" t="b">
        <f t="shared" si="2338"/>
        <v>0</v>
      </c>
      <c r="Z3059" s="510">
        <f t="shared" si="2339"/>
        <v>0</v>
      </c>
      <c r="AA3059" s="511"/>
      <c r="AB3059" s="511" t="str">
        <f t="shared" si="2340"/>
        <v/>
      </c>
      <c r="AC3059" s="698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698"/>
      <c r="AE3059" s="631" t="str">
        <f t="shared" si="2341"/>
        <v/>
      </c>
      <c r="AF3059" s="699" t="str">
        <f t="shared" si="2342"/>
        <v/>
      </c>
      <c r="AG3059" s="699"/>
      <c r="AH3059" s="699"/>
      <c r="AI3059" s="512">
        <f>IF(H3059="credit",0,IF(AE3059="free",0,IF(AE3059="me",0,IF(G3059&gt;0,(VLOOKUP(A3059,'Discount Lookup'!J:K,2)*G3059),0))))</f>
        <v>0</v>
      </c>
      <c r="AJ3059" s="513" t="str">
        <f t="shared" ca="1" si="2343"/>
        <v/>
      </c>
      <c r="AK3059" s="700" t="str">
        <f t="shared" si="2344"/>
        <v/>
      </c>
      <c r="AL3059" s="700"/>
      <c r="AM3059" s="505" t="str">
        <f t="shared" si="2345"/>
        <v/>
      </c>
      <c r="AN3059" s="506"/>
      <c r="AO3059" s="507"/>
      <c r="AP3059" s="507"/>
      <c r="AQ3059" s="507"/>
      <c r="AR3059" s="507"/>
      <c r="AS3059" s="507"/>
      <c r="AT3059" s="507"/>
      <c r="AU3059" s="507"/>
      <c r="AV3059" s="225"/>
      <c r="AW3059" s="508"/>
      <c r="AX3059" s="225"/>
      <c r="AY3059" s="225"/>
      <c r="AZ3059" s="225"/>
      <c r="BA3059" s="225"/>
      <c r="BB3059" s="225"/>
      <c r="BC3059" s="56"/>
      <c r="BD3059" s="56"/>
      <c r="BE3059" s="56"/>
      <c r="BF3059" s="107" t="str">
        <f t="shared" si="2346"/>
        <v>https://www.google.com/search?tbm=isch&amp;q=3%20G1</v>
      </c>
      <c r="BG3059" s="107" t="str">
        <f t="shared" si="2347"/>
        <v>R</v>
      </c>
      <c r="BH3059" s="254"/>
      <c r="BI3059" s="254"/>
    </row>
    <row r="3060" spans="1:61" customFormat="1" ht="17.25" thickBot="1" x14ac:dyDescent="0.3">
      <c r="A3060" s="524" t="s">
        <v>3159</v>
      </c>
      <c r="B3060" s="245"/>
      <c r="C3060" s="677"/>
      <c r="D3060" s="499"/>
      <c r="E3060" s="499"/>
      <c r="F3060" s="500"/>
      <c r="G3060" s="501"/>
      <c r="H3060" s="502"/>
      <c r="I3060" s="246"/>
      <c r="J3060" s="247"/>
      <c r="K3060" s="503"/>
      <c r="L3060" s="544"/>
      <c r="M3060" s="544"/>
      <c r="N3060" s="500"/>
      <c r="O3060" s="500"/>
      <c r="P3060" s="500"/>
      <c r="Q3060" s="500"/>
      <c r="R3060" s="500"/>
      <c r="S3060" s="669" t="s">
        <v>4980</v>
      </c>
      <c r="T3060" s="508">
        <f t="shared" si="2335"/>
        <v>0</v>
      </c>
      <c r="U3060" s="225" t="str">
        <f>IF(NOT(ISNUMBER(G3060)), "", VLOOKUP(A3060,'Discount Lookup'!D:E,2,FALSE)*G3060)</f>
        <v/>
      </c>
      <c r="V3060" s="225" t="str">
        <f>IF(NOT(ISNUMBER(G3060)), "", VLOOKUP(A3060,'Discount Lookup'!G:H,2,FALSE)*G3060)</f>
        <v/>
      </c>
      <c r="W3060" s="508">
        <f t="shared" si="2336"/>
        <v>0</v>
      </c>
      <c r="X3060" s="508">
        <f t="shared" si="2337"/>
        <v>0</v>
      </c>
      <c r="Y3060" s="509" t="b">
        <f t="shared" si="2338"/>
        <v>0</v>
      </c>
      <c r="Z3060" s="510">
        <f t="shared" si="2339"/>
        <v>0</v>
      </c>
      <c r="AA3060" s="511"/>
      <c r="AB3060" s="511" t="str">
        <f t="shared" si="2340"/>
        <v/>
      </c>
      <c r="AC3060" s="698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698"/>
      <c r="AE3060" s="631" t="str">
        <f t="shared" si="2341"/>
        <v/>
      </c>
      <c r="AF3060" s="699" t="str">
        <f t="shared" si="2342"/>
        <v/>
      </c>
      <c r="AG3060" s="699"/>
      <c r="AH3060" s="699"/>
      <c r="AI3060" s="512">
        <f>IF(H3060="credit",0,IF(AE3060="free",0,IF(AE3060="me",0,IF(G3060&gt;0,(VLOOKUP(A3060,'Discount Lookup'!J:K,2)*G3060),0))))</f>
        <v>0</v>
      </c>
      <c r="AJ3060" s="513" t="str">
        <f t="shared" ca="1" si="2343"/>
        <v/>
      </c>
      <c r="AK3060" s="700" t="str">
        <f t="shared" si="2344"/>
        <v/>
      </c>
      <c r="AL3060" s="700"/>
      <c r="AM3060" s="505" t="str">
        <f t="shared" si="2345"/>
        <v/>
      </c>
      <c r="AN3060" s="506"/>
      <c r="AO3060" s="507"/>
      <c r="AP3060" s="507"/>
      <c r="AQ3060" s="507"/>
      <c r="AR3060" s="507"/>
      <c r="AS3060" s="507"/>
      <c r="AT3060" s="507"/>
      <c r="AU3060" s="507"/>
      <c r="AV3060" s="225"/>
      <c r="AW3060" s="508"/>
      <c r="AX3060" s="225"/>
      <c r="AY3060" s="225"/>
      <c r="AZ3060" s="225"/>
      <c r="BA3060" s="225"/>
      <c r="BB3060" s="225"/>
      <c r="BC3060" s="56"/>
      <c r="BD3060" s="56"/>
      <c r="BE3060" s="56"/>
      <c r="BF3060" s="107" t="str">
        <f t="shared" si="2346"/>
        <v>https://www.google.com/search?tbm=isch&amp;q=Raspberry%20Eyes%20has%20Gray-Green%20foliage%20and%20a%20fragrance.%20%20All%20BB%20bloom%20summer%20to%20frost%2C%20on%20new%20wood%2C%20so%20cut%20back%20hard%20late%20winter%20</v>
      </c>
      <c r="BG3060" s="107" t="str">
        <f t="shared" si="2347"/>
        <v>R</v>
      </c>
      <c r="BH3060" s="254"/>
      <c r="BI3060" s="254"/>
    </row>
    <row r="3061" spans="1:61" customFormat="1" ht="18" x14ac:dyDescent="0.25">
      <c r="A3061" s="521" t="s">
        <v>5517</v>
      </c>
      <c r="B3061" s="477"/>
      <c r="C3061" s="674"/>
      <c r="D3061" s="478" t="s">
        <v>1604</v>
      </c>
      <c r="E3061" s="479"/>
      <c r="F3061" s="479"/>
      <c r="G3061" s="479"/>
      <c r="H3061" s="582" t="s">
        <v>394</v>
      </c>
      <c r="I3061" s="480" t="s">
        <v>4275</v>
      </c>
      <c r="J3061" s="479"/>
      <c r="K3061" s="479"/>
      <c r="L3061" s="560"/>
      <c r="M3061" s="666" t="s">
        <v>4963</v>
      </c>
      <c r="N3061" s="680" t="str">
        <f>IF(AND(ISTEXT($A3061), ISERROR($A3061+0)), HYPERLINK($BF3061, "Images"), "")</f>
        <v>Images</v>
      </c>
      <c r="O3061" s="662" t="s">
        <v>4969</v>
      </c>
      <c r="P3061" s="482"/>
      <c r="Q3061" s="483"/>
      <c r="R3061" s="483"/>
      <c r="S3061" s="484"/>
      <c r="T3061" s="508">
        <f t="shared" si="2335"/>
        <v>0</v>
      </c>
      <c r="U3061" s="225" t="str">
        <f>IF(NOT(ISNUMBER(G3061)), "", VLOOKUP(A3061,'Discount Lookup'!D:E,2,FALSE)*G3061)</f>
        <v/>
      </c>
      <c r="V3061" s="225" t="str">
        <f>IF(NOT(ISNUMBER(G3061)), "", VLOOKUP(A3061,'Discount Lookup'!G:H,2,FALSE)*G3061)</f>
        <v/>
      </c>
      <c r="W3061" s="508">
        <f t="shared" si="2336"/>
        <v>0</v>
      </c>
      <c r="X3061" s="508" t="str">
        <f t="shared" si="2337"/>
        <v>Light Pink bloom, Dark Pink sepals</v>
      </c>
      <c r="Y3061" s="509" t="b">
        <f t="shared" si="2338"/>
        <v>0</v>
      </c>
      <c r="Z3061" s="510">
        <f t="shared" si="2339"/>
        <v>0</v>
      </c>
      <c r="AA3061" s="511"/>
      <c r="AB3061" s="511" t="str">
        <f t="shared" si="2340"/>
        <v/>
      </c>
      <c r="AC3061" s="698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698"/>
      <c r="AE3061" s="631" t="str">
        <f t="shared" si="2341"/>
        <v/>
      </c>
      <c r="AF3061" s="699" t="str">
        <f t="shared" si="2342"/>
        <v/>
      </c>
      <c r="AG3061" s="699"/>
      <c r="AH3061" s="699"/>
      <c r="AI3061" s="512">
        <f>IF(H3061="credit",0,IF(AE3061="free",0,IF(AE3061="me",0,IF(G3061&gt;0,(VLOOKUP(A3061,'Discount Lookup'!J:K,2)*G3061),0))))</f>
        <v>0</v>
      </c>
      <c r="AJ3061" s="513" t="str">
        <f t="shared" ca="1" si="2343"/>
        <v/>
      </c>
      <c r="AK3061" s="700" t="str">
        <f t="shared" si="2344"/>
        <v/>
      </c>
      <c r="AL3061" s="700"/>
      <c r="AM3061" s="505" t="str">
        <f t="shared" si="2345"/>
        <v/>
      </c>
      <c r="AN3061" s="506"/>
      <c r="AO3061" s="507"/>
      <c r="AP3061" s="507"/>
      <c r="AQ3061" s="507"/>
      <c r="AR3061" s="507"/>
      <c r="AS3061" s="507"/>
      <c r="AT3061" s="507"/>
      <c r="AU3061" s="507"/>
      <c r="AV3061" s="225"/>
      <c r="AW3061" s="508"/>
      <c r="AX3061" s="225"/>
      <c r="AY3061" s="225"/>
      <c r="AZ3061" s="225"/>
      <c r="BA3061" s="225"/>
      <c r="BB3061" s="225"/>
      <c r="BC3061" s="56"/>
      <c r="BD3061" s="56"/>
      <c r="BE3061" s="56"/>
      <c r="BF3061" s="107" t="str">
        <f t="shared" si="2346"/>
        <v>https://www.google.com/search?tbm=isch&amp;q=Raspberry%20Perfection%E2%84%A2%20Abelia%20Abelia%20chinensis%20%27Abesrpras%27%20PP%2333516</v>
      </c>
      <c r="BG3061" s="107" t="str">
        <f t="shared" si="2347"/>
        <v>R</v>
      </c>
      <c r="BH3061" s="254"/>
      <c r="BI3061" s="254"/>
    </row>
    <row r="3062" spans="1:61" customFormat="1" ht="15.75" x14ac:dyDescent="0.25">
      <c r="A3062" s="485">
        <v>3</v>
      </c>
      <c r="B3062" s="486" t="s">
        <v>291</v>
      </c>
      <c r="C3062" s="487" t="s">
        <v>4717</v>
      </c>
      <c r="D3062" s="488" t="s">
        <v>297</v>
      </c>
      <c r="E3062" s="489">
        <v>26.95</v>
      </c>
      <c r="F3062" s="516" t="s">
        <v>293</v>
      </c>
      <c r="G3062" s="232">
        <v>0</v>
      </c>
      <c r="H3062" s="658" t="str">
        <f>IF(G3062=0,"",IF(F3062="Buy",IF(G3062=1,"plant","plants"),IF(F3062&gt;0.01,"warranty","Error")))</f>
        <v/>
      </c>
      <c r="I3062" s="490">
        <f>IF(H3062="free",0,IF(H3062="credit",((E3062*(F3062))*G3062*-1),IF(F3062="Buy",(E3062*G3062),((E3062*(1-F3062))*G3062))))</f>
        <v>0</v>
      </c>
      <c r="J3062" s="490">
        <f>IF(H3062="warranty",0,(I3062*(_xlfn.SINGLE(SalesTaxPercentage))))</f>
        <v>0</v>
      </c>
      <c r="K3062" s="695">
        <f t="shared" ref="K3062" si="2365">I3062+J3062</f>
        <v>0</v>
      </c>
      <c r="L3062" s="695"/>
      <c r="M3062" s="659" t="str">
        <f>IF(AND(G3062&gt;0,E3062=0),"WARNING - no PRICE inserted",IF(H3062="free"," FREE ~ no charge this plant",IF(H3062="credit",CONCATENATE(" -$",ROUND(K3062*(1-T2GDiscount)*-1,2)," CREDIT after discount"),IF(T2GDiscount=0,"",IF(G3062=0,"",IF(F3062="Buy",CONCATENATE(" $",ROUND(K3062*(1-T2GDiscount),2)," with ",(T2GDiscount*100),"% discount"),CONCATENATE(" $",ROUND(K3062*(1-T2GDiscount),2)," with ",((T2GDiscount*100+F3062*100)-(T2GDiscount*100*F3062)),IF(F3062&gt;0,"% discounts",IF(NoWarrantyDiscount&gt;0,"% discounts","% discount")))))))))</f>
        <v/>
      </c>
      <c r="N3062" s="660"/>
      <c r="O3062" s="233"/>
      <c r="P3062" s="233"/>
      <c r="Q3062" s="233"/>
      <c r="R3062" s="233"/>
      <c r="S3062" s="233"/>
      <c r="T3062" s="508">
        <f t="shared" si="2335"/>
        <v>0</v>
      </c>
      <c r="U3062" s="225">
        <f>IF(NOT(ISNUMBER(G3062)), "", VLOOKUP(A3062,'Discount Lookup'!D:E,2,FALSE)*G3062)</f>
        <v>0</v>
      </c>
      <c r="V3062" s="225">
        <f>IF(NOT(ISNUMBER(G3062)), "", VLOOKUP(A3062,'Discount Lookup'!G:H,2,FALSE)*G3062)</f>
        <v>0</v>
      </c>
      <c r="W3062" s="508">
        <f t="shared" si="2336"/>
        <v>0</v>
      </c>
      <c r="X3062" s="508">
        <f t="shared" si="2337"/>
        <v>0</v>
      </c>
      <c r="Y3062" s="509" t="b">
        <f t="shared" si="2338"/>
        <v>0</v>
      </c>
      <c r="Z3062" s="510">
        <f t="shared" si="2339"/>
        <v>0</v>
      </c>
      <c r="AA3062" s="511"/>
      <c r="AB3062" s="511" t="str">
        <f t="shared" si="2340"/>
        <v/>
      </c>
      <c r="AC3062" s="698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698"/>
      <c r="AE3062" s="631" t="str">
        <f t="shared" si="2341"/>
        <v/>
      </c>
      <c r="AF3062" s="699" t="str">
        <f t="shared" si="2342"/>
        <v/>
      </c>
      <c r="AG3062" s="699"/>
      <c r="AH3062" s="699"/>
      <c r="AI3062" s="512">
        <f>IF(H3062="credit",0,IF(AE3062="free",0,IF(AE3062="me",0,IF(G3062&gt;0,(VLOOKUP(A3062,'Discount Lookup'!J:K,2)*G3062),0))))</f>
        <v>0</v>
      </c>
      <c r="AJ3062" s="513" t="str">
        <f t="shared" ca="1" si="2343"/>
        <v/>
      </c>
      <c r="AK3062" s="700" t="str">
        <f t="shared" si="2344"/>
        <v/>
      </c>
      <c r="AL3062" s="700"/>
      <c r="AM3062" s="505" t="str">
        <f t="shared" si="2345"/>
        <v/>
      </c>
      <c r="AN3062" s="506"/>
      <c r="AO3062" s="507"/>
      <c r="AP3062" s="507"/>
      <c r="AQ3062" s="507"/>
      <c r="AR3062" s="507"/>
      <c r="AS3062" s="507"/>
      <c r="AT3062" s="507"/>
      <c r="AU3062" s="507"/>
      <c r="AV3062" s="225"/>
      <c r="AW3062" s="508"/>
      <c r="AX3062" s="225"/>
      <c r="AY3062" s="225"/>
      <c r="AZ3062" s="225"/>
      <c r="BA3062" s="225"/>
      <c r="BB3062" s="225"/>
      <c r="BC3062" s="56"/>
      <c r="BD3062" s="56"/>
      <c r="BE3062" s="56"/>
      <c r="BF3062" s="107" t="str">
        <f t="shared" si="2346"/>
        <v>https://www.google.com/search?tbm=isch&amp;q=3%20G3</v>
      </c>
      <c r="BG3062" s="107" t="str">
        <f t="shared" si="2347"/>
        <v>R</v>
      </c>
      <c r="BH3062" s="254"/>
      <c r="BI3062" s="254"/>
    </row>
    <row r="3063" spans="1:61" customFormat="1" ht="17.25" thickBot="1" x14ac:dyDescent="0.3">
      <c r="A3063" s="522" t="s">
        <v>2691</v>
      </c>
      <c r="B3063" s="491"/>
      <c r="C3063" s="675"/>
      <c r="D3063" s="491"/>
      <c r="E3063" s="491"/>
      <c r="F3063" s="492"/>
      <c r="G3063" s="493"/>
      <c r="H3063" s="491"/>
      <c r="I3063" s="234"/>
      <c r="J3063" s="234"/>
      <c r="K3063" s="494"/>
      <c r="L3063" s="543"/>
      <c r="M3063" s="561"/>
      <c r="N3063" s="495"/>
      <c r="O3063" s="496"/>
      <c r="P3063" s="497"/>
      <c r="Q3063" s="495"/>
      <c r="R3063" s="495"/>
      <c r="S3063" s="667" t="s">
        <v>4997</v>
      </c>
      <c r="T3063" s="508">
        <f t="shared" si="2335"/>
        <v>0</v>
      </c>
      <c r="U3063" s="225" t="str">
        <f>IF(NOT(ISNUMBER(G3063)), "", VLOOKUP(A3063,'Discount Lookup'!D:E,2,FALSE)*G3063)</f>
        <v/>
      </c>
      <c r="V3063" s="225" t="str">
        <f>IF(NOT(ISNUMBER(G3063)), "", VLOOKUP(A3063,'Discount Lookup'!G:H,2,FALSE)*G3063)</f>
        <v/>
      </c>
      <c r="W3063" s="508">
        <f t="shared" si="2336"/>
        <v>0</v>
      </c>
      <c r="X3063" s="508">
        <f t="shared" si="2337"/>
        <v>0</v>
      </c>
      <c r="Y3063" s="509" t="b">
        <f t="shared" si="2338"/>
        <v>0</v>
      </c>
      <c r="Z3063" s="510">
        <f t="shared" si="2339"/>
        <v>0</v>
      </c>
      <c r="AA3063" s="511"/>
      <c r="AB3063" s="511" t="str">
        <f t="shared" si="2340"/>
        <v/>
      </c>
      <c r="AC3063" s="698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698"/>
      <c r="AE3063" s="631" t="str">
        <f t="shared" si="2341"/>
        <v/>
      </c>
      <c r="AF3063" s="699" t="str">
        <f t="shared" si="2342"/>
        <v/>
      </c>
      <c r="AG3063" s="699"/>
      <c r="AH3063" s="699"/>
      <c r="AI3063" s="512">
        <f>IF(H3063="credit",0,IF(AE3063="free",0,IF(AE3063="me",0,IF(G3063&gt;0,(VLOOKUP(A3063,'Discount Lookup'!J:K,2)*G3063),0))))</f>
        <v>0</v>
      </c>
      <c r="AJ3063" s="513" t="str">
        <f t="shared" ca="1" si="2343"/>
        <v/>
      </c>
      <c r="AK3063" s="700" t="str">
        <f t="shared" si="2344"/>
        <v/>
      </c>
      <c r="AL3063" s="700"/>
      <c r="AM3063" s="505" t="str">
        <f t="shared" si="2345"/>
        <v/>
      </c>
      <c r="AN3063" s="506"/>
      <c r="AO3063" s="507"/>
      <c r="AP3063" s="507"/>
      <c r="AQ3063" s="507"/>
      <c r="AR3063" s="507"/>
      <c r="AS3063" s="507"/>
      <c r="AT3063" s="507"/>
      <c r="AU3063" s="507"/>
      <c r="AV3063" s="225"/>
      <c r="AW3063" s="508"/>
      <c r="AX3063" s="225"/>
      <c r="AY3063" s="225"/>
      <c r="AZ3063" s="225"/>
      <c r="BA3063" s="225"/>
      <c r="BB3063" s="225"/>
      <c r="BC3063" s="56"/>
      <c r="BD3063" s="56"/>
      <c r="BE3063" s="56"/>
      <c r="BF3063" s="107" t="str">
        <f t="shared" si="2346"/>
        <v>https://www.google.com/search?tbm=isch&amp;q=Raspberry%20Perfection%27s%20fragrant%20blooms%20persist%20as%20Dark%20Pink%20sepals%20for%20months.%20Reddish%20winter%20tint%20</v>
      </c>
      <c r="BG3063" s="107" t="str">
        <f t="shared" si="2347"/>
        <v>R</v>
      </c>
      <c r="BH3063" s="254"/>
      <c r="BI3063" s="254"/>
    </row>
    <row r="3064" spans="1:61" customFormat="1" ht="18" x14ac:dyDescent="0.25">
      <c r="A3064" s="523" t="s">
        <v>5618</v>
      </c>
      <c r="B3064" s="235"/>
      <c r="C3064" s="676"/>
      <c r="D3064" s="255" t="s">
        <v>647</v>
      </c>
      <c r="E3064" s="236"/>
      <c r="F3064" s="236"/>
      <c r="G3064" s="236"/>
      <c r="H3064" s="582" t="s">
        <v>443</v>
      </c>
      <c r="I3064" s="498" t="s">
        <v>654</v>
      </c>
      <c r="J3064" s="237"/>
      <c r="K3064" s="237"/>
      <c r="L3064" s="274"/>
      <c r="M3064" s="668" t="s">
        <v>4962</v>
      </c>
      <c r="N3064" s="681" t="str">
        <f>IF(AND(ISTEXT($A3064), ISERROR($A3064+0)), HYPERLINK($BF3064, "Images"), "")</f>
        <v>Images</v>
      </c>
      <c r="O3064" s="663" t="s">
        <v>4967</v>
      </c>
      <c r="P3064" s="253"/>
      <c r="Q3064" s="238"/>
      <c r="R3064" s="239"/>
      <c r="S3064" s="275"/>
      <c r="T3064" s="508">
        <f t="shared" si="2335"/>
        <v>0</v>
      </c>
      <c r="U3064" s="225" t="str">
        <f>IF(NOT(ISNUMBER(G3064)), "", VLOOKUP(A3064,'Discount Lookup'!D:E,2,FALSE)*G3064)</f>
        <v/>
      </c>
      <c r="V3064" s="225" t="str">
        <f>IF(NOT(ISNUMBER(G3064)), "", VLOOKUP(A3064,'Discount Lookup'!G:H,2,FALSE)*G3064)</f>
        <v/>
      </c>
      <c r="W3064" s="508">
        <f t="shared" si="2336"/>
        <v>0</v>
      </c>
      <c r="X3064" s="508" t="str">
        <f t="shared" si="2337"/>
        <v>White bloom</v>
      </c>
      <c r="Y3064" s="509" t="b">
        <f t="shared" si="2338"/>
        <v>0</v>
      </c>
      <c r="Z3064" s="510">
        <f t="shared" si="2339"/>
        <v>0</v>
      </c>
      <c r="AA3064" s="511"/>
      <c r="AB3064" s="511" t="str">
        <f t="shared" si="2340"/>
        <v/>
      </c>
      <c r="AC3064" s="698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698"/>
      <c r="AE3064" s="631" t="str">
        <f t="shared" si="2341"/>
        <v/>
      </c>
      <c r="AF3064" s="699" t="str">
        <f t="shared" si="2342"/>
        <v/>
      </c>
      <c r="AG3064" s="699"/>
      <c r="AH3064" s="699"/>
      <c r="AI3064" s="512">
        <f>IF(H3064="credit",0,IF(AE3064="free",0,IF(AE3064="me",0,IF(G3064&gt;0,(VLOOKUP(A3064,'Discount Lookup'!J:K,2)*G3064),0))))</f>
        <v>0</v>
      </c>
      <c r="AJ3064" s="513" t="str">
        <f t="shared" ca="1" si="2343"/>
        <v/>
      </c>
      <c r="AK3064" s="700" t="str">
        <f t="shared" si="2344"/>
        <v/>
      </c>
      <c r="AL3064" s="700"/>
      <c r="AM3064" s="505" t="str">
        <f t="shared" si="2345"/>
        <v/>
      </c>
      <c r="AN3064" s="506"/>
      <c r="AO3064" s="507"/>
      <c r="AP3064" s="507"/>
      <c r="AQ3064" s="507"/>
      <c r="AR3064" s="507"/>
      <c r="AS3064" s="507"/>
      <c r="AT3064" s="507"/>
      <c r="AU3064" s="507"/>
      <c r="AV3064" s="225"/>
      <c r="AW3064" s="508"/>
      <c r="AX3064" s="225"/>
      <c r="AY3064" s="225"/>
      <c r="AZ3064" s="225"/>
      <c r="BA3064" s="225"/>
      <c r="BB3064" s="225"/>
      <c r="BC3064" s="56"/>
      <c r="BD3064" s="56"/>
      <c r="BE3064" s="56"/>
      <c r="BF3064" s="107" t="str">
        <f t="shared" si="2346"/>
        <v>https://www.google.com/search?tbm=isch&amp;q=Raspberry%20Shortcake%C2%AE%20Raspberry%20%28BB%C2%AE%29%20Rubus%20idaeus%20%27NR7%27%20PP%2322141</v>
      </c>
      <c r="BG3064" s="107" t="str">
        <f t="shared" si="2347"/>
        <v>R</v>
      </c>
      <c r="BH3064" s="254"/>
      <c r="BI3064" s="254"/>
    </row>
    <row r="3065" spans="1:61" customFormat="1" ht="15.75" x14ac:dyDescent="0.25">
      <c r="A3065" s="276">
        <v>1</v>
      </c>
      <c r="B3065" s="240" t="s">
        <v>291</v>
      </c>
      <c r="C3065" s="241"/>
      <c r="D3065" s="242" t="s">
        <v>312</v>
      </c>
      <c r="E3065" s="243">
        <v>29.95</v>
      </c>
      <c r="F3065" s="517" t="s">
        <v>293</v>
      </c>
      <c r="G3065" s="232">
        <v>0</v>
      </c>
      <c r="H3065" s="661" t="str">
        <f>IF(G3065=0,"",IF(F3065="Buy",IF(G3065=1,"plant","plants"),IF(F3065&gt;0.01,"warranty","Error")))</f>
        <v/>
      </c>
      <c r="I3065" s="244">
        <f>IF(H3065="free",0,IF(H3065="credit",((E3065*(F3065))*G3065*-1),IF(F3065="Buy",(E3065*G3065),((E3065*(1-F3065))*G3065))))</f>
        <v>0</v>
      </c>
      <c r="J3065" s="244">
        <f>IF(H3065="warranty",0,(I3065*(_xlfn.SINGLE(SalesTaxPercentage))))</f>
        <v>0</v>
      </c>
      <c r="K3065" s="696">
        <f t="shared" ref="K3065" si="2366">I3065+J3065</f>
        <v>0</v>
      </c>
      <c r="L3065" s="696"/>
      <c r="M3065" s="659" t="str">
        <f>IF(AND(G3065&gt;0,E3065=0),"WARNING - no PRICE inserted",IF(H3065="free"," FREE ~ no charge this plant",IF(H3065="credit",CONCATENATE(" -$",ROUND(K3065*(1-T2GDiscount)*-1,2)," CREDIT after discount"),IF(T2GDiscount=0,"",IF(G3065=0,"",IF(F3065="Buy",CONCATENATE(" $",ROUND(K3065*(1-T2GDiscount),2)," with ",(T2GDiscount*100),"% discount"),CONCATENATE(" $",ROUND(K3065*(1-T2GDiscount),2)," with ",((T2GDiscount*100+F3065*100)-(T2GDiscount*100*F3065)),IF(F3065&gt;0,"% discounts",IF(NoWarrantyDiscount&gt;0,"% discounts","% discount")))))))))</f>
        <v/>
      </c>
      <c r="N3065" s="660"/>
      <c r="O3065" s="233"/>
      <c r="P3065" s="233"/>
      <c r="Q3065" s="233"/>
      <c r="R3065" s="233"/>
      <c r="S3065" s="233"/>
      <c r="T3065" s="508">
        <f t="shared" si="2335"/>
        <v>0</v>
      </c>
      <c r="U3065" s="225">
        <f>IF(NOT(ISNUMBER(G3065)), "", VLOOKUP(A3065,'Discount Lookup'!D:E,2,FALSE)*G3065)</f>
        <v>0</v>
      </c>
      <c r="V3065" s="225">
        <f>IF(NOT(ISNUMBER(G3065)), "", VLOOKUP(A3065,'Discount Lookup'!G:H,2,FALSE)*G3065)</f>
        <v>0</v>
      </c>
      <c r="W3065" s="508">
        <f t="shared" si="2336"/>
        <v>0</v>
      </c>
      <c r="X3065" s="508">
        <f t="shared" si="2337"/>
        <v>0</v>
      </c>
      <c r="Y3065" s="509" t="b">
        <f t="shared" si="2338"/>
        <v>0</v>
      </c>
      <c r="Z3065" s="510">
        <f t="shared" si="2339"/>
        <v>0</v>
      </c>
      <c r="AA3065" s="511"/>
      <c r="AB3065" s="511" t="str">
        <f t="shared" si="2340"/>
        <v/>
      </c>
      <c r="AC3065" s="698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698"/>
      <c r="AE3065" s="631" t="str">
        <f t="shared" si="2341"/>
        <v/>
      </c>
      <c r="AF3065" s="699" t="str">
        <f t="shared" si="2342"/>
        <v/>
      </c>
      <c r="AG3065" s="699"/>
      <c r="AH3065" s="699"/>
      <c r="AI3065" s="512">
        <f>IF(H3065="credit",0,IF(AE3065="free",0,IF(AE3065="me",0,IF(G3065&gt;0,(VLOOKUP(A3065,'Discount Lookup'!J:K,2)*G3065),0))))</f>
        <v>0</v>
      </c>
      <c r="AJ3065" s="513" t="str">
        <f t="shared" ca="1" si="2343"/>
        <v/>
      </c>
      <c r="AK3065" s="700" t="str">
        <f t="shared" si="2344"/>
        <v/>
      </c>
      <c r="AL3065" s="700"/>
      <c r="AM3065" s="505" t="str">
        <f t="shared" si="2345"/>
        <v/>
      </c>
      <c r="AN3065" s="506"/>
      <c r="AO3065" s="507"/>
      <c r="AP3065" s="507"/>
      <c r="AQ3065" s="507"/>
      <c r="AR3065" s="507"/>
      <c r="AS3065" s="507"/>
      <c r="AT3065" s="507"/>
      <c r="AU3065" s="507"/>
      <c r="AV3065" s="225"/>
      <c r="AW3065" s="508"/>
      <c r="AX3065" s="225"/>
      <c r="AY3065" s="225"/>
      <c r="AZ3065" s="225"/>
      <c r="BA3065" s="225"/>
      <c r="BB3065" s="225"/>
      <c r="BC3065" s="56"/>
      <c r="BD3065" s="56"/>
      <c r="BE3065" s="56"/>
      <c r="BF3065" s="107" t="str">
        <f t="shared" si="2346"/>
        <v>https://www.google.com/search?tbm=isch&amp;q=1%20G2</v>
      </c>
      <c r="BG3065" s="107" t="str">
        <f t="shared" si="2347"/>
        <v>R</v>
      </c>
      <c r="BH3065" s="254"/>
      <c r="BI3065" s="254"/>
    </row>
    <row r="3066" spans="1:61" customFormat="1" ht="15.75" x14ac:dyDescent="0.25">
      <c r="A3066" s="276">
        <v>2</v>
      </c>
      <c r="B3066" s="240" t="s">
        <v>291</v>
      </c>
      <c r="C3066" s="241"/>
      <c r="D3066" s="242" t="s">
        <v>298</v>
      </c>
      <c r="E3066" s="243">
        <v>34.950000000000003</v>
      </c>
      <c r="F3066" s="517" t="s">
        <v>293</v>
      </c>
      <c r="G3066" s="232">
        <v>0</v>
      </c>
      <c r="H3066" s="661" t="str">
        <f>IF(G3066=0,"",IF(F3066="Buy",IF(G3066=1,"plant","plants"),IF(F3066&gt;0.01,"warranty","Error")))</f>
        <v/>
      </c>
      <c r="I3066" s="244">
        <f>IF(H3066="free",0,IF(H3066="credit",((E3066*(F3066))*G3066*-1),IF(F3066="Buy",(E3066*G3066),((E3066*(1-F3066))*G3066))))</f>
        <v>0</v>
      </c>
      <c r="J3066" s="244">
        <f>IF(H3066="warranty",0,(I3066*(_xlfn.SINGLE(SalesTaxPercentage))))</f>
        <v>0</v>
      </c>
      <c r="K3066" s="696">
        <f t="shared" ref="K3066" si="2367">I3066+J3066</f>
        <v>0</v>
      </c>
      <c r="L3066" s="696"/>
      <c r="M3066" s="659" t="str">
        <f>IF(AND(G3066&gt;0,E3066=0),"WARNING - no PRICE inserted",IF(H3066="free"," FREE ~ no charge this plant",IF(H3066="credit",CONCATENATE(" -$",ROUND(K3066*(1-T2GDiscount)*-1,2)," CREDIT after discount"),IF(T2GDiscount=0,"",IF(G3066=0,"",IF(F3066="Buy",CONCATENATE(" $",ROUND(K3066*(1-T2GDiscount),2)," with ",(T2GDiscount*100),"% discount"),CONCATENATE(" $",ROUND(K3066*(1-T2GDiscount),2)," with ",((T2GDiscount*100+F3066*100)-(T2GDiscount*100*F3066)),IF(F3066&gt;0,"% discounts",IF(NoWarrantyDiscount&gt;0,"% discounts","% discount")))))))))</f>
        <v/>
      </c>
      <c r="N3066" s="660"/>
      <c r="O3066" s="233"/>
      <c r="P3066" s="233"/>
      <c r="Q3066" s="233"/>
      <c r="R3066" s="233"/>
      <c r="S3066" s="233"/>
      <c r="T3066" s="508">
        <f t="shared" si="2335"/>
        <v>0</v>
      </c>
      <c r="U3066" s="225">
        <f>IF(NOT(ISNUMBER(G3066)), "", VLOOKUP(A3066,'Discount Lookup'!D:E,2,FALSE)*G3066)</f>
        <v>0</v>
      </c>
      <c r="V3066" s="225">
        <f>IF(NOT(ISNUMBER(G3066)), "", VLOOKUP(A3066,'Discount Lookup'!G:H,2,FALSE)*G3066)</f>
        <v>0</v>
      </c>
      <c r="W3066" s="508">
        <f t="shared" si="2336"/>
        <v>0</v>
      </c>
      <c r="X3066" s="508">
        <f t="shared" si="2337"/>
        <v>0</v>
      </c>
      <c r="Y3066" s="509" t="b">
        <f t="shared" si="2338"/>
        <v>0</v>
      </c>
      <c r="Z3066" s="510">
        <f t="shared" si="2339"/>
        <v>0</v>
      </c>
      <c r="AA3066" s="511"/>
      <c r="AB3066" s="511" t="str">
        <f t="shared" si="2340"/>
        <v/>
      </c>
      <c r="AC3066" s="698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698"/>
      <c r="AE3066" s="631" t="str">
        <f t="shared" si="2341"/>
        <v/>
      </c>
      <c r="AF3066" s="699" t="str">
        <f t="shared" si="2342"/>
        <v/>
      </c>
      <c r="AG3066" s="699"/>
      <c r="AH3066" s="699"/>
      <c r="AI3066" s="512">
        <f>IF(H3066="credit",0,IF(AE3066="free",0,IF(AE3066="me",0,IF(G3066&gt;0,(VLOOKUP(A3066,'Discount Lookup'!J:K,2)*G3066),0))))</f>
        <v>0</v>
      </c>
      <c r="AJ3066" s="513" t="str">
        <f t="shared" ca="1" si="2343"/>
        <v/>
      </c>
      <c r="AK3066" s="700" t="str">
        <f t="shared" si="2344"/>
        <v/>
      </c>
      <c r="AL3066" s="700"/>
      <c r="AM3066" s="505" t="str">
        <f t="shared" si="2345"/>
        <v/>
      </c>
      <c r="AN3066" s="506"/>
      <c r="AO3066" s="507"/>
      <c r="AP3066" s="507"/>
      <c r="AQ3066" s="507"/>
      <c r="AR3066" s="507"/>
      <c r="AS3066" s="507"/>
      <c r="AT3066" s="507"/>
      <c r="AU3066" s="507"/>
      <c r="AV3066" s="225"/>
      <c r="AW3066" s="508"/>
      <c r="AX3066" s="225"/>
      <c r="AY3066" s="225"/>
      <c r="AZ3066" s="225"/>
      <c r="BA3066" s="225"/>
      <c r="BB3066" s="225"/>
      <c r="BC3066" s="56"/>
      <c r="BD3066" s="56"/>
      <c r="BE3066" s="56"/>
      <c r="BF3066" s="107" t="str">
        <f t="shared" si="2346"/>
        <v>https://www.google.com/search?tbm=isch&amp;q=2%20G1</v>
      </c>
      <c r="BG3066" s="107" t="str">
        <f t="shared" si="2347"/>
        <v>R</v>
      </c>
      <c r="BH3066" s="254"/>
      <c r="BI3066" s="254"/>
    </row>
    <row r="3067" spans="1:61" customFormat="1" ht="17.25" thickBot="1" x14ac:dyDescent="0.3">
      <c r="A3067" s="524" t="s">
        <v>2337</v>
      </c>
      <c r="B3067" s="245"/>
      <c r="C3067" s="677"/>
      <c r="D3067" s="499"/>
      <c r="E3067" s="499"/>
      <c r="F3067" s="500"/>
      <c r="G3067" s="501"/>
      <c r="H3067" s="502"/>
      <c r="I3067" s="246"/>
      <c r="J3067" s="247"/>
      <c r="K3067" s="503"/>
      <c r="L3067" s="544"/>
      <c r="M3067" s="544"/>
      <c r="N3067" s="500"/>
      <c r="O3067" s="500"/>
      <c r="P3067" s="500"/>
      <c r="Q3067" s="500"/>
      <c r="R3067" s="500"/>
      <c r="S3067" s="669" t="s">
        <v>4972</v>
      </c>
      <c r="T3067" s="508">
        <f t="shared" si="2335"/>
        <v>0</v>
      </c>
      <c r="U3067" s="225" t="str">
        <f>IF(NOT(ISNUMBER(G3067)), "", VLOOKUP(A3067,'Discount Lookup'!D:E,2,FALSE)*G3067)</f>
        <v/>
      </c>
      <c r="V3067" s="225" t="str">
        <f>IF(NOT(ISNUMBER(G3067)), "", VLOOKUP(A3067,'Discount Lookup'!G:H,2,FALSE)*G3067)</f>
        <v/>
      </c>
      <c r="W3067" s="508">
        <f t="shared" si="2336"/>
        <v>0</v>
      </c>
      <c r="X3067" s="508">
        <f t="shared" si="2337"/>
        <v>0</v>
      </c>
      <c r="Y3067" s="509" t="b">
        <f t="shared" si="2338"/>
        <v>0</v>
      </c>
      <c r="Z3067" s="510">
        <f t="shared" si="2339"/>
        <v>0</v>
      </c>
      <c r="AA3067" s="511"/>
      <c r="AB3067" s="511" t="str">
        <f t="shared" si="2340"/>
        <v/>
      </c>
      <c r="AC3067" s="698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698"/>
      <c r="AE3067" s="631" t="str">
        <f t="shared" si="2341"/>
        <v/>
      </c>
      <c r="AF3067" s="699" t="str">
        <f t="shared" si="2342"/>
        <v/>
      </c>
      <c r="AG3067" s="699"/>
      <c r="AH3067" s="699"/>
      <c r="AI3067" s="512">
        <f>IF(H3067="credit",0,IF(AE3067="free",0,IF(AE3067="me",0,IF(G3067&gt;0,(VLOOKUP(A3067,'Discount Lookup'!J:K,2)*G3067),0))))</f>
        <v>0</v>
      </c>
      <c r="AJ3067" s="513" t="str">
        <f t="shared" ca="1" si="2343"/>
        <v/>
      </c>
      <c r="AK3067" s="700" t="str">
        <f t="shared" si="2344"/>
        <v/>
      </c>
      <c r="AL3067" s="700"/>
      <c r="AM3067" s="505" t="str">
        <f t="shared" si="2345"/>
        <v/>
      </c>
      <c r="AN3067" s="506"/>
      <c r="AO3067" s="507"/>
      <c r="AP3067" s="507"/>
      <c r="AQ3067" s="507"/>
      <c r="AR3067" s="507"/>
      <c r="AS3067" s="507"/>
      <c r="AT3067" s="507"/>
      <c r="AU3067" s="507"/>
      <c r="AV3067" s="225"/>
      <c r="AW3067" s="508"/>
      <c r="AX3067" s="225"/>
      <c r="AY3067" s="225"/>
      <c r="AZ3067" s="225"/>
      <c r="BA3067" s="225"/>
      <c r="BB3067" s="225"/>
      <c r="BC3067" s="56"/>
      <c r="BD3067" s="56"/>
      <c r="BE3067" s="56"/>
      <c r="BF3067" s="107" t="str">
        <f t="shared" si="2346"/>
        <v>https://www.google.com/search?tbm=isch&amp;q=Shortcake%20is%20thornless%2C%20producing%20full%20size%20vanilla%20flavored%20berries.%20No%20staking%20needed.%20Self-pollinating%20</v>
      </c>
      <c r="BG3067" s="107" t="str">
        <f t="shared" si="2347"/>
        <v>S</v>
      </c>
      <c r="BH3067" s="254"/>
      <c r="BI3067" s="254"/>
    </row>
    <row r="3068" spans="1:61" customFormat="1" ht="18" x14ac:dyDescent="0.25">
      <c r="A3068" s="521" t="s">
        <v>1605</v>
      </c>
      <c r="B3068" s="477"/>
      <c r="C3068" s="674"/>
      <c r="D3068" s="478" t="s">
        <v>1606</v>
      </c>
      <c r="E3068" s="479"/>
      <c r="F3068" s="479"/>
      <c r="G3068" s="479"/>
      <c r="H3068" s="582" t="s">
        <v>441</v>
      </c>
      <c r="I3068" s="480" t="s">
        <v>654</v>
      </c>
      <c r="J3068" s="479"/>
      <c r="K3068" s="479"/>
      <c r="L3068" s="560"/>
      <c r="M3068" s="666" t="s">
        <v>4966</v>
      </c>
      <c r="N3068" s="680" t="str">
        <f>IF(AND(ISTEXT($A3068), ISERROR($A3068+0)), HYPERLINK($BF3068, "Images"), "")</f>
        <v>Images</v>
      </c>
      <c r="O3068" s="662" t="s">
        <v>4967</v>
      </c>
      <c r="P3068" s="482"/>
      <c r="Q3068" s="483"/>
      <c r="R3068" s="483"/>
      <c r="S3068" s="484" t="s">
        <v>305</v>
      </c>
      <c r="T3068" s="508">
        <f t="shared" si="2335"/>
        <v>0</v>
      </c>
      <c r="U3068" s="225" t="str">
        <f>IF(NOT(ISNUMBER(G3068)), "", VLOOKUP(A3068,'Discount Lookup'!D:E,2,FALSE)*G3068)</f>
        <v/>
      </c>
      <c r="V3068" s="225" t="str">
        <f>IF(NOT(ISNUMBER(G3068)), "", VLOOKUP(A3068,'Discount Lookup'!G:H,2,FALSE)*G3068)</f>
        <v/>
      </c>
      <c r="W3068" s="508">
        <f t="shared" si="2336"/>
        <v>0</v>
      </c>
      <c r="X3068" s="508" t="str">
        <f t="shared" si="2337"/>
        <v>White bloom</v>
      </c>
      <c r="Y3068" s="509" t="b">
        <f t="shared" si="2338"/>
        <v>0</v>
      </c>
      <c r="Z3068" s="510">
        <f t="shared" si="2339"/>
        <v>0</v>
      </c>
      <c r="AA3068" s="511"/>
      <c r="AB3068" s="511" t="str">
        <f t="shared" si="2340"/>
        <v/>
      </c>
      <c r="AC3068" s="698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698"/>
      <c r="AE3068" s="631" t="str">
        <f t="shared" si="2341"/>
        <v/>
      </c>
      <c r="AF3068" s="699" t="str">
        <f t="shared" si="2342"/>
        <v/>
      </c>
      <c r="AG3068" s="699"/>
      <c r="AH3068" s="699"/>
      <c r="AI3068" s="512">
        <f>IF(H3068="credit",0,IF(AE3068="free",0,IF(AE3068="me",0,IF(G3068&gt;0,(VLOOKUP(A3068,'Discount Lookup'!J:K,2)*G3068),0))))</f>
        <v>0</v>
      </c>
      <c r="AJ3068" s="513" t="str">
        <f t="shared" ca="1" si="2343"/>
        <v/>
      </c>
      <c r="AK3068" s="700" t="str">
        <f t="shared" si="2344"/>
        <v/>
      </c>
      <c r="AL3068" s="700"/>
      <c r="AM3068" s="505" t="str">
        <f t="shared" si="2345"/>
        <v/>
      </c>
      <c r="AN3068" s="506"/>
      <c r="AO3068" s="507"/>
      <c r="AP3068" s="507"/>
      <c r="AQ3068" s="507"/>
      <c r="AR3068" s="507"/>
      <c r="AS3068" s="507"/>
      <c r="AT3068" s="507"/>
      <c r="AU3068" s="507"/>
      <c r="AV3068" s="225"/>
      <c r="AW3068" s="508"/>
      <c r="AX3068" s="225"/>
      <c r="AY3068" s="225"/>
      <c r="AZ3068" s="225"/>
      <c r="BA3068" s="225"/>
      <c r="BB3068" s="225"/>
      <c r="BC3068" s="56"/>
      <c r="BD3068" s="56"/>
      <c r="BE3068" s="56"/>
      <c r="BF3068" s="107" t="str">
        <f t="shared" si="2346"/>
        <v>https://www.google.com/search?tbm=isch&amp;q=Raulston%20Hardy%20Viburnum%20Viburnum%20obovatum%20%27Raulston%20Hardy%27</v>
      </c>
      <c r="BG3068" s="107" t="str">
        <f t="shared" si="2347"/>
        <v>R</v>
      </c>
      <c r="BH3068" s="254"/>
      <c r="BI3068" s="254"/>
    </row>
    <row r="3069" spans="1:61" customFormat="1" ht="15.75" x14ac:dyDescent="0.25">
      <c r="A3069" s="485">
        <v>3</v>
      </c>
      <c r="B3069" s="486" t="s">
        <v>291</v>
      </c>
      <c r="C3069" s="487"/>
      <c r="D3069" s="488" t="s">
        <v>298</v>
      </c>
      <c r="E3069" s="489">
        <v>33.950000000000003</v>
      </c>
      <c r="F3069" s="516" t="s">
        <v>293</v>
      </c>
      <c r="G3069" s="232">
        <v>0</v>
      </c>
      <c r="H3069" s="658" t="str">
        <f>IF(G3069=0,"",IF(F3069="Buy",IF(G3069=1,"plant","plants"),IF(F3069&gt;0.01,"warranty","Error")))</f>
        <v/>
      </c>
      <c r="I3069" s="490">
        <f>IF(H3069="free",0,IF(H3069="credit",((E3069*(F3069))*G3069*-1),IF(F3069="Buy",(E3069*G3069),((E3069*(1-F3069))*G3069))))</f>
        <v>0</v>
      </c>
      <c r="J3069" s="490">
        <f>IF(H3069="warranty",0,(I3069*(_xlfn.SINGLE(SalesTaxPercentage))))</f>
        <v>0</v>
      </c>
      <c r="K3069" s="695">
        <f t="shared" ref="K3069" si="2368">I3069+J3069</f>
        <v>0</v>
      </c>
      <c r="L3069" s="695"/>
      <c r="M3069" s="659" t="str">
        <f>IF(AND(G3069&gt;0,E3069=0),"WARNING - no PRICE inserted",IF(H3069="free"," FREE ~ no charge this plant",IF(H3069="credit",CONCATENATE(" -$",ROUND(K3069*(1-T2GDiscount)*-1,2)," CREDIT after discount"),IF(T2GDiscount=0,"",IF(G3069=0,"",IF(F3069="Buy",CONCATENATE(" $",ROUND(K3069*(1-T2GDiscount),2)," with ",(T2GDiscount*100),"% discount"),CONCATENATE(" $",ROUND(K3069*(1-T2GDiscount),2)," with ",((T2GDiscount*100+F3069*100)-(T2GDiscount*100*F3069)),IF(F3069&gt;0,"% discounts",IF(NoWarrantyDiscount&gt;0,"% discounts","% discount")))))))))</f>
        <v/>
      </c>
      <c r="N3069" s="660"/>
      <c r="O3069" s="233"/>
      <c r="P3069" s="233"/>
      <c r="Q3069" s="233"/>
      <c r="R3069" s="233"/>
      <c r="S3069" s="233"/>
      <c r="T3069" s="508">
        <f t="shared" si="2335"/>
        <v>0</v>
      </c>
      <c r="U3069" s="225">
        <f>IF(NOT(ISNUMBER(G3069)), "", VLOOKUP(A3069,'Discount Lookup'!D:E,2,FALSE)*G3069)</f>
        <v>0</v>
      </c>
      <c r="V3069" s="225">
        <f>IF(NOT(ISNUMBER(G3069)), "", VLOOKUP(A3069,'Discount Lookup'!G:H,2,FALSE)*G3069)</f>
        <v>0</v>
      </c>
      <c r="W3069" s="508">
        <f t="shared" si="2336"/>
        <v>0</v>
      </c>
      <c r="X3069" s="508">
        <f t="shared" si="2337"/>
        <v>0</v>
      </c>
      <c r="Y3069" s="509" t="b">
        <f t="shared" si="2338"/>
        <v>0</v>
      </c>
      <c r="Z3069" s="510">
        <f t="shared" si="2339"/>
        <v>0</v>
      </c>
      <c r="AA3069" s="511"/>
      <c r="AB3069" s="511" t="str">
        <f t="shared" si="2340"/>
        <v/>
      </c>
      <c r="AC3069" s="698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698"/>
      <c r="AE3069" s="631" t="str">
        <f t="shared" si="2341"/>
        <v/>
      </c>
      <c r="AF3069" s="699" t="str">
        <f t="shared" si="2342"/>
        <v/>
      </c>
      <c r="AG3069" s="699"/>
      <c r="AH3069" s="699"/>
      <c r="AI3069" s="512">
        <f>IF(H3069="credit",0,IF(AE3069="free",0,IF(AE3069="me",0,IF(G3069&gt;0,(VLOOKUP(A3069,'Discount Lookup'!J:K,2)*G3069),0))))</f>
        <v>0</v>
      </c>
      <c r="AJ3069" s="513" t="str">
        <f t="shared" ca="1" si="2343"/>
        <v/>
      </c>
      <c r="AK3069" s="700" t="str">
        <f t="shared" si="2344"/>
        <v/>
      </c>
      <c r="AL3069" s="700"/>
      <c r="AM3069" s="505" t="str">
        <f t="shared" si="2345"/>
        <v/>
      </c>
      <c r="AN3069" s="506"/>
      <c r="AO3069" s="507"/>
      <c r="AP3069" s="507"/>
      <c r="AQ3069" s="507"/>
      <c r="AR3069" s="507"/>
      <c r="AS3069" s="507"/>
      <c r="AT3069" s="507"/>
      <c r="AU3069" s="507"/>
      <c r="AV3069" s="225"/>
      <c r="AW3069" s="508"/>
      <c r="AX3069" s="225"/>
      <c r="AY3069" s="225"/>
      <c r="AZ3069" s="225"/>
      <c r="BA3069" s="225"/>
      <c r="BB3069" s="225"/>
      <c r="BC3069" s="56"/>
      <c r="BD3069" s="56"/>
      <c r="BE3069" s="56"/>
      <c r="BF3069" s="107" t="str">
        <f t="shared" si="2346"/>
        <v>https://www.google.com/search?tbm=isch&amp;q=3%20G1</v>
      </c>
      <c r="BG3069" s="107" t="str">
        <f t="shared" si="2347"/>
        <v>R</v>
      </c>
      <c r="BH3069" s="254"/>
      <c r="BI3069" s="254"/>
    </row>
    <row r="3070" spans="1:61" customFormat="1" ht="15.75" x14ac:dyDescent="0.25">
      <c r="A3070" s="485">
        <v>3</v>
      </c>
      <c r="B3070" s="486" t="s">
        <v>291</v>
      </c>
      <c r="C3070" s="487" t="s">
        <v>1607</v>
      </c>
      <c r="D3070" s="488" t="s">
        <v>300</v>
      </c>
      <c r="E3070" s="489">
        <v>56.95</v>
      </c>
      <c r="F3070" s="516" t="s">
        <v>293</v>
      </c>
      <c r="G3070" s="232">
        <v>0</v>
      </c>
      <c r="H3070" s="658" t="str">
        <f>IF(G3070=0,"",IF(F3070="Buy",IF(G3070=1,"plant","plants"),IF(F3070&gt;0.01,"warranty","Error")))</f>
        <v/>
      </c>
      <c r="I3070" s="490">
        <f>IF(H3070="free",0,IF(H3070="credit",((E3070*(F3070))*G3070*-1),IF(F3070="Buy",(E3070*G3070),((E3070*(1-F3070))*G3070))))</f>
        <v>0</v>
      </c>
      <c r="J3070" s="490">
        <f>IF(H3070="warranty",0,(I3070*(_xlfn.SINGLE(SalesTaxPercentage))))</f>
        <v>0</v>
      </c>
      <c r="K3070" s="695">
        <f t="shared" ref="K3070" si="2369">I3070+J3070</f>
        <v>0</v>
      </c>
      <c r="L3070" s="695"/>
      <c r="M3070" s="659" t="str">
        <f>IF(AND(G3070&gt;0,E3070=0),"WARNING - no PRICE inserted",IF(H3070="free"," FREE ~ no charge this plant",IF(H3070="credit",CONCATENATE(" -$",ROUND(K3070*(1-T2GDiscount)*-1,2)," CREDIT after discount"),IF(T2GDiscount=0,"",IF(G3070=0,"",IF(F3070="Buy",CONCATENATE(" $",ROUND(K3070*(1-T2GDiscount),2)," with ",(T2GDiscount*100),"% discount"),CONCATENATE(" $",ROUND(K3070*(1-T2GDiscount),2)," with ",((T2GDiscount*100+F3070*100)-(T2GDiscount*100*F3070)),IF(F3070&gt;0,"% discounts",IF(NoWarrantyDiscount&gt;0,"% discounts","% discount")))))))))</f>
        <v/>
      </c>
      <c r="N3070" s="660"/>
      <c r="O3070" s="233"/>
      <c r="P3070" s="233"/>
      <c r="Q3070" s="233"/>
      <c r="R3070" s="233"/>
      <c r="S3070" s="233"/>
      <c r="T3070" s="508">
        <f t="shared" si="2335"/>
        <v>0</v>
      </c>
      <c r="U3070" s="225">
        <f>IF(NOT(ISNUMBER(G3070)), "", VLOOKUP(A3070,'Discount Lookup'!D:E,2,FALSE)*G3070)</f>
        <v>0</v>
      </c>
      <c r="V3070" s="225">
        <f>IF(NOT(ISNUMBER(G3070)), "", VLOOKUP(A3070,'Discount Lookup'!G:H,2,FALSE)*G3070)</f>
        <v>0</v>
      </c>
      <c r="W3070" s="508">
        <f t="shared" si="2336"/>
        <v>0</v>
      </c>
      <c r="X3070" s="508">
        <f t="shared" si="2337"/>
        <v>0</v>
      </c>
      <c r="Y3070" s="509" t="b">
        <f t="shared" si="2338"/>
        <v>0</v>
      </c>
      <c r="Z3070" s="510">
        <f t="shared" si="2339"/>
        <v>0</v>
      </c>
      <c r="AA3070" s="511"/>
      <c r="AB3070" s="511" t="str">
        <f t="shared" si="2340"/>
        <v/>
      </c>
      <c r="AC3070" s="698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698"/>
      <c r="AE3070" s="631" t="str">
        <f t="shared" si="2341"/>
        <v/>
      </c>
      <c r="AF3070" s="699" t="str">
        <f t="shared" si="2342"/>
        <v/>
      </c>
      <c r="AG3070" s="699"/>
      <c r="AH3070" s="699"/>
      <c r="AI3070" s="512">
        <f>IF(H3070="credit",0,IF(AE3070="free",0,IF(AE3070="me",0,IF(G3070&gt;0,(VLOOKUP(A3070,'Discount Lookup'!J:K,2)*G3070),0))))</f>
        <v>0</v>
      </c>
      <c r="AJ3070" s="513" t="str">
        <f t="shared" ca="1" si="2343"/>
        <v/>
      </c>
      <c r="AK3070" s="700" t="str">
        <f t="shared" si="2344"/>
        <v/>
      </c>
      <c r="AL3070" s="700"/>
      <c r="AM3070" s="505" t="str">
        <f t="shared" si="2345"/>
        <v/>
      </c>
      <c r="AN3070" s="506"/>
      <c r="AO3070" s="507"/>
      <c r="AP3070" s="507"/>
      <c r="AQ3070" s="507"/>
      <c r="AR3070" s="507"/>
      <c r="AS3070" s="507"/>
      <c r="AT3070" s="507"/>
      <c r="AU3070" s="507"/>
      <c r="AV3070" s="225"/>
      <c r="AW3070" s="508"/>
      <c r="AX3070" s="225"/>
      <c r="AY3070" s="225"/>
      <c r="AZ3070" s="225"/>
      <c r="BA3070" s="225"/>
      <c r="BB3070" s="225"/>
      <c r="BC3070" s="56"/>
      <c r="BD3070" s="56"/>
      <c r="BE3070" s="56"/>
      <c r="BF3070" s="107" t="str">
        <f t="shared" si="2346"/>
        <v>https://www.google.com/search?tbm=isch&amp;q=3%20G6</v>
      </c>
      <c r="BG3070" s="107" t="str">
        <f t="shared" si="2347"/>
        <v>R</v>
      </c>
      <c r="BH3070" s="254"/>
      <c r="BI3070" s="254"/>
    </row>
    <row r="3071" spans="1:61" customFormat="1" ht="15.75" x14ac:dyDescent="0.25">
      <c r="A3071" s="485">
        <v>5</v>
      </c>
      <c r="B3071" s="486" t="s">
        <v>291</v>
      </c>
      <c r="C3071" s="487" t="s">
        <v>4019</v>
      </c>
      <c r="D3071" s="488" t="s">
        <v>292</v>
      </c>
      <c r="E3071" s="489">
        <v>86.95</v>
      </c>
      <c r="F3071" s="516" t="s">
        <v>293</v>
      </c>
      <c r="G3071" s="232">
        <v>0</v>
      </c>
      <c r="H3071" s="658" t="str">
        <f>IF(G3071=0,"",IF(F3071="Buy",IF(G3071=1,"plant","plants"),IF(F3071&gt;0.01,"warranty","Error")))</f>
        <v/>
      </c>
      <c r="I3071" s="490">
        <f>IF(H3071="free",0,IF(H3071="credit",((E3071*(F3071))*G3071*-1),IF(F3071="Buy",(E3071*G3071),((E3071*(1-F3071))*G3071))))</f>
        <v>0</v>
      </c>
      <c r="J3071" s="490">
        <f>IF(H3071="warranty",0,(I3071*(_xlfn.SINGLE(SalesTaxPercentage))))</f>
        <v>0</v>
      </c>
      <c r="K3071" s="695">
        <f t="shared" ref="K3071" si="2370">I3071+J3071</f>
        <v>0</v>
      </c>
      <c r="L3071" s="695"/>
      <c r="M3071" s="659" t="str">
        <f>IF(AND(G3071&gt;0,E3071=0),"WARNING - no PRICE inserted",IF(H3071="free"," FREE ~ no charge this plant",IF(H3071="credit",CONCATENATE(" -$",ROUND(K3071*(1-T2GDiscount)*-1,2)," CREDIT after discount"),IF(T2GDiscount=0,"",IF(G3071=0,"",IF(F3071="Buy",CONCATENATE(" $",ROUND(K3071*(1-T2GDiscount),2)," with ",(T2GDiscount*100),"% discount"),CONCATENATE(" $",ROUND(K3071*(1-T2GDiscount),2)," with ",((T2GDiscount*100+F3071*100)-(T2GDiscount*100*F3071)),IF(F3071&gt;0,"% discounts",IF(NoWarrantyDiscount&gt;0,"% discounts","% discount")))))))))</f>
        <v/>
      </c>
      <c r="N3071" s="660"/>
      <c r="O3071" s="233"/>
      <c r="P3071" s="233"/>
      <c r="Q3071" s="233"/>
      <c r="R3071" s="233"/>
      <c r="S3071" s="233"/>
      <c r="T3071" s="508">
        <f t="shared" si="2335"/>
        <v>0</v>
      </c>
      <c r="U3071" s="225">
        <f>IF(NOT(ISNUMBER(G3071)), "", VLOOKUP(A3071,'Discount Lookup'!D:E,2,FALSE)*G3071)</f>
        <v>0</v>
      </c>
      <c r="V3071" s="225">
        <f>IF(NOT(ISNUMBER(G3071)), "", VLOOKUP(A3071,'Discount Lookup'!G:H,2,FALSE)*G3071)</f>
        <v>0</v>
      </c>
      <c r="W3071" s="508">
        <f t="shared" si="2336"/>
        <v>0</v>
      </c>
      <c r="X3071" s="508">
        <f t="shared" si="2337"/>
        <v>0</v>
      </c>
      <c r="Y3071" s="509" t="b">
        <f t="shared" si="2338"/>
        <v>0</v>
      </c>
      <c r="Z3071" s="510">
        <f t="shared" si="2339"/>
        <v>0</v>
      </c>
      <c r="AA3071" s="511"/>
      <c r="AB3071" s="511" t="str">
        <f t="shared" si="2340"/>
        <v/>
      </c>
      <c r="AC3071" s="698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698"/>
      <c r="AE3071" s="631" t="str">
        <f t="shared" si="2341"/>
        <v/>
      </c>
      <c r="AF3071" s="699" t="str">
        <f t="shared" si="2342"/>
        <v/>
      </c>
      <c r="AG3071" s="699"/>
      <c r="AH3071" s="699"/>
      <c r="AI3071" s="512">
        <f>IF(H3071="credit",0,IF(AE3071="free",0,IF(AE3071="me",0,IF(G3071&gt;0,(VLOOKUP(A3071,'Discount Lookup'!J:K,2)*G3071),0))))</f>
        <v>0</v>
      </c>
      <c r="AJ3071" s="513" t="str">
        <f t="shared" ca="1" si="2343"/>
        <v/>
      </c>
      <c r="AK3071" s="700" t="str">
        <f t="shared" si="2344"/>
        <v/>
      </c>
      <c r="AL3071" s="700"/>
      <c r="AM3071" s="505" t="str">
        <f t="shared" si="2345"/>
        <v/>
      </c>
      <c r="AN3071" s="506"/>
      <c r="AO3071" s="507"/>
      <c r="AP3071" s="507"/>
      <c r="AQ3071" s="507"/>
      <c r="AR3071" s="507"/>
      <c r="AS3071" s="507"/>
      <c r="AT3071" s="507"/>
      <c r="AU3071" s="507"/>
      <c r="AV3071" s="225"/>
      <c r="AW3071" s="508"/>
      <c r="AX3071" s="225"/>
      <c r="AY3071" s="225"/>
      <c r="AZ3071" s="225"/>
      <c r="BA3071" s="225"/>
      <c r="BB3071" s="225"/>
      <c r="BC3071" s="56"/>
      <c r="BD3071" s="56"/>
      <c r="BE3071" s="56"/>
      <c r="BF3071" s="107" t="str">
        <f t="shared" si="2346"/>
        <v>https://www.google.com/search?tbm=isch&amp;q=5%20G4</v>
      </c>
      <c r="BG3071" s="107" t="str">
        <f t="shared" si="2347"/>
        <v>R</v>
      </c>
      <c r="BH3071" s="254"/>
      <c r="BI3071" s="254"/>
    </row>
    <row r="3072" spans="1:61" customFormat="1" ht="17.25" thickBot="1" x14ac:dyDescent="0.3">
      <c r="A3072" s="672" t="s">
        <v>5215</v>
      </c>
      <c r="B3072" s="491"/>
      <c r="C3072" s="675"/>
      <c r="D3072" s="491"/>
      <c r="E3072" s="491"/>
      <c r="F3072" s="492"/>
      <c r="G3072" s="493"/>
      <c r="H3072" s="491"/>
      <c r="I3072" s="234"/>
      <c r="J3072" s="234"/>
      <c r="K3072" s="494"/>
      <c r="L3072" s="543"/>
      <c r="M3072" s="561"/>
      <c r="N3072" s="495"/>
      <c r="O3072" s="496"/>
      <c r="P3072" s="497"/>
      <c r="Q3072" s="495"/>
      <c r="R3072" s="495"/>
      <c r="S3072" s="667" t="s">
        <v>4982</v>
      </c>
      <c r="T3072" s="508">
        <f t="shared" si="2335"/>
        <v>0</v>
      </c>
      <c r="U3072" s="225" t="str">
        <f>IF(NOT(ISNUMBER(G3072)), "", VLOOKUP(A3072,'Discount Lookup'!D:E,2,FALSE)*G3072)</f>
        <v/>
      </c>
      <c r="V3072" s="225" t="str">
        <f>IF(NOT(ISNUMBER(G3072)), "", VLOOKUP(A3072,'Discount Lookup'!G:H,2,FALSE)*G3072)</f>
        <v/>
      </c>
      <c r="W3072" s="508">
        <f t="shared" si="2336"/>
        <v>0</v>
      </c>
      <c r="X3072" s="508">
        <f t="shared" si="2337"/>
        <v>0</v>
      </c>
      <c r="Y3072" s="509" t="b">
        <f t="shared" si="2338"/>
        <v>0</v>
      </c>
      <c r="Z3072" s="510">
        <f t="shared" si="2339"/>
        <v>0</v>
      </c>
      <c r="AA3072" s="511"/>
      <c r="AB3072" s="511" t="str">
        <f t="shared" si="2340"/>
        <v/>
      </c>
      <c r="AC3072" s="698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698"/>
      <c r="AE3072" s="631" t="str">
        <f t="shared" si="2341"/>
        <v/>
      </c>
      <c r="AF3072" s="699" t="str">
        <f t="shared" si="2342"/>
        <v/>
      </c>
      <c r="AG3072" s="699"/>
      <c r="AH3072" s="699"/>
      <c r="AI3072" s="512">
        <f>IF(H3072="credit",0,IF(AE3072="free",0,IF(AE3072="me",0,IF(G3072&gt;0,(VLOOKUP(A3072,'Discount Lookup'!J:K,2)*G3072),0))))</f>
        <v>0</v>
      </c>
      <c r="AJ3072" s="513" t="str">
        <f t="shared" ca="1" si="2343"/>
        <v/>
      </c>
      <c r="AK3072" s="700" t="str">
        <f t="shared" si="2344"/>
        <v/>
      </c>
      <c r="AL3072" s="700"/>
      <c r="AM3072" s="505" t="str">
        <f t="shared" si="2345"/>
        <v/>
      </c>
      <c r="AN3072" s="506"/>
      <c r="AO3072" s="507"/>
      <c r="AP3072" s="507"/>
      <c r="AQ3072" s="507"/>
      <c r="AR3072" s="507"/>
      <c r="AS3072" s="507"/>
      <c r="AT3072" s="507"/>
      <c r="AU3072" s="507"/>
      <c r="AV3072" s="225"/>
      <c r="AW3072" s="508"/>
      <c r="AX3072" s="225"/>
      <c r="AY3072" s="225"/>
      <c r="AZ3072" s="225"/>
      <c r="BA3072" s="225"/>
      <c r="BB3072" s="225"/>
      <c r="BC3072" s="56"/>
      <c r="BD3072" s="56"/>
      <c r="BE3072" s="56"/>
      <c r="BF3072" s="107" t="str">
        <f t="shared" si="2346"/>
        <v>https://www.google.com/search?tbm=isch&amp;q=moist%20sites%F0%9F%92%A7BEST%2C%20Raulston%20Hardy%20is%20durable%2C%20with%20Glossy%20Green%20foliage%2C%20many%20White%20flowers%20in%20spring%2C%20and%20then%20black%20fruit%20</v>
      </c>
      <c r="BG3072" s="107" t="str">
        <f t="shared" si="2347"/>
        <v>m</v>
      </c>
      <c r="BH3072" s="254"/>
      <c r="BI3072" s="254"/>
    </row>
    <row r="3073" spans="1:61" customFormat="1" ht="18" x14ac:dyDescent="0.25">
      <c r="A3073" s="523" t="s">
        <v>1608</v>
      </c>
      <c r="B3073" s="235"/>
      <c r="C3073" s="676"/>
      <c r="D3073" s="255" t="s">
        <v>1609</v>
      </c>
      <c r="E3073" s="236"/>
      <c r="F3073" s="236"/>
      <c r="G3073" s="236"/>
      <c r="H3073" s="582" t="s">
        <v>311</v>
      </c>
      <c r="I3073" s="498" t="s">
        <v>2458</v>
      </c>
      <c r="J3073" s="237"/>
      <c r="K3073" s="237"/>
      <c r="L3073" s="274"/>
      <c r="M3073" s="668" t="s">
        <v>4975</v>
      </c>
      <c r="N3073" s="681" t="str">
        <f>IF(AND(ISTEXT($A3073), ISERROR($A3073+0)), HYPERLINK($BF3073, "Images"), "")</f>
        <v>Images</v>
      </c>
      <c r="O3073" s="663" t="s">
        <v>4969</v>
      </c>
      <c r="P3073" s="253"/>
      <c r="Q3073" s="238"/>
      <c r="R3073" s="239"/>
      <c r="S3073" s="275" t="s">
        <v>305</v>
      </c>
      <c r="T3073" s="508">
        <f t="shared" si="2335"/>
        <v>0</v>
      </c>
      <c r="U3073" s="225" t="str">
        <f>IF(NOT(ISNUMBER(G3073)), "", VLOOKUP(A3073,'Discount Lookup'!D:E,2,FALSE)*G3073)</f>
        <v/>
      </c>
      <c r="V3073" s="225" t="str">
        <f>IF(NOT(ISNUMBER(G3073)), "", VLOOKUP(A3073,'Discount Lookup'!G:H,2,FALSE)*G3073)</f>
        <v/>
      </c>
      <c r="W3073" s="508">
        <f t="shared" si="2336"/>
        <v>0</v>
      </c>
      <c r="X3073" s="508" t="str">
        <f t="shared" si="2337"/>
        <v>Red-Orange bloom</v>
      </c>
      <c r="Y3073" s="509" t="b">
        <f t="shared" si="2338"/>
        <v>0</v>
      </c>
      <c r="Z3073" s="510">
        <f t="shared" si="2339"/>
        <v>0</v>
      </c>
      <c r="AA3073" s="511"/>
      <c r="AB3073" s="511" t="str">
        <f t="shared" si="2340"/>
        <v/>
      </c>
      <c r="AC3073" s="698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698"/>
      <c r="AE3073" s="631" t="str">
        <f t="shared" si="2341"/>
        <v/>
      </c>
      <c r="AF3073" s="699" t="str">
        <f t="shared" si="2342"/>
        <v/>
      </c>
      <c r="AG3073" s="699"/>
      <c r="AH3073" s="699"/>
      <c r="AI3073" s="512">
        <f>IF(H3073="credit",0,IF(AE3073="free",0,IF(AE3073="me",0,IF(G3073&gt;0,(VLOOKUP(A3073,'Discount Lookup'!J:K,2)*G3073),0))))</f>
        <v>0</v>
      </c>
      <c r="AJ3073" s="513" t="str">
        <f t="shared" ca="1" si="2343"/>
        <v/>
      </c>
      <c r="AK3073" s="700" t="str">
        <f t="shared" si="2344"/>
        <v/>
      </c>
      <c r="AL3073" s="700"/>
      <c r="AM3073" s="505" t="str">
        <f t="shared" si="2345"/>
        <v/>
      </c>
      <c r="AN3073" s="506"/>
      <c r="AO3073" s="507"/>
      <c r="AP3073" s="507"/>
      <c r="AQ3073" s="507"/>
      <c r="AR3073" s="507"/>
      <c r="AS3073" s="507"/>
      <c r="AT3073" s="507"/>
      <c r="AU3073" s="507"/>
      <c r="AV3073" s="225"/>
      <c r="AW3073" s="508"/>
      <c r="AX3073" s="225"/>
      <c r="AY3073" s="225"/>
      <c r="AZ3073" s="225"/>
      <c r="BA3073" s="225"/>
      <c r="BB3073" s="225"/>
      <c r="BC3073" s="56"/>
      <c r="BD3073" s="56"/>
      <c r="BE3073" s="56"/>
      <c r="BF3073" s="107" t="str">
        <f t="shared" si="2346"/>
        <v>https://www.google.com/search?tbm=isch&amp;q=Red%20Buckeye%20Aesculus%20pavia</v>
      </c>
      <c r="BG3073" s="107" t="str">
        <f t="shared" si="2347"/>
        <v>R</v>
      </c>
      <c r="BH3073" s="254"/>
      <c r="BI3073" s="254"/>
    </row>
    <row r="3074" spans="1:61" customFormat="1" ht="15.75" x14ac:dyDescent="0.25">
      <c r="A3074" s="276">
        <v>7</v>
      </c>
      <c r="B3074" s="240" t="s">
        <v>291</v>
      </c>
      <c r="C3074" s="241" t="s">
        <v>4934</v>
      </c>
      <c r="D3074" s="242" t="s">
        <v>292</v>
      </c>
      <c r="E3074" s="243">
        <v>123.95</v>
      </c>
      <c r="F3074" s="517" t="s">
        <v>293</v>
      </c>
      <c r="G3074" s="232">
        <v>0</v>
      </c>
      <c r="H3074" s="661" t="str">
        <f>IF(G3074=0,"",IF(F3074="Buy",IF(G3074=1,"plant","plants"),IF(F3074&gt;0.01,"warranty","Error")))</f>
        <v/>
      </c>
      <c r="I3074" s="244">
        <f>IF(H3074="free",0,IF(H3074="credit",((E3074*(F3074))*G3074*-1),IF(F3074="Buy",(E3074*G3074),((E3074*(1-F3074))*G3074))))</f>
        <v>0</v>
      </c>
      <c r="J3074" s="244">
        <f>IF(H3074="warranty",0,(I3074*(_xlfn.SINGLE(SalesTaxPercentage))))</f>
        <v>0</v>
      </c>
      <c r="K3074" s="696">
        <f t="shared" ref="K3074" si="2371">I3074+J3074</f>
        <v>0</v>
      </c>
      <c r="L3074" s="696"/>
      <c r="M3074" s="659" t="str">
        <f>IF(AND(G3074&gt;0,E3074=0),"WARNING - no PRICE inserted",IF(H3074="free"," FREE ~ no charge this plant",IF(H3074="credit",CONCATENATE(" -$",ROUND(K3074*(1-T2GDiscount)*-1,2)," CREDIT after discount"),IF(T2GDiscount=0,"",IF(G3074=0,"",IF(F3074="Buy",CONCATENATE(" $",ROUND(K3074*(1-T2GDiscount),2)," with ",(T2GDiscount*100),"% discount"),CONCATENATE(" $",ROUND(K3074*(1-T2GDiscount),2)," with ",((T2GDiscount*100+F3074*100)-(T2GDiscount*100*F3074)),IF(F3074&gt;0,"% discounts",IF(NoWarrantyDiscount&gt;0,"% discounts","% discount")))))))))</f>
        <v/>
      </c>
      <c r="N3074" s="660"/>
      <c r="O3074" s="233"/>
      <c r="P3074" s="233"/>
      <c r="Q3074" s="233"/>
      <c r="R3074" s="233"/>
      <c r="S3074" s="233"/>
      <c r="T3074" s="508">
        <f t="shared" si="2335"/>
        <v>0</v>
      </c>
      <c r="U3074" s="225">
        <f>IF(NOT(ISNUMBER(G3074)), "", VLOOKUP(A3074,'Discount Lookup'!D:E,2,FALSE)*G3074)</f>
        <v>0</v>
      </c>
      <c r="V3074" s="225">
        <f>IF(NOT(ISNUMBER(G3074)), "", VLOOKUP(A3074,'Discount Lookup'!G:H,2,FALSE)*G3074)</f>
        <v>0</v>
      </c>
      <c r="W3074" s="508">
        <f t="shared" si="2336"/>
        <v>0</v>
      </c>
      <c r="X3074" s="508">
        <f t="shared" si="2337"/>
        <v>0</v>
      </c>
      <c r="Y3074" s="509" t="b">
        <f t="shared" si="2338"/>
        <v>0</v>
      </c>
      <c r="Z3074" s="510">
        <f t="shared" si="2339"/>
        <v>0</v>
      </c>
      <c r="AA3074" s="511"/>
      <c r="AB3074" s="511" t="str">
        <f t="shared" si="2340"/>
        <v/>
      </c>
      <c r="AC3074" s="698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698"/>
      <c r="AE3074" s="631" t="str">
        <f t="shared" si="2341"/>
        <v/>
      </c>
      <c r="AF3074" s="699" t="str">
        <f t="shared" si="2342"/>
        <v/>
      </c>
      <c r="AG3074" s="699"/>
      <c r="AH3074" s="699"/>
      <c r="AI3074" s="512">
        <f>IF(H3074="credit",0,IF(AE3074="free",0,IF(AE3074="me",0,IF(G3074&gt;0,(VLOOKUP(A3074,'Discount Lookup'!J:K,2)*G3074),0))))</f>
        <v>0</v>
      </c>
      <c r="AJ3074" s="513" t="str">
        <f t="shared" ca="1" si="2343"/>
        <v/>
      </c>
      <c r="AK3074" s="700" t="str">
        <f t="shared" si="2344"/>
        <v/>
      </c>
      <c r="AL3074" s="700"/>
      <c r="AM3074" s="505" t="str">
        <f t="shared" si="2345"/>
        <v/>
      </c>
      <c r="AN3074" s="506"/>
      <c r="AO3074" s="507"/>
      <c r="AP3074" s="507"/>
      <c r="AQ3074" s="507"/>
      <c r="AR3074" s="507"/>
      <c r="AS3074" s="507"/>
      <c r="AT3074" s="507"/>
      <c r="AU3074" s="507"/>
      <c r="AV3074" s="225"/>
      <c r="AW3074" s="508"/>
      <c r="AX3074" s="225"/>
      <c r="AY3074" s="225"/>
      <c r="AZ3074" s="225"/>
      <c r="BA3074" s="225"/>
      <c r="BB3074" s="225"/>
      <c r="BC3074" s="56"/>
      <c r="BD3074" s="56"/>
      <c r="BE3074" s="56"/>
      <c r="BF3074" s="107" t="str">
        <f t="shared" si="2346"/>
        <v>https://www.google.com/search?tbm=isch&amp;q=7%20G4</v>
      </c>
      <c r="BG3074" s="107" t="str">
        <f t="shared" si="2347"/>
        <v>R</v>
      </c>
      <c r="BH3074" s="254"/>
      <c r="BI3074" s="254"/>
    </row>
    <row r="3075" spans="1:61" customFormat="1" ht="40.5" x14ac:dyDescent="0.25">
      <c r="A3075" s="276">
        <v>10</v>
      </c>
      <c r="B3075" s="240" t="s">
        <v>291</v>
      </c>
      <c r="C3075" s="241" t="s">
        <v>4020</v>
      </c>
      <c r="D3075" s="242" t="s">
        <v>292</v>
      </c>
      <c r="E3075" s="243">
        <v>192.95</v>
      </c>
      <c r="F3075" s="517" t="s">
        <v>293</v>
      </c>
      <c r="G3075" s="232">
        <v>0</v>
      </c>
      <c r="H3075" s="661" t="str">
        <f>IF(G3075=0,"",IF(F3075="Buy",IF(G3075=1,"plant","plants"),IF(F3075&gt;0.01,"warranty","Error")))</f>
        <v/>
      </c>
      <c r="I3075" s="244">
        <f>IF(H3075="free",0,IF(H3075="credit",((E3075*(F3075))*G3075*-1),IF(F3075="Buy",(E3075*G3075),((E3075*(1-F3075))*G3075))))</f>
        <v>0</v>
      </c>
      <c r="J3075" s="244">
        <f>IF(H3075="warranty",0,(I3075*(_xlfn.SINGLE(SalesTaxPercentage))))</f>
        <v>0</v>
      </c>
      <c r="K3075" s="696">
        <f t="shared" ref="K3075" si="2372">I3075+J3075</f>
        <v>0</v>
      </c>
      <c r="L3075" s="696"/>
      <c r="M3075" s="659" t="str">
        <f>IF(AND(G3075&gt;0,E3075=0),"WARNING - no PRICE inserted",IF(H3075="free"," FREE ~ no charge this plant",IF(H3075="credit",CONCATENATE(" -$",ROUND(K3075*(1-T2GDiscount)*-1,2)," CREDIT after discount"),IF(T2GDiscount=0,"",IF(G3075=0,"",IF(F3075="Buy",CONCATENATE(" $",ROUND(K3075*(1-T2GDiscount),2)," with ",(T2GDiscount*100),"% discount"),CONCATENATE(" $",ROUND(K3075*(1-T2GDiscount),2)," with ",((T2GDiscount*100+F3075*100)-(T2GDiscount*100*F3075)),IF(F3075&gt;0,"% discounts",IF(NoWarrantyDiscount&gt;0,"% discounts","% discount")))))))))</f>
        <v/>
      </c>
      <c r="N3075" s="660"/>
      <c r="O3075" s="233"/>
      <c r="P3075" s="233"/>
      <c r="Q3075" s="233"/>
      <c r="R3075" s="233"/>
      <c r="S3075" s="233"/>
      <c r="T3075" s="508">
        <f t="shared" si="2335"/>
        <v>0</v>
      </c>
      <c r="U3075" s="225">
        <f>IF(NOT(ISNUMBER(G3075)), "", VLOOKUP(A3075,'Discount Lookup'!D:E,2,FALSE)*G3075)</f>
        <v>0</v>
      </c>
      <c r="V3075" s="225">
        <f>IF(NOT(ISNUMBER(G3075)), "", VLOOKUP(A3075,'Discount Lookup'!G:H,2,FALSE)*G3075)</f>
        <v>0</v>
      </c>
      <c r="W3075" s="508">
        <f t="shared" si="2336"/>
        <v>0</v>
      </c>
      <c r="X3075" s="508">
        <f t="shared" si="2337"/>
        <v>0</v>
      </c>
      <c r="Y3075" s="509" t="b">
        <f t="shared" si="2338"/>
        <v>0</v>
      </c>
      <c r="Z3075" s="510">
        <f t="shared" si="2339"/>
        <v>0</v>
      </c>
      <c r="AA3075" s="511"/>
      <c r="AB3075" s="511" t="str">
        <f t="shared" si="2340"/>
        <v/>
      </c>
      <c r="AC3075" s="698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698"/>
      <c r="AE3075" s="631" t="str">
        <f t="shared" si="2341"/>
        <v/>
      </c>
      <c r="AF3075" s="699" t="str">
        <f t="shared" si="2342"/>
        <v/>
      </c>
      <c r="AG3075" s="699"/>
      <c r="AH3075" s="699"/>
      <c r="AI3075" s="512">
        <f>IF(H3075="credit",0,IF(AE3075="free",0,IF(AE3075="me",0,IF(G3075&gt;0,(VLOOKUP(A3075,'Discount Lookup'!J:K,2)*G3075),0))))</f>
        <v>0</v>
      </c>
      <c r="AJ3075" s="513" t="str">
        <f t="shared" ca="1" si="2343"/>
        <v/>
      </c>
      <c r="AK3075" s="700" t="str">
        <f t="shared" si="2344"/>
        <v/>
      </c>
      <c r="AL3075" s="700"/>
      <c r="AM3075" s="505" t="str">
        <f t="shared" si="2345"/>
        <v/>
      </c>
      <c r="AN3075" s="506"/>
      <c r="AO3075" s="507"/>
      <c r="AP3075" s="507"/>
      <c r="AQ3075" s="507"/>
      <c r="AR3075" s="507"/>
      <c r="AS3075" s="507"/>
      <c r="AT3075" s="507"/>
      <c r="AU3075" s="507"/>
      <c r="AV3075" s="225"/>
      <c r="AW3075" s="508"/>
      <c r="AX3075" s="225"/>
      <c r="AY3075" s="225"/>
      <c r="AZ3075" s="225"/>
      <c r="BA3075" s="225"/>
      <c r="BB3075" s="225"/>
      <c r="BC3075" s="56"/>
      <c r="BD3075" s="56"/>
      <c r="BE3075" s="56"/>
      <c r="BF3075" s="107" t="str">
        <f t="shared" si="2346"/>
        <v>https://www.google.com/search?tbm=isch&amp;q=10%20G4</v>
      </c>
      <c r="BG3075" s="107" t="str">
        <f t="shared" si="2347"/>
        <v>R</v>
      </c>
      <c r="BH3075" s="254"/>
      <c r="BI3075" s="254"/>
    </row>
    <row r="3076" spans="1:61" customFormat="1" ht="27" x14ac:dyDescent="0.25">
      <c r="A3076" s="276">
        <v>15</v>
      </c>
      <c r="B3076" s="240" t="s">
        <v>291</v>
      </c>
      <c r="C3076" s="241" t="s">
        <v>3724</v>
      </c>
      <c r="D3076" s="242" t="s">
        <v>292</v>
      </c>
      <c r="E3076" s="243">
        <v>219.95</v>
      </c>
      <c r="F3076" s="517" t="s">
        <v>293</v>
      </c>
      <c r="G3076" s="232">
        <v>0</v>
      </c>
      <c r="H3076" s="661" t="str">
        <f>IF(G3076=0,"",IF(F3076="Buy",IF(G3076=1,"plant","plants"),IF(F3076&gt;0.01,"warranty","Error")))</f>
        <v/>
      </c>
      <c r="I3076" s="244">
        <f>IF(H3076="free",0,IF(H3076="credit",((E3076*(F3076))*G3076*-1),IF(F3076="Buy",(E3076*G3076),((E3076*(1-F3076))*G3076))))</f>
        <v>0</v>
      </c>
      <c r="J3076" s="244">
        <f>IF(H3076="warranty",0,(I3076*(_xlfn.SINGLE(SalesTaxPercentage))))</f>
        <v>0</v>
      </c>
      <c r="K3076" s="696">
        <f t="shared" ref="K3076" si="2373">I3076+J3076</f>
        <v>0</v>
      </c>
      <c r="L3076" s="696"/>
      <c r="M3076" s="659" t="str">
        <f>IF(AND(G3076&gt;0,E3076=0),"WARNING - no PRICE inserted",IF(H3076="free"," FREE ~ no charge this plant",IF(H3076="credit",CONCATENATE(" -$",ROUND(K3076*(1-T2GDiscount)*-1,2)," CREDIT after discount"),IF(T2GDiscount=0,"",IF(G3076=0,"",IF(F3076="Buy",CONCATENATE(" $",ROUND(K3076*(1-T2GDiscount),2)," with ",(T2GDiscount*100),"% discount"),CONCATENATE(" $",ROUND(K3076*(1-T2GDiscount),2)," with ",((T2GDiscount*100+F3076*100)-(T2GDiscount*100*F3076)),IF(F3076&gt;0,"% discounts",IF(NoWarrantyDiscount&gt;0,"% discounts","% discount")))))))))</f>
        <v/>
      </c>
      <c r="N3076" s="660"/>
      <c r="O3076" s="233"/>
      <c r="P3076" s="233"/>
      <c r="Q3076" s="233"/>
      <c r="R3076" s="233"/>
      <c r="S3076" s="233"/>
      <c r="T3076" s="508">
        <f t="shared" si="2335"/>
        <v>0</v>
      </c>
      <c r="U3076" s="225">
        <f>IF(NOT(ISNUMBER(G3076)), "", VLOOKUP(A3076,'Discount Lookup'!D:E,2,FALSE)*G3076)</f>
        <v>0</v>
      </c>
      <c r="V3076" s="225">
        <f>IF(NOT(ISNUMBER(G3076)), "", VLOOKUP(A3076,'Discount Lookup'!G:H,2,FALSE)*G3076)</f>
        <v>0</v>
      </c>
      <c r="W3076" s="508">
        <f t="shared" si="2336"/>
        <v>0</v>
      </c>
      <c r="X3076" s="508">
        <f t="shared" si="2337"/>
        <v>0</v>
      </c>
      <c r="Y3076" s="509" t="b">
        <f t="shared" si="2338"/>
        <v>0</v>
      </c>
      <c r="Z3076" s="510">
        <f t="shared" si="2339"/>
        <v>0</v>
      </c>
      <c r="AA3076" s="511"/>
      <c r="AB3076" s="511" t="str">
        <f t="shared" si="2340"/>
        <v/>
      </c>
      <c r="AC3076" s="698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698"/>
      <c r="AE3076" s="631" t="str">
        <f t="shared" si="2341"/>
        <v/>
      </c>
      <c r="AF3076" s="699" t="str">
        <f t="shared" si="2342"/>
        <v/>
      </c>
      <c r="AG3076" s="699"/>
      <c r="AH3076" s="699"/>
      <c r="AI3076" s="512">
        <f>IF(H3076="credit",0,IF(AE3076="free",0,IF(AE3076="me",0,IF(G3076&gt;0,(VLOOKUP(A3076,'Discount Lookup'!J:K,2)*G3076),0))))</f>
        <v>0</v>
      </c>
      <c r="AJ3076" s="513" t="str">
        <f t="shared" ca="1" si="2343"/>
        <v/>
      </c>
      <c r="AK3076" s="700" t="str">
        <f t="shared" si="2344"/>
        <v/>
      </c>
      <c r="AL3076" s="700"/>
      <c r="AM3076" s="505" t="str">
        <f t="shared" si="2345"/>
        <v/>
      </c>
      <c r="AN3076" s="506"/>
      <c r="AO3076" s="507"/>
      <c r="AP3076" s="507"/>
      <c r="AQ3076" s="507"/>
      <c r="AR3076" s="507"/>
      <c r="AS3076" s="507"/>
      <c r="AT3076" s="507"/>
      <c r="AU3076" s="507"/>
      <c r="AV3076" s="225"/>
      <c r="AW3076" s="508"/>
      <c r="AX3076" s="225"/>
      <c r="AY3076" s="225"/>
      <c r="AZ3076" s="225"/>
      <c r="BA3076" s="225"/>
      <c r="BB3076" s="225"/>
      <c r="BC3076" s="56"/>
      <c r="BD3076" s="56"/>
      <c r="BE3076" s="56"/>
      <c r="BF3076" s="107" t="str">
        <f t="shared" si="2346"/>
        <v>https://www.google.com/search?tbm=isch&amp;q=15%20G4</v>
      </c>
      <c r="BG3076" s="107" t="str">
        <f t="shared" si="2347"/>
        <v>R</v>
      </c>
      <c r="BH3076" s="254"/>
      <c r="BI3076" s="254"/>
    </row>
    <row r="3077" spans="1:61" customFormat="1" ht="15.75" x14ac:dyDescent="0.25">
      <c r="A3077" s="276">
        <v>15</v>
      </c>
      <c r="B3077" s="240" t="s">
        <v>291</v>
      </c>
      <c r="C3077" s="241" t="s">
        <v>1610</v>
      </c>
      <c r="D3077" s="242" t="s">
        <v>300</v>
      </c>
      <c r="E3077" s="243">
        <v>222.95</v>
      </c>
      <c r="F3077" s="517" t="s">
        <v>293</v>
      </c>
      <c r="G3077" s="232">
        <v>0</v>
      </c>
      <c r="H3077" s="661" t="str">
        <f>IF(G3077=0,"",IF(F3077="Buy",IF(G3077=1,"plant","plants"),IF(F3077&gt;0.01,"warranty","Error")))</f>
        <v/>
      </c>
      <c r="I3077" s="244">
        <f>IF(H3077="free",0,IF(H3077="credit",((E3077*(F3077))*G3077*-1),IF(F3077="Buy",(E3077*G3077),((E3077*(1-F3077))*G3077))))</f>
        <v>0</v>
      </c>
      <c r="J3077" s="244">
        <f>IF(H3077="warranty",0,(I3077*(_xlfn.SINGLE(SalesTaxPercentage))))</f>
        <v>0</v>
      </c>
      <c r="K3077" s="696">
        <f t="shared" ref="K3077" si="2374">I3077+J3077</f>
        <v>0</v>
      </c>
      <c r="L3077" s="696"/>
      <c r="M3077" s="659" t="str">
        <f>IF(AND(G3077&gt;0,E3077=0),"WARNING - no PRICE inserted",IF(H3077="free"," FREE ~ no charge this plant",IF(H3077="credit",CONCATENATE(" -$",ROUND(K3077*(1-T2GDiscount)*-1,2)," CREDIT after discount"),IF(T2GDiscount=0,"",IF(G3077=0,"",IF(F3077="Buy",CONCATENATE(" $",ROUND(K3077*(1-T2GDiscount),2)," with ",(T2GDiscount*100),"% discount"),CONCATENATE(" $",ROUND(K3077*(1-T2GDiscount),2)," with ",((T2GDiscount*100+F3077*100)-(T2GDiscount*100*F3077)),IF(F3077&gt;0,"% discounts",IF(NoWarrantyDiscount&gt;0,"% discounts","% discount")))))))))</f>
        <v/>
      </c>
      <c r="N3077" s="660"/>
      <c r="O3077" s="233"/>
      <c r="P3077" s="233"/>
      <c r="Q3077" s="233"/>
      <c r="R3077" s="233"/>
      <c r="S3077" s="233"/>
      <c r="T3077" s="508">
        <f t="shared" si="2335"/>
        <v>0</v>
      </c>
      <c r="U3077" s="225">
        <f>IF(NOT(ISNUMBER(G3077)), "", VLOOKUP(A3077,'Discount Lookup'!D:E,2,FALSE)*G3077)</f>
        <v>0</v>
      </c>
      <c r="V3077" s="225">
        <f>IF(NOT(ISNUMBER(G3077)), "", VLOOKUP(A3077,'Discount Lookup'!G:H,2,FALSE)*G3077)</f>
        <v>0</v>
      </c>
      <c r="W3077" s="508">
        <f t="shared" si="2336"/>
        <v>0</v>
      </c>
      <c r="X3077" s="508">
        <f t="shared" si="2337"/>
        <v>0</v>
      </c>
      <c r="Y3077" s="509" t="b">
        <f t="shared" si="2338"/>
        <v>0</v>
      </c>
      <c r="Z3077" s="510">
        <f t="shared" si="2339"/>
        <v>0</v>
      </c>
      <c r="AA3077" s="511"/>
      <c r="AB3077" s="511" t="str">
        <f t="shared" si="2340"/>
        <v/>
      </c>
      <c r="AC3077" s="698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698"/>
      <c r="AE3077" s="631" t="str">
        <f t="shared" si="2341"/>
        <v/>
      </c>
      <c r="AF3077" s="699" t="str">
        <f t="shared" si="2342"/>
        <v/>
      </c>
      <c r="AG3077" s="699"/>
      <c r="AH3077" s="699"/>
      <c r="AI3077" s="512">
        <f>IF(H3077="credit",0,IF(AE3077="free",0,IF(AE3077="me",0,IF(G3077&gt;0,(VLOOKUP(A3077,'Discount Lookup'!J:K,2)*G3077),0))))</f>
        <v>0</v>
      </c>
      <c r="AJ3077" s="513" t="str">
        <f t="shared" ca="1" si="2343"/>
        <v/>
      </c>
      <c r="AK3077" s="700" t="str">
        <f t="shared" si="2344"/>
        <v/>
      </c>
      <c r="AL3077" s="700"/>
      <c r="AM3077" s="505" t="str">
        <f t="shared" si="2345"/>
        <v/>
      </c>
      <c r="AN3077" s="506"/>
      <c r="AO3077" s="507"/>
      <c r="AP3077" s="507"/>
      <c r="AQ3077" s="507"/>
      <c r="AR3077" s="507"/>
      <c r="AS3077" s="507"/>
      <c r="AT3077" s="507"/>
      <c r="AU3077" s="507"/>
      <c r="AV3077" s="225"/>
      <c r="AW3077" s="508"/>
      <c r="AX3077" s="225"/>
      <c r="AY3077" s="225"/>
      <c r="AZ3077" s="225"/>
      <c r="BA3077" s="225"/>
      <c r="BB3077" s="225"/>
      <c r="BC3077" s="56"/>
      <c r="BD3077" s="56"/>
      <c r="BE3077" s="56"/>
      <c r="BF3077" s="107" t="str">
        <f t="shared" si="2346"/>
        <v>https://www.google.com/search?tbm=isch&amp;q=15%20G6</v>
      </c>
      <c r="BG3077" s="107" t="str">
        <f t="shared" si="2347"/>
        <v>R</v>
      </c>
      <c r="BH3077" s="254"/>
      <c r="BI3077" s="254"/>
    </row>
    <row r="3078" spans="1:61" customFormat="1" ht="17.25" thickBot="1" x14ac:dyDescent="0.3">
      <c r="A3078" s="673" t="s">
        <v>5216</v>
      </c>
      <c r="B3078" s="245"/>
      <c r="C3078" s="677"/>
      <c r="D3078" s="499"/>
      <c r="E3078" s="499"/>
      <c r="F3078" s="500"/>
      <c r="G3078" s="501"/>
      <c r="H3078" s="502"/>
      <c r="I3078" s="246"/>
      <c r="J3078" s="247"/>
      <c r="K3078" s="503"/>
      <c r="L3078" s="544"/>
      <c r="M3078" s="544"/>
      <c r="N3078" s="500"/>
      <c r="O3078" s="500"/>
      <c r="P3078" s="500"/>
      <c r="Q3078" s="500"/>
      <c r="R3078" s="500"/>
      <c r="S3078" s="669" t="s">
        <v>5025</v>
      </c>
      <c r="T3078" s="508">
        <f t="shared" si="2335"/>
        <v>0</v>
      </c>
      <c r="U3078" s="225" t="str">
        <f>IF(NOT(ISNUMBER(G3078)), "", VLOOKUP(A3078,'Discount Lookup'!D:E,2,FALSE)*G3078)</f>
        <v/>
      </c>
      <c r="V3078" s="225" t="str">
        <f>IF(NOT(ISNUMBER(G3078)), "", VLOOKUP(A3078,'Discount Lookup'!G:H,2,FALSE)*G3078)</f>
        <v/>
      </c>
      <c r="W3078" s="508">
        <f t="shared" si="2336"/>
        <v>0</v>
      </c>
      <c r="X3078" s="508">
        <f t="shared" si="2337"/>
        <v>0</v>
      </c>
      <c r="Y3078" s="509" t="b">
        <f t="shared" si="2338"/>
        <v>0</v>
      </c>
      <c r="Z3078" s="510">
        <f t="shared" si="2339"/>
        <v>0</v>
      </c>
      <c r="AA3078" s="511"/>
      <c r="AB3078" s="511" t="str">
        <f t="shared" si="2340"/>
        <v/>
      </c>
      <c r="AC3078" s="698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698"/>
      <c r="AE3078" s="631" t="str">
        <f t="shared" si="2341"/>
        <v/>
      </c>
      <c r="AF3078" s="699" t="str">
        <f t="shared" si="2342"/>
        <v/>
      </c>
      <c r="AG3078" s="699"/>
      <c r="AH3078" s="699"/>
      <c r="AI3078" s="512">
        <f>IF(H3078="credit",0,IF(AE3078="free",0,IF(AE3078="me",0,IF(G3078&gt;0,(VLOOKUP(A3078,'Discount Lookup'!J:K,2)*G3078),0))))</f>
        <v>0</v>
      </c>
      <c r="AJ3078" s="513" t="str">
        <f t="shared" ca="1" si="2343"/>
        <v/>
      </c>
      <c r="AK3078" s="700" t="str">
        <f t="shared" si="2344"/>
        <v/>
      </c>
      <c r="AL3078" s="700"/>
      <c r="AM3078" s="505" t="str">
        <f t="shared" si="2345"/>
        <v/>
      </c>
      <c r="AN3078" s="506"/>
      <c r="AO3078" s="507"/>
      <c r="AP3078" s="507"/>
      <c r="AQ3078" s="507"/>
      <c r="AR3078" s="507"/>
      <c r="AS3078" s="507"/>
      <c r="AT3078" s="507"/>
      <c r="AU3078" s="507"/>
      <c r="AV3078" s="225"/>
      <c r="AW3078" s="508"/>
      <c r="AX3078" s="225"/>
      <c r="AY3078" s="225"/>
      <c r="AZ3078" s="225"/>
      <c r="BA3078" s="225"/>
      <c r="BB3078" s="225"/>
      <c r="BC3078" s="56"/>
      <c r="BD3078" s="56"/>
      <c r="BE3078" s="56"/>
      <c r="BF3078" s="107" t="str">
        <f t="shared" si="2346"/>
        <v>https://www.google.com/search?tbm=isch&amp;q=moist%20sites%F0%9F%92%A7GOOD%2C%20Red%20Buckeye%20known%20for%20early%20flower%20display%2C%20with%20Yellow%20throat.%20%22Buckeyes%22%20refers%20to%20the%20seeds%20%28poisonous%29%20</v>
      </c>
      <c r="BG3078" s="107" t="str">
        <f t="shared" si="2347"/>
        <v>m</v>
      </c>
      <c r="BH3078" s="254"/>
      <c r="BI3078" s="254"/>
    </row>
    <row r="3079" spans="1:61" customFormat="1" ht="18" x14ac:dyDescent="0.25">
      <c r="A3079" s="523" t="s">
        <v>1611</v>
      </c>
      <c r="B3079" s="235"/>
      <c r="C3079" s="676"/>
      <c r="D3079" s="255" t="s">
        <v>1612</v>
      </c>
      <c r="E3079" s="236"/>
      <c r="F3079" s="236"/>
      <c r="G3079" s="236"/>
      <c r="H3079" s="582" t="s">
        <v>303</v>
      </c>
      <c r="I3079" s="498" t="s">
        <v>3250</v>
      </c>
      <c r="J3079" s="237"/>
      <c r="K3079" s="237"/>
      <c r="L3079" s="274"/>
      <c r="M3079" s="668" t="s">
        <v>4975</v>
      </c>
      <c r="N3079" s="681" t="str">
        <f>IF(AND(ISTEXT($A3079), ISERROR($A3079+0)), HYPERLINK($BF3079, "Images"), "")</f>
        <v>Images</v>
      </c>
      <c r="O3079" s="663" t="s">
        <v>4967</v>
      </c>
      <c r="P3079" s="253"/>
      <c r="Q3079" s="238"/>
      <c r="R3079" s="239"/>
      <c r="S3079" s="275" t="s">
        <v>305</v>
      </c>
      <c r="T3079" s="508">
        <f t="shared" si="2335"/>
        <v>0</v>
      </c>
      <c r="U3079" s="225" t="str">
        <f>IF(NOT(ISNUMBER(G3079)), "", VLOOKUP(A3079,'Discount Lookup'!D:E,2,FALSE)*G3079)</f>
        <v/>
      </c>
      <c r="V3079" s="225" t="str">
        <f>IF(NOT(ISNUMBER(G3079)), "", VLOOKUP(A3079,'Discount Lookup'!G:H,2,FALSE)*G3079)</f>
        <v/>
      </c>
      <c r="W3079" s="508">
        <f t="shared" si="2336"/>
        <v>0</v>
      </c>
      <c r="X3079" s="508" t="str">
        <f t="shared" si="2337"/>
        <v>White to Pale Pink bloom</v>
      </c>
      <c r="Y3079" s="509" t="b">
        <f t="shared" si="2338"/>
        <v>0</v>
      </c>
      <c r="Z3079" s="510">
        <f t="shared" si="2339"/>
        <v>0</v>
      </c>
      <c r="AA3079" s="511"/>
      <c r="AB3079" s="511" t="str">
        <f t="shared" si="2340"/>
        <v/>
      </c>
      <c r="AC3079" s="698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698"/>
      <c r="AE3079" s="631" t="str">
        <f t="shared" si="2341"/>
        <v/>
      </c>
      <c r="AF3079" s="699" t="str">
        <f t="shared" si="2342"/>
        <v/>
      </c>
      <c r="AG3079" s="699"/>
      <c r="AH3079" s="699"/>
      <c r="AI3079" s="512">
        <f>IF(H3079="credit",0,IF(AE3079="free",0,IF(AE3079="me",0,IF(G3079&gt;0,(VLOOKUP(A3079,'Discount Lookup'!J:K,2)*G3079),0))))</f>
        <v>0</v>
      </c>
      <c r="AJ3079" s="513" t="str">
        <f t="shared" ca="1" si="2343"/>
        <v/>
      </c>
      <c r="AK3079" s="700" t="str">
        <f t="shared" si="2344"/>
        <v/>
      </c>
      <c r="AL3079" s="700"/>
      <c r="AM3079" s="505" t="str">
        <f t="shared" si="2345"/>
        <v/>
      </c>
      <c r="AN3079" s="506"/>
      <c r="AO3079" s="507"/>
      <c r="AP3079" s="507"/>
      <c r="AQ3079" s="507"/>
      <c r="AR3079" s="507"/>
      <c r="AS3079" s="507"/>
      <c r="AT3079" s="507"/>
      <c r="AU3079" s="507"/>
      <c r="AV3079" s="225"/>
      <c r="AW3079" s="508"/>
      <c r="AX3079" s="225"/>
      <c r="AY3079" s="225"/>
      <c r="AZ3079" s="225"/>
      <c r="BA3079" s="225"/>
      <c r="BB3079" s="225"/>
      <c r="BC3079" s="56"/>
      <c r="BD3079" s="56"/>
      <c r="BE3079" s="56"/>
      <c r="BF3079" s="107" t="str">
        <f t="shared" si="2346"/>
        <v>https://www.google.com/search?tbm=isch&amp;q=Red%20Chokeberry%20Aronia%20arbutifolia</v>
      </c>
      <c r="BG3079" s="107" t="str">
        <f t="shared" si="2347"/>
        <v>R</v>
      </c>
      <c r="BH3079" s="254"/>
      <c r="BI3079" s="254"/>
    </row>
    <row r="3080" spans="1:61" customFormat="1" ht="27" x14ac:dyDescent="0.25">
      <c r="A3080" s="276">
        <v>7</v>
      </c>
      <c r="B3080" s="240" t="s">
        <v>291</v>
      </c>
      <c r="C3080" s="241" t="s">
        <v>4637</v>
      </c>
      <c r="D3080" s="242" t="s">
        <v>292</v>
      </c>
      <c r="E3080" s="243">
        <v>95.95</v>
      </c>
      <c r="F3080" s="517" t="s">
        <v>293</v>
      </c>
      <c r="G3080" s="232">
        <v>0</v>
      </c>
      <c r="H3080" s="661" t="str">
        <f>IF(G3080=0,"",IF(F3080="Buy",IF(G3080=1,"plant","plants"),IF(F3080&gt;0.01,"warranty","Error")))</f>
        <v/>
      </c>
      <c r="I3080" s="244">
        <f>IF(H3080="free",0,IF(H3080="credit",((E3080*(F3080))*G3080*-1),IF(F3080="Buy",(E3080*G3080),((E3080*(1-F3080))*G3080))))</f>
        <v>0</v>
      </c>
      <c r="J3080" s="244">
        <f>IF(H3080="warranty",0,(I3080*(_xlfn.SINGLE(SalesTaxPercentage))))</f>
        <v>0</v>
      </c>
      <c r="K3080" s="696">
        <f t="shared" ref="K3080" si="2375">I3080+J3080</f>
        <v>0</v>
      </c>
      <c r="L3080" s="696"/>
      <c r="M3080" s="659" t="str">
        <f>IF(AND(G3080&gt;0,E3080=0),"WARNING - no PRICE inserted",IF(H3080="free"," FREE ~ no charge this plant",IF(H3080="credit",CONCATENATE(" -$",ROUND(K3080*(1-T2GDiscount)*-1,2)," CREDIT after discount"),IF(T2GDiscount=0,"",IF(G3080=0,"",IF(F3080="Buy",CONCATENATE(" $",ROUND(K3080*(1-T2GDiscount),2)," with ",(T2GDiscount*100),"% discount"),CONCATENATE(" $",ROUND(K3080*(1-T2GDiscount),2)," with ",((T2GDiscount*100+F3080*100)-(T2GDiscount*100*F3080)),IF(F3080&gt;0,"% discounts",IF(NoWarrantyDiscount&gt;0,"% discounts","% discount")))))))))</f>
        <v/>
      </c>
      <c r="N3080" s="660"/>
      <c r="O3080" s="233"/>
      <c r="P3080" s="233"/>
      <c r="Q3080" s="233"/>
      <c r="R3080" s="233"/>
      <c r="S3080" s="233"/>
      <c r="T3080" s="508">
        <f t="shared" si="2335"/>
        <v>0</v>
      </c>
      <c r="U3080" s="225">
        <f>IF(NOT(ISNUMBER(G3080)), "", VLOOKUP(A3080,'Discount Lookup'!D:E,2,FALSE)*G3080)</f>
        <v>0</v>
      </c>
      <c r="V3080" s="225">
        <f>IF(NOT(ISNUMBER(G3080)), "", VLOOKUP(A3080,'Discount Lookup'!G:H,2,FALSE)*G3080)</f>
        <v>0</v>
      </c>
      <c r="W3080" s="508">
        <f t="shared" si="2336"/>
        <v>0</v>
      </c>
      <c r="X3080" s="508">
        <f t="shared" si="2337"/>
        <v>0</v>
      </c>
      <c r="Y3080" s="509" t="b">
        <f t="shared" si="2338"/>
        <v>0</v>
      </c>
      <c r="Z3080" s="510">
        <f t="shared" si="2339"/>
        <v>0</v>
      </c>
      <c r="AA3080" s="511"/>
      <c r="AB3080" s="511" t="str">
        <f t="shared" si="2340"/>
        <v/>
      </c>
      <c r="AC3080" s="698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698"/>
      <c r="AE3080" s="631" t="str">
        <f t="shared" si="2341"/>
        <v/>
      </c>
      <c r="AF3080" s="699" t="str">
        <f t="shared" si="2342"/>
        <v/>
      </c>
      <c r="AG3080" s="699"/>
      <c r="AH3080" s="699"/>
      <c r="AI3080" s="512">
        <f>IF(H3080="credit",0,IF(AE3080="free",0,IF(AE3080="me",0,IF(G3080&gt;0,(VLOOKUP(A3080,'Discount Lookup'!J:K,2)*G3080),0))))</f>
        <v>0</v>
      </c>
      <c r="AJ3080" s="513" t="str">
        <f t="shared" ca="1" si="2343"/>
        <v/>
      </c>
      <c r="AK3080" s="700" t="str">
        <f t="shared" si="2344"/>
        <v/>
      </c>
      <c r="AL3080" s="700"/>
      <c r="AM3080" s="505" t="str">
        <f t="shared" si="2345"/>
        <v/>
      </c>
      <c r="AN3080" s="506"/>
      <c r="AO3080" s="507"/>
      <c r="AP3080" s="507"/>
      <c r="AQ3080" s="507"/>
      <c r="AR3080" s="507"/>
      <c r="AS3080" s="507"/>
      <c r="AT3080" s="507"/>
      <c r="AU3080" s="507"/>
      <c r="AV3080" s="225"/>
      <c r="AW3080" s="508"/>
      <c r="AX3080" s="225"/>
      <c r="AY3080" s="225"/>
      <c r="AZ3080" s="225"/>
      <c r="BA3080" s="225"/>
      <c r="BB3080" s="225"/>
      <c r="BC3080" s="56"/>
      <c r="BD3080" s="56"/>
      <c r="BE3080" s="56"/>
      <c r="BF3080" s="107" t="str">
        <f t="shared" si="2346"/>
        <v>https://www.google.com/search?tbm=isch&amp;q=7%20G4</v>
      </c>
      <c r="BG3080" s="107" t="str">
        <f t="shared" si="2347"/>
        <v>R</v>
      </c>
      <c r="BH3080" s="254"/>
      <c r="BI3080" s="254"/>
    </row>
    <row r="3081" spans="1:61" customFormat="1" ht="17.25" thickBot="1" x14ac:dyDescent="0.3">
      <c r="A3081" s="673" t="s">
        <v>5217</v>
      </c>
      <c r="B3081" s="245"/>
      <c r="C3081" s="677"/>
      <c r="D3081" s="499"/>
      <c r="E3081" s="499"/>
      <c r="F3081" s="500"/>
      <c r="G3081" s="501"/>
      <c r="H3081" s="502"/>
      <c r="I3081" s="246"/>
      <c r="J3081" s="247"/>
      <c r="K3081" s="503"/>
      <c r="L3081" s="544"/>
      <c r="M3081" s="544"/>
      <c r="N3081" s="500"/>
      <c r="O3081" s="500"/>
      <c r="P3081" s="500"/>
      <c r="Q3081" s="500"/>
      <c r="R3081" s="500"/>
      <c r="S3081" s="669" t="s">
        <v>4972</v>
      </c>
      <c r="T3081" s="508">
        <f t="shared" si="2335"/>
        <v>0</v>
      </c>
      <c r="U3081" s="225" t="str">
        <f>IF(NOT(ISNUMBER(G3081)), "", VLOOKUP(A3081,'Discount Lookup'!D:E,2,FALSE)*G3081)</f>
        <v/>
      </c>
      <c r="V3081" s="225" t="str">
        <f>IF(NOT(ISNUMBER(G3081)), "", VLOOKUP(A3081,'Discount Lookup'!G:H,2,FALSE)*G3081)</f>
        <v/>
      </c>
      <c r="W3081" s="508">
        <f t="shared" si="2336"/>
        <v>0</v>
      </c>
      <c r="X3081" s="508">
        <f t="shared" si="2337"/>
        <v>0</v>
      </c>
      <c r="Y3081" s="509" t="b">
        <f t="shared" si="2338"/>
        <v>0</v>
      </c>
      <c r="Z3081" s="510">
        <f t="shared" si="2339"/>
        <v>0</v>
      </c>
      <c r="AA3081" s="511"/>
      <c r="AB3081" s="511" t="str">
        <f t="shared" si="2340"/>
        <v/>
      </c>
      <c r="AC3081" s="698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698"/>
      <c r="AE3081" s="631" t="str">
        <f t="shared" si="2341"/>
        <v/>
      </c>
      <c r="AF3081" s="699" t="str">
        <f t="shared" si="2342"/>
        <v/>
      </c>
      <c r="AG3081" s="699"/>
      <c r="AH3081" s="699"/>
      <c r="AI3081" s="512">
        <f>IF(H3081="credit",0,IF(AE3081="free",0,IF(AE3081="me",0,IF(G3081&gt;0,(VLOOKUP(A3081,'Discount Lookup'!J:K,2)*G3081),0))))</f>
        <v>0</v>
      </c>
      <c r="AJ3081" s="513" t="str">
        <f t="shared" ca="1" si="2343"/>
        <v/>
      </c>
      <c r="AK3081" s="700" t="str">
        <f t="shared" si="2344"/>
        <v/>
      </c>
      <c r="AL3081" s="700"/>
      <c r="AM3081" s="505" t="str">
        <f t="shared" si="2345"/>
        <v/>
      </c>
      <c r="AN3081" s="506"/>
      <c r="AO3081" s="507"/>
      <c r="AP3081" s="507"/>
      <c r="AQ3081" s="507"/>
      <c r="AR3081" s="507"/>
      <c r="AS3081" s="507"/>
      <c r="AT3081" s="507"/>
      <c r="AU3081" s="507"/>
      <c r="AV3081" s="225"/>
      <c r="AW3081" s="508"/>
      <c r="AX3081" s="225"/>
      <c r="AY3081" s="225"/>
      <c r="AZ3081" s="225"/>
      <c r="BA3081" s="225"/>
      <c r="BB3081" s="225"/>
      <c r="BC3081" s="56"/>
      <c r="BD3081" s="56"/>
      <c r="BE3081" s="56"/>
      <c r="BF3081" s="107" t="str">
        <f t="shared" si="2346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081" s="107" t="str">
        <f t="shared" si="2347"/>
        <v>m</v>
      </c>
      <c r="BH3081" s="254"/>
      <c r="BI3081" s="254"/>
    </row>
    <row r="3082" spans="1:61" customFormat="1" ht="18" x14ac:dyDescent="0.25">
      <c r="A3082" s="523" t="s">
        <v>5518</v>
      </c>
      <c r="B3082" s="235"/>
      <c r="C3082" s="676"/>
      <c r="D3082" s="255" t="s">
        <v>1613</v>
      </c>
      <c r="E3082" s="236"/>
      <c r="F3082" s="236"/>
      <c r="G3082" s="236"/>
      <c r="H3082" s="582" t="s">
        <v>356</v>
      </c>
      <c r="I3082" s="498" t="s">
        <v>655</v>
      </c>
      <c r="J3082" s="237"/>
      <c r="K3082" s="237"/>
      <c r="L3082" s="274"/>
      <c r="M3082" s="668" t="s">
        <v>4962</v>
      </c>
      <c r="N3082" s="681" t="str">
        <f>IF(AND(ISTEXT($A3082), ISERROR($A3082+0)), HYPERLINK($BF3082, "Images"), "")</f>
        <v>Images</v>
      </c>
      <c r="O3082" s="663" t="s">
        <v>4974</v>
      </c>
      <c r="P3082" s="253"/>
      <c r="Q3082" s="238"/>
      <c r="R3082" s="239"/>
      <c r="S3082" s="275"/>
      <c r="T3082" s="508">
        <f t="shared" si="2335"/>
        <v>0</v>
      </c>
      <c r="U3082" s="225" t="str">
        <f>IF(NOT(ISNUMBER(G3082)), "", VLOOKUP(A3082,'Discount Lookup'!D:E,2,FALSE)*G3082)</f>
        <v/>
      </c>
      <c r="V3082" s="225" t="str">
        <f>IF(NOT(ISNUMBER(G3082)), "", VLOOKUP(A3082,'Discount Lookup'!G:H,2,FALSE)*G3082)</f>
        <v/>
      </c>
      <c r="W3082" s="508">
        <f t="shared" si="2336"/>
        <v>0</v>
      </c>
      <c r="X3082" s="508" t="str">
        <f t="shared" si="2337"/>
        <v>Red bloom</v>
      </c>
      <c r="Y3082" s="509" t="b">
        <f t="shared" si="2338"/>
        <v>0</v>
      </c>
      <c r="Z3082" s="510">
        <f t="shared" si="2339"/>
        <v>0</v>
      </c>
      <c r="AA3082" s="511"/>
      <c r="AB3082" s="511" t="str">
        <f t="shared" si="2340"/>
        <v/>
      </c>
      <c r="AC3082" s="698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698"/>
      <c r="AE3082" s="631" t="str">
        <f t="shared" si="2341"/>
        <v/>
      </c>
      <c r="AF3082" s="699" t="str">
        <f t="shared" si="2342"/>
        <v/>
      </c>
      <c r="AG3082" s="699"/>
      <c r="AH3082" s="699"/>
      <c r="AI3082" s="512">
        <f>IF(H3082="credit",0,IF(AE3082="free",0,IF(AE3082="me",0,IF(G3082&gt;0,(VLOOKUP(A3082,'Discount Lookup'!J:K,2)*G3082),0))))</f>
        <v>0</v>
      </c>
      <c r="AJ3082" s="513" t="str">
        <f t="shared" ca="1" si="2343"/>
        <v/>
      </c>
      <c r="AK3082" s="700" t="str">
        <f t="shared" si="2344"/>
        <v/>
      </c>
      <c r="AL3082" s="700"/>
      <c r="AM3082" s="505" t="str">
        <f t="shared" si="2345"/>
        <v/>
      </c>
      <c r="AN3082" s="506"/>
      <c r="AO3082" s="507"/>
      <c r="AP3082" s="507"/>
      <c r="AQ3082" s="507"/>
      <c r="AR3082" s="507"/>
      <c r="AS3082" s="507"/>
      <c r="AT3082" s="507"/>
      <c r="AU3082" s="507"/>
      <c r="AV3082" s="225"/>
      <c r="AW3082" s="508"/>
      <c r="AX3082" s="225"/>
      <c r="AY3082" s="225"/>
      <c r="AZ3082" s="225"/>
      <c r="BA3082" s="225"/>
      <c r="BB3082" s="225"/>
      <c r="BC3082" s="56"/>
      <c r="BD3082" s="56"/>
      <c r="BE3082" s="56"/>
      <c r="BF3082" s="107" t="str">
        <f t="shared" si="2346"/>
        <v>https://www.google.com/search?tbm=isch&amp;q=Red%20Double%20Knock%20Out%C2%AE%20Rose%20Rosa%20%27Radtko%27%20PP%2316202</v>
      </c>
      <c r="BG3082" s="107" t="str">
        <f t="shared" si="2347"/>
        <v>R</v>
      </c>
      <c r="BH3082" s="254"/>
      <c r="BI3082" s="254"/>
    </row>
    <row r="3083" spans="1:61" customFormat="1" ht="15.75" x14ac:dyDescent="0.25">
      <c r="A3083" s="276">
        <v>3</v>
      </c>
      <c r="B3083" s="240" t="s">
        <v>291</v>
      </c>
      <c r="C3083" s="241" t="s">
        <v>4872</v>
      </c>
      <c r="D3083" s="242" t="s">
        <v>312</v>
      </c>
      <c r="E3083" s="243">
        <v>30.95</v>
      </c>
      <c r="F3083" s="517" t="s">
        <v>293</v>
      </c>
      <c r="G3083" s="232">
        <v>0</v>
      </c>
      <c r="H3083" s="661" t="str">
        <f>IF(G3083=0,"",IF(F3083="Buy",IF(G3083=1,"plant","plants"),IF(F3083&gt;0.01,"warranty","Error")))</f>
        <v/>
      </c>
      <c r="I3083" s="244">
        <f>IF(H3083="free",0,IF(H3083="credit",((E3083*(F3083))*G3083*-1),IF(F3083="Buy",(E3083*G3083),((E3083*(1-F3083))*G3083))))</f>
        <v>0</v>
      </c>
      <c r="J3083" s="244">
        <f>IF(H3083="warranty",0,(I3083*(_xlfn.SINGLE(SalesTaxPercentage))))</f>
        <v>0</v>
      </c>
      <c r="K3083" s="696">
        <f t="shared" ref="K3083" si="2376">I3083+J3083</f>
        <v>0</v>
      </c>
      <c r="L3083" s="696"/>
      <c r="M3083" s="659" t="str">
        <f>IF(AND(G3083&gt;0,E3083=0),"WARNING - no PRICE inserted",IF(H3083="free"," FREE ~ no charge this plant",IF(H3083="credit",CONCATENATE(" -$",ROUND(K3083*(1-T2GDiscount)*-1,2)," CREDIT after discount"),IF(T2GDiscount=0,"",IF(G3083=0,"",IF(F3083="Buy",CONCATENATE(" $",ROUND(K3083*(1-T2GDiscount),2)," with ",(T2GDiscount*100),"% discount"),CONCATENATE(" $",ROUND(K3083*(1-T2GDiscount),2)," with ",((T2GDiscount*100+F3083*100)-(T2GDiscount*100*F3083)),IF(F3083&gt;0,"% discounts",IF(NoWarrantyDiscount&gt;0,"% discounts","% discount")))))))))</f>
        <v/>
      </c>
      <c r="N3083" s="660"/>
      <c r="O3083" s="233"/>
      <c r="P3083" s="233"/>
      <c r="Q3083" s="233"/>
      <c r="R3083" s="233"/>
      <c r="S3083" s="233"/>
      <c r="T3083" s="508">
        <f t="shared" si="2335"/>
        <v>0</v>
      </c>
      <c r="U3083" s="225">
        <f>IF(NOT(ISNUMBER(G3083)), "", VLOOKUP(A3083,'Discount Lookup'!D:E,2,FALSE)*G3083)</f>
        <v>0</v>
      </c>
      <c r="V3083" s="225">
        <f>IF(NOT(ISNUMBER(G3083)), "", VLOOKUP(A3083,'Discount Lookup'!G:H,2,FALSE)*G3083)</f>
        <v>0</v>
      </c>
      <c r="W3083" s="508">
        <f t="shared" si="2336"/>
        <v>0</v>
      </c>
      <c r="X3083" s="508">
        <f t="shared" si="2337"/>
        <v>0</v>
      </c>
      <c r="Y3083" s="509" t="b">
        <f t="shared" si="2338"/>
        <v>0</v>
      </c>
      <c r="Z3083" s="510">
        <f t="shared" si="2339"/>
        <v>0</v>
      </c>
      <c r="AA3083" s="511"/>
      <c r="AB3083" s="511" t="str">
        <f t="shared" si="2340"/>
        <v/>
      </c>
      <c r="AC3083" s="698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698"/>
      <c r="AE3083" s="631" t="str">
        <f t="shared" si="2341"/>
        <v/>
      </c>
      <c r="AF3083" s="699" t="str">
        <f t="shared" si="2342"/>
        <v/>
      </c>
      <c r="AG3083" s="699"/>
      <c r="AH3083" s="699"/>
      <c r="AI3083" s="512">
        <f>IF(H3083="credit",0,IF(AE3083="free",0,IF(AE3083="me",0,IF(G3083&gt;0,(VLOOKUP(A3083,'Discount Lookup'!J:K,2)*G3083),0))))</f>
        <v>0</v>
      </c>
      <c r="AJ3083" s="513" t="str">
        <f t="shared" ca="1" si="2343"/>
        <v/>
      </c>
      <c r="AK3083" s="700" t="str">
        <f t="shared" si="2344"/>
        <v/>
      </c>
      <c r="AL3083" s="700"/>
      <c r="AM3083" s="505" t="str">
        <f t="shared" si="2345"/>
        <v/>
      </c>
      <c r="AN3083" s="506"/>
      <c r="AO3083" s="507"/>
      <c r="AP3083" s="507"/>
      <c r="AQ3083" s="507"/>
      <c r="AR3083" s="507"/>
      <c r="AS3083" s="507"/>
      <c r="AT3083" s="507"/>
      <c r="AU3083" s="507"/>
      <c r="AV3083" s="225"/>
      <c r="AW3083" s="508"/>
      <c r="AX3083" s="225"/>
      <c r="AY3083" s="225"/>
      <c r="AZ3083" s="225"/>
      <c r="BA3083" s="225"/>
      <c r="BB3083" s="225"/>
      <c r="BC3083" s="56"/>
      <c r="BD3083" s="56"/>
      <c r="BE3083" s="56"/>
      <c r="BF3083" s="107" t="str">
        <f t="shared" si="2346"/>
        <v>https://www.google.com/search?tbm=isch&amp;q=3%20G2</v>
      </c>
      <c r="BG3083" s="107" t="str">
        <f t="shared" si="2347"/>
        <v>R</v>
      </c>
      <c r="BH3083" s="254"/>
      <c r="BI3083" s="254"/>
    </row>
    <row r="3084" spans="1:61" customFormat="1" ht="15.75" x14ac:dyDescent="0.25">
      <c r="A3084" s="276">
        <v>3</v>
      </c>
      <c r="B3084" s="240" t="s">
        <v>291</v>
      </c>
      <c r="C3084" s="241" t="s">
        <v>9</v>
      </c>
      <c r="D3084" s="242" t="s">
        <v>298</v>
      </c>
      <c r="E3084" s="243">
        <v>31.95</v>
      </c>
      <c r="F3084" s="517" t="s">
        <v>293</v>
      </c>
      <c r="G3084" s="232">
        <v>0</v>
      </c>
      <c r="H3084" s="661" t="str">
        <f>IF(G3084=0,"",IF(F3084="Buy",IF(G3084=1,"plant","plants"),IF(F3084&gt;0.01,"warranty","Error")))</f>
        <v/>
      </c>
      <c r="I3084" s="244">
        <f>IF(H3084="free",0,IF(H3084="credit",((E3084*(F3084))*G3084*-1),IF(F3084="Buy",(E3084*G3084),((E3084*(1-F3084))*G3084))))</f>
        <v>0</v>
      </c>
      <c r="J3084" s="244">
        <f>IF(H3084="warranty",0,(I3084*(_xlfn.SINGLE(SalesTaxPercentage))))</f>
        <v>0</v>
      </c>
      <c r="K3084" s="696">
        <f t="shared" ref="K3084" si="2377">I3084+J3084</f>
        <v>0</v>
      </c>
      <c r="L3084" s="696"/>
      <c r="M3084" s="659" t="str">
        <f>IF(AND(G3084&gt;0,E3084=0),"WARNING - no PRICE inserted",IF(H3084="free"," FREE ~ no charge this plant",IF(H3084="credit",CONCATENATE(" -$",ROUND(K3084*(1-T2GDiscount)*-1,2)," CREDIT after discount"),IF(T2GDiscount=0,"",IF(G3084=0,"",IF(F3084="Buy",CONCATENATE(" $",ROUND(K3084*(1-T2GDiscount),2)," with ",(T2GDiscount*100),"% discount"),CONCATENATE(" $",ROUND(K3084*(1-T2GDiscount),2)," with ",((T2GDiscount*100+F3084*100)-(T2GDiscount*100*F3084)),IF(F3084&gt;0,"% discounts",IF(NoWarrantyDiscount&gt;0,"% discounts","% discount")))))))))</f>
        <v/>
      </c>
      <c r="N3084" s="660"/>
      <c r="O3084" s="233"/>
      <c r="P3084" s="233"/>
      <c r="Q3084" s="233"/>
      <c r="R3084" s="233"/>
      <c r="S3084" s="233"/>
      <c r="T3084" s="508">
        <f t="shared" si="2335"/>
        <v>0</v>
      </c>
      <c r="U3084" s="225">
        <f>IF(NOT(ISNUMBER(G3084)), "", VLOOKUP(A3084,'Discount Lookup'!D:E,2,FALSE)*G3084)</f>
        <v>0</v>
      </c>
      <c r="V3084" s="225">
        <f>IF(NOT(ISNUMBER(G3084)), "", VLOOKUP(A3084,'Discount Lookup'!G:H,2,FALSE)*G3084)</f>
        <v>0</v>
      </c>
      <c r="W3084" s="508">
        <f t="shared" si="2336"/>
        <v>0</v>
      </c>
      <c r="X3084" s="508">
        <f t="shared" si="2337"/>
        <v>0</v>
      </c>
      <c r="Y3084" s="509" t="b">
        <f t="shared" si="2338"/>
        <v>0</v>
      </c>
      <c r="Z3084" s="510">
        <f t="shared" si="2339"/>
        <v>0</v>
      </c>
      <c r="AA3084" s="511"/>
      <c r="AB3084" s="511" t="str">
        <f t="shared" si="2340"/>
        <v/>
      </c>
      <c r="AC3084" s="698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698"/>
      <c r="AE3084" s="631" t="str">
        <f t="shared" si="2341"/>
        <v/>
      </c>
      <c r="AF3084" s="699" t="str">
        <f t="shared" si="2342"/>
        <v/>
      </c>
      <c r="AG3084" s="699"/>
      <c r="AH3084" s="699"/>
      <c r="AI3084" s="512">
        <f>IF(H3084="credit",0,IF(AE3084="free",0,IF(AE3084="me",0,IF(G3084&gt;0,(VLOOKUP(A3084,'Discount Lookup'!J:K,2)*G3084),0))))</f>
        <v>0</v>
      </c>
      <c r="AJ3084" s="513" t="str">
        <f t="shared" ca="1" si="2343"/>
        <v/>
      </c>
      <c r="AK3084" s="700" t="str">
        <f t="shared" si="2344"/>
        <v/>
      </c>
      <c r="AL3084" s="700"/>
      <c r="AM3084" s="505" t="str">
        <f t="shared" si="2345"/>
        <v/>
      </c>
      <c r="AN3084" s="506"/>
      <c r="AO3084" s="507"/>
      <c r="AP3084" s="507"/>
      <c r="AQ3084" s="507"/>
      <c r="AR3084" s="507"/>
      <c r="AS3084" s="507"/>
      <c r="AT3084" s="507"/>
      <c r="AU3084" s="507"/>
      <c r="AV3084" s="225"/>
      <c r="AW3084" s="508"/>
      <c r="AX3084" s="225"/>
      <c r="AY3084" s="225"/>
      <c r="AZ3084" s="225"/>
      <c r="BA3084" s="225"/>
      <c r="BB3084" s="225"/>
      <c r="BC3084" s="56"/>
      <c r="BD3084" s="56"/>
      <c r="BE3084" s="56"/>
      <c r="BF3084" s="107" t="str">
        <f t="shared" si="2346"/>
        <v>https://www.google.com/search?tbm=isch&amp;q=3%20G1</v>
      </c>
      <c r="BG3084" s="107" t="str">
        <f t="shared" si="2347"/>
        <v>R</v>
      </c>
      <c r="BH3084" s="254"/>
      <c r="BI3084" s="254"/>
    </row>
    <row r="3085" spans="1:61" customFormat="1" ht="15.75" x14ac:dyDescent="0.25">
      <c r="A3085" s="276">
        <v>3</v>
      </c>
      <c r="B3085" s="240" t="s">
        <v>291</v>
      </c>
      <c r="C3085" s="241" t="s">
        <v>3725</v>
      </c>
      <c r="D3085" s="242" t="s">
        <v>292</v>
      </c>
      <c r="E3085" s="243">
        <v>35.950000000000003</v>
      </c>
      <c r="F3085" s="517" t="s">
        <v>293</v>
      </c>
      <c r="G3085" s="232">
        <v>0</v>
      </c>
      <c r="H3085" s="661" t="str">
        <f>IF(G3085=0,"",IF(F3085="Buy",IF(G3085=1,"plant","plants"),IF(F3085&gt;0.01,"warranty","Error")))</f>
        <v/>
      </c>
      <c r="I3085" s="244">
        <f>IF(H3085="free",0,IF(H3085="credit",((E3085*(F3085))*G3085*-1),IF(F3085="Buy",(E3085*G3085),((E3085*(1-F3085))*G3085))))</f>
        <v>0</v>
      </c>
      <c r="J3085" s="244">
        <f>IF(H3085="warranty",0,(I3085*(_xlfn.SINGLE(SalesTaxPercentage))))</f>
        <v>0</v>
      </c>
      <c r="K3085" s="696">
        <f t="shared" ref="K3085" si="2378">I3085+J3085</f>
        <v>0</v>
      </c>
      <c r="L3085" s="696"/>
      <c r="M3085" s="659" t="str">
        <f>IF(AND(G3085&gt;0,E3085=0),"WARNING - no PRICE inserted",IF(H3085="free"," FREE ~ no charge this plant",IF(H3085="credit",CONCATENATE(" -$",ROUND(K3085*(1-T2GDiscount)*-1,2)," CREDIT after discount"),IF(T2GDiscount=0,"",IF(G3085=0,"",IF(F3085="Buy",CONCATENATE(" $",ROUND(K3085*(1-T2GDiscount),2)," with ",(T2GDiscount*100),"% discount"),CONCATENATE(" $",ROUND(K3085*(1-T2GDiscount),2)," with ",((T2GDiscount*100+F3085*100)-(T2GDiscount*100*F3085)),IF(F3085&gt;0,"% discounts",IF(NoWarrantyDiscount&gt;0,"% discounts","% discount")))))))))</f>
        <v/>
      </c>
      <c r="N3085" s="660"/>
      <c r="O3085" s="233"/>
      <c r="P3085" s="233"/>
      <c r="Q3085" s="233"/>
      <c r="R3085" s="233"/>
      <c r="S3085" s="233"/>
      <c r="T3085" s="508">
        <f t="shared" si="2335"/>
        <v>0</v>
      </c>
      <c r="U3085" s="225">
        <f>IF(NOT(ISNUMBER(G3085)), "", VLOOKUP(A3085,'Discount Lookup'!D:E,2,FALSE)*G3085)</f>
        <v>0</v>
      </c>
      <c r="V3085" s="225">
        <f>IF(NOT(ISNUMBER(G3085)), "", VLOOKUP(A3085,'Discount Lookup'!G:H,2,FALSE)*G3085)</f>
        <v>0</v>
      </c>
      <c r="W3085" s="508">
        <f t="shared" si="2336"/>
        <v>0</v>
      </c>
      <c r="X3085" s="508">
        <f t="shared" si="2337"/>
        <v>0</v>
      </c>
      <c r="Y3085" s="509" t="b">
        <f t="shared" si="2338"/>
        <v>0</v>
      </c>
      <c r="Z3085" s="510">
        <f t="shared" si="2339"/>
        <v>0</v>
      </c>
      <c r="AA3085" s="511"/>
      <c r="AB3085" s="511" t="str">
        <f t="shared" si="2340"/>
        <v/>
      </c>
      <c r="AC3085" s="698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698"/>
      <c r="AE3085" s="631" t="str">
        <f t="shared" si="2341"/>
        <v/>
      </c>
      <c r="AF3085" s="699" t="str">
        <f t="shared" si="2342"/>
        <v/>
      </c>
      <c r="AG3085" s="699"/>
      <c r="AH3085" s="699"/>
      <c r="AI3085" s="512">
        <f>IF(H3085="credit",0,IF(AE3085="free",0,IF(AE3085="me",0,IF(G3085&gt;0,(VLOOKUP(A3085,'Discount Lookup'!J:K,2)*G3085),0))))</f>
        <v>0</v>
      </c>
      <c r="AJ3085" s="513" t="str">
        <f t="shared" ca="1" si="2343"/>
        <v/>
      </c>
      <c r="AK3085" s="700" t="str">
        <f t="shared" si="2344"/>
        <v/>
      </c>
      <c r="AL3085" s="700"/>
      <c r="AM3085" s="505" t="str">
        <f t="shared" si="2345"/>
        <v/>
      </c>
      <c r="AN3085" s="506"/>
      <c r="AO3085" s="507"/>
      <c r="AP3085" s="507"/>
      <c r="AQ3085" s="507"/>
      <c r="AR3085" s="507"/>
      <c r="AS3085" s="507"/>
      <c r="AT3085" s="507"/>
      <c r="AU3085" s="507"/>
      <c r="AV3085" s="225"/>
      <c r="AW3085" s="508"/>
      <c r="AX3085" s="225"/>
      <c r="AY3085" s="225"/>
      <c r="AZ3085" s="225"/>
      <c r="BA3085" s="225"/>
      <c r="BB3085" s="225"/>
      <c r="BC3085" s="56"/>
      <c r="BD3085" s="56"/>
      <c r="BE3085" s="56"/>
      <c r="BF3085" s="107" t="str">
        <f t="shared" si="2346"/>
        <v>https://www.google.com/search?tbm=isch&amp;q=3%20G4</v>
      </c>
      <c r="BG3085" s="107" t="str">
        <f t="shared" si="2347"/>
        <v>R</v>
      </c>
      <c r="BH3085" s="254"/>
      <c r="BI3085" s="254"/>
    </row>
    <row r="3086" spans="1:61" customFormat="1" ht="15.75" x14ac:dyDescent="0.25">
      <c r="A3086" s="276">
        <v>3</v>
      </c>
      <c r="B3086" s="240" t="s">
        <v>291</v>
      </c>
      <c r="C3086" s="241" t="s">
        <v>3277</v>
      </c>
      <c r="D3086" s="242" t="s">
        <v>299</v>
      </c>
      <c r="E3086" s="243">
        <v>36.950000000000003</v>
      </c>
      <c r="F3086" s="517" t="s">
        <v>293</v>
      </c>
      <c r="G3086" s="232">
        <v>0</v>
      </c>
      <c r="H3086" s="661" t="str">
        <f>IF(G3086=0,"",IF(F3086="Buy",IF(G3086=1,"plant","plants"),IF(F3086&gt;0.01,"warranty","Error")))</f>
        <v/>
      </c>
      <c r="I3086" s="244">
        <f>IF(H3086="free",0,IF(H3086="credit",((E3086*(F3086))*G3086*-1),IF(F3086="Buy",(E3086*G3086),((E3086*(1-F3086))*G3086))))</f>
        <v>0</v>
      </c>
      <c r="J3086" s="244">
        <f>IF(H3086="warranty",0,(I3086*(_xlfn.SINGLE(SalesTaxPercentage))))</f>
        <v>0</v>
      </c>
      <c r="K3086" s="696">
        <f t="shared" ref="K3086" si="2379">I3086+J3086</f>
        <v>0</v>
      </c>
      <c r="L3086" s="696"/>
      <c r="M3086" s="659" t="str">
        <f>IF(AND(G3086&gt;0,E3086=0),"WARNING - no PRICE inserted",IF(H3086="free"," FREE ~ no charge this plant",IF(H3086="credit",CONCATENATE(" -$",ROUND(K3086*(1-T2GDiscount)*-1,2)," CREDIT after discount"),IF(T2GDiscount=0,"",IF(G3086=0,"",IF(F3086="Buy",CONCATENATE(" $",ROUND(K3086*(1-T2GDiscount),2)," with ",(T2GDiscount*100),"% discount"),CONCATENATE(" $",ROUND(K3086*(1-T2GDiscount),2)," with ",((T2GDiscount*100+F3086*100)-(T2GDiscount*100*F3086)),IF(F3086&gt;0,"% discounts",IF(NoWarrantyDiscount&gt;0,"% discounts","% discount")))))))))</f>
        <v/>
      </c>
      <c r="N3086" s="660"/>
      <c r="O3086" s="233"/>
      <c r="P3086" s="233"/>
      <c r="Q3086" s="233"/>
      <c r="R3086" s="233"/>
      <c r="S3086" s="233"/>
      <c r="T3086" s="508">
        <f t="shared" ref="T3086:T3149" si="2380">E3086*G3086</f>
        <v>0</v>
      </c>
      <c r="U3086" s="225">
        <f>IF(NOT(ISNUMBER(G3086)), "", VLOOKUP(A3086,'Discount Lookup'!D:E,2,FALSE)*G3086)</f>
        <v>0</v>
      </c>
      <c r="V3086" s="225">
        <f>IF(NOT(ISNUMBER(G3086)), "", VLOOKUP(A3086,'Discount Lookup'!G:H,2,FALSE)*G3086)</f>
        <v>0</v>
      </c>
      <c r="W3086" s="508">
        <f t="shared" ref="W3086:W3149" si="2381">IF(H3086="credit",0,E3086*(SalesTaxPercentage)*G3086)</f>
        <v>0</v>
      </c>
      <c r="X3086" s="508">
        <f t="shared" ref="X3086:X3149" si="2382">I3086</f>
        <v>0</v>
      </c>
      <c r="Y3086" s="509" t="b">
        <f t="shared" ref="Y3086:Y3149" si="2383">IF(AE3086="T2G",0,IF(H3086="credit",0,IF(G3086&gt;0,IF(AE3086="me","",G3086))))</f>
        <v>0</v>
      </c>
      <c r="Z3086" s="510">
        <f t="shared" ref="Z3086:Z3149" si="2384">IF(H3086="credit",G3086,0)</f>
        <v>0</v>
      </c>
      <c r="AA3086" s="511"/>
      <c r="AB3086" s="511" t="str">
        <f t="shared" ref="AB3086:AB3149" si="2385">IF(AE3086="T2G","by Trees2Go",IF(H3086="credit","CREDIT only ~",IF(AND(K3086="",AE3086=OR(PlanterYesMe="No",PlanterYesMe="N",PlanterYesMe="me")),"not THIS line⇨",IF(AND(K3086="images",AE3086="me"),"not THIS line⇨",IF(H3086="credit","",IF(G3086=0,"",IF(AE3086="me","",IF(OR(PlanterYesMe="No",PlanterYesMe="N",PlanterYesMe="me"),"",IF(AE3086="free","warranty",IF(OR(PlanterYesMe="yes",PlanterYesMe="y"),"Edison install:","to install:"))))))))))</f>
        <v/>
      </c>
      <c r="AC3086" s="698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698"/>
      <c r="AE3086" s="631" t="str">
        <f t="shared" ref="AE3086:AE3149" si="2386">IF(H3086="credit","",IF(G3086=0,"",IF(OR(PlanterYesMe="No",PlanterYesMe="N",PlanterYesMe="me"),"me",IF(H3086="warranty","free",IF(OR(PlanterYesMe="yes",PlanterYesMe="y"),"ELP","")))))</f>
        <v/>
      </c>
      <c r="AF3086" s="699" t="str">
        <f t="shared" ref="AF3086:AF3149" si="2387">IF(OR(PlanterYesMe="No",PlanterYesMe="N",PlanterYesMe="me"),"",IF(H3086="credit","",IF(G3086&gt;0,(CONCATENATE((G3086)," quantity, ",(A3086)," ",B3086)),"")))</f>
        <v/>
      </c>
      <c r="AG3086" s="699"/>
      <c r="AH3086" s="699"/>
      <c r="AI3086" s="512">
        <f>IF(H3086="credit",0,IF(AE3086="free",0,IF(AE3086="me",0,IF(G3086&gt;0,(VLOOKUP(A3086,'Discount Lookup'!J:K,2)*G3086),0))))</f>
        <v>0</v>
      </c>
      <c r="AJ3086" s="513" t="str">
        <f t="shared" ref="AJ3086:AJ3149" ca="1" si="2388">IF(AND(ISREF(H3086),H3086="credit"),"",IF(AND(AND(OFFSET(G3086,0,0)=0,OFFSET(G3086,1,0)&gt;0,ISNUMBER(OFFSET(AC3086,1,0)),OFFSET(AC3086,1,0)&gt;0),OR(PlanterYesMe="yes",PlanterYesMe="y")),"T2G+ELP=",IF(AND(OFFSET(G3086,0,0)=0,OFFSET(G3086,1,0)&gt;0,ISNUMBER(OFFSET(AC3086,1,0)),OFFSET(AC3086,1,0)&gt;0),"if T2G+ELP=",IF(AND(OFFSET(G3086,0,0)=0,OFFSET(G3086,1,0)&gt;0),"T2G Subtotal",IF(H3086="credit","",IF(G3086=0,"",IF(AE3086="free",(K3086*(1-T2GDiscount)),IF(OR(PlanterYesMe="No",PlanterYesMe="N",PlanterYesMe="me"),(K3086*(1-T2GDiscount)),IF(OR(AE3086="me",AE3086="T2G"),(K3086*(1-T2GDiscount)),(K3086*(1-T2GDiscount))+AC3086)))))))))</f>
        <v/>
      </c>
      <c r="AK3086" s="700" t="str">
        <f t="shared" ref="AK3086:AK3149" si="2389">IF(H3086="credit","",IF(G3086=0,"",IF(OR(AE3086="me",AE3086="T2G"),"  delivery-only",IF(OR(PlanterYesMe="No",PlanterYesMe="N",PlanterYesMe="me"),"  delivery-only",CONCATENATE(" $",ROUND(AJ3086/G3086,2)," each")))))</f>
        <v/>
      </c>
      <c r="AL3086" s="700"/>
      <c r="AM3086" s="505" t="str">
        <f t="shared" ref="AM3086:AM3149" si="2390">IF(H3086="credit","",IF(AE3086="free","      ~ discounts included, no tax or planting fee applies ~",IF(G3086=0,"",IF(OR(PlanterYesMe="No",PlanterYesMe="N",PlanterYesMe="me"),CONCATENATE(" $",ROUND(AJ3086/G3086,2)," per plant, with tax &amp; discount"),IF(OR(AE3086="me",AE3086="T2G"),CONCATENATE(" $",ROUND(AJ3086/G3086,2)," per plant, with tax &amp; discount"),CONCATENATE("= $",ROUND((K3086*(1-T2GDiscount))/G3086,2)," per plant + $",AC3086/G3086,(" per planting      ~ includes tax &amp; discounts ~")))))))</f>
        <v/>
      </c>
      <c r="AN3086" s="506"/>
      <c r="AO3086" s="507"/>
      <c r="AP3086" s="507"/>
      <c r="AQ3086" s="507"/>
      <c r="AR3086" s="507"/>
      <c r="AS3086" s="507"/>
      <c r="AT3086" s="507"/>
      <c r="AU3086" s="507"/>
      <c r="AV3086" s="225"/>
      <c r="AW3086" s="508"/>
      <c r="AX3086" s="225"/>
      <c r="AY3086" s="225"/>
      <c r="AZ3086" s="225"/>
      <c r="BA3086" s="225"/>
      <c r="BB3086" s="225"/>
      <c r="BC3086" s="56"/>
      <c r="BD3086" s="56"/>
      <c r="BE3086" s="56"/>
      <c r="BF3086" s="107" t="str">
        <f t="shared" ref="BF3086:BF3149" si="2391">"https://www.google.com/search?tbm=isch&amp;q=" &amp; _xlfn.ENCODEURL($A3086 &amp; " " &amp; $D3086)</f>
        <v>https://www.google.com/search?tbm=isch&amp;q=3%20G5</v>
      </c>
      <c r="BG3086" s="107" t="str">
        <f t="shared" ref="BG3086:BG3149" si="2392">IF(ISTEXT(A3086),LEFT(A3086,1),BG3085)</f>
        <v>R</v>
      </c>
      <c r="BH3086" s="254"/>
      <c r="BI3086" s="254"/>
    </row>
    <row r="3087" spans="1:61" customFormat="1" ht="17.25" thickBot="1" x14ac:dyDescent="0.3">
      <c r="A3087" s="524" t="s">
        <v>4075</v>
      </c>
      <c r="B3087" s="245"/>
      <c r="C3087" s="677"/>
      <c r="D3087" s="499"/>
      <c r="E3087" s="499"/>
      <c r="F3087" s="500"/>
      <c r="G3087" s="501"/>
      <c r="H3087" s="502"/>
      <c r="I3087" s="246"/>
      <c r="J3087" s="247"/>
      <c r="K3087" s="503"/>
      <c r="L3087" s="544"/>
      <c r="M3087" s="544"/>
      <c r="N3087" s="500"/>
      <c r="O3087" s="500"/>
      <c r="P3087" s="500"/>
      <c r="Q3087" s="500"/>
      <c r="R3087" s="500"/>
      <c r="S3087" s="669" t="s">
        <v>4980</v>
      </c>
      <c r="T3087" s="508">
        <f t="shared" si="2380"/>
        <v>0</v>
      </c>
      <c r="U3087" s="225" t="str">
        <f>IF(NOT(ISNUMBER(G3087)), "", VLOOKUP(A3087,'Discount Lookup'!D:E,2,FALSE)*G3087)</f>
        <v/>
      </c>
      <c r="V3087" s="225" t="str">
        <f>IF(NOT(ISNUMBER(G3087)), "", VLOOKUP(A3087,'Discount Lookup'!G:H,2,FALSE)*G3087)</f>
        <v/>
      </c>
      <c r="W3087" s="508">
        <f t="shared" si="2381"/>
        <v>0</v>
      </c>
      <c r="X3087" s="508">
        <f t="shared" si="2382"/>
        <v>0</v>
      </c>
      <c r="Y3087" s="509" t="b">
        <f t="shared" si="2383"/>
        <v>0</v>
      </c>
      <c r="Z3087" s="510">
        <f t="shared" si="2384"/>
        <v>0</v>
      </c>
      <c r="AA3087" s="511"/>
      <c r="AB3087" s="511" t="str">
        <f t="shared" si="2385"/>
        <v/>
      </c>
      <c r="AC3087" s="698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698"/>
      <c r="AE3087" s="631" t="str">
        <f t="shared" si="2386"/>
        <v/>
      </c>
      <c r="AF3087" s="699" t="str">
        <f t="shared" si="2387"/>
        <v/>
      </c>
      <c r="AG3087" s="699"/>
      <c r="AH3087" s="699"/>
      <c r="AI3087" s="512">
        <f>IF(H3087="credit",0,IF(AE3087="free",0,IF(AE3087="me",0,IF(G3087&gt;0,(VLOOKUP(A3087,'Discount Lookup'!J:K,2)*G3087),0))))</f>
        <v>0</v>
      </c>
      <c r="AJ3087" s="513" t="str">
        <f t="shared" ca="1" si="2388"/>
        <v/>
      </c>
      <c r="AK3087" s="700" t="str">
        <f t="shared" si="2389"/>
        <v/>
      </c>
      <c r="AL3087" s="700"/>
      <c r="AM3087" s="505" t="str">
        <f t="shared" si="2390"/>
        <v/>
      </c>
      <c r="AN3087" s="506"/>
      <c r="AO3087" s="507"/>
      <c r="AP3087" s="507"/>
      <c r="AQ3087" s="507"/>
      <c r="AR3087" s="507"/>
      <c r="AS3087" s="507"/>
      <c r="AT3087" s="507"/>
      <c r="AU3087" s="507"/>
      <c r="AV3087" s="225"/>
      <c r="AW3087" s="508"/>
      <c r="AX3087" s="225"/>
      <c r="AY3087" s="225"/>
      <c r="AZ3087" s="225"/>
      <c r="BA3087" s="225"/>
      <c r="BB3087" s="225"/>
      <c r="BC3087" s="56"/>
      <c r="BD3087" s="56"/>
      <c r="BE3087" s="56"/>
      <c r="BF3087" s="107" t="str">
        <f t="shared" si="2391"/>
        <v>https://www.google.com/search?tbm=isch&amp;q=Knock%20Out%20bloom%20all%20summer%20and%20don%27t%20need%20deadheading.%20Glossy%20Green%20foliage%20and%20thorns%20%28rabbits%20may%20still%20nibble%29.%20Cut%20back%20annually%20</v>
      </c>
      <c r="BG3087" s="107" t="str">
        <f t="shared" si="2392"/>
        <v>K</v>
      </c>
      <c r="BH3087" s="254"/>
      <c r="BI3087" s="254"/>
    </row>
    <row r="3088" spans="1:61" customFormat="1" ht="18" x14ac:dyDescent="0.25">
      <c r="A3088" s="523" t="s">
        <v>1614</v>
      </c>
      <c r="B3088" s="235"/>
      <c r="C3088" s="676"/>
      <c r="D3088" s="255" t="s">
        <v>1615</v>
      </c>
      <c r="E3088" s="236"/>
      <c r="F3088" s="236"/>
      <c r="G3088" s="236"/>
      <c r="H3088" s="582" t="s">
        <v>387</v>
      </c>
      <c r="I3088" s="498" t="s">
        <v>3278</v>
      </c>
      <c r="J3088" s="237"/>
      <c r="K3088" s="237"/>
      <c r="L3088" s="274"/>
      <c r="M3088" s="668" t="s">
        <v>4975</v>
      </c>
      <c r="N3088" s="681" t="str">
        <f>IF(AND(ISTEXT($A3088), ISERROR($A3088+0)), HYPERLINK($BF3088, "Images"), "")</f>
        <v>Images</v>
      </c>
      <c r="O3088" s="663" t="s">
        <v>4967</v>
      </c>
      <c r="P3088" s="253"/>
      <c r="Q3088" s="238"/>
      <c r="R3088" s="239"/>
      <c r="S3088" s="275"/>
      <c r="T3088" s="508">
        <f t="shared" si="2380"/>
        <v>0</v>
      </c>
      <c r="U3088" s="225" t="str">
        <f>IF(NOT(ISNUMBER(G3088)), "", VLOOKUP(A3088,'Discount Lookup'!D:E,2,FALSE)*G3088)</f>
        <v/>
      </c>
      <c r="V3088" s="225" t="str">
        <f>IF(NOT(ISNUMBER(G3088)), "", VLOOKUP(A3088,'Discount Lookup'!G:H,2,FALSE)*G3088)</f>
        <v/>
      </c>
      <c r="W3088" s="508">
        <f t="shared" si="2381"/>
        <v>0</v>
      </c>
      <c r="X3088" s="508" t="str">
        <f t="shared" si="2382"/>
        <v>Dark Burgundy-Red foliage</v>
      </c>
      <c r="Y3088" s="509" t="b">
        <f t="shared" si="2383"/>
        <v>0</v>
      </c>
      <c r="Z3088" s="510">
        <f t="shared" si="2384"/>
        <v>0</v>
      </c>
      <c r="AA3088" s="511"/>
      <c r="AB3088" s="511" t="str">
        <f t="shared" si="2385"/>
        <v/>
      </c>
      <c r="AC3088" s="698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698"/>
      <c r="AE3088" s="631" t="str">
        <f t="shared" si="2386"/>
        <v/>
      </c>
      <c r="AF3088" s="699" t="str">
        <f t="shared" si="2387"/>
        <v/>
      </c>
      <c r="AG3088" s="699"/>
      <c r="AH3088" s="699"/>
      <c r="AI3088" s="512">
        <f>IF(H3088="credit",0,IF(AE3088="free",0,IF(AE3088="me",0,IF(G3088&gt;0,(VLOOKUP(A3088,'Discount Lookup'!J:K,2)*G3088),0))))</f>
        <v>0</v>
      </c>
      <c r="AJ3088" s="513" t="str">
        <f t="shared" ca="1" si="2388"/>
        <v/>
      </c>
      <c r="AK3088" s="700" t="str">
        <f t="shared" si="2389"/>
        <v/>
      </c>
      <c r="AL3088" s="700"/>
      <c r="AM3088" s="505" t="str">
        <f t="shared" si="2390"/>
        <v/>
      </c>
      <c r="AN3088" s="506"/>
      <c r="AO3088" s="507"/>
      <c r="AP3088" s="507"/>
      <c r="AQ3088" s="507"/>
      <c r="AR3088" s="507"/>
      <c r="AS3088" s="507"/>
      <c r="AT3088" s="507"/>
      <c r="AU3088" s="507"/>
      <c r="AV3088" s="225"/>
      <c r="AW3088" s="508"/>
      <c r="AX3088" s="225"/>
      <c r="AY3088" s="225"/>
      <c r="AZ3088" s="225"/>
      <c r="BA3088" s="225"/>
      <c r="BB3088" s="225"/>
      <c r="BC3088" s="56"/>
      <c r="BD3088" s="56"/>
      <c r="BE3088" s="56"/>
      <c r="BF3088" s="107" t="str">
        <f t="shared" si="2391"/>
        <v>https://www.google.com/search?tbm=isch&amp;q=Red%20Dragon%20Contorted%20Filbert%20Corylus%20avellana%20%27Red%20Dragon%27%20PP%2320694</v>
      </c>
      <c r="BG3088" s="107" t="str">
        <f t="shared" si="2392"/>
        <v>R</v>
      </c>
      <c r="BH3088" s="254"/>
      <c r="BI3088" s="254"/>
    </row>
    <row r="3089" spans="1:61" customFormat="1" ht="15.75" x14ac:dyDescent="0.25">
      <c r="A3089" s="276">
        <v>7</v>
      </c>
      <c r="B3089" s="240" t="s">
        <v>291</v>
      </c>
      <c r="C3089" s="241" t="s">
        <v>3726</v>
      </c>
      <c r="D3089" s="242" t="s">
        <v>292</v>
      </c>
      <c r="E3089" s="243">
        <v>146.94999999999999</v>
      </c>
      <c r="F3089" s="517" t="s">
        <v>293</v>
      </c>
      <c r="G3089" s="232">
        <v>0</v>
      </c>
      <c r="H3089" s="661" t="str">
        <f>IF(G3089=0,"",IF(F3089="Buy",IF(G3089=1,"plant","plants"),IF(F3089&gt;0.01,"warranty","Error")))</f>
        <v/>
      </c>
      <c r="I3089" s="244">
        <f>IF(H3089="free",0,IF(H3089="credit",((E3089*(F3089))*G3089*-1),IF(F3089="Buy",(E3089*G3089),((E3089*(1-F3089))*G3089))))</f>
        <v>0</v>
      </c>
      <c r="J3089" s="244">
        <f>IF(H3089="warranty",0,(I3089*(_xlfn.SINGLE(SalesTaxPercentage))))</f>
        <v>0</v>
      </c>
      <c r="K3089" s="696">
        <f t="shared" ref="K3089" si="2393">I3089+J3089</f>
        <v>0</v>
      </c>
      <c r="L3089" s="696"/>
      <c r="M3089" s="659" t="str">
        <f>IF(AND(G3089&gt;0,E3089=0),"WARNING - no PRICE inserted",IF(H3089="free"," FREE ~ no charge this plant",IF(H3089="credit",CONCATENATE(" -$",ROUND(K3089*(1-T2GDiscount)*-1,2)," CREDIT after discount"),IF(T2GDiscount=0,"",IF(G3089=0,"",IF(F3089="Buy",CONCATENATE(" $",ROUND(K3089*(1-T2GDiscount),2)," with ",(T2GDiscount*100),"% discount"),CONCATENATE(" $",ROUND(K3089*(1-T2GDiscount),2)," with ",((T2GDiscount*100+F3089*100)-(T2GDiscount*100*F3089)),IF(F3089&gt;0,"% discounts",IF(NoWarrantyDiscount&gt;0,"% discounts","% discount")))))))))</f>
        <v/>
      </c>
      <c r="N3089" s="660"/>
      <c r="O3089" s="233"/>
      <c r="P3089" s="233"/>
      <c r="Q3089" s="233"/>
      <c r="R3089" s="233"/>
      <c r="S3089" s="233"/>
      <c r="T3089" s="508">
        <f t="shared" si="2380"/>
        <v>0</v>
      </c>
      <c r="U3089" s="225">
        <f>IF(NOT(ISNUMBER(G3089)), "", VLOOKUP(A3089,'Discount Lookup'!D:E,2,FALSE)*G3089)</f>
        <v>0</v>
      </c>
      <c r="V3089" s="225">
        <f>IF(NOT(ISNUMBER(G3089)), "", VLOOKUP(A3089,'Discount Lookup'!G:H,2,FALSE)*G3089)</f>
        <v>0</v>
      </c>
      <c r="W3089" s="508">
        <f t="shared" si="2381"/>
        <v>0</v>
      </c>
      <c r="X3089" s="508">
        <f t="shared" si="2382"/>
        <v>0</v>
      </c>
      <c r="Y3089" s="509" t="b">
        <f t="shared" si="2383"/>
        <v>0</v>
      </c>
      <c r="Z3089" s="510">
        <f t="shared" si="2384"/>
        <v>0</v>
      </c>
      <c r="AA3089" s="511"/>
      <c r="AB3089" s="511" t="str">
        <f t="shared" si="2385"/>
        <v/>
      </c>
      <c r="AC3089" s="698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698"/>
      <c r="AE3089" s="631" t="str">
        <f t="shared" si="2386"/>
        <v/>
      </c>
      <c r="AF3089" s="699" t="str">
        <f t="shared" si="2387"/>
        <v/>
      </c>
      <c r="AG3089" s="699"/>
      <c r="AH3089" s="699"/>
      <c r="AI3089" s="512">
        <f>IF(H3089="credit",0,IF(AE3089="free",0,IF(AE3089="me",0,IF(G3089&gt;0,(VLOOKUP(A3089,'Discount Lookup'!J:K,2)*G3089),0))))</f>
        <v>0</v>
      </c>
      <c r="AJ3089" s="513" t="str">
        <f t="shared" ca="1" si="2388"/>
        <v/>
      </c>
      <c r="AK3089" s="700" t="str">
        <f t="shared" si="2389"/>
        <v/>
      </c>
      <c r="AL3089" s="700"/>
      <c r="AM3089" s="505" t="str">
        <f t="shared" si="2390"/>
        <v/>
      </c>
      <c r="AN3089" s="506"/>
      <c r="AO3089" s="507"/>
      <c r="AP3089" s="507"/>
      <c r="AQ3089" s="507"/>
      <c r="AR3089" s="507"/>
      <c r="AS3089" s="507"/>
      <c r="AT3089" s="507"/>
      <c r="AU3089" s="507"/>
      <c r="AV3089" s="225"/>
      <c r="AW3089" s="508"/>
      <c r="AX3089" s="225"/>
      <c r="AY3089" s="225"/>
      <c r="AZ3089" s="225"/>
      <c r="BA3089" s="225"/>
      <c r="BB3089" s="225"/>
      <c r="BC3089" s="56"/>
      <c r="BD3089" s="56"/>
      <c r="BE3089" s="56"/>
      <c r="BF3089" s="107" t="str">
        <f t="shared" si="2391"/>
        <v>https://www.google.com/search?tbm=isch&amp;q=7%20G4</v>
      </c>
      <c r="BG3089" s="107" t="str">
        <f t="shared" si="2392"/>
        <v>R</v>
      </c>
      <c r="BH3089" s="254"/>
      <c r="BI3089" s="254"/>
    </row>
    <row r="3090" spans="1:61" customFormat="1" ht="15.75" x14ac:dyDescent="0.25">
      <c r="A3090" s="276">
        <v>10</v>
      </c>
      <c r="B3090" s="240" t="s">
        <v>291</v>
      </c>
      <c r="C3090" s="241" t="s">
        <v>3727</v>
      </c>
      <c r="D3090" s="242" t="s">
        <v>292</v>
      </c>
      <c r="E3090" s="243">
        <v>178.95</v>
      </c>
      <c r="F3090" s="517" t="s">
        <v>293</v>
      </c>
      <c r="G3090" s="232">
        <v>0</v>
      </c>
      <c r="H3090" s="661" t="str">
        <f>IF(G3090=0,"",IF(F3090="Buy",IF(G3090=1,"plant","plants"),IF(F3090&gt;0.01,"warranty","Error")))</f>
        <v/>
      </c>
      <c r="I3090" s="244">
        <f>IF(H3090="free",0,IF(H3090="credit",((E3090*(F3090))*G3090*-1),IF(F3090="Buy",(E3090*G3090),((E3090*(1-F3090))*G3090))))</f>
        <v>0</v>
      </c>
      <c r="J3090" s="244">
        <f>IF(H3090="warranty",0,(I3090*(_xlfn.SINGLE(SalesTaxPercentage))))</f>
        <v>0</v>
      </c>
      <c r="K3090" s="696">
        <f t="shared" ref="K3090" si="2394">I3090+J3090</f>
        <v>0</v>
      </c>
      <c r="L3090" s="696"/>
      <c r="M3090" s="659" t="str">
        <f>IF(AND(G3090&gt;0,E3090=0),"WARNING - no PRICE inserted",IF(H3090="free"," FREE ~ no charge this plant",IF(H3090="credit",CONCATENATE(" -$",ROUND(K3090*(1-T2GDiscount)*-1,2)," CREDIT after discount"),IF(T2GDiscount=0,"",IF(G3090=0,"",IF(F3090="Buy",CONCATENATE(" $",ROUND(K3090*(1-T2GDiscount),2)," with ",(T2GDiscount*100),"% discount"),CONCATENATE(" $",ROUND(K3090*(1-T2GDiscount),2)," with ",((T2GDiscount*100+F3090*100)-(T2GDiscount*100*F3090)),IF(F3090&gt;0,"% discounts",IF(NoWarrantyDiscount&gt;0,"% discounts","% discount")))))))))</f>
        <v/>
      </c>
      <c r="N3090" s="660"/>
      <c r="O3090" s="233"/>
      <c r="P3090" s="233"/>
      <c r="Q3090" s="233"/>
      <c r="R3090" s="233"/>
      <c r="S3090" s="233"/>
      <c r="T3090" s="508">
        <f t="shared" si="2380"/>
        <v>0</v>
      </c>
      <c r="U3090" s="225">
        <f>IF(NOT(ISNUMBER(G3090)), "", VLOOKUP(A3090,'Discount Lookup'!D:E,2,FALSE)*G3090)</f>
        <v>0</v>
      </c>
      <c r="V3090" s="225">
        <f>IF(NOT(ISNUMBER(G3090)), "", VLOOKUP(A3090,'Discount Lookup'!G:H,2,FALSE)*G3090)</f>
        <v>0</v>
      </c>
      <c r="W3090" s="508">
        <f t="shared" si="2381"/>
        <v>0</v>
      </c>
      <c r="X3090" s="508">
        <f t="shared" si="2382"/>
        <v>0</v>
      </c>
      <c r="Y3090" s="509" t="b">
        <f t="shared" si="2383"/>
        <v>0</v>
      </c>
      <c r="Z3090" s="510">
        <f t="shared" si="2384"/>
        <v>0</v>
      </c>
      <c r="AA3090" s="511"/>
      <c r="AB3090" s="511" t="str">
        <f t="shared" si="2385"/>
        <v/>
      </c>
      <c r="AC3090" s="698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698"/>
      <c r="AE3090" s="631" t="str">
        <f t="shared" si="2386"/>
        <v/>
      </c>
      <c r="AF3090" s="699" t="str">
        <f t="shared" si="2387"/>
        <v/>
      </c>
      <c r="AG3090" s="699"/>
      <c r="AH3090" s="699"/>
      <c r="AI3090" s="512">
        <f>IF(H3090="credit",0,IF(AE3090="free",0,IF(AE3090="me",0,IF(G3090&gt;0,(VLOOKUP(A3090,'Discount Lookup'!J:K,2)*G3090),0))))</f>
        <v>0</v>
      </c>
      <c r="AJ3090" s="513" t="str">
        <f t="shared" ca="1" si="2388"/>
        <v/>
      </c>
      <c r="AK3090" s="700" t="str">
        <f t="shared" si="2389"/>
        <v/>
      </c>
      <c r="AL3090" s="700"/>
      <c r="AM3090" s="505" t="str">
        <f t="shared" si="2390"/>
        <v/>
      </c>
      <c r="AN3090" s="506"/>
      <c r="AO3090" s="507"/>
      <c r="AP3090" s="507"/>
      <c r="AQ3090" s="507"/>
      <c r="AR3090" s="507"/>
      <c r="AS3090" s="507"/>
      <c r="AT3090" s="507"/>
      <c r="AU3090" s="507"/>
      <c r="AV3090" s="225"/>
      <c r="AW3090" s="508"/>
      <c r="AX3090" s="225"/>
      <c r="AY3090" s="225"/>
      <c r="AZ3090" s="225"/>
      <c r="BA3090" s="225"/>
      <c r="BB3090" s="225"/>
      <c r="BC3090" s="56"/>
      <c r="BD3090" s="56"/>
      <c r="BE3090" s="56"/>
      <c r="BF3090" s="107" t="str">
        <f t="shared" si="2391"/>
        <v>https://www.google.com/search?tbm=isch&amp;q=10%20G4</v>
      </c>
      <c r="BG3090" s="107" t="str">
        <f t="shared" si="2392"/>
        <v>R</v>
      </c>
      <c r="BH3090" s="254"/>
      <c r="BI3090" s="254"/>
    </row>
    <row r="3091" spans="1:61" customFormat="1" ht="17.25" thickBot="1" x14ac:dyDescent="0.3">
      <c r="A3091" s="524" t="s">
        <v>3279</v>
      </c>
      <c r="B3091" s="245"/>
      <c r="C3091" s="677"/>
      <c r="D3091" s="499"/>
      <c r="E3091" s="499"/>
      <c r="F3091" s="500"/>
      <c r="G3091" s="501"/>
      <c r="H3091" s="502"/>
      <c r="I3091" s="246"/>
      <c r="J3091" s="247"/>
      <c r="K3091" s="503"/>
      <c r="L3091" s="544"/>
      <c r="M3091" s="544"/>
      <c r="N3091" s="500"/>
      <c r="O3091" s="500"/>
      <c r="P3091" s="500"/>
      <c r="Q3091" s="500"/>
      <c r="R3091" s="500"/>
      <c r="S3091" s="669" t="s">
        <v>4978</v>
      </c>
      <c r="T3091" s="508">
        <f t="shared" si="2380"/>
        <v>0</v>
      </c>
      <c r="U3091" s="225" t="str">
        <f>IF(NOT(ISNUMBER(G3091)), "", VLOOKUP(A3091,'Discount Lookup'!D:E,2,FALSE)*G3091)</f>
        <v/>
      </c>
      <c r="V3091" s="225" t="str">
        <f>IF(NOT(ISNUMBER(G3091)), "", VLOOKUP(A3091,'Discount Lookup'!G:H,2,FALSE)*G3091)</f>
        <v/>
      </c>
      <c r="W3091" s="508">
        <f t="shared" si="2381"/>
        <v>0</v>
      </c>
      <c r="X3091" s="508">
        <f t="shared" si="2382"/>
        <v>0</v>
      </c>
      <c r="Y3091" s="509" t="b">
        <f t="shared" si="2383"/>
        <v>0</v>
      </c>
      <c r="Z3091" s="510">
        <f t="shared" si="2384"/>
        <v>0</v>
      </c>
      <c r="AA3091" s="511"/>
      <c r="AB3091" s="511" t="str">
        <f t="shared" si="2385"/>
        <v/>
      </c>
      <c r="AC3091" s="698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698"/>
      <c r="AE3091" s="631" t="str">
        <f t="shared" si="2386"/>
        <v/>
      </c>
      <c r="AF3091" s="699" t="str">
        <f t="shared" si="2387"/>
        <v/>
      </c>
      <c r="AG3091" s="699"/>
      <c r="AH3091" s="699"/>
      <c r="AI3091" s="512">
        <f>IF(H3091="credit",0,IF(AE3091="free",0,IF(AE3091="me",0,IF(G3091&gt;0,(VLOOKUP(A3091,'Discount Lookup'!J:K,2)*G3091),0))))</f>
        <v>0</v>
      </c>
      <c r="AJ3091" s="513" t="str">
        <f t="shared" ca="1" si="2388"/>
        <v/>
      </c>
      <c r="AK3091" s="700" t="str">
        <f t="shared" si="2389"/>
        <v/>
      </c>
      <c r="AL3091" s="700"/>
      <c r="AM3091" s="505" t="str">
        <f t="shared" si="2390"/>
        <v/>
      </c>
      <c r="AN3091" s="506"/>
      <c r="AO3091" s="507"/>
      <c r="AP3091" s="507"/>
      <c r="AQ3091" s="507"/>
      <c r="AR3091" s="507"/>
      <c r="AS3091" s="507"/>
      <c r="AT3091" s="507"/>
      <c r="AU3091" s="507"/>
      <c r="AV3091" s="225"/>
      <c r="AW3091" s="508"/>
      <c r="AX3091" s="225"/>
      <c r="AY3091" s="225"/>
      <c r="AZ3091" s="225"/>
      <c r="BA3091" s="225"/>
      <c r="BB3091" s="225"/>
      <c r="BC3091" s="56"/>
      <c r="BD3091" s="56"/>
      <c r="BE3091" s="56"/>
      <c r="BF3091" s="107" t="str">
        <f t="shared" si="2391"/>
        <v>https://www.google.com/search?tbm=isch&amp;q=Red%20Dragon%20known%20for%20twisted%20Burgundy%20stems.%20Foliage%20Bronzes%20by%20late%20season%2C%20then%20Yellow-Copper%20in%20fall.%20Showy%20Red%20winter%20catkins%2C%20</v>
      </c>
      <c r="BG3091" s="107" t="str">
        <f t="shared" si="2392"/>
        <v>R</v>
      </c>
      <c r="BH3091" s="254"/>
      <c r="BI3091" s="254"/>
    </row>
    <row r="3092" spans="1:61" customFormat="1" ht="18" x14ac:dyDescent="0.25">
      <c r="A3092" s="523" t="s">
        <v>1616</v>
      </c>
      <c r="B3092" s="235"/>
      <c r="C3092" s="676"/>
      <c r="D3092" s="255" t="s">
        <v>1617</v>
      </c>
      <c r="E3092" s="236"/>
      <c r="F3092" s="236"/>
      <c r="G3092" s="236"/>
      <c r="H3092" s="582" t="s">
        <v>463</v>
      </c>
      <c r="I3092" s="498" t="s">
        <v>2237</v>
      </c>
      <c r="J3092" s="237"/>
      <c r="K3092" s="237"/>
      <c r="L3092" s="274"/>
      <c r="M3092" s="668" t="s">
        <v>4975</v>
      </c>
      <c r="N3092" s="681" t="str">
        <f>IF(AND(ISTEXT($A3092), ISERROR($A3092+0)), HYPERLINK($BF3092, "Images"), "")</f>
        <v>Images</v>
      </c>
      <c r="O3092" s="663" t="s">
        <v>4967</v>
      </c>
      <c r="P3092" s="253"/>
      <c r="Q3092" s="238"/>
      <c r="R3092" s="239"/>
      <c r="S3092" s="275"/>
      <c r="T3092" s="508">
        <f t="shared" si="2380"/>
        <v>0</v>
      </c>
      <c r="U3092" s="225" t="str">
        <f>IF(NOT(ISNUMBER(G3092)), "", VLOOKUP(A3092,'Discount Lookup'!D:E,2,FALSE)*G3092)</f>
        <v/>
      </c>
      <c r="V3092" s="225" t="str">
        <f>IF(NOT(ISNUMBER(G3092)), "", VLOOKUP(A3092,'Discount Lookup'!G:H,2,FALSE)*G3092)</f>
        <v/>
      </c>
      <c r="W3092" s="508">
        <f t="shared" si="2381"/>
        <v>0</v>
      </c>
      <c r="X3092" s="508" t="str">
        <f t="shared" si="2382"/>
        <v>Burgundy-Red foliage</v>
      </c>
      <c r="Y3092" s="509" t="b">
        <f t="shared" si="2383"/>
        <v>0</v>
      </c>
      <c r="Z3092" s="510">
        <f t="shared" si="2384"/>
        <v>0</v>
      </c>
      <c r="AA3092" s="511"/>
      <c r="AB3092" s="511" t="str">
        <f t="shared" si="2385"/>
        <v/>
      </c>
      <c r="AC3092" s="698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698"/>
      <c r="AE3092" s="631" t="str">
        <f t="shared" si="2386"/>
        <v/>
      </c>
      <c r="AF3092" s="699" t="str">
        <f t="shared" si="2387"/>
        <v/>
      </c>
      <c r="AG3092" s="699"/>
      <c r="AH3092" s="699"/>
      <c r="AI3092" s="512">
        <f>IF(H3092="credit",0,IF(AE3092="free",0,IF(AE3092="me",0,IF(G3092&gt;0,(VLOOKUP(A3092,'Discount Lookup'!J:K,2)*G3092),0))))</f>
        <v>0</v>
      </c>
      <c r="AJ3092" s="513" t="str">
        <f t="shared" ca="1" si="2388"/>
        <v/>
      </c>
      <c r="AK3092" s="700" t="str">
        <f t="shared" si="2389"/>
        <v/>
      </c>
      <c r="AL3092" s="700"/>
      <c r="AM3092" s="505" t="str">
        <f t="shared" si="2390"/>
        <v/>
      </c>
      <c r="AN3092" s="506"/>
      <c r="AO3092" s="507"/>
      <c r="AP3092" s="507"/>
      <c r="AQ3092" s="507"/>
      <c r="AR3092" s="507"/>
      <c r="AS3092" s="507"/>
      <c r="AT3092" s="507"/>
      <c r="AU3092" s="507"/>
      <c r="AV3092" s="225"/>
      <c r="AW3092" s="508"/>
      <c r="AX3092" s="225"/>
      <c r="AY3092" s="225"/>
      <c r="AZ3092" s="225"/>
      <c r="BA3092" s="225"/>
      <c r="BB3092" s="225"/>
      <c r="BC3092" s="56"/>
      <c r="BD3092" s="56"/>
      <c r="BE3092" s="56"/>
      <c r="BF3092" s="107" t="str">
        <f t="shared" si="2391"/>
        <v>https://www.google.com/search?tbm=isch&amp;q=Red%20Dragon%20Japanese%20Maple%20Acer%20palmatum%20var.%20dis.%20%27Red%20Dragon%27</v>
      </c>
      <c r="BG3092" s="107" t="str">
        <f t="shared" si="2392"/>
        <v>R</v>
      </c>
      <c r="BH3092" s="254"/>
      <c r="BI3092" s="254"/>
    </row>
    <row r="3093" spans="1:61" customFormat="1" ht="15.75" x14ac:dyDescent="0.25">
      <c r="A3093" s="276">
        <v>10</v>
      </c>
      <c r="B3093" s="240" t="s">
        <v>291</v>
      </c>
      <c r="C3093" s="241" t="s">
        <v>328</v>
      </c>
      <c r="D3093" s="242" t="s">
        <v>312</v>
      </c>
      <c r="E3093" s="243">
        <v>420.95</v>
      </c>
      <c r="F3093" s="517" t="s">
        <v>293</v>
      </c>
      <c r="G3093" s="232">
        <v>0</v>
      </c>
      <c r="H3093" s="661" t="str">
        <f>IF(G3093=0,"",IF(F3093="Buy",IF(G3093=1,"plant","plants"),IF(F3093&gt;0.01,"warranty","Error")))</f>
        <v/>
      </c>
      <c r="I3093" s="244">
        <f>IF(H3093="free",0,IF(H3093="credit",((E3093*(F3093))*G3093*-1),IF(F3093="Buy",(E3093*G3093),((E3093*(1-F3093))*G3093))))</f>
        <v>0</v>
      </c>
      <c r="J3093" s="244">
        <f>IF(H3093="warranty",0,(I3093*(_xlfn.SINGLE(SalesTaxPercentage))))</f>
        <v>0</v>
      </c>
      <c r="K3093" s="696">
        <f t="shared" ref="K3093" si="2395">I3093+J3093</f>
        <v>0</v>
      </c>
      <c r="L3093" s="696"/>
      <c r="M3093" s="659" t="str">
        <f>IF(AND(G3093&gt;0,E3093=0),"WARNING - no PRICE inserted",IF(H3093="free"," FREE ~ no charge this plant",IF(H3093="credit",CONCATENATE(" -$",ROUND(K3093*(1-T2GDiscount)*-1,2)," CREDIT after discount"),IF(T2GDiscount=0,"",IF(G3093=0,"",IF(F3093="Buy",CONCATENATE(" $",ROUND(K3093*(1-T2GDiscount),2)," with ",(T2GDiscount*100),"% discount"),CONCATENATE(" $",ROUND(K3093*(1-T2GDiscount),2)," with ",((T2GDiscount*100+F3093*100)-(T2GDiscount*100*F3093)),IF(F3093&gt;0,"% discounts",IF(NoWarrantyDiscount&gt;0,"% discounts","% discount")))))))))</f>
        <v/>
      </c>
      <c r="N3093" s="660"/>
      <c r="O3093" s="233"/>
      <c r="P3093" s="233"/>
      <c r="Q3093" s="233"/>
      <c r="R3093" s="233"/>
      <c r="S3093" s="233"/>
      <c r="T3093" s="508">
        <f t="shared" si="2380"/>
        <v>0</v>
      </c>
      <c r="U3093" s="225">
        <f>IF(NOT(ISNUMBER(G3093)), "", VLOOKUP(A3093,'Discount Lookup'!D:E,2,FALSE)*G3093)</f>
        <v>0</v>
      </c>
      <c r="V3093" s="225">
        <f>IF(NOT(ISNUMBER(G3093)), "", VLOOKUP(A3093,'Discount Lookup'!G:H,2,FALSE)*G3093)</f>
        <v>0</v>
      </c>
      <c r="W3093" s="508">
        <f t="shared" si="2381"/>
        <v>0</v>
      </c>
      <c r="X3093" s="508">
        <f t="shared" si="2382"/>
        <v>0</v>
      </c>
      <c r="Y3093" s="509" t="b">
        <f t="shared" si="2383"/>
        <v>0</v>
      </c>
      <c r="Z3093" s="510">
        <f t="shared" si="2384"/>
        <v>0</v>
      </c>
      <c r="AA3093" s="511"/>
      <c r="AB3093" s="511" t="str">
        <f t="shared" si="2385"/>
        <v/>
      </c>
      <c r="AC3093" s="698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698"/>
      <c r="AE3093" s="631" t="str">
        <f t="shared" si="2386"/>
        <v/>
      </c>
      <c r="AF3093" s="699" t="str">
        <f t="shared" si="2387"/>
        <v/>
      </c>
      <c r="AG3093" s="699"/>
      <c r="AH3093" s="699"/>
      <c r="AI3093" s="512">
        <f>IF(H3093="credit",0,IF(AE3093="free",0,IF(AE3093="me",0,IF(G3093&gt;0,(VLOOKUP(A3093,'Discount Lookup'!J:K,2)*G3093),0))))</f>
        <v>0</v>
      </c>
      <c r="AJ3093" s="513" t="str">
        <f t="shared" ca="1" si="2388"/>
        <v/>
      </c>
      <c r="AK3093" s="700" t="str">
        <f t="shared" si="2389"/>
        <v/>
      </c>
      <c r="AL3093" s="700"/>
      <c r="AM3093" s="505" t="str">
        <f t="shared" si="2390"/>
        <v/>
      </c>
      <c r="AN3093" s="506"/>
      <c r="AO3093" s="507"/>
      <c r="AP3093" s="507"/>
      <c r="AQ3093" s="507"/>
      <c r="AR3093" s="507"/>
      <c r="AS3093" s="507"/>
      <c r="AT3093" s="507"/>
      <c r="AU3093" s="507"/>
      <c r="AV3093" s="225"/>
      <c r="AW3093" s="508"/>
      <c r="AX3093" s="225"/>
      <c r="AY3093" s="225"/>
      <c r="AZ3093" s="225"/>
      <c r="BA3093" s="225"/>
      <c r="BB3093" s="225"/>
      <c r="BC3093" s="56"/>
      <c r="BD3093" s="56"/>
      <c r="BE3093" s="56"/>
      <c r="BF3093" s="107" t="str">
        <f t="shared" si="2391"/>
        <v>https://www.google.com/search?tbm=isch&amp;q=10%20G2</v>
      </c>
      <c r="BG3093" s="107" t="str">
        <f t="shared" si="2392"/>
        <v>R</v>
      </c>
      <c r="BH3093" s="254"/>
      <c r="BI3093" s="254"/>
    </row>
    <row r="3094" spans="1:61" customFormat="1" ht="17.25" thickBot="1" x14ac:dyDescent="0.3">
      <c r="A3094" s="524" t="s">
        <v>2238</v>
      </c>
      <c r="B3094" s="245"/>
      <c r="C3094" s="677"/>
      <c r="D3094" s="499"/>
      <c r="E3094" s="499"/>
      <c r="F3094" s="500"/>
      <c r="G3094" s="501"/>
      <c r="H3094" s="502"/>
      <c r="I3094" s="246"/>
      <c r="J3094" s="247"/>
      <c r="K3094" s="503"/>
      <c r="L3094" s="544"/>
      <c r="M3094" s="544"/>
      <c r="N3094" s="500"/>
      <c r="O3094" s="500"/>
      <c r="P3094" s="500"/>
      <c r="Q3094" s="500"/>
      <c r="R3094" s="500"/>
      <c r="S3094" s="278"/>
      <c r="T3094" s="508">
        <f t="shared" si="2380"/>
        <v>0</v>
      </c>
      <c r="U3094" s="225" t="str">
        <f>IF(NOT(ISNUMBER(G3094)), "", VLOOKUP(A3094,'Discount Lookup'!D:E,2,FALSE)*G3094)</f>
        <v/>
      </c>
      <c r="V3094" s="225" t="str">
        <f>IF(NOT(ISNUMBER(G3094)), "", VLOOKUP(A3094,'Discount Lookup'!G:H,2,FALSE)*G3094)</f>
        <v/>
      </c>
      <c r="W3094" s="508">
        <f t="shared" si="2381"/>
        <v>0</v>
      </c>
      <c r="X3094" s="508">
        <f t="shared" si="2382"/>
        <v>0</v>
      </c>
      <c r="Y3094" s="509" t="b">
        <f t="shared" si="2383"/>
        <v>0</v>
      </c>
      <c r="Z3094" s="510">
        <f t="shared" si="2384"/>
        <v>0</v>
      </c>
      <c r="AA3094" s="511"/>
      <c r="AB3094" s="511" t="str">
        <f t="shared" si="2385"/>
        <v/>
      </c>
      <c r="AC3094" s="698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698"/>
      <c r="AE3094" s="631" t="str">
        <f t="shared" si="2386"/>
        <v/>
      </c>
      <c r="AF3094" s="699" t="str">
        <f t="shared" si="2387"/>
        <v/>
      </c>
      <c r="AG3094" s="699"/>
      <c r="AH3094" s="699"/>
      <c r="AI3094" s="512">
        <f>IF(H3094="credit",0,IF(AE3094="free",0,IF(AE3094="me",0,IF(G3094&gt;0,(VLOOKUP(A3094,'Discount Lookup'!J:K,2)*G3094),0))))</f>
        <v>0</v>
      </c>
      <c r="AJ3094" s="513" t="str">
        <f t="shared" ca="1" si="2388"/>
        <v/>
      </c>
      <c r="AK3094" s="700" t="str">
        <f t="shared" si="2389"/>
        <v/>
      </c>
      <c r="AL3094" s="700"/>
      <c r="AM3094" s="505" t="str">
        <f t="shared" si="2390"/>
        <v/>
      </c>
      <c r="AN3094" s="506"/>
      <c r="AO3094" s="507"/>
      <c r="AP3094" s="507"/>
      <c r="AQ3094" s="507"/>
      <c r="AR3094" s="507"/>
      <c r="AS3094" s="507"/>
      <c r="AT3094" s="507"/>
      <c r="AU3094" s="507"/>
      <c r="AV3094" s="225"/>
      <c r="AW3094" s="508"/>
      <c r="AX3094" s="225"/>
      <c r="AY3094" s="225"/>
      <c r="AZ3094" s="225"/>
      <c r="BA3094" s="225"/>
      <c r="BB3094" s="225"/>
      <c r="BC3094" s="56"/>
      <c r="BD3094" s="56"/>
      <c r="BE3094" s="56"/>
      <c r="BF3094" s="107" t="str">
        <f t="shared" si="2391"/>
        <v>https://www.google.com/search?tbm=isch&amp;q=Red%20Dragon%20is%20only%20J.%20Maple%20with%20non-dissected%20leaf%20in%20a%20weeping%20form.%20Turns%20fiery%20Orange-Red%20in%20fall%20</v>
      </c>
      <c r="BG3094" s="107" t="str">
        <f t="shared" si="2392"/>
        <v>R</v>
      </c>
      <c r="BH3094" s="254"/>
      <c r="BI3094" s="254"/>
    </row>
    <row r="3095" spans="1:61" customFormat="1" ht="18" x14ac:dyDescent="0.25">
      <c r="A3095" s="523" t="s">
        <v>1618</v>
      </c>
      <c r="B3095" s="235"/>
      <c r="C3095" s="676"/>
      <c r="D3095" s="255" t="s">
        <v>1619</v>
      </c>
      <c r="E3095" s="236"/>
      <c r="F3095" s="236"/>
      <c r="G3095" s="236"/>
      <c r="H3095" s="582" t="s">
        <v>357</v>
      </c>
      <c r="I3095" s="498" t="s">
        <v>2109</v>
      </c>
      <c r="J3095" s="237"/>
      <c r="K3095" s="237"/>
      <c r="L3095" s="274"/>
      <c r="M3095" s="670" t="s">
        <v>4973</v>
      </c>
      <c r="N3095" s="681" t="str">
        <f>IF(AND(ISTEXT($A3095), ISERROR($A3095+0)), HYPERLINK($BF3095, "Images"), "")</f>
        <v>Images</v>
      </c>
      <c r="O3095" s="663" t="s">
        <v>4967</v>
      </c>
      <c r="P3095" s="253"/>
      <c r="Q3095" s="238"/>
      <c r="R3095" s="239"/>
      <c r="S3095" s="275"/>
      <c r="T3095" s="508">
        <f t="shared" si="2380"/>
        <v>0</v>
      </c>
      <c r="U3095" s="225" t="str">
        <f>IF(NOT(ISNUMBER(G3095)), "", VLOOKUP(A3095,'Discount Lookup'!D:E,2,FALSE)*G3095)</f>
        <v/>
      </c>
      <c r="V3095" s="225" t="str">
        <f>IF(NOT(ISNUMBER(G3095)), "", VLOOKUP(A3095,'Discount Lookup'!G:H,2,FALSE)*G3095)</f>
        <v/>
      </c>
      <c r="W3095" s="508">
        <f t="shared" si="2381"/>
        <v>0</v>
      </c>
      <c r="X3095" s="508" t="str">
        <f t="shared" si="2382"/>
        <v>Green foliage</v>
      </c>
      <c r="Y3095" s="509" t="b">
        <f t="shared" si="2383"/>
        <v>0</v>
      </c>
      <c r="Z3095" s="510">
        <f t="shared" si="2384"/>
        <v>0</v>
      </c>
      <c r="AA3095" s="511"/>
      <c r="AB3095" s="511" t="str">
        <f t="shared" si="2385"/>
        <v/>
      </c>
      <c r="AC3095" s="698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698"/>
      <c r="AE3095" s="631" t="str">
        <f t="shared" si="2386"/>
        <v/>
      </c>
      <c r="AF3095" s="699" t="str">
        <f t="shared" si="2387"/>
        <v/>
      </c>
      <c r="AG3095" s="699"/>
      <c r="AH3095" s="699"/>
      <c r="AI3095" s="512">
        <f>IF(H3095="credit",0,IF(AE3095="free",0,IF(AE3095="me",0,IF(G3095&gt;0,(VLOOKUP(A3095,'Discount Lookup'!J:K,2)*G3095),0))))</f>
        <v>0</v>
      </c>
      <c r="AJ3095" s="513" t="str">
        <f t="shared" ca="1" si="2388"/>
        <v/>
      </c>
      <c r="AK3095" s="700" t="str">
        <f t="shared" si="2389"/>
        <v/>
      </c>
      <c r="AL3095" s="700"/>
      <c r="AM3095" s="505" t="str">
        <f t="shared" si="2390"/>
        <v/>
      </c>
      <c r="AN3095" s="506"/>
      <c r="AO3095" s="507"/>
      <c r="AP3095" s="507"/>
      <c r="AQ3095" s="507"/>
      <c r="AR3095" s="507"/>
      <c r="AS3095" s="507"/>
      <c r="AT3095" s="507"/>
      <c r="AU3095" s="507"/>
      <c r="AV3095" s="225"/>
      <c r="AW3095" s="508"/>
      <c r="AX3095" s="225"/>
      <c r="AY3095" s="225"/>
      <c r="AZ3095" s="225"/>
      <c r="BA3095" s="225"/>
      <c r="BB3095" s="225"/>
      <c r="BC3095" s="56"/>
      <c r="BD3095" s="56"/>
      <c r="BE3095" s="56"/>
      <c r="BF3095" s="107" t="str">
        <f t="shared" si="2391"/>
        <v>https://www.google.com/search?tbm=isch&amp;q=Red%20Dragon%20Smooth%20Maple%20Acer%20laevigatum%20%27H%C3%B3ng%20L%C3%B3ng%27</v>
      </c>
      <c r="BG3095" s="107" t="str">
        <f t="shared" si="2392"/>
        <v>R</v>
      </c>
      <c r="BH3095" s="254"/>
      <c r="BI3095" s="254"/>
    </row>
    <row r="3096" spans="1:61" customFormat="1" ht="15.75" x14ac:dyDescent="0.25">
      <c r="A3096" s="276">
        <v>25</v>
      </c>
      <c r="B3096" s="240" t="s">
        <v>291</v>
      </c>
      <c r="C3096" s="241" t="s">
        <v>1620</v>
      </c>
      <c r="D3096" s="242" t="s">
        <v>300</v>
      </c>
      <c r="E3096" s="243">
        <v>628.95000000000005</v>
      </c>
      <c r="F3096" s="517" t="s">
        <v>293</v>
      </c>
      <c r="G3096" s="232">
        <v>0</v>
      </c>
      <c r="H3096" s="661" t="str">
        <f>IF(G3096=0,"",IF(F3096="Buy",IF(G3096=1,"plant","plants"),IF(F3096&gt;0.01,"warranty","Error")))</f>
        <v/>
      </c>
      <c r="I3096" s="244">
        <f>IF(H3096="free",0,IF(H3096="credit",((E3096*(F3096))*G3096*-1),IF(F3096="Buy",(E3096*G3096),((E3096*(1-F3096))*G3096))))</f>
        <v>0</v>
      </c>
      <c r="J3096" s="244">
        <f>IF(H3096="warranty",0,(I3096*(_xlfn.SINGLE(SalesTaxPercentage))))</f>
        <v>0</v>
      </c>
      <c r="K3096" s="696">
        <f t="shared" ref="K3096" si="2396">I3096+J3096</f>
        <v>0</v>
      </c>
      <c r="L3096" s="696"/>
      <c r="M3096" s="659" t="str">
        <f>IF(AND(G3096&gt;0,E3096=0),"WARNING - no PRICE inserted",IF(H3096="free"," FREE ~ no charge this plant",IF(H3096="credit",CONCATENATE(" -$",ROUND(K3096*(1-T2GDiscount)*-1,2)," CREDIT after discount"),IF(T2GDiscount=0,"",IF(G3096=0,"",IF(F3096="Buy",CONCATENATE(" $",ROUND(K3096*(1-T2GDiscount),2)," with ",(T2GDiscount*100),"% discount"),CONCATENATE(" $",ROUND(K3096*(1-T2GDiscount),2)," with ",((T2GDiscount*100+F3096*100)-(T2GDiscount*100*F3096)),IF(F3096&gt;0,"% discounts",IF(NoWarrantyDiscount&gt;0,"% discounts","% discount")))))))))</f>
        <v/>
      </c>
      <c r="N3096" s="660"/>
      <c r="O3096" s="233"/>
      <c r="P3096" s="233"/>
      <c r="Q3096" s="233"/>
      <c r="R3096" s="233"/>
      <c r="S3096" s="233"/>
      <c r="T3096" s="508">
        <f t="shared" si="2380"/>
        <v>0</v>
      </c>
      <c r="U3096" s="225">
        <f>IF(NOT(ISNUMBER(G3096)), "", VLOOKUP(A3096,'Discount Lookup'!D:E,2,FALSE)*G3096)</f>
        <v>0</v>
      </c>
      <c r="V3096" s="225">
        <f>IF(NOT(ISNUMBER(G3096)), "", VLOOKUP(A3096,'Discount Lookup'!G:H,2,FALSE)*G3096)</f>
        <v>0</v>
      </c>
      <c r="W3096" s="508">
        <f t="shared" si="2381"/>
        <v>0</v>
      </c>
      <c r="X3096" s="508">
        <f t="shared" si="2382"/>
        <v>0</v>
      </c>
      <c r="Y3096" s="509" t="b">
        <f t="shared" si="2383"/>
        <v>0</v>
      </c>
      <c r="Z3096" s="510">
        <f t="shared" si="2384"/>
        <v>0</v>
      </c>
      <c r="AA3096" s="511"/>
      <c r="AB3096" s="511" t="str">
        <f t="shared" si="2385"/>
        <v/>
      </c>
      <c r="AC3096" s="698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698"/>
      <c r="AE3096" s="631" t="str">
        <f t="shared" si="2386"/>
        <v/>
      </c>
      <c r="AF3096" s="699" t="str">
        <f t="shared" si="2387"/>
        <v/>
      </c>
      <c r="AG3096" s="699"/>
      <c r="AH3096" s="699"/>
      <c r="AI3096" s="512">
        <f>IF(H3096="credit",0,IF(AE3096="free",0,IF(AE3096="me",0,IF(G3096&gt;0,(VLOOKUP(A3096,'Discount Lookup'!J:K,2)*G3096),0))))</f>
        <v>0</v>
      </c>
      <c r="AJ3096" s="513" t="str">
        <f t="shared" ca="1" si="2388"/>
        <v/>
      </c>
      <c r="AK3096" s="700" t="str">
        <f t="shared" si="2389"/>
        <v/>
      </c>
      <c r="AL3096" s="700"/>
      <c r="AM3096" s="505" t="str">
        <f t="shared" si="2390"/>
        <v/>
      </c>
      <c r="AN3096" s="506"/>
      <c r="AO3096" s="507"/>
      <c r="AP3096" s="507"/>
      <c r="AQ3096" s="507"/>
      <c r="AR3096" s="507"/>
      <c r="AS3096" s="507"/>
      <c r="AT3096" s="507"/>
      <c r="AU3096" s="507"/>
      <c r="AV3096" s="225"/>
      <c r="AW3096" s="508"/>
      <c r="AX3096" s="225"/>
      <c r="AY3096" s="225"/>
      <c r="AZ3096" s="225"/>
      <c r="BA3096" s="225"/>
      <c r="BB3096" s="225"/>
      <c r="BC3096" s="56"/>
      <c r="BD3096" s="56"/>
      <c r="BE3096" s="56"/>
      <c r="BF3096" s="107" t="str">
        <f t="shared" si="2391"/>
        <v>https://www.google.com/search?tbm=isch&amp;q=25%20G6</v>
      </c>
      <c r="BG3096" s="107" t="str">
        <f t="shared" si="2392"/>
        <v>R</v>
      </c>
      <c r="BH3096" s="254"/>
      <c r="BI3096" s="254"/>
    </row>
    <row r="3097" spans="1:61" customFormat="1" ht="17.25" thickBot="1" x14ac:dyDescent="0.3">
      <c r="A3097" s="524" t="s">
        <v>2459</v>
      </c>
      <c r="B3097" s="245"/>
      <c r="C3097" s="677"/>
      <c r="D3097" s="499"/>
      <c r="E3097" s="499"/>
      <c r="F3097" s="500"/>
      <c r="G3097" s="501"/>
      <c r="H3097" s="502"/>
      <c r="I3097" s="246"/>
      <c r="J3097" s="247"/>
      <c r="K3097" s="503"/>
      <c r="L3097" s="544"/>
      <c r="M3097" s="544"/>
      <c r="N3097" s="500"/>
      <c r="O3097" s="500"/>
      <c r="P3097" s="500"/>
      <c r="Q3097" s="500"/>
      <c r="R3097" s="500"/>
      <c r="S3097" s="278"/>
      <c r="T3097" s="508">
        <f t="shared" si="2380"/>
        <v>0</v>
      </c>
      <c r="U3097" s="225" t="str">
        <f>IF(NOT(ISNUMBER(G3097)), "", VLOOKUP(A3097,'Discount Lookup'!D:E,2,FALSE)*G3097)</f>
        <v/>
      </c>
      <c r="V3097" s="225" t="str">
        <f>IF(NOT(ISNUMBER(G3097)), "", VLOOKUP(A3097,'Discount Lookup'!G:H,2,FALSE)*G3097)</f>
        <v/>
      </c>
      <c r="W3097" s="508">
        <f t="shared" si="2381"/>
        <v>0</v>
      </c>
      <c r="X3097" s="508">
        <f t="shared" si="2382"/>
        <v>0</v>
      </c>
      <c r="Y3097" s="509" t="b">
        <f t="shared" si="2383"/>
        <v>0</v>
      </c>
      <c r="Z3097" s="510">
        <f t="shared" si="2384"/>
        <v>0</v>
      </c>
      <c r="AA3097" s="511"/>
      <c r="AB3097" s="511" t="str">
        <f t="shared" si="2385"/>
        <v/>
      </c>
      <c r="AC3097" s="698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698"/>
      <c r="AE3097" s="631" t="str">
        <f t="shared" si="2386"/>
        <v/>
      </c>
      <c r="AF3097" s="699" t="str">
        <f t="shared" si="2387"/>
        <v/>
      </c>
      <c r="AG3097" s="699"/>
      <c r="AH3097" s="699"/>
      <c r="AI3097" s="512">
        <f>IF(H3097="credit",0,IF(AE3097="free",0,IF(AE3097="me",0,IF(G3097&gt;0,(VLOOKUP(A3097,'Discount Lookup'!J:K,2)*G3097),0))))</f>
        <v>0</v>
      </c>
      <c r="AJ3097" s="513" t="str">
        <f t="shared" ca="1" si="2388"/>
        <v/>
      </c>
      <c r="AK3097" s="700" t="str">
        <f t="shared" si="2389"/>
        <v/>
      </c>
      <c r="AL3097" s="700"/>
      <c r="AM3097" s="505" t="str">
        <f t="shared" si="2390"/>
        <v/>
      </c>
      <c r="AN3097" s="506"/>
      <c r="AO3097" s="507"/>
      <c r="AP3097" s="507"/>
      <c r="AQ3097" s="507"/>
      <c r="AR3097" s="507"/>
      <c r="AS3097" s="507"/>
      <c r="AT3097" s="507"/>
      <c r="AU3097" s="507"/>
      <c r="AV3097" s="225"/>
      <c r="AW3097" s="508"/>
      <c r="AX3097" s="225"/>
      <c r="AY3097" s="225"/>
      <c r="AZ3097" s="225"/>
      <c r="BA3097" s="225"/>
      <c r="BB3097" s="225"/>
      <c r="BC3097" s="56"/>
      <c r="BD3097" s="56"/>
      <c r="BE3097" s="56"/>
      <c r="BF3097" s="107" t="str">
        <f t="shared" si="2391"/>
        <v>https://www.google.com/search?tbm=isch&amp;q=Red%20Dragon%20foliage%20emerges%20a%20brilliant%2C%20fiery%20red%2C%20maturing%20to%20Green%2C%20then%20fall%20shades%20of%20Yellow-Orang-Red%20</v>
      </c>
      <c r="BG3097" s="107" t="str">
        <f t="shared" si="2392"/>
        <v>R</v>
      </c>
      <c r="BH3097" s="254"/>
      <c r="BI3097" s="254"/>
    </row>
    <row r="3098" spans="1:61" customFormat="1" ht="18" x14ac:dyDescent="0.25">
      <c r="A3098" s="523" t="s">
        <v>5519</v>
      </c>
      <c r="B3098" s="235"/>
      <c r="C3098" s="676"/>
      <c r="D3098" s="255" t="s">
        <v>1621</v>
      </c>
      <c r="E3098" s="236"/>
      <c r="F3098" s="236"/>
      <c r="G3098" s="236"/>
      <c r="H3098" s="582" t="s">
        <v>508</v>
      </c>
      <c r="I3098" s="498" t="s">
        <v>1622</v>
      </c>
      <c r="J3098" s="237"/>
      <c r="K3098" s="237"/>
      <c r="L3098" s="274"/>
      <c r="M3098" s="668" t="s">
        <v>4962</v>
      </c>
      <c r="N3098" s="681" t="str">
        <f>IF(AND(ISTEXT($A3098), ISERROR($A3098+0)), HYPERLINK($BF3098, "Images"), "")</f>
        <v>Images</v>
      </c>
      <c r="O3098" s="663" t="s">
        <v>4974</v>
      </c>
      <c r="P3098" s="253"/>
      <c r="Q3098" s="238"/>
      <c r="R3098" s="239"/>
      <c r="S3098" s="275"/>
      <c r="T3098" s="508">
        <f t="shared" si="2380"/>
        <v>0</v>
      </c>
      <c r="U3098" s="225" t="str">
        <f>IF(NOT(ISNUMBER(G3098)), "", VLOOKUP(A3098,'Discount Lookup'!D:E,2,FALSE)*G3098)</f>
        <v/>
      </c>
      <c r="V3098" s="225" t="str">
        <f>IF(NOT(ISNUMBER(G3098)), "", VLOOKUP(A3098,'Discount Lookup'!G:H,2,FALSE)*G3098)</f>
        <v/>
      </c>
      <c r="W3098" s="508">
        <f t="shared" si="2381"/>
        <v>0</v>
      </c>
      <c r="X3098" s="508" t="str">
        <f t="shared" si="2382"/>
        <v>Scarlet Red bloom</v>
      </c>
      <c r="Y3098" s="509" t="b">
        <f t="shared" si="2383"/>
        <v>0</v>
      </c>
      <c r="Z3098" s="510">
        <f t="shared" si="2384"/>
        <v>0</v>
      </c>
      <c r="AA3098" s="511"/>
      <c r="AB3098" s="511" t="str">
        <f t="shared" si="2385"/>
        <v/>
      </c>
      <c r="AC3098" s="698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698"/>
      <c r="AE3098" s="631" t="str">
        <f t="shared" si="2386"/>
        <v/>
      </c>
      <c r="AF3098" s="699" t="str">
        <f t="shared" si="2387"/>
        <v/>
      </c>
      <c r="AG3098" s="699"/>
      <c r="AH3098" s="699"/>
      <c r="AI3098" s="512">
        <f>IF(H3098="credit",0,IF(AE3098="free",0,IF(AE3098="me",0,IF(G3098&gt;0,(VLOOKUP(A3098,'Discount Lookup'!J:K,2)*G3098),0))))</f>
        <v>0</v>
      </c>
      <c r="AJ3098" s="513" t="str">
        <f t="shared" ca="1" si="2388"/>
        <v/>
      </c>
      <c r="AK3098" s="700" t="str">
        <f t="shared" si="2389"/>
        <v/>
      </c>
      <c r="AL3098" s="700"/>
      <c r="AM3098" s="505" t="str">
        <f t="shared" si="2390"/>
        <v/>
      </c>
      <c r="AN3098" s="506"/>
      <c r="AO3098" s="507"/>
      <c r="AP3098" s="507"/>
      <c r="AQ3098" s="507"/>
      <c r="AR3098" s="507"/>
      <c r="AS3098" s="507"/>
      <c r="AT3098" s="507"/>
      <c r="AU3098" s="507"/>
      <c r="AV3098" s="225"/>
      <c r="AW3098" s="508"/>
      <c r="AX3098" s="225"/>
      <c r="AY3098" s="225"/>
      <c r="AZ3098" s="225"/>
      <c r="BA3098" s="225"/>
      <c r="BB3098" s="225"/>
      <c r="BC3098" s="56"/>
      <c r="BD3098" s="56"/>
      <c r="BE3098" s="56"/>
      <c r="BF3098" s="107" t="str">
        <f t="shared" si="2391"/>
        <v>https://www.google.com/search?tbm=isch&amp;q=Red%20Drift%C2%AE%20Rose%20Rosa%20%27Meigalpio%27%20PP%2317877</v>
      </c>
      <c r="BG3098" s="107" t="str">
        <f t="shared" si="2392"/>
        <v>R</v>
      </c>
      <c r="BH3098" s="254"/>
      <c r="BI3098" s="254"/>
    </row>
    <row r="3099" spans="1:61" customFormat="1" ht="15.75" x14ac:dyDescent="0.25">
      <c r="A3099" s="276">
        <v>3</v>
      </c>
      <c r="B3099" s="240" t="s">
        <v>291</v>
      </c>
      <c r="C3099" s="241"/>
      <c r="D3099" s="242" t="s">
        <v>298</v>
      </c>
      <c r="E3099" s="243">
        <v>31.95</v>
      </c>
      <c r="F3099" s="517" t="s">
        <v>293</v>
      </c>
      <c r="G3099" s="232">
        <v>0</v>
      </c>
      <c r="H3099" s="661" t="str">
        <f>IF(G3099=0,"",IF(F3099="Buy",IF(G3099=1,"plant","plants"),IF(F3099&gt;0.01,"warranty","Error")))</f>
        <v/>
      </c>
      <c r="I3099" s="244">
        <f>IF(H3099="free",0,IF(H3099="credit",((E3099*(F3099))*G3099*-1),IF(F3099="Buy",(E3099*G3099),((E3099*(1-F3099))*G3099))))</f>
        <v>0</v>
      </c>
      <c r="J3099" s="244">
        <f>IF(H3099="warranty",0,(I3099*(_xlfn.SINGLE(SalesTaxPercentage))))</f>
        <v>0</v>
      </c>
      <c r="K3099" s="696">
        <f t="shared" ref="K3099" si="2397">I3099+J3099</f>
        <v>0</v>
      </c>
      <c r="L3099" s="696"/>
      <c r="M3099" s="659" t="str">
        <f>IF(AND(G3099&gt;0,E3099=0),"WARNING - no PRICE inserted",IF(H3099="free"," FREE ~ no charge this plant",IF(H3099="credit",CONCATENATE(" -$",ROUND(K3099*(1-T2GDiscount)*-1,2)," CREDIT after discount"),IF(T2GDiscount=0,"",IF(G3099=0,"",IF(F3099="Buy",CONCATENATE(" $",ROUND(K3099*(1-T2GDiscount),2)," with ",(T2GDiscount*100),"% discount"),CONCATENATE(" $",ROUND(K3099*(1-T2GDiscount),2)," with ",((T2GDiscount*100+F3099*100)-(T2GDiscount*100*F3099)),IF(F3099&gt;0,"% discounts",IF(NoWarrantyDiscount&gt;0,"% discounts","% discount")))))))))</f>
        <v/>
      </c>
      <c r="N3099" s="660"/>
      <c r="O3099" s="233"/>
      <c r="P3099" s="233"/>
      <c r="Q3099" s="233"/>
      <c r="R3099" s="233"/>
      <c r="S3099" s="233"/>
      <c r="T3099" s="508">
        <f t="shared" si="2380"/>
        <v>0</v>
      </c>
      <c r="U3099" s="225">
        <f>IF(NOT(ISNUMBER(G3099)), "", VLOOKUP(A3099,'Discount Lookup'!D:E,2,FALSE)*G3099)</f>
        <v>0</v>
      </c>
      <c r="V3099" s="225">
        <f>IF(NOT(ISNUMBER(G3099)), "", VLOOKUP(A3099,'Discount Lookup'!G:H,2,FALSE)*G3099)</f>
        <v>0</v>
      </c>
      <c r="W3099" s="508">
        <f t="shared" si="2381"/>
        <v>0</v>
      </c>
      <c r="X3099" s="508">
        <f t="shared" si="2382"/>
        <v>0</v>
      </c>
      <c r="Y3099" s="509" t="b">
        <f t="shared" si="2383"/>
        <v>0</v>
      </c>
      <c r="Z3099" s="510">
        <f t="shared" si="2384"/>
        <v>0</v>
      </c>
      <c r="AA3099" s="511"/>
      <c r="AB3099" s="511" t="str">
        <f t="shared" si="2385"/>
        <v/>
      </c>
      <c r="AC3099" s="698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698"/>
      <c r="AE3099" s="631" t="str">
        <f t="shared" si="2386"/>
        <v/>
      </c>
      <c r="AF3099" s="699" t="str">
        <f t="shared" si="2387"/>
        <v/>
      </c>
      <c r="AG3099" s="699"/>
      <c r="AH3099" s="699"/>
      <c r="AI3099" s="512">
        <f>IF(H3099="credit",0,IF(AE3099="free",0,IF(AE3099="me",0,IF(G3099&gt;0,(VLOOKUP(A3099,'Discount Lookup'!J:K,2)*G3099),0))))</f>
        <v>0</v>
      </c>
      <c r="AJ3099" s="513" t="str">
        <f t="shared" ca="1" si="2388"/>
        <v/>
      </c>
      <c r="AK3099" s="700" t="str">
        <f t="shared" si="2389"/>
        <v/>
      </c>
      <c r="AL3099" s="700"/>
      <c r="AM3099" s="505" t="str">
        <f t="shared" si="2390"/>
        <v/>
      </c>
      <c r="AN3099" s="506"/>
      <c r="AO3099" s="507"/>
      <c r="AP3099" s="507"/>
      <c r="AQ3099" s="507"/>
      <c r="AR3099" s="507"/>
      <c r="AS3099" s="507"/>
      <c r="AT3099" s="507"/>
      <c r="AU3099" s="507"/>
      <c r="AV3099" s="225"/>
      <c r="AW3099" s="508"/>
      <c r="AX3099" s="225"/>
      <c r="AY3099" s="225"/>
      <c r="AZ3099" s="225"/>
      <c r="BA3099" s="225"/>
      <c r="BB3099" s="225"/>
      <c r="BC3099" s="56"/>
      <c r="BD3099" s="56"/>
      <c r="BE3099" s="56"/>
      <c r="BF3099" s="107" t="str">
        <f t="shared" si="2391"/>
        <v>https://www.google.com/search?tbm=isch&amp;q=3%20G1</v>
      </c>
      <c r="BG3099" s="107" t="str">
        <f t="shared" si="2392"/>
        <v>R</v>
      </c>
      <c r="BH3099" s="254"/>
      <c r="BI3099" s="254"/>
    </row>
    <row r="3100" spans="1:61" customFormat="1" ht="15.75" x14ac:dyDescent="0.25">
      <c r="A3100" s="276">
        <v>3</v>
      </c>
      <c r="B3100" s="240" t="s">
        <v>291</v>
      </c>
      <c r="C3100" s="241" t="s">
        <v>4859</v>
      </c>
      <c r="D3100" s="242" t="s">
        <v>312</v>
      </c>
      <c r="E3100" s="243">
        <v>31.95</v>
      </c>
      <c r="F3100" s="517" t="s">
        <v>293</v>
      </c>
      <c r="G3100" s="232">
        <v>0</v>
      </c>
      <c r="H3100" s="661" t="str">
        <f>IF(G3100=0,"",IF(F3100="Buy",IF(G3100=1,"plant","plants"),IF(F3100&gt;0.01,"warranty","Error")))</f>
        <v/>
      </c>
      <c r="I3100" s="244">
        <f>IF(H3100="free",0,IF(H3100="credit",((E3100*(F3100))*G3100*-1),IF(F3100="Buy",(E3100*G3100),((E3100*(1-F3100))*G3100))))</f>
        <v>0</v>
      </c>
      <c r="J3100" s="244">
        <f>IF(H3100="warranty",0,(I3100*(_xlfn.SINGLE(SalesTaxPercentage))))</f>
        <v>0</v>
      </c>
      <c r="K3100" s="696">
        <f t="shared" ref="K3100" si="2398">I3100+J3100</f>
        <v>0</v>
      </c>
      <c r="L3100" s="696"/>
      <c r="M3100" s="659" t="str">
        <f>IF(AND(G3100&gt;0,E3100=0),"WARNING - no PRICE inserted",IF(H3100="free"," FREE ~ no charge this plant",IF(H3100="credit",CONCATENATE(" -$",ROUND(K3100*(1-T2GDiscount)*-1,2)," CREDIT after discount"),IF(T2GDiscount=0,"",IF(G3100=0,"",IF(F3100="Buy",CONCATENATE(" $",ROUND(K3100*(1-T2GDiscount),2)," with ",(T2GDiscount*100),"% discount"),CONCATENATE(" $",ROUND(K3100*(1-T2GDiscount),2)," with ",((T2GDiscount*100+F3100*100)-(T2GDiscount*100*F3100)),IF(F3100&gt;0,"% discounts",IF(NoWarrantyDiscount&gt;0,"% discounts","% discount")))))))))</f>
        <v/>
      </c>
      <c r="N3100" s="660"/>
      <c r="O3100" s="233"/>
      <c r="P3100" s="233"/>
      <c r="Q3100" s="233"/>
      <c r="R3100" s="233"/>
      <c r="S3100" s="233"/>
      <c r="T3100" s="508">
        <f t="shared" si="2380"/>
        <v>0</v>
      </c>
      <c r="U3100" s="225">
        <f>IF(NOT(ISNUMBER(G3100)), "", VLOOKUP(A3100,'Discount Lookup'!D:E,2,FALSE)*G3100)</f>
        <v>0</v>
      </c>
      <c r="V3100" s="225">
        <f>IF(NOT(ISNUMBER(G3100)), "", VLOOKUP(A3100,'Discount Lookup'!G:H,2,FALSE)*G3100)</f>
        <v>0</v>
      </c>
      <c r="W3100" s="508">
        <f t="shared" si="2381"/>
        <v>0</v>
      </c>
      <c r="X3100" s="508">
        <f t="shared" si="2382"/>
        <v>0</v>
      </c>
      <c r="Y3100" s="509" t="b">
        <f t="shared" si="2383"/>
        <v>0</v>
      </c>
      <c r="Z3100" s="510">
        <f t="shared" si="2384"/>
        <v>0</v>
      </c>
      <c r="AA3100" s="511"/>
      <c r="AB3100" s="511" t="str">
        <f t="shared" si="2385"/>
        <v/>
      </c>
      <c r="AC3100" s="698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698"/>
      <c r="AE3100" s="631" t="str">
        <f t="shared" si="2386"/>
        <v/>
      </c>
      <c r="AF3100" s="699" t="str">
        <f t="shared" si="2387"/>
        <v/>
      </c>
      <c r="AG3100" s="699"/>
      <c r="AH3100" s="699"/>
      <c r="AI3100" s="512">
        <f>IF(H3100="credit",0,IF(AE3100="free",0,IF(AE3100="me",0,IF(G3100&gt;0,(VLOOKUP(A3100,'Discount Lookup'!J:K,2)*G3100),0))))</f>
        <v>0</v>
      </c>
      <c r="AJ3100" s="513" t="str">
        <f t="shared" ca="1" si="2388"/>
        <v/>
      </c>
      <c r="AK3100" s="700" t="str">
        <f t="shared" si="2389"/>
        <v/>
      </c>
      <c r="AL3100" s="700"/>
      <c r="AM3100" s="505" t="str">
        <f t="shared" si="2390"/>
        <v/>
      </c>
      <c r="AN3100" s="506"/>
      <c r="AO3100" s="507"/>
      <c r="AP3100" s="507"/>
      <c r="AQ3100" s="507"/>
      <c r="AR3100" s="507"/>
      <c r="AS3100" s="507"/>
      <c r="AT3100" s="507"/>
      <c r="AU3100" s="507"/>
      <c r="AV3100" s="225"/>
      <c r="AW3100" s="508"/>
      <c r="AX3100" s="225"/>
      <c r="AY3100" s="225"/>
      <c r="AZ3100" s="225"/>
      <c r="BA3100" s="225"/>
      <c r="BB3100" s="225"/>
      <c r="BC3100" s="56"/>
      <c r="BD3100" s="56"/>
      <c r="BE3100" s="56"/>
      <c r="BF3100" s="107" t="str">
        <f t="shared" si="2391"/>
        <v>https://www.google.com/search?tbm=isch&amp;q=3%20G2</v>
      </c>
      <c r="BG3100" s="107" t="str">
        <f t="shared" si="2392"/>
        <v>R</v>
      </c>
      <c r="BH3100" s="254"/>
      <c r="BI3100" s="254"/>
    </row>
    <row r="3101" spans="1:61" customFormat="1" ht="15.75" x14ac:dyDescent="0.25">
      <c r="A3101" s="276">
        <v>3</v>
      </c>
      <c r="B3101" s="240" t="s">
        <v>291</v>
      </c>
      <c r="C3101" s="241" t="s">
        <v>2785</v>
      </c>
      <c r="D3101" s="242" t="s">
        <v>299</v>
      </c>
      <c r="E3101" s="243">
        <v>35.950000000000003</v>
      </c>
      <c r="F3101" s="517" t="s">
        <v>293</v>
      </c>
      <c r="G3101" s="232">
        <v>0</v>
      </c>
      <c r="H3101" s="661" t="str">
        <f>IF(G3101=0,"",IF(F3101="Buy",IF(G3101=1,"plant","plants"),IF(F3101&gt;0.01,"warranty","Error")))</f>
        <v/>
      </c>
      <c r="I3101" s="244">
        <f>IF(H3101="free",0,IF(H3101="credit",((E3101*(F3101))*G3101*-1),IF(F3101="Buy",(E3101*G3101),((E3101*(1-F3101))*G3101))))</f>
        <v>0</v>
      </c>
      <c r="J3101" s="244">
        <f>IF(H3101="warranty",0,(I3101*(_xlfn.SINGLE(SalesTaxPercentage))))</f>
        <v>0</v>
      </c>
      <c r="K3101" s="696">
        <f t="shared" ref="K3101" si="2399">I3101+J3101</f>
        <v>0</v>
      </c>
      <c r="L3101" s="696"/>
      <c r="M3101" s="659" t="str">
        <f>IF(AND(G3101&gt;0,E3101=0),"WARNING - no PRICE inserted",IF(H3101="free"," FREE ~ no charge this plant",IF(H3101="credit",CONCATENATE(" -$",ROUND(K3101*(1-T2GDiscount)*-1,2)," CREDIT after discount"),IF(T2GDiscount=0,"",IF(G3101=0,"",IF(F3101="Buy",CONCATENATE(" $",ROUND(K3101*(1-T2GDiscount),2)," with ",(T2GDiscount*100),"% discount"),CONCATENATE(" $",ROUND(K3101*(1-T2GDiscount),2)," with ",((T2GDiscount*100+F3101*100)-(T2GDiscount*100*F3101)),IF(F3101&gt;0,"% discounts",IF(NoWarrantyDiscount&gt;0,"% discounts","% discount")))))))))</f>
        <v/>
      </c>
      <c r="N3101" s="660"/>
      <c r="O3101" s="233"/>
      <c r="P3101" s="233"/>
      <c r="Q3101" s="233"/>
      <c r="R3101" s="233"/>
      <c r="S3101" s="233"/>
      <c r="T3101" s="508">
        <f t="shared" si="2380"/>
        <v>0</v>
      </c>
      <c r="U3101" s="225">
        <f>IF(NOT(ISNUMBER(G3101)), "", VLOOKUP(A3101,'Discount Lookup'!D:E,2,FALSE)*G3101)</f>
        <v>0</v>
      </c>
      <c r="V3101" s="225">
        <f>IF(NOT(ISNUMBER(G3101)), "", VLOOKUP(A3101,'Discount Lookup'!G:H,2,FALSE)*G3101)</f>
        <v>0</v>
      </c>
      <c r="W3101" s="508">
        <f t="shared" si="2381"/>
        <v>0</v>
      </c>
      <c r="X3101" s="508">
        <f t="shared" si="2382"/>
        <v>0</v>
      </c>
      <c r="Y3101" s="509" t="b">
        <f t="shared" si="2383"/>
        <v>0</v>
      </c>
      <c r="Z3101" s="510">
        <f t="shared" si="2384"/>
        <v>0</v>
      </c>
      <c r="AA3101" s="511"/>
      <c r="AB3101" s="511" t="str">
        <f t="shared" si="2385"/>
        <v/>
      </c>
      <c r="AC3101" s="698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698"/>
      <c r="AE3101" s="631" t="str">
        <f t="shared" si="2386"/>
        <v/>
      </c>
      <c r="AF3101" s="699" t="str">
        <f t="shared" si="2387"/>
        <v/>
      </c>
      <c r="AG3101" s="699"/>
      <c r="AH3101" s="699"/>
      <c r="AI3101" s="512">
        <f>IF(H3101="credit",0,IF(AE3101="free",0,IF(AE3101="me",0,IF(G3101&gt;0,(VLOOKUP(A3101,'Discount Lookup'!J:K,2)*G3101),0))))</f>
        <v>0</v>
      </c>
      <c r="AJ3101" s="513" t="str">
        <f t="shared" ca="1" si="2388"/>
        <v/>
      </c>
      <c r="AK3101" s="700" t="str">
        <f t="shared" si="2389"/>
        <v/>
      </c>
      <c r="AL3101" s="700"/>
      <c r="AM3101" s="505" t="str">
        <f t="shared" si="2390"/>
        <v/>
      </c>
      <c r="AN3101" s="506"/>
      <c r="AO3101" s="507"/>
      <c r="AP3101" s="507"/>
      <c r="AQ3101" s="507"/>
      <c r="AR3101" s="507"/>
      <c r="AS3101" s="507"/>
      <c r="AT3101" s="507"/>
      <c r="AU3101" s="507"/>
      <c r="AV3101" s="225"/>
      <c r="AW3101" s="508"/>
      <c r="AX3101" s="225"/>
      <c r="AY3101" s="225"/>
      <c r="AZ3101" s="225"/>
      <c r="BA3101" s="225"/>
      <c r="BB3101" s="225"/>
      <c r="BC3101" s="56"/>
      <c r="BD3101" s="56"/>
      <c r="BE3101" s="56"/>
      <c r="BF3101" s="107" t="str">
        <f t="shared" si="2391"/>
        <v>https://www.google.com/search?tbm=isch&amp;q=3%20G5</v>
      </c>
      <c r="BG3101" s="107" t="str">
        <f t="shared" si="2392"/>
        <v>R</v>
      </c>
      <c r="BH3101" s="254"/>
      <c r="BI3101" s="254"/>
    </row>
    <row r="3102" spans="1:61" customFormat="1" ht="17.25" thickBot="1" x14ac:dyDescent="0.3">
      <c r="A3102" s="524" t="s">
        <v>4052</v>
      </c>
      <c r="B3102" s="245"/>
      <c r="C3102" s="677"/>
      <c r="D3102" s="499"/>
      <c r="E3102" s="499"/>
      <c r="F3102" s="500"/>
      <c r="G3102" s="501"/>
      <c r="H3102" s="502"/>
      <c r="I3102" s="246"/>
      <c r="J3102" s="247"/>
      <c r="K3102" s="503"/>
      <c r="L3102" s="544"/>
      <c r="M3102" s="544"/>
      <c r="N3102" s="500"/>
      <c r="O3102" s="500"/>
      <c r="P3102" s="500"/>
      <c r="Q3102" s="500"/>
      <c r="R3102" s="500"/>
      <c r="S3102" s="669" t="s">
        <v>4980</v>
      </c>
      <c r="T3102" s="508">
        <f t="shared" si="2380"/>
        <v>0</v>
      </c>
      <c r="U3102" s="225" t="str">
        <f>IF(NOT(ISNUMBER(G3102)), "", VLOOKUP(A3102,'Discount Lookup'!D:E,2,FALSE)*G3102)</f>
        <v/>
      </c>
      <c r="V3102" s="225" t="str">
        <f>IF(NOT(ISNUMBER(G3102)), "", VLOOKUP(A3102,'Discount Lookup'!G:H,2,FALSE)*G3102)</f>
        <v/>
      </c>
      <c r="W3102" s="508">
        <f t="shared" si="2381"/>
        <v>0</v>
      </c>
      <c r="X3102" s="508">
        <f t="shared" si="2382"/>
        <v>0</v>
      </c>
      <c r="Y3102" s="509" t="b">
        <f t="shared" si="2383"/>
        <v>0</v>
      </c>
      <c r="Z3102" s="510">
        <f t="shared" si="2384"/>
        <v>0</v>
      </c>
      <c r="AA3102" s="511"/>
      <c r="AB3102" s="511" t="str">
        <f t="shared" si="2385"/>
        <v/>
      </c>
      <c r="AC3102" s="698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698"/>
      <c r="AE3102" s="631" t="str">
        <f t="shared" si="2386"/>
        <v/>
      </c>
      <c r="AF3102" s="699" t="str">
        <f t="shared" si="2387"/>
        <v/>
      </c>
      <c r="AG3102" s="699"/>
      <c r="AH3102" s="699"/>
      <c r="AI3102" s="512">
        <f>IF(H3102="credit",0,IF(AE3102="free",0,IF(AE3102="me",0,IF(G3102&gt;0,(VLOOKUP(A3102,'Discount Lookup'!J:K,2)*G3102),0))))</f>
        <v>0</v>
      </c>
      <c r="AJ3102" s="513" t="str">
        <f t="shared" ca="1" si="2388"/>
        <v/>
      </c>
      <c r="AK3102" s="700" t="str">
        <f t="shared" si="2389"/>
        <v/>
      </c>
      <c r="AL3102" s="700"/>
      <c r="AM3102" s="505" t="str">
        <f t="shared" si="2390"/>
        <v/>
      </c>
      <c r="AN3102" s="506"/>
      <c r="AO3102" s="507"/>
      <c r="AP3102" s="507"/>
      <c r="AQ3102" s="507"/>
      <c r="AR3102" s="507"/>
      <c r="AS3102" s="507"/>
      <c r="AT3102" s="507"/>
      <c r="AU3102" s="507"/>
      <c r="AV3102" s="225"/>
      <c r="AW3102" s="508"/>
      <c r="AX3102" s="225"/>
      <c r="AY3102" s="225"/>
      <c r="AZ3102" s="225"/>
      <c r="BA3102" s="225"/>
      <c r="BB3102" s="225"/>
      <c r="BC3102" s="56"/>
      <c r="BD3102" s="56"/>
      <c r="BE3102" s="56"/>
      <c r="BF3102" s="107" t="str">
        <f t="shared" si="2391"/>
        <v>https://www.google.com/search?tbm=isch&amp;q=Drift%20Roses%20bloom%20all%20summer%20and%20don%27t%20need%20deadheading%2C%20Glossy%20Green%20foliage%20and%20thorns%20%28rabbits%20may%20still%20nibble%29.%20Cut%20back%20annually%20</v>
      </c>
      <c r="BG3102" s="107" t="str">
        <f t="shared" si="2392"/>
        <v>D</v>
      </c>
      <c r="BH3102" s="254"/>
      <c r="BI3102" s="254"/>
    </row>
    <row r="3103" spans="1:61" customFormat="1" ht="18" x14ac:dyDescent="0.25">
      <c r="A3103" s="523" t="s">
        <v>1623</v>
      </c>
      <c r="B3103" s="235"/>
      <c r="C3103" s="676"/>
      <c r="D3103" s="255" t="s">
        <v>1624</v>
      </c>
      <c r="E3103" s="236"/>
      <c r="F3103" s="236"/>
      <c r="G3103" s="236"/>
      <c r="H3103" s="582" t="s">
        <v>905</v>
      </c>
      <c r="I3103" s="498" t="s">
        <v>3033</v>
      </c>
      <c r="J3103" s="237"/>
      <c r="K3103" s="237"/>
      <c r="L3103" s="274"/>
      <c r="M3103" s="668" t="s">
        <v>4962</v>
      </c>
      <c r="N3103" s="681" t="str">
        <f>IF(AND(ISTEXT($A3103), ISERROR($A3103+0)), HYPERLINK($BF3103, "Images"), "")</f>
        <v>Images</v>
      </c>
      <c r="O3103" s="663" t="s">
        <v>4969</v>
      </c>
      <c r="P3103" s="253"/>
      <c r="Q3103" s="238"/>
      <c r="R3103" s="239"/>
      <c r="S3103" s="275" t="s">
        <v>305</v>
      </c>
      <c r="T3103" s="508">
        <f t="shared" si="2380"/>
        <v>0</v>
      </c>
      <c r="U3103" s="225" t="str">
        <f>IF(NOT(ISNUMBER(G3103)), "", VLOOKUP(A3103,'Discount Lookup'!D:E,2,FALSE)*G3103)</f>
        <v/>
      </c>
      <c r="V3103" s="225" t="str">
        <f>IF(NOT(ISNUMBER(G3103)), "", VLOOKUP(A3103,'Discount Lookup'!G:H,2,FALSE)*G3103)</f>
        <v/>
      </c>
      <c r="W3103" s="508">
        <f t="shared" si="2381"/>
        <v>0</v>
      </c>
      <c r="X3103" s="508" t="str">
        <f t="shared" si="2382"/>
        <v>Blue-Green blades</v>
      </c>
      <c r="Y3103" s="509" t="b">
        <f t="shared" si="2383"/>
        <v>0</v>
      </c>
      <c r="Z3103" s="510">
        <f t="shared" si="2384"/>
        <v>0</v>
      </c>
      <c r="AA3103" s="511"/>
      <c r="AB3103" s="511" t="str">
        <f t="shared" si="2385"/>
        <v/>
      </c>
      <c r="AC3103" s="698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698"/>
      <c r="AE3103" s="631" t="str">
        <f t="shared" si="2386"/>
        <v/>
      </c>
      <c r="AF3103" s="699" t="str">
        <f t="shared" si="2387"/>
        <v/>
      </c>
      <c r="AG3103" s="699"/>
      <c r="AH3103" s="699"/>
      <c r="AI3103" s="512">
        <f>IF(H3103="credit",0,IF(AE3103="free",0,IF(AE3103="me",0,IF(G3103&gt;0,(VLOOKUP(A3103,'Discount Lookup'!J:K,2)*G3103),0))))</f>
        <v>0</v>
      </c>
      <c r="AJ3103" s="513" t="str">
        <f t="shared" ca="1" si="2388"/>
        <v/>
      </c>
      <c r="AK3103" s="700" t="str">
        <f t="shared" si="2389"/>
        <v/>
      </c>
      <c r="AL3103" s="700"/>
      <c r="AM3103" s="505" t="str">
        <f t="shared" si="2390"/>
        <v/>
      </c>
      <c r="AN3103" s="506"/>
      <c r="AO3103" s="507"/>
      <c r="AP3103" s="507"/>
      <c r="AQ3103" s="507"/>
      <c r="AR3103" s="507"/>
      <c r="AS3103" s="507"/>
      <c r="AT3103" s="507"/>
      <c r="AU3103" s="507"/>
      <c r="AV3103" s="225"/>
      <c r="AW3103" s="508"/>
      <c r="AX3103" s="225"/>
      <c r="AY3103" s="225"/>
      <c r="AZ3103" s="225"/>
      <c r="BA3103" s="225"/>
      <c r="BB3103" s="225"/>
      <c r="BC3103" s="56"/>
      <c r="BD3103" s="56"/>
      <c r="BE3103" s="56"/>
      <c r="BF3103" s="107" t="str">
        <f t="shared" si="2391"/>
        <v>https://www.google.com/search?tbm=isch&amp;q=Red%20Flame%20Switchgrass%20Panicum%20virgatum%20%27Red%20Flame%27%20PP%2335213</v>
      </c>
      <c r="BG3103" s="107" t="str">
        <f t="shared" si="2392"/>
        <v>R</v>
      </c>
      <c r="BH3103" s="254"/>
      <c r="BI3103" s="254"/>
    </row>
    <row r="3104" spans="1:61" customFormat="1" ht="15.75" x14ac:dyDescent="0.25">
      <c r="A3104" s="276">
        <v>3</v>
      </c>
      <c r="B3104" s="240" t="s">
        <v>291</v>
      </c>
      <c r="C3104" s="241"/>
      <c r="D3104" s="242" t="s">
        <v>300</v>
      </c>
      <c r="E3104" s="243">
        <v>24.95</v>
      </c>
      <c r="F3104" s="517" t="s">
        <v>293</v>
      </c>
      <c r="G3104" s="232">
        <v>0</v>
      </c>
      <c r="H3104" s="661" t="str">
        <f>IF(G3104=0,"",IF(F3104="Buy",IF(G3104=1,"plant","plants"),IF(F3104&gt;0.01,"warranty","Error")))</f>
        <v/>
      </c>
      <c r="I3104" s="244">
        <f>IF(H3104="free",0,IF(H3104="credit",((E3104*(F3104))*G3104*-1),IF(F3104="Buy",(E3104*G3104),((E3104*(1-F3104))*G3104))))</f>
        <v>0</v>
      </c>
      <c r="J3104" s="244">
        <f>IF(H3104="warranty",0,(I3104*(_xlfn.SINGLE(SalesTaxPercentage))))</f>
        <v>0</v>
      </c>
      <c r="K3104" s="696">
        <f t="shared" ref="K3104" si="2400">I3104+J3104</f>
        <v>0</v>
      </c>
      <c r="L3104" s="696"/>
      <c r="M3104" s="659" t="str">
        <f>IF(AND(G3104&gt;0,E3104=0),"WARNING - no PRICE inserted",IF(H3104="free"," FREE ~ no charge this plant",IF(H3104="credit",CONCATENATE(" -$",ROUND(K3104*(1-T2GDiscount)*-1,2)," CREDIT after discount"),IF(T2GDiscount=0,"",IF(G3104=0,"",IF(F3104="Buy",CONCATENATE(" $",ROUND(K3104*(1-T2GDiscount),2)," with ",(T2GDiscount*100),"% discount"),CONCATENATE(" $",ROUND(K3104*(1-T2GDiscount),2)," with ",((T2GDiscount*100+F3104*100)-(T2GDiscount*100*F3104)),IF(F3104&gt;0,"% discounts",IF(NoWarrantyDiscount&gt;0,"% discounts","% discount")))))))))</f>
        <v/>
      </c>
      <c r="N3104" s="660"/>
      <c r="O3104" s="233"/>
      <c r="P3104" s="233"/>
      <c r="Q3104" s="233"/>
      <c r="R3104" s="233"/>
      <c r="S3104" s="233"/>
      <c r="T3104" s="508">
        <f t="shared" si="2380"/>
        <v>0</v>
      </c>
      <c r="U3104" s="225">
        <f>IF(NOT(ISNUMBER(G3104)), "", VLOOKUP(A3104,'Discount Lookup'!D:E,2,FALSE)*G3104)</f>
        <v>0</v>
      </c>
      <c r="V3104" s="225">
        <f>IF(NOT(ISNUMBER(G3104)), "", VLOOKUP(A3104,'Discount Lookup'!G:H,2,FALSE)*G3104)</f>
        <v>0</v>
      </c>
      <c r="W3104" s="508">
        <f t="shared" si="2381"/>
        <v>0</v>
      </c>
      <c r="X3104" s="508">
        <f t="shared" si="2382"/>
        <v>0</v>
      </c>
      <c r="Y3104" s="509" t="b">
        <f t="shared" si="2383"/>
        <v>0</v>
      </c>
      <c r="Z3104" s="510">
        <f t="shared" si="2384"/>
        <v>0</v>
      </c>
      <c r="AA3104" s="511"/>
      <c r="AB3104" s="511" t="str">
        <f t="shared" si="2385"/>
        <v/>
      </c>
      <c r="AC3104" s="698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698"/>
      <c r="AE3104" s="631" t="str">
        <f t="shared" si="2386"/>
        <v/>
      </c>
      <c r="AF3104" s="699" t="str">
        <f t="shared" si="2387"/>
        <v/>
      </c>
      <c r="AG3104" s="699"/>
      <c r="AH3104" s="699"/>
      <c r="AI3104" s="512">
        <f>IF(H3104="credit",0,IF(AE3104="free",0,IF(AE3104="me",0,IF(G3104&gt;0,(VLOOKUP(A3104,'Discount Lookup'!J:K,2)*G3104),0))))</f>
        <v>0</v>
      </c>
      <c r="AJ3104" s="513" t="str">
        <f t="shared" ca="1" si="2388"/>
        <v/>
      </c>
      <c r="AK3104" s="700" t="str">
        <f t="shared" si="2389"/>
        <v/>
      </c>
      <c r="AL3104" s="700"/>
      <c r="AM3104" s="505" t="str">
        <f t="shared" si="2390"/>
        <v/>
      </c>
      <c r="AN3104" s="506"/>
      <c r="AO3104" s="507"/>
      <c r="AP3104" s="507"/>
      <c r="AQ3104" s="507"/>
      <c r="AR3104" s="507"/>
      <c r="AS3104" s="507"/>
      <c r="AT3104" s="507"/>
      <c r="AU3104" s="507"/>
      <c r="AV3104" s="225"/>
      <c r="AW3104" s="508"/>
      <c r="AX3104" s="225"/>
      <c r="AY3104" s="225"/>
      <c r="AZ3104" s="225"/>
      <c r="BA3104" s="225"/>
      <c r="BB3104" s="225"/>
      <c r="BC3104" s="56"/>
      <c r="BD3104" s="56"/>
      <c r="BE3104" s="56"/>
      <c r="BF3104" s="107" t="str">
        <f t="shared" si="2391"/>
        <v>https://www.google.com/search?tbm=isch&amp;q=3%20G6</v>
      </c>
      <c r="BG3104" s="107" t="str">
        <f t="shared" si="2392"/>
        <v>R</v>
      </c>
      <c r="BH3104" s="254"/>
      <c r="BI3104" s="254"/>
    </row>
    <row r="3105" spans="1:61" customFormat="1" ht="17.25" thickBot="1" x14ac:dyDescent="0.3">
      <c r="A3105" s="673" t="s">
        <v>5218</v>
      </c>
      <c r="B3105" s="245"/>
      <c r="C3105" s="677"/>
      <c r="D3105" s="499"/>
      <c r="E3105" s="499"/>
      <c r="F3105" s="500"/>
      <c r="G3105" s="501"/>
      <c r="H3105" s="502"/>
      <c r="I3105" s="246"/>
      <c r="J3105" s="247"/>
      <c r="K3105" s="503"/>
      <c r="L3105" s="544"/>
      <c r="M3105" s="544"/>
      <c r="N3105" s="500"/>
      <c r="O3105" s="500"/>
      <c r="P3105" s="500"/>
      <c r="Q3105" s="500"/>
      <c r="R3105" s="500"/>
      <c r="S3105" s="669" t="s">
        <v>4991</v>
      </c>
      <c r="T3105" s="508">
        <f t="shared" si="2380"/>
        <v>0</v>
      </c>
      <c r="U3105" s="225" t="str">
        <f>IF(NOT(ISNUMBER(G3105)), "", VLOOKUP(A3105,'Discount Lookup'!D:E,2,FALSE)*G3105)</f>
        <v/>
      </c>
      <c r="V3105" s="225" t="str">
        <f>IF(NOT(ISNUMBER(G3105)), "", VLOOKUP(A3105,'Discount Lookup'!G:H,2,FALSE)*G3105)</f>
        <v/>
      </c>
      <c r="W3105" s="508">
        <f t="shared" si="2381"/>
        <v>0</v>
      </c>
      <c r="X3105" s="508">
        <f t="shared" si="2382"/>
        <v>0</v>
      </c>
      <c r="Y3105" s="509" t="b">
        <f t="shared" si="2383"/>
        <v>0</v>
      </c>
      <c r="Z3105" s="510">
        <f t="shared" si="2384"/>
        <v>0</v>
      </c>
      <c r="AA3105" s="511"/>
      <c r="AB3105" s="511" t="str">
        <f t="shared" si="2385"/>
        <v/>
      </c>
      <c r="AC3105" s="698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698"/>
      <c r="AE3105" s="631" t="str">
        <f t="shared" si="2386"/>
        <v/>
      </c>
      <c r="AF3105" s="699" t="str">
        <f t="shared" si="2387"/>
        <v/>
      </c>
      <c r="AG3105" s="699"/>
      <c r="AH3105" s="699"/>
      <c r="AI3105" s="512">
        <f>IF(H3105="credit",0,IF(AE3105="free",0,IF(AE3105="me",0,IF(G3105&gt;0,(VLOOKUP(A3105,'Discount Lookup'!J:K,2)*G3105),0))))</f>
        <v>0</v>
      </c>
      <c r="AJ3105" s="513" t="str">
        <f t="shared" ca="1" si="2388"/>
        <v/>
      </c>
      <c r="AK3105" s="700" t="str">
        <f t="shared" si="2389"/>
        <v/>
      </c>
      <c r="AL3105" s="700"/>
      <c r="AM3105" s="505" t="str">
        <f t="shared" si="2390"/>
        <v/>
      </c>
      <c r="AN3105" s="506"/>
      <c r="AO3105" s="507"/>
      <c r="AP3105" s="507"/>
      <c r="AQ3105" s="507"/>
      <c r="AR3105" s="507"/>
      <c r="AS3105" s="507"/>
      <c r="AT3105" s="507"/>
      <c r="AU3105" s="507"/>
      <c r="AV3105" s="225"/>
      <c r="AW3105" s="508"/>
      <c r="AX3105" s="225"/>
      <c r="AY3105" s="225"/>
      <c r="AZ3105" s="225"/>
      <c r="BA3105" s="225"/>
      <c r="BB3105" s="225"/>
      <c r="BC3105" s="56"/>
      <c r="BD3105" s="56"/>
      <c r="BE3105" s="56"/>
      <c r="BF3105" s="107" t="str">
        <f t="shared" si="2391"/>
        <v>https://www.google.com/search?tbm=isch&amp;q=moist%20sites%F0%9F%92%A7GOOD%2C%20Red%20Flame%20blades%20turn%20Wine-Red%20by%20summer%E2%80%99s%20end%2C%20topped%20by%20airy%20Reddish%20panicles.%20Blades%20Tan%20in%20fall%20</v>
      </c>
      <c r="BG3105" s="107" t="str">
        <f t="shared" si="2392"/>
        <v>m</v>
      </c>
      <c r="BH3105" s="254"/>
      <c r="BI3105" s="254"/>
    </row>
    <row r="3106" spans="1:61" customFormat="1" ht="18" x14ac:dyDescent="0.25">
      <c r="A3106" s="523" t="s">
        <v>1625</v>
      </c>
      <c r="B3106" s="235"/>
      <c r="C3106" s="676"/>
      <c r="D3106" s="255" t="s">
        <v>1626</v>
      </c>
      <c r="E3106" s="236"/>
      <c r="F3106" s="236"/>
      <c r="G3106" s="236"/>
      <c r="H3106" s="582" t="s">
        <v>1521</v>
      </c>
      <c r="I3106" s="498" t="s">
        <v>2239</v>
      </c>
      <c r="J3106" s="237"/>
      <c r="K3106" s="237"/>
      <c r="L3106" s="274"/>
      <c r="M3106" s="670" t="s">
        <v>4973</v>
      </c>
      <c r="N3106" s="681" t="str">
        <f>IF(AND(ISTEXT($A3106), ISERROR($A3106+0)), HYPERLINK($BF3106, "Images"), "")</f>
        <v>Images</v>
      </c>
      <c r="O3106" s="663" t="s">
        <v>4967</v>
      </c>
      <c r="P3106" s="253"/>
      <c r="Q3106" s="238"/>
      <c r="R3106" s="239"/>
      <c r="S3106" s="275"/>
      <c r="T3106" s="508">
        <f t="shared" si="2380"/>
        <v>0</v>
      </c>
      <c r="U3106" s="225" t="str">
        <f>IF(NOT(ISNUMBER(G3106)), "", VLOOKUP(A3106,'Discount Lookup'!D:E,2,FALSE)*G3106)</f>
        <v/>
      </c>
      <c r="V3106" s="225" t="str">
        <f>IF(NOT(ISNUMBER(G3106)), "", VLOOKUP(A3106,'Discount Lookup'!G:H,2,FALSE)*G3106)</f>
        <v/>
      </c>
      <c r="W3106" s="508">
        <f t="shared" si="2381"/>
        <v>0</v>
      </c>
      <c r="X3106" s="508" t="str">
        <f t="shared" si="2382"/>
        <v>Bronzy-Reddish-Green foliage</v>
      </c>
      <c r="Y3106" s="509" t="b">
        <f t="shared" si="2383"/>
        <v>0</v>
      </c>
      <c r="Z3106" s="510">
        <f t="shared" si="2384"/>
        <v>0</v>
      </c>
      <c r="AA3106" s="511"/>
      <c r="AB3106" s="511" t="str">
        <f t="shared" si="2385"/>
        <v/>
      </c>
      <c r="AC3106" s="698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698"/>
      <c r="AE3106" s="631" t="str">
        <f t="shared" si="2386"/>
        <v/>
      </c>
      <c r="AF3106" s="699" t="str">
        <f t="shared" si="2387"/>
        <v/>
      </c>
      <c r="AG3106" s="699"/>
      <c r="AH3106" s="699"/>
      <c r="AI3106" s="512">
        <f>IF(H3106="credit",0,IF(AE3106="free",0,IF(AE3106="me",0,IF(G3106&gt;0,(VLOOKUP(A3106,'Discount Lookup'!J:K,2)*G3106),0))))</f>
        <v>0</v>
      </c>
      <c r="AJ3106" s="513" t="str">
        <f t="shared" ca="1" si="2388"/>
        <v/>
      </c>
      <c r="AK3106" s="700" t="str">
        <f t="shared" si="2389"/>
        <v/>
      </c>
      <c r="AL3106" s="700"/>
      <c r="AM3106" s="505" t="str">
        <f t="shared" si="2390"/>
        <v/>
      </c>
      <c r="AN3106" s="506"/>
      <c r="AO3106" s="507"/>
      <c r="AP3106" s="507"/>
      <c r="AQ3106" s="507"/>
      <c r="AR3106" s="507"/>
      <c r="AS3106" s="507"/>
      <c r="AT3106" s="507"/>
      <c r="AU3106" s="507"/>
      <c r="AV3106" s="225"/>
      <c r="AW3106" s="508"/>
      <c r="AX3106" s="225"/>
      <c r="AY3106" s="225"/>
      <c r="AZ3106" s="225"/>
      <c r="BA3106" s="225"/>
      <c r="BB3106" s="225"/>
      <c r="BC3106" s="56"/>
      <c r="BD3106" s="56"/>
      <c r="BE3106" s="56"/>
      <c r="BF3106" s="107" t="str">
        <f t="shared" si="2391"/>
        <v>https://www.google.com/search?tbm=isch&amp;q=Red%20Threadleaf%20Japanese%20Maple%20Acer%20palmatum%20%27Scolopendrifolium%20Rubrum%27</v>
      </c>
      <c r="BG3106" s="107" t="str">
        <f t="shared" si="2392"/>
        <v>R</v>
      </c>
      <c r="BH3106" s="254"/>
      <c r="BI3106" s="254"/>
    </row>
    <row r="3107" spans="1:61" customFormat="1" ht="27" x14ac:dyDescent="0.25">
      <c r="A3107" s="276">
        <v>65</v>
      </c>
      <c r="B3107" s="240" t="s">
        <v>291</v>
      </c>
      <c r="C3107" s="241" t="s">
        <v>3728</v>
      </c>
      <c r="D3107" s="242" t="s">
        <v>292</v>
      </c>
      <c r="E3107" s="243">
        <v>1389.95</v>
      </c>
      <c r="F3107" s="517" t="s">
        <v>293</v>
      </c>
      <c r="G3107" s="232">
        <v>0</v>
      </c>
      <c r="H3107" s="661" t="str">
        <f>IF(G3107=0,"",IF(F3107="Buy",IF(G3107=1,"plant","plants"),IF(F3107&gt;0.01,"warranty","Error")))</f>
        <v/>
      </c>
      <c r="I3107" s="244">
        <f>IF(H3107="free",0,IF(H3107="credit",((E3107*(F3107))*G3107*-1),IF(F3107="Buy",(E3107*G3107),((E3107*(1-F3107))*G3107))))</f>
        <v>0</v>
      </c>
      <c r="J3107" s="244">
        <f>IF(H3107="warranty",0,(I3107*(_xlfn.SINGLE(SalesTaxPercentage))))</f>
        <v>0</v>
      </c>
      <c r="K3107" s="696">
        <f t="shared" ref="K3107" si="2401">I3107+J3107</f>
        <v>0</v>
      </c>
      <c r="L3107" s="696"/>
      <c r="M3107" s="659" t="str">
        <f>IF(AND(G3107&gt;0,E3107=0),"WARNING - no PRICE inserted",IF(H3107="free"," FREE ~ no charge this plant",IF(H3107="credit",CONCATENATE(" -$",ROUND(K3107*(1-T2GDiscount)*-1,2)," CREDIT after discount"),IF(T2GDiscount=0,"",IF(G3107=0,"",IF(F3107="Buy",CONCATENATE(" $",ROUND(K3107*(1-T2GDiscount),2)," with ",(T2GDiscount*100),"% discount"),CONCATENATE(" $",ROUND(K3107*(1-T2GDiscount),2)," with ",((T2GDiscount*100+F3107*100)-(T2GDiscount*100*F3107)),IF(F3107&gt;0,"% discounts",IF(NoWarrantyDiscount&gt;0,"% discounts","% discount")))))))))</f>
        <v/>
      </c>
      <c r="N3107" s="660"/>
      <c r="O3107" s="233"/>
      <c r="P3107" s="233"/>
      <c r="Q3107" s="233"/>
      <c r="R3107" s="233"/>
      <c r="S3107" s="233"/>
      <c r="T3107" s="508">
        <f t="shared" si="2380"/>
        <v>0</v>
      </c>
      <c r="U3107" s="225">
        <f>IF(NOT(ISNUMBER(G3107)), "", VLOOKUP(A3107,'Discount Lookup'!D:E,2,FALSE)*G3107)</f>
        <v>0</v>
      </c>
      <c r="V3107" s="225">
        <f>IF(NOT(ISNUMBER(G3107)), "", VLOOKUP(A3107,'Discount Lookup'!G:H,2,FALSE)*G3107)</f>
        <v>0</v>
      </c>
      <c r="W3107" s="508">
        <f t="shared" si="2381"/>
        <v>0</v>
      </c>
      <c r="X3107" s="508">
        <f t="shared" si="2382"/>
        <v>0</v>
      </c>
      <c r="Y3107" s="509" t="b">
        <f t="shared" si="2383"/>
        <v>0</v>
      </c>
      <c r="Z3107" s="510">
        <f t="shared" si="2384"/>
        <v>0</v>
      </c>
      <c r="AA3107" s="511"/>
      <c r="AB3107" s="511" t="str">
        <f t="shared" si="2385"/>
        <v/>
      </c>
      <c r="AC3107" s="698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698"/>
      <c r="AE3107" s="631" t="str">
        <f t="shared" si="2386"/>
        <v/>
      </c>
      <c r="AF3107" s="699" t="str">
        <f t="shared" si="2387"/>
        <v/>
      </c>
      <c r="AG3107" s="699"/>
      <c r="AH3107" s="699"/>
      <c r="AI3107" s="512">
        <f>IF(H3107="credit",0,IF(AE3107="free",0,IF(AE3107="me",0,IF(G3107&gt;0,(VLOOKUP(A3107,'Discount Lookup'!J:K,2)*G3107),0))))</f>
        <v>0</v>
      </c>
      <c r="AJ3107" s="513" t="str">
        <f t="shared" ca="1" si="2388"/>
        <v/>
      </c>
      <c r="AK3107" s="700" t="str">
        <f t="shared" si="2389"/>
        <v/>
      </c>
      <c r="AL3107" s="700"/>
      <c r="AM3107" s="505" t="str">
        <f t="shared" si="2390"/>
        <v/>
      </c>
      <c r="AN3107" s="506"/>
      <c r="AO3107" s="507"/>
      <c r="AP3107" s="507"/>
      <c r="AQ3107" s="507"/>
      <c r="AR3107" s="507"/>
      <c r="AS3107" s="507"/>
      <c r="AT3107" s="507"/>
      <c r="AU3107" s="507"/>
      <c r="AV3107" s="225"/>
      <c r="AW3107" s="508"/>
      <c r="AX3107" s="225"/>
      <c r="AY3107" s="225"/>
      <c r="AZ3107" s="225"/>
      <c r="BA3107" s="225"/>
      <c r="BB3107" s="225"/>
      <c r="BC3107" s="56"/>
      <c r="BD3107" s="56"/>
      <c r="BE3107" s="56"/>
      <c r="BF3107" s="107" t="str">
        <f t="shared" si="2391"/>
        <v>https://www.google.com/search?tbm=isch&amp;q=65%20G4</v>
      </c>
      <c r="BG3107" s="107" t="str">
        <f t="shared" si="2392"/>
        <v>R</v>
      </c>
      <c r="BH3107" s="254"/>
      <c r="BI3107" s="254"/>
    </row>
    <row r="3108" spans="1:61" customFormat="1" ht="17.25" thickBot="1" x14ac:dyDescent="0.3">
      <c r="A3108" s="524" t="s">
        <v>2460</v>
      </c>
      <c r="B3108" s="245"/>
      <c r="C3108" s="677"/>
      <c r="D3108" s="499"/>
      <c r="E3108" s="499"/>
      <c r="F3108" s="500"/>
      <c r="G3108" s="501"/>
      <c r="H3108" s="502"/>
      <c r="I3108" s="246"/>
      <c r="J3108" s="247"/>
      <c r="K3108" s="503"/>
      <c r="L3108" s="544"/>
      <c r="M3108" s="544"/>
      <c r="N3108" s="500"/>
      <c r="O3108" s="500"/>
      <c r="P3108" s="500"/>
      <c r="Q3108" s="500"/>
      <c r="R3108" s="500"/>
      <c r="S3108" s="278"/>
      <c r="T3108" s="508">
        <f t="shared" si="2380"/>
        <v>0</v>
      </c>
      <c r="U3108" s="225" t="str">
        <f>IF(NOT(ISNUMBER(G3108)), "", VLOOKUP(A3108,'Discount Lookup'!D:E,2,FALSE)*G3108)</f>
        <v/>
      </c>
      <c r="V3108" s="225" t="str">
        <f>IF(NOT(ISNUMBER(G3108)), "", VLOOKUP(A3108,'Discount Lookup'!G:H,2,FALSE)*G3108)</f>
        <v/>
      </c>
      <c r="W3108" s="508">
        <f t="shared" si="2381"/>
        <v>0</v>
      </c>
      <c r="X3108" s="508">
        <f t="shared" si="2382"/>
        <v>0</v>
      </c>
      <c r="Y3108" s="509" t="b">
        <f t="shared" si="2383"/>
        <v>0</v>
      </c>
      <c r="Z3108" s="510">
        <f t="shared" si="2384"/>
        <v>0</v>
      </c>
      <c r="AA3108" s="511"/>
      <c r="AB3108" s="511" t="str">
        <f t="shared" si="2385"/>
        <v/>
      </c>
      <c r="AC3108" s="698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698"/>
      <c r="AE3108" s="631" t="str">
        <f t="shared" si="2386"/>
        <v/>
      </c>
      <c r="AF3108" s="699" t="str">
        <f t="shared" si="2387"/>
        <v/>
      </c>
      <c r="AG3108" s="699"/>
      <c r="AH3108" s="699"/>
      <c r="AI3108" s="512">
        <f>IF(H3108="credit",0,IF(AE3108="free",0,IF(AE3108="me",0,IF(G3108&gt;0,(VLOOKUP(A3108,'Discount Lookup'!J:K,2)*G3108),0))))</f>
        <v>0</v>
      </c>
      <c r="AJ3108" s="513" t="str">
        <f t="shared" ca="1" si="2388"/>
        <v/>
      </c>
      <c r="AK3108" s="700" t="str">
        <f t="shared" si="2389"/>
        <v/>
      </c>
      <c r="AL3108" s="700"/>
      <c r="AM3108" s="505" t="str">
        <f t="shared" si="2390"/>
        <v/>
      </c>
      <c r="AN3108" s="506"/>
      <c r="AO3108" s="507"/>
      <c r="AP3108" s="507"/>
      <c r="AQ3108" s="507"/>
      <c r="AR3108" s="507"/>
      <c r="AS3108" s="507"/>
      <c r="AT3108" s="507"/>
      <c r="AU3108" s="507"/>
      <c r="AV3108" s="225"/>
      <c r="AW3108" s="508"/>
      <c r="AX3108" s="225"/>
      <c r="AY3108" s="225"/>
      <c r="AZ3108" s="225"/>
      <c r="BA3108" s="225"/>
      <c r="BB3108" s="225"/>
      <c r="BC3108" s="56"/>
      <c r="BD3108" s="56"/>
      <c r="BE3108" s="56"/>
      <c r="BF3108" s="107" t="str">
        <f t="shared" si="2391"/>
        <v>https://www.google.com/search?tbm=isch&amp;q=Red%20Threadleaf%20named%20for%20exceptionally%20fine%2C%20deeply%20dissected%20foliage.%20Leaves%20emrge%20fiery%20red%2C%20then%20a%20vibrant%20Scarlet-Crimson-Orange%20fall%20</v>
      </c>
      <c r="BG3108" s="107" t="str">
        <f t="shared" si="2392"/>
        <v>R</v>
      </c>
      <c r="BH3108" s="254"/>
      <c r="BI3108" s="254"/>
    </row>
    <row r="3109" spans="1:61" customFormat="1" ht="18" x14ac:dyDescent="0.25">
      <c r="A3109" s="523" t="s">
        <v>5520</v>
      </c>
      <c r="B3109" s="235"/>
      <c r="C3109" s="676"/>
      <c r="D3109" s="255" t="s">
        <v>1627</v>
      </c>
      <c r="E3109" s="236"/>
      <c r="F3109" s="236"/>
      <c r="G3109" s="236"/>
      <c r="H3109" s="582" t="s">
        <v>1628</v>
      </c>
      <c r="I3109" s="498" t="s">
        <v>2093</v>
      </c>
      <c r="J3109" s="237"/>
      <c r="K3109" s="237"/>
      <c r="L3109" s="274"/>
      <c r="M3109" s="668" t="s">
        <v>4962</v>
      </c>
      <c r="N3109" s="681" t="str">
        <f>IF(AND(ISTEXT($A3109), ISERROR($A3109+0)), HYPERLINK($BF3109, "Images"), "")</f>
        <v>Images</v>
      </c>
      <c r="O3109" s="663" t="s">
        <v>4967</v>
      </c>
      <c r="P3109" s="253"/>
      <c r="Q3109" s="238"/>
      <c r="R3109" s="239"/>
      <c r="S3109" s="275" t="s">
        <v>305</v>
      </c>
      <c r="T3109" s="508">
        <f t="shared" si="2380"/>
        <v>0</v>
      </c>
      <c r="U3109" s="225" t="str">
        <f>IF(NOT(ISNUMBER(G3109)), "", VLOOKUP(A3109,'Discount Lookup'!D:E,2,FALSE)*G3109)</f>
        <v/>
      </c>
      <c r="V3109" s="225" t="str">
        <f>IF(NOT(ISNUMBER(G3109)), "", VLOOKUP(A3109,'Discount Lookup'!G:H,2,FALSE)*G3109)</f>
        <v/>
      </c>
      <c r="W3109" s="508">
        <f t="shared" si="2381"/>
        <v>0</v>
      </c>
      <c r="X3109" s="508" t="str">
        <f t="shared" si="2382"/>
        <v>Dark Green foliage</v>
      </c>
      <c r="Y3109" s="509" t="b">
        <f t="shared" si="2383"/>
        <v>0</v>
      </c>
      <c r="Z3109" s="510">
        <f t="shared" si="2384"/>
        <v>0</v>
      </c>
      <c r="AA3109" s="511"/>
      <c r="AB3109" s="511" t="str">
        <f t="shared" si="2385"/>
        <v/>
      </c>
      <c r="AC3109" s="698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698"/>
      <c r="AE3109" s="631" t="str">
        <f t="shared" si="2386"/>
        <v/>
      </c>
      <c r="AF3109" s="699" t="str">
        <f t="shared" si="2387"/>
        <v/>
      </c>
      <c r="AG3109" s="699"/>
      <c r="AH3109" s="699"/>
      <c r="AI3109" s="512">
        <f>IF(H3109="credit",0,IF(AE3109="free",0,IF(AE3109="me",0,IF(G3109&gt;0,(VLOOKUP(A3109,'Discount Lookup'!J:K,2)*G3109),0))))</f>
        <v>0</v>
      </c>
      <c r="AJ3109" s="513" t="str">
        <f t="shared" ca="1" si="2388"/>
        <v/>
      </c>
      <c r="AK3109" s="700" t="str">
        <f t="shared" si="2389"/>
        <v/>
      </c>
      <c r="AL3109" s="700"/>
      <c r="AM3109" s="505" t="str">
        <f t="shared" si="2390"/>
        <v/>
      </c>
      <c r="AN3109" s="506"/>
      <c r="AO3109" s="507"/>
      <c r="AP3109" s="507"/>
      <c r="AQ3109" s="507"/>
      <c r="AR3109" s="507"/>
      <c r="AS3109" s="507"/>
      <c r="AT3109" s="507"/>
      <c r="AU3109" s="507"/>
      <c r="AV3109" s="225"/>
      <c r="AW3109" s="508"/>
      <c r="AX3109" s="225"/>
      <c r="AY3109" s="225"/>
      <c r="AZ3109" s="225"/>
      <c r="BA3109" s="225"/>
      <c r="BB3109" s="225"/>
      <c r="BC3109" s="56"/>
      <c r="BD3109" s="56"/>
      <c r="BE3109" s="56"/>
      <c r="BF3109" s="107" t="str">
        <f t="shared" si="2391"/>
        <v>https://www.google.com/search?tbm=isch&amp;q=Redpointe%C2%AE%20Red%20Maple%20Acer%20rubrum%20%27Frank%20Jr.%27%20PP%2316769</v>
      </c>
      <c r="BG3109" s="107" t="str">
        <f t="shared" si="2392"/>
        <v>R</v>
      </c>
      <c r="BH3109" s="254"/>
      <c r="BI3109" s="254"/>
    </row>
    <row r="3110" spans="1:61" customFormat="1" ht="27" x14ac:dyDescent="0.25">
      <c r="A3110" s="276">
        <v>25</v>
      </c>
      <c r="B3110" s="240" t="s">
        <v>291</v>
      </c>
      <c r="C3110" s="241" t="s">
        <v>3729</v>
      </c>
      <c r="D3110" s="242" t="s">
        <v>292</v>
      </c>
      <c r="E3110" s="243">
        <v>293.95</v>
      </c>
      <c r="F3110" s="517" t="s">
        <v>293</v>
      </c>
      <c r="G3110" s="232">
        <v>0</v>
      </c>
      <c r="H3110" s="661" t="str">
        <f>IF(G3110=0,"",IF(F3110="Buy",IF(G3110=1,"plant","plants"),IF(F3110&gt;0.01,"warranty","Error")))</f>
        <v/>
      </c>
      <c r="I3110" s="244">
        <f>IF(H3110="free",0,IF(H3110="credit",((E3110*(F3110))*G3110*-1),IF(F3110="Buy",(E3110*G3110),((E3110*(1-F3110))*G3110))))</f>
        <v>0</v>
      </c>
      <c r="J3110" s="244">
        <f>IF(H3110="warranty",0,(I3110*(_xlfn.SINGLE(SalesTaxPercentage))))</f>
        <v>0</v>
      </c>
      <c r="K3110" s="696">
        <f t="shared" ref="K3110" si="2402">I3110+J3110</f>
        <v>0</v>
      </c>
      <c r="L3110" s="696"/>
      <c r="M3110" s="659" t="str">
        <f>IF(AND(G3110&gt;0,E3110=0),"WARNING - no PRICE inserted",IF(H3110="free"," FREE ~ no charge this plant",IF(H3110="credit",CONCATENATE(" -$",ROUND(K3110*(1-T2GDiscount)*-1,2)," CREDIT after discount"),IF(T2GDiscount=0,"",IF(G3110=0,"",IF(F3110="Buy",CONCATENATE(" $",ROUND(K3110*(1-T2GDiscount),2)," with ",(T2GDiscount*100),"% discount"),CONCATENATE(" $",ROUND(K3110*(1-T2GDiscount),2)," with ",((T2GDiscount*100+F3110*100)-(T2GDiscount*100*F3110)),IF(F3110&gt;0,"% discounts",IF(NoWarrantyDiscount&gt;0,"% discounts","% discount")))))))))</f>
        <v/>
      </c>
      <c r="N3110" s="660"/>
      <c r="O3110" s="233"/>
      <c r="P3110" s="233"/>
      <c r="Q3110" s="233"/>
      <c r="R3110" s="233"/>
      <c r="S3110" s="233"/>
      <c r="T3110" s="508">
        <f t="shared" si="2380"/>
        <v>0</v>
      </c>
      <c r="U3110" s="225">
        <f>IF(NOT(ISNUMBER(G3110)), "", VLOOKUP(A3110,'Discount Lookup'!D:E,2,FALSE)*G3110)</f>
        <v>0</v>
      </c>
      <c r="V3110" s="225">
        <f>IF(NOT(ISNUMBER(G3110)), "", VLOOKUP(A3110,'Discount Lookup'!G:H,2,FALSE)*G3110)</f>
        <v>0</v>
      </c>
      <c r="W3110" s="508">
        <f t="shared" si="2381"/>
        <v>0</v>
      </c>
      <c r="X3110" s="508">
        <f t="shared" si="2382"/>
        <v>0</v>
      </c>
      <c r="Y3110" s="509" t="b">
        <f t="shared" si="2383"/>
        <v>0</v>
      </c>
      <c r="Z3110" s="510">
        <f t="shared" si="2384"/>
        <v>0</v>
      </c>
      <c r="AA3110" s="511"/>
      <c r="AB3110" s="511" t="str">
        <f t="shared" si="2385"/>
        <v/>
      </c>
      <c r="AC3110" s="698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698"/>
      <c r="AE3110" s="631" t="str">
        <f t="shared" si="2386"/>
        <v/>
      </c>
      <c r="AF3110" s="699" t="str">
        <f t="shared" si="2387"/>
        <v/>
      </c>
      <c r="AG3110" s="699"/>
      <c r="AH3110" s="699"/>
      <c r="AI3110" s="512">
        <f>IF(H3110="credit",0,IF(AE3110="free",0,IF(AE3110="me",0,IF(G3110&gt;0,(VLOOKUP(A3110,'Discount Lookup'!J:K,2)*G3110),0))))</f>
        <v>0</v>
      </c>
      <c r="AJ3110" s="513" t="str">
        <f t="shared" ca="1" si="2388"/>
        <v/>
      </c>
      <c r="AK3110" s="700" t="str">
        <f t="shared" si="2389"/>
        <v/>
      </c>
      <c r="AL3110" s="700"/>
      <c r="AM3110" s="505" t="str">
        <f t="shared" si="2390"/>
        <v/>
      </c>
      <c r="AN3110" s="506"/>
      <c r="AO3110" s="507"/>
      <c r="AP3110" s="507"/>
      <c r="AQ3110" s="507"/>
      <c r="AR3110" s="507"/>
      <c r="AS3110" s="507"/>
      <c r="AT3110" s="507"/>
      <c r="AU3110" s="507"/>
      <c r="AV3110" s="225"/>
      <c r="AW3110" s="508"/>
      <c r="AX3110" s="225"/>
      <c r="AY3110" s="225"/>
      <c r="AZ3110" s="225"/>
      <c r="BA3110" s="225"/>
      <c r="BB3110" s="225"/>
      <c r="BC3110" s="56"/>
      <c r="BD3110" s="56"/>
      <c r="BE3110" s="56"/>
      <c r="BF3110" s="107" t="str">
        <f t="shared" si="2391"/>
        <v>https://www.google.com/search?tbm=isch&amp;q=25%20G4</v>
      </c>
      <c r="BG3110" s="107" t="str">
        <f t="shared" si="2392"/>
        <v>R</v>
      </c>
      <c r="BH3110" s="254"/>
      <c r="BI3110" s="254"/>
    </row>
    <row r="3111" spans="1:61" customFormat="1" ht="17.25" thickBot="1" x14ac:dyDescent="0.3">
      <c r="A3111" s="673" t="s">
        <v>5219</v>
      </c>
      <c r="B3111" s="245"/>
      <c r="C3111" s="677"/>
      <c r="D3111" s="499"/>
      <c r="E3111" s="499"/>
      <c r="F3111" s="500"/>
      <c r="G3111" s="501"/>
      <c r="H3111" s="502"/>
      <c r="I3111" s="246"/>
      <c r="J3111" s="247"/>
      <c r="K3111" s="503"/>
      <c r="L3111" s="544"/>
      <c r="M3111" s="544"/>
      <c r="N3111" s="500"/>
      <c r="O3111" s="500"/>
      <c r="P3111" s="500"/>
      <c r="Q3111" s="500"/>
      <c r="R3111" s="500"/>
      <c r="S3111" s="669" t="s">
        <v>4972</v>
      </c>
      <c r="T3111" s="508">
        <f t="shared" si="2380"/>
        <v>0</v>
      </c>
      <c r="U3111" s="225" t="str">
        <f>IF(NOT(ISNUMBER(G3111)), "", VLOOKUP(A3111,'Discount Lookup'!D:E,2,FALSE)*G3111)</f>
        <v/>
      </c>
      <c r="V3111" s="225" t="str">
        <f>IF(NOT(ISNUMBER(G3111)), "", VLOOKUP(A3111,'Discount Lookup'!G:H,2,FALSE)*G3111)</f>
        <v/>
      </c>
      <c r="W3111" s="508">
        <f t="shared" si="2381"/>
        <v>0</v>
      </c>
      <c r="X3111" s="508">
        <f t="shared" si="2382"/>
        <v>0</v>
      </c>
      <c r="Y3111" s="509" t="b">
        <f t="shared" si="2383"/>
        <v>0</v>
      </c>
      <c r="Z3111" s="510">
        <f t="shared" si="2384"/>
        <v>0</v>
      </c>
      <c r="AA3111" s="511"/>
      <c r="AB3111" s="511" t="str">
        <f t="shared" si="2385"/>
        <v/>
      </c>
      <c r="AC3111" s="698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698"/>
      <c r="AE3111" s="631" t="str">
        <f t="shared" si="2386"/>
        <v/>
      </c>
      <c r="AF3111" s="699" t="str">
        <f t="shared" si="2387"/>
        <v/>
      </c>
      <c r="AG3111" s="699"/>
      <c r="AH3111" s="699"/>
      <c r="AI3111" s="512">
        <f>IF(H3111="credit",0,IF(AE3111="free",0,IF(AE3111="me",0,IF(G3111&gt;0,(VLOOKUP(A3111,'Discount Lookup'!J:K,2)*G3111),0))))</f>
        <v>0</v>
      </c>
      <c r="AJ3111" s="513" t="str">
        <f t="shared" ca="1" si="2388"/>
        <v/>
      </c>
      <c r="AK3111" s="700" t="str">
        <f t="shared" si="2389"/>
        <v/>
      </c>
      <c r="AL3111" s="700"/>
      <c r="AM3111" s="505" t="str">
        <f t="shared" si="2390"/>
        <v/>
      </c>
      <c r="AN3111" s="506"/>
      <c r="AO3111" s="507"/>
      <c r="AP3111" s="507"/>
      <c r="AQ3111" s="507"/>
      <c r="AR3111" s="507"/>
      <c r="AS3111" s="507"/>
      <c r="AT3111" s="507"/>
      <c r="AU3111" s="507"/>
      <c r="AV3111" s="225"/>
      <c r="AW3111" s="508"/>
      <c r="AX3111" s="225"/>
      <c r="AY3111" s="225"/>
      <c r="AZ3111" s="225"/>
      <c r="BA3111" s="225"/>
      <c r="BB3111" s="225"/>
      <c r="BC3111" s="56"/>
      <c r="BD3111" s="56"/>
      <c r="BE3111" s="56"/>
      <c r="BF3111" s="107" t="str">
        <f t="shared" si="2391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3111" s="107" t="str">
        <f t="shared" si="2392"/>
        <v>m</v>
      </c>
      <c r="BH3111" s="254"/>
      <c r="BI3111" s="254"/>
    </row>
    <row r="3112" spans="1:61" customFormat="1" ht="18" x14ac:dyDescent="0.25">
      <c r="A3112" s="523" t="s">
        <v>4472</v>
      </c>
      <c r="B3112" s="235"/>
      <c r="C3112" s="676"/>
      <c r="D3112" s="255" t="s">
        <v>4473</v>
      </c>
      <c r="E3112" s="236"/>
      <c r="F3112" s="236"/>
      <c r="G3112" s="236"/>
      <c r="H3112" s="582" t="s">
        <v>905</v>
      </c>
      <c r="I3112" s="498" t="s">
        <v>4474</v>
      </c>
      <c r="J3112" s="237"/>
      <c r="K3112" s="237"/>
      <c r="L3112" s="274"/>
      <c r="M3112" s="668" t="s">
        <v>4962</v>
      </c>
      <c r="N3112" s="681" t="str">
        <f>IF(AND(ISTEXT($A3112), ISERROR($A3112+0)), HYPERLINK($BF3112, "Images"), "")</f>
        <v>Images</v>
      </c>
      <c r="O3112" s="663" t="s">
        <v>4969</v>
      </c>
      <c r="P3112" s="253"/>
      <c r="Q3112" s="238"/>
      <c r="R3112" s="239"/>
      <c r="S3112" s="275"/>
      <c r="T3112" s="508">
        <f t="shared" si="2380"/>
        <v>0</v>
      </c>
      <c r="U3112" s="225" t="str">
        <f>IF(NOT(ISNUMBER(G3112)), "", VLOOKUP(A3112,'Discount Lookup'!D:E,2,FALSE)*G3112)</f>
        <v/>
      </c>
      <c r="V3112" s="225" t="str">
        <f>IF(NOT(ISNUMBER(G3112)), "", VLOOKUP(A3112,'Discount Lookup'!G:H,2,FALSE)*G3112)</f>
        <v/>
      </c>
      <c r="W3112" s="508">
        <f t="shared" si="2381"/>
        <v>0</v>
      </c>
      <c r="X3112" s="508" t="str">
        <f t="shared" si="2382"/>
        <v>Burgundy-Purple blades</v>
      </c>
      <c r="Y3112" s="509" t="b">
        <f t="shared" si="2383"/>
        <v>0</v>
      </c>
      <c r="Z3112" s="510">
        <f t="shared" si="2384"/>
        <v>0</v>
      </c>
      <c r="AA3112" s="511"/>
      <c r="AB3112" s="511" t="str">
        <f t="shared" si="2385"/>
        <v/>
      </c>
      <c r="AC3112" s="698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698"/>
      <c r="AE3112" s="631" t="str">
        <f t="shared" si="2386"/>
        <v/>
      </c>
      <c r="AF3112" s="699" t="str">
        <f t="shared" si="2387"/>
        <v/>
      </c>
      <c r="AG3112" s="699"/>
      <c r="AH3112" s="699"/>
      <c r="AI3112" s="512">
        <f>IF(H3112="credit",0,IF(AE3112="free",0,IF(AE3112="me",0,IF(G3112&gt;0,(VLOOKUP(A3112,'Discount Lookup'!J:K,2)*G3112),0))))</f>
        <v>0</v>
      </c>
      <c r="AJ3112" s="513" t="str">
        <f t="shared" ca="1" si="2388"/>
        <v/>
      </c>
      <c r="AK3112" s="700" t="str">
        <f t="shared" si="2389"/>
        <v/>
      </c>
      <c r="AL3112" s="700"/>
      <c r="AM3112" s="505" t="str">
        <f t="shared" si="2390"/>
        <v/>
      </c>
      <c r="AN3112" s="506"/>
      <c r="AO3112" s="507"/>
      <c r="AP3112" s="507"/>
      <c r="AQ3112" s="507"/>
      <c r="AR3112" s="507"/>
      <c r="AS3112" s="507"/>
      <c r="AT3112" s="507"/>
      <c r="AU3112" s="507"/>
      <c r="AV3112" s="225"/>
      <c r="AW3112" s="508"/>
      <c r="AX3112" s="225"/>
      <c r="AY3112" s="225"/>
      <c r="AZ3112" s="225"/>
      <c r="BA3112" s="225"/>
      <c r="BB3112" s="225"/>
      <c r="BC3112" s="56"/>
      <c r="BD3112" s="56"/>
      <c r="BE3112" s="56"/>
      <c r="BF3112" s="107" t="str">
        <f t="shared" si="2391"/>
        <v>https://www.google.com/search?tbm=isch&amp;q=Regal%20Princess%20Purple%20Fountain%20Grass%20Pennisetum%20hybrid%20%27Regal%20Princess%27%20PP%2325517</v>
      </c>
      <c r="BG3112" s="107" t="str">
        <f t="shared" si="2392"/>
        <v>R</v>
      </c>
      <c r="BH3112" s="254"/>
      <c r="BI3112" s="254"/>
    </row>
    <row r="3113" spans="1:61" customFormat="1" ht="15.75" x14ac:dyDescent="0.25">
      <c r="A3113" s="276">
        <v>3</v>
      </c>
      <c r="B3113" s="240" t="s">
        <v>291</v>
      </c>
      <c r="C3113" s="241"/>
      <c r="D3113" s="242" t="s">
        <v>298</v>
      </c>
      <c r="E3113" s="243">
        <v>25.95</v>
      </c>
      <c r="F3113" s="517" t="s">
        <v>293</v>
      </c>
      <c r="G3113" s="232">
        <v>0</v>
      </c>
      <c r="H3113" s="661" t="str">
        <f>IF(G3113=0,"",IF(F3113="Buy",IF(G3113=1,"plant","plants"),IF(F3113&gt;0.01,"warranty","Error")))</f>
        <v/>
      </c>
      <c r="I3113" s="244">
        <f>IF(H3113="free",0,IF(H3113="credit",((E3113*(F3113))*G3113*-1),IF(F3113="Buy",(E3113*G3113),((E3113*(1-F3113))*G3113))))</f>
        <v>0</v>
      </c>
      <c r="J3113" s="244">
        <f>IF(H3113="warranty",0,(I3113*(_xlfn.SINGLE(SalesTaxPercentage))))</f>
        <v>0</v>
      </c>
      <c r="K3113" s="696">
        <f t="shared" ref="K3113" si="2403">I3113+J3113</f>
        <v>0</v>
      </c>
      <c r="L3113" s="696"/>
      <c r="M3113" s="659" t="str">
        <f>IF(AND(G3113&gt;0,E3113=0),"WARNING - no PRICE inserted",IF(H3113="free"," FREE ~ no charge this plant",IF(H3113="credit",CONCATENATE(" -$",ROUND(K3113*(1-T2GDiscount)*-1,2)," CREDIT after discount"),IF(T2GDiscount=0,"",IF(G3113=0,"",IF(F3113="Buy",CONCATENATE(" $",ROUND(K3113*(1-T2GDiscount),2)," with ",(T2GDiscount*100),"% discount"),CONCATENATE(" $",ROUND(K3113*(1-T2GDiscount),2)," with ",((T2GDiscount*100+F3113*100)-(T2GDiscount*100*F3113)),IF(F3113&gt;0,"% discounts",IF(NoWarrantyDiscount&gt;0,"% discounts","% discount")))))))))</f>
        <v/>
      </c>
      <c r="N3113" s="660"/>
      <c r="O3113" s="233"/>
      <c r="P3113" s="233"/>
      <c r="Q3113" s="233"/>
      <c r="R3113" s="233"/>
      <c r="S3113" s="233"/>
      <c r="T3113" s="508">
        <f t="shared" si="2380"/>
        <v>0</v>
      </c>
      <c r="U3113" s="225">
        <f>IF(NOT(ISNUMBER(G3113)), "", VLOOKUP(A3113,'Discount Lookup'!D:E,2,FALSE)*G3113)</f>
        <v>0</v>
      </c>
      <c r="V3113" s="225">
        <f>IF(NOT(ISNUMBER(G3113)), "", VLOOKUP(A3113,'Discount Lookup'!G:H,2,FALSE)*G3113)</f>
        <v>0</v>
      </c>
      <c r="W3113" s="508">
        <f t="shared" si="2381"/>
        <v>0</v>
      </c>
      <c r="X3113" s="508">
        <f t="shared" si="2382"/>
        <v>0</v>
      </c>
      <c r="Y3113" s="509" t="b">
        <f t="shared" si="2383"/>
        <v>0</v>
      </c>
      <c r="Z3113" s="510">
        <f t="shared" si="2384"/>
        <v>0</v>
      </c>
      <c r="AA3113" s="511"/>
      <c r="AB3113" s="511" t="str">
        <f t="shared" si="2385"/>
        <v/>
      </c>
      <c r="AC3113" s="698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698"/>
      <c r="AE3113" s="631" t="str">
        <f t="shared" si="2386"/>
        <v/>
      </c>
      <c r="AF3113" s="699" t="str">
        <f t="shared" si="2387"/>
        <v/>
      </c>
      <c r="AG3113" s="699"/>
      <c r="AH3113" s="699"/>
      <c r="AI3113" s="512">
        <f>IF(H3113="credit",0,IF(AE3113="free",0,IF(AE3113="me",0,IF(G3113&gt;0,(VLOOKUP(A3113,'Discount Lookup'!J:K,2)*G3113),0))))</f>
        <v>0</v>
      </c>
      <c r="AJ3113" s="513" t="str">
        <f t="shared" ca="1" si="2388"/>
        <v/>
      </c>
      <c r="AK3113" s="700" t="str">
        <f t="shared" si="2389"/>
        <v/>
      </c>
      <c r="AL3113" s="700"/>
      <c r="AM3113" s="505" t="str">
        <f t="shared" si="2390"/>
        <v/>
      </c>
      <c r="AN3113" s="506"/>
      <c r="AO3113" s="507"/>
      <c r="AP3113" s="507"/>
      <c r="AQ3113" s="507"/>
      <c r="AR3113" s="507"/>
      <c r="AS3113" s="507"/>
      <c r="AT3113" s="507"/>
      <c r="AU3113" s="507"/>
      <c r="AV3113" s="225"/>
      <c r="AW3113" s="508"/>
      <c r="AX3113" s="225"/>
      <c r="AY3113" s="225"/>
      <c r="AZ3113" s="225"/>
      <c r="BA3113" s="225"/>
      <c r="BB3113" s="225"/>
      <c r="BC3113" s="56"/>
      <c r="BD3113" s="56"/>
      <c r="BE3113" s="56"/>
      <c r="BF3113" s="107" t="str">
        <f t="shared" si="2391"/>
        <v>https://www.google.com/search?tbm=isch&amp;q=3%20G1</v>
      </c>
      <c r="BG3113" s="107" t="str">
        <f t="shared" si="2392"/>
        <v>R</v>
      </c>
      <c r="BH3113" s="254"/>
      <c r="BI3113" s="254"/>
    </row>
    <row r="3114" spans="1:61" customFormat="1" ht="17.25" thickBot="1" x14ac:dyDescent="0.3">
      <c r="A3114" s="524" t="s">
        <v>4475</v>
      </c>
      <c r="B3114" s="245"/>
      <c r="C3114" s="677"/>
      <c r="D3114" s="499"/>
      <c r="E3114" s="499"/>
      <c r="F3114" s="500"/>
      <c r="G3114" s="501"/>
      <c r="H3114" s="502"/>
      <c r="I3114" s="246"/>
      <c r="J3114" s="247"/>
      <c r="K3114" s="503"/>
      <c r="L3114" s="544"/>
      <c r="M3114" s="544"/>
      <c r="N3114" s="500"/>
      <c r="O3114" s="500"/>
      <c r="P3114" s="500"/>
      <c r="Q3114" s="500"/>
      <c r="R3114" s="500"/>
      <c r="S3114" s="669" t="s">
        <v>5003</v>
      </c>
      <c r="T3114" s="508">
        <f t="shared" si="2380"/>
        <v>0</v>
      </c>
      <c r="U3114" s="225" t="str">
        <f>IF(NOT(ISNUMBER(G3114)), "", VLOOKUP(A3114,'Discount Lookup'!D:E,2,FALSE)*G3114)</f>
        <v/>
      </c>
      <c r="V3114" s="225" t="str">
        <f>IF(NOT(ISNUMBER(G3114)), "", VLOOKUP(A3114,'Discount Lookup'!G:H,2,FALSE)*G3114)</f>
        <v/>
      </c>
      <c r="W3114" s="508">
        <f t="shared" si="2381"/>
        <v>0</v>
      </c>
      <c r="X3114" s="508">
        <f t="shared" si="2382"/>
        <v>0</v>
      </c>
      <c r="Y3114" s="509" t="b">
        <f t="shared" si="2383"/>
        <v>0</v>
      </c>
      <c r="Z3114" s="510">
        <f t="shared" si="2384"/>
        <v>0</v>
      </c>
      <c r="AA3114" s="511"/>
      <c r="AB3114" s="511" t="str">
        <f t="shared" si="2385"/>
        <v/>
      </c>
      <c r="AC3114" s="698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698"/>
      <c r="AE3114" s="631" t="str">
        <f t="shared" si="2386"/>
        <v/>
      </c>
      <c r="AF3114" s="699" t="str">
        <f t="shared" si="2387"/>
        <v/>
      </c>
      <c r="AG3114" s="699"/>
      <c r="AH3114" s="699"/>
      <c r="AI3114" s="512">
        <f>IF(H3114="credit",0,IF(AE3114="free",0,IF(AE3114="me",0,IF(G3114&gt;0,(VLOOKUP(A3114,'Discount Lookup'!J:K,2)*G3114),0))))</f>
        <v>0</v>
      </c>
      <c r="AJ3114" s="513" t="str">
        <f t="shared" ca="1" si="2388"/>
        <v/>
      </c>
      <c r="AK3114" s="700" t="str">
        <f t="shared" si="2389"/>
        <v/>
      </c>
      <c r="AL3114" s="700"/>
      <c r="AM3114" s="505" t="str">
        <f t="shared" si="2390"/>
        <v/>
      </c>
      <c r="AN3114" s="506"/>
      <c r="AO3114" s="507"/>
      <c r="AP3114" s="507"/>
      <c r="AQ3114" s="507"/>
      <c r="AR3114" s="507"/>
      <c r="AS3114" s="507"/>
      <c r="AT3114" s="507"/>
      <c r="AU3114" s="507"/>
      <c r="AV3114" s="225"/>
      <c r="AW3114" s="508"/>
      <c r="AX3114" s="225"/>
      <c r="AY3114" s="225"/>
      <c r="AZ3114" s="225"/>
      <c r="BA3114" s="225"/>
      <c r="BB3114" s="225"/>
      <c r="BC3114" s="56"/>
      <c r="BD3114" s="56"/>
      <c r="BE3114" s="56"/>
      <c r="BF3114" s="107" t="str">
        <f t="shared" si="2391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114" s="107" t="str">
        <f t="shared" si="2392"/>
        <v>R</v>
      </c>
      <c r="BH3114" s="254"/>
      <c r="BI3114" s="254"/>
    </row>
    <row r="3115" spans="1:61" customFormat="1" ht="18" x14ac:dyDescent="0.25">
      <c r="A3115" s="523" t="s">
        <v>5521</v>
      </c>
      <c r="B3115" s="235"/>
      <c r="C3115" s="676"/>
      <c r="D3115" s="255" t="s">
        <v>1629</v>
      </c>
      <c r="E3115" s="236"/>
      <c r="F3115" s="236"/>
      <c r="G3115" s="236"/>
      <c r="H3115" s="582" t="s">
        <v>2301</v>
      </c>
      <c r="I3115" s="498" t="s">
        <v>2093</v>
      </c>
      <c r="J3115" s="237"/>
      <c r="K3115" s="237"/>
      <c r="L3115" s="274"/>
      <c r="M3115" s="668" t="s">
        <v>4962</v>
      </c>
      <c r="N3115" s="681" t="str">
        <f>IF(AND(ISTEXT($A3115), ISERROR($A3115+0)), HYPERLINK($BF3115, "Images"), "")</f>
        <v>Images</v>
      </c>
      <c r="O3115" s="663" t="s">
        <v>4974</v>
      </c>
      <c r="P3115" s="253"/>
      <c r="Q3115" s="238"/>
      <c r="R3115" s="239"/>
      <c r="S3115" s="275"/>
      <c r="T3115" s="508">
        <f t="shared" si="2380"/>
        <v>0</v>
      </c>
      <c r="U3115" s="225" t="str">
        <f>IF(NOT(ISNUMBER(G3115)), "", VLOOKUP(A3115,'Discount Lookup'!D:E,2,FALSE)*G3115)</f>
        <v/>
      </c>
      <c r="V3115" s="225" t="str">
        <f>IF(NOT(ISNUMBER(G3115)), "", VLOOKUP(A3115,'Discount Lookup'!G:H,2,FALSE)*G3115)</f>
        <v/>
      </c>
      <c r="W3115" s="508">
        <f t="shared" si="2381"/>
        <v>0</v>
      </c>
      <c r="X3115" s="508" t="str">
        <f t="shared" si="2382"/>
        <v>Dark Green foliage</v>
      </c>
      <c r="Y3115" s="509" t="b">
        <f t="shared" si="2383"/>
        <v>0</v>
      </c>
      <c r="Z3115" s="510">
        <f t="shared" si="2384"/>
        <v>0</v>
      </c>
      <c r="AA3115" s="511"/>
      <c r="AB3115" s="511" t="str">
        <f t="shared" si="2385"/>
        <v/>
      </c>
      <c r="AC3115" s="698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698"/>
      <c r="AE3115" s="631" t="str">
        <f t="shared" si="2386"/>
        <v/>
      </c>
      <c r="AF3115" s="699" t="str">
        <f t="shared" si="2387"/>
        <v/>
      </c>
      <c r="AG3115" s="699"/>
      <c r="AH3115" s="699"/>
      <c r="AI3115" s="512">
        <f>IF(H3115="credit",0,IF(AE3115="free",0,IF(AE3115="me",0,IF(G3115&gt;0,(VLOOKUP(A3115,'Discount Lookup'!J:K,2)*G3115),0))))</f>
        <v>0</v>
      </c>
      <c r="AJ3115" s="513" t="str">
        <f t="shared" ca="1" si="2388"/>
        <v/>
      </c>
      <c r="AK3115" s="700" t="str">
        <f t="shared" si="2389"/>
        <v/>
      </c>
      <c r="AL3115" s="700"/>
      <c r="AM3115" s="505" t="str">
        <f t="shared" si="2390"/>
        <v/>
      </c>
      <c r="AN3115" s="506"/>
      <c r="AO3115" s="507"/>
      <c r="AP3115" s="507"/>
      <c r="AQ3115" s="507"/>
      <c r="AR3115" s="507"/>
      <c r="AS3115" s="507"/>
      <c r="AT3115" s="507"/>
      <c r="AU3115" s="507"/>
      <c r="AV3115" s="225"/>
      <c r="AW3115" s="508"/>
      <c r="AX3115" s="225"/>
      <c r="AY3115" s="225"/>
      <c r="AZ3115" s="225"/>
      <c r="BA3115" s="225"/>
      <c r="BB3115" s="225"/>
      <c r="BC3115" s="56"/>
      <c r="BD3115" s="56"/>
      <c r="BE3115" s="56"/>
      <c r="BF3115" s="107" t="str">
        <f t="shared" si="2391"/>
        <v>https://www.google.com/search?tbm=isch&amp;q=Regal%20Prince%E2%84%A2%20Oak%20Quercus%20x%20warei%20%27Long%27%20PP%2312673</v>
      </c>
      <c r="BG3115" s="107" t="str">
        <f t="shared" si="2392"/>
        <v>R</v>
      </c>
      <c r="BH3115" s="254"/>
      <c r="BI3115" s="254"/>
    </row>
    <row r="3116" spans="1:61" customFormat="1" ht="15.75" x14ac:dyDescent="0.25">
      <c r="A3116" s="276">
        <v>7</v>
      </c>
      <c r="B3116" s="240" t="s">
        <v>291</v>
      </c>
      <c r="C3116" s="241" t="s">
        <v>3730</v>
      </c>
      <c r="D3116" s="242" t="s">
        <v>292</v>
      </c>
      <c r="E3116" s="243">
        <v>127.95</v>
      </c>
      <c r="F3116" s="517" t="s">
        <v>293</v>
      </c>
      <c r="G3116" s="232">
        <v>0</v>
      </c>
      <c r="H3116" s="661" t="str">
        <f>IF(G3116=0,"",IF(F3116="Buy",IF(G3116=1,"plant","plants"),IF(F3116&gt;0.01,"warranty","Error")))</f>
        <v/>
      </c>
      <c r="I3116" s="244">
        <f>IF(H3116="free",0,IF(H3116="credit",((E3116*(F3116))*G3116*-1),IF(F3116="Buy",(E3116*G3116),((E3116*(1-F3116))*G3116))))</f>
        <v>0</v>
      </c>
      <c r="J3116" s="244">
        <f>IF(H3116="warranty",0,(I3116*(_xlfn.SINGLE(SalesTaxPercentage))))</f>
        <v>0</v>
      </c>
      <c r="K3116" s="696">
        <f t="shared" ref="K3116" si="2404">I3116+J3116</f>
        <v>0</v>
      </c>
      <c r="L3116" s="696"/>
      <c r="M3116" s="659" t="str">
        <f>IF(AND(G3116&gt;0,E3116=0),"WARNING - no PRICE inserted",IF(H3116="free"," FREE ~ no charge this plant",IF(H3116="credit",CONCATENATE(" -$",ROUND(K3116*(1-T2GDiscount)*-1,2)," CREDIT after discount"),IF(T2GDiscount=0,"",IF(G3116=0,"",IF(F3116="Buy",CONCATENATE(" $",ROUND(K3116*(1-T2GDiscount),2)," with ",(T2GDiscount*100),"% discount"),CONCATENATE(" $",ROUND(K3116*(1-T2GDiscount),2)," with ",((T2GDiscount*100+F3116*100)-(T2GDiscount*100*F3116)),IF(F3116&gt;0,"% discounts",IF(NoWarrantyDiscount&gt;0,"% discounts","% discount")))))))))</f>
        <v/>
      </c>
      <c r="N3116" s="660"/>
      <c r="O3116" s="233"/>
      <c r="P3116" s="233"/>
      <c r="Q3116" s="233"/>
      <c r="R3116" s="233"/>
      <c r="S3116" s="233"/>
      <c r="T3116" s="508">
        <f t="shared" si="2380"/>
        <v>0</v>
      </c>
      <c r="U3116" s="225">
        <f>IF(NOT(ISNUMBER(G3116)), "", VLOOKUP(A3116,'Discount Lookup'!D:E,2,FALSE)*G3116)</f>
        <v>0</v>
      </c>
      <c r="V3116" s="225">
        <f>IF(NOT(ISNUMBER(G3116)), "", VLOOKUP(A3116,'Discount Lookup'!G:H,2,FALSE)*G3116)</f>
        <v>0</v>
      </c>
      <c r="W3116" s="508">
        <f t="shared" si="2381"/>
        <v>0</v>
      </c>
      <c r="X3116" s="508">
        <f t="shared" si="2382"/>
        <v>0</v>
      </c>
      <c r="Y3116" s="509" t="b">
        <f t="shared" si="2383"/>
        <v>0</v>
      </c>
      <c r="Z3116" s="510">
        <f t="shared" si="2384"/>
        <v>0</v>
      </c>
      <c r="AA3116" s="511"/>
      <c r="AB3116" s="511" t="str">
        <f t="shared" si="2385"/>
        <v/>
      </c>
      <c r="AC3116" s="698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698"/>
      <c r="AE3116" s="631" t="str">
        <f t="shared" si="2386"/>
        <v/>
      </c>
      <c r="AF3116" s="699" t="str">
        <f t="shared" si="2387"/>
        <v/>
      </c>
      <c r="AG3116" s="699"/>
      <c r="AH3116" s="699"/>
      <c r="AI3116" s="512">
        <f>IF(H3116="credit",0,IF(AE3116="free",0,IF(AE3116="me",0,IF(G3116&gt;0,(VLOOKUP(A3116,'Discount Lookup'!J:K,2)*G3116),0))))</f>
        <v>0</v>
      </c>
      <c r="AJ3116" s="513" t="str">
        <f t="shared" ca="1" si="2388"/>
        <v/>
      </c>
      <c r="AK3116" s="700" t="str">
        <f t="shared" si="2389"/>
        <v/>
      </c>
      <c r="AL3116" s="700"/>
      <c r="AM3116" s="505" t="str">
        <f t="shared" si="2390"/>
        <v/>
      </c>
      <c r="AN3116" s="506"/>
      <c r="AO3116" s="507"/>
      <c r="AP3116" s="507"/>
      <c r="AQ3116" s="507"/>
      <c r="AR3116" s="507"/>
      <c r="AS3116" s="507"/>
      <c r="AT3116" s="507"/>
      <c r="AU3116" s="507"/>
      <c r="AV3116" s="225"/>
      <c r="AW3116" s="508"/>
      <c r="AX3116" s="225"/>
      <c r="AY3116" s="225"/>
      <c r="AZ3116" s="225"/>
      <c r="BA3116" s="225"/>
      <c r="BB3116" s="225"/>
      <c r="BC3116" s="56"/>
      <c r="BD3116" s="56"/>
      <c r="BE3116" s="56"/>
      <c r="BF3116" s="107" t="str">
        <f t="shared" si="2391"/>
        <v>https://www.google.com/search?tbm=isch&amp;q=7%20G4</v>
      </c>
      <c r="BG3116" s="107" t="str">
        <f t="shared" si="2392"/>
        <v>R</v>
      </c>
      <c r="BH3116" s="254"/>
      <c r="BI3116" s="254"/>
    </row>
    <row r="3117" spans="1:61" customFormat="1" ht="15.75" x14ac:dyDescent="0.25">
      <c r="A3117" s="276">
        <v>25</v>
      </c>
      <c r="B3117" s="240" t="s">
        <v>291</v>
      </c>
      <c r="C3117" s="241" t="s">
        <v>3731</v>
      </c>
      <c r="D3117" s="242" t="s">
        <v>292</v>
      </c>
      <c r="E3117" s="243">
        <v>339.95</v>
      </c>
      <c r="F3117" s="517" t="s">
        <v>293</v>
      </c>
      <c r="G3117" s="232">
        <v>0</v>
      </c>
      <c r="H3117" s="661" t="str">
        <f>IF(G3117=0,"",IF(F3117="Buy",IF(G3117=1,"plant","plants"),IF(F3117&gt;0.01,"warranty","Error")))</f>
        <v/>
      </c>
      <c r="I3117" s="244">
        <f>IF(H3117="free",0,IF(H3117="credit",((E3117*(F3117))*G3117*-1),IF(F3117="Buy",(E3117*G3117),((E3117*(1-F3117))*G3117))))</f>
        <v>0</v>
      </c>
      <c r="J3117" s="244">
        <f>IF(H3117="warranty",0,(I3117*(_xlfn.SINGLE(SalesTaxPercentage))))</f>
        <v>0</v>
      </c>
      <c r="K3117" s="696">
        <f t="shared" ref="K3117" si="2405">I3117+J3117</f>
        <v>0</v>
      </c>
      <c r="L3117" s="696"/>
      <c r="M3117" s="659" t="str">
        <f>IF(AND(G3117&gt;0,E3117=0),"WARNING - no PRICE inserted",IF(H3117="free"," FREE ~ no charge this plant",IF(H3117="credit",CONCATENATE(" -$",ROUND(K3117*(1-T2GDiscount)*-1,2)," CREDIT after discount"),IF(T2GDiscount=0,"",IF(G3117=0,"",IF(F3117="Buy",CONCATENATE(" $",ROUND(K3117*(1-T2GDiscount),2)," with ",(T2GDiscount*100),"% discount"),CONCATENATE(" $",ROUND(K3117*(1-T2GDiscount),2)," with ",((T2GDiscount*100+F3117*100)-(T2GDiscount*100*F3117)),IF(F3117&gt;0,"% discounts",IF(NoWarrantyDiscount&gt;0,"% discounts","% discount")))))))))</f>
        <v/>
      </c>
      <c r="N3117" s="660"/>
      <c r="O3117" s="233"/>
      <c r="P3117" s="233"/>
      <c r="Q3117" s="233"/>
      <c r="R3117" s="233"/>
      <c r="S3117" s="233"/>
      <c r="T3117" s="508">
        <f t="shared" si="2380"/>
        <v>0</v>
      </c>
      <c r="U3117" s="225">
        <f>IF(NOT(ISNUMBER(G3117)), "", VLOOKUP(A3117,'Discount Lookup'!D:E,2,FALSE)*G3117)</f>
        <v>0</v>
      </c>
      <c r="V3117" s="225">
        <f>IF(NOT(ISNUMBER(G3117)), "", VLOOKUP(A3117,'Discount Lookup'!G:H,2,FALSE)*G3117)</f>
        <v>0</v>
      </c>
      <c r="W3117" s="508">
        <f t="shared" si="2381"/>
        <v>0</v>
      </c>
      <c r="X3117" s="508">
        <f t="shared" si="2382"/>
        <v>0</v>
      </c>
      <c r="Y3117" s="509" t="b">
        <f t="shared" si="2383"/>
        <v>0</v>
      </c>
      <c r="Z3117" s="510">
        <f t="shared" si="2384"/>
        <v>0</v>
      </c>
      <c r="AA3117" s="511"/>
      <c r="AB3117" s="511" t="str">
        <f t="shared" si="2385"/>
        <v/>
      </c>
      <c r="AC3117" s="698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698"/>
      <c r="AE3117" s="631" t="str">
        <f t="shared" si="2386"/>
        <v/>
      </c>
      <c r="AF3117" s="699" t="str">
        <f t="shared" si="2387"/>
        <v/>
      </c>
      <c r="AG3117" s="699"/>
      <c r="AH3117" s="699"/>
      <c r="AI3117" s="512">
        <f>IF(H3117="credit",0,IF(AE3117="free",0,IF(AE3117="me",0,IF(G3117&gt;0,(VLOOKUP(A3117,'Discount Lookup'!J:K,2)*G3117),0))))</f>
        <v>0</v>
      </c>
      <c r="AJ3117" s="513" t="str">
        <f t="shared" ca="1" si="2388"/>
        <v/>
      </c>
      <c r="AK3117" s="700" t="str">
        <f t="shared" si="2389"/>
        <v/>
      </c>
      <c r="AL3117" s="700"/>
      <c r="AM3117" s="505" t="str">
        <f t="shared" si="2390"/>
        <v/>
      </c>
      <c r="AN3117" s="506"/>
      <c r="AO3117" s="507"/>
      <c r="AP3117" s="507"/>
      <c r="AQ3117" s="507"/>
      <c r="AR3117" s="507"/>
      <c r="AS3117" s="507"/>
      <c r="AT3117" s="507"/>
      <c r="AU3117" s="507"/>
      <c r="AV3117" s="225"/>
      <c r="AW3117" s="508"/>
      <c r="AX3117" s="225"/>
      <c r="AY3117" s="225"/>
      <c r="AZ3117" s="225"/>
      <c r="BA3117" s="225"/>
      <c r="BB3117" s="225"/>
      <c r="BC3117" s="56"/>
      <c r="BD3117" s="56"/>
      <c r="BE3117" s="56"/>
      <c r="BF3117" s="107" t="str">
        <f t="shared" si="2391"/>
        <v>https://www.google.com/search?tbm=isch&amp;q=25%20G4</v>
      </c>
      <c r="BG3117" s="107" t="str">
        <f t="shared" si="2392"/>
        <v>R</v>
      </c>
      <c r="BH3117" s="254"/>
      <c r="BI3117" s="254"/>
    </row>
    <row r="3118" spans="1:61" customFormat="1" ht="17.25" thickBot="1" x14ac:dyDescent="0.3">
      <c r="A3118" s="673" t="s">
        <v>5220</v>
      </c>
      <c r="B3118" s="245"/>
      <c r="C3118" s="677"/>
      <c r="D3118" s="499"/>
      <c r="E3118" s="499"/>
      <c r="F3118" s="500"/>
      <c r="G3118" s="501"/>
      <c r="H3118" s="502"/>
      <c r="I3118" s="246"/>
      <c r="J3118" s="247"/>
      <c r="K3118" s="503"/>
      <c r="L3118" s="544"/>
      <c r="M3118" s="544"/>
      <c r="N3118" s="500"/>
      <c r="O3118" s="500"/>
      <c r="P3118" s="500"/>
      <c r="Q3118" s="500"/>
      <c r="R3118" s="500"/>
      <c r="S3118" s="669" t="s">
        <v>4978</v>
      </c>
      <c r="T3118" s="508">
        <f t="shared" si="2380"/>
        <v>0</v>
      </c>
      <c r="U3118" s="225" t="str">
        <f>IF(NOT(ISNUMBER(G3118)), "", VLOOKUP(A3118,'Discount Lookup'!D:E,2,FALSE)*G3118)</f>
        <v/>
      </c>
      <c r="V3118" s="225" t="str">
        <f>IF(NOT(ISNUMBER(G3118)), "", VLOOKUP(A3118,'Discount Lookup'!G:H,2,FALSE)*G3118)</f>
        <v/>
      </c>
      <c r="W3118" s="508">
        <f t="shared" si="2381"/>
        <v>0</v>
      </c>
      <c r="X3118" s="508">
        <f t="shared" si="2382"/>
        <v>0</v>
      </c>
      <c r="Y3118" s="509" t="b">
        <f t="shared" si="2383"/>
        <v>0</v>
      </c>
      <c r="Z3118" s="510">
        <f t="shared" si="2384"/>
        <v>0</v>
      </c>
      <c r="AA3118" s="511"/>
      <c r="AB3118" s="511" t="str">
        <f t="shared" si="2385"/>
        <v/>
      </c>
      <c r="AC3118" s="698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698"/>
      <c r="AE3118" s="631" t="str">
        <f t="shared" si="2386"/>
        <v/>
      </c>
      <c r="AF3118" s="699" t="str">
        <f t="shared" si="2387"/>
        <v/>
      </c>
      <c r="AG3118" s="699"/>
      <c r="AH3118" s="699"/>
      <c r="AI3118" s="512">
        <f>IF(H3118="credit",0,IF(AE3118="free",0,IF(AE3118="me",0,IF(G3118&gt;0,(VLOOKUP(A3118,'Discount Lookup'!J:K,2)*G3118),0))))</f>
        <v>0</v>
      </c>
      <c r="AJ3118" s="513" t="str">
        <f t="shared" ca="1" si="2388"/>
        <v/>
      </c>
      <c r="AK3118" s="700" t="str">
        <f t="shared" si="2389"/>
        <v/>
      </c>
      <c r="AL3118" s="700"/>
      <c r="AM3118" s="505" t="str">
        <f t="shared" si="2390"/>
        <v/>
      </c>
      <c r="AN3118" s="506"/>
      <c r="AO3118" s="507"/>
      <c r="AP3118" s="507"/>
      <c r="AQ3118" s="507"/>
      <c r="AR3118" s="507"/>
      <c r="AS3118" s="507"/>
      <c r="AT3118" s="507"/>
      <c r="AU3118" s="507"/>
      <c r="AV3118" s="225"/>
      <c r="AW3118" s="508"/>
      <c r="AX3118" s="225"/>
      <c r="AY3118" s="225"/>
      <c r="AZ3118" s="225"/>
      <c r="BA3118" s="225"/>
      <c r="BB3118" s="225"/>
      <c r="BC3118" s="56"/>
      <c r="BD3118" s="56"/>
      <c r="BE3118" s="56"/>
      <c r="BF3118" s="107" t="str">
        <f t="shared" si="2391"/>
        <v>https://www.google.com/search?tbm=isch&amp;q=moist%20sites%F0%9F%92%A7GOOD%2C%20Regal%20Prince%20is%20a%20cross%20of%20English%20Oak%20%26%20Swamp%20White%20Oak.%20Strong%20central%20leader.%20Golden%20Bronze%20fall%20foliage%20</v>
      </c>
      <c r="BG3118" s="107" t="str">
        <f t="shared" si="2392"/>
        <v>m</v>
      </c>
      <c r="BH3118" s="254"/>
      <c r="BI3118" s="254"/>
    </row>
    <row r="3119" spans="1:61" customFormat="1" ht="18" x14ac:dyDescent="0.25">
      <c r="A3119" s="523" t="s">
        <v>1630</v>
      </c>
      <c r="B3119" s="235"/>
      <c r="C3119" s="676"/>
      <c r="D3119" s="255" t="s">
        <v>1631</v>
      </c>
      <c r="E3119" s="236"/>
      <c r="F3119" s="236"/>
      <c r="G3119" s="236"/>
      <c r="H3119" s="582" t="s">
        <v>496</v>
      </c>
      <c r="I3119" s="498" t="s">
        <v>2237</v>
      </c>
      <c r="J3119" s="237"/>
      <c r="K3119" s="237"/>
      <c r="L3119" s="274"/>
      <c r="M3119" s="668" t="s">
        <v>4975</v>
      </c>
      <c r="N3119" s="681" t="str">
        <f>IF(AND(ISTEXT($A3119), ISERROR($A3119+0)), HYPERLINK($BF3119, "Images"), "")</f>
        <v>Images</v>
      </c>
      <c r="O3119" s="663" t="s">
        <v>4967</v>
      </c>
      <c r="P3119" s="253"/>
      <c r="Q3119" s="238"/>
      <c r="R3119" s="239"/>
      <c r="S3119" s="275"/>
      <c r="T3119" s="508">
        <f t="shared" si="2380"/>
        <v>0</v>
      </c>
      <c r="U3119" s="225" t="str">
        <f>IF(NOT(ISNUMBER(G3119)), "", VLOOKUP(A3119,'Discount Lookup'!D:E,2,FALSE)*G3119)</f>
        <v/>
      </c>
      <c r="V3119" s="225" t="str">
        <f>IF(NOT(ISNUMBER(G3119)), "", VLOOKUP(A3119,'Discount Lookup'!G:H,2,FALSE)*G3119)</f>
        <v/>
      </c>
      <c r="W3119" s="508">
        <f t="shared" si="2381"/>
        <v>0</v>
      </c>
      <c r="X3119" s="508" t="str">
        <f t="shared" si="2382"/>
        <v>Burgundy-Red foliage</v>
      </c>
      <c r="Y3119" s="509" t="b">
        <f t="shared" si="2383"/>
        <v>0</v>
      </c>
      <c r="Z3119" s="510">
        <f t="shared" si="2384"/>
        <v>0</v>
      </c>
      <c r="AA3119" s="511"/>
      <c r="AB3119" s="511" t="str">
        <f t="shared" si="2385"/>
        <v/>
      </c>
      <c r="AC3119" s="698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698"/>
      <c r="AE3119" s="631" t="str">
        <f t="shared" si="2386"/>
        <v/>
      </c>
      <c r="AF3119" s="699" t="str">
        <f t="shared" si="2387"/>
        <v/>
      </c>
      <c r="AG3119" s="699"/>
      <c r="AH3119" s="699"/>
      <c r="AI3119" s="512">
        <f>IF(H3119="credit",0,IF(AE3119="free",0,IF(AE3119="me",0,IF(G3119&gt;0,(VLOOKUP(A3119,'Discount Lookup'!J:K,2)*G3119),0))))</f>
        <v>0</v>
      </c>
      <c r="AJ3119" s="513" t="str">
        <f t="shared" ca="1" si="2388"/>
        <v/>
      </c>
      <c r="AK3119" s="700" t="str">
        <f t="shared" si="2389"/>
        <v/>
      </c>
      <c r="AL3119" s="700"/>
      <c r="AM3119" s="505" t="str">
        <f t="shared" si="2390"/>
        <v/>
      </c>
      <c r="AN3119" s="506"/>
      <c r="AO3119" s="507"/>
      <c r="AP3119" s="507"/>
      <c r="AQ3119" s="507"/>
      <c r="AR3119" s="507"/>
      <c r="AS3119" s="507"/>
      <c r="AT3119" s="507"/>
      <c r="AU3119" s="507"/>
      <c r="AV3119" s="225"/>
      <c r="AW3119" s="508"/>
      <c r="AX3119" s="225"/>
      <c r="AY3119" s="225"/>
      <c r="AZ3119" s="225"/>
      <c r="BA3119" s="225"/>
      <c r="BB3119" s="225"/>
      <c r="BC3119" s="56"/>
      <c r="BD3119" s="56"/>
      <c r="BE3119" s="56"/>
      <c r="BF3119" s="107" t="str">
        <f t="shared" si="2391"/>
        <v>https://www.google.com/search?tbm=isch&amp;q=Rhode%20Island%20Red%20Japanese%20Maple%20Acer%20palmatum%20%27Rhode%20Island%20Red%27</v>
      </c>
      <c r="BG3119" s="107" t="str">
        <f t="shared" si="2392"/>
        <v>R</v>
      </c>
      <c r="BH3119" s="254"/>
      <c r="BI3119" s="254"/>
    </row>
    <row r="3120" spans="1:61" customFormat="1" ht="15.75" x14ac:dyDescent="0.25">
      <c r="A3120" s="276">
        <v>7</v>
      </c>
      <c r="B3120" s="240" t="s">
        <v>291</v>
      </c>
      <c r="C3120" s="241" t="s">
        <v>3372</v>
      </c>
      <c r="D3120" s="242" t="s">
        <v>292</v>
      </c>
      <c r="E3120" s="243">
        <v>293.95</v>
      </c>
      <c r="F3120" s="517" t="s">
        <v>293</v>
      </c>
      <c r="G3120" s="232">
        <v>0</v>
      </c>
      <c r="H3120" s="661" t="str">
        <f>IF(G3120=0,"",IF(F3120="Buy",IF(G3120=1,"plant","plants"),IF(F3120&gt;0.01,"warranty","Error")))</f>
        <v/>
      </c>
      <c r="I3120" s="244">
        <f>IF(H3120="free",0,IF(H3120="credit",((E3120*(F3120))*G3120*-1),IF(F3120="Buy",(E3120*G3120),((E3120*(1-F3120))*G3120))))</f>
        <v>0</v>
      </c>
      <c r="J3120" s="244">
        <f>IF(H3120="warranty",0,(I3120*(_xlfn.SINGLE(SalesTaxPercentage))))</f>
        <v>0</v>
      </c>
      <c r="K3120" s="696">
        <f t="shared" ref="K3120" si="2406">I3120+J3120</f>
        <v>0</v>
      </c>
      <c r="L3120" s="696"/>
      <c r="M3120" s="659" t="str">
        <f>IF(AND(G3120&gt;0,E3120=0),"WARNING - no PRICE inserted",IF(H3120="free"," FREE ~ no charge this plant",IF(H3120="credit",CONCATENATE(" -$",ROUND(K3120*(1-T2GDiscount)*-1,2)," CREDIT after discount"),IF(T2GDiscount=0,"",IF(G3120=0,"",IF(F3120="Buy",CONCATENATE(" $",ROUND(K3120*(1-T2GDiscount),2)," with ",(T2GDiscount*100),"% discount"),CONCATENATE(" $",ROUND(K3120*(1-T2GDiscount),2)," with ",((T2GDiscount*100+F3120*100)-(T2GDiscount*100*F3120)),IF(F3120&gt;0,"% discounts",IF(NoWarrantyDiscount&gt;0,"% discounts","% discount")))))))))</f>
        <v/>
      </c>
      <c r="N3120" s="660"/>
      <c r="O3120" s="233"/>
      <c r="P3120" s="233"/>
      <c r="Q3120" s="233"/>
      <c r="R3120" s="233"/>
      <c r="S3120" s="233"/>
      <c r="T3120" s="508">
        <f t="shared" si="2380"/>
        <v>0</v>
      </c>
      <c r="U3120" s="225">
        <f>IF(NOT(ISNUMBER(G3120)), "", VLOOKUP(A3120,'Discount Lookup'!D:E,2,FALSE)*G3120)</f>
        <v>0</v>
      </c>
      <c r="V3120" s="225">
        <f>IF(NOT(ISNUMBER(G3120)), "", VLOOKUP(A3120,'Discount Lookup'!G:H,2,FALSE)*G3120)</f>
        <v>0</v>
      </c>
      <c r="W3120" s="508">
        <f t="shared" si="2381"/>
        <v>0</v>
      </c>
      <c r="X3120" s="508">
        <f t="shared" si="2382"/>
        <v>0</v>
      </c>
      <c r="Y3120" s="509" t="b">
        <f t="shared" si="2383"/>
        <v>0</v>
      </c>
      <c r="Z3120" s="510">
        <f t="shared" si="2384"/>
        <v>0</v>
      </c>
      <c r="AA3120" s="511"/>
      <c r="AB3120" s="511" t="str">
        <f t="shared" si="2385"/>
        <v/>
      </c>
      <c r="AC3120" s="698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698"/>
      <c r="AE3120" s="631" t="str">
        <f t="shared" si="2386"/>
        <v/>
      </c>
      <c r="AF3120" s="699" t="str">
        <f t="shared" si="2387"/>
        <v/>
      </c>
      <c r="AG3120" s="699"/>
      <c r="AH3120" s="699"/>
      <c r="AI3120" s="512">
        <f>IF(H3120="credit",0,IF(AE3120="free",0,IF(AE3120="me",0,IF(G3120&gt;0,(VLOOKUP(A3120,'Discount Lookup'!J:K,2)*G3120),0))))</f>
        <v>0</v>
      </c>
      <c r="AJ3120" s="513" t="str">
        <f t="shared" ca="1" si="2388"/>
        <v/>
      </c>
      <c r="AK3120" s="700" t="str">
        <f t="shared" si="2389"/>
        <v/>
      </c>
      <c r="AL3120" s="700"/>
      <c r="AM3120" s="505" t="str">
        <f t="shared" si="2390"/>
        <v/>
      </c>
      <c r="AN3120" s="506"/>
      <c r="AO3120" s="507"/>
      <c r="AP3120" s="507"/>
      <c r="AQ3120" s="507"/>
      <c r="AR3120" s="507"/>
      <c r="AS3120" s="507"/>
      <c r="AT3120" s="507"/>
      <c r="AU3120" s="507"/>
      <c r="AV3120" s="225"/>
      <c r="AW3120" s="508"/>
      <c r="AX3120" s="225"/>
      <c r="AY3120" s="225"/>
      <c r="AZ3120" s="225"/>
      <c r="BA3120" s="225"/>
      <c r="BB3120" s="225"/>
      <c r="BC3120" s="56"/>
      <c r="BD3120" s="56"/>
      <c r="BE3120" s="56"/>
      <c r="BF3120" s="107" t="str">
        <f t="shared" si="2391"/>
        <v>https://www.google.com/search?tbm=isch&amp;q=7%20G4</v>
      </c>
      <c r="BG3120" s="107" t="str">
        <f t="shared" si="2392"/>
        <v>R</v>
      </c>
      <c r="BH3120" s="254"/>
      <c r="BI3120" s="254"/>
    </row>
    <row r="3121" spans="1:61" customFormat="1" ht="27" x14ac:dyDescent="0.25">
      <c r="A3121" s="276">
        <v>10</v>
      </c>
      <c r="B3121" s="240" t="s">
        <v>291</v>
      </c>
      <c r="C3121" s="241" t="s">
        <v>4638</v>
      </c>
      <c r="D3121" s="242" t="s">
        <v>292</v>
      </c>
      <c r="E3121" s="243">
        <v>332.95</v>
      </c>
      <c r="F3121" s="517" t="s">
        <v>293</v>
      </c>
      <c r="G3121" s="232">
        <v>0</v>
      </c>
      <c r="H3121" s="661" t="str">
        <f>IF(G3121=0,"",IF(F3121="Buy",IF(G3121=1,"plant","plants"),IF(F3121&gt;0.01,"warranty","Error")))</f>
        <v/>
      </c>
      <c r="I3121" s="244">
        <f>IF(H3121="free",0,IF(H3121="credit",((E3121*(F3121))*G3121*-1),IF(F3121="Buy",(E3121*G3121),((E3121*(1-F3121))*G3121))))</f>
        <v>0</v>
      </c>
      <c r="J3121" s="244">
        <f>IF(H3121="warranty",0,(I3121*(_xlfn.SINGLE(SalesTaxPercentage))))</f>
        <v>0</v>
      </c>
      <c r="K3121" s="696">
        <f t="shared" ref="K3121" si="2407">I3121+J3121</f>
        <v>0</v>
      </c>
      <c r="L3121" s="696"/>
      <c r="M3121" s="659" t="str">
        <f>IF(AND(G3121&gt;0,E3121=0),"WARNING - no PRICE inserted",IF(H3121="free"," FREE ~ no charge this plant",IF(H3121="credit",CONCATENATE(" -$",ROUND(K3121*(1-T2GDiscount)*-1,2)," CREDIT after discount"),IF(T2GDiscount=0,"",IF(G3121=0,"",IF(F3121="Buy",CONCATENATE(" $",ROUND(K3121*(1-T2GDiscount),2)," with ",(T2GDiscount*100),"% discount"),CONCATENATE(" $",ROUND(K3121*(1-T2GDiscount),2)," with ",((T2GDiscount*100+F3121*100)-(T2GDiscount*100*F3121)),IF(F3121&gt;0,"% discounts",IF(NoWarrantyDiscount&gt;0,"% discounts","% discount")))))))))</f>
        <v/>
      </c>
      <c r="N3121" s="660"/>
      <c r="O3121" s="233"/>
      <c r="P3121" s="233"/>
      <c r="Q3121" s="233"/>
      <c r="R3121" s="233"/>
      <c r="S3121" s="233"/>
      <c r="T3121" s="508">
        <f t="shared" si="2380"/>
        <v>0</v>
      </c>
      <c r="U3121" s="225">
        <f>IF(NOT(ISNUMBER(G3121)), "", VLOOKUP(A3121,'Discount Lookup'!D:E,2,FALSE)*G3121)</f>
        <v>0</v>
      </c>
      <c r="V3121" s="225">
        <f>IF(NOT(ISNUMBER(G3121)), "", VLOOKUP(A3121,'Discount Lookup'!G:H,2,FALSE)*G3121)</f>
        <v>0</v>
      </c>
      <c r="W3121" s="508">
        <f t="shared" si="2381"/>
        <v>0</v>
      </c>
      <c r="X3121" s="508">
        <f t="shared" si="2382"/>
        <v>0</v>
      </c>
      <c r="Y3121" s="509" t="b">
        <f t="shared" si="2383"/>
        <v>0</v>
      </c>
      <c r="Z3121" s="510">
        <f t="shared" si="2384"/>
        <v>0</v>
      </c>
      <c r="AA3121" s="511"/>
      <c r="AB3121" s="511" t="str">
        <f t="shared" si="2385"/>
        <v/>
      </c>
      <c r="AC3121" s="698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698"/>
      <c r="AE3121" s="631" t="str">
        <f t="shared" si="2386"/>
        <v/>
      </c>
      <c r="AF3121" s="699" t="str">
        <f t="shared" si="2387"/>
        <v/>
      </c>
      <c r="AG3121" s="699"/>
      <c r="AH3121" s="699"/>
      <c r="AI3121" s="512">
        <f>IF(H3121="credit",0,IF(AE3121="free",0,IF(AE3121="me",0,IF(G3121&gt;0,(VLOOKUP(A3121,'Discount Lookup'!J:K,2)*G3121),0))))</f>
        <v>0</v>
      </c>
      <c r="AJ3121" s="513" t="str">
        <f t="shared" ca="1" si="2388"/>
        <v/>
      </c>
      <c r="AK3121" s="700" t="str">
        <f t="shared" si="2389"/>
        <v/>
      </c>
      <c r="AL3121" s="700"/>
      <c r="AM3121" s="505" t="str">
        <f t="shared" si="2390"/>
        <v/>
      </c>
      <c r="AN3121" s="506"/>
      <c r="AO3121" s="507"/>
      <c r="AP3121" s="507"/>
      <c r="AQ3121" s="507"/>
      <c r="AR3121" s="507"/>
      <c r="AS3121" s="507"/>
      <c r="AT3121" s="507"/>
      <c r="AU3121" s="507"/>
      <c r="AV3121" s="225"/>
      <c r="AW3121" s="508"/>
      <c r="AX3121" s="225"/>
      <c r="AY3121" s="225"/>
      <c r="AZ3121" s="225"/>
      <c r="BA3121" s="225"/>
      <c r="BB3121" s="225"/>
      <c r="BC3121" s="56"/>
      <c r="BD3121" s="56"/>
      <c r="BE3121" s="56"/>
      <c r="BF3121" s="107" t="str">
        <f t="shared" si="2391"/>
        <v>https://www.google.com/search?tbm=isch&amp;q=10%20G4</v>
      </c>
      <c r="BG3121" s="107" t="str">
        <f t="shared" si="2392"/>
        <v>R</v>
      </c>
      <c r="BH3121" s="254"/>
      <c r="BI3121" s="254"/>
    </row>
    <row r="3122" spans="1:61" customFormat="1" ht="17.25" thickBot="1" x14ac:dyDescent="0.3">
      <c r="A3122" s="524" t="s">
        <v>2461</v>
      </c>
      <c r="B3122" s="245"/>
      <c r="C3122" s="677"/>
      <c r="D3122" s="499"/>
      <c r="E3122" s="499"/>
      <c r="F3122" s="500"/>
      <c r="G3122" s="501"/>
      <c r="H3122" s="502"/>
      <c r="I3122" s="246"/>
      <c r="J3122" s="247"/>
      <c r="K3122" s="503"/>
      <c r="L3122" s="544"/>
      <c r="M3122" s="544"/>
      <c r="N3122" s="500"/>
      <c r="O3122" s="500"/>
      <c r="P3122" s="500"/>
      <c r="Q3122" s="500"/>
      <c r="R3122" s="500"/>
      <c r="S3122" s="278"/>
      <c r="T3122" s="508">
        <f t="shared" si="2380"/>
        <v>0</v>
      </c>
      <c r="U3122" s="225" t="str">
        <f>IF(NOT(ISNUMBER(G3122)), "", VLOOKUP(A3122,'Discount Lookup'!D:E,2,FALSE)*G3122)</f>
        <v/>
      </c>
      <c r="V3122" s="225" t="str">
        <f>IF(NOT(ISNUMBER(G3122)), "", VLOOKUP(A3122,'Discount Lookup'!G:H,2,FALSE)*G3122)</f>
        <v/>
      </c>
      <c r="W3122" s="508">
        <f t="shared" si="2381"/>
        <v>0</v>
      </c>
      <c r="X3122" s="508">
        <f t="shared" si="2382"/>
        <v>0</v>
      </c>
      <c r="Y3122" s="509" t="b">
        <f t="shared" si="2383"/>
        <v>0</v>
      </c>
      <c r="Z3122" s="510">
        <f t="shared" si="2384"/>
        <v>0</v>
      </c>
      <c r="AA3122" s="511"/>
      <c r="AB3122" s="511" t="str">
        <f t="shared" si="2385"/>
        <v/>
      </c>
      <c r="AC3122" s="698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698"/>
      <c r="AE3122" s="631" t="str">
        <f t="shared" si="2386"/>
        <v/>
      </c>
      <c r="AF3122" s="699" t="str">
        <f t="shared" si="2387"/>
        <v/>
      </c>
      <c r="AG3122" s="699"/>
      <c r="AH3122" s="699"/>
      <c r="AI3122" s="512">
        <f>IF(H3122="credit",0,IF(AE3122="free",0,IF(AE3122="me",0,IF(G3122&gt;0,(VLOOKUP(A3122,'Discount Lookup'!J:K,2)*G3122),0))))</f>
        <v>0</v>
      </c>
      <c r="AJ3122" s="513" t="str">
        <f t="shared" ca="1" si="2388"/>
        <v/>
      </c>
      <c r="AK3122" s="700" t="str">
        <f t="shared" si="2389"/>
        <v/>
      </c>
      <c r="AL3122" s="700"/>
      <c r="AM3122" s="505" t="str">
        <f t="shared" si="2390"/>
        <v/>
      </c>
      <c r="AN3122" s="506"/>
      <c r="AO3122" s="507"/>
      <c r="AP3122" s="507"/>
      <c r="AQ3122" s="507"/>
      <c r="AR3122" s="507"/>
      <c r="AS3122" s="507"/>
      <c r="AT3122" s="507"/>
      <c r="AU3122" s="507"/>
      <c r="AV3122" s="225"/>
      <c r="AW3122" s="508"/>
      <c r="AX3122" s="225"/>
      <c r="AY3122" s="225"/>
      <c r="AZ3122" s="225"/>
      <c r="BA3122" s="225"/>
      <c r="BB3122" s="225"/>
      <c r="BC3122" s="56"/>
      <c r="BD3122" s="56"/>
      <c r="BE3122" s="56"/>
      <c r="BF3122" s="107" t="str">
        <f t="shared" si="2391"/>
        <v>https://www.google.com/search?tbm=isch&amp;q=Rhode%20Island%20Red%20known%20for%20intense%20Red%20foliage%20thoughout%20season%2C%20turning%20Scarlet%20in%20fall.%20Named%20after%20the%20Rhode%20Island%20Red%20chicken%20</v>
      </c>
      <c r="BG3122" s="107" t="str">
        <f t="shared" si="2392"/>
        <v>R</v>
      </c>
      <c r="BH3122" s="254"/>
      <c r="BI3122" s="254"/>
    </row>
    <row r="3123" spans="1:61" customFormat="1" ht="18" x14ac:dyDescent="0.25">
      <c r="A3123" s="523" t="s">
        <v>5522</v>
      </c>
      <c r="B3123" s="235"/>
      <c r="C3123" s="676"/>
      <c r="D3123" s="255" t="s">
        <v>4639</v>
      </c>
      <c r="E3123" s="236"/>
      <c r="F3123" s="236"/>
      <c r="G3123" s="236"/>
      <c r="H3123" s="582" t="s">
        <v>357</v>
      </c>
      <c r="I3123" s="498" t="s">
        <v>1522</v>
      </c>
      <c r="J3123" s="237"/>
      <c r="K3123" s="237"/>
      <c r="L3123" s="274"/>
      <c r="M3123" s="668" t="s">
        <v>4975</v>
      </c>
      <c r="N3123" s="681" t="str">
        <f>IF(AND(ISTEXT($A3123), ISERROR($A3123+0)), HYPERLINK($BF3123, "Images"), "")</f>
        <v>Images</v>
      </c>
      <c r="O3123" s="663" t="s">
        <v>4974</v>
      </c>
      <c r="P3123" s="253"/>
      <c r="Q3123" s="238"/>
      <c r="R3123" s="239"/>
      <c r="S3123" s="275" t="s">
        <v>305</v>
      </c>
      <c r="T3123" s="508">
        <f t="shared" si="2380"/>
        <v>0</v>
      </c>
      <c r="U3123" s="225" t="str">
        <f>IF(NOT(ISNUMBER(G3123)), "", VLOOKUP(A3123,'Discount Lookup'!D:E,2,FALSE)*G3123)</f>
        <v/>
      </c>
      <c r="V3123" s="225" t="str">
        <f>IF(NOT(ISNUMBER(G3123)), "", VLOOKUP(A3123,'Discount Lookup'!G:H,2,FALSE)*G3123)</f>
        <v/>
      </c>
      <c r="W3123" s="508">
        <f t="shared" si="2381"/>
        <v>0</v>
      </c>
      <c r="X3123" s="508" t="str">
        <f t="shared" si="2382"/>
        <v>Lavender-Pink bloom</v>
      </c>
      <c r="Y3123" s="509" t="b">
        <f t="shared" si="2383"/>
        <v>0</v>
      </c>
      <c r="Z3123" s="510">
        <f t="shared" si="2384"/>
        <v>0</v>
      </c>
      <c r="AA3123" s="511"/>
      <c r="AB3123" s="511" t="str">
        <f t="shared" si="2385"/>
        <v/>
      </c>
      <c r="AC3123" s="698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698"/>
      <c r="AE3123" s="631" t="str">
        <f t="shared" si="2386"/>
        <v/>
      </c>
      <c r="AF3123" s="699" t="str">
        <f t="shared" si="2387"/>
        <v/>
      </c>
      <c r="AG3123" s="699"/>
      <c r="AH3123" s="699"/>
      <c r="AI3123" s="512">
        <f>IF(H3123="credit",0,IF(AE3123="free",0,IF(AE3123="me",0,IF(G3123&gt;0,(VLOOKUP(A3123,'Discount Lookup'!J:K,2)*G3123),0))))</f>
        <v>0</v>
      </c>
      <c r="AJ3123" s="513" t="str">
        <f t="shared" ca="1" si="2388"/>
        <v/>
      </c>
      <c r="AK3123" s="700" t="str">
        <f t="shared" si="2389"/>
        <v/>
      </c>
      <c r="AL3123" s="700"/>
      <c r="AM3123" s="505" t="str">
        <f t="shared" si="2390"/>
        <v/>
      </c>
      <c r="AN3123" s="506"/>
      <c r="AO3123" s="507"/>
      <c r="AP3123" s="507"/>
      <c r="AQ3123" s="507"/>
      <c r="AR3123" s="507"/>
      <c r="AS3123" s="507"/>
      <c r="AT3123" s="507"/>
      <c r="AU3123" s="507"/>
      <c r="AV3123" s="225"/>
      <c r="AW3123" s="508"/>
      <c r="AX3123" s="225"/>
      <c r="AY3123" s="225"/>
      <c r="AZ3123" s="225"/>
      <c r="BA3123" s="225"/>
      <c r="BB3123" s="225"/>
      <c r="BC3123" s="56"/>
      <c r="BD3123" s="56"/>
      <c r="BE3123" s="56"/>
      <c r="BF3123" s="107" t="str">
        <f t="shared" si="2391"/>
        <v>https://www.google.com/search?tbm=isch&amp;q=Rise%20%26%20Shine%E2%84%A2%20Redbud%20Cercis%20canadensis%20%27JN31%27%20PPAF</v>
      </c>
      <c r="BG3123" s="107" t="str">
        <f t="shared" si="2392"/>
        <v>R</v>
      </c>
      <c r="BH3123" s="254"/>
      <c r="BI3123" s="254"/>
    </row>
    <row r="3124" spans="1:61" customFormat="1" ht="15.75" x14ac:dyDescent="0.25">
      <c r="A3124" s="276">
        <v>10</v>
      </c>
      <c r="B3124" s="240" t="s">
        <v>291</v>
      </c>
      <c r="C3124" s="241" t="s">
        <v>4640</v>
      </c>
      <c r="D3124" s="242" t="s">
        <v>292</v>
      </c>
      <c r="E3124" s="243">
        <v>148.94999999999999</v>
      </c>
      <c r="F3124" s="517" t="s">
        <v>293</v>
      </c>
      <c r="G3124" s="232">
        <v>0</v>
      </c>
      <c r="H3124" s="661" t="str">
        <f>IF(G3124=0,"",IF(F3124="Buy",IF(G3124=1,"plant","plants"),IF(F3124&gt;0.01,"warranty","Error")))</f>
        <v/>
      </c>
      <c r="I3124" s="244">
        <f>IF(H3124="free",0,IF(H3124="credit",((E3124*(F3124))*G3124*-1),IF(F3124="Buy",(E3124*G3124),((E3124*(1-F3124))*G3124))))</f>
        <v>0</v>
      </c>
      <c r="J3124" s="244">
        <f>IF(H3124="warranty",0,(I3124*(_xlfn.SINGLE(SalesTaxPercentage))))</f>
        <v>0</v>
      </c>
      <c r="K3124" s="696">
        <f t="shared" ref="K3124" si="2408">I3124+J3124</f>
        <v>0</v>
      </c>
      <c r="L3124" s="696"/>
      <c r="M3124" s="659" t="str">
        <f>IF(AND(G3124&gt;0,E3124=0),"WARNING - no PRICE inserted",IF(H3124="free"," FREE ~ no charge this plant",IF(H3124="credit",CONCATENATE(" -$",ROUND(K3124*(1-T2GDiscount)*-1,2)," CREDIT after discount"),IF(T2GDiscount=0,"",IF(G3124=0,"",IF(F3124="Buy",CONCATENATE(" $",ROUND(K3124*(1-T2GDiscount),2)," with ",(T2GDiscount*100),"% discount"),CONCATENATE(" $",ROUND(K3124*(1-T2GDiscount),2)," with ",((T2GDiscount*100+F3124*100)-(T2GDiscount*100*F3124)),IF(F3124&gt;0,"% discounts",IF(NoWarrantyDiscount&gt;0,"% discounts","% discount")))))))))</f>
        <v/>
      </c>
      <c r="N3124" s="660"/>
      <c r="O3124" s="233"/>
      <c r="P3124" s="233"/>
      <c r="Q3124" s="233"/>
      <c r="R3124" s="233"/>
      <c r="S3124" s="233"/>
      <c r="T3124" s="508">
        <f t="shared" si="2380"/>
        <v>0</v>
      </c>
      <c r="U3124" s="225">
        <f>IF(NOT(ISNUMBER(G3124)), "", VLOOKUP(A3124,'Discount Lookup'!D:E,2,FALSE)*G3124)</f>
        <v>0</v>
      </c>
      <c r="V3124" s="225">
        <f>IF(NOT(ISNUMBER(G3124)), "", VLOOKUP(A3124,'Discount Lookup'!G:H,2,FALSE)*G3124)</f>
        <v>0</v>
      </c>
      <c r="W3124" s="508">
        <f t="shared" si="2381"/>
        <v>0</v>
      </c>
      <c r="X3124" s="508">
        <f t="shared" si="2382"/>
        <v>0</v>
      </c>
      <c r="Y3124" s="509" t="b">
        <f t="shared" si="2383"/>
        <v>0</v>
      </c>
      <c r="Z3124" s="510">
        <f t="shared" si="2384"/>
        <v>0</v>
      </c>
      <c r="AA3124" s="511"/>
      <c r="AB3124" s="511" t="str">
        <f t="shared" si="2385"/>
        <v/>
      </c>
      <c r="AC3124" s="698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698"/>
      <c r="AE3124" s="631" t="str">
        <f t="shared" si="2386"/>
        <v/>
      </c>
      <c r="AF3124" s="699" t="str">
        <f t="shared" si="2387"/>
        <v/>
      </c>
      <c r="AG3124" s="699"/>
      <c r="AH3124" s="699"/>
      <c r="AI3124" s="512">
        <f>IF(H3124="credit",0,IF(AE3124="free",0,IF(AE3124="me",0,IF(G3124&gt;0,(VLOOKUP(A3124,'Discount Lookup'!J:K,2)*G3124),0))))</f>
        <v>0</v>
      </c>
      <c r="AJ3124" s="513" t="str">
        <f t="shared" ca="1" si="2388"/>
        <v/>
      </c>
      <c r="AK3124" s="700" t="str">
        <f t="shared" si="2389"/>
        <v/>
      </c>
      <c r="AL3124" s="700"/>
      <c r="AM3124" s="505" t="str">
        <f t="shared" si="2390"/>
        <v/>
      </c>
      <c r="AN3124" s="506"/>
      <c r="AO3124" s="507"/>
      <c r="AP3124" s="507"/>
      <c r="AQ3124" s="507"/>
      <c r="AR3124" s="507"/>
      <c r="AS3124" s="507"/>
      <c r="AT3124" s="507"/>
      <c r="AU3124" s="507"/>
      <c r="AV3124" s="225"/>
      <c r="AW3124" s="508"/>
      <c r="AX3124" s="225"/>
      <c r="AY3124" s="225"/>
      <c r="AZ3124" s="225"/>
      <c r="BA3124" s="225"/>
      <c r="BB3124" s="225"/>
      <c r="BC3124" s="56"/>
      <c r="BD3124" s="56"/>
      <c r="BE3124" s="56"/>
      <c r="BF3124" s="107" t="str">
        <f t="shared" si="2391"/>
        <v>https://www.google.com/search?tbm=isch&amp;q=10%20G4</v>
      </c>
      <c r="BG3124" s="107" t="str">
        <f t="shared" si="2392"/>
        <v>R</v>
      </c>
      <c r="BH3124" s="254"/>
      <c r="BI3124" s="254"/>
    </row>
    <row r="3125" spans="1:61" customFormat="1" ht="17.25" thickBot="1" x14ac:dyDescent="0.3">
      <c r="A3125" s="524" t="s">
        <v>4641</v>
      </c>
      <c r="B3125" s="245"/>
      <c r="C3125" s="677"/>
      <c r="D3125" s="499"/>
      <c r="E3125" s="499"/>
      <c r="F3125" s="500"/>
      <c r="G3125" s="501"/>
      <c r="H3125" s="502"/>
      <c r="I3125" s="246"/>
      <c r="J3125" s="247"/>
      <c r="K3125" s="503"/>
      <c r="L3125" s="544"/>
      <c r="M3125" s="544"/>
      <c r="N3125" s="500"/>
      <c r="O3125" s="500"/>
      <c r="P3125" s="500"/>
      <c r="Q3125" s="500"/>
      <c r="R3125" s="500"/>
      <c r="S3125" s="669" t="s">
        <v>4976</v>
      </c>
      <c r="T3125" s="508">
        <f t="shared" si="2380"/>
        <v>0</v>
      </c>
      <c r="U3125" s="225" t="str">
        <f>IF(NOT(ISNUMBER(G3125)), "", VLOOKUP(A3125,'Discount Lookup'!D:E,2,FALSE)*G3125)</f>
        <v/>
      </c>
      <c r="V3125" s="225" t="str">
        <f>IF(NOT(ISNUMBER(G3125)), "", VLOOKUP(A3125,'Discount Lookup'!G:H,2,FALSE)*G3125)</f>
        <v/>
      </c>
      <c r="W3125" s="508">
        <f t="shared" si="2381"/>
        <v>0</v>
      </c>
      <c r="X3125" s="508">
        <f t="shared" si="2382"/>
        <v>0</v>
      </c>
      <c r="Y3125" s="509" t="b">
        <f t="shared" si="2383"/>
        <v>0</v>
      </c>
      <c r="Z3125" s="510">
        <f t="shared" si="2384"/>
        <v>0</v>
      </c>
      <c r="AA3125" s="511"/>
      <c r="AB3125" s="511" t="str">
        <f t="shared" si="2385"/>
        <v/>
      </c>
      <c r="AC3125" s="698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698"/>
      <c r="AE3125" s="631" t="str">
        <f t="shared" si="2386"/>
        <v/>
      </c>
      <c r="AF3125" s="699" t="str">
        <f t="shared" si="2387"/>
        <v/>
      </c>
      <c r="AG3125" s="699"/>
      <c r="AH3125" s="699"/>
      <c r="AI3125" s="512">
        <f>IF(H3125="credit",0,IF(AE3125="free",0,IF(AE3125="me",0,IF(G3125&gt;0,(VLOOKUP(A3125,'Discount Lookup'!J:K,2)*G3125),0))))</f>
        <v>0</v>
      </c>
      <c r="AJ3125" s="513" t="str">
        <f t="shared" ca="1" si="2388"/>
        <v/>
      </c>
      <c r="AK3125" s="700" t="str">
        <f t="shared" si="2389"/>
        <v/>
      </c>
      <c r="AL3125" s="700"/>
      <c r="AM3125" s="505" t="str">
        <f t="shared" si="2390"/>
        <v/>
      </c>
      <c r="AN3125" s="506"/>
      <c r="AO3125" s="507"/>
      <c r="AP3125" s="507"/>
      <c r="AQ3125" s="507"/>
      <c r="AR3125" s="507"/>
      <c r="AS3125" s="507"/>
      <c r="AT3125" s="507"/>
      <c r="AU3125" s="507"/>
      <c r="AV3125" s="225"/>
      <c r="AW3125" s="508"/>
      <c r="AX3125" s="225"/>
      <c r="AY3125" s="225"/>
      <c r="AZ3125" s="225"/>
      <c r="BA3125" s="225"/>
      <c r="BB3125" s="225"/>
      <c r="BC3125" s="56"/>
      <c r="BD3125" s="56"/>
      <c r="BE3125" s="56"/>
      <c r="BF3125" s="107" t="str">
        <f t="shared" si="2391"/>
        <v>https://www.google.com/search?tbm=isch&amp;q=Rise%20%26%20Shine%20has%20Apricot-to-Gold%20heart-shaped%20leaves%20that%20mature%20to%20Chartreuse%2C%20then%20Blaze%20Orange%20in%20fall%20</v>
      </c>
      <c r="BG3125" s="107" t="str">
        <f t="shared" si="2392"/>
        <v>R</v>
      </c>
      <c r="BH3125" s="254"/>
      <c r="BI3125" s="254"/>
    </row>
    <row r="3126" spans="1:61" customFormat="1" ht="18" x14ac:dyDescent="0.25">
      <c r="A3126" s="523" t="s">
        <v>1632</v>
      </c>
      <c r="B3126" s="235"/>
      <c r="C3126" s="676"/>
      <c r="D3126" s="255" t="s">
        <v>1633</v>
      </c>
      <c r="E3126" s="236"/>
      <c r="F3126" s="236"/>
      <c r="G3126" s="236"/>
      <c r="H3126" s="582" t="s">
        <v>321</v>
      </c>
      <c r="I3126" s="498" t="s">
        <v>2109</v>
      </c>
      <c r="J3126" s="237"/>
      <c r="K3126" s="237"/>
      <c r="L3126" s="274"/>
      <c r="M3126" s="670" t="s">
        <v>4973</v>
      </c>
      <c r="N3126" s="681" t="str">
        <f>IF(AND(ISTEXT($A3126), ISERROR($A3126+0)), HYPERLINK($BF3126, "Images"), "")</f>
        <v>Images</v>
      </c>
      <c r="O3126" s="663" t="s">
        <v>4967</v>
      </c>
      <c r="P3126" s="253"/>
      <c r="Q3126" s="238"/>
      <c r="R3126" s="239"/>
      <c r="S3126" s="275"/>
      <c r="T3126" s="508">
        <f t="shared" si="2380"/>
        <v>0</v>
      </c>
      <c r="U3126" s="225" t="str">
        <f>IF(NOT(ISNUMBER(G3126)), "", VLOOKUP(A3126,'Discount Lookup'!D:E,2,FALSE)*G3126)</f>
        <v/>
      </c>
      <c r="V3126" s="225" t="str">
        <f>IF(NOT(ISNUMBER(G3126)), "", VLOOKUP(A3126,'Discount Lookup'!G:H,2,FALSE)*G3126)</f>
        <v/>
      </c>
      <c r="W3126" s="508">
        <f t="shared" si="2381"/>
        <v>0</v>
      </c>
      <c r="X3126" s="508" t="str">
        <f t="shared" si="2382"/>
        <v>Green foliage</v>
      </c>
      <c r="Y3126" s="509" t="b">
        <f t="shared" si="2383"/>
        <v>0</v>
      </c>
      <c r="Z3126" s="510">
        <f t="shared" si="2384"/>
        <v>0</v>
      </c>
      <c r="AA3126" s="511"/>
      <c r="AB3126" s="511" t="str">
        <f t="shared" si="2385"/>
        <v/>
      </c>
      <c r="AC3126" s="698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698"/>
      <c r="AE3126" s="631" t="str">
        <f t="shared" si="2386"/>
        <v/>
      </c>
      <c r="AF3126" s="699" t="str">
        <f t="shared" si="2387"/>
        <v/>
      </c>
      <c r="AG3126" s="699"/>
      <c r="AH3126" s="699"/>
      <c r="AI3126" s="512">
        <f>IF(H3126="credit",0,IF(AE3126="free",0,IF(AE3126="me",0,IF(G3126&gt;0,(VLOOKUP(A3126,'Discount Lookup'!J:K,2)*G3126),0))))</f>
        <v>0</v>
      </c>
      <c r="AJ3126" s="513" t="str">
        <f t="shared" ca="1" si="2388"/>
        <v/>
      </c>
      <c r="AK3126" s="700" t="str">
        <f t="shared" si="2389"/>
        <v/>
      </c>
      <c r="AL3126" s="700"/>
      <c r="AM3126" s="505" t="str">
        <f t="shared" si="2390"/>
        <v/>
      </c>
      <c r="AN3126" s="506"/>
      <c r="AO3126" s="507"/>
      <c r="AP3126" s="507"/>
      <c r="AQ3126" s="507"/>
      <c r="AR3126" s="507"/>
      <c r="AS3126" s="507"/>
      <c r="AT3126" s="507"/>
      <c r="AU3126" s="507"/>
      <c r="AV3126" s="225"/>
      <c r="AW3126" s="508"/>
      <c r="AX3126" s="225"/>
      <c r="AY3126" s="225"/>
      <c r="AZ3126" s="225"/>
      <c r="BA3126" s="225"/>
      <c r="BB3126" s="225"/>
      <c r="BC3126" s="56"/>
      <c r="BD3126" s="56"/>
      <c r="BE3126" s="56"/>
      <c r="BF3126" s="107" t="str">
        <f t="shared" si="2391"/>
        <v>https://www.google.com/search?tbm=isch&amp;q=Rising%20Sun%20Japanese%20Maple%20Acer%20japonicum%20%27Rising%20Sun%27</v>
      </c>
      <c r="BG3126" s="107" t="str">
        <f t="shared" si="2392"/>
        <v>R</v>
      </c>
      <c r="BH3126" s="254"/>
      <c r="BI3126" s="254"/>
    </row>
    <row r="3127" spans="1:61" customFormat="1" ht="15.75" x14ac:dyDescent="0.25">
      <c r="A3127" s="276">
        <v>15</v>
      </c>
      <c r="B3127" s="240" t="s">
        <v>291</v>
      </c>
      <c r="C3127" s="241" t="s">
        <v>3732</v>
      </c>
      <c r="D3127" s="242" t="s">
        <v>292</v>
      </c>
      <c r="E3127" s="243">
        <v>424.95</v>
      </c>
      <c r="F3127" s="517" t="s">
        <v>293</v>
      </c>
      <c r="G3127" s="232">
        <v>0</v>
      </c>
      <c r="H3127" s="661" t="str">
        <f>IF(G3127=0,"",IF(F3127="Buy",IF(G3127=1,"plant","plants"),IF(F3127&gt;0.01,"warranty","Error")))</f>
        <v/>
      </c>
      <c r="I3127" s="244">
        <f>IF(H3127="free",0,IF(H3127="credit",((E3127*(F3127))*G3127*-1),IF(F3127="Buy",(E3127*G3127),((E3127*(1-F3127))*G3127))))</f>
        <v>0</v>
      </c>
      <c r="J3127" s="244">
        <f>IF(H3127="warranty",0,(I3127*(_xlfn.SINGLE(SalesTaxPercentage))))</f>
        <v>0</v>
      </c>
      <c r="K3127" s="696">
        <f t="shared" ref="K3127" si="2409">I3127+J3127</f>
        <v>0</v>
      </c>
      <c r="L3127" s="696"/>
      <c r="M3127" s="659" t="str">
        <f>IF(AND(G3127&gt;0,E3127=0),"WARNING - no PRICE inserted",IF(H3127="free"," FREE ~ no charge this plant",IF(H3127="credit",CONCATENATE(" -$",ROUND(K3127*(1-T2GDiscount)*-1,2)," CREDIT after discount"),IF(T2GDiscount=0,"",IF(G3127=0,"",IF(F3127="Buy",CONCATENATE(" $",ROUND(K3127*(1-T2GDiscount),2)," with ",(T2GDiscount*100),"% discount"),CONCATENATE(" $",ROUND(K3127*(1-T2GDiscount),2)," with ",((T2GDiscount*100+F3127*100)-(T2GDiscount*100*F3127)),IF(F3127&gt;0,"% discounts",IF(NoWarrantyDiscount&gt;0,"% discounts","% discount")))))))))</f>
        <v/>
      </c>
      <c r="N3127" s="660"/>
      <c r="O3127" s="233"/>
      <c r="P3127" s="233"/>
      <c r="Q3127" s="233"/>
      <c r="R3127" s="233"/>
      <c r="S3127" s="233"/>
      <c r="T3127" s="508">
        <f t="shared" si="2380"/>
        <v>0</v>
      </c>
      <c r="U3127" s="225">
        <f>IF(NOT(ISNUMBER(G3127)), "", VLOOKUP(A3127,'Discount Lookup'!D:E,2,FALSE)*G3127)</f>
        <v>0</v>
      </c>
      <c r="V3127" s="225">
        <f>IF(NOT(ISNUMBER(G3127)), "", VLOOKUP(A3127,'Discount Lookup'!G:H,2,FALSE)*G3127)</f>
        <v>0</v>
      </c>
      <c r="W3127" s="508">
        <f t="shared" si="2381"/>
        <v>0</v>
      </c>
      <c r="X3127" s="508">
        <f t="shared" si="2382"/>
        <v>0</v>
      </c>
      <c r="Y3127" s="509" t="b">
        <f t="shared" si="2383"/>
        <v>0</v>
      </c>
      <c r="Z3127" s="510">
        <f t="shared" si="2384"/>
        <v>0</v>
      </c>
      <c r="AA3127" s="511"/>
      <c r="AB3127" s="511" t="str">
        <f t="shared" si="2385"/>
        <v/>
      </c>
      <c r="AC3127" s="698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698"/>
      <c r="AE3127" s="631" t="str">
        <f t="shared" si="2386"/>
        <v/>
      </c>
      <c r="AF3127" s="699" t="str">
        <f t="shared" si="2387"/>
        <v/>
      </c>
      <c r="AG3127" s="699"/>
      <c r="AH3127" s="699"/>
      <c r="AI3127" s="512">
        <f>IF(H3127="credit",0,IF(AE3127="free",0,IF(AE3127="me",0,IF(G3127&gt;0,(VLOOKUP(A3127,'Discount Lookup'!J:K,2)*G3127),0))))</f>
        <v>0</v>
      </c>
      <c r="AJ3127" s="513" t="str">
        <f t="shared" ca="1" si="2388"/>
        <v/>
      </c>
      <c r="AK3127" s="700" t="str">
        <f t="shared" si="2389"/>
        <v/>
      </c>
      <c r="AL3127" s="700"/>
      <c r="AM3127" s="505" t="str">
        <f t="shared" si="2390"/>
        <v/>
      </c>
      <c r="AN3127" s="506"/>
      <c r="AO3127" s="507"/>
      <c r="AP3127" s="507"/>
      <c r="AQ3127" s="507"/>
      <c r="AR3127" s="507"/>
      <c r="AS3127" s="507"/>
      <c r="AT3127" s="507"/>
      <c r="AU3127" s="507"/>
      <c r="AV3127" s="225"/>
      <c r="AW3127" s="508"/>
      <c r="AX3127" s="225"/>
      <c r="AY3127" s="225"/>
      <c r="AZ3127" s="225"/>
      <c r="BA3127" s="225"/>
      <c r="BB3127" s="225"/>
      <c r="BC3127" s="56"/>
      <c r="BD3127" s="56"/>
      <c r="BE3127" s="56"/>
      <c r="BF3127" s="107" t="str">
        <f t="shared" si="2391"/>
        <v>https://www.google.com/search?tbm=isch&amp;q=15%20G4</v>
      </c>
      <c r="BG3127" s="107" t="str">
        <f t="shared" si="2392"/>
        <v>R</v>
      </c>
      <c r="BH3127" s="254"/>
      <c r="BI3127" s="254"/>
    </row>
    <row r="3128" spans="1:61" customFormat="1" ht="17.25" thickBot="1" x14ac:dyDescent="0.3">
      <c r="A3128" s="524" t="s">
        <v>2462</v>
      </c>
      <c r="B3128" s="245"/>
      <c r="C3128" s="677"/>
      <c r="D3128" s="499"/>
      <c r="E3128" s="499"/>
      <c r="F3128" s="500"/>
      <c r="G3128" s="501"/>
      <c r="H3128" s="502"/>
      <c r="I3128" s="246"/>
      <c r="J3128" s="247"/>
      <c r="K3128" s="503"/>
      <c r="L3128" s="544"/>
      <c r="M3128" s="544"/>
      <c r="N3128" s="500"/>
      <c r="O3128" s="500"/>
      <c r="P3128" s="500"/>
      <c r="Q3128" s="500"/>
      <c r="R3128" s="500"/>
      <c r="S3128" s="278"/>
      <c r="T3128" s="508">
        <f t="shared" si="2380"/>
        <v>0</v>
      </c>
      <c r="U3128" s="225" t="str">
        <f>IF(NOT(ISNUMBER(G3128)), "", VLOOKUP(A3128,'Discount Lookup'!D:E,2,FALSE)*G3128)</f>
        <v/>
      </c>
      <c r="V3128" s="225" t="str">
        <f>IF(NOT(ISNUMBER(G3128)), "", VLOOKUP(A3128,'Discount Lookup'!G:H,2,FALSE)*G3128)</f>
        <v/>
      </c>
      <c r="W3128" s="508">
        <f t="shared" si="2381"/>
        <v>0</v>
      </c>
      <c r="X3128" s="508">
        <f t="shared" si="2382"/>
        <v>0</v>
      </c>
      <c r="Y3128" s="509" t="b">
        <f t="shared" si="2383"/>
        <v>0</v>
      </c>
      <c r="Z3128" s="510">
        <f t="shared" si="2384"/>
        <v>0</v>
      </c>
      <c r="AA3128" s="511"/>
      <c r="AB3128" s="511" t="str">
        <f t="shared" si="2385"/>
        <v/>
      </c>
      <c r="AC3128" s="698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698"/>
      <c r="AE3128" s="631" t="str">
        <f t="shared" si="2386"/>
        <v/>
      </c>
      <c r="AF3128" s="699" t="str">
        <f t="shared" si="2387"/>
        <v/>
      </c>
      <c r="AG3128" s="699"/>
      <c r="AH3128" s="699"/>
      <c r="AI3128" s="512">
        <f>IF(H3128="credit",0,IF(AE3128="free",0,IF(AE3128="me",0,IF(G3128&gt;0,(VLOOKUP(A3128,'Discount Lookup'!J:K,2)*G3128),0))))</f>
        <v>0</v>
      </c>
      <c r="AJ3128" s="513" t="str">
        <f t="shared" ca="1" si="2388"/>
        <v/>
      </c>
      <c r="AK3128" s="700" t="str">
        <f t="shared" si="2389"/>
        <v/>
      </c>
      <c r="AL3128" s="700"/>
      <c r="AM3128" s="505" t="str">
        <f t="shared" si="2390"/>
        <v/>
      </c>
      <c r="AN3128" s="506"/>
      <c r="AO3128" s="507"/>
      <c r="AP3128" s="507"/>
      <c r="AQ3128" s="507"/>
      <c r="AR3128" s="507"/>
      <c r="AS3128" s="507"/>
      <c r="AT3128" s="507"/>
      <c r="AU3128" s="507"/>
      <c r="AV3128" s="225"/>
      <c r="AW3128" s="508"/>
      <c r="AX3128" s="225"/>
      <c r="AY3128" s="225"/>
      <c r="AZ3128" s="225"/>
      <c r="BA3128" s="225"/>
      <c r="BB3128" s="225"/>
      <c r="BC3128" s="56"/>
      <c r="BD3128" s="56"/>
      <c r="BE3128" s="56"/>
      <c r="BF3128" s="107" t="str">
        <f t="shared" si="2391"/>
        <v>https://www.google.com/search?tbm=isch&amp;q=Rising%20Sun%20foliage%20emerges%20a%20vibrant%20chartreuse%20with%20Orange-Red%20margins%2C%20then%20Green%2C%20then%20vibrant%20Orange-Red-Yellow%20fall%20</v>
      </c>
      <c r="BG3128" s="107" t="str">
        <f t="shared" si="2392"/>
        <v>R</v>
      </c>
      <c r="BH3128" s="254"/>
      <c r="BI3128" s="254"/>
    </row>
    <row r="3129" spans="1:61" customFormat="1" ht="18" x14ac:dyDescent="0.25">
      <c r="A3129" s="521" t="s">
        <v>5523</v>
      </c>
      <c r="B3129" s="477"/>
      <c r="C3129" s="674"/>
      <c r="D3129" s="478" t="s">
        <v>1634</v>
      </c>
      <c r="E3129" s="479"/>
      <c r="F3129" s="479"/>
      <c r="G3129" s="479"/>
      <c r="H3129" s="582" t="s">
        <v>407</v>
      </c>
      <c r="I3129" s="480" t="s">
        <v>2093</v>
      </c>
      <c r="J3129" s="479"/>
      <c r="K3129" s="479"/>
      <c r="L3129" s="560"/>
      <c r="M3129" s="666" t="s">
        <v>4966</v>
      </c>
      <c r="N3129" s="680" t="str">
        <f>IF(AND(ISTEXT($A3129), ISERROR($A3129+0)), HYPERLINK($BF3129, "Images"), "")</f>
        <v>Images</v>
      </c>
      <c r="O3129" s="662" t="s">
        <v>5001</v>
      </c>
      <c r="P3129" s="482"/>
      <c r="Q3129" s="483"/>
      <c r="R3129" s="483"/>
      <c r="S3129" s="484"/>
      <c r="T3129" s="508">
        <f t="shared" si="2380"/>
        <v>0</v>
      </c>
      <c r="U3129" s="225" t="str">
        <f>IF(NOT(ISNUMBER(G3129)), "", VLOOKUP(A3129,'Discount Lookup'!D:E,2,FALSE)*G3129)</f>
        <v/>
      </c>
      <c r="V3129" s="225" t="str">
        <f>IF(NOT(ISNUMBER(G3129)), "", VLOOKUP(A3129,'Discount Lookup'!G:H,2,FALSE)*G3129)</f>
        <v/>
      </c>
      <c r="W3129" s="508">
        <f t="shared" si="2381"/>
        <v>0</v>
      </c>
      <c r="X3129" s="508" t="str">
        <f t="shared" si="2382"/>
        <v>Dark Green foliage</v>
      </c>
      <c r="Y3129" s="509" t="b">
        <f t="shared" si="2383"/>
        <v>0</v>
      </c>
      <c r="Z3129" s="510">
        <f t="shared" si="2384"/>
        <v>0</v>
      </c>
      <c r="AA3129" s="511"/>
      <c r="AB3129" s="511" t="str">
        <f t="shared" si="2385"/>
        <v/>
      </c>
      <c r="AC3129" s="698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698"/>
      <c r="AE3129" s="631" t="str">
        <f t="shared" si="2386"/>
        <v/>
      </c>
      <c r="AF3129" s="699" t="str">
        <f t="shared" si="2387"/>
        <v/>
      </c>
      <c r="AG3129" s="699"/>
      <c r="AH3129" s="699"/>
      <c r="AI3129" s="512">
        <f>IF(H3129="credit",0,IF(AE3129="free",0,IF(AE3129="me",0,IF(G3129&gt;0,(VLOOKUP(A3129,'Discount Lookup'!J:K,2)*G3129),0))))</f>
        <v>0</v>
      </c>
      <c r="AJ3129" s="513" t="str">
        <f t="shared" ca="1" si="2388"/>
        <v/>
      </c>
      <c r="AK3129" s="700" t="str">
        <f t="shared" si="2389"/>
        <v/>
      </c>
      <c r="AL3129" s="700"/>
      <c r="AM3129" s="505" t="str">
        <f t="shared" si="2390"/>
        <v/>
      </c>
      <c r="AN3129" s="506"/>
      <c r="AO3129" s="507"/>
      <c r="AP3129" s="507"/>
      <c r="AQ3129" s="507"/>
      <c r="AR3129" s="507"/>
      <c r="AS3129" s="507"/>
      <c r="AT3129" s="507"/>
      <c r="AU3129" s="507"/>
      <c r="AV3129" s="225"/>
      <c r="AW3129" s="508"/>
      <c r="AX3129" s="225"/>
      <c r="AY3129" s="225"/>
      <c r="AZ3129" s="225"/>
      <c r="BA3129" s="225"/>
      <c r="BB3129" s="225"/>
      <c r="BC3129" s="56"/>
      <c r="BD3129" s="56"/>
      <c r="BE3129" s="56"/>
      <c r="BF3129" s="107" t="str">
        <f t="shared" si="2391"/>
        <v>https://www.google.com/search?tbm=isch&amp;q=Robin%E2%84%A2%20Holly%20Ilex%20%27Conin%27%20PP%239486Exp.</v>
      </c>
      <c r="BG3129" s="107" t="str">
        <f t="shared" si="2392"/>
        <v>R</v>
      </c>
      <c r="BH3129" s="254"/>
      <c r="BI3129" s="254"/>
    </row>
    <row r="3130" spans="1:61" customFormat="1" ht="15.75" x14ac:dyDescent="0.25">
      <c r="A3130" s="485">
        <v>7</v>
      </c>
      <c r="B3130" s="486" t="s">
        <v>291</v>
      </c>
      <c r="C3130" s="487" t="s">
        <v>4807</v>
      </c>
      <c r="D3130" s="488" t="s">
        <v>299</v>
      </c>
      <c r="E3130" s="489">
        <v>102.95</v>
      </c>
      <c r="F3130" s="516" t="s">
        <v>293</v>
      </c>
      <c r="G3130" s="232">
        <v>0</v>
      </c>
      <c r="H3130" s="658" t="str">
        <f>IF(G3130=0,"",IF(F3130="Buy",IF(G3130=1,"plant","plants"),IF(F3130&gt;0.01,"warranty","Error")))</f>
        <v/>
      </c>
      <c r="I3130" s="490">
        <f>IF(H3130="free",0,IF(H3130="credit",((E3130*(F3130))*G3130*-1),IF(F3130="Buy",(E3130*G3130),((E3130*(1-F3130))*G3130))))</f>
        <v>0</v>
      </c>
      <c r="J3130" s="490">
        <f>IF(H3130="warranty",0,(I3130*(_xlfn.SINGLE(SalesTaxPercentage))))</f>
        <v>0</v>
      </c>
      <c r="K3130" s="695">
        <f t="shared" ref="K3130" si="2410">I3130+J3130</f>
        <v>0</v>
      </c>
      <c r="L3130" s="695"/>
      <c r="M3130" s="659" t="str">
        <f>IF(AND(G3130&gt;0,E3130=0),"WARNING - no PRICE inserted",IF(H3130="free"," FREE ~ no charge this plant",IF(H3130="credit",CONCATENATE(" -$",ROUND(K3130*(1-T2GDiscount)*-1,2)," CREDIT after discount"),IF(T2GDiscount=0,"",IF(G3130=0,"",IF(F3130="Buy",CONCATENATE(" $",ROUND(K3130*(1-T2GDiscount),2)," with ",(T2GDiscount*100),"% discount"),CONCATENATE(" $",ROUND(K3130*(1-T2GDiscount),2)," with ",((T2GDiscount*100+F3130*100)-(T2GDiscount*100*F3130)),IF(F3130&gt;0,"% discounts",IF(NoWarrantyDiscount&gt;0,"% discounts","% discount")))))))))</f>
        <v/>
      </c>
      <c r="N3130" s="660"/>
      <c r="O3130" s="233"/>
      <c r="P3130" s="233"/>
      <c r="Q3130" s="233"/>
      <c r="R3130" s="233"/>
      <c r="S3130" s="233"/>
      <c r="T3130" s="508">
        <f t="shared" si="2380"/>
        <v>0</v>
      </c>
      <c r="U3130" s="225">
        <f>IF(NOT(ISNUMBER(G3130)), "", VLOOKUP(A3130,'Discount Lookup'!D:E,2,FALSE)*G3130)</f>
        <v>0</v>
      </c>
      <c r="V3130" s="225">
        <f>IF(NOT(ISNUMBER(G3130)), "", VLOOKUP(A3130,'Discount Lookup'!G:H,2,FALSE)*G3130)</f>
        <v>0</v>
      </c>
      <c r="W3130" s="508">
        <f t="shared" si="2381"/>
        <v>0</v>
      </c>
      <c r="X3130" s="508">
        <f t="shared" si="2382"/>
        <v>0</v>
      </c>
      <c r="Y3130" s="509" t="b">
        <f t="shared" si="2383"/>
        <v>0</v>
      </c>
      <c r="Z3130" s="510">
        <f t="shared" si="2384"/>
        <v>0</v>
      </c>
      <c r="AA3130" s="511"/>
      <c r="AB3130" s="511" t="str">
        <f t="shared" si="2385"/>
        <v/>
      </c>
      <c r="AC3130" s="698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698"/>
      <c r="AE3130" s="631" t="str">
        <f t="shared" si="2386"/>
        <v/>
      </c>
      <c r="AF3130" s="699" t="str">
        <f t="shared" si="2387"/>
        <v/>
      </c>
      <c r="AG3130" s="699"/>
      <c r="AH3130" s="699"/>
      <c r="AI3130" s="512">
        <f>IF(H3130="credit",0,IF(AE3130="free",0,IF(AE3130="me",0,IF(G3130&gt;0,(VLOOKUP(A3130,'Discount Lookup'!J:K,2)*G3130),0))))</f>
        <v>0</v>
      </c>
      <c r="AJ3130" s="513" t="str">
        <f t="shared" ca="1" si="2388"/>
        <v/>
      </c>
      <c r="AK3130" s="700" t="str">
        <f t="shared" si="2389"/>
        <v/>
      </c>
      <c r="AL3130" s="700"/>
      <c r="AM3130" s="505" t="str">
        <f t="shared" si="2390"/>
        <v/>
      </c>
      <c r="AN3130" s="506"/>
      <c r="AO3130" s="507"/>
      <c r="AP3130" s="507"/>
      <c r="AQ3130" s="507"/>
      <c r="AR3130" s="507"/>
      <c r="AS3130" s="507"/>
      <c r="AT3130" s="507"/>
      <c r="AU3130" s="507"/>
      <c r="AV3130" s="225"/>
      <c r="AW3130" s="508"/>
      <c r="AX3130" s="225"/>
      <c r="AY3130" s="225"/>
      <c r="AZ3130" s="225"/>
      <c r="BA3130" s="225"/>
      <c r="BB3130" s="225"/>
      <c r="BC3130" s="56"/>
      <c r="BD3130" s="56"/>
      <c r="BE3130" s="56"/>
      <c r="BF3130" s="107" t="str">
        <f t="shared" si="2391"/>
        <v>https://www.google.com/search?tbm=isch&amp;q=7%20G5</v>
      </c>
      <c r="BG3130" s="107" t="str">
        <f t="shared" si="2392"/>
        <v>R</v>
      </c>
      <c r="BH3130" s="254"/>
      <c r="BI3130" s="254"/>
    </row>
    <row r="3131" spans="1:61" customFormat="1" ht="15.75" x14ac:dyDescent="0.25">
      <c r="A3131" s="485">
        <v>15</v>
      </c>
      <c r="B3131" s="486" t="s">
        <v>291</v>
      </c>
      <c r="C3131" s="487" t="s">
        <v>4642</v>
      </c>
      <c r="D3131" s="488" t="s">
        <v>297</v>
      </c>
      <c r="E3131" s="489">
        <v>155.94999999999999</v>
      </c>
      <c r="F3131" s="516" t="s">
        <v>293</v>
      </c>
      <c r="G3131" s="232">
        <v>0</v>
      </c>
      <c r="H3131" s="658" t="str">
        <f>IF(G3131=0,"",IF(F3131="Buy",IF(G3131=1,"plant","plants"),IF(F3131&gt;0.01,"warranty","Error")))</f>
        <v/>
      </c>
      <c r="I3131" s="490">
        <f>IF(H3131="free",0,IF(H3131="credit",((E3131*(F3131))*G3131*-1),IF(F3131="Buy",(E3131*G3131),((E3131*(1-F3131))*G3131))))</f>
        <v>0</v>
      </c>
      <c r="J3131" s="490">
        <f>IF(H3131="warranty",0,(I3131*(_xlfn.SINGLE(SalesTaxPercentage))))</f>
        <v>0</v>
      </c>
      <c r="K3131" s="695">
        <f t="shared" ref="K3131" si="2411">I3131+J3131</f>
        <v>0</v>
      </c>
      <c r="L3131" s="695"/>
      <c r="M3131" s="659" t="str">
        <f>IF(AND(G3131&gt;0,E3131=0),"WARNING - no PRICE inserted",IF(H3131="free"," FREE ~ no charge this plant",IF(H3131="credit",CONCATENATE(" -$",ROUND(K3131*(1-T2GDiscount)*-1,2)," CREDIT after discount"),IF(T2GDiscount=0,"",IF(G3131=0,"",IF(F3131="Buy",CONCATENATE(" $",ROUND(K3131*(1-T2GDiscount),2)," with ",(T2GDiscount*100),"% discount"),CONCATENATE(" $",ROUND(K3131*(1-T2GDiscount),2)," with ",((T2GDiscount*100+F3131*100)-(T2GDiscount*100*F3131)),IF(F3131&gt;0,"% discounts",IF(NoWarrantyDiscount&gt;0,"% discounts","% discount")))))))))</f>
        <v/>
      </c>
      <c r="N3131" s="660"/>
      <c r="O3131" s="233"/>
      <c r="P3131" s="233"/>
      <c r="Q3131" s="233"/>
      <c r="R3131" s="233"/>
      <c r="S3131" s="233"/>
      <c r="T3131" s="508">
        <f t="shared" si="2380"/>
        <v>0</v>
      </c>
      <c r="U3131" s="225">
        <f>IF(NOT(ISNUMBER(G3131)), "", VLOOKUP(A3131,'Discount Lookup'!D:E,2,FALSE)*G3131)</f>
        <v>0</v>
      </c>
      <c r="V3131" s="225">
        <f>IF(NOT(ISNUMBER(G3131)), "", VLOOKUP(A3131,'Discount Lookup'!G:H,2,FALSE)*G3131)</f>
        <v>0</v>
      </c>
      <c r="W3131" s="508">
        <f t="shared" si="2381"/>
        <v>0</v>
      </c>
      <c r="X3131" s="508">
        <f t="shared" si="2382"/>
        <v>0</v>
      </c>
      <c r="Y3131" s="509" t="b">
        <f t="shared" si="2383"/>
        <v>0</v>
      </c>
      <c r="Z3131" s="510">
        <f t="shared" si="2384"/>
        <v>0</v>
      </c>
      <c r="AA3131" s="511"/>
      <c r="AB3131" s="511" t="str">
        <f t="shared" si="2385"/>
        <v/>
      </c>
      <c r="AC3131" s="698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698"/>
      <c r="AE3131" s="631" t="str">
        <f t="shared" si="2386"/>
        <v/>
      </c>
      <c r="AF3131" s="699" t="str">
        <f t="shared" si="2387"/>
        <v/>
      </c>
      <c r="AG3131" s="699"/>
      <c r="AH3131" s="699"/>
      <c r="AI3131" s="512">
        <f>IF(H3131="credit",0,IF(AE3131="free",0,IF(AE3131="me",0,IF(G3131&gt;0,(VLOOKUP(A3131,'Discount Lookup'!J:K,2)*G3131),0))))</f>
        <v>0</v>
      </c>
      <c r="AJ3131" s="513" t="str">
        <f t="shared" ca="1" si="2388"/>
        <v/>
      </c>
      <c r="AK3131" s="700" t="str">
        <f t="shared" si="2389"/>
        <v/>
      </c>
      <c r="AL3131" s="700"/>
      <c r="AM3131" s="505" t="str">
        <f t="shared" si="2390"/>
        <v/>
      </c>
      <c r="AN3131" s="506"/>
      <c r="AO3131" s="507"/>
      <c r="AP3131" s="507"/>
      <c r="AQ3131" s="507"/>
      <c r="AR3131" s="507"/>
      <c r="AS3131" s="507"/>
      <c r="AT3131" s="507"/>
      <c r="AU3131" s="507"/>
      <c r="AV3131" s="225"/>
      <c r="AW3131" s="508"/>
      <c r="AX3131" s="225"/>
      <c r="AY3131" s="225"/>
      <c r="AZ3131" s="225"/>
      <c r="BA3131" s="225"/>
      <c r="BB3131" s="225"/>
      <c r="BC3131" s="56"/>
      <c r="BD3131" s="56"/>
      <c r="BE3131" s="56"/>
      <c r="BF3131" s="107" t="str">
        <f t="shared" si="2391"/>
        <v>https://www.google.com/search?tbm=isch&amp;q=15%20G3</v>
      </c>
      <c r="BG3131" s="107" t="str">
        <f t="shared" si="2392"/>
        <v>R</v>
      </c>
      <c r="BH3131" s="254"/>
      <c r="BI3131" s="254"/>
    </row>
    <row r="3132" spans="1:61" customFormat="1" ht="15.75" x14ac:dyDescent="0.25">
      <c r="A3132" s="485">
        <v>15</v>
      </c>
      <c r="B3132" s="486" t="s">
        <v>291</v>
      </c>
      <c r="C3132" s="487" t="s">
        <v>1635</v>
      </c>
      <c r="D3132" s="488" t="s">
        <v>299</v>
      </c>
      <c r="E3132" s="489">
        <v>160.94999999999999</v>
      </c>
      <c r="F3132" s="516" t="s">
        <v>293</v>
      </c>
      <c r="G3132" s="232">
        <v>0</v>
      </c>
      <c r="H3132" s="658" t="str">
        <f>IF(G3132=0,"",IF(F3132="Buy",IF(G3132=1,"plant","plants"),IF(F3132&gt;0.01,"warranty","Error")))</f>
        <v/>
      </c>
      <c r="I3132" s="490">
        <f>IF(H3132="free",0,IF(H3132="credit",((E3132*(F3132))*G3132*-1),IF(F3132="Buy",(E3132*G3132),((E3132*(1-F3132))*G3132))))</f>
        <v>0</v>
      </c>
      <c r="J3132" s="490">
        <f>IF(H3132="warranty",0,(I3132*(_xlfn.SINGLE(SalesTaxPercentage))))</f>
        <v>0</v>
      </c>
      <c r="K3132" s="695">
        <f t="shared" ref="K3132" si="2412">I3132+J3132</f>
        <v>0</v>
      </c>
      <c r="L3132" s="695"/>
      <c r="M3132" s="659" t="str">
        <f>IF(AND(G3132&gt;0,E3132=0),"WARNING - no PRICE inserted",IF(H3132="free"," FREE ~ no charge this plant",IF(H3132="credit",CONCATENATE(" -$",ROUND(K3132*(1-T2GDiscount)*-1,2)," CREDIT after discount"),IF(T2GDiscount=0,"",IF(G3132=0,"",IF(F3132="Buy",CONCATENATE(" $",ROUND(K3132*(1-T2GDiscount),2)," with ",(T2GDiscount*100),"% discount"),CONCATENATE(" $",ROUND(K3132*(1-T2GDiscount),2)," with ",((T2GDiscount*100+F3132*100)-(T2GDiscount*100*F3132)),IF(F3132&gt;0,"% discounts",IF(NoWarrantyDiscount&gt;0,"% discounts","% discount")))))))))</f>
        <v/>
      </c>
      <c r="N3132" s="660"/>
      <c r="O3132" s="233"/>
      <c r="P3132" s="233"/>
      <c r="Q3132" s="233"/>
      <c r="R3132" s="233"/>
      <c r="S3132" s="233"/>
      <c r="T3132" s="508">
        <f t="shared" si="2380"/>
        <v>0</v>
      </c>
      <c r="U3132" s="225">
        <f>IF(NOT(ISNUMBER(G3132)), "", VLOOKUP(A3132,'Discount Lookup'!D:E,2,FALSE)*G3132)</f>
        <v>0</v>
      </c>
      <c r="V3132" s="225">
        <f>IF(NOT(ISNUMBER(G3132)), "", VLOOKUP(A3132,'Discount Lookup'!G:H,2,FALSE)*G3132)</f>
        <v>0</v>
      </c>
      <c r="W3132" s="508">
        <f t="shared" si="2381"/>
        <v>0</v>
      </c>
      <c r="X3132" s="508">
        <f t="shared" si="2382"/>
        <v>0</v>
      </c>
      <c r="Y3132" s="509" t="b">
        <f t="shared" si="2383"/>
        <v>0</v>
      </c>
      <c r="Z3132" s="510">
        <f t="shared" si="2384"/>
        <v>0</v>
      </c>
      <c r="AA3132" s="511"/>
      <c r="AB3132" s="511" t="str">
        <f t="shared" si="2385"/>
        <v/>
      </c>
      <c r="AC3132" s="698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698"/>
      <c r="AE3132" s="631" t="str">
        <f t="shared" si="2386"/>
        <v/>
      </c>
      <c r="AF3132" s="699" t="str">
        <f t="shared" si="2387"/>
        <v/>
      </c>
      <c r="AG3132" s="699"/>
      <c r="AH3132" s="699"/>
      <c r="AI3132" s="512">
        <f>IF(H3132="credit",0,IF(AE3132="free",0,IF(AE3132="me",0,IF(G3132&gt;0,(VLOOKUP(A3132,'Discount Lookup'!J:K,2)*G3132),0))))</f>
        <v>0</v>
      </c>
      <c r="AJ3132" s="513" t="str">
        <f t="shared" ca="1" si="2388"/>
        <v/>
      </c>
      <c r="AK3132" s="700" t="str">
        <f t="shared" si="2389"/>
        <v/>
      </c>
      <c r="AL3132" s="700"/>
      <c r="AM3132" s="505" t="str">
        <f t="shared" si="2390"/>
        <v/>
      </c>
      <c r="AN3132" s="506"/>
      <c r="AO3132" s="507"/>
      <c r="AP3132" s="507"/>
      <c r="AQ3132" s="507"/>
      <c r="AR3132" s="507"/>
      <c r="AS3132" s="507"/>
      <c r="AT3132" s="507"/>
      <c r="AU3132" s="507"/>
      <c r="AV3132" s="225"/>
      <c r="AW3132" s="508"/>
      <c r="AX3132" s="225"/>
      <c r="AY3132" s="225"/>
      <c r="AZ3132" s="225"/>
      <c r="BA3132" s="225"/>
      <c r="BB3132" s="225"/>
      <c r="BC3132" s="56"/>
      <c r="BD3132" s="56"/>
      <c r="BE3132" s="56"/>
      <c r="BF3132" s="107" t="str">
        <f t="shared" si="2391"/>
        <v>https://www.google.com/search?tbm=isch&amp;q=15%20G5</v>
      </c>
      <c r="BG3132" s="107" t="str">
        <f t="shared" si="2392"/>
        <v>R</v>
      </c>
      <c r="BH3132" s="254"/>
      <c r="BI3132" s="254"/>
    </row>
    <row r="3133" spans="1:61" customFormat="1" ht="15.75" x14ac:dyDescent="0.25">
      <c r="A3133" s="485">
        <v>45</v>
      </c>
      <c r="B3133" s="486" t="s">
        <v>291</v>
      </c>
      <c r="C3133" s="487" t="s">
        <v>1636</v>
      </c>
      <c r="D3133" s="488" t="s">
        <v>300</v>
      </c>
      <c r="E3133" s="489">
        <v>645.95000000000005</v>
      </c>
      <c r="F3133" s="516" t="s">
        <v>293</v>
      </c>
      <c r="G3133" s="232">
        <v>0</v>
      </c>
      <c r="H3133" s="658" t="str">
        <f>IF(G3133=0,"",IF(F3133="Buy",IF(G3133=1,"plant","plants"),IF(F3133&gt;0.01,"warranty","Error")))</f>
        <v/>
      </c>
      <c r="I3133" s="490">
        <f>IF(H3133="free",0,IF(H3133="credit",((E3133*(F3133))*G3133*-1),IF(F3133="Buy",(E3133*G3133),((E3133*(1-F3133))*G3133))))</f>
        <v>0</v>
      </c>
      <c r="J3133" s="490">
        <f>IF(H3133="warranty",0,(I3133*(_xlfn.SINGLE(SalesTaxPercentage))))</f>
        <v>0</v>
      </c>
      <c r="K3133" s="695">
        <f t="shared" ref="K3133" si="2413">I3133+J3133</f>
        <v>0</v>
      </c>
      <c r="L3133" s="695"/>
      <c r="M3133" s="659" t="str">
        <f>IF(AND(G3133&gt;0,E3133=0),"WARNING - no PRICE inserted",IF(H3133="free"," FREE ~ no charge this plant",IF(H3133="credit",CONCATENATE(" -$",ROUND(K3133*(1-T2GDiscount)*-1,2)," CREDIT after discount"),IF(T2GDiscount=0,"",IF(G3133=0,"",IF(F3133="Buy",CONCATENATE(" $",ROUND(K3133*(1-T2GDiscount),2)," with ",(T2GDiscount*100),"% discount"),CONCATENATE(" $",ROUND(K3133*(1-T2GDiscount),2)," with ",((T2GDiscount*100+F3133*100)-(T2GDiscount*100*F3133)),IF(F3133&gt;0,"% discounts",IF(NoWarrantyDiscount&gt;0,"% discounts","% discount")))))))))</f>
        <v/>
      </c>
      <c r="N3133" s="660"/>
      <c r="O3133" s="233"/>
      <c r="P3133" s="233"/>
      <c r="Q3133" s="233"/>
      <c r="R3133" s="233"/>
      <c r="S3133" s="233"/>
      <c r="T3133" s="508">
        <f t="shared" si="2380"/>
        <v>0</v>
      </c>
      <c r="U3133" s="225">
        <f>IF(NOT(ISNUMBER(G3133)), "", VLOOKUP(A3133,'Discount Lookup'!D:E,2,FALSE)*G3133)</f>
        <v>0</v>
      </c>
      <c r="V3133" s="225">
        <f>IF(NOT(ISNUMBER(G3133)), "", VLOOKUP(A3133,'Discount Lookup'!G:H,2,FALSE)*G3133)</f>
        <v>0</v>
      </c>
      <c r="W3133" s="508">
        <f t="shared" si="2381"/>
        <v>0</v>
      </c>
      <c r="X3133" s="508">
        <f t="shared" si="2382"/>
        <v>0</v>
      </c>
      <c r="Y3133" s="509" t="b">
        <f t="shared" si="2383"/>
        <v>0</v>
      </c>
      <c r="Z3133" s="510">
        <f t="shared" si="2384"/>
        <v>0</v>
      </c>
      <c r="AA3133" s="511"/>
      <c r="AB3133" s="511" t="str">
        <f t="shared" si="2385"/>
        <v/>
      </c>
      <c r="AC3133" s="698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698"/>
      <c r="AE3133" s="631" t="str">
        <f t="shared" si="2386"/>
        <v/>
      </c>
      <c r="AF3133" s="699" t="str">
        <f t="shared" si="2387"/>
        <v/>
      </c>
      <c r="AG3133" s="699"/>
      <c r="AH3133" s="699"/>
      <c r="AI3133" s="512">
        <f>IF(H3133="credit",0,IF(AE3133="free",0,IF(AE3133="me",0,IF(G3133&gt;0,(VLOOKUP(A3133,'Discount Lookup'!J:K,2)*G3133),0))))</f>
        <v>0</v>
      </c>
      <c r="AJ3133" s="513" t="str">
        <f t="shared" ca="1" si="2388"/>
        <v/>
      </c>
      <c r="AK3133" s="700" t="str">
        <f t="shared" si="2389"/>
        <v/>
      </c>
      <c r="AL3133" s="700"/>
      <c r="AM3133" s="505" t="str">
        <f t="shared" si="2390"/>
        <v/>
      </c>
      <c r="AN3133" s="506"/>
      <c r="AO3133" s="507"/>
      <c r="AP3133" s="507"/>
      <c r="AQ3133" s="507"/>
      <c r="AR3133" s="507"/>
      <c r="AS3133" s="507"/>
      <c r="AT3133" s="507"/>
      <c r="AU3133" s="507"/>
      <c r="AV3133" s="225"/>
      <c r="AW3133" s="508"/>
      <c r="AX3133" s="225"/>
      <c r="AY3133" s="225"/>
      <c r="AZ3133" s="225"/>
      <c r="BA3133" s="225"/>
      <c r="BB3133" s="225"/>
      <c r="BC3133" s="56"/>
      <c r="BD3133" s="56"/>
      <c r="BE3133" s="56"/>
      <c r="BF3133" s="107" t="str">
        <f t="shared" si="2391"/>
        <v>https://www.google.com/search?tbm=isch&amp;q=45%20G6</v>
      </c>
      <c r="BG3133" s="107" t="str">
        <f t="shared" si="2392"/>
        <v>R</v>
      </c>
      <c r="BH3133" s="254"/>
      <c r="BI3133" s="254"/>
    </row>
    <row r="3134" spans="1:61" customFormat="1" ht="17.25" thickBot="1" x14ac:dyDescent="0.3">
      <c r="A3134" s="522" t="s">
        <v>2692</v>
      </c>
      <c r="B3134" s="491"/>
      <c r="C3134" s="675"/>
      <c r="D3134" s="491"/>
      <c r="E3134" s="491"/>
      <c r="F3134" s="492"/>
      <c r="G3134" s="493"/>
      <c r="H3134" s="491"/>
      <c r="I3134" s="234"/>
      <c r="J3134" s="234"/>
      <c r="K3134" s="494"/>
      <c r="L3134" s="543"/>
      <c r="M3134" s="561"/>
      <c r="N3134" s="495"/>
      <c r="O3134" s="496"/>
      <c r="P3134" s="497"/>
      <c r="Q3134" s="495"/>
      <c r="R3134" s="495"/>
      <c r="S3134" s="667" t="s">
        <v>5004</v>
      </c>
      <c r="T3134" s="508">
        <f t="shared" si="2380"/>
        <v>0</v>
      </c>
      <c r="U3134" s="225" t="str">
        <f>IF(NOT(ISNUMBER(G3134)), "", VLOOKUP(A3134,'Discount Lookup'!D:E,2,FALSE)*G3134)</f>
        <v/>
      </c>
      <c r="V3134" s="225" t="str">
        <f>IF(NOT(ISNUMBER(G3134)), "", VLOOKUP(A3134,'Discount Lookup'!G:H,2,FALSE)*G3134)</f>
        <v/>
      </c>
      <c r="W3134" s="508">
        <f t="shared" si="2381"/>
        <v>0</v>
      </c>
      <c r="X3134" s="508">
        <f t="shared" si="2382"/>
        <v>0</v>
      </c>
      <c r="Y3134" s="509" t="b">
        <f t="shared" si="2383"/>
        <v>0</v>
      </c>
      <c r="Z3134" s="510">
        <f t="shared" si="2384"/>
        <v>0</v>
      </c>
      <c r="AA3134" s="511"/>
      <c r="AB3134" s="511" t="str">
        <f t="shared" si="2385"/>
        <v/>
      </c>
      <c r="AC3134" s="698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698"/>
      <c r="AE3134" s="631" t="str">
        <f t="shared" si="2386"/>
        <v/>
      </c>
      <c r="AF3134" s="699" t="str">
        <f t="shared" si="2387"/>
        <v/>
      </c>
      <c r="AG3134" s="699"/>
      <c r="AH3134" s="699"/>
      <c r="AI3134" s="512">
        <f>IF(H3134="credit",0,IF(AE3134="free",0,IF(AE3134="me",0,IF(G3134&gt;0,(VLOOKUP(A3134,'Discount Lookup'!J:K,2)*G3134),0))))</f>
        <v>0</v>
      </c>
      <c r="AJ3134" s="513" t="str">
        <f t="shared" ca="1" si="2388"/>
        <v/>
      </c>
      <c r="AK3134" s="700" t="str">
        <f t="shared" si="2389"/>
        <v/>
      </c>
      <c r="AL3134" s="700"/>
      <c r="AM3134" s="505" t="str">
        <f t="shared" si="2390"/>
        <v/>
      </c>
      <c r="AN3134" s="506"/>
      <c r="AO3134" s="507"/>
      <c r="AP3134" s="507"/>
      <c r="AQ3134" s="507"/>
      <c r="AR3134" s="507"/>
      <c r="AS3134" s="507"/>
      <c r="AT3134" s="507"/>
      <c r="AU3134" s="507"/>
      <c r="AV3134" s="225"/>
      <c r="AW3134" s="508"/>
      <c r="AX3134" s="225"/>
      <c r="AY3134" s="225"/>
      <c r="AZ3134" s="225"/>
      <c r="BA3134" s="225"/>
      <c r="BB3134" s="225"/>
      <c r="BC3134" s="56"/>
      <c r="BD3134" s="56"/>
      <c r="BE3134" s="56"/>
      <c r="BF3134" s="107" t="str">
        <f t="shared" si="2391"/>
        <v>https://www.google.com/search?tbm=isch&amp;q=Robin%20Holly%20foliage%20emerges%20Maroon%2C%20then%20turns%20Dark%20Green.%20All%20female%20%7E%20requires%20a%20nearby%20male%20to%20set%20berries%20</v>
      </c>
      <c r="BG3134" s="107" t="str">
        <f t="shared" si="2392"/>
        <v>R</v>
      </c>
      <c r="BH3134" s="254"/>
      <c r="BI3134" s="254"/>
    </row>
    <row r="3135" spans="1:61" customFormat="1" ht="18" x14ac:dyDescent="0.25">
      <c r="A3135" s="521" t="s">
        <v>5524</v>
      </c>
      <c r="B3135" s="477"/>
      <c r="C3135" s="674"/>
      <c r="D3135" s="478" t="s">
        <v>1637</v>
      </c>
      <c r="E3135" s="479"/>
      <c r="F3135" s="479"/>
      <c r="G3135" s="479"/>
      <c r="H3135" s="582" t="s">
        <v>752</v>
      </c>
      <c r="I3135" s="480" t="s">
        <v>2991</v>
      </c>
      <c r="J3135" s="479"/>
      <c r="K3135" s="479"/>
      <c r="L3135" s="560"/>
      <c r="M3135" s="666" t="s">
        <v>4966</v>
      </c>
      <c r="N3135" s="680" t="str">
        <f>IF(AND(ISTEXT($A3135), ISERROR($A3135+0)), HYPERLINK($BF3135, "Images"), "")</f>
        <v>Images</v>
      </c>
      <c r="O3135" s="662" t="s">
        <v>4969</v>
      </c>
      <c r="P3135" s="482"/>
      <c r="Q3135" s="483"/>
      <c r="R3135" s="483"/>
      <c r="S3135" s="484"/>
      <c r="T3135" s="508">
        <f t="shared" si="2380"/>
        <v>0</v>
      </c>
      <c r="U3135" s="225" t="str">
        <f>IF(NOT(ISNUMBER(G3135)), "", VLOOKUP(A3135,'Discount Lookup'!D:E,2,FALSE)*G3135)</f>
        <v/>
      </c>
      <c r="V3135" s="225" t="str">
        <f>IF(NOT(ISNUMBER(G3135)), "", VLOOKUP(A3135,'Discount Lookup'!G:H,2,FALSE)*G3135)</f>
        <v/>
      </c>
      <c r="W3135" s="508">
        <f t="shared" si="2381"/>
        <v>0</v>
      </c>
      <c r="X3135" s="508" t="str">
        <f t="shared" si="2382"/>
        <v>Green &amp; White foliage</v>
      </c>
      <c r="Y3135" s="509" t="b">
        <f t="shared" si="2383"/>
        <v>0</v>
      </c>
      <c r="Z3135" s="510">
        <f t="shared" si="2384"/>
        <v>0</v>
      </c>
      <c r="AA3135" s="511"/>
      <c r="AB3135" s="511" t="str">
        <f t="shared" si="2385"/>
        <v/>
      </c>
      <c r="AC3135" s="698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698"/>
      <c r="AE3135" s="631" t="str">
        <f t="shared" si="2386"/>
        <v/>
      </c>
      <c r="AF3135" s="699" t="str">
        <f t="shared" si="2387"/>
        <v/>
      </c>
      <c r="AG3135" s="699"/>
      <c r="AH3135" s="699"/>
      <c r="AI3135" s="512">
        <f>IF(H3135="credit",0,IF(AE3135="free",0,IF(AE3135="me",0,IF(G3135&gt;0,(VLOOKUP(A3135,'Discount Lookup'!J:K,2)*G3135),0))))</f>
        <v>0</v>
      </c>
      <c r="AJ3135" s="513" t="str">
        <f t="shared" ca="1" si="2388"/>
        <v/>
      </c>
      <c r="AK3135" s="700" t="str">
        <f t="shared" si="2389"/>
        <v/>
      </c>
      <c r="AL3135" s="700"/>
      <c r="AM3135" s="505" t="str">
        <f t="shared" si="2390"/>
        <v/>
      </c>
      <c r="AN3135" s="506"/>
      <c r="AO3135" s="507"/>
      <c r="AP3135" s="507"/>
      <c r="AQ3135" s="507"/>
      <c r="AR3135" s="507"/>
      <c r="AS3135" s="507"/>
      <c r="AT3135" s="507"/>
      <c r="AU3135" s="507"/>
      <c r="AV3135" s="225"/>
      <c r="AW3135" s="508"/>
      <c r="AX3135" s="225"/>
      <c r="AY3135" s="225"/>
      <c r="AZ3135" s="225"/>
      <c r="BA3135" s="225"/>
      <c r="BB3135" s="225"/>
      <c r="BC3135" s="56"/>
      <c r="BD3135" s="56"/>
      <c r="BE3135" s="56"/>
      <c r="BF3135" s="107" t="str">
        <f t="shared" si="2391"/>
        <v>https://www.google.com/search?tbm=isch&amp;q=Roman%20Candle%E2%84%A2%20Podocarpus%20Podocarpus%20macrophyllus%20%27Miu%27%20PP%2328582</v>
      </c>
      <c r="BG3135" s="107" t="str">
        <f t="shared" si="2392"/>
        <v>R</v>
      </c>
      <c r="BH3135" s="254"/>
      <c r="BI3135" s="254"/>
    </row>
    <row r="3136" spans="1:61" customFormat="1" ht="15.75" x14ac:dyDescent="0.25">
      <c r="A3136" s="485">
        <v>1</v>
      </c>
      <c r="B3136" s="486" t="s">
        <v>291</v>
      </c>
      <c r="C3136" s="487" t="s">
        <v>445</v>
      </c>
      <c r="D3136" s="488" t="s">
        <v>312</v>
      </c>
      <c r="E3136" s="489">
        <v>34.950000000000003</v>
      </c>
      <c r="F3136" s="516" t="s">
        <v>293</v>
      </c>
      <c r="G3136" s="232">
        <v>0</v>
      </c>
      <c r="H3136" s="658" t="str">
        <f>IF(G3136=0,"",IF(F3136="Buy",IF(G3136=1,"plant","plants"),IF(F3136&gt;0.01,"warranty","Error")))</f>
        <v/>
      </c>
      <c r="I3136" s="490">
        <f>IF(H3136="free",0,IF(H3136="credit",((E3136*(F3136))*G3136*-1),IF(F3136="Buy",(E3136*G3136),((E3136*(1-F3136))*G3136))))</f>
        <v>0</v>
      </c>
      <c r="J3136" s="490">
        <f>IF(H3136="warranty",0,(I3136*(_xlfn.SINGLE(SalesTaxPercentage))))</f>
        <v>0</v>
      </c>
      <c r="K3136" s="695">
        <f t="shared" ref="K3136" si="2414">I3136+J3136</f>
        <v>0</v>
      </c>
      <c r="L3136" s="695"/>
      <c r="M3136" s="659" t="str">
        <f>IF(AND(G3136&gt;0,E3136=0),"WARNING - no PRICE inserted",IF(H3136="free"," FREE ~ no charge this plant",IF(H3136="credit",CONCATENATE(" -$",ROUND(K3136*(1-T2GDiscount)*-1,2)," CREDIT after discount"),IF(T2GDiscount=0,"",IF(G3136=0,"",IF(F3136="Buy",CONCATENATE(" $",ROUND(K3136*(1-T2GDiscount),2)," with ",(T2GDiscount*100),"% discount"),CONCATENATE(" $",ROUND(K3136*(1-T2GDiscount),2)," with ",((T2GDiscount*100+F3136*100)-(T2GDiscount*100*F3136)),IF(F3136&gt;0,"% discounts",IF(NoWarrantyDiscount&gt;0,"% discounts","% discount")))))))))</f>
        <v/>
      </c>
      <c r="N3136" s="660"/>
      <c r="O3136" s="233"/>
      <c r="P3136" s="233"/>
      <c r="Q3136" s="233"/>
      <c r="R3136" s="233"/>
      <c r="S3136" s="233"/>
      <c r="T3136" s="508">
        <f t="shared" si="2380"/>
        <v>0</v>
      </c>
      <c r="U3136" s="225">
        <f>IF(NOT(ISNUMBER(G3136)), "", VLOOKUP(A3136,'Discount Lookup'!D:E,2,FALSE)*G3136)</f>
        <v>0</v>
      </c>
      <c r="V3136" s="225">
        <f>IF(NOT(ISNUMBER(G3136)), "", VLOOKUP(A3136,'Discount Lookup'!G:H,2,FALSE)*G3136)</f>
        <v>0</v>
      </c>
      <c r="W3136" s="508">
        <f t="shared" si="2381"/>
        <v>0</v>
      </c>
      <c r="X3136" s="508">
        <f t="shared" si="2382"/>
        <v>0</v>
      </c>
      <c r="Y3136" s="509" t="b">
        <f t="shared" si="2383"/>
        <v>0</v>
      </c>
      <c r="Z3136" s="510">
        <f t="shared" si="2384"/>
        <v>0</v>
      </c>
      <c r="AA3136" s="511"/>
      <c r="AB3136" s="511" t="str">
        <f t="shared" si="2385"/>
        <v/>
      </c>
      <c r="AC3136" s="698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698"/>
      <c r="AE3136" s="631" t="str">
        <f t="shared" si="2386"/>
        <v/>
      </c>
      <c r="AF3136" s="699" t="str">
        <f t="shared" si="2387"/>
        <v/>
      </c>
      <c r="AG3136" s="699"/>
      <c r="AH3136" s="699"/>
      <c r="AI3136" s="512">
        <f>IF(H3136="credit",0,IF(AE3136="free",0,IF(AE3136="me",0,IF(G3136&gt;0,(VLOOKUP(A3136,'Discount Lookup'!J:K,2)*G3136),0))))</f>
        <v>0</v>
      </c>
      <c r="AJ3136" s="513" t="str">
        <f t="shared" ca="1" si="2388"/>
        <v/>
      </c>
      <c r="AK3136" s="700" t="str">
        <f t="shared" si="2389"/>
        <v/>
      </c>
      <c r="AL3136" s="700"/>
      <c r="AM3136" s="505" t="str">
        <f t="shared" si="2390"/>
        <v/>
      </c>
      <c r="AN3136" s="506"/>
      <c r="AO3136" s="507"/>
      <c r="AP3136" s="507"/>
      <c r="AQ3136" s="507"/>
      <c r="AR3136" s="507"/>
      <c r="AS3136" s="507"/>
      <c r="AT3136" s="507"/>
      <c r="AU3136" s="507"/>
      <c r="AV3136" s="225"/>
      <c r="AW3136" s="508"/>
      <c r="AX3136" s="225"/>
      <c r="AY3136" s="225"/>
      <c r="AZ3136" s="225"/>
      <c r="BA3136" s="225"/>
      <c r="BB3136" s="225"/>
      <c r="BC3136" s="56"/>
      <c r="BD3136" s="56"/>
      <c r="BE3136" s="56"/>
      <c r="BF3136" s="107" t="str">
        <f t="shared" si="2391"/>
        <v>https://www.google.com/search?tbm=isch&amp;q=1%20G2</v>
      </c>
      <c r="BG3136" s="107" t="str">
        <f t="shared" si="2392"/>
        <v>R</v>
      </c>
      <c r="BH3136" s="254"/>
      <c r="BI3136" s="254"/>
    </row>
    <row r="3137" spans="1:61" customFormat="1" ht="16.5" thickBot="1" x14ac:dyDescent="0.3">
      <c r="A3137" s="522" t="s">
        <v>4157</v>
      </c>
      <c r="B3137" s="491"/>
      <c r="C3137" s="675"/>
      <c r="D3137" s="491"/>
      <c r="E3137" s="491"/>
      <c r="F3137" s="492"/>
      <c r="G3137" s="493"/>
      <c r="H3137" s="491"/>
      <c r="I3137" s="234"/>
      <c r="J3137" s="234"/>
      <c r="K3137" s="494"/>
      <c r="L3137" s="543"/>
      <c r="M3137" s="561"/>
      <c r="N3137" s="495"/>
      <c r="O3137" s="496"/>
      <c r="P3137" s="497"/>
      <c r="Q3137" s="495"/>
      <c r="R3137" s="495"/>
      <c r="S3137" s="277"/>
      <c r="T3137" s="508">
        <f t="shared" si="2380"/>
        <v>0</v>
      </c>
      <c r="U3137" s="225" t="str">
        <f>IF(NOT(ISNUMBER(G3137)), "", VLOOKUP(A3137,'Discount Lookup'!D:E,2,FALSE)*G3137)</f>
        <v/>
      </c>
      <c r="V3137" s="225" t="str">
        <f>IF(NOT(ISNUMBER(G3137)), "", VLOOKUP(A3137,'Discount Lookup'!G:H,2,FALSE)*G3137)</f>
        <v/>
      </c>
      <c r="W3137" s="508">
        <f t="shared" si="2381"/>
        <v>0</v>
      </c>
      <c r="X3137" s="508">
        <f t="shared" si="2382"/>
        <v>0</v>
      </c>
      <c r="Y3137" s="509" t="b">
        <f t="shared" si="2383"/>
        <v>0</v>
      </c>
      <c r="Z3137" s="510">
        <f t="shared" si="2384"/>
        <v>0</v>
      </c>
      <c r="AA3137" s="511"/>
      <c r="AB3137" s="511" t="str">
        <f t="shared" si="2385"/>
        <v/>
      </c>
      <c r="AC3137" s="698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698"/>
      <c r="AE3137" s="631" t="str">
        <f t="shared" si="2386"/>
        <v/>
      </c>
      <c r="AF3137" s="699" t="str">
        <f t="shared" si="2387"/>
        <v/>
      </c>
      <c r="AG3137" s="699"/>
      <c r="AH3137" s="699"/>
      <c r="AI3137" s="512">
        <f>IF(H3137="credit",0,IF(AE3137="free",0,IF(AE3137="me",0,IF(G3137&gt;0,(VLOOKUP(A3137,'Discount Lookup'!J:K,2)*G3137),0))))</f>
        <v>0</v>
      </c>
      <c r="AJ3137" s="513" t="str">
        <f t="shared" ca="1" si="2388"/>
        <v/>
      </c>
      <c r="AK3137" s="700" t="str">
        <f t="shared" si="2389"/>
        <v/>
      </c>
      <c r="AL3137" s="700"/>
      <c r="AM3137" s="505" t="str">
        <f t="shared" si="2390"/>
        <v/>
      </c>
      <c r="AN3137" s="506"/>
      <c r="AO3137" s="507"/>
      <c r="AP3137" s="507"/>
      <c r="AQ3137" s="507"/>
      <c r="AR3137" s="507"/>
      <c r="AS3137" s="507"/>
      <c r="AT3137" s="507"/>
      <c r="AU3137" s="507"/>
      <c r="AV3137" s="225"/>
      <c r="AW3137" s="508"/>
      <c r="AX3137" s="225"/>
      <c r="AY3137" s="225"/>
      <c r="AZ3137" s="225"/>
      <c r="BA3137" s="225"/>
      <c r="BB3137" s="225"/>
      <c r="BC3137" s="56"/>
      <c r="BD3137" s="56"/>
      <c r="BE3137" s="56"/>
      <c r="BF3137" s="107" t="str">
        <f t="shared" si="2391"/>
        <v>https://www.google.com/search?tbm=isch&amp;q=Roman%20Candle%20has%20a%20striking%20upright%20form%20and%20brilliant%20Creamy-White%20new%20growth%20that%20contrasts%20beautifully%20against%20mature%20Green%20foliage%20</v>
      </c>
      <c r="BG3137" s="107" t="str">
        <f t="shared" si="2392"/>
        <v>R</v>
      </c>
      <c r="BH3137" s="254"/>
      <c r="BI3137" s="254"/>
    </row>
    <row r="3138" spans="1:61" customFormat="1" ht="18" x14ac:dyDescent="0.25">
      <c r="A3138" s="521" t="s">
        <v>1638</v>
      </c>
      <c r="B3138" s="477"/>
      <c r="C3138" s="674"/>
      <c r="D3138" s="478" t="s">
        <v>1639</v>
      </c>
      <c r="E3138" s="479"/>
      <c r="F3138" s="479"/>
      <c r="G3138" s="479"/>
      <c r="H3138" s="582" t="s">
        <v>508</v>
      </c>
      <c r="I3138" s="480" t="s">
        <v>2463</v>
      </c>
      <c r="J3138" s="479"/>
      <c r="K3138" s="479"/>
      <c r="L3138" s="560"/>
      <c r="M3138" s="666" t="s">
        <v>4963</v>
      </c>
      <c r="N3138" s="680" t="str">
        <f>IF(AND(ISTEXT($A3138), ISERROR($A3138+0)), HYPERLINK($BF3138, "Images"), "")</f>
        <v>Images</v>
      </c>
      <c r="O3138" s="662" t="s">
        <v>4971</v>
      </c>
      <c r="P3138" s="482"/>
      <c r="Q3138" s="483"/>
      <c r="R3138" s="483"/>
      <c r="S3138" s="484" t="s">
        <v>305</v>
      </c>
      <c r="T3138" s="508">
        <f t="shared" si="2380"/>
        <v>0</v>
      </c>
      <c r="U3138" s="225" t="str">
        <f>IF(NOT(ISNUMBER(G3138)), "", VLOOKUP(A3138,'Discount Lookup'!D:E,2,FALSE)*G3138)</f>
        <v/>
      </c>
      <c r="V3138" s="225" t="str">
        <f>IF(NOT(ISNUMBER(G3138)), "", VLOOKUP(A3138,'Discount Lookup'!G:H,2,FALSE)*G3138)</f>
        <v/>
      </c>
      <c r="W3138" s="508">
        <f t="shared" si="2381"/>
        <v>0</v>
      </c>
      <c r="X3138" s="508" t="str">
        <f t="shared" si="2382"/>
        <v>Pale Pink to White bloom</v>
      </c>
      <c r="Y3138" s="509" t="b">
        <f t="shared" si="2383"/>
        <v>0</v>
      </c>
      <c r="Z3138" s="510">
        <f t="shared" si="2384"/>
        <v>0</v>
      </c>
      <c r="AA3138" s="511"/>
      <c r="AB3138" s="511" t="str">
        <f t="shared" si="2385"/>
        <v/>
      </c>
      <c r="AC3138" s="698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698"/>
      <c r="AE3138" s="631" t="str">
        <f t="shared" si="2386"/>
        <v/>
      </c>
      <c r="AF3138" s="699" t="str">
        <f t="shared" si="2387"/>
        <v/>
      </c>
      <c r="AG3138" s="699"/>
      <c r="AH3138" s="699"/>
      <c r="AI3138" s="512">
        <f>IF(H3138="credit",0,IF(AE3138="free",0,IF(AE3138="me",0,IF(G3138&gt;0,(VLOOKUP(A3138,'Discount Lookup'!J:K,2)*G3138),0))))</f>
        <v>0</v>
      </c>
      <c r="AJ3138" s="513" t="str">
        <f t="shared" ca="1" si="2388"/>
        <v/>
      </c>
      <c r="AK3138" s="700" t="str">
        <f t="shared" si="2389"/>
        <v/>
      </c>
      <c r="AL3138" s="700"/>
      <c r="AM3138" s="505" t="str">
        <f t="shared" si="2390"/>
        <v/>
      </c>
      <c r="AN3138" s="506"/>
      <c r="AO3138" s="507"/>
      <c r="AP3138" s="507"/>
      <c r="AQ3138" s="507"/>
      <c r="AR3138" s="507"/>
      <c r="AS3138" s="507"/>
      <c r="AT3138" s="507"/>
      <c r="AU3138" s="507"/>
      <c r="AV3138" s="225"/>
      <c r="AW3138" s="508"/>
      <c r="AX3138" s="225"/>
      <c r="AY3138" s="225"/>
      <c r="AZ3138" s="225"/>
      <c r="BA3138" s="225"/>
      <c r="BB3138" s="225"/>
      <c r="BC3138" s="56"/>
      <c r="BD3138" s="56"/>
      <c r="BE3138" s="56"/>
      <c r="BF3138" s="107" t="str">
        <f t="shared" si="2391"/>
        <v>https://www.google.com/search?tbm=isch&amp;q=Rosa%27s%20Blush%20Dwarf%20Blueberry%20Vac.%20darrowii%20%27Rosa%27s%20Blush%27</v>
      </c>
      <c r="BG3138" s="107" t="str">
        <f t="shared" si="2392"/>
        <v>R</v>
      </c>
      <c r="BH3138" s="254"/>
      <c r="BI3138" s="254"/>
    </row>
    <row r="3139" spans="1:61" customFormat="1" ht="15.75" x14ac:dyDescent="0.25">
      <c r="A3139" s="485">
        <v>3</v>
      </c>
      <c r="B3139" s="486" t="s">
        <v>291</v>
      </c>
      <c r="C3139" s="487" t="s">
        <v>341</v>
      </c>
      <c r="D3139" s="488" t="s">
        <v>298</v>
      </c>
      <c r="E3139" s="489">
        <v>30.95</v>
      </c>
      <c r="F3139" s="516" t="s">
        <v>293</v>
      </c>
      <c r="G3139" s="232">
        <v>0</v>
      </c>
      <c r="H3139" s="658" t="str">
        <f>IF(G3139=0,"",IF(F3139="Buy",IF(G3139=1,"plant","plants"),IF(F3139&gt;0.01,"warranty","Error")))</f>
        <v/>
      </c>
      <c r="I3139" s="490">
        <f>IF(H3139="free",0,IF(H3139="credit",((E3139*(F3139))*G3139*-1),IF(F3139="Buy",(E3139*G3139),((E3139*(1-F3139))*G3139))))</f>
        <v>0</v>
      </c>
      <c r="J3139" s="490">
        <f>IF(H3139="warranty",0,(I3139*(_xlfn.SINGLE(SalesTaxPercentage))))</f>
        <v>0</v>
      </c>
      <c r="K3139" s="695">
        <f t="shared" ref="K3139" si="2415">I3139+J3139</f>
        <v>0</v>
      </c>
      <c r="L3139" s="695"/>
      <c r="M3139" s="659" t="str">
        <f>IF(AND(G3139&gt;0,E3139=0),"WARNING - no PRICE inserted",IF(H3139="free"," FREE ~ no charge this plant",IF(H3139="credit",CONCATENATE(" -$",ROUND(K3139*(1-T2GDiscount)*-1,2)," CREDIT after discount"),IF(T2GDiscount=0,"",IF(G3139=0,"",IF(F3139="Buy",CONCATENATE(" $",ROUND(K3139*(1-T2GDiscount),2)," with ",(T2GDiscount*100),"% discount"),CONCATENATE(" $",ROUND(K3139*(1-T2GDiscount),2)," with ",((T2GDiscount*100+F3139*100)-(T2GDiscount*100*F3139)),IF(F3139&gt;0,"% discounts",IF(NoWarrantyDiscount&gt;0,"% discounts","% discount")))))))))</f>
        <v/>
      </c>
      <c r="N3139" s="660"/>
      <c r="O3139" s="233"/>
      <c r="P3139" s="233"/>
      <c r="Q3139" s="233"/>
      <c r="R3139" s="233"/>
      <c r="S3139" s="233"/>
      <c r="T3139" s="508">
        <f t="shared" si="2380"/>
        <v>0</v>
      </c>
      <c r="U3139" s="225">
        <f>IF(NOT(ISNUMBER(G3139)), "", VLOOKUP(A3139,'Discount Lookup'!D:E,2,FALSE)*G3139)</f>
        <v>0</v>
      </c>
      <c r="V3139" s="225">
        <f>IF(NOT(ISNUMBER(G3139)), "", VLOOKUP(A3139,'Discount Lookup'!G:H,2,FALSE)*G3139)</f>
        <v>0</v>
      </c>
      <c r="W3139" s="508">
        <f t="shared" si="2381"/>
        <v>0</v>
      </c>
      <c r="X3139" s="508">
        <f t="shared" si="2382"/>
        <v>0</v>
      </c>
      <c r="Y3139" s="509" t="b">
        <f t="shared" si="2383"/>
        <v>0</v>
      </c>
      <c r="Z3139" s="510">
        <f t="shared" si="2384"/>
        <v>0</v>
      </c>
      <c r="AA3139" s="511"/>
      <c r="AB3139" s="511" t="str">
        <f t="shared" si="2385"/>
        <v/>
      </c>
      <c r="AC3139" s="698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698"/>
      <c r="AE3139" s="631" t="str">
        <f t="shared" si="2386"/>
        <v/>
      </c>
      <c r="AF3139" s="699" t="str">
        <f t="shared" si="2387"/>
        <v/>
      </c>
      <c r="AG3139" s="699"/>
      <c r="AH3139" s="699"/>
      <c r="AI3139" s="512">
        <f>IF(H3139="credit",0,IF(AE3139="free",0,IF(AE3139="me",0,IF(G3139&gt;0,(VLOOKUP(A3139,'Discount Lookup'!J:K,2)*G3139),0))))</f>
        <v>0</v>
      </c>
      <c r="AJ3139" s="513" t="str">
        <f t="shared" ca="1" si="2388"/>
        <v/>
      </c>
      <c r="AK3139" s="700" t="str">
        <f t="shared" si="2389"/>
        <v/>
      </c>
      <c r="AL3139" s="700"/>
      <c r="AM3139" s="505" t="str">
        <f t="shared" si="2390"/>
        <v/>
      </c>
      <c r="AN3139" s="506"/>
      <c r="AO3139" s="507"/>
      <c r="AP3139" s="507"/>
      <c r="AQ3139" s="507"/>
      <c r="AR3139" s="507"/>
      <c r="AS3139" s="507"/>
      <c r="AT3139" s="507"/>
      <c r="AU3139" s="507"/>
      <c r="AV3139" s="225"/>
      <c r="AW3139" s="508"/>
      <c r="AX3139" s="225"/>
      <c r="AY3139" s="225"/>
      <c r="AZ3139" s="225"/>
      <c r="BA3139" s="225"/>
      <c r="BB3139" s="225"/>
      <c r="BC3139" s="56"/>
      <c r="BD3139" s="56"/>
      <c r="BE3139" s="56"/>
      <c r="BF3139" s="107" t="str">
        <f t="shared" si="2391"/>
        <v>https://www.google.com/search?tbm=isch&amp;q=3%20G1</v>
      </c>
      <c r="BG3139" s="107" t="str">
        <f t="shared" si="2392"/>
        <v>R</v>
      </c>
      <c r="BH3139" s="254"/>
      <c r="BI3139" s="254"/>
    </row>
    <row r="3140" spans="1:61" customFormat="1" ht="15.75" x14ac:dyDescent="0.25">
      <c r="A3140" s="485">
        <v>3</v>
      </c>
      <c r="B3140" s="486" t="s">
        <v>291</v>
      </c>
      <c r="C3140" s="487" t="s">
        <v>3733</v>
      </c>
      <c r="D3140" s="488" t="s">
        <v>292</v>
      </c>
      <c r="E3140" s="489">
        <v>35.950000000000003</v>
      </c>
      <c r="F3140" s="516" t="s">
        <v>293</v>
      </c>
      <c r="G3140" s="232">
        <v>0</v>
      </c>
      <c r="H3140" s="658" t="str">
        <f>IF(G3140=0,"",IF(F3140="Buy",IF(G3140=1,"plant","plants"),IF(F3140&gt;0.01,"warranty","Error")))</f>
        <v/>
      </c>
      <c r="I3140" s="490">
        <f>IF(H3140="free",0,IF(H3140="credit",((E3140*(F3140))*G3140*-1),IF(F3140="Buy",(E3140*G3140),((E3140*(1-F3140))*G3140))))</f>
        <v>0</v>
      </c>
      <c r="J3140" s="490">
        <f>IF(H3140="warranty",0,(I3140*(_xlfn.SINGLE(SalesTaxPercentage))))</f>
        <v>0</v>
      </c>
      <c r="K3140" s="695">
        <f t="shared" ref="K3140" si="2416">I3140+J3140</f>
        <v>0</v>
      </c>
      <c r="L3140" s="695"/>
      <c r="M3140" s="659" t="str">
        <f>IF(AND(G3140&gt;0,E3140=0),"WARNING - no PRICE inserted",IF(H3140="free"," FREE ~ no charge this plant",IF(H3140="credit",CONCATENATE(" -$",ROUND(K3140*(1-T2GDiscount)*-1,2)," CREDIT after discount"),IF(T2GDiscount=0,"",IF(G3140=0,"",IF(F3140="Buy",CONCATENATE(" $",ROUND(K3140*(1-T2GDiscount),2)," with ",(T2GDiscount*100),"% discount"),CONCATENATE(" $",ROUND(K3140*(1-T2GDiscount),2)," with ",((T2GDiscount*100+F3140*100)-(T2GDiscount*100*F3140)),IF(F3140&gt;0,"% discounts",IF(NoWarrantyDiscount&gt;0,"% discounts","% discount")))))))))</f>
        <v/>
      </c>
      <c r="N3140" s="660"/>
      <c r="O3140" s="233"/>
      <c r="P3140" s="233"/>
      <c r="Q3140" s="233"/>
      <c r="R3140" s="233"/>
      <c r="S3140" s="233"/>
      <c r="T3140" s="508">
        <f t="shared" si="2380"/>
        <v>0</v>
      </c>
      <c r="U3140" s="225">
        <f>IF(NOT(ISNUMBER(G3140)), "", VLOOKUP(A3140,'Discount Lookup'!D:E,2,FALSE)*G3140)</f>
        <v>0</v>
      </c>
      <c r="V3140" s="225">
        <f>IF(NOT(ISNUMBER(G3140)), "", VLOOKUP(A3140,'Discount Lookup'!G:H,2,FALSE)*G3140)</f>
        <v>0</v>
      </c>
      <c r="W3140" s="508">
        <f t="shared" si="2381"/>
        <v>0</v>
      </c>
      <c r="X3140" s="508">
        <f t="shared" si="2382"/>
        <v>0</v>
      </c>
      <c r="Y3140" s="509" t="b">
        <f t="shared" si="2383"/>
        <v>0</v>
      </c>
      <c r="Z3140" s="510">
        <f t="shared" si="2384"/>
        <v>0</v>
      </c>
      <c r="AA3140" s="511"/>
      <c r="AB3140" s="511" t="str">
        <f t="shared" si="2385"/>
        <v/>
      </c>
      <c r="AC3140" s="698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698"/>
      <c r="AE3140" s="631" t="str">
        <f t="shared" si="2386"/>
        <v/>
      </c>
      <c r="AF3140" s="699" t="str">
        <f t="shared" si="2387"/>
        <v/>
      </c>
      <c r="AG3140" s="699"/>
      <c r="AH3140" s="699"/>
      <c r="AI3140" s="512">
        <f>IF(H3140="credit",0,IF(AE3140="free",0,IF(AE3140="me",0,IF(G3140&gt;0,(VLOOKUP(A3140,'Discount Lookup'!J:K,2)*G3140),0))))</f>
        <v>0</v>
      </c>
      <c r="AJ3140" s="513" t="str">
        <f t="shared" ca="1" si="2388"/>
        <v/>
      </c>
      <c r="AK3140" s="700" t="str">
        <f t="shared" si="2389"/>
        <v/>
      </c>
      <c r="AL3140" s="700"/>
      <c r="AM3140" s="505" t="str">
        <f t="shared" si="2390"/>
        <v/>
      </c>
      <c r="AN3140" s="506"/>
      <c r="AO3140" s="507"/>
      <c r="AP3140" s="507"/>
      <c r="AQ3140" s="507"/>
      <c r="AR3140" s="507"/>
      <c r="AS3140" s="507"/>
      <c r="AT3140" s="507"/>
      <c r="AU3140" s="507"/>
      <c r="AV3140" s="225"/>
      <c r="AW3140" s="508"/>
      <c r="AX3140" s="225"/>
      <c r="AY3140" s="225"/>
      <c r="AZ3140" s="225"/>
      <c r="BA3140" s="225"/>
      <c r="BB3140" s="225"/>
      <c r="BC3140" s="56"/>
      <c r="BD3140" s="56"/>
      <c r="BE3140" s="56"/>
      <c r="BF3140" s="107" t="str">
        <f t="shared" si="2391"/>
        <v>https://www.google.com/search?tbm=isch&amp;q=3%20G4</v>
      </c>
      <c r="BG3140" s="107" t="str">
        <f t="shared" si="2392"/>
        <v>R</v>
      </c>
      <c r="BH3140" s="254"/>
      <c r="BI3140" s="254"/>
    </row>
    <row r="3141" spans="1:61" customFormat="1" ht="15.75" x14ac:dyDescent="0.25">
      <c r="A3141" s="485">
        <v>3</v>
      </c>
      <c r="B3141" s="486" t="s">
        <v>291</v>
      </c>
      <c r="C3141" s="487" t="s">
        <v>2796</v>
      </c>
      <c r="D3141" s="488" t="s">
        <v>299</v>
      </c>
      <c r="E3141" s="489">
        <v>35.950000000000003</v>
      </c>
      <c r="F3141" s="516" t="s">
        <v>293</v>
      </c>
      <c r="G3141" s="232">
        <v>0</v>
      </c>
      <c r="H3141" s="658" t="str">
        <f>IF(G3141=0,"",IF(F3141="Buy",IF(G3141=1,"plant","plants"),IF(F3141&gt;0.01,"warranty","Error")))</f>
        <v/>
      </c>
      <c r="I3141" s="490">
        <f>IF(H3141="free",0,IF(H3141="credit",((E3141*(F3141))*G3141*-1),IF(F3141="Buy",(E3141*G3141),((E3141*(1-F3141))*G3141))))</f>
        <v>0</v>
      </c>
      <c r="J3141" s="490">
        <f>IF(H3141="warranty",0,(I3141*(_xlfn.SINGLE(SalesTaxPercentage))))</f>
        <v>0</v>
      </c>
      <c r="K3141" s="695">
        <f t="shared" ref="K3141" si="2417">I3141+J3141</f>
        <v>0</v>
      </c>
      <c r="L3141" s="695"/>
      <c r="M3141" s="659" t="str">
        <f>IF(AND(G3141&gt;0,E3141=0),"WARNING - no PRICE inserted",IF(H3141="free"," FREE ~ no charge this plant",IF(H3141="credit",CONCATENATE(" -$",ROUND(K3141*(1-T2GDiscount)*-1,2)," CREDIT after discount"),IF(T2GDiscount=0,"",IF(G3141=0,"",IF(F3141="Buy",CONCATENATE(" $",ROUND(K3141*(1-T2GDiscount),2)," with ",(T2GDiscount*100),"% discount"),CONCATENATE(" $",ROUND(K3141*(1-T2GDiscount),2)," with ",((T2GDiscount*100+F3141*100)-(T2GDiscount*100*F3141)),IF(F3141&gt;0,"% discounts",IF(NoWarrantyDiscount&gt;0,"% discounts","% discount")))))))))</f>
        <v/>
      </c>
      <c r="N3141" s="660"/>
      <c r="O3141" s="233"/>
      <c r="P3141" s="233"/>
      <c r="Q3141" s="233"/>
      <c r="R3141" s="233"/>
      <c r="S3141" s="233"/>
      <c r="T3141" s="508">
        <f t="shared" si="2380"/>
        <v>0</v>
      </c>
      <c r="U3141" s="225">
        <f>IF(NOT(ISNUMBER(G3141)), "", VLOOKUP(A3141,'Discount Lookup'!D:E,2,FALSE)*G3141)</f>
        <v>0</v>
      </c>
      <c r="V3141" s="225">
        <f>IF(NOT(ISNUMBER(G3141)), "", VLOOKUP(A3141,'Discount Lookup'!G:H,2,FALSE)*G3141)</f>
        <v>0</v>
      </c>
      <c r="W3141" s="508">
        <f t="shared" si="2381"/>
        <v>0</v>
      </c>
      <c r="X3141" s="508">
        <f t="shared" si="2382"/>
        <v>0</v>
      </c>
      <c r="Y3141" s="509" t="b">
        <f t="shared" si="2383"/>
        <v>0</v>
      </c>
      <c r="Z3141" s="510">
        <f t="shared" si="2384"/>
        <v>0</v>
      </c>
      <c r="AA3141" s="511"/>
      <c r="AB3141" s="511" t="str">
        <f t="shared" si="2385"/>
        <v/>
      </c>
      <c r="AC3141" s="698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698"/>
      <c r="AE3141" s="631" t="str">
        <f t="shared" si="2386"/>
        <v/>
      </c>
      <c r="AF3141" s="699" t="str">
        <f t="shared" si="2387"/>
        <v/>
      </c>
      <c r="AG3141" s="699"/>
      <c r="AH3141" s="699"/>
      <c r="AI3141" s="512">
        <f>IF(H3141="credit",0,IF(AE3141="free",0,IF(AE3141="me",0,IF(G3141&gt;0,(VLOOKUP(A3141,'Discount Lookup'!J:K,2)*G3141),0))))</f>
        <v>0</v>
      </c>
      <c r="AJ3141" s="513" t="str">
        <f t="shared" ca="1" si="2388"/>
        <v/>
      </c>
      <c r="AK3141" s="700" t="str">
        <f t="shared" si="2389"/>
        <v/>
      </c>
      <c r="AL3141" s="700"/>
      <c r="AM3141" s="505" t="str">
        <f t="shared" si="2390"/>
        <v/>
      </c>
      <c r="AN3141" s="506"/>
      <c r="AO3141" s="507"/>
      <c r="AP3141" s="507"/>
      <c r="AQ3141" s="507"/>
      <c r="AR3141" s="507"/>
      <c r="AS3141" s="507"/>
      <c r="AT3141" s="507"/>
      <c r="AU3141" s="507"/>
      <c r="AV3141" s="225"/>
      <c r="AW3141" s="508"/>
      <c r="AX3141" s="225"/>
      <c r="AY3141" s="225"/>
      <c r="AZ3141" s="225"/>
      <c r="BA3141" s="225"/>
      <c r="BB3141" s="225"/>
      <c r="BC3141" s="56"/>
      <c r="BD3141" s="56"/>
      <c r="BE3141" s="56"/>
      <c r="BF3141" s="107" t="str">
        <f t="shared" si="2391"/>
        <v>https://www.google.com/search?tbm=isch&amp;q=3%20G5</v>
      </c>
      <c r="BG3141" s="107" t="str">
        <f t="shared" si="2392"/>
        <v>R</v>
      </c>
      <c r="BH3141" s="254"/>
      <c r="BI3141" s="254"/>
    </row>
    <row r="3142" spans="1:61" customFormat="1" ht="17.25" thickBot="1" x14ac:dyDescent="0.3">
      <c r="A3142" s="672" t="s">
        <v>5221</v>
      </c>
      <c r="B3142" s="491"/>
      <c r="C3142" s="675"/>
      <c r="D3142" s="491"/>
      <c r="E3142" s="491"/>
      <c r="F3142" s="492"/>
      <c r="G3142" s="493"/>
      <c r="H3142" s="491"/>
      <c r="I3142" s="234"/>
      <c r="J3142" s="234"/>
      <c r="K3142" s="494"/>
      <c r="L3142" s="543"/>
      <c r="M3142" s="561"/>
      <c r="N3142" s="495"/>
      <c r="O3142" s="496"/>
      <c r="P3142" s="497"/>
      <c r="Q3142" s="495"/>
      <c r="R3142" s="495"/>
      <c r="S3142" s="667" t="s">
        <v>4995</v>
      </c>
      <c r="T3142" s="508">
        <f t="shared" si="2380"/>
        <v>0</v>
      </c>
      <c r="U3142" s="225" t="str">
        <f>IF(NOT(ISNUMBER(G3142)), "", VLOOKUP(A3142,'Discount Lookup'!D:E,2,FALSE)*G3142)</f>
        <v/>
      </c>
      <c r="V3142" s="225" t="str">
        <f>IF(NOT(ISNUMBER(G3142)), "", VLOOKUP(A3142,'Discount Lookup'!G:H,2,FALSE)*G3142)</f>
        <v/>
      </c>
      <c r="W3142" s="508">
        <f t="shared" si="2381"/>
        <v>0</v>
      </c>
      <c r="X3142" s="508">
        <f t="shared" si="2382"/>
        <v>0</v>
      </c>
      <c r="Y3142" s="509" t="b">
        <f t="shared" si="2383"/>
        <v>0</v>
      </c>
      <c r="Z3142" s="510">
        <f t="shared" si="2384"/>
        <v>0</v>
      </c>
      <c r="AA3142" s="511"/>
      <c r="AB3142" s="511" t="str">
        <f t="shared" si="2385"/>
        <v/>
      </c>
      <c r="AC3142" s="698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698"/>
      <c r="AE3142" s="631" t="str">
        <f t="shared" si="2386"/>
        <v/>
      </c>
      <c r="AF3142" s="699" t="str">
        <f t="shared" si="2387"/>
        <v/>
      </c>
      <c r="AG3142" s="699"/>
      <c r="AH3142" s="699"/>
      <c r="AI3142" s="512">
        <f>IF(H3142="credit",0,IF(AE3142="free",0,IF(AE3142="me",0,IF(G3142&gt;0,(VLOOKUP(A3142,'Discount Lookup'!J:K,2)*G3142),0))))</f>
        <v>0</v>
      </c>
      <c r="AJ3142" s="513" t="str">
        <f t="shared" ca="1" si="2388"/>
        <v/>
      </c>
      <c r="AK3142" s="700" t="str">
        <f t="shared" si="2389"/>
        <v/>
      </c>
      <c r="AL3142" s="700"/>
      <c r="AM3142" s="505" t="str">
        <f t="shared" si="2390"/>
        <v/>
      </c>
      <c r="AN3142" s="506"/>
      <c r="AO3142" s="507"/>
      <c r="AP3142" s="507"/>
      <c r="AQ3142" s="507"/>
      <c r="AR3142" s="507"/>
      <c r="AS3142" s="507"/>
      <c r="AT3142" s="507"/>
      <c r="AU3142" s="507"/>
      <c r="AV3142" s="225"/>
      <c r="AW3142" s="508"/>
      <c r="AX3142" s="225"/>
      <c r="AY3142" s="225"/>
      <c r="AZ3142" s="225"/>
      <c r="BA3142" s="225"/>
      <c r="BB3142" s="225"/>
      <c r="BC3142" s="56"/>
      <c r="BD3142" s="56"/>
      <c r="BE3142" s="56"/>
      <c r="BF3142" s="107" t="str">
        <f t="shared" si="2391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142" s="107" t="str">
        <f t="shared" si="2392"/>
        <v>m</v>
      </c>
      <c r="BH3142" s="254"/>
      <c r="BI3142" s="254"/>
    </row>
    <row r="3143" spans="1:61" customFormat="1" ht="18" x14ac:dyDescent="0.25">
      <c r="A3143" s="521" t="s">
        <v>1640</v>
      </c>
      <c r="B3143" s="477"/>
      <c r="C3143" s="674"/>
      <c r="D3143" s="478" t="s">
        <v>1641</v>
      </c>
      <c r="E3143" s="479"/>
      <c r="F3143" s="479"/>
      <c r="G3143" s="479"/>
      <c r="H3143" s="582" t="s">
        <v>720</v>
      </c>
      <c r="I3143" s="480" t="s">
        <v>2517</v>
      </c>
      <c r="J3143" s="479"/>
      <c r="K3143" s="479"/>
      <c r="L3143" s="560"/>
      <c r="M3143" s="666" t="s">
        <v>4966</v>
      </c>
      <c r="N3143" s="680" t="str">
        <f>IF(AND(ISTEXT($A3143), ISERROR($A3143+0)), HYPERLINK($BF3143, "Images"), "")</f>
        <v>Images</v>
      </c>
      <c r="O3143" s="662" t="s">
        <v>4969</v>
      </c>
      <c r="P3143" s="482"/>
      <c r="Q3143" s="483"/>
      <c r="R3143" s="483"/>
      <c r="S3143" s="484"/>
      <c r="T3143" s="508">
        <f t="shared" si="2380"/>
        <v>0</v>
      </c>
      <c r="U3143" s="225" t="str">
        <f>IF(NOT(ISNUMBER(G3143)), "", VLOOKUP(A3143,'Discount Lookup'!D:E,2,FALSE)*G3143)</f>
        <v/>
      </c>
      <c r="V3143" s="225" t="str">
        <f>IF(NOT(ISNUMBER(G3143)), "", VLOOKUP(A3143,'Discount Lookup'!G:H,2,FALSE)*G3143)</f>
        <v/>
      </c>
      <c r="W3143" s="508">
        <f t="shared" si="2381"/>
        <v>0</v>
      </c>
      <c r="X3143" s="508" t="str">
        <f t="shared" si="2382"/>
        <v>White bloom, Rosy sepals</v>
      </c>
      <c r="Y3143" s="509" t="b">
        <f t="shared" si="2383"/>
        <v>0</v>
      </c>
      <c r="Z3143" s="510">
        <f t="shared" si="2384"/>
        <v>0</v>
      </c>
      <c r="AA3143" s="511"/>
      <c r="AB3143" s="511" t="str">
        <f t="shared" si="2385"/>
        <v/>
      </c>
      <c r="AC3143" s="698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698"/>
      <c r="AE3143" s="631" t="str">
        <f t="shared" si="2386"/>
        <v/>
      </c>
      <c r="AF3143" s="699" t="str">
        <f t="shared" si="2387"/>
        <v/>
      </c>
      <c r="AG3143" s="699"/>
      <c r="AH3143" s="699"/>
      <c r="AI3143" s="512">
        <f>IF(H3143="credit",0,IF(AE3143="free",0,IF(AE3143="me",0,IF(G3143&gt;0,(VLOOKUP(A3143,'Discount Lookup'!J:K,2)*G3143),0))))</f>
        <v>0</v>
      </c>
      <c r="AJ3143" s="513" t="str">
        <f t="shared" ca="1" si="2388"/>
        <v/>
      </c>
      <c r="AK3143" s="700" t="str">
        <f t="shared" si="2389"/>
        <v/>
      </c>
      <c r="AL3143" s="700"/>
      <c r="AM3143" s="505" t="str">
        <f t="shared" si="2390"/>
        <v/>
      </c>
      <c r="AN3143" s="506"/>
      <c r="AO3143" s="507"/>
      <c r="AP3143" s="507"/>
      <c r="AQ3143" s="507"/>
      <c r="AR3143" s="507"/>
      <c r="AS3143" s="507"/>
      <c r="AT3143" s="507"/>
      <c r="AU3143" s="507"/>
      <c r="AV3143" s="225"/>
      <c r="AW3143" s="508"/>
      <c r="AX3143" s="225"/>
      <c r="AY3143" s="225"/>
      <c r="AZ3143" s="225"/>
      <c r="BA3143" s="225"/>
      <c r="BB3143" s="225"/>
      <c r="BC3143" s="56"/>
      <c r="BD3143" s="56"/>
      <c r="BE3143" s="56"/>
      <c r="BF3143" s="107" t="str">
        <f t="shared" si="2391"/>
        <v>https://www.google.com/search?tbm=isch&amp;q=Rose%20Creek%20Abelia%20Abelia%20x%20grandiflora%20%27Rose%20Creek%27</v>
      </c>
      <c r="BG3143" s="107" t="str">
        <f t="shared" si="2392"/>
        <v>R</v>
      </c>
      <c r="BH3143" s="254"/>
      <c r="BI3143" s="254"/>
    </row>
    <row r="3144" spans="1:61" customFormat="1" ht="15.75" x14ac:dyDescent="0.25">
      <c r="A3144" s="485">
        <v>3</v>
      </c>
      <c r="B3144" s="486" t="s">
        <v>291</v>
      </c>
      <c r="C3144" s="487" t="s">
        <v>2464</v>
      </c>
      <c r="D3144" s="488" t="s">
        <v>297</v>
      </c>
      <c r="E3144" s="489">
        <v>22.95</v>
      </c>
      <c r="F3144" s="516" t="s">
        <v>293</v>
      </c>
      <c r="G3144" s="232">
        <v>0</v>
      </c>
      <c r="H3144" s="658" t="str">
        <f>IF(G3144=0,"",IF(F3144="Buy",IF(G3144=1,"plant","plants"),IF(F3144&gt;0.01,"warranty","Error")))</f>
        <v/>
      </c>
      <c r="I3144" s="490">
        <f>IF(H3144="free",0,IF(H3144="credit",((E3144*(F3144))*G3144*-1),IF(F3144="Buy",(E3144*G3144),((E3144*(1-F3144))*G3144))))</f>
        <v>0</v>
      </c>
      <c r="J3144" s="490">
        <f>IF(H3144="warranty",0,(I3144*(_xlfn.SINGLE(SalesTaxPercentage))))</f>
        <v>0</v>
      </c>
      <c r="K3144" s="695">
        <f t="shared" ref="K3144" si="2418">I3144+J3144</f>
        <v>0</v>
      </c>
      <c r="L3144" s="695"/>
      <c r="M3144" s="659" t="str">
        <f>IF(AND(G3144&gt;0,E3144=0),"WARNING - no PRICE inserted",IF(H3144="free"," FREE ~ no charge this plant",IF(H3144="credit",CONCATENATE(" -$",ROUND(K3144*(1-T2GDiscount)*-1,2)," CREDIT after discount"),IF(T2GDiscount=0,"",IF(G3144=0,"",IF(F3144="Buy",CONCATENATE(" $",ROUND(K3144*(1-T2GDiscount),2)," with ",(T2GDiscount*100),"% discount"),CONCATENATE(" $",ROUND(K3144*(1-T2GDiscount),2)," with ",((T2GDiscount*100+F3144*100)-(T2GDiscount*100*F3144)),IF(F3144&gt;0,"% discounts",IF(NoWarrantyDiscount&gt;0,"% discounts","% discount")))))))))</f>
        <v/>
      </c>
      <c r="N3144" s="660"/>
      <c r="O3144" s="233"/>
      <c r="P3144" s="233"/>
      <c r="Q3144" s="233"/>
      <c r="R3144" s="233"/>
      <c r="S3144" s="233"/>
      <c r="T3144" s="508">
        <f t="shared" si="2380"/>
        <v>0</v>
      </c>
      <c r="U3144" s="225">
        <f>IF(NOT(ISNUMBER(G3144)), "", VLOOKUP(A3144,'Discount Lookup'!D:E,2,FALSE)*G3144)</f>
        <v>0</v>
      </c>
      <c r="V3144" s="225">
        <f>IF(NOT(ISNUMBER(G3144)), "", VLOOKUP(A3144,'Discount Lookup'!G:H,2,FALSE)*G3144)</f>
        <v>0</v>
      </c>
      <c r="W3144" s="508">
        <f t="shared" si="2381"/>
        <v>0</v>
      </c>
      <c r="X3144" s="508">
        <f t="shared" si="2382"/>
        <v>0</v>
      </c>
      <c r="Y3144" s="509" t="b">
        <f t="shared" si="2383"/>
        <v>0</v>
      </c>
      <c r="Z3144" s="510">
        <f t="shared" si="2384"/>
        <v>0</v>
      </c>
      <c r="AA3144" s="511"/>
      <c r="AB3144" s="511" t="str">
        <f t="shared" si="2385"/>
        <v/>
      </c>
      <c r="AC3144" s="698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698"/>
      <c r="AE3144" s="631" t="str">
        <f t="shared" si="2386"/>
        <v/>
      </c>
      <c r="AF3144" s="699" t="str">
        <f t="shared" si="2387"/>
        <v/>
      </c>
      <c r="AG3144" s="699"/>
      <c r="AH3144" s="699"/>
      <c r="AI3144" s="512">
        <f>IF(H3144="credit",0,IF(AE3144="free",0,IF(AE3144="me",0,IF(G3144&gt;0,(VLOOKUP(A3144,'Discount Lookup'!J:K,2)*G3144),0))))</f>
        <v>0</v>
      </c>
      <c r="AJ3144" s="513" t="str">
        <f t="shared" ca="1" si="2388"/>
        <v/>
      </c>
      <c r="AK3144" s="700" t="str">
        <f t="shared" si="2389"/>
        <v/>
      </c>
      <c r="AL3144" s="700"/>
      <c r="AM3144" s="505" t="str">
        <f t="shared" si="2390"/>
        <v/>
      </c>
      <c r="AN3144" s="506"/>
      <c r="AO3144" s="507"/>
      <c r="AP3144" s="507"/>
      <c r="AQ3144" s="507"/>
      <c r="AR3144" s="507"/>
      <c r="AS3144" s="507"/>
      <c r="AT3144" s="507"/>
      <c r="AU3144" s="507"/>
      <c r="AV3144" s="225"/>
      <c r="AW3144" s="508"/>
      <c r="AX3144" s="225"/>
      <c r="AY3144" s="225"/>
      <c r="AZ3144" s="225"/>
      <c r="BA3144" s="225"/>
      <c r="BB3144" s="225"/>
      <c r="BC3144" s="56"/>
      <c r="BD3144" s="56"/>
      <c r="BE3144" s="56"/>
      <c r="BF3144" s="107" t="str">
        <f t="shared" si="2391"/>
        <v>https://www.google.com/search?tbm=isch&amp;q=3%20G3</v>
      </c>
      <c r="BG3144" s="107" t="str">
        <f t="shared" si="2392"/>
        <v>R</v>
      </c>
      <c r="BH3144" s="254"/>
      <c r="BI3144" s="254"/>
    </row>
    <row r="3145" spans="1:61" customFormat="1" ht="15.75" x14ac:dyDescent="0.25">
      <c r="A3145" s="485">
        <v>3</v>
      </c>
      <c r="B3145" s="486" t="s">
        <v>291</v>
      </c>
      <c r="C3145" s="487" t="s">
        <v>329</v>
      </c>
      <c r="D3145" s="488" t="s">
        <v>298</v>
      </c>
      <c r="E3145" s="489">
        <v>25.95</v>
      </c>
      <c r="F3145" s="516" t="s">
        <v>293</v>
      </c>
      <c r="G3145" s="232">
        <v>0</v>
      </c>
      <c r="H3145" s="658" t="str">
        <f>IF(G3145=0,"",IF(F3145="Buy",IF(G3145=1,"plant","plants"),IF(F3145&gt;0.01,"warranty","Error")))</f>
        <v/>
      </c>
      <c r="I3145" s="490">
        <f>IF(H3145="free",0,IF(H3145="credit",((E3145*(F3145))*G3145*-1),IF(F3145="Buy",(E3145*G3145),((E3145*(1-F3145))*G3145))))</f>
        <v>0</v>
      </c>
      <c r="J3145" s="490">
        <f>IF(H3145="warranty",0,(I3145*(_xlfn.SINGLE(SalesTaxPercentage))))</f>
        <v>0</v>
      </c>
      <c r="K3145" s="695">
        <f t="shared" ref="K3145" si="2419">I3145+J3145</f>
        <v>0</v>
      </c>
      <c r="L3145" s="695"/>
      <c r="M3145" s="659" t="str">
        <f>IF(AND(G3145&gt;0,E3145=0),"WARNING - no PRICE inserted",IF(H3145="free"," FREE ~ no charge this plant",IF(H3145="credit",CONCATENATE(" -$",ROUND(K3145*(1-T2GDiscount)*-1,2)," CREDIT after discount"),IF(T2GDiscount=0,"",IF(G3145=0,"",IF(F3145="Buy",CONCATENATE(" $",ROUND(K3145*(1-T2GDiscount),2)," with ",(T2GDiscount*100),"% discount"),CONCATENATE(" $",ROUND(K3145*(1-T2GDiscount),2)," with ",((T2GDiscount*100+F3145*100)-(T2GDiscount*100*F3145)),IF(F3145&gt;0,"% discounts",IF(NoWarrantyDiscount&gt;0,"% discounts","% discount")))))))))</f>
        <v/>
      </c>
      <c r="N3145" s="660"/>
      <c r="O3145" s="233"/>
      <c r="P3145" s="233"/>
      <c r="Q3145" s="233"/>
      <c r="R3145" s="233"/>
      <c r="S3145" s="233"/>
      <c r="T3145" s="508">
        <f t="shared" si="2380"/>
        <v>0</v>
      </c>
      <c r="U3145" s="225">
        <f>IF(NOT(ISNUMBER(G3145)), "", VLOOKUP(A3145,'Discount Lookup'!D:E,2,FALSE)*G3145)</f>
        <v>0</v>
      </c>
      <c r="V3145" s="225">
        <f>IF(NOT(ISNUMBER(G3145)), "", VLOOKUP(A3145,'Discount Lookup'!G:H,2,FALSE)*G3145)</f>
        <v>0</v>
      </c>
      <c r="W3145" s="508">
        <f t="shared" si="2381"/>
        <v>0</v>
      </c>
      <c r="X3145" s="508">
        <f t="shared" si="2382"/>
        <v>0</v>
      </c>
      <c r="Y3145" s="509" t="b">
        <f t="shared" si="2383"/>
        <v>0</v>
      </c>
      <c r="Z3145" s="510">
        <f t="shared" si="2384"/>
        <v>0</v>
      </c>
      <c r="AA3145" s="511"/>
      <c r="AB3145" s="511" t="str">
        <f t="shared" si="2385"/>
        <v/>
      </c>
      <c r="AC3145" s="698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698"/>
      <c r="AE3145" s="631" t="str">
        <f t="shared" si="2386"/>
        <v/>
      </c>
      <c r="AF3145" s="699" t="str">
        <f t="shared" si="2387"/>
        <v/>
      </c>
      <c r="AG3145" s="699"/>
      <c r="AH3145" s="699"/>
      <c r="AI3145" s="512">
        <f>IF(H3145="credit",0,IF(AE3145="free",0,IF(AE3145="me",0,IF(G3145&gt;0,(VLOOKUP(A3145,'Discount Lookup'!J:K,2)*G3145),0))))</f>
        <v>0</v>
      </c>
      <c r="AJ3145" s="513" t="str">
        <f t="shared" ca="1" si="2388"/>
        <v/>
      </c>
      <c r="AK3145" s="700" t="str">
        <f t="shared" si="2389"/>
        <v/>
      </c>
      <c r="AL3145" s="700"/>
      <c r="AM3145" s="505" t="str">
        <f t="shared" si="2390"/>
        <v/>
      </c>
      <c r="AN3145" s="506"/>
      <c r="AO3145" s="507"/>
      <c r="AP3145" s="507"/>
      <c r="AQ3145" s="507"/>
      <c r="AR3145" s="507"/>
      <c r="AS3145" s="507"/>
      <c r="AT3145" s="507"/>
      <c r="AU3145" s="507"/>
      <c r="AV3145" s="225"/>
      <c r="AW3145" s="508"/>
      <c r="AX3145" s="225"/>
      <c r="AY3145" s="225"/>
      <c r="AZ3145" s="225"/>
      <c r="BA3145" s="225"/>
      <c r="BB3145" s="225"/>
      <c r="BC3145" s="56"/>
      <c r="BD3145" s="56"/>
      <c r="BE3145" s="56"/>
      <c r="BF3145" s="107" t="str">
        <f t="shared" si="2391"/>
        <v>https://www.google.com/search?tbm=isch&amp;q=3%20G1</v>
      </c>
      <c r="BG3145" s="107" t="str">
        <f t="shared" si="2392"/>
        <v>R</v>
      </c>
      <c r="BH3145" s="254"/>
      <c r="BI3145" s="254"/>
    </row>
    <row r="3146" spans="1:61" customFormat="1" ht="15.75" x14ac:dyDescent="0.25">
      <c r="A3146" s="485">
        <v>3</v>
      </c>
      <c r="B3146" s="486" t="s">
        <v>291</v>
      </c>
      <c r="C3146" s="487" t="s">
        <v>4808</v>
      </c>
      <c r="D3146" s="488" t="s">
        <v>312</v>
      </c>
      <c r="E3146" s="489">
        <v>28.95</v>
      </c>
      <c r="F3146" s="516" t="s">
        <v>293</v>
      </c>
      <c r="G3146" s="232">
        <v>0</v>
      </c>
      <c r="H3146" s="658" t="str">
        <f>IF(G3146=0,"",IF(F3146="Buy",IF(G3146=1,"plant","plants"),IF(F3146&gt;0.01,"warranty","Error")))</f>
        <v/>
      </c>
      <c r="I3146" s="490">
        <f>IF(H3146="free",0,IF(H3146="credit",((E3146*(F3146))*G3146*-1),IF(F3146="Buy",(E3146*G3146),((E3146*(1-F3146))*G3146))))</f>
        <v>0</v>
      </c>
      <c r="J3146" s="490">
        <f>IF(H3146="warranty",0,(I3146*(_xlfn.SINGLE(SalesTaxPercentage))))</f>
        <v>0</v>
      </c>
      <c r="K3146" s="695">
        <f t="shared" ref="K3146" si="2420">I3146+J3146</f>
        <v>0</v>
      </c>
      <c r="L3146" s="695"/>
      <c r="M3146" s="659" t="str">
        <f>IF(AND(G3146&gt;0,E3146=0),"WARNING - no PRICE inserted",IF(H3146="free"," FREE ~ no charge this plant",IF(H3146="credit",CONCATENATE(" -$",ROUND(K3146*(1-T2GDiscount)*-1,2)," CREDIT after discount"),IF(T2GDiscount=0,"",IF(G3146=0,"",IF(F3146="Buy",CONCATENATE(" $",ROUND(K3146*(1-T2GDiscount),2)," with ",(T2GDiscount*100),"% discount"),CONCATENATE(" $",ROUND(K3146*(1-T2GDiscount),2)," with ",((T2GDiscount*100+F3146*100)-(T2GDiscount*100*F3146)),IF(F3146&gt;0,"% discounts",IF(NoWarrantyDiscount&gt;0,"% discounts","% discount")))))))))</f>
        <v/>
      </c>
      <c r="N3146" s="660"/>
      <c r="O3146" s="233"/>
      <c r="P3146" s="233"/>
      <c r="Q3146" s="233"/>
      <c r="R3146" s="233"/>
      <c r="S3146" s="233"/>
      <c r="T3146" s="508">
        <f t="shared" si="2380"/>
        <v>0</v>
      </c>
      <c r="U3146" s="225">
        <f>IF(NOT(ISNUMBER(G3146)), "", VLOOKUP(A3146,'Discount Lookup'!D:E,2,FALSE)*G3146)</f>
        <v>0</v>
      </c>
      <c r="V3146" s="225">
        <f>IF(NOT(ISNUMBER(G3146)), "", VLOOKUP(A3146,'Discount Lookup'!G:H,2,FALSE)*G3146)</f>
        <v>0</v>
      </c>
      <c r="W3146" s="508">
        <f t="shared" si="2381"/>
        <v>0</v>
      </c>
      <c r="X3146" s="508">
        <f t="shared" si="2382"/>
        <v>0</v>
      </c>
      <c r="Y3146" s="509" t="b">
        <f t="shared" si="2383"/>
        <v>0</v>
      </c>
      <c r="Z3146" s="510">
        <f t="shared" si="2384"/>
        <v>0</v>
      </c>
      <c r="AA3146" s="511"/>
      <c r="AB3146" s="511" t="str">
        <f t="shared" si="2385"/>
        <v/>
      </c>
      <c r="AC3146" s="698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698"/>
      <c r="AE3146" s="631" t="str">
        <f t="shared" si="2386"/>
        <v/>
      </c>
      <c r="AF3146" s="699" t="str">
        <f t="shared" si="2387"/>
        <v/>
      </c>
      <c r="AG3146" s="699"/>
      <c r="AH3146" s="699"/>
      <c r="AI3146" s="512">
        <f>IF(H3146="credit",0,IF(AE3146="free",0,IF(AE3146="me",0,IF(G3146&gt;0,(VLOOKUP(A3146,'Discount Lookup'!J:K,2)*G3146),0))))</f>
        <v>0</v>
      </c>
      <c r="AJ3146" s="513" t="str">
        <f t="shared" ca="1" si="2388"/>
        <v/>
      </c>
      <c r="AK3146" s="700" t="str">
        <f t="shared" si="2389"/>
        <v/>
      </c>
      <c r="AL3146" s="700"/>
      <c r="AM3146" s="505" t="str">
        <f t="shared" si="2390"/>
        <v/>
      </c>
      <c r="AN3146" s="506"/>
      <c r="AO3146" s="507"/>
      <c r="AP3146" s="507"/>
      <c r="AQ3146" s="507"/>
      <c r="AR3146" s="507"/>
      <c r="AS3146" s="507"/>
      <c r="AT3146" s="507"/>
      <c r="AU3146" s="507"/>
      <c r="AV3146" s="225"/>
      <c r="AW3146" s="508"/>
      <c r="AX3146" s="225"/>
      <c r="AY3146" s="225"/>
      <c r="AZ3146" s="225"/>
      <c r="BA3146" s="225"/>
      <c r="BB3146" s="225"/>
      <c r="BC3146" s="56"/>
      <c r="BD3146" s="56"/>
      <c r="BE3146" s="56"/>
      <c r="BF3146" s="107" t="str">
        <f t="shared" si="2391"/>
        <v>https://www.google.com/search?tbm=isch&amp;q=3%20G2</v>
      </c>
      <c r="BG3146" s="107" t="str">
        <f t="shared" si="2392"/>
        <v>R</v>
      </c>
      <c r="BH3146" s="254"/>
      <c r="BI3146" s="254"/>
    </row>
    <row r="3147" spans="1:61" customFormat="1" ht="15.75" x14ac:dyDescent="0.25">
      <c r="A3147" s="485">
        <v>3</v>
      </c>
      <c r="B3147" s="486" t="s">
        <v>291</v>
      </c>
      <c r="C3147" s="487" t="s">
        <v>4021</v>
      </c>
      <c r="D3147" s="488" t="s">
        <v>300</v>
      </c>
      <c r="E3147" s="489">
        <v>28.95</v>
      </c>
      <c r="F3147" s="516" t="s">
        <v>293</v>
      </c>
      <c r="G3147" s="232">
        <v>0</v>
      </c>
      <c r="H3147" s="658" t="str">
        <f>IF(G3147=0,"",IF(F3147="Buy",IF(G3147=1,"plant","plants"),IF(F3147&gt;0.01,"warranty","Error")))</f>
        <v/>
      </c>
      <c r="I3147" s="490">
        <f>IF(H3147="free",0,IF(H3147="credit",((E3147*(F3147))*G3147*-1),IF(F3147="Buy",(E3147*G3147),((E3147*(1-F3147))*G3147))))</f>
        <v>0</v>
      </c>
      <c r="J3147" s="490">
        <f>IF(H3147="warranty",0,(I3147*(_xlfn.SINGLE(SalesTaxPercentage))))</f>
        <v>0</v>
      </c>
      <c r="K3147" s="695">
        <f t="shared" ref="K3147" si="2421">I3147+J3147</f>
        <v>0</v>
      </c>
      <c r="L3147" s="695"/>
      <c r="M3147" s="659" t="str">
        <f>IF(AND(G3147&gt;0,E3147=0),"WARNING - no PRICE inserted",IF(H3147="free"," FREE ~ no charge this plant",IF(H3147="credit",CONCATENATE(" -$",ROUND(K3147*(1-T2GDiscount)*-1,2)," CREDIT after discount"),IF(T2GDiscount=0,"",IF(G3147=0,"",IF(F3147="Buy",CONCATENATE(" $",ROUND(K3147*(1-T2GDiscount),2)," with ",(T2GDiscount*100),"% discount"),CONCATENATE(" $",ROUND(K3147*(1-T2GDiscount),2)," with ",((T2GDiscount*100+F3147*100)-(T2GDiscount*100*F3147)),IF(F3147&gt;0,"% discounts",IF(NoWarrantyDiscount&gt;0,"% discounts","% discount")))))))))</f>
        <v/>
      </c>
      <c r="N3147" s="660"/>
      <c r="O3147" s="233"/>
      <c r="P3147" s="233"/>
      <c r="Q3147" s="233"/>
      <c r="R3147" s="233"/>
      <c r="S3147" s="233"/>
      <c r="T3147" s="508">
        <f t="shared" si="2380"/>
        <v>0</v>
      </c>
      <c r="U3147" s="225">
        <f>IF(NOT(ISNUMBER(G3147)), "", VLOOKUP(A3147,'Discount Lookup'!D:E,2,FALSE)*G3147)</f>
        <v>0</v>
      </c>
      <c r="V3147" s="225">
        <f>IF(NOT(ISNUMBER(G3147)), "", VLOOKUP(A3147,'Discount Lookup'!G:H,2,FALSE)*G3147)</f>
        <v>0</v>
      </c>
      <c r="W3147" s="508">
        <f t="shared" si="2381"/>
        <v>0</v>
      </c>
      <c r="X3147" s="508">
        <f t="shared" si="2382"/>
        <v>0</v>
      </c>
      <c r="Y3147" s="509" t="b">
        <f t="shared" si="2383"/>
        <v>0</v>
      </c>
      <c r="Z3147" s="510">
        <f t="shared" si="2384"/>
        <v>0</v>
      </c>
      <c r="AA3147" s="511"/>
      <c r="AB3147" s="511" t="str">
        <f t="shared" si="2385"/>
        <v/>
      </c>
      <c r="AC3147" s="698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698"/>
      <c r="AE3147" s="631" t="str">
        <f t="shared" si="2386"/>
        <v/>
      </c>
      <c r="AF3147" s="699" t="str">
        <f t="shared" si="2387"/>
        <v/>
      </c>
      <c r="AG3147" s="699"/>
      <c r="AH3147" s="699"/>
      <c r="AI3147" s="512">
        <f>IF(H3147="credit",0,IF(AE3147="free",0,IF(AE3147="me",0,IF(G3147&gt;0,(VLOOKUP(A3147,'Discount Lookup'!J:K,2)*G3147),0))))</f>
        <v>0</v>
      </c>
      <c r="AJ3147" s="513" t="str">
        <f t="shared" ca="1" si="2388"/>
        <v/>
      </c>
      <c r="AK3147" s="700" t="str">
        <f t="shared" si="2389"/>
        <v/>
      </c>
      <c r="AL3147" s="700"/>
      <c r="AM3147" s="505" t="str">
        <f t="shared" si="2390"/>
        <v/>
      </c>
      <c r="AN3147" s="506"/>
      <c r="AO3147" s="507"/>
      <c r="AP3147" s="507"/>
      <c r="AQ3147" s="507"/>
      <c r="AR3147" s="507"/>
      <c r="AS3147" s="507"/>
      <c r="AT3147" s="507"/>
      <c r="AU3147" s="507"/>
      <c r="AV3147" s="225"/>
      <c r="AW3147" s="508"/>
      <c r="AX3147" s="225"/>
      <c r="AY3147" s="225"/>
      <c r="AZ3147" s="225"/>
      <c r="BA3147" s="225"/>
      <c r="BB3147" s="225"/>
      <c r="BC3147" s="56"/>
      <c r="BD3147" s="56"/>
      <c r="BE3147" s="56"/>
      <c r="BF3147" s="107" t="str">
        <f t="shared" si="2391"/>
        <v>https://www.google.com/search?tbm=isch&amp;q=3%20G6</v>
      </c>
      <c r="BG3147" s="107" t="str">
        <f t="shared" si="2392"/>
        <v>R</v>
      </c>
      <c r="BH3147" s="254"/>
      <c r="BI3147" s="254"/>
    </row>
    <row r="3148" spans="1:61" customFormat="1" ht="17.25" thickBot="1" x14ac:dyDescent="0.3">
      <c r="A3148" s="522" t="s">
        <v>2518</v>
      </c>
      <c r="B3148" s="491"/>
      <c r="C3148" s="675"/>
      <c r="D3148" s="491"/>
      <c r="E3148" s="491"/>
      <c r="F3148" s="492"/>
      <c r="G3148" s="493"/>
      <c r="H3148" s="491"/>
      <c r="I3148" s="234"/>
      <c r="J3148" s="234"/>
      <c r="K3148" s="494"/>
      <c r="L3148" s="543"/>
      <c r="M3148" s="561"/>
      <c r="N3148" s="495"/>
      <c r="O3148" s="496"/>
      <c r="P3148" s="497"/>
      <c r="Q3148" s="495"/>
      <c r="R3148" s="495"/>
      <c r="S3148" s="667" t="s">
        <v>4988</v>
      </c>
      <c r="T3148" s="508">
        <f t="shared" si="2380"/>
        <v>0</v>
      </c>
      <c r="U3148" s="225" t="str">
        <f>IF(NOT(ISNUMBER(G3148)), "", VLOOKUP(A3148,'Discount Lookup'!D:E,2,FALSE)*G3148)</f>
        <v/>
      </c>
      <c r="V3148" s="225" t="str">
        <f>IF(NOT(ISNUMBER(G3148)), "", VLOOKUP(A3148,'Discount Lookup'!G:H,2,FALSE)*G3148)</f>
        <v/>
      </c>
      <c r="W3148" s="508">
        <f t="shared" si="2381"/>
        <v>0</v>
      </c>
      <c r="X3148" s="508">
        <f t="shared" si="2382"/>
        <v>0</v>
      </c>
      <c r="Y3148" s="509" t="b">
        <f t="shared" si="2383"/>
        <v>0</v>
      </c>
      <c r="Z3148" s="510">
        <f t="shared" si="2384"/>
        <v>0</v>
      </c>
      <c r="AA3148" s="511"/>
      <c r="AB3148" s="511" t="str">
        <f t="shared" si="2385"/>
        <v/>
      </c>
      <c r="AC3148" s="698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698"/>
      <c r="AE3148" s="631" t="str">
        <f t="shared" si="2386"/>
        <v/>
      </c>
      <c r="AF3148" s="699" t="str">
        <f t="shared" si="2387"/>
        <v/>
      </c>
      <c r="AG3148" s="699"/>
      <c r="AH3148" s="699"/>
      <c r="AI3148" s="512">
        <f>IF(H3148="credit",0,IF(AE3148="free",0,IF(AE3148="me",0,IF(G3148&gt;0,(VLOOKUP(A3148,'Discount Lookup'!J:K,2)*G3148),0))))</f>
        <v>0</v>
      </c>
      <c r="AJ3148" s="513" t="str">
        <f t="shared" ca="1" si="2388"/>
        <v/>
      </c>
      <c r="AK3148" s="700" t="str">
        <f t="shared" si="2389"/>
        <v/>
      </c>
      <c r="AL3148" s="700"/>
      <c r="AM3148" s="505" t="str">
        <f t="shared" si="2390"/>
        <v/>
      </c>
      <c r="AN3148" s="506"/>
      <c r="AO3148" s="507"/>
      <c r="AP3148" s="507"/>
      <c r="AQ3148" s="507"/>
      <c r="AR3148" s="507"/>
      <c r="AS3148" s="507"/>
      <c r="AT3148" s="507"/>
      <c r="AU3148" s="507"/>
      <c r="AV3148" s="225"/>
      <c r="AW3148" s="508"/>
      <c r="AX3148" s="225"/>
      <c r="AY3148" s="225"/>
      <c r="AZ3148" s="225"/>
      <c r="BA3148" s="225"/>
      <c r="BB3148" s="225"/>
      <c r="BC3148" s="56"/>
      <c r="BD3148" s="56"/>
      <c r="BE3148" s="56"/>
      <c r="BF3148" s="107" t="str">
        <f t="shared" si="2391"/>
        <v>https://www.google.com/search?tbm=isch&amp;q=Rose%20Creek%20has%20glossy%20foliage%20that%20shifts%20from%20Pink%20to%20Purple-Green%2C%20then%20Bronzy%20in%20the%20winter.%20Mild%20fragrance%20</v>
      </c>
      <c r="BG3148" s="107" t="str">
        <f t="shared" si="2392"/>
        <v>R</v>
      </c>
      <c r="BH3148" s="254"/>
      <c r="BI3148" s="254"/>
    </row>
    <row r="3149" spans="1:61" customFormat="1" ht="18" x14ac:dyDescent="0.25">
      <c r="A3149" s="523" t="s">
        <v>5525</v>
      </c>
      <c r="B3149" s="235"/>
      <c r="C3149" s="676"/>
      <c r="D3149" s="255" t="s">
        <v>1642</v>
      </c>
      <c r="E3149" s="236"/>
      <c r="F3149" s="236"/>
      <c r="G3149" s="236"/>
      <c r="H3149" s="582" t="s">
        <v>3922</v>
      </c>
      <c r="I3149" s="498" t="s">
        <v>3923</v>
      </c>
      <c r="J3149" s="237"/>
      <c r="K3149" s="237"/>
      <c r="L3149" s="274"/>
      <c r="M3149" s="670" t="s">
        <v>4987</v>
      </c>
      <c r="N3149" s="681" t="str">
        <f>IF(AND(ISTEXT($A3149), ISERROR($A3149+0)), HYPERLINK($BF3149, "Images"), "")</f>
        <v>Images</v>
      </c>
      <c r="O3149" s="663" t="s">
        <v>4967</v>
      </c>
      <c r="P3149" s="253"/>
      <c r="Q3149" s="238"/>
      <c r="R3149" s="239"/>
      <c r="S3149" s="275"/>
      <c r="T3149" s="508">
        <f t="shared" si="2380"/>
        <v>0</v>
      </c>
      <c r="U3149" s="225" t="str">
        <f>IF(NOT(ISNUMBER(G3149)), "", VLOOKUP(A3149,'Discount Lookup'!D:E,2,FALSE)*G3149)</f>
        <v/>
      </c>
      <c r="V3149" s="225" t="str">
        <f>IF(NOT(ISNUMBER(G3149)), "", VLOOKUP(A3149,'Discount Lookup'!G:H,2,FALSE)*G3149)</f>
        <v/>
      </c>
      <c r="W3149" s="508">
        <f t="shared" si="2381"/>
        <v>0</v>
      </c>
      <c r="X3149" s="508" t="str">
        <f t="shared" si="2382"/>
        <v>Marbled Rose-Pink bloom</v>
      </c>
      <c r="Y3149" s="509" t="b">
        <f t="shared" si="2383"/>
        <v>0</v>
      </c>
      <c r="Z3149" s="510">
        <f t="shared" si="2384"/>
        <v>0</v>
      </c>
      <c r="AA3149" s="511"/>
      <c r="AB3149" s="511" t="str">
        <f t="shared" si="2385"/>
        <v/>
      </c>
      <c r="AC3149" s="698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698"/>
      <c r="AE3149" s="631" t="str">
        <f t="shared" si="2386"/>
        <v/>
      </c>
      <c r="AF3149" s="699" t="str">
        <f t="shared" si="2387"/>
        <v/>
      </c>
      <c r="AG3149" s="699"/>
      <c r="AH3149" s="699"/>
      <c r="AI3149" s="512">
        <f>IF(H3149="credit",0,IF(AE3149="free",0,IF(AE3149="me",0,IF(G3149&gt;0,(VLOOKUP(A3149,'Discount Lookup'!J:K,2)*G3149),0))))</f>
        <v>0</v>
      </c>
      <c r="AJ3149" s="513" t="str">
        <f t="shared" ca="1" si="2388"/>
        <v/>
      </c>
      <c r="AK3149" s="700" t="str">
        <f t="shared" si="2389"/>
        <v/>
      </c>
      <c r="AL3149" s="700"/>
      <c r="AM3149" s="505" t="str">
        <f t="shared" si="2390"/>
        <v/>
      </c>
      <c r="AN3149" s="506"/>
      <c r="AO3149" s="507"/>
      <c r="AP3149" s="507"/>
      <c r="AQ3149" s="507"/>
      <c r="AR3149" s="507"/>
      <c r="AS3149" s="507"/>
      <c r="AT3149" s="507"/>
      <c r="AU3149" s="507"/>
      <c r="AV3149" s="225"/>
      <c r="AW3149" s="508"/>
      <c r="AX3149" s="225"/>
      <c r="AY3149" s="225"/>
      <c r="AZ3149" s="225"/>
      <c r="BA3149" s="225"/>
      <c r="BB3149" s="225"/>
      <c r="BC3149" s="56"/>
      <c r="BD3149" s="56"/>
      <c r="BE3149" s="56"/>
      <c r="BF3149" s="107" t="str">
        <f t="shared" si="2391"/>
        <v>https://www.google.com/search?tbm=isch&amp;q=Rose%20Sensation%E2%84%A2%20False%20Hydrangea%20Vine%20Schizophragma%20hydrangeoides%20%27Minsens%27%20PPAF</v>
      </c>
      <c r="BG3149" s="107" t="str">
        <f t="shared" si="2392"/>
        <v>R</v>
      </c>
      <c r="BH3149" s="254"/>
      <c r="BI3149" s="254"/>
    </row>
    <row r="3150" spans="1:61" customFormat="1" ht="15.75" x14ac:dyDescent="0.25">
      <c r="A3150" s="276">
        <v>3</v>
      </c>
      <c r="B3150" s="240" t="s">
        <v>291</v>
      </c>
      <c r="C3150" s="241"/>
      <c r="D3150" s="242" t="s">
        <v>312</v>
      </c>
      <c r="E3150" s="243">
        <v>40.950000000000003</v>
      </c>
      <c r="F3150" s="517" t="s">
        <v>293</v>
      </c>
      <c r="G3150" s="232">
        <v>0</v>
      </c>
      <c r="H3150" s="661" t="str">
        <f>IF(G3150=0,"",IF(F3150="Buy",IF(G3150=1,"plant","plants"),IF(F3150&gt;0.01,"warranty","Error")))</f>
        <v/>
      </c>
      <c r="I3150" s="244">
        <f>IF(H3150="free",0,IF(H3150="credit",((E3150*(F3150))*G3150*-1),IF(F3150="Buy",(E3150*G3150),((E3150*(1-F3150))*G3150))))</f>
        <v>0</v>
      </c>
      <c r="J3150" s="244">
        <f>IF(H3150="warranty",0,(I3150*(_xlfn.SINGLE(SalesTaxPercentage))))</f>
        <v>0</v>
      </c>
      <c r="K3150" s="696">
        <f t="shared" ref="K3150" si="2422">I3150+J3150</f>
        <v>0</v>
      </c>
      <c r="L3150" s="696"/>
      <c r="M3150" s="659" t="str">
        <f>IF(AND(G3150&gt;0,E3150=0),"WARNING - no PRICE inserted",IF(H3150="free"," FREE ~ no charge this plant",IF(H3150="credit",CONCATENATE(" -$",ROUND(K3150*(1-T2GDiscount)*-1,2)," CREDIT after discount"),IF(T2GDiscount=0,"",IF(G3150=0,"",IF(F3150="Buy",CONCATENATE(" $",ROUND(K3150*(1-T2GDiscount),2)," with ",(T2GDiscount*100),"% discount"),CONCATENATE(" $",ROUND(K3150*(1-T2GDiscount),2)," with ",((T2GDiscount*100+F3150*100)-(T2GDiscount*100*F3150)),IF(F3150&gt;0,"% discounts",IF(NoWarrantyDiscount&gt;0,"% discounts","% discount")))))))))</f>
        <v/>
      </c>
      <c r="N3150" s="660"/>
      <c r="O3150" s="233"/>
      <c r="P3150" s="233"/>
      <c r="Q3150" s="233"/>
      <c r="R3150" s="233"/>
      <c r="S3150" s="233"/>
      <c r="T3150" s="508">
        <f t="shared" ref="T3150:T3213" si="2423">E3150*G3150</f>
        <v>0</v>
      </c>
      <c r="U3150" s="225">
        <f>IF(NOT(ISNUMBER(G3150)), "", VLOOKUP(A3150,'Discount Lookup'!D:E,2,FALSE)*G3150)</f>
        <v>0</v>
      </c>
      <c r="V3150" s="225">
        <f>IF(NOT(ISNUMBER(G3150)), "", VLOOKUP(A3150,'Discount Lookup'!G:H,2,FALSE)*G3150)</f>
        <v>0</v>
      </c>
      <c r="W3150" s="508">
        <f t="shared" ref="W3150:W3213" si="2424">IF(H3150="credit",0,E3150*(SalesTaxPercentage)*G3150)</f>
        <v>0</v>
      </c>
      <c r="X3150" s="508">
        <f t="shared" ref="X3150:X3213" si="2425">I3150</f>
        <v>0</v>
      </c>
      <c r="Y3150" s="509" t="b">
        <f t="shared" ref="Y3150:Y3213" si="2426">IF(AE3150="T2G",0,IF(H3150="credit",0,IF(G3150&gt;0,IF(AE3150="me","",G3150))))</f>
        <v>0</v>
      </c>
      <c r="Z3150" s="510">
        <f t="shared" ref="Z3150:Z3213" si="2427">IF(H3150="credit",G3150,0)</f>
        <v>0</v>
      </c>
      <c r="AA3150" s="511"/>
      <c r="AB3150" s="511" t="str">
        <f t="shared" ref="AB3150:AB3213" si="2428">IF(AE3150="T2G","by Trees2Go",IF(H3150="credit","CREDIT only ~",IF(AND(K3150="",AE3150=OR(PlanterYesMe="No",PlanterYesMe="N",PlanterYesMe="me")),"not THIS line⇨",IF(AND(K3150="images",AE3150="me"),"not THIS line⇨",IF(H3150="credit","",IF(G3150=0,"",IF(AE3150="me","",IF(OR(PlanterYesMe="No",PlanterYesMe="N",PlanterYesMe="me"),"",IF(AE3150="free","warranty",IF(OR(PlanterYesMe="yes",PlanterYesMe="y"),"Edison install:","to install:"))))))))))</f>
        <v/>
      </c>
      <c r="AC3150" s="698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698"/>
      <c r="AE3150" s="631" t="str">
        <f t="shared" ref="AE3150:AE3213" si="2429">IF(H3150="credit","",IF(G3150=0,"",IF(OR(PlanterYesMe="No",PlanterYesMe="N",PlanterYesMe="me"),"me",IF(H3150="warranty","free",IF(OR(PlanterYesMe="yes",PlanterYesMe="y"),"ELP","")))))</f>
        <v/>
      </c>
      <c r="AF3150" s="699" t="str">
        <f t="shared" ref="AF3150:AF3213" si="2430">IF(OR(PlanterYesMe="No",PlanterYesMe="N",PlanterYesMe="me"),"",IF(H3150="credit","",IF(G3150&gt;0,(CONCATENATE((G3150)," quantity, ",(A3150)," ",B3150)),"")))</f>
        <v/>
      </c>
      <c r="AG3150" s="699"/>
      <c r="AH3150" s="699"/>
      <c r="AI3150" s="512">
        <f>IF(H3150="credit",0,IF(AE3150="free",0,IF(AE3150="me",0,IF(G3150&gt;0,(VLOOKUP(A3150,'Discount Lookup'!J:K,2)*G3150),0))))</f>
        <v>0</v>
      </c>
      <c r="AJ3150" s="513" t="str">
        <f t="shared" ref="AJ3150:AJ3213" ca="1" si="2431">IF(AND(ISREF(H3150),H3150="credit"),"",IF(AND(AND(OFFSET(G3150,0,0)=0,OFFSET(G3150,1,0)&gt;0,ISNUMBER(OFFSET(AC3150,1,0)),OFFSET(AC3150,1,0)&gt;0),OR(PlanterYesMe="yes",PlanterYesMe="y")),"T2G+ELP=",IF(AND(OFFSET(G3150,0,0)=0,OFFSET(G3150,1,0)&gt;0,ISNUMBER(OFFSET(AC3150,1,0)),OFFSET(AC3150,1,0)&gt;0),"if T2G+ELP=",IF(AND(OFFSET(G3150,0,0)=0,OFFSET(G3150,1,0)&gt;0),"T2G Subtotal",IF(H3150="credit","",IF(G3150=0,"",IF(AE3150="free",(K3150*(1-T2GDiscount)),IF(OR(PlanterYesMe="No",PlanterYesMe="N",PlanterYesMe="me"),(K3150*(1-T2GDiscount)),IF(OR(AE3150="me",AE3150="T2G"),(K3150*(1-T2GDiscount)),(K3150*(1-T2GDiscount))+AC3150)))))))))</f>
        <v/>
      </c>
      <c r="AK3150" s="700" t="str">
        <f t="shared" ref="AK3150:AK3213" si="2432">IF(H3150="credit","",IF(G3150=0,"",IF(OR(AE3150="me",AE3150="T2G"),"  delivery-only",IF(OR(PlanterYesMe="No",PlanterYesMe="N",PlanterYesMe="me"),"  delivery-only",CONCATENATE(" $",ROUND(AJ3150/G3150,2)," each")))))</f>
        <v/>
      </c>
      <c r="AL3150" s="700"/>
      <c r="AM3150" s="505" t="str">
        <f t="shared" ref="AM3150:AM3213" si="2433">IF(H3150="credit","",IF(AE3150="free","      ~ discounts included, no tax or planting fee applies ~",IF(G3150=0,"",IF(OR(PlanterYesMe="No",PlanterYesMe="N",PlanterYesMe="me"),CONCATENATE(" $",ROUND(AJ3150/G3150,2)," per plant, with tax &amp; discount"),IF(OR(AE3150="me",AE3150="T2G"),CONCATENATE(" $",ROUND(AJ3150/G3150,2)," per plant, with tax &amp; discount"),CONCATENATE("= $",ROUND((K3150*(1-T2GDiscount))/G3150,2)," per plant + $",AC3150/G3150,(" per planting      ~ includes tax &amp; discounts ~")))))))</f>
        <v/>
      </c>
      <c r="AN3150" s="506"/>
      <c r="AO3150" s="507"/>
      <c r="AP3150" s="507"/>
      <c r="AQ3150" s="507"/>
      <c r="AR3150" s="507"/>
      <c r="AS3150" s="507"/>
      <c r="AT3150" s="507"/>
      <c r="AU3150" s="507"/>
      <c r="AV3150" s="225"/>
      <c r="AW3150" s="508"/>
      <c r="AX3150" s="225"/>
      <c r="AY3150" s="225"/>
      <c r="AZ3150" s="225"/>
      <c r="BA3150" s="225"/>
      <c r="BB3150" s="225"/>
      <c r="BC3150" s="56"/>
      <c r="BD3150" s="56"/>
      <c r="BE3150" s="56"/>
      <c r="BF3150" s="107" t="str">
        <f t="shared" ref="BF3150:BF3213" si="2434">"https://www.google.com/search?tbm=isch&amp;q=" &amp; _xlfn.ENCODEURL($A3150 &amp; " " &amp; $D3150)</f>
        <v>https://www.google.com/search?tbm=isch&amp;q=3%20G2</v>
      </c>
      <c r="BG3150" s="107" t="str">
        <f t="shared" ref="BG3150:BG3213" si="2435">IF(ISTEXT(A3150),LEFT(A3150,1),BG3149)</f>
        <v>R</v>
      </c>
      <c r="BH3150" s="254"/>
      <c r="BI3150" s="254"/>
    </row>
    <row r="3151" spans="1:61" customFormat="1" ht="17.25" thickBot="1" x14ac:dyDescent="0.3">
      <c r="A3151" s="524" t="s">
        <v>4158</v>
      </c>
      <c r="B3151" s="245"/>
      <c r="C3151" s="677"/>
      <c r="D3151" s="499"/>
      <c r="E3151" s="499"/>
      <c r="F3151" s="500"/>
      <c r="G3151" s="501"/>
      <c r="H3151" s="502"/>
      <c r="I3151" s="246"/>
      <c r="J3151" s="247"/>
      <c r="K3151" s="503"/>
      <c r="L3151" s="544"/>
      <c r="M3151" s="544"/>
      <c r="N3151" s="500"/>
      <c r="O3151" s="500"/>
      <c r="P3151" s="500"/>
      <c r="Q3151" s="500"/>
      <c r="R3151" s="500"/>
      <c r="S3151" s="278"/>
      <c r="T3151" s="508">
        <f t="shared" si="2423"/>
        <v>0</v>
      </c>
      <c r="U3151" s="225" t="str">
        <f>IF(NOT(ISNUMBER(G3151)), "", VLOOKUP(A3151,'Discount Lookup'!D:E,2,FALSE)*G3151)</f>
        <v/>
      </c>
      <c r="V3151" s="225" t="str">
        <f>IF(NOT(ISNUMBER(G3151)), "", VLOOKUP(A3151,'Discount Lookup'!G:H,2,FALSE)*G3151)</f>
        <v/>
      </c>
      <c r="W3151" s="508">
        <f t="shared" si="2424"/>
        <v>0</v>
      </c>
      <c r="X3151" s="508">
        <f t="shared" si="2425"/>
        <v>0</v>
      </c>
      <c r="Y3151" s="509" t="b">
        <f t="shared" si="2426"/>
        <v>0</v>
      </c>
      <c r="Z3151" s="510">
        <f t="shared" si="2427"/>
        <v>0</v>
      </c>
      <c r="AA3151" s="511"/>
      <c r="AB3151" s="511" t="str">
        <f t="shared" si="2428"/>
        <v/>
      </c>
      <c r="AC3151" s="698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698"/>
      <c r="AE3151" s="631" t="str">
        <f t="shared" si="2429"/>
        <v/>
      </c>
      <c r="AF3151" s="699" t="str">
        <f t="shared" si="2430"/>
        <v/>
      </c>
      <c r="AG3151" s="699"/>
      <c r="AH3151" s="699"/>
      <c r="AI3151" s="512">
        <f>IF(H3151="credit",0,IF(AE3151="free",0,IF(AE3151="me",0,IF(G3151&gt;0,(VLOOKUP(A3151,'Discount Lookup'!J:K,2)*G3151),0))))</f>
        <v>0</v>
      </c>
      <c r="AJ3151" s="513" t="str">
        <f t="shared" ca="1" si="2431"/>
        <v/>
      </c>
      <c r="AK3151" s="700" t="str">
        <f t="shared" si="2432"/>
        <v/>
      </c>
      <c r="AL3151" s="700"/>
      <c r="AM3151" s="505" t="str">
        <f t="shared" si="2433"/>
        <v/>
      </c>
      <c r="AN3151" s="506"/>
      <c r="AO3151" s="507"/>
      <c r="AP3151" s="507"/>
      <c r="AQ3151" s="507"/>
      <c r="AR3151" s="507"/>
      <c r="AS3151" s="507"/>
      <c r="AT3151" s="507"/>
      <c r="AU3151" s="507"/>
      <c r="AV3151" s="225"/>
      <c r="AW3151" s="508"/>
      <c r="AX3151" s="225"/>
      <c r="AY3151" s="225"/>
      <c r="AZ3151" s="225"/>
      <c r="BA3151" s="225"/>
      <c r="BB3151" s="225"/>
      <c r="BC3151" s="56"/>
      <c r="BD3151" s="56"/>
      <c r="BE3151" s="56"/>
      <c r="BF3151" s="107" t="str">
        <f t="shared" si="2434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151" s="107" t="str">
        <f t="shared" si="2435"/>
        <v>R</v>
      </c>
      <c r="BH3151" s="254"/>
      <c r="BI3151" s="254"/>
    </row>
    <row r="3152" spans="1:61" customFormat="1" ht="18" x14ac:dyDescent="0.25">
      <c r="A3152" s="523" t="s">
        <v>1643</v>
      </c>
      <c r="B3152" s="235"/>
      <c r="C3152" s="676"/>
      <c r="D3152" s="255" t="s">
        <v>1644</v>
      </c>
      <c r="E3152" s="236"/>
      <c r="F3152" s="236"/>
      <c r="G3152" s="236"/>
      <c r="H3152" s="582" t="s">
        <v>311</v>
      </c>
      <c r="I3152" s="498" t="s">
        <v>1645</v>
      </c>
      <c r="J3152" s="237"/>
      <c r="K3152" s="237"/>
      <c r="L3152" s="274"/>
      <c r="M3152" s="668" t="s">
        <v>4975</v>
      </c>
      <c r="N3152" s="681" t="str">
        <f>IF(AND(ISTEXT($A3152), ISERROR($A3152+0)), HYPERLINK($BF3152, "Images"), "")</f>
        <v>Images</v>
      </c>
      <c r="O3152" s="663" t="s">
        <v>4967</v>
      </c>
      <c r="P3152" s="253"/>
      <c r="Q3152" s="238"/>
      <c r="R3152" s="239"/>
      <c r="S3152" s="275"/>
      <c r="T3152" s="508">
        <f t="shared" si="2423"/>
        <v>0</v>
      </c>
      <c r="U3152" s="225" t="str">
        <f>IF(NOT(ISNUMBER(G3152)), "", VLOOKUP(A3152,'Discount Lookup'!D:E,2,FALSE)*G3152)</f>
        <v/>
      </c>
      <c r="V3152" s="225" t="str">
        <f>IF(NOT(ISNUMBER(G3152)), "", VLOOKUP(A3152,'Discount Lookup'!G:H,2,FALSE)*G3152)</f>
        <v/>
      </c>
      <c r="W3152" s="508">
        <f t="shared" si="2424"/>
        <v>0</v>
      </c>
      <c r="X3152" s="508" t="str">
        <f t="shared" si="2425"/>
        <v>Rosy Pink bloom</v>
      </c>
      <c r="Y3152" s="509" t="b">
        <f t="shared" si="2426"/>
        <v>0</v>
      </c>
      <c r="Z3152" s="510">
        <f t="shared" si="2427"/>
        <v>0</v>
      </c>
      <c r="AA3152" s="511"/>
      <c r="AB3152" s="511" t="str">
        <f t="shared" si="2428"/>
        <v/>
      </c>
      <c r="AC3152" s="698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698"/>
      <c r="AE3152" s="631" t="str">
        <f t="shared" si="2429"/>
        <v/>
      </c>
      <c r="AF3152" s="699" t="str">
        <f t="shared" si="2430"/>
        <v/>
      </c>
      <c r="AG3152" s="699"/>
      <c r="AH3152" s="699"/>
      <c r="AI3152" s="512">
        <f>IF(H3152="credit",0,IF(AE3152="free",0,IF(AE3152="me",0,IF(G3152&gt;0,(VLOOKUP(A3152,'Discount Lookup'!J:K,2)*G3152),0))))</f>
        <v>0</v>
      </c>
      <c r="AJ3152" s="513" t="str">
        <f t="shared" ca="1" si="2431"/>
        <v/>
      </c>
      <c r="AK3152" s="700" t="str">
        <f t="shared" si="2432"/>
        <v/>
      </c>
      <c r="AL3152" s="700"/>
      <c r="AM3152" s="505" t="str">
        <f t="shared" si="2433"/>
        <v/>
      </c>
      <c r="AN3152" s="506"/>
      <c r="AO3152" s="507"/>
      <c r="AP3152" s="507"/>
      <c r="AQ3152" s="507"/>
      <c r="AR3152" s="507"/>
      <c r="AS3152" s="507"/>
      <c r="AT3152" s="507"/>
      <c r="AU3152" s="507"/>
      <c r="AV3152" s="225"/>
      <c r="AW3152" s="508"/>
      <c r="AX3152" s="225"/>
      <c r="AY3152" s="225"/>
      <c r="AZ3152" s="225"/>
      <c r="BA3152" s="225"/>
      <c r="BB3152" s="225"/>
      <c r="BC3152" s="56"/>
      <c r="BD3152" s="56"/>
      <c r="BE3152" s="56"/>
      <c r="BF3152" s="107" t="str">
        <f t="shared" si="2434"/>
        <v>https://www.google.com/search?tbm=isch&amp;q=Rosy%20Teacups%20Dogwood%20Cornus%20kousa%20%27KN144-2%27%20PP%2326211</v>
      </c>
      <c r="BG3152" s="107" t="str">
        <f t="shared" si="2435"/>
        <v>R</v>
      </c>
      <c r="BH3152" s="254"/>
      <c r="BI3152" s="254"/>
    </row>
    <row r="3153" spans="1:61" customFormat="1" ht="15.75" x14ac:dyDescent="0.25">
      <c r="A3153" s="276">
        <v>7</v>
      </c>
      <c r="B3153" s="240" t="s">
        <v>291</v>
      </c>
      <c r="C3153" s="241" t="s">
        <v>3734</v>
      </c>
      <c r="D3153" s="242" t="s">
        <v>292</v>
      </c>
      <c r="E3153" s="243">
        <v>107.95</v>
      </c>
      <c r="F3153" s="517" t="s">
        <v>293</v>
      </c>
      <c r="G3153" s="232">
        <v>0</v>
      </c>
      <c r="H3153" s="661" t="str">
        <f>IF(G3153=0,"",IF(F3153="Buy",IF(G3153=1,"plant","plants"),IF(F3153&gt;0.01,"warranty","Error")))</f>
        <v/>
      </c>
      <c r="I3153" s="244">
        <f>IF(H3153="free",0,IF(H3153="credit",((E3153*(F3153))*G3153*-1),IF(F3153="Buy",(E3153*G3153),((E3153*(1-F3153))*G3153))))</f>
        <v>0</v>
      </c>
      <c r="J3153" s="244">
        <f>IF(H3153="warranty",0,(I3153*(_xlfn.SINGLE(SalesTaxPercentage))))</f>
        <v>0</v>
      </c>
      <c r="K3153" s="696">
        <f t="shared" ref="K3153" si="2436">I3153+J3153</f>
        <v>0</v>
      </c>
      <c r="L3153" s="696"/>
      <c r="M3153" s="659" t="str">
        <f>IF(AND(G3153&gt;0,E3153=0),"WARNING - no PRICE inserted",IF(H3153="free"," FREE ~ no charge this plant",IF(H3153="credit",CONCATENATE(" -$",ROUND(K3153*(1-T2GDiscount)*-1,2)," CREDIT after discount"),IF(T2GDiscount=0,"",IF(G3153=0,"",IF(F3153="Buy",CONCATENATE(" $",ROUND(K3153*(1-T2GDiscount),2)," with ",(T2GDiscount*100),"% discount"),CONCATENATE(" $",ROUND(K3153*(1-T2GDiscount),2)," with ",((T2GDiscount*100+F3153*100)-(T2GDiscount*100*F3153)),IF(F3153&gt;0,"% discounts",IF(NoWarrantyDiscount&gt;0,"% discounts","% discount")))))))))</f>
        <v/>
      </c>
      <c r="N3153" s="660"/>
      <c r="O3153" s="233"/>
      <c r="P3153" s="233"/>
      <c r="Q3153" s="233"/>
      <c r="R3153" s="233"/>
      <c r="S3153" s="233"/>
      <c r="T3153" s="508">
        <f t="shared" si="2423"/>
        <v>0</v>
      </c>
      <c r="U3153" s="225">
        <f>IF(NOT(ISNUMBER(G3153)), "", VLOOKUP(A3153,'Discount Lookup'!D:E,2,FALSE)*G3153)</f>
        <v>0</v>
      </c>
      <c r="V3153" s="225">
        <f>IF(NOT(ISNUMBER(G3153)), "", VLOOKUP(A3153,'Discount Lookup'!G:H,2,FALSE)*G3153)</f>
        <v>0</v>
      </c>
      <c r="W3153" s="508">
        <f t="shared" si="2424"/>
        <v>0</v>
      </c>
      <c r="X3153" s="508">
        <f t="shared" si="2425"/>
        <v>0</v>
      </c>
      <c r="Y3153" s="509" t="b">
        <f t="shared" si="2426"/>
        <v>0</v>
      </c>
      <c r="Z3153" s="510">
        <f t="shared" si="2427"/>
        <v>0</v>
      </c>
      <c r="AA3153" s="511"/>
      <c r="AB3153" s="511" t="str">
        <f t="shared" si="2428"/>
        <v/>
      </c>
      <c r="AC3153" s="698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698"/>
      <c r="AE3153" s="631" t="str">
        <f t="shared" si="2429"/>
        <v/>
      </c>
      <c r="AF3153" s="699" t="str">
        <f t="shared" si="2430"/>
        <v/>
      </c>
      <c r="AG3153" s="699"/>
      <c r="AH3153" s="699"/>
      <c r="AI3153" s="512">
        <f>IF(H3153="credit",0,IF(AE3153="free",0,IF(AE3153="me",0,IF(G3153&gt;0,(VLOOKUP(A3153,'Discount Lookup'!J:K,2)*G3153),0))))</f>
        <v>0</v>
      </c>
      <c r="AJ3153" s="513" t="str">
        <f t="shared" ca="1" si="2431"/>
        <v/>
      </c>
      <c r="AK3153" s="700" t="str">
        <f t="shared" si="2432"/>
        <v/>
      </c>
      <c r="AL3153" s="700"/>
      <c r="AM3153" s="505" t="str">
        <f t="shared" si="2433"/>
        <v/>
      </c>
      <c r="AN3153" s="506"/>
      <c r="AO3153" s="507"/>
      <c r="AP3153" s="507"/>
      <c r="AQ3153" s="507"/>
      <c r="AR3153" s="507"/>
      <c r="AS3153" s="507"/>
      <c r="AT3153" s="507"/>
      <c r="AU3153" s="507"/>
      <c r="AV3153" s="225"/>
      <c r="AW3153" s="508"/>
      <c r="AX3153" s="225"/>
      <c r="AY3153" s="225"/>
      <c r="AZ3153" s="225"/>
      <c r="BA3153" s="225"/>
      <c r="BB3153" s="225"/>
      <c r="BC3153" s="56"/>
      <c r="BD3153" s="56"/>
      <c r="BE3153" s="56"/>
      <c r="BF3153" s="107" t="str">
        <f t="shared" si="2434"/>
        <v>https://www.google.com/search?tbm=isch&amp;q=7%20G4</v>
      </c>
      <c r="BG3153" s="107" t="str">
        <f t="shared" si="2435"/>
        <v>R</v>
      </c>
      <c r="BH3153" s="254"/>
      <c r="BI3153" s="254"/>
    </row>
    <row r="3154" spans="1:61" customFormat="1" ht="17.25" thickBot="1" x14ac:dyDescent="0.3">
      <c r="A3154" s="524" t="s">
        <v>2465</v>
      </c>
      <c r="B3154" s="245"/>
      <c r="C3154" s="677"/>
      <c r="D3154" s="499"/>
      <c r="E3154" s="499"/>
      <c r="F3154" s="500"/>
      <c r="G3154" s="501"/>
      <c r="H3154" s="502"/>
      <c r="I3154" s="246"/>
      <c r="J3154" s="247"/>
      <c r="K3154" s="503"/>
      <c r="L3154" s="544"/>
      <c r="M3154" s="544"/>
      <c r="N3154" s="500"/>
      <c r="O3154" s="500"/>
      <c r="P3154" s="500"/>
      <c r="Q3154" s="500"/>
      <c r="R3154" s="500"/>
      <c r="S3154" s="669" t="s">
        <v>4996</v>
      </c>
      <c r="T3154" s="508">
        <f t="shared" si="2423"/>
        <v>0</v>
      </c>
      <c r="U3154" s="225" t="str">
        <f>IF(NOT(ISNUMBER(G3154)), "", VLOOKUP(A3154,'Discount Lookup'!D:E,2,FALSE)*G3154)</f>
        <v/>
      </c>
      <c r="V3154" s="225" t="str">
        <f>IF(NOT(ISNUMBER(G3154)), "", VLOOKUP(A3154,'Discount Lookup'!G:H,2,FALSE)*G3154)</f>
        <v/>
      </c>
      <c r="W3154" s="508">
        <f t="shared" si="2424"/>
        <v>0</v>
      </c>
      <c r="X3154" s="508">
        <f t="shared" si="2425"/>
        <v>0</v>
      </c>
      <c r="Y3154" s="509" t="b">
        <f t="shared" si="2426"/>
        <v>0</v>
      </c>
      <c r="Z3154" s="510">
        <f t="shared" si="2427"/>
        <v>0</v>
      </c>
      <c r="AA3154" s="511"/>
      <c r="AB3154" s="511" t="str">
        <f t="shared" si="2428"/>
        <v/>
      </c>
      <c r="AC3154" s="698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698"/>
      <c r="AE3154" s="631" t="str">
        <f t="shared" si="2429"/>
        <v/>
      </c>
      <c r="AF3154" s="699" t="str">
        <f t="shared" si="2430"/>
        <v/>
      </c>
      <c r="AG3154" s="699"/>
      <c r="AH3154" s="699"/>
      <c r="AI3154" s="512">
        <f>IF(H3154="credit",0,IF(AE3154="free",0,IF(AE3154="me",0,IF(G3154&gt;0,(VLOOKUP(A3154,'Discount Lookup'!J:K,2)*G3154),0))))</f>
        <v>0</v>
      </c>
      <c r="AJ3154" s="513" t="str">
        <f t="shared" ca="1" si="2431"/>
        <v/>
      </c>
      <c r="AK3154" s="700" t="str">
        <f t="shared" si="2432"/>
        <v/>
      </c>
      <c r="AL3154" s="700"/>
      <c r="AM3154" s="505" t="str">
        <f t="shared" si="2433"/>
        <v/>
      </c>
      <c r="AN3154" s="506"/>
      <c r="AO3154" s="507"/>
      <c r="AP3154" s="507"/>
      <c r="AQ3154" s="507"/>
      <c r="AR3154" s="507"/>
      <c r="AS3154" s="507"/>
      <c r="AT3154" s="507"/>
      <c r="AU3154" s="507"/>
      <c r="AV3154" s="225"/>
      <c r="AW3154" s="508"/>
      <c r="AX3154" s="225"/>
      <c r="AY3154" s="225"/>
      <c r="AZ3154" s="225"/>
      <c r="BA3154" s="225"/>
      <c r="BB3154" s="225"/>
      <c r="BC3154" s="56"/>
      <c r="BD3154" s="56"/>
      <c r="BE3154" s="56"/>
      <c r="BF3154" s="107" t="str">
        <f t="shared" si="2434"/>
        <v>https://www.google.com/search?tbm=isch&amp;q=Rosy%20Teacups%20produces%20large%20blooms%2C%20in%20a%20large%20bloom%20set.%20Glossy%20green%20foliage%20turns%20striking%20red%20in%20fall%20</v>
      </c>
      <c r="BG3154" s="107" t="str">
        <f t="shared" si="2435"/>
        <v>R</v>
      </c>
      <c r="BH3154" s="254"/>
      <c r="BI3154" s="254"/>
    </row>
    <row r="3155" spans="1:61" customFormat="1" ht="18" x14ac:dyDescent="0.25">
      <c r="A3155" s="523" t="s">
        <v>2100</v>
      </c>
      <c r="B3155" s="235"/>
      <c r="C3155" s="676"/>
      <c r="D3155" s="255" t="s">
        <v>1646</v>
      </c>
      <c r="E3155" s="236"/>
      <c r="F3155" s="236"/>
      <c r="G3155" s="236"/>
      <c r="H3155" s="582" t="s">
        <v>321</v>
      </c>
      <c r="I3155" s="498" t="s">
        <v>3924</v>
      </c>
      <c r="J3155" s="237"/>
      <c r="K3155" s="237"/>
      <c r="L3155" s="274"/>
      <c r="M3155" s="668" t="s">
        <v>4962</v>
      </c>
      <c r="N3155" s="681" t="str">
        <f>IF(AND(ISTEXT($A3155), ISERROR($A3155+0)), HYPERLINK($BF3155, "Images"), "")</f>
        <v>Images</v>
      </c>
      <c r="O3155" s="663" t="s">
        <v>4967</v>
      </c>
      <c r="P3155" s="253"/>
      <c r="Q3155" s="238"/>
      <c r="R3155" s="239"/>
      <c r="S3155" s="275"/>
      <c r="T3155" s="508">
        <f t="shared" si="2423"/>
        <v>0</v>
      </c>
      <c r="U3155" s="225" t="str">
        <f>IF(NOT(ISNUMBER(G3155)), "", VLOOKUP(A3155,'Discount Lookup'!D:E,2,FALSE)*G3155)</f>
        <v/>
      </c>
      <c r="V3155" s="225" t="str">
        <f>IF(NOT(ISNUMBER(G3155)), "", VLOOKUP(A3155,'Discount Lookup'!G:H,2,FALSE)*G3155)</f>
        <v/>
      </c>
      <c r="W3155" s="508">
        <f t="shared" si="2424"/>
        <v>0</v>
      </c>
      <c r="X3155" s="508" t="str">
        <f t="shared" si="2425"/>
        <v>Pink "smoke"</v>
      </c>
      <c r="Y3155" s="509" t="b">
        <f t="shared" si="2426"/>
        <v>0</v>
      </c>
      <c r="Z3155" s="510">
        <f t="shared" si="2427"/>
        <v>0</v>
      </c>
      <c r="AA3155" s="511"/>
      <c r="AB3155" s="511" t="str">
        <f t="shared" si="2428"/>
        <v/>
      </c>
      <c r="AC3155" s="698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698"/>
      <c r="AE3155" s="631" t="str">
        <f t="shared" si="2429"/>
        <v/>
      </c>
      <c r="AF3155" s="699" t="str">
        <f t="shared" si="2430"/>
        <v/>
      </c>
      <c r="AG3155" s="699"/>
      <c r="AH3155" s="699"/>
      <c r="AI3155" s="512">
        <f>IF(H3155="credit",0,IF(AE3155="free",0,IF(AE3155="me",0,IF(G3155&gt;0,(VLOOKUP(A3155,'Discount Lookup'!J:K,2)*G3155),0))))</f>
        <v>0</v>
      </c>
      <c r="AJ3155" s="513" t="str">
        <f t="shared" ca="1" si="2431"/>
        <v/>
      </c>
      <c r="AK3155" s="700" t="str">
        <f t="shared" si="2432"/>
        <v/>
      </c>
      <c r="AL3155" s="700"/>
      <c r="AM3155" s="505" t="str">
        <f t="shared" si="2433"/>
        <v/>
      </c>
      <c r="AN3155" s="506"/>
      <c r="AO3155" s="507"/>
      <c r="AP3155" s="507"/>
      <c r="AQ3155" s="507"/>
      <c r="AR3155" s="507"/>
      <c r="AS3155" s="507"/>
      <c r="AT3155" s="507"/>
      <c r="AU3155" s="507"/>
      <c r="AV3155" s="225"/>
      <c r="AW3155" s="508"/>
      <c r="AX3155" s="225"/>
      <c r="AY3155" s="225"/>
      <c r="AZ3155" s="225"/>
      <c r="BA3155" s="225"/>
      <c r="BB3155" s="225"/>
      <c r="BC3155" s="56"/>
      <c r="BD3155" s="56"/>
      <c r="BE3155" s="56"/>
      <c r="BF3155" s="107" t="str">
        <f t="shared" si="2434"/>
        <v>https://www.google.com/search?tbm=isch&amp;q=Royal%20Purple%20Smoke%20Tree%20Cotinus%20coggygria%20%27Royal%20Purple%27</v>
      </c>
      <c r="BG3155" s="107" t="str">
        <f t="shared" si="2435"/>
        <v>R</v>
      </c>
      <c r="BH3155" s="254"/>
      <c r="BI3155" s="254"/>
    </row>
    <row r="3156" spans="1:61" customFormat="1" ht="15.75" x14ac:dyDescent="0.25">
      <c r="A3156" s="276">
        <v>7</v>
      </c>
      <c r="B3156" s="240" t="s">
        <v>291</v>
      </c>
      <c r="C3156" s="241" t="s">
        <v>3344</v>
      </c>
      <c r="D3156" s="242" t="s">
        <v>292</v>
      </c>
      <c r="E3156" s="243">
        <v>107.95</v>
      </c>
      <c r="F3156" s="517" t="s">
        <v>293</v>
      </c>
      <c r="G3156" s="232">
        <v>0</v>
      </c>
      <c r="H3156" s="661" t="str">
        <f>IF(G3156=0,"",IF(F3156="Buy",IF(G3156=1,"plant","plants"),IF(F3156&gt;0.01,"warranty","Error")))</f>
        <v/>
      </c>
      <c r="I3156" s="244">
        <f>IF(H3156="free",0,IF(H3156="credit",((E3156*(F3156))*G3156*-1),IF(F3156="Buy",(E3156*G3156),((E3156*(1-F3156))*G3156))))</f>
        <v>0</v>
      </c>
      <c r="J3156" s="244">
        <f>IF(H3156="warranty",0,(I3156*(_xlfn.SINGLE(SalesTaxPercentage))))</f>
        <v>0</v>
      </c>
      <c r="K3156" s="696">
        <f t="shared" ref="K3156" si="2437">I3156+J3156</f>
        <v>0</v>
      </c>
      <c r="L3156" s="696"/>
      <c r="M3156" s="659" t="str">
        <f>IF(AND(G3156&gt;0,E3156=0),"WARNING - no PRICE inserted",IF(H3156="free"," FREE ~ no charge this plant",IF(H3156="credit",CONCATENATE(" -$",ROUND(K3156*(1-T2GDiscount)*-1,2)," CREDIT after discount"),IF(T2GDiscount=0,"",IF(G3156=0,"",IF(F3156="Buy",CONCATENATE(" $",ROUND(K3156*(1-T2GDiscount),2)," with ",(T2GDiscount*100),"% discount"),CONCATENATE(" $",ROUND(K3156*(1-T2GDiscount),2)," with ",((T2GDiscount*100+F3156*100)-(T2GDiscount*100*F3156)),IF(F3156&gt;0,"% discounts",IF(NoWarrantyDiscount&gt;0,"% discounts","% discount")))))))))</f>
        <v/>
      </c>
      <c r="N3156" s="660"/>
      <c r="O3156" s="233"/>
      <c r="P3156" s="233"/>
      <c r="Q3156" s="233"/>
      <c r="R3156" s="233"/>
      <c r="S3156" s="233"/>
      <c r="T3156" s="508">
        <f t="shared" si="2423"/>
        <v>0</v>
      </c>
      <c r="U3156" s="225">
        <f>IF(NOT(ISNUMBER(G3156)), "", VLOOKUP(A3156,'Discount Lookup'!D:E,2,FALSE)*G3156)</f>
        <v>0</v>
      </c>
      <c r="V3156" s="225">
        <f>IF(NOT(ISNUMBER(G3156)), "", VLOOKUP(A3156,'Discount Lookup'!G:H,2,FALSE)*G3156)</f>
        <v>0</v>
      </c>
      <c r="W3156" s="508">
        <f t="shared" si="2424"/>
        <v>0</v>
      </c>
      <c r="X3156" s="508">
        <f t="shared" si="2425"/>
        <v>0</v>
      </c>
      <c r="Y3156" s="509" t="b">
        <f t="shared" si="2426"/>
        <v>0</v>
      </c>
      <c r="Z3156" s="510">
        <f t="shared" si="2427"/>
        <v>0</v>
      </c>
      <c r="AA3156" s="511"/>
      <c r="AB3156" s="511" t="str">
        <f t="shared" si="2428"/>
        <v/>
      </c>
      <c r="AC3156" s="698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698"/>
      <c r="AE3156" s="631" t="str">
        <f t="shared" si="2429"/>
        <v/>
      </c>
      <c r="AF3156" s="699" t="str">
        <f t="shared" si="2430"/>
        <v/>
      </c>
      <c r="AG3156" s="699"/>
      <c r="AH3156" s="699"/>
      <c r="AI3156" s="512">
        <f>IF(H3156="credit",0,IF(AE3156="free",0,IF(AE3156="me",0,IF(G3156&gt;0,(VLOOKUP(A3156,'Discount Lookup'!J:K,2)*G3156),0))))</f>
        <v>0</v>
      </c>
      <c r="AJ3156" s="513" t="str">
        <f t="shared" ca="1" si="2431"/>
        <v/>
      </c>
      <c r="AK3156" s="700" t="str">
        <f t="shared" si="2432"/>
        <v/>
      </c>
      <c r="AL3156" s="700"/>
      <c r="AM3156" s="505" t="str">
        <f t="shared" si="2433"/>
        <v/>
      </c>
      <c r="AN3156" s="506"/>
      <c r="AO3156" s="507"/>
      <c r="AP3156" s="507"/>
      <c r="AQ3156" s="507"/>
      <c r="AR3156" s="507"/>
      <c r="AS3156" s="507"/>
      <c r="AT3156" s="507"/>
      <c r="AU3156" s="507"/>
      <c r="AV3156" s="225"/>
      <c r="AW3156" s="508"/>
      <c r="AX3156" s="225"/>
      <c r="AY3156" s="225"/>
      <c r="AZ3156" s="225"/>
      <c r="BA3156" s="225"/>
      <c r="BB3156" s="225"/>
      <c r="BC3156" s="56"/>
      <c r="BD3156" s="56"/>
      <c r="BE3156" s="56"/>
      <c r="BF3156" s="107" t="str">
        <f t="shared" si="2434"/>
        <v>https://www.google.com/search?tbm=isch&amp;q=7%20G4</v>
      </c>
      <c r="BG3156" s="107" t="str">
        <f t="shared" si="2435"/>
        <v>R</v>
      </c>
      <c r="BH3156" s="254"/>
      <c r="BI3156" s="254"/>
    </row>
    <row r="3157" spans="1:61" customFormat="1" ht="15.75" x14ac:dyDescent="0.25">
      <c r="A3157" s="276">
        <v>10</v>
      </c>
      <c r="B3157" s="240" t="s">
        <v>291</v>
      </c>
      <c r="C3157" s="241" t="s">
        <v>4809</v>
      </c>
      <c r="D3157" s="242" t="s">
        <v>292</v>
      </c>
      <c r="E3157" s="243">
        <v>148.94999999999999</v>
      </c>
      <c r="F3157" s="517" t="s">
        <v>293</v>
      </c>
      <c r="G3157" s="232">
        <v>0</v>
      </c>
      <c r="H3157" s="661" t="str">
        <f>IF(G3157=0,"",IF(F3157="Buy",IF(G3157=1,"plant","plants"),IF(F3157&gt;0.01,"warranty","Error")))</f>
        <v/>
      </c>
      <c r="I3157" s="244">
        <f>IF(H3157="free",0,IF(H3157="credit",((E3157*(F3157))*G3157*-1),IF(F3157="Buy",(E3157*G3157),((E3157*(1-F3157))*G3157))))</f>
        <v>0</v>
      </c>
      <c r="J3157" s="244">
        <f>IF(H3157="warranty",0,(I3157*(_xlfn.SINGLE(SalesTaxPercentage))))</f>
        <v>0</v>
      </c>
      <c r="K3157" s="696">
        <f t="shared" ref="K3157" si="2438">I3157+J3157</f>
        <v>0</v>
      </c>
      <c r="L3157" s="696"/>
      <c r="M3157" s="659" t="str">
        <f>IF(AND(G3157&gt;0,E3157=0),"WARNING - no PRICE inserted",IF(H3157="free"," FREE ~ no charge this plant",IF(H3157="credit",CONCATENATE(" -$",ROUND(K3157*(1-T2GDiscount)*-1,2)," CREDIT after discount"),IF(T2GDiscount=0,"",IF(G3157=0,"",IF(F3157="Buy",CONCATENATE(" $",ROUND(K3157*(1-T2GDiscount),2)," with ",(T2GDiscount*100),"% discount"),CONCATENATE(" $",ROUND(K3157*(1-T2GDiscount),2)," with ",((T2GDiscount*100+F3157*100)-(T2GDiscount*100*F3157)),IF(F3157&gt;0,"% discounts",IF(NoWarrantyDiscount&gt;0,"% discounts","% discount")))))))))</f>
        <v/>
      </c>
      <c r="N3157" s="660"/>
      <c r="O3157" s="233"/>
      <c r="P3157" s="233"/>
      <c r="Q3157" s="233"/>
      <c r="R3157" s="233"/>
      <c r="S3157" s="233"/>
      <c r="T3157" s="508">
        <f t="shared" si="2423"/>
        <v>0</v>
      </c>
      <c r="U3157" s="225">
        <f>IF(NOT(ISNUMBER(G3157)), "", VLOOKUP(A3157,'Discount Lookup'!D:E,2,FALSE)*G3157)</f>
        <v>0</v>
      </c>
      <c r="V3157" s="225">
        <f>IF(NOT(ISNUMBER(G3157)), "", VLOOKUP(A3157,'Discount Lookup'!G:H,2,FALSE)*G3157)</f>
        <v>0</v>
      </c>
      <c r="W3157" s="508">
        <f t="shared" si="2424"/>
        <v>0</v>
      </c>
      <c r="X3157" s="508">
        <f t="shared" si="2425"/>
        <v>0</v>
      </c>
      <c r="Y3157" s="509" t="b">
        <f t="shared" si="2426"/>
        <v>0</v>
      </c>
      <c r="Z3157" s="510">
        <f t="shared" si="2427"/>
        <v>0</v>
      </c>
      <c r="AA3157" s="511"/>
      <c r="AB3157" s="511" t="str">
        <f t="shared" si="2428"/>
        <v/>
      </c>
      <c r="AC3157" s="698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698"/>
      <c r="AE3157" s="631" t="str">
        <f t="shared" si="2429"/>
        <v/>
      </c>
      <c r="AF3157" s="699" t="str">
        <f t="shared" si="2430"/>
        <v/>
      </c>
      <c r="AG3157" s="699"/>
      <c r="AH3157" s="699"/>
      <c r="AI3157" s="512">
        <f>IF(H3157="credit",0,IF(AE3157="free",0,IF(AE3157="me",0,IF(G3157&gt;0,(VLOOKUP(A3157,'Discount Lookup'!J:K,2)*G3157),0))))</f>
        <v>0</v>
      </c>
      <c r="AJ3157" s="513" t="str">
        <f t="shared" ca="1" si="2431"/>
        <v/>
      </c>
      <c r="AK3157" s="700" t="str">
        <f t="shared" si="2432"/>
        <v/>
      </c>
      <c r="AL3157" s="700"/>
      <c r="AM3157" s="505" t="str">
        <f t="shared" si="2433"/>
        <v/>
      </c>
      <c r="AN3157" s="506"/>
      <c r="AO3157" s="507"/>
      <c r="AP3157" s="507"/>
      <c r="AQ3157" s="507"/>
      <c r="AR3157" s="507"/>
      <c r="AS3157" s="507"/>
      <c r="AT3157" s="507"/>
      <c r="AU3157" s="507"/>
      <c r="AV3157" s="225"/>
      <c r="AW3157" s="508"/>
      <c r="AX3157" s="225"/>
      <c r="AY3157" s="225"/>
      <c r="AZ3157" s="225"/>
      <c r="BA3157" s="225"/>
      <c r="BB3157" s="225"/>
      <c r="BC3157" s="56"/>
      <c r="BD3157" s="56"/>
      <c r="BE3157" s="56"/>
      <c r="BF3157" s="107" t="str">
        <f t="shared" si="2434"/>
        <v>https://www.google.com/search?tbm=isch&amp;q=10%20G4</v>
      </c>
      <c r="BG3157" s="107" t="str">
        <f t="shared" si="2435"/>
        <v>R</v>
      </c>
      <c r="BH3157" s="254"/>
      <c r="BI3157" s="254"/>
    </row>
    <row r="3158" spans="1:61" customFormat="1" ht="17.25" thickBot="1" x14ac:dyDescent="0.3">
      <c r="A3158" s="524" t="s">
        <v>2466</v>
      </c>
      <c r="B3158" s="245"/>
      <c r="C3158" s="677"/>
      <c r="D3158" s="499"/>
      <c r="E3158" s="499"/>
      <c r="F3158" s="500"/>
      <c r="G3158" s="501"/>
      <c r="H3158" s="502"/>
      <c r="I3158" s="246"/>
      <c r="J3158" s="247"/>
      <c r="K3158" s="503"/>
      <c r="L3158" s="544"/>
      <c r="M3158" s="544"/>
      <c r="N3158" s="500"/>
      <c r="O3158" s="500"/>
      <c r="P3158" s="500"/>
      <c r="Q3158" s="500"/>
      <c r="R3158" s="500"/>
      <c r="S3158" s="278"/>
      <c r="T3158" s="508">
        <f t="shared" si="2423"/>
        <v>0</v>
      </c>
      <c r="U3158" s="225" t="str">
        <f>IF(NOT(ISNUMBER(G3158)), "", VLOOKUP(A3158,'Discount Lookup'!D:E,2,FALSE)*G3158)</f>
        <v/>
      </c>
      <c r="V3158" s="225" t="str">
        <f>IF(NOT(ISNUMBER(G3158)), "", VLOOKUP(A3158,'Discount Lookup'!G:H,2,FALSE)*G3158)</f>
        <v/>
      </c>
      <c r="W3158" s="508">
        <f t="shared" si="2424"/>
        <v>0</v>
      </c>
      <c r="X3158" s="508">
        <f t="shared" si="2425"/>
        <v>0</v>
      </c>
      <c r="Y3158" s="509" t="b">
        <f t="shared" si="2426"/>
        <v>0</v>
      </c>
      <c r="Z3158" s="510">
        <f t="shared" si="2427"/>
        <v>0</v>
      </c>
      <c r="AA3158" s="511"/>
      <c r="AB3158" s="511" t="str">
        <f t="shared" si="2428"/>
        <v/>
      </c>
      <c r="AC3158" s="698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698"/>
      <c r="AE3158" s="631" t="str">
        <f t="shared" si="2429"/>
        <v/>
      </c>
      <c r="AF3158" s="699" t="str">
        <f t="shared" si="2430"/>
        <v/>
      </c>
      <c r="AG3158" s="699"/>
      <c r="AH3158" s="699"/>
      <c r="AI3158" s="512">
        <f>IF(H3158="credit",0,IF(AE3158="free",0,IF(AE3158="me",0,IF(G3158&gt;0,(VLOOKUP(A3158,'Discount Lookup'!J:K,2)*G3158),0))))</f>
        <v>0</v>
      </c>
      <c r="AJ3158" s="513" t="str">
        <f t="shared" ca="1" si="2431"/>
        <v/>
      </c>
      <c r="AK3158" s="700" t="str">
        <f t="shared" si="2432"/>
        <v/>
      </c>
      <c r="AL3158" s="700"/>
      <c r="AM3158" s="505" t="str">
        <f t="shared" si="2433"/>
        <v/>
      </c>
      <c r="AN3158" s="506"/>
      <c r="AO3158" s="507"/>
      <c r="AP3158" s="507"/>
      <c r="AQ3158" s="507"/>
      <c r="AR3158" s="507"/>
      <c r="AS3158" s="507"/>
      <c r="AT3158" s="507"/>
      <c r="AU3158" s="507"/>
      <c r="AV3158" s="225"/>
      <c r="AW3158" s="508"/>
      <c r="AX3158" s="225"/>
      <c r="AY3158" s="225"/>
      <c r="AZ3158" s="225"/>
      <c r="BA3158" s="225"/>
      <c r="BB3158" s="225"/>
      <c r="BC3158" s="56"/>
      <c r="BD3158" s="56"/>
      <c r="BE3158" s="56"/>
      <c r="BF3158" s="107" t="str">
        <f t="shared" si="2434"/>
        <v>https://www.google.com/search?tbm=isch&amp;q=Royal%20Purple%20combines%20rich%2C%20maroon-red%20foliage%20%28turning%20redder%20in%20fall%29%20with%20large%20feathery%20%27smoky%27%20flower%20plumes%20</v>
      </c>
      <c r="BG3158" s="107" t="str">
        <f t="shared" si="2435"/>
        <v>R</v>
      </c>
      <c r="BH3158" s="254"/>
      <c r="BI3158" s="254"/>
    </row>
    <row r="3159" spans="1:61" customFormat="1" ht="18" x14ac:dyDescent="0.25">
      <c r="A3159" s="523" t="s">
        <v>3160</v>
      </c>
      <c r="B3159" s="235"/>
      <c r="C3159" s="676"/>
      <c r="D3159" s="255" t="s">
        <v>1647</v>
      </c>
      <c r="E3159" s="236"/>
      <c r="F3159" s="236"/>
      <c r="G3159" s="236"/>
      <c r="H3159" s="582" t="s">
        <v>471</v>
      </c>
      <c r="I3159" s="498" t="s">
        <v>3161</v>
      </c>
      <c r="J3159" s="237"/>
      <c r="K3159" s="237"/>
      <c r="L3159" s="274"/>
      <c r="M3159" s="668" t="s">
        <v>4962</v>
      </c>
      <c r="N3159" s="681" t="str">
        <f>IF(AND(ISTEXT($A3159), ISERROR($A3159+0)), HYPERLINK($BF3159, "Images"), "")</f>
        <v>Images</v>
      </c>
      <c r="O3159" s="663" t="s">
        <v>4967</v>
      </c>
      <c r="P3159" s="253"/>
      <c r="Q3159" s="238"/>
      <c r="R3159" s="239"/>
      <c r="S3159" s="275"/>
      <c r="T3159" s="508">
        <f t="shared" si="2423"/>
        <v>0</v>
      </c>
      <c r="U3159" s="225" t="str">
        <f>IF(NOT(ISNUMBER(G3159)), "", VLOOKUP(A3159,'Discount Lookup'!D:E,2,FALSE)*G3159)</f>
        <v/>
      </c>
      <c r="V3159" s="225" t="str">
        <f>IF(NOT(ISNUMBER(G3159)), "", VLOOKUP(A3159,'Discount Lookup'!G:H,2,FALSE)*G3159)</f>
        <v/>
      </c>
      <c r="W3159" s="508">
        <f t="shared" si="2424"/>
        <v>0</v>
      </c>
      <c r="X3159" s="508" t="str">
        <f t="shared" si="2425"/>
        <v>Magenta-Red bloom, Orange eye</v>
      </c>
      <c r="Y3159" s="509" t="b">
        <f t="shared" si="2426"/>
        <v>0</v>
      </c>
      <c r="Z3159" s="510">
        <f t="shared" si="2427"/>
        <v>0</v>
      </c>
      <c r="AA3159" s="511"/>
      <c r="AB3159" s="511" t="str">
        <f t="shared" si="2428"/>
        <v/>
      </c>
      <c r="AC3159" s="698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698"/>
      <c r="AE3159" s="631" t="str">
        <f t="shared" si="2429"/>
        <v/>
      </c>
      <c r="AF3159" s="699" t="str">
        <f t="shared" si="2430"/>
        <v/>
      </c>
      <c r="AG3159" s="699"/>
      <c r="AH3159" s="699"/>
      <c r="AI3159" s="512">
        <f>IF(H3159="credit",0,IF(AE3159="free",0,IF(AE3159="me",0,IF(G3159&gt;0,(VLOOKUP(A3159,'Discount Lookup'!J:K,2)*G3159),0))))</f>
        <v>0</v>
      </c>
      <c r="AJ3159" s="513" t="str">
        <f t="shared" ca="1" si="2431"/>
        <v/>
      </c>
      <c r="AK3159" s="700" t="str">
        <f t="shared" si="2432"/>
        <v/>
      </c>
      <c r="AL3159" s="700"/>
      <c r="AM3159" s="505" t="str">
        <f t="shared" si="2433"/>
        <v/>
      </c>
      <c r="AN3159" s="506"/>
      <c r="AO3159" s="507"/>
      <c r="AP3159" s="507"/>
      <c r="AQ3159" s="507"/>
      <c r="AR3159" s="507"/>
      <c r="AS3159" s="507"/>
      <c r="AT3159" s="507"/>
      <c r="AU3159" s="507"/>
      <c r="AV3159" s="225"/>
      <c r="AW3159" s="508"/>
      <c r="AX3159" s="225"/>
      <c r="AY3159" s="225"/>
      <c r="AZ3159" s="225"/>
      <c r="BA3159" s="225"/>
      <c r="BB3159" s="225"/>
      <c r="BC3159" s="56"/>
      <c r="BD3159" s="56"/>
      <c r="BE3159" s="56"/>
      <c r="BF3159" s="107" t="str">
        <f t="shared" si="2434"/>
        <v>https://www.google.com/search?tbm=isch&amp;q=Royal%20Red%20Butterfly%20Bush%20Buddleia%20davidii%20%27Royal%20Red%27</v>
      </c>
      <c r="BG3159" s="107" t="str">
        <f t="shared" si="2435"/>
        <v>R</v>
      </c>
      <c r="BH3159" s="254"/>
      <c r="BI3159" s="254"/>
    </row>
    <row r="3160" spans="1:61" customFormat="1" ht="15.75" x14ac:dyDescent="0.25">
      <c r="A3160" s="276">
        <v>3</v>
      </c>
      <c r="B3160" s="240" t="s">
        <v>291</v>
      </c>
      <c r="C3160" s="241" t="s">
        <v>1648</v>
      </c>
      <c r="D3160" s="242" t="s">
        <v>297</v>
      </c>
      <c r="E3160" s="243">
        <v>22.95</v>
      </c>
      <c r="F3160" s="517" t="s">
        <v>293</v>
      </c>
      <c r="G3160" s="232">
        <v>0</v>
      </c>
      <c r="H3160" s="661" t="str">
        <f>IF(G3160=0,"",IF(F3160="Buy",IF(G3160=1,"plant","plants"),IF(F3160&gt;0.01,"warranty","Error")))</f>
        <v/>
      </c>
      <c r="I3160" s="244">
        <f>IF(H3160="free",0,IF(H3160="credit",((E3160*(F3160))*G3160*-1),IF(F3160="Buy",(E3160*G3160),((E3160*(1-F3160))*G3160))))</f>
        <v>0</v>
      </c>
      <c r="J3160" s="244">
        <f>IF(H3160="warranty",0,(I3160*(_xlfn.SINGLE(SalesTaxPercentage))))</f>
        <v>0</v>
      </c>
      <c r="K3160" s="696">
        <f t="shared" ref="K3160" si="2439">I3160+J3160</f>
        <v>0</v>
      </c>
      <c r="L3160" s="696"/>
      <c r="M3160" s="659" t="str">
        <f>IF(AND(G3160&gt;0,E3160=0),"WARNING - no PRICE inserted",IF(H3160="free"," FREE ~ no charge this plant",IF(H3160="credit",CONCATENATE(" -$",ROUND(K3160*(1-T2GDiscount)*-1,2)," CREDIT after discount"),IF(T2GDiscount=0,"",IF(G3160=0,"",IF(F3160="Buy",CONCATENATE(" $",ROUND(K3160*(1-T2GDiscount),2)," with ",(T2GDiscount*100),"% discount"),CONCATENATE(" $",ROUND(K3160*(1-T2GDiscount),2)," with ",((T2GDiscount*100+F3160*100)-(T2GDiscount*100*F3160)),IF(F3160&gt;0,"% discounts",IF(NoWarrantyDiscount&gt;0,"% discounts","% discount")))))))))</f>
        <v/>
      </c>
      <c r="N3160" s="660"/>
      <c r="O3160" s="233"/>
      <c r="P3160" s="233"/>
      <c r="Q3160" s="233"/>
      <c r="R3160" s="233"/>
      <c r="S3160" s="233"/>
      <c r="T3160" s="508">
        <f t="shared" si="2423"/>
        <v>0</v>
      </c>
      <c r="U3160" s="225">
        <f>IF(NOT(ISNUMBER(G3160)), "", VLOOKUP(A3160,'Discount Lookup'!D:E,2,FALSE)*G3160)</f>
        <v>0</v>
      </c>
      <c r="V3160" s="225">
        <f>IF(NOT(ISNUMBER(G3160)), "", VLOOKUP(A3160,'Discount Lookup'!G:H,2,FALSE)*G3160)</f>
        <v>0</v>
      </c>
      <c r="W3160" s="508">
        <f t="shared" si="2424"/>
        <v>0</v>
      </c>
      <c r="X3160" s="508">
        <f t="shared" si="2425"/>
        <v>0</v>
      </c>
      <c r="Y3160" s="509" t="b">
        <f t="shared" si="2426"/>
        <v>0</v>
      </c>
      <c r="Z3160" s="510">
        <f t="shared" si="2427"/>
        <v>0</v>
      </c>
      <c r="AA3160" s="511"/>
      <c r="AB3160" s="511" t="str">
        <f t="shared" si="2428"/>
        <v/>
      </c>
      <c r="AC3160" s="698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698"/>
      <c r="AE3160" s="631" t="str">
        <f t="shared" si="2429"/>
        <v/>
      </c>
      <c r="AF3160" s="699" t="str">
        <f t="shared" si="2430"/>
        <v/>
      </c>
      <c r="AG3160" s="699"/>
      <c r="AH3160" s="699"/>
      <c r="AI3160" s="512">
        <f>IF(H3160="credit",0,IF(AE3160="free",0,IF(AE3160="me",0,IF(G3160&gt;0,(VLOOKUP(A3160,'Discount Lookup'!J:K,2)*G3160),0))))</f>
        <v>0</v>
      </c>
      <c r="AJ3160" s="513" t="str">
        <f t="shared" ca="1" si="2431"/>
        <v/>
      </c>
      <c r="AK3160" s="700" t="str">
        <f t="shared" si="2432"/>
        <v/>
      </c>
      <c r="AL3160" s="700"/>
      <c r="AM3160" s="505" t="str">
        <f t="shared" si="2433"/>
        <v/>
      </c>
      <c r="AN3160" s="506"/>
      <c r="AO3160" s="507"/>
      <c r="AP3160" s="507"/>
      <c r="AQ3160" s="507"/>
      <c r="AR3160" s="507"/>
      <c r="AS3160" s="507"/>
      <c r="AT3160" s="507"/>
      <c r="AU3160" s="507"/>
      <c r="AV3160" s="225"/>
      <c r="AW3160" s="508"/>
      <c r="AX3160" s="225"/>
      <c r="AY3160" s="225"/>
      <c r="AZ3160" s="225"/>
      <c r="BA3160" s="225"/>
      <c r="BB3160" s="225"/>
      <c r="BC3160" s="56"/>
      <c r="BD3160" s="56"/>
      <c r="BE3160" s="56"/>
      <c r="BF3160" s="107" t="str">
        <f t="shared" si="2434"/>
        <v>https://www.google.com/search?tbm=isch&amp;q=3%20G3</v>
      </c>
      <c r="BG3160" s="107" t="str">
        <f t="shared" si="2435"/>
        <v>R</v>
      </c>
      <c r="BH3160" s="254"/>
      <c r="BI3160" s="254"/>
    </row>
    <row r="3161" spans="1:61" customFormat="1" ht="17.25" thickBot="1" x14ac:dyDescent="0.3">
      <c r="A3161" s="524" t="s">
        <v>3162</v>
      </c>
      <c r="B3161" s="245"/>
      <c r="C3161" s="677"/>
      <c r="D3161" s="499"/>
      <c r="E3161" s="499"/>
      <c r="F3161" s="500"/>
      <c r="G3161" s="501"/>
      <c r="H3161" s="502"/>
      <c r="I3161" s="246"/>
      <c r="J3161" s="247"/>
      <c r="K3161" s="503"/>
      <c r="L3161" s="544"/>
      <c r="M3161" s="544"/>
      <c r="N3161" s="500"/>
      <c r="O3161" s="500"/>
      <c r="P3161" s="500"/>
      <c r="Q3161" s="500"/>
      <c r="R3161" s="500"/>
      <c r="S3161" s="669" t="s">
        <v>4980</v>
      </c>
      <c r="T3161" s="508">
        <f t="shared" si="2423"/>
        <v>0</v>
      </c>
      <c r="U3161" s="225" t="str">
        <f>IF(NOT(ISNUMBER(G3161)), "", VLOOKUP(A3161,'Discount Lookup'!D:E,2,FALSE)*G3161)</f>
        <v/>
      </c>
      <c r="V3161" s="225" t="str">
        <f>IF(NOT(ISNUMBER(G3161)), "", VLOOKUP(A3161,'Discount Lookup'!G:H,2,FALSE)*G3161)</f>
        <v/>
      </c>
      <c r="W3161" s="508">
        <f t="shared" si="2424"/>
        <v>0</v>
      </c>
      <c r="X3161" s="508">
        <f t="shared" si="2425"/>
        <v>0</v>
      </c>
      <c r="Y3161" s="509" t="b">
        <f t="shared" si="2426"/>
        <v>0</v>
      </c>
      <c r="Z3161" s="510">
        <f t="shared" si="2427"/>
        <v>0</v>
      </c>
      <c r="AA3161" s="511"/>
      <c r="AB3161" s="511" t="str">
        <f t="shared" si="2428"/>
        <v/>
      </c>
      <c r="AC3161" s="698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698"/>
      <c r="AE3161" s="631" t="str">
        <f t="shared" si="2429"/>
        <v/>
      </c>
      <c r="AF3161" s="699" t="str">
        <f t="shared" si="2430"/>
        <v/>
      </c>
      <c r="AG3161" s="699"/>
      <c r="AH3161" s="699"/>
      <c r="AI3161" s="512">
        <f>IF(H3161="credit",0,IF(AE3161="free",0,IF(AE3161="me",0,IF(G3161&gt;0,(VLOOKUP(A3161,'Discount Lookup'!J:K,2)*G3161),0))))</f>
        <v>0</v>
      </c>
      <c r="AJ3161" s="513" t="str">
        <f t="shared" ca="1" si="2431"/>
        <v/>
      </c>
      <c r="AK3161" s="700" t="str">
        <f t="shared" si="2432"/>
        <v/>
      </c>
      <c r="AL3161" s="700"/>
      <c r="AM3161" s="505" t="str">
        <f t="shared" si="2433"/>
        <v/>
      </c>
      <c r="AN3161" s="506"/>
      <c r="AO3161" s="507"/>
      <c r="AP3161" s="507"/>
      <c r="AQ3161" s="507"/>
      <c r="AR3161" s="507"/>
      <c r="AS3161" s="507"/>
      <c r="AT3161" s="507"/>
      <c r="AU3161" s="507"/>
      <c r="AV3161" s="225"/>
      <c r="AW3161" s="508"/>
      <c r="AX3161" s="225"/>
      <c r="AY3161" s="225"/>
      <c r="AZ3161" s="225"/>
      <c r="BA3161" s="225"/>
      <c r="BB3161" s="225"/>
      <c r="BC3161" s="56"/>
      <c r="BD3161" s="56"/>
      <c r="BE3161" s="56"/>
      <c r="BF3161" s="107" t="str">
        <f t="shared" si="2434"/>
        <v>https://www.google.com/search?tbm=isch&amp;q=Royal%20Red%20has%20Gray-Green%20foliage%20and%20a%20fragrance.%20%20All%20BB%20bloom%20summer%20to%20frost%2C%20on%20new%20wood%2C%20so%20cut%20back%20hard%20late%20winter%20</v>
      </c>
      <c r="BG3161" s="107" t="str">
        <f t="shared" si="2435"/>
        <v>R</v>
      </c>
      <c r="BH3161" s="254"/>
      <c r="BI3161" s="254"/>
    </row>
    <row r="3162" spans="1:61" customFormat="1" ht="18" x14ac:dyDescent="0.25">
      <c r="A3162" s="523" t="s">
        <v>1649</v>
      </c>
      <c r="B3162" s="235"/>
      <c r="C3162" s="676"/>
      <c r="D3162" s="255" t="s">
        <v>1650</v>
      </c>
      <c r="E3162" s="236"/>
      <c r="F3162" s="236"/>
      <c r="G3162" s="236"/>
      <c r="H3162" s="582" t="s">
        <v>311</v>
      </c>
      <c r="I3162" s="498" t="s">
        <v>654</v>
      </c>
      <c r="J3162" s="237"/>
      <c r="K3162" s="237"/>
      <c r="L3162" s="274"/>
      <c r="M3162" s="668" t="s">
        <v>4975</v>
      </c>
      <c r="N3162" s="681" t="str">
        <f>IF(AND(ISTEXT($A3162), ISERROR($A3162+0)), HYPERLINK($BF3162, "Images"), "")</f>
        <v>Images</v>
      </c>
      <c r="O3162" s="663" t="s">
        <v>4967</v>
      </c>
      <c r="P3162" s="253"/>
      <c r="Q3162" s="238"/>
      <c r="R3162" s="239"/>
      <c r="S3162" s="275"/>
      <c r="T3162" s="508">
        <f t="shared" si="2423"/>
        <v>0</v>
      </c>
      <c r="U3162" s="225" t="str">
        <f>IF(NOT(ISNUMBER(G3162)), "", VLOOKUP(A3162,'Discount Lookup'!D:E,2,FALSE)*G3162)</f>
        <v/>
      </c>
      <c r="V3162" s="225" t="str">
        <f>IF(NOT(ISNUMBER(G3162)), "", VLOOKUP(A3162,'Discount Lookup'!G:H,2,FALSE)*G3162)</f>
        <v/>
      </c>
      <c r="W3162" s="508">
        <f t="shared" si="2424"/>
        <v>0</v>
      </c>
      <c r="X3162" s="508" t="str">
        <f t="shared" si="2425"/>
        <v>White bloom</v>
      </c>
      <c r="Y3162" s="509" t="b">
        <f t="shared" si="2426"/>
        <v>0</v>
      </c>
      <c r="Z3162" s="510">
        <f t="shared" si="2427"/>
        <v>0</v>
      </c>
      <c r="AA3162" s="511"/>
      <c r="AB3162" s="511" t="str">
        <f t="shared" si="2428"/>
        <v/>
      </c>
      <c r="AC3162" s="698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698"/>
      <c r="AE3162" s="631" t="str">
        <f t="shared" si="2429"/>
        <v/>
      </c>
      <c r="AF3162" s="699" t="str">
        <f t="shared" si="2430"/>
        <v/>
      </c>
      <c r="AG3162" s="699"/>
      <c r="AH3162" s="699"/>
      <c r="AI3162" s="512">
        <f>IF(H3162="credit",0,IF(AE3162="free",0,IF(AE3162="me",0,IF(G3162&gt;0,(VLOOKUP(A3162,'Discount Lookup'!J:K,2)*G3162),0))))</f>
        <v>0</v>
      </c>
      <c r="AJ3162" s="513" t="str">
        <f t="shared" ca="1" si="2431"/>
        <v/>
      </c>
      <c r="AK3162" s="700" t="str">
        <f t="shared" si="2432"/>
        <v/>
      </c>
      <c r="AL3162" s="700"/>
      <c r="AM3162" s="505" t="str">
        <f t="shared" si="2433"/>
        <v/>
      </c>
      <c r="AN3162" s="506"/>
      <c r="AO3162" s="507"/>
      <c r="AP3162" s="507"/>
      <c r="AQ3162" s="507"/>
      <c r="AR3162" s="507"/>
      <c r="AS3162" s="507"/>
      <c r="AT3162" s="507"/>
      <c r="AU3162" s="507"/>
      <c r="AV3162" s="225"/>
      <c r="AW3162" s="508"/>
      <c r="AX3162" s="225"/>
      <c r="AY3162" s="225"/>
      <c r="AZ3162" s="225"/>
      <c r="BA3162" s="225"/>
      <c r="BB3162" s="225"/>
      <c r="BC3162" s="56"/>
      <c r="BD3162" s="56"/>
      <c r="BE3162" s="56"/>
      <c r="BF3162" s="107" t="str">
        <f t="shared" si="2434"/>
        <v>https://www.google.com/search?tbm=isch&amp;q=Royal%20Star%20Magnolia%20Magnolia%20stellata%20%27Royal%20Star%27</v>
      </c>
      <c r="BG3162" s="107" t="str">
        <f t="shared" si="2435"/>
        <v>R</v>
      </c>
      <c r="BH3162" s="254"/>
      <c r="BI3162" s="254"/>
    </row>
    <row r="3163" spans="1:61" customFormat="1" ht="15.75" x14ac:dyDescent="0.25">
      <c r="A3163" s="276">
        <v>7</v>
      </c>
      <c r="B3163" s="240" t="s">
        <v>291</v>
      </c>
      <c r="C3163" s="241" t="s">
        <v>3735</v>
      </c>
      <c r="D3163" s="242" t="s">
        <v>292</v>
      </c>
      <c r="E3163" s="243">
        <v>95.95</v>
      </c>
      <c r="F3163" s="517" t="s">
        <v>293</v>
      </c>
      <c r="G3163" s="232">
        <v>0</v>
      </c>
      <c r="H3163" s="661" t="str">
        <f>IF(G3163=0,"",IF(F3163="Buy",IF(G3163=1,"plant","plants"),IF(F3163&gt;0.01,"warranty","Error")))</f>
        <v/>
      </c>
      <c r="I3163" s="244">
        <f>IF(H3163="free",0,IF(H3163="credit",((E3163*(F3163))*G3163*-1),IF(F3163="Buy",(E3163*G3163),((E3163*(1-F3163))*G3163))))</f>
        <v>0</v>
      </c>
      <c r="J3163" s="244">
        <f>IF(H3163="warranty",0,(I3163*(_xlfn.SINGLE(SalesTaxPercentage))))</f>
        <v>0</v>
      </c>
      <c r="K3163" s="696">
        <f t="shared" ref="K3163" si="2440">I3163+J3163</f>
        <v>0</v>
      </c>
      <c r="L3163" s="696"/>
      <c r="M3163" s="659" t="str">
        <f>IF(AND(G3163&gt;0,E3163=0),"WARNING - no PRICE inserted",IF(H3163="free"," FREE ~ no charge this plant",IF(H3163="credit",CONCATENATE(" -$",ROUND(K3163*(1-T2GDiscount)*-1,2)," CREDIT after discount"),IF(T2GDiscount=0,"",IF(G3163=0,"",IF(F3163="Buy",CONCATENATE(" $",ROUND(K3163*(1-T2GDiscount),2)," with ",(T2GDiscount*100),"% discount"),CONCATENATE(" $",ROUND(K3163*(1-T2GDiscount),2)," with ",((T2GDiscount*100+F3163*100)-(T2GDiscount*100*F3163)),IF(F3163&gt;0,"% discounts",IF(NoWarrantyDiscount&gt;0,"% discounts","% discount")))))))))</f>
        <v/>
      </c>
      <c r="N3163" s="660"/>
      <c r="O3163" s="233"/>
      <c r="P3163" s="233"/>
      <c r="Q3163" s="233"/>
      <c r="R3163" s="233"/>
      <c r="S3163" s="233"/>
      <c r="T3163" s="508">
        <f t="shared" si="2423"/>
        <v>0</v>
      </c>
      <c r="U3163" s="225">
        <f>IF(NOT(ISNUMBER(G3163)), "", VLOOKUP(A3163,'Discount Lookup'!D:E,2,FALSE)*G3163)</f>
        <v>0</v>
      </c>
      <c r="V3163" s="225">
        <f>IF(NOT(ISNUMBER(G3163)), "", VLOOKUP(A3163,'Discount Lookup'!G:H,2,FALSE)*G3163)</f>
        <v>0</v>
      </c>
      <c r="W3163" s="508">
        <f t="shared" si="2424"/>
        <v>0</v>
      </c>
      <c r="X3163" s="508">
        <f t="shared" si="2425"/>
        <v>0</v>
      </c>
      <c r="Y3163" s="509" t="b">
        <f t="shared" si="2426"/>
        <v>0</v>
      </c>
      <c r="Z3163" s="510">
        <f t="shared" si="2427"/>
        <v>0</v>
      </c>
      <c r="AA3163" s="511"/>
      <c r="AB3163" s="511" t="str">
        <f t="shared" si="2428"/>
        <v/>
      </c>
      <c r="AC3163" s="698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698"/>
      <c r="AE3163" s="631" t="str">
        <f t="shared" si="2429"/>
        <v/>
      </c>
      <c r="AF3163" s="699" t="str">
        <f t="shared" si="2430"/>
        <v/>
      </c>
      <c r="AG3163" s="699"/>
      <c r="AH3163" s="699"/>
      <c r="AI3163" s="512">
        <f>IF(H3163="credit",0,IF(AE3163="free",0,IF(AE3163="me",0,IF(G3163&gt;0,(VLOOKUP(A3163,'Discount Lookup'!J:K,2)*G3163),0))))</f>
        <v>0</v>
      </c>
      <c r="AJ3163" s="513" t="str">
        <f t="shared" ca="1" si="2431"/>
        <v/>
      </c>
      <c r="AK3163" s="700" t="str">
        <f t="shared" si="2432"/>
        <v/>
      </c>
      <c r="AL3163" s="700"/>
      <c r="AM3163" s="505" t="str">
        <f t="shared" si="2433"/>
        <v/>
      </c>
      <c r="AN3163" s="506"/>
      <c r="AO3163" s="507"/>
      <c r="AP3163" s="507"/>
      <c r="AQ3163" s="507"/>
      <c r="AR3163" s="507"/>
      <c r="AS3163" s="507"/>
      <c r="AT3163" s="507"/>
      <c r="AU3163" s="507"/>
      <c r="AV3163" s="225"/>
      <c r="AW3163" s="508"/>
      <c r="AX3163" s="225"/>
      <c r="AY3163" s="225"/>
      <c r="AZ3163" s="225"/>
      <c r="BA3163" s="225"/>
      <c r="BB3163" s="225"/>
      <c r="BC3163" s="56"/>
      <c r="BD3163" s="56"/>
      <c r="BE3163" s="56"/>
      <c r="BF3163" s="107" t="str">
        <f t="shared" si="2434"/>
        <v>https://www.google.com/search?tbm=isch&amp;q=7%20G4</v>
      </c>
      <c r="BG3163" s="107" t="str">
        <f t="shared" si="2435"/>
        <v>R</v>
      </c>
      <c r="BH3163" s="254"/>
      <c r="BI3163" s="254"/>
    </row>
    <row r="3164" spans="1:61" customFormat="1" ht="27" x14ac:dyDescent="0.25">
      <c r="A3164" s="276">
        <v>7</v>
      </c>
      <c r="B3164" s="240" t="s">
        <v>291</v>
      </c>
      <c r="C3164" s="241" t="s">
        <v>3736</v>
      </c>
      <c r="D3164" s="242" t="s">
        <v>292</v>
      </c>
      <c r="E3164" s="243">
        <v>146.94999999999999</v>
      </c>
      <c r="F3164" s="517" t="s">
        <v>293</v>
      </c>
      <c r="G3164" s="232">
        <v>0</v>
      </c>
      <c r="H3164" s="661" t="str">
        <f>IF(G3164=0,"",IF(F3164="Buy",IF(G3164=1,"plant","plants"),IF(F3164&gt;0.01,"warranty","Error")))</f>
        <v/>
      </c>
      <c r="I3164" s="244">
        <f>IF(H3164="free",0,IF(H3164="credit",((E3164*(F3164))*G3164*-1),IF(F3164="Buy",(E3164*G3164),((E3164*(1-F3164))*G3164))))</f>
        <v>0</v>
      </c>
      <c r="J3164" s="244">
        <f>IF(H3164="warranty",0,(I3164*(_xlfn.SINGLE(SalesTaxPercentage))))</f>
        <v>0</v>
      </c>
      <c r="K3164" s="696">
        <f t="shared" ref="K3164" si="2441">I3164+J3164</f>
        <v>0</v>
      </c>
      <c r="L3164" s="696"/>
      <c r="M3164" s="659" t="str">
        <f>IF(AND(G3164&gt;0,E3164=0),"WARNING - no PRICE inserted",IF(H3164="free"," FREE ~ no charge this plant",IF(H3164="credit",CONCATENATE(" -$",ROUND(K3164*(1-T2GDiscount)*-1,2)," CREDIT after discount"),IF(T2GDiscount=0,"",IF(G3164=0,"",IF(F3164="Buy",CONCATENATE(" $",ROUND(K3164*(1-T2GDiscount),2)," with ",(T2GDiscount*100),"% discount"),CONCATENATE(" $",ROUND(K3164*(1-T2GDiscount),2)," with ",((T2GDiscount*100+F3164*100)-(T2GDiscount*100*F3164)),IF(F3164&gt;0,"% discounts",IF(NoWarrantyDiscount&gt;0,"% discounts","% discount")))))))))</f>
        <v/>
      </c>
      <c r="N3164" s="660"/>
      <c r="O3164" s="233"/>
      <c r="P3164" s="233"/>
      <c r="Q3164" s="233"/>
      <c r="R3164" s="233"/>
      <c r="S3164" s="233"/>
      <c r="T3164" s="508">
        <f t="shared" si="2423"/>
        <v>0</v>
      </c>
      <c r="U3164" s="225">
        <f>IF(NOT(ISNUMBER(G3164)), "", VLOOKUP(A3164,'Discount Lookup'!D:E,2,FALSE)*G3164)</f>
        <v>0</v>
      </c>
      <c r="V3164" s="225">
        <f>IF(NOT(ISNUMBER(G3164)), "", VLOOKUP(A3164,'Discount Lookup'!G:H,2,FALSE)*G3164)</f>
        <v>0</v>
      </c>
      <c r="W3164" s="508">
        <f t="shared" si="2424"/>
        <v>0</v>
      </c>
      <c r="X3164" s="508">
        <f t="shared" si="2425"/>
        <v>0</v>
      </c>
      <c r="Y3164" s="509" t="b">
        <f t="shared" si="2426"/>
        <v>0</v>
      </c>
      <c r="Z3164" s="510">
        <f t="shared" si="2427"/>
        <v>0</v>
      </c>
      <c r="AA3164" s="511"/>
      <c r="AB3164" s="511" t="str">
        <f t="shared" si="2428"/>
        <v/>
      </c>
      <c r="AC3164" s="698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698"/>
      <c r="AE3164" s="631" t="str">
        <f t="shared" si="2429"/>
        <v/>
      </c>
      <c r="AF3164" s="699" t="str">
        <f t="shared" si="2430"/>
        <v/>
      </c>
      <c r="AG3164" s="699"/>
      <c r="AH3164" s="699"/>
      <c r="AI3164" s="512">
        <f>IF(H3164="credit",0,IF(AE3164="free",0,IF(AE3164="me",0,IF(G3164&gt;0,(VLOOKUP(A3164,'Discount Lookup'!J:K,2)*G3164),0))))</f>
        <v>0</v>
      </c>
      <c r="AJ3164" s="513" t="str">
        <f t="shared" ca="1" si="2431"/>
        <v/>
      </c>
      <c r="AK3164" s="700" t="str">
        <f t="shared" si="2432"/>
        <v/>
      </c>
      <c r="AL3164" s="700"/>
      <c r="AM3164" s="505" t="str">
        <f t="shared" si="2433"/>
        <v/>
      </c>
      <c r="AN3164" s="506"/>
      <c r="AO3164" s="507"/>
      <c r="AP3164" s="507"/>
      <c r="AQ3164" s="507"/>
      <c r="AR3164" s="507"/>
      <c r="AS3164" s="507"/>
      <c r="AT3164" s="507"/>
      <c r="AU3164" s="507"/>
      <c r="AV3164" s="225"/>
      <c r="AW3164" s="508"/>
      <c r="AX3164" s="225"/>
      <c r="AY3164" s="225"/>
      <c r="AZ3164" s="225"/>
      <c r="BA3164" s="225"/>
      <c r="BB3164" s="225"/>
      <c r="BC3164" s="56"/>
      <c r="BD3164" s="56"/>
      <c r="BE3164" s="56"/>
      <c r="BF3164" s="107" t="str">
        <f t="shared" si="2434"/>
        <v>https://www.google.com/search?tbm=isch&amp;q=7%20G4</v>
      </c>
      <c r="BG3164" s="107" t="str">
        <f t="shared" si="2435"/>
        <v>R</v>
      </c>
      <c r="BH3164" s="254"/>
      <c r="BI3164" s="254"/>
    </row>
    <row r="3165" spans="1:61" customFormat="1" ht="17.25" thickBot="1" x14ac:dyDescent="0.3">
      <c r="A3165" s="524" t="s">
        <v>2467</v>
      </c>
      <c r="B3165" s="245"/>
      <c r="C3165" s="677"/>
      <c r="D3165" s="499"/>
      <c r="E3165" s="499"/>
      <c r="F3165" s="500"/>
      <c r="G3165" s="501"/>
      <c r="H3165" s="502"/>
      <c r="I3165" s="246"/>
      <c r="J3165" s="247"/>
      <c r="K3165" s="503"/>
      <c r="L3165" s="544"/>
      <c r="M3165" s="544"/>
      <c r="N3165" s="500"/>
      <c r="O3165" s="500"/>
      <c r="P3165" s="500"/>
      <c r="Q3165" s="500"/>
      <c r="R3165" s="500"/>
      <c r="S3165" s="278"/>
      <c r="T3165" s="508">
        <f t="shared" si="2423"/>
        <v>0</v>
      </c>
      <c r="U3165" s="225" t="str">
        <f>IF(NOT(ISNUMBER(G3165)), "", VLOOKUP(A3165,'Discount Lookup'!D:E,2,FALSE)*G3165)</f>
        <v/>
      </c>
      <c r="V3165" s="225" t="str">
        <f>IF(NOT(ISNUMBER(G3165)), "", VLOOKUP(A3165,'Discount Lookup'!G:H,2,FALSE)*G3165)</f>
        <v/>
      </c>
      <c r="W3165" s="508">
        <f t="shared" si="2424"/>
        <v>0</v>
      </c>
      <c r="X3165" s="508">
        <f t="shared" si="2425"/>
        <v>0</v>
      </c>
      <c r="Y3165" s="509" t="b">
        <f t="shared" si="2426"/>
        <v>0</v>
      </c>
      <c r="Z3165" s="510">
        <f t="shared" si="2427"/>
        <v>0</v>
      </c>
      <c r="AA3165" s="511"/>
      <c r="AB3165" s="511" t="str">
        <f t="shared" si="2428"/>
        <v/>
      </c>
      <c r="AC3165" s="698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698"/>
      <c r="AE3165" s="631" t="str">
        <f t="shared" si="2429"/>
        <v/>
      </c>
      <c r="AF3165" s="699" t="str">
        <f t="shared" si="2430"/>
        <v/>
      </c>
      <c r="AG3165" s="699"/>
      <c r="AH3165" s="699"/>
      <c r="AI3165" s="512">
        <f>IF(H3165="credit",0,IF(AE3165="free",0,IF(AE3165="me",0,IF(G3165&gt;0,(VLOOKUP(A3165,'Discount Lookup'!J:K,2)*G3165),0))))</f>
        <v>0</v>
      </c>
      <c r="AJ3165" s="513" t="str">
        <f t="shared" ca="1" si="2431"/>
        <v/>
      </c>
      <c r="AK3165" s="700" t="str">
        <f t="shared" si="2432"/>
        <v/>
      </c>
      <c r="AL3165" s="700"/>
      <c r="AM3165" s="505" t="str">
        <f t="shared" si="2433"/>
        <v/>
      </c>
      <c r="AN3165" s="506"/>
      <c r="AO3165" s="507"/>
      <c r="AP3165" s="507"/>
      <c r="AQ3165" s="507"/>
      <c r="AR3165" s="507"/>
      <c r="AS3165" s="507"/>
      <c r="AT3165" s="507"/>
      <c r="AU3165" s="507"/>
      <c r="AV3165" s="225"/>
      <c r="AW3165" s="508"/>
      <c r="AX3165" s="225"/>
      <c r="AY3165" s="225"/>
      <c r="AZ3165" s="225"/>
      <c r="BA3165" s="225"/>
      <c r="BB3165" s="225"/>
      <c r="BC3165" s="56"/>
      <c r="BD3165" s="56"/>
      <c r="BE3165" s="56"/>
      <c r="BF3165" s="107" t="str">
        <f t="shared" si="2434"/>
        <v>https://www.google.com/search?tbm=isch&amp;q=Royal%20Star%20has%20slightly%20larger%20and%20showier%20flowers%20than%20Star%20Magnolia.%20Fragrant%20blooms%202%20weeks%20later%2C%20to%20avoid%20frost%20</v>
      </c>
      <c r="BG3165" s="107" t="str">
        <f t="shared" si="2435"/>
        <v>R</v>
      </c>
      <c r="BH3165" s="254"/>
      <c r="BI3165" s="254"/>
    </row>
    <row r="3166" spans="1:61" customFormat="1" ht="18" x14ac:dyDescent="0.25">
      <c r="A3166" s="523" t="s">
        <v>5526</v>
      </c>
      <c r="B3166" s="235"/>
      <c r="C3166" s="676"/>
      <c r="D3166" s="255" t="s">
        <v>1651</v>
      </c>
      <c r="E3166" s="236"/>
      <c r="F3166" s="236"/>
      <c r="G3166" s="236"/>
      <c r="H3166" s="582" t="s">
        <v>810</v>
      </c>
      <c r="I3166" s="498" t="s">
        <v>3163</v>
      </c>
      <c r="J3166" s="237"/>
      <c r="K3166" s="237"/>
      <c r="L3166" s="274"/>
      <c r="M3166" s="668" t="s">
        <v>4962</v>
      </c>
      <c r="N3166" s="681" t="str">
        <f>IF(AND(ISTEXT($A3166), ISERROR($A3166+0)), HYPERLINK($BF3166, "Images"), "")</f>
        <v>Images</v>
      </c>
      <c r="O3166" s="663" t="s">
        <v>4967</v>
      </c>
      <c r="P3166" s="253"/>
      <c r="Q3166" s="238"/>
      <c r="R3166" s="239"/>
      <c r="S3166" s="275"/>
      <c r="T3166" s="508">
        <f t="shared" si="2423"/>
        <v>0</v>
      </c>
      <c r="U3166" s="225" t="str">
        <f>IF(NOT(ISNUMBER(G3166)), "", VLOOKUP(A3166,'Discount Lookup'!D:E,2,FALSE)*G3166)</f>
        <v/>
      </c>
      <c r="V3166" s="225" t="str">
        <f>IF(NOT(ISNUMBER(G3166)), "", VLOOKUP(A3166,'Discount Lookup'!G:H,2,FALSE)*G3166)</f>
        <v/>
      </c>
      <c r="W3166" s="508">
        <f t="shared" si="2424"/>
        <v>0</v>
      </c>
      <c r="X3166" s="508" t="str">
        <f t="shared" si="2425"/>
        <v>Royal Purple bloom, orange eye</v>
      </c>
      <c r="Y3166" s="509" t="b">
        <f t="shared" si="2426"/>
        <v>0</v>
      </c>
      <c r="Z3166" s="510">
        <f t="shared" si="2427"/>
        <v>0</v>
      </c>
      <c r="AA3166" s="511"/>
      <c r="AB3166" s="511" t="str">
        <f t="shared" si="2428"/>
        <v/>
      </c>
      <c r="AC3166" s="698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698"/>
      <c r="AE3166" s="631" t="str">
        <f t="shared" si="2429"/>
        <v/>
      </c>
      <c r="AF3166" s="699" t="str">
        <f t="shared" si="2430"/>
        <v/>
      </c>
      <c r="AG3166" s="699"/>
      <c r="AH3166" s="699"/>
      <c r="AI3166" s="512">
        <f>IF(H3166="credit",0,IF(AE3166="free",0,IF(AE3166="me",0,IF(G3166&gt;0,(VLOOKUP(A3166,'Discount Lookup'!J:K,2)*G3166),0))))</f>
        <v>0</v>
      </c>
      <c r="AJ3166" s="513" t="str">
        <f t="shared" ca="1" si="2431"/>
        <v/>
      </c>
      <c r="AK3166" s="700" t="str">
        <f t="shared" si="2432"/>
        <v/>
      </c>
      <c r="AL3166" s="700"/>
      <c r="AM3166" s="505" t="str">
        <f t="shared" si="2433"/>
        <v/>
      </c>
      <c r="AN3166" s="506"/>
      <c r="AO3166" s="507"/>
      <c r="AP3166" s="507"/>
      <c r="AQ3166" s="507"/>
      <c r="AR3166" s="507"/>
      <c r="AS3166" s="507"/>
      <c r="AT3166" s="507"/>
      <c r="AU3166" s="507"/>
      <c r="AV3166" s="225"/>
      <c r="AW3166" s="508"/>
      <c r="AX3166" s="225"/>
      <c r="AY3166" s="225"/>
      <c r="AZ3166" s="225"/>
      <c r="BA3166" s="225"/>
      <c r="BB3166" s="225"/>
      <c r="BC3166" s="56"/>
      <c r="BD3166" s="56"/>
      <c r="BE3166" s="56"/>
      <c r="BF3166" s="107" t="str">
        <f t="shared" si="2434"/>
        <v>https://www.google.com/search?tbm=isch&amp;q=RoyalRazz%C2%AE%20Butterfly%20Bush%20Buddleia%20davidii%20%27SRPbudroy%27%20PP%2333161</v>
      </c>
      <c r="BG3166" s="107" t="str">
        <f t="shared" si="2435"/>
        <v>R</v>
      </c>
      <c r="BH3166" s="254"/>
      <c r="BI3166" s="254"/>
    </row>
    <row r="3167" spans="1:61" customFormat="1" ht="15.75" x14ac:dyDescent="0.25">
      <c r="A3167" s="276">
        <v>3</v>
      </c>
      <c r="B3167" s="240" t="s">
        <v>291</v>
      </c>
      <c r="C3167" s="241"/>
      <c r="D3167" s="242" t="s">
        <v>312</v>
      </c>
      <c r="E3167" s="243">
        <v>30.95</v>
      </c>
      <c r="F3167" s="517" t="s">
        <v>293</v>
      </c>
      <c r="G3167" s="232">
        <v>0</v>
      </c>
      <c r="H3167" s="661" t="str">
        <f>IF(G3167=0,"",IF(F3167="Buy",IF(G3167=1,"plant","plants"),IF(F3167&gt;0.01,"warranty","Error")))</f>
        <v/>
      </c>
      <c r="I3167" s="244">
        <f>IF(H3167="free",0,IF(H3167="credit",((E3167*(F3167))*G3167*-1),IF(F3167="Buy",(E3167*G3167),((E3167*(1-F3167))*G3167))))</f>
        <v>0</v>
      </c>
      <c r="J3167" s="244">
        <f>IF(H3167="warranty",0,(I3167*(_xlfn.SINGLE(SalesTaxPercentage))))</f>
        <v>0</v>
      </c>
      <c r="K3167" s="696">
        <f t="shared" ref="K3167" si="2442">I3167+J3167</f>
        <v>0</v>
      </c>
      <c r="L3167" s="696"/>
      <c r="M3167" s="659" t="str">
        <f>IF(AND(G3167&gt;0,E3167=0),"WARNING - no PRICE inserted",IF(H3167="free"," FREE ~ no charge this plant",IF(H3167="credit",CONCATENATE(" -$",ROUND(K3167*(1-T2GDiscount)*-1,2)," CREDIT after discount"),IF(T2GDiscount=0,"",IF(G3167=0,"",IF(F3167="Buy",CONCATENATE(" $",ROUND(K3167*(1-T2GDiscount),2)," with ",(T2GDiscount*100),"% discount"),CONCATENATE(" $",ROUND(K3167*(1-T2GDiscount),2)," with ",((T2GDiscount*100+F3167*100)-(T2GDiscount*100*F3167)),IF(F3167&gt;0,"% discounts",IF(NoWarrantyDiscount&gt;0,"% discounts","% discount")))))))))</f>
        <v/>
      </c>
      <c r="N3167" s="660"/>
      <c r="O3167" s="233"/>
      <c r="P3167" s="233"/>
      <c r="Q3167" s="233"/>
      <c r="R3167" s="233"/>
      <c r="S3167" s="233"/>
      <c r="T3167" s="508">
        <f t="shared" si="2423"/>
        <v>0</v>
      </c>
      <c r="U3167" s="225">
        <f>IF(NOT(ISNUMBER(G3167)), "", VLOOKUP(A3167,'Discount Lookup'!D:E,2,FALSE)*G3167)</f>
        <v>0</v>
      </c>
      <c r="V3167" s="225">
        <f>IF(NOT(ISNUMBER(G3167)), "", VLOOKUP(A3167,'Discount Lookup'!G:H,2,FALSE)*G3167)</f>
        <v>0</v>
      </c>
      <c r="W3167" s="508">
        <f t="shared" si="2424"/>
        <v>0</v>
      </c>
      <c r="X3167" s="508">
        <f t="shared" si="2425"/>
        <v>0</v>
      </c>
      <c r="Y3167" s="509" t="b">
        <f t="shared" si="2426"/>
        <v>0</v>
      </c>
      <c r="Z3167" s="510">
        <f t="shared" si="2427"/>
        <v>0</v>
      </c>
      <c r="AA3167" s="511"/>
      <c r="AB3167" s="511" t="str">
        <f t="shared" si="2428"/>
        <v/>
      </c>
      <c r="AC3167" s="698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698"/>
      <c r="AE3167" s="631" t="str">
        <f t="shared" si="2429"/>
        <v/>
      </c>
      <c r="AF3167" s="699" t="str">
        <f t="shared" si="2430"/>
        <v/>
      </c>
      <c r="AG3167" s="699"/>
      <c r="AH3167" s="699"/>
      <c r="AI3167" s="512">
        <f>IF(H3167="credit",0,IF(AE3167="free",0,IF(AE3167="me",0,IF(G3167&gt;0,(VLOOKUP(A3167,'Discount Lookup'!J:K,2)*G3167),0))))</f>
        <v>0</v>
      </c>
      <c r="AJ3167" s="513" t="str">
        <f t="shared" ca="1" si="2431"/>
        <v/>
      </c>
      <c r="AK3167" s="700" t="str">
        <f t="shared" si="2432"/>
        <v/>
      </c>
      <c r="AL3167" s="700"/>
      <c r="AM3167" s="505" t="str">
        <f t="shared" si="2433"/>
        <v/>
      </c>
      <c r="AN3167" s="506"/>
      <c r="AO3167" s="507"/>
      <c r="AP3167" s="507"/>
      <c r="AQ3167" s="507"/>
      <c r="AR3167" s="507"/>
      <c r="AS3167" s="507"/>
      <c r="AT3167" s="507"/>
      <c r="AU3167" s="507"/>
      <c r="AV3167" s="225"/>
      <c r="AW3167" s="508"/>
      <c r="AX3167" s="225"/>
      <c r="AY3167" s="225"/>
      <c r="AZ3167" s="225"/>
      <c r="BA3167" s="225"/>
      <c r="BB3167" s="225"/>
      <c r="BC3167" s="56"/>
      <c r="BD3167" s="56"/>
      <c r="BE3167" s="56"/>
      <c r="BF3167" s="107" t="str">
        <f t="shared" si="2434"/>
        <v>https://www.google.com/search?tbm=isch&amp;q=3%20G2</v>
      </c>
      <c r="BG3167" s="107" t="str">
        <f t="shared" si="2435"/>
        <v>R</v>
      </c>
      <c r="BH3167" s="254"/>
      <c r="BI3167" s="254"/>
    </row>
    <row r="3168" spans="1:61" customFormat="1" ht="17.25" thickBot="1" x14ac:dyDescent="0.3">
      <c r="A3168" s="524" t="s">
        <v>4159</v>
      </c>
      <c r="B3168" s="245"/>
      <c r="C3168" s="677"/>
      <c r="D3168" s="499"/>
      <c r="E3168" s="499"/>
      <c r="F3168" s="500"/>
      <c r="G3168" s="501"/>
      <c r="H3168" s="502"/>
      <c r="I3168" s="246"/>
      <c r="J3168" s="247"/>
      <c r="K3168" s="503"/>
      <c r="L3168" s="544"/>
      <c r="M3168" s="544"/>
      <c r="N3168" s="500"/>
      <c r="O3168" s="500"/>
      <c r="P3168" s="500"/>
      <c r="Q3168" s="500"/>
      <c r="R3168" s="500"/>
      <c r="S3168" s="669" t="s">
        <v>4980</v>
      </c>
      <c r="T3168" s="508">
        <f t="shared" si="2423"/>
        <v>0</v>
      </c>
      <c r="U3168" s="225" t="str">
        <f>IF(NOT(ISNUMBER(G3168)), "", VLOOKUP(A3168,'Discount Lookup'!D:E,2,FALSE)*G3168)</f>
        <v/>
      </c>
      <c r="V3168" s="225" t="str">
        <f>IF(NOT(ISNUMBER(G3168)), "", VLOOKUP(A3168,'Discount Lookup'!G:H,2,FALSE)*G3168)</f>
        <v/>
      </c>
      <c r="W3168" s="508">
        <f t="shared" si="2424"/>
        <v>0</v>
      </c>
      <c r="X3168" s="508">
        <f t="shared" si="2425"/>
        <v>0</v>
      </c>
      <c r="Y3168" s="509" t="b">
        <f t="shared" si="2426"/>
        <v>0</v>
      </c>
      <c r="Z3168" s="510">
        <f t="shared" si="2427"/>
        <v>0</v>
      </c>
      <c r="AA3168" s="511"/>
      <c r="AB3168" s="511" t="str">
        <f t="shared" si="2428"/>
        <v/>
      </c>
      <c r="AC3168" s="698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698"/>
      <c r="AE3168" s="631" t="str">
        <f t="shared" si="2429"/>
        <v/>
      </c>
      <c r="AF3168" s="699" t="str">
        <f t="shared" si="2430"/>
        <v/>
      </c>
      <c r="AG3168" s="699"/>
      <c r="AH3168" s="699"/>
      <c r="AI3168" s="512">
        <f>IF(H3168="credit",0,IF(AE3168="free",0,IF(AE3168="me",0,IF(G3168&gt;0,(VLOOKUP(A3168,'Discount Lookup'!J:K,2)*G3168),0))))</f>
        <v>0</v>
      </c>
      <c r="AJ3168" s="513" t="str">
        <f t="shared" ca="1" si="2431"/>
        <v/>
      </c>
      <c r="AK3168" s="700" t="str">
        <f t="shared" si="2432"/>
        <v/>
      </c>
      <c r="AL3168" s="700"/>
      <c r="AM3168" s="505" t="str">
        <f t="shared" si="2433"/>
        <v/>
      </c>
      <c r="AN3168" s="506"/>
      <c r="AO3168" s="507"/>
      <c r="AP3168" s="507"/>
      <c r="AQ3168" s="507"/>
      <c r="AR3168" s="507"/>
      <c r="AS3168" s="507"/>
      <c r="AT3168" s="507"/>
      <c r="AU3168" s="507"/>
      <c r="AV3168" s="225"/>
      <c r="AW3168" s="508"/>
      <c r="AX3168" s="225"/>
      <c r="AY3168" s="225"/>
      <c r="AZ3168" s="225"/>
      <c r="BA3168" s="225"/>
      <c r="BB3168" s="225"/>
      <c r="BC3168" s="56"/>
      <c r="BD3168" s="56"/>
      <c r="BE3168" s="56"/>
      <c r="BF3168" s="107" t="str">
        <f t="shared" si="2434"/>
        <v>https://www.google.com/search?tbm=isch&amp;q=RoyalRazz%20has%20Green%20foliage%20and%20a%20sweet%20fragrance.%20All%20BB%20bloom%20summer%20to%20frost%2C%20on%20new%20wood%2C%20so%20cut%20back%20hard%20late%20winter%20</v>
      </c>
      <c r="BG3168" s="107" t="str">
        <f t="shared" si="2435"/>
        <v>R</v>
      </c>
      <c r="BH3168" s="254"/>
      <c r="BI3168" s="254"/>
    </row>
    <row r="3169" spans="1:61" customFormat="1" ht="18" x14ac:dyDescent="0.25">
      <c r="A3169" s="521" t="s">
        <v>1652</v>
      </c>
      <c r="B3169" s="477"/>
      <c r="C3169" s="674"/>
      <c r="D3169" s="478" t="s">
        <v>1653</v>
      </c>
      <c r="E3169" s="479"/>
      <c r="F3169" s="479"/>
      <c r="G3169" s="479"/>
      <c r="H3169" s="582" t="s">
        <v>441</v>
      </c>
      <c r="I3169" s="480" t="s">
        <v>2971</v>
      </c>
      <c r="J3169" s="479"/>
      <c r="K3169" s="479"/>
      <c r="L3169" s="560"/>
      <c r="M3169" s="671" t="s">
        <v>4985</v>
      </c>
      <c r="N3169" s="680" t="str">
        <f>IF(AND(ISTEXT($A3169), ISERROR($A3169+0)), HYPERLINK($BF3169, "Images"), "")</f>
        <v>Images</v>
      </c>
      <c r="O3169" s="662" t="s">
        <v>4969</v>
      </c>
      <c r="P3169" s="482"/>
      <c r="Q3169" s="483"/>
      <c r="R3169" s="483"/>
      <c r="S3169" s="484"/>
      <c r="T3169" s="508">
        <f t="shared" si="2423"/>
        <v>0</v>
      </c>
      <c r="U3169" s="225" t="str">
        <f>IF(NOT(ISNUMBER(G3169)), "", VLOOKUP(A3169,'Discount Lookup'!D:E,2,FALSE)*G3169)</f>
        <v/>
      </c>
      <c r="V3169" s="225" t="str">
        <f>IF(NOT(ISNUMBER(G3169)), "", VLOOKUP(A3169,'Discount Lookup'!G:H,2,FALSE)*G3169)</f>
        <v/>
      </c>
      <c r="W3169" s="508">
        <f t="shared" si="2424"/>
        <v>0</v>
      </c>
      <c r="X3169" s="508" t="str">
        <f t="shared" si="2425"/>
        <v>Forest Green foliage</v>
      </c>
      <c r="Y3169" s="509" t="b">
        <f t="shared" si="2426"/>
        <v>0</v>
      </c>
      <c r="Z3169" s="510">
        <f t="shared" si="2427"/>
        <v>0</v>
      </c>
      <c r="AA3169" s="511"/>
      <c r="AB3169" s="511" t="str">
        <f t="shared" si="2428"/>
        <v/>
      </c>
      <c r="AC3169" s="698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698"/>
      <c r="AE3169" s="631" t="str">
        <f t="shared" si="2429"/>
        <v/>
      </c>
      <c r="AF3169" s="699" t="str">
        <f t="shared" si="2430"/>
        <v/>
      </c>
      <c r="AG3169" s="699"/>
      <c r="AH3169" s="699"/>
      <c r="AI3169" s="512">
        <f>IF(H3169="credit",0,IF(AE3169="free",0,IF(AE3169="me",0,IF(G3169&gt;0,(VLOOKUP(A3169,'Discount Lookup'!J:K,2)*G3169),0))))</f>
        <v>0</v>
      </c>
      <c r="AJ3169" s="513" t="str">
        <f t="shared" ca="1" si="2431"/>
        <v/>
      </c>
      <c r="AK3169" s="700" t="str">
        <f t="shared" si="2432"/>
        <v/>
      </c>
      <c r="AL3169" s="700"/>
      <c r="AM3169" s="505" t="str">
        <f t="shared" si="2433"/>
        <v/>
      </c>
      <c r="AN3169" s="506"/>
      <c r="AO3169" s="507"/>
      <c r="AP3169" s="507"/>
      <c r="AQ3169" s="507"/>
      <c r="AR3169" s="507"/>
      <c r="AS3169" s="507"/>
      <c r="AT3169" s="507"/>
      <c r="AU3169" s="507"/>
      <c r="AV3169" s="225"/>
      <c r="AW3169" s="508"/>
      <c r="AX3169" s="225"/>
      <c r="AY3169" s="225"/>
      <c r="AZ3169" s="225"/>
      <c r="BA3169" s="225"/>
      <c r="BB3169" s="225"/>
      <c r="BC3169" s="56"/>
      <c r="BD3169" s="56"/>
      <c r="BE3169" s="56"/>
      <c r="BF3169" s="107" t="str">
        <f t="shared" si="2434"/>
        <v>https://www.google.com/search?tbm=isch&amp;q=Rozannie%20Aucuba%20Aucuba%20japonica%20%27Rozannie%27</v>
      </c>
      <c r="BG3169" s="107" t="str">
        <f t="shared" si="2435"/>
        <v>R</v>
      </c>
      <c r="BH3169" s="254"/>
      <c r="BI3169" s="254"/>
    </row>
    <row r="3170" spans="1:61" customFormat="1" ht="27" x14ac:dyDescent="0.25">
      <c r="A3170" s="485">
        <v>3</v>
      </c>
      <c r="B3170" s="486" t="s">
        <v>291</v>
      </c>
      <c r="C3170" s="487" t="s">
        <v>4935</v>
      </c>
      <c r="D3170" s="488" t="s">
        <v>292</v>
      </c>
      <c r="E3170" s="489">
        <v>35.950000000000003</v>
      </c>
      <c r="F3170" s="516" t="s">
        <v>293</v>
      </c>
      <c r="G3170" s="232">
        <v>0</v>
      </c>
      <c r="H3170" s="658" t="str">
        <f>IF(G3170=0,"",IF(F3170="Buy",IF(G3170=1,"plant","plants"),IF(F3170&gt;0.01,"warranty","Error")))</f>
        <v/>
      </c>
      <c r="I3170" s="490">
        <f>IF(H3170="free",0,IF(H3170="credit",((E3170*(F3170))*G3170*-1),IF(F3170="Buy",(E3170*G3170),((E3170*(1-F3170))*G3170))))</f>
        <v>0</v>
      </c>
      <c r="J3170" s="490">
        <f>IF(H3170="warranty",0,(I3170*(_xlfn.SINGLE(SalesTaxPercentage))))</f>
        <v>0</v>
      </c>
      <c r="K3170" s="695">
        <f t="shared" ref="K3170" si="2443">I3170+J3170</f>
        <v>0</v>
      </c>
      <c r="L3170" s="695"/>
      <c r="M3170" s="659" t="str">
        <f>IF(AND(G3170&gt;0,E3170=0),"WARNING - no PRICE inserted",IF(H3170="free"," FREE ~ no charge this plant",IF(H3170="credit",CONCATENATE(" -$",ROUND(K3170*(1-T2GDiscount)*-1,2)," CREDIT after discount"),IF(T2GDiscount=0,"",IF(G3170=0,"",IF(F3170="Buy",CONCATENATE(" $",ROUND(K3170*(1-T2GDiscount),2)," with ",(T2GDiscount*100),"% discount"),CONCATENATE(" $",ROUND(K3170*(1-T2GDiscount),2)," with ",((T2GDiscount*100+F3170*100)-(T2GDiscount*100*F3170)),IF(F3170&gt;0,"% discounts",IF(NoWarrantyDiscount&gt;0,"% discounts","% discount")))))))))</f>
        <v/>
      </c>
      <c r="N3170" s="660"/>
      <c r="O3170" s="233"/>
      <c r="P3170" s="233"/>
      <c r="Q3170" s="233"/>
      <c r="R3170" s="233"/>
      <c r="S3170" s="233"/>
      <c r="T3170" s="508">
        <f t="shared" si="2423"/>
        <v>0</v>
      </c>
      <c r="U3170" s="225">
        <f>IF(NOT(ISNUMBER(G3170)), "", VLOOKUP(A3170,'Discount Lookup'!D:E,2,FALSE)*G3170)</f>
        <v>0</v>
      </c>
      <c r="V3170" s="225">
        <f>IF(NOT(ISNUMBER(G3170)), "", VLOOKUP(A3170,'Discount Lookup'!G:H,2,FALSE)*G3170)</f>
        <v>0</v>
      </c>
      <c r="W3170" s="508">
        <f t="shared" si="2424"/>
        <v>0</v>
      </c>
      <c r="X3170" s="508">
        <f t="shared" si="2425"/>
        <v>0</v>
      </c>
      <c r="Y3170" s="509" t="b">
        <f t="shared" si="2426"/>
        <v>0</v>
      </c>
      <c r="Z3170" s="510">
        <f t="shared" si="2427"/>
        <v>0</v>
      </c>
      <c r="AA3170" s="511"/>
      <c r="AB3170" s="511" t="str">
        <f t="shared" si="2428"/>
        <v/>
      </c>
      <c r="AC3170" s="698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698"/>
      <c r="AE3170" s="631" t="str">
        <f t="shared" si="2429"/>
        <v/>
      </c>
      <c r="AF3170" s="699" t="str">
        <f t="shared" si="2430"/>
        <v/>
      </c>
      <c r="AG3170" s="699"/>
      <c r="AH3170" s="699"/>
      <c r="AI3170" s="512">
        <f>IF(H3170="credit",0,IF(AE3170="free",0,IF(AE3170="me",0,IF(G3170&gt;0,(VLOOKUP(A3170,'Discount Lookup'!J:K,2)*G3170),0))))</f>
        <v>0</v>
      </c>
      <c r="AJ3170" s="513" t="str">
        <f t="shared" ca="1" si="2431"/>
        <v/>
      </c>
      <c r="AK3170" s="700" t="str">
        <f t="shared" si="2432"/>
        <v/>
      </c>
      <c r="AL3170" s="700"/>
      <c r="AM3170" s="505" t="str">
        <f t="shared" si="2433"/>
        <v/>
      </c>
      <c r="AN3170" s="506"/>
      <c r="AO3170" s="507"/>
      <c r="AP3170" s="507"/>
      <c r="AQ3170" s="507"/>
      <c r="AR3170" s="507"/>
      <c r="AS3170" s="507"/>
      <c r="AT3170" s="507"/>
      <c r="AU3170" s="507"/>
      <c r="AV3170" s="225"/>
      <c r="AW3170" s="508"/>
      <c r="AX3170" s="225"/>
      <c r="AY3170" s="225"/>
      <c r="AZ3170" s="225"/>
      <c r="BA3170" s="225"/>
      <c r="BB3170" s="225"/>
      <c r="BC3170" s="56"/>
      <c r="BD3170" s="56"/>
      <c r="BE3170" s="56"/>
      <c r="BF3170" s="107" t="str">
        <f t="shared" si="2434"/>
        <v>https://www.google.com/search?tbm=isch&amp;q=3%20G4</v>
      </c>
      <c r="BG3170" s="107" t="str">
        <f t="shared" si="2435"/>
        <v>R</v>
      </c>
      <c r="BH3170" s="254"/>
      <c r="BI3170" s="254"/>
    </row>
    <row r="3171" spans="1:61" customFormat="1" ht="16.5" thickBot="1" x14ac:dyDescent="0.3">
      <c r="A3171" s="522" t="s">
        <v>2992</v>
      </c>
      <c r="B3171" s="491"/>
      <c r="C3171" s="675"/>
      <c r="D3171" s="491"/>
      <c r="E3171" s="491"/>
      <c r="F3171" s="492"/>
      <c r="G3171" s="493"/>
      <c r="H3171" s="491"/>
      <c r="I3171" s="234"/>
      <c r="J3171" s="234"/>
      <c r="K3171" s="494"/>
      <c r="L3171" s="543"/>
      <c r="M3171" s="561"/>
      <c r="N3171" s="495"/>
      <c r="O3171" s="496"/>
      <c r="P3171" s="497"/>
      <c r="Q3171" s="495"/>
      <c r="R3171" s="495"/>
      <c r="S3171" s="277"/>
      <c r="T3171" s="508">
        <f t="shared" si="2423"/>
        <v>0</v>
      </c>
      <c r="U3171" s="225" t="str">
        <f>IF(NOT(ISNUMBER(G3171)), "", VLOOKUP(A3171,'Discount Lookup'!D:E,2,FALSE)*G3171)</f>
        <v/>
      </c>
      <c r="V3171" s="225" t="str">
        <f>IF(NOT(ISNUMBER(G3171)), "", VLOOKUP(A3171,'Discount Lookup'!G:H,2,FALSE)*G3171)</f>
        <v/>
      </c>
      <c r="W3171" s="508">
        <f t="shared" si="2424"/>
        <v>0</v>
      </c>
      <c r="X3171" s="508">
        <f t="shared" si="2425"/>
        <v>0</v>
      </c>
      <c r="Y3171" s="509" t="b">
        <f t="shared" si="2426"/>
        <v>0</v>
      </c>
      <c r="Z3171" s="510">
        <f t="shared" si="2427"/>
        <v>0</v>
      </c>
      <c r="AA3171" s="511"/>
      <c r="AB3171" s="511" t="str">
        <f t="shared" si="2428"/>
        <v/>
      </c>
      <c r="AC3171" s="698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698"/>
      <c r="AE3171" s="631" t="str">
        <f t="shared" si="2429"/>
        <v/>
      </c>
      <c r="AF3171" s="699" t="str">
        <f t="shared" si="2430"/>
        <v/>
      </c>
      <c r="AG3171" s="699"/>
      <c r="AH3171" s="699"/>
      <c r="AI3171" s="512">
        <f>IF(H3171="credit",0,IF(AE3171="free",0,IF(AE3171="me",0,IF(G3171&gt;0,(VLOOKUP(A3171,'Discount Lookup'!J:K,2)*G3171),0))))</f>
        <v>0</v>
      </c>
      <c r="AJ3171" s="513" t="str">
        <f t="shared" ca="1" si="2431"/>
        <v/>
      </c>
      <c r="AK3171" s="700" t="str">
        <f t="shared" si="2432"/>
        <v/>
      </c>
      <c r="AL3171" s="700"/>
      <c r="AM3171" s="505" t="str">
        <f t="shared" si="2433"/>
        <v/>
      </c>
      <c r="AN3171" s="506"/>
      <c r="AO3171" s="507"/>
      <c r="AP3171" s="507"/>
      <c r="AQ3171" s="507"/>
      <c r="AR3171" s="507"/>
      <c r="AS3171" s="507"/>
      <c r="AT3171" s="507"/>
      <c r="AU3171" s="507"/>
      <c r="AV3171" s="225"/>
      <c r="AW3171" s="508"/>
      <c r="AX3171" s="225"/>
      <c r="AY3171" s="225"/>
      <c r="AZ3171" s="225"/>
      <c r="BA3171" s="225"/>
      <c r="BB3171" s="225"/>
      <c r="BC3171" s="56"/>
      <c r="BD3171" s="56"/>
      <c r="BE3171" s="56"/>
      <c r="BF3171" s="107" t="str">
        <f t="shared" si="2434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3171" s="107" t="str">
        <f t="shared" si="2435"/>
        <v>R</v>
      </c>
      <c r="BH3171" s="254"/>
      <c r="BI3171" s="254"/>
    </row>
    <row r="3172" spans="1:61" customFormat="1" ht="18" x14ac:dyDescent="0.25">
      <c r="A3172" s="521" t="s">
        <v>5527</v>
      </c>
      <c r="B3172" s="477"/>
      <c r="C3172" s="674"/>
      <c r="D3172" s="478" t="s">
        <v>4440</v>
      </c>
      <c r="E3172" s="479"/>
      <c r="F3172" s="479"/>
      <c r="G3172" s="479"/>
      <c r="H3172" s="582" t="s">
        <v>316</v>
      </c>
      <c r="I3172" s="480" t="s">
        <v>2257</v>
      </c>
      <c r="J3172" s="479"/>
      <c r="K3172" s="479"/>
      <c r="L3172" s="560"/>
      <c r="M3172" s="666" t="s">
        <v>4963</v>
      </c>
      <c r="N3172" s="680" t="str">
        <f>IF(AND(ISTEXT($A3172), ISERROR($A3172+0)), HYPERLINK($BF3172, "Images"), "")</f>
        <v>Images</v>
      </c>
      <c r="O3172" s="662" t="s">
        <v>4974</v>
      </c>
      <c r="P3172" s="482"/>
      <c r="Q3172" s="483"/>
      <c r="R3172" s="483"/>
      <c r="S3172" s="484"/>
      <c r="T3172" s="508">
        <f t="shared" si="2423"/>
        <v>0</v>
      </c>
      <c r="U3172" s="225" t="str">
        <f>IF(NOT(ISNUMBER(G3172)), "", VLOOKUP(A3172,'Discount Lookup'!D:E,2,FALSE)*G3172)</f>
        <v/>
      </c>
      <c r="V3172" s="225" t="str">
        <f>IF(NOT(ISNUMBER(G3172)), "", VLOOKUP(A3172,'Discount Lookup'!G:H,2,FALSE)*G3172)</f>
        <v/>
      </c>
      <c r="W3172" s="508">
        <f t="shared" si="2424"/>
        <v>0</v>
      </c>
      <c r="X3172" s="508" t="str">
        <f t="shared" si="2425"/>
        <v>Glossy Green foliage</v>
      </c>
      <c r="Y3172" s="509" t="b">
        <f t="shared" si="2426"/>
        <v>0</v>
      </c>
      <c r="Z3172" s="510">
        <f t="shared" si="2427"/>
        <v>0</v>
      </c>
      <c r="AA3172" s="511"/>
      <c r="AB3172" s="511" t="str">
        <f t="shared" si="2428"/>
        <v/>
      </c>
      <c r="AC3172" s="698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698"/>
      <c r="AE3172" s="631" t="str">
        <f t="shared" si="2429"/>
        <v/>
      </c>
      <c r="AF3172" s="699" t="str">
        <f t="shared" si="2430"/>
        <v/>
      </c>
      <c r="AG3172" s="699"/>
      <c r="AH3172" s="699"/>
      <c r="AI3172" s="512">
        <f>IF(H3172="credit",0,IF(AE3172="free",0,IF(AE3172="me",0,IF(G3172&gt;0,(VLOOKUP(A3172,'Discount Lookup'!J:K,2)*G3172),0))))</f>
        <v>0</v>
      </c>
      <c r="AJ3172" s="513" t="str">
        <f t="shared" ca="1" si="2431"/>
        <v/>
      </c>
      <c r="AK3172" s="700" t="str">
        <f t="shared" si="2432"/>
        <v/>
      </c>
      <c r="AL3172" s="700"/>
      <c r="AM3172" s="505" t="str">
        <f t="shared" si="2433"/>
        <v/>
      </c>
      <c r="AN3172" s="506"/>
      <c r="AO3172" s="507"/>
      <c r="AP3172" s="507"/>
      <c r="AQ3172" s="507"/>
      <c r="AR3172" s="507"/>
      <c r="AS3172" s="507"/>
      <c r="AT3172" s="507"/>
      <c r="AU3172" s="507"/>
      <c r="AV3172" s="225"/>
      <c r="AW3172" s="508"/>
      <c r="AX3172" s="225"/>
      <c r="AY3172" s="225"/>
      <c r="AZ3172" s="225"/>
      <c r="BA3172" s="225"/>
      <c r="BB3172" s="225"/>
      <c r="BC3172" s="56"/>
      <c r="BD3172" s="56"/>
      <c r="BE3172" s="56"/>
      <c r="BF3172" s="107" t="str">
        <f t="shared" si="2434"/>
        <v>https://www.google.com/search?tbm=isch&amp;q=Ruby%20Colonnade%C2%AE%20Holly%20Ilex%20%27RutHol5%27%20PP%2335169</v>
      </c>
      <c r="BG3172" s="107" t="str">
        <f t="shared" si="2435"/>
        <v>R</v>
      </c>
      <c r="BH3172" s="254"/>
      <c r="BI3172" s="254"/>
    </row>
    <row r="3173" spans="1:61" customFormat="1" ht="15.75" x14ac:dyDescent="0.25">
      <c r="A3173" s="485">
        <v>15</v>
      </c>
      <c r="B3173" s="486" t="s">
        <v>291</v>
      </c>
      <c r="C3173" s="487" t="s">
        <v>4441</v>
      </c>
      <c r="D3173" s="488" t="s">
        <v>292</v>
      </c>
      <c r="E3173" s="489">
        <v>210.95</v>
      </c>
      <c r="F3173" s="516" t="s">
        <v>293</v>
      </c>
      <c r="G3173" s="232">
        <v>0</v>
      </c>
      <c r="H3173" s="658" t="str">
        <f>IF(G3173=0,"",IF(F3173="Buy",IF(G3173=1,"plant","plants"),IF(F3173&gt;0.01,"warranty","Error")))</f>
        <v/>
      </c>
      <c r="I3173" s="490">
        <f>IF(H3173="free",0,IF(H3173="credit",((E3173*(F3173))*G3173*-1),IF(F3173="Buy",(E3173*G3173),((E3173*(1-F3173))*G3173))))</f>
        <v>0</v>
      </c>
      <c r="J3173" s="490">
        <f>IF(H3173="warranty",0,(I3173*(_xlfn.SINGLE(SalesTaxPercentage))))</f>
        <v>0</v>
      </c>
      <c r="K3173" s="695">
        <f t="shared" ref="K3173" si="2444">I3173+J3173</f>
        <v>0</v>
      </c>
      <c r="L3173" s="695"/>
      <c r="M3173" s="659" t="str">
        <f>IF(AND(G3173&gt;0,E3173=0),"WARNING - no PRICE inserted",IF(H3173="free"," FREE ~ no charge this plant",IF(H3173="credit",CONCATENATE(" -$",ROUND(K3173*(1-T2GDiscount)*-1,2)," CREDIT after discount"),IF(T2GDiscount=0,"",IF(G3173=0,"",IF(F3173="Buy",CONCATENATE(" $",ROUND(K3173*(1-T2GDiscount),2)," with ",(T2GDiscount*100),"% discount"),CONCATENATE(" $",ROUND(K3173*(1-T2GDiscount),2)," with ",((T2GDiscount*100+F3173*100)-(T2GDiscount*100*F3173)),IF(F3173&gt;0,"% discounts",IF(NoWarrantyDiscount&gt;0,"% discounts","% discount")))))))))</f>
        <v/>
      </c>
      <c r="N3173" s="660"/>
      <c r="O3173" s="233"/>
      <c r="P3173" s="233"/>
      <c r="Q3173" s="233"/>
      <c r="R3173" s="233"/>
      <c r="S3173" s="233"/>
      <c r="T3173" s="508">
        <f t="shared" si="2423"/>
        <v>0</v>
      </c>
      <c r="U3173" s="225">
        <f>IF(NOT(ISNUMBER(G3173)), "", VLOOKUP(A3173,'Discount Lookup'!D:E,2,FALSE)*G3173)</f>
        <v>0</v>
      </c>
      <c r="V3173" s="225">
        <f>IF(NOT(ISNUMBER(G3173)), "", VLOOKUP(A3173,'Discount Lookup'!G:H,2,FALSE)*G3173)</f>
        <v>0</v>
      </c>
      <c r="W3173" s="508">
        <f t="shared" si="2424"/>
        <v>0</v>
      </c>
      <c r="X3173" s="508">
        <f t="shared" si="2425"/>
        <v>0</v>
      </c>
      <c r="Y3173" s="509" t="b">
        <f t="shared" si="2426"/>
        <v>0</v>
      </c>
      <c r="Z3173" s="510">
        <f t="shared" si="2427"/>
        <v>0</v>
      </c>
      <c r="AA3173" s="511"/>
      <c r="AB3173" s="511" t="str">
        <f t="shared" si="2428"/>
        <v/>
      </c>
      <c r="AC3173" s="698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698"/>
      <c r="AE3173" s="631" t="str">
        <f t="shared" si="2429"/>
        <v/>
      </c>
      <c r="AF3173" s="699" t="str">
        <f t="shared" si="2430"/>
        <v/>
      </c>
      <c r="AG3173" s="699"/>
      <c r="AH3173" s="699"/>
      <c r="AI3173" s="512">
        <f>IF(H3173="credit",0,IF(AE3173="free",0,IF(AE3173="me",0,IF(G3173&gt;0,(VLOOKUP(A3173,'Discount Lookup'!J:K,2)*G3173),0))))</f>
        <v>0</v>
      </c>
      <c r="AJ3173" s="513" t="str">
        <f t="shared" ca="1" si="2431"/>
        <v/>
      </c>
      <c r="AK3173" s="700" t="str">
        <f t="shared" si="2432"/>
        <v/>
      </c>
      <c r="AL3173" s="700"/>
      <c r="AM3173" s="505" t="str">
        <f t="shared" si="2433"/>
        <v/>
      </c>
      <c r="AN3173" s="506"/>
      <c r="AO3173" s="507"/>
      <c r="AP3173" s="507"/>
      <c r="AQ3173" s="507"/>
      <c r="AR3173" s="507"/>
      <c r="AS3173" s="507"/>
      <c r="AT3173" s="507"/>
      <c r="AU3173" s="507"/>
      <c r="AV3173" s="225"/>
      <c r="AW3173" s="508"/>
      <c r="AX3173" s="225"/>
      <c r="AY3173" s="225"/>
      <c r="AZ3173" s="225"/>
      <c r="BA3173" s="225"/>
      <c r="BB3173" s="225"/>
      <c r="BC3173" s="56"/>
      <c r="BD3173" s="56"/>
      <c r="BE3173" s="56"/>
      <c r="BF3173" s="107" t="str">
        <f t="shared" si="2434"/>
        <v>https://www.google.com/search?tbm=isch&amp;q=15%20G4</v>
      </c>
      <c r="BG3173" s="107" t="str">
        <f t="shared" si="2435"/>
        <v>R</v>
      </c>
      <c r="BH3173" s="254"/>
      <c r="BI3173" s="254"/>
    </row>
    <row r="3174" spans="1:61" customFormat="1" ht="16.5" thickBot="1" x14ac:dyDescent="0.3">
      <c r="A3174" s="522" t="s">
        <v>4442</v>
      </c>
      <c r="B3174" s="491"/>
      <c r="C3174" s="675"/>
      <c r="D3174" s="491"/>
      <c r="E3174" s="491"/>
      <c r="F3174" s="492"/>
      <c r="G3174" s="493"/>
      <c r="H3174" s="491"/>
      <c r="I3174" s="234"/>
      <c r="J3174" s="234"/>
      <c r="K3174" s="494"/>
      <c r="L3174" s="543"/>
      <c r="M3174" s="561"/>
      <c r="N3174" s="495"/>
      <c r="O3174" s="496"/>
      <c r="P3174" s="497"/>
      <c r="Q3174" s="495"/>
      <c r="R3174" s="495"/>
      <c r="S3174" s="667" t="s">
        <v>4968</v>
      </c>
      <c r="T3174" s="508">
        <f t="shared" si="2423"/>
        <v>0</v>
      </c>
      <c r="U3174" s="225" t="str">
        <f>IF(NOT(ISNUMBER(G3174)), "", VLOOKUP(A3174,'Discount Lookup'!D:E,2,FALSE)*G3174)</f>
        <v/>
      </c>
      <c r="V3174" s="225" t="str">
        <f>IF(NOT(ISNUMBER(G3174)), "", VLOOKUP(A3174,'Discount Lookup'!G:H,2,FALSE)*G3174)</f>
        <v/>
      </c>
      <c r="W3174" s="508">
        <f t="shared" si="2424"/>
        <v>0</v>
      </c>
      <c r="X3174" s="508">
        <f t="shared" si="2425"/>
        <v>0</v>
      </c>
      <c r="Y3174" s="509" t="b">
        <f t="shared" si="2426"/>
        <v>0</v>
      </c>
      <c r="Z3174" s="510">
        <f t="shared" si="2427"/>
        <v>0</v>
      </c>
      <c r="AA3174" s="511"/>
      <c r="AB3174" s="511" t="str">
        <f t="shared" si="2428"/>
        <v/>
      </c>
      <c r="AC3174" s="698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698"/>
      <c r="AE3174" s="631" t="str">
        <f t="shared" si="2429"/>
        <v/>
      </c>
      <c r="AF3174" s="699" t="str">
        <f t="shared" si="2430"/>
        <v/>
      </c>
      <c r="AG3174" s="699"/>
      <c r="AH3174" s="699"/>
      <c r="AI3174" s="512">
        <f>IF(H3174="credit",0,IF(AE3174="free",0,IF(AE3174="me",0,IF(G3174&gt;0,(VLOOKUP(A3174,'Discount Lookup'!J:K,2)*G3174),0))))</f>
        <v>0</v>
      </c>
      <c r="AJ3174" s="513" t="str">
        <f t="shared" ca="1" si="2431"/>
        <v/>
      </c>
      <c r="AK3174" s="700" t="str">
        <f t="shared" si="2432"/>
        <v/>
      </c>
      <c r="AL3174" s="700"/>
      <c r="AM3174" s="505" t="str">
        <f t="shared" si="2433"/>
        <v/>
      </c>
      <c r="AN3174" s="506"/>
      <c r="AO3174" s="507"/>
      <c r="AP3174" s="507"/>
      <c r="AQ3174" s="507"/>
      <c r="AR3174" s="507"/>
      <c r="AS3174" s="507"/>
      <c r="AT3174" s="507"/>
      <c r="AU3174" s="507"/>
      <c r="AV3174" s="225"/>
      <c r="AW3174" s="508"/>
      <c r="AX3174" s="225"/>
      <c r="AY3174" s="225"/>
      <c r="AZ3174" s="225"/>
      <c r="BA3174" s="225"/>
      <c r="BB3174" s="225"/>
      <c r="BC3174" s="56"/>
      <c r="BD3174" s="56"/>
      <c r="BE3174" s="56"/>
      <c r="BF3174" s="107" t="str">
        <f t="shared" si="2434"/>
        <v>https://www.google.com/search?tbm=isch&amp;q=Ruby%20Colonnade%20foliage%20emerges%20a%20Deep%20Ruby-Red%20before%20maturing%20to%20a%20Glossy%20Dark%20Green.%20All%20male%2C%20they%20can%20pollinate%20female%20Hollies%20</v>
      </c>
      <c r="BG3174" s="107" t="str">
        <f t="shared" si="2435"/>
        <v>R</v>
      </c>
      <c r="BH3174" s="254"/>
      <c r="BI3174" s="254"/>
    </row>
    <row r="3175" spans="1:61" customFormat="1" ht="18" x14ac:dyDescent="0.25">
      <c r="A3175" s="523" t="s">
        <v>1654</v>
      </c>
      <c r="B3175" s="235"/>
      <c r="C3175" s="676"/>
      <c r="D3175" s="255" t="s">
        <v>1655</v>
      </c>
      <c r="E3175" s="236"/>
      <c r="F3175" s="236"/>
      <c r="G3175" s="236"/>
      <c r="H3175" s="582" t="s">
        <v>1656</v>
      </c>
      <c r="I3175" s="498" t="s">
        <v>1657</v>
      </c>
      <c r="J3175" s="237"/>
      <c r="K3175" s="237"/>
      <c r="L3175" s="274"/>
      <c r="M3175" s="668" t="s">
        <v>4975</v>
      </c>
      <c r="N3175" s="681" t="str">
        <f>IF(AND(ISTEXT($A3175), ISERROR($A3175+0)), HYPERLINK($BF3175, "Images"), "")</f>
        <v>Images</v>
      </c>
      <c r="O3175" s="663" t="s">
        <v>4974</v>
      </c>
      <c r="P3175" s="253"/>
      <c r="Q3175" s="238"/>
      <c r="R3175" s="239"/>
      <c r="S3175" s="275" t="s">
        <v>305</v>
      </c>
      <c r="T3175" s="508">
        <f t="shared" si="2423"/>
        <v>0</v>
      </c>
      <c r="U3175" s="225" t="str">
        <f>IF(NOT(ISNUMBER(G3175)), "", VLOOKUP(A3175,'Discount Lookup'!D:E,2,FALSE)*G3175)</f>
        <v/>
      </c>
      <c r="V3175" s="225" t="str">
        <f>IF(NOT(ISNUMBER(G3175)), "", VLOOKUP(A3175,'Discount Lookup'!G:H,2,FALSE)*G3175)</f>
        <v/>
      </c>
      <c r="W3175" s="508">
        <f t="shared" si="2424"/>
        <v>0</v>
      </c>
      <c r="X3175" s="508" t="str">
        <f t="shared" si="2425"/>
        <v>Dark Rose bloom</v>
      </c>
      <c r="Y3175" s="509" t="b">
        <f t="shared" si="2426"/>
        <v>0</v>
      </c>
      <c r="Z3175" s="510">
        <f t="shared" si="2427"/>
        <v>0</v>
      </c>
      <c r="AA3175" s="511"/>
      <c r="AB3175" s="511" t="str">
        <f t="shared" si="2428"/>
        <v/>
      </c>
      <c r="AC3175" s="698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698"/>
      <c r="AE3175" s="631" t="str">
        <f t="shared" si="2429"/>
        <v/>
      </c>
      <c r="AF3175" s="699" t="str">
        <f t="shared" si="2430"/>
        <v/>
      </c>
      <c r="AG3175" s="699"/>
      <c r="AH3175" s="699"/>
      <c r="AI3175" s="512">
        <f>IF(H3175="credit",0,IF(AE3175="free",0,IF(AE3175="me",0,IF(G3175&gt;0,(VLOOKUP(A3175,'Discount Lookup'!J:K,2)*G3175),0))))</f>
        <v>0</v>
      </c>
      <c r="AJ3175" s="513" t="str">
        <f t="shared" ca="1" si="2431"/>
        <v/>
      </c>
      <c r="AK3175" s="700" t="str">
        <f t="shared" si="2432"/>
        <v/>
      </c>
      <c r="AL3175" s="700"/>
      <c r="AM3175" s="505" t="str">
        <f t="shared" si="2433"/>
        <v/>
      </c>
      <c r="AN3175" s="506"/>
      <c r="AO3175" s="507"/>
      <c r="AP3175" s="507"/>
      <c r="AQ3175" s="507"/>
      <c r="AR3175" s="507"/>
      <c r="AS3175" s="507"/>
      <c r="AT3175" s="507"/>
      <c r="AU3175" s="507"/>
      <c r="AV3175" s="225"/>
      <c r="AW3175" s="508"/>
      <c r="AX3175" s="225"/>
      <c r="AY3175" s="225"/>
      <c r="AZ3175" s="225"/>
      <c r="BA3175" s="225"/>
      <c r="BB3175" s="225"/>
      <c r="BC3175" s="56"/>
      <c r="BD3175" s="56"/>
      <c r="BE3175" s="56"/>
      <c r="BF3175" s="107" t="str">
        <f t="shared" si="2434"/>
        <v>https://www.google.com/search?tbm=isch&amp;q=Ruby%20Falls%20Weeping%20Redbud%20Cercis%20canadensis%20%27Ruby%20Falls%27%20PP%2322097</v>
      </c>
      <c r="BG3175" s="107" t="str">
        <f t="shared" si="2435"/>
        <v>R</v>
      </c>
      <c r="BH3175" s="254"/>
      <c r="BI3175" s="254"/>
    </row>
    <row r="3176" spans="1:61" customFormat="1" ht="15.75" x14ac:dyDescent="0.25">
      <c r="A3176" s="276">
        <v>7</v>
      </c>
      <c r="B3176" s="240" t="s">
        <v>291</v>
      </c>
      <c r="C3176" s="241" t="s">
        <v>358</v>
      </c>
      <c r="D3176" s="242" t="s">
        <v>312</v>
      </c>
      <c r="E3176" s="243">
        <v>126.95</v>
      </c>
      <c r="F3176" s="517" t="s">
        <v>293</v>
      </c>
      <c r="G3176" s="232">
        <v>0</v>
      </c>
      <c r="H3176" s="661" t="str">
        <f>IF(G3176=0,"",IF(F3176="Buy",IF(G3176=1,"plant","plants"),IF(F3176&gt;0.01,"warranty","Error")))</f>
        <v/>
      </c>
      <c r="I3176" s="244">
        <f>IF(H3176="free",0,IF(H3176="credit",((E3176*(F3176))*G3176*-1),IF(F3176="Buy",(E3176*G3176),((E3176*(1-F3176))*G3176))))</f>
        <v>0</v>
      </c>
      <c r="J3176" s="244">
        <f>IF(H3176="warranty",0,(I3176*(_xlfn.SINGLE(SalesTaxPercentage))))</f>
        <v>0</v>
      </c>
      <c r="K3176" s="696">
        <f t="shared" ref="K3176" si="2445">I3176+J3176</f>
        <v>0</v>
      </c>
      <c r="L3176" s="696"/>
      <c r="M3176" s="659" t="str">
        <f>IF(AND(G3176&gt;0,E3176=0),"WARNING - no PRICE inserted",IF(H3176="free"," FREE ~ no charge this plant",IF(H3176="credit",CONCATENATE(" -$",ROUND(K3176*(1-T2GDiscount)*-1,2)," CREDIT after discount"),IF(T2GDiscount=0,"",IF(G3176=0,"",IF(F3176="Buy",CONCATENATE(" $",ROUND(K3176*(1-T2GDiscount),2)," with ",(T2GDiscount*100),"% discount"),CONCATENATE(" $",ROUND(K3176*(1-T2GDiscount),2)," with ",((T2GDiscount*100+F3176*100)-(T2GDiscount*100*F3176)),IF(F3176&gt;0,"% discounts",IF(NoWarrantyDiscount&gt;0,"% discounts","% discount")))))))))</f>
        <v/>
      </c>
      <c r="N3176" s="660"/>
      <c r="O3176" s="233"/>
      <c r="P3176" s="233"/>
      <c r="Q3176" s="233"/>
      <c r="R3176" s="233"/>
      <c r="S3176" s="233"/>
      <c r="T3176" s="508">
        <f t="shared" si="2423"/>
        <v>0</v>
      </c>
      <c r="U3176" s="225">
        <f>IF(NOT(ISNUMBER(G3176)), "", VLOOKUP(A3176,'Discount Lookup'!D:E,2,FALSE)*G3176)</f>
        <v>0</v>
      </c>
      <c r="V3176" s="225">
        <f>IF(NOT(ISNUMBER(G3176)), "", VLOOKUP(A3176,'Discount Lookup'!G:H,2,FALSE)*G3176)</f>
        <v>0</v>
      </c>
      <c r="W3176" s="508">
        <f t="shared" si="2424"/>
        <v>0</v>
      </c>
      <c r="X3176" s="508">
        <f t="shared" si="2425"/>
        <v>0</v>
      </c>
      <c r="Y3176" s="509" t="b">
        <f t="shared" si="2426"/>
        <v>0</v>
      </c>
      <c r="Z3176" s="510">
        <f t="shared" si="2427"/>
        <v>0</v>
      </c>
      <c r="AA3176" s="511"/>
      <c r="AB3176" s="511" t="str">
        <f t="shared" si="2428"/>
        <v/>
      </c>
      <c r="AC3176" s="698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698"/>
      <c r="AE3176" s="631" t="str">
        <f t="shared" si="2429"/>
        <v/>
      </c>
      <c r="AF3176" s="699" t="str">
        <f t="shared" si="2430"/>
        <v/>
      </c>
      <c r="AG3176" s="699"/>
      <c r="AH3176" s="699"/>
      <c r="AI3176" s="512">
        <f>IF(H3176="credit",0,IF(AE3176="free",0,IF(AE3176="me",0,IF(G3176&gt;0,(VLOOKUP(A3176,'Discount Lookup'!J:K,2)*G3176),0))))</f>
        <v>0</v>
      </c>
      <c r="AJ3176" s="513" t="str">
        <f t="shared" ca="1" si="2431"/>
        <v/>
      </c>
      <c r="AK3176" s="700" t="str">
        <f t="shared" si="2432"/>
        <v/>
      </c>
      <c r="AL3176" s="700"/>
      <c r="AM3176" s="505" t="str">
        <f t="shared" si="2433"/>
        <v/>
      </c>
      <c r="AN3176" s="506"/>
      <c r="AO3176" s="507"/>
      <c r="AP3176" s="507"/>
      <c r="AQ3176" s="507"/>
      <c r="AR3176" s="507"/>
      <c r="AS3176" s="507"/>
      <c r="AT3176" s="507"/>
      <c r="AU3176" s="507"/>
      <c r="AV3176" s="225"/>
      <c r="AW3176" s="508"/>
      <c r="AX3176" s="225"/>
      <c r="AY3176" s="225"/>
      <c r="AZ3176" s="225"/>
      <c r="BA3176" s="225"/>
      <c r="BB3176" s="225"/>
      <c r="BC3176" s="56"/>
      <c r="BD3176" s="56"/>
      <c r="BE3176" s="56"/>
      <c r="BF3176" s="107" t="str">
        <f t="shared" si="2434"/>
        <v>https://www.google.com/search?tbm=isch&amp;q=7%20G2</v>
      </c>
      <c r="BG3176" s="107" t="str">
        <f t="shared" si="2435"/>
        <v>R</v>
      </c>
      <c r="BH3176" s="254"/>
      <c r="BI3176" s="254"/>
    </row>
    <row r="3177" spans="1:61" customFormat="1" ht="15.75" x14ac:dyDescent="0.25">
      <c r="A3177" s="276">
        <v>15</v>
      </c>
      <c r="B3177" s="240" t="s">
        <v>291</v>
      </c>
      <c r="C3177" s="241" t="s">
        <v>4160</v>
      </c>
      <c r="D3177" s="242" t="s">
        <v>292</v>
      </c>
      <c r="E3177" s="243">
        <v>201.95</v>
      </c>
      <c r="F3177" s="517" t="s">
        <v>293</v>
      </c>
      <c r="G3177" s="232">
        <v>0</v>
      </c>
      <c r="H3177" s="661" t="str">
        <f>IF(G3177=0,"",IF(F3177="Buy",IF(G3177=1,"plant","plants"),IF(F3177&gt;0.01,"warranty","Error")))</f>
        <v/>
      </c>
      <c r="I3177" s="244">
        <f>IF(H3177="free",0,IF(H3177="credit",((E3177*(F3177))*G3177*-1),IF(F3177="Buy",(E3177*G3177),((E3177*(1-F3177))*G3177))))</f>
        <v>0</v>
      </c>
      <c r="J3177" s="244">
        <f>IF(H3177="warranty",0,(I3177*(_xlfn.SINGLE(SalesTaxPercentage))))</f>
        <v>0</v>
      </c>
      <c r="K3177" s="696">
        <f t="shared" ref="K3177" si="2446">I3177+J3177</f>
        <v>0</v>
      </c>
      <c r="L3177" s="696"/>
      <c r="M3177" s="659" t="str">
        <f>IF(AND(G3177&gt;0,E3177=0),"WARNING - no PRICE inserted",IF(H3177="free"," FREE ~ no charge this plant",IF(H3177="credit",CONCATENATE(" -$",ROUND(K3177*(1-T2GDiscount)*-1,2)," CREDIT after discount"),IF(T2GDiscount=0,"",IF(G3177=0,"",IF(F3177="Buy",CONCATENATE(" $",ROUND(K3177*(1-T2GDiscount),2)," with ",(T2GDiscount*100),"% discount"),CONCATENATE(" $",ROUND(K3177*(1-T2GDiscount),2)," with ",((T2GDiscount*100+F3177*100)-(T2GDiscount*100*F3177)),IF(F3177&gt;0,"% discounts",IF(NoWarrantyDiscount&gt;0,"% discounts","% discount")))))))))</f>
        <v/>
      </c>
      <c r="N3177" s="660"/>
      <c r="O3177" s="233"/>
      <c r="P3177" s="233"/>
      <c r="Q3177" s="233"/>
      <c r="R3177" s="233"/>
      <c r="S3177" s="233"/>
      <c r="T3177" s="508">
        <f t="shared" si="2423"/>
        <v>0</v>
      </c>
      <c r="U3177" s="225">
        <f>IF(NOT(ISNUMBER(G3177)), "", VLOOKUP(A3177,'Discount Lookup'!D:E,2,FALSE)*G3177)</f>
        <v>0</v>
      </c>
      <c r="V3177" s="225">
        <f>IF(NOT(ISNUMBER(G3177)), "", VLOOKUP(A3177,'Discount Lookup'!G:H,2,FALSE)*G3177)</f>
        <v>0</v>
      </c>
      <c r="W3177" s="508">
        <f t="shared" si="2424"/>
        <v>0</v>
      </c>
      <c r="X3177" s="508">
        <f t="shared" si="2425"/>
        <v>0</v>
      </c>
      <c r="Y3177" s="509" t="b">
        <f t="shared" si="2426"/>
        <v>0</v>
      </c>
      <c r="Z3177" s="510">
        <f t="shared" si="2427"/>
        <v>0</v>
      </c>
      <c r="AA3177" s="511"/>
      <c r="AB3177" s="511" t="str">
        <f t="shared" si="2428"/>
        <v/>
      </c>
      <c r="AC3177" s="698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698"/>
      <c r="AE3177" s="631" t="str">
        <f t="shared" si="2429"/>
        <v/>
      </c>
      <c r="AF3177" s="699" t="str">
        <f t="shared" si="2430"/>
        <v/>
      </c>
      <c r="AG3177" s="699"/>
      <c r="AH3177" s="699"/>
      <c r="AI3177" s="512">
        <f>IF(H3177="credit",0,IF(AE3177="free",0,IF(AE3177="me",0,IF(G3177&gt;0,(VLOOKUP(A3177,'Discount Lookup'!J:K,2)*G3177),0))))</f>
        <v>0</v>
      </c>
      <c r="AJ3177" s="513" t="str">
        <f t="shared" ca="1" si="2431"/>
        <v/>
      </c>
      <c r="AK3177" s="700" t="str">
        <f t="shared" si="2432"/>
        <v/>
      </c>
      <c r="AL3177" s="700"/>
      <c r="AM3177" s="505" t="str">
        <f t="shared" si="2433"/>
        <v/>
      </c>
      <c r="AN3177" s="506"/>
      <c r="AO3177" s="507"/>
      <c r="AP3177" s="507"/>
      <c r="AQ3177" s="507"/>
      <c r="AR3177" s="507"/>
      <c r="AS3177" s="507"/>
      <c r="AT3177" s="507"/>
      <c r="AU3177" s="507"/>
      <c r="AV3177" s="225"/>
      <c r="AW3177" s="508"/>
      <c r="AX3177" s="225"/>
      <c r="AY3177" s="225"/>
      <c r="AZ3177" s="225"/>
      <c r="BA3177" s="225"/>
      <c r="BB3177" s="225"/>
      <c r="BC3177" s="56"/>
      <c r="BD3177" s="56"/>
      <c r="BE3177" s="56"/>
      <c r="BF3177" s="107" t="str">
        <f t="shared" si="2434"/>
        <v>https://www.google.com/search?tbm=isch&amp;q=15%20G4</v>
      </c>
      <c r="BG3177" s="107" t="str">
        <f t="shared" si="2435"/>
        <v>R</v>
      </c>
      <c r="BH3177" s="254"/>
      <c r="BI3177" s="254"/>
    </row>
    <row r="3178" spans="1:61" customFormat="1" ht="27" x14ac:dyDescent="0.25">
      <c r="A3178" s="276">
        <v>20</v>
      </c>
      <c r="B3178" s="240" t="s">
        <v>291</v>
      </c>
      <c r="C3178" s="241" t="s">
        <v>4561</v>
      </c>
      <c r="D3178" s="242" t="s">
        <v>292</v>
      </c>
      <c r="E3178" s="243">
        <v>298.95</v>
      </c>
      <c r="F3178" s="517" t="s">
        <v>293</v>
      </c>
      <c r="G3178" s="232">
        <v>0</v>
      </c>
      <c r="H3178" s="661" t="str">
        <f>IF(G3178=0,"",IF(F3178="Buy",IF(G3178=1,"plant","plants"),IF(F3178&gt;0.01,"warranty","Error")))</f>
        <v/>
      </c>
      <c r="I3178" s="244">
        <f>IF(H3178="free",0,IF(H3178="credit",((E3178*(F3178))*G3178*-1),IF(F3178="Buy",(E3178*G3178),((E3178*(1-F3178))*G3178))))</f>
        <v>0</v>
      </c>
      <c r="J3178" s="244">
        <f>IF(H3178="warranty",0,(I3178*(_xlfn.SINGLE(SalesTaxPercentage))))</f>
        <v>0</v>
      </c>
      <c r="K3178" s="696">
        <f t="shared" ref="K3178" si="2447">I3178+J3178</f>
        <v>0</v>
      </c>
      <c r="L3178" s="696"/>
      <c r="M3178" s="659" t="str">
        <f>IF(AND(G3178&gt;0,E3178=0),"WARNING - no PRICE inserted",IF(H3178="free"," FREE ~ no charge this plant",IF(H3178="credit",CONCATENATE(" -$",ROUND(K3178*(1-T2GDiscount)*-1,2)," CREDIT after discount"),IF(T2GDiscount=0,"",IF(G3178=0,"",IF(F3178="Buy",CONCATENATE(" $",ROUND(K3178*(1-T2GDiscount),2)," with ",(T2GDiscount*100),"% discount"),CONCATENATE(" $",ROUND(K3178*(1-T2GDiscount),2)," with ",((T2GDiscount*100+F3178*100)-(T2GDiscount*100*F3178)),IF(F3178&gt;0,"% discounts",IF(NoWarrantyDiscount&gt;0,"% discounts","% discount")))))))))</f>
        <v/>
      </c>
      <c r="N3178" s="660"/>
      <c r="O3178" s="233"/>
      <c r="P3178" s="233"/>
      <c r="Q3178" s="233"/>
      <c r="R3178" s="233"/>
      <c r="S3178" s="233"/>
      <c r="T3178" s="508">
        <f t="shared" si="2423"/>
        <v>0</v>
      </c>
      <c r="U3178" s="225">
        <f>IF(NOT(ISNUMBER(G3178)), "", VLOOKUP(A3178,'Discount Lookup'!D:E,2,FALSE)*G3178)</f>
        <v>0</v>
      </c>
      <c r="V3178" s="225">
        <f>IF(NOT(ISNUMBER(G3178)), "", VLOOKUP(A3178,'Discount Lookup'!G:H,2,FALSE)*G3178)</f>
        <v>0</v>
      </c>
      <c r="W3178" s="508">
        <f t="shared" si="2424"/>
        <v>0</v>
      </c>
      <c r="X3178" s="508">
        <f t="shared" si="2425"/>
        <v>0</v>
      </c>
      <c r="Y3178" s="509" t="b">
        <f t="shared" si="2426"/>
        <v>0</v>
      </c>
      <c r="Z3178" s="510">
        <f t="shared" si="2427"/>
        <v>0</v>
      </c>
      <c r="AA3178" s="511"/>
      <c r="AB3178" s="511" t="str">
        <f t="shared" si="2428"/>
        <v/>
      </c>
      <c r="AC3178" s="698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698"/>
      <c r="AE3178" s="631" t="str">
        <f t="shared" si="2429"/>
        <v/>
      </c>
      <c r="AF3178" s="699" t="str">
        <f t="shared" si="2430"/>
        <v/>
      </c>
      <c r="AG3178" s="699"/>
      <c r="AH3178" s="699"/>
      <c r="AI3178" s="512">
        <f>IF(H3178="credit",0,IF(AE3178="free",0,IF(AE3178="me",0,IF(G3178&gt;0,(VLOOKUP(A3178,'Discount Lookup'!J:K,2)*G3178),0))))</f>
        <v>0</v>
      </c>
      <c r="AJ3178" s="513" t="str">
        <f t="shared" ca="1" si="2431"/>
        <v/>
      </c>
      <c r="AK3178" s="700" t="str">
        <f t="shared" si="2432"/>
        <v/>
      </c>
      <c r="AL3178" s="700"/>
      <c r="AM3178" s="505" t="str">
        <f t="shared" si="2433"/>
        <v/>
      </c>
      <c r="AN3178" s="506"/>
      <c r="AO3178" s="507"/>
      <c r="AP3178" s="507"/>
      <c r="AQ3178" s="507"/>
      <c r="AR3178" s="507"/>
      <c r="AS3178" s="507"/>
      <c r="AT3178" s="507"/>
      <c r="AU3178" s="507"/>
      <c r="AV3178" s="225"/>
      <c r="AW3178" s="508"/>
      <c r="AX3178" s="225"/>
      <c r="AY3178" s="225"/>
      <c r="AZ3178" s="225"/>
      <c r="BA3178" s="225"/>
      <c r="BB3178" s="225"/>
      <c r="BC3178" s="56"/>
      <c r="BD3178" s="56"/>
      <c r="BE3178" s="56"/>
      <c r="BF3178" s="107" t="str">
        <f t="shared" si="2434"/>
        <v>https://www.google.com/search?tbm=isch&amp;q=20%20G4</v>
      </c>
      <c r="BG3178" s="107" t="str">
        <f t="shared" si="2435"/>
        <v>R</v>
      </c>
      <c r="BH3178" s="254"/>
      <c r="BI3178" s="254"/>
    </row>
    <row r="3179" spans="1:61" customFormat="1" ht="17.25" thickBot="1" x14ac:dyDescent="0.3">
      <c r="A3179" s="524" t="s">
        <v>2468</v>
      </c>
      <c r="B3179" s="245"/>
      <c r="C3179" s="677"/>
      <c r="D3179" s="499"/>
      <c r="E3179" s="499"/>
      <c r="F3179" s="500"/>
      <c r="G3179" s="501"/>
      <c r="H3179" s="502"/>
      <c r="I3179" s="246"/>
      <c r="J3179" s="247"/>
      <c r="K3179" s="503"/>
      <c r="L3179" s="544"/>
      <c r="M3179" s="544"/>
      <c r="N3179" s="500"/>
      <c r="O3179" s="500"/>
      <c r="P3179" s="500"/>
      <c r="Q3179" s="500"/>
      <c r="R3179" s="500"/>
      <c r="S3179" s="669" t="s">
        <v>4996</v>
      </c>
      <c r="T3179" s="508">
        <f t="shared" si="2423"/>
        <v>0</v>
      </c>
      <c r="U3179" s="225" t="str">
        <f>IF(NOT(ISNUMBER(G3179)), "", VLOOKUP(A3179,'Discount Lookup'!D:E,2,FALSE)*G3179)</f>
        <v/>
      </c>
      <c r="V3179" s="225" t="str">
        <f>IF(NOT(ISNUMBER(G3179)), "", VLOOKUP(A3179,'Discount Lookup'!G:H,2,FALSE)*G3179)</f>
        <v/>
      </c>
      <c r="W3179" s="508">
        <f t="shared" si="2424"/>
        <v>0</v>
      </c>
      <c r="X3179" s="508">
        <f t="shared" si="2425"/>
        <v>0</v>
      </c>
      <c r="Y3179" s="509" t="b">
        <f t="shared" si="2426"/>
        <v>0</v>
      </c>
      <c r="Z3179" s="510">
        <f t="shared" si="2427"/>
        <v>0</v>
      </c>
      <c r="AA3179" s="511"/>
      <c r="AB3179" s="511" t="str">
        <f t="shared" si="2428"/>
        <v/>
      </c>
      <c r="AC3179" s="698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698"/>
      <c r="AE3179" s="631" t="str">
        <f t="shared" si="2429"/>
        <v/>
      </c>
      <c r="AF3179" s="699" t="str">
        <f t="shared" si="2430"/>
        <v/>
      </c>
      <c r="AG3179" s="699"/>
      <c r="AH3179" s="699"/>
      <c r="AI3179" s="512">
        <f>IF(H3179="credit",0,IF(AE3179="free",0,IF(AE3179="me",0,IF(G3179&gt;0,(VLOOKUP(A3179,'Discount Lookup'!J:K,2)*G3179),0))))</f>
        <v>0</v>
      </c>
      <c r="AJ3179" s="513" t="str">
        <f t="shared" ca="1" si="2431"/>
        <v/>
      </c>
      <c r="AK3179" s="700" t="str">
        <f t="shared" si="2432"/>
        <v/>
      </c>
      <c r="AL3179" s="700"/>
      <c r="AM3179" s="505" t="str">
        <f t="shared" si="2433"/>
        <v/>
      </c>
      <c r="AN3179" s="506"/>
      <c r="AO3179" s="507"/>
      <c r="AP3179" s="507"/>
      <c r="AQ3179" s="507"/>
      <c r="AR3179" s="507"/>
      <c r="AS3179" s="507"/>
      <c r="AT3179" s="507"/>
      <c r="AU3179" s="507"/>
      <c r="AV3179" s="225"/>
      <c r="AW3179" s="508"/>
      <c r="AX3179" s="225"/>
      <c r="AY3179" s="225"/>
      <c r="AZ3179" s="225"/>
      <c r="BA3179" s="225"/>
      <c r="BB3179" s="225"/>
      <c r="BC3179" s="56"/>
      <c r="BD3179" s="56"/>
      <c r="BE3179" s="56"/>
      <c r="BF3179" s="107" t="str">
        <f t="shared" si="2434"/>
        <v>https://www.google.com/search?tbm=isch&amp;q=Ruby%20Falls%20heart-shaped%20foliage%20starts%20maroon%2C%20then%20burgundy%2C%20then%20matures%20to%20green%20in%20late%20summer%20</v>
      </c>
      <c r="BG3179" s="107" t="str">
        <f t="shared" si="2435"/>
        <v>R</v>
      </c>
      <c r="BH3179" s="254"/>
      <c r="BI3179" s="254"/>
    </row>
    <row r="3180" spans="1:61" customFormat="1" ht="18" x14ac:dyDescent="0.25">
      <c r="A3180" s="521" t="s">
        <v>1658</v>
      </c>
      <c r="B3180" s="477"/>
      <c r="C3180" s="674"/>
      <c r="D3180" s="478" t="s">
        <v>1659</v>
      </c>
      <c r="E3180" s="479"/>
      <c r="F3180" s="479"/>
      <c r="G3180" s="479"/>
      <c r="H3180" s="582" t="s">
        <v>356</v>
      </c>
      <c r="I3180" s="480" t="s">
        <v>2670</v>
      </c>
      <c r="J3180" s="479"/>
      <c r="K3180" s="479"/>
      <c r="L3180" s="560"/>
      <c r="M3180" s="666" t="s">
        <v>4966</v>
      </c>
      <c r="N3180" s="680" t="str">
        <f>IF(AND(ISTEXT($A3180), ISERROR($A3180+0)), HYPERLINK($BF3180, "Images"), "")</f>
        <v>Images</v>
      </c>
      <c r="O3180" s="662" t="s">
        <v>4967</v>
      </c>
      <c r="P3180" s="482"/>
      <c r="Q3180" s="483"/>
      <c r="R3180" s="483"/>
      <c r="S3180" s="484"/>
      <c r="T3180" s="508">
        <f t="shared" si="2423"/>
        <v>0</v>
      </c>
      <c r="U3180" s="225" t="str">
        <f>IF(NOT(ISNUMBER(G3180)), "", VLOOKUP(A3180,'Discount Lookup'!D:E,2,FALSE)*G3180)</f>
        <v/>
      </c>
      <c r="V3180" s="225" t="str">
        <f>IF(NOT(ISNUMBER(G3180)), "", VLOOKUP(A3180,'Discount Lookup'!G:H,2,FALSE)*G3180)</f>
        <v/>
      </c>
      <c r="W3180" s="508">
        <f t="shared" si="2424"/>
        <v>0</v>
      </c>
      <c r="X3180" s="508" t="str">
        <f t="shared" si="2425"/>
        <v>Neon-Pink bloom</v>
      </c>
      <c r="Y3180" s="509" t="b">
        <f t="shared" si="2426"/>
        <v>0</v>
      </c>
      <c r="Z3180" s="510">
        <f t="shared" si="2427"/>
        <v>0</v>
      </c>
      <c r="AA3180" s="511"/>
      <c r="AB3180" s="511" t="str">
        <f t="shared" si="2428"/>
        <v/>
      </c>
      <c r="AC3180" s="698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698"/>
      <c r="AE3180" s="631" t="str">
        <f t="shared" si="2429"/>
        <v/>
      </c>
      <c r="AF3180" s="699" t="str">
        <f t="shared" si="2430"/>
        <v/>
      </c>
      <c r="AG3180" s="699"/>
      <c r="AH3180" s="699"/>
      <c r="AI3180" s="512">
        <f>IF(H3180="credit",0,IF(AE3180="free",0,IF(AE3180="me",0,IF(G3180&gt;0,(VLOOKUP(A3180,'Discount Lookup'!J:K,2)*G3180),0))))</f>
        <v>0</v>
      </c>
      <c r="AJ3180" s="513" t="str">
        <f t="shared" ca="1" si="2431"/>
        <v/>
      </c>
      <c r="AK3180" s="700" t="str">
        <f t="shared" si="2432"/>
        <v/>
      </c>
      <c r="AL3180" s="700"/>
      <c r="AM3180" s="505" t="str">
        <f t="shared" si="2433"/>
        <v/>
      </c>
      <c r="AN3180" s="506"/>
      <c r="AO3180" s="507"/>
      <c r="AP3180" s="507"/>
      <c r="AQ3180" s="507"/>
      <c r="AR3180" s="507"/>
      <c r="AS3180" s="507"/>
      <c r="AT3180" s="507"/>
      <c r="AU3180" s="507"/>
      <c r="AV3180" s="225"/>
      <c r="AW3180" s="508"/>
      <c r="AX3180" s="225"/>
      <c r="AY3180" s="225"/>
      <c r="AZ3180" s="225"/>
      <c r="BA3180" s="225"/>
      <c r="BB3180" s="225"/>
      <c r="BC3180" s="56"/>
      <c r="BD3180" s="56"/>
      <c r="BE3180" s="56"/>
      <c r="BF3180" s="107" t="str">
        <f t="shared" si="2434"/>
        <v>https://www.google.com/search?tbm=isch&amp;q=Ruby%20Loropetalum%20Loropetalum%20chin.%20var.%20r.%20%27Ruby%27</v>
      </c>
      <c r="BG3180" s="107" t="str">
        <f t="shared" si="2435"/>
        <v>R</v>
      </c>
      <c r="BH3180" s="254"/>
      <c r="BI3180" s="254"/>
    </row>
    <row r="3181" spans="1:61" customFormat="1" ht="15.75" x14ac:dyDescent="0.25">
      <c r="A3181" s="485">
        <v>3</v>
      </c>
      <c r="B3181" s="486" t="s">
        <v>291</v>
      </c>
      <c r="C3181" s="487"/>
      <c r="D3181" s="488" t="s">
        <v>298</v>
      </c>
      <c r="E3181" s="489">
        <v>26.95</v>
      </c>
      <c r="F3181" s="516" t="s">
        <v>293</v>
      </c>
      <c r="G3181" s="232">
        <v>0</v>
      </c>
      <c r="H3181" s="658" t="str">
        <f>IF(G3181=0,"",IF(F3181="Buy",IF(G3181=1,"plant","plants"),IF(F3181&gt;0.01,"warranty","Error")))</f>
        <v/>
      </c>
      <c r="I3181" s="490">
        <f>IF(H3181="free",0,IF(H3181="credit",((E3181*(F3181))*G3181*-1),IF(F3181="Buy",(E3181*G3181),((E3181*(1-F3181))*G3181))))</f>
        <v>0</v>
      </c>
      <c r="J3181" s="490">
        <f>IF(H3181="warranty",0,(I3181*(_xlfn.SINGLE(SalesTaxPercentage))))</f>
        <v>0</v>
      </c>
      <c r="K3181" s="695">
        <f t="shared" ref="K3181" si="2448">I3181+J3181</f>
        <v>0</v>
      </c>
      <c r="L3181" s="695"/>
      <c r="M3181" s="659" t="str">
        <f>IF(AND(G3181&gt;0,E3181=0),"WARNING - no PRICE inserted",IF(H3181="free"," FREE ~ no charge this plant",IF(H3181="credit",CONCATENATE(" -$",ROUND(K3181*(1-T2GDiscount)*-1,2)," CREDIT after discount"),IF(T2GDiscount=0,"",IF(G3181=0,"",IF(F3181="Buy",CONCATENATE(" $",ROUND(K3181*(1-T2GDiscount),2)," with ",(T2GDiscount*100),"% discount"),CONCATENATE(" $",ROUND(K3181*(1-T2GDiscount),2)," with ",((T2GDiscount*100+F3181*100)-(T2GDiscount*100*F3181)),IF(F3181&gt;0,"% discounts",IF(NoWarrantyDiscount&gt;0,"% discounts","% discount")))))))))</f>
        <v/>
      </c>
      <c r="N3181" s="660"/>
      <c r="O3181" s="233"/>
      <c r="P3181" s="233"/>
      <c r="Q3181" s="233"/>
      <c r="R3181" s="233"/>
      <c r="S3181" s="233"/>
      <c r="T3181" s="508">
        <f t="shared" si="2423"/>
        <v>0</v>
      </c>
      <c r="U3181" s="225">
        <f>IF(NOT(ISNUMBER(G3181)), "", VLOOKUP(A3181,'Discount Lookup'!D:E,2,FALSE)*G3181)</f>
        <v>0</v>
      </c>
      <c r="V3181" s="225">
        <f>IF(NOT(ISNUMBER(G3181)), "", VLOOKUP(A3181,'Discount Lookup'!G:H,2,FALSE)*G3181)</f>
        <v>0</v>
      </c>
      <c r="W3181" s="508">
        <f t="shared" si="2424"/>
        <v>0</v>
      </c>
      <c r="X3181" s="508">
        <f t="shared" si="2425"/>
        <v>0</v>
      </c>
      <c r="Y3181" s="509" t="b">
        <f t="shared" si="2426"/>
        <v>0</v>
      </c>
      <c r="Z3181" s="510">
        <f t="shared" si="2427"/>
        <v>0</v>
      </c>
      <c r="AA3181" s="511"/>
      <c r="AB3181" s="511" t="str">
        <f t="shared" si="2428"/>
        <v/>
      </c>
      <c r="AC3181" s="698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698"/>
      <c r="AE3181" s="631" t="str">
        <f t="shared" si="2429"/>
        <v/>
      </c>
      <c r="AF3181" s="699" t="str">
        <f t="shared" si="2430"/>
        <v/>
      </c>
      <c r="AG3181" s="699"/>
      <c r="AH3181" s="699"/>
      <c r="AI3181" s="512">
        <f>IF(H3181="credit",0,IF(AE3181="free",0,IF(AE3181="me",0,IF(G3181&gt;0,(VLOOKUP(A3181,'Discount Lookup'!J:K,2)*G3181),0))))</f>
        <v>0</v>
      </c>
      <c r="AJ3181" s="513" t="str">
        <f t="shared" ca="1" si="2431"/>
        <v/>
      </c>
      <c r="AK3181" s="700" t="str">
        <f t="shared" si="2432"/>
        <v/>
      </c>
      <c r="AL3181" s="700"/>
      <c r="AM3181" s="505" t="str">
        <f t="shared" si="2433"/>
        <v/>
      </c>
      <c r="AN3181" s="506"/>
      <c r="AO3181" s="507"/>
      <c r="AP3181" s="507"/>
      <c r="AQ3181" s="507"/>
      <c r="AR3181" s="507"/>
      <c r="AS3181" s="507"/>
      <c r="AT3181" s="507"/>
      <c r="AU3181" s="507"/>
      <c r="AV3181" s="225"/>
      <c r="AW3181" s="508"/>
      <c r="AX3181" s="225"/>
      <c r="AY3181" s="225"/>
      <c r="AZ3181" s="225"/>
      <c r="BA3181" s="225"/>
      <c r="BB3181" s="225"/>
      <c r="BC3181" s="56"/>
      <c r="BD3181" s="56"/>
      <c r="BE3181" s="56"/>
      <c r="BF3181" s="107" t="str">
        <f t="shared" si="2434"/>
        <v>https://www.google.com/search?tbm=isch&amp;q=3%20G1</v>
      </c>
      <c r="BG3181" s="107" t="str">
        <f t="shared" si="2435"/>
        <v>R</v>
      </c>
      <c r="BH3181" s="254"/>
      <c r="BI3181" s="254"/>
    </row>
    <row r="3182" spans="1:61" customFormat="1" ht="15.75" x14ac:dyDescent="0.25">
      <c r="A3182" s="485">
        <v>5</v>
      </c>
      <c r="B3182" s="486" t="s">
        <v>291</v>
      </c>
      <c r="C3182" s="487" t="s">
        <v>4686</v>
      </c>
      <c r="D3182" s="488" t="s">
        <v>297</v>
      </c>
      <c r="E3182" s="489">
        <v>40.950000000000003</v>
      </c>
      <c r="F3182" s="516" t="s">
        <v>293</v>
      </c>
      <c r="G3182" s="232">
        <v>0</v>
      </c>
      <c r="H3182" s="658" t="str">
        <f>IF(G3182=0,"",IF(F3182="Buy",IF(G3182=1,"plant","plants"),IF(F3182&gt;0.01,"warranty","Error")))</f>
        <v/>
      </c>
      <c r="I3182" s="490">
        <f>IF(H3182="free",0,IF(H3182="credit",((E3182*(F3182))*G3182*-1),IF(F3182="Buy",(E3182*G3182),((E3182*(1-F3182))*G3182))))</f>
        <v>0</v>
      </c>
      <c r="J3182" s="490">
        <f>IF(H3182="warranty",0,(I3182*(_xlfn.SINGLE(SalesTaxPercentage))))</f>
        <v>0</v>
      </c>
      <c r="K3182" s="695">
        <f t="shared" ref="K3182" si="2449">I3182+J3182</f>
        <v>0</v>
      </c>
      <c r="L3182" s="695"/>
      <c r="M3182" s="659" t="str">
        <f>IF(AND(G3182&gt;0,E3182=0),"WARNING - no PRICE inserted",IF(H3182="free"," FREE ~ no charge this plant",IF(H3182="credit",CONCATENATE(" -$",ROUND(K3182*(1-T2GDiscount)*-1,2)," CREDIT after discount"),IF(T2GDiscount=0,"",IF(G3182=0,"",IF(F3182="Buy",CONCATENATE(" $",ROUND(K3182*(1-T2GDiscount),2)," with ",(T2GDiscount*100),"% discount"),CONCATENATE(" $",ROUND(K3182*(1-T2GDiscount),2)," with ",((T2GDiscount*100+F3182*100)-(T2GDiscount*100*F3182)),IF(F3182&gt;0,"% discounts",IF(NoWarrantyDiscount&gt;0,"% discounts","% discount")))))))))</f>
        <v/>
      </c>
      <c r="N3182" s="660"/>
      <c r="O3182" s="233"/>
      <c r="P3182" s="233"/>
      <c r="Q3182" s="233"/>
      <c r="R3182" s="233"/>
      <c r="S3182" s="233"/>
      <c r="T3182" s="508">
        <f t="shared" si="2423"/>
        <v>0</v>
      </c>
      <c r="U3182" s="225">
        <f>IF(NOT(ISNUMBER(G3182)), "", VLOOKUP(A3182,'Discount Lookup'!D:E,2,FALSE)*G3182)</f>
        <v>0</v>
      </c>
      <c r="V3182" s="225">
        <f>IF(NOT(ISNUMBER(G3182)), "", VLOOKUP(A3182,'Discount Lookup'!G:H,2,FALSE)*G3182)</f>
        <v>0</v>
      </c>
      <c r="W3182" s="508">
        <f t="shared" si="2424"/>
        <v>0</v>
      </c>
      <c r="X3182" s="508">
        <f t="shared" si="2425"/>
        <v>0</v>
      </c>
      <c r="Y3182" s="509" t="b">
        <f t="shared" si="2426"/>
        <v>0</v>
      </c>
      <c r="Z3182" s="510">
        <f t="shared" si="2427"/>
        <v>0</v>
      </c>
      <c r="AA3182" s="511"/>
      <c r="AB3182" s="511" t="str">
        <f t="shared" si="2428"/>
        <v/>
      </c>
      <c r="AC3182" s="698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698"/>
      <c r="AE3182" s="631" t="str">
        <f t="shared" si="2429"/>
        <v/>
      </c>
      <c r="AF3182" s="699" t="str">
        <f t="shared" si="2430"/>
        <v/>
      </c>
      <c r="AG3182" s="699"/>
      <c r="AH3182" s="699"/>
      <c r="AI3182" s="512">
        <f>IF(H3182="credit",0,IF(AE3182="free",0,IF(AE3182="me",0,IF(G3182&gt;0,(VLOOKUP(A3182,'Discount Lookup'!J:K,2)*G3182),0))))</f>
        <v>0</v>
      </c>
      <c r="AJ3182" s="513" t="str">
        <f t="shared" ca="1" si="2431"/>
        <v/>
      </c>
      <c r="AK3182" s="700" t="str">
        <f t="shared" si="2432"/>
        <v/>
      </c>
      <c r="AL3182" s="700"/>
      <c r="AM3182" s="505" t="str">
        <f t="shared" si="2433"/>
        <v/>
      </c>
      <c r="AN3182" s="506"/>
      <c r="AO3182" s="507"/>
      <c r="AP3182" s="507"/>
      <c r="AQ3182" s="507"/>
      <c r="AR3182" s="507"/>
      <c r="AS3182" s="507"/>
      <c r="AT3182" s="507"/>
      <c r="AU3182" s="507"/>
      <c r="AV3182" s="225"/>
      <c r="AW3182" s="508"/>
      <c r="AX3182" s="225"/>
      <c r="AY3182" s="225"/>
      <c r="AZ3182" s="225"/>
      <c r="BA3182" s="225"/>
      <c r="BB3182" s="225"/>
      <c r="BC3182" s="56"/>
      <c r="BD3182" s="56"/>
      <c r="BE3182" s="56"/>
      <c r="BF3182" s="107" t="str">
        <f t="shared" si="2434"/>
        <v>https://www.google.com/search?tbm=isch&amp;q=5%20G3</v>
      </c>
      <c r="BG3182" s="107" t="str">
        <f t="shared" si="2435"/>
        <v>R</v>
      </c>
      <c r="BH3182" s="254"/>
      <c r="BI3182" s="254"/>
    </row>
    <row r="3183" spans="1:61" customFormat="1" ht="16.5" thickBot="1" x14ac:dyDescent="0.3">
      <c r="A3183" s="522" t="s">
        <v>2972</v>
      </c>
      <c r="B3183" s="491"/>
      <c r="C3183" s="675"/>
      <c r="D3183" s="491"/>
      <c r="E3183" s="491"/>
      <c r="F3183" s="492"/>
      <c r="G3183" s="493"/>
      <c r="H3183" s="491"/>
      <c r="I3183" s="234"/>
      <c r="J3183" s="234"/>
      <c r="K3183" s="494"/>
      <c r="L3183" s="543"/>
      <c r="M3183" s="561"/>
      <c r="N3183" s="495"/>
      <c r="O3183" s="496"/>
      <c r="P3183" s="497"/>
      <c r="Q3183" s="495"/>
      <c r="R3183" s="495"/>
      <c r="S3183" s="277"/>
      <c r="T3183" s="508">
        <f t="shared" si="2423"/>
        <v>0</v>
      </c>
      <c r="U3183" s="225" t="str">
        <f>IF(NOT(ISNUMBER(G3183)), "", VLOOKUP(A3183,'Discount Lookup'!D:E,2,FALSE)*G3183)</f>
        <v/>
      </c>
      <c r="V3183" s="225" t="str">
        <f>IF(NOT(ISNUMBER(G3183)), "", VLOOKUP(A3183,'Discount Lookup'!G:H,2,FALSE)*G3183)</f>
        <v/>
      </c>
      <c r="W3183" s="508">
        <f t="shared" si="2424"/>
        <v>0</v>
      </c>
      <c r="X3183" s="508">
        <f t="shared" si="2425"/>
        <v>0</v>
      </c>
      <c r="Y3183" s="509" t="b">
        <f t="shared" si="2426"/>
        <v>0</v>
      </c>
      <c r="Z3183" s="510">
        <f t="shared" si="2427"/>
        <v>0</v>
      </c>
      <c r="AA3183" s="511"/>
      <c r="AB3183" s="511" t="str">
        <f t="shared" si="2428"/>
        <v/>
      </c>
      <c r="AC3183" s="698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698"/>
      <c r="AE3183" s="631" t="str">
        <f t="shared" si="2429"/>
        <v/>
      </c>
      <c r="AF3183" s="699" t="str">
        <f t="shared" si="2430"/>
        <v/>
      </c>
      <c r="AG3183" s="699"/>
      <c r="AH3183" s="699"/>
      <c r="AI3183" s="512">
        <f>IF(H3183="credit",0,IF(AE3183="free",0,IF(AE3183="me",0,IF(G3183&gt;0,(VLOOKUP(A3183,'Discount Lookup'!J:K,2)*G3183),0))))</f>
        <v>0</v>
      </c>
      <c r="AJ3183" s="513" t="str">
        <f t="shared" ca="1" si="2431"/>
        <v/>
      </c>
      <c r="AK3183" s="700" t="str">
        <f t="shared" si="2432"/>
        <v/>
      </c>
      <c r="AL3183" s="700"/>
      <c r="AM3183" s="505" t="str">
        <f t="shared" si="2433"/>
        <v/>
      </c>
      <c r="AN3183" s="506"/>
      <c r="AO3183" s="507"/>
      <c r="AP3183" s="507"/>
      <c r="AQ3183" s="507"/>
      <c r="AR3183" s="507"/>
      <c r="AS3183" s="507"/>
      <c r="AT3183" s="507"/>
      <c r="AU3183" s="507"/>
      <c r="AV3183" s="225"/>
      <c r="AW3183" s="508"/>
      <c r="AX3183" s="225"/>
      <c r="AY3183" s="225"/>
      <c r="AZ3183" s="225"/>
      <c r="BA3183" s="225"/>
      <c r="BB3183" s="225"/>
      <c r="BC3183" s="56"/>
      <c r="BD3183" s="56"/>
      <c r="BE3183" s="56"/>
      <c r="BF3183" s="107" t="str">
        <f t="shared" si="2434"/>
        <v>https://www.google.com/search?tbm=isch&amp;q=Ruby%20has%20foliage%20that%20shifts%20from%20Ruby-Red%20to%20Bronze-Green.%20Fringe-like%20flowers%20bloom%20periodically%20after%20spring%20</v>
      </c>
      <c r="BG3183" s="107" t="str">
        <f t="shared" si="2435"/>
        <v>R</v>
      </c>
      <c r="BH3183" s="254"/>
      <c r="BI3183" s="254"/>
    </row>
    <row r="3184" spans="1:61" customFormat="1" ht="18" x14ac:dyDescent="0.25">
      <c r="A3184" s="523" t="s">
        <v>5528</v>
      </c>
      <c r="B3184" s="235"/>
      <c r="C3184" s="676"/>
      <c r="D3184" s="255" t="s">
        <v>1660</v>
      </c>
      <c r="E3184" s="236"/>
      <c r="F3184" s="236"/>
      <c r="G3184" s="236"/>
      <c r="H3184" s="582" t="s">
        <v>474</v>
      </c>
      <c r="I3184" s="498" t="s">
        <v>1330</v>
      </c>
      <c r="J3184" s="237"/>
      <c r="K3184" s="237"/>
      <c r="L3184" s="274"/>
      <c r="M3184" s="668" t="s">
        <v>4962</v>
      </c>
      <c r="N3184" s="681" t="str">
        <f>IF(AND(ISTEXT($A3184), ISERROR($A3184+0)), HYPERLINK($BF3184, "Images"), "")</f>
        <v>Images</v>
      </c>
      <c r="O3184" s="663" t="s">
        <v>4971</v>
      </c>
      <c r="P3184" s="253"/>
      <c r="Q3184" s="238"/>
      <c r="R3184" s="239"/>
      <c r="S3184" s="275"/>
      <c r="T3184" s="508">
        <f t="shared" si="2423"/>
        <v>0</v>
      </c>
      <c r="U3184" s="225" t="str">
        <f>IF(NOT(ISNUMBER(G3184)), "", VLOOKUP(A3184,'Discount Lookup'!D:E,2,FALSE)*G3184)</f>
        <v/>
      </c>
      <c r="V3184" s="225" t="str">
        <f>IF(NOT(ISNUMBER(G3184)), "", VLOOKUP(A3184,'Discount Lookup'!G:H,2,FALSE)*G3184)</f>
        <v/>
      </c>
      <c r="W3184" s="508">
        <f t="shared" si="2424"/>
        <v>0</v>
      </c>
      <c r="X3184" s="508" t="str">
        <f t="shared" si="2425"/>
        <v>Dark Pink bloom</v>
      </c>
      <c r="Y3184" s="509" t="b">
        <f t="shared" si="2426"/>
        <v>0</v>
      </c>
      <c r="Z3184" s="510">
        <f t="shared" si="2427"/>
        <v>0</v>
      </c>
      <c r="AA3184" s="511"/>
      <c r="AB3184" s="511" t="str">
        <f t="shared" si="2428"/>
        <v/>
      </c>
      <c r="AC3184" s="698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698"/>
      <c r="AE3184" s="631" t="str">
        <f t="shared" si="2429"/>
        <v/>
      </c>
      <c r="AF3184" s="699" t="str">
        <f t="shared" si="2430"/>
        <v/>
      </c>
      <c r="AG3184" s="699"/>
      <c r="AH3184" s="699"/>
      <c r="AI3184" s="512">
        <f>IF(H3184="credit",0,IF(AE3184="free",0,IF(AE3184="me",0,IF(G3184&gt;0,(VLOOKUP(A3184,'Discount Lookup'!J:K,2)*G3184),0))))</f>
        <v>0</v>
      </c>
      <c r="AJ3184" s="513" t="str">
        <f t="shared" ca="1" si="2431"/>
        <v/>
      </c>
      <c r="AK3184" s="700" t="str">
        <f t="shared" si="2432"/>
        <v/>
      </c>
      <c r="AL3184" s="700"/>
      <c r="AM3184" s="505" t="str">
        <f t="shared" si="2433"/>
        <v/>
      </c>
      <c r="AN3184" s="506"/>
      <c r="AO3184" s="507"/>
      <c r="AP3184" s="507"/>
      <c r="AQ3184" s="507"/>
      <c r="AR3184" s="507"/>
      <c r="AS3184" s="507"/>
      <c r="AT3184" s="507"/>
      <c r="AU3184" s="507"/>
      <c r="AV3184" s="225"/>
      <c r="AW3184" s="508"/>
      <c r="AX3184" s="225"/>
      <c r="AY3184" s="225"/>
      <c r="AZ3184" s="225"/>
      <c r="BA3184" s="225"/>
      <c r="BB3184" s="225"/>
      <c r="BC3184" s="56"/>
      <c r="BD3184" s="56"/>
      <c r="BE3184" s="56"/>
      <c r="BF3184" s="107" t="str">
        <f t="shared" si="2434"/>
        <v>https://www.google.com/search?tbm=isch&amp;q=Ruby%20Ruffle%C2%AE%20Patio%20Peach%20Prunus%20persica%20%27NC%20Peach-6%27%20PP%2334261</v>
      </c>
      <c r="BG3184" s="107" t="str">
        <f t="shared" si="2435"/>
        <v>R</v>
      </c>
      <c r="BH3184" s="254"/>
      <c r="BI3184" s="254"/>
    </row>
    <row r="3185" spans="1:61" customFormat="1" ht="15.75" x14ac:dyDescent="0.25">
      <c r="A3185" s="276">
        <v>7</v>
      </c>
      <c r="B3185" s="240" t="s">
        <v>291</v>
      </c>
      <c r="C3185" s="241" t="s">
        <v>328</v>
      </c>
      <c r="D3185" s="242" t="s">
        <v>312</v>
      </c>
      <c r="E3185" s="243">
        <v>90.95</v>
      </c>
      <c r="F3185" s="517" t="s">
        <v>293</v>
      </c>
      <c r="G3185" s="232">
        <v>0</v>
      </c>
      <c r="H3185" s="661" t="str">
        <f>IF(G3185=0,"",IF(F3185="Buy",IF(G3185=1,"plant","plants"),IF(F3185&gt;0.01,"warranty","Error")))</f>
        <v/>
      </c>
      <c r="I3185" s="244">
        <f>IF(H3185="free",0,IF(H3185="credit",((E3185*(F3185))*G3185*-1),IF(F3185="Buy",(E3185*G3185),((E3185*(1-F3185))*G3185))))</f>
        <v>0</v>
      </c>
      <c r="J3185" s="244">
        <f>IF(H3185="warranty",0,(I3185*(_xlfn.SINGLE(SalesTaxPercentage))))</f>
        <v>0</v>
      </c>
      <c r="K3185" s="696">
        <f t="shared" ref="K3185" si="2450">I3185+J3185</f>
        <v>0</v>
      </c>
      <c r="L3185" s="696"/>
      <c r="M3185" s="659" t="str">
        <f>IF(AND(G3185&gt;0,E3185=0),"WARNING - no PRICE inserted",IF(H3185="free"," FREE ~ no charge this plant",IF(H3185="credit",CONCATENATE(" -$",ROUND(K3185*(1-T2GDiscount)*-1,2)," CREDIT after discount"),IF(T2GDiscount=0,"",IF(G3185=0,"",IF(F3185="Buy",CONCATENATE(" $",ROUND(K3185*(1-T2GDiscount),2)," with ",(T2GDiscount*100),"% discount"),CONCATENATE(" $",ROUND(K3185*(1-T2GDiscount),2)," with ",((T2GDiscount*100+F3185*100)-(T2GDiscount*100*F3185)),IF(F3185&gt;0,"% discounts",IF(NoWarrantyDiscount&gt;0,"% discounts","% discount")))))))))</f>
        <v/>
      </c>
      <c r="N3185" s="660"/>
      <c r="O3185" s="233"/>
      <c r="P3185" s="233"/>
      <c r="Q3185" s="233"/>
      <c r="R3185" s="233"/>
      <c r="S3185" s="233"/>
      <c r="T3185" s="508">
        <f t="shared" si="2423"/>
        <v>0</v>
      </c>
      <c r="U3185" s="225">
        <f>IF(NOT(ISNUMBER(G3185)), "", VLOOKUP(A3185,'Discount Lookup'!D:E,2,FALSE)*G3185)</f>
        <v>0</v>
      </c>
      <c r="V3185" s="225">
        <f>IF(NOT(ISNUMBER(G3185)), "", VLOOKUP(A3185,'Discount Lookup'!G:H,2,FALSE)*G3185)</f>
        <v>0</v>
      </c>
      <c r="W3185" s="508">
        <f t="shared" si="2424"/>
        <v>0</v>
      </c>
      <c r="X3185" s="508">
        <f t="shared" si="2425"/>
        <v>0</v>
      </c>
      <c r="Y3185" s="509" t="b">
        <f t="shared" si="2426"/>
        <v>0</v>
      </c>
      <c r="Z3185" s="510">
        <f t="shared" si="2427"/>
        <v>0</v>
      </c>
      <c r="AA3185" s="511"/>
      <c r="AB3185" s="511" t="str">
        <f t="shared" si="2428"/>
        <v/>
      </c>
      <c r="AC3185" s="698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698"/>
      <c r="AE3185" s="631" t="str">
        <f t="shared" si="2429"/>
        <v/>
      </c>
      <c r="AF3185" s="699" t="str">
        <f t="shared" si="2430"/>
        <v/>
      </c>
      <c r="AG3185" s="699"/>
      <c r="AH3185" s="699"/>
      <c r="AI3185" s="512">
        <f>IF(H3185="credit",0,IF(AE3185="free",0,IF(AE3185="me",0,IF(G3185&gt;0,(VLOOKUP(A3185,'Discount Lookup'!J:K,2)*G3185),0))))</f>
        <v>0</v>
      </c>
      <c r="AJ3185" s="513" t="str">
        <f t="shared" ca="1" si="2431"/>
        <v/>
      </c>
      <c r="AK3185" s="700" t="str">
        <f t="shared" si="2432"/>
        <v/>
      </c>
      <c r="AL3185" s="700"/>
      <c r="AM3185" s="505" t="str">
        <f t="shared" si="2433"/>
        <v/>
      </c>
      <c r="AN3185" s="506"/>
      <c r="AO3185" s="507"/>
      <c r="AP3185" s="507"/>
      <c r="AQ3185" s="507"/>
      <c r="AR3185" s="507"/>
      <c r="AS3185" s="507"/>
      <c r="AT3185" s="507"/>
      <c r="AU3185" s="507"/>
      <c r="AV3185" s="225"/>
      <c r="AW3185" s="508"/>
      <c r="AX3185" s="225"/>
      <c r="AY3185" s="225"/>
      <c r="AZ3185" s="225"/>
      <c r="BA3185" s="225"/>
      <c r="BB3185" s="225"/>
      <c r="BC3185" s="56"/>
      <c r="BD3185" s="56"/>
      <c r="BE3185" s="56"/>
      <c r="BF3185" s="107" t="str">
        <f t="shared" si="2434"/>
        <v>https://www.google.com/search?tbm=isch&amp;q=7%20G2</v>
      </c>
      <c r="BG3185" s="107" t="str">
        <f t="shared" si="2435"/>
        <v>R</v>
      </c>
      <c r="BH3185" s="254"/>
      <c r="BI3185" s="254"/>
    </row>
    <row r="3186" spans="1:61" customFormat="1" ht="27" x14ac:dyDescent="0.25">
      <c r="A3186" s="276">
        <v>7</v>
      </c>
      <c r="B3186" s="240" t="s">
        <v>291</v>
      </c>
      <c r="C3186" s="241" t="s">
        <v>3737</v>
      </c>
      <c r="D3186" s="242" t="s">
        <v>292</v>
      </c>
      <c r="E3186" s="243">
        <v>104.95</v>
      </c>
      <c r="F3186" s="517" t="s">
        <v>293</v>
      </c>
      <c r="G3186" s="232">
        <v>0</v>
      </c>
      <c r="H3186" s="661" t="str">
        <f>IF(G3186=0,"",IF(F3186="Buy",IF(G3186=1,"plant","plants"),IF(F3186&gt;0.01,"warranty","Error")))</f>
        <v/>
      </c>
      <c r="I3186" s="244">
        <f>IF(H3186="free",0,IF(H3186="credit",((E3186*(F3186))*G3186*-1),IF(F3186="Buy",(E3186*G3186),((E3186*(1-F3186))*G3186))))</f>
        <v>0</v>
      </c>
      <c r="J3186" s="244">
        <f>IF(H3186="warranty",0,(I3186*(_xlfn.SINGLE(SalesTaxPercentage))))</f>
        <v>0</v>
      </c>
      <c r="K3186" s="696">
        <f t="shared" ref="K3186" si="2451">I3186+J3186</f>
        <v>0</v>
      </c>
      <c r="L3186" s="696"/>
      <c r="M3186" s="659" t="str">
        <f>IF(AND(G3186&gt;0,E3186=0),"WARNING - no PRICE inserted",IF(H3186="free"," FREE ~ no charge this plant",IF(H3186="credit",CONCATENATE(" -$",ROUND(K3186*(1-T2GDiscount)*-1,2)," CREDIT after discount"),IF(T2GDiscount=0,"",IF(G3186=0,"",IF(F3186="Buy",CONCATENATE(" $",ROUND(K3186*(1-T2GDiscount),2)," with ",(T2GDiscount*100),"% discount"),CONCATENATE(" $",ROUND(K3186*(1-T2GDiscount),2)," with ",((T2GDiscount*100+F3186*100)-(T2GDiscount*100*F3186)),IF(F3186&gt;0,"% discounts",IF(NoWarrantyDiscount&gt;0,"% discounts","% discount")))))))))</f>
        <v/>
      </c>
      <c r="N3186" s="660"/>
      <c r="O3186" s="233"/>
      <c r="P3186" s="233"/>
      <c r="Q3186" s="233"/>
      <c r="R3186" s="233"/>
      <c r="S3186" s="233"/>
      <c r="T3186" s="508">
        <f t="shared" si="2423"/>
        <v>0</v>
      </c>
      <c r="U3186" s="225">
        <f>IF(NOT(ISNUMBER(G3186)), "", VLOOKUP(A3186,'Discount Lookup'!D:E,2,FALSE)*G3186)</f>
        <v>0</v>
      </c>
      <c r="V3186" s="225">
        <f>IF(NOT(ISNUMBER(G3186)), "", VLOOKUP(A3186,'Discount Lookup'!G:H,2,FALSE)*G3186)</f>
        <v>0</v>
      </c>
      <c r="W3186" s="508">
        <f t="shared" si="2424"/>
        <v>0</v>
      </c>
      <c r="X3186" s="508">
        <f t="shared" si="2425"/>
        <v>0</v>
      </c>
      <c r="Y3186" s="509" t="b">
        <f t="shared" si="2426"/>
        <v>0</v>
      </c>
      <c r="Z3186" s="510">
        <f t="shared" si="2427"/>
        <v>0</v>
      </c>
      <c r="AA3186" s="511"/>
      <c r="AB3186" s="511" t="str">
        <f t="shared" si="2428"/>
        <v/>
      </c>
      <c r="AC3186" s="698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698"/>
      <c r="AE3186" s="631" t="str">
        <f t="shared" si="2429"/>
        <v/>
      </c>
      <c r="AF3186" s="699" t="str">
        <f t="shared" si="2430"/>
        <v/>
      </c>
      <c r="AG3186" s="699"/>
      <c r="AH3186" s="699"/>
      <c r="AI3186" s="512">
        <f>IF(H3186="credit",0,IF(AE3186="free",0,IF(AE3186="me",0,IF(G3186&gt;0,(VLOOKUP(A3186,'Discount Lookup'!J:K,2)*G3186),0))))</f>
        <v>0</v>
      </c>
      <c r="AJ3186" s="513" t="str">
        <f t="shared" ca="1" si="2431"/>
        <v/>
      </c>
      <c r="AK3186" s="700" t="str">
        <f t="shared" si="2432"/>
        <v/>
      </c>
      <c r="AL3186" s="700"/>
      <c r="AM3186" s="505" t="str">
        <f t="shared" si="2433"/>
        <v/>
      </c>
      <c r="AN3186" s="506"/>
      <c r="AO3186" s="507"/>
      <c r="AP3186" s="507"/>
      <c r="AQ3186" s="507"/>
      <c r="AR3186" s="507"/>
      <c r="AS3186" s="507"/>
      <c r="AT3186" s="507"/>
      <c r="AU3186" s="507"/>
      <c r="AV3186" s="225"/>
      <c r="AW3186" s="508"/>
      <c r="AX3186" s="225"/>
      <c r="AY3186" s="225"/>
      <c r="AZ3186" s="225"/>
      <c r="BA3186" s="225"/>
      <c r="BB3186" s="225"/>
      <c r="BC3186" s="56"/>
      <c r="BD3186" s="56"/>
      <c r="BE3186" s="56"/>
      <c r="BF3186" s="107" t="str">
        <f t="shared" si="2434"/>
        <v>https://www.google.com/search?tbm=isch&amp;q=7%20G4</v>
      </c>
      <c r="BG3186" s="107" t="str">
        <f t="shared" si="2435"/>
        <v>R</v>
      </c>
      <c r="BH3186" s="254"/>
      <c r="BI3186" s="254"/>
    </row>
    <row r="3187" spans="1:61" customFormat="1" ht="17.25" thickBot="1" x14ac:dyDescent="0.3">
      <c r="A3187" s="524" t="s">
        <v>2174</v>
      </c>
      <c r="B3187" s="245"/>
      <c r="C3187" s="677"/>
      <c r="D3187" s="499"/>
      <c r="E3187" s="499"/>
      <c r="F3187" s="500"/>
      <c r="G3187" s="501"/>
      <c r="H3187" s="502"/>
      <c r="I3187" s="246"/>
      <c r="J3187" s="247"/>
      <c r="K3187" s="503"/>
      <c r="L3187" s="544"/>
      <c r="M3187" s="544"/>
      <c r="N3187" s="500"/>
      <c r="O3187" s="500"/>
      <c r="P3187" s="500"/>
      <c r="Q3187" s="500"/>
      <c r="R3187" s="500"/>
      <c r="S3187" s="278"/>
      <c r="T3187" s="508">
        <f t="shared" si="2423"/>
        <v>0</v>
      </c>
      <c r="U3187" s="225" t="str">
        <f>IF(NOT(ISNUMBER(G3187)), "", VLOOKUP(A3187,'Discount Lookup'!D:E,2,FALSE)*G3187)</f>
        <v/>
      </c>
      <c r="V3187" s="225" t="str">
        <f>IF(NOT(ISNUMBER(G3187)), "", VLOOKUP(A3187,'Discount Lookup'!G:H,2,FALSE)*G3187)</f>
        <v/>
      </c>
      <c r="W3187" s="508">
        <f t="shared" si="2424"/>
        <v>0</v>
      </c>
      <c r="X3187" s="508">
        <f t="shared" si="2425"/>
        <v>0</v>
      </c>
      <c r="Y3187" s="509" t="b">
        <f t="shared" si="2426"/>
        <v>0</v>
      </c>
      <c r="Z3187" s="510">
        <f t="shared" si="2427"/>
        <v>0</v>
      </c>
      <c r="AA3187" s="511"/>
      <c r="AB3187" s="511" t="str">
        <f t="shared" si="2428"/>
        <v/>
      </c>
      <c r="AC3187" s="698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698"/>
      <c r="AE3187" s="631" t="str">
        <f t="shared" si="2429"/>
        <v/>
      </c>
      <c r="AF3187" s="699" t="str">
        <f t="shared" si="2430"/>
        <v/>
      </c>
      <c r="AG3187" s="699"/>
      <c r="AH3187" s="699"/>
      <c r="AI3187" s="512">
        <f>IF(H3187="credit",0,IF(AE3187="free",0,IF(AE3187="me",0,IF(G3187&gt;0,(VLOOKUP(A3187,'Discount Lookup'!J:K,2)*G3187),0))))</f>
        <v>0</v>
      </c>
      <c r="AJ3187" s="513" t="str">
        <f t="shared" ca="1" si="2431"/>
        <v/>
      </c>
      <c r="AK3187" s="700" t="str">
        <f t="shared" si="2432"/>
        <v/>
      </c>
      <c r="AL3187" s="700"/>
      <c r="AM3187" s="505" t="str">
        <f t="shared" si="2433"/>
        <v/>
      </c>
      <c r="AN3187" s="506"/>
      <c r="AO3187" s="507"/>
      <c r="AP3187" s="507"/>
      <c r="AQ3187" s="507"/>
      <c r="AR3187" s="507"/>
      <c r="AS3187" s="507"/>
      <c r="AT3187" s="507"/>
      <c r="AU3187" s="507"/>
      <c r="AV3187" s="225"/>
      <c r="AW3187" s="508"/>
      <c r="AX3187" s="225"/>
      <c r="AY3187" s="225"/>
      <c r="AZ3187" s="225"/>
      <c r="BA3187" s="225"/>
      <c r="BB3187" s="225"/>
      <c r="BC3187" s="56"/>
      <c r="BD3187" s="56"/>
      <c r="BE3187" s="56"/>
      <c r="BF3187" s="107" t="str">
        <f t="shared" si="2434"/>
        <v>https://www.google.com/search?tbm=isch&amp;q=Ruby%20Ruffle%20developed%20at%20JC%20Raulston%20Arboretum.%20Burgundy%20foliage%20with%20wavy%20edges.%20Self-pollinating%20</v>
      </c>
      <c r="BG3187" s="107" t="str">
        <f t="shared" si="2435"/>
        <v>R</v>
      </c>
      <c r="BH3187" s="254"/>
      <c r="BI3187" s="254"/>
    </row>
    <row r="3188" spans="1:61" customFormat="1" ht="18" x14ac:dyDescent="0.25">
      <c r="A3188" s="523" t="s">
        <v>1661</v>
      </c>
      <c r="B3188" s="235"/>
      <c r="C3188" s="676"/>
      <c r="D3188" s="255" t="s">
        <v>1662</v>
      </c>
      <c r="E3188" s="236"/>
      <c r="F3188" s="236"/>
      <c r="G3188" s="236"/>
      <c r="H3188" s="582" t="s">
        <v>1656</v>
      </c>
      <c r="I3188" s="498" t="s">
        <v>656</v>
      </c>
      <c r="J3188" s="237"/>
      <c r="K3188" s="237"/>
      <c r="L3188" s="274"/>
      <c r="M3188" s="668" t="s">
        <v>4964</v>
      </c>
      <c r="N3188" s="681" t="str">
        <f>IF(AND(ISTEXT($A3188), ISERROR($A3188+0)), HYPERLINK($BF3188, "Images"), "")</f>
        <v>Images</v>
      </c>
      <c r="O3188" s="663" t="s">
        <v>4967</v>
      </c>
      <c r="P3188" s="253"/>
      <c r="Q3188" s="238"/>
      <c r="R3188" s="239"/>
      <c r="S3188" s="275" t="s">
        <v>305</v>
      </c>
      <c r="T3188" s="508">
        <f t="shared" si="2423"/>
        <v>0</v>
      </c>
      <c r="U3188" s="225" t="str">
        <f>IF(NOT(ISNUMBER(G3188)), "", VLOOKUP(A3188,'Discount Lookup'!D:E,2,FALSE)*G3188)</f>
        <v/>
      </c>
      <c r="V3188" s="225" t="str">
        <f>IF(NOT(ISNUMBER(G3188)), "", VLOOKUP(A3188,'Discount Lookup'!G:H,2,FALSE)*G3188)</f>
        <v/>
      </c>
      <c r="W3188" s="508">
        <f t="shared" si="2424"/>
        <v>0</v>
      </c>
      <c r="X3188" s="508" t="str">
        <f t="shared" si="2425"/>
        <v>Pink bloom</v>
      </c>
      <c r="Y3188" s="509" t="b">
        <f t="shared" si="2426"/>
        <v>0</v>
      </c>
      <c r="Z3188" s="510">
        <f t="shared" si="2427"/>
        <v>0</v>
      </c>
      <c r="AA3188" s="511"/>
      <c r="AB3188" s="511" t="str">
        <f t="shared" si="2428"/>
        <v/>
      </c>
      <c r="AC3188" s="698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698"/>
      <c r="AE3188" s="631" t="str">
        <f t="shared" si="2429"/>
        <v/>
      </c>
      <c r="AF3188" s="699" t="str">
        <f t="shared" si="2430"/>
        <v/>
      </c>
      <c r="AG3188" s="699"/>
      <c r="AH3188" s="699"/>
      <c r="AI3188" s="512">
        <f>IF(H3188="credit",0,IF(AE3188="free",0,IF(AE3188="me",0,IF(G3188&gt;0,(VLOOKUP(A3188,'Discount Lookup'!J:K,2)*G3188),0))))</f>
        <v>0</v>
      </c>
      <c r="AJ3188" s="513" t="str">
        <f t="shared" ca="1" si="2431"/>
        <v/>
      </c>
      <c r="AK3188" s="700" t="str">
        <f t="shared" si="2432"/>
        <v/>
      </c>
      <c r="AL3188" s="700"/>
      <c r="AM3188" s="505" t="str">
        <f t="shared" si="2433"/>
        <v/>
      </c>
      <c r="AN3188" s="506"/>
      <c r="AO3188" s="507"/>
      <c r="AP3188" s="507"/>
      <c r="AQ3188" s="507"/>
      <c r="AR3188" s="507"/>
      <c r="AS3188" s="507"/>
      <c r="AT3188" s="507"/>
      <c r="AU3188" s="507"/>
      <c r="AV3188" s="225"/>
      <c r="AW3188" s="508"/>
      <c r="AX3188" s="225"/>
      <c r="AY3188" s="225"/>
      <c r="AZ3188" s="225"/>
      <c r="BA3188" s="225"/>
      <c r="BB3188" s="225"/>
      <c r="BC3188" s="56"/>
      <c r="BD3188" s="56"/>
      <c r="BE3188" s="56"/>
      <c r="BF3188" s="107" t="str">
        <f t="shared" si="2434"/>
        <v>https://www.google.com/search?tbm=isch&amp;q=Ruby%20Spice%20Summersweet%20Clethra%20alnifolia%20%27Ruby%20Spice%27</v>
      </c>
      <c r="BG3188" s="107" t="str">
        <f t="shared" si="2435"/>
        <v>R</v>
      </c>
      <c r="BH3188" s="254"/>
      <c r="BI3188" s="254"/>
    </row>
    <row r="3189" spans="1:61" customFormat="1" ht="15.75" x14ac:dyDescent="0.25">
      <c r="A3189" s="276">
        <v>3</v>
      </c>
      <c r="B3189" s="240" t="s">
        <v>291</v>
      </c>
      <c r="C3189" s="241" t="s">
        <v>329</v>
      </c>
      <c r="D3189" s="242" t="s">
        <v>312</v>
      </c>
      <c r="E3189" s="243">
        <v>31.95</v>
      </c>
      <c r="F3189" s="517" t="s">
        <v>293</v>
      </c>
      <c r="G3189" s="232">
        <v>0</v>
      </c>
      <c r="H3189" s="661" t="str">
        <f>IF(G3189=0,"",IF(F3189="Buy",IF(G3189=1,"plant","plants"),IF(F3189&gt;0.01,"warranty","Error")))</f>
        <v/>
      </c>
      <c r="I3189" s="244">
        <f>IF(H3189="free",0,IF(H3189="credit",((E3189*(F3189))*G3189*-1),IF(F3189="Buy",(E3189*G3189),((E3189*(1-F3189))*G3189))))</f>
        <v>0</v>
      </c>
      <c r="J3189" s="244">
        <f>IF(H3189="warranty",0,(I3189*(_xlfn.SINGLE(SalesTaxPercentage))))</f>
        <v>0</v>
      </c>
      <c r="K3189" s="696">
        <f t="shared" ref="K3189" si="2452">I3189+J3189</f>
        <v>0</v>
      </c>
      <c r="L3189" s="696"/>
      <c r="M3189" s="659" t="str">
        <f>IF(AND(G3189&gt;0,E3189=0),"WARNING - no PRICE inserted",IF(H3189="free"," FREE ~ no charge this plant",IF(H3189="credit",CONCATENATE(" -$",ROUND(K3189*(1-T2GDiscount)*-1,2)," CREDIT after discount"),IF(T2GDiscount=0,"",IF(G3189=0,"",IF(F3189="Buy",CONCATENATE(" $",ROUND(K3189*(1-T2GDiscount),2)," with ",(T2GDiscount*100),"% discount"),CONCATENATE(" $",ROUND(K3189*(1-T2GDiscount),2)," with ",((T2GDiscount*100+F3189*100)-(T2GDiscount*100*F3189)),IF(F3189&gt;0,"% discounts",IF(NoWarrantyDiscount&gt;0,"% discounts","% discount")))))))))</f>
        <v/>
      </c>
      <c r="N3189" s="660"/>
      <c r="O3189" s="233"/>
      <c r="P3189" s="233"/>
      <c r="Q3189" s="233"/>
      <c r="R3189" s="233"/>
      <c r="S3189" s="233"/>
      <c r="T3189" s="508">
        <f t="shared" si="2423"/>
        <v>0</v>
      </c>
      <c r="U3189" s="225">
        <f>IF(NOT(ISNUMBER(G3189)), "", VLOOKUP(A3189,'Discount Lookup'!D:E,2,FALSE)*G3189)</f>
        <v>0</v>
      </c>
      <c r="V3189" s="225">
        <f>IF(NOT(ISNUMBER(G3189)), "", VLOOKUP(A3189,'Discount Lookup'!G:H,2,FALSE)*G3189)</f>
        <v>0</v>
      </c>
      <c r="W3189" s="508">
        <f t="shared" si="2424"/>
        <v>0</v>
      </c>
      <c r="X3189" s="508">
        <f t="shared" si="2425"/>
        <v>0</v>
      </c>
      <c r="Y3189" s="509" t="b">
        <f t="shared" si="2426"/>
        <v>0</v>
      </c>
      <c r="Z3189" s="510">
        <f t="shared" si="2427"/>
        <v>0</v>
      </c>
      <c r="AA3189" s="511"/>
      <c r="AB3189" s="511" t="str">
        <f t="shared" si="2428"/>
        <v/>
      </c>
      <c r="AC3189" s="698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698"/>
      <c r="AE3189" s="631" t="str">
        <f t="shared" si="2429"/>
        <v/>
      </c>
      <c r="AF3189" s="699" t="str">
        <f t="shared" si="2430"/>
        <v/>
      </c>
      <c r="AG3189" s="699"/>
      <c r="AH3189" s="699"/>
      <c r="AI3189" s="512">
        <f>IF(H3189="credit",0,IF(AE3189="free",0,IF(AE3189="me",0,IF(G3189&gt;0,(VLOOKUP(A3189,'Discount Lookup'!J:K,2)*G3189),0))))</f>
        <v>0</v>
      </c>
      <c r="AJ3189" s="513" t="str">
        <f t="shared" ca="1" si="2431"/>
        <v/>
      </c>
      <c r="AK3189" s="700" t="str">
        <f t="shared" si="2432"/>
        <v/>
      </c>
      <c r="AL3189" s="700"/>
      <c r="AM3189" s="505" t="str">
        <f t="shared" si="2433"/>
        <v/>
      </c>
      <c r="AN3189" s="506"/>
      <c r="AO3189" s="507"/>
      <c r="AP3189" s="507"/>
      <c r="AQ3189" s="507"/>
      <c r="AR3189" s="507"/>
      <c r="AS3189" s="507"/>
      <c r="AT3189" s="507"/>
      <c r="AU3189" s="507"/>
      <c r="AV3189" s="225"/>
      <c r="AW3189" s="508"/>
      <c r="AX3189" s="225"/>
      <c r="AY3189" s="225"/>
      <c r="AZ3189" s="225"/>
      <c r="BA3189" s="225"/>
      <c r="BB3189" s="225"/>
      <c r="BC3189" s="56"/>
      <c r="BD3189" s="56"/>
      <c r="BE3189" s="56"/>
      <c r="BF3189" s="107" t="str">
        <f t="shared" si="2434"/>
        <v>https://www.google.com/search?tbm=isch&amp;q=3%20G2</v>
      </c>
      <c r="BG3189" s="107" t="str">
        <f t="shared" si="2435"/>
        <v>R</v>
      </c>
      <c r="BH3189" s="254"/>
      <c r="BI3189" s="254"/>
    </row>
    <row r="3190" spans="1:61" customFormat="1" ht="15.75" x14ac:dyDescent="0.25">
      <c r="A3190" s="276">
        <v>3</v>
      </c>
      <c r="B3190" s="240" t="s">
        <v>291</v>
      </c>
      <c r="C3190" s="241" t="s">
        <v>2797</v>
      </c>
      <c r="D3190" s="242" t="s">
        <v>299</v>
      </c>
      <c r="E3190" s="243">
        <v>33.950000000000003</v>
      </c>
      <c r="F3190" s="517" t="s">
        <v>293</v>
      </c>
      <c r="G3190" s="232">
        <v>0</v>
      </c>
      <c r="H3190" s="661" t="str">
        <f>IF(G3190=0,"",IF(F3190="Buy",IF(G3190=1,"plant","plants"),IF(F3190&gt;0.01,"warranty","Error")))</f>
        <v/>
      </c>
      <c r="I3190" s="244">
        <f>IF(H3190="free",0,IF(H3190="credit",((E3190*(F3190))*G3190*-1),IF(F3190="Buy",(E3190*G3190),((E3190*(1-F3190))*G3190))))</f>
        <v>0</v>
      </c>
      <c r="J3190" s="244">
        <f>IF(H3190="warranty",0,(I3190*(_xlfn.SINGLE(SalesTaxPercentage))))</f>
        <v>0</v>
      </c>
      <c r="K3190" s="696">
        <f t="shared" ref="K3190" si="2453">I3190+J3190</f>
        <v>0</v>
      </c>
      <c r="L3190" s="696"/>
      <c r="M3190" s="659" t="str">
        <f>IF(AND(G3190&gt;0,E3190=0),"WARNING - no PRICE inserted",IF(H3190="free"," FREE ~ no charge this plant",IF(H3190="credit",CONCATENATE(" -$",ROUND(K3190*(1-T2GDiscount)*-1,2)," CREDIT after discount"),IF(T2GDiscount=0,"",IF(G3190=0,"",IF(F3190="Buy",CONCATENATE(" $",ROUND(K3190*(1-T2GDiscount),2)," with ",(T2GDiscount*100),"% discount"),CONCATENATE(" $",ROUND(K3190*(1-T2GDiscount),2)," with ",((T2GDiscount*100+F3190*100)-(T2GDiscount*100*F3190)),IF(F3190&gt;0,"% discounts",IF(NoWarrantyDiscount&gt;0,"% discounts","% discount")))))))))</f>
        <v/>
      </c>
      <c r="N3190" s="660"/>
      <c r="O3190" s="233"/>
      <c r="P3190" s="233"/>
      <c r="Q3190" s="233"/>
      <c r="R3190" s="233"/>
      <c r="S3190" s="233"/>
      <c r="T3190" s="508">
        <f t="shared" si="2423"/>
        <v>0</v>
      </c>
      <c r="U3190" s="225">
        <f>IF(NOT(ISNUMBER(G3190)), "", VLOOKUP(A3190,'Discount Lookup'!D:E,2,FALSE)*G3190)</f>
        <v>0</v>
      </c>
      <c r="V3190" s="225">
        <f>IF(NOT(ISNUMBER(G3190)), "", VLOOKUP(A3190,'Discount Lookup'!G:H,2,FALSE)*G3190)</f>
        <v>0</v>
      </c>
      <c r="W3190" s="508">
        <f t="shared" si="2424"/>
        <v>0</v>
      </c>
      <c r="X3190" s="508">
        <f t="shared" si="2425"/>
        <v>0</v>
      </c>
      <c r="Y3190" s="509" t="b">
        <f t="shared" si="2426"/>
        <v>0</v>
      </c>
      <c r="Z3190" s="510">
        <f t="shared" si="2427"/>
        <v>0</v>
      </c>
      <c r="AA3190" s="511"/>
      <c r="AB3190" s="511" t="str">
        <f t="shared" si="2428"/>
        <v/>
      </c>
      <c r="AC3190" s="698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698"/>
      <c r="AE3190" s="631" t="str">
        <f t="shared" si="2429"/>
        <v/>
      </c>
      <c r="AF3190" s="699" t="str">
        <f t="shared" si="2430"/>
        <v/>
      </c>
      <c r="AG3190" s="699"/>
      <c r="AH3190" s="699"/>
      <c r="AI3190" s="512">
        <f>IF(H3190="credit",0,IF(AE3190="free",0,IF(AE3190="me",0,IF(G3190&gt;0,(VLOOKUP(A3190,'Discount Lookup'!J:K,2)*G3190),0))))</f>
        <v>0</v>
      </c>
      <c r="AJ3190" s="513" t="str">
        <f t="shared" ca="1" si="2431"/>
        <v/>
      </c>
      <c r="AK3190" s="700" t="str">
        <f t="shared" si="2432"/>
        <v/>
      </c>
      <c r="AL3190" s="700"/>
      <c r="AM3190" s="505" t="str">
        <f t="shared" si="2433"/>
        <v/>
      </c>
      <c r="AN3190" s="506"/>
      <c r="AO3190" s="507"/>
      <c r="AP3190" s="507"/>
      <c r="AQ3190" s="507"/>
      <c r="AR3190" s="507"/>
      <c r="AS3190" s="507"/>
      <c r="AT3190" s="507"/>
      <c r="AU3190" s="507"/>
      <c r="AV3190" s="225"/>
      <c r="AW3190" s="508"/>
      <c r="AX3190" s="225"/>
      <c r="AY3190" s="225"/>
      <c r="AZ3190" s="225"/>
      <c r="BA3190" s="225"/>
      <c r="BB3190" s="225"/>
      <c r="BC3190" s="56"/>
      <c r="BD3190" s="56"/>
      <c r="BE3190" s="56"/>
      <c r="BF3190" s="107" t="str">
        <f t="shared" si="2434"/>
        <v>https://www.google.com/search?tbm=isch&amp;q=3%20G5</v>
      </c>
      <c r="BG3190" s="107" t="str">
        <f t="shared" si="2435"/>
        <v>R</v>
      </c>
      <c r="BH3190" s="254"/>
      <c r="BI3190" s="254"/>
    </row>
    <row r="3191" spans="1:61" customFormat="1" ht="17.25" thickBot="1" x14ac:dyDescent="0.3">
      <c r="A3191" s="673" t="s">
        <v>5222</v>
      </c>
      <c r="B3191" s="245"/>
      <c r="C3191" s="677"/>
      <c r="D3191" s="499"/>
      <c r="E3191" s="499"/>
      <c r="F3191" s="500"/>
      <c r="G3191" s="501"/>
      <c r="H3191" s="502"/>
      <c r="I3191" s="246"/>
      <c r="J3191" s="247"/>
      <c r="K3191" s="503"/>
      <c r="L3191" s="544"/>
      <c r="M3191" s="544"/>
      <c r="N3191" s="500"/>
      <c r="O3191" s="500"/>
      <c r="P3191" s="500"/>
      <c r="Q3191" s="500"/>
      <c r="R3191" s="500"/>
      <c r="S3191" s="669" t="s">
        <v>4976</v>
      </c>
      <c r="T3191" s="508">
        <f t="shared" si="2423"/>
        <v>0</v>
      </c>
      <c r="U3191" s="225" t="str">
        <f>IF(NOT(ISNUMBER(G3191)), "", VLOOKUP(A3191,'Discount Lookup'!D:E,2,FALSE)*G3191)</f>
        <v/>
      </c>
      <c r="V3191" s="225" t="str">
        <f>IF(NOT(ISNUMBER(G3191)), "", VLOOKUP(A3191,'Discount Lookup'!G:H,2,FALSE)*G3191)</f>
        <v/>
      </c>
      <c r="W3191" s="508">
        <f t="shared" si="2424"/>
        <v>0</v>
      </c>
      <c r="X3191" s="508">
        <f t="shared" si="2425"/>
        <v>0</v>
      </c>
      <c r="Y3191" s="509" t="b">
        <f t="shared" si="2426"/>
        <v>0</v>
      </c>
      <c r="Z3191" s="510">
        <f t="shared" si="2427"/>
        <v>0</v>
      </c>
      <c r="AA3191" s="511"/>
      <c r="AB3191" s="511" t="str">
        <f t="shared" si="2428"/>
        <v/>
      </c>
      <c r="AC3191" s="698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698"/>
      <c r="AE3191" s="631" t="str">
        <f t="shared" si="2429"/>
        <v/>
      </c>
      <c r="AF3191" s="699" t="str">
        <f t="shared" si="2430"/>
        <v/>
      </c>
      <c r="AG3191" s="699"/>
      <c r="AH3191" s="699"/>
      <c r="AI3191" s="512">
        <f>IF(H3191="credit",0,IF(AE3191="free",0,IF(AE3191="me",0,IF(G3191&gt;0,(VLOOKUP(A3191,'Discount Lookup'!J:K,2)*G3191),0))))</f>
        <v>0</v>
      </c>
      <c r="AJ3191" s="513" t="str">
        <f t="shared" ca="1" si="2431"/>
        <v/>
      </c>
      <c r="AK3191" s="700" t="str">
        <f t="shared" si="2432"/>
        <v/>
      </c>
      <c r="AL3191" s="700"/>
      <c r="AM3191" s="505" t="str">
        <f t="shared" si="2433"/>
        <v/>
      </c>
      <c r="AN3191" s="506"/>
      <c r="AO3191" s="507"/>
      <c r="AP3191" s="507"/>
      <c r="AQ3191" s="507"/>
      <c r="AR3191" s="507"/>
      <c r="AS3191" s="507"/>
      <c r="AT3191" s="507"/>
      <c r="AU3191" s="507"/>
      <c r="AV3191" s="225"/>
      <c r="AW3191" s="508"/>
      <c r="AX3191" s="225"/>
      <c r="AY3191" s="225"/>
      <c r="AZ3191" s="225"/>
      <c r="BA3191" s="225"/>
      <c r="BB3191" s="225"/>
      <c r="BC3191" s="56"/>
      <c r="BD3191" s="56"/>
      <c r="BE3191" s="56"/>
      <c r="BF3191" s="107" t="str">
        <f t="shared" si="2434"/>
        <v>https://www.google.com/search?tbm=isch&amp;q=wet%20sites%F0%9F%92%A7GOOD%2C%20Ruby%20Spice%2C%20like%20all%20Clethra%2C%20has%20long-lasting%20flower%20spikes%20and%20fragrance%2C%20mid%20to%20late%20summer%20</v>
      </c>
      <c r="BG3191" s="107" t="str">
        <f t="shared" si="2435"/>
        <v>w</v>
      </c>
      <c r="BH3191" s="254"/>
      <c r="BI3191" s="254"/>
    </row>
    <row r="3192" spans="1:61" customFormat="1" ht="18" x14ac:dyDescent="0.25">
      <c r="A3192" s="523" t="s">
        <v>1663</v>
      </c>
      <c r="B3192" s="235"/>
      <c r="C3192" s="676"/>
      <c r="D3192" s="255" t="s">
        <v>1664</v>
      </c>
      <c r="E3192" s="236"/>
      <c r="F3192" s="236"/>
      <c r="G3192" s="236"/>
      <c r="H3192" s="582" t="s">
        <v>2947</v>
      </c>
      <c r="I3192" s="498" t="s">
        <v>4268</v>
      </c>
      <c r="J3192" s="237"/>
      <c r="K3192" s="237"/>
      <c r="L3192" s="274"/>
      <c r="M3192" s="668" t="s">
        <v>4975</v>
      </c>
      <c r="N3192" s="681" t="str">
        <f>IF(AND(ISTEXT($A3192), ISERROR($A3192+0)), HYPERLINK($BF3192, "Images"), "")</f>
        <v>Images</v>
      </c>
      <c r="O3192" s="663" t="s">
        <v>4974</v>
      </c>
      <c r="P3192" s="253"/>
      <c r="Q3192" s="238"/>
      <c r="R3192" s="239"/>
      <c r="S3192" s="275"/>
      <c r="T3192" s="508">
        <f t="shared" si="2423"/>
        <v>0</v>
      </c>
      <c r="U3192" s="225" t="str">
        <f>IF(NOT(ISNUMBER(G3192)), "", VLOOKUP(A3192,'Discount Lookup'!D:E,2,FALSE)*G3192)</f>
        <v/>
      </c>
      <c r="V3192" s="225" t="str">
        <f>IF(NOT(ISNUMBER(G3192)), "", VLOOKUP(A3192,'Discount Lookup'!G:H,2,FALSE)*G3192)</f>
        <v/>
      </c>
      <c r="W3192" s="508">
        <f t="shared" si="2424"/>
        <v>0</v>
      </c>
      <c r="X3192" s="508" t="str">
        <f t="shared" si="2425"/>
        <v>Ruby-Red, Yellow throat</v>
      </c>
      <c r="Y3192" s="509" t="b">
        <f t="shared" si="2426"/>
        <v>0</v>
      </c>
      <c r="Z3192" s="510">
        <f t="shared" si="2427"/>
        <v>0</v>
      </c>
      <c r="AA3192" s="511"/>
      <c r="AB3192" s="511" t="str">
        <f t="shared" si="2428"/>
        <v/>
      </c>
      <c r="AC3192" s="698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698"/>
      <c r="AE3192" s="631" t="str">
        <f t="shared" si="2429"/>
        <v/>
      </c>
      <c r="AF3192" s="699" t="str">
        <f t="shared" si="2430"/>
        <v/>
      </c>
      <c r="AG3192" s="699"/>
      <c r="AH3192" s="699"/>
      <c r="AI3192" s="512">
        <f>IF(H3192="credit",0,IF(AE3192="free",0,IF(AE3192="me",0,IF(G3192&gt;0,(VLOOKUP(A3192,'Discount Lookup'!J:K,2)*G3192),0))))</f>
        <v>0</v>
      </c>
      <c r="AJ3192" s="513" t="str">
        <f t="shared" ca="1" si="2431"/>
        <v/>
      </c>
      <c r="AK3192" s="700" t="str">
        <f t="shared" si="2432"/>
        <v/>
      </c>
      <c r="AL3192" s="700"/>
      <c r="AM3192" s="505" t="str">
        <f t="shared" si="2433"/>
        <v/>
      </c>
      <c r="AN3192" s="506"/>
      <c r="AO3192" s="507"/>
      <c r="AP3192" s="507"/>
      <c r="AQ3192" s="507"/>
      <c r="AR3192" s="507"/>
      <c r="AS3192" s="507"/>
      <c r="AT3192" s="507"/>
      <c r="AU3192" s="507"/>
      <c r="AV3192" s="225"/>
      <c r="AW3192" s="508"/>
      <c r="AX3192" s="225"/>
      <c r="AY3192" s="225"/>
      <c r="AZ3192" s="225"/>
      <c r="BA3192" s="225"/>
      <c r="BB3192" s="225"/>
      <c r="BC3192" s="56"/>
      <c r="BD3192" s="56"/>
      <c r="BE3192" s="56"/>
      <c r="BF3192" s="107" t="str">
        <f t="shared" si="2434"/>
        <v>https://www.google.com/search?tbm=isch&amp;q=Ruby%20Stella%20Daylily%20Hemerocallis%20%27Ruby%20Stella%27</v>
      </c>
      <c r="BG3192" s="107" t="str">
        <f t="shared" si="2435"/>
        <v>R</v>
      </c>
      <c r="BH3192" s="254"/>
      <c r="BI3192" s="254"/>
    </row>
    <row r="3193" spans="1:61" customFormat="1" ht="15.75" x14ac:dyDescent="0.25">
      <c r="A3193" s="276">
        <v>1</v>
      </c>
      <c r="B3193" s="240" t="s">
        <v>291</v>
      </c>
      <c r="C3193" s="241" t="s">
        <v>2214</v>
      </c>
      <c r="D3193" s="242" t="s">
        <v>300</v>
      </c>
      <c r="E3193" s="243">
        <v>9.9499999999999993</v>
      </c>
      <c r="F3193" s="517" t="s">
        <v>293</v>
      </c>
      <c r="G3193" s="232">
        <v>0</v>
      </c>
      <c r="H3193" s="661" t="str">
        <f>IF(G3193=0,"",IF(F3193="Buy",IF(G3193=1,"plant","plants"),IF(F3193&gt;0.01,"warranty","Error")))</f>
        <v/>
      </c>
      <c r="I3193" s="244">
        <f>IF(H3193="free",0,IF(H3193="credit",((E3193*(F3193))*G3193*-1),IF(F3193="Buy",(E3193*G3193),((E3193*(1-F3193))*G3193))))</f>
        <v>0</v>
      </c>
      <c r="J3193" s="244">
        <f>IF(H3193="warranty",0,(I3193*(_xlfn.SINGLE(SalesTaxPercentage))))</f>
        <v>0</v>
      </c>
      <c r="K3193" s="696">
        <f t="shared" ref="K3193" si="2454">I3193+J3193</f>
        <v>0</v>
      </c>
      <c r="L3193" s="696"/>
      <c r="M3193" s="659" t="str">
        <f>IF(AND(G3193&gt;0,E3193=0),"WARNING - no PRICE inserted",IF(H3193="free"," FREE ~ no charge this plant",IF(H3193="credit",CONCATENATE(" -$",ROUND(K3193*(1-T2GDiscount)*-1,2)," CREDIT after discount"),IF(T2GDiscount=0,"",IF(G3193=0,"",IF(F3193="Buy",CONCATENATE(" $",ROUND(K3193*(1-T2GDiscount),2)," with ",(T2GDiscount*100),"% discount"),CONCATENATE(" $",ROUND(K3193*(1-T2GDiscount),2)," with ",((T2GDiscount*100+F3193*100)-(T2GDiscount*100*F3193)),IF(F3193&gt;0,"% discounts",IF(NoWarrantyDiscount&gt;0,"% discounts","% discount")))))))))</f>
        <v/>
      </c>
      <c r="N3193" s="660"/>
      <c r="O3193" s="233"/>
      <c r="P3193" s="233"/>
      <c r="Q3193" s="233"/>
      <c r="R3193" s="233"/>
      <c r="S3193" s="233"/>
      <c r="T3193" s="508">
        <f t="shared" si="2423"/>
        <v>0</v>
      </c>
      <c r="U3193" s="225">
        <f>IF(NOT(ISNUMBER(G3193)), "", VLOOKUP(A3193,'Discount Lookup'!D:E,2,FALSE)*G3193)</f>
        <v>0</v>
      </c>
      <c r="V3193" s="225">
        <f>IF(NOT(ISNUMBER(G3193)), "", VLOOKUP(A3193,'Discount Lookup'!G:H,2,FALSE)*G3193)</f>
        <v>0</v>
      </c>
      <c r="W3193" s="508">
        <f t="shared" si="2424"/>
        <v>0</v>
      </c>
      <c r="X3193" s="508">
        <f t="shared" si="2425"/>
        <v>0</v>
      </c>
      <c r="Y3193" s="509" t="b">
        <f t="shared" si="2426"/>
        <v>0</v>
      </c>
      <c r="Z3193" s="510">
        <f t="shared" si="2427"/>
        <v>0</v>
      </c>
      <c r="AA3193" s="511"/>
      <c r="AB3193" s="511" t="str">
        <f t="shared" si="2428"/>
        <v/>
      </c>
      <c r="AC3193" s="698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698"/>
      <c r="AE3193" s="631" t="str">
        <f t="shared" si="2429"/>
        <v/>
      </c>
      <c r="AF3193" s="699" t="str">
        <f t="shared" si="2430"/>
        <v/>
      </c>
      <c r="AG3193" s="699"/>
      <c r="AH3193" s="699"/>
      <c r="AI3193" s="512">
        <f>IF(H3193="credit",0,IF(AE3193="free",0,IF(AE3193="me",0,IF(G3193&gt;0,(VLOOKUP(A3193,'Discount Lookup'!J:K,2)*G3193),0))))</f>
        <v>0</v>
      </c>
      <c r="AJ3193" s="513" t="str">
        <f t="shared" ca="1" si="2431"/>
        <v/>
      </c>
      <c r="AK3193" s="700" t="str">
        <f t="shared" si="2432"/>
        <v/>
      </c>
      <c r="AL3193" s="700"/>
      <c r="AM3193" s="505" t="str">
        <f t="shared" si="2433"/>
        <v/>
      </c>
      <c r="AN3193" s="506"/>
      <c r="AO3193" s="507"/>
      <c r="AP3193" s="507"/>
      <c r="AQ3193" s="507"/>
      <c r="AR3193" s="507"/>
      <c r="AS3193" s="507"/>
      <c r="AT3193" s="507"/>
      <c r="AU3193" s="507"/>
      <c r="AV3193" s="225"/>
      <c r="AW3193" s="508"/>
      <c r="AX3193" s="225"/>
      <c r="AY3193" s="225"/>
      <c r="AZ3193" s="225"/>
      <c r="BA3193" s="225"/>
      <c r="BB3193" s="225"/>
      <c r="BC3193" s="56"/>
      <c r="BD3193" s="56"/>
      <c r="BE3193" s="56"/>
      <c r="BF3193" s="107" t="str">
        <f t="shared" si="2434"/>
        <v>https://www.google.com/search?tbm=isch&amp;q=1%20G6</v>
      </c>
      <c r="BG3193" s="107" t="str">
        <f t="shared" si="2435"/>
        <v>R</v>
      </c>
      <c r="BH3193" s="254"/>
      <c r="BI3193" s="254"/>
    </row>
    <row r="3194" spans="1:61" customFormat="1" ht="15.75" x14ac:dyDescent="0.25">
      <c r="A3194" s="276">
        <v>1</v>
      </c>
      <c r="B3194" s="240" t="s">
        <v>291</v>
      </c>
      <c r="C3194" s="241"/>
      <c r="D3194" s="242" t="s">
        <v>312</v>
      </c>
      <c r="E3194" s="243">
        <v>10.95</v>
      </c>
      <c r="F3194" s="517" t="s">
        <v>293</v>
      </c>
      <c r="G3194" s="232">
        <v>0</v>
      </c>
      <c r="H3194" s="661" t="str">
        <f>IF(G3194=0,"",IF(F3194="Buy",IF(G3194=1,"plant","plants"),IF(F3194&gt;0.01,"warranty","Error")))</f>
        <v/>
      </c>
      <c r="I3194" s="244">
        <f>IF(H3194="free",0,IF(H3194="credit",((E3194*(F3194))*G3194*-1),IF(F3194="Buy",(E3194*G3194),((E3194*(1-F3194))*G3194))))</f>
        <v>0</v>
      </c>
      <c r="J3194" s="244">
        <f>IF(H3194="warranty",0,(I3194*(_xlfn.SINGLE(SalesTaxPercentage))))</f>
        <v>0</v>
      </c>
      <c r="K3194" s="696">
        <f t="shared" ref="K3194" si="2455">I3194+J3194</f>
        <v>0</v>
      </c>
      <c r="L3194" s="696"/>
      <c r="M3194" s="659" t="str">
        <f>IF(AND(G3194&gt;0,E3194=0),"WARNING - no PRICE inserted",IF(H3194="free"," FREE ~ no charge this plant",IF(H3194="credit",CONCATENATE(" -$",ROUND(K3194*(1-T2GDiscount)*-1,2)," CREDIT after discount"),IF(T2GDiscount=0,"",IF(G3194=0,"",IF(F3194="Buy",CONCATENATE(" $",ROUND(K3194*(1-T2GDiscount),2)," with ",(T2GDiscount*100),"% discount"),CONCATENATE(" $",ROUND(K3194*(1-T2GDiscount),2)," with ",((T2GDiscount*100+F3194*100)-(T2GDiscount*100*F3194)),IF(F3194&gt;0,"% discounts",IF(NoWarrantyDiscount&gt;0,"% discounts","% discount")))))))))</f>
        <v/>
      </c>
      <c r="N3194" s="660"/>
      <c r="O3194" s="233"/>
      <c r="P3194" s="233"/>
      <c r="Q3194" s="233"/>
      <c r="R3194" s="233"/>
      <c r="S3194" s="233"/>
      <c r="T3194" s="508">
        <f t="shared" si="2423"/>
        <v>0</v>
      </c>
      <c r="U3194" s="225">
        <f>IF(NOT(ISNUMBER(G3194)), "", VLOOKUP(A3194,'Discount Lookup'!D:E,2,FALSE)*G3194)</f>
        <v>0</v>
      </c>
      <c r="V3194" s="225">
        <f>IF(NOT(ISNUMBER(G3194)), "", VLOOKUP(A3194,'Discount Lookup'!G:H,2,FALSE)*G3194)</f>
        <v>0</v>
      </c>
      <c r="W3194" s="508">
        <f t="shared" si="2424"/>
        <v>0</v>
      </c>
      <c r="X3194" s="508">
        <f t="shared" si="2425"/>
        <v>0</v>
      </c>
      <c r="Y3194" s="509" t="b">
        <f t="shared" si="2426"/>
        <v>0</v>
      </c>
      <c r="Z3194" s="510">
        <f t="shared" si="2427"/>
        <v>0</v>
      </c>
      <c r="AA3194" s="511"/>
      <c r="AB3194" s="511" t="str">
        <f t="shared" si="2428"/>
        <v/>
      </c>
      <c r="AC3194" s="698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698"/>
      <c r="AE3194" s="631" t="str">
        <f t="shared" si="2429"/>
        <v/>
      </c>
      <c r="AF3194" s="699" t="str">
        <f t="shared" si="2430"/>
        <v/>
      </c>
      <c r="AG3194" s="699"/>
      <c r="AH3194" s="699"/>
      <c r="AI3194" s="512">
        <f>IF(H3194="credit",0,IF(AE3194="free",0,IF(AE3194="me",0,IF(G3194&gt;0,(VLOOKUP(A3194,'Discount Lookup'!J:K,2)*G3194),0))))</f>
        <v>0</v>
      </c>
      <c r="AJ3194" s="513" t="str">
        <f t="shared" ca="1" si="2431"/>
        <v/>
      </c>
      <c r="AK3194" s="700" t="str">
        <f t="shared" si="2432"/>
        <v/>
      </c>
      <c r="AL3194" s="700"/>
      <c r="AM3194" s="505" t="str">
        <f t="shared" si="2433"/>
        <v/>
      </c>
      <c r="AN3194" s="506"/>
      <c r="AO3194" s="507"/>
      <c r="AP3194" s="507"/>
      <c r="AQ3194" s="507"/>
      <c r="AR3194" s="507"/>
      <c r="AS3194" s="507"/>
      <c r="AT3194" s="507"/>
      <c r="AU3194" s="507"/>
      <c r="AV3194" s="225"/>
      <c r="AW3194" s="508"/>
      <c r="AX3194" s="225"/>
      <c r="AY3194" s="225"/>
      <c r="AZ3194" s="225"/>
      <c r="BA3194" s="225"/>
      <c r="BB3194" s="225"/>
      <c r="BC3194" s="56"/>
      <c r="BD3194" s="56"/>
      <c r="BE3194" s="56"/>
      <c r="BF3194" s="107" t="str">
        <f t="shared" si="2434"/>
        <v>https://www.google.com/search?tbm=isch&amp;q=1%20G2</v>
      </c>
      <c r="BG3194" s="107" t="str">
        <f t="shared" si="2435"/>
        <v>R</v>
      </c>
      <c r="BH3194" s="254"/>
      <c r="BI3194" s="254"/>
    </row>
    <row r="3195" spans="1:61" customFormat="1" ht="17.25" thickBot="1" x14ac:dyDescent="0.3">
      <c r="A3195" s="524" t="s">
        <v>4269</v>
      </c>
      <c r="B3195" s="245"/>
      <c r="C3195" s="677"/>
      <c r="D3195" s="499"/>
      <c r="E3195" s="499"/>
      <c r="F3195" s="500"/>
      <c r="G3195" s="501"/>
      <c r="H3195" s="502"/>
      <c r="I3195" s="246"/>
      <c r="J3195" s="247"/>
      <c r="K3195" s="503"/>
      <c r="L3195" s="544"/>
      <c r="M3195" s="544"/>
      <c r="N3195" s="500"/>
      <c r="O3195" s="500"/>
      <c r="P3195" s="500"/>
      <c r="Q3195" s="500"/>
      <c r="R3195" s="500"/>
      <c r="S3195" s="669" t="s">
        <v>4976</v>
      </c>
      <c r="T3195" s="508">
        <f t="shared" si="2423"/>
        <v>0</v>
      </c>
      <c r="U3195" s="225" t="str">
        <f>IF(NOT(ISNUMBER(G3195)), "", VLOOKUP(A3195,'Discount Lookup'!D:E,2,FALSE)*G3195)</f>
        <v/>
      </c>
      <c r="V3195" s="225" t="str">
        <f>IF(NOT(ISNUMBER(G3195)), "", VLOOKUP(A3195,'Discount Lookup'!G:H,2,FALSE)*G3195)</f>
        <v/>
      </c>
      <c r="W3195" s="508">
        <f t="shared" si="2424"/>
        <v>0</v>
      </c>
      <c r="X3195" s="508">
        <f t="shared" si="2425"/>
        <v>0</v>
      </c>
      <c r="Y3195" s="509" t="b">
        <f t="shared" si="2426"/>
        <v>0</v>
      </c>
      <c r="Z3195" s="510">
        <f t="shared" si="2427"/>
        <v>0</v>
      </c>
      <c r="AA3195" s="511"/>
      <c r="AB3195" s="511" t="str">
        <f t="shared" si="2428"/>
        <v/>
      </c>
      <c r="AC3195" s="698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698"/>
      <c r="AE3195" s="631" t="str">
        <f t="shared" si="2429"/>
        <v/>
      </c>
      <c r="AF3195" s="699" t="str">
        <f t="shared" si="2430"/>
        <v/>
      </c>
      <c r="AG3195" s="699"/>
      <c r="AH3195" s="699"/>
      <c r="AI3195" s="512">
        <f>IF(H3195="credit",0,IF(AE3195="free",0,IF(AE3195="me",0,IF(G3195&gt;0,(VLOOKUP(A3195,'Discount Lookup'!J:K,2)*G3195),0))))</f>
        <v>0</v>
      </c>
      <c r="AJ3195" s="513" t="str">
        <f t="shared" ca="1" si="2431"/>
        <v/>
      </c>
      <c r="AK3195" s="700" t="str">
        <f t="shared" si="2432"/>
        <v/>
      </c>
      <c r="AL3195" s="700"/>
      <c r="AM3195" s="505" t="str">
        <f t="shared" si="2433"/>
        <v/>
      </c>
      <c r="AN3195" s="506"/>
      <c r="AO3195" s="507"/>
      <c r="AP3195" s="507"/>
      <c r="AQ3195" s="507"/>
      <c r="AR3195" s="507"/>
      <c r="AS3195" s="507"/>
      <c r="AT3195" s="507"/>
      <c r="AU3195" s="507"/>
      <c r="AV3195" s="225"/>
      <c r="AW3195" s="508"/>
      <c r="AX3195" s="225"/>
      <c r="AY3195" s="225"/>
      <c r="AZ3195" s="225"/>
      <c r="BA3195" s="225"/>
      <c r="BB3195" s="225"/>
      <c r="BC3195" s="56"/>
      <c r="BD3195" s="56"/>
      <c r="BE3195" s="56"/>
      <c r="BF3195" s="107" t="str">
        <f t="shared" si="2434"/>
        <v>https://www.google.com/search?tbm=isch&amp;q=Ruby%20Stella%20has%20slightly%20fragrant%20flowers%20that%20bloom%20consistently%20from%20early%20summer%20until%20frost%20without%20the%20need%20for%20deadheading%20</v>
      </c>
      <c r="BG3195" s="107" t="str">
        <f t="shared" si="2435"/>
        <v>R</v>
      </c>
      <c r="BH3195" s="254"/>
      <c r="BI3195" s="254"/>
    </row>
    <row r="3196" spans="1:61" customFormat="1" ht="18" x14ac:dyDescent="0.25">
      <c r="A3196" s="523" t="s">
        <v>1665</v>
      </c>
      <c r="B3196" s="235"/>
      <c r="C3196" s="676"/>
      <c r="D3196" s="255" t="s">
        <v>1666</v>
      </c>
      <c r="E3196" s="236"/>
      <c r="F3196" s="236"/>
      <c r="G3196" s="236"/>
      <c r="H3196" s="582" t="s">
        <v>463</v>
      </c>
      <c r="I3196" s="498" t="s">
        <v>2237</v>
      </c>
      <c r="J3196" s="237"/>
      <c r="K3196" s="237"/>
      <c r="L3196" s="274"/>
      <c r="M3196" s="668" t="s">
        <v>4975</v>
      </c>
      <c r="N3196" s="681" t="str">
        <f>IF(AND(ISTEXT($A3196), ISERROR($A3196+0)), HYPERLINK($BF3196, "Images"), "")</f>
        <v>Images</v>
      </c>
      <c r="O3196" s="663" t="s">
        <v>4967</v>
      </c>
      <c r="P3196" s="253"/>
      <c r="Q3196" s="238"/>
      <c r="R3196" s="239"/>
      <c r="S3196" s="275"/>
      <c r="T3196" s="508">
        <f t="shared" si="2423"/>
        <v>0</v>
      </c>
      <c r="U3196" s="225" t="str">
        <f>IF(NOT(ISNUMBER(G3196)), "", VLOOKUP(A3196,'Discount Lookup'!D:E,2,FALSE)*G3196)</f>
        <v/>
      </c>
      <c r="V3196" s="225" t="str">
        <f>IF(NOT(ISNUMBER(G3196)), "", VLOOKUP(A3196,'Discount Lookup'!G:H,2,FALSE)*G3196)</f>
        <v/>
      </c>
      <c r="W3196" s="508">
        <f t="shared" si="2424"/>
        <v>0</v>
      </c>
      <c r="X3196" s="508" t="str">
        <f t="shared" si="2425"/>
        <v>Burgundy-Red foliage</v>
      </c>
      <c r="Y3196" s="509" t="b">
        <f t="shared" si="2426"/>
        <v>0</v>
      </c>
      <c r="Z3196" s="510">
        <f t="shared" si="2427"/>
        <v>0</v>
      </c>
      <c r="AA3196" s="511"/>
      <c r="AB3196" s="511" t="str">
        <f t="shared" si="2428"/>
        <v/>
      </c>
      <c r="AC3196" s="698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698"/>
      <c r="AE3196" s="631" t="str">
        <f t="shared" si="2429"/>
        <v/>
      </c>
      <c r="AF3196" s="699" t="str">
        <f t="shared" si="2430"/>
        <v/>
      </c>
      <c r="AG3196" s="699"/>
      <c r="AH3196" s="699"/>
      <c r="AI3196" s="512">
        <f>IF(H3196="credit",0,IF(AE3196="free",0,IF(AE3196="me",0,IF(G3196&gt;0,(VLOOKUP(A3196,'Discount Lookup'!J:K,2)*G3196),0))))</f>
        <v>0</v>
      </c>
      <c r="AJ3196" s="513" t="str">
        <f t="shared" ca="1" si="2431"/>
        <v/>
      </c>
      <c r="AK3196" s="700" t="str">
        <f t="shared" si="2432"/>
        <v/>
      </c>
      <c r="AL3196" s="700"/>
      <c r="AM3196" s="505" t="str">
        <f t="shared" si="2433"/>
        <v/>
      </c>
      <c r="AN3196" s="506"/>
      <c r="AO3196" s="507"/>
      <c r="AP3196" s="507"/>
      <c r="AQ3196" s="507"/>
      <c r="AR3196" s="507"/>
      <c r="AS3196" s="507"/>
      <c r="AT3196" s="507"/>
      <c r="AU3196" s="507"/>
      <c r="AV3196" s="225"/>
      <c r="AW3196" s="508"/>
      <c r="AX3196" s="225"/>
      <c r="AY3196" s="225"/>
      <c r="AZ3196" s="225"/>
      <c r="BA3196" s="225"/>
      <c r="BB3196" s="225"/>
      <c r="BC3196" s="56"/>
      <c r="BD3196" s="56"/>
      <c r="BE3196" s="56"/>
      <c r="BF3196" s="107" t="str">
        <f t="shared" si="2434"/>
        <v>https://www.google.com/search?tbm=isch&amp;q=Ryusen%20Weeping%20Japanese%20Maple%20Acer%20palmatum%20%27Ryusen%27%20PP%2318501</v>
      </c>
      <c r="BG3196" s="107" t="str">
        <f t="shared" si="2435"/>
        <v>R</v>
      </c>
      <c r="BH3196" s="254"/>
      <c r="BI3196" s="254"/>
    </row>
    <row r="3197" spans="1:61" customFormat="1" ht="27" x14ac:dyDescent="0.25">
      <c r="A3197" s="276">
        <v>15</v>
      </c>
      <c r="B3197" s="240" t="s">
        <v>291</v>
      </c>
      <c r="C3197" s="241" t="s">
        <v>3738</v>
      </c>
      <c r="D3197" s="242" t="s">
        <v>292</v>
      </c>
      <c r="E3197" s="243">
        <v>401.95</v>
      </c>
      <c r="F3197" s="517" t="s">
        <v>293</v>
      </c>
      <c r="G3197" s="232">
        <v>0</v>
      </c>
      <c r="H3197" s="661" t="str">
        <f>IF(G3197=0,"",IF(F3197="Buy",IF(G3197=1,"plant","plants"),IF(F3197&gt;0.01,"warranty","Error")))</f>
        <v/>
      </c>
      <c r="I3197" s="244">
        <f>IF(H3197="free",0,IF(H3197="credit",((E3197*(F3197))*G3197*-1),IF(F3197="Buy",(E3197*G3197),((E3197*(1-F3197))*G3197))))</f>
        <v>0</v>
      </c>
      <c r="J3197" s="244">
        <f>IF(H3197="warranty",0,(I3197*(_xlfn.SINGLE(SalesTaxPercentage))))</f>
        <v>0</v>
      </c>
      <c r="K3197" s="696">
        <f t="shared" ref="K3197" si="2456">I3197+J3197</f>
        <v>0</v>
      </c>
      <c r="L3197" s="696"/>
      <c r="M3197" s="659" t="str">
        <f>IF(AND(G3197&gt;0,E3197=0),"WARNING - no PRICE inserted",IF(H3197="free"," FREE ~ no charge this plant",IF(H3197="credit",CONCATENATE(" -$",ROUND(K3197*(1-T2GDiscount)*-1,2)," CREDIT after discount"),IF(T2GDiscount=0,"",IF(G3197=0,"",IF(F3197="Buy",CONCATENATE(" $",ROUND(K3197*(1-T2GDiscount),2)," with ",(T2GDiscount*100),"% discount"),CONCATENATE(" $",ROUND(K3197*(1-T2GDiscount),2)," with ",((T2GDiscount*100+F3197*100)-(T2GDiscount*100*F3197)),IF(F3197&gt;0,"% discounts",IF(NoWarrantyDiscount&gt;0,"% discounts","% discount")))))))))</f>
        <v/>
      </c>
      <c r="N3197" s="660"/>
      <c r="O3197" s="233"/>
      <c r="P3197" s="233"/>
      <c r="Q3197" s="233"/>
      <c r="R3197" s="233"/>
      <c r="S3197" s="233"/>
      <c r="T3197" s="508">
        <f t="shared" si="2423"/>
        <v>0</v>
      </c>
      <c r="U3197" s="225">
        <f>IF(NOT(ISNUMBER(G3197)), "", VLOOKUP(A3197,'Discount Lookup'!D:E,2,FALSE)*G3197)</f>
        <v>0</v>
      </c>
      <c r="V3197" s="225">
        <f>IF(NOT(ISNUMBER(G3197)), "", VLOOKUP(A3197,'Discount Lookup'!G:H,2,FALSE)*G3197)</f>
        <v>0</v>
      </c>
      <c r="W3197" s="508">
        <f t="shared" si="2424"/>
        <v>0</v>
      </c>
      <c r="X3197" s="508">
        <f t="shared" si="2425"/>
        <v>0</v>
      </c>
      <c r="Y3197" s="509" t="b">
        <f t="shared" si="2426"/>
        <v>0</v>
      </c>
      <c r="Z3197" s="510">
        <f t="shared" si="2427"/>
        <v>0</v>
      </c>
      <c r="AA3197" s="511"/>
      <c r="AB3197" s="511" t="str">
        <f t="shared" si="2428"/>
        <v/>
      </c>
      <c r="AC3197" s="698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698"/>
      <c r="AE3197" s="631" t="str">
        <f t="shared" si="2429"/>
        <v/>
      </c>
      <c r="AF3197" s="699" t="str">
        <f t="shared" si="2430"/>
        <v/>
      </c>
      <c r="AG3197" s="699"/>
      <c r="AH3197" s="699"/>
      <c r="AI3197" s="512">
        <f>IF(H3197="credit",0,IF(AE3197="free",0,IF(AE3197="me",0,IF(G3197&gt;0,(VLOOKUP(A3197,'Discount Lookup'!J:K,2)*G3197),0))))</f>
        <v>0</v>
      </c>
      <c r="AJ3197" s="513" t="str">
        <f t="shared" ca="1" si="2431"/>
        <v/>
      </c>
      <c r="AK3197" s="700" t="str">
        <f t="shared" si="2432"/>
        <v/>
      </c>
      <c r="AL3197" s="700"/>
      <c r="AM3197" s="505" t="str">
        <f t="shared" si="2433"/>
        <v/>
      </c>
      <c r="AN3197" s="506"/>
      <c r="AO3197" s="507"/>
      <c r="AP3197" s="507"/>
      <c r="AQ3197" s="507"/>
      <c r="AR3197" s="507"/>
      <c r="AS3197" s="507"/>
      <c r="AT3197" s="507"/>
      <c r="AU3197" s="507"/>
      <c r="AV3197" s="225"/>
      <c r="AW3197" s="508"/>
      <c r="AX3197" s="225"/>
      <c r="AY3197" s="225"/>
      <c r="AZ3197" s="225"/>
      <c r="BA3197" s="225"/>
      <c r="BB3197" s="225"/>
      <c r="BC3197" s="56"/>
      <c r="BD3197" s="56"/>
      <c r="BE3197" s="56"/>
      <c r="BF3197" s="107" t="str">
        <f t="shared" si="2434"/>
        <v>https://www.google.com/search?tbm=isch&amp;q=15%20G4</v>
      </c>
      <c r="BG3197" s="107" t="str">
        <f t="shared" si="2435"/>
        <v>R</v>
      </c>
      <c r="BH3197" s="254"/>
      <c r="BI3197" s="254"/>
    </row>
    <row r="3198" spans="1:61" customFormat="1" ht="27" x14ac:dyDescent="0.25">
      <c r="A3198" s="276">
        <v>25</v>
      </c>
      <c r="B3198" s="240" t="s">
        <v>291</v>
      </c>
      <c r="C3198" s="241" t="s">
        <v>3739</v>
      </c>
      <c r="D3198" s="242" t="s">
        <v>292</v>
      </c>
      <c r="E3198" s="243">
        <v>801.95</v>
      </c>
      <c r="F3198" s="517" t="s">
        <v>293</v>
      </c>
      <c r="G3198" s="232">
        <v>0</v>
      </c>
      <c r="H3198" s="661" t="str">
        <f>IF(G3198=0,"",IF(F3198="Buy",IF(G3198=1,"plant","plants"),IF(F3198&gt;0.01,"warranty","Error")))</f>
        <v/>
      </c>
      <c r="I3198" s="244">
        <f>IF(H3198="free",0,IF(H3198="credit",((E3198*(F3198))*G3198*-1),IF(F3198="Buy",(E3198*G3198),((E3198*(1-F3198))*G3198))))</f>
        <v>0</v>
      </c>
      <c r="J3198" s="244">
        <f>IF(H3198="warranty",0,(I3198*(_xlfn.SINGLE(SalesTaxPercentage))))</f>
        <v>0</v>
      </c>
      <c r="K3198" s="696">
        <f t="shared" ref="K3198" si="2457">I3198+J3198</f>
        <v>0</v>
      </c>
      <c r="L3198" s="696"/>
      <c r="M3198" s="659" t="str">
        <f>IF(AND(G3198&gt;0,E3198=0),"WARNING - no PRICE inserted",IF(H3198="free"," FREE ~ no charge this plant",IF(H3198="credit",CONCATENATE(" -$",ROUND(K3198*(1-T2GDiscount)*-1,2)," CREDIT after discount"),IF(T2GDiscount=0,"",IF(G3198=0,"",IF(F3198="Buy",CONCATENATE(" $",ROUND(K3198*(1-T2GDiscount),2)," with ",(T2GDiscount*100),"% discount"),CONCATENATE(" $",ROUND(K3198*(1-T2GDiscount),2)," with ",((T2GDiscount*100+F3198*100)-(T2GDiscount*100*F3198)),IF(F3198&gt;0,"% discounts",IF(NoWarrantyDiscount&gt;0,"% discounts","% discount")))))))))</f>
        <v/>
      </c>
      <c r="N3198" s="660"/>
      <c r="O3198" s="233"/>
      <c r="P3198" s="233"/>
      <c r="Q3198" s="233"/>
      <c r="R3198" s="233"/>
      <c r="S3198" s="233"/>
      <c r="T3198" s="508">
        <f t="shared" si="2423"/>
        <v>0</v>
      </c>
      <c r="U3198" s="225">
        <f>IF(NOT(ISNUMBER(G3198)), "", VLOOKUP(A3198,'Discount Lookup'!D:E,2,FALSE)*G3198)</f>
        <v>0</v>
      </c>
      <c r="V3198" s="225">
        <f>IF(NOT(ISNUMBER(G3198)), "", VLOOKUP(A3198,'Discount Lookup'!G:H,2,FALSE)*G3198)</f>
        <v>0</v>
      </c>
      <c r="W3198" s="508">
        <f t="shared" si="2424"/>
        <v>0</v>
      </c>
      <c r="X3198" s="508">
        <f t="shared" si="2425"/>
        <v>0</v>
      </c>
      <c r="Y3198" s="509" t="b">
        <f t="shared" si="2426"/>
        <v>0</v>
      </c>
      <c r="Z3198" s="510">
        <f t="shared" si="2427"/>
        <v>0</v>
      </c>
      <c r="AA3198" s="511"/>
      <c r="AB3198" s="511" t="str">
        <f t="shared" si="2428"/>
        <v/>
      </c>
      <c r="AC3198" s="698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698"/>
      <c r="AE3198" s="631" t="str">
        <f t="shared" si="2429"/>
        <v/>
      </c>
      <c r="AF3198" s="699" t="str">
        <f t="shared" si="2430"/>
        <v/>
      </c>
      <c r="AG3198" s="699"/>
      <c r="AH3198" s="699"/>
      <c r="AI3198" s="512">
        <f>IF(H3198="credit",0,IF(AE3198="free",0,IF(AE3198="me",0,IF(G3198&gt;0,(VLOOKUP(A3198,'Discount Lookup'!J:K,2)*G3198),0))))</f>
        <v>0</v>
      </c>
      <c r="AJ3198" s="513" t="str">
        <f t="shared" ca="1" si="2431"/>
        <v/>
      </c>
      <c r="AK3198" s="700" t="str">
        <f t="shared" si="2432"/>
        <v/>
      </c>
      <c r="AL3198" s="700"/>
      <c r="AM3198" s="505" t="str">
        <f t="shared" si="2433"/>
        <v/>
      </c>
      <c r="AN3198" s="506"/>
      <c r="AO3198" s="507"/>
      <c r="AP3198" s="507"/>
      <c r="AQ3198" s="507"/>
      <c r="AR3198" s="507"/>
      <c r="AS3198" s="507"/>
      <c r="AT3198" s="507"/>
      <c r="AU3198" s="507"/>
      <c r="AV3198" s="225"/>
      <c r="AW3198" s="508"/>
      <c r="AX3198" s="225"/>
      <c r="AY3198" s="225"/>
      <c r="AZ3198" s="225"/>
      <c r="BA3198" s="225"/>
      <c r="BB3198" s="225"/>
      <c r="BC3198" s="56"/>
      <c r="BD3198" s="56"/>
      <c r="BE3198" s="56"/>
      <c r="BF3198" s="107" t="str">
        <f t="shared" si="2434"/>
        <v>https://www.google.com/search?tbm=isch&amp;q=25%20G4</v>
      </c>
      <c r="BG3198" s="107" t="str">
        <f t="shared" si="2435"/>
        <v>R</v>
      </c>
      <c r="BH3198" s="254"/>
      <c r="BI3198" s="254"/>
    </row>
    <row r="3199" spans="1:61" customFormat="1" ht="16.5" x14ac:dyDescent="0.25">
      <c r="A3199" s="524" t="s">
        <v>2469</v>
      </c>
      <c r="B3199" s="245"/>
      <c r="C3199" s="677"/>
      <c r="D3199" s="499"/>
      <c r="E3199" s="499"/>
      <c r="F3199" s="500"/>
      <c r="G3199" s="501"/>
      <c r="H3199" s="502"/>
      <c r="I3199" s="246"/>
      <c r="J3199" s="247"/>
      <c r="K3199" s="503"/>
      <c r="L3199" s="544"/>
      <c r="M3199" s="544"/>
      <c r="N3199" s="500"/>
      <c r="O3199" s="500"/>
      <c r="P3199" s="500"/>
      <c r="Q3199" s="500"/>
      <c r="R3199" s="500"/>
      <c r="S3199" s="278"/>
      <c r="T3199" s="508">
        <f t="shared" si="2423"/>
        <v>0</v>
      </c>
      <c r="U3199" s="225" t="str">
        <f>IF(NOT(ISNUMBER(G3199)), "", VLOOKUP(A3199,'Discount Lookup'!D:E,2,FALSE)*G3199)</f>
        <v/>
      </c>
      <c r="V3199" s="225" t="str">
        <f>IF(NOT(ISNUMBER(G3199)), "", VLOOKUP(A3199,'Discount Lookup'!G:H,2,FALSE)*G3199)</f>
        <v/>
      </c>
      <c r="W3199" s="508">
        <f t="shared" si="2424"/>
        <v>0</v>
      </c>
      <c r="X3199" s="508">
        <f t="shared" si="2425"/>
        <v>0</v>
      </c>
      <c r="Y3199" s="509" t="b">
        <f t="shared" si="2426"/>
        <v>0</v>
      </c>
      <c r="Z3199" s="510">
        <f t="shared" si="2427"/>
        <v>0</v>
      </c>
      <c r="AA3199" s="511"/>
      <c r="AB3199" s="511" t="str">
        <f t="shared" si="2428"/>
        <v/>
      </c>
      <c r="AC3199" s="698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698"/>
      <c r="AE3199" s="631" t="str">
        <f t="shared" si="2429"/>
        <v/>
      </c>
      <c r="AF3199" s="699" t="str">
        <f t="shared" si="2430"/>
        <v/>
      </c>
      <c r="AG3199" s="699"/>
      <c r="AH3199" s="699"/>
      <c r="AI3199" s="512">
        <f>IF(H3199="credit",0,IF(AE3199="free",0,IF(AE3199="me",0,IF(G3199&gt;0,(VLOOKUP(A3199,'Discount Lookup'!J:K,2)*G3199),0))))</f>
        <v>0</v>
      </c>
      <c r="AJ3199" s="513" t="str">
        <f t="shared" ca="1" si="2431"/>
        <v/>
      </c>
      <c r="AK3199" s="700" t="str">
        <f t="shared" si="2432"/>
        <v/>
      </c>
      <c r="AL3199" s="700"/>
      <c r="AM3199" s="505" t="str">
        <f t="shared" si="2433"/>
        <v/>
      </c>
      <c r="AN3199" s="506"/>
      <c r="AO3199" s="507"/>
      <c r="AP3199" s="507"/>
      <c r="AQ3199" s="507"/>
      <c r="AR3199" s="507"/>
      <c r="AS3199" s="507"/>
      <c r="AT3199" s="507"/>
      <c r="AU3199" s="507"/>
      <c r="AV3199" s="225"/>
      <c r="AW3199" s="508"/>
      <c r="AX3199" s="225"/>
      <c r="AY3199" s="225"/>
      <c r="AZ3199" s="225"/>
      <c r="BA3199" s="225"/>
      <c r="BB3199" s="225"/>
      <c r="BC3199" s="56"/>
      <c r="BD3199" s="56"/>
      <c r="BE3199" s="56"/>
      <c r="BF3199" s="107" t="str">
        <f t="shared" si="2434"/>
        <v>https://www.google.com/search?tbm=isch&amp;q=Ryusen%20offers%20a%20stunning%20weeping%20form%20with%20vibrant%2C%20persistent%20Red%20foliage%20that%20culminates%20in%20Brilliant%20Scarlet%20fall%20color%20</v>
      </c>
      <c r="BG3199" s="107" t="str">
        <f t="shared" si="2435"/>
        <v>R</v>
      </c>
      <c r="BH3199" s="254"/>
      <c r="BI3199" s="254"/>
    </row>
    <row r="3200" spans="1:61" customFormat="1" ht="45.75" thickBot="1" x14ac:dyDescent="0.35">
      <c r="A3200" s="525" t="s">
        <v>1667</v>
      </c>
      <c r="B3200" s="248"/>
      <c r="C3200" s="678" t="s">
        <v>673</v>
      </c>
      <c r="D3200" s="249"/>
      <c r="E3200" s="249"/>
      <c r="F3200" s="249"/>
      <c r="G3200" s="249"/>
      <c r="H3200" s="250"/>
      <c r="I3200" s="249"/>
      <c r="J3200" s="249"/>
      <c r="K3200" s="526" t="s">
        <v>2840</v>
      </c>
      <c r="L3200" s="279"/>
      <c r="M3200" s="251"/>
      <c r="S3200" s="504" t="s">
        <v>2841</v>
      </c>
      <c r="T3200" s="508">
        <f t="shared" si="2423"/>
        <v>0</v>
      </c>
      <c r="U3200" s="225" t="str">
        <f>IF(NOT(ISNUMBER(G3200)), "", VLOOKUP(A3200,'Discount Lookup'!D:E,2,FALSE)*G3200)</f>
        <v/>
      </c>
      <c r="V3200" s="225" t="str">
        <f>IF(NOT(ISNUMBER(G3200)), "", VLOOKUP(A3200,'Discount Lookup'!G:H,2,FALSE)*G3200)</f>
        <v/>
      </c>
      <c r="W3200" s="508">
        <f t="shared" si="2424"/>
        <v>0</v>
      </c>
      <c r="X3200" s="508">
        <f t="shared" si="2425"/>
        <v>0</v>
      </c>
      <c r="Y3200" s="509" t="b">
        <f t="shared" si="2426"/>
        <v>0</v>
      </c>
      <c r="Z3200" s="510">
        <f t="shared" si="2427"/>
        <v>0</v>
      </c>
      <c r="AA3200" s="511"/>
      <c r="AB3200" s="511" t="str">
        <f t="shared" si="2428"/>
        <v/>
      </c>
      <c r="AC3200" s="698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698"/>
      <c r="AE3200" s="631" t="str">
        <f t="shared" si="2429"/>
        <v/>
      </c>
      <c r="AF3200" s="699" t="str">
        <f t="shared" si="2430"/>
        <v/>
      </c>
      <c r="AG3200" s="699"/>
      <c r="AH3200" s="699"/>
      <c r="AI3200" s="512">
        <f>IF(H3200="credit",0,IF(AE3200="free",0,IF(AE3200="me",0,IF(G3200&gt;0,(VLOOKUP(A3200,'Discount Lookup'!J:K,2)*G3200),0))))</f>
        <v>0</v>
      </c>
      <c r="AJ3200" s="513" t="str">
        <f t="shared" ca="1" si="2431"/>
        <v/>
      </c>
      <c r="AK3200" s="700" t="str">
        <f t="shared" si="2432"/>
        <v/>
      </c>
      <c r="AL3200" s="700"/>
      <c r="AM3200" s="505" t="str">
        <f t="shared" si="2433"/>
        <v/>
      </c>
      <c r="AN3200" s="506"/>
      <c r="AO3200" s="507"/>
      <c r="AP3200" s="507"/>
      <c r="AQ3200" s="507"/>
      <c r="AR3200" s="507"/>
      <c r="AS3200" s="507"/>
      <c r="AT3200" s="507"/>
      <c r="AU3200" s="507"/>
      <c r="AV3200" s="225"/>
      <c r="AW3200" s="508"/>
      <c r="AX3200" s="225"/>
      <c r="AY3200" s="225"/>
      <c r="AZ3200" s="225"/>
      <c r="BA3200" s="225"/>
      <c r="BB3200" s="225"/>
      <c r="BC3200" s="56"/>
      <c r="BD3200" s="56"/>
      <c r="BE3200" s="56"/>
      <c r="BF3200" s="107" t="str">
        <f t="shared" si="2434"/>
        <v>https://www.google.com/search?tbm=isch&amp;q=S%20</v>
      </c>
      <c r="BG3200" s="107" t="str">
        <f t="shared" si="2435"/>
        <v>S</v>
      </c>
      <c r="BH3200" s="254"/>
      <c r="BI3200" s="254"/>
    </row>
    <row r="3201" spans="1:61" customFormat="1" ht="18" x14ac:dyDescent="0.25">
      <c r="A3201" s="521" t="s">
        <v>1668</v>
      </c>
      <c r="B3201" s="477"/>
      <c r="C3201" s="674"/>
      <c r="D3201" s="478" t="s">
        <v>1669</v>
      </c>
      <c r="E3201" s="479"/>
      <c r="F3201" s="479"/>
      <c r="G3201" s="479"/>
      <c r="H3201" s="582" t="s">
        <v>506</v>
      </c>
      <c r="I3201" s="480" t="s">
        <v>2093</v>
      </c>
      <c r="J3201" s="479"/>
      <c r="K3201" s="479"/>
      <c r="L3201" s="560"/>
      <c r="M3201" s="671" t="s">
        <v>4985</v>
      </c>
      <c r="N3201" s="680" t="str">
        <f>IF(AND(ISTEXT($A3201), ISERROR($A3201+0)), HYPERLINK($BF3201, "Images"), "")</f>
        <v>Images</v>
      </c>
      <c r="O3201" s="662" t="s">
        <v>4969</v>
      </c>
      <c r="P3201" s="482"/>
      <c r="Q3201" s="483"/>
      <c r="R3201" s="483"/>
      <c r="S3201" s="484"/>
      <c r="T3201" s="508">
        <f t="shared" si="2423"/>
        <v>0</v>
      </c>
      <c r="U3201" s="225" t="str">
        <f>IF(NOT(ISNUMBER(G3201)), "", VLOOKUP(A3201,'Discount Lookup'!D:E,2,FALSE)*G3201)</f>
        <v/>
      </c>
      <c r="V3201" s="225" t="str">
        <f>IF(NOT(ISNUMBER(G3201)), "", VLOOKUP(A3201,'Discount Lookup'!G:H,2,FALSE)*G3201)</f>
        <v/>
      </c>
      <c r="W3201" s="508">
        <f t="shared" si="2424"/>
        <v>0</v>
      </c>
      <c r="X3201" s="508" t="str">
        <f t="shared" si="2425"/>
        <v>Dark Green foliage</v>
      </c>
      <c r="Y3201" s="509" t="b">
        <f t="shared" si="2426"/>
        <v>0</v>
      </c>
      <c r="Z3201" s="510">
        <f t="shared" si="2427"/>
        <v>0</v>
      </c>
      <c r="AA3201" s="511"/>
      <c r="AB3201" s="511" t="str">
        <f t="shared" si="2428"/>
        <v/>
      </c>
      <c r="AC3201" s="698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698"/>
      <c r="AE3201" s="631" t="str">
        <f t="shared" si="2429"/>
        <v/>
      </c>
      <c r="AF3201" s="699" t="str">
        <f t="shared" si="2430"/>
        <v/>
      </c>
      <c r="AG3201" s="699"/>
      <c r="AH3201" s="699"/>
      <c r="AI3201" s="512">
        <f>IF(H3201="credit",0,IF(AE3201="free",0,IF(AE3201="me",0,IF(G3201&gt;0,(VLOOKUP(A3201,'Discount Lookup'!J:K,2)*G3201),0))))</f>
        <v>0</v>
      </c>
      <c r="AJ3201" s="513" t="str">
        <f t="shared" ca="1" si="2431"/>
        <v/>
      </c>
      <c r="AK3201" s="700" t="str">
        <f t="shared" si="2432"/>
        <v/>
      </c>
      <c r="AL3201" s="700"/>
      <c r="AM3201" s="505" t="str">
        <f t="shared" si="2433"/>
        <v/>
      </c>
      <c r="AN3201" s="506"/>
      <c r="AO3201" s="507"/>
      <c r="AP3201" s="507"/>
      <c r="AQ3201" s="507"/>
      <c r="AR3201" s="507"/>
      <c r="AS3201" s="507"/>
      <c r="AT3201" s="507"/>
      <c r="AU3201" s="507"/>
      <c r="AV3201" s="225"/>
      <c r="AW3201" s="508"/>
      <c r="AX3201" s="225"/>
      <c r="AY3201" s="225"/>
      <c r="AZ3201" s="225"/>
      <c r="BA3201" s="225"/>
      <c r="BB3201" s="225"/>
      <c r="BC3201" s="56"/>
      <c r="BD3201" s="56"/>
      <c r="BE3201" s="56"/>
      <c r="BF3201" s="107" t="str">
        <f t="shared" si="2434"/>
        <v>https://www.google.com/search?tbm=isch&amp;q=Sacred%20Lily%20Rohdea%20japonica</v>
      </c>
      <c r="BG3201" s="107" t="str">
        <f t="shared" si="2435"/>
        <v>S</v>
      </c>
      <c r="BH3201" s="254"/>
      <c r="BI3201" s="254"/>
    </row>
    <row r="3202" spans="1:61" customFormat="1" ht="15.75" x14ac:dyDescent="0.25">
      <c r="A3202" s="485">
        <v>1</v>
      </c>
      <c r="B3202" s="486" t="s">
        <v>291</v>
      </c>
      <c r="C3202" s="487"/>
      <c r="D3202" s="488" t="s">
        <v>312</v>
      </c>
      <c r="E3202" s="489">
        <v>21.95</v>
      </c>
      <c r="F3202" s="516" t="s">
        <v>293</v>
      </c>
      <c r="G3202" s="232">
        <v>0</v>
      </c>
      <c r="H3202" s="658" t="str">
        <f>IF(G3202=0,"",IF(F3202="Buy",IF(G3202=1,"plant","plants"),IF(F3202&gt;0.01,"warranty","Error")))</f>
        <v/>
      </c>
      <c r="I3202" s="490">
        <f>IF(H3202="free",0,IF(H3202="credit",((E3202*(F3202))*G3202*-1),IF(F3202="Buy",(E3202*G3202),((E3202*(1-F3202))*G3202))))</f>
        <v>0</v>
      </c>
      <c r="J3202" s="490">
        <f>IF(H3202="warranty",0,(I3202*(_xlfn.SINGLE(SalesTaxPercentage))))</f>
        <v>0</v>
      </c>
      <c r="K3202" s="695">
        <f t="shared" ref="K3202" si="2458">I3202+J3202</f>
        <v>0</v>
      </c>
      <c r="L3202" s="695"/>
      <c r="M3202" s="659" t="str">
        <f>IF(AND(G3202&gt;0,E3202=0),"WARNING - no PRICE inserted",IF(H3202="free"," FREE ~ no charge this plant",IF(H3202="credit",CONCATENATE(" -$",ROUND(K3202*(1-T2GDiscount)*-1,2)," CREDIT after discount"),IF(T2GDiscount=0,"",IF(G3202=0,"",IF(F3202="Buy",CONCATENATE(" $",ROUND(K3202*(1-T2GDiscount),2)," with ",(T2GDiscount*100),"% discount"),CONCATENATE(" $",ROUND(K3202*(1-T2GDiscount),2)," with ",((T2GDiscount*100+F3202*100)-(T2GDiscount*100*F3202)),IF(F3202&gt;0,"% discounts",IF(NoWarrantyDiscount&gt;0,"% discounts","% discount")))))))))</f>
        <v/>
      </c>
      <c r="N3202" s="660"/>
      <c r="O3202" s="233"/>
      <c r="P3202" s="233"/>
      <c r="Q3202" s="233"/>
      <c r="R3202" s="233"/>
      <c r="S3202" s="233"/>
      <c r="T3202" s="508">
        <f t="shared" si="2423"/>
        <v>0</v>
      </c>
      <c r="U3202" s="225">
        <f>IF(NOT(ISNUMBER(G3202)), "", VLOOKUP(A3202,'Discount Lookup'!D:E,2,FALSE)*G3202)</f>
        <v>0</v>
      </c>
      <c r="V3202" s="225">
        <f>IF(NOT(ISNUMBER(G3202)), "", VLOOKUP(A3202,'Discount Lookup'!G:H,2,FALSE)*G3202)</f>
        <v>0</v>
      </c>
      <c r="W3202" s="508">
        <f t="shared" si="2424"/>
        <v>0</v>
      </c>
      <c r="X3202" s="508">
        <f t="shared" si="2425"/>
        <v>0</v>
      </c>
      <c r="Y3202" s="509" t="b">
        <f t="shared" si="2426"/>
        <v>0</v>
      </c>
      <c r="Z3202" s="510">
        <f t="shared" si="2427"/>
        <v>0</v>
      </c>
      <c r="AA3202" s="511"/>
      <c r="AB3202" s="511" t="str">
        <f t="shared" si="2428"/>
        <v/>
      </c>
      <c r="AC3202" s="698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698"/>
      <c r="AE3202" s="631" t="str">
        <f t="shared" si="2429"/>
        <v/>
      </c>
      <c r="AF3202" s="699" t="str">
        <f t="shared" si="2430"/>
        <v/>
      </c>
      <c r="AG3202" s="699"/>
      <c r="AH3202" s="699"/>
      <c r="AI3202" s="512">
        <f>IF(H3202="credit",0,IF(AE3202="free",0,IF(AE3202="me",0,IF(G3202&gt;0,(VLOOKUP(A3202,'Discount Lookup'!J:K,2)*G3202),0))))</f>
        <v>0</v>
      </c>
      <c r="AJ3202" s="513" t="str">
        <f t="shared" ca="1" si="2431"/>
        <v/>
      </c>
      <c r="AK3202" s="700" t="str">
        <f t="shared" si="2432"/>
        <v/>
      </c>
      <c r="AL3202" s="700"/>
      <c r="AM3202" s="505" t="str">
        <f t="shared" si="2433"/>
        <v/>
      </c>
      <c r="AN3202" s="506"/>
      <c r="AO3202" s="507"/>
      <c r="AP3202" s="507"/>
      <c r="AQ3202" s="507"/>
      <c r="AR3202" s="507"/>
      <c r="AS3202" s="507"/>
      <c r="AT3202" s="507"/>
      <c r="AU3202" s="507"/>
      <c r="AV3202" s="225"/>
      <c r="AW3202" s="508"/>
      <c r="AX3202" s="225"/>
      <c r="AY3202" s="225"/>
      <c r="AZ3202" s="225"/>
      <c r="BA3202" s="225"/>
      <c r="BB3202" s="225"/>
      <c r="BC3202" s="56"/>
      <c r="BD3202" s="56"/>
      <c r="BE3202" s="56"/>
      <c r="BF3202" s="107" t="str">
        <f t="shared" si="2434"/>
        <v>https://www.google.com/search?tbm=isch&amp;q=1%20G2</v>
      </c>
      <c r="BG3202" s="107" t="str">
        <f t="shared" si="2435"/>
        <v>S</v>
      </c>
      <c r="BH3202" s="254"/>
      <c r="BI3202" s="254"/>
    </row>
    <row r="3203" spans="1:61" customFormat="1" ht="15.75" x14ac:dyDescent="0.25">
      <c r="A3203" s="485">
        <v>3</v>
      </c>
      <c r="B3203" s="486" t="s">
        <v>291</v>
      </c>
      <c r="C3203" s="487"/>
      <c r="D3203" s="488" t="s">
        <v>300</v>
      </c>
      <c r="E3203" s="489">
        <v>34.950000000000003</v>
      </c>
      <c r="F3203" s="516" t="s">
        <v>293</v>
      </c>
      <c r="G3203" s="232">
        <v>0</v>
      </c>
      <c r="H3203" s="658" t="str">
        <f>IF(G3203=0,"",IF(F3203="Buy",IF(G3203=1,"plant","plants"),IF(F3203&gt;0.01,"warranty","Error")))</f>
        <v/>
      </c>
      <c r="I3203" s="490">
        <f>IF(H3203="free",0,IF(H3203="credit",((E3203*(F3203))*G3203*-1),IF(F3203="Buy",(E3203*G3203),((E3203*(1-F3203))*G3203))))</f>
        <v>0</v>
      </c>
      <c r="J3203" s="490">
        <f>IF(H3203="warranty",0,(I3203*(_xlfn.SINGLE(SalesTaxPercentage))))</f>
        <v>0</v>
      </c>
      <c r="K3203" s="695">
        <f t="shared" ref="K3203" si="2459">I3203+J3203</f>
        <v>0</v>
      </c>
      <c r="L3203" s="695"/>
      <c r="M3203" s="659" t="str">
        <f>IF(AND(G3203&gt;0,E3203=0),"WARNING - no PRICE inserted",IF(H3203="free"," FREE ~ no charge this plant",IF(H3203="credit",CONCATENATE(" -$",ROUND(K3203*(1-T2GDiscount)*-1,2)," CREDIT after discount"),IF(T2GDiscount=0,"",IF(G3203=0,"",IF(F3203="Buy",CONCATENATE(" $",ROUND(K3203*(1-T2GDiscount),2)," with ",(T2GDiscount*100),"% discount"),CONCATENATE(" $",ROUND(K3203*(1-T2GDiscount),2)," with ",((T2GDiscount*100+F3203*100)-(T2GDiscount*100*F3203)),IF(F3203&gt;0,"% discounts",IF(NoWarrantyDiscount&gt;0,"% discounts","% discount")))))))))</f>
        <v/>
      </c>
      <c r="N3203" s="660"/>
      <c r="O3203" s="233"/>
      <c r="P3203" s="233"/>
      <c r="Q3203" s="233"/>
      <c r="R3203" s="233"/>
      <c r="S3203" s="233"/>
      <c r="T3203" s="508">
        <f t="shared" si="2423"/>
        <v>0</v>
      </c>
      <c r="U3203" s="225">
        <f>IF(NOT(ISNUMBER(G3203)), "", VLOOKUP(A3203,'Discount Lookup'!D:E,2,FALSE)*G3203)</f>
        <v>0</v>
      </c>
      <c r="V3203" s="225">
        <f>IF(NOT(ISNUMBER(G3203)), "", VLOOKUP(A3203,'Discount Lookup'!G:H,2,FALSE)*G3203)</f>
        <v>0</v>
      </c>
      <c r="W3203" s="508">
        <f t="shared" si="2424"/>
        <v>0</v>
      </c>
      <c r="X3203" s="508">
        <f t="shared" si="2425"/>
        <v>0</v>
      </c>
      <c r="Y3203" s="509" t="b">
        <f t="shared" si="2426"/>
        <v>0</v>
      </c>
      <c r="Z3203" s="510">
        <f t="shared" si="2427"/>
        <v>0</v>
      </c>
      <c r="AA3203" s="511"/>
      <c r="AB3203" s="511" t="str">
        <f t="shared" si="2428"/>
        <v/>
      </c>
      <c r="AC3203" s="698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698"/>
      <c r="AE3203" s="631" t="str">
        <f t="shared" si="2429"/>
        <v/>
      </c>
      <c r="AF3203" s="699" t="str">
        <f t="shared" si="2430"/>
        <v/>
      </c>
      <c r="AG3203" s="699"/>
      <c r="AH3203" s="699"/>
      <c r="AI3203" s="512">
        <f>IF(H3203="credit",0,IF(AE3203="free",0,IF(AE3203="me",0,IF(G3203&gt;0,(VLOOKUP(A3203,'Discount Lookup'!J:K,2)*G3203),0))))</f>
        <v>0</v>
      </c>
      <c r="AJ3203" s="513" t="str">
        <f t="shared" ca="1" si="2431"/>
        <v/>
      </c>
      <c r="AK3203" s="700" t="str">
        <f t="shared" si="2432"/>
        <v/>
      </c>
      <c r="AL3203" s="700"/>
      <c r="AM3203" s="505" t="str">
        <f t="shared" si="2433"/>
        <v/>
      </c>
      <c r="AN3203" s="506"/>
      <c r="AO3203" s="507"/>
      <c r="AP3203" s="507"/>
      <c r="AQ3203" s="507"/>
      <c r="AR3203" s="507"/>
      <c r="AS3203" s="507"/>
      <c r="AT3203" s="507"/>
      <c r="AU3203" s="507"/>
      <c r="AV3203" s="225"/>
      <c r="AW3203" s="508"/>
      <c r="AX3203" s="225"/>
      <c r="AY3203" s="225"/>
      <c r="AZ3203" s="225"/>
      <c r="BA3203" s="225"/>
      <c r="BB3203" s="225"/>
      <c r="BC3203" s="56"/>
      <c r="BD3203" s="56"/>
      <c r="BE3203" s="56"/>
      <c r="BF3203" s="107" t="str">
        <f t="shared" si="2434"/>
        <v>https://www.google.com/search?tbm=isch&amp;q=3%20G6</v>
      </c>
      <c r="BG3203" s="107" t="str">
        <f t="shared" si="2435"/>
        <v>S</v>
      </c>
      <c r="BH3203" s="254"/>
      <c r="BI3203" s="254"/>
    </row>
    <row r="3204" spans="1:61" customFormat="1" ht="17.25" thickBot="1" x14ac:dyDescent="0.3">
      <c r="A3204" s="522" t="s">
        <v>3960</v>
      </c>
      <c r="B3204" s="491"/>
      <c r="C3204" s="675"/>
      <c r="D3204" s="491"/>
      <c r="E3204" s="491"/>
      <c r="F3204" s="492"/>
      <c r="G3204" s="493"/>
      <c r="H3204" s="491"/>
      <c r="I3204" s="234"/>
      <c r="J3204" s="234"/>
      <c r="K3204" s="494"/>
      <c r="L3204" s="543"/>
      <c r="M3204" s="561"/>
      <c r="N3204" s="495"/>
      <c r="O3204" s="496"/>
      <c r="P3204" s="497"/>
      <c r="Q3204" s="495"/>
      <c r="R3204" s="495"/>
      <c r="S3204" s="667" t="s">
        <v>4982</v>
      </c>
      <c r="T3204" s="508">
        <f t="shared" si="2423"/>
        <v>0</v>
      </c>
      <c r="U3204" s="225" t="str">
        <f>IF(NOT(ISNUMBER(G3204)), "", VLOOKUP(A3204,'Discount Lookup'!D:E,2,FALSE)*G3204)</f>
        <v/>
      </c>
      <c r="V3204" s="225" t="str">
        <f>IF(NOT(ISNUMBER(G3204)), "", VLOOKUP(A3204,'Discount Lookup'!G:H,2,FALSE)*G3204)</f>
        <v/>
      </c>
      <c r="W3204" s="508">
        <f t="shared" si="2424"/>
        <v>0</v>
      </c>
      <c r="X3204" s="508">
        <f t="shared" si="2425"/>
        <v>0</v>
      </c>
      <c r="Y3204" s="509" t="b">
        <f t="shared" si="2426"/>
        <v>0</v>
      </c>
      <c r="Z3204" s="510">
        <f t="shared" si="2427"/>
        <v>0</v>
      </c>
      <c r="AA3204" s="511"/>
      <c r="AB3204" s="511" t="str">
        <f t="shared" si="2428"/>
        <v/>
      </c>
      <c r="AC3204" s="698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698"/>
      <c r="AE3204" s="631" t="str">
        <f t="shared" si="2429"/>
        <v/>
      </c>
      <c r="AF3204" s="699" t="str">
        <f t="shared" si="2430"/>
        <v/>
      </c>
      <c r="AG3204" s="699"/>
      <c r="AH3204" s="699"/>
      <c r="AI3204" s="512">
        <f>IF(H3204="credit",0,IF(AE3204="free",0,IF(AE3204="me",0,IF(G3204&gt;0,(VLOOKUP(A3204,'Discount Lookup'!J:K,2)*G3204),0))))</f>
        <v>0</v>
      </c>
      <c r="AJ3204" s="513" t="str">
        <f t="shared" ca="1" si="2431"/>
        <v/>
      </c>
      <c r="AK3204" s="700" t="str">
        <f t="shared" si="2432"/>
        <v/>
      </c>
      <c r="AL3204" s="700"/>
      <c r="AM3204" s="505" t="str">
        <f t="shared" si="2433"/>
        <v/>
      </c>
      <c r="AN3204" s="506"/>
      <c r="AO3204" s="507"/>
      <c r="AP3204" s="507"/>
      <c r="AQ3204" s="507"/>
      <c r="AR3204" s="507"/>
      <c r="AS3204" s="507"/>
      <c r="AT3204" s="507"/>
      <c r="AU3204" s="507"/>
      <c r="AV3204" s="225"/>
      <c r="AW3204" s="508"/>
      <c r="AX3204" s="225"/>
      <c r="AY3204" s="225"/>
      <c r="AZ3204" s="225"/>
      <c r="BA3204" s="225"/>
      <c r="BB3204" s="225"/>
      <c r="BC3204" s="56"/>
      <c r="BD3204" s="56"/>
      <c r="BE3204" s="56"/>
      <c r="BF3204" s="107" t="str">
        <f t="shared" si="2434"/>
        <v>https://www.google.com/search?tbm=isch&amp;q=Sacred%20Lily%20is%20notable%20for%20its%20tough%2C%20strap-like%2C%20evergreen%20foliage%20that%20forms%20a%20beautiful%20clump%20and%20its%20persistent%20Red%20berries%20</v>
      </c>
      <c r="BG3204" s="107" t="str">
        <f t="shared" si="2435"/>
        <v>S</v>
      </c>
      <c r="BH3204" s="254"/>
      <c r="BI3204" s="254"/>
    </row>
    <row r="3205" spans="1:61" customFormat="1" ht="18" x14ac:dyDescent="0.25">
      <c r="A3205" s="521" t="s">
        <v>1670</v>
      </c>
      <c r="B3205" s="477"/>
      <c r="C3205" s="674"/>
      <c r="D3205" s="478" t="s">
        <v>1671</v>
      </c>
      <c r="E3205" s="479"/>
      <c r="F3205" s="479"/>
      <c r="G3205" s="479"/>
      <c r="H3205" s="582" t="s">
        <v>2650</v>
      </c>
      <c r="I3205" s="480" t="s">
        <v>2651</v>
      </c>
      <c r="J3205" s="479"/>
      <c r="K3205" s="479"/>
      <c r="L3205" s="560"/>
      <c r="M3205" s="666" t="s">
        <v>4963</v>
      </c>
      <c r="N3205" s="680" t="str">
        <f>IF(AND(ISTEXT($A3205), ISERROR($A3205+0)), HYPERLINK($BF3205, "Images"), "")</f>
        <v>Images</v>
      </c>
      <c r="O3205" s="662" t="s">
        <v>4969</v>
      </c>
      <c r="P3205" s="482"/>
      <c r="Q3205" s="483"/>
      <c r="R3205" s="483"/>
      <c r="S3205" s="484"/>
      <c r="T3205" s="508">
        <f t="shared" si="2423"/>
        <v>0</v>
      </c>
      <c r="U3205" s="225" t="str">
        <f>IF(NOT(ISNUMBER(G3205)), "", VLOOKUP(A3205,'Discount Lookup'!D:E,2,FALSE)*G3205)</f>
        <v/>
      </c>
      <c r="V3205" s="225" t="str">
        <f>IF(NOT(ISNUMBER(G3205)), "", VLOOKUP(A3205,'Discount Lookup'!G:H,2,FALSE)*G3205)</f>
        <v/>
      </c>
      <c r="W3205" s="508">
        <f t="shared" si="2424"/>
        <v>0</v>
      </c>
      <c r="X3205" s="508" t="str">
        <f t="shared" si="2425"/>
        <v>Sage- to Blue-Green</v>
      </c>
      <c r="Y3205" s="509" t="b">
        <f t="shared" si="2426"/>
        <v>0</v>
      </c>
      <c r="Z3205" s="510">
        <f t="shared" si="2427"/>
        <v>0</v>
      </c>
      <c r="AA3205" s="511"/>
      <c r="AB3205" s="511" t="str">
        <f t="shared" si="2428"/>
        <v/>
      </c>
      <c r="AC3205" s="698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698"/>
      <c r="AE3205" s="631" t="str">
        <f t="shared" si="2429"/>
        <v/>
      </c>
      <c r="AF3205" s="699" t="str">
        <f t="shared" si="2430"/>
        <v/>
      </c>
      <c r="AG3205" s="699"/>
      <c r="AH3205" s="699"/>
      <c r="AI3205" s="512">
        <f>IF(H3205="credit",0,IF(AE3205="free",0,IF(AE3205="me",0,IF(G3205&gt;0,(VLOOKUP(A3205,'Discount Lookup'!J:K,2)*G3205),0))))</f>
        <v>0</v>
      </c>
      <c r="AJ3205" s="513" t="str">
        <f t="shared" ca="1" si="2431"/>
        <v/>
      </c>
      <c r="AK3205" s="700" t="str">
        <f t="shared" si="2432"/>
        <v/>
      </c>
      <c r="AL3205" s="700"/>
      <c r="AM3205" s="505" t="str">
        <f t="shared" si="2433"/>
        <v/>
      </c>
      <c r="AN3205" s="506"/>
      <c r="AO3205" s="507"/>
      <c r="AP3205" s="507"/>
      <c r="AQ3205" s="507"/>
      <c r="AR3205" s="507"/>
      <c r="AS3205" s="507"/>
      <c r="AT3205" s="507"/>
      <c r="AU3205" s="507"/>
      <c r="AV3205" s="225"/>
      <c r="AW3205" s="508"/>
      <c r="AX3205" s="225"/>
      <c r="AY3205" s="225"/>
      <c r="AZ3205" s="225"/>
      <c r="BA3205" s="225"/>
      <c r="BB3205" s="225"/>
      <c r="BC3205" s="56"/>
      <c r="BD3205" s="56"/>
      <c r="BE3205" s="56"/>
      <c r="BF3205" s="107" t="str">
        <f t="shared" si="2434"/>
        <v>https://www.google.com/search?tbm=isch&amp;q=San%20Jose%20Juniper%20Juniperus%20chinensis%20%27San%20Jose%27</v>
      </c>
      <c r="BG3205" s="107" t="str">
        <f t="shared" si="2435"/>
        <v>S</v>
      </c>
      <c r="BH3205" s="254"/>
      <c r="BI3205" s="254"/>
    </row>
    <row r="3206" spans="1:61" customFormat="1" ht="15.75" x14ac:dyDescent="0.25">
      <c r="A3206" s="485">
        <v>15</v>
      </c>
      <c r="B3206" s="486" t="s">
        <v>291</v>
      </c>
      <c r="C3206" s="487" t="s">
        <v>3740</v>
      </c>
      <c r="D3206" s="488" t="s">
        <v>292</v>
      </c>
      <c r="E3206" s="489">
        <v>385.95</v>
      </c>
      <c r="F3206" s="516" t="s">
        <v>293</v>
      </c>
      <c r="G3206" s="232">
        <v>0</v>
      </c>
      <c r="H3206" s="658" t="str">
        <f>IF(G3206=0,"",IF(F3206="Buy",IF(G3206=1,"plant","plants"),IF(F3206&gt;0.01,"warranty","Error")))</f>
        <v/>
      </c>
      <c r="I3206" s="490">
        <f>IF(H3206="free",0,IF(H3206="credit",((E3206*(F3206))*G3206*-1),IF(F3206="Buy",(E3206*G3206),((E3206*(1-F3206))*G3206))))</f>
        <v>0</v>
      </c>
      <c r="J3206" s="490">
        <f>IF(H3206="warranty",0,(I3206*(_xlfn.SINGLE(SalesTaxPercentage))))</f>
        <v>0</v>
      </c>
      <c r="K3206" s="695">
        <f t="shared" ref="K3206" si="2460">I3206+J3206</f>
        <v>0</v>
      </c>
      <c r="L3206" s="695"/>
      <c r="M3206" s="659" t="str">
        <f>IF(AND(G3206&gt;0,E3206=0),"WARNING - no PRICE inserted",IF(H3206="free"," FREE ~ no charge this plant",IF(H3206="credit",CONCATENATE(" -$",ROUND(K3206*(1-T2GDiscount)*-1,2)," CREDIT after discount"),IF(T2GDiscount=0,"",IF(G3206=0,"",IF(F3206="Buy",CONCATENATE(" $",ROUND(K3206*(1-T2GDiscount),2)," with ",(T2GDiscount*100),"% discount"),CONCATENATE(" $",ROUND(K3206*(1-T2GDiscount),2)," with ",((T2GDiscount*100+F3206*100)-(T2GDiscount*100*F3206)),IF(F3206&gt;0,"% discounts",IF(NoWarrantyDiscount&gt;0,"% discounts","% discount")))))))))</f>
        <v/>
      </c>
      <c r="N3206" s="660"/>
      <c r="O3206" s="233"/>
      <c r="P3206" s="233"/>
      <c r="Q3206" s="233"/>
      <c r="R3206" s="233"/>
      <c r="S3206" s="233"/>
      <c r="T3206" s="508">
        <f t="shared" si="2423"/>
        <v>0</v>
      </c>
      <c r="U3206" s="225">
        <f>IF(NOT(ISNUMBER(G3206)), "", VLOOKUP(A3206,'Discount Lookup'!D:E,2,FALSE)*G3206)</f>
        <v>0</v>
      </c>
      <c r="V3206" s="225">
        <f>IF(NOT(ISNUMBER(G3206)), "", VLOOKUP(A3206,'Discount Lookup'!G:H,2,FALSE)*G3206)</f>
        <v>0</v>
      </c>
      <c r="W3206" s="508">
        <f t="shared" si="2424"/>
        <v>0</v>
      </c>
      <c r="X3206" s="508">
        <f t="shared" si="2425"/>
        <v>0</v>
      </c>
      <c r="Y3206" s="509" t="b">
        <f t="shared" si="2426"/>
        <v>0</v>
      </c>
      <c r="Z3206" s="510">
        <f t="shared" si="2427"/>
        <v>0</v>
      </c>
      <c r="AA3206" s="511"/>
      <c r="AB3206" s="511" t="str">
        <f t="shared" si="2428"/>
        <v/>
      </c>
      <c r="AC3206" s="698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698"/>
      <c r="AE3206" s="631" t="str">
        <f t="shared" si="2429"/>
        <v/>
      </c>
      <c r="AF3206" s="699" t="str">
        <f t="shared" si="2430"/>
        <v/>
      </c>
      <c r="AG3206" s="699"/>
      <c r="AH3206" s="699"/>
      <c r="AI3206" s="512">
        <f>IF(H3206="credit",0,IF(AE3206="free",0,IF(AE3206="me",0,IF(G3206&gt;0,(VLOOKUP(A3206,'Discount Lookup'!J:K,2)*G3206),0))))</f>
        <v>0</v>
      </c>
      <c r="AJ3206" s="513" t="str">
        <f t="shared" ca="1" si="2431"/>
        <v/>
      </c>
      <c r="AK3206" s="700" t="str">
        <f t="shared" si="2432"/>
        <v/>
      </c>
      <c r="AL3206" s="700"/>
      <c r="AM3206" s="505" t="str">
        <f t="shared" si="2433"/>
        <v/>
      </c>
      <c r="AN3206" s="506"/>
      <c r="AO3206" s="507"/>
      <c r="AP3206" s="507"/>
      <c r="AQ3206" s="507"/>
      <c r="AR3206" s="507"/>
      <c r="AS3206" s="507"/>
      <c r="AT3206" s="507"/>
      <c r="AU3206" s="507"/>
      <c r="AV3206" s="225"/>
      <c r="AW3206" s="508"/>
      <c r="AX3206" s="225"/>
      <c r="AY3206" s="225"/>
      <c r="AZ3206" s="225"/>
      <c r="BA3206" s="225"/>
      <c r="BB3206" s="225"/>
      <c r="BC3206" s="56"/>
      <c r="BD3206" s="56"/>
      <c r="BE3206" s="56"/>
      <c r="BF3206" s="107" t="str">
        <f t="shared" si="2434"/>
        <v>https://www.google.com/search?tbm=isch&amp;q=15%20G4</v>
      </c>
      <c r="BG3206" s="107" t="str">
        <f t="shared" si="2435"/>
        <v>S</v>
      </c>
      <c r="BH3206" s="254"/>
      <c r="BI3206" s="254"/>
    </row>
    <row r="3207" spans="1:61" customFormat="1" ht="17.25" thickBot="1" x14ac:dyDescent="0.3">
      <c r="A3207" s="522" t="s">
        <v>2652</v>
      </c>
      <c r="B3207" s="491"/>
      <c r="C3207" s="675"/>
      <c r="D3207" s="491"/>
      <c r="E3207" s="491"/>
      <c r="F3207" s="492"/>
      <c r="G3207" s="493"/>
      <c r="H3207" s="491"/>
      <c r="I3207" s="234"/>
      <c r="J3207" s="234"/>
      <c r="K3207" s="494"/>
      <c r="L3207" s="543"/>
      <c r="M3207" s="561"/>
      <c r="N3207" s="495"/>
      <c r="O3207" s="496"/>
      <c r="P3207" s="497"/>
      <c r="Q3207" s="495"/>
      <c r="R3207" s="495"/>
      <c r="S3207" s="667" t="s">
        <v>4982</v>
      </c>
      <c r="T3207" s="508">
        <f t="shared" si="2423"/>
        <v>0</v>
      </c>
      <c r="U3207" s="225" t="str">
        <f>IF(NOT(ISNUMBER(G3207)), "", VLOOKUP(A3207,'Discount Lookup'!D:E,2,FALSE)*G3207)</f>
        <v/>
      </c>
      <c r="V3207" s="225" t="str">
        <f>IF(NOT(ISNUMBER(G3207)), "", VLOOKUP(A3207,'Discount Lookup'!G:H,2,FALSE)*G3207)</f>
        <v/>
      </c>
      <c r="W3207" s="508">
        <f t="shared" si="2424"/>
        <v>0</v>
      </c>
      <c r="X3207" s="508">
        <f t="shared" si="2425"/>
        <v>0</v>
      </c>
      <c r="Y3207" s="509" t="b">
        <f t="shared" si="2426"/>
        <v>0</v>
      </c>
      <c r="Z3207" s="510">
        <f t="shared" si="2427"/>
        <v>0</v>
      </c>
      <c r="AA3207" s="511"/>
      <c r="AB3207" s="511" t="str">
        <f t="shared" si="2428"/>
        <v/>
      </c>
      <c r="AC3207" s="698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698"/>
      <c r="AE3207" s="631" t="str">
        <f t="shared" si="2429"/>
        <v/>
      </c>
      <c r="AF3207" s="699" t="str">
        <f t="shared" si="2430"/>
        <v/>
      </c>
      <c r="AG3207" s="699"/>
      <c r="AH3207" s="699"/>
      <c r="AI3207" s="512">
        <f>IF(H3207="credit",0,IF(AE3207="free",0,IF(AE3207="me",0,IF(G3207&gt;0,(VLOOKUP(A3207,'Discount Lookup'!J:K,2)*G3207),0))))</f>
        <v>0</v>
      </c>
      <c r="AJ3207" s="513" t="str">
        <f t="shared" ca="1" si="2431"/>
        <v/>
      </c>
      <c r="AK3207" s="700" t="str">
        <f t="shared" si="2432"/>
        <v/>
      </c>
      <c r="AL3207" s="700"/>
      <c r="AM3207" s="505" t="str">
        <f t="shared" si="2433"/>
        <v/>
      </c>
      <c r="AN3207" s="506"/>
      <c r="AO3207" s="507"/>
      <c r="AP3207" s="507"/>
      <c r="AQ3207" s="507"/>
      <c r="AR3207" s="507"/>
      <c r="AS3207" s="507"/>
      <c r="AT3207" s="507"/>
      <c r="AU3207" s="507"/>
      <c r="AV3207" s="225"/>
      <c r="AW3207" s="508"/>
      <c r="AX3207" s="225"/>
      <c r="AY3207" s="225"/>
      <c r="AZ3207" s="225"/>
      <c r="BA3207" s="225"/>
      <c r="BB3207" s="225"/>
      <c r="BC3207" s="56"/>
      <c r="BD3207" s="56"/>
      <c r="BE3207" s="56"/>
      <c r="BF3207" s="107" t="str">
        <f t="shared" si="2434"/>
        <v>https://www.google.com/search?tbm=isch&amp;q=San%20Jose%20foliage%20holds%20color%20and%20toughness%20in%20the%20hot%20%26%20dry.%20Attractive%20winter%20bronzing.%20Sun%2Fheat%2Fdrought%20tolerant%20</v>
      </c>
      <c r="BG3207" s="107" t="str">
        <f t="shared" si="2435"/>
        <v>S</v>
      </c>
      <c r="BH3207" s="254"/>
      <c r="BI3207" s="254"/>
    </row>
    <row r="3208" spans="1:61" customFormat="1" ht="18" x14ac:dyDescent="0.25">
      <c r="A3208" s="523" t="s">
        <v>5529</v>
      </c>
      <c r="B3208" s="235"/>
      <c r="C3208" s="676"/>
      <c r="D3208" s="255" t="s">
        <v>1672</v>
      </c>
      <c r="E3208" s="236"/>
      <c r="F3208" s="236"/>
      <c r="G3208" s="236"/>
      <c r="H3208" s="582" t="s">
        <v>508</v>
      </c>
      <c r="I3208" s="498" t="s">
        <v>3925</v>
      </c>
      <c r="J3208" s="237"/>
      <c r="K3208" s="237"/>
      <c r="L3208" s="274"/>
      <c r="M3208" s="668" t="s">
        <v>4962</v>
      </c>
      <c r="N3208" s="681" t="str">
        <f>IF(AND(ISTEXT($A3208), ISERROR($A3208+0)), HYPERLINK($BF3208, "Images"), "")</f>
        <v>Images</v>
      </c>
      <c r="O3208" s="663" t="s">
        <v>4969</v>
      </c>
      <c r="P3208" s="253"/>
      <c r="Q3208" s="238"/>
      <c r="R3208" s="239"/>
      <c r="S3208" s="275"/>
      <c r="T3208" s="508">
        <f t="shared" si="2423"/>
        <v>0</v>
      </c>
      <c r="U3208" s="225" t="str">
        <f>IF(NOT(ISNUMBER(G3208)), "", VLOOKUP(A3208,'Discount Lookup'!D:E,2,FALSE)*G3208)</f>
        <v/>
      </c>
      <c r="V3208" s="225" t="str">
        <f>IF(NOT(ISNUMBER(G3208)), "", VLOOKUP(A3208,'Discount Lookup'!G:H,2,FALSE)*G3208)</f>
        <v/>
      </c>
      <c r="W3208" s="508">
        <f t="shared" si="2424"/>
        <v>0</v>
      </c>
      <c r="X3208" s="508" t="str">
        <f t="shared" si="2425"/>
        <v>Sapphire Blue bloom</v>
      </c>
      <c r="Y3208" s="509" t="b">
        <f t="shared" si="2426"/>
        <v>0</v>
      </c>
      <c r="Z3208" s="510">
        <f t="shared" si="2427"/>
        <v>0</v>
      </c>
      <c r="AA3208" s="511"/>
      <c r="AB3208" s="511" t="str">
        <f t="shared" si="2428"/>
        <v/>
      </c>
      <c r="AC3208" s="698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698"/>
      <c r="AE3208" s="631" t="str">
        <f t="shared" si="2429"/>
        <v/>
      </c>
      <c r="AF3208" s="699" t="str">
        <f t="shared" si="2430"/>
        <v/>
      </c>
      <c r="AG3208" s="699"/>
      <c r="AH3208" s="699"/>
      <c r="AI3208" s="512">
        <f>IF(H3208="credit",0,IF(AE3208="free",0,IF(AE3208="me",0,IF(G3208&gt;0,(VLOOKUP(A3208,'Discount Lookup'!J:K,2)*G3208),0))))</f>
        <v>0</v>
      </c>
      <c r="AJ3208" s="513" t="str">
        <f t="shared" ca="1" si="2431"/>
        <v/>
      </c>
      <c r="AK3208" s="700" t="str">
        <f t="shared" si="2432"/>
        <v/>
      </c>
      <c r="AL3208" s="700"/>
      <c r="AM3208" s="505" t="str">
        <f t="shared" si="2433"/>
        <v/>
      </c>
      <c r="AN3208" s="506"/>
      <c r="AO3208" s="507"/>
      <c r="AP3208" s="507"/>
      <c r="AQ3208" s="507"/>
      <c r="AR3208" s="507"/>
      <c r="AS3208" s="507"/>
      <c r="AT3208" s="507"/>
      <c r="AU3208" s="507"/>
      <c r="AV3208" s="225"/>
      <c r="AW3208" s="508"/>
      <c r="AX3208" s="225"/>
      <c r="AY3208" s="225"/>
      <c r="AZ3208" s="225"/>
      <c r="BA3208" s="225"/>
      <c r="BB3208" s="225"/>
      <c r="BC3208" s="56"/>
      <c r="BD3208" s="56"/>
      <c r="BE3208" s="56"/>
      <c r="BF3208" s="107" t="str">
        <f t="shared" si="2434"/>
        <v>https://www.google.com/search?tbm=isch&amp;q=Sapphire%20Surf%E2%84%A2%20Bluebeard%20Caryopteris%20x%20clandonensis%20%27Bluesurf%27</v>
      </c>
      <c r="BG3208" s="107" t="str">
        <f t="shared" si="2435"/>
        <v>S</v>
      </c>
      <c r="BH3208" s="254"/>
      <c r="BI3208" s="254"/>
    </row>
    <row r="3209" spans="1:61" customFormat="1" ht="15.75" x14ac:dyDescent="0.25">
      <c r="A3209" s="276">
        <v>3</v>
      </c>
      <c r="B3209" s="240" t="s">
        <v>291</v>
      </c>
      <c r="C3209" s="241" t="s">
        <v>4288</v>
      </c>
      <c r="D3209" s="242" t="s">
        <v>312</v>
      </c>
      <c r="E3209" s="243">
        <v>33.950000000000003</v>
      </c>
      <c r="F3209" s="517" t="s">
        <v>293</v>
      </c>
      <c r="G3209" s="232">
        <v>0</v>
      </c>
      <c r="H3209" s="661" t="str">
        <f>IF(G3209=0,"",IF(F3209="Buy",IF(G3209=1,"plant","plants"),IF(F3209&gt;0.01,"warranty","Error")))</f>
        <v/>
      </c>
      <c r="I3209" s="244">
        <f>IF(H3209="free",0,IF(H3209="credit",((E3209*(F3209))*G3209*-1),IF(F3209="Buy",(E3209*G3209),((E3209*(1-F3209))*G3209))))</f>
        <v>0</v>
      </c>
      <c r="J3209" s="244">
        <f>IF(H3209="warranty",0,(I3209*(_xlfn.SINGLE(SalesTaxPercentage))))</f>
        <v>0</v>
      </c>
      <c r="K3209" s="696">
        <f t="shared" ref="K3209" si="2461">I3209+J3209</f>
        <v>0</v>
      </c>
      <c r="L3209" s="696"/>
      <c r="M3209" s="659" t="str">
        <f>IF(AND(G3209&gt;0,E3209=0),"WARNING - no PRICE inserted",IF(H3209="free"," FREE ~ no charge this plant",IF(H3209="credit",CONCATENATE(" -$",ROUND(K3209*(1-T2GDiscount)*-1,2)," CREDIT after discount"),IF(T2GDiscount=0,"",IF(G3209=0,"",IF(F3209="Buy",CONCATENATE(" $",ROUND(K3209*(1-T2GDiscount),2)," with ",(T2GDiscount*100),"% discount"),CONCATENATE(" $",ROUND(K3209*(1-T2GDiscount),2)," with ",((T2GDiscount*100+F3209*100)-(T2GDiscount*100*F3209)),IF(F3209&gt;0,"% discounts",IF(NoWarrantyDiscount&gt;0,"% discounts","% discount")))))))))</f>
        <v/>
      </c>
      <c r="N3209" s="660"/>
      <c r="O3209" s="233"/>
      <c r="P3209" s="233"/>
      <c r="Q3209" s="233"/>
      <c r="R3209" s="233"/>
      <c r="S3209" s="233"/>
      <c r="T3209" s="508">
        <f t="shared" si="2423"/>
        <v>0</v>
      </c>
      <c r="U3209" s="225">
        <f>IF(NOT(ISNUMBER(G3209)), "", VLOOKUP(A3209,'Discount Lookup'!D:E,2,FALSE)*G3209)</f>
        <v>0</v>
      </c>
      <c r="V3209" s="225">
        <f>IF(NOT(ISNUMBER(G3209)), "", VLOOKUP(A3209,'Discount Lookup'!G:H,2,FALSE)*G3209)</f>
        <v>0</v>
      </c>
      <c r="W3209" s="508">
        <f t="shared" si="2424"/>
        <v>0</v>
      </c>
      <c r="X3209" s="508">
        <f t="shared" si="2425"/>
        <v>0</v>
      </c>
      <c r="Y3209" s="509" t="b">
        <f t="shared" si="2426"/>
        <v>0</v>
      </c>
      <c r="Z3209" s="510">
        <f t="shared" si="2427"/>
        <v>0</v>
      </c>
      <c r="AA3209" s="511"/>
      <c r="AB3209" s="511" t="str">
        <f t="shared" si="2428"/>
        <v/>
      </c>
      <c r="AC3209" s="698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698"/>
      <c r="AE3209" s="631" t="str">
        <f t="shared" si="2429"/>
        <v/>
      </c>
      <c r="AF3209" s="699" t="str">
        <f t="shared" si="2430"/>
        <v/>
      </c>
      <c r="AG3209" s="699"/>
      <c r="AH3209" s="699"/>
      <c r="AI3209" s="512">
        <f>IF(H3209="credit",0,IF(AE3209="free",0,IF(AE3209="me",0,IF(G3209&gt;0,(VLOOKUP(A3209,'Discount Lookup'!J:K,2)*G3209),0))))</f>
        <v>0</v>
      </c>
      <c r="AJ3209" s="513" t="str">
        <f t="shared" ca="1" si="2431"/>
        <v/>
      </c>
      <c r="AK3209" s="700" t="str">
        <f t="shared" si="2432"/>
        <v/>
      </c>
      <c r="AL3209" s="700"/>
      <c r="AM3209" s="505" t="str">
        <f t="shared" si="2433"/>
        <v/>
      </c>
      <c r="AN3209" s="506"/>
      <c r="AO3209" s="507"/>
      <c r="AP3209" s="507"/>
      <c r="AQ3209" s="507"/>
      <c r="AR3209" s="507"/>
      <c r="AS3209" s="507"/>
      <c r="AT3209" s="507"/>
      <c r="AU3209" s="507"/>
      <c r="AV3209" s="225"/>
      <c r="AW3209" s="508"/>
      <c r="AX3209" s="225"/>
      <c r="AY3209" s="225"/>
      <c r="AZ3209" s="225"/>
      <c r="BA3209" s="225"/>
      <c r="BB3209" s="225"/>
      <c r="BC3209" s="56"/>
      <c r="BD3209" s="56"/>
      <c r="BE3209" s="56"/>
      <c r="BF3209" s="107" t="str">
        <f t="shared" si="2434"/>
        <v>https://www.google.com/search?tbm=isch&amp;q=3%20G2</v>
      </c>
      <c r="BG3209" s="107" t="str">
        <f t="shared" si="2435"/>
        <v>S</v>
      </c>
      <c r="BH3209" s="254"/>
      <c r="BI3209" s="254"/>
    </row>
    <row r="3210" spans="1:61" customFormat="1" ht="17.25" thickBot="1" x14ac:dyDescent="0.3">
      <c r="A3210" s="524" t="s">
        <v>4161</v>
      </c>
      <c r="B3210" s="245"/>
      <c r="C3210" s="677"/>
      <c r="D3210" s="499"/>
      <c r="E3210" s="499"/>
      <c r="F3210" s="500"/>
      <c r="G3210" s="501"/>
      <c r="H3210" s="502"/>
      <c r="I3210" s="246"/>
      <c r="J3210" s="247"/>
      <c r="K3210" s="503"/>
      <c r="L3210" s="544"/>
      <c r="M3210" s="544"/>
      <c r="N3210" s="500"/>
      <c r="O3210" s="500"/>
      <c r="P3210" s="500"/>
      <c r="Q3210" s="500"/>
      <c r="R3210" s="500"/>
      <c r="S3210" s="278"/>
      <c r="T3210" s="508">
        <f t="shared" si="2423"/>
        <v>0</v>
      </c>
      <c r="U3210" s="225" t="str">
        <f>IF(NOT(ISNUMBER(G3210)), "", VLOOKUP(A3210,'Discount Lookup'!D:E,2,FALSE)*G3210)</f>
        <v/>
      </c>
      <c r="V3210" s="225" t="str">
        <f>IF(NOT(ISNUMBER(G3210)), "", VLOOKUP(A3210,'Discount Lookup'!G:H,2,FALSE)*G3210)</f>
        <v/>
      </c>
      <c r="W3210" s="508">
        <f t="shared" si="2424"/>
        <v>0</v>
      </c>
      <c r="X3210" s="508">
        <f t="shared" si="2425"/>
        <v>0</v>
      </c>
      <c r="Y3210" s="509" t="b">
        <f t="shared" si="2426"/>
        <v>0</v>
      </c>
      <c r="Z3210" s="510">
        <f t="shared" si="2427"/>
        <v>0</v>
      </c>
      <c r="AA3210" s="511"/>
      <c r="AB3210" s="511" t="str">
        <f t="shared" si="2428"/>
        <v/>
      </c>
      <c r="AC3210" s="698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698"/>
      <c r="AE3210" s="631" t="str">
        <f t="shared" si="2429"/>
        <v/>
      </c>
      <c r="AF3210" s="699" t="str">
        <f t="shared" si="2430"/>
        <v/>
      </c>
      <c r="AG3210" s="699"/>
      <c r="AH3210" s="699"/>
      <c r="AI3210" s="512">
        <f>IF(H3210="credit",0,IF(AE3210="free",0,IF(AE3210="me",0,IF(G3210&gt;0,(VLOOKUP(A3210,'Discount Lookup'!J:K,2)*G3210),0))))</f>
        <v>0</v>
      </c>
      <c r="AJ3210" s="513" t="str">
        <f t="shared" ca="1" si="2431"/>
        <v/>
      </c>
      <c r="AK3210" s="700" t="str">
        <f t="shared" si="2432"/>
        <v/>
      </c>
      <c r="AL3210" s="700"/>
      <c r="AM3210" s="505" t="str">
        <f t="shared" si="2433"/>
        <v/>
      </c>
      <c r="AN3210" s="506"/>
      <c r="AO3210" s="507"/>
      <c r="AP3210" s="507"/>
      <c r="AQ3210" s="507"/>
      <c r="AR3210" s="507"/>
      <c r="AS3210" s="507"/>
      <c r="AT3210" s="507"/>
      <c r="AU3210" s="507"/>
      <c r="AV3210" s="225"/>
      <c r="AW3210" s="508"/>
      <c r="AX3210" s="225"/>
      <c r="AY3210" s="225"/>
      <c r="AZ3210" s="225"/>
      <c r="BA3210" s="225"/>
      <c r="BB3210" s="225"/>
      <c r="BC3210" s="56"/>
      <c r="BD3210" s="56"/>
      <c r="BE3210" s="56"/>
      <c r="BF3210" s="107" t="str">
        <f t="shared" si="2434"/>
        <v>https://www.google.com/search?tbm=isch&amp;q=Sapphire%20Surf%20Bluebeard%20delivers%20vivid%20late-summer%20blooms%2C%20aromatic%20foliage%2C%20and%20a%20compact%20form%20</v>
      </c>
      <c r="BG3210" s="107" t="str">
        <f t="shared" si="2435"/>
        <v>S</v>
      </c>
      <c r="BH3210" s="254"/>
      <c r="BI3210" s="254"/>
    </row>
    <row r="3211" spans="1:61" customFormat="1" ht="18" x14ac:dyDescent="0.25">
      <c r="A3211" s="523" t="s">
        <v>1673</v>
      </c>
      <c r="B3211" s="235"/>
      <c r="C3211" s="676"/>
      <c r="D3211" s="255" t="s">
        <v>1674</v>
      </c>
      <c r="E3211" s="236"/>
      <c r="F3211" s="236"/>
      <c r="G3211" s="236"/>
      <c r="H3211" s="582" t="s">
        <v>357</v>
      </c>
      <c r="I3211" s="498" t="s">
        <v>654</v>
      </c>
      <c r="J3211" s="237"/>
      <c r="K3211" s="237"/>
      <c r="L3211" s="274"/>
      <c r="M3211" s="668" t="s">
        <v>4962</v>
      </c>
      <c r="N3211" s="681" t="str">
        <f>IF(AND(ISTEXT($A3211), ISERROR($A3211+0)), HYPERLINK($BF3211, "Images"), "")</f>
        <v>Images</v>
      </c>
      <c r="O3211" s="663" t="s">
        <v>4967</v>
      </c>
      <c r="P3211" s="253"/>
      <c r="Q3211" s="238"/>
      <c r="R3211" s="239"/>
      <c r="S3211" s="275"/>
      <c r="T3211" s="508">
        <f t="shared" si="2423"/>
        <v>0</v>
      </c>
      <c r="U3211" s="225" t="str">
        <f>IF(NOT(ISNUMBER(G3211)), "", VLOOKUP(A3211,'Discount Lookup'!D:E,2,FALSE)*G3211)</f>
        <v/>
      </c>
      <c r="V3211" s="225" t="str">
        <f>IF(NOT(ISNUMBER(G3211)), "", VLOOKUP(A3211,'Discount Lookup'!G:H,2,FALSE)*G3211)</f>
        <v/>
      </c>
      <c r="W3211" s="508">
        <f t="shared" si="2424"/>
        <v>0</v>
      </c>
      <c r="X3211" s="508" t="str">
        <f t="shared" si="2425"/>
        <v>White bloom</v>
      </c>
      <c r="Y3211" s="509" t="b">
        <f t="shared" si="2426"/>
        <v>0</v>
      </c>
      <c r="Z3211" s="510">
        <f t="shared" si="2427"/>
        <v>0</v>
      </c>
      <c r="AA3211" s="511"/>
      <c r="AB3211" s="511" t="str">
        <f t="shared" si="2428"/>
        <v/>
      </c>
      <c r="AC3211" s="698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698"/>
      <c r="AE3211" s="631" t="str">
        <f t="shared" si="2429"/>
        <v/>
      </c>
      <c r="AF3211" s="699" t="str">
        <f t="shared" si="2430"/>
        <v/>
      </c>
      <c r="AG3211" s="699"/>
      <c r="AH3211" s="699"/>
      <c r="AI3211" s="512">
        <f>IF(H3211="credit",0,IF(AE3211="free",0,IF(AE3211="me",0,IF(G3211&gt;0,(VLOOKUP(A3211,'Discount Lookup'!J:K,2)*G3211),0))))</f>
        <v>0</v>
      </c>
      <c r="AJ3211" s="513" t="str">
        <f t="shared" ca="1" si="2431"/>
        <v/>
      </c>
      <c r="AK3211" s="700" t="str">
        <f t="shared" si="2432"/>
        <v/>
      </c>
      <c r="AL3211" s="700"/>
      <c r="AM3211" s="505" t="str">
        <f t="shared" si="2433"/>
        <v/>
      </c>
      <c r="AN3211" s="506"/>
      <c r="AO3211" s="507"/>
      <c r="AP3211" s="507"/>
      <c r="AQ3211" s="507"/>
      <c r="AR3211" s="507"/>
      <c r="AS3211" s="507"/>
      <c r="AT3211" s="507"/>
      <c r="AU3211" s="507"/>
      <c r="AV3211" s="225"/>
      <c r="AW3211" s="508"/>
      <c r="AX3211" s="225"/>
      <c r="AY3211" s="225"/>
      <c r="AZ3211" s="225"/>
      <c r="BA3211" s="225"/>
      <c r="BB3211" s="225"/>
      <c r="BC3211" s="56"/>
      <c r="BD3211" s="56"/>
      <c r="BE3211" s="56"/>
      <c r="BF3211" s="107" t="str">
        <f t="shared" si="2434"/>
        <v>https://www.google.com/search?tbm=isch&amp;q=Sarah%27s%20Favorite%27%20Crape%20Myrtle%20Lagerstroemia%20%27Sarah%27s%20Favorite%27</v>
      </c>
      <c r="BG3211" s="107" t="str">
        <f t="shared" si="2435"/>
        <v>S</v>
      </c>
      <c r="BH3211" s="254"/>
      <c r="BI3211" s="254"/>
    </row>
    <row r="3212" spans="1:61" customFormat="1" ht="15.75" x14ac:dyDescent="0.25">
      <c r="A3212" s="276">
        <v>7</v>
      </c>
      <c r="B3212" s="240" t="s">
        <v>291</v>
      </c>
      <c r="C3212" s="241" t="s">
        <v>3741</v>
      </c>
      <c r="D3212" s="242" t="s">
        <v>292</v>
      </c>
      <c r="E3212" s="243">
        <v>91.95</v>
      </c>
      <c r="F3212" s="517" t="s">
        <v>293</v>
      </c>
      <c r="G3212" s="232">
        <v>0</v>
      </c>
      <c r="H3212" s="661" t="str">
        <f>IF(G3212=0,"",IF(F3212="Buy",IF(G3212=1,"plant","plants"),IF(F3212&gt;0.01,"warranty","Error")))</f>
        <v/>
      </c>
      <c r="I3212" s="244">
        <f>IF(H3212="free",0,IF(H3212="credit",((E3212*(F3212))*G3212*-1),IF(F3212="Buy",(E3212*G3212),((E3212*(1-F3212))*G3212))))</f>
        <v>0</v>
      </c>
      <c r="J3212" s="244">
        <f>IF(H3212="warranty",0,(I3212*(_xlfn.SINGLE(SalesTaxPercentage))))</f>
        <v>0</v>
      </c>
      <c r="K3212" s="696">
        <f t="shared" ref="K3212" si="2462">I3212+J3212</f>
        <v>0</v>
      </c>
      <c r="L3212" s="696"/>
      <c r="M3212" s="659" t="str">
        <f>IF(AND(G3212&gt;0,E3212=0),"WARNING - no PRICE inserted",IF(H3212="free"," FREE ~ no charge this plant",IF(H3212="credit",CONCATENATE(" -$",ROUND(K3212*(1-T2GDiscount)*-1,2)," CREDIT after discount"),IF(T2GDiscount=0,"",IF(G3212=0,"",IF(F3212="Buy",CONCATENATE(" $",ROUND(K3212*(1-T2GDiscount),2)," with ",(T2GDiscount*100),"% discount"),CONCATENATE(" $",ROUND(K3212*(1-T2GDiscount),2)," with ",((T2GDiscount*100+F3212*100)-(T2GDiscount*100*F3212)),IF(F3212&gt;0,"% discounts",IF(NoWarrantyDiscount&gt;0,"% discounts","% discount")))))))))</f>
        <v/>
      </c>
      <c r="N3212" s="660"/>
      <c r="O3212" s="233"/>
      <c r="P3212" s="233"/>
      <c r="Q3212" s="233"/>
      <c r="R3212" s="233"/>
      <c r="S3212" s="233"/>
      <c r="T3212" s="508">
        <f t="shared" si="2423"/>
        <v>0</v>
      </c>
      <c r="U3212" s="225">
        <f>IF(NOT(ISNUMBER(G3212)), "", VLOOKUP(A3212,'Discount Lookup'!D:E,2,FALSE)*G3212)</f>
        <v>0</v>
      </c>
      <c r="V3212" s="225">
        <f>IF(NOT(ISNUMBER(G3212)), "", VLOOKUP(A3212,'Discount Lookup'!G:H,2,FALSE)*G3212)</f>
        <v>0</v>
      </c>
      <c r="W3212" s="508">
        <f t="shared" si="2424"/>
        <v>0</v>
      </c>
      <c r="X3212" s="508">
        <f t="shared" si="2425"/>
        <v>0</v>
      </c>
      <c r="Y3212" s="509" t="b">
        <f t="shared" si="2426"/>
        <v>0</v>
      </c>
      <c r="Z3212" s="510">
        <f t="shared" si="2427"/>
        <v>0</v>
      </c>
      <c r="AA3212" s="511"/>
      <c r="AB3212" s="511" t="str">
        <f t="shared" si="2428"/>
        <v/>
      </c>
      <c r="AC3212" s="698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698"/>
      <c r="AE3212" s="631" t="str">
        <f t="shared" si="2429"/>
        <v/>
      </c>
      <c r="AF3212" s="699" t="str">
        <f t="shared" si="2430"/>
        <v/>
      </c>
      <c r="AG3212" s="699"/>
      <c r="AH3212" s="699"/>
      <c r="AI3212" s="512">
        <f>IF(H3212="credit",0,IF(AE3212="free",0,IF(AE3212="me",0,IF(G3212&gt;0,(VLOOKUP(A3212,'Discount Lookup'!J:K,2)*G3212),0))))</f>
        <v>0</v>
      </c>
      <c r="AJ3212" s="513" t="str">
        <f t="shared" ca="1" si="2431"/>
        <v/>
      </c>
      <c r="AK3212" s="700" t="str">
        <f t="shared" si="2432"/>
        <v/>
      </c>
      <c r="AL3212" s="700"/>
      <c r="AM3212" s="505" t="str">
        <f t="shared" si="2433"/>
        <v/>
      </c>
      <c r="AN3212" s="506"/>
      <c r="AO3212" s="507"/>
      <c r="AP3212" s="507"/>
      <c r="AQ3212" s="507"/>
      <c r="AR3212" s="507"/>
      <c r="AS3212" s="507"/>
      <c r="AT3212" s="507"/>
      <c r="AU3212" s="507"/>
      <c r="AV3212" s="225"/>
      <c r="AW3212" s="508"/>
      <c r="AX3212" s="225"/>
      <c r="AY3212" s="225"/>
      <c r="AZ3212" s="225"/>
      <c r="BA3212" s="225"/>
      <c r="BB3212" s="225"/>
      <c r="BC3212" s="56"/>
      <c r="BD3212" s="56"/>
      <c r="BE3212" s="56"/>
      <c r="BF3212" s="107" t="str">
        <f t="shared" si="2434"/>
        <v>https://www.google.com/search?tbm=isch&amp;q=7%20G4</v>
      </c>
      <c r="BG3212" s="107" t="str">
        <f t="shared" si="2435"/>
        <v>S</v>
      </c>
      <c r="BH3212" s="254"/>
      <c r="BI3212" s="254"/>
    </row>
    <row r="3213" spans="1:61" customFormat="1" ht="17.25" thickBot="1" x14ac:dyDescent="0.3">
      <c r="A3213" s="524" t="s">
        <v>2240</v>
      </c>
      <c r="B3213" s="245"/>
      <c r="C3213" s="677"/>
      <c r="D3213" s="499"/>
      <c r="E3213" s="499"/>
      <c r="F3213" s="500"/>
      <c r="G3213" s="501"/>
      <c r="H3213" s="502"/>
      <c r="I3213" s="246"/>
      <c r="J3213" s="247"/>
      <c r="K3213" s="503"/>
      <c r="L3213" s="544"/>
      <c r="M3213" s="544"/>
      <c r="N3213" s="500"/>
      <c r="O3213" s="500"/>
      <c r="P3213" s="500"/>
      <c r="Q3213" s="500"/>
      <c r="R3213" s="500"/>
      <c r="S3213" s="278"/>
      <c r="T3213" s="508">
        <f t="shared" si="2423"/>
        <v>0</v>
      </c>
      <c r="U3213" s="225" t="str">
        <f>IF(NOT(ISNUMBER(G3213)), "", VLOOKUP(A3213,'Discount Lookup'!D:E,2,FALSE)*G3213)</f>
        <v/>
      </c>
      <c r="V3213" s="225" t="str">
        <f>IF(NOT(ISNUMBER(G3213)), "", VLOOKUP(A3213,'Discount Lookup'!G:H,2,FALSE)*G3213)</f>
        <v/>
      </c>
      <c r="W3213" s="508">
        <f t="shared" si="2424"/>
        <v>0</v>
      </c>
      <c r="X3213" s="508">
        <f t="shared" si="2425"/>
        <v>0</v>
      </c>
      <c r="Y3213" s="509" t="b">
        <f t="shared" si="2426"/>
        <v>0</v>
      </c>
      <c r="Z3213" s="510">
        <f t="shared" si="2427"/>
        <v>0</v>
      </c>
      <c r="AA3213" s="511"/>
      <c r="AB3213" s="511" t="str">
        <f t="shared" si="2428"/>
        <v/>
      </c>
      <c r="AC3213" s="698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698"/>
      <c r="AE3213" s="631" t="str">
        <f t="shared" si="2429"/>
        <v/>
      </c>
      <c r="AF3213" s="699" t="str">
        <f t="shared" si="2430"/>
        <v/>
      </c>
      <c r="AG3213" s="699"/>
      <c r="AH3213" s="699"/>
      <c r="AI3213" s="512">
        <f>IF(H3213="credit",0,IF(AE3213="free",0,IF(AE3213="me",0,IF(G3213&gt;0,(VLOOKUP(A3213,'Discount Lookup'!J:K,2)*G3213),0))))</f>
        <v>0</v>
      </c>
      <c r="AJ3213" s="513" t="str">
        <f t="shared" ca="1" si="2431"/>
        <v/>
      </c>
      <c r="AK3213" s="700" t="str">
        <f t="shared" si="2432"/>
        <v/>
      </c>
      <c r="AL3213" s="700"/>
      <c r="AM3213" s="505" t="str">
        <f t="shared" si="2433"/>
        <v/>
      </c>
      <c r="AN3213" s="506"/>
      <c r="AO3213" s="507"/>
      <c r="AP3213" s="507"/>
      <c r="AQ3213" s="507"/>
      <c r="AR3213" s="507"/>
      <c r="AS3213" s="507"/>
      <c r="AT3213" s="507"/>
      <c r="AU3213" s="507"/>
      <c r="AV3213" s="225"/>
      <c r="AW3213" s="508"/>
      <c r="AX3213" s="225"/>
      <c r="AY3213" s="225"/>
      <c r="AZ3213" s="225"/>
      <c r="BA3213" s="225"/>
      <c r="BB3213" s="225"/>
      <c r="BC3213" s="56"/>
      <c r="BD3213" s="56"/>
      <c r="BE3213" s="56"/>
      <c r="BF3213" s="107" t="str">
        <f t="shared" si="2434"/>
        <v>https://www.google.com/search?tbm=isch&amp;q=Sarah%27s%20Favorite%27%20Dark%20Green%20foliage%20turns%20Gold%20to%20Orange-Red%20in%20fall.%20Bark%20exfoliates%20to%20Tan-Cinnamon.%20Hardier%20than%20Natchez%20</v>
      </c>
      <c r="BG3213" s="107" t="str">
        <f t="shared" si="2435"/>
        <v>S</v>
      </c>
      <c r="BH3213" s="254"/>
      <c r="BI3213" s="254"/>
    </row>
    <row r="3214" spans="1:61" customFormat="1" ht="18" x14ac:dyDescent="0.25">
      <c r="A3214" s="523" t="s">
        <v>1675</v>
      </c>
      <c r="B3214" s="235"/>
      <c r="C3214" s="676"/>
      <c r="D3214" s="255" t="s">
        <v>1676</v>
      </c>
      <c r="E3214" s="236"/>
      <c r="F3214" s="236"/>
      <c r="G3214" s="236"/>
      <c r="H3214" s="582" t="s">
        <v>324</v>
      </c>
      <c r="I3214" s="498" t="s">
        <v>2109</v>
      </c>
      <c r="J3214" s="237"/>
      <c r="K3214" s="237"/>
      <c r="L3214" s="274"/>
      <c r="M3214" s="668" t="s">
        <v>4962</v>
      </c>
      <c r="N3214" s="681" t="str">
        <f>IF(AND(ISTEXT($A3214), ISERROR($A3214+0)), HYPERLINK($BF3214, "Images"), "")</f>
        <v>Images</v>
      </c>
      <c r="O3214" s="663" t="s">
        <v>4969</v>
      </c>
      <c r="P3214" s="253"/>
      <c r="Q3214" s="238"/>
      <c r="R3214" s="239"/>
      <c r="S3214" s="275"/>
      <c r="T3214" s="508">
        <f t="shared" ref="T3214:T3277" si="2463">E3214*G3214</f>
        <v>0</v>
      </c>
      <c r="U3214" s="225" t="str">
        <f>IF(NOT(ISNUMBER(G3214)), "", VLOOKUP(A3214,'Discount Lookup'!D:E,2,FALSE)*G3214)</f>
        <v/>
      </c>
      <c r="V3214" s="225" t="str">
        <f>IF(NOT(ISNUMBER(G3214)), "", VLOOKUP(A3214,'Discount Lookup'!G:H,2,FALSE)*G3214)</f>
        <v/>
      </c>
      <c r="W3214" s="508">
        <f t="shared" ref="W3214:W3277" si="2464">IF(H3214="credit",0,E3214*(SalesTaxPercentage)*G3214)</f>
        <v>0</v>
      </c>
      <c r="X3214" s="508" t="str">
        <f t="shared" ref="X3214:X3277" si="2465">I3214</f>
        <v>Green foliage</v>
      </c>
      <c r="Y3214" s="509" t="b">
        <f t="shared" ref="Y3214:Y3277" si="2466">IF(AE3214="T2G",0,IF(H3214="credit",0,IF(G3214&gt;0,IF(AE3214="me","",G3214))))</f>
        <v>0</v>
      </c>
      <c r="Z3214" s="510">
        <f t="shared" ref="Z3214:Z3277" si="2467">IF(H3214="credit",G3214,0)</f>
        <v>0</v>
      </c>
      <c r="AA3214" s="511"/>
      <c r="AB3214" s="511" t="str">
        <f t="shared" ref="AB3214:AB3277" si="2468">IF(AE3214="T2G","by Trees2Go",IF(H3214="credit","CREDIT only ~",IF(AND(K3214="",AE3214=OR(PlanterYesMe="No",PlanterYesMe="N",PlanterYesMe="me")),"not THIS line⇨",IF(AND(K3214="images",AE3214="me"),"not THIS line⇨",IF(H3214="credit","",IF(G3214=0,"",IF(AE3214="me","",IF(OR(PlanterYesMe="No",PlanterYesMe="N",PlanterYesMe="me"),"",IF(AE3214="free","warranty",IF(OR(PlanterYesMe="yes",PlanterYesMe="y"),"Edison install:","to install:"))))))))))</f>
        <v/>
      </c>
      <c r="AC3214" s="698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698"/>
      <c r="AE3214" s="631" t="str">
        <f t="shared" ref="AE3214:AE3277" si="2469">IF(H3214="credit","",IF(G3214=0,"",IF(OR(PlanterYesMe="No",PlanterYesMe="N",PlanterYesMe="me"),"me",IF(H3214="warranty","free",IF(OR(PlanterYesMe="yes",PlanterYesMe="y"),"ELP","")))))</f>
        <v/>
      </c>
      <c r="AF3214" s="699" t="str">
        <f t="shared" ref="AF3214:AF3277" si="2470">IF(OR(PlanterYesMe="No",PlanterYesMe="N",PlanterYesMe="me"),"",IF(H3214="credit","",IF(G3214&gt;0,(CONCATENATE((G3214)," quantity, ",(A3214)," ",B3214)),"")))</f>
        <v/>
      </c>
      <c r="AG3214" s="699"/>
      <c r="AH3214" s="699"/>
      <c r="AI3214" s="512">
        <f>IF(H3214="credit",0,IF(AE3214="free",0,IF(AE3214="me",0,IF(G3214&gt;0,(VLOOKUP(A3214,'Discount Lookup'!J:K,2)*G3214),0))))</f>
        <v>0</v>
      </c>
      <c r="AJ3214" s="513" t="str">
        <f t="shared" ref="AJ3214:AJ3277" ca="1" si="2471">IF(AND(ISREF(H3214),H3214="credit"),"",IF(AND(AND(OFFSET(G3214,0,0)=0,OFFSET(G3214,1,0)&gt;0,ISNUMBER(OFFSET(AC3214,1,0)),OFFSET(AC3214,1,0)&gt;0),OR(PlanterYesMe="yes",PlanterYesMe="y")),"T2G+ELP=",IF(AND(OFFSET(G3214,0,0)=0,OFFSET(G3214,1,0)&gt;0,ISNUMBER(OFFSET(AC3214,1,0)),OFFSET(AC3214,1,0)&gt;0),"if T2G+ELP=",IF(AND(OFFSET(G3214,0,0)=0,OFFSET(G3214,1,0)&gt;0),"T2G Subtotal",IF(H3214="credit","",IF(G3214=0,"",IF(AE3214="free",(K3214*(1-T2GDiscount)),IF(OR(PlanterYesMe="No",PlanterYesMe="N",PlanterYesMe="me"),(K3214*(1-T2GDiscount)),IF(OR(AE3214="me",AE3214="T2G"),(K3214*(1-T2GDiscount)),(K3214*(1-T2GDiscount))+AC3214)))))))))</f>
        <v/>
      </c>
      <c r="AK3214" s="700" t="str">
        <f t="shared" ref="AK3214:AK3277" si="2472">IF(H3214="credit","",IF(G3214=0,"",IF(OR(AE3214="me",AE3214="T2G"),"  delivery-only",IF(OR(PlanterYesMe="No",PlanterYesMe="N",PlanterYesMe="me"),"  delivery-only",CONCATENATE(" $",ROUND(AJ3214/G3214,2)," each")))))</f>
        <v/>
      </c>
      <c r="AL3214" s="700"/>
      <c r="AM3214" s="505" t="str">
        <f t="shared" ref="AM3214:AM3277" si="2473">IF(H3214="credit","",IF(AE3214="free","      ~ discounts included, no tax or planting fee applies ~",IF(G3214=0,"",IF(OR(PlanterYesMe="No",PlanterYesMe="N",PlanterYesMe="me"),CONCATENATE(" $",ROUND(AJ3214/G3214,2)," per plant, with tax &amp; discount"),IF(OR(AE3214="me",AE3214="T2G"),CONCATENATE(" $",ROUND(AJ3214/G3214,2)," per plant, with tax &amp; discount"),CONCATENATE("= $",ROUND((K3214*(1-T2GDiscount))/G3214,2)," per plant + $",AC3214/G3214,(" per planting      ~ includes tax &amp; discounts ~")))))))</f>
        <v/>
      </c>
      <c r="AN3214" s="506"/>
      <c r="AO3214" s="507"/>
      <c r="AP3214" s="507"/>
      <c r="AQ3214" s="507"/>
      <c r="AR3214" s="507"/>
      <c r="AS3214" s="507"/>
      <c r="AT3214" s="507"/>
      <c r="AU3214" s="507"/>
      <c r="AV3214" s="225"/>
      <c r="AW3214" s="508"/>
      <c r="AX3214" s="225"/>
      <c r="AY3214" s="225"/>
      <c r="AZ3214" s="225"/>
      <c r="BA3214" s="225"/>
      <c r="BB3214" s="225"/>
      <c r="BC3214" s="56"/>
      <c r="BD3214" s="56"/>
      <c r="BE3214" s="56"/>
      <c r="BF3214" s="107" t="str">
        <f t="shared" ref="BF3214:BF3277" si="2474">"https://www.google.com/search?tbm=isch&amp;q=" &amp; _xlfn.ENCODEURL($A3214 &amp; " " &amp; $D3214)</f>
        <v>https://www.google.com/search?tbm=isch&amp;q=Saratoga%20Ginkgo%20Ginkgo%20biloba%20%27Saratoga%27</v>
      </c>
      <c r="BG3214" s="107" t="str">
        <f t="shared" ref="BG3214:BG3277" si="2475">IF(ISTEXT(A3214),LEFT(A3214,1),BG3213)</f>
        <v>S</v>
      </c>
      <c r="BH3214" s="254"/>
      <c r="BI3214" s="254"/>
    </row>
    <row r="3215" spans="1:61" customFormat="1" ht="27" x14ac:dyDescent="0.25">
      <c r="A3215" s="276">
        <v>7</v>
      </c>
      <c r="B3215" s="240" t="s">
        <v>291</v>
      </c>
      <c r="C3215" s="241" t="s">
        <v>3742</v>
      </c>
      <c r="D3215" s="242" t="s">
        <v>292</v>
      </c>
      <c r="E3215" s="243">
        <v>160.94999999999999</v>
      </c>
      <c r="F3215" s="517" t="s">
        <v>293</v>
      </c>
      <c r="G3215" s="232">
        <v>0</v>
      </c>
      <c r="H3215" s="661" t="str">
        <f>IF(G3215=0,"",IF(F3215="Buy",IF(G3215=1,"plant","plants"),IF(F3215&gt;0.01,"warranty","Error")))</f>
        <v/>
      </c>
      <c r="I3215" s="244">
        <f>IF(H3215="free",0,IF(H3215="credit",((E3215*(F3215))*G3215*-1),IF(F3215="Buy",(E3215*G3215),((E3215*(1-F3215))*G3215))))</f>
        <v>0</v>
      </c>
      <c r="J3215" s="244">
        <f>IF(H3215="warranty",0,(I3215*(_xlfn.SINGLE(SalesTaxPercentage))))</f>
        <v>0</v>
      </c>
      <c r="K3215" s="696">
        <f t="shared" ref="K3215" si="2476">I3215+J3215</f>
        <v>0</v>
      </c>
      <c r="L3215" s="696"/>
      <c r="M3215" s="659" t="str">
        <f>IF(AND(G3215&gt;0,E3215=0),"WARNING - no PRICE inserted",IF(H3215="free"," FREE ~ no charge this plant",IF(H3215="credit",CONCATENATE(" -$",ROUND(K3215*(1-T2GDiscount)*-1,2)," CREDIT after discount"),IF(T2GDiscount=0,"",IF(G3215=0,"",IF(F3215="Buy",CONCATENATE(" $",ROUND(K3215*(1-T2GDiscount),2)," with ",(T2GDiscount*100),"% discount"),CONCATENATE(" $",ROUND(K3215*(1-T2GDiscount),2)," with ",((T2GDiscount*100+F3215*100)-(T2GDiscount*100*F3215)),IF(F3215&gt;0,"% discounts",IF(NoWarrantyDiscount&gt;0,"% discounts","% discount")))))))))</f>
        <v/>
      </c>
      <c r="N3215" s="660"/>
      <c r="O3215" s="233"/>
      <c r="P3215" s="233"/>
      <c r="Q3215" s="233"/>
      <c r="R3215" s="233"/>
      <c r="S3215" s="233"/>
      <c r="T3215" s="508">
        <f t="shared" si="2463"/>
        <v>0</v>
      </c>
      <c r="U3215" s="225">
        <f>IF(NOT(ISNUMBER(G3215)), "", VLOOKUP(A3215,'Discount Lookup'!D:E,2,FALSE)*G3215)</f>
        <v>0</v>
      </c>
      <c r="V3215" s="225">
        <f>IF(NOT(ISNUMBER(G3215)), "", VLOOKUP(A3215,'Discount Lookup'!G:H,2,FALSE)*G3215)</f>
        <v>0</v>
      </c>
      <c r="W3215" s="508">
        <f t="shared" si="2464"/>
        <v>0</v>
      </c>
      <c r="X3215" s="508">
        <f t="shared" si="2465"/>
        <v>0</v>
      </c>
      <c r="Y3215" s="509" t="b">
        <f t="shared" si="2466"/>
        <v>0</v>
      </c>
      <c r="Z3215" s="510">
        <f t="shared" si="2467"/>
        <v>0</v>
      </c>
      <c r="AA3215" s="511"/>
      <c r="AB3215" s="511" t="str">
        <f t="shared" si="2468"/>
        <v/>
      </c>
      <c r="AC3215" s="698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698"/>
      <c r="AE3215" s="631" t="str">
        <f t="shared" si="2469"/>
        <v/>
      </c>
      <c r="AF3215" s="699" t="str">
        <f t="shared" si="2470"/>
        <v/>
      </c>
      <c r="AG3215" s="699"/>
      <c r="AH3215" s="699"/>
      <c r="AI3215" s="512">
        <f>IF(H3215="credit",0,IF(AE3215="free",0,IF(AE3215="me",0,IF(G3215&gt;0,(VLOOKUP(A3215,'Discount Lookup'!J:K,2)*G3215),0))))</f>
        <v>0</v>
      </c>
      <c r="AJ3215" s="513" t="str">
        <f t="shared" ca="1" si="2471"/>
        <v/>
      </c>
      <c r="AK3215" s="700" t="str">
        <f t="shared" si="2472"/>
        <v/>
      </c>
      <c r="AL3215" s="700"/>
      <c r="AM3215" s="505" t="str">
        <f t="shared" si="2473"/>
        <v/>
      </c>
      <c r="AN3215" s="506"/>
      <c r="AO3215" s="507"/>
      <c r="AP3215" s="507"/>
      <c r="AQ3215" s="507"/>
      <c r="AR3215" s="507"/>
      <c r="AS3215" s="507"/>
      <c r="AT3215" s="507"/>
      <c r="AU3215" s="507"/>
      <c r="AV3215" s="225"/>
      <c r="AW3215" s="508"/>
      <c r="AX3215" s="225"/>
      <c r="AY3215" s="225"/>
      <c r="AZ3215" s="225"/>
      <c r="BA3215" s="225"/>
      <c r="BB3215" s="225"/>
      <c r="BC3215" s="56"/>
      <c r="BD3215" s="56"/>
      <c r="BE3215" s="56"/>
      <c r="BF3215" s="107" t="str">
        <f t="shared" si="2474"/>
        <v>https://www.google.com/search?tbm=isch&amp;q=7%20G4</v>
      </c>
      <c r="BG3215" s="107" t="str">
        <f t="shared" si="2475"/>
        <v>S</v>
      </c>
      <c r="BH3215" s="254"/>
      <c r="BI3215" s="254"/>
    </row>
    <row r="3216" spans="1:61" customFormat="1" ht="17.25" thickBot="1" x14ac:dyDescent="0.3">
      <c r="A3216" s="524" t="s">
        <v>2470</v>
      </c>
      <c r="B3216" s="245"/>
      <c r="C3216" s="677"/>
      <c r="D3216" s="499"/>
      <c r="E3216" s="499"/>
      <c r="F3216" s="500"/>
      <c r="G3216" s="501"/>
      <c r="H3216" s="502"/>
      <c r="I3216" s="246"/>
      <c r="J3216" s="247"/>
      <c r="K3216" s="503"/>
      <c r="L3216" s="544"/>
      <c r="M3216" s="544"/>
      <c r="N3216" s="500"/>
      <c r="O3216" s="500"/>
      <c r="P3216" s="500"/>
      <c r="Q3216" s="500"/>
      <c r="R3216" s="500"/>
      <c r="S3216" s="278"/>
      <c r="T3216" s="508">
        <f t="shared" si="2463"/>
        <v>0</v>
      </c>
      <c r="U3216" s="225" t="str">
        <f>IF(NOT(ISNUMBER(G3216)), "", VLOOKUP(A3216,'Discount Lookup'!D:E,2,FALSE)*G3216)</f>
        <v/>
      </c>
      <c r="V3216" s="225" t="str">
        <f>IF(NOT(ISNUMBER(G3216)), "", VLOOKUP(A3216,'Discount Lookup'!G:H,2,FALSE)*G3216)</f>
        <v/>
      </c>
      <c r="W3216" s="508">
        <f t="shared" si="2464"/>
        <v>0</v>
      </c>
      <c r="X3216" s="508">
        <f t="shared" si="2465"/>
        <v>0</v>
      </c>
      <c r="Y3216" s="509" t="b">
        <f t="shared" si="2466"/>
        <v>0</v>
      </c>
      <c r="Z3216" s="510">
        <f t="shared" si="2467"/>
        <v>0</v>
      </c>
      <c r="AA3216" s="511"/>
      <c r="AB3216" s="511" t="str">
        <f t="shared" si="2468"/>
        <v/>
      </c>
      <c r="AC3216" s="698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698"/>
      <c r="AE3216" s="631" t="str">
        <f t="shared" si="2469"/>
        <v/>
      </c>
      <c r="AF3216" s="699" t="str">
        <f t="shared" si="2470"/>
        <v/>
      </c>
      <c r="AG3216" s="699"/>
      <c r="AH3216" s="699"/>
      <c r="AI3216" s="512">
        <f>IF(H3216="credit",0,IF(AE3216="free",0,IF(AE3216="me",0,IF(G3216&gt;0,(VLOOKUP(A3216,'Discount Lookup'!J:K,2)*G3216),0))))</f>
        <v>0</v>
      </c>
      <c r="AJ3216" s="513" t="str">
        <f t="shared" ca="1" si="2471"/>
        <v/>
      </c>
      <c r="AK3216" s="700" t="str">
        <f t="shared" si="2472"/>
        <v/>
      </c>
      <c r="AL3216" s="700"/>
      <c r="AM3216" s="505" t="str">
        <f t="shared" si="2473"/>
        <v/>
      </c>
      <c r="AN3216" s="506"/>
      <c r="AO3216" s="507"/>
      <c r="AP3216" s="507"/>
      <c r="AQ3216" s="507"/>
      <c r="AR3216" s="507"/>
      <c r="AS3216" s="507"/>
      <c r="AT3216" s="507"/>
      <c r="AU3216" s="507"/>
      <c r="AV3216" s="225"/>
      <c r="AW3216" s="508"/>
      <c r="AX3216" s="225"/>
      <c r="AY3216" s="225"/>
      <c r="AZ3216" s="225"/>
      <c r="BA3216" s="225"/>
      <c r="BB3216" s="225"/>
      <c r="BC3216" s="56"/>
      <c r="BD3216" s="56"/>
      <c r="BE3216" s="56"/>
      <c r="BF3216" s="107" t="str">
        <f t="shared" si="2474"/>
        <v>https://www.google.com/search?tbm=isch&amp;q=Saratogaare%20all%20male%2C%20so%20no%20messy%20fruit.%20Foliage%20more%20deeply-cut%2C%20finger-like%2C%20among%20Ginkgos.%20Rich%2C%20Golde-Yellow%20fall%20coloration%20</v>
      </c>
      <c r="BG3216" s="107" t="str">
        <f t="shared" si="2475"/>
        <v>S</v>
      </c>
      <c r="BH3216" s="254"/>
      <c r="BI3216" s="254"/>
    </row>
    <row r="3217" spans="1:61" customFormat="1" ht="18" x14ac:dyDescent="0.25">
      <c r="A3217" s="521" t="s">
        <v>2653</v>
      </c>
      <c r="B3217" s="477"/>
      <c r="C3217" s="674"/>
      <c r="D3217" s="478" t="s">
        <v>1677</v>
      </c>
      <c r="E3217" s="479"/>
      <c r="F3217" s="479"/>
      <c r="G3217" s="479"/>
      <c r="H3217" s="582" t="s">
        <v>2654</v>
      </c>
      <c r="I3217" s="480" t="s">
        <v>2092</v>
      </c>
      <c r="J3217" s="479"/>
      <c r="K3217" s="479"/>
      <c r="L3217" s="560"/>
      <c r="M3217" s="666" t="s">
        <v>4963</v>
      </c>
      <c r="N3217" s="680" t="str">
        <f>IF(AND(ISTEXT($A3217), ISERROR($A3217+0)), HYPERLINK($BF3217, "Images"), "")</f>
        <v>Images</v>
      </c>
      <c r="O3217" s="662" t="s">
        <v>4969</v>
      </c>
      <c r="P3217" s="482"/>
      <c r="Q3217" s="483"/>
      <c r="R3217" s="483"/>
      <c r="S3217" s="484"/>
      <c r="T3217" s="508">
        <f t="shared" si="2463"/>
        <v>0</v>
      </c>
      <c r="U3217" s="225" t="str">
        <f>IF(NOT(ISNUMBER(G3217)), "", VLOOKUP(A3217,'Discount Lookup'!D:E,2,FALSE)*G3217)</f>
        <v/>
      </c>
      <c r="V3217" s="225" t="str">
        <f>IF(NOT(ISNUMBER(G3217)), "", VLOOKUP(A3217,'Discount Lookup'!G:H,2,FALSE)*G3217)</f>
        <v/>
      </c>
      <c r="W3217" s="508">
        <f t="shared" si="2464"/>
        <v>0</v>
      </c>
      <c r="X3217" s="508" t="str">
        <f t="shared" si="2465"/>
        <v>Blue-Green foliage</v>
      </c>
      <c r="Y3217" s="509" t="b">
        <f t="shared" si="2466"/>
        <v>0</v>
      </c>
      <c r="Z3217" s="510">
        <f t="shared" si="2467"/>
        <v>0</v>
      </c>
      <c r="AA3217" s="511"/>
      <c r="AB3217" s="511" t="str">
        <f t="shared" si="2468"/>
        <v/>
      </c>
      <c r="AC3217" s="698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698"/>
      <c r="AE3217" s="631" t="str">
        <f t="shared" si="2469"/>
        <v/>
      </c>
      <c r="AF3217" s="699" t="str">
        <f t="shared" si="2470"/>
        <v/>
      </c>
      <c r="AG3217" s="699"/>
      <c r="AH3217" s="699"/>
      <c r="AI3217" s="512">
        <f>IF(H3217="credit",0,IF(AE3217="free",0,IF(AE3217="me",0,IF(G3217&gt;0,(VLOOKUP(A3217,'Discount Lookup'!J:K,2)*G3217),0))))</f>
        <v>0</v>
      </c>
      <c r="AJ3217" s="513" t="str">
        <f t="shared" ca="1" si="2471"/>
        <v/>
      </c>
      <c r="AK3217" s="700" t="str">
        <f t="shared" si="2472"/>
        <v/>
      </c>
      <c r="AL3217" s="700"/>
      <c r="AM3217" s="505" t="str">
        <f t="shared" si="2473"/>
        <v/>
      </c>
      <c r="AN3217" s="506"/>
      <c r="AO3217" s="507"/>
      <c r="AP3217" s="507"/>
      <c r="AQ3217" s="507"/>
      <c r="AR3217" s="507"/>
      <c r="AS3217" s="507"/>
      <c r="AT3217" s="507"/>
      <c r="AU3217" s="507"/>
      <c r="AV3217" s="225"/>
      <c r="AW3217" s="508"/>
      <c r="AX3217" s="225"/>
      <c r="AY3217" s="225"/>
      <c r="AZ3217" s="225"/>
      <c r="BA3217" s="225"/>
      <c r="BB3217" s="225"/>
      <c r="BC3217" s="56"/>
      <c r="BD3217" s="56"/>
      <c r="BE3217" s="56"/>
      <c r="BF3217" s="107" t="str">
        <f t="shared" si="2474"/>
        <v>https://www.google.com/search?tbm=isch&amp;q=Sargent%27s%20Juniper%20Juniperus%20chinensis%20var.%20sargentii</v>
      </c>
      <c r="BG3217" s="107" t="str">
        <f t="shared" si="2475"/>
        <v>S</v>
      </c>
      <c r="BH3217" s="254"/>
      <c r="BI3217" s="254"/>
    </row>
    <row r="3218" spans="1:61" customFormat="1" ht="15.75" x14ac:dyDescent="0.25">
      <c r="A3218" s="485">
        <v>3</v>
      </c>
      <c r="B3218" s="486" t="s">
        <v>291</v>
      </c>
      <c r="C3218" s="487"/>
      <c r="D3218" s="488" t="s">
        <v>298</v>
      </c>
      <c r="E3218" s="489">
        <v>25.95</v>
      </c>
      <c r="F3218" s="516" t="s">
        <v>293</v>
      </c>
      <c r="G3218" s="232">
        <v>0</v>
      </c>
      <c r="H3218" s="658" t="str">
        <f>IF(G3218=0,"",IF(F3218="Buy",IF(G3218=1,"plant","plants"),IF(F3218&gt;0.01,"warranty","Error")))</f>
        <v/>
      </c>
      <c r="I3218" s="490">
        <f>IF(H3218="free",0,IF(H3218="credit",((E3218*(F3218))*G3218*-1),IF(F3218="Buy",(E3218*G3218),((E3218*(1-F3218))*G3218))))</f>
        <v>0</v>
      </c>
      <c r="J3218" s="490">
        <f>IF(H3218="warranty",0,(I3218*(_xlfn.SINGLE(SalesTaxPercentage))))</f>
        <v>0</v>
      </c>
      <c r="K3218" s="695">
        <f t="shared" ref="K3218" si="2477">I3218+J3218</f>
        <v>0</v>
      </c>
      <c r="L3218" s="695"/>
      <c r="M3218" s="659" t="str">
        <f>IF(AND(G3218&gt;0,E3218=0),"WARNING - no PRICE inserted",IF(H3218="free"," FREE ~ no charge this plant",IF(H3218="credit",CONCATENATE(" -$",ROUND(K3218*(1-T2GDiscount)*-1,2)," CREDIT after discount"),IF(T2GDiscount=0,"",IF(G3218=0,"",IF(F3218="Buy",CONCATENATE(" $",ROUND(K3218*(1-T2GDiscount),2)," with ",(T2GDiscount*100),"% discount"),CONCATENATE(" $",ROUND(K3218*(1-T2GDiscount),2)," with ",((T2GDiscount*100+F3218*100)-(T2GDiscount*100*F3218)),IF(F3218&gt;0,"% discounts",IF(NoWarrantyDiscount&gt;0,"% discounts","% discount")))))))))</f>
        <v/>
      </c>
      <c r="N3218" s="660"/>
      <c r="O3218" s="233"/>
      <c r="P3218" s="233"/>
      <c r="Q3218" s="233"/>
      <c r="R3218" s="233"/>
      <c r="S3218" s="233"/>
      <c r="T3218" s="508">
        <f t="shared" si="2463"/>
        <v>0</v>
      </c>
      <c r="U3218" s="225">
        <f>IF(NOT(ISNUMBER(G3218)), "", VLOOKUP(A3218,'Discount Lookup'!D:E,2,FALSE)*G3218)</f>
        <v>0</v>
      </c>
      <c r="V3218" s="225">
        <f>IF(NOT(ISNUMBER(G3218)), "", VLOOKUP(A3218,'Discount Lookup'!G:H,2,FALSE)*G3218)</f>
        <v>0</v>
      </c>
      <c r="W3218" s="508">
        <f t="shared" si="2464"/>
        <v>0</v>
      </c>
      <c r="X3218" s="508">
        <f t="shared" si="2465"/>
        <v>0</v>
      </c>
      <c r="Y3218" s="509" t="b">
        <f t="shared" si="2466"/>
        <v>0</v>
      </c>
      <c r="Z3218" s="510">
        <f t="shared" si="2467"/>
        <v>0</v>
      </c>
      <c r="AA3218" s="511"/>
      <c r="AB3218" s="511" t="str">
        <f t="shared" si="2468"/>
        <v/>
      </c>
      <c r="AC3218" s="698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698"/>
      <c r="AE3218" s="631" t="str">
        <f t="shared" si="2469"/>
        <v/>
      </c>
      <c r="AF3218" s="699" t="str">
        <f t="shared" si="2470"/>
        <v/>
      </c>
      <c r="AG3218" s="699"/>
      <c r="AH3218" s="699"/>
      <c r="AI3218" s="512">
        <f>IF(H3218="credit",0,IF(AE3218="free",0,IF(AE3218="me",0,IF(G3218&gt;0,(VLOOKUP(A3218,'Discount Lookup'!J:K,2)*G3218),0))))</f>
        <v>0</v>
      </c>
      <c r="AJ3218" s="513" t="str">
        <f t="shared" ca="1" si="2471"/>
        <v/>
      </c>
      <c r="AK3218" s="700" t="str">
        <f t="shared" si="2472"/>
        <v/>
      </c>
      <c r="AL3218" s="700"/>
      <c r="AM3218" s="505" t="str">
        <f t="shared" si="2473"/>
        <v/>
      </c>
      <c r="AN3218" s="506"/>
      <c r="AO3218" s="507"/>
      <c r="AP3218" s="507"/>
      <c r="AQ3218" s="507"/>
      <c r="AR3218" s="507"/>
      <c r="AS3218" s="507"/>
      <c r="AT3218" s="507"/>
      <c r="AU3218" s="507"/>
      <c r="AV3218" s="225"/>
      <c r="AW3218" s="508"/>
      <c r="AX3218" s="225"/>
      <c r="AY3218" s="225"/>
      <c r="AZ3218" s="225"/>
      <c r="BA3218" s="225"/>
      <c r="BB3218" s="225"/>
      <c r="BC3218" s="56"/>
      <c r="BD3218" s="56"/>
      <c r="BE3218" s="56"/>
      <c r="BF3218" s="107" t="str">
        <f t="shared" si="2474"/>
        <v>https://www.google.com/search?tbm=isch&amp;q=3%20G1</v>
      </c>
      <c r="BG3218" s="107" t="str">
        <f t="shared" si="2475"/>
        <v>S</v>
      </c>
      <c r="BH3218" s="254"/>
      <c r="BI3218" s="254"/>
    </row>
    <row r="3219" spans="1:61" customFormat="1" ht="17.25" thickBot="1" x14ac:dyDescent="0.3">
      <c r="A3219" s="522" t="s">
        <v>2693</v>
      </c>
      <c r="B3219" s="491"/>
      <c r="C3219" s="675"/>
      <c r="D3219" s="491"/>
      <c r="E3219" s="491"/>
      <c r="F3219" s="492"/>
      <c r="G3219" s="493"/>
      <c r="H3219" s="491"/>
      <c r="I3219" s="234"/>
      <c r="J3219" s="234"/>
      <c r="K3219" s="494"/>
      <c r="L3219" s="543"/>
      <c r="M3219" s="561"/>
      <c r="N3219" s="495"/>
      <c r="O3219" s="496"/>
      <c r="P3219" s="497"/>
      <c r="Q3219" s="495"/>
      <c r="R3219" s="495"/>
      <c r="S3219" s="667" t="s">
        <v>4982</v>
      </c>
      <c r="T3219" s="508">
        <f t="shared" si="2463"/>
        <v>0</v>
      </c>
      <c r="U3219" s="225" t="str">
        <f>IF(NOT(ISNUMBER(G3219)), "", VLOOKUP(A3219,'Discount Lookup'!D:E,2,FALSE)*G3219)</f>
        <v/>
      </c>
      <c r="V3219" s="225" t="str">
        <f>IF(NOT(ISNUMBER(G3219)), "", VLOOKUP(A3219,'Discount Lookup'!G:H,2,FALSE)*G3219)</f>
        <v/>
      </c>
      <c r="W3219" s="508">
        <f t="shared" si="2464"/>
        <v>0</v>
      </c>
      <c r="X3219" s="508">
        <f t="shared" si="2465"/>
        <v>0</v>
      </c>
      <c r="Y3219" s="509" t="b">
        <f t="shared" si="2466"/>
        <v>0</v>
      </c>
      <c r="Z3219" s="510">
        <f t="shared" si="2467"/>
        <v>0</v>
      </c>
      <c r="AA3219" s="511"/>
      <c r="AB3219" s="511" t="str">
        <f t="shared" si="2468"/>
        <v/>
      </c>
      <c r="AC3219" s="698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698"/>
      <c r="AE3219" s="631" t="str">
        <f t="shared" si="2469"/>
        <v/>
      </c>
      <c r="AF3219" s="699" t="str">
        <f t="shared" si="2470"/>
        <v/>
      </c>
      <c r="AG3219" s="699"/>
      <c r="AH3219" s="699"/>
      <c r="AI3219" s="512">
        <f>IF(H3219="credit",0,IF(AE3219="free",0,IF(AE3219="me",0,IF(G3219&gt;0,(VLOOKUP(A3219,'Discount Lookup'!J:K,2)*G3219),0))))</f>
        <v>0</v>
      </c>
      <c r="AJ3219" s="513" t="str">
        <f t="shared" ca="1" si="2471"/>
        <v/>
      </c>
      <c r="AK3219" s="700" t="str">
        <f t="shared" si="2472"/>
        <v/>
      </c>
      <c r="AL3219" s="700"/>
      <c r="AM3219" s="505" t="str">
        <f t="shared" si="2473"/>
        <v/>
      </c>
      <c r="AN3219" s="506"/>
      <c r="AO3219" s="507"/>
      <c r="AP3219" s="507"/>
      <c r="AQ3219" s="507"/>
      <c r="AR3219" s="507"/>
      <c r="AS3219" s="507"/>
      <c r="AT3219" s="507"/>
      <c r="AU3219" s="507"/>
      <c r="AV3219" s="225"/>
      <c r="AW3219" s="508"/>
      <c r="AX3219" s="225"/>
      <c r="AY3219" s="225"/>
      <c r="AZ3219" s="225"/>
      <c r="BA3219" s="225"/>
      <c r="BB3219" s="225"/>
      <c r="BC3219" s="56"/>
      <c r="BD3219" s="56"/>
      <c r="BE3219" s="56"/>
      <c r="BF3219" s="107" t="str">
        <f t="shared" si="2474"/>
        <v>https://www.google.com/search?tbm=isch&amp;q=Sargent%E2%80%99s%20sprawls%20into%20tough%2C%20erosion-controlling%20carpet.%20Aromatic%2C%20exfoliating%20bark.%20Winter%20bronzing.%20Sun%2Fheat%2Fdrought%20tolerant%20</v>
      </c>
      <c r="BG3219" s="107" t="str">
        <f t="shared" si="2475"/>
        <v>S</v>
      </c>
      <c r="BH3219" s="254"/>
      <c r="BI3219" s="254"/>
    </row>
    <row r="3220" spans="1:61" customFormat="1" ht="18" x14ac:dyDescent="0.25">
      <c r="A3220" s="523" t="s">
        <v>1678</v>
      </c>
      <c r="B3220" s="235"/>
      <c r="C3220" s="676"/>
      <c r="D3220" s="255" t="s">
        <v>1679</v>
      </c>
      <c r="E3220" s="236"/>
      <c r="F3220" s="236"/>
      <c r="G3220" s="236"/>
      <c r="H3220" s="582" t="s">
        <v>355</v>
      </c>
      <c r="I3220" s="498" t="s">
        <v>656</v>
      </c>
      <c r="J3220" s="237"/>
      <c r="K3220" s="237"/>
      <c r="L3220" s="274"/>
      <c r="M3220" s="668" t="s">
        <v>4975</v>
      </c>
      <c r="N3220" s="681" t="str">
        <f>IF(AND(ISTEXT($A3220), ISERROR($A3220+0)), HYPERLINK($BF3220, "Images"), "")</f>
        <v>Images</v>
      </c>
      <c r="O3220" s="663" t="s">
        <v>4967</v>
      </c>
      <c r="P3220" s="253"/>
      <c r="Q3220" s="238"/>
      <c r="R3220" s="239"/>
      <c r="S3220" s="275"/>
      <c r="T3220" s="508">
        <f t="shared" si="2463"/>
        <v>0</v>
      </c>
      <c r="U3220" s="225" t="str">
        <f>IF(NOT(ISNUMBER(G3220)), "", VLOOKUP(A3220,'Discount Lookup'!D:E,2,FALSE)*G3220)</f>
        <v/>
      </c>
      <c r="V3220" s="225" t="str">
        <f>IF(NOT(ISNUMBER(G3220)), "", VLOOKUP(A3220,'Discount Lookup'!G:H,2,FALSE)*G3220)</f>
        <v/>
      </c>
      <c r="W3220" s="508">
        <f t="shared" si="2464"/>
        <v>0</v>
      </c>
      <c r="X3220" s="508" t="str">
        <f t="shared" si="2465"/>
        <v>Pink bloom</v>
      </c>
      <c r="Y3220" s="509" t="b">
        <f t="shared" si="2466"/>
        <v>0</v>
      </c>
      <c r="Z3220" s="510">
        <f t="shared" si="2467"/>
        <v>0</v>
      </c>
      <c r="AA3220" s="511"/>
      <c r="AB3220" s="511" t="str">
        <f t="shared" si="2468"/>
        <v/>
      </c>
      <c r="AC3220" s="698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698"/>
      <c r="AE3220" s="631" t="str">
        <f t="shared" si="2469"/>
        <v/>
      </c>
      <c r="AF3220" s="699" t="str">
        <f t="shared" si="2470"/>
        <v/>
      </c>
      <c r="AG3220" s="699"/>
      <c r="AH3220" s="699"/>
      <c r="AI3220" s="512">
        <f>IF(H3220="credit",0,IF(AE3220="free",0,IF(AE3220="me",0,IF(G3220&gt;0,(VLOOKUP(A3220,'Discount Lookup'!J:K,2)*G3220),0))))</f>
        <v>0</v>
      </c>
      <c r="AJ3220" s="513" t="str">
        <f t="shared" ca="1" si="2471"/>
        <v/>
      </c>
      <c r="AK3220" s="700" t="str">
        <f t="shared" si="2472"/>
        <v/>
      </c>
      <c r="AL3220" s="700"/>
      <c r="AM3220" s="505" t="str">
        <f t="shared" si="2473"/>
        <v/>
      </c>
      <c r="AN3220" s="506"/>
      <c r="AO3220" s="507"/>
      <c r="AP3220" s="507"/>
      <c r="AQ3220" s="507"/>
      <c r="AR3220" s="507"/>
      <c r="AS3220" s="507"/>
      <c r="AT3220" s="507"/>
      <c r="AU3220" s="507"/>
      <c r="AV3220" s="225"/>
      <c r="AW3220" s="508"/>
      <c r="AX3220" s="225"/>
      <c r="AY3220" s="225"/>
      <c r="AZ3220" s="225"/>
      <c r="BA3220" s="225"/>
      <c r="BB3220" s="225"/>
      <c r="BC3220" s="56"/>
      <c r="BD3220" s="56"/>
      <c r="BE3220" s="56"/>
      <c r="BF3220" s="107" t="str">
        <f t="shared" si="2474"/>
        <v>https://www.google.com/search?tbm=isch&amp;q=Satomi%20Pink%20Kousa%20Dogwood%20Cornus%20kousa%20%27Satomi%27</v>
      </c>
      <c r="BG3220" s="107" t="str">
        <f t="shared" si="2475"/>
        <v>S</v>
      </c>
      <c r="BH3220" s="254"/>
      <c r="BI3220" s="254"/>
    </row>
    <row r="3221" spans="1:61" customFormat="1" ht="27" x14ac:dyDescent="0.25">
      <c r="A3221" s="276">
        <v>10</v>
      </c>
      <c r="B3221" s="240" t="s">
        <v>291</v>
      </c>
      <c r="C3221" s="241" t="s">
        <v>3743</v>
      </c>
      <c r="D3221" s="242" t="s">
        <v>292</v>
      </c>
      <c r="E3221" s="243">
        <v>169.95</v>
      </c>
      <c r="F3221" s="517" t="s">
        <v>293</v>
      </c>
      <c r="G3221" s="232">
        <v>0</v>
      </c>
      <c r="H3221" s="661" t="str">
        <f>IF(G3221=0,"",IF(F3221="Buy",IF(G3221=1,"plant","plants"),IF(F3221&gt;0.01,"warranty","Error")))</f>
        <v/>
      </c>
      <c r="I3221" s="244">
        <f>IF(H3221="free",0,IF(H3221="credit",((E3221*(F3221))*G3221*-1),IF(F3221="Buy",(E3221*G3221),((E3221*(1-F3221))*G3221))))</f>
        <v>0</v>
      </c>
      <c r="J3221" s="244">
        <f>IF(H3221="warranty",0,(I3221*(_xlfn.SINGLE(SalesTaxPercentage))))</f>
        <v>0</v>
      </c>
      <c r="K3221" s="696">
        <f t="shared" ref="K3221" si="2478">I3221+J3221</f>
        <v>0</v>
      </c>
      <c r="L3221" s="696"/>
      <c r="M3221" s="659" t="str">
        <f>IF(AND(G3221&gt;0,E3221=0),"WARNING - no PRICE inserted",IF(H3221="free"," FREE ~ no charge this plant",IF(H3221="credit",CONCATENATE(" -$",ROUND(K3221*(1-T2GDiscount)*-1,2)," CREDIT after discount"),IF(T2GDiscount=0,"",IF(G3221=0,"",IF(F3221="Buy",CONCATENATE(" $",ROUND(K3221*(1-T2GDiscount),2)," with ",(T2GDiscount*100),"% discount"),CONCATENATE(" $",ROUND(K3221*(1-T2GDiscount),2)," with ",((T2GDiscount*100+F3221*100)-(T2GDiscount*100*F3221)),IF(F3221&gt;0,"% discounts",IF(NoWarrantyDiscount&gt;0,"% discounts","% discount")))))))))</f>
        <v/>
      </c>
      <c r="N3221" s="660"/>
      <c r="O3221" s="233"/>
      <c r="P3221" s="233"/>
      <c r="Q3221" s="233"/>
      <c r="R3221" s="233"/>
      <c r="S3221" s="233"/>
      <c r="T3221" s="508">
        <f t="shared" si="2463"/>
        <v>0</v>
      </c>
      <c r="U3221" s="225">
        <f>IF(NOT(ISNUMBER(G3221)), "", VLOOKUP(A3221,'Discount Lookup'!D:E,2,FALSE)*G3221)</f>
        <v>0</v>
      </c>
      <c r="V3221" s="225">
        <f>IF(NOT(ISNUMBER(G3221)), "", VLOOKUP(A3221,'Discount Lookup'!G:H,2,FALSE)*G3221)</f>
        <v>0</v>
      </c>
      <c r="W3221" s="508">
        <f t="shared" si="2464"/>
        <v>0</v>
      </c>
      <c r="X3221" s="508">
        <f t="shared" si="2465"/>
        <v>0</v>
      </c>
      <c r="Y3221" s="509" t="b">
        <f t="shared" si="2466"/>
        <v>0</v>
      </c>
      <c r="Z3221" s="510">
        <f t="shared" si="2467"/>
        <v>0</v>
      </c>
      <c r="AA3221" s="511"/>
      <c r="AB3221" s="511" t="str">
        <f t="shared" si="2468"/>
        <v/>
      </c>
      <c r="AC3221" s="698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698"/>
      <c r="AE3221" s="631" t="str">
        <f t="shared" si="2469"/>
        <v/>
      </c>
      <c r="AF3221" s="699" t="str">
        <f t="shared" si="2470"/>
        <v/>
      </c>
      <c r="AG3221" s="699"/>
      <c r="AH3221" s="699"/>
      <c r="AI3221" s="512">
        <f>IF(H3221="credit",0,IF(AE3221="free",0,IF(AE3221="me",0,IF(G3221&gt;0,(VLOOKUP(A3221,'Discount Lookup'!J:K,2)*G3221),0))))</f>
        <v>0</v>
      </c>
      <c r="AJ3221" s="513" t="str">
        <f t="shared" ca="1" si="2471"/>
        <v/>
      </c>
      <c r="AK3221" s="700" t="str">
        <f t="shared" si="2472"/>
        <v/>
      </c>
      <c r="AL3221" s="700"/>
      <c r="AM3221" s="505" t="str">
        <f t="shared" si="2473"/>
        <v/>
      </c>
      <c r="AN3221" s="506"/>
      <c r="AO3221" s="507"/>
      <c r="AP3221" s="507"/>
      <c r="AQ3221" s="507"/>
      <c r="AR3221" s="507"/>
      <c r="AS3221" s="507"/>
      <c r="AT3221" s="507"/>
      <c r="AU3221" s="507"/>
      <c r="AV3221" s="225"/>
      <c r="AW3221" s="508"/>
      <c r="AX3221" s="225"/>
      <c r="AY3221" s="225"/>
      <c r="AZ3221" s="225"/>
      <c r="BA3221" s="225"/>
      <c r="BB3221" s="225"/>
      <c r="BC3221" s="56"/>
      <c r="BD3221" s="56"/>
      <c r="BE3221" s="56"/>
      <c r="BF3221" s="107" t="str">
        <f t="shared" si="2474"/>
        <v>https://www.google.com/search?tbm=isch&amp;q=10%20G4</v>
      </c>
      <c r="BG3221" s="107" t="str">
        <f t="shared" si="2475"/>
        <v>S</v>
      </c>
      <c r="BH3221" s="254"/>
      <c r="BI3221" s="254"/>
    </row>
    <row r="3222" spans="1:61" customFormat="1" ht="17.25" thickBot="1" x14ac:dyDescent="0.3">
      <c r="A3222" s="524" t="s">
        <v>2175</v>
      </c>
      <c r="B3222" s="245"/>
      <c r="C3222" s="677"/>
      <c r="D3222" s="499"/>
      <c r="E3222" s="499"/>
      <c r="F3222" s="500"/>
      <c r="G3222" s="501"/>
      <c r="H3222" s="502"/>
      <c r="I3222" s="246"/>
      <c r="J3222" s="247"/>
      <c r="K3222" s="503"/>
      <c r="L3222" s="544"/>
      <c r="M3222" s="544"/>
      <c r="N3222" s="500"/>
      <c r="O3222" s="500"/>
      <c r="P3222" s="500"/>
      <c r="Q3222" s="500"/>
      <c r="R3222" s="500"/>
      <c r="S3222" s="669" t="s">
        <v>4996</v>
      </c>
      <c r="T3222" s="508">
        <f t="shared" si="2463"/>
        <v>0</v>
      </c>
      <c r="U3222" s="225" t="str">
        <f>IF(NOT(ISNUMBER(G3222)), "", VLOOKUP(A3222,'Discount Lookup'!D:E,2,FALSE)*G3222)</f>
        <v/>
      </c>
      <c r="V3222" s="225" t="str">
        <f>IF(NOT(ISNUMBER(G3222)), "", VLOOKUP(A3222,'Discount Lookup'!G:H,2,FALSE)*G3222)</f>
        <v/>
      </c>
      <c r="W3222" s="508">
        <f t="shared" si="2464"/>
        <v>0</v>
      </c>
      <c r="X3222" s="508">
        <f t="shared" si="2465"/>
        <v>0</v>
      </c>
      <c r="Y3222" s="509" t="b">
        <f t="shared" si="2466"/>
        <v>0</v>
      </c>
      <c r="Z3222" s="510">
        <f t="shared" si="2467"/>
        <v>0</v>
      </c>
      <c r="AA3222" s="511"/>
      <c r="AB3222" s="511" t="str">
        <f t="shared" si="2468"/>
        <v/>
      </c>
      <c r="AC3222" s="698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698"/>
      <c r="AE3222" s="631" t="str">
        <f t="shared" si="2469"/>
        <v/>
      </c>
      <c r="AF3222" s="699" t="str">
        <f t="shared" si="2470"/>
        <v/>
      </c>
      <c r="AG3222" s="699"/>
      <c r="AH3222" s="699"/>
      <c r="AI3222" s="512">
        <f>IF(H3222="credit",0,IF(AE3222="free",0,IF(AE3222="me",0,IF(G3222&gt;0,(VLOOKUP(A3222,'Discount Lookup'!J:K,2)*G3222),0))))</f>
        <v>0</v>
      </c>
      <c r="AJ3222" s="513" t="str">
        <f t="shared" ca="1" si="2471"/>
        <v/>
      </c>
      <c r="AK3222" s="700" t="str">
        <f t="shared" si="2472"/>
        <v/>
      </c>
      <c r="AL3222" s="700"/>
      <c r="AM3222" s="505" t="str">
        <f t="shared" si="2473"/>
        <v/>
      </c>
      <c r="AN3222" s="506"/>
      <c r="AO3222" s="507"/>
      <c r="AP3222" s="507"/>
      <c r="AQ3222" s="507"/>
      <c r="AR3222" s="507"/>
      <c r="AS3222" s="507"/>
      <c r="AT3222" s="507"/>
      <c r="AU3222" s="507"/>
      <c r="AV3222" s="225"/>
      <c r="AW3222" s="508"/>
      <c r="AX3222" s="225"/>
      <c r="AY3222" s="225"/>
      <c r="AZ3222" s="225"/>
      <c r="BA3222" s="225"/>
      <c r="BB3222" s="225"/>
      <c r="BC3222" s="56"/>
      <c r="BD3222" s="56"/>
      <c r="BE3222" s="56"/>
      <c r="BF3222" s="107" t="str">
        <f t="shared" si="2474"/>
        <v>https://www.google.com/search?tbm=isch&amp;q=Satomi%20has%20showy%20clusters%20of%20blooms%20in%20spring.%20Purplish-to-brick-red%20fall%20foliage.%20Exfoliating%20bark%20is%20nice%20</v>
      </c>
      <c r="BG3222" s="107" t="str">
        <f t="shared" si="2475"/>
        <v>S</v>
      </c>
      <c r="BH3222" s="254"/>
      <c r="BI3222" s="254"/>
    </row>
    <row r="3223" spans="1:61" customFormat="1" ht="18" x14ac:dyDescent="0.25">
      <c r="A3223" s="521" t="s">
        <v>1680</v>
      </c>
      <c r="B3223" s="477"/>
      <c r="C3223" s="674"/>
      <c r="D3223" s="478" t="s">
        <v>1681</v>
      </c>
      <c r="E3223" s="479"/>
      <c r="F3223" s="479"/>
      <c r="G3223" s="479"/>
      <c r="H3223" s="582" t="s">
        <v>1727</v>
      </c>
      <c r="I3223" s="480" t="s">
        <v>2293</v>
      </c>
      <c r="J3223" s="479"/>
      <c r="K3223" s="479"/>
      <c r="L3223" s="560"/>
      <c r="M3223" s="666" t="s">
        <v>4966</v>
      </c>
      <c r="N3223" s="680" t="str">
        <f>IF(AND(ISTEXT($A3223), ISERROR($A3223+0)), HYPERLINK($BF3223, "Images"), "")</f>
        <v>Images</v>
      </c>
      <c r="O3223" s="662" t="s">
        <v>4969</v>
      </c>
      <c r="P3223" s="482"/>
      <c r="Q3223" s="483"/>
      <c r="R3223" s="483"/>
      <c r="S3223" s="484"/>
      <c r="T3223" s="508">
        <f t="shared" si="2463"/>
        <v>0</v>
      </c>
      <c r="U3223" s="225" t="str">
        <f>IF(NOT(ISNUMBER(G3223)), "", VLOOKUP(A3223,'Discount Lookup'!D:E,2,FALSE)*G3223)</f>
        <v/>
      </c>
      <c r="V3223" s="225" t="str">
        <f>IF(NOT(ISNUMBER(G3223)), "", VLOOKUP(A3223,'Discount Lookup'!G:H,2,FALSE)*G3223)</f>
        <v/>
      </c>
      <c r="W3223" s="508">
        <f t="shared" si="2464"/>
        <v>0</v>
      </c>
      <c r="X3223" s="508" t="str">
        <f t="shared" si="2465"/>
        <v>Golden-Yellow foliage</v>
      </c>
      <c r="Y3223" s="509" t="b">
        <f t="shared" si="2466"/>
        <v>0</v>
      </c>
      <c r="Z3223" s="510">
        <f t="shared" si="2467"/>
        <v>0</v>
      </c>
      <c r="AA3223" s="511"/>
      <c r="AB3223" s="511" t="str">
        <f t="shared" si="2468"/>
        <v/>
      </c>
      <c r="AC3223" s="698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698"/>
      <c r="AE3223" s="631" t="str">
        <f t="shared" si="2469"/>
        <v/>
      </c>
      <c r="AF3223" s="699" t="str">
        <f t="shared" si="2470"/>
        <v/>
      </c>
      <c r="AG3223" s="699"/>
      <c r="AH3223" s="699"/>
      <c r="AI3223" s="512">
        <f>IF(H3223="credit",0,IF(AE3223="free",0,IF(AE3223="me",0,IF(G3223&gt;0,(VLOOKUP(A3223,'Discount Lookup'!J:K,2)*G3223),0))))</f>
        <v>0</v>
      </c>
      <c r="AJ3223" s="513" t="str">
        <f t="shared" ca="1" si="2471"/>
        <v/>
      </c>
      <c r="AK3223" s="700" t="str">
        <f t="shared" si="2472"/>
        <v/>
      </c>
      <c r="AL3223" s="700"/>
      <c r="AM3223" s="505" t="str">
        <f t="shared" si="2473"/>
        <v/>
      </c>
      <c r="AN3223" s="506"/>
      <c r="AO3223" s="507"/>
      <c r="AP3223" s="507"/>
      <c r="AQ3223" s="507"/>
      <c r="AR3223" s="507"/>
      <c r="AS3223" s="507"/>
      <c r="AT3223" s="507"/>
      <c r="AU3223" s="507"/>
      <c r="AV3223" s="225"/>
      <c r="AW3223" s="508"/>
      <c r="AX3223" s="225"/>
      <c r="AY3223" s="225"/>
      <c r="AZ3223" s="225"/>
      <c r="BA3223" s="225"/>
      <c r="BB3223" s="225"/>
      <c r="BC3223" s="56"/>
      <c r="BD3223" s="56"/>
      <c r="BE3223" s="56"/>
      <c r="BF3223" s="107" t="str">
        <f t="shared" si="2474"/>
        <v>https://www.google.com/search?tbm=isch&amp;q=Saybrook%20Gold%20Juniper%20Juniperus%20chinensis%20%27Saybrook%20Gold%27%20PP%235014Exp.</v>
      </c>
      <c r="BG3223" s="107" t="str">
        <f t="shared" si="2475"/>
        <v>S</v>
      </c>
      <c r="BH3223" s="254"/>
      <c r="BI3223" s="254"/>
    </row>
    <row r="3224" spans="1:61" customFormat="1" ht="15.75" x14ac:dyDescent="0.25">
      <c r="A3224" s="485">
        <v>3</v>
      </c>
      <c r="B3224" s="486" t="s">
        <v>291</v>
      </c>
      <c r="C3224" s="487" t="s">
        <v>2798</v>
      </c>
      <c r="D3224" s="488" t="s">
        <v>312</v>
      </c>
      <c r="E3224" s="489">
        <v>26.95</v>
      </c>
      <c r="F3224" s="516" t="s">
        <v>293</v>
      </c>
      <c r="G3224" s="232">
        <v>0</v>
      </c>
      <c r="H3224" s="658" t="str">
        <f>IF(G3224=0,"",IF(F3224="Buy",IF(G3224=1,"plant","plants"),IF(F3224&gt;0.01,"warranty","Error")))</f>
        <v/>
      </c>
      <c r="I3224" s="490">
        <f>IF(H3224="free",0,IF(H3224="credit",((E3224*(F3224))*G3224*-1),IF(F3224="Buy",(E3224*G3224),((E3224*(1-F3224))*G3224))))</f>
        <v>0</v>
      </c>
      <c r="J3224" s="490">
        <f>IF(H3224="warranty",0,(I3224*(_xlfn.SINGLE(SalesTaxPercentage))))</f>
        <v>0</v>
      </c>
      <c r="K3224" s="695">
        <f t="shared" ref="K3224" si="2479">I3224+J3224</f>
        <v>0</v>
      </c>
      <c r="L3224" s="695"/>
      <c r="M3224" s="659" t="str">
        <f>IF(AND(G3224&gt;0,E3224=0),"WARNING - no PRICE inserted",IF(H3224="free"," FREE ~ no charge this plant",IF(H3224="credit",CONCATENATE(" -$",ROUND(K3224*(1-T2GDiscount)*-1,2)," CREDIT after discount"),IF(T2GDiscount=0,"",IF(G3224=0,"",IF(F3224="Buy",CONCATENATE(" $",ROUND(K3224*(1-T2GDiscount),2)," with ",(T2GDiscount*100),"% discount"),CONCATENATE(" $",ROUND(K3224*(1-T2GDiscount),2)," with ",((T2GDiscount*100+F3224*100)-(T2GDiscount*100*F3224)),IF(F3224&gt;0,"% discounts",IF(NoWarrantyDiscount&gt;0,"% discounts","% discount")))))))))</f>
        <v/>
      </c>
      <c r="N3224" s="660"/>
      <c r="O3224" s="233"/>
      <c r="P3224" s="233"/>
      <c r="Q3224" s="233"/>
      <c r="R3224" s="233"/>
      <c r="S3224" s="233"/>
      <c r="T3224" s="508">
        <f t="shared" si="2463"/>
        <v>0</v>
      </c>
      <c r="U3224" s="225">
        <f>IF(NOT(ISNUMBER(G3224)), "", VLOOKUP(A3224,'Discount Lookup'!D:E,2,FALSE)*G3224)</f>
        <v>0</v>
      </c>
      <c r="V3224" s="225">
        <f>IF(NOT(ISNUMBER(G3224)), "", VLOOKUP(A3224,'Discount Lookup'!G:H,2,FALSE)*G3224)</f>
        <v>0</v>
      </c>
      <c r="W3224" s="508">
        <f t="shared" si="2464"/>
        <v>0</v>
      </c>
      <c r="X3224" s="508">
        <f t="shared" si="2465"/>
        <v>0</v>
      </c>
      <c r="Y3224" s="509" t="b">
        <f t="shared" si="2466"/>
        <v>0</v>
      </c>
      <c r="Z3224" s="510">
        <f t="shared" si="2467"/>
        <v>0</v>
      </c>
      <c r="AA3224" s="511"/>
      <c r="AB3224" s="511" t="str">
        <f t="shared" si="2468"/>
        <v/>
      </c>
      <c r="AC3224" s="698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698"/>
      <c r="AE3224" s="631" t="str">
        <f t="shared" si="2469"/>
        <v/>
      </c>
      <c r="AF3224" s="699" t="str">
        <f t="shared" si="2470"/>
        <v/>
      </c>
      <c r="AG3224" s="699"/>
      <c r="AH3224" s="699"/>
      <c r="AI3224" s="512">
        <f>IF(H3224="credit",0,IF(AE3224="free",0,IF(AE3224="me",0,IF(G3224&gt;0,(VLOOKUP(A3224,'Discount Lookup'!J:K,2)*G3224),0))))</f>
        <v>0</v>
      </c>
      <c r="AJ3224" s="513" t="str">
        <f t="shared" ca="1" si="2471"/>
        <v/>
      </c>
      <c r="AK3224" s="700" t="str">
        <f t="shared" si="2472"/>
        <v/>
      </c>
      <c r="AL3224" s="700"/>
      <c r="AM3224" s="505" t="str">
        <f t="shared" si="2473"/>
        <v/>
      </c>
      <c r="AN3224" s="506"/>
      <c r="AO3224" s="507"/>
      <c r="AP3224" s="507"/>
      <c r="AQ3224" s="507"/>
      <c r="AR3224" s="507"/>
      <c r="AS3224" s="507"/>
      <c r="AT3224" s="507"/>
      <c r="AU3224" s="507"/>
      <c r="AV3224" s="225"/>
      <c r="AW3224" s="508"/>
      <c r="AX3224" s="225"/>
      <c r="AY3224" s="225"/>
      <c r="AZ3224" s="225"/>
      <c r="BA3224" s="225"/>
      <c r="BB3224" s="225"/>
      <c r="BC3224" s="56"/>
      <c r="BD3224" s="56"/>
      <c r="BE3224" s="56"/>
      <c r="BF3224" s="107" t="str">
        <f t="shared" si="2474"/>
        <v>https://www.google.com/search?tbm=isch&amp;q=3%20G2</v>
      </c>
      <c r="BG3224" s="107" t="str">
        <f t="shared" si="2475"/>
        <v>S</v>
      </c>
      <c r="BH3224" s="254"/>
      <c r="BI3224" s="254"/>
    </row>
    <row r="3225" spans="1:61" customFormat="1" ht="17.25" thickBot="1" x14ac:dyDescent="0.3">
      <c r="A3225" s="522" t="s">
        <v>2655</v>
      </c>
      <c r="B3225" s="491"/>
      <c r="C3225" s="675"/>
      <c r="D3225" s="491"/>
      <c r="E3225" s="491"/>
      <c r="F3225" s="492"/>
      <c r="G3225" s="493"/>
      <c r="H3225" s="491"/>
      <c r="I3225" s="234"/>
      <c r="J3225" s="234"/>
      <c r="K3225" s="494"/>
      <c r="L3225" s="543"/>
      <c r="M3225" s="561"/>
      <c r="N3225" s="495"/>
      <c r="O3225" s="496"/>
      <c r="P3225" s="497"/>
      <c r="Q3225" s="495"/>
      <c r="R3225" s="495"/>
      <c r="S3225" s="667" t="s">
        <v>4982</v>
      </c>
      <c r="T3225" s="508">
        <f t="shared" si="2463"/>
        <v>0</v>
      </c>
      <c r="U3225" s="225" t="str">
        <f>IF(NOT(ISNUMBER(G3225)), "", VLOOKUP(A3225,'Discount Lookup'!D:E,2,FALSE)*G3225)</f>
        <v/>
      </c>
      <c r="V3225" s="225" t="str">
        <f>IF(NOT(ISNUMBER(G3225)), "", VLOOKUP(A3225,'Discount Lookup'!G:H,2,FALSE)*G3225)</f>
        <v/>
      </c>
      <c r="W3225" s="508">
        <f t="shared" si="2464"/>
        <v>0</v>
      </c>
      <c r="X3225" s="508">
        <f t="shared" si="2465"/>
        <v>0</v>
      </c>
      <c r="Y3225" s="509" t="b">
        <f t="shared" si="2466"/>
        <v>0</v>
      </c>
      <c r="Z3225" s="510">
        <f t="shared" si="2467"/>
        <v>0</v>
      </c>
      <c r="AA3225" s="511"/>
      <c r="AB3225" s="511" t="str">
        <f t="shared" si="2468"/>
        <v/>
      </c>
      <c r="AC3225" s="698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698"/>
      <c r="AE3225" s="631" t="str">
        <f t="shared" si="2469"/>
        <v/>
      </c>
      <c r="AF3225" s="699" t="str">
        <f t="shared" si="2470"/>
        <v/>
      </c>
      <c r="AG3225" s="699"/>
      <c r="AH3225" s="699"/>
      <c r="AI3225" s="512">
        <f>IF(H3225="credit",0,IF(AE3225="free",0,IF(AE3225="me",0,IF(G3225&gt;0,(VLOOKUP(A3225,'Discount Lookup'!J:K,2)*G3225),0))))</f>
        <v>0</v>
      </c>
      <c r="AJ3225" s="513" t="str">
        <f t="shared" ca="1" si="2471"/>
        <v/>
      </c>
      <c r="AK3225" s="700" t="str">
        <f t="shared" si="2472"/>
        <v/>
      </c>
      <c r="AL3225" s="700"/>
      <c r="AM3225" s="505" t="str">
        <f t="shared" si="2473"/>
        <v/>
      </c>
      <c r="AN3225" s="506"/>
      <c r="AO3225" s="507"/>
      <c r="AP3225" s="507"/>
      <c r="AQ3225" s="507"/>
      <c r="AR3225" s="507"/>
      <c r="AS3225" s="507"/>
      <c r="AT3225" s="507"/>
      <c r="AU3225" s="507"/>
      <c r="AV3225" s="225"/>
      <c r="AW3225" s="508"/>
      <c r="AX3225" s="225"/>
      <c r="AY3225" s="225"/>
      <c r="AZ3225" s="225"/>
      <c r="BA3225" s="225"/>
      <c r="BB3225" s="225"/>
      <c r="BC3225" s="56"/>
      <c r="BD3225" s="56"/>
      <c r="BE3225" s="56"/>
      <c r="BF3225" s="107" t="str">
        <f t="shared" si="2474"/>
        <v>https://www.google.com/search?tbm=isch&amp;q=Saybrook%20Gold%20has%20a%20soft%2C%20lacy%20texture.%20Bright%20Yellow%20in%20summer%2C%20Bronzy%20fall%2Fwinter.%20Sun%2Fheat%2Fdrought%20tolerant%20</v>
      </c>
      <c r="BG3225" s="107" t="str">
        <f t="shared" si="2475"/>
        <v>S</v>
      </c>
      <c r="BH3225" s="254"/>
      <c r="BI3225" s="254"/>
    </row>
    <row r="3226" spans="1:61" customFormat="1" ht="18" x14ac:dyDescent="0.25">
      <c r="A3226" s="523" t="s">
        <v>3228</v>
      </c>
      <c r="B3226" s="235"/>
      <c r="C3226" s="676"/>
      <c r="D3226" s="255" t="s">
        <v>3229</v>
      </c>
      <c r="E3226" s="236"/>
      <c r="F3226" s="236"/>
      <c r="G3226" s="236"/>
      <c r="H3226" s="582" t="s">
        <v>496</v>
      </c>
      <c r="I3226" s="498" t="s">
        <v>869</v>
      </c>
      <c r="J3226" s="237"/>
      <c r="K3226" s="237"/>
      <c r="L3226" s="274"/>
      <c r="M3226" s="668" t="s">
        <v>4962</v>
      </c>
      <c r="N3226" s="681" t="str">
        <f>IF(AND(ISTEXT($A3226), ISERROR($A3226+0)), HYPERLINK($BF3226, "Images"), "")</f>
        <v>Images</v>
      </c>
      <c r="O3226" s="663" t="s">
        <v>4967</v>
      </c>
      <c r="P3226" s="253"/>
      <c r="Q3226" s="238"/>
      <c r="R3226" s="239"/>
      <c r="S3226" s="275"/>
      <c r="T3226" s="508">
        <f t="shared" si="2463"/>
        <v>0</v>
      </c>
      <c r="U3226" s="225" t="str">
        <f>IF(NOT(ISNUMBER(G3226)), "", VLOOKUP(A3226,'Discount Lookup'!D:E,2,FALSE)*G3226)</f>
        <v/>
      </c>
      <c r="V3226" s="225" t="str">
        <f>IF(NOT(ISNUMBER(G3226)), "", VLOOKUP(A3226,'Discount Lookup'!G:H,2,FALSE)*G3226)</f>
        <v/>
      </c>
      <c r="W3226" s="508">
        <f t="shared" si="2464"/>
        <v>0</v>
      </c>
      <c r="X3226" s="508" t="str">
        <f t="shared" si="2465"/>
        <v>Crimson Red bloom</v>
      </c>
      <c r="Y3226" s="509" t="b">
        <f t="shared" si="2466"/>
        <v>0</v>
      </c>
      <c r="Z3226" s="510">
        <f t="shared" si="2467"/>
        <v>0</v>
      </c>
      <c r="AA3226" s="511"/>
      <c r="AB3226" s="511" t="str">
        <f t="shared" si="2468"/>
        <v/>
      </c>
      <c r="AC3226" s="698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698"/>
      <c r="AE3226" s="631" t="str">
        <f t="shared" si="2469"/>
        <v/>
      </c>
      <c r="AF3226" s="699" t="str">
        <f t="shared" si="2470"/>
        <v/>
      </c>
      <c r="AG3226" s="699"/>
      <c r="AH3226" s="699"/>
      <c r="AI3226" s="512">
        <f>IF(H3226="credit",0,IF(AE3226="free",0,IF(AE3226="me",0,IF(G3226&gt;0,(VLOOKUP(A3226,'Discount Lookup'!J:K,2)*G3226),0))))</f>
        <v>0</v>
      </c>
      <c r="AJ3226" s="513" t="str">
        <f t="shared" ca="1" si="2471"/>
        <v/>
      </c>
      <c r="AK3226" s="700" t="str">
        <f t="shared" si="2472"/>
        <v/>
      </c>
      <c r="AL3226" s="700"/>
      <c r="AM3226" s="505" t="str">
        <f t="shared" si="2473"/>
        <v/>
      </c>
      <c r="AN3226" s="506"/>
      <c r="AO3226" s="507"/>
      <c r="AP3226" s="507"/>
      <c r="AQ3226" s="507"/>
      <c r="AR3226" s="507"/>
      <c r="AS3226" s="507"/>
      <c r="AT3226" s="507"/>
      <c r="AU3226" s="507"/>
      <c r="AV3226" s="225"/>
      <c r="AW3226" s="508"/>
      <c r="AX3226" s="225"/>
      <c r="AY3226" s="225"/>
      <c r="AZ3226" s="225"/>
      <c r="BA3226" s="225"/>
      <c r="BB3226" s="225"/>
      <c r="BC3226" s="56"/>
      <c r="BD3226" s="56"/>
      <c r="BE3226" s="56"/>
      <c r="BF3226" s="107" t="str">
        <f t="shared" si="2474"/>
        <v>https://www.google.com/search?tbm=isch&amp;q=Scarff%27s%20Red%20Flowering%20Quince%20Chaenomeles%20speciosa%20%27Scarff%27s%20Red%27</v>
      </c>
      <c r="BG3226" s="107" t="str">
        <f t="shared" si="2475"/>
        <v>S</v>
      </c>
      <c r="BH3226" s="254"/>
      <c r="BI3226" s="254"/>
    </row>
    <row r="3227" spans="1:61" customFormat="1" ht="15.75" x14ac:dyDescent="0.25">
      <c r="A3227" s="276">
        <v>3</v>
      </c>
      <c r="B3227" s="240" t="s">
        <v>291</v>
      </c>
      <c r="C3227" s="241"/>
      <c r="D3227" s="242" t="s">
        <v>298</v>
      </c>
      <c r="E3227" s="243">
        <v>25.95</v>
      </c>
      <c r="F3227" s="517" t="s">
        <v>293</v>
      </c>
      <c r="G3227" s="232">
        <v>0</v>
      </c>
      <c r="H3227" s="661" t="str">
        <f>IF(G3227=0,"",IF(F3227="Buy",IF(G3227=1,"plant","plants"),IF(F3227&gt;0.01,"warranty","Error")))</f>
        <v/>
      </c>
      <c r="I3227" s="244">
        <f>IF(H3227="free",0,IF(H3227="credit",((E3227*(F3227))*G3227*-1),IF(F3227="Buy",(E3227*G3227),((E3227*(1-F3227))*G3227))))</f>
        <v>0</v>
      </c>
      <c r="J3227" s="244">
        <f>IF(H3227="warranty",0,(I3227*(_xlfn.SINGLE(SalesTaxPercentage))))</f>
        <v>0</v>
      </c>
      <c r="K3227" s="696">
        <f t="shared" ref="K3227" si="2480">I3227+J3227</f>
        <v>0</v>
      </c>
      <c r="L3227" s="696"/>
      <c r="M3227" s="659" t="str">
        <f>IF(AND(G3227&gt;0,E3227=0),"WARNING - no PRICE inserted",IF(H3227="free"," FREE ~ no charge this plant",IF(H3227="credit",CONCATENATE(" -$",ROUND(K3227*(1-T2GDiscount)*-1,2)," CREDIT after discount"),IF(T2GDiscount=0,"",IF(G3227=0,"",IF(F3227="Buy",CONCATENATE(" $",ROUND(K3227*(1-T2GDiscount),2)," with ",(T2GDiscount*100),"% discount"),CONCATENATE(" $",ROUND(K3227*(1-T2GDiscount),2)," with ",((T2GDiscount*100+F3227*100)-(T2GDiscount*100*F3227)),IF(F3227&gt;0,"% discounts",IF(NoWarrantyDiscount&gt;0,"% discounts","% discount")))))))))</f>
        <v/>
      </c>
      <c r="N3227" s="660"/>
      <c r="O3227" s="233"/>
      <c r="P3227" s="233"/>
      <c r="Q3227" s="233"/>
      <c r="R3227" s="233"/>
      <c r="S3227" s="233"/>
      <c r="T3227" s="508">
        <f t="shared" si="2463"/>
        <v>0</v>
      </c>
      <c r="U3227" s="225">
        <f>IF(NOT(ISNUMBER(G3227)), "", VLOOKUP(A3227,'Discount Lookup'!D:E,2,FALSE)*G3227)</f>
        <v>0</v>
      </c>
      <c r="V3227" s="225">
        <f>IF(NOT(ISNUMBER(G3227)), "", VLOOKUP(A3227,'Discount Lookup'!G:H,2,FALSE)*G3227)</f>
        <v>0</v>
      </c>
      <c r="W3227" s="508">
        <f t="shared" si="2464"/>
        <v>0</v>
      </c>
      <c r="X3227" s="508">
        <f t="shared" si="2465"/>
        <v>0</v>
      </c>
      <c r="Y3227" s="509" t="b">
        <f t="shared" si="2466"/>
        <v>0</v>
      </c>
      <c r="Z3227" s="510">
        <f t="shared" si="2467"/>
        <v>0</v>
      </c>
      <c r="AA3227" s="511"/>
      <c r="AB3227" s="511" t="str">
        <f t="shared" si="2468"/>
        <v/>
      </c>
      <c r="AC3227" s="698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698"/>
      <c r="AE3227" s="631" t="str">
        <f t="shared" si="2469"/>
        <v/>
      </c>
      <c r="AF3227" s="699" t="str">
        <f t="shared" si="2470"/>
        <v/>
      </c>
      <c r="AG3227" s="699"/>
      <c r="AH3227" s="699"/>
      <c r="AI3227" s="512">
        <f>IF(H3227="credit",0,IF(AE3227="free",0,IF(AE3227="me",0,IF(G3227&gt;0,(VLOOKUP(A3227,'Discount Lookup'!J:K,2)*G3227),0))))</f>
        <v>0</v>
      </c>
      <c r="AJ3227" s="513" t="str">
        <f t="shared" ca="1" si="2471"/>
        <v/>
      </c>
      <c r="AK3227" s="700" t="str">
        <f t="shared" si="2472"/>
        <v/>
      </c>
      <c r="AL3227" s="700"/>
      <c r="AM3227" s="505" t="str">
        <f t="shared" si="2473"/>
        <v/>
      </c>
      <c r="AN3227" s="506"/>
      <c r="AO3227" s="507"/>
      <c r="AP3227" s="507"/>
      <c r="AQ3227" s="507"/>
      <c r="AR3227" s="507"/>
      <c r="AS3227" s="507"/>
      <c r="AT3227" s="507"/>
      <c r="AU3227" s="507"/>
      <c r="AV3227" s="225"/>
      <c r="AW3227" s="508"/>
      <c r="AX3227" s="225"/>
      <c r="AY3227" s="225"/>
      <c r="AZ3227" s="225"/>
      <c r="BA3227" s="225"/>
      <c r="BB3227" s="225"/>
      <c r="BC3227" s="56"/>
      <c r="BD3227" s="56"/>
      <c r="BE3227" s="56"/>
      <c r="BF3227" s="107" t="str">
        <f t="shared" si="2474"/>
        <v>https://www.google.com/search?tbm=isch&amp;q=3%20G1</v>
      </c>
      <c r="BG3227" s="107" t="str">
        <f t="shared" si="2475"/>
        <v>S</v>
      </c>
      <c r="BH3227" s="254"/>
      <c r="BI3227" s="254"/>
    </row>
    <row r="3228" spans="1:61" customFormat="1" ht="17.25" thickBot="1" x14ac:dyDescent="0.3">
      <c r="A3228" s="524" t="s">
        <v>3926</v>
      </c>
      <c r="B3228" s="245"/>
      <c r="C3228" s="677"/>
      <c r="D3228" s="499"/>
      <c r="E3228" s="499"/>
      <c r="F3228" s="500"/>
      <c r="G3228" s="501"/>
      <c r="H3228" s="502"/>
      <c r="I3228" s="246"/>
      <c r="J3228" s="247"/>
      <c r="K3228" s="503"/>
      <c r="L3228" s="544"/>
      <c r="M3228" s="544"/>
      <c r="N3228" s="500"/>
      <c r="O3228" s="500"/>
      <c r="P3228" s="500"/>
      <c r="Q3228" s="500"/>
      <c r="R3228" s="500"/>
      <c r="S3228" s="669" t="s">
        <v>4972</v>
      </c>
      <c r="T3228" s="508">
        <f t="shared" si="2463"/>
        <v>0</v>
      </c>
      <c r="U3228" s="225" t="str">
        <f>IF(NOT(ISNUMBER(G3228)), "", VLOOKUP(A3228,'Discount Lookup'!D:E,2,FALSE)*G3228)</f>
        <v/>
      </c>
      <c r="V3228" s="225" t="str">
        <f>IF(NOT(ISNUMBER(G3228)), "", VLOOKUP(A3228,'Discount Lookup'!G:H,2,FALSE)*G3228)</f>
        <v/>
      </c>
      <c r="W3228" s="508">
        <f t="shared" si="2464"/>
        <v>0</v>
      </c>
      <c r="X3228" s="508">
        <f t="shared" si="2465"/>
        <v>0</v>
      </c>
      <c r="Y3228" s="509" t="b">
        <f t="shared" si="2466"/>
        <v>0</v>
      </c>
      <c r="Z3228" s="510">
        <f t="shared" si="2467"/>
        <v>0</v>
      </c>
      <c r="AA3228" s="511"/>
      <c r="AB3228" s="511" t="str">
        <f t="shared" si="2468"/>
        <v/>
      </c>
      <c r="AC3228" s="698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698"/>
      <c r="AE3228" s="631" t="str">
        <f t="shared" si="2469"/>
        <v/>
      </c>
      <c r="AF3228" s="699" t="str">
        <f t="shared" si="2470"/>
        <v/>
      </c>
      <c r="AG3228" s="699"/>
      <c r="AH3228" s="699"/>
      <c r="AI3228" s="512">
        <f>IF(H3228="credit",0,IF(AE3228="free",0,IF(AE3228="me",0,IF(G3228&gt;0,(VLOOKUP(A3228,'Discount Lookup'!J:K,2)*G3228),0))))</f>
        <v>0</v>
      </c>
      <c r="AJ3228" s="513" t="str">
        <f t="shared" ca="1" si="2471"/>
        <v/>
      </c>
      <c r="AK3228" s="700" t="str">
        <f t="shared" si="2472"/>
        <v/>
      </c>
      <c r="AL3228" s="700"/>
      <c r="AM3228" s="505" t="str">
        <f t="shared" si="2473"/>
        <v/>
      </c>
      <c r="AN3228" s="506"/>
      <c r="AO3228" s="507"/>
      <c r="AP3228" s="507"/>
      <c r="AQ3228" s="507"/>
      <c r="AR3228" s="507"/>
      <c r="AS3228" s="507"/>
      <c r="AT3228" s="507"/>
      <c r="AU3228" s="507"/>
      <c r="AV3228" s="225"/>
      <c r="AW3228" s="508"/>
      <c r="AX3228" s="225"/>
      <c r="AY3228" s="225"/>
      <c r="AZ3228" s="225"/>
      <c r="BA3228" s="225"/>
      <c r="BB3228" s="225"/>
      <c r="BC3228" s="56"/>
      <c r="BD3228" s="56"/>
      <c r="BE3228" s="56"/>
      <c r="BF3228" s="107" t="str">
        <f t="shared" si="2474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3228" s="107" t="str">
        <f t="shared" si="2475"/>
        <v>S</v>
      </c>
      <c r="BH3228" s="254"/>
      <c r="BI3228" s="254"/>
    </row>
    <row r="3229" spans="1:61" customFormat="1" ht="18" x14ac:dyDescent="0.25">
      <c r="A3229" s="523" t="s">
        <v>1683</v>
      </c>
      <c r="B3229" s="235"/>
      <c r="C3229" s="676"/>
      <c r="D3229" s="255" t="s">
        <v>1684</v>
      </c>
      <c r="E3229" s="236"/>
      <c r="F3229" s="236"/>
      <c r="G3229" s="236"/>
      <c r="H3229" s="582" t="s">
        <v>419</v>
      </c>
      <c r="I3229" s="498" t="s">
        <v>2106</v>
      </c>
      <c r="J3229" s="237"/>
      <c r="K3229" s="237"/>
      <c r="L3229" s="274"/>
      <c r="M3229" s="668" t="s">
        <v>4975</v>
      </c>
      <c r="N3229" s="681" t="str">
        <f>IF(AND(ISTEXT($A3229), ISERROR($A3229+0)), HYPERLINK($BF3229, "Images"), "")</f>
        <v>Images</v>
      </c>
      <c r="O3229" s="663" t="s">
        <v>4967</v>
      </c>
      <c r="P3229" s="253"/>
      <c r="Q3229" s="238"/>
      <c r="R3229" s="239"/>
      <c r="S3229" s="275"/>
      <c r="T3229" s="508">
        <f t="shared" si="2463"/>
        <v>0</v>
      </c>
      <c r="U3229" s="225" t="str">
        <f>IF(NOT(ISNUMBER(G3229)), "", VLOOKUP(A3229,'Discount Lookup'!D:E,2,FALSE)*G3229)</f>
        <v/>
      </c>
      <c r="V3229" s="225" t="str">
        <f>IF(NOT(ISNUMBER(G3229)), "", VLOOKUP(A3229,'Discount Lookup'!G:H,2,FALSE)*G3229)</f>
        <v/>
      </c>
      <c r="W3229" s="508">
        <f t="shared" si="2464"/>
        <v>0</v>
      </c>
      <c r="X3229" s="508" t="str">
        <f t="shared" si="2465"/>
        <v>Bright Green foliage</v>
      </c>
      <c r="Y3229" s="509" t="b">
        <f t="shared" si="2466"/>
        <v>0</v>
      </c>
      <c r="Z3229" s="510">
        <f t="shared" si="2467"/>
        <v>0</v>
      </c>
      <c r="AA3229" s="511"/>
      <c r="AB3229" s="511" t="str">
        <f t="shared" si="2468"/>
        <v/>
      </c>
      <c r="AC3229" s="698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698"/>
      <c r="AE3229" s="631" t="str">
        <f t="shared" si="2469"/>
        <v/>
      </c>
      <c r="AF3229" s="699" t="str">
        <f t="shared" si="2470"/>
        <v/>
      </c>
      <c r="AG3229" s="699"/>
      <c r="AH3229" s="699"/>
      <c r="AI3229" s="512">
        <f>IF(H3229="credit",0,IF(AE3229="free",0,IF(AE3229="me",0,IF(G3229&gt;0,(VLOOKUP(A3229,'Discount Lookup'!J:K,2)*G3229),0))))</f>
        <v>0</v>
      </c>
      <c r="AJ3229" s="513" t="str">
        <f t="shared" ca="1" si="2471"/>
        <v/>
      </c>
      <c r="AK3229" s="700" t="str">
        <f t="shared" si="2472"/>
        <v/>
      </c>
      <c r="AL3229" s="700"/>
      <c r="AM3229" s="505" t="str">
        <f t="shared" si="2473"/>
        <v/>
      </c>
      <c r="AN3229" s="506"/>
      <c r="AO3229" s="507"/>
      <c r="AP3229" s="507"/>
      <c r="AQ3229" s="507"/>
      <c r="AR3229" s="507"/>
      <c r="AS3229" s="507"/>
      <c r="AT3229" s="507"/>
      <c r="AU3229" s="507"/>
      <c r="AV3229" s="225"/>
      <c r="AW3229" s="508"/>
      <c r="AX3229" s="225"/>
      <c r="AY3229" s="225"/>
      <c r="AZ3229" s="225"/>
      <c r="BA3229" s="225"/>
      <c r="BB3229" s="225"/>
      <c r="BC3229" s="56"/>
      <c r="BD3229" s="56"/>
      <c r="BE3229" s="56"/>
      <c r="BF3229" s="107" t="str">
        <f t="shared" si="2474"/>
        <v>https://www.google.com/search?tbm=isch&amp;q=Scarlet%20Curls%20Willow%20Salix%20matsudana%20x%20S.%20alba%20%27Scarlet%20Curls%27</v>
      </c>
      <c r="BG3229" s="107" t="str">
        <f t="shared" si="2475"/>
        <v>S</v>
      </c>
      <c r="BH3229" s="254"/>
      <c r="BI3229" s="254"/>
    </row>
    <row r="3230" spans="1:61" customFormat="1" ht="15.75" x14ac:dyDescent="0.25">
      <c r="A3230" s="276">
        <v>7</v>
      </c>
      <c r="B3230" s="240" t="s">
        <v>291</v>
      </c>
      <c r="C3230" s="241" t="s">
        <v>3744</v>
      </c>
      <c r="D3230" s="242" t="s">
        <v>292</v>
      </c>
      <c r="E3230" s="243">
        <v>95.95</v>
      </c>
      <c r="F3230" s="517" t="s">
        <v>293</v>
      </c>
      <c r="G3230" s="232">
        <v>0</v>
      </c>
      <c r="H3230" s="661" t="str">
        <f>IF(G3230=0,"",IF(F3230="Buy",IF(G3230=1,"plant","plants"),IF(F3230&gt;0.01,"warranty","Error")))</f>
        <v/>
      </c>
      <c r="I3230" s="244">
        <f>IF(H3230="free",0,IF(H3230="credit",((E3230*(F3230))*G3230*-1),IF(F3230="Buy",(E3230*G3230),((E3230*(1-F3230))*G3230))))</f>
        <v>0</v>
      </c>
      <c r="J3230" s="244">
        <f>IF(H3230="warranty",0,(I3230*(_xlfn.SINGLE(SalesTaxPercentage))))</f>
        <v>0</v>
      </c>
      <c r="K3230" s="696">
        <f t="shared" ref="K3230" si="2481">I3230+J3230</f>
        <v>0</v>
      </c>
      <c r="L3230" s="696"/>
      <c r="M3230" s="659" t="str">
        <f>IF(AND(G3230&gt;0,E3230=0),"WARNING - no PRICE inserted",IF(H3230="free"," FREE ~ no charge this plant",IF(H3230="credit",CONCATENATE(" -$",ROUND(K3230*(1-T2GDiscount)*-1,2)," CREDIT after discount"),IF(T2GDiscount=0,"",IF(G3230=0,"",IF(F3230="Buy",CONCATENATE(" $",ROUND(K3230*(1-T2GDiscount),2)," with ",(T2GDiscount*100),"% discount"),CONCATENATE(" $",ROUND(K3230*(1-T2GDiscount),2)," with ",((T2GDiscount*100+F3230*100)-(T2GDiscount*100*F3230)),IF(F3230&gt;0,"% discounts",IF(NoWarrantyDiscount&gt;0,"% discounts","% discount")))))))))</f>
        <v/>
      </c>
      <c r="N3230" s="660"/>
      <c r="O3230" s="233"/>
      <c r="P3230" s="233"/>
      <c r="Q3230" s="233"/>
      <c r="R3230" s="233"/>
      <c r="S3230" s="233"/>
      <c r="T3230" s="508">
        <f t="shared" si="2463"/>
        <v>0</v>
      </c>
      <c r="U3230" s="225">
        <f>IF(NOT(ISNUMBER(G3230)), "", VLOOKUP(A3230,'Discount Lookup'!D:E,2,FALSE)*G3230)</f>
        <v>0</v>
      </c>
      <c r="V3230" s="225">
        <f>IF(NOT(ISNUMBER(G3230)), "", VLOOKUP(A3230,'Discount Lookup'!G:H,2,FALSE)*G3230)</f>
        <v>0</v>
      </c>
      <c r="W3230" s="508">
        <f t="shared" si="2464"/>
        <v>0</v>
      </c>
      <c r="X3230" s="508">
        <f t="shared" si="2465"/>
        <v>0</v>
      </c>
      <c r="Y3230" s="509" t="b">
        <f t="shared" si="2466"/>
        <v>0</v>
      </c>
      <c r="Z3230" s="510">
        <f t="shared" si="2467"/>
        <v>0</v>
      </c>
      <c r="AA3230" s="511"/>
      <c r="AB3230" s="511" t="str">
        <f t="shared" si="2468"/>
        <v/>
      </c>
      <c r="AC3230" s="698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698"/>
      <c r="AE3230" s="631" t="str">
        <f t="shared" si="2469"/>
        <v/>
      </c>
      <c r="AF3230" s="699" t="str">
        <f t="shared" si="2470"/>
        <v/>
      </c>
      <c r="AG3230" s="699"/>
      <c r="AH3230" s="699"/>
      <c r="AI3230" s="512">
        <f>IF(H3230="credit",0,IF(AE3230="free",0,IF(AE3230="me",0,IF(G3230&gt;0,(VLOOKUP(A3230,'Discount Lookup'!J:K,2)*G3230),0))))</f>
        <v>0</v>
      </c>
      <c r="AJ3230" s="513" t="str">
        <f t="shared" ca="1" si="2471"/>
        <v/>
      </c>
      <c r="AK3230" s="700" t="str">
        <f t="shared" si="2472"/>
        <v/>
      </c>
      <c r="AL3230" s="700"/>
      <c r="AM3230" s="505" t="str">
        <f t="shared" si="2473"/>
        <v/>
      </c>
      <c r="AN3230" s="506"/>
      <c r="AO3230" s="507"/>
      <c r="AP3230" s="507"/>
      <c r="AQ3230" s="507"/>
      <c r="AR3230" s="507"/>
      <c r="AS3230" s="507"/>
      <c r="AT3230" s="507"/>
      <c r="AU3230" s="507"/>
      <c r="AV3230" s="225"/>
      <c r="AW3230" s="508"/>
      <c r="AX3230" s="225"/>
      <c r="AY3230" s="225"/>
      <c r="AZ3230" s="225"/>
      <c r="BA3230" s="225"/>
      <c r="BB3230" s="225"/>
      <c r="BC3230" s="56"/>
      <c r="BD3230" s="56"/>
      <c r="BE3230" s="56"/>
      <c r="BF3230" s="107" t="str">
        <f t="shared" si="2474"/>
        <v>https://www.google.com/search?tbm=isch&amp;q=7%20G4</v>
      </c>
      <c r="BG3230" s="107" t="str">
        <f t="shared" si="2475"/>
        <v>S</v>
      </c>
      <c r="BH3230" s="254"/>
      <c r="BI3230" s="254"/>
    </row>
    <row r="3231" spans="1:61" customFormat="1" ht="15.75" x14ac:dyDescent="0.25">
      <c r="A3231" s="276">
        <v>15</v>
      </c>
      <c r="B3231" s="240" t="s">
        <v>291</v>
      </c>
      <c r="C3231" s="241" t="s">
        <v>4810</v>
      </c>
      <c r="D3231" s="242" t="s">
        <v>292</v>
      </c>
      <c r="E3231" s="243">
        <v>164.95</v>
      </c>
      <c r="F3231" s="517" t="s">
        <v>293</v>
      </c>
      <c r="G3231" s="232">
        <v>0</v>
      </c>
      <c r="H3231" s="661" t="str">
        <f>IF(G3231=0,"",IF(F3231="Buy",IF(G3231=1,"plant","plants"),IF(F3231&gt;0.01,"warranty","Error")))</f>
        <v/>
      </c>
      <c r="I3231" s="244">
        <f>IF(H3231="free",0,IF(H3231="credit",((E3231*(F3231))*G3231*-1),IF(F3231="Buy",(E3231*G3231),((E3231*(1-F3231))*G3231))))</f>
        <v>0</v>
      </c>
      <c r="J3231" s="244">
        <f>IF(H3231="warranty",0,(I3231*(_xlfn.SINGLE(SalesTaxPercentage))))</f>
        <v>0</v>
      </c>
      <c r="K3231" s="696">
        <f t="shared" ref="K3231" si="2482">I3231+J3231</f>
        <v>0</v>
      </c>
      <c r="L3231" s="696"/>
      <c r="M3231" s="659" t="str">
        <f>IF(AND(G3231&gt;0,E3231=0),"WARNING - no PRICE inserted",IF(H3231="free"," FREE ~ no charge this plant",IF(H3231="credit",CONCATENATE(" -$",ROUND(K3231*(1-T2GDiscount)*-1,2)," CREDIT after discount"),IF(T2GDiscount=0,"",IF(G3231=0,"",IF(F3231="Buy",CONCATENATE(" $",ROUND(K3231*(1-T2GDiscount),2)," with ",(T2GDiscount*100),"% discount"),CONCATENATE(" $",ROUND(K3231*(1-T2GDiscount),2)," with ",((T2GDiscount*100+F3231*100)-(T2GDiscount*100*F3231)),IF(F3231&gt;0,"% discounts",IF(NoWarrantyDiscount&gt;0,"% discounts","% discount")))))))))</f>
        <v/>
      </c>
      <c r="N3231" s="660"/>
      <c r="O3231" s="233"/>
      <c r="P3231" s="233"/>
      <c r="Q3231" s="233"/>
      <c r="R3231" s="233"/>
      <c r="S3231" s="233"/>
      <c r="T3231" s="508">
        <f t="shared" si="2463"/>
        <v>0</v>
      </c>
      <c r="U3231" s="225">
        <f>IF(NOT(ISNUMBER(G3231)), "", VLOOKUP(A3231,'Discount Lookup'!D:E,2,FALSE)*G3231)</f>
        <v>0</v>
      </c>
      <c r="V3231" s="225">
        <f>IF(NOT(ISNUMBER(G3231)), "", VLOOKUP(A3231,'Discount Lookup'!G:H,2,FALSE)*G3231)</f>
        <v>0</v>
      </c>
      <c r="W3231" s="508">
        <f t="shared" si="2464"/>
        <v>0</v>
      </c>
      <c r="X3231" s="508">
        <f t="shared" si="2465"/>
        <v>0</v>
      </c>
      <c r="Y3231" s="509" t="b">
        <f t="shared" si="2466"/>
        <v>0</v>
      </c>
      <c r="Z3231" s="510">
        <f t="shared" si="2467"/>
        <v>0</v>
      </c>
      <c r="AA3231" s="511"/>
      <c r="AB3231" s="511" t="str">
        <f t="shared" si="2468"/>
        <v/>
      </c>
      <c r="AC3231" s="698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698"/>
      <c r="AE3231" s="631" t="str">
        <f t="shared" si="2469"/>
        <v/>
      </c>
      <c r="AF3231" s="699" t="str">
        <f t="shared" si="2470"/>
        <v/>
      </c>
      <c r="AG3231" s="699"/>
      <c r="AH3231" s="699"/>
      <c r="AI3231" s="512">
        <f>IF(H3231="credit",0,IF(AE3231="free",0,IF(AE3231="me",0,IF(G3231&gt;0,(VLOOKUP(A3231,'Discount Lookup'!J:K,2)*G3231),0))))</f>
        <v>0</v>
      </c>
      <c r="AJ3231" s="513" t="str">
        <f t="shared" ca="1" si="2471"/>
        <v/>
      </c>
      <c r="AK3231" s="700" t="str">
        <f t="shared" si="2472"/>
        <v/>
      </c>
      <c r="AL3231" s="700"/>
      <c r="AM3231" s="505" t="str">
        <f t="shared" si="2473"/>
        <v/>
      </c>
      <c r="AN3231" s="506"/>
      <c r="AO3231" s="507"/>
      <c r="AP3231" s="507"/>
      <c r="AQ3231" s="507"/>
      <c r="AR3231" s="507"/>
      <c r="AS3231" s="507"/>
      <c r="AT3231" s="507"/>
      <c r="AU3231" s="507"/>
      <c r="AV3231" s="225"/>
      <c r="AW3231" s="508"/>
      <c r="AX3231" s="225"/>
      <c r="AY3231" s="225"/>
      <c r="AZ3231" s="225"/>
      <c r="BA3231" s="225"/>
      <c r="BB3231" s="225"/>
      <c r="BC3231" s="56"/>
      <c r="BD3231" s="56"/>
      <c r="BE3231" s="56"/>
      <c r="BF3231" s="107" t="str">
        <f t="shared" si="2474"/>
        <v>https://www.google.com/search?tbm=isch&amp;q=15%20G4</v>
      </c>
      <c r="BG3231" s="107" t="str">
        <f t="shared" si="2475"/>
        <v>S</v>
      </c>
      <c r="BH3231" s="254"/>
      <c r="BI3231" s="254"/>
    </row>
    <row r="3232" spans="1:61" customFormat="1" ht="17.25" thickBot="1" x14ac:dyDescent="0.3">
      <c r="A3232" s="673" t="s">
        <v>5223</v>
      </c>
      <c r="B3232" s="245"/>
      <c r="C3232" s="677"/>
      <c r="D3232" s="499"/>
      <c r="E3232" s="499"/>
      <c r="F3232" s="500"/>
      <c r="G3232" s="501"/>
      <c r="H3232" s="502"/>
      <c r="I3232" s="246"/>
      <c r="J3232" s="247"/>
      <c r="K3232" s="503"/>
      <c r="L3232" s="544"/>
      <c r="M3232" s="544"/>
      <c r="N3232" s="500"/>
      <c r="O3232" s="500"/>
      <c r="P3232" s="500"/>
      <c r="Q3232" s="500"/>
      <c r="R3232" s="500"/>
      <c r="S3232" s="669" t="s">
        <v>5026</v>
      </c>
      <c r="T3232" s="508">
        <f t="shared" si="2463"/>
        <v>0</v>
      </c>
      <c r="U3232" s="225" t="str">
        <f>IF(NOT(ISNUMBER(G3232)), "", VLOOKUP(A3232,'Discount Lookup'!D:E,2,FALSE)*G3232)</f>
        <v/>
      </c>
      <c r="V3232" s="225" t="str">
        <f>IF(NOT(ISNUMBER(G3232)), "", VLOOKUP(A3232,'Discount Lookup'!G:H,2,FALSE)*G3232)</f>
        <v/>
      </c>
      <c r="W3232" s="508">
        <f t="shared" si="2464"/>
        <v>0</v>
      </c>
      <c r="X3232" s="508">
        <f t="shared" si="2465"/>
        <v>0</v>
      </c>
      <c r="Y3232" s="509" t="b">
        <f t="shared" si="2466"/>
        <v>0</v>
      </c>
      <c r="Z3232" s="510">
        <f t="shared" si="2467"/>
        <v>0</v>
      </c>
      <c r="AA3232" s="511"/>
      <c r="AB3232" s="511" t="str">
        <f t="shared" si="2468"/>
        <v/>
      </c>
      <c r="AC3232" s="698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698"/>
      <c r="AE3232" s="631" t="str">
        <f t="shared" si="2469"/>
        <v/>
      </c>
      <c r="AF3232" s="699" t="str">
        <f t="shared" si="2470"/>
        <v/>
      </c>
      <c r="AG3232" s="699"/>
      <c r="AH3232" s="699"/>
      <c r="AI3232" s="512">
        <f>IF(H3232="credit",0,IF(AE3232="free",0,IF(AE3232="me",0,IF(G3232&gt;0,(VLOOKUP(A3232,'Discount Lookup'!J:K,2)*G3232),0))))</f>
        <v>0</v>
      </c>
      <c r="AJ3232" s="513" t="str">
        <f t="shared" ca="1" si="2471"/>
        <v/>
      </c>
      <c r="AK3232" s="700" t="str">
        <f t="shared" si="2472"/>
        <v/>
      </c>
      <c r="AL3232" s="700"/>
      <c r="AM3232" s="505" t="str">
        <f t="shared" si="2473"/>
        <v/>
      </c>
      <c r="AN3232" s="506"/>
      <c r="AO3232" s="507"/>
      <c r="AP3232" s="507"/>
      <c r="AQ3232" s="507"/>
      <c r="AR3232" s="507"/>
      <c r="AS3232" s="507"/>
      <c r="AT3232" s="507"/>
      <c r="AU3232" s="507"/>
      <c r="AV3232" s="225"/>
      <c r="AW3232" s="508"/>
      <c r="AX3232" s="225"/>
      <c r="AY3232" s="225"/>
      <c r="AZ3232" s="225"/>
      <c r="BA3232" s="225"/>
      <c r="BB3232" s="225"/>
      <c r="BC3232" s="56"/>
      <c r="BD3232" s="56"/>
      <c r="BE3232" s="56"/>
      <c r="BF3232" s="107" t="str">
        <f t="shared" si="2474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232" s="107" t="str">
        <f t="shared" si="2475"/>
        <v>w</v>
      </c>
      <c r="BH3232" s="254"/>
      <c r="BI3232" s="254"/>
    </row>
    <row r="3233" spans="1:61" customFormat="1" ht="18" x14ac:dyDescent="0.25">
      <c r="A3233" s="523" t="s">
        <v>5530</v>
      </c>
      <c r="B3233" s="235"/>
      <c r="C3233" s="676"/>
      <c r="D3233" s="255" t="s">
        <v>3230</v>
      </c>
      <c r="E3233" s="236"/>
      <c r="F3233" s="236"/>
      <c r="G3233" s="236"/>
      <c r="H3233" s="582" t="s">
        <v>357</v>
      </c>
      <c r="I3233" s="498" t="s">
        <v>3231</v>
      </c>
      <c r="J3233" s="237"/>
      <c r="K3233" s="237"/>
      <c r="L3233" s="274"/>
      <c r="M3233" s="668" t="s">
        <v>4975</v>
      </c>
      <c r="N3233" s="681" t="str">
        <f>IF(AND(ISTEXT($A3233), ISERROR($A3233+0)), HYPERLINK($BF3233, "Images"), "")</f>
        <v>Images</v>
      </c>
      <c r="O3233" s="663" t="s">
        <v>4967</v>
      </c>
      <c r="P3233" s="253"/>
      <c r="Q3233" s="238"/>
      <c r="R3233" s="239"/>
      <c r="S3233" s="275"/>
      <c r="T3233" s="508">
        <f t="shared" si="2463"/>
        <v>0</v>
      </c>
      <c r="U3233" s="225" t="str">
        <f>IF(NOT(ISNUMBER(G3233)), "", VLOOKUP(A3233,'Discount Lookup'!D:E,2,FALSE)*G3233)</f>
        <v/>
      </c>
      <c r="V3233" s="225" t="str">
        <f>IF(NOT(ISNUMBER(G3233)), "", VLOOKUP(A3233,'Discount Lookup'!G:H,2,FALSE)*G3233)</f>
        <v/>
      </c>
      <c r="W3233" s="508">
        <f t="shared" si="2464"/>
        <v>0</v>
      </c>
      <c r="X3233" s="508" t="str">
        <f t="shared" si="2465"/>
        <v>Fuchsia bloom</v>
      </c>
      <c r="Y3233" s="509" t="b">
        <f t="shared" si="2466"/>
        <v>0</v>
      </c>
      <c r="Z3233" s="510">
        <f t="shared" si="2467"/>
        <v>0</v>
      </c>
      <c r="AA3233" s="511"/>
      <c r="AB3233" s="511" t="str">
        <f t="shared" si="2468"/>
        <v/>
      </c>
      <c r="AC3233" s="698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698"/>
      <c r="AE3233" s="631" t="str">
        <f t="shared" si="2469"/>
        <v/>
      </c>
      <c r="AF3233" s="699" t="str">
        <f t="shared" si="2470"/>
        <v/>
      </c>
      <c r="AG3233" s="699"/>
      <c r="AH3233" s="699"/>
      <c r="AI3233" s="512">
        <f>IF(H3233="credit",0,IF(AE3233="free",0,IF(AE3233="me",0,IF(G3233&gt;0,(VLOOKUP(A3233,'Discount Lookup'!J:K,2)*G3233),0))))</f>
        <v>0</v>
      </c>
      <c r="AJ3233" s="513" t="str">
        <f t="shared" ca="1" si="2471"/>
        <v/>
      </c>
      <c r="AK3233" s="700" t="str">
        <f t="shared" si="2472"/>
        <v/>
      </c>
      <c r="AL3233" s="700"/>
      <c r="AM3233" s="505" t="str">
        <f t="shared" si="2473"/>
        <v/>
      </c>
      <c r="AN3233" s="506"/>
      <c r="AO3233" s="507"/>
      <c r="AP3233" s="507"/>
      <c r="AQ3233" s="507"/>
      <c r="AR3233" s="507"/>
      <c r="AS3233" s="507"/>
      <c r="AT3233" s="507"/>
      <c r="AU3233" s="507"/>
      <c r="AV3233" s="225"/>
      <c r="AW3233" s="508"/>
      <c r="AX3233" s="225"/>
      <c r="AY3233" s="225"/>
      <c r="AZ3233" s="225"/>
      <c r="BA3233" s="225"/>
      <c r="BB3233" s="225"/>
      <c r="BC3233" s="56"/>
      <c r="BD3233" s="56"/>
      <c r="BE3233" s="56"/>
      <c r="BF3233" s="107" t="str">
        <f t="shared" si="2474"/>
        <v>https://www.google.com/search?tbm=isch&amp;q=Scarlet%20Fire%E2%84%A2%20Kousa%20Dogwood%20Cornus%20kousa%20%27Rutpink%27%20PP%2328311</v>
      </c>
      <c r="BG3233" s="107" t="str">
        <f t="shared" si="2475"/>
        <v>S</v>
      </c>
      <c r="BH3233" s="254"/>
      <c r="BI3233" s="254"/>
    </row>
    <row r="3234" spans="1:61" customFormat="1" ht="15.75" x14ac:dyDescent="0.25">
      <c r="A3234" s="276">
        <v>5</v>
      </c>
      <c r="B3234" s="240" t="s">
        <v>291</v>
      </c>
      <c r="C3234" s="241" t="s">
        <v>3745</v>
      </c>
      <c r="D3234" s="242" t="s">
        <v>292</v>
      </c>
      <c r="E3234" s="243">
        <v>79.95</v>
      </c>
      <c r="F3234" s="517" t="s">
        <v>293</v>
      </c>
      <c r="G3234" s="232">
        <v>0</v>
      </c>
      <c r="H3234" s="661" t="str">
        <f>IF(G3234=0,"",IF(F3234="Buy",IF(G3234=1,"plant","plants"),IF(F3234&gt;0.01,"warranty","Error")))</f>
        <v/>
      </c>
      <c r="I3234" s="244">
        <f>IF(H3234="free",0,IF(H3234="credit",((E3234*(F3234))*G3234*-1),IF(F3234="Buy",(E3234*G3234),((E3234*(1-F3234))*G3234))))</f>
        <v>0</v>
      </c>
      <c r="J3234" s="244">
        <f>IF(H3234="warranty",0,(I3234*(_xlfn.SINGLE(SalesTaxPercentage))))</f>
        <v>0</v>
      </c>
      <c r="K3234" s="696">
        <f t="shared" ref="K3234" si="2483">I3234+J3234</f>
        <v>0</v>
      </c>
      <c r="L3234" s="696"/>
      <c r="M3234" s="659" t="str">
        <f>IF(AND(G3234&gt;0,E3234=0),"WARNING - no PRICE inserted",IF(H3234="free"," FREE ~ no charge this plant",IF(H3234="credit",CONCATENATE(" -$",ROUND(K3234*(1-T2GDiscount)*-1,2)," CREDIT after discount"),IF(T2GDiscount=0,"",IF(G3234=0,"",IF(F3234="Buy",CONCATENATE(" $",ROUND(K3234*(1-T2GDiscount),2)," with ",(T2GDiscount*100),"% discount"),CONCATENATE(" $",ROUND(K3234*(1-T2GDiscount),2)," with ",((T2GDiscount*100+F3234*100)-(T2GDiscount*100*F3234)),IF(F3234&gt;0,"% discounts",IF(NoWarrantyDiscount&gt;0,"% discounts","% discount")))))))))</f>
        <v/>
      </c>
      <c r="N3234" s="660"/>
      <c r="O3234" s="233"/>
      <c r="P3234" s="233"/>
      <c r="Q3234" s="233"/>
      <c r="R3234" s="233"/>
      <c r="S3234" s="233"/>
      <c r="T3234" s="508">
        <f t="shared" si="2463"/>
        <v>0</v>
      </c>
      <c r="U3234" s="225">
        <f>IF(NOT(ISNUMBER(G3234)), "", VLOOKUP(A3234,'Discount Lookup'!D:E,2,FALSE)*G3234)</f>
        <v>0</v>
      </c>
      <c r="V3234" s="225">
        <f>IF(NOT(ISNUMBER(G3234)), "", VLOOKUP(A3234,'Discount Lookup'!G:H,2,FALSE)*G3234)</f>
        <v>0</v>
      </c>
      <c r="W3234" s="508">
        <f t="shared" si="2464"/>
        <v>0</v>
      </c>
      <c r="X3234" s="508">
        <f t="shared" si="2465"/>
        <v>0</v>
      </c>
      <c r="Y3234" s="509" t="b">
        <f t="shared" si="2466"/>
        <v>0</v>
      </c>
      <c r="Z3234" s="510">
        <f t="shared" si="2467"/>
        <v>0</v>
      </c>
      <c r="AA3234" s="511"/>
      <c r="AB3234" s="511" t="str">
        <f t="shared" si="2468"/>
        <v/>
      </c>
      <c r="AC3234" s="698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698"/>
      <c r="AE3234" s="631" t="str">
        <f t="shared" si="2469"/>
        <v/>
      </c>
      <c r="AF3234" s="699" t="str">
        <f t="shared" si="2470"/>
        <v/>
      </c>
      <c r="AG3234" s="699"/>
      <c r="AH3234" s="699"/>
      <c r="AI3234" s="512">
        <f>IF(H3234="credit",0,IF(AE3234="free",0,IF(AE3234="me",0,IF(G3234&gt;0,(VLOOKUP(A3234,'Discount Lookup'!J:K,2)*G3234),0))))</f>
        <v>0</v>
      </c>
      <c r="AJ3234" s="513" t="str">
        <f t="shared" ca="1" si="2471"/>
        <v/>
      </c>
      <c r="AK3234" s="700" t="str">
        <f t="shared" si="2472"/>
        <v/>
      </c>
      <c r="AL3234" s="700"/>
      <c r="AM3234" s="505" t="str">
        <f t="shared" si="2473"/>
        <v/>
      </c>
      <c r="AN3234" s="506"/>
      <c r="AO3234" s="507"/>
      <c r="AP3234" s="507"/>
      <c r="AQ3234" s="507"/>
      <c r="AR3234" s="507"/>
      <c r="AS3234" s="507"/>
      <c r="AT3234" s="507"/>
      <c r="AU3234" s="507"/>
      <c r="AV3234" s="225"/>
      <c r="AW3234" s="508"/>
      <c r="AX3234" s="225"/>
      <c r="AY3234" s="225"/>
      <c r="AZ3234" s="225"/>
      <c r="BA3234" s="225"/>
      <c r="BB3234" s="225"/>
      <c r="BC3234" s="56"/>
      <c r="BD3234" s="56"/>
      <c r="BE3234" s="56"/>
      <c r="BF3234" s="107" t="str">
        <f t="shared" si="2474"/>
        <v>https://www.google.com/search?tbm=isch&amp;q=5%20G4</v>
      </c>
      <c r="BG3234" s="107" t="str">
        <f t="shared" si="2475"/>
        <v>S</v>
      </c>
      <c r="BH3234" s="254"/>
      <c r="BI3234" s="254"/>
    </row>
    <row r="3235" spans="1:61" customFormat="1" ht="15.75" x14ac:dyDescent="0.25">
      <c r="A3235" s="276">
        <v>7</v>
      </c>
      <c r="B3235" s="240" t="s">
        <v>291</v>
      </c>
      <c r="C3235" s="241" t="s">
        <v>3746</v>
      </c>
      <c r="D3235" s="242" t="s">
        <v>292</v>
      </c>
      <c r="E3235" s="243">
        <v>104.95</v>
      </c>
      <c r="F3235" s="517" t="s">
        <v>293</v>
      </c>
      <c r="G3235" s="232">
        <v>0</v>
      </c>
      <c r="H3235" s="661" t="str">
        <f>IF(G3235=0,"",IF(F3235="Buy",IF(G3235=1,"plant","plants"),IF(F3235&gt;0.01,"warranty","Error")))</f>
        <v/>
      </c>
      <c r="I3235" s="244">
        <f>IF(H3235="free",0,IF(H3235="credit",((E3235*(F3235))*G3235*-1),IF(F3235="Buy",(E3235*G3235),((E3235*(1-F3235))*G3235))))</f>
        <v>0</v>
      </c>
      <c r="J3235" s="244">
        <f>IF(H3235="warranty",0,(I3235*(_xlfn.SINGLE(SalesTaxPercentage))))</f>
        <v>0</v>
      </c>
      <c r="K3235" s="696">
        <f t="shared" ref="K3235" si="2484">I3235+J3235</f>
        <v>0</v>
      </c>
      <c r="L3235" s="696"/>
      <c r="M3235" s="659" t="str">
        <f>IF(AND(G3235&gt;0,E3235=0),"WARNING - no PRICE inserted",IF(H3235="free"," FREE ~ no charge this plant",IF(H3235="credit",CONCATENATE(" -$",ROUND(K3235*(1-T2GDiscount)*-1,2)," CREDIT after discount"),IF(T2GDiscount=0,"",IF(G3235=0,"",IF(F3235="Buy",CONCATENATE(" $",ROUND(K3235*(1-T2GDiscount),2)," with ",(T2GDiscount*100),"% discount"),CONCATENATE(" $",ROUND(K3235*(1-T2GDiscount),2)," with ",((T2GDiscount*100+F3235*100)-(T2GDiscount*100*F3235)),IF(F3235&gt;0,"% discounts",IF(NoWarrantyDiscount&gt;0,"% discounts","% discount")))))))))</f>
        <v/>
      </c>
      <c r="N3235" s="660"/>
      <c r="O3235" s="233"/>
      <c r="P3235" s="233"/>
      <c r="Q3235" s="233"/>
      <c r="R3235" s="233"/>
      <c r="S3235" s="233"/>
      <c r="T3235" s="508">
        <f t="shared" si="2463"/>
        <v>0</v>
      </c>
      <c r="U3235" s="225">
        <f>IF(NOT(ISNUMBER(G3235)), "", VLOOKUP(A3235,'Discount Lookup'!D:E,2,FALSE)*G3235)</f>
        <v>0</v>
      </c>
      <c r="V3235" s="225">
        <f>IF(NOT(ISNUMBER(G3235)), "", VLOOKUP(A3235,'Discount Lookup'!G:H,2,FALSE)*G3235)</f>
        <v>0</v>
      </c>
      <c r="W3235" s="508">
        <f t="shared" si="2464"/>
        <v>0</v>
      </c>
      <c r="X3235" s="508">
        <f t="shared" si="2465"/>
        <v>0</v>
      </c>
      <c r="Y3235" s="509" t="b">
        <f t="shared" si="2466"/>
        <v>0</v>
      </c>
      <c r="Z3235" s="510">
        <f t="shared" si="2467"/>
        <v>0</v>
      </c>
      <c r="AA3235" s="511"/>
      <c r="AB3235" s="511" t="str">
        <f t="shared" si="2468"/>
        <v/>
      </c>
      <c r="AC3235" s="698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698"/>
      <c r="AE3235" s="631" t="str">
        <f t="shared" si="2469"/>
        <v/>
      </c>
      <c r="AF3235" s="699" t="str">
        <f t="shared" si="2470"/>
        <v/>
      </c>
      <c r="AG3235" s="699"/>
      <c r="AH3235" s="699"/>
      <c r="AI3235" s="512">
        <f>IF(H3235="credit",0,IF(AE3235="free",0,IF(AE3235="me",0,IF(G3235&gt;0,(VLOOKUP(A3235,'Discount Lookup'!J:K,2)*G3235),0))))</f>
        <v>0</v>
      </c>
      <c r="AJ3235" s="513" t="str">
        <f t="shared" ca="1" si="2471"/>
        <v/>
      </c>
      <c r="AK3235" s="700" t="str">
        <f t="shared" si="2472"/>
        <v/>
      </c>
      <c r="AL3235" s="700"/>
      <c r="AM3235" s="505" t="str">
        <f t="shared" si="2473"/>
        <v/>
      </c>
      <c r="AN3235" s="506"/>
      <c r="AO3235" s="507"/>
      <c r="AP3235" s="507"/>
      <c r="AQ3235" s="507"/>
      <c r="AR3235" s="507"/>
      <c r="AS3235" s="507"/>
      <c r="AT3235" s="507"/>
      <c r="AU3235" s="507"/>
      <c r="AV3235" s="225"/>
      <c r="AW3235" s="508"/>
      <c r="AX3235" s="225"/>
      <c r="AY3235" s="225"/>
      <c r="AZ3235" s="225"/>
      <c r="BA3235" s="225"/>
      <c r="BB3235" s="225"/>
      <c r="BC3235" s="56"/>
      <c r="BD3235" s="56"/>
      <c r="BE3235" s="56"/>
      <c r="BF3235" s="107" t="str">
        <f t="shared" si="2474"/>
        <v>https://www.google.com/search?tbm=isch&amp;q=7%20G4</v>
      </c>
      <c r="BG3235" s="107" t="str">
        <f t="shared" si="2475"/>
        <v>S</v>
      </c>
      <c r="BH3235" s="254"/>
      <c r="BI3235" s="254"/>
    </row>
    <row r="3236" spans="1:61" customFormat="1" ht="15.75" x14ac:dyDescent="0.25">
      <c r="A3236" s="276">
        <v>15</v>
      </c>
      <c r="B3236" s="240" t="s">
        <v>291</v>
      </c>
      <c r="C3236" s="241" t="s">
        <v>4160</v>
      </c>
      <c r="D3236" s="242" t="s">
        <v>292</v>
      </c>
      <c r="E3236" s="243">
        <v>192.95</v>
      </c>
      <c r="F3236" s="517" t="s">
        <v>293</v>
      </c>
      <c r="G3236" s="232">
        <v>0</v>
      </c>
      <c r="H3236" s="661" t="str">
        <f>IF(G3236=0,"",IF(F3236="Buy",IF(G3236=1,"plant","plants"),IF(F3236&gt;0.01,"warranty","Error")))</f>
        <v/>
      </c>
      <c r="I3236" s="244">
        <f>IF(H3236="free",0,IF(H3236="credit",((E3236*(F3236))*G3236*-1),IF(F3236="Buy",(E3236*G3236),((E3236*(1-F3236))*G3236))))</f>
        <v>0</v>
      </c>
      <c r="J3236" s="244">
        <f>IF(H3236="warranty",0,(I3236*(_xlfn.SINGLE(SalesTaxPercentage))))</f>
        <v>0</v>
      </c>
      <c r="K3236" s="696">
        <f t="shared" ref="K3236" si="2485">I3236+J3236</f>
        <v>0</v>
      </c>
      <c r="L3236" s="696"/>
      <c r="M3236" s="659" t="str">
        <f>IF(AND(G3236&gt;0,E3236=0),"WARNING - no PRICE inserted",IF(H3236="free"," FREE ~ no charge this plant",IF(H3236="credit",CONCATENATE(" -$",ROUND(K3236*(1-T2GDiscount)*-1,2)," CREDIT after discount"),IF(T2GDiscount=0,"",IF(G3236=0,"",IF(F3236="Buy",CONCATENATE(" $",ROUND(K3236*(1-T2GDiscount),2)," with ",(T2GDiscount*100),"% discount"),CONCATENATE(" $",ROUND(K3236*(1-T2GDiscount),2)," with ",((T2GDiscount*100+F3236*100)-(T2GDiscount*100*F3236)),IF(F3236&gt;0,"% discounts",IF(NoWarrantyDiscount&gt;0,"% discounts","% discount")))))))))</f>
        <v/>
      </c>
      <c r="N3236" s="660"/>
      <c r="O3236" s="233"/>
      <c r="P3236" s="233"/>
      <c r="Q3236" s="233"/>
      <c r="R3236" s="233"/>
      <c r="S3236" s="233"/>
      <c r="T3236" s="508">
        <f t="shared" si="2463"/>
        <v>0</v>
      </c>
      <c r="U3236" s="225">
        <f>IF(NOT(ISNUMBER(G3236)), "", VLOOKUP(A3236,'Discount Lookup'!D:E,2,FALSE)*G3236)</f>
        <v>0</v>
      </c>
      <c r="V3236" s="225">
        <f>IF(NOT(ISNUMBER(G3236)), "", VLOOKUP(A3236,'Discount Lookup'!G:H,2,FALSE)*G3236)</f>
        <v>0</v>
      </c>
      <c r="W3236" s="508">
        <f t="shared" si="2464"/>
        <v>0</v>
      </c>
      <c r="X3236" s="508">
        <f t="shared" si="2465"/>
        <v>0</v>
      </c>
      <c r="Y3236" s="509" t="b">
        <f t="shared" si="2466"/>
        <v>0</v>
      </c>
      <c r="Z3236" s="510">
        <f t="shared" si="2467"/>
        <v>0</v>
      </c>
      <c r="AA3236" s="511"/>
      <c r="AB3236" s="511" t="str">
        <f t="shared" si="2468"/>
        <v/>
      </c>
      <c r="AC3236" s="698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698"/>
      <c r="AE3236" s="631" t="str">
        <f t="shared" si="2469"/>
        <v/>
      </c>
      <c r="AF3236" s="699" t="str">
        <f t="shared" si="2470"/>
        <v/>
      </c>
      <c r="AG3236" s="699"/>
      <c r="AH3236" s="699"/>
      <c r="AI3236" s="512">
        <f>IF(H3236="credit",0,IF(AE3236="free",0,IF(AE3236="me",0,IF(G3236&gt;0,(VLOOKUP(A3236,'Discount Lookup'!J:K,2)*G3236),0))))</f>
        <v>0</v>
      </c>
      <c r="AJ3236" s="513" t="str">
        <f t="shared" ca="1" si="2471"/>
        <v/>
      </c>
      <c r="AK3236" s="700" t="str">
        <f t="shared" si="2472"/>
        <v/>
      </c>
      <c r="AL3236" s="700"/>
      <c r="AM3236" s="505" t="str">
        <f t="shared" si="2473"/>
        <v/>
      </c>
      <c r="AN3236" s="506"/>
      <c r="AO3236" s="507"/>
      <c r="AP3236" s="507"/>
      <c r="AQ3236" s="507"/>
      <c r="AR3236" s="507"/>
      <c r="AS3236" s="507"/>
      <c r="AT3236" s="507"/>
      <c r="AU3236" s="507"/>
      <c r="AV3236" s="225"/>
      <c r="AW3236" s="508"/>
      <c r="AX3236" s="225"/>
      <c r="AY3236" s="225"/>
      <c r="AZ3236" s="225"/>
      <c r="BA3236" s="225"/>
      <c r="BB3236" s="225"/>
      <c r="BC3236" s="56"/>
      <c r="BD3236" s="56"/>
      <c r="BE3236" s="56"/>
      <c r="BF3236" s="107" t="str">
        <f t="shared" si="2474"/>
        <v>https://www.google.com/search?tbm=isch&amp;q=15%20G4</v>
      </c>
      <c r="BG3236" s="107" t="str">
        <f t="shared" si="2475"/>
        <v>S</v>
      </c>
      <c r="BH3236" s="254"/>
      <c r="BI3236" s="254"/>
    </row>
    <row r="3237" spans="1:61" customFormat="1" ht="17.25" thickBot="1" x14ac:dyDescent="0.3">
      <c r="A3237" s="524" t="s">
        <v>3232</v>
      </c>
      <c r="B3237" s="245"/>
      <c r="C3237" s="677"/>
      <c r="D3237" s="499"/>
      <c r="E3237" s="499"/>
      <c r="F3237" s="500"/>
      <c r="G3237" s="501"/>
      <c r="H3237" s="502"/>
      <c r="I3237" s="246"/>
      <c r="J3237" s="247"/>
      <c r="K3237" s="503"/>
      <c r="L3237" s="544"/>
      <c r="M3237" s="544"/>
      <c r="N3237" s="500"/>
      <c r="O3237" s="500"/>
      <c r="P3237" s="500"/>
      <c r="Q3237" s="500"/>
      <c r="R3237" s="500"/>
      <c r="S3237" s="669" t="s">
        <v>4996</v>
      </c>
      <c r="T3237" s="508">
        <f t="shared" si="2463"/>
        <v>0</v>
      </c>
      <c r="U3237" s="225" t="str">
        <f>IF(NOT(ISNUMBER(G3237)), "", VLOOKUP(A3237,'Discount Lookup'!D:E,2,FALSE)*G3237)</f>
        <v/>
      </c>
      <c r="V3237" s="225" t="str">
        <f>IF(NOT(ISNUMBER(G3237)), "", VLOOKUP(A3237,'Discount Lookup'!G:H,2,FALSE)*G3237)</f>
        <v/>
      </c>
      <c r="W3237" s="508">
        <f t="shared" si="2464"/>
        <v>0</v>
      </c>
      <c r="X3237" s="508">
        <f t="shared" si="2465"/>
        <v>0</v>
      </c>
      <c r="Y3237" s="509" t="b">
        <f t="shared" si="2466"/>
        <v>0</v>
      </c>
      <c r="Z3237" s="510">
        <f t="shared" si="2467"/>
        <v>0</v>
      </c>
      <c r="AA3237" s="511"/>
      <c r="AB3237" s="511" t="str">
        <f t="shared" si="2468"/>
        <v/>
      </c>
      <c r="AC3237" s="698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698"/>
      <c r="AE3237" s="631" t="str">
        <f t="shared" si="2469"/>
        <v/>
      </c>
      <c r="AF3237" s="699" t="str">
        <f t="shared" si="2470"/>
        <v/>
      </c>
      <c r="AG3237" s="699"/>
      <c r="AH3237" s="699"/>
      <c r="AI3237" s="512">
        <f>IF(H3237="credit",0,IF(AE3237="free",0,IF(AE3237="me",0,IF(G3237&gt;0,(VLOOKUP(A3237,'Discount Lookup'!J:K,2)*G3237),0))))</f>
        <v>0</v>
      </c>
      <c r="AJ3237" s="513" t="str">
        <f t="shared" ca="1" si="2471"/>
        <v/>
      </c>
      <c r="AK3237" s="700" t="str">
        <f t="shared" si="2472"/>
        <v/>
      </c>
      <c r="AL3237" s="700"/>
      <c r="AM3237" s="505" t="str">
        <f t="shared" si="2473"/>
        <v/>
      </c>
      <c r="AN3237" s="506"/>
      <c r="AO3237" s="507"/>
      <c r="AP3237" s="507"/>
      <c r="AQ3237" s="507"/>
      <c r="AR3237" s="507"/>
      <c r="AS3237" s="507"/>
      <c r="AT3237" s="507"/>
      <c r="AU3237" s="507"/>
      <c r="AV3237" s="225"/>
      <c r="AW3237" s="508"/>
      <c r="AX3237" s="225"/>
      <c r="AY3237" s="225"/>
      <c r="AZ3237" s="225"/>
      <c r="BA3237" s="225"/>
      <c r="BB3237" s="225"/>
      <c r="BC3237" s="56"/>
      <c r="BD3237" s="56"/>
      <c r="BE3237" s="56"/>
      <c r="BF3237" s="107" t="str">
        <f t="shared" si="2474"/>
        <v>https://www.google.com/search?tbm=isch&amp;q=Scarlet%20Fire%20is%20very%20showy%2C%20very%20long%20blooming%20%28up%20to%208%20weeks%29%2C%20and%20rather%20disease%20resistant%20</v>
      </c>
      <c r="BG3237" s="107" t="str">
        <f t="shared" si="2475"/>
        <v>S</v>
      </c>
      <c r="BH3237" s="254"/>
      <c r="BI3237" s="254"/>
    </row>
    <row r="3238" spans="1:61" customFormat="1" ht="18" x14ac:dyDescent="0.25">
      <c r="A3238" s="521" t="s">
        <v>1685</v>
      </c>
      <c r="B3238" s="477"/>
      <c r="C3238" s="674"/>
      <c r="D3238" s="478" t="s">
        <v>1686</v>
      </c>
      <c r="E3238" s="479"/>
      <c r="F3238" s="479"/>
      <c r="G3238" s="479"/>
      <c r="H3238" s="582" t="s">
        <v>715</v>
      </c>
      <c r="I3238" s="480" t="s">
        <v>2093</v>
      </c>
      <c r="J3238" s="479"/>
      <c r="K3238" s="479"/>
      <c r="L3238" s="560"/>
      <c r="M3238" s="666" t="s">
        <v>4966</v>
      </c>
      <c r="N3238" s="680" t="str">
        <f>IF(AND(ISTEXT($A3238), ISERROR($A3238+0)), HYPERLINK($BF3238, "Images"), "")</f>
        <v>Images</v>
      </c>
      <c r="O3238" s="662" t="s">
        <v>4969</v>
      </c>
      <c r="P3238" s="482"/>
      <c r="Q3238" s="483"/>
      <c r="R3238" s="483"/>
      <c r="S3238" s="484" t="s">
        <v>305</v>
      </c>
      <c r="T3238" s="508">
        <f t="shared" si="2463"/>
        <v>0</v>
      </c>
      <c r="U3238" s="225" t="str">
        <f>IF(NOT(ISNUMBER(G3238)), "", VLOOKUP(A3238,'Discount Lookup'!D:E,2,FALSE)*G3238)</f>
        <v/>
      </c>
      <c r="V3238" s="225" t="str">
        <f>IF(NOT(ISNUMBER(G3238)), "", VLOOKUP(A3238,'Discount Lookup'!G:H,2,FALSE)*G3238)</f>
        <v/>
      </c>
      <c r="W3238" s="508">
        <f t="shared" si="2464"/>
        <v>0</v>
      </c>
      <c r="X3238" s="508" t="str">
        <f t="shared" si="2465"/>
        <v>Dark Green foliage</v>
      </c>
      <c r="Y3238" s="509" t="b">
        <f t="shared" si="2466"/>
        <v>0</v>
      </c>
      <c r="Z3238" s="510">
        <f t="shared" si="2467"/>
        <v>0</v>
      </c>
      <c r="AA3238" s="511"/>
      <c r="AB3238" s="511" t="str">
        <f t="shared" si="2468"/>
        <v/>
      </c>
      <c r="AC3238" s="698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698"/>
      <c r="AE3238" s="631" t="str">
        <f t="shared" si="2469"/>
        <v/>
      </c>
      <c r="AF3238" s="699" t="str">
        <f t="shared" si="2470"/>
        <v/>
      </c>
      <c r="AG3238" s="699"/>
      <c r="AH3238" s="699"/>
      <c r="AI3238" s="512">
        <f>IF(H3238="credit",0,IF(AE3238="free",0,IF(AE3238="me",0,IF(G3238&gt;0,(VLOOKUP(A3238,'Discount Lookup'!J:K,2)*G3238),0))))</f>
        <v>0</v>
      </c>
      <c r="AJ3238" s="513" t="str">
        <f t="shared" ca="1" si="2471"/>
        <v/>
      </c>
      <c r="AK3238" s="700" t="str">
        <f t="shared" si="2472"/>
        <v/>
      </c>
      <c r="AL3238" s="700"/>
      <c r="AM3238" s="505" t="str">
        <f t="shared" si="2473"/>
        <v/>
      </c>
      <c r="AN3238" s="506"/>
      <c r="AO3238" s="507"/>
      <c r="AP3238" s="507"/>
      <c r="AQ3238" s="507"/>
      <c r="AR3238" s="507"/>
      <c r="AS3238" s="507"/>
      <c r="AT3238" s="507"/>
      <c r="AU3238" s="507"/>
      <c r="AV3238" s="225"/>
      <c r="AW3238" s="508"/>
      <c r="AX3238" s="225"/>
      <c r="AY3238" s="225"/>
      <c r="AZ3238" s="225"/>
      <c r="BA3238" s="225"/>
      <c r="BB3238" s="225"/>
      <c r="BC3238" s="56"/>
      <c r="BD3238" s="56"/>
      <c r="BE3238" s="56"/>
      <c r="BF3238" s="107" t="str">
        <f t="shared" si="2474"/>
        <v>https://www.google.com/search?tbm=isch&amp;q=Schillings%20Dwarf%20Yaupon%20Holly%20Ilex%20vomitoria%20%27Schillings%20Dwarf%27</v>
      </c>
      <c r="BG3238" s="107" t="str">
        <f t="shared" si="2475"/>
        <v>S</v>
      </c>
      <c r="BH3238" s="254"/>
      <c r="BI3238" s="254"/>
    </row>
    <row r="3239" spans="1:61" customFormat="1" ht="15.75" x14ac:dyDescent="0.25">
      <c r="A3239" s="485">
        <v>3</v>
      </c>
      <c r="B3239" s="486" t="s">
        <v>291</v>
      </c>
      <c r="C3239" s="487" t="s">
        <v>3054</v>
      </c>
      <c r="D3239" s="488" t="s">
        <v>312</v>
      </c>
      <c r="E3239" s="489">
        <v>24.95</v>
      </c>
      <c r="F3239" s="516" t="s">
        <v>293</v>
      </c>
      <c r="G3239" s="232">
        <v>0</v>
      </c>
      <c r="H3239" s="658" t="str">
        <f>IF(G3239=0,"",IF(F3239="Buy",IF(G3239=1,"plant","plants"),IF(F3239&gt;0.01,"warranty","Error")))</f>
        <v/>
      </c>
      <c r="I3239" s="490">
        <f>IF(H3239="free",0,IF(H3239="credit",((E3239*(F3239))*G3239*-1),IF(F3239="Buy",(E3239*G3239),((E3239*(1-F3239))*G3239))))</f>
        <v>0</v>
      </c>
      <c r="J3239" s="490">
        <f>IF(H3239="warranty",0,(I3239*(_xlfn.SINGLE(SalesTaxPercentage))))</f>
        <v>0</v>
      </c>
      <c r="K3239" s="695">
        <f t="shared" ref="K3239" si="2486">I3239+J3239</f>
        <v>0</v>
      </c>
      <c r="L3239" s="695"/>
      <c r="M3239" s="659" t="str">
        <f>IF(AND(G3239&gt;0,E3239=0),"WARNING - no PRICE inserted",IF(H3239="free"," FREE ~ no charge this plant",IF(H3239="credit",CONCATENATE(" -$",ROUND(K3239*(1-T2GDiscount)*-1,2)," CREDIT after discount"),IF(T2GDiscount=0,"",IF(G3239=0,"",IF(F3239="Buy",CONCATENATE(" $",ROUND(K3239*(1-T2GDiscount),2)," with ",(T2GDiscount*100),"% discount"),CONCATENATE(" $",ROUND(K3239*(1-T2GDiscount),2)," with ",((T2GDiscount*100+F3239*100)-(T2GDiscount*100*F3239)),IF(F3239&gt;0,"% discounts",IF(NoWarrantyDiscount&gt;0,"% discounts","% discount")))))))))</f>
        <v/>
      </c>
      <c r="N3239" s="660"/>
      <c r="O3239" s="233"/>
      <c r="P3239" s="233"/>
      <c r="Q3239" s="233"/>
      <c r="R3239" s="233"/>
      <c r="S3239" s="233"/>
      <c r="T3239" s="508">
        <f t="shared" si="2463"/>
        <v>0</v>
      </c>
      <c r="U3239" s="225">
        <f>IF(NOT(ISNUMBER(G3239)), "", VLOOKUP(A3239,'Discount Lookup'!D:E,2,FALSE)*G3239)</f>
        <v>0</v>
      </c>
      <c r="V3239" s="225">
        <f>IF(NOT(ISNUMBER(G3239)), "", VLOOKUP(A3239,'Discount Lookup'!G:H,2,FALSE)*G3239)</f>
        <v>0</v>
      </c>
      <c r="W3239" s="508">
        <f t="shared" si="2464"/>
        <v>0</v>
      </c>
      <c r="X3239" s="508">
        <f t="shared" si="2465"/>
        <v>0</v>
      </c>
      <c r="Y3239" s="509" t="b">
        <f t="shared" si="2466"/>
        <v>0</v>
      </c>
      <c r="Z3239" s="510">
        <f t="shared" si="2467"/>
        <v>0</v>
      </c>
      <c r="AA3239" s="511"/>
      <c r="AB3239" s="511" t="str">
        <f t="shared" si="2468"/>
        <v/>
      </c>
      <c r="AC3239" s="698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698"/>
      <c r="AE3239" s="631" t="str">
        <f t="shared" si="2469"/>
        <v/>
      </c>
      <c r="AF3239" s="699" t="str">
        <f t="shared" si="2470"/>
        <v/>
      </c>
      <c r="AG3239" s="699"/>
      <c r="AH3239" s="699"/>
      <c r="AI3239" s="512">
        <f>IF(H3239="credit",0,IF(AE3239="free",0,IF(AE3239="me",0,IF(G3239&gt;0,(VLOOKUP(A3239,'Discount Lookup'!J:K,2)*G3239),0))))</f>
        <v>0</v>
      </c>
      <c r="AJ3239" s="513" t="str">
        <f t="shared" ca="1" si="2471"/>
        <v/>
      </c>
      <c r="AK3239" s="700" t="str">
        <f t="shared" si="2472"/>
        <v/>
      </c>
      <c r="AL3239" s="700"/>
      <c r="AM3239" s="505" t="str">
        <f t="shared" si="2473"/>
        <v/>
      </c>
      <c r="AN3239" s="506"/>
      <c r="AO3239" s="507"/>
      <c r="AP3239" s="507"/>
      <c r="AQ3239" s="507"/>
      <c r="AR3239" s="507"/>
      <c r="AS3239" s="507"/>
      <c r="AT3239" s="507"/>
      <c r="AU3239" s="507"/>
      <c r="AV3239" s="225"/>
      <c r="AW3239" s="508"/>
      <c r="AX3239" s="225"/>
      <c r="AY3239" s="225"/>
      <c r="AZ3239" s="225"/>
      <c r="BA3239" s="225"/>
      <c r="BB3239" s="225"/>
      <c r="BC3239" s="56"/>
      <c r="BD3239" s="56"/>
      <c r="BE3239" s="56"/>
      <c r="BF3239" s="107" t="str">
        <f t="shared" si="2474"/>
        <v>https://www.google.com/search?tbm=isch&amp;q=3%20G2</v>
      </c>
      <c r="BG3239" s="107" t="str">
        <f t="shared" si="2475"/>
        <v>S</v>
      </c>
      <c r="BH3239" s="254"/>
      <c r="BI3239" s="254"/>
    </row>
    <row r="3240" spans="1:61" customFormat="1" ht="27" x14ac:dyDescent="0.25">
      <c r="A3240" s="485">
        <v>3</v>
      </c>
      <c r="B3240" s="486" t="s">
        <v>291</v>
      </c>
      <c r="C3240" s="487" t="s">
        <v>4562</v>
      </c>
      <c r="D3240" s="488" t="s">
        <v>299</v>
      </c>
      <c r="E3240" s="489">
        <v>30.95</v>
      </c>
      <c r="F3240" s="516" t="s">
        <v>293</v>
      </c>
      <c r="G3240" s="232">
        <v>0</v>
      </c>
      <c r="H3240" s="658" t="str">
        <f>IF(G3240=0,"",IF(F3240="Buy",IF(G3240=1,"plant","plants"),IF(F3240&gt;0.01,"warranty","Error")))</f>
        <v/>
      </c>
      <c r="I3240" s="490">
        <f>IF(H3240="free",0,IF(H3240="credit",((E3240*(F3240))*G3240*-1),IF(F3240="Buy",(E3240*G3240),((E3240*(1-F3240))*G3240))))</f>
        <v>0</v>
      </c>
      <c r="J3240" s="490">
        <f>IF(H3240="warranty",0,(I3240*(_xlfn.SINGLE(SalesTaxPercentage))))</f>
        <v>0</v>
      </c>
      <c r="K3240" s="695">
        <f t="shared" ref="K3240" si="2487">I3240+J3240</f>
        <v>0</v>
      </c>
      <c r="L3240" s="695"/>
      <c r="M3240" s="659" t="str">
        <f>IF(AND(G3240&gt;0,E3240=0),"WARNING - no PRICE inserted",IF(H3240="free"," FREE ~ no charge this plant",IF(H3240="credit",CONCATENATE(" -$",ROUND(K3240*(1-T2GDiscount)*-1,2)," CREDIT after discount"),IF(T2GDiscount=0,"",IF(G3240=0,"",IF(F3240="Buy",CONCATENATE(" $",ROUND(K3240*(1-T2GDiscount),2)," with ",(T2GDiscount*100),"% discount"),CONCATENATE(" $",ROUND(K3240*(1-T2GDiscount),2)," with ",((T2GDiscount*100+F3240*100)-(T2GDiscount*100*F3240)),IF(F3240&gt;0,"% discounts",IF(NoWarrantyDiscount&gt;0,"% discounts","% discount")))))))))</f>
        <v/>
      </c>
      <c r="N3240" s="660"/>
      <c r="O3240" s="233"/>
      <c r="P3240" s="233"/>
      <c r="Q3240" s="233"/>
      <c r="R3240" s="233"/>
      <c r="S3240" s="233"/>
      <c r="T3240" s="508">
        <f t="shared" si="2463"/>
        <v>0</v>
      </c>
      <c r="U3240" s="225">
        <f>IF(NOT(ISNUMBER(G3240)), "", VLOOKUP(A3240,'Discount Lookup'!D:E,2,FALSE)*G3240)</f>
        <v>0</v>
      </c>
      <c r="V3240" s="225">
        <f>IF(NOT(ISNUMBER(G3240)), "", VLOOKUP(A3240,'Discount Lookup'!G:H,2,FALSE)*G3240)</f>
        <v>0</v>
      </c>
      <c r="W3240" s="508">
        <f t="shared" si="2464"/>
        <v>0</v>
      </c>
      <c r="X3240" s="508">
        <f t="shared" si="2465"/>
        <v>0</v>
      </c>
      <c r="Y3240" s="509" t="b">
        <f t="shared" si="2466"/>
        <v>0</v>
      </c>
      <c r="Z3240" s="510">
        <f t="shared" si="2467"/>
        <v>0</v>
      </c>
      <c r="AA3240" s="511"/>
      <c r="AB3240" s="511" t="str">
        <f t="shared" si="2468"/>
        <v/>
      </c>
      <c r="AC3240" s="698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698"/>
      <c r="AE3240" s="631" t="str">
        <f t="shared" si="2469"/>
        <v/>
      </c>
      <c r="AF3240" s="699" t="str">
        <f t="shared" si="2470"/>
        <v/>
      </c>
      <c r="AG3240" s="699"/>
      <c r="AH3240" s="699"/>
      <c r="AI3240" s="512">
        <f>IF(H3240="credit",0,IF(AE3240="free",0,IF(AE3240="me",0,IF(G3240&gt;0,(VLOOKUP(A3240,'Discount Lookup'!J:K,2)*G3240),0))))</f>
        <v>0</v>
      </c>
      <c r="AJ3240" s="513" t="str">
        <f t="shared" ca="1" si="2471"/>
        <v/>
      </c>
      <c r="AK3240" s="700" t="str">
        <f t="shared" si="2472"/>
        <v/>
      </c>
      <c r="AL3240" s="700"/>
      <c r="AM3240" s="505" t="str">
        <f t="shared" si="2473"/>
        <v/>
      </c>
      <c r="AN3240" s="506"/>
      <c r="AO3240" s="507"/>
      <c r="AP3240" s="507"/>
      <c r="AQ3240" s="507"/>
      <c r="AR3240" s="507"/>
      <c r="AS3240" s="507"/>
      <c r="AT3240" s="507"/>
      <c r="AU3240" s="507"/>
      <c r="AV3240" s="225"/>
      <c r="AW3240" s="508"/>
      <c r="AX3240" s="225"/>
      <c r="AY3240" s="225"/>
      <c r="AZ3240" s="225"/>
      <c r="BA3240" s="225"/>
      <c r="BB3240" s="225"/>
      <c r="BC3240" s="56"/>
      <c r="BD3240" s="56"/>
      <c r="BE3240" s="56"/>
      <c r="BF3240" s="107" t="str">
        <f t="shared" si="2474"/>
        <v>https://www.google.com/search?tbm=isch&amp;q=3%20G5</v>
      </c>
      <c r="BG3240" s="107" t="str">
        <f t="shared" si="2475"/>
        <v>S</v>
      </c>
      <c r="BH3240" s="254"/>
      <c r="BI3240" s="254"/>
    </row>
    <row r="3241" spans="1:61" customFormat="1" ht="15.75" x14ac:dyDescent="0.25">
      <c r="A3241" s="485">
        <v>7</v>
      </c>
      <c r="B3241" s="486" t="s">
        <v>291</v>
      </c>
      <c r="C3241" s="487" t="s">
        <v>2799</v>
      </c>
      <c r="D3241" s="488" t="s">
        <v>299</v>
      </c>
      <c r="E3241" s="489">
        <v>62.95</v>
      </c>
      <c r="F3241" s="516" t="s">
        <v>293</v>
      </c>
      <c r="G3241" s="232">
        <v>0</v>
      </c>
      <c r="H3241" s="658" t="str">
        <f>IF(G3241=0,"",IF(F3241="Buy",IF(G3241=1,"plant","plants"),IF(F3241&gt;0.01,"warranty","Error")))</f>
        <v/>
      </c>
      <c r="I3241" s="490">
        <f>IF(H3241="free",0,IF(H3241="credit",((E3241*(F3241))*G3241*-1),IF(F3241="Buy",(E3241*G3241),((E3241*(1-F3241))*G3241))))</f>
        <v>0</v>
      </c>
      <c r="J3241" s="490">
        <f>IF(H3241="warranty",0,(I3241*(_xlfn.SINGLE(SalesTaxPercentage))))</f>
        <v>0</v>
      </c>
      <c r="K3241" s="695">
        <f t="shared" ref="K3241" si="2488">I3241+J3241</f>
        <v>0</v>
      </c>
      <c r="L3241" s="695"/>
      <c r="M3241" s="659" t="str">
        <f>IF(AND(G3241&gt;0,E3241=0),"WARNING - no PRICE inserted",IF(H3241="free"," FREE ~ no charge this plant",IF(H3241="credit",CONCATENATE(" -$",ROUND(K3241*(1-T2GDiscount)*-1,2)," CREDIT after discount"),IF(T2GDiscount=0,"",IF(G3241=0,"",IF(F3241="Buy",CONCATENATE(" $",ROUND(K3241*(1-T2GDiscount),2)," with ",(T2GDiscount*100),"% discount"),CONCATENATE(" $",ROUND(K3241*(1-T2GDiscount),2)," with ",((T2GDiscount*100+F3241*100)-(T2GDiscount*100*F3241)),IF(F3241&gt;0,"% discounts",IF(NoWarrantyDiscount&gt;0,"% discounts","% discount")))))))))</f>
        <v/>
      </c>
      <c r="N3241" s="660"/>
      <c r="O3241" s="233"/>
      <c r="P3241" s="233"/>
      <c r="Q3241" s="233"/>
      <c r="R3241" s="233"/>
      <c r="S3241" s="233"/>
      <c r="T3241" s="508">
        <f t="shared" si="2463"/>
        <v>0</v>
      </c>
      <c r="U3241" s="225">
        <f>IF(NOT(ISNUMBER(G3241)), "", VLOOKUP(A3241,'Discount Lookup'!D:E,2,FALSE)*G3241)</f>
        <v>0</v>
      </c>
      <c r="V3241" s="225">
        <f>IF(NOT(ISNUMBER(G3241)), "", VLOOKUP(A3241,'Discount Lookup'!G:H,2,FALSE)*G3241)</f>
        <v>0</v>
      </c>
      <c r="W3241" s="508">
        <f t="shared" si="2464"/>
        <v>0</v>
      </c>
      <c r="X3241" s="508">
        <f t="shared" si="2465"/>
        <v>0</v>
      </c>
      <c r="Y3241" s="509" t="b">
        <f t="shared" si="2466"/>
        <v>0</v>
      </c>
      <c r="Z3241" s="510">
        <f t="shared" si="2467"/>
        <v>0</v>
      </c>
      <c r="AA3241" s="511"/>
      <c r="AB3241" s="511" t="str">
        <f t="shared" si="2468"/>
        <v/>
      </c>
      <c r="AC3241" s="698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698"/>
      <c r="AE3241" s="631" t="str">
        <f t="shared" si="2469"/>
        <v/>
      </c>
      <c r="AF3241" s="699" t="str">
        <f t="shared" si="2470"/>
        <v/>
      </c>
      <c r="AG3241" s="699"/>
      <c r="AH3241" s="699"/>
      <c r="AI3241" s="512">
        <f>IF(H3241="credit",0,IF(AE3241="free",0,IF(AE3241="me",0,IF(G3241&gt;0,(VLOOKUP(A3241,'Discount Lookup'!J:K,2)*G3241),0))))</f>
        <v>0</v>
      </c>
      <c r="AJ3241" s="513" t="str">
        <f t="shared" ca="1" si="2471"/>
        <v/>
      </c>
      <c r="AK3241" s="700" t="str">
        <f t="shared" si="2472"/>
        <v/>
      </c>
      <c r="AL3241" s="700"/>
      <c r="AM3241" s="505" t="str">
        <f t="shared" si="2473"/>
        <v/>
      </c>
      <c r="AN3241" s="506"/>
      <c r="AO3241" s="507"/>
      <c r="AP3241" s="507"/>
      <c r="AQ3241" s="507"/>
      <c r="AR3241" s="507"/>
      <c r="AS3241" s="507"/>
      <c r="AT3241" s="507"/>
      <c r="AU3241" s="507"/>
      <c r="AV3241" s="225"/>
      <c r="AW3241" s="508"/>
      <c r="AX3241" s="225"/>
      <c r="AY3241" s="225"/>
      <c r="AZ3241" s="225"/>
      <c r="BA3241" s="225"/>
      <c r="BB3241" s="225"/>
      <c r="BC3241" s="56"/>
      <c r="BD3241" s="56"/>
      <c r="BE3241" s="56"/>
      <c r="BF3241" s="107" t="str">
        <f t="shared" si="2474"/>
        <v>https://www.google.com/search?tbm=isch&amp;q=7%20G5</v>
      </c>
      <c r="BG3241" s="107" t="str">
        <f t="shared" si="2475"/>
        <v>S</v>
      </c>
      <c r="BH3241" s="254"/>
      <c r="BI3241" s="254"/>
    </row>
    <row r="3242" spans="1:61" customFormat="1" ht="17.25" thickBot="1" x14ac:dyDescent="0.3">
      <c r="A3242" s="672" t="s">
        <v>5224</v>
      </c>
      <c r="B3242" s="491"/>
      <c r="C3242" s="675"/>
      <c r="D3242" s="491"/>
      <c r="E3242" s="491"/>
      <c r="F3242" s="492"/>
      <c r="G3242" s="493"/>
      <c r="H3242" s="491"/>
      <c r="I3242" s="234"/>
      <c r="J3242" s="234"/>
      <c r="K3242" s="494"/>
      <c r="L3242" s="543"/>
      <c r="M3242" s="561"/>
      <c r="N3242" s="495"/>
      <c r="O3242" s="496"/>
      <c r="P3242" s="497"/>
      <c r="Q3242" s="495"/>
      <c r="R3242" s="495"/>
      <c r="S3242" s="667" t="s">
        <v>4984</v>
      </c>
      <c r="T3242" s="508">
        <f t="shared" si="2463"/>
        <v>0</v>
      </c>
      <c r="U3242" s="225" t="str">
        <f>IF(NOT(ISNUMBER(G3242)), "", VLOOKUP(A3242,'Discount Lookup'!D:E,2,FALSE)*G3242)</f>
        <v/>
      </c>
      <c r="V3242" s="225" t="str">
        <f>IF(NOT(ISNUMBER(G3242)), "", VLOOKUP(A3242,'Discount Lookup'!G:H,2,FALSE)*G3242)</f>
        <v/>
      </c>
      <c r="W3242" s="508">
        <f t="shared" si="2464"/>
        <v>0</v>
      </c>
      <c r="X3242" s="508">
        <f t="shared" si="2465"/>
        <v>0</v>
      </c>
      <c r="Y3242" s="509" t="b">
        <f t="shared" si="2466"/>
        <v>0</v>
      </c>
      <c r="Z3242" s="510">
        <f t="shared" si="2467"/>
        <v>0</v>
      </c>
      <c r="AA3242" s="511"/>
      <c r="AB3242" s="511" t="str">
        <f t="shared" si="2468"/>
        <v/>
      </c>
      <c r="AC3242" s="698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698"/>
      <c r="AE3242" s="631" t="str">
        <f t="shared" si="2469"/>
        <v/>
      </c>
      <c r="AF3242" s="699" t="str">
        <f t="shared" si="2470"/>
        <v/>
      </c>
      <c r="AG3242" s="699"/>
      <c r="AH3242" s="699"/>
      <c r="AI3242" s="512">
        <f>IF(H3242="credit",0,IF(AE3242="free",0,IF(AE3242="me",0,IF(G3242&gt;0,(VLOOKUP(A3242,'Discount Lookup'!J:K,2)*G3242),0))))</f>
        <v>0</v>
      </c>
      <c r="AJ3242" s="513" t="str">
        <f t="shared" ca="1" si="2471"/>
        <v/>
      </c>
      <c r="AK3242" s="700" t="str">
        <f t="shared" si="2472"/>
        <v/>
      </c>
      <c r="AL3242" s="700"/>
      <c r="AM3242" s="505" t="str">
        <f t="shared" si="2473"/>
        <v/>
      </c>
      <c r="AN3242" s="506"/>
      <c r="AO3242" s="507"/>
      <c r="AP3242" s="507"/>
      <c r="AQ3242" s="507"/>
      <c r="AR3242" s="507"/>
      <c r="AS3242" s="507"/>
      <c r="AT3242" s="507"/>
      <c r="AU3242" s="507"/>
      <c r="AV3242" s="225"/>
      <c r="AW3242" s="508"/>
      <c r="AX3242" s="225"/>
      <c r="AY3242" s="225"/>
      <c r="AZ3242" s="225"/>
      <c r="BA3242" s="225"/>
      <c r="BB3242" s="225"/>
      <c r="BC3242" s="56"/>
      <c r="BD3242" s="56"/>
      <c r="BE3242" s="56"/>
      <c r="BF3242" s="107" t="str">
        <f t="shared" si="2474"/>
        <v>https://www.google.com/search?tbm=isch&amp;q=moist%20sites%F0%9F%92%A7OK%2C%20Schillings%20Dwarf%20is%20male%2C%20but%20not%20a%20good%20pollinator.%20Considered%20a%20good%20alternative%20to%20Boxwwod%2C%20with%20no%20berries%20</v>
      </c>
      <c r="BG3242" s="107" t="str">
        <f t="shared" si="2475"/>
        <v>m</v>
      </c>
      <c r="BH3242" s="254"/>
      <c r="BI3242" s="254"/>
    </row>
    <row r="3243" spans="1:61" customFormat="1" ht="18" x14ac:dyDescent="0.25">
      <c r="A3243" s="521" t="s">
        <v>1687</v>
      </c>
      <c r="B3243" s="477"/>
      <c r="C3243" s="674"/>
      <c r="D3243" s="478" t="s">
        <v>1688</v>
      </c>
      <c r="E3243" s="479"/>
      <c r="F3243" s="479"/>
      <c r="G3243" s="479"/>
      <c r="H3243" s="582" t="s">
        <v>810</v>
      </c>
      <c r="I3243" s="480" t="s">
        <v>2093</v>
      </c>
      <c r="J3243" s="479"/>
      <c r="K3243" s="479"/>
      <c r="L3243" s="560"/>
      <c r="M3243" s="671" t="s">
        <v>4985</v>
      </c>
      <c r="N3243" s="680" t="str">
        <f>IF(AND(ISTEXT($A3243), ISERROR($A3243+0)), HYPERLINK($BF3243, "Images"), "")</f>
        <v>Images</v>
      </c>
      <c r="O3243" s="662" t="s">
        <v>4969</v>
      </c>
      <c r="P3243" s="482"/>
      <c r="Q3243" s="483"/>
      <c r="R3243" s="483"/>
      <c r="S3243" s="484" t="s">
        <v>305</v>
      </c>
      <c r="T3243" s="508">
        <f t="shared" si="2463"/>
        <v>0</v>
      </c>
      <c r="U3243" s="225" t="str">
        <f>IF(NOT(ISNUMBER(G3243)), "", VLOOKUP(A3243,'Discount Lookup'!D:E,2,FALSE)*G3243)</f>
        <v/>
      </c>
      <c r="V3243" s="225" t="str">
        <f>IF(NOT(ISNUMBER(G3243)), "", VLOOKUP(A3243,'Discount Lookup'!G:H,2,FALSE)*G3243)</f>
        <v/>
      </c>
      <c r="W3243" s="508">
        <f t="shared" si="2464"/>
        <v>0</v>
      </c>
      <c r="X3243" s="508" t="str">
        <f t="shared" si="2465"/>
        <v>Dark Green foliage</v>
      </c>
      <c r="Y3243" s="509" t="b">
        <f t="shared" si="2466"/>
        <v>0</v>
      </c>
      <c r="Z3243" s="510">
        <f t="shared" si="2467"/>
        <v>0</v>
      </c>
      <c r="AA3243" s="511"/>
      <c r="AB3243" s="511" t="str">
        <f t="shared" si="2468"/>
        <v/>
      </c>
      <c r="AC3243" s="698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698"/>
      <c r="AE3243" s="631" t="str">
        <f t="shared" si="2469"/>
        <v/>
      </c>
      <c r="AF3243" s="699" t="str">
        <f t="shared" si="2470"/>
        <v/>
      </c>
      <c r="AG3243" s="699"/>
      <c r="AH3243" s="699"/>
      <c r="AI3243" s="512">
        <f>IF(H3243="credit",0,IF(AE3243="free",0,IF(AE3243="me",0,IF(G3243&gt;0,(VLOOKUP(A3243,'Discount Lookup'!J:K,2)*G3243),0))))</f>
        <v>0</v>
      </c>
      <c r="AJ3243" s="513" t="str">
        <f t="shared" ca="1" si="2471"/>
        <v/>
      </c>
      <c r="AK3243" s="700" t="str">
        <f t="shared" si="2472"/>
        <v/>
      </c>
      <c r="AL3243" s="700"/>
      <c r="AM3243" s="505" t="str">
        <f t="shared" si="2473"/>
        <v/>
      </c>
      <c r="AN3243" s="506"/>
      <c r="AO3243" s="507"/>
      <c r="AP3243" s="507"/>
      <c r="AQ3243" s="507"/>
      <c r="AR3243" s="507"/>
      <c r="AS3243" s="507"/>
      <c r="AT3243" s="507"/>
      <c r="AU3243" s="507"/>
      <c r="AV3243" s="225"/>
      <c r="AW3243" s="508"/>
      <c r="AX3243" s="225"/>
      <c r="AY3243" s="225"/>
      <c r="AZ3243" s="225"/>
      <c r="BA3243" s="225"/>
      <c r="BB3243" s="225"/>
      <c r="BC3243" s="56"/>
      <c r="BD3243" s="56"/>
      <c r="BE3243" s="56"/>
      <c r="BF3243" s="107" t="str">
        <f t="shared" si="2474"/>
        <v>https://www.google.com/search?tbm=isch&amp;q=Scorpio%20Anise%20Tree%20Illicium%20%27NCIH1%27%20PP%2329939</v>
      </c>
      <c r="BG3243" s="107" t="str">
        <f t="shared" si="2475"/>
        <v>S</v>
      </c>
      <c r="BH3243" s="254"/>
      <c r="BI3243" s="254"/>
    </row>
    <row r="3244" spans="1:61" customFormat="1" ht="15.75" x14ac:dyDescent="0.25">
      <c r="A3244" s="485">
        <v>3</v>
      </c>
      <c r="B3244" s="486" t="s">
        <v>291</v>
      </c>
      <c r="C3244" s="487" t="s">
        <v>2176</v>
      </c>
      <c r="D3244" s="488" t="s">
        <v>297</v>
      </c>
      <c r="E3244" s="489">
        <v>33.950000000000003</v>
      </c>
      <c r="F3244" s="516" t="s">
        <v>293</v>
      </c>
      <c r="G3244" s="232">
        <v>0</v>
      </c>
      <c r="H3244" s="658" t="str">
        <f>IF(G3244=0,"",IF(F3244="Buy",IF(G3244=1,"plant","plants"),IF(F3244&gt;0.01,"warranty","Error")))</f>
        <v/>
      </c>
      <c r="I3244" s="490">
        <f>IF(H3244="free",0,IF(H3244="credit",((E3244*(F3244))*G3244*-1),IF(F3244="Buy",(E3244*G3244),((E3244*(1-F3244))*G3244))))</f>
        <v>0</v>
      </c>
      <c r="J3244" s="490">
        <f>IF(H3244="warranty",0,(I3244*(_xlfn.SINGLE(SalesTaxPercentage))))</f>
        <v>0</v>
      </c>
      <c r="K3244" s="695">
        <f t="shared" ref="K3244" si="2489">I3244+J3244</f>
        <v>0</v>
      </c>
      <c r="L3244" s="695"/>
      <c r="M3244" s="659" t="str">
        <f>IF(AND(G3244&gt;0,E3244=0),"WARNING - no PRICE inserted",IF(H3244="free"," FREE ~ no charge this plant",IF(H3244="credit",CONCATENATE(" -$",ROUND(K3244*(1-T2GDiscount)*-1,2)," CREDIT after discount"),IF(T2GDiscount=0,"",IF(G3244=0,"",IF(F3244="Buy",CONCATENATE(" $",ROUND(K3244*(1-T2GDiscount),2)," with ",(T2GDiscount*100),"% discount"),CONCATENATE(" $",ROUND(K3244*(1-T2GDiscount),2)," with ",((T2GDiscount*100+F3244*100)-(T2GDiscount*100*F3244)),IF(F3244&gt;0,"% discounts",IF(NoWarrantyDiscount&gt;0,"% discounts","% discount")))))))))</f>
        <v/>
      </c>
      <c r="N3244" s="660"/>
      <c r="O3244" s="233"/>
      <c r="P3244" s="233"/>
      <c r="Q3244" s="233"/>
      <c r="R3244" s="233"/>
      <c r="S3244" s="233"/>
      <c r="T3244" s="508">
        <f t="shared" si="2463"/>
        <v>0</v>
      </c>
      <c r="U3244" s="225">
        <f>IF(NOT(ISNUMBER(G3244)), "", VLOOKUP(A3244,'Discount Lookup'!D:E,2,FALSE)*G3244)</f>
        <v>0</v>
      </c>
      <c r="V3244" s="225">
        <f>IF(NOT(ISNUMBER(G3244)), "", VLOOKUP(A3244,'Discount Lookup'!G:H,2,FALSE)*G3244)</f>
        <v>0</v>
      </c>
      <c r="W3244" s="508">
        <f t="shared" si="2464"/>
        <v>0</v>
      </c>
      <c r="X3244" s="508">
        <f t="shared" si="2465"/>
        <v>0</v>
      </c>
      <c r="Y3244" s="509" t="b">
        <f t="shared" si="2466"/>
        <v>0</v>
      </c>
      <c r="Z3244" s="510">
        <f t="shared" si="2467"/>
        <v>0</v>
      </c>
      <c r="AA3244" s="511"/>
      <c r="AB3244" s="511" t="str">
        <f t="shared" si="2468"/>
        <v/>
      </c>
      <c r="AC3244" s="698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698"/>
      <c r="AE3244" s="631" t="str">
        <f t="shared" si="2469"/>
        <v/>
      </c>
      <c r="AF3244" s="699" t="str">
        <f t="shared" si="2470"/>
        <v/>
      </c>
      <c r="AG3244" s="699"/>
      <c r="AH3244" s="699"/>
      <c r="AI3244" s="512">
        <f>IF(H3244="credit",0,IF(AE3244="free",0,IF(AE3244="me",0,IF(G3244&gt;0,(VLOOKUP(A3244,'Discount Lookup'!J:K,2)*G3244),0))))</f>
        <v>0</v>
      </c>
      <c r="AJ3244" s="513" t="str">
        <f t="shared" ca="1" si="2471"/>
        <v/>
      </c>
      <c r="AK3244" s="700" t="str">
        <f t="shared" si="2472"/>
        <v/>
      </c>
      <c r="AL3244" s="700"/>
      <c r="AM3244" s="505" t="str">
        <f t="shared" si="2473"/>
        <v/>
      </c>
      <c r="AN3244" s="506"/>
      <c r="AO3244" s="507"/>
      <c r="AP3244" s="507"/>
      <c r="AQ3244" s="507"/>
      <c r="AR3244" s="507"/>
      <c r="AS3244" s="507"/>
      <c r="AT3244" s="507"/>
      <c r="AU3244" s="507"/>
      <c r="AV3244" s="225"/>
      <c r="AW3244" s="508"/>
      <c r="AX3244" s="225"/>
      <c r="AY3244" s="225"/>
      <c r="AZ3244" s="225"/>
      <c r="BA3244" s="225"/>
      <c r="BB3244" s="225"/>
      <c r="BC3244" s="56"/>
      <c r="BD3244" s="56"/>
      <c r="BE3244" s="56"/>
      <c r="BF3244" s="107" t="str">
        <f t="shared" si="2474"/>
        <v>https://www.google.com/search?tbm=isch&amp;q=3%20G3</v>
      </c>
      <c r="BG3244" s="107" t="str">
        <f t="shared" si="2475"/>
        <v>S</v>
      </c>
      <c r="BH3244" s="254"/>
      <c r="BI3244" s="254"/>
    </row>
    <row r="3245" spans="1:61" customFormat="1" ht="15.75" x14ac:dyDescent="0.25">
      <c r="A3245" s="485">
        <v>7</v>
      </c>
      <c r="B3245" s="486" t="s">
        <v>291</v>
      </c>
      <c r="C3245" s="487" t="s">
        <v>352</v>
      </c>
      <c r="D3245" s="488" t="s">
        <v>297</v>
      </c>
      <c r="E3245" s="489">
        <v>68.95</v>
      </c>
      <c r="F3245" s="516" t="s">
        <v>293</v>
      </c>
      <c r="G3245" s="232">
        <v>0</v>
      </c>
      <c r="H3245" s="658" t="str">
        <f>IF(G3245=0,"",IF(F3245="Buy",IF(G3245=1,"plant","plants"),IF(F3245&gt;0.01,"warranty","Error")))</f>
        <v/>
      </c>
      <c r="I3245" s="490">
        <f>IF(H3245="free",0,IF(H3245="credit",((E3245*(F3245))*G3245*-1),IF(F3245="Buy",(E3245*G3245),((E3245*(1-F3245))*G3245))))</f>
        <v>0</v>
      </c>
      <c r="J3245" s="490">
        <f>IF(H3245="warranty",0,(I3245*(_xlfn.SINGLE(SalesTaxPercentage))))</f>
        <v>0</v>
      </c>
      <c r="K3245" s="695">
        <f t="shared" ref="K3245" si="2490">I3245+J3245</f>
        <v>0</v>
      </c>
      <c r="L3245" s="695"/>
      <c r="M3245" s="659" t="str">
        <f>IF(AND(G3245&gt;0,E3245=0),"WARNING - no PRICE inserted",IF(H3245="free"," FREE ~ no charge this plant",IF(H3245="credit",CONCATENATE(" -$",ROUND(K3245*(1-T2GDiscount)*-1,2)," CREDIT after discount"),IF(T2GDiscount=0,"",IF(G3245=0,"",IF(F3245="Buy",CONCATENATE(" $",ROUND(K3245*(1-T2GDiscount),2)," with ",(T2GDiscount*100),"% discount"),CONCATENATE(" $",ROUND(K3245*(1-T2GDiscount),2)," with ",((T2GDiscount*100+F3245*100)-(T2GDiscount*100*F3245)),IF(F3245&gt;0,"% discounts",IF(NoWarrantyDiscount&gt;0,"% discounts","% discount")))))))))</f>
        <v/>
      </c>
      <c r="N3245" s="660"/>
      <c r="O3245" s="233"/>
      <c r="P3245" s="233"/>
      <c r="Q3245" s="233"/>
      <c r="R3245" s="233"/>
      <c r="S3245" s="233"/>
      <c r="T3245" s="508">
        <f t="shared" si="2463"/>
        <v>0</v>
      </c>
      <c r="U3245" s="225">
        <f>IF(NOT(ISNUMBER(G3245)), "", VLOOKUP(A3245,'Discount Lookup'!D:E,2,FALSE)*G3245)</f>
        <v>0</v>
      </c>
      <c r="V3245" s="225">
        <f>IF(NOT(ISNUMBER(G3245)), "", VLOOKUP(A3245,'Discount Lookup'!G:H,2,FALSE)*G3245)</f>
        <v>0</v>
      </c>
      <c r="W3245" s="508">
        <f t="shared" si="2464"/>
        <v>0</v>
      </c>
      <c r="X3245" s="508">
        <f t="shared" si="2465"/>
        <v>0</v>
      </c>
      <c r="Y3245" s="509" t="b">
        <f t="shared" si="2466"/>
        <v>0</v>
      </c>
      <c r="Z3245" s="510">
        <f t="shared" si="2467"/>
        <v>0</v>
      </c>
      <c r="AA3245" s="511"/>
      <c r="AB3245" s="511" t="str">
        <f t="shared" si="2468"/>
        <v/>
      </c>
      <c r="AC3245" s="698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698"/>
      <c r="AE3245" s="631" t="str">
        <f t="shared" si="2469"/>
        <v/>
      </c>
      <c r="AF3245" s="699" t="str">
        <f t="shared" si="2470"/>
        <v/>
      </c>
      <c r="AG3245" s="699"/>
      <c r="AH3245" s="699"/>
      <c r="AI3245" s="512">
        <f>IF(H3245="credit",0,IF(AE3245="free",0,IF(AE3245="me",0,IF(G3245&gt;0,(VLOOKUP(A3245,'Discount Lookup'!J:K,2)*G3245),0))))</f>
        <v>0</v>
      </c>
      <c r="AJ3245" s="513" t="str">
        <f t="shared" ca="1" si="2471"/>
        <v/>
      </c>
      <c r="AK3245" s="700" t="str">
        <f t="shared" si="2472"/>
        <v/>
      </c>
      <c r="AL3245" s="700"/>
      <c r="AM3245" s="505" t="str">
        <f t="shared" si="2473"/>
        <v/>
      </c>
      <c r="AN3245" s="506"/>
      <c r="AO3245" s="507"/>
      <c r="AP3245" s="507"/>
      <c r="AQ3245" s="507"/>
      <c r="AR3245" s="507"/>
      <c r="AS3245" s="507"/>
      <c r="AT3245" s="507"/>
      <c r="AU3245" s="507"/>
      <c r="AV3245" s="225"/>
      <c r="AW3245" s="508"/>
      <c r="AX3245" s="225"/>
      <c r="AY3245" s="225"/>
      <c r="AZ3245" s="225"/>
      <c r="BA3245" s="225"/>
      <c r="BB3245" s="225"/>
      <c r="BC3245" s="56"/>
      <c r="BD3245" s="56"/>
      <c r="BE3245" s="56"/>
      <c r="BF3245" s="107" t="str">
        <f t="shared" si="2474"/>
        <v>https://www.google.com/search?tbm=isch&amp;q=7%20G3</v>
      </c>
      <c r="BG3245" s="107" t="str">
        <f t="shared" si="2475"/>
        <v>S</v>
      </c>
      <c r="BH3245" s="254"/>
      <c r="BI3245" s="254"/>
    </row>
    <row r="3246" spans="1:61" customFormat="1" ht="16.5" thickBot="1" x14ac:dyDescent="0.3">
      <c r="A3246" s="672" t="s">
        <v>5225</v>
      </c>
      <c r="B3246" s="491"/>
      <c r="C3246" s="675"/>
      <c r="D3246" s="491"/>
      <c r="E3246" s="491"/>
      <c r="F3246" s="492"/>
      <c r="G3246" s="493"/>
      <c r="H3246" s="491"/>
      <c r="I3246" s="234"/>
      <c r="J3246" s="234"/>
      <c r="K3246" s="494"/>
      <c r="L3246" s="543"/>
      <c r="M3246" s="561"/>
      <c r="N3246" s="495"/>
      <c r="O3246" s="496"/>
      <c r="P3246" s="497"/>
      <c r="Q3246" s="495"/>
      <c r="R3246" s="495"/>
      <c r="S3246" s="667" t="s">
        <v>4968</v>
      </c>
      <c r="T3246" s="508">
        <f t="shared" si="2463"/>
        <v>0</v>
      </c>
      <c r="U3246" s="225" t="str">
        <f>IF(NOT(ISNUMBER(G3246)), "", VLOOKUP(A3246,'Discount Lookup'!D:E,2,FALSE)*G3246)</f>
        <v/>
      </c>
      <c r="V3246" s="225" t="str">
        <f>IF(NOT(ISNUMBER(G3246)), "", VLOOKUP(A3246,'Discount Lookup'!G:H,2,FALSE)*G3246)</f>
        <v/>
      </c>
      <c r="W3246" s="508">
        <f t="shared" si="2464"/>
        <v>0</v>
      </c>
      <c r="X3246" s="508">
        <f t="shared" si="2465"/>
        <v>0</v>
      </c>
      <c r="Y3246" s="509" t="b">
        <f t="shared" si="2466"/>
        <v>0</v>
      </c>
      <c r="Z3246" s="510">
        <f t="shared" si="2467"/>
        <v>0</v>
      </c>
      <c r="AA3246" s="511"/>
      <c r="AB3246" s="511" t="str">
        <f t="shared" si="2468"/>
        <v/>
      </c>
      <c r="AC3246" s="698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698"/>
      <c r="AE3246" s="631" t="str">
        <f t="shared" si="2469"/>
        <v/>
      </c>
      <c r="AF3246" s="699" t="str">
        <f t="shared" si="2470"/>
        <v/>
      </c>
      <c r="AG3246" s="699"/>
      <c r="AH3246" s="699"/>
      <c r="AI3246" s="512">
        <f>IF(H3246="credit",0,IF(AE3246="free",0,IF(AE3246="me",0,IF(G3246&gt;0,(VLOOKUP(A3246,'Discount Lookup'!J:K,2)*G3246),0))))</f>
        <v>0</v>
      </c>
      <c r="AJ3246" s="513" t="str">
        <f t="shared" ca="1" si="2471"/>
        <v/>
      </c>
      <c r="AK3246" s="700" t="str">
        <f t="shared" si="2472"/>
        <v/>
      </c>
      <c r="AL3246" s="700"/>
      <c r="AM3246" s="505" t="str">
        <f t="shared" si="2473"/>
        <v/>
      </c>
      <c r="AN3246" s="506"/>
      <c r="AO3246" s="507"/>
      <c r="AP3246" s="507"/>
      <c r="AQ3246" s="507"/>
      <c r="AR3246" s="507"/>
      <c r="AS3246" s="507"/>
      <c r="AT3246" s="507"/>
      <c r="AU3246" s="507"/>
      <c r="AV3246" s="225"/>
      <c r="AW3246" s="508"/>
      <c r="AX3246" s="225"/>
      <c r="AY3246" s="225"/>
      <c r="AZ3246" s="225"/>
      <c r="BA3246" s="225"/>
      <c r="BB3246" s="225"/>
      <c r="BC3246" s="56"/>
      <c r="BD3246" s="56"/>
      <c r="BE3246" s="56"/>
      <c r="BF3246" s="107" t="str">
        <f t="shared" si="2474"/>
        <v>https://www.google.com/search?tbm=isch&amp;q=moist%20sites%F0%9F%92%A7OK%2C%20Scorpio%27s%20Deep%20Reddish-Pink%20new%20growth%20contrasts%20nicely%20with%20its%20mature%20Dark%20Green%20foliage.%20Red%2C%20star-shaped%20blooms%20</v>
      </c>
      <c r="BG3246" s="107" t="str">
        <f t="shared" si="2475"/>
        <v>m</v>
      </c>
      <c r="BH3246" s="254"/>
      <c r="BI3246" s="254"/>
    </row>
    <row r="3247" spans="1:61" customFormat="1" ht="18" x14ac:dyDescent="0.25">
      <c r="A3247" s="521" t="s">
        <v>5531</v>
      </c>
      <c r="B3247" s="477"/>
      <c r="C3247" s="674"/>
      <c r="D3247" s="478" t="s">
        <v>1689</v>
      </c>
      <c r="E3247" s="479"/>
      <c r="F3247" s="479"/>
      <c r="G3247" s="479"/>
      <c r="H3247" s="582" t="s">
        <v>2111</v>
      </c>
      <c r="I3247" s="480" t="s">
        <v>2913</v>
      </c>
      <c r="J3247" s="479"/>
      <c r="K3247" s="479"/>
      <c r="L3247" s="560"/>
      <c r="M3247" s="666" t="s">
        <v>4966</v>
      </c>
      <c r="N3247" s="680" t="str">
        <f>IF(AND(ISTEXT($A3247), ISERROR($A3247+0)), HYPERLINK($BF3247, "Images"), "")</f>
        <v>Images</v>
      </c>
      <c r="O3247" s="662" t="s">
        <v>4969</v>
      </c>
      <c r="P3247" s="482"/>
      <c r="Q3247" s="483"/>
      <c r="R3247" s="483"/>
      <c r="S3247" s="484"/>
      <c r="T3247" s="508">
        <f t="shared" si="2463"/>
        <v>0</v>
      </c>
      <c r="U3247" s="225" t="str">
        <f>IF(NOT(ISNUMBER(G3247)), "", VLOOKUP(A3247,'Discount Lookup'!D:E,2,FALSE)*G3247)</f>
        <v/>
      </c>
      <c r="V3247" s="225" t="str">
        <f>IF(NOT(ISNUMBER(G3247)), "", VLOOKUP(A3247,'Discount Lookup'!G:H,2,FALSE)*G3247)</f>
        <v/>
      </c>
      <c r="W3247" s="508">
        <f t="shared" si="2464"/>
        <v>0</v>
      </c>
      <c r="X3247" s="508" t="str">
        <f t="shared" si="2465"/>
        <v>Green, Bronze tinge</v>
      </c>
      <c r="Y3247" s="509" t="b">
        <f t="shared" si="2466"/>
        <v>0</v>
      </c>
      <c r="Z3247" s="510">
        <f t="shared" si="2467"/>
        <v>0</v>
      </c>
      <c r="AA3247" s="511"/>
      <c r="AB3247" s="511" t="str">
        <f t="shared" si="2468"/>
        <v/>
      </c>
      <c r="AC3247" s="698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698"/>
      <c r="AE3247" s="631" t="str">
        <f t="shared" si="2469"/>
        <v/>
      </c>
      <c r="AF3247" s="699" t="str">
        <f t="shared" si="2470"/>
        <v/>
      </c>
      <c r="AG3247" s="699"/>
      <c r="AH3247" s="699"/>
      <c r="AI3247" s="512">
        <f>IF(H3247="credit",0,IF(AE3247="free",0,IF(AE3247="me",0,IF(G3247&gt;0,(VLOOKUP(A3247,'Discount Lookup'!J:K,2)*G3247),0))))</f>
        <v>0</v>
      </c>
      <c r="AJ3247" s="513" t="str">
        <f t="shared" ca="1" si="2471"/>
        <v/>
      </c>
      <c r="AK3247" s="700" t="str">
        <f t="shared" si="2472"/>
        <v/>
      </c>
      <c r="AL3247" s="700"/>
      <c r="AM3247" s="505" t="str">
        <f t="shared" si="2473"/>
        <v/>
      </c>
      <c r="AN3247" s="506"/>
      <c r="AO3247" s="507"/>
      <c r="AP3247" s="507"/>
      <c r="AQ3247" s="507"/>
      <c r="AR3247" s="507"/>
      <c r="AS3247" s="507"/>
      <c r="AT3247" s="507"/>
      <c r="AU3247" s="507"/>
      <c r="AV3247" s="225"/>
      <c r="AW3247" s="508"/>
      <c r="AX3247" s="225"/>
      <c r="AY3247" s="225"/>
      <c r="AZ3247" s="225"/>
      <c r="BA3247" s="225"/>
      <c r="BB3247" s="225"/>
      <c r="BC3247" s="56"/>
      <c r="BD3247" s="56"/>
      <c r="BE3247" s="56"/>
      <c r="BF3247" s="107" t="str">
        <f t="shared" si="2474"/>
        <v>https://www.google.com/search?tbm=isch&amp;q=Screen%20Play%E2%84%A2%20Holly%20Ilex%20integra%20x%20latifolia%20%27Screen%20Play%27%20PP%2327524</v>
      </c>
      <c r="BG3247" s="107" t="str">
        <f t="shared" si="2475"/>
        <v>S</v>
      </c>
      <c r="BH3247" s="254"/>
      <c r="BI3247" s="254"/>
    </row>
    <row r="3248" spans="1:61" customFormat="1" ht="15.75" x14ac:dyDescent="0.25">
      <c r="A3248" s="485">
        <v>7</v>
      </c>
      <c r="B3248" s="486" t="s">
        <v>291</v>
      </c>
      <c r="C3248" s="487" t="s">
        <v>4811</v>
      </c>
      <c r="D3248" s="488" t="s">
        <v>292</v>
      </c>
      <c r="E3248" s="489">
        <v>104.95</v>
      </c>
      <c r="F3248" s="516" t="s">
        <v>293</v>
      </c>
      <c r="G3248" s="232">
        <v>0</v>
      </c>
      <c r="H3248" s="658" t="str">
        <f>IF(G3248=0,"",IF(F3248="Buy",IF(G3248=1,"plant","plants"),IF(F3248&gt;0.01,"warranty","Error")))</f>
        <v/>
      </c>
      <c r="I3248" s="490">
        <f>IF(H3248="free",0,IF(H3248="credit",((E3248*(F3248))*G3248*-1),IF(F3248="Buy",(E3248*G3248),((E3248*(1-F3248))*G3248))))</f>
        <v>0</v>
      </c>
      <c r="J3248" s="490">
        <f>IF(H3248="warranty",0,(I3248*(_xlfn.SINGLE(SalesTaxPercentage))))</f>
        <v>0</v>
      </c>
      <c r="K3248" s="695">
        <f t="shared" ref="K3248" si="2491">I3248+J3248</f>
        <v>0</v>
      </c>
      <c r="L3248" s="695"/>
      <c r="M3248" s="659" t="str">
        <f>IF(AND(G3248&gt;0,E3248=0),"WARNING - no PRICE inserted",IF(H3248="free"," FREE ~ no charge this plant",IF(H3248="credit",CONCATENATE(" -$",ROUND(K3248*(1-T2GDiscount)*-1,2)," CREDIT after discount"),IF(T2GDiscount=0,"",IF(G3248=0,"",IF(F3248="Buy",CONCATENATE(" $",ROUND(K3248*(1-T2GDiscount),2)," with ",(T2GDiscount*100),"% discount"),CONCATENATE(" $",ROUND(K3248*(1-T2GDiscount),2)," with ",((T2GDiscount*100+F3248*100)-(T2GDiscount*100*F3248)),IF(F3248&gt;0,"% discounts",IF(NoWarrantyDiscount&gt;0,"% discounts","% discount")))))))))</f>
        <v/>
      </c>
      <c r="N3248" s="660"/>
      <c r="O3248" s="233"/>
      <c r="P3248" s="233"/>
      <c r="Q3248" s="233"/>
      <c r="R3248" s="233"/>
      <c r="S3248" s="233"/>
      <c r="T3248" s="508">
        <f t="shared" si="2463"/>
        <v>0</v>
      </c>
      <c r="U3248" s="225">
        <f>IF(NOT(ISNUMBER(G3248)), "", VLOOKUP(A3248,'Discount Lookup'!D:E,2,FALSE)*G3248)</f>
        <v>0</v>
      </c>
      <c r="V3248" s="225">
        <f>IF(NOT(ISNUMBER(G3248)), "", VLOOKUP(A3248,'Discount Lookup'!G:H,2,FALSE)*G3248)</f>
        <v>0</v>
      </c>
      <c r="W3248" s="508">
        <f t="shared" si="2464"/>
        <v>0</v>
      </c>
      <c r="X3248" s="508">
        <f t="shared" si="2465"/>
        <v>0</v>
      </c>
      <c r="Y3248" s="509" t="b">
        <f t="shared" si="2466"/>
        <v>0</v>
      </c>
      <c r="Z3248" s="510">
        <f t="shared" si="2467"/>
        <v>0</v>
      </c>
      <c r="AA3248" s="511"/>
      <c r="AB3248" s="511" t="str">
        <f t="shared" si="2468"/>
        <v/>
      </c>
      <c r="AC3248" s="698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698"/>
      <c r="AE3248" s="631" t="str">
        <f t="shared" si="2469"/>
        <v/>
      </c>
      <c r="AF3248" s="699" t="str">
        <f t="shared" si="2470"/>
        <v/>
      </c>
      <c r="AG3248" s="699"/>
      <c r="AH3248" s="699"/>
      <c r="AI3248" s="512">
        <f>IF(H3248="credit",0,IF(AE3248="free",0,IF(AE3248="me",0,IF(G3248&gt;0,(VLOOKUP(A3248,'Discount Lookup'!J:K,2)*G3248),0))))</f>
        <v>0</v>
      </c>
      <c r="AJ3248" s="513" t="str">
        <f t="shared" ca="1" si="2471"/>
        <v/>
      </c>
      <c r="AK3248" s="700" t="str">
        <f t="shared" si="2472"/>
        <v/>
      </c>
      <c r="AL3248" s="700"/>
      <c r="AM3248" s="505" t="str">
        <f t="shared" si="2473"/>
        <v/>
      </c>
      <c r="AN3248" s="506"/>
      <c r="AO3248" s="507"/>
      <c r="AP3248" s="507"/>
      <c r="AQ3248" s="507"/>
      <c r="AR3248" s="507"/>
      <c r="AS3248" s="507"/>
      <c r="AT3248" s="507"/>
      <c r="AU3248" s="507"/>
      <c r="AV3248" s="225"/>
      <c r="AW3248" s="508"/>
      <c r="AX3248" s="225"/>
      <c r="AY3248" s="225"/>
      <c r="AZ3248" s="225"/>
      <c r="BA3248" s="225"/>
      <c r="BB3248" s="225"/>
      <c r="BC3248" s="56"/>
      <c r="BD3248" s="56"/>
      <c r="BE3248" s="56"/>
      <c r="BF3248" s="107" t="str">
        <f t="shared" si="2474"/>
        <v>https://www.google.com/search?tbm=isch&amp;q=7%20G4</v>
      </c>
      <c r="BG3248" s="107" t="str">
        <f t="shared" si="2475"/>
        <v>S</v>
      </c>
      <c r="BH3248" s="254"/>
      <c r="BI3248" s="254"/>
    </row>
    <row r="3249" spans="1:61" customFormat="1" ht="17.25" thickBot="1" x14ac:dyDescent="0.3">
      <c r="A3249" s="522" t="s">
        <v>4162</v>
      </c>
      <c r="B3249" s="491"/>
      <c r="C3249" s="675"/>
      <c r="D3249" s="491"/>
      <c r="E3249" s="491"/>
      <c r="F3249" s="492"/>
      <c r="G3249" s="493"/>
      <c r="H3249" s="491"/>
      <c r="I3249" s="234"/>
      <c r="J3249" s="234"/>
      <c r="K3249" s="494"/>
      <c r="L3249" s="543"/>
      <c r="M3249" s="561"/>
      <c r="N3249" s="495"/>
      <c r="O3249" s="496"/>
      <c r="P3249" s="497"/>
      <c r="Q3249" s="495"/>
      <c r="R3249" s="495"/>
      <c r="S3249" s="667" t="s">
        <v>4984</v>
      </c>
      <c r="T3249" s="508">
        <f t="shared" si="2463"/>
        <v>0</v>
      </c>
      <c r="U3249" s="225" t="str">
        <f>IF(NOT(ISNUMBER(G3249)), "", VLOOKUP(A3249,'Discount Lookup'!D:E,2,FALSE)*G3249)</f>
        <v/>
      </c>
      <c r="V3249" s="225" t="str">
        <f>IF(NOT(ISNUMBER(G3249)), "", VLOOKUP(A3249,'Discount Lookup'!G:H,2,FALSE)*G3249)</f>
        <v/>
      </c>
      <c r="W3249" s="508">
        <f t="shared" si="2464"/>
        <v>0</v>
      </c>
      <c r="X3249" s="508">
        <f t="shared" si="2465"/>
        <v>0</v>
      </c>
      <c r="Y3249" s="509" t="b">
        <f t="shared" si="2466"/>
        <v>0</v>
      </c>
      <c r="Z3249" s="510">
        <f t="shared" si="2467"/>
        <v>0</v>
      </c>
      <c r="AA3249" s="511"/>
      <c r="AB3249" s="511" t="str">
        <f t="shared" si="2468"/>
        <v/>
      </c>
      <c r="AC3249" s="698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698"/>
      <c r="AE3249" s="631" t="str">
        <f t="shared" si="2469"/>
        <v/>
      </c>
      <c r="AF3249" s="699" t="str">
        <f t="shared" si="2470"/>
        <v/>
      </c>
      <c r="AG3249" s="699"/>
      <c r="AH3249" s="699"/>
      <c r="AI3249" s="512">
        <f>IF(H3249="credit",0,IF(AE3249="free",0,IF(AE3249="me",0,IF(G3249&gt;0,(VLOOKUP(A3249,'Discount Lookup'!J:K,2)*G3249),0))))</f>
        <v>0</v>
      </c>
      <c r="AJ3249" s="513" t="str">
        <f t="shared" ca="1" si="2471"/>
        <v/>
      </c>
      <c r="AK3249" s="700" t="str">
        <f t="shared" si="2472"/>
        <v/>
      </c>
      <c r="AL3249" s="700"/>
      <c r="AM3249" s="505" t="str">
        <f t="shared" si="2473"/>
        <v/>
      </c>
      <c r="AN3249" s="506"/>
      <c r="AO3249" s="507"/>
      <c r="AP3249" s="507"/>
      <c r="AQ3249" s="507"/>
      <c r="AR3249" s="507"/>
      <c r="AS3249" s="507"/>
      <c r="AT3249" s="507"/>
      <c r="AU3249" s="507"/>
      <c r="AV3249" s="225"/>
      <c r="AW3249" s="508"/>
      <c r="AX3249" s="225"/>
      <c r="AY3249" s="225"/>
      <c r="AZ3249" s="225"/>
      <c r="BA3249" s="225"/>
      <c r="BB3249" s="225"/>
      <c r="BC3249" s="56"/>
      <c r="BD3249" s="56"/>
      <c r="BE3249" s="56"/>
      <c r="BF3249" s="107" t="str">
        <f t="shared" si="2474"/>
        <v>https://www.google.com/search?tbm=isch&amp;q=Screen%20Play%20features%20glossy%2C%20spineless%20Bronze-tinged%20foliage%20and%20abundant%20Red%20berries%20in%20winter%20</v>
      </c>
      <c r="BG3249" s="107" t="str">
        <f t="shared" si="2475"/>
        <v>S</v>
      </c>
      <c r="BH3249" s="254"/>
      <c r="BI3249" s="254"/>
    </row>
    <row r="3250" spans="1:61" customFormat="1" ht="18" x14ac:dyDescent="0.25">
      <c r="A3250" s="521" t="s">
        <v>1690</v>
      </c>
      <c r="B3250" s="477"/>
      <c r="C3250" s="674"/>
      <c r="D3250" s="478" t="s">
        <v>1691</v>
      </c>
      <c r="E3250" s="479"/>
      <c r="F3250" s="479"/>
      <c r="G3250" s="479"/>
      <c r="H3250" s="582" t="s">
        <v>496</v>
      </c>
      <c r="I3250" s="480" t="s">
        <v>2656</v>
      </c>
      <c r="J3250" s="479"/>
      <c r="K3250" s="479"/>
      <c r="L3250" s="560"/>
      <c r="M3250" s="666" t="s">
        <v>4963</v>
      </c>
      <c r="N3250" s="680" t="str">
        <f>IF(AND(ISTEXT($A3250), ISERROR($A3250+0)), HYPERLINK($BF3250, "Images"), "")</f>
        <v>Images</v>
      </c>
      <c r="O3250" s="662" t="s">
        <v>4969</v>
      </c>
      <c r="P3250" s="482"/>
      <c r="Q3250" s="483"/>
      <c r="R3250" s="483"/>
      <c r="S3250" s="484"/>
      <c r="T3250" s="508">
        <f t="shared" si="2463"/>
        <v>0</v>
      </c>
      <c r="U3250" s="225" t="str">
        <f>IF(NOT(ISNUMBER(G3250)), "", VLOOKUP(A3250,'Discount Lookup'!D:E,2,FALSE)*G3250)</f>
        <v/>
      </c>
      <c r="V3250" s="225" t="str">
        <f>IF(NOT(ISNUMBER(G3250)), "", VLOOKUP(A3250,'Discount Lookup'!G:H,2,FALSE)*G3250)</f>
        <v/>
      </c>
      <c r="W3250" s="508">
        <f t="shared" si="2464"/>
        <v>0</v>
      </c>
      <c r="X3250" s="508" t="str">
        <f t="shared" si="2465"/>
        <v>Minty-Green foliage</v>
      </c>
      <c r="Y3250" s="509" t="b">
        <f t="shared" si="2466"/>
        <v>0</v>
      </c>
      <c r="Z3250" s="510">
        <f t="shared" si="2467"/>
        <v>0</v>
      </c>
      <c r="AA3250" s="511"/>
      <c r="AB3250" s="511" t="str">
        <f t="shared" si="2468"/>
        <v/>
      </c>
      <c r="AC3250" s="698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698"/>
      <c r="AE3250" s="631" t="str">
        <f t="shared" si="2469"/>
        <v/>
      </c>
      <c r="AF3250" s="699" t="str">
        <f t="shared" si="2470"/>
        <v/>
      </c>
      <c r="AG3250" s="699"/>
      <c r="AH3250" s="699"/>
      <c r="AI3250" s="512">
        <f>IF(H3250="credit",0,IF(AE3250="free",0,IF(AE3250="me",0,IF(G3250&gt;0,(VLOOKUP(A3250,'Discount Lookup'!J:K,2)*G3250),0))))</f>
        <v>0</v>
      </c>
      <c r="AJ3250" s="513" t="str">
        <f t="shared" ca="1" si="2471"/>
        <v/>
      </c>
      <c r="AK3250" s="700" t="str">
        <f t="shared" si="2472"/>
        <v/>
      </c>
      <c r="AL3250" s="700"/>
      <c r="AM3250" s="505" t="str">
        <f t="shared" si="2473"/>
        <v/>
      </c>
      <c r="AN3250" s="506"/>
      <c r="AO3250" s="507"/>
      <c r="AP3250" s="507"/>
      <c r="AQ3250" s="507"/>
      <c r="AR3250" s="507"/>
      <c r="AS3250" s="507"/>
      <c r="AT3250" s="507"/>
      <c r="AU3250" s="507"/>
      <c r="AV3250" s="225"/>
      <c r="AW3250" s="508"/>
      <c r="AX3250" s="225"/>
      <c r="AY3250" s="225"/>
      <c r="AZ3250" s="225"/>
      <c r="BA3250" s="225"/>
      <c r="BB3250" s="225"/>
      <c r="BC3250" s="56"/>
      <c r="BD3250" s="56"/>
      <c r="BE3250" s="56"/>
      <c r="BF3250" s="107" t="str">
        <f t="shared" si="2474"/>
        <v>https://www.google.com/search?tbm=isch&amp;q=Sea%20Green%20Juniper%20Juniperus%20x%20pfitzeriana%20%27Sea%20Green%27</v>
      </c>
      <c r="BG3250" s="107" t="str">
        <f t="shared" si="2475"/>
        <v>S</v>
      </c>
      <c r="BH3250" s="254"/>
      <c r="BI3250" s="254"/>
    </row>
    <row r="3251" spans="1:61" customFormat="1" ht="15.75" x14ac:dyDescent="0.25">
      <c r="A3251" s="485">
        <v>1</v>
      </c>
      <c r="B3251" s="486" t="s">
        <v>291</v>
      </c>
      <c r="C3251" s="487"/>
      <c r="D3251" s="488" t="s">
        <v>298</v>
      </c>
      <c r="E3251" s="489">
        <v>7.95</v>
      </c>
      <c r="F3251" s="516" t="s">
        <v>293</v>
      </c>
      <c r="G3251" s="232">
        <v>0</v>
      </c>
      <c r="H3251" s="658" t="str">
        <f>IF(G3251=0,"",IF(F3251="Buy",IF(G3251=1,"plant","plants"),IF(F3251&gt;0.01,"warranty","Error")))</f>
        <v/>
      </c>
      <c r="I3251" s="490">
        <f>IF(H3251="free",0,IF(H3251="credit",((E3251*(F3251))*G3251*-1),IF(F3251="Buy",(E3251*G3251),((E3251*(1-F3251))*G3251))))</f>
        <v>0</v>
      </c>
      <c r="J3251" s="490">
        <f>IF(H3251="warranty",0,(I3251*(_xlfn.SINGLE(SalesTaxPercentage))))</f>
        <v>0</v>
      </c>
      <c r="K3251" s="695">
        <f t="shared" ref="K3251" si="2492">I3251+J3251</f>
        <v>0</v>
      </c>
      <c r="L3251" s="695"/>
      <c r="M3251" s="659" t="str">
        <f>IF(AND(G3251&gt;0,E3251=0),"WARNING - no PRICE inserted",IF(H3251="free"," FREE ~ no charge this plant",IF(H3251="credit",CONCATENATE(" -$",ROUND(K3251*(1-T2GDiscount)*-1,2)," CREDIT after discount"),IF(T2GDiscount=0,"",IF(G3251=0,"",IF(F3251="Buy",CONCATENATE(" $",ROUND(K3251*(1-T2GDiscount),2)," with ",(T2GDiscount*100),"% discount"),CONCATENATE(" $",ROUND(K3251*(1-T2GDiscount),2)," with ",((T2GDiscount*100+F3251*100)-(T2GDiscount*100*F3251)),IF(F3251&gt;0,"% discounts",IF(NoWarrantyDiscount&gt;0,"% discounts","% discount")))))))))</f>
        <v/>
      </c>
      <c r="N3251" s="660"/>
      <c r="O3251" s="233"/>
      <c r="P3251" s="233"/>
      <c r="Q3251" s="233"/>
      <c r="R3251" s="233"/>
      <c r="S3251" s="233"/>
      <c r="T3251" s="508">
        <f t="shared" si="2463"/>
        <v>0</v>
      </c>
      <c r="U3251" s="225">
        <f>IF(NOT(ISNUMBER(G3251)), "", VLOOKUP(A3251,'Discount Lookup'!D:E,2,FALSE)*G3251)</f>
        <v>0</v>
      </c>
      <c r="V3251" s="225">
        <f>IF(NOT(ISNUMBER(G3251)), "", VLOOKUP(A3251,'Discount Lookup'!G:H,2,FALSE)*G3251)</f>
        <v>0</v>
      </c>
      <c r="W3251" s="508">
        <f t="shared" si="2464"/>
        <v>0</v>
      </c>
      <c r="X3251" s="508">
        <f t="shared" si="2465"/>
        <v>0</v>
      </c>
      <c r="Y3251" s="509" t="b">
        <f t="shared" si="2466"/>
        <v>0</v>
      </c>
      <c r="Z3251" s="510">
        <f t="shared" si="2467"/>
        <v>0</v>
      </c>
      <c r="AA3251" s="511"/>
      <c r="AB3251" s="511" t="str">
        <f t="shared" si="2468"/>
        <v/>
      </c>
      <c r="AC3251" s="698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698"/>
      <c r="AE3251" s="631" t="str">
        <f t="shared" si="2469"/>
        <v/>
      </c>
      <c r="AF3251" s="699" t="str">
        <f t="shared" si="2470"/>
        <v/>
      </c>
      <c r="AG3251" s="699"/>
      <c r="AH3251" s="699"/>
      <c r="AI3251" s="512">
        <f>IF(H3251="credit",0,IF(AE3251="free",0,IF(AE3251="me",0,IF(G3251&gt;0,(VLOOKUP(A3251,'Discount Lookup'!J:K,2)*G3251),0))))</f>
        <v>0</v>
      </c>
      <c r="AJ3251" s="513" t="str">
        <f t="shared" ca="1" si="2471"/>
        <v/>
      </c>
      <c r="AK3251" s="700" t="str">
        <f t="shared" si="2472"/>
        <v/>
      </c>
      <c r="AL3251" s="700"/>
      <c r="AM3251" s="505" t="str">
        <f t="shared" si="2473"/>
        <v/>
      </c>
      <c r="AN3251" s="506"/>
      <c r="AO3251" s="507"/>
      <c r="AP3251" s="507"/>
      <c r="AQ3251" s="507"/>
      <c r="AR3251" s="507"/>
      <c r="AS3251" s="507"/>
      <c r="AT3251" s="507"/>
      <c r="AU3251" s="507"/>
      <c r="AV3251" s="225"/>
      <c r="AW3251" s="508"/>
      <c r="AX3251" s="225"/>
      <c r="AY3251" s="225"/>
      <c r="AZ3251" s="225"/>
      <c r="BA3251" s="225"/>
      <c r="BB3251" s="225"/>
      <c r="BC3251" s="56"/>
      <c r="BD3251" s="56"/>
      <c r="BE3251" s="56"/>
      <c r="BF3251" s="107" t="str">
        <f t="shared" si="2474"/>
        <v>https://www.google.com/search?tbm=isch&amp;q=1%20G1</v>
      </c>
      <c r="BG3251" s="107" t="str">
        <f t="shared" si="2475"/>
        <v>S</v>
      </c>
      <c r="BH3251" s="254"/>
      <c r="BI3251" s="254"/>
    </row>
    <row r="3252" spans="1:61" customFormat="1" ht="15.75" x14ac:dyDescent="0.25">
      <c r="A3252" s="485">
        <v>3</v>
      </c>
      <c r="B3252" s="486" t="s">
        <v>291</v>
      </c>
      <c r="C3252" s="487" t="s">
        <v>9</v>
      </c>
      <c r="D3252" s="488" t="s">
        <v>298</v>
      </c>
      <c r="E3252" s="489">
        <v>25.95</v>
      </c>
      <c r="F3252" s="516" t="s">
        <v>293</v>
      </c>
      <c r="G3252" s="232">
        <v>0</v>
      </c>
      <c r="H3252" s="658" t="str">
        <f>IF(G3252=0,"",IF(F3252="Buy",IF(G3252=1,"plant","plants"),IF(F3252&gt;0.01,"warranty","Error")))</f>
        <v/>
      </c>
      <c r="I3252" s="490">
        <f>IF(H3252="free",0,IF(H3252="credit",((E3252*(F3252))*G3252*-1),IF(F3252="Buy",(E3252*G3252),((E3252*(1-F3252))*G3252))))</f>
        <v>0</v>
      </c>
      <c r="J3252" s="490">
        <f>IF(H3252="warranty",0,(I3252*(_xlfn.SINGLE(SalesTaxPercentage))))</f>
        <v>0</v>
      </c>
      <c r="K3252" s="695">
        <f t="shared" ref="K3252" si="2493">I3252+J3252</f>
        <v>0</v>
      </c>
      <c r="L3252" s="695"/>
      <c r="M3252" s="659" t="str">
        <f>IF(AND(G3252&gt;0,E3252=0),"WARNING - no PRICE inserted",IF(H3252="free"," FREE ~ no charge this plant",IF(H3252="credit",CONCATENATE(" -$",ROUND(K3252*(1-T2GDiscount)*-1,2)," CREDIT after discount"),IF(T2GDiscount=0,"",IF(G3252=0,"",IF(F3252="Buy",CONCATENATE(" $",ROUND(K3252*(1-T2GDiscount),2)," with ",(T2GDiscount*100),"% discount"),CONCATENATE(" $",ROUND(K3252*(1-T2GDiscount),2)," with ",((T2GDiscount*100+F3252*100)-(T2GDiscount*100*F3252)),IF(F3252&gt;0,"% discounts",IF(NoWarrantyDiscount&gt;0,"% discounts","% discount")))))))))</f>
        <v/>
      </c>
      <c r="N3252" s="660"/>
      <c r="O3252" s="233"/>
      <c r="P3252" s="233"/>
      <c r="Q3252" s="233"/>
      <c r="R3252" s="233"/>
      <c r="S3252" s="233"/>
      <c r="T3252" s="508">
        <f t="shared" si="2463"/>
        <v>0</v>
      </c>
      <c r="U3252" s="225">
        <f>IF(NOT(ISNUMBER(G3252)), "", VLOOKUP(A3252,'Discount Lookup'!D:E,2,FALSE)*G3252)</f>
        <v>0</v>
      </c>
      <c r="V3252" s="225">
        <f>IF(NOT(ISNUMBER(G3252)), "", VLOOKUP(A3252,'Discount Lookup'!G:H,2,FALSE)*G3252)</f>
        <v>0</v>
      </c>
      <c r="W3252" s="508">
        <f t="shared" si="2464"/>
        <v>0</v>
      </c>
      <c r="X3252" s="508">
        <f t="shared" si="2465"/>
        <v>0</v>
      </c>
      <c r="Y3252" s="509" t="b">
        <f t="shared" si="2466"/>
        <v>0</v>
      </c>
      <c r="Z3252" s="510">
        <f t="shared" si="2467"/>
        <v>0</v>
      </c>
      <c r="AA3252" s="511"/>
      <c r="AB3252" s="511" t="str">
        <f t="shared" si="2468"/>
        <v/>
      </c>
      <c r="AC3252" s="698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698"/>
      <c r="AE3252" s="631" t="str">
        <f t="shared" si="2469"/>
        <v/>
      </c>
      <c r="AF3252" s="699" t="str">
        <f t="shared" si="2470"/>
        <v/>
      </c>
      <c r="AG3252" s="699"/>
      <c r="AH3252" s="699"/>
      <c r="AI3252" s="512">
        <f>IF(H3252="credit",0,IF(AE3252="free",0,IF(AE3252="me",0,IF(G3252&gt;0,(VLOOKUP(A3252,'Discount Lookup'!J:K,2)*G3252),0))))</f>
        <v>0</v>
      </c>
      <c r="AJ3252" s="513" t="str">
        <f t="shared" ca="1" si="2471"/>
        <v/>
      </c>
      <c r="AK3252" s="700" t="str">
        <f t="shared" si="2472"/>
        <v/>
      </c>
      <c r="AL3252" s="700"/>
      <c r="AM3252" s="505" t="str">
        <f t="shared" si="2473"/>
        <v/>
      </c>
      <c r="AN3252" s="506"/>
      <c r="AO3252" s="507"/>
      <c r="AP3252" s="507"/>
      <c r="AQ3252" s="507"/>
      <c r="AR3252" s="507"/>
      <c r="AS3252" s="507"/>
      <c r="AT3252" s="507"/>
      <c r="AU3252" s="507"/>
      <c r="AV3252" s="225"/>
      <c r="AW3252" s="508"/>
      <c r="AX3252" s="225"/>
      <c r="AY3252" s="225"/>
      <c r="AZ3252" s="225"/>
      <c r="BA3252" s="225"/>
      <c r="BB3252" s="225"/>
      <c r="BC3252" s="56"/>
      <c r="BD3252" s="56"/>
      <c r="BE3252" s="56"/>
      <c r="BF3252" s="107" t="str">
        <f t="shared" si="2474"/>
        <v>https://www.google.com/search?tbm=isch&amp;q=3%20G1</v>
      </c>
      <c r="BG3252" s="107" t="str">
        <f t="shared" si="2475"/>
        <v>S</v>
      </c>
      <c r="BH3252" s="254"/>
      <c r="BI3252" s="254"/>
    </row>
    <row r="3253" spans="1:61" customFormat="1" ht="15.75" x14ac:dyDescent="0.25">
      <c r="A3253" s="485">
        <v>10</v>
      </c>
      <c r="B3253" s="486" t="s">
        <v>291</v>
      </c>
      <c r="C3253" s="487" t="s">
        <v>3747</v>
      </c>
      <c r="D3253" s="488" t="s">
        <v>292</v>
      </c>
      <c r="E3253" s="489">
        <v>316.95</v>
      </c>
      <c r="F3253" s="516" t="s">
        <v>293</v>
      </c>
      <c r="G3253" s="232">
        <v>0</v>
      </c>
      <c r="H3253" s="658" t="str">
        <f>IF(G3253=0,"",IF(F3253="Buy",IF(G3253=1,"plant","plants"),IF(F3253&gt;0.01,"warranty","Error")))</f>
        <v/>
      </c>
      <c r="I3253" s="490">
        <f>IF(H3253="free",0,IF(H3253="credit",((E3253*(F3253))*G3253*-1),IF(F3253="Buy",(E3253*G3253),((E3253*(1-F3253))*G3253))))</f>
        <v>0</v>
      </c>
      <c r="J3253" s="490">
        <f>IF(H3253="warranty",0,(I3253*(_xlfn.SINGLE(SalesTaxPercentage))))</f>
        <v>0</v>
      </c>
      <c r="K3253" s="695">
        <f t="shared" ref="K3253" si="2494">I3253+J3253</f>
        <v>0</v>
      </c>
      <c r="L3253" s="695"/>
      <c r="M3253" s="659" t="str">
        <f>IF(AND(G3253&gt;0,E3253=0),"WARNING - no PRICE inserted",IF(H3253="free"," FREE ~ no charge this plant",IF(H3253="credit",CONCATENATE(" -$",ROUND(K3253*(1-T2GDiscount)*-1,2)," CREDIT after discount"),IF(T2GDiscount=0,"",IF(G3253=0,"",IF(F3253="Buy",CONCATENATE(" $",ROUND(K3253*(1-T2GDiscount),2)," with ",(T2GDiscount*100),"% discount"),CONCATENATE(" $",ROUND(K3253*(1-T2GDiscount),2)," with ",((T2GDiscount*100+F3253*100)-(T2GDiscount*100*F3253)),IF(F3253&gt;0,"% discounts",IF(NoWarrantyDiscount&gt;0,"% discounts","% discount")))))))))</f>
        <v/>
      </c>
      <c r="N3253" s="660"/>
      <c r="O3253" s="233"/>
      <c r="P3253" s="233"/>
      <c r="Q3253" s="233"/>
      <c r="R3253" s="233"/>
      <c r="S3253" s="233"/>
      <c r="T3253" s="508">
        <f t="shared" si="2463"/>
        <v>0</v>
      </c>
      <c r="U3253" s="225">
        <f>IF(NOT(ISNUMBER(G3253)), "", VLOOKUP(A3253,'Discount Lookup'!D:E,2,FALSE)*G3253)</f>
        <v>0</v>
      </c>
      <c r="V3253" s="225">
        <f>IF(NOT(ISNUMBER(G3253)), "", VLOOKUP(A3253,'Discount Lookup'!G:H,2,FALSE)*G3253)</f>
        <v>0</v>
      </c>
      <c r="W3253" s="508">
        <f t="shared" si="2464"/>
        <v>0</v>
      </c>
      <c r="X3253" s="508">
        <f t="shared" si="2465"/>
        <v>0</v>
      </c>
      <c r="Y3253" s="509" t="b">
        <f t="shared" si="2466"/>
        <v>0</v>
      </c>
      <c r="Z3253" s="510">
        <f t="shared" si="2467"/>
        <v>0</v>
      </c>
      <c r="AA3253" s="511"/>
      <c r="AB3253" s="511" t="str">
        <f t="shared" si="2468"/>
        <v/>
      </c>
      <c r="AC3253" s="698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698"/>
      <c r="AE3253" s="631" t="str">
        <f t="shared" si="2469"/>
        <v/>
      </c>
      <c r="AF3253" s="699" t="str">
        <f t="shared" si="2470"/>
        <v/>
      </c>
      <c r="AG3253" s="699"/>
      <c r="AH3253" s="699"/>
      <c r="AI3253" s="512">
        <f>IF(H3253="credit",0,IF(AE3253="free",0,IF(AE3253="me",0,IF(G3253&gt;0,(VLOOKUP(A3253,'Discount Lookup'!J:K,2)*G3253),0))))</f>
        <v>0</v>
      </c>
      <c r="AJ3253" s="513" t="str">
        <f t="shared" ca="1" si="2471"/>
        <v/>
      </c>
      <c r="AK3253" s="700" t="str">
        <f t="shared" si="2472"/>
        <v/>
      </c>
      <c r="AL3253" s="700"/>
      <c r="AM3253" s="505" t="str">
        <f t="shared" si="2473"/>
        <v/>
      </c>
      <c r="AN3253" s="506"/>
      <c r="AO3253" s="507"/>
      <c r="AP3253" s="507"/>
      <c r="AQ3253" s="507"/>
      <c r="AR3253" s="507"/>
      <c r="AS3253" s="507"/>
      <c r="AT3253" s="507"/>
      <c r="AU3253" s="507"/>
      <c r="AV3253" s="225"/>
      <c r="AW3253" s="508"/>
      <c r="AX3253" s="225"/>
      <c r="AY3253" s="225"/>
      <c r="AZ3253" s="225"/>
      <c r="BA3253" s="225"/>
      <c r="BB3253" s="225"/>
      <c r="BC3253" s="56"/>
      <c r="BD3253" s="56"/>
      <c r="BE3253" s="56"/>
      <c r="BF3253" s="107" t="str">
        <f t="shared" si="2474"/>
        <v>https://www.google.com/search?tbm=isch&amp;q=10%20G4</v>
      </c>
      <c r="BG3253" s="107" t="str">
        <f t="shared" si="2475"/>
        <v>S</v>
      </c>
      <c r="BH3253" s="254"/>
      <c r="BI3253" s="254"/>
    </row>
    <row r="3254" spans="1:61" customFormat="1" ht="27" x14ac:dyDescent="0.25">
      <c r="A3254" s="485">
        <v>15</v>
      </c>
      <c r="B3254" s="486" t="s">
        <v>291</v>
      </c>
      <c r="C3254" s="487" t="s">
        <v>3748</v>
      </c>
      <c r="D3254" s="488" t="s">
        <v>292</v>
      </c>
      <c r="E3254" s="489">
        <v>378.95</v>
      </c>
      <c r="F3254" s="516" t="s">
        <v>293</v>
      </c>
      <c r="G3254" s="232">
        <v>0</v>
      </c>
      <c r="H3254" s="658" t="str">
        <f>IF(G3254=0,"",IF(F3254="Buy",IF(G3254=1,"plant","plants"),IF(F3254&gt;0.01,"warranty","Error")))</f>
        <v/>
      </c>
      <c r="I3254" s="490">
        <f>IF(H3254="free",0,IF(H3254="credit",((E3254*(F3254))*G3254*-1),IF(F3254="Buy",(E3254*G3254),((E3254*(1-F3254))*G3254))))</f>
        <v>0</v>
      </c>
      <c r="J3254" s="490">
        <f>IF(H3254="warranty",0,(I3254*(_xlfn.SINGLE(SalesTaxPercentage))))</f>
        <v>0</v>
      </c>
      <c r="K3254" s="695">
        <f t="shared" ref="K3254" si="2495">I3254+J3254</f>
        <v>0</v>
      </c>
      <c r="L3254" s="695"/>
      <c r="M3254" s="659" t="str">
        <f>IF(AND(G3254&gt;0,E3254=0),"WARNING - no PRICE inserted",IF(H3254="free"," FREE ~ no charge this plant",IF(H3254="credit",CONCATENATE(" -$",ROUND(K3254*(1-T2GDiscount)*-1,2)," CREDIT after discount"),IF(T2GDiscount=0,"",IF(G3254=0,"",IF(F3254="Buy",CONCATENATE(" $",ROUND(K3254*(1-T2GDiscount),2)," with ",(T2GDiscount*100),"% discount"),CONCATENATE(" $",ROUND(K3254*(1-T2GDiscount),2)," with ",((T2GDiscount*100+F3254*100)-(T2GDiscount*100*F3254)),IF(F3254&gt;0,"% discounts",IF(NoWarrantyDiscount&gt;0,"% discounts","% discount")))))))))</f>
        <v/>
      </c>
      <c r="N3254" s="660"/>
      <c r="O3254" s="233"/>
      <c r="P3254" s="233"/>
      <c r="Q3254" s="233"/>
      <c r="R3254" s="233"/>
      <c r="S3254" s="233"/>
      <c r="T3254" s="508">
        <f t="shared" si="2463"/>
        <v>0</v>
      </c>
      <c r="U3254" s="225">
        <f>IF(NOT(ISNUMBER(G3254)), "", VLOOKUP(A3254,'Discount Lookup'!D:E,2,FALSE)*G3254)</f>
        <v>0</v>
      </c>
      <c r="V3254" s="225">
        <f>IF(NOT(ISNUMBER(G3254)), "", VLOOKUP(A3254,'Discount Lookup'!G:H,2,FALSE)*G3254)</f>
        <v>0</v>
      </c>
      <c r="W3254" s="508">
        <f t="shared" si="2464"/>
        <v>0</v>
      </c>
      <c r="X3254" s="508">
        <f t="shared" si="2465"/>
        <v>0</v>
      </c>
      <c r="Y3254" s="509" t="b">
        <f t="shared" si="2466"/>
        <v>0</v>
      </c>
      <c r="Z3254" s="510">
        <f t="shared" si="2467"/>
        <v>0</v>
      </c>
      <c r="AA3254" s="511"/>
      <c r="AB3254" s="511" t="str">
        <f t="shared" si="2468"/>
        <v/>
      </c>
      <c r="AC3254" s="698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698"/>
      <c r="AE3254" s="631" t="str">
        <f t="shared" si="2469"/>
        <v/>
      </c>
      <c r="AF3254" s="699" t="str">
        <f t="shared" si="2470"/>
        <v/>
      </c>
      <c r="AG3254" s="699"/>
      <c r="AH3254" s="699"/>
      <c r="AI3254" s="512">
        <f>IF(H3254="credit",0,IF(AE3254="free",0,IF(AE3254="me",0,IF(G3254&gt;0,(VLOOKUP(A3254,'Discount Lookup'!J:K,2)*G3254),0))))</f>
        <v>0</v>
      </c>
      <c r="AJ3254" s="513" t="str">
        <f t="shared" ca="1" si="2471"/>
        <v/>
      </c>
      <c r="AK3254" s="700" t="str">
        <f t="shared" si="2472"/>
        <v/>
      </c>
      <c r="AL3254" s="700"/>
      <c r="AM3254" s="505" t="str">
        <f t="shared" si="2473"/>
        <v/>
      </c>
      <c r="AN3254" s="506"/>
      <c r="AO3254" s="507"/>
      <c r="AP3254" s="507"/>
      <c r="AQ3254" s="507"/>
      <c r="AR3254" s="507"/>
      <c r="AS3254" s="507"/>
      <c r="AT3254" s="507"/>
      <c r="AU3254" s="507"/>
      <c r="AV3254" s="225"/>
      <c r="AW3254" s="508"/>
      <c r="AX3254" s="225"/>
      <c r="AY3254" s="225"/>
      <c r="AZ3254" s="225"/>
      <c r="BA3254" s="225"/>
      <c r="BB3254" s="225"/>
      <c r="BC3254" s="56"/>
      <c r="BD3254" s="56"/>
      <c r="BE3254" s="56"/>
      <c r="BF3254" s="107" t="str">
        <f t="shared" si="2474"/>
        <v>https://www.google.com/search?tbm=isch&amp;q=15%20G4</v>
      </c>
      <c r="BG3254" s="107" t="str">
        <f t="shared" si="2475"/>
        <v>S</v>
      </c>
      <c r="BH3254" s="254"/>
      <c r="BI3254" s="254"/>
    </row>
    <row r="3255" spans="1:61" customFormat="1" ht="40.5" x14ac:dyDescent="0.25">
      <c r="A3255" s="485">
        <v>25</v>
      </c>
      <c r="B3255" s="486" t="s">
        <v>291</v>
      </c>
      <c r="C3255" s="487" t="s">
        <v>3749</v>
      </c>
      <c r="D3255" s="488" t="s">
        <v>292</v>
      </c>
      <c r="E3255" s="489">
        <v>672.95</v>
      </c>
      <c r="F3255" s="516" t="s">
        <v>293</v>
      </c>
      <c r="G3255" s="232">
        <v>0</v>
      </c>
      <c r="H3255" s="658" t="str">
        <f>IF(G3255=0,"",IF(F3255="Buy",IF(G3255=1,"plant","plants"),IF(F3255&gt;0.01,"warranty","Error")))</f>
        <v/>
      </c>
      <c r="I3255" s="490">
        <f>IF(H3255="free",0,IF(H3255="credit",((E3255*(F3255))*G3255*-1),IF(F3255="Buy",(E3255*G3255),((E3255*(1-F3255))*G3255))))</f>
        <v>0</v>
      </c>
      <c r="J3255" s="490">
        <f>IF(H3255="warranty",0,(I3255*(_xlfn.SINGLE(SalesTaxPercentage))))</f>
        <v>0</v>
      </c>
      <c r="K3255" s="695">
        <f t="shared" ref="K3255" si="2496">I3255+J3255</f>
        <v>0</v>
      </c>
      <c r="L3255" s="695"/>
      <c r="M3255" s="659" t="str">
        <f>IF(AND(G3255&gt;0,E3255=0),"WARNING - no PRICE inserted",IF(H3255="free"," FREE ~ no charge this plant",IF(H3255="credit",CONCATENATE(" -$",ROUND(K3255*(1-T2GDiscount)*-1,2)," CREDIT after discount"),IF(T2GDiscount=0,"",IF(G3255=0,"",IF(F3255="Buy",CONCATENATE(" $",ROUND(K3255*(1-T2GDiscount),2)," with ",(T2GDiscount*100),"% discount"),CONCATENATE(" $",ROUND(K3255*(1-T2GDiscount),2)," with ",((T2GDiscount*100+F3255*100)-(T2GDiscount*100*F3255)),IF(F3255&gt;0,"% discounts",IF(NoWarrantyDiscount&gt;0,"% discounts","% discount")))))))))</f>
        <v/>
      </c>
      <c r="N3255" s="660"/>
      <c r="O3255" s="233"/>
      <c r="P3255" s="233"/>
      <c r="Q3255" s="233"/>
      <c r="R3255" s="233"/>
      <c r="S3255" s="233"/>
      <c r="T3255" s="508">
        <f t="shared" si="2463"/>
        <v>0</v>
      </c>
      <c r="U3255" s="225">
        <f>IF(NOT(ISNUMBER(G3255)), "", VLOOKUP(A3255,'Discount Lookup'!D:E,2,FALSE)*G3255)</f>
        <v>0</v>
      </c>
      <c r="V3255" s="225">
        <f>IF(NOT(ISNUMBER(G3255)), "", VLOOKUP(A3255,'Discount Lookup'!G:H,2,FALSE)*G3255)</f>
        <v>0</v>
      </c>
      <c r="W3255" s="508">
        <f t="shared" si="2464"/>
        <v>0</v>
      </c>
      <c r="X3255" s="508">
        <f t="shared" si="2465"/>
        <v>0</v>
      </c>
      <c r="Y3255" s="509" t="b">
        <f t="shared" si="2466"/>
        <v>0</v>
      </c>
      <c r="Z3255" s="510">
        <f t="shared" si="2467"/>
        <v>0</v>
      </c>
      <c r="AA3255" s="511"/>
      <c r="AB3255" s="511" t="str">
        <f t="shared" si="2468"/>
        <v/>
      </c>
      <c r="AC3255" s="698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698"/>
      <c r="AE3255" s="631" t="str">
        <f t="shared" si="2469"/>
        <v/>
      </c>
      <c r="AF3255" s="699" t="str">
        <f t="shared" si="2470"/>
        <v/>
      </c>
      <c r="AG3255" s="699"/>
      <c r="AH3255" s="699"/>
      <c r="AI3255" s="512">
        <f>IF(H3255="credit",0,IF(AE3255="free",0,IF(AE3255="me",0,IF(G3255&gt;0,(VLOOKUP(A3255,'Discount Lookup'!J:K,2)*G3255),0))))</f>
        <v>0</v>
      </c>
      <c r="AJ3255" s="513" t="str">
        <f t="shared" ca="1" si="2471"/>
        <v/>
      </c>
      <c r="AK3255" s="700" t="str">
        <f t="shared" si="2472"/>
        <v/>
      </c>
      <c r="AL3255" s="700"/>
      <c r="AM3255" s="505" t="str">
        <f t="shared" si="2473"/>
        <v/>
      </c>
      <c r="AN3255" s="506"/>
      <c r="AO3255" s="507"/>
      <c r="AP3255" s="507"/>
      <c r="AQ3255" s="507"/>
      <c r="AR3255" s="507"/>
      <c r="AS3255" s="507"/>
      <c r="AT3255" s="507"/>
      <c r="AU3255" s="507"/>
      <c r="AV3255" s="225"/>
      <c r="AW3255" s="508"/>
      <c r="AX3255" s="225"/>
      <c r="AY3255" s="225"/>
      <c r="AZ3255" s="225"/>
      <c r="BA3255" s="225"/>
      <c r="BB3255" s="225"/>
      <c r="BC3255" s="56"/>
      <c r="BD3255" s="56"/>
      <c r="BE3255" s="56"/>
      <c r="BF3255" s="107" t="str">
        <f t="shared" si="2474"/>
        <v>https://www.google.com/search?tbm=isch&amp;q=25%20G4</v>
      </c>
      <c r="BG3255" s="107" t="str">
        <f t="shared" si="2475"/>
        <v>S</v>
      </c>
      <c r="BH3255" s="254"/>
      <c r="BI3255" s="254"/>
    </row>
    <row r="3256" spans="1:61" customFormat="1" ht="17.25" thickBot="1" x14ac:dyDescent="0.3">
      <c r="A3256" s="522" t="s">
        <v>2914</v>
      </c>
      <c r="B3256" s="491"/>
      <c r="C3256" s="675"/>
      <c r="D3256" s="491"/>
      <c r="E3256" s="491"/>
      <c r="F3256" s="492"/>
      <c r="G3256" s="493"/>
      <c r="H3256" s="491"/>
      <c r="I3256" s="234"/>
      <c r="J3256" s="234"/>
      <c r="K3256" s="494"/>
      <c r="L3256" s="543"/>
      <c r="M3256" s="561"/>
      <c r="N3256" s="495"/>
      <c r="O3256" s="496"/>
      <c r="P3256" s="497"/>
      <c r="Q3256" s="495"/>
      <c r="R3256" s="495"/>
      <c r="S3256" s="667" t="s">
        <v>4982</v>
      </c>
      <c r="T3256" s="508">
        <f t="shared" si="2463"/>
        <v>0</v>
      </c>
      <c r="U3256" s="225" t="str">
        <f>IF(NOT(ISNUMBER(G3256)), "", VLOOKUP(A3256,'Discount Lookup'!D:E,2,FALSE)*G3256)</f>
        <v/>
      </c>
      <c r="V3256" s="225" t="str">
        <f>IF(NOT(ISNUMBER(G3256)), "", VLOOKUP(A3256,'Discount Lookup'!G:H,2,FALSE)*G3256)</f>
        <v/>
      </c>
      <c r="W3256" s="508">
        <f t="shared" si="2464"/>
        <v>0</v>
      </c>
      <c r="X3256" s="508">
        <f t="shared" si="2465"/>
        <v>0</v>
      </c>
      <c r="Y3256" s="509" t="b">
        <f t="shared" si="2466"/>
        <v>0</v>
      </c>
      <c r="Z3256" s="510">
        <f t="shared" si="2467"/>
        <v>0</v>
      </c>
      <c r="AA3256" s="511"/>
      <c r="AB3256" s="511" t="str">
        <f t="shared" si="2468"/>
        <v/>
      </c>
      <c r="AC3256" s="698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698"/>
      <c r="AE3256" s="631" t="str">
        <f t="shared" si="2469"/>
        <v/>
      </c>
      <c r="AF3256" s="699" t="str">
        <f t="shared" si="2470"/>
        <v/>
      </c>
      <c r="AG3256" s="699"/>
      <c r="AH3256" s="699"/>
      <c r="AI3256" s="512">
        <f>IF(H3256="credit",0,IF(AE3256="free",0,IF(AE3256="me",0,IF(G3256&gt;0,(VLOOKUP(A3256,'Discount Lookup'!J:K,2)*G3256),0))))</f>
        <v>0</v>
      </c>
      <c r="AJ3256" s="513" t="str">
        <f t="shared" ca="1" si="2471"/>
        <v/>
      </c>
      <c r="AK3256" s="700" t="str">
        <f t="shared" si="2472"/>
        <v/>
      </c>
      <c r="AL3256" s="700"/>
      <c r="AM3256" s="505" t="str">
        <f t="shared" si="2473"/>
        <v/>
      </c>
      <c r="AN3256" s="506"/>
      <c r="AO3256" s="507"/>
      <c r="AP3256" s="507"/>
      <c r="AQ3256" s="507"/>
      <c r="AR3256" s="507"/>
      <c r="AS3256" s="507"/>
      <c r="AT3256" s="507"/>
      <c r="AU3256" s="507"/>
      <c r="AV3256" s="225"/>
      <c r="AW3256" s="508"/>
      <c r="AX3256" s="225"/>
      <c r="AY3256" s="225"/>
      <c r="AZ3256" s="225"/>
      <c r="BA3256" s="225"/>
      <c r="BB3256" s="225"/>
      <c r="BC3256" s="56"/>
      <c r="BD3256" s="56"/>
      <c r="BE3256" s="56"/>
      <c r="BF3256" s="107" t="str">
        <f t="shared" si="2474"/>
        <v>https://www.google.com/search?tbm=isch&amp;q=Sea%20Green%20resembles%20waves%2C%20with%20fountain-like%20branches.%20Winter%20bronzing%20and%20Blue%20cones%20%28on%20females%29.%20Sun%2Fheat%2Fdrought%20tol.%20</v>
      </c>
      <c r="BG3256" s="107" t="str">
        <f t="shared" si="2475"/>
        <v>S</v>
      </c>
      <c r="BH3256" s="254"/>
      <c r="BI3256" s="254"/>
    </row>
    <row r="3257" spans="1:61" customFormat="1" ht="18" x14ac:dyDescent="0.25">
      <c r="A3257" s="523" t="s">
        <v>1692</v>
      </c>
      <c r="B3257" s="235"/>
      <c r="C3257" s="676"/>
      <c r="D3257" s="255" t="s">
        <v>1693</v>
      </c>
      <c r="E3257" s="236"/>
      <c r="F3257" s="236"/>
      <c r="G3257" s="236"/>
      <c r="H3257" s="582" t="s">
        <v>438</v>
      </c>
      <c r="I3257" s="498" t="s">
        <v>2228</v>
      </c>
      <c r="J3257" s="237"/>
      <c r="K3257" s="237"/>
      <c r="L3257" s="274"/>
      <c r="M3257" s="668" t="s">
        <v>4962</v>
      </c>
      <c r="N3257" s="681" t="str">
        <f>IF(AND(ISTEXT($A3257), ISERROR($A3257+0)), HYPERLINK($BF3257, "Images"), "")</f>
        <v>Images</v>
      </c>
      <c r="O3257" s="663" t="s">
        <v>4969</v>
      </c>
      <c r="P3257" s="253"/>
      <c r="Q3257" s="238"/>
      <c r="R3257" s="239"/>
      <c r="S3257" s="275" t="s">
        <v>305</v>
      </c>
      <c r="T3257" s="508">
        <f t="shared" si="2463"/>
        <v>0</v>
      </c>
      <c r="U3257" s="225" t="str">
        <f>IF(NOT(ISNUMBER(G3257)), "", VLOOKUP(A3257,'Discount Lookup'!D:E,2,FALSE)*G3257)</f>
        <v/>
      </c>
      <c r="V3257" s="225" t="str">
        <f>IF(NOT(ISNUMBER(G3257)), "", VLOOKUP(A3257,'Discount Lookup'!G:H,2,FALSE)*G3257)</f>
        <v/>
      </c>
      <c r="W3257" s="508">
        <f t="shared" si="2464"/>
        <v>0</v>
      </c>
      <c r="X3257" s="508" t="str">
        <f t="shared" si="2465"/>
        <v>Green needles</v>
      </c>
      <c r="Y3257" s="509" t="b">
        <f t="shared" si="2466"/>
        <v>0</v>
      </c>
      <c r="Z3257" s="510">
        <f t="shared" si="2467"/>
        <v>0</v>
      </c>
      <c r="AA3257" s="511"/>
      <c r="AB3257" s="511" t="str">
        <f t="shared" si="2468"/>
        <v/>
      </c>
      <c r="AC3257" s="698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698"/>
      <c r="AE3257" s="631" t="str">
        <f t="shared" si="2469"/>
        <v/>
      </c>
      <c r="AF3257" s="699" t="str">
        <f t="shared" si="2470"/>
        <v/>
      </c>
      <c r="AG3257" s="699"/>
      <c r="AH3257" s="699"/>
      <c r="AI3257" s="512">
        <f>IF(H3257="credit",0,IF(AE3257="free",0,IF(AE3257="me",0,IF(G3257&gt;0,(VLOOKUP(A3257,'Discount Lookup'!J:K,2)*G3257),0))))</f>
        <v>0</v>
      </c>
      <c r="AJ3257" s="513" t="str">
        <f t="shared" ca="1" si="2471"/>
        <v/>
      </c>
      <c r="AK3257" s="700" t="str">
        <f t="shared" si="2472"/>
        <v/>
      </c>
      <c r="AL3257" s="700"/>
      <c r="AM3257" s="505" t="str">
        <f t="shared" si="2473"/>
        <v/>
      </c>
      <c r="AN3257" s="506"/>
      <c r="AO3257" s="507"/>
      <c r="AP3257" s="507"/>
      <c r="AQ3257" s="507"/>
      <c r="AR3257" s="507"/>
      <c r="AS3257" s="507"/>
      <c r="AT3257" s="507"/>
      <c r="AU3257" s="507"/>
      <c r="AV3257" s="225"/>
      <c r="AW3257" s="508"/>
      <c r="AX3257" s="225"/>
      <c r="AY3257" s="225"/>
      <c r="AZ3257" s="225"/>
      <c r="BA3257" s="225"/>
      <c r="BB3257" s="225"/>
      <c r="BC3257" s="56"/>
      <c r="BD3257" s="56"/>
      <c r="BE3257" s="56"/>
      <c r="BF3257" s="107" t="str">
        <f t="shared" si="2474"/>
        <v>https://www.google.com/search?tbm=isch&amp;q=Secrest%20Bald%20Cypress%20Taxodium%20distichum%20%27Secrest%27</v>
      </c>
      <c r="BG3257" s="107" t="str">
        <f t="shared" si="2475"/>
        <v>S</v>
      </c>
      <c r="BH3257" s="254"/>
      <c r="BI3257" s="254"/>
    </row>
    <row r="3258" spans="1:61" customFormat="1" ht="15.75" x14ac:dyDescent="0.25">
      <c r="A3258" s="276">
        <v>15</v>
      </c>
      <c r="B3258" s="240" t="s">
        <v>291</v>
      </c>
      <c r="C3258" s="241" t="s">
        <v>3750</v>
      </c>
      <c r="D3258" s="242" t="s">
        <v>292</v>
      </c>
      <c r="E3258" s="243">
        <v>401.95</v>
      </c>
      <c r="F3258" s="517" t="s">
        <v>293</v>
      </c>
      <c r="G3258" s="232">
        <v>0</v>
      </c>
      <c r="H3258" s="661" t="str">
        <f>IF(G3258=0,"",IF(F3258="Buy",IF(G3258=1,"plant","plants"),IF(F3258&gt;0.01,"warranty","Error")))</f>
        <v/>
      </c>
      <c r="I3258" s="244">
        <f>IF(H3258="free",0,IF(H3258="credit",((E3258*(F3258))*G3258*-1),IF(F3258="Buy",(E3258*G3258),((E3258*(1-F3258))*G3258))))</f>
        <v>0</v>
      </c>
      <c r="J3258" s="244">
        <f>IF(H3258="warranty",0,(I3258*(_xlfn.SINGLE(SalesTaxPercentage))))</f>
        <v>0</v>
      </c>
      <c r="K3258" s="696">
        <f t="shared" ref="K3258" si="2497">I3258+J3258</f>
        <v>0</v>
      </c>
      <c r="L3258" s="696"/>
      <c r="M3258" s="659" t="str">
        <f>IF(AND(G3258&gt;0,E3258=0),"WARNING - no PRICE inserted",IF(H3258="free"," FREE ~ no charge this plant",IF(H3258="credit",CONCATENATE(" -$",ROUND(K3258*(1-T2GDiscount)*-1,2)," CREDIT after discount"),IF(T2GDiscount=0,"",IF(G3258=0,"",IF(F3258="Buy",CONCATENATE(" $",ROUND(K3258*(1-T2GDiscount),2)," with ",(T2GDiscount*100),"% discount"),CONCATENATE(" $",ROUND(K3258*(1-T2GDiscount),2)," with ",((T2GDiscount*100+F3258*100)-(T2GDiscount*100*F3258)),IF(F3258&gt;0,"% discounts",IF(NoWarrantyDiscount&gt;0,"% discounts","% discount")))))))))</f>
        <v/>
      </c>
      <c r="N3258" s="660"/>
      <c r="O3258" s="233"/>
      <c r="P3258" s="233"/>
      <c r="Q3258" s="233"/>
      <c r="R3258" s="233"/>
      <c r="S3258" s="233"/>
      <c r="T3258" s="508">
        <f t="shared" si="2463"/>
        <v>0</v>
      </c>
      <c r="U3258" s="225">
        <f>IF(NOT(ISNUMBER(G3258)), "", VLOOKUP(A3258,'Discount Lookup'!D:E,2,FALSE)*G3258)</f>
        <v>0</v>
      </c>
      <c r="V3258" s="225">
        <f>IF(NOT(ISNUMBER(G3258)), "", VLOOKUP(A3258,'Discount Lookup'!G:H,2,FALSE)*G3258)</f>
        <v>0</v>
      </c>
      <c r="W3258" s="508">
        <f t="shared" si="2464"/>
        <v>0</v>
      </c>
      <c r="X3258" s="508">
        <f t="shared" si="2465"/>
        <v>0</v>
      </c>
      <c r="Y3258" s="509" t="b">
        <f t="shared" si="2466"/>
        <v>0</v>
      </c>
      <c r="Z3258" s="510">
        <f t="shared" si="2467"/>
        <v>0</v>
      </c>
      <c r="AA3258" s="511"/>
      <c r="AB3258" s="511" t="str">
        <f t="shared" si="2468"/>
        <v/>
      </c>
      <c r="AC3258" s="698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698"/>
      <c r="AE3258" s="631" t="str">
        <f t="shared" si="2469"/>
        <v/>
      </c>
      <c r="AF3258" s="699" t="str">
        <f t="shared" si="2470"/>
        <v/>
      </c>
      <c r="AG3258" s="699"/>
      <c r="AH3258" s="699"/>
      <c r="AI3258" s="512">
        <f>IF(H3258="credit",0,IF(AE3258="free",0,IF(AE3258="me",0,IF(G3258&gt;0,(VLOOKUP(A3258,'Discount Lookup'!J:K,2)*G3258),0))))</f>
        <v>0</v>
      </c>
      <c r="AJ3258" s="513" t="str">
        <f t="shared" ca="1" si="2471"/>
        <v/>
      </c>
      <c r="AK3258" s="700" t="str">
        <f t="shared" si="2472"/>
        <v/>
      </c>
      <c r="AL3258" s="700"/>
      <c r="AM3258" s="505" t="str">
        <f t="shared" si="2473"/>
        <v/>
      </c>
      <c r="AN3258" s="506"/>
      <c r="AO3258" s="507"/>
      <c r="AP3258" s="507"/>
      <c r="AQ3258" s="507"/>
      <c r="AR3258" s="507"/>
      <c r="AS3258" s="507"/>
      <c r="AT3258" s="507"/>
      <c r="AU3258" s="507"/>
      <c r="AV3258" s="225"/>
      <c r="AW3258" s="508"/>
      <c r="AX3258" s="225"/>
      <c r="AY3258" s="225"/>
      <c r="AZ3258" s="225"/>
      <c r="BA3258" s="225"/>
      <c r="BB3258" s="225"/>
      <c r="BC3258" s="56"/>
      <c r="BD3258" s="56"/>
      <c r="BE3258" s="56"/>
      <c r="BF3258" s="107" t="str">
        <f t="shared" si="2474"/>
        <v>https://www.google.com/search?tbm=isch&amp;q=15%20G4</v>
      </c>
      <c r="BG3258" s="107" t="str">
        <f t="shared" si="2475"/>
        <v>S</v>
      </c>
      <c r="BH3258" s="254"/>
      <c r="BI3258" s="254"/>
    </row>
    <row r="3259" spans="1:61" customFormat="1" ht="17.25" thickBot="1" x14ac:dyDescent="0.3">
      <c r="A3259" s="673" t="s">
        <v>5226</v>
      </c>
      <c r="B3259" s="245"/>
      <c r="C3259" s="677"/>
      <c r="D3259" s="499"/>
      <c r="E3259" s="499"/>
      <c r="F3259" s="500"/>
      <c r="G3259" s="501"/>
      <c r="H3259" s="502"/>
      <c r="I3259" s="246"/>
      <c r="J3259" s="247"/>
      <c r="K3259" s="503"/>
      <c r="L3259" s="544"/>
      <c r="M3259" s="544"/>
      <c r="N3259" s="500"/>
      <c r="O3259" s="500"/>
      <c r="P3259" s="500"/>
      <c r="Q3259" s="500"/>
      <c r="R3259" s="500"/>
      <c r="S3259" s="669" t="s">
        <v>5016</v>
      </c>
      <c r="T3259" s="508">
        <f t="shared" si="2463"/>
        <v>0</v>
      </c>
      <c r="U3259" s="225" t="str">
        <f>IF(NOT(ISNUMBER(G3259)), "", VLOOKUP(A3259,'Discount Lookup'!D:E,2,FALSE)*G3259)</f>
        <v/>
      </c>
      <c r="V3259" s="225" t="str">
        <f>IF(NOT(ISNUMBER(G3259)), "", VLOOKUP(A3259,'Discount Lookup'!G:H,2,FALSE)*G3259)</f>
        <v/>
      </c>
      <c r="W3259" s="508">
        <f t="shared" si="2464"/>
        <v>0</v>
      </c>
      <c r="X3259" s="508">
        <f t="shared" si="2465"/>
        <v>0</v>
      </c>
      <c r="Y3259" s="509" t="b">
        <f t="shared" si="2466"/>
        <v>0</v>
      </c>
      <c r="Z3259" s="510">
        <f t="shared" si="2467"/>
        <v>0</v>
      </c>
      <c r="AA3259" s="511"/>
      <c r="AB3259" s="511" t="str">
        <f t="shared" si="2468"/>
        <v/>
      </c>
      <c r="AC3259" s="698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698"/>
      <c r="AE3259" s="631" t="str">
        <f t="shared" si="2469"/>
        <v/>
      </c>
      <c r="AF3259" s="699" t="str">
        <f t="shared" si="2470"/>
        <v/>
      </c>
      <c r="AG3259" s="699"/>
      <c r="AH3259" s="699"/>
      <c r="AI3259" s="512">
        <f>IF(H3259="credit",0,IF(AE3259="free",0,IF(AE3259="me",0,IF(G3259&gt;0,(VLOOKUP(A3259,'Discount Lookup'!J:K,2)*G3259),0))))</f>
        <v>0</v>
      </c>
      <c r="AJ3259" s="513" t="str">
        <f t="shared" ca="1" si="2471"/>
        <v/>
      </c>
      <c r="AK3259" s="700" t="str">
        <f t="shared" si="2472"/>
        <v/>
      </c>
      <c r="AL3259" s="700"/>
      <c r="AM3259" s="505" t="str">
        <f t="shared" si="2473"/>
        <v/>
      </c>
      <c r="AN3259" s="506"/>
      <c r="AO3259" s="507"/>
      <c r="AP3259" s="507"/>
      <c r="AQ3259" s="507"/>
      <c r="AR3259" s="507"/>
      <c r="AS3259" s="507"/>
      <c r="AT3259" s="507"/>
      <c r="AU3259" s="507"/>
      <c r="AV3259" s="225"/>
      <c r="AW3259" s="508"/>
      <c r="AX3259" s="225"/>
      <c r="AY3259" s="225"/>
      <c r="AZ3259" s="225"/>
      <c r="BA3259" s="225"/>
      <c r="BB3259" s="225"/>
      <c r="BC3259" s="56"/>
      <c r="BD3259" s="56"/>
      <c r="BE3259" s="56"/>
      <c r="BF3259" s="107" t="str">
        <f t="shared" si="2474"/>
        <v>https://www.google.com/search?tbm=isch&amp;q=wet%20sites%F0%9F%92%A7BEST%2C%20Secrest%20is%20a%20unique%20dwarf%20of%20the%20Bald%20Cypress.%20Slow%20grower.%20Feathery%20needles%20turn%20Golde%20to%20Burnt-Orange%20in%20fall%20</v>
      </c>
      <c r="BG3259" s="107" t="str">
        <f t="shared" si="2475"/>
        <v>w</v>
      </c>
      <c r="BH3259" s="254"/>
      <c r="BI3259" s="254"/>
    </row>
    <row r="3260" spans="1:61" customFormat="1" ht="18" x14ac:dyDescent="0.25">
      <c r="A3260" s="523" t="s">
        <v>1694</v>
      </c>
      <c r="B3260" s="235"/>
      <c r="C3260" s="676"/>
      <c r="D3260" s="255" t="s">
        <v>1695</v>
      </c>
      <c r="E3260" s="236"/>
      <c r="F3260" s="236"/>
      <c r="G3260" s="236"/>
      <c r="H3260" s="582" t="s">
        <v>321</v>
      </c>
      <c r="I3260" s="498" t="s">
        <v>2241</v>
      </c>
      <c r="J3260" s="237"/>
      <c r="K3260" s="237"/>
      <c r="L3260" s="274"/>
      <c r="M3260" s="668" t="s">
        <v>4975</v>
      </c>
      <c r="N3260" s="681" t="str">
        <f>IF(AND(ISTEXT($A3260), ISERROR($A3260+0)), HYPERLINK($BF3260, "Images"), "")</f>
        <v>Images</v>
      </c>
      <c r="O3260" s="663" t="s">
        <v>4967</v>
      </c>
      <c r="P3260" s="253"/>
      <c r="Q3260" s="238"/>
      <c r="R3260" s="239"/>
      <c r="S3260" s="275"/>
      <c r="T3260" s="508">
        <f t="shared" si="2463"/>
        <v>0</v>
      </c>
      <c r="U3260" s="225" t="str">
        <f>IF(NOT(ISNUMBER(G3260)), "", VLOOKUP(A3260,'Discount Lookup'!D:E,2,FALSE)*G3260)</f>
        <v/>
      </c>
      <c r="V3260" s="225" t="str">
        <f>IF(NOT(ISNUMBER(G3260)), "", VLOOKUP(A3260,'Discount Lookup'!G:H,2,FALSE)*G3260)</f>
        <v/>
      </c>
      <c r="W3260" s="508">
        <f t="shared" si="2464"/>
        <v>0</v>
      </c>
      <c r="X3260" s="508" t="str">
        <f t="shared" si="2465"/>
        <v>Green foliage, Red edges</v>
      </c>
      <c r="Y3260" s="509" t="b">
        <f t="shared" si="2466"/>
        <v>0</v>
      </c>
      <c r="Z3260" s="510">
        <f t="shared" si="2467"/>
        <v>0</v>
      </c>
      <c r="AA3260" s="511"/>
      <c r="AB3260" s="511" t="str">
        <f t="shared" si="2468"/>
        <v/>
      </c>
      <c r="AC3260" s="698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698"/>
      <c r="AE3260" s="631" t="str">
        <f t="shared" si="2469"/>
        <v/>
      </c>
      <c r="AF3260" s="699" t="str">
        <f t="shared" si="2470"/>
        <v/>
      </c>
      <c r="AG3260" s="699"/>
      <c r="AH3260" s="699"/>
      <c r="AI3260" s="512">
        <f>IF(H3260="credit",0,IF(AE3260="free",0,IF(AE3260="me",0,IF(G3260&gt;0,(VLOOKUP(A3260,'Discount Lookup'!J:K,2)*G3260),0))))</f>
        <v>0</v>
      </c>
      <c r="AJ3260" s="513" t="str">
        <f t="shared" ca="1" si="2471"/>
        <v/>
      </c>
      <c r="AK3260" s="700" t="str">
        <f t="shared" si="2472"/>
        <v/>
      </c>
      <c r="AL3260" s="700"/>
      <c r="AM3260" s="505" t="str">
        <f t="shared" si="2473"/>
        <v/>
      </c>
      <c r="AN3260" s="506"/>
      <c r="AO3260" s="507"/>
      <c r="AP3260" s="507"/>
      <c r="AQ3260" s="507"/>
      <c r="AR3260" s="507"/>
      <c r="AS3260" s="507"/>
      <c r="AT3260" s="507"/>
      <c r="AU3260" s="507"/>
      <c r="AV3260" s="225"/>
      <c r="AW3260" s="508"/>
      <c r="AX3260" s="225"/>
      <c r="AY3260" s="225"/>
      <c r="AZ3260" s="225"/>
      <c r="BA3260" s="225"/>
      <c r="BB3260" s="225"/>
      <c r="BC3260" s="56"/>
      <c r="BD3260" s="56"/>
      <c r="BE3260" s="56"/>
      <c r="BF3260" s="107" t="str">
        <f t="shared" si="2474"/>
        <v>https://www.google.com/search?tbm=isch&amp;q=Seiryu%20Japanese%20Maple%20Acer%20palmatum%20var.%20dis.%20%27Seiryu%27</v>
      </c>
      <c r="BG3260" s="107" t="str">
        <f t="shared" si="2475"/>
        <v>S</v>
      </c>
      <c r="BH3260" s="254"/>
      <c r="BI3260" s="254"/>
    </row>
    <row r="3261" spans="1:61" customFormat="1" ht="27" x14ac:dyDescent="0.25">
      <c r="A3261" s="276">
        <v>15</v>
      </c>
      <c r="B3261" s="240" t="s">
        <v>291</v>
      </c>
      <c r="C3261" s="241" t="s">
        <v>3751</v>
      </c>
      <c r="D3261" s="242" t="s">
        <v>292</v>
      </c>
      <c r="E3261" s="243">
        <v>436.95</v>
      </c>
      <c r="F3261" s="517" t="s">
        <v>293</v>
      </c>
      <c r="G3261" s="232">
        <v>0</v>
      </c>
      <c r="H3261" s="661" t="str">
        <f>IF(G3261=0,"",IF(F3261="Buy",IF(G3261=1,"plant","plants"),IF(F3261&gt;0.01,"warranty","Error")))</f>
        <v/>
      </c>
      <c r="I3261" s="244">
        <f>IF(H3261="free",0,IF(H3261="credit",((E3261*(F3261))*G3261*-1),IF(F3261="Buy",(E3261*G3261),((E3261*(1-F3261))*G3261))))</f>
        <v>0</v>
      </c>
      <c r="J3261" s="244">
        <f>IF(H3261="warranty",0,(I3261*(_xlfn.SINGLE(SalesTaxPercentage))))</f>
        <v>0</v>
      </c>
      <c r="K3261" s="696">
        <f t="shared" ref="K3261" si="2498">I3261+J3261</f>
        <v>0</v>
      </c>
      <c r="L3261" s="696"/>
      <c r="M3261" s="659" t="str">
        <f>IF(AND(G3261&gt;0,E3261=0),"WARNING - no PRICE inserted",IF(H3261="free"," FREE ~ no charge this plant",IF(H3261="credit",CONCATENATE(" -$",ROUND(K3261*(1-T2GDiscount)*-1,2)," CREDIT after discount"),IF(T2GDiscount=0,"",IF(G3261=0,"",IF(F3261="Buy",CONCATENATE(" $",ROUND(K3261*(1-T2GDiscount),2)," with ",(T2GDiscount*100),"% discount"),CONCATENATE(" $",ROUND(K3261*(1-T2GDiscount),2)," with ",((T2GDiscount*100+F3261*100)-(T2GDiscount*100*F3261)),IF(F3261&gt;0,"% discounts",IF(NoWarrantyDiscount&gt;0,"% discounts","% discount")))))))))</f>
        <v/>
      </c>
      <c r="N3261" s="660"/>
      <c r="O3261" s="233"/>
      <c r="P3261" s="233"/>
      <c r="Q3261" s="233"/>
      <c r="R3261" s="233"/>
      <c r="S3261" s="233"/>
      <c r="T3261" s="508">
        <f t="shared" si="2463"/>
        <v>0</v>
      </c>
      <c r="U3261" s="225">
        <f>IF(NOT(ISNUMBER(G3261)), "", VLOOKUP(A3261,'Discount Lookup'!D:E,2,FALSE)*G3261)</f>
        <v>0</v>
      </c>
      <c r="V3261" s="225">
        <f>IF(NOT(ISNUMBER(G3261)), "", VLOOKUP(A3261,'Discount Lookup'!G:H,2,FALSE)*G3261)</f>
        <v>0</v>
      </c>
      <c r="W3261" s="508">
        <f t="shared" si="2464"/>
        <v>0</v>
      </c>
      <c r="X3261" s="508">
        <f t="shared" si="2465"/>
        <v>0</v>
      </c>
      <c r="Y3261" s="509" t="b">
        <f t="shared" si="2466"/>
        <v>0</v>
      </c>
      <c r="Z3261" s="510">
        <f t="shared" si="2467"/>
        <v>0</v>
      </c>
      <c r="AA3261" s="511"/>
      <c r="AB3261" s="511" t="str">
        <f t="shared" si="2468"/>
        <v/>
      </c>
      <c r="AC3261" s="698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698"/>
      <c r="AE3261" s="631" t="str">
        <f t="shared" si="2469"/>
        <v/>
      </c>
      <c r="AF3261" s="699" t="str">
        <f t="shared" si="2470"/>
        <v/>
      </c>
      <c r="AG3261" s="699"/>
      <c r="AH3261" s="699"/>
      <c r="AI3261" s="512">
        <f>IF(H3261="credit",0,IF(AE3261="free",0,IF(AE3261="me",0,IF(G3261&gt;0,(VLOOKUP(A3261,'Discount Lookup'!J:K,2)*G3261),0))))</f>
        <v>0</v>
      </c>
      <c r="AJ3261" s="513" t="str">
        <f t="shared" ca="1" si="2471"/>
        <v/>
      </c>
      <c r="AK3261" s="700" t="str">
        <f t="shared" si="2472"/>
        <v/>
      </c>
      <c r="AL3261" s="700"/>
      <c r="AM3261" s="505" t="str">
        <f t="shared" si="2473"/>
        <v/>
      </c>
      <c r="AN3261" s="506"/>
      <c r="AO3261" s="507"/>
      <c r="AP3261" s="507"/>
      <c r="AQ3261" s="507"/>
      <c r="AR3261" s="507"/>
      <c r="AS3261" s="507"/>
      <c r="AT3261" s="507"/>
      <c r="AU3261" s="507"/>
      <c r="AV3261" s="225"/>
      <c r="AW3261" s="508"/>
      <c r="AX3261" s="225"/>
      <c r="AY3261" s="225"/>
      <c r="AZ3261" s="225"/>
      <c r="BA3261" s="225"/>
      <c r="BB3261" s="225"/>
      <c r="BC3261" s="56"/>
      <c r="BD3261" s="56"/>
      <c r="BE3261" s="56"/>
      <c r="BF3261" s="107" t="str">
        <f t="shared" si="2474"/>
        <v>https://www.google.com/search?tbm=isch&amp;q=15%20G4</v>
      </c>
      <c r="BG3261" s="107" t="str">
        <f t="shared" si="2475"/>
        <v>S</v>
      </c>
      <c r="BH3261" s="254"/>
      <c r="BI3261" s="254"/>
    </row>
    <row r="3262" spans="1:61" customFormat="1" ht="27" x14ac:dyDescent="0.25">
      <c r="A3262" s="276">
        <v>25</v>
      </c>
      <c r="B3262" s="240" t="s">
        <v>291</v>
      </c>
      <c r="C3262" s="241" t="s">
        <v>3752</v>
      </c>
      <c r="D3262" s="242" t="s">
        <v>292</v>
      </c>
      <c r="E3262" s="243">
        <v>869.95</v>
      </c>
      <c r="F3262" s="517" t="s">
        <v>293</v>
      </c>
      <c r="G3262" s="232">
        <v>0</v>
      </c>
      <c r="H3262" s="661" t="str">
        <f>IF(G3262=0,"",IF(F3262="Buy",IF(G3262=1,"plant","plants"),IF(F3262&gt;0.01,"warranty","Error")))</f>
        <v/>
      </c>
      <c r="I3262" s="244">
        <f>IF(H3262="free",0,IF(H3262="credit",((E3262*(F3262))*G3262*-1),IF(F3262="Buy",(E3262*G3262),((E3262*(1-F3262))*G3262))))</f>
        <v>0</v>
      </c>
      <c r="J3262" s="244">
        <f>IF(H3262="warranty",0,(I3262*(_xlfn.SINGLE(SalesTaxPercentage))))</f>
        <v>0</v>
      </c>
      <c r="K3262" s="696">
        <f t="shared" ref="K3262" si="2499">I3262+J3262</f>
        <v>0</v>
      </c>
      <c r="L3262" s="696"/>
      <c r="M3262" s="659" t="str">
        <f>IF(AND(G3262&gt;0,E3262=0),"WARNING - no PRICE inserted",IF(H3262="free"," FREE ~ no charge this plant",IF(H3262="credit",CONCATENATE(" -$",ROUND(K3262*(1-T2GDiscount)*-1,2)," CREDIT after discount"),IF(T2GDiscount=0,"",IF(G3262=0,"",IF(F3262="Buy",CONCATENATE(" $",ROUND(K3262*(1-T2GDiscount),2)," with ",(T2GDiscount*100),"% discount"),CONCATENATE(" $",ROUND(K3262*(1-T2GDiscount),2)," with ",((T2GDiscount*100+F3262*100)-(T2GDiscount*100*F3262)),IF(F3262&gt;0,"% discounts",IF(NoWarrantyDiscount&gt;0,"% discounts","% discount")))))))))</f>
        <v/>
      </c>
      <c r="N3262" s="660"/>
      <c r="O3262" s="233"/>
      <c r="P3262" s="233"/>
      <c r="Q3262" s="233"/>
      <c r="R3262" s="233"/>
      <c r="S3262" s="233"/>
      <c r="T3262" s="508">
        <f t="shared" si="2463"/>
        <v>0</v>
      </c>
      <c r="U3262" s="225">
        <f>IF(NOT(ISNUMBER(G3262)), "", VLOOKUP(A3262,'Discount Lookup'!D:E,2,FALSE)*G3262)</f>
        <v>0</v>
      </c>
      <c r="V3262" s="225">
        <f>IF(NOT(ISNUMBER(G3262)), "", VLOOKUP(A3262,'Discount Lookup'!G:H,2,FALSE)*G3262)</f>
        <v>0</v>
      </c>
      <c r="W3262" s="508">
        <f t="shared" si="2464"/>
        <v>0</v>
      </c>
      <c r="X3262" s="508">
        <f t="shared" si="2465"/>
        <v>0</v>
      </c>
      <c r="Y3262" s="509" t="b">
        <f t="shared" si="2466"/>
        <v>0</v>
      </c>
      <c r="Z3262" s="510">
        <f t="shared" si="2467"/>
        <v>0</v>
      </c>
      <c r="AA3262" s="511"/>
      <c r="AB3262" s="511" t="str">
        <f t="shared" si="2468"/>
        <v/>
      </c>
      <c r="AC3262" s="698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698"/>
      <c r="AE3262" s="631" t="str">
        <f t="shared" si="2469"/>
        <v/>
      </c>
      <c r="AF3262" s="699" t="str">
        <f t="shared" si="2470"/>
        <v/>
      </c>
      <c r="AG3262" s="699"/>
      <c r="AH3262" s="699"/>
      <c r="AI3262" s="512">
        <f>IF(H3262="credit",0,IF(AE3262="free",0,IF(AE3262="me",0,IF(G3262&gt;0,(VLOOKUP(A3262,'Discount Lookup'!J:K,2)*G3262),0))))</f>
        <v>0</v>
      </c>
      <c r="AJ3262" s="513" t="str">
        <f t="shared" ca="1" si="2471"/>
        <v/>
      </c>
      <c r="AK3262" s="700" t="str">
        <f t="shared" si="2472"/>
        <v/>
      </c>
      <c r="AL3262" s="700"/>
      <c r="AM3262" s="505" t="str">
        <f t="shared" si="2473"/>
        <v/>
      </c>
      <c r="AN3262" s="506"/>
      <c r="AO3262" s="507"/>
      <c r="AP3262" s="507"/>
      <c r="AQ3262" s="507"/>
      <c r="AR3262" s="507"/>
      <c r="AS3262" s="507"/>
      <c r="AT3262" s="507"/>
      <c r="AU3262" s="507"/>
      <c r="AV3262" s="225"/>
      <c r="AW3262" s="508"/>
      <c r="AX3262" s="225"/>
      <c r="AY3262" s="225"/>
      <c r="AZ3262" s="225"/>
      <c r="BA3262" s="225"/>
      <c r="BB3262" s="225"/>
      <c r="BC3262" s="56"/>
      <c r="BD3262" s="56"/>
      <c r="BE3262" s="56"/>
      <c r="BF3262" s="107" t="str">
        <f t="shared" si="2474"/>
        <v>https://www.google.com/search?tbm=isch&amp;q=25%20G4</v>
      </c>
      <c r="BG3262" s="107" t="str">
        <f t="shared" si="2475"/>
        <v>S</v>
      </c>
      <c r="BH3262" s="254"/>
      <c r="BI3262" s="254"/>
    </row>
    <row r="3263" spans="1:61" customFormat="1" ht="17.25" thickBot="1" x14ac:dyDescent="0.3">
      <c r="A3263" s="524" t="s">
        <v>2242</v>
      </c>
      <c r="B3263" s="245"/>
      <c r="C3263" s="677"/>
      <c r="D3263" s="499"/>
      <c r="E3263" s="499"/>
      <c r="F3263" s="500"/>
      <c r="G3263" s="501"/>
      <c r="H3263" s="502"/>
      <c r="I3263" s="246"/>
      <c r="J3263" s="247"/>
      <c r="K3263" s="503"/>
      <c r="L3263" s="544"/>
      <c r="M3263" s="544"/>
      <c r="N3263" s="500"/>
      <c r="O3263" s="500"/>
      <c r="P3263" s="500"/>
      <c r="Q3263" s="500"/>
      <c r="R3263" s="500"/>
      <c r="S3263" s="278"/>
      <c r="T3263" s="508">
        <f t="shared" si="2463"/>
        <v>0</v>
      </c>
      <c r="U3263" s="225" t="str">
        <f>IF(NOT(ISNUMBER(G3263)), "", VLOOKUP(A3263,'Discount Lookup'!D:E,2,FALSE)*G3263)</f>
        <v/>
      </c>
      <c r="V3263" s="225" t="str">
        <f>IF(NOT(ISNUMBER(G3263)), "", VLOOKUP(A3263,'Discount Lookup'!G:H,2,FALSE)*G3263)</f>
        <v/>
      </c>
      <c r="W3263" s="508">
        <f t="shared" si="2464"/>
        <v>0</v>
      </c>
      <c r="X3263" s="508">
        <f t="shared" si="2465"/>
        <v>0</v>
      </c>
      <c r="Y3263" s="509" t="b">
        <f t="shared" si="2466"/>
        <v>0</v>
      </c>
      <c r="Z3263" s="510">
        <f t="shared" si="2467"/>
        <v>0</v>
      </c>
      <c r="AA3263" s="511"/>
      <c r="AB3263" s="511" t="str">
        <f t="shared" si="2468"/>
        <v/>
      </c>
      <c r="AC3263" s="698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698"/>
      <c r="AE3263" s="631" t="str">
        <f t="shared" si="2469"/>
        <v/>
      </c>
      <c r="AF3263" s="699" t="str">
        <f t="shared" si="2470"/>
        <v/>
      </c>
      <c r="AG3263" s="699"/>
      <c r="AH3263" s="699"/>
      <c r="AI3263" s="512">
        <f>IF(H3263="credit",0,IF(AE3263="free",0,IF(AE3263="me",0,IF(G3263&gt;0,(VLOOKUP(A3263,'Discount Lookup'!J:K,2)*G3263),0))))</f>
        <v>0</v>
      </c>
      <c r="AJ3263" s="513" t="str">
        <f t="shared" ca="1" si="2471"/>
        <v/>
      </c>
      <c r="AK3263" s="700" t="str">
        <f t="shared" si="2472"/>
        <v/>
      </c>
      <c r="AL3263" s="700"/>
      <c r="AM3263" s="505" t="str">
        <f t="shared" si="2473"/>
        <v/>
      </c>
      <c r="AN3263" s="506"/>
      <c r="AO3263" s="507"/>
      <c r="AP3263" s="507"/>
      <c r="AQ3263" s="507"/>
      <c r="AR3263" s="507"/>
      <c r="AS3263" s="507"/>
      <c r="AT3263" s="507"/>
      <c r="AU3263" s="507"/>
      <c r="AV3263" s="225"/>
      <c r="AW3263" s="508"/>
      <c r="AX3263" s="225"/>
      <c r="AY3263" s="225"/>
      <c r="AZ3263" s="225"/>
      <c r="BA3263" s="225"/>
      <c r="BB3263" s="225"/>
      <c r="BC3263" s="56"/>
      <c r="BD3263" s="56"/>
      <c r="BE3263" s="56"/>
      <c r="BF3263" s="107" t="str">
        <f t="shared" si="2474"/>
        <v>https://www.google.com/search?tbm=isch&amp;q=Seiryu%20is%20a%20unique%20upright%20%28non-weeping%29%20cultivar%20with%20a%20dissected%20leaf.%20Foliage%20turns%20Gold-Orange-Crimson%20in%20the%20fall%20</v>
      </c>
      <c r="BG3263" s="107" t="str">
        <f t="shared" si="2475"/>
        <v>S</v>
      </c>
      <c r="BH3263" s="254"/>
      <c r="BI3263" s="254"/>
    </row>
    <row r="3264" spans="1:61" customFormat="1" ht="18" x14ac:dyDescent="0.25">
      <c r="A3264" s="521" t="s">
        <v>1696</v>
      </c>
      <c r="B3264" s="477"/>
      <c r="C3264" s="674"/>
      <c r="D3264" s="478" t="s">
        <v>1697</v>
      </c>
      <c r="E3264" s="479"/>
      <c r="F3264" s="479"/>
      <c r="G3264" s="479"/>
      <c r="H3264" s="582" t="s">
        <v>1698</v>
      </c>
      <c r="I3264" s="480" t="s">
        <v>1699</v>
      </c>
      <c r="J3264" s="479"/>
      <c r="K3264" s="479"/>
      <c r="L3264" s="560"/>
      <c r="M3264" s="666" t="s">
        <v>4965</v>
      </c>
      <c r="N3264" s="680" t="str">
        <f>IF(AND(ISTEXT($A3264), ISERROR($A3264+0)), HYPERLINK($BF3264, "Images"), "")</f>
        <v>Images</v>
      </c>
      <c r="O3264" s="662" t="s">
        <v>4967</v>
      </c>
      <c r="P3264" s="482"/>
      <c r="Q3264" s="483"/>
      <c r="R3264" s="483"/>
      <c r="S3264" s="484"/>
      <c r="T3264" s="508">
        <f t="shared" si="2463"/>
        <v>0</v>
      </c>
      <c r="U3264" s="225" t="str">
        <f>IF(NOT(ISNUMBER(G3264)), "", VLOOKUP(A3264,'Discount Lookup'!D:E,2,FALSE)*G3264)</f>
        <v/>
      </c>
      <c r="V3264" s="225" t="str">
        <f>IF(NOT(ISNUMBER(G3264)), "", VLOOKUP(A3264,'Discount Lookup'!G:H,2,FALSE)*G3264)</f>
        <v/>
      </c>
      <c r="W3264" s="508">
        <f t="shared" si="2464"/>
        <v>0</v>
      </c>
      <c r="X3264" s="508" t="str">
        <f t="shared" si="2465"/>
        <v>Creamy Yellow bloom</v>
      </c>
      <c r="Y3264" s="509" t="b">
        <f t="shared" si="2466"/>
        <v>0</v>
      </c>
      <c r="Z3264" s="510">
        <f t="shared" si="2467"/>
        <v>0</v>
      </c>
      <c r="AA3264" s="511"/>
      <c r="AB3264" s="511" t="str">
        <f t="shared" si="2468"/>
        <v/>
      </c>
      <c r="AC3264" s="698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698"/>
      <c r="AE3264" s="631" t="str">
        <f t="shared" si="2469"/>
        <v/>
      </c>
      <c r="AF3264" s="699" t="str">
        <f t="shared" si="2470"/>
        <v/>
      </c>
      <c r="AG3264" s="699"/>
      <c r="AH3264" s="699"/>
      <c r="AI3264" s="512">
        <f>IF(H3264="credit",0,IF(AE3264="free",0,IF(AE3264="me",0,IF(G3264&gt;0,(VLOOKUP(A3264,'Discount Lookup'!J:K,2)*G3264),0))))</f>
        <v>0</v>
      </c>
      <c r="AJ3264" s="513" t="str">
        <f t="shared" ca="1" si="2471"/>
        <v/>
      </c>
      <c r="AK3264" s="700" t="str">
        <f t="shared" si="2472"/>
        <v/>
      </c>
      <c r="AL3264" s="700"/>
      <c r="AM3264" s="505" t="str">
        <f t="shared" si="2473"/>
        <v/>
      </c>
      <c r="AN3264" s="506"/>
      <c r="AO3264" s="507"/>
      <c r="AP3264" s="507"/>
      <c r="AQ3264" s="507"/>
      <c r="AR3264" s="507"/>
      <c r="AS3264" s="507"/>
      <c r="AT3264" s="507"/>
      <c r="AU3264" s="507"/>
      <c r="AV3264" s="225"/>
      <c r="AW3264" s="508"/>
      <c r="AX3264" s="225"/>
      <c r="AY3264" s="225"/>
      <c r="AZ3264" s="225"/>
      <c r="BA3264" s="225"/>
      <c r="BB3264" s="225"/>
      <c r="BC3264" s="56"/>
      <c r="BD3264" s="56"/>
      <c r="BE3264" s="56"/>
      <c r="BF3264" s="107" t="str">
        <f t="shared" si="2474"/>
        <v>https://www.google.com/search?tbm=isch&amp;q=Serendipity%20Magnolia%20Magnolia%20x%20figo%20%27Serendipity%27</v>
      </c>
      <c r="BG3264" s="107" t="str">
        <f t="shared" si="2475"/>
        <v>S</v>
      </c>
      <c r="BH3264" s="254"/>
      <c r="BI3264" s="254"/>
    </row>
    <row r="3265" spans="1:61" customFormat="1" ht="15.75" x14ac:dyDescent="0.25">
      <c r="A3265" s="485">
        <v>3</v>
      </c>
      <c r="B3265" s="486" t="s">
        <v>291</v>
      </c>
      <c r="C3265" s="487" t="s">
        <v>15</v>
      </c>
      <c r="D3265" s="488" t="s">
        <v>298</v>
      </c>
      <c r="E3265" s="489">
        <v>33.950000000000003</v>
      </c>
      <c r="F3265" s="516" t="s">
        <v>293</v>
      </c>
      <c r="G3265" s="232">
        <v>0</v>
      </c>
      <c r="H3265" s="658" t="str">
        <f t="shared" ref="H3265:H3279" si="2500">IF(G3265=0,"",IF(F3265="Buy",IF(G3265=1,"plant","plants"),IF(F3265&gt;0.01,"warranty","Error")))</f>
        <v/>
      </c>
      <c r="I3265" s="490">
        <f t="shared" ref="I3265:I3279" si="2501">IF(H3265="free",0,IF(H3265="credit",((E3265*(F3265))*G3265*-1),IF(F3265="Buy",(E3265*G3265),((E3265*(1-F3265))*G3265))))</f>
        <v>0</v>
      </c>
      <c r="J3265" s="490">
        <f t="shared" ref="J3265:J3279" si="2502">IF(H3265="warranty",0,(I3265*(_xlfn.SINGLE(SalesTaxPercentage))))</f>
        <v>0</v>
      </c>
      <c r="K3265" s="695">
        <f t="shared" ref="K3265" si="2503">I3265+J3265</f>
        <v>0</v>
      </c>
      <c r="L3265" s="695"/>
      <c r="M3265" s="659" t="str">
        <f t="shared" ref="M3265:M3279" si="2504">IF(AND(G3265&gt;0,E3265=0),"WARNING - no PRICE inserted",IF(H3265="free"," FREE ~ no charge this plant",IF(H3265="credit",CONCATENATE(" -$",ROUND(K3265*(1-T2GDiscount)*-1,2)," CREDIT after discount"),IF(T2GDiscount=0,"",IF(G3265=0,"",IF(F3265="Buy",CONCATENATE(" $",ROUND(K3265*(1-T2GDiscount),2)," with ",(T2GDiscount*100),"% discount"),CONCATENATE(" $",ROUND(K3265*(1-T2GDiscount),2)," with ",((T2GDiscount*100+F3265*100)-(T2GDiscount*100*F3265)),IF(F3265&gt;0,"% discounts",IF(NoWarrantyDiscount&gt;0,"% discounts","% discount")))))))))</f>
        <v/>
      </c>
      <c r="N3265" s="660"/>
      <c r="O3265" s="233"/>
      <c r="P3265" s="233"/>
      <c r="Q3265" s="233"/>
      <c r="R3265" s="233"/>
      <c r="S3265" s="233"/>
      <c r="T3265" s="508">
        <f t="shared" si="2463"/>
        <v>0</v>
      </c>
      <c r="U3265" s="225">
        <f>IF(NOT(ISNUMBER(G3265)), "", VLOOKUP(A3265,'Discount Lookup'!D:E,2,FALSE)*G3265)</f>
        <v>0</v>
      </c>
      <c r="V3265" s="225">
        <f>IF(NOT(ISNUMBER(G3265)), "", VLOOKUP(A3265,'Discount Lookup'!G:H,2,FALSE)*G3265)</f>
        <v>0</v>
      </c>
      <c r="W3265" s="508">
        <f t="shared" si="2464"/>
        <v>0</v>
      </c>
      <c r="X3265" s="508">
        <f t="shared" si="2465"/>
        <v>0</v>
      </c>
      <c r="Y3265" s="509" t="b">
        <f t="shared" si="2466"/>
        <v>0</v>
      </c>
      <c r="Z3265" s="510">
        <f t="shared" si="2467"/>
        <v>0</v>
      </c>
      <c r="AA3265" s="511"/>
      <c r="AB3265" s="511" t="str">
        <f t="shared" si="2468"/>
        <v/>
      </c>
      <c r="AC3265" s="698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698"/>
      <c r="AE3265" s="631" t="str">
        <f t="shared" si="2469"/>
        <v/>
      </c>
      <c r="AF3265" s="699" t="str">
        <f t="shared" si="2470"/>
        <v/>
      </c>
      <c r="AG3265" s="699"/>
      <c r="AH3265" s="699"/>
      <c r="AI3265" s="512">
        <f>IF(H3265="credit",0,IF(AE3265="free",0,IF(AE3265="me",0,IF(G3265&gt;0,(VLOOKUP(A3265,'Discount Lookup'!J:K,2)*G3265),0))))</f>
        <v>0</v>
      </c>
      <c r="AJ3265" s="513" t="str">
        <f t="shared" ca="1" si="2471"/>
        <v/>
      </c>
      <c r="AK3265" s="700" t="str">
        <f t="shared" si="2472"/>
        <v/>
      </c>
      <c r="AL3265" s="700"/>
      <c r="AM3265" s="505" t="str">
        <f t="shared" si="2473"/>
        <v/>
      </c>
      <c r="AN3265" s="506"/>
      <c r="AO3265" s="507"/>
      <c r="AP3265" s="507"/>
      <c r="AQ3265" s="507"/>
      <c r="AR3265" s="507"/>
      <c r="AS3265" s="507"/>
      <c r="AT3265" s="507"/>
      <c r="AU3265" s="507"/>
      <c r="AV3265" s="225"/>
      <c r="AW3265" s="508"/>
      <c r="AX3265" s="225"/>
      <c r="AY3265" s="225"/>
      <c r="AZ3265" s="225"/>
      <c r="BA3265" s="225"/>
      <c r="BB3265" s="225"/>
      <c r="BC3265" s="56"/>
      <c r="BD3265" s="56"/>
      <c r="BE3265" s="56"/>
      <c r="BF3265" s="107" t="str">
        <f t="shared" si="2474"/>
        <v>https://www.google.com/search?tbm=isch&amp;q=3%20G1</v>
      </c>
      <c r="BG3265" s="107" t="str">
        <f t="shared" si="2475"/>
        <v>S</v>
      </c>
      <c r="BH3265" s="254"/>
      <c r="BI3265" s="254"/>
    </row>
    <row r="3266" spans="1:61" customFormat="1" ht="27" x14ac:dyDescent="0.25">
      <c r="A3266" s="485">
        <v>3</v>
      </c>
      <c r="B3266" s="486" t="s">
        <v>291</v>
      </c>
      <c r="C3266" s="487" t="s">
        <v>2800</v>
      </c>
      <c r="D3266" s="488" t="s">
        <v>299</v>
      </c>
      <c r="E3266" s="489">
        <v>36.950000000000003</v>
      </c>
      <c r="F3266" s="516" t="s">
        <v>293</v>
      </c>
      <c r="G3266" s="232">
        <v>0</v>
      </c>
      <c r="H3266" s="658" t="str">
        <f t="shared" si="2500"/>
        <v/>
      </c>
      <c r="I3266" s="490">
        <f t="shared" si="2501"/>
        <v>0</v>
      </c>
      <c r="J3266" s="490">
        <f t="shared" si="2502"/>
        <v>0</v>
      </c>
      <c r="K3266" s="695">
        <f t="shared" ref="K3266" si="2505">I3266+J3266</f>
        <v>0</v>
      </c>
      <c r="L3266" s="695"/>
      <c r="M3266" s="659" t="str">
        <f t="shared" si="2504"/>
        <v/>
      </c>
      <c r="N3266" s="660"/>
      <c r="O3266" s="233"/>
      <c r="P3266" s="233"/>
      <c r="Q3266" s="233"/>
      <c r="R3266" s="233"/>
      <c r="S3266" s="233"/>
      <c r="T3266" s="508">
        <f t="shared" si="2463"/>
        <v>0</v>
      </c>
      <c r="U3266" s="225">
        <f>IF(NOT(ISNUMBER(G3266)), "", VLOOKUP(A3266,'Discount Lookup'!D:E,2,FALSE)*G3266)</f>
        <v>0</v>
      </c>
      <c r="V3266" s="225">
        <f>IF(NOT(ISNUMBER(G3266)), "", VLOOKUP(A3266,'Discount Lookup'!G:H,2,FALSE)*G3266)</f>
        <v>0</v>
      </c>
      <c r="W3266" s="508">
        <f t="shared" si="2464"/>
        <v>0</v>
      </c>
      <c r="X3266" s="508">
        <f t="shared" si="2465"/>
        <v>0</v>
      </c>
      <c r="Y3266" s="509" t="b">
        <f t="shared" si="2466"/>
        <v>0</v>
      </c>
      <c r="Z3266" s="510">
        <f t="shared" si="2467"/>
        <v>0</v>
      </c>
      <c r="AA3266" s="511"/>
      <c r="AB3266" s="511" t="str">
        <f t="shared" si="2468"/>
        <v/>
      </c>
      <c r="AC3266" s="698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698"/>
      <c r="AE3266" s="631" t="str">
        <f t="shared" si="2469"/>
        <v/>
      </c>
      <c r="AF3266" s="699" t="str">
        <f t="shared" si="2470"/>
        <v/>
      </c>
      <c r="AG3266" s="699"/>
      <c r="AH3266" s="699"/>
      <c r="AI3266" s="512">
        <f>IF(H3266="credit",0,IF(AE3266="free",0,IF(AE3266="me",0,IF(G3266&gt;0,(VLOOKUP(A3266,'Discount Lookup'!J:K,2)*G3266),0))))</f>
        <v>0</v>
      </c>
      <c r="AJ3266" s="513" t="str">
        <f t="shared" ca="1" si="2471"/>
        <v/>
      </c>
      <c r="AK3266" s="700" t="str">
        <f t="shared" si="2472"/>
        <v/>
      </c>
      <c r="AL3266" s="700"/>
      <c r="AM3266" s="505" t="str">
        <f t="shared" si="2473"/>
        <v/>
      </c>
      <c r="AN3266" s="506"/>
      <c r="AO3266" s="507"/>
      <c r="AP3266" s="507"/>
      <c r="AQ3266" s="507"/>
      <c r="AR3266" s="507"/>
      <c r="AS3266" s="507"/>
      <c r="AT3266" s="507"/>
      <c r="AU3266" s="507"/>
      <c r="AV3266" s="225"/>
      <c r="AW3266" s="508"/>
      <c r="AX3266" s="225"/>
      <c r="AY3266" s="225"/>
      <c r="AZ3266" s="225"/>
      <c r="BA3266" s="225"/>
      <c r="BB3266" s="225"/>
      <c r="BC3266" s="56"/>
      <c r="BD3266" s="56"/>
      <c r="BE3266" s="56"/>
      <c r="BF3266" s="107" t="str">
        <f t="shared" si="2474"/>
        <v>https://www.google.com/search?tbm=isch&amp;q=3%20G5</v>
      </c>
      <c r="BG3266" s="107" t="str">
        <f t="shared" si="2475"/>
        <v>S</v>
      </c>
      <c r="BH3266" s="254"/>
      <c r="BI3266" s="254"/>
    </row>
    <row r="3267" spans="1:61" customFormat="1" ht="15.75" x14ac:dyDescent="0.25">
      <c r="A3267" s="485">
        <v>7</v>
      </c>
      <c r="B3267" s="486" t="s">
        <v>291</v>
      </c>
      <c r="C3267" s="487" t="s">
        <v>133</v>
      </c>
      <c r="D3267" s="488" t="s">
        <v>298</v>
      </c>
      <c r="E3267" s="489">
        <v>79.95</v>
      </c>
      <c r="F3267" s="516" t="s">
        <v>293</v>
      </c>
      <c r="G3267" s="232">
        <v>0</v>
      </c>
      <c r="H3267" s="658" t="str">
        <f t="shared" si="2500"/>
        <v/>
      </c>
      <c r="I3267" s="490">
        <f t="shared" si="2501"/>
        <v>0</v>
      </c>
      <c r="J3267" s="490">
        <f t="shared" si="2502"/>
        <v>0</v>
      </c>
      <c r="K3267" s="695">
        <f t="shared" ref="K3267" si="2506">I3267+J3267</f>
        <v>0</v>
      </c>
      <c r="L3267" s="695"/>
      <c r="M3267" s="659" t="str">
        <f t="shared" si="2504"/>
        <v/>
      </c>
      <c r="N3267" s="660"/>
      <c r="O3267" s="233"/>
      <c r="P3267" s="233"/>
      <c r="Q3267" s="233"/>
      <c r="R3267" s="233"/>
      <c r="S3267" s="233"/>
      <c r="T3267" s="508">
        <f t="shared" si="2463"/>
        <v>0</v>
      </c>
      <c r="U3267" s="225">
        <f>IF(NOT(ISNUMBER(G3267)), "", VLOOKUP(A3267,'Discount Lookup'!D:E,2,FALSE)*G3267)</f>
        <v>0</v>
      </c>
      <c r="V3267" s="225">
        <f>IF(NOT(ISNUMBER(G3267)), "", VLOOKUP(A3267,'Discount Lookup'!G:H,2,FALSE)*G3267)</f>
        <v>0</v>
      </c>
      <c r="W3267" s="508">
        <f t="shared" si="2464"/>
        <v>0</v>
      </c>
      <c r="X3267" s="508">
        <f t="shared" si="2465"/>
        <v>0</v>
      </c>
      <c r="Y3267" s="509" t="b">
        <f t="shared" si="2466"/>
        <v>0</v>
      </c>
      <c r="Z3267" s="510">
        <f t="shared" si="2467"/>
        <v>0</v>
      </c>
      <c r="AA3267" s="511"/>
      <c r="AB3267" s="511" t="str">
        <f t="shared" si="2468"/>
        <v/>
      </c>
      <c r="AC3267" s="698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698"/>
      <c r="AE3267" s="631" t="str">
        <f t="shared" si="2469"/>
        <v/>
      </c>
      <c r="AF3267" s="699" t="str">
        <f t="shared" si="2470"/>
        <v/>
      </c>
      <c r="AG3267" s="699"/>
      <c r="AH3267" s="699"/>
      <c r="AI3267" s="512">
        <f>IF(H3267="credit",0,IF(AE3267="free",0,IF(AE3267="me",0,IF(G3267&gt;0,(VLOOKUP(A3267,'Discount Lookup'!J:K,2)*G3267),0))))</f>
        <v>0</v>
      </c>
      <c r="AJ3267" s="513" t="str">
        <f t="shared" ca="1" si="2471"/>
        <v/>
      </c>
      <c r="AK3267" s="700" t="str">
        <f t="shared" si="2472"/>
        <v/>
      </c>
      <c r="AL3267" s="700"/>
      <c r="AM3267" s="505" t="str">
        <f t="shared" si="2473"/>
        <v/>
      </c>
      <c r="AN3267" s="506"/>
      <c r="AO3267" s="507"/>
      <c r="AP3267" s="507"/>
      <c r="AQ3267" s="507"/>
      <c r="AR3267" s="507"/>
      <c r="AS3267" s="507"/>
      <c r="AT3267" s="507"/>
      <c r="AU3267" s="507"/>
      <c r="AV3267" s="225"/>
      <c r="AW3267" s="508"/>
      <c r="AX3267" s="225"/>
      <c r="AY3267" s="225"/>
      <c r="AZ3267" s="225"/>
      <c r="BA3267" s="225"/>
      <c r="BB3267" s="225"/>
      <c r="BC3267" s="56"/>
      <c r="BD3267" s="56"/>
      <c r="BE3267" s="56"/>
      <c r="BF3267" s="107" t="str">
        <f t="shared" si="2474"/>
        <v>https://www.google.com/search?tbm=isch&amp;q=7%20G1</v>
      </c>
      <c r="BG3267" s="107" t="str">
        <f t="shared" si="2475"/>
        <v>S</v>
      </c>
      <c r="BH3267" s="254"/>
      <c r="BI3267" s="254"/>
    </row>
    <row r="3268" spans="1:61" customFormat="1" ht="27" x14ac:dyDescent="0.25">
      <c r="A3268" s="485">
        <v>7</v>
      </c>
      <c r="B3268" s="486" t="s">
        <v>291</v>
      </c>
      <c r="C3268" s="487" t="s">
        <v>3753</v>
      </c>
      <c r="D3268" s="488" t="s">
        <v>292</v>
      </c>
      <c r="E3268" s="489">
        <v>86.95</v>
      </c>
      <c r="F3268" s="516" t="s">
        <v>293</v>
      </c>
      <c r="G3268" s="232">
        <v>0</v>
      </c>
      <c r="H3268" s="658" t="str">
        <f t="shared" si="2500"/>
        <v/>
      </c>
      <c r="I3268" s="490">
        <f t="shared" si="2501"/>
        <v>0</v>
      </c>
      <c r="J3268" s="490">
        <f t="shared" si="2502"/>
        <v>0</v>
      </c>
      <c r="K3268" s="695">
        <f t="shared" ref="K3268" si="2507">I3268+J3268</f>
        <v>0</v>
      </c>
      <c r="L3268" s="695"/>
      <c r="M3268" s="659" t="str">
        <f t="shared" si="2504"/>
        <v/>
      </c>
      <c r="N3268" s="660"/>
      <c r="O3268" s="233"/>
      <c r="P3268" s="233"/>
      <c r="Q3268" s="233"/>
      <c r="R3268" s="233"/>
      <c r="S3268" s="233"/>
      <c r="T3268" s="508">
        <f t="shared" si="2463"/>
        <v>0</v>
      </c>
      <c r="U3268" s="225">
        <f>IF(NOT(ISNUMBER(G3268)), "", VLOOKUP(A3268,'Discount Lookup'!D:E,2,FALSE)*G3268)</f>
        <v>0</v>
      </c>
      <c r="V3268" s="225">
        <f>IF(NOT(ISNUMBER(G3268)), "", VLOOKUP(A3268,'Discount Lookup'!G:H,2,FALSE)*G3268)</f>
        <v>0</v>
      </c>
      <c r="W3268" s="508">
        <f t="shared" si="2464"/>
        <v>0</v>
      </c>
      <c r="X3268" s="508">
        <f t="shared" si="2465"/>
        <v>0</v>
      </c>
      <c r="Y3268" s="509" t="b">
        <f t="shared" si="2466"/>
        <v>0</v>
      </c>
      <c r="Z3268" s="510">
        <f t="shared" si="2467"/>
        <v>0</v>
      </c>
      <c r="AA3268" s="511"/>
      <c r="AB3268" s="511" t="str">
        <f t="shared" si="2468"/>
        <v/>
      </c>
      <c r="AC3268" s="698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698"/>
      <c r="AE3268" s="631" t="str">
        <f t="shared" si="2469"/>
        <v/>
      </c>
      <c r="AF3268" s="699" t="str">
        <f t="shared" si="2470"/>
        <v/>
      </c>
      <c r="AG3268" s="699"/>
      <c r="AH3268" s="699"/>
      <c r="AI3268" s="512">
        <f>IF(H3268="credit",0,IF(AE3268="free",0,IF(AE3268="me",0,IF(G3268&gt;0,(VLOOKUP(A3268,'Discount Lookup'!J:K,2)*G3268),0))))</f>
        <v>0</v>
      </c>
      <c r="AJ3268" s="513" t="str">
        <f t="shared" ca="1" si="2471"/>
        <v/>
      </c>
      <c r="AK3268" s="700" t="str">
        <f t="shared" si="2472"/>
        <v/>
      </c>
      <c r="AL3268" s="700"/>
      <c r="AM3268" s="505" t="str">
        <f t="shared" si="2473"/>
        <v/>
      </c>
      <c r="AN3268" s="506"/>
      <c r="AO3268" s="507"/>
      <c r="AP3268" s="507"/>
      <c r="AQ3268" s="507"/>
      <c r="AR3268" s="507"/>
      <c r="AS3268" s="507"/>
      <c r="AT3268" s="507"/>
      <c r="AU3268" s="507"/>
      <c r="AV3268" s="225"/>
      <c r="AW3268" s="508"/>
      <c r="AX3268" s="225"/>
      <c r="AY3268" s="225"/>
      <c r="AZ3268" s="225"/>
      <c r="BA3268" s="225"/>
      <c r="BB3268" s="225"/>
      <c r="BC3268" s="56"/>
      <c r="BD3268" s="56"/>
      <c r="BE3268" s="56"/>
      <c r="BF3268" s="107" t="str">
        <f t="shared" si="2474"/>
        <v>https://www.google.com/search?tbm=isch&amp;q=7%20G4</v>
      </c>
      <c r="BG3268" s="107" t="str">
        <f t="shared" si="2475"/>
        <v>S</v>
      </c>
      <c r="BH3268" s="254"/>
      <c r="BI3268" s="254"/>
    </row>
    <row r="3269" spans="1:61" customFormat="1" ht="27" x14ac:dyDescent="0.25">
      <c r="A3269" s="485">
        <v>7</v>
      </c>
      <c r="B3269" s="486" t="s">
        <v>291</v>
      </c>
      <c r="C3269" s="487" t="s">
        <v>2801</v>
      </c>
      <c r="D3269" s="488" t="s">
        <v>299</v>
      </c>
      <c r="E3269" s="489">
        <v>91.95</v>
      </c>
      <c r="F3269" s="516" t="s">
        <v>293</v>
      </c>
      <c r="G3269" s="232">
        <v>0</v>
      </c>
      <c r="H3269" s="658" t="str">
        <f t="shared" si="2500"/>
        <v/>
      </c>
      <c r="I3269" s="490">
        <f t="shared" si="2501"/>
        <v>0</v>
      </c>
      <c r="J3269" s="490">
        <f t="shared" si="2502"/>
        <v>0</v>
      </c>
      <c r="K3269" s="695">
        <f t="shared" ref="K3269" si="2508">I3269+J3269</f>
        <v>0</v>
      </c>
      <c r="L3269" s="695"/>
      <c r="M3269" s="659" t="str">
        <f t="shared" si="2504"/>
        <v/>
      </c>
      <c r="N3269" s="660"/>
      <c r="O3269" s="233"/>
      <c r="P3269" s="233"/>
      <c r="Q3269" s="233"/>
      <c r="R3269" s="233"/>
      <c r="S3269" s="233"/>
      <c r="T3269" s="508">
        <f t="shared" si="2463"/>
        <v>0</v>
      </c>
      <c r="U3269" s="225">
        <f>IF(NOT(ISNUMBER(G3269)), "", VLOOKUP(A3269,'Discount Lookup'!D:E,2,FALSE)*G3269)</f>
        <v>0</v>
      </c>
      <c r="V3269" s="225">
        <f>IF(NOT(ISNUMBER(G3269)), "", VLOOKUP(A3269,'Discount Lookup'!G:H,2,FALSE)*G3269)</f>
        <v>0</v>
      </c>
      <c r="W3269" s="508">
        <f t="shared" si="2464"/>
        <v>0</v>
      </c>
      <c r="X3269" s="508">
        <f t="shared" si="2465"/>
        <v>0</v>
      </c>
      <c r="Y3269" s="509" t="b">
        <f t="shared" si="2466"/>
        <v>0</v>
      </c>
      <c r="Z3269" s="510">
        <f t="shared" si="2467"/>
        <v>0</v>
      </c>
      <c r="AA3269" s="511"/>
      <c r="AB3269" s="511" t="str">
        <f t="shared" si="2468"/>
        <v/>
      </c>
      <c r="AC3269" s="698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698"/>
      <c r="AE3269" s="631" t="str">
        <f t="shared" si="2469"/>
        <v/>
      </c>
      <c r="AF3269" s="699" t="str">
        <f t="shared" si="2470"/>
        <v/>
      </c>
      <c r="AG3269" s="699"/>
      <c r="AH3269" s="699"/>
      <c r="AI3269" s="512">
        <f>IF(H3269="credit",0,IF(AE3269="free",0,IF(AE3269="me",0,IF(G3269&gt;0,(VLOOKUP(A3269,'Discount Lookup'!J:K,2)*G3269),0))))</f>
        <v>0</v>
      </c>
      <c r="AJ3269" s="513" t="str">
        <f t="shared" ca="1" si="2471"/>
        <v/>
      </c>
      <c r="AK3269" s="700" t="str">
        <f t="shared" si="2472"/>
        <v/>
      </c>
      <c r="AL3269" s="700"/>
      <c r="AM3269" s="505" t="str">
        <f t="shared" si="2473"/>
        <v/>
      </c>
      <c r="AN3269" s="506"/>
      <c r="AO3269" s="507"/>
      <c r="AP3269" s="507"/>
      <c r="AQ3269" s="507"/>
      <c r="AR3269" s="507"/>
      <c r="AS3269" s="507"/>
      <c r="AT3269" s="507"/>
      <c r="AU3269" s="507"/>
      <c r="AV3269" s="225"/>
      <c r="AW3269" s="508"/>
      <c r="AX3269" s="225"/>
      <c r="AY3269" s="225"/>
      <c r="AZ3269" s="225"/>
      <c r="BA3269" s="225"/>
      <c r="BB3269" s="225"/>
      <c r="BC3269" s="56"/>
      <c r="BD3269" s="56"/>
      <c r="BE3269" s="56"/>
      <c r="BF3269" s="107" t="str">
        <f t="shared" si="2474"/>
        <v>https://www.google.com/search?tbm=isch&amp;q=7%20G5</v>
      </c>
      <c r="BG3269" s="107" t="str">
        <f t="shared" si="2475"/>
        <v>S</v>
      </c>
      <c r="BH3269" s="254"/>
      <c r="BI3269" s="254"/>
    </row>
    <row r="3270" spans="1:61" customFormat="1" ht="15.75" x14ac:dyDescent="0.25">
      <c r="A3270" s="485">
        <v>7</v>
      </c>
      <c r="B3270" s="486" t="s">
        <v>291</v>
      </c>
      <c r="C3270" s="487" t="s">
        <v>4022</v>
      </c>
      <c r="D3270" s="488" t="s">
        <v>300</v>
      </c>
      <c r="E3270" s="489">
        <v>111.95</v>
      </c>
      <c r="F3270" s="516" t="s">
        <v>293</v>
      </c>
      <c r="G3270" s="232">
        <v>0</v>
      </c>
      <c r="H3270" s="658" t="str">
        <f t="shared" si="2500"/>
        <v/>
      </c>
      <c r="I3270" s="490">
        <f t="shared" si="2501"/>
        <v>0</v>
      </c>
      <c r="J3270" s="490">
        <f t="shared" si="2502"/>
        <v>0</v>
      </c>
      <c r="K3270" s="695">
        <f t="shared" ref="K3270" si="2509">I3270+J3270</f>
        <v>0</v>
      </c>
      <c r="L3270" s="695"/>
      <c r="M3270" s="659" t="str">
        <f t="shared" si="2504"/>
        <v/>
      </c>
      <c r="N3270" s="660"/>
      <c r="O3270" s="233"/>
      <c r="P3270" s="233"/>
      <c r="Q3270" s="233"/>
      <c r="R3270" s="233"/>
      <c r="S3270" s="233"/>
      <c r="T3270" s="508">
        <f t="shared" si="2463"/>
        <v>0</v>
      </c>
      <c r="U3270" s="225">
        <f>IF(NOT(ISNUMBER(G3270)), "", VLOOKUP(A3270,'Discount Lookup'!D:E,2,FALSE)*G3270)</f>
        <v>0</v>
      </c>
      <c r="V3270" s="225">
        <f>IF(NOT(ISNUMBER(G3270)), "", VLOOKUP(A3270,'Discount Lookup'!G:H,2,FALSE)*G3270)</f>
        <v>0</v>
      </c>
      <c r="W3270" s="508">
        <f t="shared" si="2464"/>
        <v>0</v>
      </c>
      <c r="X3270" s="508">
        <f t="shared" si="2465"/>
        <v>0</v>
      </c>
      <c r="Y3270" s="509" t="b">
        <f t="shared" si="2466"/>
        <v>0</v>
      </c>
      <c r="Z3270" s="510">
        <f t="shared" si="2467"/>
        <v>0</v>
      </c>
      <c r="AA3270" s="511"/>
      <c r="AB3270" s="511" t="str">
        <f t="shared" si="2468"/>
        <v/>
      </c>
      <c r="AC3270" s="698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698"/>
      <c r="AE3270" s="631" t="str">
        <f t="shared" si="2469"/>
        <v/>
      </c>
      <c r="AF3270" s="699" t="str">
        <f t="shared" si="2470"/>
        <v/>
      </c>
      <c r="AG3270" s="699"/>
      <c r="AH3270" s="699"/>
      <c r="AI3270" s="512">
        <f>IF(H3270="credit",0,IF(AE3270="free",0,IF(AE3270="me",0,IF(G3270&gt;0,(VLOOKUP(A3270,'Discount Lookup'!J:K,2)*G3270),0))))</f>
        <v>0</v>
      </c>
      <c r="AJ3270" s="513" t="str">
        <f t="shared" ca="1" si="2471"/>
        <v/>
      </c>
      <c r="AK3270" s="700" t="str">
        <f t="shared" si="2472"/>
        <v/>
      </c>
      <c r="AL3270" s="700"/>
      <c r="AM3270" s="505" t="str">
        <f t="shared" si="2473"/>
        <v/>
      </c>
      <c r="AN3270" s="506"/>
      <c r="AO3270" s="507"/>
      <c r="AP3270" s="507"/>
      <c r="AQ3270" s="507"/>
      <c r="AR3270" s="507"/>
      <c r="AS3270" s="507"/>
      <c r="AT3270" s="507"/>
      <c r="AU3270" s="507"/>
      <c r="AV3270" s="225"/>
      <c r="AW3270" s="508"/>
      <c r="AX3270" s="225"/>
      <c r="AY3270" s="225"/>
      <c r="AZ3270" s="225"/>
      <c r="BA3270" s="225"/>
      <c r="BB3270" s="225"/>
      <c r="BC3270" s="56"/>
      <c r="BD3270" s="56"/>
      <c r="BE3270" s="56"/>
      <c r="BF3270" s="107" t="str">
        <f t="shared" si="2474"/>
        <v>https://www.google.com/search?tbm=isch&amp;q=7%20G6</v>
      </c>
      <c r="BG3270" s="107" t="str">
        <f t="shared" si="2475"/>
        <v>S</v>
      </c>
      <c r="BH3270" s="254"/>
      <c r="BI3270" s="254"/>
    </row>
    <row r="3271" spans="1:61" customFormat="1" ht="15.75" x14ac:dyDescent="0.25">
      <c r="A3271" s="485">
        <v>7</v>
      </c>
      <c r="B3271" s="486" t="s">
        <v>291</v>
      </c>
      <c r="C3271" s="487" t="s">
        <v>3754</v>
      </c>
      <c r="D3271" s="488" t="s">
        <v>292</v>
      </c>
      <c r="E3271" s="489">
        <v>114.95</v>
      </c>
      <c r="F3271" s="516" t="s">
        <v>293</v>
      </c>
      <c r="G3271" s="232">
        <v>0</v>
      </c>
      <c r="H3271" s="658" t="str">
        <f t="shared" si="2500"/>
        <v/>
      </c>
      <c r="I3271" s="490">
        <f t="shared" si="2501"/>
        <v>0</v>
      </c>
      <c r="J3271" s="490">
        <f t="shared" si="2502"/>
        <v>0</v>
      </c>
      <c r="K3271" s="695">
        <f t="shared" ref="K3271" si="2510">I3271+J3271</f>
        <v>0</v>
      </c>
      <c r="L3271" s="695"/>
      <c r="M3271" s="659" t="str">
        <f t="shared" si="2504"/>
        <v/>
      </c>
      <c r="N3271" s="660"/>
      <c r="O3271" s="233"/>
      <c r="P3271" s="233"/>
      <c r="Q3271" s="233"/>
      <c r="R3271" s="233"/>
      <c r="S3271" s="233"/>
      <c r="T3271" s="508">
        <f t="shared" si="2463"/>
        <v>0</v>
      </c>
      <c r="U3271" s="225">
        <f>IF(NOT(ISNUMBER(G3271)), "", VLOOKUP(A3271,'Discount Lookup'!D:E,2,FALSE)*G3271)</f>
        <v>0</v>
      </c>
      <c r="V3271" s="225">
        <f>IF(NOT(ISNUMBER(G3271)), "", VLOOKUP(A3271,'Discount Lookup'!G:H,2,FALSE)*G3271)</f>
        <v>0</v>
      </c>
      <c r="W3271" s="508">
        <f t="shared" si="2464"/>
        <v>0</v>
      </c>
      <c r="X3271" s="508">
        <f t="shared" si="2465"/>
        <v>0</v>
      </c>
      <c r="Y3271" s="509" t="b">
        <f t="shared" si="2466"/>
        <v>0</v>
      </c>
      <c r="Z3271" s="510">
        <f t="shared" si="2467"/>
        <v>0</v>
      </c>
      <c r="AA3271" s="511"/>
      <c r="AB3271" s="511" t="str">
        <f t="shared" si="2468"/>
        <v/>
      </c>
      <c r="AC3271" s="698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698"/>
      <c r="AE3271" s="631" t="str">
        <f t="shared" si="2469"/>
        <v/>
      </c>
      <c r="AF3271" s="699" t="str">
        <f t="shared" si="2470"/>
        <v/>
      </c>
      <c r="AG3271" s="699"/>
      <c r="AH3271" s="699"/>
      <c r="AI3271" s="512">
        <f>IF(H3271="credit",0,IF(AE3271="free",0,IF(AE3271="me",0,IF(G3271&gt;0,(VLOOKUP(A3271,'Discount Lookup'!J:K,2)*G3271),0))))</f>
        <v>0</v>
      </c>
      <c r="AJ3271" s="513" t="str">
        <f t="shared" ca="1" si="2471"/>
        <v/>
      </c>
      <c r="AK3271" s="700" t="str">
        <f t="shared" si="2472"/>
        <v/>
      </c>
      <c r="AL3271" s="700"/>
      <c r="AM3271" s="505" t="str">
        <f t="shared" si="2473"/>
        <v/>
      </c>
      <c r="AN3271" s="506"/>
      <c r="AO3271" s="507"/>
      <c r="AP3271" s="507"/>
      <c r="AQ3271" s="507"/>
      <c r="AR3271" s="507"/>
      <c r="AS3271" s="507"/>
      <c r="AT3271" s="507"/>
      <c r="AU3271" s="507"/>
      <c r="AV3271" s="225"/>
      <c r="AW3271" s="508"/>
      <c r="AX3271" s="225"/>
      <c r="AY3271" s="225"/>
      <c r="AZ3271" s="225"/>
      <c r="BA3271" s="225"/>
      <c r="BB3271" s="225"/>
      <c r="BC3271" s="56"/>
      <c r="BD3271" s="56"/>
      <c r="BE3271" s="56"/>
      <c r="BF3271" s="107" t="str">
        <f t="shared" si="2474"/>
        <v>https://www.google.com/search?tbm=isch&amp;q=7%20G4</v>
      </c>
      <c r="BG3271" s="107" t="str">
        <f t="shared" si="2475"/>
        <v>S</v>
      </c>
      <c r="BH3271" s="254"/>
      <c r="BI3271" s="254"/>
    </row>
    <row r="3272" spans="1:61" customFormat="1" ht="27" x14ac:dyDescent="0.25">
      <c r="A3272" s="485">
        <v>7</v>
      </c>
      <c r="B3272" s="486" t="s">
        <v>291</v>
      </c>
      <c r="C3272" s="487" t="s">
        <v>2802</v>
      </c>
      <c r="D3272" s="488" t="s">
        <v>299</v>
      </c>
      <c r="E3272" s="489">
        <v>137.94999999999999</v>
      </c>
      <c r="F3272" s="516" t="s">
        <v>293</v>
      </c>
      <c r="G3272" s="232">
        <v>0</v>
      </c>
      <c r="H3272" s="658" t="str">
        <f t="shared" si="2500"/>
        <v/>
      </c>
      <c r="I3272" s="490">
        <f t="shared" si="2501"/>
        <v>0</v>
      </c>
      <c r="J3272" s="490">
        <f t="shared" si="2502"/>
        <v>0</v>
      </c>
      <c r="K3272" s="695">
        <f t="shared" ref="K3272" si="2511">I3272+J3272</f>
        <v>0</v>
      </c>
      <c r="L3272" s="695"/>
      <c r="M3272" s="659" t="str">
        <f t="shared" si="2504"/>
        <v/>
      </c>
      <c r="N3272" s="660"/>
      <c r="O3272" s="233"/>
      <c r="P3272" s="233"/>
      <c r="Q3272" s="233"/>
      <c r="R3272" s="233"/>
      <c r="S3272" s="233"/>
      <c r="T3272" s="508">
        <f t="shared" si="2463"/>
        <v>0</v>
      </c>
      <c r="U3272" s="225">
        <f>IF(NOT(ISNUMBER(G3272)), "", VLOOKUP(A3272,'Discount Lookup'!D:E,2,FALSE)*G3272)</f>
        <v>0</v>
      </c>
      <c r="V3272" s="225">
        <f>IF(NOT(ISNUMBER(G3272)), "", VLOOKUP(A3272,'Discount Lookup'!G:H,2,FALSE)*G3272)</f>
        <v>0</v>
      </c>
      <c r="W3272" s="508">
        <f t="shared" si="2464"/>
        <v>0</v>
      </c>
      <c r="X3272" s="508">
        <f t="shared" si="2465"/>
        <v>0</v>
      </c>
      <c r="Y3272" s="509" t="b">
        <f t="shared" si="2466"/>
        <v>0</v>
      </c>
      <c r="Z3272" s="510">
        <f t="shared" si="2467"/>
        <v>0</v>
      </c>
      <c r="AA3272" s="511"/>
      <c r="AB3272" s="511" t="str">
        <f t="shared" si="2468"/>
        <v/>
      </c>
      <c r="AC3272" s="698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698"/>
      <c r="AE3272" s="631" t="str">
        <f t="shared" si="2469"/>
        <v/>
      </c>
      <c r="AF3272" s="699" t="str">
        <f t="shared" si="2470"/>
        <v/>
      </c>
      <c r="AG3272" s="699"/>
      <c r="AH3272" s="699"/>
      <c r="AI3272" s="512">
        <f>IF(H3272="credit",0,IF(AE3272="free",0,IF(AE3272="me",0,IF(G3272&gt;0,(VLOOKUP(A3272,'Discount Lookup'!J:K,2)*G3272),0))))</f>
        <v>0</v>
      </c>
      <c r="AJ3272" s="513" t="str">
        <f t="shared" ca="1" si="2471"/>
        <v/>
      </c>
      <c r="AK3272" s="700" t="str">
        <f t="shared" si="2472"/>
        <v/>
      </c>
      <c r="AL3272" s="700"/>
      <c r="AM3272" s="505" t="str">
        <f t="shared" si="2473"/>
        <v/>
      </c>
      <c r="AN3272" s="506"/>
      <c r="AO3272" s="507"/>
      <c r="AP3272" s="507"/>
      <c r="AQ3272" s="507"/>
      <c r="AR3272" s="507"/>
      <c r="AS3272" s="507"/>
      <c r="AT3272" s="507"/>
      <c r="AU3272" s="507"/>
      <c r="AV3272" s="225"/>
      <c r="AW3272" s="508"/>
      <c r="AX3272" s="225"/>
      <c r="AY3272" s="225"/>
      <c r="AZ3272" s="225"/>
      <c r="BA3272" s="225"/>
      <c r="BB3272" s="225"/>
      <c r="BC3272" s="56"/>
      <c r="BD3272" s="56"/>
      <c r="BE3272" s="56"/>
      <c r="BF3272" s="107" t="str">
        <f t="shared" si="2474"/>
        <v>https://www.google.com/search?tbm=isch&amp;q=7%20G5</v>
      </c>
      <c r="BG3272" s="107" t="str">
        <f t="shared" si="2475"/>
        <v>S</v>
      </c>
      <c r="BH3272" s="254"/>
      <c r="BI3272" s="254"/>
    </row>
    <row r="3273" spans="1:61" customFormat="1" ht="15.75" x14ac:dyDescent="0.25">
      <c r="A3273" s="485">
        <v>15</v>
      </c>
      <c r="B3273" s="486" t="s">
        <v>291</v>
      </c>
      <c r="C3273" s="487" t="s">
        <v>1700</v>
      </c>
      <c r="D3273" s="488" t="s">
        <v>300</v>
      </c>
      <c r="E3273" s="489">
        <v>158.94999999999999</v>
      </c>
      <c r="F3273" s="516" t="s">
        <v>293</v>
      </c>
      <c r="G3273" s="232">
        <v>0</v>
      </c>
      <c r="H3273" s="658" t="str">
        <f t="shared" si="2500"/>
        <v/>
      </c>
      <c r="I3273" s="490">
        <f t="shared" si="2501"/>
        <v>0</v>
      </c>
      <c r="J3273" s="490">
        <f t="shared" si="2502"/>
        <v>0</v>
      </c>
      <c r="K3273" s="695">
        <f t="shared" ref="K3273" si="2512">I3273+J3273</f>
        <v>0</v>
      </c>
      <c r="L3273" s="695"/>
      <c r="M3273" s="659" t="str">
        <f t="shared" si="2504"/>
        <v/>
      </c>
      <c r="N3273" s="660"/>
      <c r="O3273" s="233"/>
      <c r="P3273" s="233"/>
      <c r="Q3273" s="233"/>
      <c r="R3273" s="233"/>
      <c r="S3273" s="233"/>
      <c r="T3273" s="508">
        <f t="shared" si="2463"/>
        <v>0</v>
      </c>
      <c r="U3273" s="225">
        <f>IF(NOT(ISNUMBER(G3273)), "", VLOOKUP(A3273,'Discount Lookup'!D:E,2,FALSE)*G3273)</f>
        <v>0</v>
      </c>
      <c r="V3273" s="225">
        <f>IF(NOT(ISNUMBER(G3273)), "", VLOOKUP(A3273,'Discount Lookup'!G:H,2,FALSE)*G3273)</f>
        <v>0</v>
      </c>
      <c r="W3273" s="508">
        <f t="shared" si="2464"/>
        <v>0</v>
      </c>
      <c r="X3273" s="508">
        <f t="shared" si="2465"/>
        <v>0</v>
      </c>
      <c r="Y3273" s="509" t="b">
        <f t="shared" si="2466"/>
        <v>0</v>
      </c>
      <c r="Z3273" s="510">
        <f t="shared" si="2467"/>
        <v>0</v>
      </c>
      <c r="AA3273" s="511"/>
      <c r="AB3273" s="511" t="str">
        <f t="shared" si="2468"/>
        <v/>
      </c>
      <c r="AC3273" s="698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698"/>
      <c r="AE3273" s="631" t="str">
        <f t="shared" si="2469"/>
        <v/>
      </c>
      <c r="AF3273" s="699" t="str">
        <f t="shared" si="2470"/>
        <v/>
      </c>
      <c r="AG3273" s="699"/>
      <c r="AH3273" s="699"/>
      <c r="AI3273" s="512">
        <f>IF(H3273="credit",0,IF(AE3273="free",0,IF(AE3273="me",0,IF(G3273&gt;0,(VLOOKUP(A3273,'Discount Lookup'!J:K,2)*G3273),0))))</f>
        <v>0</v>
      </c>
      <c r="AJ3273" s="513" t="str">
        <f t="shared" ca="1" si="2471"/>
        <v/>
      </c>
      <c r="AK3273" s="700" t="str">
        <f t="shared" si="2472"/>
        <v/>
      </c>
      <c r="AL3273" s="700"/>
      <c r="AM3273" s="505" t="str">
        <f t="shared" si="2473"/>
        <v/>
      </c>
      <c r="AN3273" s="506"/>
      <c r="AO3273" s="507"/>
      <c r="AP3273" s="507"/>
      <c r="AQ3273" s="507"/>
      <c r="AR3273" s="507"/>
      <c r="AS3273" s="507"/>
      <c r="AT3273" s="507"/>
      <c r="AU3273" s="507"/>
      <c r="AV3273" s="225"/>
      <c r="AW3273" s="508"/>
      <c r="AX3273" s="225"/>
      <c r="AY3273" s="225"/>
      <c r="AZ3273" s="225"/>
      <c r="BA3273" s="225"/>
      <c r="BB3273" s="225"/>
      <c r="BC3273" s="56"/>
      <c r="BD3273" s="56"/>
      <c r="BE3273" s="56"/>
      <c r="BF3273" s="107" t="str">
        <f t="shared" si="2474"/>
        <v>https://www.google.com/search?tbm=isch&amp;q=15%20G6</v>
      </c>
      <c r="BG3273" s="107" t="str">
        <f t="shared" si="2475"/>
        <v>S</v>
      </c>
      <c r="BH3273" s="254"/>
      <c r="BI3273" s="254"/>
    </row>
    <row r="3274" spans="1:61" customFormat="1" ht="15.75" x14ac:dyDescent="0.25">
      <c r="A3274" s="485">
        <v>15</v>
      </c>
      <c r="B3274" s="486" t="s">
        <v>291</v>
      </c>
      <c r="C3274" s="487" t="s">
        <v>3755</v>
      </c>
      <c r="D3274" s="488" t="s">
        <v>292</v>
      </c>
      <c r="E3274" s="489">
        <v>183.95</v>
      </c>
      <c r="F3274" s="516" t="s">
        <v>293</v>
      </c>
      <c r="G3274" s="232">
        <v>0</v>
      </c>
      <c r="H3274" s="658" t="str">
        <f t="shared" si="2500"/>
        <v/>
      </c>
      <c r="I3274" s="490">
        <f t="shared" si="2501"/>
        <v>0</v>
      </c>
      <c r="J3274" s="490">
        <f t="shared" si="2502"/>
        <v>0</v>
      </c>
      <c r="K3274" s="695">
        <f t="shared" ref="K3274" si="2513">I3274+J3274</f>
        <v>0</v>
      </c>
      <c r="L3274" s="695"/>
      <c r="M3274" s="659" t="str">
        <f t="shared" si="2504"/>
        <v/>
      </c>
      <c r="N3274" s="660"/>
      <c r="O3274" s="233"/>
      <c r="P3274" s="233"/>
      <c r="Q3274" s="233"/>
      <c r="R3274" s="233"/>
      <c r="S3274" s="233"/>
      <c r="T3274" s="508">
        <f t="shared" si="2463"/>
        <v>0</v>
      </c>
      <c r="U3274" s="225">
        <f>IF(NOT(ISNUMBER(G3274)), "", VLOOKUP(A3274,'Discount Lookup'!D:E,2,FALSE)*G3274)</f>
        <v>0</v>
      </c>
      <c r="V3274" s="225">
        <f>IF(NOT(ISNUMBER(G3274)), "", VLOOKUP(A3274,'Discount Lookup'!G:H,2,FALSE)*G3274)</f>
        <v>0</v>
      </c>
      <c r="W3274" s="508">
        <f t="shared" si="2464"/>
        <v>0</v>
      </c>
      <c r="X3274" s="508">
        <f t="shared" si="2465"/>
        <v>0</v>
      </c>
      <c r="Y3274" s="509" t="b">
        <f t="shared" si="2466"/>
        <v>0</v>
      </c>
      <c r="Z3274" s="510">
        <f t="shared" si="2467"/>
        <v>0</v>
      </c>
      <c r="AA3274" s="511"/>
      <c r="AB3274" s="511" t="str">
        <f t="shared" si="2468"/>
        <v/>
      </c>
      <c r="AC3274" s="698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698"/>
      <c r="AE3274" s="631" t="str">
        <f t="shared" si="2469"/>
        <v/>
      </c>
      <c r="AF3274" s="699" t="str">
        <f t="shared" si="2470"/>
        <v/>
      </c>
      <c r="AG3274" s="699"/>
      <c r="AH3274" s="699"/>
      <c r="AI3274" s="512">
        <f>IF(H3274="credit",0,IF(AE3274="free",0,IF(AE3274="me",0,IF(G3274&gt;0,(VLOOKUP(A3274,'Discount Lookup'!J:K,2)*G3274),0))))</f>
        <v>0</v>
      </c>
      <c r="AJ3274" s="513" t="str">
        <f t="shared" ca="1" si="2471"/>
        <v/>
      </c>
      <c r="AK3274" s="700" t="str">
        <f t="shared" si="2472"/>
        <v/>
      </c>
      <c r="AL3274" s="700"/>
      <c r="AM3274" s="505" t="str">
        <f t="shared" si="2473"/>
        <v/>
      </c>
      <c r="AN3274" s="506"/>
      <c r="AO3274" s="507"/>
      <c r="AP3274" s="507"/>
      <c r="AQ3274" s="507"/>
      <c r="AR3274" s="507"/>
      <c r="AS3274" s="507"/>
      <c r="AT3274" s="507"/>
      <c r="AU3274" s="507"/>
      <c r="AV3274" s="225"/>
      <c r="AW3274" s="508"/>
      <c r="AX3274" s="225"/>
      <c r="AY3274" s="225"/>
      <c r="AZ3274" s="225"/>
      <c r="BA3274" s="225"/>
      <c r="BB3274" s="225"/>
      <c r="BC3274" s="56"/>
      <c r="BD3274" s="56"/>
      <c r="BE3274" s="56"/>
      <c r="BF3274" s="107" t="str">
        <f t="shared" si="2474"/>
        <v>https://www.google.com/search?tbm=isch&amp;q=15%20G4</v>
      </c>
      <c r="BG3274" s="107" t="str">
        <f t="shared" si="2475"/>
        <v>S</v>
      </c>
      <c r="BH3274" s="254"/>
      <c r="BI3274" s="254"/>
    </row>
    <row r="3275" spans="1:61" customFormat="1" ht="27" x14ac:dyDescent="0.25">
      <c r="A3275" s="485">
        <v>15</v>
      </c>
      <c r="B3275" s="486" t="s">
        <v>291</v>
      </c>
      <c r="C3275" s="487" t="s">
        <v>4563</v>
      </c>
      <c r="D3275" s="488" t="s">
        <v>299</v>
      </c>
      <c r="E3275" s="489">
        <v>183.95</v>
      </c>
      <c r="F3275" s="516" t="s">
        <v>293</v>
      </c>
      <c r="G3275" s="232">
        <v>0</v>
      </c>
      <c r="H3275" s="658" t="str">
        <f t="shared" si="2500"/>
        <v/>
      </c>
      <c r="I3275" s="490">
        <f t="shared" si="2501"/>
        <v>0</v>
      </c>
      <c r="J3275" s="490">
        <f t="shared" si="2502"/>
        <v>0</v>
      </c>
      <c r="K3275" s="695">
        <f t="shared" ref="K3275" si="2514">I3275+J3275</f>
        <v>0</v>
      </c>
      <c r="L3275" s="695"/>
      <c r="M3275" s="659" t="str">
        <f t="shared" si="2504"/>
        <v/>
      </c>
      <c r="N3275" s="660"/>
      <c r="O3275" s="233"/>
      <c r="P3275" s="233"/>
      <c r="Q3275" s="233"/>
      <c r="R3275" s="233"/>
      <c r="S3275" s="233"/>
      <c r="T3275" s="508">
        <f t="shared" si="2463"/>
        <v>0</v>
      </c>
      <c r="U3275" s="225">
        <f>IF(NOT(ISNUMBER(G3275)), "", VLOOKUP(A3275,'Discount Lookup'!D:E,2,FALSE)*G3275)</f>
        <v>0</v>
      </c>
      <c r="V3275" s="225">
        <f>IF(NOT(ISNUMBER(G3275)), "", VLOOKUP(A3275,'Discount Lookup'!G:H,2,FALSE)*G3275)</f>
        <v>0</v>
      </c>
      <c r="W3275" s="508">
        <f t="shared" si="2464"/>
        <v>0</v>
      </c>
      <c r="X3275" s="508">
        <f t="shared" si="2465"/>
        <v>0</v>
      </c>
      <c r="Y3275" s="509" t="b">
        <f t="shared" si="2466"/>
        <v>0</v>
      </c>
      <c r="Z3275" s="510">
        <f t="shared" si="2467"/>
        <v>0</v>
      </c>
      <c r="AA3275" s="511"/>
      <c r="AB3275" s="511" t="str">
        <f t="shared" si="2468"/>
        <v/>
      </c>
      <c r="AC3275" s="698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698"/>
      <c r="AE3275" s="631" t="str">
        <f t="shared" si="2469"/>
        <v/>
      </c>
      <c r="AF3275" s="699" t="str">
        <f t="shared" si="2470"/>
        <v/>
      </c>
      <c r="AG3275" s="699"/>
      <c r="AH3275" s="699"/>
      <c r="AI3275" s="512">
        <f>IF(H3275="credit",0,IF(AE3275="free",0,IF(AE3275="me",0,IF(G3275&gt;0,(VLOOKUP(A3275,'Discount Lookup'!J:K,2)*G3275),0))))</f>
        <v>0</v>
      </c>
      <c r="AJ3275" s="513" t="str">
        <f t="shared" ca="1" si="2471"/>
        <v/>
      </c>
      <c r="AK3275" s="700" t="str">
        <f t="shared" si="2472"/>
        <v/>
      </c>
      <c r="AL3275" s="700"/>
      <c r="AM3275" s="505" t="str">
        <f t="shared" si="2473"/>
        <v/>
      </c>
      <c r="AN3275" s="506"/>
      <c r="AO3275" s="507"/>
      <c r="AP3275" s="507"/>
      <c r="AQ3275" s="507"/>
      <c r="AR3275" s="507"/>
      <c r="AS3275" s="507"/>
      <c r="AT3275" s="507"/>
      <c r="AU3275" s="507"/>
      <c r="AV3275" s="225"/>
      <c r="AW3275" s="508"/>
      <c r="AX3275" s="225"/>
      <c r="AY3275" s="225"/>
      <c r="AZ3275" s="225"/>
      <c r="BA3275" s="225"/>
      <c r="BB3275" s="225"/>
      <c r="BC3275" s="56"/>
      <c r="BD3275" s="56"/>
      <c r="BE3275" s="56"/>
      <c r="BF3275" s="107" t="str">
        <f t="shared" si="2474"/>
        <v>https://www.google.com/search?tbm=isch&amp;q=15%20G5</v>
      </c>
      <c r="BG3275" s="107" t="str">
        <f t="shared" si="2475"/>
        <v>S</v>
      </c>
      <c r="BH3275" s="254"/>
      <c r="BI3275" s="254"/>
    </row>
    <row r="3276" spans="1:61" customFormat="1" ht="15.75" x14ac:dyDescent="0.25">
      <c r="A3276" s="485">
        <v>15</v>
      </c>
      <c r="B3276" s="486" t="s">
        <v>291</v>
      </c>
      <c r="C3276" s="487" t="s">
        <v>3756</v>
      </c>
      <c r="D3276" s="488" t="s">
        <v>292</v>
      </c>
      <c r="E3276" s="489">
        <v>210.95</v>
      </c>
      <c r="F3276" s="516" t="s">
        <v>293</v>
      </c>
      <c r="G3276" s="232">
        <v>0</v>
      </c>
      <c r="H3276" s="658" t="str">
        <f t="shared" si="2500"/>
        <v/>
      </c>
      <c r="I3276" s="490">
        <f t="shared" si="2501"/>
        <v>0</v>
      </c>
      <c r="J3276" s="490">
        <f t="shared" si="2502"/>
        <v>0</v>
      </c>
      <c r="K3276" s="695">
        <f t="shared" ref="K3276" si="2515">I3276+J3276</f>
        <v>0</v>
      </c>
      <c r="L3276" s="695"/>
      <c r="M3276" s="659" t="str">
        <f t="shared" si="2504"/>
        <v/>
      </c>
      <c r="N3276" s="660"/>
      <c r="O3276" s="233"/>
      <c r="P3276" s="233"/>
      <c r="Q3276" s="233"/>
      <c r="R3276" s="233"/>
      <c r="S3276" s="233"/>
      <c r="T3276" s="508">
        <f t="shared" si="2463"/>
        <v>0</v>
      </c>
      <c r="U3276" s="225">
        <f>IF(NOT(ISNUMBER(G3276)), "", VLOOKUP(A3276,'Discount Lookup'!D:E,2,FALSE)*G3276)</f>
        <v>0</v>
      </c>
      <c r="V3276" s="225">
        <f>IF(NOT(ISNUMBER(G3276)), "", VLOOKUP(A3276,'Discount Lookup'!G:H,2,FALSE)*G3276)</f>
        <v>0</v>
      </c>
      <c r="W3276" s="508">
        <f t="shared" si="2464"/>
        <v>0</v>
      </c>
      <c r="X3276" s="508">
        <f t="shared" si="2465"/>
        <v>0</v>
      </c>
      <c r="Y3276" s="509" t="b">
        <f t="shared" si="2466"/>
        <v>0</v>
      </c>
      <c r="Z3276" s="510">
        <f t="shared" si="2467"/>
        <v>0</v>
      </c>
      <c r="AA3276" s="511"/>
      <c r="AB3276" s="511" t="str">
        <f t="shared" si="2468"/>
        <v/>
      </c>
      <c r="AC3276" s="698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698"/>
      <c r="AE3276" s="631" t="str">
        <f t="shared" si="2469"/>
        <v/>
      </c>
      <c r="AF3276" s="699" t="str">
        <f t="shared" si="2470"/>
        <v/>
      </c>
      <c r="AG3276" s="699"/>
      <c r="AH3276" s="699"/>
      <c r="AI3276" s="512">
        <f>IF(H3276="credit",0,IF(AE3276="free",0,IF(AE3276="me",0,IF(G3276&gt;0,(VLOOKUP(A3276,'Discount Lookup'!J:K,2)*G3276),0))))</f>
        <v>0</v>
      </c>
      <c r="AJ3276" s="513" t="str">
        <f t="shared" ca="1" si="2471"/>
        <v/>
      </c>
      <c r="AK3276" s="700" t="str">
        <f t="shared" si="2472"/>
        <v/>
      </c>
      <c r="AL3276" s="700"/>
      <c r="AM3276" s="505" t="str">
        <f t="shared" si="2473"/>
        <v/>
      </c>
      <c r="AN3276" s="506"/>
      <c r="AO3276" s="507"/>
      <c r="AP3276" s="507"/>
      <c r="AQ3276" s="507"/>
      <c r="AR3276" s="507"/>
      <c r="AS3276" s="507"/>
      <c r="AT3276" s="507"/>
      <c r="AU3276" s="507"/>
      <c r="AV3276" s="225"/>
      <c r="AW3276" s="508"/>
      <c r="AX3276" s="225"/>
      <c r="AY3276" s="225"/>
      <c r="AZ3276" s="225"/>
      <c r="BA3276" s="225"/>
      <c r="BB3276" s="225"/>
      <c r="BC3276" s="56"/>
      <c r="BD3276" s="56"/>
      <c r="BE3276" s="56"/>
      <c r="BF3276" s="107" t="str">
        <f t="shared" si="2474"/>
        <v>https://www.google.com/search?tbm=isch&amp;q=15%20G4</v>
      </c>
      <c r="BG3276" s="107" t="str">
        <f t="shared" si="2475"/>
        <v>S</v>
      </c>
      <c r="BH3276" s="254"/>
      <c r="BI3276" s="254"/>
    </row>
    <row r="3277" spans="1:61" customFormat="1" ht="15.75" x14ac:dyDescent="0.25">
      <c r="A3277" s="485">
        <v>15</v>
      </c>
      <c r="B3277" s="486" t="s">
        <v>291</v>
      </c>
      <c r="C3277" s="487" t="s">
        <v>4812</v>
      </c>
      <c r="D3277" s="488" t="s">
        <v>292</v>
      </c>
      <c r="E3277" s="489">
        <v>215.95</v>
      </c>
      <c r="F3277" s="516" t="s">
        <v>293</v>
      </c>
      <c r="G3277" s="232">
        <v>0</v>
      </c>
      <c r="H3277" s="658" t="str">
        <f t="shared" si="2500"/>
        <v/>
      </c>
      <c r="I3277" s="490">
        <f t="shared" si="2501"/>
        <v>0</v>
      </c>
      <c r="J3277" s="490">
        <f t="shared" si="2502"/>
        <v>0</v>
      </c>
      <c r="K3277" s="695">
        <f t="shared" ref="K3277" si="2516">I3277+J3277</f>
        <v>0</v>
      </c>
      <c r="L3277" s="695"/>
      <c r="M3277" s="659" t="str">
        <f t="shared" si="2504"/>
        <v/>
      </c>
      <c r="N3277" s="660"/>
      <c r="O3277" s="233"/>
      <c r="P3277" s="233"/>
      <c r="Q3277" s="233"/>
      <c r="R3277" s="233"/>
      <c r="S3277" s="233"/>
      <c r="T3277" s="508">
        <f t="shared" si="2463"/>
        <v>0</v>
      </c>
      <c r="U3277" s="225">
        <f>IF(NOT(ISNUMBER(G3277)), "", VLOOKUP(A3277,'Discount Lookup'!D:E,2,FALSE)*G3277)</f>
        <v>0</v>
      </c>
      <c r="V3277" s="225">
        <f>IF(NOT(ISNUMBER(G3277)), "", VLOOKUP(A3277,'Discount Lookup'!G:H,2,FALSE)*G3277)</f>
        <v>0</v>
      </c>
      <c r="W3277" s="508">
        <f t="shared" si="2464"/>
        <v>0</v>
      </c>
      <c r="X3277" s="508">
        <f t="shared" si="2465"/>
        <v>0</v>
      </c>
      <c r="Y3277" s="509" t="b">
        <f t="shared" si="2466"/>
        <v>0</v>
      </c>
      <c r="Z3277" s="510">
        <f t="shared" si="2467"/>
        <v>0</v>
      </c>
      <c r="AA3277" s="511"/>
      <c r="AB3277" s="511" t="str">
        <f t="shared" si="2468"/>
        <v/>
      </c>
      <c r="AC3277" s="698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698"/>
      <c r="AE3277" s="631" t="str">
        <f t="shared" si="2469"/>
        <v/>
      </c>
      <c r="AF3277" s="699" t="str">
        <f t="shared" si="2470"/>
        <v/>
      </c>
      <c r="AG3277" s="699"/>
      <c r="AH3277" s="699"/>
      <c r="AI3277" s="512">
        <f>IF(H3277="credit",0,IF(AE3277="free",0,IF(AE3277="me",0,IF(G3277&gt;0,(VLOOKUP(A3277,'Discount Lookup'!J:K,2)*G3277),0))))</f>
        <v>0</v>
      </c>
      <c r="AJ3277" s="513" t="str">
        <f t="shared" ca="1" si="2471"/>
        <v/>
      </c>
      <c r="AK3277" s="700" t="str">
        <f t="shared" si="2472"/>
        <v/>
      </c>
      <c r="AL3277" s="700"/>
      <c r="AM3277" s="505" t="str">
        <f t="shared" si="2473"/>
        <v/>
      </c>
      <c r="AN3277" s="506"/>
      <c r="AO3277" s="507"/>
      <c r="AP3277" s="507"/>
      <c r="AQ3277" s="507"/>
      <c r="AR3277" s="507"/>
      <c r="AS3277" s="507"/>
      <c r="AT3277" s="507"/>
      <c r="AU3277" s="507"/>
      <c r="AV3277" s="225"/>
      <c r="AW3277" s="508"/>
      <c r="AX3277" s="225"/>
      <c r="AY3277" s="225"/>
      <c r="AZ3277" s="225"/>
      <c r="BA3277" s="225"/>
      <c r="BB3277" s="225"/>
      <c r="BC3277" s="56"/>
      <c r="BD3277" s="56"/>
      <c r="BE3277" s="56"/>
      <c r="BF3277" s="107" t="str">
        <f t="shared" si="2474"/>
        <v>https://www.google.com/search?tbm=isch&amp;q=15%20G4</v>
      </c>
      <c r="BG3277" s="107" t="str">
        <f t="shared" si="2475"/>
        <v>S</v>
      </c>
      <c r="BH3277" s="254"/>
      <c r="BI3277" s="254"/>
    </row>
    <row r="3278" spans="1:61" customFormat="1" ht="27" x14ac:dyDescent="0.25">
      <c r="A3278" s="485">
        <v>30</v>
      </c>
      <c r="B3278" s="486" t="s">
        <v>291</v>
      </c>
      <c r="C3278" s="487" t="s">
        <v>2803</v>
      </c>
      <c r="D3278" s="488" t="s">
        <v>299</v>
      </c>
      <c r="E3278" s="489">
        <v>359.95</v>
      </c>
      <c r="F3278" s="516" t="s">
        <v>293</v>
      </c>
      <c r="G3278" s="232">
        <v>0</v>
      </c>
      <c r="H3278" s="658" t="str">
        <f t="shared" si="2500"/>
        <v/>
      </c>
      <c r="I3278" s="490">
        <f t="shared" si="2501"/>
        <v>0</v>
      </c>
      <c r="J3278" s="490">
        <f t="shared" si="2502"/>
        <v>0</v>
      </c>
      <c r="K3278" s="695">
        <f t="shared" ref="K3278" si="2517">I3278+J3278</f>
        <v>0</v>
      </c>
      <c r="L3278" s="695"/>
      <c r="M3278" s="659" t="str">
        <f t="shared" si="2504"/>
        <v/>
      </c>
      <c r="N3278" s="660"/>
      <c r="O3278" s="233"/>
      <c r="P3278" s="233"/>
      <c r="Q3278" s="233"/>
      <c r="R3278" s="233"/>
      <c r="S3278" s="233"/>
      <c r="T3278" s="508">
        <f t="shared" ref="T3278:T3341" si="2518">E3278*G3278</f>
        <v>0</v>
      </c>
      <c r="U3278" s="225">
        <f>IF(NOT(ISNUMBER(G3278)), "", VLOOKUP(A3278,'Discount Lookup'!D:E,2,FALSE)*G3278)</f>
        <v>0</v>
      </c>
      <c r="V3278" s="225">
        <f>IF(NOT(ISNUMBER(G3278)), "", VLOOKUP(A3278,'Discount Lookup'!G:H,2,FALSE)*G3278)</f>
        <v>0</v>
      </c>
      <c r="W3278" s="508">
        <f t="shared" ref="W3278:W3341" si="2519">IF(H3278="credit",0,E3278*(SalesTaxPercentage)*G3278)</f>
        <v>0</v>
      </c>
      <c r="X3278" s="508">
        <f t="shared" ref="X3278:X3341" si="2520">I3278</f>
        <v>0</v>
      </c>
      <c r="Y3278" s="509" t="b">
        <f t="shared" ref="Y3278:Y3341" si="2521">IF(AE3278="T2G",0,IF(H3278="credit",0,IF(G3278&gt;0,IF(AE3278="me","",G3278))))</f>
        <v>0</v>
      </c>
      <c r="Z3278" s="510">
        <f t="shared" ref="Z3278:Z3341" si="2522">IF(H3278="credit",G3278,0)</f>
        <v>0</v>
      </c>
      <c r="AA3278" s="511"/>
      <c r="AB3278" s="511" t="str">
        <f t="shared" ref="AB3278:AB3341" si="2523">IF(AE3278="T2G","by Trees2Go",IF(H3278="credit","CREDIT only ~",IF(AND(K3278="",AE3278=OR(PlanterYesMe="No",PlanterYesMe="N",PlanterYesMe="me")),"not THIS line⇨",IF(AND(K3278="images",AE3278="me"),"not THIS line⇨",IF(H3278="credit","",IF(G3278=0,"",IF(AE3278="me","",IF(OR(PlanterYesMe="No",PlanterYesMe="N",PlanterYesMe="me"),"",IF(AE3278="free","warranty",IF(OR(PlanterYesMe="yes",PlanterYesMe="y"),"Edison install:","to install:"))))))))))</f>
        <v/>
      </c>
      <c r="AC3278" s="698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698"/>
      <c r="AE3278" s="631" t="str">
        <f t="shared" ref="AE3278:AE3341" si="2524">IF(H3278="credit","",IF(G3278=0,"",IF(OR(PlanterYesMe="No",PlanterYesMe="N",PlanterYesMe="me"),"me",IF(H3278="warranty","free",IF(OR(PlanterYesMe="yes",PlanterYesMe="y"),"ELP","")))))</f>
        <v/>
      </c>
      <c r="AF3278" s="699" t="str">
        <f t="shared" ref="AF3278:AF3341" si="2525">IF(OR(PlanterYesMe="No",PlanterYesMe="N",PlanterYesMe="me"),"",IF(H3278="credit","",IF(G3278&gt;0,(CONCATENATE((G3278)," quantity, ",(A3278)," ",B3278)),"")))</f>
        <v/>
      </c>
      <c r="AG3278" s="699"/>
      <c r="AH3278" s="699"/>
      <c r="AI3278" s="512">
        <f>IF(H3278="credit",0,IF(AE3278="free",0,IF(AE3278="me",0,IF(G3278&gt;0,(VLOOKUP(A3278,'Discount Lookup'!J:K,2)*G3278),0))))</f>
        <v>0</v>
      </c>
      <c r="AJ3278" s="513" t="str">
        <f t="shared" ref="AJ3278:AJ3341" ca="1" si="2526">IF(AND(ISREF(H3278),H3278="credit"),"",IF(AND(AND(OFFSET(G3278,0,0)=0,OFFSET(G3278,1,0)&gt;0,ISNUMBER(OFFSET(AC3278,1,0)),OFFSET(AC3278,1,0)&gt;0),OR(PlanterYesMe="yes",PlanterYesMe="y")),"T2G+ELP=",IF(AND(OFFSET(G3278,0,0)=0,OFFSET(G3278,1,0)&gt;0,ISNUMBER(OFFSET(AC3278,1,0)),OFFSET(AC3278,1,0)&gt;0),"if T2G+ELP=",IF(AND(OFFSET(G3278,0,0)=0,OFFSET(G3278,1,0)&gt;0),"T2G Subtotal",IF(H3278="credit","",IF(G3278=0,"",IF(AE3278="free",(K3278*(1-T2GDiscount)),IF(OR(PlanterYesMe="No",PlanterYesMe="N",PlanterYesMe="me"),(K3278*(1-T2GDiscount)),IF(OR(AE3278="me",AE3278="T2G"),(K3278*(1-T2GDiscount)),(K3278*(1-T2GDiscount))+AC3278)))))))))</f>
        <v/>
      </c>
      <c r="AK3278" s="700" t="str">
        <f t="shared" ref="AK3278:AK3341" si="2527">IF(H3278="credit","",IF(G3278=0,"",IF(OR(AE3278="me",AE3278="T2G"),"  delivery-only",IF(OR(PlanterYesMe="No",PlanterYesMe="N",PlanterYesMe="me"),"  delivery-only",CONCATENATE(" $",ROUND(AJ3278/G3278,2)," each")))))</f>
        <v/>
      </c>
      <c r="AL3278" s="700"/>
      <c r="AM3278" s="505" t="str">
        <f t="shared" ref="AM3278:AM3341" si="2528">IF(H3278="credit","",IF(AE3278="free","      ~ discounts included, no tax or planting fee applies ~",IF(G3278=0,"",IF(OR(PlanterYesMe="No",PlanterYesMe="N",PlanterYesMe="me"),CONCATENATE(" $",ROUND(AJ3278/G3278,2)," per plant, with tax &amp; discount"),IF(OR(AE3278="me",AE3278="T2G"),CONCATENATE(" $",ROUND(AJ3278/G3278,2)," per plant, with tax &amp; discount"),CONCATENATE("= $",ROUND((K3278*(1-T2GDiscount))/G3278,2)," per plant + $",AC3278/G3278,(" per planting      ~ includes tax &amp; discounts ~")))))))</f>
        <v/>
      </c>
      <c r="AN3278" s="506"/>
      <c r="AO3278" s="507"/>
      <c r="AP3278" s="507"/>
      <c r="AQ3278" s="507"/>
      <c r="AR3278" s="507"/>
      <c r="AS3278" s="507"/>
      <c r="AT3278" s="507"/>
      <c r="AU3278" s="507"/>
      <c r="AV3278" s="225"/>
      <c r="AW3278" s="508"/>
      <c r="AX3278" s="225"/>
      <c r="AY3278" s="225"/>
      <c r="AZ3278" s="225"/>
      <c r="BA3278" s="225"/>
      <c r="BB3278" s="225"/>
      <c r="BC3278" s="56"/>
      <c r="BD3278" s="56"/>
      <c r="BE3278" s="56"/>
      <c r="BF3278" s="107" t="str">
        <f t="shared" ref="BF3278:BF3341" si="2529">"https://www.google.com/search?tbm=isch&amp;q=" &amp; _xlfn.ENCODEURL($A3278 &amp; " " &amp; $D3278)</f>
        <v>https://www.google.com/search?tbm=isch&amp;q=30%20G5</v>
      </c>
      <c r="BG3278" s="107" t="str">
        <f t="shared" ref="BG3278:BG3341" si="2530">IF(ISTEXT(A3278),LEFT(A3278,1),BG3277)</f>
        <v>S</v>
      </c>
      <c r="BH3278" s="254"/>
      <c r="BI3278" s="254"/>
    </row>
    <row r="3279" spans="1:61" customFormat="1" ht="15.75" x14ac:dyDescent="0.25">
      <c r="A3279" s="485">
        <v>25</v>
      </c>
      <c r="B3279" s="486" t="s">
        <v>291</v>
      </c>
      <c r="C3279" s="487" t="s">
        <v>3757</v>
      </c>
      <c r="D3279" s="488" t="s">
        <v>292</v>
      </c>
      <c r="E3279" s="489">
        <v>367.95</v>
      </c>
      <c r="F3279" s="516" t="s">
        <v>293</v>
      </c>
      <c r="G3279" s="232">
        <v>0</v>
      </c>
      <c r="H3279" s="658" t="str">
        <f t="shared" si="2500"/>
        <v/>
      </c>
      <c r="I3279" s="490">
        <f t="shared" si="2501"/>
        <v>0</v>
      </c>
      <c r="J3279" s="490">
        <f t="shared" si="2502"/>
        <v>0</v>
      </c>
      <c r="K3279" s="695">
        <f t="shared" ref="K3279" si="2531">I3279+J3279</f>
        <v>0</v>
      </c>
      <c r="L3279" s="695"/>
      <c r="M3279" s="659" t="str">
        <f t="shared" si="2504"/>
        <v/>
      </c>
      <c r="N3279" s="660"/>
      <c r="O3279" s="233"/>
      <c r="P3279" s="233"/>
      <c r="Q3279" s="233"/>
      <c r="R3279" s="233"/>
      <c r="S3279" s="233"/>
      <c r="T3279" s="508">
        <f t="shared" si="2518"/>
        <v>0</v>
      </c>
      <c r="U3279" s="225">
        <f>IF(NOT(ISNUMBER(G3279)), "", VLOOKUP(A3279,'Discount Lookup'!D:E,2,FALSE)*G3279)</f>
        <v>0</v>
      </c>
      <c r="V3279" s="225">
        <f>IF(NOT(ISNUMBER(G3279)), "", VLOOKUP(A3279,'Discount Lookup'!G:H,2,FALSE)*G3279)</f>
        <v>0</v>
      </c>
      <c r="W3279" s="508">
        <f t="shared" si="2519"/>
        <v>0</v>
      </c>
      <c r="X3279" s="508">
        <f t="shared" si="2520"/>
        <v>0</v>
      </c>
      <c r="Y3279" s="509" t="b">
        <f t="shared" si="2521"/>
        <v>0</v>
      </c>
      <c r="Z3279" s="510">
        <f t="shared" si="2522"/>
        <v>0</v>
      </c>
      <c r="AA3279" s="511"/>
      <c r="AB3279" s="511" t="str">
        <f t="shared" si="2523"/>
        <v/>
      </c>
      <c r="AC3279" s="698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698"/>
      <c r="AE3279" s="631" t="str">
        <f t="shared" si="2524"/>
        <v/>
      </c>
      <c r="AF3279" s="699" t="str">
        <f t="shared" si="2525"/>
        <v/>
      </c>
      <c r="AG3279" s="699"/>
      <c r="AH3279" s="699"/>
      <c r="AI3279" s="512">
        <f>IF(H3279="credit",0,IF(AE3279="free",0,IF(AE3279="me",0,IF(G3279&gt;0,(VLOOKUP(A3279,'Discount Lookup'!J:K,2)*G3279),0))))</f>
        <v>0</v>
      </c>
      <c r="AJ3279" s="513" t="str">
        <f t="shared" ca="1" si="2526"/>
        <v/>
      </c>
      <c r="AK3279" s="700" t="str">
        <f t="shared" si="2527"/>
        <v/>
      </c>
      <c r="AL3279" s="700"/>
      <c r="AM3279" s="505" t="str">
        <f t="shared" si="2528"/>
        <v/>
      </c>
      <c r="AN3279" s="506"/>
      <c r="AO3279" s="507"/>
      <c r="AP3279" s="507"/>
      <c r="AQ3279" s="507"/>
      <c r="AR3279" s="507"/>
      <c r="AS3279" s="507"/>
      <c r="AT3279" s="507"/>
      <c r="AU3279" s="507"/>
      <c r="AV3279" s="225"/>
      <c r="AW3279" s="508"/>
      <c r="AX3279" s="225"/>
      <c r="AY3279" s="225"/>
      <c r="AZ3279" s="225"/>
      <c r="BA3279" s="225"/>
      <c r="BB3279" s="225"/>
      <c r="BC3279" s="56"/>
      <c r="BD3279" s="56"/>
      <c r="BE3279" s="56"/>
      <c r="BF3279" s="107" t="str">
        <f t="shared" si="2529"/>
        <v>https://www.google.com/search?tbm=isch&amp;q=25%20G4</v>
      </c>
      <c r="BG3279" s="107" t="str">
        <f t="shared" si="2530"/>
        <v>S</v>
      </c>
      <c r="BH3279" s="254"/>
      <c r="BI3279" s="254"/>
    </row>
    <row r="3280" spans="1:61" customFormat="1" ht="17.25" thickBot="1" x14ac:dyDescent="0.3">
      <c r="A3280" s="522" t="s">
        <v>2471</v>
      </c>
      <c r="B3280" s="491"/>
      <c r="C3280" s="675"/>
      <c r="D3280" s="491"/>
      <c r="E3280" s="491"/>
      <c r="F3280" s="492"/>
      <c r="G3280" s="493"/>
      <c r="H3280" s="491"/>
      <c r="I3280" s="234"/>
      <c r="J3280" s="234"/>
      <c r="K3280" s="494"/>
      <c r="L3280" s="543"/>
      <c r="M3280" s="561"/>
      <c r="N3280" s="495"/>
      <c r="O3280" s="496"/>
      <c r="P3280" s="497"/>
      <c r="Q3280" s="495"/>
      <c r="R3280" s="495"/>
      <c r="S3280" s="667" t="s">
        <v>4986</v>
      </c>
      <c r="T3280" s="508">
        <f t="shared" si="2518"/>
        <v>0</v>
      </c>
      <c r="U3280" s="225" t="str">
        <f>IF(NOT(ISNUMBER(G3280)), "", VLOOKUP(A3280,'Discount Lookup'!D:E,2,FALSE)*G3280)</f>
        <v/>
      </c>
      <c r="V3280" s="225" t="str">
        <f>IF(NOT(ISNUMBER(G3280)), "", VLOOKUP(A3280,'Discount Lookup'!G:H,2,FALSE)*G3280)</f>
        <v/>
      </c>
      <c r="W3280" s="508">
        <f t="shared" si="2519"/>
        <v>0</v>
      </c>
      <c r="X3280" s="508">
        <f t="shared" si="2520"/>
        <v>0</v>
      </c>
      <c r="Y3280" s="509" t="b">
        <f t="shared" si="2521"/>
        <v>0</v>
      </c>
      <c r="Z3280" s="510">
        <f t="shared" si="2522"/>
        <v>0</v>
      </c>
      <c r="AA3280" s="511"/>
      <c r="AB3280" s="511" t="str">
        <f t="shared" si="2523"/>
        <v/>
      </c>
      <c r="AC3280" s="698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698"/>
      <c r="AE3280" s="631" t="str">
        <f t="shared" si="2524"/>
        <v/>
      </c>
      <c r="AF3280" s="699" t="str">
        <f t="shared" si="2525"/>
        <v/>
      </c>
      <c r="AG3280" s="699"/>
      <c r="AH3280" s="699"/>
      <c r="AI3280" s="512">
        <f>IF(H3280="credit",0,IF(AE3280="free",0,IF(AE3280="me",0,IF(G3280&gt;0,(VLOOKUP(A3280,'Discount Lookup'!J:K,2)*G3280),0))))</f>
        <v>0</v>
      </c>
      <c r="AJ3280" s="513" t="str">
        <f t="shared" ca="1" si="2526"/>
        <v/>
      </c>
      <c r="AK3280" s="700" t="str">
        <f t="shared" si="2527"/>
        <v/>
      </c>
      <c r="AL3280" s="700"/>
      <c r="AM3280" s="505" t="str">
        <f t="shared" si="2528"/>
        <v/>
      </c>
      <c r="AN3280" s="506"/>
      <c r="AO3280" s="507"/>
      <c r="AP3280" s="507"/>
      <c r="AQ3280" s="507"/>
      <c r="AR3280" s="507"/>
      <c r="AS3280" s="507"/>
      <c r="AT3280" s="507"/>
      <c r="AU3280" s="507"/>
      <c r="AV3280" s="225"/>
      <c r="AW3280" s="508"/>
      <c r="AX3280" s="225"/>
      <c r="AY3280" s="225"/>
      <c r="AZ3280" s="225"/>
      <c r="BA3280" s="225"/>
      <c r="BB3280" s="225"/>
      <c r="BC3280" s="56"/>
      <c r="BD3280" s="56"/>
      <c r="BE3280" s="56"/>
      <c r="BF3280" s="107" t="str">
        <f t="shared" si="2529"/>
        <v>https://www.google.com/search?tbm=isch&amp;q=Serendipity%20%26%20Stellar%20Ruby%20formerly%20known%20as%20banana%20shrubs.%20Blooms%20smell%20like%20bananas%2C%20late%20spring%20to%20summer%20</v>
      </c>
      <c r="BG3280" s="107" t="str">
        <f t="shared" si="2530"/>
        <v>S</v>
      </c>
      <c r="BH3280" s="254"/>
      <c r="BI3280" s="254"/>
    </row>
    <row r="3281" spans="1:61" customFormat="1" ht="18" x14ac:dyDescent="0.25">
      <c r="A3281" s="523" t="s">
        <v>1701</v>
      </c>
      <c r="B3281" s="235"/>
      <c r="C3281" s="676"/>
      <c r="D3281" s="255" t="s">
        <v>1702</v>
      </c>
      <c r="E3281" s="236"/>
      <c r="F3281" s="236"/>
      <c r="G3281" s="236"/>
      <c r="H3281" s="582" t="s">
        <v>325</v>
      </c>
      <c r="I3281" s="498" t="s">
        <v>654</v>
      </c>
      <c r="J3281" s="237"/>
      <c r="K3281" s="237"/>
      <c r="L3281" s="274"/>
      <c r="M3281" s="668" t="s">
        <v>4975</v>
      </c>
      <c r="N3281" s="681" t="str">
        <f>IF(AND(ISTEXT($A3281), ISERROR($A3281+0)), HYPERLINK($BF3281, "Images"), "")</f>
        <v>Images</v>
      </c>
      <c r="O3281" s="663" t="s">
        <v>4967</v>
      </c>
      <c r="P3281" s="253"/>
      <c r="Q3281" s="238"/>
      <c r="R3281" s="239"/>
      <c r="S3281" s="275"/>
      <c r="T3281" s="508">
        <f t="shared" si="2518"/>
        <v>0</v>
      </c>
      <c r="U3281" s="225" t="str">
        <f>IF(NOT(ISNUMBER(G3281)), "", VLOOKUP(A3281,'Discount Lookup'!D:E,2,FALSE)*G3281)</f>
        <v/>
      </c>
      <c r="V3281" s="225" t="str">
        <f>IF(NOT(ISNUMBER(G3281)), "", VLOOKUP(A3281,'Discount Lookup'!G:H,2,FALSE)*G3281)</f>
        <v/>
      </c>
      <c r="W3281" s="508">
        <f t="shared" si="2519"/>
        <v>0</v>
      </c>
      <c r="X3281" s="508" t="str">
        <f t="shared" si="2520"/>
        <v>White bloom</v>
      </c>
      <c r="Y3281" s="509" t="b">
        <f t="shared" si="2521"/>
        <v>0</v>
      </c>
      <c r="Z3281" s="510">
        <f t="shared" si="2522"/>
        <v>0</v>
      </c>
      <c r="AA3281" s="511"/>
      <c r="AB3281" s="511" t="str">
        <f t="shared" si="2523"/>
        <v/>
      </c>
      <c r="AC3281" s="698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698"/>
      <c r="AE3281" s="631" t="str">
        <f t="shared" si="2524"/>
        <v/>
      </c>
      <c r="AF3281" s="699" t="str">
        <f t="shared" si="2525"/>
        <v/>
      </c>
      <c r="AG3281" s="699"/>
      <c r="AH3281" s="699"/>
      <c r="AI3281" s="512">
        <f>IF(H3281="credit",0,IF(AE3281="free",0,IF(AE3281="me",0,IF(G3281&gt;0,(VLOOKUP(A3281,'Discount Lookup'!J:K,2)*G3281),0))))</f>
        <v>0</v>
      </c>
      <c r="AJ3281" s="513" t="str">
        <f t="shared" ca="1" si="2526"/>
        <v/>
      </c>
      <c r="AK3281" s="700" t="str">
        <f t="shared" si="2527"/>
        <v/>
      </c>
      <c r="AL3281" s="700"/>
      <c r="AM3281" s="505" t="str">
        <f t="shared" si="2528"/>
        <v/>
      </c>
      <c r="AN3281" s="506"/>
      <c r="AO3281" s="507"/>
      <c r="AP3281" s="507"/>
      <c r="AQ3281" s="507"/>
      <c r="AR3281" s="507"/>
      <c r="AS3281" s="507"/>
      <c r="AT3281" s="507"/>
      <c r="AU3281" s="507"/>
      <c r="AV3281" s="225"/>
      <c r="AW3281" s="508"/>
      <c r="AX3281" s="225"/>
      <c r="AY3281" s="225"/>
      <c r="AZ3281" s="225"/>
      <c r="BA3281" s="225"/>
      <c r="BB3281" s="225"/>
      <c r="BC3281" s="56"/>
      <c r="BD3281" s="56"/>
      <c r="BE3281" s="56"/>
      <c r="BF3281" s="107" t="str">
        <f t="shared" si="2529"/>
        <v>https://www.google.com/search?tbm=isch&amp;q=Seven-Son%20Flower%20Tree%20Heptacodium%20miconioides</v>
      </c>
      <c r="BG3281" s="107" t="str">
        <f t="shared" si="2530"/>
        <v>S</v>
      </c>
      <c r="BH3281" s="254"/>
      <c r="BI3281" s="254"/>
    </row>
    <row r="3282" spans="1:61" customFormat="1" ht="15.75" x14ac:dyDescent="0.25">
      <c r="A3282" s="276">
        <v>7</v>
      </c>
      <c r="B3282" s="240" t="s">
        <v>291</v>
      </c>
      <c r="C3282" s="241" t="s">
        <v>3758</v>
      </c>
      <c r="D3282" s="242" t="s">
        <v>292</v>
      </c>
      <c r="E3282" s="243">
        <v>169.95</v>
      </c>
      <c r="F3282" s="517" t="s">
        <v>293</v>
      </c>
      <c r="G3282" s="232">
        <v>0</v>
      </c>
      <c r="H3282" s="661" t="str">
        <f>IF(G3282=0,"",IF(F3282="Buy",IF(G3282=1,"plant","plants"),IF(F3282&gt;0.01,"warranty","Error")))</f>
        <v/>
      </c>
      <c r="I3282" s="244">
        <f>IF(H3282="free",0,IF(H3282="credit",((E3282*(F3282))*G3282*-1),IF(F3282="Buy",(E3282*G3282),((E3282*(1-F3282))*G3282))))</f>
        <v>0</v>
      </c>
      <c r="J3282" s="244">
        <f>IF(H3282="warranty",0,(I3282*(_xlfn.SINGLE(SalesTaxPercentage))))</f>
        <v>0</v>
      </c>
      <c r="K3282" s="696">
        <f t="shared" ref="K3282" si="2532">I3282+J3282</f>
        <v>0</v>
      </c>
      <c r="L3282" s="696"/>
      <c r="M3282" s="659" t="str">
        <f>IF(AND(G3282&gt;0,E3282=0),"WARNING - no PRICE inserted",IF(H3282="free"," FREE ~ no charge this plant",IF(H3282="credit",CONCATENATE(" -$",ROUND(K3282*(1-T2GDiscount)*-1,2)," CREDIT after discount"),IF(T2GDiscount=0,"",IF(G3282=0,"",IF(F3282="Buy",CONCATENATE(" $",ROUND(K3282*(1-T2GDiscount),2)," with ",(T2GDiscount*100),"% discount"),CONCATENATE(" $",ROUND(K3282*(1-T2GDiscount),2)," with ",((T2GDiscount*100+F3282*100)-(T2GDiscount*100*F3282)),IF(F3282&gt;0,"% discounts",IF(NoWarrantyDiscount&gt;0,"% discounts","% discount")))))))))</f>
        <v/>
      </c>
      <c r="N3282" s="660"/>
      <c r="O3282" s="233"/>
      <c r="P3282" s="233"/>
      <c r="Q3282" s="233"/>
      <c r="R3282" s="233"/>
      <c r="S3282" s="233"/>
      <c r="T3282" s="508">
        <f t="shared" si="2518"/>
        <v>0</v>
      </c>
      <c r="U3282" s="225">
        <f>IF(NOT(ISNUMBER(G3282)), "", VLOOKUP(A3282,'Discount Lookup'!D:E,2,FALSE)*G3282)</f>
        <v>0</v>
      </c>
      <c r="V3282" s="225">
        <f>IF(NOT(ISNUMBER(G3282)), "", VLOOKUP(A3282,'Discount Lookup'!G:H,2,FALSE)*G3282)</f>
        <v>0</v>
      </c>
      <c r="W3282" s="508">
        <f t="shared" si="2519"/>
        <v>0</v>
      </c>
      <c r="X3282" s="508">
        <f t="shared" si="2520"/>
        <v>0</v>
      </c>
      <c r="Y3282" s="509" t="b">
        <f t="shared" si="2521"/>
        <v>0</v>
      </c>
      <c r="Z3282" s="510">
        <f t="shared" si="2522"/>
        <v>0</v>
      </c>
      <c r="AA3282" s="511"/>
      <c r="AB3282" s="511" t="str">
        <f t="shared" si="2523"/>
        <v/>
      </c>
      <c r="AC3282" s="698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698"/>
      <c r="AE3282" s="631" t="str">
        <f t="shared" si="2524"/>
        <v/>
      </c>
      <c r="AF3282" s="699" t="str">
        <f t="shared" si="2525"/>
        <v/>
      </c>
      <c r="AG3282" s="699"/>
      <c r="AH3282" s="699"/>
      <c r="AI3282" s="512">
        <f>IF(H3282="credit",0,IF(AE3282="free",0,IF(AE3282="me",0,IF(G3282&gt;0,(VLOOKUP(A3282,'Discount Lookup'!J:K,2)*G3282),0))))</f>
        <v>0</v>
      </c>
      <c r="AJ3282" s="513" t="str">
        <f t="shared" ca="1" si="2526"/>
        <v/>
      </c>
      <c r="AK3282" s="700" t="str">
        <f t="shared" si="2527"/>
        <v/>
      </c>
      <c r="AL3282" s="700"/>
      <c r="AM3282" s="505" t="str">
        <f t="shared" si="2528"/>
        <v/>
      </c>
      <c r="AN3282" s="506"/>
      <c r="AO3282" s="507"/>
      <c r="AP3282" s="507"/>
      <c r="AQ3282" s="507"/>
      <c r="AR3282" s="507"/>
      <c r="AS3282" s="507"/>
      <c r="AT3282" s="507"/>
      <c r="AU3282" s="507"/>
      <c r="AV3282" s="225"/>
      <c r="AW3282" s="508"/>
      <c r="AX3282" s="225"/>
      <c r="AY3282" s="225"/>
      <c r="AZ3282" s="225"/>
      <c r="BA3282" s="225"/>
      <c r="BB3282" s="225"/>
      <c r="BC3282" s="56"/>
      <c r="BD3282" s="56"/>
      <c r="BE3282" s="56"/>
      <c r="BF3282" s="107" t="str">
        <f t="shared" si="2529"/>
        <v>https://www.google.com/search?tbm=isch&amp;q=7%20G4</v>
      </c>
      <c r="BG3282" s="107" t="str">
        <f t="shared" si="2530"/>
        <v>S</v>
      </c>
      <c r="BH3282" s="254"/>
      <c r="BI3282" s="254"/>
    </row>
    <row r="3283" spans="1:61" customFormat="1" ht="27" x14ac:dyDescent="0.25">
      <c r="A3283" s="276">
        <v>15</v>
      </c>
      <c r="B3283" s="240" t="s">
        <v>291</v>
      </c>
      <c r="C3283" s="241" t="s">
        <v>3759</v>
      </c>
      <c r="D3283" s="242" t="s">
        <v>292</v>
      </c>
      <c r="E3283" s="243">
        <v>357.95</v>
      </c>
      <c r="F3283" s="517" t="s">
        <v>293</v>
      </c>
      <c r="G3283" s="232">
        <v>0</v>
      </c>
      <c r="H3283" s="661" t="str">
        <f>IF(G3283=0,"",IF(F3283="Buy",IF(G3283=1,"plant","plants"),IF(F3283&gt;0.01,"warranty","Error")))</f>
        <v/>
      </c>
      <c r="I3283" s="244">
        <f>IF(H3283="free",0,IF(H3283="credit",((E3283*(F3283))*G3283*-1),IF(F3283="Buy",(E3283*G3283),((E3283*(1-F3283))*G3283))))</f>
        <v>0</v>
      </c>
      <c r="J3283" s="244">
        <f>IF(H3283="warranty",0,(I3283*(_xlfn.SINGLE(SalesTaxPercentage))))</f>
        <v>0</v>
      </c>
      <c r="K3283" s="696">
        <f t="shared" ref="K3283" si="2533">I3283+J3283</f>
        <v>0</v>
      </c>
      <c r="L3283" s="696"/>
      <c r="M3283" s="659" t="str">
        <f>IF(AND(G3283&gt;0,E3283=0),"WARNING - no PRICE inserted",IF(H3283="free"," FREE ~ no charge this plant",IF(H3283="credit",CONCATENATE(" -$",ROUND(K3283*(1-T2GDiscount)*-1,2)," CREDIT after discount"),IF(T2GDiscount=0,"",IF(G3283=0,"",IF(F3283="Buy",CONCATENATE(" $",ROUND(K3283*(1-T2GDiscount),2)," with ",(T2GDiscount*100),"% discount"),CONCATENATE(" $",ROUND(K3283*(1-T2GDiscount),2)," with ",((T2GDiscount*100+F3283*100)-(T2GDiscount*100*F3283)),IF(F3283&gt;0,"% discounts",IF(NoWarrantyDiscount&gt;0,"% discounts","% discount")))))))))</f>
        <v/>
      </c>
      <c r="N3283" s="660"/>
      <c r="O3283" s="233"/>
      <c r="P3283" s="233"/>
      <c r="Q3283" s="233"/>
      <c r="R3283" s="233"/>
      <c r="S3283" s="233"/>
      <c r="T3283" s="508">
        <f t="shared" si="2518"/>
        <v>0</v>
      </c>
      <c r="U3283" s="225">
        <f>IF(NOT(ISNUMBER(G3283)), "", VLOOKUP(A3283,'Discount Lookup'!D:E,2,FALSE)*G3283)</f>
        <v>0</v>
      </c>
      <c r="V3283" s="225">
        <f>IF(NOT(ISNUMBER(G3283)), "", VLOOKUP(A3283,'Discount Lookup'!G:H,2,FALSE)*G3283)</f>
        <v>0</v>
      </c>
      <c r="W3283" s="508">
        <f t="shared" si="2519"/>
        <v>0</v>
      </c>
      <c r="X3283" s="508">
        <f t="shared" si="2520"/>
        <v>0</v>
      </c>
      <c r="Y3283" s="509" t="b">
        <f t="shared" si="2521"/>
        <v>0</v>
      </c>
      <c r="Z3283" s="510">
        <f t="shared" si="2522"/>
        <v>0</v>
      </c>
      <c r="AA3283" s="511"/>
      <c r="AB3283" s="511" t="str">
        <f t="shared" si="2523"/>
        <v/>
      </c>
      <c r="AC3283" s="698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698"/>
      <c r="AE3283" s="631" t="str">
        <f t="shared" si="2524"/>
        <v/>
      </c>
      <c r="AF3283" s="699" t="str">
        <f t="shared" si="2525"/>
        <v/>
      </c>
      <c r="AG3283" s="699"/>
      <c r="AH3283" s="699"/>
      <c r="AI3283" s="512">
        <f>IF(H3283="credit",0,IF(AE3283="free",0,IF(AE3283="me",0,IF(G3283&gt;0,(VLOOKUP(A3283,'Discount Lookup'!J:K,2)*G3283),0))))</f>
        <v>0</v>
      </c>
      <c r="AJ3283" s="513" t="str">
        <f t="shared" ca="1" si="2526"/>
        <v/>
      </c>
      <c r="AK3283" s="700" t="str">
        <f t="shared" si="2527"/>
        <v/>
      </c>
      <c r="AL3283" s="700"/>
      <c r="AM3283" s="505" t="str">
        <f t="shared" si="2528"/>
        <v/>
      </c>
      <c r="AN3283" s="506"/>
      <c r="AO3283" s="507"/>
      <c r="AP3283" s="507"/>
      <c r="AQ3283" s="507"/>
      <c r="AR3283" s="507"/>
      <c r="AS3283" s="507"/>
      <c r="AT3283" s="507"/>
      <c r="AU3283" s="507"/>
      <c r="AV3283" s="225"/>
      <c r="AW3283" s="508"/>
      <c r="AX3283" s="225"/>
      <c r="AY3283" s="225"/>
      <c r="AZ3283" s="225"/>
      <c r="BA3283" s="225"/>
      <c r="BB3283" s="225"/>
      <c r="BC3283" s="56"/>
      <c r="BD3283" s="56"/>
      <c r="BE3283" s="56"/>
      <c r="BF3283" s="107" t="str">
        <f t="shared" si="2529"/>
        <v>https://www.google.com/search?tbm=isch&amp;q=15%20G4</v>
      </c>
      <c r="BG3283" s="107" t="str">
        <f t="shared" si="2530"/>
        <v>S</v>
      </c>
      <c r="BH3283" s="254"/>
      <c r="BI3283" s="254"/>
    </row>
    <row r="3284" spans="1:61" customFormat="1" ht="15.75" x14ac:dyDescent="0.25">
      <c r="A3284" s="276">
        <v>25</v>
      </c>
      <c r="B3284" s="240" t="s">
        <v>291</v>
      </c>
      <c r="C3284" s="241" t="s">
        <v>3760</v>
      </c>
      <c r="D3284" s="242" t="s">
        <v>292</v>
      </c>
      <c r="E3284" s="243">
        <v>507.95</v>
      </c>
      <c r="F3284" s="517" t="s">
        <v>293</v>
      </c>
      <c r="G3284" s="232">
        <v>0</v>
      </c>
      <c r="H3284" s="661" t="str">
        <f>IF(G3284=0,"",IF(F3284="Buy",IF(G3284=1,"plant","plants"),IF(F3284&gt;0.01,"warranty","Error")))</f>
        <v/>
      </c>
      <c r="I3284" s="244">
        <f>IF(H3284="free",0,IF(H3284="credit",((E3284*(F3284))*G3284*-1),IF(F3284="Buy",(E3284*G3284),((E3284*(1-F3284))*G3284))))</f>
        <v>0</v>
      </c>
      <c r="J3284" s="244">
        <f>IF(H3284="warranty",0,(I3284*(_xlfn.SINGLE(SalesTaxPercentage))))</f>
        <v>0</v>
      </c>
      <c r="K3284" s="696">
        <f t="shared" ref="K3284" si="2534">I3284+J3284</f>
        <v>0</v>
      </c>
      <c r="L3284" s="696"/>
      <c r="M3284" s="659" t="str">
        <f>IF(AND(G3284&gt;0,E3284=0),"WARNING - no PRICE inserted",IF(H3284="free"," FREE ~ no charge this plant",IF(H3284="credit",CONCATENATE(" -$",ROUND(K3284*(1-T2GDiscount)*-1,2)," CREDIT after discount"),IF(T2GDiscount=0,"",IF(G3284=0,"",IF(F3284="Buy",CONCATENATE(" $",ROUND(K3284*(1-T2GDiscount),2)," with ",(T2GDiscount*100),"% discount"),CONCATENATE(" $",ROUND(K3284*(1-T2GDiscount),2)," with ",((T2GDiscount*100+F3284*100)-(T2GDiscount*100*F3284)),IF(F3284&gt;0,"% discounts",IF(NoWarrantyDiscount&gt;0,"% discounts","% discount")))))))))</f>
        <v/>
      </c>
      <c r="N3284" s="660"/>
      <c r="O3284" s="233"/>
      <c r="P3284" s="233"/>
      <c r="Q3284" s="233"/>
      <c r="R3284" s="233"/>
      <c r="S3284" s="233"/>
      <c r="T3284" s="508">
        <f t="shared" si="2518"/>
        <v>0</v>
      </c>
      <c r="U3284" s="225">
        <f>IF(NOT(ISNUMBER(G3284)), "", VLOOKUP(A3284,'Discount Lookup'!D:E,2,FALSE)*G3284)</f>
        <v>0</v>
      </c>
      <c r="V3284" s="225">
        <f>IF(NOT(ISNUMBER(G3284)), "", VLOOKUP(A3284,'Discount Lookup'!G:H,2,FALSE)*G3284)</f>
        <v>0</v>
      </c>
      <c r="W3284" s="508">
        <f t="shared" si="2519"/>
        <v>0</v>
      </c>
      <c r="X3284" s="508">
        <f t="shared" si="2520"/>
        <v>0</v>
      </c>
      <c r="Y3284" s="509" t="b">
        <f t="shared" si="2521"/>
        <v>0</v>
      </c>
      <c r="Z3284" s="510">
        <f t="shared" si="2522"/>
        <v>0</v>
      </c>
      <c r="AA3284" s="511"/>
      <c r="AB3284" s="511" t="str">
        <f t="shared" si="2523"/>
        <v/>
      </c>
      <c r="AC3284" s="698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698"/>
      <c r="AE3284" s="631" t="str">
        <f t="shared" si="2524"/>
        <v/>
      </c>
      <c r="AF3284" s="699" t="str">
        <f t="shared" si="2525"/>
        <v/>
      </c>
      <c r="AG3284" s="699"/>
      <c r="AH3284" s="699"/>
      <c r="AI3284" s="512">
        <f>IF(H3284="credit",0,IF(AE3284="free",0,IF(AE3284="me",0,IF(G3284&gt;0,(VLOOKUP(A3284,'Discount Lookup'!J:K,2)*G3284),0))))</f>
        <v>0</v>
      </c>
      <c r="AJ3284" s="513" t="str">
        <f t="shared" ca="1" si="2526"/>
        <v/>
      </c>
      <c r="AK3284" s="700" t="str">
        <f t="shared" si="2527"/>
        <v/>
      </c>
      <c r="AL3284" s="700"/>
      <c r="AM3284" s="505" t="str">
        <f t="shared" si="2528"/>
        <v/>
      </c>
      <c r="AN3284" s="506"/>
      <c r="AO3284" s="507"/>
      <c r="AP3284" s="507"/>
      <c r="AQ3284" s="507"/>
      <c r="AR3284" s="507"/>
      <c r="AS3284" s="507"/>
      <c r="AT3284" s="507"/>
      <c r="AU3284" s="507"/>
      <c r="AV3284" s="225"/>
      <c r="AW3284" s="508"/>
      <c r="AX3284" s="225"/>
      <c r="AY3284" s="225"/>
      <c r="AZ3284" s="225"/>
      <c r="BA3284" s="225"/>
      <c r="BB3284" s="225"/>
      <c r="BC3284" s="56"/>
      <c r="BD3284" s="56"/>
      <c r="BE3284" s="56"/>
      <c r="BF3284" s="107" t="str">
        <f t="shared" si="2529"/>
        <v>https://www.google.com/search?tbm=isch&amp;q=25%20G4</v>
      </c>
      <c r="BG3284" s="107" t="str">
        <f t="shared" si="2530"/>
        <v>S</v>
      </c>
      <c r="BH3284" s="254"/>
      <c r="BI3284" s="254"/>
    </row>
    <row r="3285" spans="1:61" customFormat="1" ht="17.25" thickBot="1" x14ac:dyDescent="0.3">
      <c r="A3285" s="524" t="s">
        <v>2177</v>
      </c>
      <c r="B3285" s="245"/>
      <c r="C3285" s="677"/>
      <c r="D3285" s="499"/>
      <c r="E3285" s="499"/>
      <c r="F3285" s="500"/>
      <c r="G3285" s="501"/>
      <c r="H3285" s="502"/>
      <c r="I3285" s="246"/>
      <c r="J3285" s="247"/>
      <c r="K3285" s="503"/>
      <c r="L3285" s="544"/>
      <c r="M3285" s="544"/>
      <c r="N3285" s="500"/>
      <c r="O3285" s="500"/>
      <c r="P3285" s="500"/>
      <c r="Q3285" s="500"/>
      <c r="R3285" s="500"/>
      <c r="S3285" s="669" t="s">
        <v>4976</v>
      </c>
      <c r="T3285" s="508">
        <f t="shared" si="2518"/>
        <v>0</v>
      </c>
      <c r="U3285" s="225" t="str">
        <f>IF(NOT(ISNUMBER(G3285)), "", VLOOKUP(A3285,'Discount Lookup'!D:E,2,FALSE)*G3285)</f>
        <v/>
      </c>
      <c r="V3285" s="225" t="str">
        <f>IF(NOT(ISNUMBER(G3285)), "", VLOOKUP(A3285,'Discount Lookup'!G:H,2,FALSE)*G3285)</f>
        <v/>
      </c>
      <c r="W3285" s="508">
        <f t="shared" si="2519"/>
        <v>0</v>
      </c>
      <c r="X3285" s="508">
        <f t="shared" si="2520"/>
        <v>0</v>
      </c>
      <c r="Y3285" s="509" t="b">
        <f t="shared" si="2521"/>
        <v>0</v>
      </c>
      <c r="Z3285" s="510">
        <f t="shared" si="2522"/>
        <v>0</v>
      </c>
      <c r="AA3285" s="511"/>
      <c r="AB3285" s="511" t="str">
        <f t="shared" si="2523"/>
        <v/>
      </c>
      <c r="AC3285" s="698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698"/>
      <c r="AE3285" s="631" t="str">
        <f t="shared" si="2524"/>
        <v/>
      </c>
      <c r="AF3285" s="699" t="str">
        <f t="shared" si="2525"/>
        <v/>
      </c>
      <c r="AG3285" s="699"/>
      <c r="AH3285" s="699"/>
      <c r="AI3285" s="512">
        <f>IF(H3285="credit",0,IF(AE3285="free",0,IF(AE3285="me",0,IF(G3285&gt;0,(VLOOKUP(A3285,'Discount Lookup'!J:K,2)*G3285),0))))</f>
        <v>0</v>
      </c>
      <c r="AJ3285" s="513" t="str">
        <f t="shared" ca="1" si="2526"/>
        <v/>
      </c>
      <c r="AK3285" s="700" t="str">
        <f t="shared" si="2527"/>
        <v/>
      </c>
      <c r="AL3285" s="700"/>
      <c r="AM3285" s="505" t="str">
        <f t="shared" si="2528"/>
        <v/>
      </c>
      <c r="AN3285" s="506"/>
      <c r="AO3285" s="507"/>
      <c r="AP3285" s="507"/>
      <c r="AQ3285" s="507"/>
      <c r="AR3285" s="507"/>
      <c r="AS3285" s="507"/>
      <c r="AT3285" s="507"/>
      <c r="AU3285" s="507"/>
      <c r="AV3285" s="225"/>
      <c r="AW3285" s="508"/>
      <c r="AX3285" s="225"/>
      <c r="AY3285" s="225"/>
      <c r="AZ3285" s="225"/>
      <c r="BA3285" s="225"/>
      <c r="BB3285" s="225"/>
      <c r="BC3285" s="56"/>
      <c r="BD3285" s="56"/>
      <c r="BE3285" s="56"/>
      <c r="BF3285" s="107" t="str">
        <f t="shared" si="2529"/>
        <v>https://www.google.com/search?tbm=isch&amp;q=Seven-Son%27s%20fragrant%20July%20blooms%20are%20followed%20by%20cherry%20red%20sepals%20%28around%20old%20blooms%29.%20Bark%20exfoliates%20nicely%20</v>
      </c>
      <c r="BG3285" s="107" t="str">
        <f t="shared" si="2530"/>
        <v>S</v>
      </c>
      <c r="BH3285" s="254"/>
      <c r="BI3285" s="254"/>
    </row>
    <row r="3286" spans="1:61" customFormat="1" ht="18" x14ac:dyDescent="0.25">
      <c r="A3286" s="521" t="s">
        <v>5532</v>
      </c>
      <c r="B3286" s="477"/>
      <c r="C3286" s="674"/>
      <c r="D3286" s="478" t="s">
        <v>1703</v>
      </c>
      <c r="E3286" s="479"/>
      <c r="F3286" s="479"/>
      <c r="G3286" s="479"/>
      <c r="H3286" s="582" t="s">
        <v>356</v>
      </c>
      <c r="I3286" s="480" t="s">
        <v>2694</v>
      </c>
      <c r="J3286" s="479"/>
      <c r="K3286" s="479"/>
      <c r="L3286" s="560"/>
      <c r="M3286" s="666" t="s">
        <v>4966</v>
      </c>
      <c r="N3286" s="680" t="str">
        <f>IF(AND(ISTEXT($A3286), ISERROR($A3286+0)), HYPERLINK($BF3286, "Images"), "")</f>
        <v>Images</v>
      </c>
      <c r="O3286" s="662" t="s">
        <v>4967</v>
      </c>
      <c r="P3286" s="482"/>
      <c r="Q3286" s="483"/>
      <c r="R3286" s="483"/>
      <c r="S3286" s="484"/>
      <c r="T3286" s="508">
        <f t="shared" si="2518"/>
        <v>0</v>
      </c>
      <c r="U3286" s="225" t="str">
        <f>IF(NOT(ISNUMBER(G3286)), "", VLOOKUP(A3286,'Discount Lookup'!D:E,2,FALSE)*G3286)</f>
        <v/>
      </c>
      <c r="V3286" s="225" t="str">
        <f>IF(NOT(ISNUMBER(G3286)), "", VLOOKUP(A3286,'Discount Lookup'!G:H,2,FALSE)*G3286)</f>
        <v/>
      </c>
      <c r="W3286" s="508">
        <f t="shared" si="2519"/>
        <v>0</v>
      </c>
      <c r="X3286" s="508" t="str">
        <f t="shared" si="2520"/>
        <v>Pink buds open Whiter</v>
      </c>
      <c r="Y3286" s="509" t="b">
        <f t="shared" si="2521"/>
        <v>0</v>
      </c>
      <c r="Z3286" s="510">
        <f t="shared" si="2522"/>
        <v>0</v>
      </c>
      <c r="AA3286" s="511"/>
      <c r="AB3286" s="511" t="str">
        <f t="shared" si="2523"/>
        <v/>
      </c>
      <c r="AC3286" s="698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698"/>
      <c r="AE3286" s="631" t="str">
        <f t="shared" si="2524"/>
        <v/>
      </c>
      <c r="AF3286" s="699" t="str">
        <f t="shared" si="2525"/>
        <v/>
      </c>
      <c r="AG3286" s="699"/>
      <c r="AH3286" s="699"/>
      <c r="AI3286" s="512">
        <f>IF(H3286="credit",0,IF(AE3286="free",0,IF(AE3286="me",0,IF(G3286&gt;0,(VLOOKUP(A3286,'Discount Lookup'!J:K,2)*G3286),0))))</f>
        <v>0</v>
      </c>
      <c r="AJ3286" s="513" t="str">
        <f t="shared" ca="1" si="2526"/>
        <v/>
      </c>
      <c r="AK3286" s="700" t="str">
        <f t="shared" si="2527"/>
        <v/>
      </c>
      <c r="AL3286" s="700"/>
      <c r="AM3286" s="505" t="str">
        <f t="shared" si="2528"/>
        <v/>
      </c>
      <c r="AN3286" s="506"/>
      <c r="AO3286" s="507"/>
      <c r="AP3286" s="507"/>
      <c r="AQ3286" s="507"/>
      <c r="AR3286" s="507"/>
      <c r="AS3286" s="507"/>
      <c r="AT3286" s="507"/>
      <c r="AU3286" s="507"/>
      <c r="AV3286" s="225"/>
      <c r="AW3286" s="508"/>
      <c r="AX3286" s="225"/>
      <c r="AY3286" s="225"/>
      <c r="AZ3286" s="225"/>
      <c r="BA3286" s="225"/>
      <c r="BB3286" s="225"/>
      <c r="BC3286" s="56"/>
      <c r="BD3286" s="56"/>
      <c r="BE3286" s="56"/>
      <c r="BF3286" s="107" t="str">
        <f t="shared" si="2529"/>
        <v>https://www.google.com/search?tbm=isch&amp;q=Shades%20of%20Pink%E2%84%A2%20Viburnum%20Viburnum%20tinus%20%27Lisarose%27%20PP%2322816</v>
      </c>
      <c r="BG3286" s="107" t="str">
        <f t="shared" si="2530"/>
        <v>S</v>
      </c>
      <c r="BH3286" s="254"/>
      <c r="BI3286" s="254"/>
    </row>
    <row r="3287" spans="1:61" customFormat="1" ht="15.75" x14ac:dyDescent="0.25">
      <c r="A3287" s="485">
        <v>3</v>
      </c>
      <c r="B3287" s="486" t="s">
        <v>291</v>
      </c>
      <c r="C3287" s="487" t="s">
        <v>445</v>
      </c>
      <c r="D3287" s="488" t="s">
        <v>312</v>
      </c>
      <c r="E3287" s="489">
        <v>30.95</v>
      </c>
      <c r="F3287" s="516" t="s">
        <v>293</v>
      </c>
      <c r="G3287" s="232">
        <v>0</v>
      </c>
      <c r="H3287" s="658" t="str">
        <f>IF(G3287=0,"",IF(F3287="Buy",IF(G3287=1,"plant","plants"),IF(F3287&gt;0.01,"warranty","Error")))</f>
        <v/>
      </c>
      <c r="I3287" s="490">
        <f>IF(H3287="free",0,IF(H3287="credit",((E3287*(F3287))*G3287*-1),IF(F3287="Buy",(E3287*G3287),((E3287*(1-F3287))*G3287))))</f>
        <v>0</v>
      </c>
      <c r="J3287" s="490">
        <f>IF(H3287="warranty",0,(I3287*(_xlfn.SINGLE(SalesTaxPercentage))))</f>
        <v>0</v>
      </c>
      <c r="K3287" s="695">
        <f t="shared" ref="K3287" si="2535">I3287+J3287</f>
        <v>0</v>
      </c>
      <c r="L3287" s="695"/>
      <c r="M3287" s="659" t="str">
        <f>IF(AND(G3287&gt;0,E3287=0),"WARNING - no PRICE inserted",IF(H3287="free"," FREE ~ no charge this plant",IF(H3287="credit",CONCATENATE(" -$",ROUND(K3287*(1-T2GDiscount)*-1,2)," CREDIT after discount"),IF(T2GDiscount=0,"",IF(G3287=0,"",IF(F3287="Buy",CONCATENATE(" $",ROUND(K3287*(1-T2GDiscount),2)," with ",(T2GDiscount*100),"% discount"),CONCATENATE(" $",ROUND(K3287*(1-T2GDiscount),2)," with ",((T2GDiscount*100+F3287*100)-(T2GDiscount*100*F3287)),IF(F3287&gt;0,"% discounts",IF(NoWarrantyDiscount&gt;0,"% discounts","% discount")))))))))</f>
        <v/>
      </c>
      <c r="N3287" s="660"/>
      <c r="O3287" s="233"/>
      <c r="P3287" s="233"/>
      <c r="Q3287" s="233"/>
      <c r="R3287" s="233"/>
      <c r="S3287" s="233"/>
      <c r="T3287" s="508">
        <f t="shared" si="2518"/>
        <v>0</v>
      </c>
      <c r="U3287" s="225">
        <f>IF(NOT(ISNUMBER(G3287)), "", VLOOKUP(A3287,'Discount Lookup'!D:E,2,FALSE)*G3287)</f>
        <v>0</v>
      </c>
      <c r="V3287" s="225">
        <f>IF(NOT(ISNUMBER(G3287)), "", VLOOKUP(A3287,'Discount Lookup'!G:H,2,FALSE)*G3287)</f>
        <v>0</v>
      </c>
      <c r="W3287" s="508">
        <f t="shared" si="2519"/>
        <v>0</v>
      </c>
      <c r="X3287" s="508">
        <f t="shared" si="2520"/>
        <v>0</v>
      </c>
      <c r="Y3287" s="509" t="b">
        <f t="shared" si="2521"/>
        <v>0</v>
      </c>
      <c r="Z3287" s="510">
        <f t="shared" si="2522"/>
        <v>0</v>
      </c>
      <c r="AA3287" s="511"/>
      <c r="AB3287" s="511" t="str">
        <f t="shared" si="2523"/>
        <v/>
      </c>
      <c r="AC3287" s="698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698"/>
      <c r="AE3287" s="631" t="str">
        <f t="shared" si="2524"/>
        <v/>
      </c>
      <c r="AF3287" s="699" t="str">
        <f t="shared" si="2525"/>
        <v/>
      </c>
      <c r="AG3287" s="699"/>
      <c r="AH3287" s="699"/>
      <c r="AI3287" s="512">
        <f>IF(H3287="credit",0,IF(AE3287="free",0,IF(AE3287="me",0,IF(G3287&gt;0,(VLOOKUP(A3287,'Discount Lookup'!J:K,2)*G3287),0))))</f>
        <v>0</v>
      </c>
      <c r="AJ3287" s="513" t="str">
        <f t="shared" ca="1" si="2526"/>
        <v/>
      </c>
      <c r="AK3287" s="700" t="str">
        <f t="shared" si="2527"/>
        <v/>
      </c>
      <c r="AL3287" s="700"/>
      <c r="AM3287" s="505" t="str">
        <f t="shared" si="2528"/>
        <v/>
      </c>
      <c r="AN3287" s="506"/>
      <c r="AO3287" s="507"/>
      <c r="AP3287" s="507"/>
      <c r="AQ3287" s="507"/>
      <c r="AR3287" s="507"/>
      <c r="AS3287" s="507"/>
      <c r="AT3287" s="507"/>
      <c r="AU3287" s="507"/>
      <c r="AV3287" s="225"/>
      <c r="AW3287" s="508"/>
      <c r="AX3287" s="225"/>
      <c r="AY3287" s="225"/>
      <c r="AZ3287" s="225"/>
      <c r="BA3287" s="225"/>
      <c r="BB3287" s="225"/>
      <c r="BC3287" s="56"/>
      <c r="BD3287" s="56"/>
      <c r="BE3287" s="56"/>
      <c r="BF3287" s="107" t="str">
        <f t="shared" si="2529"/>
        <v>https://www.google.com/search?tbm=isch&amp;q=3%20G2</v>
      </c>
      <c r="BG3287" s="107" t="str">
        <f t="shared" si="2530"/>
        <v>S</v>
      </c>
      <c r="BH3287" s="254"/>
      <c r="BI3287" s="254"/>
    </row>
    <row r="3288" spans="1:61" customFormat="1" ht="15.75" x14ac:dyDescent="0.25">
      <c r="A3288" s="485">
        <v>3</v>
      </c>
      <c r="B3288" s="486" t="s">
        <v>291</v>
      </c>
      <c r="C3288" s="487" t="s">
        <v>2472</v>
      </c>
      <c r="D3288" s="488" t="s">
        <v>299</v>
      </c>
      <c r="E3288" s="489">
        <v>36.950000000000003</v>
      </c>
      <c r="F3288" s="516" t="s">
        <v>293</v>
      </c>
      <c r="G3288" s="232">
        <v>0</v>
      </c>
      <c r="H3288" s="658" t="str">
        <f>IF(G3288=0,"",IF(F3288="Buy",IF(G3288=1,"plant","plants"),IF(F3288&gt;0.01,"warranty","Error")))</f>
        <v/>
      </c>
      <c r="I3288" s="490">
        <f>IF(H3288="free",0,IF(H3288="credit",((E3288*(F3288))*G3288*-1),IF(F3288="Buy",(E3288*G3288),((E3288*(1-F3288))*G3288))))</f>
        <v>0</v>
      </c>
      <c r="J3288" s="490">
        <f>IF(H3288="warranty",0,(I3288*(_xlfn.SINGLE(SalesTaxPercentage))))</f>
        <v>0</v>
      </c>
      <c r="K3288" s="695">
        <f t="shared" ref="K3288" si="2536">I3288+J3288</f>
        <v>0</v>
      </c>
      <c r="L3288" s="695"/>
      <c r="M3288" s="659" t="str">
        <f>IF(AND(G3288&gt;0,E3288=0),"WARNING - no PRICE inserted",IF(H3288="free"," FREE ~ no charge this plant",IF(H3288="credit",CONCATENATE(" -$",ROUND(K3288*(1-T2GDiscount)*-1,2)," CREDIT after discount"),IF(T2GDiscount=0,"",IF(G3288=0,"",IF(F3288="Buy",CONCATENATE(" $",ROUND(K3288*(1-T2GDiscount),2)," with ",(T2GDiscount*100),"% discount"),CONCATENATE(" $",ROUND(K3288*(1-T2GDiscount),2)," with ",((T2GDiscount*100+F3288*100)-(T2GDiscount*100*F3288)),IF(F3288&gt;0,"% discounts",IF(NoWarrantyDiscount&gt;0,"% discounts","% discount")))))))))</f>
        <v/>
      </c>
      <c r="N3288" s="660"/>
      <c r="O3288" s="233"/>
      <c r="P3288" s="233"/>
      <c r="Q3288" s="233"/>
      <c r="R3288" s="233"/>
      <c r="S3288" s="233"/>
      <c r="T3288" s="508">
        <f t="shared" si="2518"/>
        <v>0</v>
      </c>
      <c r="U3288" s="225">
        <f>IF(NOT(ISNUMBER(G3288)), "", VLOOKUP(A3288,'Discount Lookup'!D:E,2,FALSE)*G3288)</f>
        <v>0</v>
      </c>
      <c r="V3288" s="225">
        <f>IF(NOT(ISNUMBER(G3288)), "", VLOOKUP(A3288,'Discount Lookup'!G:H,2,FALSE)*G3288)</f>
        <v>0</v>
      </c>
      <c r="W3288" s="508">
        <f t="shared" si="2519"/>
        <v>0</v>
      </c>
      <c r="X3288" s="508">
        <f t="shared" si="2520"/>
        <v>0</v>
      </c>
      <c r="Y3288" s="509" t="b">
        <f t="shared" si="2521"/>
        <v>0</v>
      </c>
      <c r="Z3288" s="510">
        <f t="shared" si="2522"/>
        <v>0</v>
      </c>
      <c r="AA3288" s="511"/>
      <c r="AB3288" s="511" t="str">
        <f t="shared" si="2523"/>
        <v/>
      </c>
      <c r="AC3288" s="698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698"/>
      <c r="AE3288" s="631" t="str">
        <f t="shared" si="2524"/>
        <v/>
      </c>
      <c r="AF3288" s="699" t="str">
        <f t="shared" si="2525"/>
        <v/>
      </c>
      <c r="AG3288" s="699"/>
      <c r="AH3288" s="699"/>
      <c r="AI3288" s="512">
        <f>IF(H3288="credit",0,IF(AE3288="free",0,IF(AE3288="me",0,IF(G3288&gt;0,(VLOOKUP(A3288,'Discount Lookup'!J:K,2)*G3288),0))))</f>
        <v>0</v>
      </c>
      <c r="AJ3288" s="513" t="str">
        <f t="shared" ca="1" si="2526"/>
        <v/>
      </c>
      <c r="AK3288" s="700" t="str">
        <f t="shared" si="2527"/>
        <v/>
      </c>
      <c r="AL3288" s="700"/>
      <c r="AM3288" s="505" t="str">
        <f t="shared" si="2528"/>
        <v/>
      </c>
      <c r="AN3288" s="506"/>
      <c r="AO3288" s="507"/>
      <c r="AP3288" s="507"/>
      <c r="AQ3288" s="507"/>
      <c r="AR3288" s="507"/>
      <c r="AS3288" s="507"/>
      <c r="AT3288" s="507"/>
      <c r="AU3288" s="507"/>
      <c r="AV3288" s="225"/>
      <c r="AW3288" s="508"/>
      <c r="AX3288" s="225"/>
      <c r="AY3288" s="225"/>
      <c r="AZ3288" s="225"/>
      <c r="BA3288" s="225"/>
      <c r="BB3288" s="225"/>
      <c r="BC3288" s="56"/>
      <c r="BD3288" s="56"/>
      <c r="BE3288" s="56"/>
      <c r="BF3288" s="107" t="str">
        <f t="shared" si="2529"/>
        <v>https://www.google.com/search?tbm=isch&amp;q=3%20G5</v>
      </c>
      <c r="BG3288" s="107" t="str">
        <f t="shared" si="2530"/>
        <v>S</v>
      </c>
      <c r="BH3288" s="254"/>
      <c r="BI3288" s="254"/>
    </row>
    <row r="3289" spans="1:61" customFormat="1" ht="15.75" x14ac:dyDescent="0.25">
      <c r="A3289" s="485">
        <v>15</v>
      </c>
      <c r="B3289" s="486" t="s">
        <v>291</v>
      </c>
      <c r="C3289" s="487" t="s">
        <v>4443</v>
      </c>
      <c r="D3289" s="488" t="s">
        <v>292</v>
      </c>
      <c r="E3289" s="489">
        <v>169.95</v>
      </c>
      <c r="F3289" s="516" t="s">
        <v>293</v>
      </c>
      <c r="G3289" s="232">
        <v>0</v>
      </c>
      <c r="H3289" s="658" t="str">
        <f>IF(G3289=0,"",IF(F3289="Buy",IF(G3289=1,"plant","plants"),IF(F3289&gt;0.01,"warranty","Error")))</f>
        <v/>
      </c>
      <c r="I3289" s="490">
        <f>IF(H3289="free",0,IF(H3289="credit",((E3289*(F3289))*G3289*-1),IF(F3289="Buy",(E3289*G3289),((E3289*(1-F3289))*G3289))))</f>
        <v>0</v>
      </c>
      <c r="J3289" s="490">
        <f>IF(H3289="warranty",0,(I3289*(_xlfn.SINGLE(SalesTaxPercentage))))</f>
        <v>0</v>
      </c>
      <c r="K3289" s="695">
        <f t="shared" ref="K3289" si="2537">I3289+J3289</f>
        <v>0</v>
      </c>
      <c r="L3289" s="695"/>
      <c r="M3289" s="659" t="str">
        <f>IF(AND(G3289&gt;0,E3289=0),"WARNING - no PRICE inserted",IF(H3289="free"," FREE ~ no charge this plant",IF(H3289="credit",CONCATENATE(" -$",ROUND(K3289*(1-T2GDiscount)*-1,2)," CREDIT after discount"),IF(T2GDiscount=0,"",IF(G3289=0,"",IF(F3289="Buy",CONCATENATE(" $",ROUND(K3289*(1-T2GDiscount),2)," with ",(T2GDiscount*100),"% discount"),CONCATENATE(" $",ROUND(K3289*(1-T2GDiscount),2)," with ",((T2GDiscount*100+F3289*100)-(T2GDiscount*100*F3289)),IF(F3289&gt;0,"% discounts",IF(NoWarrantyDiscount&gt;0,"% discounts","% discount")))))))))</f>
        <v/>
      </c>
      <c r="N3289" s="660"/>
      <c r="O3289" s="233"/>
      <c r="P3289" s="233"/>
      <c r="Q3289" s="233"/>
      <c r="R3289" s="233"/>
      <c r="S3289" s="233"/>
      <c r="T3289" s="508">
        <f t="shared" si="2518"/>
        <v>0</v>
      </c>
      <c r="U3289" s="225">
        <f>IF(NOT(ISNUMBER(G3289)), "", VLOOKUP(A3289,'Discount Lookup'!D:E,2,FALSE)*G3289)</f>
        <v>0</v>
      </c>
      <c r="V3289" s="225">
        <f>IF(NOT(ISNUMBER(G3289)), "", VLOOKUP(A3289,'Discount Lookup'!G:H,2,FALSE)*G3289)</f>
        <v>0</v>
      </c>
      <c r="W3289" s="508">
        <f t="shared" si="2519"/>
        <v>0</v>
      </c>
      <c r="X3289" s="508">
        <f t="shared" si="2520"/>
        <v>0</v>
      </c>
      <c r="Y3289" s="509" t="b">
        <f t="shared" si="2521"/>
        <v>0</v>
      </c>
      <c r="Z3289" s="510">
        <f t="shared" si="2522"/>
        <v>0</v>
      </c>
      <c r="AA3289" s="511"/>
      <c r="AB3289" s="511" t="str">
        <f t="shared" si="2523"/>
        <v/>
      </c>
      <c r="AC3289" s="698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698"/>
      <c r="AE3289" s="631" t="str">
        <f t="shared" si="2524"/>
        <v/>
      </c>
      <c r="AF3289" s="699" t="str">
        <f t="shared" si="2525"/>
        <v/>
      </c>
      <c r="AG3289" s="699"/>
      <c r="AH3289" s="699"/>
      <c r="AI3289" s="512">
        <f>IF(H3289="credit",0,IF(AE3289="free",0,IF(AE3289="me",0,IF(G3289&gt;0,(VLOOKUP(A3289,'Discount Lookup'!J:K,2)*G3289),0))))</f>
        <v>0</v>
      </c>
      <c r="AJ3289" s="513" t="str">
        <f t="shared" ca="1" si="2526"/>
        <v/>
      </c>
      <c r="AK3289" s="700" t="str">
        <f t="shared" si="2527"/>
        <v/>
      </c>
      <c r="AL3289" s="700"/>
      <c r="AM3289" s="505" t="str">
        <f t="shared" si="2528"/>
        <v/>
      </c>
      <c r="AN3289" s="506"/>
      <c r="AO3289" s="507"/>
      <c r="AP3289" s="507"/>
      <c r="AQ3289" s="507"/>
      <c r="AR3289" s="507"/>
      <c r="AS3289" s="507"/>
      <c r="AT3289" s="507"/>
      <c r="AU3289" s="507"/>
      <c r="AV3289" s="225"/>
      <c r="AW3289" s="508"/>
      <c r="AX3289" s="225"/>
      <c r="AY3289" s="225"/>
      <c r="AZ3289" s="225"/>
      <c r="BA3289" s="225"/>
      <c r="BB3289" s="225"/>
      <c r="BC3289" s="56"/>
      <c r="BD3289" s="56"/>
      <c r="BE3289" s="56"/>
      <c r="BF3289" s="107" t="str">
        <f t="shared" si="2529"/>
        <v>https://www.google.com/search?tbm=isch&amp;q=15%20G4</v>
      </c>
      <c r="BG3289" s="107" t="str">
        <f t="shared" si="2530"/>
        <v>S</v>
      </c>
      <c r="BH3289" s="254"/>
      <c r="BI3289" s="254"/>
    </row>
    <row r="3290" spans="1:61" customFormat="1" ht="17.25" thickBot="1" x14ac:dyDescent="0.3">
      <c r="A3290" s="522" t="s">
        <v>4163</v>
      </c>
      <c r="B3290" s="491"/>
      <c r="C3290" s="675"/>
      <c r="D3290" s="491"/>
      <c r="E3290" s="491"/>
      <c r="F3290" s="492"/>
      <c r="G3290" s="493"/>
      <c r="H3290" s="491"/>
      <c r="I3290" s="234"/>
      <c r="J3290" s="234"/>
      <c r="K3290" s="494"/>
      <c r="L3290" s="543"/>
      <c r="M3290" s="561"/>
      <c r="N3290" s="495"/>
      <c r="O3290" s="496"/>
      <c r="P3290" s="497"/>
      <c r="Q3290" s="495"/>
      <c r="R3290" s="495"/>
      <c r="S3290" s="667" t="s">
        <v>4984</v>
      </c>
      <c r="T3290" s="508">
        <f t="shared" si="2518"/>
        <v>0</v>
      </c>
      <c r="U3290" s="225" t="str">
        <f>IF(NOT(ISNUMBER(G3290)), "", VLOOKUP(A3290,'Discount Lookup'!D:E,2,FALSE)*G3290)</f>
        <v/>
      </c>
      <c r="V3290" s="225" t="str">
        <f>IF(NOT(ISNUMBER(G3290)), "", VLOOKUP(A3290,'Discount Lookup'!G:H,2,FALSE)*G3290)</f>
        <v/>
      </c>
      <c r="W3290" s="508">
        <f t="shared" si="2519"/>
        <v>0</v>
      </c>
      <c r="X3290" s="508">
        <f t="shared" si="2520"/>
        <v>0</v>
      </c>
      <c r="Y3290" s="509" t="b">
        <f t="shared" si="2521"/>
        <v>0</v>
      </c>
      <c r="Z3290" s="510">
        <f t="shared" si="2522"/>
        <v>0</v>
      </c>
      <c r="AA3290" s="511"/>
      <c r="AB3290" s="511" t="str">
        <f t="shared" si="2523"/>
        <v/>
      </c>
      <c r="AC3290" s="698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698"/>
      <c r="AE3290" s="631" t="str">
        <f t="shared" si="2524"/>
        <v/>
      </c>
      <c r="AF3290" s="699" t="str">
        <f t="shared" si="2525"/>
        <v/>
      </c>
      <c r="AG3290" s="699"/>
      <c r="AH3290" s="699"/>
      <c r="AI3290" s="512">
        <f>IF(H3290="credit",0,IF(AE3290="free",0,IF(AE3290="me",0,IF(G3290&gt;0,(VLOOKUP(A3290,'Discount Lookup'!J:K,2)*G3290),0))))</f>
        <v>0</v>
      </c>
      <c r="AJ3290" s="513" t="str">
        <f t="shared" ca="1" si="2526"/>
        <v/>
      </c>
      <c r="AK3290" s="700" t="str">
        <f t="shared" si="2527"/>
        <v/>
      </c>
      <c r="AL3290" s="700"/>
      <c r="AM3290" s="505" t="str">
        <f t="shared" si="2528"/>
        <v/>
      </c>
      <c r="AN3290" s="506"/>
      <c r="AO3290" s="507"/>
      <c r="AP3290" s="507"/>
      <c r="AQ3290" s="507"/>
      <c r="AR3290" s="507"/>
      <c r="AS3290" s="507"/>
      <c r="AT3290" s="507"/>
      <c r="AU3290" s="507"/>
      <c r="AV3290" s="225"/>
      <c r="AW3290" s="508"/>
      <c r="AX3290" s="225"/>
      <c r="AY3290" s="225"/>
      <c r="AZ3290" s="225"/>
      <c r="BA3290" s="225"/>
      <c r="BB3290" s="225"/>
      <c r="BC3290" s="56"/>
      <c r="BD3290" s="56"/>
      <c r="BE3290" s="56"/>
      <c r="BF3290" s="107" t="str">
        <f t="shared" si="2529"/>
        <v>https://www.google.com/search?tbm=isch&amp;q=Shades%20of%20Pink%20has%20dark%20glossy%20Green%20foliage%2C%20Blush-Pink%20spring%20blooms%2C%20Red%20stems%2C%20and%20subtle%20Burgundy%20fall%20tones%20</v>
      </c>
      <c r="BG3290" s="107" t="str">
        <f t="shared" si="2530"/>
        <v>S</v>
      </c>
      <c r="BH3290" s="254"/>
      <c r="BI3290" s="254"/>
    </row>
    <row r="3291" spans="1:61" customFormat="1" ht="18" x14ac:dyDescent="0.25">
      <c r="A3291" s="523" t="s">
        <v>1704</v>
      </c>
      <c r="B3291" s="235"/>
      <c r="C3291" s="676"/>
      <c r="D3291" s="255" t="s">
        <v>1705</v>
      </c>
      <c r="E3291" s="236"/>
      <c r="F3291" s="236"/>
      <c r="G3291" s="236"/>
      <c r="H3291" s="582" t="s">
        <v>467</v>
      </c>
      <c r="I3291" s="498" t="s">
        <v>2302</v>
      </c>
      <c r="J3291" s="237"/>
      <c r="K3291" s="237"/>
      <c r="L3291" s="274"/>
      <c r="M3291" s="668" t="s">
        <v>4975</v>
      </c>
      <c r="N3291" s="681" t="str">
        <f>IF(AND(ISTEXT($A3291), ISERROR($A3291+0)), HYPERLINK($BF3291, "Images"), "")</f>
        <v>Images</v>
      </c>
      <c r="O3291" s="663" t="s">
        <v>4967</v>
      </c>
      <c r="P3291" s="253"/>
      <c r="Q3291" s="238"/>
      <c r="R3291" s="239"/>
      <c r="S3291" s="275"/>
      <c r="T3291" s="508">
        <f t="shared" si="2518"/>
        <v>0</v>
      </c>
      <c r="U3291" s="225" t="str">
        <f>IF(NOT(ISNUMBER(G3291)), "", VLOOKUP(A3291,'Discount Lookup'!D:E,2,FALSE)*G3291)</f>
        <v/>
      </c>
      <c r="V3291" s="225" t="str">
        <f>IF(NOT(ISNUMBER(G3291)), "", VLOOKUP(A3291,'Discount Lookup'!G:H,2,FALSE)*G3291)</f>
        <v/>
      </c>
      <c r="W3291" s="508">
        <f t="shared" si="2519"/>
        <v>0</v>
      </c>
      <c r="X3291" s="508" t="str">
        <f t="shared" si="2520"/>
        <v>Maroon-Red foliage</v>
      </c>
      <c r="Y3291" s="509" t="b">
        <f t="shared" si="2521"/>
        <v>0</v>
      </c>
      <c r="Z3291" s="510">
        <f t="shared" si="2522"/>
        <v>0</v>
      </c>
      <c r="AA3291" s="511"/>
      <c r="AB3291" s="511" t="str">
        <f t="shared" si="2523"/>
        <v/>
      </c>
      <c r="AC3291" s="698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698"/>
      <c r="AE3291" s="631" t="str">
        <f t="shared" si="2524"/>
        <v/>
      </c>
      <c r="AF3291" s="699" t="str">
        <f t="shared" si="2525"/>
        <v/>
      </c>
      <c r="AG3291" s="699"/>
      <c r="AH3291" s="699"/>
      <c r="AI3291" s="512">
        <f>IF(H3291="credit",0,IF(AE3291="free",0,IF(AE3291="me",0,IF(G3291&gt;0,(VLOOKUP(A3291,'Discount Lookup'!J:K,2)*G3291),0))))</f>
        <v>0</v>
      </c>
      <c r="AJ3291" s="513" t="str">
        <f t="shared" ca="1" si="2526"/>
        <v/>
      </c>
      <c r="AK3291" s="700" t="str">
        <f t="shared" si="2527"/>
        <v/>
      </c>
      <c r="AL3291" s="700"/>
      <c r="AM3291" s="505" t="str">
        <f t="shared" si="2528"/>
        <v/>
      </c>
      <c r="AN3291" s="506"/>
      <c r="AO3291" s="507"/>
      <c r="AP3291" s="507"/>
      <c r="AQ3291" s="507"/>
      <c r="AR3291" s="507"/>
      <c r="AS3291" s="507"/>
      <c r="AT3291" s="507"/>
      <c r="AU3291" s="507"/>
      <c r="AV3291" s="225"/>
      <c r="AW3291" s="508"/>
      <c r="AX3291" s="225"/>
      <c r="AY3291" s="225"/>
      <c r="AZ3291" s="225"/>
      <c r="BA3291" s="225"/>
      <c r="BB3291" s="225"/>
      <c r="BC3291" s="56"/>
      <c r="BD3291" s="56"/>
      <c r="BE3291" s="56"/>
      <c r="BF3291" s="107" t="str">
        <f t="shared" si="2529"/>
        <v>https://www.google.com/search?tbm=isch&amp;q=Shaina%20Japanese%20Maple%20Acer%20palmatum%20%27Shaina%27</v>
      </c>
      <c r="BG3291" s="107" t="str">
        <f t="shared" si="2530"/>
        <v>S</v>
      </c>
      <c r="BH3291" s="254"/>
      <c r="BI3291" s="254"/>
    </row>
    <row r="3292" spans="1:61" customFormat="1" ht="27" x14ac:dyDescent="0.25">
      <c r="A3292" s="276">
        <v>10</v>
      </c>
      <c r="B3292" s="240" t="s">
        <v>291</v>
      </c>
      <c r="C3292" s="241" t="s">
        <v>3761</v>
      </c>
      <c r="D3292" s="242" t="s">
        <v>292</v>
      </c>
      <c r="E3292" s="243">
        <v>332.95</v>
      </c>
      <c r="F3292" s="517" t="s">
        <v>293</v>
      </c>
      <c r="G3292" s="232">
        <v>0</v>
      </c>
      <c r="H3292" s="661" t="str">
        <f>IF(G3292=0,"",IF(F3292="Buy",IF(G3292=1,"plant","plants"),IF(F3292&gt;0.01,"warranty","Error")))</f>
        <v/>
      </c>
      <c r="I3292" s="244">
        <f>IF(H3292="free",0,IF(H3292="credit",((E3292*(F3292))*G3292*-1),IF(F3292="Buy",(E3292*G3292),((E3292*(1-F3292))*G3292))))</f>
        <v>0</v>
      </c>
      <c r="J3292" s="244">
        <f>IF(H3292="warranty",0,(I3292*(_xlfn.SINGLE(SalesTaxPercentage))))</f>
        <v>0</v>
      </c>
      <c r="K3292" s="696">
        <f t="shared" ref="K3292" si="2538">I3292+J3292</f>
        <v>0</v>
      </c>
      <c r="L3292" s="696"/>
      <c r="M3292" s="659" t="str">
        <f>IF(AND(G3292&gt;0,E3292=0),"WARNING - no PRICE inserted",IF(H3292="free"," FREE ~ no charge this plant",IF(H3292="credit",CONCATENATE(" -$",ROUND(K3292*(1-T2GDiscount)*-1,2)," CREDIT after discount"),IF(T2GDiscount=0,"",IF(G3292=0,"",IF(F3292="Buy",CONCATENATE(" $",ROUND(K3292*(1-T2GDiscount),2)," with ",(T2GDiscount*100),"% discount"),CONCATENATE(" $",ROUND(K3292*(1-T2GDiscount),2)," with ",((T2GDiscount*100+F3292*100)-(T2GDiscount*100*F3292)),IF(F3292&gt;0,"% discounts",IF(NoWarrantyDiscount&gt;0,"% discounts","% discount")))))))))</f>
        <v/>
      </c>
      <c r="N3292" s="660"/>
      <c r="O3292" s="233"/>
      <c r="P3292" s="233"/>
      <c r="Q3292" s="233"/>
      <c r="R3292" s="233"/>
      <c r="S3292" s="233"/>
      <c r="T3292" s="508">
        <f t="shared" si="2518"/>
        <v>0</v>
      </c>
      <c r="U3292" s="225">
        <f>IF(NOT(ISNUMBER(G3292)), "", VLOOKUP(A3292,'Discount Lookup'!D:E,2,FALSE)*G3292)</f>
        <v>0</v>
      </c>
      <c r="V3292" s="225">
        <f>IF(NOT(ISNUMBER(G3292)), "", VLOOKUP(A3292,'Discount Lookup'!G:H,2,FALSE)*G3292)</f>
        <v>0</v>
      </c>
      <c r="W3292" s="508">
        <f t="shared" si="2519"/>
        <v>0</v>
      </c>
      <c r="X3292" s="508">
        <f t="shared" si="2520"/>
        <v>0</v>
      </c>
      <c r="Y3292" s="509" t="b">
        <f t="shared" si="2521"/>
        <v>0</v>
      </c>
      <c r="Z3292" s="510">
        <f t="shared" si="2522"/>
        <v>0</v>
      </c>
      <c r="AA3292" s="511"/>
      <c r="AB3292" s="511" t="str">
        <f t="shared" si="2523"/>
        <v/>
      </c>
      <c r="AC3292" s="698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698"/>
      <c r="AE3292" s="631" t="str">
        <f t="shared" si="2524"/>
        <v/>
      </c>
      <c r="AF3292" s="699" t="str">
        <f t="shared" si="2525"/>
        <v/>
      </c>
      <c r="AG3292" s="699"/>
      <c r="AH3292" s="699"/>
      <c r="AI3292" s="512">
        <f>IF(H3292="credit",0,IF(AE3292="free",0,IF(AE3292="me",0,IF(G3292&gt;0,(VLOOKUP(A3292,'Discount Lookup'!J:K,2)*G3292),0))))</f>
        <v>0</v>
      </c>
      <c r="AJ3292" s="513" t="str">
        <f t="shared" ca="1" si="2526"/>
        <v/>
      </c>
      <c r="AK3292" s="700" t="str">
        <f t="shared" si="2527"/>
        <v/>
      </c>
      <c r="AL3292" s="700"/>
      <c r="AM3292" s="505" t="str">
        <f t="shared" si="2528"/>
        <v/>
      </c>
      <c r="AN3292" s="506"/>
      <c r="AO3292" s="507"/>
      <c r="AP3292" s="507"/>
      <c r="AQ3292" s="507"/>
      <c r="AR3292" s="507"/>
      <c r="AS3292" s="507"/>
      <c r="AT3292" s="507"/>
      <c r="AU3292" s="507"/>
      <c r="AV3292" s="225"/>
      <c r="AW3292" s="508"/>
      <c r="AX3292" s="225"/>
      <c r="AY3292" s="225"/>
      <c r="AZ3292" s="225"/>
      <c r="BA3292" s="225"/>
      <c r="BB3292" s="225"/>
      <c r="BC3292" s="56"/>
      <c r="BD3292" s="56"/>
      <c r="BE3292" s="56"/>
      <c r="BF3292" s="107" t="str">
        <f t="shared" si="2529"/>
        <v>https://www.google.com/search?tbm=isch&amp;q=10%20G4</v>
      </c>
      <c r="BG3292" s="107" t="str">
        <f t="shared" si="2530"/>
        <v>S</v>
      </c>
      <c r="BH3292" s="254"/>
      <c r="BI3292" s="254"/>
    </row>
    <row r="3293" spans="1:61" customFormat="1" ht="17.25" thickBot="1" x14ac:dyDescent="0.3">
      <c r="A3293" s="524" t="s">
        <v>2473</v>
      </c>
      <c r="B3293" s="245"/>
      <c r="C3293" s="677"/>
      <c r="D3293" s="499"/>
      <c r="E3293" s="499"/>
      <c r="F3293" s="500"/>
      <c r="G3293" s="501"/>
      <c r="H3293" s="502"/>
      <c r="I3293" s="246"/>
      <c r="J3293" s="247"/>
      <c r="K3293" s="503"/>
      <c r="L3293" s="544"/>
      <c r="M3293" s="544"/>
      <c r="N3293" s="500"/>
      <c r="O3293" s="500"/>
      <c r="P3293" s="500"/>
      <c r="Q3293" s="500"/>
      <c r="R3293" s="500"/>
      <c r="S3293" s="278"/>
      <c r="T3293" s="508">
        <f t="shared" si="2518"/>
        <v>0</v>
      </c>
      <c r="U3293" s="225" t="str">
        <f>IF(NOT(ISNUMBER(G3293)), "", VLOOKUP(A3293,'Discount Lookup'!D:E,2,FALSE)*G3293)</f>
        <v/>
      </c>
      <c r="V3293" s="225" t="str">
        <f>IF(NOT(ISNUMBER(G3293)), "", VLOOKUP(A3293,'Discount Lookup'!G:H,2,FALSE)*G3293)</f>
        <v/>
      </c>
      <c r="W3293" s="508">
        <f t="shared" si="2519"/>
        <v>0</v>
      </c>
      <c r="X3293" s="508">
        <f t="shared" si="2520"/>
        <v>0</v>
      </c>
      <c r="Y3293" s="509" t="b">
        <f t="shared" si="2521"/>
        <v>0</v>
      </c>
      <c r="Z3293" s="510">
        <f t="shared" si="2522"/>
        <v>0</v>
      </c>
      <c r="AA3293" s="511"/>
      <c r="AB3293" s="511" t="str">
        <f t="shared" si="2523"/>
        <v/>
      </c>
      <c r="AC3293" s="698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698"/>
      <c r="AE3293" s="631" t="str">
        <f t="shared" si="2524"/>
        <v/>
      </c>
      <c r="AF3293" s="699" t="str">
        <f t="shared" si="2525"/>
        <v/>
      </c>
      <c r="AG3293" s="699"/>
      <c r="AH3293" s="699"/>
      <c r="AI3293" s="512">
        <f>IF(H3293="credit",0,IF(AE3293="free",0,IF(AE3293="me",0,IF(G3293&gt;0,(VLOOKUP(A3293,'Discount Lookup'!J:K,2)*G3293),0))))</f>
        <v>0</v>
      </c>
      <c r="AJ3293" s="513" t="str">
        <f t="shared" ca="1" si="2526"/>
        <v/>
      </c>
      <c r="AK3293" s="700" t="str">
        <f t="shared" si="2527"/>
        <v/>
      </c>
      <c r="AL3293" s="700"/>
      <c r="AM3293" s="505" t="str">
        <f t="shared" si="2528"/>
        <v/>
      </c>
      <c r="AN3293" s="506"/>
      <c r="AO3293" s="507"/>
      <c r="AP3293" s="507"/>
      <c r="AQ3293" s="507"/>
      <c r="AR3293" s="507"/>
      <c r="AS3293" s="507"/>
      <c r="AT3293" s="507"/>
      <c r="AU3293" s="507"/>
      <c r="AV3293" s="225"/>
      <c r="AW3293" s="508"/>
      <c r="AX3293" s="225"/>
      <c r="AY3293" s="225"/>
      <c r="AZ3293" s="225"/>
      <c r="BA3293" s="225"/>
      <c r="BB3293" s="225"/>
      <c r="BC3293" s="56"/>
      <c r="BD3293" s="56"/>
      <c r="BE3293" s="56"/>
      <c r="BF3293" s="107" t="str">
        <f t="shared" si="2529"/>
        <v>https://www.google.com/search?tbm=isch&amp;q=Shaina%27s%20foliage%20emerges%20bright%20Purple-Red%2C%20deepens%20over%20the%20summer%2C%20then%20brilliant%20Crimson-Red%20in%20fall%20</v>
      </c>
      <c r="BG3293" s="107" t="str">
        <f t="shared" si="2530"/>
        <v>S</v>
      </c>
      <c r="BH3293" s="254"/>
      <c r="BI3293" s="254"/>
    </row>
    <row r="3294" spans="1:61" customFormat="1" ht="18" x14ac:dyDescent="0.25">
      <c r="A3294" s="521" t="s">
        <v>1706</v>
      </c>
      <c r="B3294" s="477"/>
      <c r="C3294" s="674"/>
      <c r="D3294" s="478" t="s">
        <v>1707</v>
      </c>
      <c r="E3294" s="479"/>
      <c r="F3294" s="479"/>
      <c r="G3294" s="479"/>
      <c r="H3294" s="582" t="s">
        <v>441</v>
      </c>
      <c r="I3294" s="480" t="s">
        <v>2093</v>
      </c>
      <c r="J3294" s="479"/>
      <c r="K3294" s="479"/>
      <c r="L3294" s="560"/>
      <c r="M3294" s="666" t="s">
        <v>4966</v>
      </c>
      <c r="N3294" s="680" t="str">
        <f>IF(AND(ISTEXT($A3294), ISERROR($A3294+0)), HYPERLINK($BF3294, "Images"), "")</f>
        <v>Images</v>
      </c>
      <c r="O3294" s="662" t="s">
        <v>4967</v>
      </c>
      <c r="P3294" s="482"/>
      <c r="Q3294" s="483"/>
      <c r="R3294" s="483"/>
      <c r="S3294" s="484" t="s">
        <v>305</v>
      </c>
      <c r="T3294" s="508">
        <f t="shared" si="2518"/>
        <v>0</v>
      </c>
      <c r="U3294" s="225" t="str">
        <f>IF(NOT(ISNUMBER(G3294)), "", VLOOKUP(A3294,'Discount Lookup'!D:E,2,FALSE)*G3294)</f>
        <v/>
      </c>
      <c r="V3294" s="225" t="str">
        <f>IF(NOT(ISNUMBER(G3294)), "", VLOOKUP(A3294,'Discount Lookup'!G:H,2,FALSE)*G3294)</f>
        <v/>
      </c>
      <c r="W3294" s="508">
        <f t="shared" si="2519"/>
        <v>0</v>
      </c>
      <c r="X3294" s="508" t="str">
        <f t="shared" si="2520"/>
        <v>Dark Green foliage</v>
      </c>
      <c r="Y3294" s="509" t="b">
        <f t="shared" si="2521"/>
        <v>0</v>
      </c>
      <c r="Z3294" s="510">
        <f t="shared" si="2522"/>
        <v>0</v>
      </c>
      <c r="AA3294" s="511"/>
      <c r="AB3294" s="511" t="str">
        <f t="shared" si="2523"/>
        <v/>
      </c>
      <c r="AC3294" s="698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698"/>
      <c r="AE3294" s="631" t="str">
        <f t="shared" si="2524"/>
        <v/>
      </c>
      <c r="AF3294" s="699" t="str">
        <f t="shared" si="2525"/>
        <v/>
      </c>
      <c r="AG3294" s="699"/>
      <c r="AH3294" s="699"/>
      <c r="AI3294" s="512">
        <f>IF(H3294="credit",0,IF(AE3294="free",0,IF(AE3294="me",0,IF(G3294&gt;0,(VLOOKUP(A3294,'Discount Lookup'!J:K,2)*G3294),0))))</f>
        <v>0</v>
      </c>
      <c r="AJ3294" s="513" t="str">
        <f t="shared" ca="1" si="2526"/>
        <v/>
      </c>
      <c r="AK3294" s="700" t="str">
        <f t="shared" si="2527"/>
        <v/>
      </c>
      <c r="AL3294" s="700"/>
      <c r="AM3294" s="505" t="str">
        <f t="shared" si="2528"/>
        <v/>
      </c>
      <c r="AN3294" s="506"/>
      <c r="AO3294" s="507"/>
      <c r="AP3294" s="507"/>
      <c r="AQ3294" s="507"/>
      <c r="AR3294" s="507"/>
      <c r="AS3294" s="507"/>
      <c r="AT3294" s="507"/>
      <c r="AU3294" s="507"/>
      <c r="AV3294" s="225"/>
      <c r="AW3294" s="508"/>
      <c r="AX3294" s="225"/>
      <c r="AY3294" s="225"/>
      <c r="AZ3294" s="225"/>
      <c r="BA3294" s="225"/>
      <c r="BB3294" s="225"/>
      <c r="BC3294" s="56"/>
      <c r="BD3294" s="56"/>
      <c r="BE3294" s="56"/>
      <c r="BF3294" s="107" t="str">
        <f t="shared" si="2529"/>
        <v>https://www.google.com/search?tbm=isch&amp;q=Shamrock%20Inkberry%20Holly%20Ilex%20glabra%20%27Shamrock%27</v>
      </c>
      <c r="BG3294" s="107" t="str">
        <f t="shared" si="2530"/>
        <v>S</v>
      </c>
      <c r="BH3294" s="254"/>
      <c r="BI3294" s="254"/>
    </row>
    <row r="3295" spans="1:61" customFormat="1" ht="15.75" x14ac:dyDescent="0.25">
      <c r="A3295" s="485">
        <v>3</v>
      </c>
      <c r="B3295" s="486" t="s">
        <v>291</v>
      </c>
      <c r="C3295" s="487" t="s">
        <v>2243</v>
      </c>
      <c r="D3295" s="488" t="s">
        <v>300</v>
      </c>
      <c r="E3295" s="489">
        <v>44.95</v>
      </c>
      <c r="F3295" s="516" t="s">
        <v>293</v>
      </c>
      <c r="G3295" s="232">
        <v>0</v>
      </c>
      <c r="H3295" s="658" t="str">
        <f>IF(G3295=0,"",IF(F3295="Buy",IF(G3295=1,"plant","plants"),IF(F3295&gt;0.01,"warranty","Error")))</f>
        <v/>
      </c>
      <c r="I3295" s="490">
        <f>IF(H3295="free",0,IF(H3295="credit",((E3295*(F3295))*G3295*-1),IF(F3295="Buy",(E3295*G3295),((E3295*(1-F3295))*G3295))))</f>
        <v>0</v>
      </c>
      <c r="J3295" s="490">
        <f>IF(H3295="warranty",0,(I3295*(_xlfn.SINGLE(SalesTaxPercentage))))</f>
        <v>0</v>
      </c>
      <c r="K3295" s="695">
        <f t="shared" ref="K3295" si="2539">I3295+J3295</f>
        <v>0</v>
      </c>
      <c r="L3295" s="695"/>
      <c r="M3295" s="659" t="str">
        <f>IF(AND(G3295&gt;0,E3295=0),"WARNING - no PRICE inserted",IF(H3295="free"," FREE ~ no charge this plant",IF(H3295="credit",CONCATENATE(" -$",ROUND(K3295*(1-T2GDiscount)*-1,2)," CREDIT after discount"),IF(T2GDiscount=0,"",IF(G3295=0,"",IF(F3295="Buy",CONCATENATE(" $",ROUND(K3295*(1-T2GDiscount),2)," with ",(T2GDiscount*100),"% discount"),CONCATENATE(" $",ROUND(K3295*(1-T2GDiscount),2)," with ",((T2GDiscount*100+F3295*100)-(T2GDiscount*100*F3295)),IF(F3295&gt;0,"% discounts",IF(NoWarrantyDiscount&gt;0,"% discounts","% discount")))))))))</f>
        <v/>
      </c>
      <c r="N3295" s="660"/>
      <c r="O3295" s="233"/>
      <c r="P3295" s="233"/>
      <c r="Q3295" s="233"/>
      <c r="R3295" s="233"/>
      <c r="S3295" s="233"/>
      <c r="T3295" s="508">
        <f t="shared" si="2518"/>
        <v>0</v>
      </c>
      <c r="U3295" s="225">
        <f>IF(NOT(ISNUMBER(G3295)), "", VLOOKUP(A3295,'Discount Lookup'!D:E,2,FALSE)*G3295)</f>
        <v>0</v>
      </c>
      <c r="V3295" s="225">
        <f>IF(NOT(ISNUMBER(G3295)), "", VLOOKUP(A3295,'Discount Lookup'!G:H,2,FALSE)*G3295)</f>
        <v>0</v>
      </c>
      <c r="W3295" s="508">
        <f t="shared" si="2519"/>
        <v>0</v>
      </c>
      <c r="X3295" s="508">
        <f t="shared" si="2520"/>
        <v>0</v>
      </c>
      <c r="Y3295" s="509" t="b">
        <f t="shared" si="2521"/>
        <v>0</v>
      </c>
      <c r="Z3295" s="510">
        <f t="shared" si="2522"/>
        <v>0</v>
      </c>
      <c r="AA3295" s="511"/>
      <c r="AB3295" s="511" t="str">
        <f t="shared" si="2523"/>
        <v/>
      </c>
      <c r="AC3295" s="698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698"/>
      <c r="AE3295" s="631" t="str">
        <f t="shared" si="2524"/>
        <v/>
      </c>
      <c r="AF3295" s="699" t="str">
        <f t="shared" si="2525"/>
        <v/>
      </c>
      <c r="AG3295" s="699"/>
      <c r="AH3295" s="699"/>
      <c r="AI3295" s="512">
        <f>IF(H3295="credit",0,IF(AE3295="free",0,IF(AE3295="me",0,IF(G3295&gt;0,(VLOOKUP(A3295,'Discount Lookup'!J:K,2)*G3295),0))))</f>
        <v>0</v>
      </c>
      <c r="AJ3295" s="513" t="str">
        <f t="shared" ca="1" si="2526"/>
        <v/>
      </c>
      <c r="AK3295" s="700" t="str">
        <f t="shared" si="2527"/>
        <v/>
      </c>
      <c r="AL3295" s="700"/>
      <c r="AM3295" s="505" t="str">
        <f t="shared" si="2528"/>
        <v/>
      </c>
      <c r="AN3295" s="506"/>
      <c r="AO3295" s="507"/>
      <c r="AP3295" s="507"/>
      <c r="AQ3295" s="507"/>
      <c r="AR3295" s="507"/>
      <c r="AS3295" s="507"/>
      <c r="AT3295" s="507"/>
      <c r="AU3295" s="507"/>
      <c r="AV3295" s="225"/>
      <c r="AW3295" s="508"/>
      <c r="AX3295" s="225"/>
      <c r="AY3295" s="225"/>
      <c r="AZ3295" s="225"/>
      <c r="BA3295" s="225"/>
      <c r="BB3295" s="225"/>
      <c r="BC3295" s="56"/>
      <c r="BD3295" s="56"/>
      <c r="BE3295" s="56"/>
      <c r="BF3295" s="107" t="str">
        <f t="shared" si="2529"/>
        <v>https://www.google.com/search?tbm=isch&amp;q=3%20G6</v>
      </c>
      <c r="BG3295" s="107" t="str">
        <f t="shared" si="2530"/>
        <v>S</v>
      </c>
      <c r="BH3295" s="254"/>
      <c r="BI3295" s="254"/>
    </row>
    <row r="3296" spans="1:61" customFormat="1" ht="15.75" x14ac:dyDescent="0.25">
      <c r="A3296" s="485">
        <v>7</v>
      </c>
      <c r="B3296" s="486" t="s">
        <v>291</v>
      </c>
      <c r="C3296" s="487" t="s">
        <v>1708</v>
      </c>
      <c r="D3296" s="488" t="s">
        <v>299</v>
      </c>
      <c r="E3296" s="489">
        <v>56.95</v>
      </c>
      <c r="F3296" s="516" t="s">
        <v>293</v>
      </c>
      <c r="G3296" s="232">
        <v>0</v>
      </c>
      <c r="H3296" s="658" t="str">
        <f>IF(G3296=0,"",IF(F3296="Buy",IF(G3296=1,"plant","plants"),IF(F3296&gt;0.01,"warranty","Error")))</f>
        <v/>
      </c>
      <c r="I3296" s="490">
        <f>IF(H3296="free",0,IF(H3296="credit",((E3296*(F3296))*G3296*-1),IF(F3296="Buy",(E3296*G3296),((E3296*(1-F3296))*G3296))))</f>
        <v>0</v>
      </c>
      <c r="J3296" s="490">
        <f>IF(H3296="warranty",0,(I3296*(_xlfn.SINGLE(SalesTaxPercentage))))</f>
        <v>0</v>
      </c>
      <c r="K3296" s="695">
        <f t="shared" ref="K3296" si="2540">I3296+J3296</f>
        <v>0</v>
      </c>
      <c r="L3296" s="695"/>
      <c r="M3296" s="659" t="str">
        <f>IF(AND(G3296&gt;0,E3296=0),"WARNING - no PRICE inserted",IF(H3296="free"," FREE ~ no charge this plant",IF(H3296="credit",CONCATENATE(" -$",ROUND(K3296*(1-T2GDiscount)*-1,2)," CREDIT after discount"),IF(T2GDiscount=0,"",IF(G3296=0,"",IF(F3296="Buy",CONCATENATE(" $",ROUND(K3296*(1-T2GDiscount),2)," with ",(T2GDiscount*100),"% discount"),CONCATENATE(" $",ROUND(K3296*(1-T2GDiscount),2)," with ",((T2GDiscount*100+F3296*100)-(T2GDiscount*100*F3296)),IF(F3296&gt;0,"% discounts",IF(NoWarrantyDiscount&gt;0,"% discounts","% discount")))))))))</f>
        <v/>
      </c>
      <c r="N3296" s="660"/>
      <c r="O3296" s="233"/>
      <c r="P3296" s="233"/>
      <c r="Q3296" s="233"/>
      <c r="R3296" s="233"/>
      <c r="S3296" s="233"/>
      <c r="T3296" s="508">
        <f t="shared" si="2518"/>
        <v>0</v>
      </c>
      <c r="U3296" s="225">
        <f>IF(NOT(ISNUMBER(G3296)), "", VLOOKUP(A3296,'Discount Lookup'!D:E,2,FALSE)*G3296)</f>
        <v>0</v>
      </c>
      <c r="V3296" s="225">
        <f>IF(NOT(ISNUMBER(G3296)), "", VLOOKUP(A3296,'Discount Lookup'!G:H,2,FALSE)*G3296)</f>
        <v>0</v>
      </c>
      <c r="W3296" s="508">
        <f t="shared" si="2519"/>
        <v>0</v>
      </c>
      <c r="X3296" s="508">
        <f t="shared" si="2520"/>
        <v>0</v>
      </c>
      <c r="Y3296" s="509" t="b">
        <f t="shared" si="2521"/>
        <v>0</v>
      </c>
      <c r="Z3296" s="510">
        <f t="shared" si="2522"/>
        <v>0</v>
      </c>
      <c r="AA3296" s="511"/>
      <c r="AB3296" s="511" t="str">
        <f t="shared" si="2523"/>
        <v/>
      </c>
      <c r="AC3296" s="698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698"/>
      <c r="AE3296" s="631" t="str">
        <f t="shared" si="2524"/>
        <v/>
      </c>
      <c r="AF3296" s="699" t="str">
        <f t="shared" si="2525"/>
        <v/>
      </c>
      <c r="AG3296" s="699"/>
      <c r="AH3296" s="699"/>
      <c r="AI3296" s="512">
        <f>IF(H3296="credit",0,IF(AE3296="free",0,IF(AE3296="me",0,IF(G3296&gt;0,(VLOOKUP(A3296,'Discount Lookup'!J:K,2)*G3296),0))))</f>
        <v>0</v>
      </c>
      <c r="AJ3296" s="513" t="str">
        <f t="shared" ca="1" si="2526"/>
        <v/>
      </c>
      <c r="AK3296" s="700" t="str">
        <f t="shared" si="2527"/>
        <v/>
      </c>
      <c r="AL3296" s="700"/>
      <c r="AM3296" s="505" t="str">
        <f t="shared" si="2528"/>
        <v/>
      </c>
      <c r="AN3296" s="506"/>
      <c r="AO3296" s="507"/>
      <c r="AP3296" s="507"/>
      <c r="AQ3296" s="507"/>
      <c r="AR3296" s="507"/>
      <c r="AS3296" s="507"/>
      <c r="AT3296" s="507"/>
      <c r="AU3296" s="507"/>
      <c r="AV3296" s="225"/>
      <c r="AW3296" s="508"/>
      <c r="AX3296" s="225"/>
      <c r="AY3296" s="225"/>
      <c r="AZ3296" s="225"/>
      <c r="BA3296" s="225"/>
      <c r="BB3296" s="225"/>
      <c r="BC3296" s="56"/>
      <c r="BD3296" s="56"/>
      <c r="BE3296" s="56"/>
      <c r="BF3296" s="107" t="str">
        <f t="shared" si="2529"/>
        <v>https://www.google.com/search?tbm=isch&amp;q=7%20G5</v>
      </c>
      <c r="BG3296" s="107" t="str">
        <f t="shared" si="2530"/>
        <v>S</v>
      </c>
      <c r="BH3296" s="254"/>
      <c r="BI3296" s="254"/>
    </row>
    <row r="3297" spans="1:61" customFormat="1" ht="16.5" thickBot="1" x14ac:dyDescent="0.3">
      <c r="A3297" s="672" t="s">
        <v>5227</v>
      </c>
      <c r="B3297" s="491"/>
      <c r="C3297" s="675"/>
      <c r="D3297" s="491"/>
      <c r="E3297" s="491"/>
      <c r="F3297" s="492"/>
      <c r="G3297" s="493"/>
      <c r="H3297" s="491"/>
      <c r="I3297" s="234"/>
      <c r="J3297" s="234"/>
      <c r="K3297" s="494"/>
      <c r="L3297" s="543"/>
      <c r="M3297" s="561"/>
      <c r="N3297" s="495"/>
      <c r="O3297" s="496"/>
      <c r="P3297" s="497"/>
      <c r="Q3297" s="495"/>
      <c r="R3297" s="495"/>
      <c r="S3297" s="667" t="s">
        <v>4968</v>
      </c>
      <c r="T3297" s="508">
        <f t="shared" si="2518"/>
        <v>0</v>
      </c>
      <c r="U3297" s="225" t="str">
        <f>IF(NOT(ISNUMBER(G3297)), "", VLOOKUP(A3297,'Discount Lookup'!D:E,2,FALSE)*G3297)</f>
        <v/>
      </c>
      <c r="V3297" s="225" t="str">
        <f>IF(NOT(ISNUMBER(G3297)), "", VLOOKUP(A3297,'Discount Lookup'!G:H,2,FALSE)*G3297)</f>
        <v/>
      </c>
      <c r="W3297" s="508">
        <f t="shared" si="2519"/>
        <v>0</v>
      </c>
      <c r="X3297" s="508">
        <f t="shared" si="2520"/>
        <v>0</v>
      </c>
      <c r="Y3297" s="509" t="b">
        <f t="shared" si="2521"/>
        <v>0</v>
      </c>
      <c r="Z3297" s="510">
        <f t="shared" si="2522"/>
        <v>0</v>
      </c>
      <c r="AA3297" s="511"/>
      <c r="AB3297" s="511" t="str">
        <f t="shared" si="2523"/>
        <v/>
      </c>
      <c r="AC3297" s="698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698"/>
      <c r="AE3297" s="631" t="str">
        <f t="shared" si="2524"/>
        <v/>
      </c>
      <c r="AF3297" s="699" t="str">
        <f t="shared" si="2525"/>
        <v/>
      </c>
      <c r="AG3297" s="699"/>
      <c r="AH3297" s="699"/>
      <c r="AI3297" s="512">
        <f>IF(H3297="credit",0,IF(AE3297="free",0,IF(AE3297="me",0,IF(G3297&gt;0,(VLOOKUP(A3297,'Discount Lookup'!J:K,2)*G3297),0))))</f>
        <v>0</v>
      </c>
      <c r="AJ3297" s="513" t="str">
        <f t="shared" ca="1" si="2526"/>
        <v/>
      </c>
      <c r="AK3297" s="700" t="str">
        <f t="shared" si="2527"/>
        <v/>
      </c>
      <c r="AL3297" s="700"/>
      <c r="AM3297" s="505" t="str">
        <f t="shared" si="2528"/>
        <v/>
      </c>
      <c r="AN3297" s="506"/>
      <c r="AO3297" s="507"/>
      <c r="AP3297" s="507"/>
      <c r="AQ3297" s="507"/>
      <c r="AR3297" s="507"/>
      <c r="AS3297" s="507"/>
      <c r="AT3297" s="507"/>
      <c r="AU3297" s="507"/>
      <c r="AV3297" s="225"/>
      <c r="AW3297" s="508"/>
      <c r="AX3297" s="225"/>
      <c r="AY3297" s="225"/>
      <c r="AZ3297" s="225"/>
      <c r="BA3297" s="225"/>
      <c r="BB3297" s="225"/>
      <c r="BC3297" s="56"/>
      <c r="BD3297" s="56"/>
      <c r="BE3297" s="56"/>
      <c r="BF3297" s="107" t="str">
        <f t="shared" si="2529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3297" s="107" t="str">
        <f t="shared" si="2530"/>
        <v>w</v>
      </c>
      <c r="BH3297" s="254"/>
      <c r="BI3297" s="254"/>
    </row>
    <row r="3298" spans="1:61" customFormat="1" ht="18" x14ac:dyDescent="0.25">
      <c r="A3298" s="521" t="s">
        <v>4347</v>
      </c>
      <c r="B3298" s="477"/>
      <c r="C3298" s="674"/>
      <c r="D3298" s="478" t="s">
        <v>4348</v>
      </c>
      <c r="E3298" s="479"/>
      <c r="F3298" s="479"/>
      <c r="G3298" s="479"/>
      <c r="H3298" s="582" t="s">
        <v>720</v>
      </c>
      <c r="I3298" s="480" t="s">
        <v>4349</v>
      </c>
      <c r="J3298" s="479"/>
      <c r="K3298" s="479"/>
      <c r="L3298" s="560"/>
      <c r="M3298" s="666" t="s">
        <v>4963</v>
      </c>
      <c r="N3298" s="680" t="str">
        <f>IF(AND(ISTEXT($A3298), ISERROR($A3298+0)), HYPERLINK($BF3298, "Images"), "")</f>
        <v>Images</v>
      </c>
      <c r="O3298" s="662" t="s">
        <v>4969</v>
      </c>
      <c r="P3298" s="482"/>
      <c r="Q3298" s="483"/>
      <c r="R3298" s="483"/>
      <c r="S3298" s="484"/>
      <c r="T3298" s="508">
        <f t="shared" si="2518"/>
        <v>0</v>
      </c>
      <c r="U3298" s="225" t="str">
        <f>IF(NOT(ISNUMBER(G3298)), "", VLOOKUP(A3298,'Discount Lookup'!D:E,2,FALSE)*G3298)</f>
        <v/>
      </c>
      <c r="V3298" s="225" t="str">
        <f>IF(NOT(ISNUMBER(G3298)), "", VLOOKUP(A3298,'Discount Lookup'!G:H,2,FALSE)*G3298)</f>
        <v/>
      </c>
      <c r="W3298" s="508">
        <f t="shared" si="2519"/>
        <v>0</v>
      </c>
      <c r="X3298" s="508" t="str">
        <f t="shared" si="2520"/>
        <v>Yellow-Green bloom</v>
      </c>
      <c r="Y3298" s="509" t="b">
        <f t="shared" si="2521"/>
        <v>0</v>
      </c>
      <c r="Z3298" s="510">
        <f t="shared" si="2522"/>
        <v>0</v>
      </c>
      <c r="AA3298" s="511"/>
      <c r="AB3298" s="511" t="str">
        <f t="shared" si="2523"/>
        <v/>
      </c>
      <c r="AC3298" s="698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698"/>
      <c r="AE3298" s="631" t="str">
        <f t="shared" si="2524"/>
        <v/>
      </c>
      <c r="AF3298" s="699" t="str">
        <f t="shared" si="2525"/>
        <v/>
      </c>
      <c r="AG3298" s="699"/>
      <c r="AH3298" s="699"/>
      <c r="AI3298" s="512">
        <f>IF(H3298="credit",0,IF(AE3298="free",0,IF(AE3298="me",0,IF(G3298&gt;0,(VLOOKUP(A3298,'Discount Lookup'!J:K,2)*G3298),0))))</f>
        <v>0</v>
      </c>
      <c r="AJ3298" s="513" t="str">
        <f t="shared" ca="1" si="2526"/>
        <v/>
      </c>
      <c r="AK3298" s="700" t="str">
        <f t="shared" si="2527"/>
        <v/>
      </c>
      <c r="AL3298" s="700"/>
      <c r="AM3298" s="505" t="str">
        <f t="shared" si="2528"/>
        <v/>
      </c>
      <c r="AN3298" s="506"/>
      <c r="AO3298" s="507"/>
      <c r="AP3298" s="507"/>
      <c r="AQ3298" s="507"/>
      <c r="AR3298" s="507"/>
      <c r="AS3298" s="507"/>
      <c r="AT3298" s="507"/>
      <c r="AU3298" s="507"/>
      <c r="AV3298" s="225"/>
      <c r="AW3298" s="508"/>
      <c r="AX3298" s="225"/>
      <c r="AY3298" s="225"/>
      <c r="AZ3298" s="225"/>
      <c r="BA3298" s="225"/>
      <c r="BB3298" s="225"/>
      <c r="BC3298" s="56"/>
      <c r="BD3298" s="56"/>
      <c r="BE3298" s="56"/>
      <c r="BF3298" s="107" t="str">
        <f t="shared" si="2529"/>
        <v>https://www.google.com/search?tbm=isch&amp;q=Sharkskin%20Agave%20Agave%20%27Sharkskin%27</v>
      </c>
      <c r="BG3298" s="107" t="str">
        <f t="shared" si="2530"/>
        <v>S</v>
      </c>
      <c r="BH3298" s="254"/>
      <c r="BI3298" s="254"/>
    </row>
    <row r="3299" spans="1:61" customFormat="1" ht="15.75" x14ac:dyDescent="0.25">
      <c r="A3299" s="485">
        <v>3</v>
      </c>
      <c r="B3299" s="486" t="s">
        <v>291</v>
      </c>
      <c r="C3299" s="487" t="s">
        <v>4444</v>
      </c>
      <c r="D3299" s="488" t="s">
        <v>292</v>
      </c>
      <c r="E3299" s="489">
        <v>51.95</v>
      </c>
      <c r="F3299" s="516" t="s">
        <v>293</v>
      </c>
      <c r="G3299" s="232">
        <v>0</v>
      </c>
      <c r="H3299" s="658" t="str">
        <f>IF(G3299=0,"",IF(F3299="Buy",IF(G3299=1,"plant","plants"),IF(F3299&gt;0.01,"warranty","Error")))</f>
        <v/>
      </c>
      <c r="I3299" s="490">
        <f>IF(H3299="free",0,IF(H3299="credit",((E3299*(F3299))*G3299*-1),IF(F3299="Buy",(E3299*G3299),((E3299*(1-F3299))*G3299))))</f>
        <v>0</v>
      </c>
      <c r="J3299" s="490">
        <f>IF(H3299="warranty",0,(I3299*(_xlfn.SINGLE(SalesTaxPercentage))))</f>
        <v>0</v>
      </c>
      <c r="K3299" s="695">
        <f t="shared" ref="K3299" si="2541">I3299+J3299</f>
        <v>0</v>
      </c>
      <c r="L3299" s="695"/>
      <c r="M3299" s="659" t="str">
        <f>IF(AND(G3299&gt;0,E3299=0),"WARNING - no PRICE inserted",IF(H3299="free"," FREE ~ no charge this plant",IF(H3299="credit",CONCATENATE(" -$",ROUND(K3299*(1-T2GDiscount)*-1,2)," CREDIT after discount"),IF(T2GDiscount=0,"",IF(G3299=0,"",IF(F3299="Buy",CONCATENATE(" $",ROUND(K3299*(1-T2GDiscount),2)," with ",(T2GDiscount*100),"% discount"),CONCATENATE(" $",ROUND(K3299*(1-T2GDiscount),2)," with ",((T2GDiscount*100+F3299*100)-(T2GDiscount*100*F3299)),IF(F3299&gt;0,"% discounts",IF(NoWarrantyDiscount&gt;0,"% discounts","% discount")))))))))</f>
        <v/>
      </c>
      <c r="N3299" s="660"/>
      <c r="O3299" s="233"/>
      <c r="P3299" s="233"/>
      <c r="Q3299" s="233"/>
      <c r="R3299" s="233"/>
      <c r="S3299" s="233"/>
      <c r="T3299" s="508">
        <f t="shared" si="2518"/>
        <v>0</v>
      </c>
      <c r="U3299" s="225">
        <f>IF(NOT(ISNUMBER(G3299)), "", VLOOKUP(A3299,'Discount Lookup'!D:E,2,FALSE)*G3299)</f>
        <v>0</v>
      </c>
      <c r="V3299" s="225">
        <f>IF(NOT(ISNUMBER(G3299)), "", VLOOKUP(A3299,'Discount Lookup'!G:H,2,FALSE)*G3299)</f>
        <v>0</v>
      </c>
      <c r="W3299" s="508">
        <f t="shared" si="2519"/>
        <v>0</v>
      </c>
      <c r="X3299" s="508">
        <f t="shared" si="2520"/>
        <v>0</v>
      </c>
      <c r="Y3299" s="509" t="b">
        <f t="shared" si="2521"/>
        <v>0</v>
      </c>
      <c r="Z3299" s="510">
        <f t="shared" si="2522"/>
        <v>0</v>
      </c>
      <c r="AA3299" s="511"/>
      <c r="AB3299" s="511" t="str">
        <f t="shared" si="2523"/>
        <v/>
      </c>
      <c r="AC3299" s="698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698"/>
      <c r="AE3299" s="631" t="str">
        <f t="shared" si="2524"/>
        <v/>
      </c>
      <c r="AF3299" s="699" t="str">
        <f t="shared" si="2525"/>
        <v/>
      </c>
      <c r="AG3299" s="699"/>
      <c r="AH3299" s="699"/>
      <c r="AI3299" s="512">
        <f>IF(H3299="credit",0,IF(AE3299="free",0,IF(AE3299="me",0,IF(G3299&gt;0,(VLOOKUP(A3299,'Discount Lookup'!J:K,2)*G3299),0))))</f>
        <v>0</v>
      </c>
      <c r="AJ3299" s="513" t="str">
        <f t="shared" ca="1" si="2526"/>
        <v/>
      </c>
      <c r="AK3299" s="700" t="str">
        <f t="shared" si="2527"/>
        <v/>
      </c>
      <c r="AL3299" s="700"/>
      <c r="AM3299" s="505" t="str">
        <f t="shared" si="2528"/>
        <v/>
      </c>
      <c r="AN3299" s="506"/>
      <c r="AO3299" s="507"/>
      <c r="AP3299" s="507"/>
      <c r="AQ3299" s="507"/>
      <c r="AR3299" s="507"/>
      <c r="AS3299" s="507"/>
      <c r="AT3299" s="507"/>
      <c r="AU3299" s="507"/>
      <c r="AV3299" s="225"/>
      <c r="AW3299" s="508"/>
      <c r="AX3299" s="225"/>
      <c r="AY3299" s="225"/>
      <c r="AZ3299" s="225"/>
      <c r="BA3299" s="225"/>
      <c r="BB3299" s="225"/>
      <c r="BC3299" s="56"/>
      <c r="BD3299" s="56"/>
      <c r="BE3299" s="56"/>
      <c r="BF3299" s="107" t="str">
        <f t="shared" si="2529"/>
        <v>https://www.google.com/search?tbm=isch&amp;q=3%20G4</v>
      </c>
      <c r="BG3299" s="107" t="str">
        <f t="shared" si="2530"/>
        <v>S</v>
      </c>
      <c r="BH3299" s="254"/>
      <c r="BI3299" s="254"/>
    </row>
    <row r="3300" spans="1:61" customFormat="1" ht="16.5" thickBot="1" x14ac:dyDescent="0.3">
      <c r="A3300" s="522" t="s">
        <v>4476</v>
      </c>
      <c r="B3300" s="491"/>
      <c r="C3300" s="675"/>
      <c r="D3300" s="491"/>
      <c r="E3300" s="491"/>
      <c r="F3300" s="492"/>
      <c r="G3300" s="493"/>
      <c r="H3300" s="491"/>
      <c r="I3300" s="234"/>
      <c r="J3300" s="234"/>
      <c r="K3300" s="494"/>
      <c r="L3300" s="543"/>
      <c r="M3300" s="561"/>
      <c r="N3300" s="495"/>
      <c r="O3300" s="496"/>
      <c r="P3300" s="497"/>
      <c r="Q3300" s="495"/>
      <c r="R3300" s="495"/>
      <c r="S3300" s="667" t="s">
        <v>4968</v>
      </c>
      <c r="T3300" s="508">
        <f t="shared" si="2518"/>
        <v>0</v>
      </c>
      <c r="U3300" s="225" t="str">
        <f>IF(NOT(ISNUMBER(G3300)), "", VLOOKUP(A3300,'Discount Lookup'!D:E,2,FALSE)*G3300)</f>
        <v/>
      </c>
      <c r="V3300" s="225" t="str">
        <f>IF(NOT(ISNUMBER(G3300)), "", VLOOKUP(A3300,'Discount Lookup'!G:H,2,FALSE)*G3300)</f>
        <v/>
      </c>
      <c r="W3300" s="508">
        <f t="shared" si="2519"/>
        <v>0</v>
      </c>
      <c r="X3300" s="508">
        <f t="shared" si="2520"/>
        <v>0</v>
      </c>
      <c r="Y3300" s="509" t="b">
        <f t="shared" si="2521"/>
        <v>0</v>
      </c>
      <c r="Z3300" s="510">
        <f t="shared" si="2522"/>
        <v>0</v>
      </c>
      <c r="AA3300" s="511"/>
      <c r="AB3300" s="511" t="str">
        <f t="shared" si="2523"/>
        <v/>
      </c>
      <c r="AC3300" s="698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698"/>
      <c r="AE3300" s="631" t="str">
        <f t="shared" si="2524"/>
        <v/>
      </c>
      <c r="AF3300" s="699" t="str">
        <f t="shared" si="2525"/>
        <v/>
      </c>
      <c r="AG3300" s="699"/>
      <c r="AH3300" s="699"/>
      <c r="AI3300" s="512">
        <f>IF(H3300="credit",0,IF(AE3300="free",0,IF(AE3300="me",0,IF(G3300&gt;0,(VLOOKUP(A3300,'Discount Lookup'!J:K,2)*G3300),0))))</f>
        <v>0</v>
      </c>
      <c r="AJ3300" s="513" t="str">
        <f t="shared" ca="1" si="2526"/>
        <v/>
      </c>
      <c r="AK3300" s="700" t="str">
        <f t="shared" si="2527"/>
        <v/>
      </c>
      <c r="AL3300" s="700"/>
      <c r="AM3300" s="505" t="str">
        <f t="shared" si="2528"/>
        <v/>
      </c>
      <c r="AN3300" s="506"/>
      <c r="AO3300" s="507"/>
      <c r="AP3300" s="507"/>
      <c r="AQ3300" s="507"/>
      <c r="AR3300" s="507"/>
      <c r="AS3300" s="507"/>
      <c r="AT3300" s="507"/>
      <c r="AU3300" s="507"/>
      <c r="AV3300" s="225"/>
      <c r="AW3300" s="508"/>
      <c r="AX3300" s="225"/>
      <c r="AY3300" s="225"/>
      <c r="AZ3300" s="225"/>
      <c r="BA3300" s="225"/>
      <c r="BB3300" s="225"/>
      <c r="BC3300" s="56"/>
      <c r="BD3300" s="56"/>
      <c r="BE3300" s="56"/>
      <c r="BF3300" s="107" t="str">
        <f t="shared" si="2529"/>
        <v>https://www.google.com/search?tbm=isch&amp;q=Sharkskin%20has%20deeply%20channeled%2C%20stiff%20Gray-Green%20foliage.%20Blooms%20just%20once%20with%20a%2012%27-15%27%20towering%20stalk%20at%20the%20end%20of%20its%20life%20</v>
      </c>
      <c r="BG3300" s="107" t="str">
        <f t="shared" si="2530"/>
        <v>S</v>
      </c>
      <c r="BH3300" s="254"/>
      <c r="BI3300" s="254"/>
    </row>
    <row r="3301" spans="1:61" customFormat="1" ht="18" x14ac:dyDescent="0.25">
      <c r="A3301" s="523" t="s">
        <v>1709</v>
      </c>
      <c r="B3301" s="235"/>
      <c r="C3301" s="676"/>
      <c r="D3301" s="255" t="s">
        <v>1710</v>
      </c>
      <c r="E3301" s="236"/>
      <c r="F3301" s="236"/>
      <c r="G3301" s="236"/>
      <c r="H3301" s="582" t="s">
        <v>810</v>
      </c>
      <c r="I3301" s="498" t="s">
        <v>2158</v>
      </c>
      <c r="J3301" s="237"/>
      <c r="K3301" s="237"/>
      <c r="L3301" s="274"/>
      <c r="M3301" s="668" t="s">
        <v>4975</v>
      </c>
      <c r="N3301" s="681" t="str">
        <f>IF(AND(ISTEXT($A3301), ISERROR($A3301+0)), HYPERLINK($BF3301, "Images"), "")</f>
        <v>Images</v>
      </c>
      <c r="O3301" s="663" t="s">
        <v>4967</v>
      </c>
      <c r="P3301" s="253"/>
      <c r="Q3301" s="238"/>
      <c r="R3301" s="239"/>
      <c r="S3301" s="275"/>
      <c r="T3301" s="508">
        <f t="shared" si="2518"/>
        <v>0</v>
      </c>
      <c r="U3301" s="225" t="str">
        <f>IF(NOT(ISNUMBER(G3301)), "", VLOOKUP(A3301,'Discount Lookup'!D:E,2,FALSE)*G3301)</f>
        <v/>
      </c>
      <c r="V3301" s="225" t="str">
        <f>IF(NOT(ISNUMBER(G3301)), "", VLOOKUP(A3301,'Discount Lookup'!G:H,2,FALSE)*G3301)</f>
        <v/>
      </c>
      <c r="W3301" s="508">
        <f t="shared" si="2519"/>
        <v>0</v>
      </c>
      <c r="X3301" s="508" t="str">
        <f t="shared" si="2520"/>
        <v>Medium Green foliage</v>
      </c>
      <c r="Y3301" s="509" t="b">
        <f t="shared" si="2521"/>
        <v>0</v>
      </c>
      <c r="Z3301" s="510">
        <f t="shared" si="2522"/>
        <v>0</v>
      </c>
      <c r="AA3301" s="511"/>
      <c r="AB3301" s="511" t="str">
        <f t="shared" si="2523"/>
        <v/>
      </c>
      <c r="AC3301" s="698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698"/>
      <c r="AE3301" s="631" t="str">
        <f t="shared" si="2524"/>
        <v/>
      </c>
      <c r="AF3301" s="699" t="str">
        <f t="shared" si="2525"/>
        <v/>
      </c>
      <c r="AG3301" s="699"/>
      <c r="AH3301" s="699"/>
      <c r="AI3301" s="512">
        <f>IF(H3301="credit",0,IF(AE3301="free",0,IF(AE3301="me",0,IF(G3301&gt;0,(VLOOKUP(A3301,'Discount Lookup'!J:K,2)*G3301),0))))</f>
        <v>0</v>
      </c>
      <c r="AJ3301" s="513" t="str">
        <f t="shared" ca="1" si="2526"/>
        <v/>
      </c>
      <c r="AK3301" s="700" t="str">
        <f t="shared" si="2527"/>
        <v/>
      </c>
      <c r="AL3301" s="700"/>
      <c r="AM3301" s="505" t="str">
        <f t="shared" si="2528"/>
        <v/>
      </c>
      <c r="AN3301" s="506"/>
      <c r="AO3301" s="507"/>
      <c r="AP3301" s="507"/>
      <c r="AQ3301" s="507"/>
      <c r="AR3301" s="507"/>
      <c r="AS3301" s="507"/>
      <c r="AT3301" s="507"/>
      <c r="AU3301" s="507"/>
      <c r="AV3301" s="225"/>
      <c r="AW3301" s="508"/>
      <c r="AX3301" s="225"/>
      <c r="AY3301" s="225"/>
      <c r="AZ3301" s="225"/>
      <c r="BA3301" s="225"/>
      <c r="BB3301" s="225"/>
      <c r="BC3301" s="56"/>
      <c r="BD3301" s="56"/>
      <c r="BE3301" s="56"/>
      <c r="BF3301" s="107" t="str">
        <f t="shared" si="2529"/>
        <v>https://www.google.com/search?tbm=isch&amp;q=Sharp%27s%20Pygmy%20Japanese%20Maple%20Acer%20palmatum%20%27Sharp%27s%20Pygmy%27</v>
      </c>
      <c r="BG3301" s="107" t="str">
        <f t="shared" si="2530"/>
        <v>S</v>
      </c>
      <c r="BH3301" s="254"/>
      <c r="BI3301" s="254"/>
    </row>
    <row r="3302" spans="1:61" customFormat="1" ht="27" x14ac:dyDescent="0.25">
      <c r="A3302" s="276">
        <v>7</v>
      </c>
      <c r="B3302" s="240" t="s">
        <v>291</v>
      </c>
      <c r="C3302" s="241" t="s">
        <v>3762</v>
      </c>
      <c r="D3302" s="242" t="s">
        <v>292</v>
      </c>
      <c r="E3302" s="243">
        <v>316.95</v>
      </c>
      <c r="F3302" s="517" t="s">
        <v>293</v>
      </c>
      <c r="G3302" s="232">
        <v>0</v>
      </c>
      <c r="H3302" s="661" t="str">
        <f>IF(G3302=0,"",IF(F3302="Buy",IF(G3302=1,"plant","plants"),IF(F3302&gt;0.01,"warranty","Error")))</f>
        <v/>
      </c>
      <c r="I3302" s="244">
        <f>IF(H3302="free",0,IF(H3302="credit",((E3302*(F3302))*G3302*-1),IF(F3302="Buy",(E3302*G3302),((E3302*(1-F3302))*G3302))))</f>
        <v>0</v>
      </c>
      <c r="J3302" s="244">
        <f>IF(H3302="warranty",0,(I3302*(_xlfn.SINGLE(SalesTaxPercentage))))</f>
        <v>0</v>
      </c>
      <c r="K3302" s="696">
        <f t="shared" ref="K3302" si="2542">I3302+J3302</f>
        <v>0</v>
      </c>
      <c r="L3302" s="696"/>
      <c r="M3302" s="659" t="str">
        <f>IF(AND(G3302&gt;0,E3302=0),"WARNING - no PRICE inserted",IF(H3302="free"," FREE ~ no charge this plant",IF(H3302="credit",CONCATENATE(" -$",ROUND(K3302*(1-T2GDiscount)*-1,2)," CREDIT after discount"),IF(T2GDiscount=0,"",IF(G3302=0,"",IF(F3302="Buy",CONCATENATE(" $",ROUND(K3302*(1-T2GDiscount),2)," with ",(T2GDiscount*100),"% discount"),CONCATENATE(" $",ROUND(K3302*(1-T2GDiscount),2)," with ",((T2GDiscount*100+F3302*100)-(T2GDiscount*100*F3302)),IF(F3302&gt;0,"% discounts",IF(NoWarrantyDiscount&gt;0,"% discounts","% discount")))))))))</f>
        <v/>
      </c>
      <c r="N3302" s="660"/>
      <c r="O3302" s="233"/>
      <c r="P3302" s="233"/>
      <c r="Q3302" s="233"/>
      <c r="R3302" s="233"/>
      <c r="S3302" s="233"/>
      <c r="T3302" s="508">
        <f t="shared" si="2518"/>
        <v>0</v>
      </c>
      <c r="U3302" s="225">
        <f>IF(NOT(ISNUMBER(G3302)), "", VLOOKUP(A3302,'Discount Lookup'!D:E,2,FALSE)*G3302)</f>
        <v>0</v>
      </c>
      <c r="V3302" s="225">
        <f>IF(NOT(ISNUMBER(G3302)), "", VLOOKUP(A3302,'Discount Lookup'!G:H,2,FALSE)*G3302)</f>
        <v>0</v>
      </c>
      <c r="W3302" s="508">
        <f t="shared" si="2519"/>
        <v>0</v>
      </c>
      <c r="X3302" s="508">
        <f t="shared" si="2520"/>
        <v>0</v>
      </c>
      <c r="Y3302" s="509" t="b">
        <f t="shared" si="2521"/>
        <v>0</v>
      </c>
      <c r="Z3302" s="510">
        <f t="shared" si="2522"/>
        <v>0</v>
      </c>
      <c r="AA3302" s="511"/>
      <c r="AB3302" s="511" t="str">
        <f t="shared" si="2523"/>
        <v/>
      </c>
      <c r="AC3302" s="698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698"/>
      <c r="AE3302" s="631" t="str">
        <f t="shared" si="2524"/>
        <v/>
      </c>
      <c r="AF3302" s="699" t="str">
        <f t="shared" si="2525"/>
        <v/>
      </c>
      <c r="AG3302" s="699"/>
      <c r="AH3302" s="699"/>
      <c r="AI3302" s="512">
        <f>IF(H3302="credit",0,IF(AE3302="free",0,IF(AE3302="me",0,IF(G3302&gt;0,(VLOOKUP(A3302,'Discount Lookup'!J:K,2)*G3302),0))))</f>
        <v>0</v>
      </c>
      <c r="AJ3302" s="513" t="str">
        <f t="shared" ca="1" si="2526"/>
        <v/>
      </c>
      <c r="AK3302" s="700" t="str">
        <f t="shared" si="2527"/>
        <v/>
      </c>
      <c r="AL3302" s="700"/>
      <c r="AM3302" s="505" t="str">
        <f t="shared" si="2528"/>
        <v/>
      </c>
      <c r="AN3302" s="506"/>
      <c r="AO3302" s="507"/>
      <c r="AP3302" s="507"/>
      <c r="AQ3302" s="507"/>
      <c r="AR3302" s="507"/>
      <c r="AS3302" s="507"/>
      <c r="AT3302" s="507"/>
      <c r="AU3302" s="507"/>
      <c r="AV3302" s="225"/>
      <c r="AW3302" s="508"/>
      <c r="AX3302" s="225"/>
      <c r="AY3302" s="225"/>
      <c r="AZ3302" s="225"/>
      <c r="BA3302" s="225"/>
      <c r="BB3302" s="225"/>
      <c r="BC3302" s="56"/>
      <c r="BD3302" s="56"/>
      <c r="BE3302" s="56"/>
      <c r="BF3302" s="107" t="str">
        <f t="shared" si="2529"/>
        <v>https://www.google.com/search?tbm=isch&amp;q=7%20G4</v>
      </c>
      <c r="BG3302" s="107" t="str">
        <f t="shared" si="2530"/>
        <v>S</v>
      </c>
      <c r="BH3302" s="254"/>
      <c r="BI3302" s="254"/>
    </row>
    <row r="3303" spans="1:61" customFormat="1" ht="15.75" x14ac:dyDescent="0.25">
      <c r="A3303" s="276">
        <v>7</v>
      </c>
      <c r="B3303" s="240" t="s">
        <v>291</v>
      </c>
      <c r="C3303" s="241" t="s">
        <v>3763</v>
      </c>
      <c r="D3303" s="242" t="s">
        <v>292</v>
      </c>
      <c r="E3303" s="243">
        <v>316.95</v>
      </c>
      <c r="F3303" s="517" t="s">
        <v>293</v>
      </c>
      <c r="G3303" s="232">
        <v>0</v>
      </c>
      <c r="H3303" s="661" t="str">
        <f>IF(G3303=0,"",IF(F3303="Buy",IF(G3303=1,"plant","plants"),IF(F3303&gt;0.01,"warranty","Error")))</f>
        <v/>
      </c>
      <c r="I3303" s="244">
        <f>IF(H3303="free",0,IF(H3303="credit",((E3303*(F3303))*G3303*-1),IF(F3303="Buy",(E3303*G3303),((E3303*(1-F3303))*G3303))))</f>
        <v>0</v>
      </c>
      <c r="J3303" s="244">
        <f>IF(H3303="warranty",0,(I3303*(_xlfn.SINGLE(SalesTaxPercentage))))</f>
        <v>0</v>
      </c>
      <c r="K3303" s="696">
        <f t="shared" ref="K3303" si="2543">I3303+J3303</f>
        <v>0</v>
      </c>
      <c r="L3303" s="696"/>
      <c r="M3303" s="659" t="str">
        <f>IF(AND(G3303&gt;0,E3303=0),"WARNING - no PRICE inserted",IF(H3303="free"," FREE ~ no charge this plant",IF(H3303="credit",CONCATENATE(" -$",ROUND(K3303*(1-T2GDiscount)*-1,2)," CREDIT after discount"),IF(T2GDiscount=0,"",IF(G3303=0,"",IF(F3303="Buy",CONCATENATE(" $",ROUND(K3303*(1-T2GDiscount),2)," with ",(T2GDiscount*100),"% discount"),CONCATENATE(" $",ROUND(K3303*(1-T2GDiscount),2)," with ",((T2GDiscount*100+F3303*100)-(T2GDiscount*100*F3303)),IF(F3303&gt;0,"% discounts",IF(NoWarrantyDiscount&gt;0,"% discounts","% discount")))))))))</f>
        <v/>
      </c>
      <c r="N3303" s="660"/>
      <c r="O3303" s="233"/>
      <c r="P3303" s="233"/>
      <c r="Q3303" s="233"/>
      <c r="R3303" s="233"/>
      <c r="S3303" s="233"/>
      <c r="T3303" s="508">
        <f t="shared" si="2518"/>
        <v>0</v>
      </c>
      <c r="U3303" s="225">
        <f>IF(NOT(ISNUMBER(G3303)), "", VLOOKUP(A3303,'Discount Lookup'!D:E,2,FALSE)*G3303)</f>
        <v>0</v>
      </c>
      <c r="V3303" s="225">
        <f>IF(NOT(ISNUMBER(G3303)), "", VLOOKUP(A3303,'Discount Lookup'!G:H,2,FALSE)*G3303)</f>
        <v>0</v>
      </c>
      <c r="W3303" s="508">
        <f t="shared" si="2519"/>
        <v>0</v>
      </c>
      <c r="X3303" s="508">
        <f t="shared" si="2520"/>
        <v>0</v>
      </c>
      <c r="Y3303" s="509" t="b">
        <f t="shared" si="2521"/>
        <v>0</v>
      </c>
      <c r="Z3303" s="510">
        <f t="shared" si="2522"/>
        <v>0</v>
      </c>
      <c r="AA3303" s="511"/>
      <c r="AB3303" s="511" t="str">
        <f t="shared" si="2523"/>
        <v/>
      </c>
      <c r="AC3303" s="698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698"/>
      <c r="AE3303" s="631" t="str">
        <f t="shared" si="2524"/>
        <v/>
      </c>
      <c r="AF3303" s="699" t="str">
        <f t="shared" si="2525"/>
        <v/>
      </c>
      <c r="AG3303" s="699"/>
      <c r="AH3303" s="699"/>
      <c r="AI3303" s="512">
        <f>IF(H3303="credit",0,IF(AE3303="free",0,IF(AE3303="me",0,IF(G3303&gt;0,(VLOOKUP(A3303,'Discount Lookup'!J:K,2)*G3303),0))))</f>
        <v>0</v>
      </c>
      <c r="AJ3303" s="513" t="str">
        <f t="shared" ca="1" si="2526"/>
        <v/>
      </c>
      <c r="AK3303" s="700" t="str">
        <f t="shared" si="2527"/>
        <v/>
      </c>
      <c r="AL3303" s="700"/>
      <c r="AM3303" s="505" t="str">
        <f t="shared" si="2528"/>
        <v/>
      </c>
      <c r="AN3303" s="506"/>
      <c r="AO3303" s="507"/>
      <c r="AP3303" s="507"/>
      <c r="AQ3303" s="507"/>
      <c r="AR3303" s="507"/>
      <c r="AS3303" s="507"/>
      <c r="AT3303" s="507"/>
      <c r="AU3303" s="507"/>
      <c r="AV3303" s="225"/>
      <c r="AW3303" s="508"/>
      <c r="AX3303" s="225"/>
      <c r="AY3303" s="225"/>
      <c r="AZ3303" s="225"/>
      <c r="BA3303" s="225"/>
      <c r="BB3303" s="225"/>
      <c r="BC3303" s="56"/>
      <c r="BD3303" s="56"/>
      <c r="BE3303" s="56"/>
      <c r="BF3303" s="107" t="str">
        <f t="shared" si="2529"/>
        <v>https://www.google.com/search?tbm=isch&amp;q=7%20G4</v>
      </c>
      <c r="BG3303" s="107" t="str">
        <f t="shared" si="2530"/>
        <v>S</v>
      </c>
      <c r="BH3303" s="254"/>
      <c r="BI3303" s="254"/>
    </row>
    <row r="3304" spans="1:61" customFormat="1" ht="17.25" thickBot="1" x14ac:dyDescent="0.3">
      <c r="A3304" s="524" t="s">
        <v>2474</v>
      </c>
      <c r="B3304" s="245"/>
      <c r="C3304" s="677"/>
      <c r="D3304" s="499"/>
      <c r="E3304" s="499"/>
      <c r="F3304" s="500"/>
      <c r="G3304" s="501"/>
      <c r="H3304" s="502"/>
      <c r="I3304" s="246"/>
      <c r="J3304" s="247"/>
      <c r="K3304" s="503"/>
      <c r="L3304" s="544"/>
      <c r="M3304" s="544"/>
      <c r="N3304" s="500"/>
      <c r="O3304" s="500"/>
      <c r="P3304" s="500"/>
      <c r="Q3304" s="500"/>
      <c r="R3304" s="500"/>
      <c r="S3304" s="278"/>
      <c r="T3304" s="508">
        <f t="shared" si="2518"/>
        <v>0</v>
      </c>
      <c r="U3304" s="225" t="str">
        <f>IF(NOT(ISNUMBER(G3304)), "", VLOOKUP(A3304,'Discount Lookup'!D:E,2,FALSE)*G3304)</f>
        <v/>
      </c>
      <c r="V3304" s="225" t="str">
        <f>IF(NOT(ISNUMBER(G3304)), "", VLOOKUP(A3304,'Discount Lookup'!G:H,2,FALSE)*G3304)</f>
        <v/>
      </c>
      <c r="W3304" s="508">
        <f t="shared" si="2519"/>
        <v>0</v>
      </c>
      <c r="X3304" s="508">
        <f t="shared" si="2520"/>
        <v>0</v>
      </c>
      <c r="Y3304" s="509" t="b">
        <f t="shared" si="2521"/>
        <v>0</v>
      </c>
      <c r="Z3304" s="510">
        <f t="shared" si="2522"/>
        <v>0</v>
      </c>
      <c r="AA3304" s="511"/>
      <c r="AB3304" s="511" t="str">
        <f t="shared" si="2523"/>
        <v/>
      </c>
      <c r="AC3304" s="698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698"/>
      <c r="AE3304" s="631" t="str">
        <f t="shared" si="2524"/>
        <v/>
      </c>
      <c r="AF3304" s="699" t="str">
        <f t="shared" si="2525"/>
        <v/>
      </c>
      <c r="AG3304" s="699"/>
      <c r="AH3304" s="699"/>
      <c r="AI3304" s="512">
        <f>IF(H3304="credit",0,IF(AE3304="free",0,IF(AE3304="me",0,IF(G3304&gt;0,(VLOOKUP(A3304,'Discount Lookup'!J:K,2)*G3304),0))))</f>
        <v>0</v>
      </c>
      <c r="AJ3304" s="513" t="str">
        <f t="shared" ca="1" si="2526"/>
        <v/>
      </c>
      <c r="AK3304" s="700" t="str">
        <f t="shared" si="2527"/>
        <v/>
      </c>
      <c r="AL3304" s="700"/>
      <c r="AM3304" s="505" t="str">
        <f t="shared" si="2528"/>
        <v/>
      </c>
      <c r="AN3304" s="506"/>
      <c r="AO3304" s="507"/>
      <c r="AP3304" s="507"/>
      <c r="AQ3304" s="507"/>
      <c r="AR3304" s="507"/>
      <c r="AS3304" s="507"/>
      <c r="AT3304" s="507"/>
      <c r="AU3304" s="507"/>
      <c r="AV3304" s="225"/>
      <c r="AW3304" s="508"/>
      <c r="AX3304" s="225"/>
      <c r="AY3304" s="225"/>
      <c r="AZ3304" s="225"/>
      <c r="BA3304" s="225"/>
      <c r="BB3304" s="225"/>
      <c r="BC3304" s="56"/>
      <c r="BD3304" s="56"/>
      <c r="BE3304" s="56"/>
      <c r="BF3304" s="107" t="str">
        <f t="shared" si="2529"/>
        <v>https://www.google.com/search?tbm=isch&amp;q=Sharp%27s%20Pygmy%20foliage%20emerges%20bright%20Chartreuse%20in%20spring%2C%20Leaf%20margins%20are%20Orange%20to%20Purple.%20Turns%20Orange%20to%20Scalet-Red%20in%20autumn%20</v>
      </c>
      <c r="BG3304" s="107" t="str">
        <f t="shared" si="2530"/>
        <v>S</v>
      </c>
      <c r="BH3304" s="254"/>
      <c r="BI3304" s="254"/>
    </row>
    <row r="3305" spans="1:61" customFormat="1" ht="18" x14ac:dyDescent="0.25">
      <c r="A3305" s="523" t="s">
        <v>1711</v>
      </c>
      <c r="B3305" s="235"/>
      <c r="C3305" s="676"/>
      <c r="D3305" s="255" t="s">
        <v>1712</v>
      </c>
      <c r="E3305" s="236"/>
      <c r="F3305" s="236"/>
      <c r="G3305" s="236"/>
      <c r="H3305" s="582" t="s">
        <v>1713</v>
      </c>
      <c r="I3305" s="498" t="s">
        <v>654</v>
      </c>
      <c r="J3305" s="237"/>
      <c r="K3305" s="237"/>
      <c r="L3305" s="274"/>
      <c r="M3305" s="668" t="s">
        <v>4975</v>
      </c>
      <c r="N3305" s="681" t="str">
        <f>IF(AND(ISTEXT($A3305), ISERROR($A3305+0)), HYPERLINK($BF3305, "Images"), "")</f>
        <v>Images</v>
      </c>
      <c r="O3305" s="663" t="s">
        <v>4967</v>
      </c>
      <c r="P3305" s="253"/>
      <c r="Q3305" s="238"/>
      <c r="R3305" s="239"/>
      <c r="S3305" s="275"/>
      <c r="T3305" s="508">
        <f t="shared" si="2518"/>
        <v>0</v>
      </c>
      <c r="U3305" s="225" t="str">
        <f>IF(NOT(ISNUMBER(G3305)), "", VLOOKUP(A3305,'Discount Lookup'!D:E,2,FALSE)*G3305)</f>
        <v/>
      </c>
      <c r="V3305" s="225" t="str">
        <f>IF(NOT(ISNUMBER(G3305)), "", VLOOKUP(A3305,'Discount Lookup'!G:H,2,FALSE)*G3305)</f>
        <v/>
      </c>
      <c r="W3305" s="508">
        <f t="shared" si="2519"/>
        <v>0</v>
      </c>
      <c r="X3305" s="508" t="str">
        <f t="shared" si="2520"/>
        <v>White bloom</v>
      </c>
      <c r="Y3305" s="509" t="b">
        <f t="shared" si="2521"/>
        <v>0</v>
      </c>
      <c r="Z3305" s="510">
        <f t="shared" si="2522"/>
        <v>0</v>
      </c>
      <c r="AA3305" s="511"/>
      <c r="AB3305" s="511" t="str">
        <f t="shared" si="2523"/>
        <v/>
      </c>
      <c r="AC3305" s="698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698"/>
      <c r="AE3305" s="631" t="str">
        <f t="shared" si="2524"/>
        <v/>
      </c>
      <c r="AF3305" s="699" t="str">
        <f t="shared" si="2525"/>
        <v/>
      </c>
      <c r="AG3305" s="699"/>
      <c r="AH3305" s="699"/>
      <c r="AI3305" s="512">
        <f>IF(H3305="credit",0,IF(AE3305="free",0,IF(AE3305="me",0,IF(G3305&gt;0,(VLOOKUP(A3305,'Discount Lookup'!J:K,2)*G3305),0))))</f>
        <v>0</v>
      </c>
      <c r="AJ3305" s="513" t="str">
        <f t="shared" ca="1" si="2526"/>
        <v/>
      </c>
      <c r="AK3305" s="700" t="str">
        <f t="shared" si="2527"/>
        <v/>
      </c>
      <c r="AL3305" s="700"/>
      <c r="AM3305" s="505" t="str">
        <f t="shared" si="2528"/>
        <v/>
      </c>
      <c r="AN3305" s="506"/>
      <c r="AO3305" s="507"/>
      <c r="AP3305" s="507"/>
      <c r="AQ3305" s="507"/>
      <c r="AR3305" s="507"/>
      <c r="AS3305" s="507"/>
      <c r="AT3305" s="507"/>
      <c r="AU3305" s="507"/>
      <c r="AV3305" s="225"/>
      <c r="AW3305" s="508"/>
      <c r="AX3305" s="225"/>
      <c r="AY3305" s="225"/>
      <c r="AZ3305" s="225"/>
      <c r="BA3305" s="225"/>
      <c r="BB3305" s="225"/>
      <c r="BC3305" s="56"/>
      <c r="BD3305" s="56"/>
      <c r="BE3305" s="56"/>
      <c r="BF3305" s="107" t="str">
        <f t="shared" si="2529"/>
        <v>https://www.google.com/search?tbm=isch&amp;q=Shasta%20Viburnum%20Viburnum%20plicatum%20%27Shasta%27</v>
      </c>
      <c r="BG3305" s="107" t="str">
        <f t="shared" si="2530"/>
        <v>S</v>
      </c>
      <c r="BH3305" s="254"/>
      <c r="BI3305" s="254"/>
    </row>
    <row r="3306" spans="1:61" customFormat="1" ht="15.75" x14ac:dyDescent="0.25">
      <c r="A3306" s="276">
        <v>3</v>
      </c>
      <c r="B3306" s="240" t="s">
        <v>291</v>
      </c>
      <c r="C3306" s="241" t="s">
        <v>1714</v>
      </c>
      <c r="D3306" s="242" t="s">
        <v>297</v>
      </c>
      <c r="E3306" s="243">
        <v>22.95</v>
      </c>
      <c r="F3306" s="517" t="s">
        <v>293</v>
      </c>
      <c r="G3306" s="232">
        <v>0</v>
      </c>
      <c r="H3306" s="661" t="str">
        <f>IF(G3306=0,"",IF(F3306="Buy",IF(G3306=1,"plant","plants"),IF(F3306&gt;0.01,"warranty","Error")))</f>
        <v/>
      </c>
      <c r="I3306" s="244">
        <f>IF(H3306="free",0,IF(H3306="credit",((E3306*(F3306))*G3306*-1),IF(F3306="Buy",(E3306*G3306),((E3306*(1-F3306))*G3306))))</f>
        <v>0</v>
      </c>
      <c r="J3306" s="244">
        <f>IF(H3306="warranty",0,(I3306*(_xlfn.SINGLE(SalesTaxPercentage))))</f>
        <v>0</v>
      </c>
      <c r="K3306" s="696">
        <f t="shared" ref="K3306" si="2544">I3306+J3306</f>
        <v>0</v>
      </c>
      <c r="L3306" s="696"/>
      <c r="M3306" s="659" t="str">
        <f>IF(AND(G3306&gt;0,E3306=0),"WARNING - no PRICE inserted",IF(H3306="free"," FREE ~ no charge this plant",IF(H3306="credit",CONCATENATE(" -$",ROUND(K3306*(1-T2GDiscount)*-1,2)," CREDIT after discount"),IF(T2GDiscount=0,"",IF(G3306=0,"",IF(F3306="Buy",CONCATENATE(" $",ROUND(K3306*(1-T2GDiscount),2)," with ",(T2GDiscount*100),"% discount"),CONCATENATE(" $",ROUND(K3306*(1-T2GDiscount),2)," with ",((T2GDiscount*100+F3306*100)-(T2GDiscount*100*F3306)),IF(F3306&gt;0,"% discounts",IF(NoWarrantyDiscount&gt;0,"% discounts","% discount")))))))))</f>
        <v/>
      </c>
      <c r="N3306" s="660"/>
      <c r="O3306" s="233"/>
      <c r="P3306" s="233"/>
      <c r="Q3306" s="233"/>
      <c r="R3306" s="233"/>
      <c r="S3306" s="233"/>
      <c r="T3306" s="508">
        <f t="shared" si="2518"/>
        <v>0</v>
      </c>
      <c r="U3306" s="225">
        <f>IF(NOT(ISNUMBER(G3306)), "", VLOOKUP(A3306,'Discount Lookup'!D:E,2,FALSE)*G3306)</f>
        <v>0</v>
      </c>
      <c r="V3306" s="225">
        <f>IF(NOT(ISNUMBER(G3306)), "", VLOOKUP(A3306,'Discount Lookup'!G:H,2,FALSE)*G3306)</f>
        <v>0</v>
      </c>
      <c r="W3306" s="508">
        <f t="shared" si="2519"/>
        <v>0</v>
      </c>
      <c r="X3306" s="508">
        <f t="shared" si="2520"/>
        <v>0</v>
      </c>
      <c r="Y3306" s="509" t="b">
        <f t="shared" si="2521"/>
        <v>0</v>
      </c>
      <c r="Z3306" s="510">
        <f t="shared" si="2522"/>
        <v>0</v>
      </c>
      <c r="AA3306" s="511"/>
      <c r="AB3306" s="511" t="str">
        <f t="shared" si="2523"/>
        <v/>
      </c>
      <c r="AC3306" s="698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698"/>
      <c r="AE3306" s="631" t="str">
        <f t="shared" si="2524"/>
        <v/>
      </c>
      <c r="AF3306" s="699" t="str">
        <f t="shared" si="2525"/>
        <v/>
      </c>
      <c r="AG3306" s="699"/>
      <c r="AH3306" s="699"/>
      <c r="AI3306" s="512">
        <f>IF(H3306="credit",0,IF(AE3306="free",0,IF(AE3306="me",0,IF(G3306&gt;0,(VLOOKUP(A3306,'Discount Lookup'!J:K,2)*G3306),0))))</f>
        <v>0</v>
      </c>
      <c r="AJ3306" s="513" t="str">
        <f t="shared" ca="1" si="2526"/>
        <v/>
      </c>
      <c r="AK3306" s="700" t="str">
        <f t="shared" si="2527"/>
        <v/>
      </c>
      <c r="AL3306" s="700"/>
      <c r="AM3306" s="505" t="str">
        <f t="shared" si="2528"/>
        <v/>
      </c>
      <c r="AN3306" s="506"/>
      <c r="AO3306" s="507"/>
      <c r="AP3306" s="507"/>
      <c r="AQ3306" s="507"/>
      <c r="AR3306" s="507"/>
      <c r="AS3306" s="507"/>
      <c r="AT3306" s="507"/>
      <c r="AU3306" s="507"/>
      <c r="AV3306" s="225"/>
      <c r="AW3306" s="508"/>
      <c r="AX3306" s="225"/>
      <c r="AY3306" s="225"/>
      <c r="AZ3306" s="225"/>
      <c r="BA3306" s="225"/>
      <c r="BB3306" s="225"/>
      <c r="BC3306" s="56"/>
      <c r="BD3306" s="56"/>
      <c r="BE3306" s="56"/>
      <c r="BF3306" s="107" t="str">
        <f t="shared" si="2529"/>
        <v>https://www.google.com/search?tbm=isch&amp;q=3%20G3</v>
      </c>
      <c r="BG3306" s="107" t="str">
        <f t="shared" si="2530"/>
        <v>S</v>
      </c>
      <c r="BH3306" s="254"/>
      <c r="BI3306" s="254"/>
    </row>
    <row r="3307" spans="1:61" customFormat="1" ht="15.75" x14ac:dyDescent="0.25">
      <c r="A3307" s="276">
        <v>3</v>
      </c>
      <c r="B3307" s="240" t="s">
        <v>291</v>
      </c>
      <c r="C3307" s="241" t="s">
        <v>327</v>
      </c>
      <c r="D3307" s="242" t="s">
        <v>298</v>
      </c>
      <c r="E3307" s="243">
        <v>25.95</v>
      </c>
      <c r="F3307" s="517" t="s">
        <v>293</v>
      </c>
      <c r="G3307" s="232">
        <v>0</v>
      </c>
      <c r="H3307" s="661" t="str">
        <f>IF(G3307=0,"",IF(F3307="Buy",IF(G3307=1,"plant","plants"),IF(F3307&gt;0.01,"warranty","Error")))</f>
        <v/>
      </c>
      <c r="I3307" s="244">
        <f>IF(H3307="free",0,IF(H3307="credit",((E3307*(F3307))*G3307*-1),IF(F3307="Buy",(E3307*G3307),((E3307*(1-F3307))*G3307))))</f>
        <v>0</v>
      </c>
      <c r="J3307" s="244">
        <f>IF(H3307="warranty",0,(I3307*(_xlfn.SINGLE(SalesTaxPercentage))))</f>
        <v>0</v>
      </c>
      <c r="K3307" s="696">
        <f t="shared" ref="K3307" si="2545">I3307+J3307</f>
        <v>0</v>
      </c>
      <c r="L3307" s="696"/>
      <c r="M3307" s="659" t="str">
        <f>IF(AND(G3307&gt;0,E3307=0),"WARNING - no PRICE inserted",IF(H3307="free"," FREE ~ no charge this plant",IF(H3307="credit",CONCATENATE(" -$",ROUND(K3307*(1-T2GDiscount)*-1,2)," CREDIT after discount"),IF(T2GDiscount=0,"",IF(G3307=0,"",IF(F3307="Buy",CONCATENATE(" $",ROUND(K3307*(1-T2GDiscount),2)," with ",(T2GDiscount*100),"% discount"),CONCATENATE(" $",ROUND(K3307*(1-T2GDiscount),2)," with ",((T2GDiscount*100+F3307*100)-(T2GDiscount*100*F3307)),IF(F3307&gt;0,"% discounts",IF(NoWarrantyDiscount&gt;0,"% discounts","% discount")))))))))</f>
        <v/>
      </c>
      <c r="N3307" s="660"/>
      <c r="O3307" s="233"/>
      <c r="P3307" s="233"/>
      <c r="Q3307" s="233"/>
      <c r="R3307" s="233"/>
      <c r="S3307" s="233"/>
      <c r="T3307" s="508">
        <f t="shared" si="2518"/>
        <v>0</v>
      </c>
      <c r="U3307" s="225">
        <f>IF(NOT(ISNUMBER(G3307)), "", VLOOKUP(A3307,'Discount Lookup'!D:E,2,FALSE)*G3307)</f>
        <v>0</v>
      </c>
      <c r="V3307" s="225">
        <f>IF(NOT(ISNUMBER(G3307)), "", VLOOKUP(A3307,'Discount Lookup'!G:H,2,FALSE)*G3307)</f>
        <v>0</v>
      </c>
      <c r="W3307" s="508">
        <f t="shared" si="2519"/>
        <v>0</v>
      </c>
      <c r="X3307" s="508">
        <f t="shared" si="2520"/>
        <v>0</v>
      </c>
      <c r="Y3307" s="509" t="b">
        <f t="shared" si="2521"/>
        <v>0</v>
      </c>
      <c r="Z3307" s="510">
        <f t="shared" si="2522"/>
        <v>0</v>
      </c>
      <c r="AA3307" s="511"/>
      <c r="AB3307" s="511" t="str">
        <f t="shared" si="2523"/>
        <v/>
      </c>
      <c r="AC3307" s="698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698"/>
      <c r="AE3307" s="631" t="str">
        <f t="shared" si="2524"/>
        <v/>
      </c>
      <c r="AF3307" s="699" t="str">
        <f t="shared" si="2525"/>
        <v/>
      </c>
      <c r="AG3307" s="699"/>
      <c r="AH3307" s="699"/>
      <c r="AI3307" s="512">
        <f>IF(H3307="credit",0,IF(AE3307="free",0,IF(AE3307="me",0,IF(G3307&gt;0,(VLOOKUP(A3307,'Discount Lookup'!J:K,2)*G3307),0))))</f>
        <v>0</v>
      </c>
      <c r="AJ3307" s="513" t="str">
        <f t="shared" ca="1" si="2526"/>
        <v/>
      </c>
      <c r="AK3307" s="700" t="str">
        <f t="shared" si="2527"/>
        <v/>
      </c>
      <c r="AL3307" s="700"/>
      <c r="AM3307" s="505" t="str">
        <f t="shared" si="2528"/>
        <v/>
      </c>
      <c r="AN3307" s="506"/>
      <c r="AO3307" s="507"/>
      <c r="AP3307" s="507"/>
      <c r="AQ3307" s="507"/>
      <c r="AR3307" s="507"/>
      <c r="AS3307" s="507"/>
      <c r="AT3307" s="507"/>
      <c r="AU3307" s="507"/>
      <c r="AV3307" s="225"/>
      <c r="AW3307" s="508"/>
      <c r="AX3307" s="225"/>
      <c r="AY3307" s="225"/>
      <c r="AZ3307" s="225"/>
      <c r="BA3307" s="225"/>
      <c r="BB3307" s="225"/>
      <c r="BC3307" s="56"/>
      <c r="BD3307" s="56"/>
      <c r="BE3307" s="56"/>
      <c r="BF3307" s="107" t="str">
        <f t="shared" si="2529"/>
        <v>https://www.google.com/search?tbm=isch&amp;q=3%20G1</v>
      </c>
      <c r="BG3307" s="107" t="str">
        <f t="shared" si="2530"/>
        <v>S</v>
      </c>
      <c r="BH3307" s="254"/>
      <c r="BI3307" s="254"/>
    </row>
    <row r="3308" spans="1:61" customFormat="1" ht="15.75" x14ac:dyDescent="0.25">
      <c r="A3308" s="276">
        <v>7</v>
      </c>
      <c r="B3308" s="240" t="s">
        <v>291</v>
      </c>
      <c r="C3308" s="241" t="s">
        <v>1715</v>
      </c>
      <c r="D3308" s="242" t="s">
        <v>297</v>
      </c>
      <c r="E3308" s="243">
        <v>56.95</v>
      </c>
      <c r="F3308" s="517" t="s">
        <v>293</v>
      </c>
      <c r="G3308" s="232">
        <v>0</v>
      </c>
      <c r="H3308" s="661" t="str">
        <f>IF(G3308=0,"",IF(F3308="Buy",IF(G3308=1,"plant","plants"),IF(F3308&gt;0.01,"warranty","Error")))</f>
        <v/>
      </c>
      <c r="I3308" s="244">
        <f>IF(H3308="free",0,IF(H3308="credit",((E3308*(F3308))*G3308*-1),IF(F3308="Buy",(E3308*G3308),((E3308*(1-F3308))*G3308))))</f>
        <v>0</v>
      </c>
      <c r="J3308" s="244">
        <f>IF(H3308="warranty",0,(I3308*(_xlfn.SINGLE(SalesTaxPercentage))))</f>
        <v>0</v>
      </c>
      <c r="K3308" s="696">
        <f t="shared" ref="K3308" si="2546">I3308+J3308</f>
        <v>0</v>
      </c>
      <c r="L3308" s="696"/>
      <c r="M3308" s="659" t="str">
        <f>IF(AND(G3308&gt;0,E3308=0),"WARNING - no PRICE inserted",IF(H3308="free"," FREE ~ no charge this plant",IF(H3308="credit",CONCATENATE(" -$",ROUND(K3308*(1-T2GDiscount)*-1,2)," CREDIT after discount"),IF(T2GDiscount=0,"",IF(G3308=0,"",IF(F3308="Buy",CONCATENATE(" $",ROUND(K3308*(1-T2GDiscount),2)," with ",(T2GDiscount*100),"% discount"),CONCATENATE(" $",ROUND(K3308*(1-T2GDiscount),2)," with ",((T2GDiscount*100+F3308*100)-(T2GDiscount*100*F3308)),IF(F3308&gt;0,"% discounts",IF(NoWarrantyDiscount&gt;0,"% discounts","% discount")))))))))</f>
        <v/>
      </c>
      <c r="N3308" s="660"/>
      <c r="O3308" s="233"/>
      <c r="P3308" s="233"/>
      <c r="Q3308" s="233"/>
      <c r="R3308" s="233"/>
      <c r="S3308" s="233"/>
      <c r="T3308" s="508">
        <f t="shared" si="2518"/>
        <v>0</v>
      </c>
      <c r="U3308" s="225">
        <f>IF(NOT(ISNUMBER(G3308)), "", VLOOKUP(A3308,'Discount Lookup'!D:E,2,FALSE)*G3308)</f>
        <v>0</v>
      </c>
      <c r="V3308" s="225">
        <f>IF(NOT(ISNUMBER(G3308)), "", VLOOKUP(A3308,'Discount Lookup'!G:H,2,FALSE)*G3308)</f>
        <v>0</v>
      </c>
      <c r="W3308" s="508">
        <f t="shared" si="2519"/>
        <v>0</v>
      </c>
      <c r="X3308" s="508">
        <f t="shared" si="2520"/>
        <v>0</v>
      </c>
      <c r="Y3308" s="509" t="b">
        <f t="shared" si="2521"/>
        <v>0</v>
      </c>
      <c r="Z3308" s="510">
        <f t="shared" si="2522"/>
        <v>0</v>
      </c>
      <c r="AA3308" s="511"/>
      <c r="AB3308" s="511" t="str">
        <f t="shared" si="2523"/>
        <v/>
      </c>
      <c r="AC3308" s="698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698"/>
      <c r="AE3308" s="631" t="str">
        <f t="shared" si="2524"/>
        <v/>
      </c>
      <c r="AF3308" s="699" t="str">
        <f t="shared" si="2525"/>
        <v/>
      </c>
      <c r="AG3308" s="699"/>
      <c r="AH3308" s="699"/>
      <c r="AI3308" s="512">
        <f>IF(H3308="credit",0,IF(AE3308="free",0,IF(AE3308="me",0,IF(G3308&gt;0,(VLOOKUP(A3308,'Discount Lookup'!J:K,2)*G3308),0))))</f>
        <v>0</v>
      </c>
      <c r="AJ3308" s="513" t="str">
        <f t="shared" ca="1" si="2526"/>
        <v/>
      </c>
      <c r="AK3308" s="700" t="str">
        <f t="shared" si="2527"/>
        <v/>
      </c>
      <c r="AL3308" s="700"/>
      <c r="AM3308" s="505" t="str">
        <f t="shared" si="2528"/>
        <v/>
      </c>
      <c r="AN3308" s="506"/>
      <c r="AO3308" s="507"/>
      <c r="AP3308" s="507"/>
      <c r="AQ3308" s="507"/>
      <c r="AR3308" s="507"/>
      <c r="AS3308" s="507"/>
      <c r="AT3308" s="507"/>
      <c r="AU3308" s="507"/>
      <c r="AV3308" s="225"/>
      <c r="AW3308" s="508"/>
      <c r="AX3308" s="225"/>
      <c r="AY3308" s="225"/>
      <c r="AZ3308" s="225"/>
      <c r="BA3308" s="225"/>
      <c r="BB3308" s="225"/>
      <c r="BC3308" s="56"/>
      <c r="BD3308" s="56"/>
      <c r="BE3308" s="56"/>
      <c r="BF3308" s="107" t="str">
        <f t="shared" si="2529"/>
        <v>https://www.google.com/search?tbm=isch&amp;q=7%20G3</v>
      </c>
      <c r="BG3308" s="107" t="str">
        <f t="shared" si="2530"/>
        <v>S</v>
      </c>
      <c r="BH3308" s="254"/>
      <c r="BI3308" s="254"/>
    </row>
    <row r="3309" spans="1:61" customFormat="1" ht="15.75" x14ac:dyDescent="0.25">
      <c r="A3309" s="276">
        <v>7</v>
      </c>
      <c r="B3309" s="240" t="s">
        <v>291</v>
      </c>
      <c r="C3309" s="241" t="s">
        <v>3764</v>
      </c>
      <c r="D3309" s="242" t="s">
        <v>292</v>
      </c>
      <c r="E3309" s="243">
        <v>86.95</v>
      </c>
      <c r="F3309" s="517" t="s">
        <v>293</v>
      </c>
      <c r="G3309" s="232">
        <v>0</v>
      </c>
      <c r="H3309" s="661" t="str">
        <f>IF(G3309=0,"",IF(F3309="Buy",IF(G3309=1,"plant","plants"),IF(F3309&gt;0.01,"warranty","Error")))</f>
        <v/>
      </c>
      <c r="I3309" s="244">
        <f>IF(H3309="free",0,IF(H3309="credit",((E3309*(F3309))*G3309*-1),IF(F3309="Buy",(E3309*G3309),((E3309*(1-F3309))*G3309))))</f>
        <v>0</v>
      </c>
      <c r="J3309" s="244">
        <f>IF(H3309="warranty",0,(I3309*(_xlfn.SINGLE(SalesTaxPercentage))))</f>
        <v>0</v>
      </c>
      <c r="K3309" s="696">
        <f t="shared" ref="K3309" si="2547">I3309+J3309</f>
        <v>0</v>
      </c>
      <c r="L3309" s="696"/>
      <c r="M3309" s="659" t="str">
        <f>IF(AND(G3309&gt;0,E3309=0),"WARNING - no PRICE inserted",IF(H3309="free"," FREE ~ no charge this plant",IF(H3309="credit",CONCATENATE(" -$",ROUND(K3309*(1-T2GDiscount)*-1,2)," CREDIT after discount"),IF(T2GDiscount=0,"",IF(G3309=0,"",IF(F3309="Buy",CONCATENATE(" $",ROUND(K3309*(1-T2GDiscount),2)," with ",(T2GDiscount*100),"% discount"),CONCATENATE(" $",ROUND(K3309*(1-T2GDiscount),2)," with ",((T2GDiscount*100+F3309*100)-(T2GDiscount*100*F3309)),IF(F3309&gt;0,"% discounts",IF(NoWarrantyDiscount&gt;0,"% discounts","% discount")))))))))</f>
        <v/>
      </c>
      <c r="N3309" s="660"/>
      <c r="O3309" s="233"/>
      <c r="P3309" s="233"/>
      <c r="Q3309" s="233"/>
      <c r="R3309" s="233"/>
      <c r="S3309" s="233"/>
      <c r="T3309" s="508">
        <f t="shared" si="2518"/>
        <v>0</v>
      </c>
      <c r="U3309" s="225">
        <f>IF(NOT(ISNUMBER(G3309)), "", VLOOKUP(A3309,'Discount Lookup'!D:E,2,FALSE)*G3309)</f>
        <v>0</v>
      </c>
      <c r="V3309" s="225">
        <f>IF(NOT(ISNUMBER(G3309)), "", VLOOKUP(A3309,'Discount Lookup'!G:H,2,FALSE)*G3309)</f>
        <v>0</v>
      </c>
      <c r="W3309" s="508">
        <f t="shared" si="2519"/>
        <v>0</v>
      </c>
      <c r="X3309" s="508">
        <f t="shared" si="2520"/>
        <v>0</v>
      </c>
      <c r="Y3309" s="509" t="b">
        <f t="shared" si="2521"/>
        <v>0</v>
      </c>
      <c r="Z3309" s="510">
        <f t="shared" si="2522"/>
        <v>0</v>
      </c>
      <c r="AA3309" s="511"/>
      <c r="AB3309" s="511" t="str">
        <f t="shared" si="2523"/>
        <v/>
      </c>
      <c r="AC3309" s="698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698"/>
      <c r="AE3309" s="631" t="str">
        <f t="shared" si="2524"/>
        <v/>
      </c>
      <c r="AF3309" s="699" t="str">
        <f t="shared" si="2525"/>
        <v/>
      </c>
      <c r="AG3309" s="699"/>
      <c r="AH3309" s="699"/>
      <c r="AI3309" s="512">
        <f>IF(H3309="credit",0,IF(AE3309="free",0,IF(AE3309="me",0,IF(G3309&gt;0,(VLOOKUP(A3309,'Discount Lookup'!J:K,2)*G3309),0))))</f>
        <v>0</v>
      </c>
      <c r="AJ3309" s="513" t="str">
        <f t="shared" ca="1" si="2526"/>
        <v/>
      </c>
      <c r="AK3309" s="700" t="str">
        <f t="shared" si="2527"/>
        <v/>
      </c>
      <c r="AL3309" s="700"/>
      <c r="AM3309" s="505" t="str">
        <f t="shared" si="2528"/>
        <v/>
      </c>
      <c r="AN3309" s="506"/>
      <c r="AO3309" s="507"/>
      <c r="AP3309" s="507"/>
      <c r="AQ3309" s="507"/>
      <c r="AR3309" s="507"/>
      <c r="AS3309" s="507"/>
      <c r="AT3309" s="507"/>
      <c r="AU3309" s="507"/>
      <c r="AV3309" s="225"/>
      <c r="AW3309" s="508"/>
      <c r="AX3309" s="225"/>
      <c r="AY3309" s="225"/>
      <c r="AZ3309" s="225"/>
      <c r="BA3309" s="225"/>
      <c r="BB3309" s="225"/>
      <c r="BC3309" s="56"/>
      <c r="BD3309" s="56"/>
      <c r="BE3309" s="56"/>
      <c r="BF3309" s="107" t="str">
        <f t="shared" si="2529"/>
        <v>https://www.google.com/search?tbm=isch&amp;q=7%20G4</v>
      </c>
      <c r="BG3309" s="107" t="str">
        <f t="shared" si="2530"/>
        <v>S</v>
      </c>
      <c r="BH3309" s="254"/>
      <c r="BI3309" s="254"/>
    </row>
    <row r="3310" spans="1:61" customFormat="1" ht="15.75" x14ac:dyDescent="0.25">
      <c r="A3310" s="276">
        <v>10</v>
      </c>
      <c r="B3310" s="240" t="s">
        <v>291</v>
      </c>
      <c r="C3310" s="241" t="s">
        <v>1716</v>
      </c>
      <c r="D3310" s="242" t="s">
        <v>300</v>
      </c>
      <c r="E3310" s="243">
        <v>191.95</v>
      </c>
      <c r="F3310" s="517" t="s">
        <v>293</v>
      </c>
      <c r="G3310" s="232">
        <v>0</v>
      </c>
      <c r="H3310" s="661" t="str">
        <f>IF(G3310=0,"",IF(F3310="Buy",IF(G3310=1,"plant","plants"),IF(F3310&gt;0.01,"warranty","Error")))</f>
        <v/>
      </c>
      <c r="I3310" s="244">
        <f>IF(H3310="free",0,IF(H3310="credit",((E3310*(F3310))*G3310*-1),IF(F3310="Buy",(E3310*G3310),((E3310*(1-F3310))*G3310))))</f>
        <v>0</v>
      </c>
      <c r="J3310" s="244">
        <f>IF(H3310="warranty",0,(I3310*(_xlfn.SINGLE(SalesTaxPercentage))))</f>
        <v>0</v>
      </c>
      <c r="K3310" s="696">
        <f t="shared" ref="K3310" si="2548">I3310+J3310</f>
        <v>0</v>
      </c>
      <c r="L3310" s="696"/>
      <c r="M3310" s="659" t="str">
        <f>IF(AND(G3310&gt;0,E3310=0),"WARNING - no PRICE inserted",IF(H3310="free"," FREE ~ no charge this plant",IF(H3310="credit",CONCATENATE(" -$",ROUND(K3310*(1-T2GDiscount)*-1,2)," CREDIT after discount"),IF(T2GDiscount=0,"",IF(G3310=0,"",IF(F3310="Buy",CONCATENATE(" $",ROUND(K3310*(1-T2GDiscount),2)," with ",(T2GDiscount*100),"% discount"),CONCATENATE(" $",ROUND(K3310*(1-T2GDiscount),2)," with ",((T2GDiscount*100+F3310*100)-(T2GDiscount*100*F3310)),IF(F3310&gt;0,"% discounts",IF(NoWarrantyDiscount&gt;0,"% discounts","% discount")))))))))</f>
        <v/>
      </c>
      <c r="N3310" s="660"/>
      <c r="O3310" s="233"/>
      <c r="P3310" s="233"/>
      <c r="Q3310" s="233"/>
      <c r="R3310" s="233"/>
      <c r="S3310" s="233"/>
      <c r="T3310" s="508">
        <f t="shared" si="2518"/>
        <v>0</v>
      </c>
      <c r="U3310" s="225">
        <f>IF(NOT(ISNUMBER(G3310)), "", VLOOKUP(A3310,'Discount Lookup'!D:E,2,FALSE)*G3310)</f>
        <v>0</v>
      </c>
      <c r="V3310" s="225">
        <f>IF(NOT(ISNUMBER(G3310)), "", VLOOKUP(A3310,'Discount Lookup'!G:H,2,FALSE)*G3310)</f>
        <v>0</v>
      </c>
      <c r="W3310" s="508">
        <f t="shared" si="2519"/>
        <v>0</v>
      </c>
      <c r="X3310" s="508">
        <f t="shared" si="2520"/>
        <v>0</v>
      </c>
      <c r="Y3310" s="509" t="b">
        <f t="shared" si="2521"/>
        <v>0</v>
      </c>
      <c r="Z3310" s="510">
        <f t="shared" si="2522"/>
        <v>0</v>
      </c>
      <c r="AA3310" s="511"/>
      <c r="AB3310" s="511" t="str">
        <f t="shared" si="2523"/>
        <v/>
      </c>
      <c r="AC3310" s="698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698"/>
      <c r="AE3310" s="631" t="str">
        <f t="shared" si="2524"/>
        <v/>
      </c>
      <c r="AF3310" s="699" t="str">
        <f t="shared" si="2525"/>
        <v/>
      </c>
      <c r="AG3310" s="699"/>
      <c r="AH3310" s="699"/>
      <c r="AI3310" s="512">
        <f>IF(H3310="credit",0,IF(AE3310="free",0,IF(AE3310="me",0,IF(G3310&gt;0,(VLOOKUP(A3310,'Discount Lookup'!J:K,2)*G3310),0))))</f>
        <v>0</v>
      </c>
      <c r="AJ3310" s="513" t="str">
        <f t="shared" ca="1" si="2526"/>
        <v/>
      </c>
      <c r="AK3310" s="700" t="str">
        <f t="shared" si="2527"/>
        <v/>
      </c>
      <c r="AL3310" s="700"/>
      <c r="AM3310" s="505" t="str">
        <f t="shared" si="2528"/>
        <v/>
      </c>
      <c r="AN3310" s="506"/>
      <c r="AO3310" s="507"/>
      <c r="AP3310" s="507"/>
      <c r="AQ3310" s="507"/>
      <c r="AR3310" s="507"/>
      <c r="AS3310" s="507"/>
      <c r="AT3310" s="507"/>
      <c r="AU3310" s="507"/>
      <c r="AV3310" s="225"/>
      <c r="AW3310" s="508"/>
      <c r="AX3310" s="225"/>
      <c r="AY3310" s="225"/>
      <c r="AZ3310" s="225"/>
      <c r="BA3310" s="225"/>
      <c r="BB3310" s="225"/>
      <c r="BC3310" s="56"/>
      <c r="BD3310" s="56"/>
      <c r="BE3310" s="56"/>
      <c r="BF3310" s="107" t="str">
        <f t="shared" si="2529"/>
        <v>https://www.google.com/search?tbm=isch&amp;q=10%20G6</v>
      </c>
      <c r="BG3310" s="107" t="str">
        <f t="shared" si="2530"/>
        <v>S</v>
      </c>
      <c r="BH3310" s="254"/>
      <c r="BI3310" s="254"/>
    </row>
    <row r="3311" spans="1:61" customFormat="1" ht="17.25" thickBot="1" x14ac:dyDescent="0.3">
      <c r="A3311" s="524" t="s">
        <v>2475</v>
      </c>
      <c r="B3311" s="245"/>
      <c r="C3311" s="677"/>
      <c r="D3311" s="499"/>
      <c r="E3311" s="499"/>
      <c r="F3311" s="500"/>
      <c r="G3311" s="501"/>
      <c r="H3311" s="502"/>
      <c r="I3311" s="246"/>
      <c r="J3311" s="247"/>
      <c r="K3311" s="503"/>
      <c r="L3311" s="544"/>
      <c r="M3311" s="544"/>
      <c r="N3311" s="500"/>
      <c r="O3311" s="500"/>
      <c r="P3311" s="500"/>
      <c r="Q3311" s="500"/>
      <c r="R3311" s="500"/>
      <c r="S3311" s="669" t="s">
        <v>4996</v>
      </c>
      <c r="T3311" s="508">
        <f t="shared" si="2518"/>
        <v>0</v>
      </c>
      <c r="U3311" s="225" t="str">
        <f>IF(NOT(ISNUMBER(G3311)), "", VLOOKUP(A3311,'Discount Lookup'!D:E,2,FALSE)*G3311)</f>
        <v/>
      </c>
      <c r="V3311" s="225" t="str">
        <f>IF(NOT(ISNUMBER(G3311)), "", VLOOKUP(A3311,'Discount Lookup'!G:H,2,FALSE)*G3311)</f>
        <v/>
      </c>
      <c r="W3311" s="508">
        <f t="shared" si="2519"/>
        <v>0</v>
      </c>
      <c r="X3311" s="508">
        <f t="shared" si="2520"/>
        <v>0</v>
      </c>
      <c r="Y3311" s="509" t="b">
        <f t="shared" si="2521"/>
        <v>0</v>
      </c>
      <c r="Z3311" s="510">
        <f t="shared" si="2522"/>
        <v>0</v>
      </c>
      <c r="AA3311" s="511"/>
      <c r="AB3311" s="511" t="str">
        <f t="shared" si="2523"/>
        <v/>
      </c>
      <c r="AC3311" s="698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698"/>
      <c r="AE3311" s="631" t="str">
        <f t="shared" si="2524"/>
        <v/>
      </c>
      <c r="AF3311" s="699" t="str">
        <f t="shared" si="2525"/>
        <v/>
      </c>
      <c r="AG3311" s="699"/>
      <c r="AH3311" s="699"/>
      <c r="AI3311" s="512">
        <f>IF(H3311="credit",0,IF(AE3311="free",0,IF(AE3311="me",0,IF(G3311&gt;0,(VLOOKUP(A3311,'Discount Lookup'!J:K,2)*G3311),0))))</f>
        <v>0</v>
      </c>
      <c r="AJ3311" s="513" t="str">
        <f t="shared" ca="1" si="2526"/>
        <v/>
      </c>
      <c r="AK3311" s="700" t="str">
        <f t="shared" si="2527"/>
        <v/>
      </c>
      <c r="AL3311" s="700"/>
      <c r="AM3311" s="505" t="str">
        <f t="shared" si="2528"/>
        <v/>
      </c>
      <c r="AN3311" s="506"/>
      <c r="AO3311" s="507"/>
      <c r="AP3311" s="507"/>
      <c r="AQ3311" s="507"/>
      <c r="AR3311" s="507"/>
      <c r="AS3311" s="507"/>
      <c r="AT3311" s="507"/>
      <c r="AU3311" s="507"/>
      <c r="AV3311" s="225"/>
      <c r="AW3311" s="508"/>
      <c r="AX3311" s="225"/>
      <c r="AY3311" s="225"/>
      <c r="AZ3311" s="225"/>
      <c r="BA3311" s="225"/>
      <c r="BB3311" s="225"/>
      <c r="BC3311" s="56"/>
      <c r="BD3311" s="56"/>
      <c r="BE3311" s="56"/>
      <c r="BF3311" s="107" t="str">
        <f t="shared" si="2529"/>
        <v>https://www.google.com/search?tbm=isch&amp;q=Shasta%20has%20large%20flower%20clusters%20in%20spring%2C%20followed%20by%20attractive%20red%20fruit%2C%20maturing%20to%20black%2C%20which%20birds%20love%20</v>
      </c>
      <c r="BG3311" s="107" t="str">
        <f t="shared" si="2530"/>
        <v>S</v>
      </c>
      <c r="BH3311" s="254"/>
      <c r="BI3311" s="254"/>
    </row>
    <row r="3312" spans="1:61" customFormat="1" ht="18" x14ac:dyDescent="0.25">
      <c r="A3312" s="523" t="s">
        <v>1717</v>
      </c>
      <c r="B3312" s="235"/>
      <c r="C3312" s="676"/>
      <c r="D3312" s="255" t="s">
        <v>1718</v>
      </c>
      <c r="E3312" s="236"/>
      <c r="F3312" s="236"/>
      <c r="G3312" s="236"/>
      <c r="H3312" s="582" t="s">
        <v>905</v>
      </c>
      <c r="I3312" s="498" t="s">
        <v>3034</v>
      </c>
      <c r="J3312" s="237"/>
      <c r="K3312" s="237"/>
      <c r="L3312" s="274"/>
      <c r="M3312" s="668" t="s">
        <v>4962</v>
      </c>
      <c r="N3312" s="681" t="str">
        <f>IF(AND(ISTEXT($A3312), ISERROR($A3312+0)), HYPERLINK($BF3312, "Images"), "")</f>
        <v>Images</v>
      </c>
      <c r="O3312" s="663" t="s">
        <v>4969</v>
      </c>
      <c r="P3312" s="253"/>
      <c r="Q3312" s="238"/>
      <c r="R3312" s="239"/>
      <c r="S3312" s="275" t="s">
        <v>305</v>
      </c>
      <c r="T3312" s="508">
        <f t="shared" si="2518"/>
        <v>0</v>
      </c>
      <c r="U3312" s="225" t="str">
        <f>IF(NOT(ISNUMBER(G3312)), "", VLOOKUP(A3312,'Discount Lookup'!D:E,2,FALSE)*G3312)</f>
        <v/>
      </c>
      <c r="V3312" s="225" t="str">
        <f>IF(NOT(ISNUMBER(G3312)), "", VLOOKUP(A3312,'Discount Lookup'!G:H,2,FALSE)*G3312)</f>
        <v/>
      </c>
      <c r="W3312" s="508">
        <f t="shared" si="2519"/>
        <v>0</v>
      </c>
      <c r="X3312" s="508" t="str">
        <f t="shared" si="2520"/>
        <v>Steely blue-green blades, Red hue</v>
      </c>
      <c r="Y3312" s="509" t="b">
        <f t="shared" si="2521"/>
        <v>0</v>
      </c>
      <c r="Z3312" s="510">
        <f t="shared" si="2522"/>
        <v>0</v>
      </c>
      <c r="AA3312" s="511"/>
      <c r="AB3312" s="511" t="str">
        <f t="shared" si="2523"/>
        <v/>
      </c>
      <c r="AC3312" s="698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698"/>
      <c r="AE3312" s="631" t="str">
        <f t="shared" si="2524"/>
        <v/>
      </c>
      <c r="AF3312" s="699" t="str">
        <f t="shared" si="2525"/>
        <v/>
      </c>
      <c r="AG3312" s="699"/>
      <c r="AH3312" s="699"/>
      <c r="AI3312" s="512">
        <f>IF(H3312="credit",0,IF(AE3312="free",0,IF(AE3312="me",0,IF(G3312&gt;0,(VLOOKUP(A3312,'Discount Lookup'!J:K,2)*G3312),0))))</f>
        <v>0</v>
      </c>
      <c r="AJ3312" s="513" t="str">
        <f t="shared" ca="1" si="2526"/>
        <v/>
      </c>
      <c r="AK3312" s="700" t="str">
        <f t="shared" si="2527"/>
        <v/>
      </c>
      <c r="AL3312" s="700"/>
      <c r="AM3312" s="505" t="str">
        <f t="shared" si="2528"/>
        <v/>
      </c>
      <c r="AN3312" s="506"/>
      <c r="AO3312" s="507"/>
      <c r="AP3312" s="507"/>
      <c r="AQ3312" s="507"/>
      <c r="AR3312" s="507"/>
      <c r="AS3312" s="507"/>
      <c r="AT3312" s="507"/>
      <c r="AU3312" s="507"/>
      <c r="AV3312" s="225"/>
      <c r="AW3312" s="508"/>
      <c r="AX3312" s="225"/>
      <c r="AY3312" s="225"/>
      <c r="AZ3312" s="225"/>
      <c r="BA3312" s="225"/>
      <c r="BB3312" s="225"/>
      <c r="BC3312" s="56"/>
      <c r="BD3312" s="56"/>
      <c r="BE3312" s="56"/>
      <c r="BF3312" s="107" t="str">
        <f t="shared" si="2529"/>
        <v>https://www.google.com/search?tbm=isch&amp;q=Shenandoah%20Switchgrass%20Panicum%20virgatum%20%27Shenandoah%27</v>
      </c>
      <c r="BG3312" s="107" t="str">
        <f t="shared" si="2530"/>
        <v>S</v>
      </c>
      <c r="BH3312" s="254"/>
      <c r="BI3312" s="254"/>
    </row>
    <row r="3313" spans="1:61" customFormat="1" ht="15.75" x14ac:dyDescent="0.25">
      <c r="A3313" s="276">
        <v>3</v>
      </c>
      <c r="B3313" s="240" t="s">
        <v>291</v>
      </c>
      <c r="C3313" s="241"/>
      <c r="D3313" s="242" t="s">
        <v>298</v>
      </c>
      <c r="E3313" s="243">
        <v>25.95</v>
      </c>
      <c r="F3313" s="517" t="s">
        <v>293</v>
      </c>
      <c r="G3313" s="232">
        <v>0</v>
      </c>
      <c r="H3313" s="661" t="str">
        <f>IF(G3313=0,"",IF(F3313="Buy",IF(G3313=1,"plant","plants"),IF(F3313&gt;0.01,"warranty","Error")))</f>
        <v/>
      </c>
      <c r="I3313" s="244">
        <f>IF(H3313="free",0,IF(H3313="credit",((E3313*(F3313))*G3313*-1),IF(F3313="Buy",(E3313*G3313),((E3313*(1-F3313))*G3313))))</f>
        <v>0</v>
      </c>
      <c r="J3313" s="244">
        <f>IF(H3313="warranty",0,(I3313*(_xlfn.SINGLE(SalesTaxPercentage))))</f>
        <v>0</v>
      </c>
      <c r="K3313" s="696">
        <f t="shared" ref="K3313" si="2549">I3313+J3313</f>
        <v>0</v>
      </c>
      <c r="L3313" s="696"/>
      <c r="M3313" s="659" t="str">
        <f>IF(AND(G3313&gt;0,E3313=0),"WARNING - no PRICE inserted",IF(H3313="free"," FREE ~ no charge this plant",IF(H3313="credit",CONCATENATE(" -$",ROUND(K3313*(1-T2GDiscount)*-1,2)," CREDIT after discount"),IF(T2GDiscount=0,"",IF(G3313=0,"",IF(F3313="Buy",CONCATENATE(" $",ROUND(K3313*(1-T2GDiscount),2)," with ",(T2GDiscount*100),"% discount"),CONCATENATE(" $",ROUND(K3313*(1-T2GDiscount),2)," with ",((T2GDiscount*100+F3313*100)-(T2GDiscount*100*F3313)),IF(F3313&gt;0,"% discounts",IF(NoWarrantyDiscount&gt;0,"% discounts","% discount")))))))))</f>
        <v/>
      </c>
      <c r="N3313" s="660"/>
      <c r="O3313" s="233"/>
      <c r="P3313" s="233"/>
      <c r="Q3313" s="233"/>
      <c r="R3313" s="233"/>
      <c r="S3313" s="233"/>
      <c r="T3313" s="508">
        <f t="shared" si="2518"/>
        <v>0</v>
      </c>
      <c r="U3313" s="225">
        <f>IF(NOT(ISNUMBER(G3313)), "", VLOOKUP(A3313,'Discount Lookup'!D:E,2,FALSE)*G3313)</f>
        <v>0</v>
      </c>
      <c r="V3313" s="225">
        <f>IF(NOT(ISNUMBER(G3313)), "", VLOOKUP(A3313,'Discount Lookup'!G:H,2,FALSE)*G3313)</f>
        <v>0</v>
      </c>
      <c r="W3313" s="508">
        <f t="shared" si="2519"/>
        <v>0</v>
      </c>
      <c r="X3313" s="508">
        <f t="shared" si="2520"/>
        <v>0</v>
      </c>
      <c r="Y3313" s="509" t="b">
        <f t="shared" si="2521"/>
        <v>0</v>
      </c>
      <c r="Z3313" s="510">
        <f t="shared" si="2522"/>
        <v>0</v>
      </c>
      <c r="AA3313" s="511"/>
      <c r="AB3313" s="511" t="str">
        <f t="shared" si="2523"/>
        <v/>
      </c>
      <c r="AC3313" s="698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698"/>
      <c r="AE3313" s="631" t="str">
        <f t="shared" si="2524"/>
        <v/>
      </c>
      <c r="AF3313" s="699" t="str">
        <f t="shared" si="2525"/>
        <v/>
      </c>
      <c r="AG3313" s="699"/>
      <c r="AH3313" s="699"/>
      <c r="AI3313" s="512">
        <f>IF(H3313="credit",0,IF(AE3313="free",0,IF(AE3313="me",0,IF(G3313&gt;0,(VLOOKUP(A3313,'Discount Lookup'!J:K,2)*G3313),0))))</f>
        <v>0</v>
      </c>
      <c r="AJ3313" s="513" t="str">
        <f t="shared" ca="1" si="2526"/>
        <v/>
      </c>
      <c r="AK3313" s="700" t="str">
        <f t="shared" si="2527"/>
        <v/>
      </c>
      <c r="AL3313" s="700"/>
      <c r="AM3313" s="505" t="str">
        <f t="shared" si="2528"/>
        <v/>
      </c>
      <c r="AN3313" s="506"/>
      <c r="AO3313" s="507"/>
      <c r="AP3313" s="507"/>
      <c r="AQ3313" s="507"/>
      <c r="AR3313" s="507"/>
      <c r="AS3313" s="507"/>
      <c r="AT3313" s="507"/>
      <c r="AU3313" s="507"/>
      <c r="AV3313" s="225"/>
      <c r="AW3313" s="508"/>
      <c r="AX3313" s="225"/>
      <c r="AY3313" s="225"/>
      <c r="AZ3313" s="225"/>
      <c r="BA3313" s="225"/>
      <c r="BB3313" s="225"/>
      <c r="BC3313" s="56"/>
      <c r="BD3313" s="56"/>
      <c r="BE3313" s="56"/>
      <c r="BF3313" s="107" t="str">
        <f t="shared" si="2529"/>
        <v>https://www.google.com/search?tbm=isch&amp;q=3%20G1</v>
      </c>
      <c r="BG3313" s="107" t="str">
        <f t="shared" si="2530"/>
        <v>S</v>
      </c>
      <c r="BH3313" s="254"/>
      <c r="BI3313" s="254"/>
    </row>
    <row r="3314" spans="1:61" customFormat="1" ht="15.75" x14ac:dyDescent="0.25">
      <c r="A3314" s="276">
        <v>3</v>
      </c>
      <c r="B3314" s="240" t="s">
        <v>291</v>
      </c>
      <c r="C3314" s="241"/>
      <c r="D3314" s="242" t="s">
        <v>312</v>
      </c>
      <c r="E3314" s="243">
        <v>25.95</v>
      </c>
      <c r="F3314" s="517" t="s">
        <v>293</v>
      </c>
      <c r="G3314" s="232">
        <v>0</v>
      </c>
      <c r="H3314" s="661" t="str">
        <f>IF(G3314=0,"",IF(F3314="Buy",IF(G3314=1,"plant","plants"),IF(F3314&gt;0.01,"warranty","Error")))</f>
        <v/>
      </c>
      <c r="I3314" s="244">
        <f>IF(H3314="free",0,IF(H3314="credit",((E3314*(F3314))*G3314*-1),IF(F3314="Buy",(E3314*G3314),((E3314*(1-F3314))*G3314))))</f>
        <v>0</v>
      </c>
      <c r="J3314" s="244">
        <f>IF(H3314="warranty",0,(I3314*(_xlfn.SINGLE(SalesTaxPercentage))))</f>
        <v>0</v>
      </c>
      <c r="K3314" s="696">
        <f t="shared" ref="K3314" si="2550">I3314+J3314</f>
        <v>0</v>
      </c>
      <c r="L3314" s="696"/>
      <c r="M3314" s="659" t="str">
        <f>IF(AND(G3314&gt;0,E3314=0),"WARNING - no PRICE inserted",IF(H3314="free"," FREE ~ no charge this plant",IF(H3314="credit",CONCATENATE(" -$",ROUND(K3314*(1-T2GDiscount)*-1,2)," CREDIT after discount"),IF(T2GDiscount=0,"",IF(G3314=0,"",IF(F3314="Buy",CONCATENATE(" $",ROUND(K3314*(1-T2GDiscount),2)," with ",(T2GDiscount*100),"% discount"),CONCATENATE(" $",ROUND(K3314*(1-T2GDiscount),2)," with ",((T2GDiscount*100+F3314*100)-(T2GDiscount*100*F3314)),IF(F3314&gt;0,"% discounts",IF(NoWarrantyDiscount&gt;0,"% discounts","% discount")))))))))</f>
        <v/>
      </c>
      <c r="N3314" s="660"/>
      <c r="O3314" s="233"/>
      <c r="P3314" s="233"/>
      <c r="Q3314" s="233"/>
      <c r="R3314" s="233"/>
      <c r="S3314" s="233"/>
      <c r="T3314" s="508">
        <f t="shared" si="2518"/>
        <v>0</v>
      </c>
      <c r="U3314" s="225">
        <f>IF(NOT(ISNUMBER(G3314)), "", VLOOKUP(A3314,'Discount Lookup'!D:E,2,FALSE)*G3314)</f>
        <v>0</v>
      </c>
      <c r="V3314" s="225">
        <f>IF(NOT(ISNUMBER(G3314)), "", VLOOKUP(A3314,'Discount Lookup'!G:H,2,FALSE)*G3314)</f>
        <v>0</v>
      </c>
      <c r="W3314" s="508">
        <f t="shared" si="2519"/>
        <v>0</v>
      </c>
      <c r="X3314" s="508">
        <f t="shared" si="2520"/>
        <v>0</v>
      </c>
      <c r="Y3314" s="509" t="b">
        <f t="shared" si="2521"/>
        <v>0</v>
      </c>
      <c r="Z3314" s="510">
        <f t="shared" si="2522"/>
        <v>0</v>
      </c>
      <c r="AA3314" s="511"/>
      <c r="AB3314" s="511" t="str">
        <f t="shared" si="2523"/>
        <v/>
      </c>
      <c r="AC3314" s="698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698"/>
      <c r="AE3314" s="631" t="str">
        <f t="shared" si="2524"/>
        <v/>
      </c>
      <c r="AF3314" s="699" t="str">
        <f t="shared" si="2525"/>
        <v/>
      </c>
      <c r="AG3314" s="699"/>
      <c r="AH3314" s="699"/>
      <c r="AI3314" s="512">
        <f>IF(H3314="credit",0,IF(AE3314="free",0,IF(AE3314="me",0,IF(G3314&gt;0,(VLOOKUP(A3314,'Discount Lookup'!J:K,2)*G3314),0))))</f>
        <v>0</v>
      </c>
      <c r="AJ3314" s="513" t="str">
        <f t="shared" ca="1" si="2526"/>
        <v/>
      </c>
      <c r="AK3314" s="700" t="str">
        <f t="shared" si="2527"/>
        <v/>
      </c>
      <c r="AL3314" s="700"/>
      <c r="AM3314" s="505" t="str">
        <f t="shared" si="2528"/>
        <v/>
      </c>
      <c r="AN3314" s="506"/>
      <c r="AO3314" s="507"/>
      <c r="AP3314" s="507"/>
      <c r="AQ3314" s="507"/>
      <c r="AR3314" s="507"/>
      <c r="AS3314" s="507"/>
      <c r="AT3314" s="507"/>
      <c r="AU3314" s="507"/>
      <c r="AV3314" s="225"/>
      <c r="AW3314" s="508"/>
      <c r="AX3314" s="225"/>
      <c r="AY3314" s="225"/>
      <c r="AZ3314" s="225"/>
      <c r="BA3314" s="225"/>
      <c r="BB3314" s="225"/>
      <c r="BC3314" s="56"/>
      <c r="BD3314" s="56"/>
      <c r="BE3314" s="56"/>
      <c r="BF3314" s="107" t="str">
        <f t="shared" si="2529"/>
        <v>https://www.google.com/search?tbm=isch&amp;q=3%20G2</v>
      </c>
      <c r="BG3314" s="107" t="str">
        <f t="shared" si="2530"/>
        <v>S</v>
      </c>
      <c r="BH3314" s="254"/>
      <c r="BI3314" s="254"/>
    </row>
    <row r="3315" spans="1:61" customFormat="1" ht="15.75" x14ac:dyDescent="0.25">
      <c r="A3315" s="276">
        <v>3</v>
      </c>
      <c r="B3315" s="240" t="s">
        <v>291</v>
      </c>
      <c r="C3315" s="241"/>
      <c r="D3315" s="242" t="s">
        <v>300</v>
      </c>
      <c r="E3315" s="243">
        <v>30.95</v>
      </c>
      <c r="F3315" s="517" t="s">
        <v>293</v>
      </c>
      <c r="G3315" s="232">
        <v>0</v>
      </c>
      <c r="H3315" s="661" t="str">
        <f>IF(G3315=0,"",IF(F3315="Buy",IF(G3315=1,"plant","plants"),IF(F3315&gt;0.01,"warranty","Error")))</f>
        <v/>
      </c>
      <c r="I3315" s="244">
        <f>IF(H3315="free",0,IF(H3315="credit",((E3315*(F3315))*G3315*-1),IF(F3315="Buy",(E3315*G3315),((E3315*(1-F3315))*G3315))))</f>
        <v>0</v>
      </c>
      <c r="J3315" s="244">
        <f>IF(H3315="warranty",0,(I3315*(_xlfn.SINGLE(SalesTaxPercentage))))</f>
        <v>0</v>
      </c>
      <c r="K3315" s="696">
        <f t="shared" ref="K3315" si="2551">I3315+J3315</f>
        <v>0</v>
      </c>
      <c r="L3315" s="696"/>
      <c r="M3315" s="659" t="str">
        <f>IF(AND(G3315&gt;0,E3315=0),"WARNING - no PRICE inserted",IF(H3315="free"," FREE ~ no charge this plant",IF(H3315="credit",CONCATENATE(" -$",ROUND(K3315*(1-T2GDiscount)*-1,2)," CREDIT after discount"),IF(T2GDiscount=0,"",IF(G3315=0,"",IF(F3315="Buy",CONCATENATE(" $",ROUND(K3315*(1-T2GDiscount),2)," with ",(T2GDiscount*100),"% discount"),CONCATENATE(" $",ROUND(K3315*(1-T2GDiscount),2)," with ",((T2GDiscount*100+F3315*100)-(T2GDiscount*100*F3315)),IF(F3315&gt;0,"% discounts",IF(NoWarrantyDiscount&gt;0,"% discounts","% discount")))))))))</f>
        <v/>
      </c>
      <c r="N3315" s="660"/>
      <c r="O3315" s="233"/>
      <c r="P3315" s="233"/>
      <c r="Q3315" s="233"/>
      <c r="R3315" s="233"/>
      <c r="S3315" s="233"/>
      <c r="T3315" s="508">
        <f t="shared" si="2518"/>
        <v>0</v>
      </c>
      <c r="U3315" s="225">
        <f>IF(NOT(ISNUMBER(G3315)), "", VLOOKUP(A3315,'Discount Lookup'!D:E,2,FALSE)*G3315)</f>
        <v>0</v>
      </c>
      <c r="V3315" s="225">
        <f>IF(NOT(ISNUMBER(G3315)), "", VLOOKUP(A3315,'Discount Lookup'!G:H,2,FALSE)*G3315)</f>
        <v>0</v>
      </c>
      <c r="W3315" s="508">
        <f t="shared" si="2519"/>
        <v>0</v>
      </c>
      <c r="X3315" s="508">
        <f t="shared" si="2520"/>
        <v>0</v>
      </c>
      <c r="Y3315" s="509" t="b">
        <f t="shared" si="2521"/>
        <v>0</v>
      </c>
      <c r="Z3315" s="510">
        <f t="shared" si="2522"/>
        <v>0</v>
      </c>
      <c r="AA3315" s="511"/>
      <c r="AB3315" s="511" t="str">
        <f t="shared" si="2523"/>
        <v/>
      </c>
      <c r="AC3315" s="698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698"/>
      <c r="AE3315" s="631" t="str">
        <f t="shared" si="2524"/>
        <v/>
      </c>
      <c r="AF3315" s="699" t="str">
        <f t="shared" si="2525"/>
        <v/>
      </c>
      <c r="AG3315" s="699"/>
      <c r="AH3315" s="699"/>
      <c r="AI3315" s="512">
        <f>IF(H3315="credit",0,IF(AE3315="free",0,IF(AE3315="me",0,IF(G3315&gt;0,(VLOOKUP(A3315,'Discount Lookup'!J:K,2)*G3315),0))))</f>
        <v>0</v>
      </c>
      <c r="AJ3315" s="513" t="str">
        <f t="shared" ca="1" si="2526"/>
        <v/>
      </c>
      <c r="AK3315" s="700" t="str">
        <f t="shared" si="2527"/>
        <v/>
      </c>
      <c r="AL3315" s="700"/>
      <c r="AM3315" s="505" t="str">
        <f t="shared" si="2528"/>
        <v/>
      </c>
      <c r="AN3315" s="506"/>
      <c r="AO3315" s="507"/>
      <c r="AP3315" s="507"/>
      <c r="AQ3315" s="507"/>
      <c r="AR3315" s="507"/>
      <c r="AS3315" s="507"/>
      <c r="AT3315" s="507"/>
      <c r="AU3315" s="507"/>
      <c r="AV3315" s="225"/>
      <c r="AW3315" s="508"/>
      <c r="AX3315" s="225"/>
      <c r="AY3315" s="225"/>
      <c r="AZ3315" s="225"/>
      <c r="BA3315" s="225"/>
      <c r="BB3315" s="225"/>
      <c r="BC3315" s="56"/>
      <c r="BD3315" s="56"/>
      <c r="BE3315" s="56"/>
      <c r="BF3315" s="107" t="str">
        <f t="shared" si="2529"/>
        <v>https://www.google.com/search?tbm=isch&amp;q=3%20G6</v>
      </c>
      <c r="BG3315" s="107" t="str">
        <f t="shared" si="2530"/>
        <v>S</v>
      </c>
      <c r="BH3315" s="254"/>
      <c r="BI3315" s="254"/>
    </row>
    <row r="3316" spans="1:61" customFormat="1" ht="17.25" thickBot="1" x14ac:dyDescent="0.3">
      <c r="A3316" s="673" t="s">
        <v>5228</v>
      </c>
      <c r="B3316" s="245"/>
      <c r="C3316" s="677"/>
      <c r="D3316" s="499"/>
      <c r="E3316" s="499"/>
      <c r="F3316" s="500"/>
      <c r="G3316" s="501"/>
      <c r="H3316" s="502"/>
      <c r="I3316" s="246"/>
      <c r="J3316" s="247"/>
      <c r="K3316" s="503"/>
      <c r="L3316" s="544"/>
      <c r="M3316" s="544"/>
      <c r="N3316" s="500"/>
      <c r="O3316" s="500"/>
      <c r="P3316" s="500"/>
      <c r="Q3316" s="500"/>
      <c r="R3316" s="500"/>
      <c r="S3316" s="669" t="s">
        <v>4991</v>
      </c>
      <c r="T3316" s="508">
        <f t="shared" si="2518"/>
        <v>0</v>
      </c>
      <c r="U3316" s="225" t="str">
        <f>IF(NOT(ISNUMBER(G3316)), "", VLOOKUP(A3316,'Discount Lookup'!D:E,2,FALSE)*G3316)</f>
        <v/>
      </c>
      <c r="V3316" s="225" t="str">
        <f>IF(NOT(ISNUMBER(G3316)), "", VLOOKUP(A3316,'Discount Lookup'!G:H,2,FALSE)*G3316)</f>
        <v/>
      </c>
      <c r="W3316" s="508">
        <f t="shared" si="2519"/>
        <v>0</v>
      </c>
      <c r="X3316" s="508">
        <f t="shared" si="2520"/>
        <v>0</v>
      </c>
      <c r="Y3316" s="509" t="b">
        <f t="shared" si="2521"/>
        <v>0</v>
      </c>
      <c r="Z3316" s="510">
        <f t="shared" si="2522"/>
        <v>0</v>
      </c>
      <c r="AA3316" s="511"/>
      <c r="AB3316" s="511" t="str">
        <f t="shared" si="2523"/>
        <v/>
      </c>
      <c r="AC3316" s="698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698"/>
      <c r="AE3316" s="631" t="str">
        <f t="shared" si="2524"/>
        <v/>
      </c>
      <c r="AF3316" s="699" t="str">
        <f t="shared" si="2525"/>
        <v/>
      </c>
      <c r="AG3316" s="699"/>
      <c r="AH3316" s="699"/>
      <c r="AI3316" s="512">
        <f>IF(H3316="credit",0,IF(AE3316="free",0,IF(AE3316="me",0,IF(G3316&gt;0,(VLOOKUP(A3316,'Discount Lookup'!J:K,2)*G3316),0))))</f>
        <v>0</v>
      </c>
      <c r="AJ3316" s="513" t="str">
        <f t="shared" ca="1" si="2526"/>
        <v/>
      </c>
      <c r="AK3316" s="700" t="str">
        <f t="shared" si="2527"/>
        <v/>
      </c>
      <c r="AL3316" s="700"/>
      <c r="AM3316" s="505" t="str">
        <f t="shared" si="2528"/>
        <v/>
      </c>
      <c r="AN3316" s="506"/>
      <c r="AO3316" s="507"/>
      <c r="AP3316" s="507"/>
      <c r="AQ3316" s="507"/>
      <c r="AR3316" s="507"/>
      <c r="AS3316" s="507"/>
      <c r="AT3316" s="507"/>
      <c r="AU3316" s="507"/>
      <c r="AV3316" s="225"/>
      <c r="AW3316" s="508"/>
      <c r="AX3316" s="225"/>
      <c r="AY3316" s="225"/>
      <c r="AZ3316" s="225"/>
      <c r="BA3316" s="225"/>
      <c r="BB3316" s="225"/>
      <c r="BC3316" s="56"/>
      <c r="BD3316" s="56"/>
      <c r="BE3316" s="56"/>
      <c r="BF3316" s="107" t="str">
        <f t="shared" si="2529"/>
        <v>https://www.google.com/search?tbm=isch&amp;q=moist%20sites%F0%9F%92%A7GOOD%2C%20Shenandoah%20plumes%20Reddish-Pink.%20Blades%20turn%20Red-Burgundy%2C%20then%20Violet-Purple-Red%2C%20Beige%20into%20winter%20</v>
      </c>
      <c r="BG3316" s="107" t="str">
        <f t="shared" si="2530"/>
        <v>m</v>
      </c>
      <c r="BH3316" s="254"/>
      <c r="BI3316" s="254"/>
    </row>
    <row r="3317" spans="1:61" customFormat="1" ht="18" x14ac:dyDescent="0.25">
      <c r="A3317" s="523" t="s">
        <v>1719</v>
      </c>
      <c r="B3317" s="235"/>
      <c r="C3317" s="676"/>
      <c r="D3317" s="255" t="s">
        <v>1720</v>
      </c>
      <c r="E3317" s="236"/>
      <c r="F3317" s="236"/>
      <c r="G3317" s="236"/>
      <c r="H3317" s="582" t="s">
        <v>321</v>
      </c>
      <c r="I3317" s="498" t="s">
        <v>2215</v>
      </c>
      <c r="J3317" s="237"/>
      <c r="K3317" s="237"/>
      <c r="L3317" s="274"/>
      <c r="M3317" s="668" t="s">
        <v>4975</v>
      </c>
      <c r="N3317" s="681" t="str">
        <f>IF(AND(ISTEXT($A3317), ISERROR($A3317+0)), HYPERLINK($BF3317, "Images"), "")</f>
        <v>Images</v>
      </c>
      <c r="O3317" s="663" t="s">
        <v>4967</v>
      </c>
      <c r="P3317" s="253"/>
      <c r="Q3317" s="238"/>
      <c r="R3317" s="239"/>
      <c r="S3317" s="275"/>
      <c r="T3317" s="508">
        <f t="shared" si="2518"/>
        <v>0</v>
      </c>
      <c r="U3317" s="225" t="str">
        <f>IF(NOT(ISNUMBER(G3317)), "", VLOOKUP(A3317,'Discount Lookup'!D:E,2,FALSE)*G3317)</f>
        <v/>
      </c>
      <c r="V3317" s="225" t="str">
        <f>IF(NOT(ISNUMBER(G3317)), "", VLOOKUP(A3317,'Discount Lookup'!G:H,2,FALSE)*G3317)</f>
        <v/>
      </c>
      <c r="W3317" s="508">
        <f t="shared" si="2519"/>
        <v>0</v>
      </c>
      <c r="X3317" s="508" t="str">
        <f t="shared" si="2520"/>
        <v>Red-Purple foliage</v>
      </c>
      <c r="Y3317" s="509" t="b">
        <f t="shared" si="2521"/>
        <v>0</v>
      </c>
      <c r="Z3317" s="510">
        <f t="shared" si="2522"/>
        <v>0</v>
      </c>
      <c r="AA3317" s="511"/>
      <c r="AB3317" s="511" t="str">
        <f t="shared" si="2523"/>
        <v/>
      </c>
      <c r="AC3317" s="698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698"/>
      <c r="AE3317" s="631" t="str">
        <f t="shared" si="2524"/>
        <v/>
      </c>
      <c r="AF3317" s="699" t="str">
        <f t="shared" si="2525"/>
        <v/>
      </c>
      <c r="AG3317" s="699"/>
      <c r="AH3317" s="699"/>
      <c r="AI3317" s="512">
        <f>IF(H3317="credit",0,IF(AE3317="free",0,IF(AE3317="me",0,IF(G3317&gt;0,(VLOOKUP(A3317,'Discount Lookup'!J:K,2)*G3317),0))))</f>
        <v>0</v>
      </c>
      <c r="AJ3317" s="513" t="str">
        <f t="shared" ca="1" si="2526"/>
        <v/>
      </c>
      <c r="AK3317" s="700" t="str">
        <f t="shared" si="2527"/>
        <v/>
      </c>
      <c r="AL3317" s="700"/>
      <c r="AM3317" s="505" t="str">
        <f t="shared" si="2528"/>
        <v/>
      </c>
      <c r="AN3317" s="506"/>
      <c r="AO3317" s="507"/>
      <c r="AP3317" s="507"/>
      <c r="AQ3317" s="507"/>
      <c r="AR3317" s="507"/>
      <c r="AS3317" s="507"/>
      <c r="AT3317" s="507"/>
      <c r="AU3317" s="507"/>
      <c r="AV3317" s="225"/>
      <c r="AW3317" s="508"/>
      <c r="AX3317" s="225"/>
      <c r="AY3317" s="225"/>
      <c r="AZ3317" s="225"/>
      <c r="BA3317" s="225"/>
      <c r="BB3317" s="225"/>
      <c r="BC3317" s="56"/>
      <c r="BD3317" s="56"/>
      <c r="BE3317" s="56"/>
      <c r="BF3317" s="107" t="str">
        <f t="shared" si="2529"/>
        <v>https://www.google.com/search?tbm=isch&amp;q=Sherwood%20Flame%20Japanese%20Maple%20Acer%20palmatum%20%27Sherwood%20Flame%27</v>
      </c>
      <c r="BG3317" s="107" t="str">
        <f t="shared" si="2530"/>
        <v>S</v>
      </c>
      <c r="BH3317" s="254"/>
      <c r="BI3317" s="254"/>
    </row>
    <row r="3318" spans="1:61" customFormat="1" ht="15.75" x14ac:dyDescent="0.25">
      <c r="A3318" s="276">
        <v>15</v>
      </c>
      <c r="B3318" s="240" t="s">
        <v>291</v>
      </c>
      <c r="C3318" s="241" t="s">
        <v>3765</v>
      </c>
      <c r="D3318" s="242" t="s">
        <v>292</v>
      </c>
      <c r="E3318" s="243">
        <v>378.95</v>
      </c>
      <c r="F3318" s="517" t="s">
        <v>293</v>
      </c>
      <c r="G3318" s="232">
        <v>0</v>
      </c>
      <c r="H3318" s="661" t="str">
        <f>IF(G3318=0,"",IF(F3318="Buy",IF(G3318=1,"plant","plants"),IF(F3318&gt;0.01,"warranty","Error")))</f>
        <v/>
      </c>
      <c r="I3318" s="244">
        <f>IF(H3318="free",0,IF(H3318="credit",((E3318*(F3318))*G3318*-1),IF(F3318="Buy",(E3318*G3318),((E3318*(1-F3318))*G3318))))</f>
        <v>0</v>
      </c>
      <c r="J3318" s="244">
        <f>IF(H3318="warranty",0,(I3318*(_xlfn.SINGLE(SalesTaxPercentage))))</f>
        <v>0</v>
      </c>
      <c r="K3318" s="696">
        <f t="shared" ref="K3318" si="2552">I3318+J3318</f>
        <v>0</v>
      </c>
      <c r="L3318" s="696"/>
      <c r="M3318" s="659" t="str">
        <f>IF(AND(G3318&gt;0,E3318=0),"WARNING - no PRICE inserted",IF(H3318="free"," FREE ~ no charge this plant",IF(H3318="credit",CONCATENATE(" -$",ROUND(K3318*(1-T2GDiscount)*-1,2)," CREDIT after discount"),IF(T2GDiscount=0,"",IF(G3318=0,"",IF(F3318="Buy",CONCATENATE(" $",ROUND(K3318*(1-T2GDiscount),2)," with ",(T2GDiscount*100),"% discount"),CONCATENATE(" $",ROUND(K3318*(1-T2GDiscount),2)," with ",((T2GDiscount*100+F3318*100)-(T2GDiscount*100*F3318)),IF(F3318&gt;0,"% discounts",IF(NoWarrantyDiscount&gt;0,"% discounts","% discount")))))))))</f>
        <v/>
      </c>
      <c r="N3318" s="660"/>
      <c r="O3318" s="233"/>
      <c r="P3318" s="233"/>
      <c r="Q3318" s="233"/>
      <c r="R3318" s="233"/>
      <c r="S3318" s="233"/>
      <c r="T3318" s="508">
        <f t="shared" si="2518"/>
        <v>0</v>
      </c>
      <c r="U3318" s="225">
        <f>IF(NOT(ISNUMBER(G3318)), "", VLOOKUP(A3318,'Discount Lookup'!D:E,2,FALSE)*G3318)</f>
        <v>0</v>
      </c>
      <c r="V3318" s="225">
        <f>IF(NOT(ISNUMBER(G3318)), "", VLOOKUP(A3318,'Discount Lookup'!G:H,2,FALSE)*G3318)</f>
        <v>0</v>
      </c>
      <c r="W3318" s="508">
        <f t="shared" si="2519"/>
        <v>0</v>
      </c>
      <c r="X3318" s="508">
        <f t="shared" si="2520"/>
        <v>0</v>
      </c>
      <c r="Y3318" s="509" t="b">
        <f t="shared" si="2521"/>
        <v>0</v>
      </c>
      <c r="Z3318" s="510">
        <f t="shared" si="2522"/>
        <v>0</v>
      </c>
      <c r="AA3318" s="511"/>
      <c r="AB3318" s="511" t="str">
        <f t="shared" si="2523"/>
        <v/>
      </c>
      <c r="AC3318" s="698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698"/>
      <c r="AE3318" s="631" t="str">
        <f t="shared" si="2524"/>
        <v/>
      </c>
      <c r="AF3318" s="699" t="str">
        <f t="shared" si="2525"/>
        <v/>
      </c>
      <c r="AG3318" s="699"/>
      <c r="AH3318" s="699"/>
      <c r="AI3318" s="512">
        <f>IF(H3318="credit",0,IF(AE3318="free",0,IF(AE3318="me",0,IF(G3318&gt;0,(VLOOKUP(A3318,'Discount Lookup'!J:K,2)*G3318),0))))</f>
        <v>0</v>
      </c>
      <c r="AJ3318" s="513" t="str">
        <f t="shared" ca="1" si="2526"/>
        <v/>
      </c>
      <c r="AK3318" s="700" t="str">
        <f t="shared" si="2527"/>
        <v/>
      </c>
      <c r="AL3318" s="700"/>
      <c r="AM3318" s="505" t="str">
        <f t="shared" si="2528"/>
        <v/>
      </c>
      <c r="AN3318" s="506"/>
      <c r="AO3318" s="507"/>
      <c r="AP3318" s="507"/>
      <c r="AQ3318" s="507"/>
      <c r="AR3318" s="507"/>
      <c r="AS3318" s="507"/>
      <c r="AT3318" s="507"/>
      <c r="AU3318" s="507"/>
      <c r="AV3318" s="225"/>
      <c r="AW3318" s="508"/>
      <c r="AX3318" s="225"/>
      <c r="AY3318" s="225"/>
      <c r="AZ3318" s="225"/>
      <c r="BA3318" s="225"/>
      <c r="BB3318" s="225"/>
      <c r="BC3318" s="56"/>
      <c r="BD3318" s="56"/>
      <c r="BE3318" s="56"/>
      <c r="BF3318" s="107" t="str">
        <f t="shared" si="2529"/>
        <v>https://www.google.com/search?tbm=isch&amp;q=15%20G4</v>
      </c>
      <c r="BG3318" s="107" t="str">
        <f t="shared" si="2530"/>
        <v>S</v>
      </c>
      <c r="BH3318" s="254"/>
      <c r="BI3318" s="254"/>
    </row>
    <row r="3319" spans="1:61" customFormat="1" ht="17.25" thickBot="1" x14ac:dyDescent="0.3">
      <c r="A3319" s="524" t="s">
        <v>2476</v>
      </c>
      <c r="B3319" s="245"/>
      <c r="C3319" s="677"/>
      <c r="D3319" s="499"/>
      <c r="E3319" s="499"/>
      <c r="F3319" s="500"/>
      <c r="G3319" s="501"/>
      <c r="H3319" s="502"/>
      <c r="I3319" s="246"/>
      <c r="J3319" s="247"/>
      <c r="K3319" s="503"/>
      <c r="L3319" s="544"/>
      <c r="M3319" s="544"/>
      <c r="N3319" s="500"/>
      <c r="O3319" s="500"/>
      <c r="P3319" s="500"/>
      <c r="Q3319" s="500"/>
      <c r="R3319" s="500"/>
      <c r="S3319" s="278"/>
      <c r="T3319" s="508">
        <f t="shared" si="2518"/>
        <v>0</v>
      </c>
      <c r="U3319" s="225" t="str">
        <f>IF(NOT(ISNUMBER(G3319)), "", VLOOKUP(A3319,'Discount Lookup'!D:E,2,FALSE)*G3319)</f>
        <v/>
      </c>
      <c r="V3319" s="225" t="str">
        <f>IF(NOT(ISNUMBER(G3319)), "", VLOOKUP(A3319,'Discount Lookup'!G:H,2,FALSE)*G3319)</f>
        <v/>
      </c>
      <c r="W3319" s="508">
        <f t="shared" si="2519"/>
        <v>0</v>
      </c>
      <c r="X3319" s="508">
        <f t="shared" si="2520"/>
        <v>0</v>
      </c>
      <c r="Y3319" s="509" t="b">
        <f t="shared" si="2521"/>
        <v>0</v>
      </c>
      <c r="Z3319" s="510">
        <f t="shared" si="2522"/>
        <v>0</v>
      </c>
      <c r="AA3319" s="511"/>
      <c r="AB3319" s="511" t="str">
        <f t="shared" si="2523"/>
        <v/>
      </c>
      <c r="AC3319" s="698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698"/>
      <c r="AE3319" s="631" t="str">
        <f t="shared" si="2524"/>
        <v/>
      </c>
      <c r="AF3319" s="699" t="str">
        <f t="shared" si="2525"/>
        <v/>
      </c>
      <c r="AG3319" s="699"/>
      <c r="AH3319" s="699"/>
      <c r="AI3319" s="512">
        <f>IF(H3319="credit",0,IF(AE3319="free",0,IF(AE3319="me",0,IF(G3319&gt;0,(VLOOKUP(A3319,'Discount Lookup'!J:K,2)*G3319),0))))</f>
        <v>0</v>
      </c>
      <c r="AJ3319" s="513" t="str">
        <f t="shared" ca="1" si="2526"/>
        <v/>
      </c>
      <c r="AK3319" s="700" t="str">
        <f t="shared" si="2527"/>
        <v/>
      </c>
      <c r="AL3319" s="700"/>
      <c r="AM3319" s="505" t="str">
        <f t="shared" si="2528"/>
        <v/>
      </c>
      <c r="AN3319" s="506"/>
      <c r="AO3319" s="507"/>
      <c r="AP3319" s="507"/>
      <c r="AQ3319" s="507"/>
      <c r="AR3319" s="507"/>
      <c r="AS3319" s="507"/>
      <c r="AT3319" s="507"/>
      <c r="AU3319" s="507"/>
      <c r="AV3319" s="225"/>
      <c r="AW3319" s="508"/>
      <c r="AX3319" s="225"/>
      <c r="AY3319" s="225"/>
      <c r="AZ3319" s="225"/>
      <c r="BA3319" s="225"/>
      <c r="BB3319" s="225"/>
      <c r="BC3319" s="56"/>
      <c r="BD3319" s="56"/>
      <c r="BE3319" s="56"/>
      <c r="BF3319" s="107" t="str">
        <f t="shared" si="2529"/>
        <v>https://www.google.com/search?tbm=isch&amp;q=Sherwood%20Flame%20named%20for%20it%27s%20exceptionally%20strong%20and%20consistent%20red%20foliage%20all%20through%20growing%20season%2C%20turning%20fiery%20Scarlet-Red%20in%20fall%20</v>
      </c>
      <c r="BG3319" s="107" t="str">
        <f t="shared" si="2530"/>
        <v>S</v>
      </c>
      <c r="BH3319" s="254"/>
      <c r="BI3319" s="254"/>
    </row>
    <row r="3320" spans="1:61" customFormat="1" ht="18" x14ac:dyDescent="0.25">
      <c r="A3320" s="523" t="s">
        <v>2804</v>
      </c>
      <c r="B3320" s="235"/>
      <c r="C3320" s="676"/>
      <c r="D3320" s="255" t="s">
        <v>2805</v>
      </c>
      <c r="E3320" s="236"/>
      <c r="F3320" s="236"/>
      <c r="G3320" s="236"/>
      <c r="H3320" s="582" t="s">
        <v>321</v>
      </c>
      <c r="I3320" s="498" t="s">
        <v>2806</v>
      </c>
      <c r="J3320" s="237"/>
      <c r="K3320" s="237"/>
      <c r="L3320" s="274"/>
      <c r="M3320" s="668" t="s">
        <v>4975</v>
      </c>
      <c r="N3320" s="681" t="str">
        <f>IF(AND(ISTEXT($A3320), ISERROR($A3320+0)), HYPERLINK($BF3320, "Images"), "")</f>
        <v>Images</v>
      </c>
      <c r="O3320" s="663" t="s">
        <v>4967</v>
      </c>
      <c r="P3320" s="253"/>
      <c r="Q3320" s="238"/>
      <c r="R3320" s="239"/>
      <c r="S3320" s="275"/>
      <c r="T3320" s="508">
        <f t="shared" si="2518"/>
        <v>0</v>
      </c>
      <c r="U3320" s="225" t="str">
        <f>IF(NOT(ISNUMBER(G3320)), "", VLOOKUP(A3320,'Discount Lookup'!D:E,2,FALSE)*G3320)</f>
        <v/>
      </c>
      <c r="V3320" s="225" t="str">
        <f>IF(NOT(ISNUMBER(G3320)), "", VLOOKUP(A3320,'Discount Lookup'!G:H,2,FALSE)*G3320)</f>
        <v/>
      </c>
      <c r="W3320" s="508">
        <f t="shared" si="2519"/>
        <v>0</v>
      </c>
      <c r="X3320" s="508" t="str">
        <f t="shared" si="2520"/>
        <v>Green-Pink-Creamy White foliage</v>
      </c>
      <c r="Y3320" s="509" t="b">
        <f t="shared" si="2521"/>
        <v>0</v>
      </c>
      <c r="Z3320" s="510">
        <f t="shared" si="2522"/>
        <v>0</v>
      </c>
      <c r="AA3320" s="511"/>
      <c r="AB3320" s="511" t="str">
        <f t="shared" si="2523"/>
        <v/>
      </c>
      <c r="AC3320" s="698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698"/>
      <c r="AE3320" s="631" t="str">
        <f t="shared" si="2524"/>
        <v/>
      </c>
      <c r="AF3320" s="699" t="str">
        <f t="shared" si="2525"/>
        <v/>
      </c>
      <c r="AG3320" s="699"/>
      <c r="AH3320" s="699"/>
      <c r="AI3320" s="512">
        <f>IF(H3320="credit",0,IF(AE3320="free",0,IF(AE3320="me",0,IF(G3320&gt;0,(VLOOKUP(A3320,'Discount Lookup'!J:K,2)*G3320),0))))</f>
        <v>0</v>
      </c>
      <c r="AJ3320" s="513" t="str">
        <f t="shared" ca="1" si="2526"/>
        <v/>
      </c>
      <c r="AK3320" s="700" t="str">
        <f t="shared" si="2527"/>
        <v/>
      </c>
      <c r="AL3320" s="700"/>
      <c r="AM3320" s="505" t="str">
        <f t="shared" si="2528"/>
        <v/>
      </c>
      <c r="AN3320" s="506"/>
      <c r="AO3320" s="507"/>
      <c r="AP3320" s="507"/>
      <c r="AQ3320" s="507"/>
      <c r="AR3320" s="507"/>
      <c r="AS3320" s="507"/>
      <c r="AT3320" s="507"/>
      <c r="AU3320" s="507"/>
      <c r="AV3320" s="225"/>
      <c r="AW3320" s="508"/>
      <c r="AX3320" s="225"/>
      <c r="AY3320" s="225"/>
      <c r="AZ3320" s="225"/>
      <c r="BA3320" s="225"/>
      <c r="BB3320" s="225"/>
      <c r="BC3320" s="56"/>
      <c r="BD3320" s="56"/>
      <c r="BE3320" s="56"/>
      <c r="BF3320" s="107" t="str">
        <f t="shared" si="2529"/>
        <v>https://www.google.com/search?tbm=isch&amp;q=Shirazz%20Japanese%20Maple%20Acer%20palmatum%20%27Shirazz%27</v>
      </c>
      <c r="BG3320" s="107" t="str">
        <f t="shared" si="2530"/>
        <v>S</v>
      </c>
      <c r="BH3320" s="254"/>
      <c r="BI3320" s="254"/>
    </row>
    <row r="3321" spans="1:61" customFormat="1" ht="27" x14ac:dyDescent="0.25">
      <c r="A3321" s="276">
        <v>15</v>
      </c>
      <c r="B3321" s="240" t="s">
        <v>291</v>
      </c>
      <c r="C3321" s="241" t="s">
        <v>3766</v>
      </c>
      <c r="D3321" s="242" t="s">
        <v>292</v>
      </c>
      <c r="E3321" s="243">
        <v>378.95</v>
      </c>
      <c r="F3321" s="517" t="s">
        <v>293</v>
      </c>
      <c r="G3321" s="232">
        <v>0</v>
      </c>
      <c r="H3321" s="661" t="str">
        <f>IF(G3321=0,"",IF(F3321="Buy",IF(G3321=1,"plant","plants"),IF(F3321&gt;0.01,"warranty","Error")))</f>
        <v/>
      </c>
      <c r="I3321" s="244">
        <f>IF(H3321="free",0,IF(H3321="credit",((E3321*(F3321))*G3321*-1),IF(F3321="Buy",(E3321*G3321),((E3321*(1-F3321))*G3321))))</f>
        <v>0</v>
      </c>
      <c r="J3321" s="244">
        <f>IF(H3321="warranty",0,(I3321*(_xlfn.SINGLE(SalesTaxPercentage))))</f>
        <v>0</v>
      </c>
      <c r="K3321" s="696">
        <f t="shared" ref="K3321" si="2553">I3321+J3321</f>
        <v>0</v>
      </c>
      <c r="L3321" s="696"/>
      <c r="M3321" s="659" t="str">
        <f>IF(AND(G3321&gt;0,E3321=0),"WARNING - no PRICE inserted",IF(H3321="free"," FREE ~ no charge this plant",IF(H3321="credit",CONCATENATE(" -$",ROUND(K3321*(1-T2GDiscount)*-1,2)," CREDIT after discount"),IF(T2GDiscount=0,"",IF(G3321=0,"",IF(F3321="Buy",CONCATENATE(" $",ROUND(K3321*(1-T2GDiscount),2)," with ",(T2GDiscount*100),"% discount"),CONCATENATE(" $",ROUND(K3321*(1-T2GDiscount),2)," with ",((T2GDiscount*100+F3321*100)-(T2GDiscount*100*F3321)),IF(F3321&gt;0,"% discounts",IF(NoWarrantyDiscount&gt;0,"% discounts","% discount")))))))))</f>
        <v/>
      </c>
      <c r="N3321" s="660"/>
      <c r="O3321" s="233"/>
      <c r="P3321" s="233"/>
      <c r="Q3321" s="233"/>
      <c r="R3321" s="233"/>
      <c r="S3321" s="233"/>
      <c r="T3321" s="508">
        <f t="shared" si="2518"/>
        <v>0</v>
      </c>
      <c r="U3321" s="225">
        <f>IF(NOT(ISNUMBER(G3321)), "", VLOOKUP(A3321,'Discount Lookup'!D:E,2,FALSE)*G3321)</f>
        <v>0</v>
      </c>
      <c r="V3321" s="225">
        <f>IF(NOT(ISNUMBER(G3321)), "", VLOOKUP(A3321,'Discount Lookup'!G:H,2,FALSE)*G3321)</f>
        <v>0</v>
      </c>
      <c r="W3321" s="508">
        <f t="shared" si="2519"/>
        <v>0</v>
      </c>
      <c r="X3321" s="508">
        <f t="shared" si="2520"/>
        <v>0</v>
      </c>
      <c r="Y3321" s="509" t="b">
        <f t="shared" si="2521"/>
        <v>0</v>
      </c>
      <c r="Z3321" s="510">
        <f t="shared" si="2522"/>
        <v>0</v>
      </c>
      <c r="AA3321" s="511"/>
      <c r="AB3321" s="511" t="str">
        <f t="shared" si="2523"/>
        <v/>
      </c>
      <c r="AC3321" s="698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698"/>
      <c r="AE3321" s="631" t="str">
        <f t="shared" si="2524"/>
        <v/>
      </c>
      <c r="AF3321" s="699" t="str">
        <f t="shared" si="2525"/>
        <v/>
      </c>
      <c r="AG3321" s="699"/>
      <c r="AH3321" s="699"/>
      <c r="AI3321" s="512">
        <f>IF(H3321="credit",0,IF(AE3321="free",0,IF(AE3321="me",0,IF(G3321&gt;0,(VLOOKUP(A3321,'Discount Lookup'!J:K,2)*G3321),0))))</f>
        <v>0</v>
      </c>
      <c r="AJ3321" s="513" t="str">
        <f t="shared" ca="1" si="2526"/>
        <v/>
      </c>
      <c r="AK3321" s="700" t="str">
        <f t="shared" si="2527"/>
        <v/>
      </c>
      <c r="AL3321" s="700"/>
      <c r="AM3321" s="505" t="str">
        <f t="shared" si="2528"/>
        <v/>
      </c>
      <c r="AN3321" s="506"/>
      <c r="AO3321" s="507"/>
      <c r="AP3321" s="507"/>
      <c r="AQ3321" s="507"/>
      <c r="AR3321" s="507"/>
      <c r="AS3321" s="507"/>
      <c r="AT3321" s="507"/>
      <c r="AU3321" s="507"/>
      <c r="AV3321" s="225"/>
      <c r="AW3321" s="508"/>
      <c r="AX3321" s="225"/>
      <c r="AY3321" s="225"/>
      <c r="AZ3321" s="225"/>
      <c r="BA3321" s="225"/>
      <c r="BB3321" s="225"/>
      <c r="BC3321" s="56"/>
      <c r="BD3321" s="56"/>
      <c r="BE3321" s="56"/>
      <c r="BF3321" s="107" t="str">
        <f t="shared" si="2529"/>
        <v>https://www.google.com/search?tbm=isch&amp;q=15%20G4</v>
      </c>
      <c r="BG3321" s="107" t="str">
        <f t="shared" si="2530"/>
        <v>S</v>
      </c>
      <c r="BH3321" s="254"/>
      <c r="BI3321" s="254"/>
    </row>
    <row r="3322" spans="1:61" customFormat="1" ht="17.25" thickBot="1" x14ac:dyDescent="0.3">
      <c r="A3322" s="524" t="s">
        <v>2807</v>
      </c>
      <c r="B3322" s="245"/>
      <c r="C3322" s="677"/>
      <c r="D3322" s="499"/>
      <c r="E3322" s="499"/>
      <c r="F3322" s="500"/>
      <c r="G3322" s="501"/>
      <c r="H3322" s="502"/>
      <c r="I3322" s="246"/>
      <c r="J3322" s="247"/>
      <c r="K3322" s="503"/>
      <c r="L3322" s="544"/>
      <c r="M3322" s="544"/>
      <c r="N3322" s="500"/>
      <c r="O3322" s="500"/>
      <c r="P3322" s="500"/>
      <c r="Q3322" s="500"/>
      <c r="R3322" s="500"/>
      <c r="S3322" s="278"/>
      <c r="T3322" s="508">
        <f t="shared" si="2518"/>
        <v>0</v>
      </c>
      <c r="U3322" s="225" t="str">
        <f>IF(NOT(ISNUMBER(G3322)), "", VLOOKUP(A3322,'Discount Lookup'!D:E,2,FALSE)*G3322)</f>
        <v/>
      </c>
      <c r="V3322" s="225" t="str">
        <f>IF(NOT(ISNUMBER(G3322)), "", VLOOKUP(A3322,'Discount Lookup'!G:H,2,FALSE)*G3322)</f>
        <v/>
      </c>
      <c r="W3322" s="508">
        <f t="shared" si="2519"/>
        <v>0</v>
      </c>
      <c r="X3322" s="508">
        <f t="shared" si="2520"/>
        <v>0</v>
      </c>
      <c r="Y3322" s="509" t="b">
        <f t="shared" si="2521"/>
        <v>0</v>
      </c>
      <c r="Z3322" s="510">
        <f t="shared" si="2522"/>
        <v>0</v>
      </c>
      <c r="AA3322" s="511"/>
      <c r="AB3322" s="511" t="str">
        <f t="shared" si="2523"/>
        <v/>
      </c>
      <c r="AC3322" s="698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698"/>
      <c r="AE3322" s="631" t="str">
        <f t="shared" si="2524"/>
        <v/>
      </c>
      <c r="AF3322" s="699" t="str">
        <f t="shared" si="2525"/>
        <v/>
      </c>
      <c r="AG3322" s="699"/>
      <c r="AH3322" s="699"/>
      <c r="AI3322" s="512">
        <f>IF(H3322="credit",0,IF(AE3322="free",0,IF(AE3322="me",0,IF(G3322&gt;0,(VLOOKUP(A3322,'Discount Lookup'!J:K,2)*G3322),0))))</f>
        <v>0</v>
      </c>
      <c r="AJ3322" s="513" t="str">
        <f t="shared" ca="1" si="2526"/>
        <v/>
      </c>
      <c r="AK3322" s="700" t="str">
        <f t="shared" si="2527"/>
        <v/>
      </c>
      <c r="AL3322" s="700"/>
      <c r="AM3322" s="505" t="str">
        <f t="shared" si="2528"/>
        <v/>
      </c>
      <c r="AN3322" s="506"/>
      <c r="AO3322" s="507"/>
      <c r="AP3322" s="507"/>
      <c r="AQ3322" s="507"/>
      <c r="AR3322" s="507"/>
      <c r="AS3322" s="507"/>
      <c r="AT3322" s="507"/>
      <c r="AU3322" s="507"/>
      <c r="AV3322" s="225"/>
      <c r="AW3322" s="508"/>
      <c r="AX3322" s="225"/>
      <c r="AY3322" s="225"/>
      <c r="AZ3322" s="225"/>
      <c r="BA3322" s="225"/>
      <c r="BB3322" s="225"/>
      <c r="BC3322" s="56"/>
      <c r="BD3322" s="56"/>
      <c r="BE3322" s="56"/>
      <c r="BF3322" s="107" t="str">
        <f t="shared" si="2529"/>
        <v>https://www.google.com/search?tbm=isch&amp;q=Shirazz%20known%20for%20kaleidoscopic%20foliage%20that%20shifts%20colors%20through%20the%20season.%20Scarlet%20to%20Crimson-Red%20fall%20foliage%20</v>
      </c>
      <c r="BG3322" s="107" t="str">
        <f t="shared" si="2530"/>
        <v>S</v>
      </c>
      <c r="BH3322" s="254"/>
      <c r="BI3322" s="254"/>
    </row>
    <row r="3323" spans="1:61" customFormat="1" ht="18" x14ac:dyDescent="0.25">
      <c r="A3323" s="523" t="s">
        <v>1721</v>
      </c>
      <c r="B3323" s="235"/>
      <c r="C3323" s="676"/>
      <c r="D3323" s="255" t="s">
        <v>1722</v>
      </c>
      <c r="E3323" s="236"/>
      <c r="F3323" s="236"/>
      <c r="G3323" s="236"/>
      <c r="H3323" s="582" t="s">
        <v>311</v>
      </c>
      <c r="I3323" s="498" t="s">
        <v>2244</v>
      </c>
      <c r="J3323" s="237"/>
      <c r="K3323" s="237"/>
      <c r="L3323" s="274"/>
      <c r="M3323" s="668" t="s">
        <v>4975</v>
      </c>
      <c r="N3323" s="681" t="str">
        <f>IF(AND(ISTEXT($A3323), ISERROR($A3323+0)), HYPERLINK($BF3323, "Images"), "")</f>
        <v>Images</v>
      </c>
      <c r="O3323" s="663" t="s">
        <v>4967</v>
      </c>
      <c r="P3323" s="253"/>
      <c r="Q3323" s="238"/>
      <c r="R3323" s="239"/>
      <c r="S3323" s="275"/>
      <c r="T3323" s="508">
        <f t="shared" si="2518"/>
        <v>0</v>
      </c>
      <c r="U3323" s="225" t="str">
        <f>IF(NOT(ISNUMBER(G3323)), "", VLOOKUP(A3323,'Discount Lookup'!D:E,2,FALSE)*G3323)</f>
        <v/>
      </c>
      <c r="V3323" s="225" t="str">
        <f>IF(NOT(ISNUMBER(G3323)), "", VLOOKUP(A3323,'Discount Lookup'!G:H,2,FALSE)*G3323)</f>
        <v/>
      </c>
      <c r="W3323" s="508">
        <f t="shared" si="2519"/>
        <v>0</v>
      </c>
      <c r="X3323" s="508" t="str">
        <f t="shared" si="2520"/>
        <v>Burgundy-Red bloom</v>
      </c>
      <c r="Y3323" s="509" t="b">
        <f t="shared" si="2521"/>
        <v>0</v>
      </c>
      <c r="Z3323" s="510">
        <f t="shared" si="2522"/>
        <v>0</v>
      </c>
      <c r="AA3323" s="511"/>
      <c r="AB3323" s="511" t="str">
        <f t="shared" si="2523"/>
        <v/>
      </c>
      <c r="AC3323" s="698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698"/>
      <c r="AE3323" s="631" t="str">
        <f t="shared" si="2524"/>
        <v/>
      </c>
      <c r="AF3323" s="699" t="str">
        <f t="shared" si="2525"/>
        <v/>
      </c>
      <c r="AG3323" s="699"/>
      <c r="AH3323" s="699"/>
      <c r="AI3323" s="512">
        <f>IF(H3323="credit",0,IF(AE3323="free",0,IF(AE3323="me",0,IF(G3323&gt;0,(VLOOKUP(A3323,'Discount Lookup'!J:K,2)*G3323),0))))</f>
        <v>0</v>
      </c>
      <c r="AJ3323" s="513" t="str">
        <f t="shared" ca="1" si="2526"/>
        <v/>
      </c>
      <c r="AK3323" s="700" t="str">
        <f t="shared" si="2527"/>
        <v/>
      </c>
      <c r="AL3323" s="700"/>
      <c r="AM3323" s="505" t="str">
        <f t="shared" si="2528"/>
        <v/>
      </c>
      <c r="AN3323" s="506"/>
      <c r="AO3323" s="507"/>
      <c r="AP3323" s="507"/>
      <c r="AQ3323" s="507"/>
      <c r="AR3323" s="507"/>
      <c r="AS3323" s="507"/>
      <c r="AT3323" s="507"/>
      <c r="AU3323" s="507"/>
      <c r="AV3323" s="225"/>
      <c r="AW3323" s="508"/>
      <c r="AX3323" s="225"/>
      <c r="AY3323" s="225"/>
      <c r="AZ3323" s="225"/>
      <c r="BA3323" s="225"/>
      <c r="BB3323" s="225"/>
      <c r="BC3323" s="56"/>
      <c r="BD3323" s="56"/>
      <c r="BE3323" s="56"/>
      <c r="BF3323" s="107" t="str">
        <f t="shared" si="2529"/>
        <v>https://www.google.com/search?tbm=isch&amp;q=Shirazz%20Magnolia%20Magnolia%20%27Shirazz%27</v>
      </c>
      <c r="BG3323" s="107" t="str">
        <f t="shared" si="2530"/>
        <v>S</v>
      </c>
      <c r="BH3323" s="254"/>
      <c r="BI3323" s="254"/>
    </row>
    <row r="3324" spans="1:61" customFormat="1" ht="15.75" x14ac:dyDescent="0.25">
      <c r="A3324" s="276">
        <v>7</v>
      </c>
      <c r="B3324" s="240" t="s">
        <v>291</v>
      </c>
      <c r="C3324" s="241" t="s">
        <v>3767</v>
      </c>
      <c r="D3324" s="242" t="s">
        <v>292</v>
      </c>
      <c r="E3324" s="243">
        <v>157.94999999999999</v>
      </c>
      <c r="F3324" s="517" t="s">
        <v>293</v>
      </c>
      <c r="G3324" s="232">
        <v>0</v>
      </c>
      <c r="H3324" s="661" t="str">
        <f>IF(G3324=0,"",IF(F3324="Buy",IF(G3324=1,"plant","plants"),IF(F3324&gt;0.01,"warranty","Error")))</f>
        <v/>
      </c>
      <c r="I3324" s="244">
        <f>IF(H3324="free",0,IF(H3324="credit",((E3324*(F3324))*G3324*-1),IF(F3324="Buy",(E3324*G3324),((E3324*(1-F3324))*G3324))))</f>
        <v>0</v>
      </c>
      <c r="J3324" s="244">
        <f>IF(H3324="warranty",0,(I3324*(_xlfn.SINGLE(SalesTaxPercentage))))</f>
        <v>0</v>
      </c>
      <c r="K3324" s="696">
        <f t="shared" ref="K3324" si="2554">I3324+J3324</f>
        <v>0</v>
      </c>
      <c r="L3324" s="696"/>
      <c r="M3324" s="659" t="str">
        <f>IF(AND(G3324&gt;0,E3324=0),"WARNING - no PRICE inserted",IF(H3324="free"," FREE ~ no charge this plant",IF(H3324="credit",CONCATENATE(" -$",ROUND(K3324*(1-T2GDiscount)*-1,2)," CREDIT after discount"),IF(T2GDiscount=0,"",IF(G3324=0,"",IF(F3324="Buy",CONCATENATE(" $",ROUND(K3324*(1-T2GDiscount),2)," with ",(T2GDiscount*100),"% discount"),CONCATENATE(" $",ROUND(K3324*(1-T2GDiscount),2)," with ",((T2GDiscount*100+F3324*100)-(T2GDiscount*100*F3324)),IF(F3324&gt;0,"% discounts",IF(NoWarrantyDiscount&gt;0,"% discounts","% discount")))))))))</f>
        <v/>
      </c>
      <c r="N3324" s="660"/>
      <c r="O3324" s="233"/>
      <c r="P3324" s="233"/>
      <c r="Q3324" s="233"/>
      <c r="R3324" s="233"/>
      <c r="S3324" s="233"/>
      <c r="T3324" s="508">
        <f t="shared" si="2518"/>
        <v>0</v>
      </c>
      <c r="U3324" s="225">
        <f>IF(NOT(ISNUMBER(G3324)), "", VLOOKUP(A3324,'Discount Lookup'!D:E,2,FALSE)*G3324)</f>
        <v>0</v>
      </c>
      <c r="V3324" s="225">
        <f>IF(NOT(ISNUMBER(G3324)), "", VLOOKUP(A3324,'Discount Lookup'!G:H,2,FALSE)*G3324)</f>
        <v>0</v>
      </c>
      <c r="W3324" s="508">
        <f t="shared" si="2519"/>
        <v>0</v>
      </c>
      <c r="X3324" s="508">
        <f t="shared" si="2520"/>
        <v>0</v>
      </c>
      <c r="Y3324" s="509" t="b">
        <f t="shared" si="2521"/>
        <v>0</v>
      </c>
      <c r="Z3324" s="510">
        <f t="shared" si="2522"/>
        <v>0</v>
      </c>
      <c r="AA3324" s="511"/>
      <c r="AB3324" s="511" t="str">
        <f t="shared" si="2523"/>
        <v/>
      </c>
      <c r="AC3324" s="698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698"/>
      <c r="AE3324" s="631" t="str">
        <f t="shared" si="2524"/>
        <v/>
      </c>
      <c r="AF3324" s="699" t="str">
        <f t="shared" si="2525"/>
        <v/>
      </c>
      <c r="AG3324" s="699"/>
      <c r="AH3324" s="699"/>
      <c r="AI3324" s="512">
        <f>IF(H3324="credit",0,IF(AE3324="free",0,IF(AE3324="me",0,IF(G3324&gt;0,(VLOOKUP(A3324,'Discount Lookup'!J:K,2)*G3324),0))))</f>
        <v>0</v>
      </c>
      <c r="AJ3324" s="513" t="str">
        <f t="shared" ca="1" si="2526"/>
        <v/>
      </c>
      <c r="AK3324" s="700" t="str">
        <f t="shared" si="2527"/>
        <v/>
      </c>
      <c r="AL3324" s="700"/>
      <c r="AM3324" s="505" t="str">
        <f t="shared" si="2528"/>
        <v/>
      </c>
      <c r="AN3324" s="506"/>
      <c r="AO3324" s="507"/>
      <c r="AP3324" s="507"/>
      <c r="AQ3324" s="507"/>
      <c r="AR3324" s="507"/>
      <c r="AS3324" s="507"/>
      <c r="AT3324" s="507"/>
      <c r="AU3324" s="507"/>
      <c r="AV3324" s="225"/>
      <c r="AW3324" s="508"/>
      <c r="AX3324" s="225"/>
      <c r="AY3324" s="225"/>
      <c r="AZ3324" s="225"/>
      <c r="BA3324" s="225"/>
      <c r="BB3324" s="225"/>
      <c r="BC3324" s="56"/>
      <c r="BD3324" s="56"/>
      <c r="BE3324" s="56"/>
      <c r="BF3324" s="107" t="str">
        <f t="shared" si="2529"/>
        <v>https://www.google.com/search?tbm=isch&amp;q=7%20G4</v>
      </c>
      <c r="BG3324" s="107" t="str">
        <f t="shared" si="2530"/>
        <v>S</v>
      </c>
      <c r="BH3324" s="254"/>
      <c r="BI3324" s="254"/>
    </row>
    <row r="3325" spans="1:61" customFormat="1" ht="17.25" thickBot="1" x14ac:dyDescent="0.3">
      <c r="A3325" s="524" t="s">
        <v>2477</v>
      </c>
      <c r="B3325" s="245"/>
      <c r="C3325" s="677"/>
      <c r="D3325" s="499"/>
      <c r="E3325" s="499"/>
      <c r="F3325" s="500"/>
      <c r="G3325" s="501"/>
      <c r="H3325" s="502"/>
      <c r="I3325" s="246"/>
      <c r="J3325" s="247"/>
      <c r="K3325" s="503"/>
      <c r="L3325" s="544"/>
      <c r="M3325" s="544"/>
      <c r="N3325" s="500"/>
      <c r="O3325" s="500"/>
      <c r="P3325" s="500"/>
      <c r="Q3325" s="500"/>
      <c r="R3325" s="500"/>
      <c r="S3325" s="278"/>
      <c r="T3325" s="508">
        <f t="shared" si="2518"/>
        <v>0</v>
      </c>
      <c r="U3325" s="225" t="str">
        <f>IF(NOT(ISNUMBER(G3325)), "", VLOOKUP(A3325,'Discount Lookup'!D:E,2,FALSE)*G3325)</f>
        <v/>
      </c>
      <c r="V3325" s="225" t="str">
        <f>IF(NOT(ISNUMBER(G3325)), "", VLOOKUP(A3325,'Discount Lookup'!G:H,2,FALSE)*G3325)</f>
        <v/>
      </c>
      <c r="W3325" s="508">
        <f t="shared" si="2519"/>
        <v>0</v>
      </c>
      <c r="X3325" s="508">
        <f t="shared" si="2520"/>
        <v>0</v>
      </c>
      <c r="Y3325" s="509" t="b">
        <f t="shared" si="2521"/>
        <v>0</v>
      </c>
      <c r="Z3325" s="510">
        <f t="shared" si="2522"/>
        <v>0</v>
      </c>
      <c r="AA3325" s="511"/>
      <c r="AB3325" s="511" t="str">
        <f t="shared" si="2523"/>
        <v/>
      </c>
      <c r="AC3325" s="698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698"/>
      <c r="AE3325" s="631" t="str">
        <f t="shared" si="2524"/>
        <v/>
      </c>
      <c r="AF3325" s="699" t="str">
        <f t="shared" si="2525"/>
        <v/>
      </c>
      <c r="AG3325" s="699"/>
      <c r="AH3325" s="699"/>
      <c r="AI3325" s="512">
        <f>IF(H3325="credit",0,IF(AE3325="free",0,IF(AE3325="me",0,IF(G3325&gt;0,(VLOOKUP(A3325,'Discount Lookup'!J:K,2)*G3325),0))))</f>
        <v>0</v>
      </c>
      <c r="AJ3325" s="513" t="str">
        <f t="shared" ca="1" si="2526"/>
        <v/>
      </c>
      <c r="AK3325" s="700" t="str">
        <f t="shared" si="2527"/>
        <v/>
      </c>
      <c r="AL3325" s="700"/>
      <c r="AM3325" s="505" t="str">
        <f t="shared" si="2528"/>
        <v/>
      </c>
      <c r="AN3325" s="506"/>
      <c r="AO3325" s="507"/>
      <c r="AP3325" s="507"/>
      <c r="AQ3325" s="507"/>
      <c r="AR3325" s="507"/>
      <c r="AS3325" s="507"/>
      <c r="AT3325" s="507"/>
      <c r="AU3325" s="507"/>
      <c r="AV3325" s="225"/>
      <c r="AW3325" s="508"/>
      <c r="AX3325" s="225"/>
      <c r="AY3325" s="225"/>
      <c r="AZ3325" s="225"/>
      <c r="BA3325" s="225"/>
      <c r="BB3325" s="225"/>
      <c r="BC3325" s="56"/>
      <c r="BD3325" s="56"/>
      <c r="BE3325" s="56"/>
      <c r="BF3325" s="107" t="str">
        <f t="shared" si="2529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3325" s="107" t="str">
        <f t="shared" si="2530"/>
        <v>S</v>
      </c>
      <c r="BH3325" s="254"/>
      <c r="BI3325" s="254"/>
    </row>
    <row r="3326" spans="1:61" customFormat="1" ht="18" x14ac:dyDescent="0.25">
      <c r="A3326" s="521" t="s">
        <v>1723</v>
      </c>
      <c r="B3326" s="477"/>
      <c r="C3326" s="674"/>
      <c r="D3326" s="478" t="s">
        <v>1724</v>
      </c>
      <c r="E3326" s="479"/>
      <c r="F3326" s="479"/>
      <c r="G3326" s="479"/>
      <c r="H3326" s="582" t="s">
        <v>3088</v>
      </c>
      <c r="I3326" s="480" t="s">
        <v>2993</v>
      </c>
      <c r="J3326" s="479"/>
      <c r="K3326" s="479"/>
      <c r="L3326" s="560"/>
      <c r="M3326" s="671" t="s">
        <v>4990</v>
      </c>
      <c r="N3326" s="680" t="str">
        <f>IF(AND(ISTEXT($A3326), ISERROR($A3326+0)), HYPERLINK($BF3326, "Images"), "")</f>
        <v>Images</v>
      </c>
      <c r="O3326" s="662" t="s">
        <v>4969</v>
      </c>
      <c r="P3326" s="482"/>
      <c r="Q3326" s="483"/>
      <c r="R3326" s="483"/>
      <c r="S3326" s="484"/>
      <c r="T3326" s="508">
        <f t="shared" si="2518"/>
        <v>0</v>
      </c>
      <c r="U3326" s="225" t="str">
        <f>IF(NOT(ISNUMBER(G3326)), "", VLOOKUP(A3326,'Discount Lookup'!D:E,2,FALSE)*G3326)</f>
        <v/>
      </c>
      <c r="V3326" s="225" t="str">
        <f>IF(NOT(ISNUMBER(G3326)), "", VLOOKUP(A3326,'Discount Lookup'!G:H,2,FALSE)*G3326)</f>
        <v/>
      </c>
      <c r="W3326" s="508">
        <f t="shared" si="2519"/>
        <v>0</v>
      </c>
      <c r="X3326" s="508" t="str">
        <f t="shared" si="2520"/>
        <v>Green &amp; Cream foliage</v>
      </c>
      <c r="Y3326" s="509" t="b">
        <f t="shared" si="2521"/>
        <v>0</v>
      </c>
      <c r="Z3326" s="510">
        <f t="shared" si="2522"/>
        <v>0</v>
      </c>
      <c r="AA3326" s="511"/>
      <c r="AB3326" s="511" t="str">
        <f t="shared" si="2523"/>
        <v/>
      </c>
      <c r="AC3326" s="698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698"/>
      <c r="AE3326" s="631" t="str">
        <f t="shared" si="2524"/>
        <v/>
      </c>
      <c r="AF3326" s="699" t="str">
        <f t="shared" si="2525"/>
        <v/>
      </c>
      <c r="AG3326" s="699"/>
      <c r="AH3326" s="699"/>
      <c r="AI3326" s="512">
        <f>IF(H3326="credit",0,IF(AE3326="free",0,IF(AE3326="me",0,IF(G3326&gt;0,(VLOOKUP(A3326,'Discount Lookup'!J:K,2)*G3326),0))))</f>
        <v>0</v>
      </c>
      <c r="AJ3326" s="513" t="str">
        <f t="shared" ca="1" si="2526"/>
        <v/>
      </c>
      <c r="AK3326" s="700" t="str">
        <f t="shared" si="2527"/>
        <v/>
      </c>
      <c r="AL3326" s="700"/>
      <c r="AM3326" s="505" t="str">
        <f t="shared" si="2528"/>
        <v/>
      </c>
      <c r="AN3326" s="506"/>
      <c r="AO3326" s="507"/>
      <c r="AP3326" s="507"/>
      <c r="AQ3326" s="507"/>
      <c r="AR3326" s="507"/>
      <c r="AS3326" s="507"/>
      <c r="AT3326" s="507"/>
      <c r="AU3326" s="507"/>
      <c r="AV3326" s="225"/>
      <c r="AW3326" s="508"/>
      <c r="AX3326" s="225"/>
      <c r="AY3326" s="225"/>
      <c r="AZ3326" s="225"/>
      <c r="BA3326" s="225"/>
      <c r="BB3326" s="225"/>
      <c r="BC3326" s="56"/>
      <c r="BD3326" s="56"/>
      <c r="BE3326" s="56"/>
      <c r="BF3326" s="107" t="str">
        <f t="shared" si="2529"/>
        <v>https://www.google.com/search?tbm=isch&amp;q=Shiroshima%20Bamboo%20Hibanobambusa%20tranquillans%20%27Shiroshima%27</v>
      </c>
      <c r="BG3326" s="107" t="str">
        <f t="shared" si="2530"/>
        <v>S</v>
      </c>
      <c r="BH3326" s="254"/>
      <c r="BI3326" s="254"/>
    </row>
    <row r="3327" spans="1:61" customFormat="1" ht="27" x14ac:dyDescent="0.25">
      <c r="A3327" s="485">
        <v>5</v>
      </c>
      <c r="B3327" s="486" t="s">
        <v>291</v>
      </c>
      <c r="C3327" s="487" t="s">
        <v>3768</v>
      </c>
      <c r="D3327" s="488" t="s">
        <v>292</v>
      </c>
      <c r="E3327" s="489">
        <v>102.95</v>
      </c>
      <c r="F3327" s="516" t="s">
        <v>293</v>
      </c>
      <c r="G3327" s="232">
        <v>0</v>
      </c>
      <c r="H3327" s="658" t="str">
        <f>IF(G3327=0,"",IF(F3327="Buy",IF(G3327=1,"plant","plants"),IF(F3327&gt;0.01,"warranty","Error")))</f>
        <v/>
      </c>
      <c r="I3327" s="490">
        <f>IF(H3327="free",0,IF(H3327="credit",((E3327*(F3327))*G3327*-1),IF(F3327="Buy",(E3327*G3327),((E3327*(1-F3327))*G3327))))</f>
        <v>0</v>
      </c>
      <c r="J3327" s="490">
        <f>IF(H3327="warranty",0,(I3327*(_xlfn.SINGLE(SalesTaxPercentage))))</f>
        <v>0</v>
      </c>
      <c r="K3327" s="695">
        <f t="shared" ref="K3327" si="2555">I3327+J3327</f>
        <v>0</v>
      </c>
      <c r="L3327" s="695"/>
      <c r="M3327" s="659" t="str">
        <f>IF(AND(G3327&gt;0,E3327=0),"WARNING - no PRICE inserted",IF(H3327="free"," FREE ~ no charge this plant",IF(H3327="credit",CONCATENATE(" -$",ROUND(K3327*(1-T2GDiscount)*-1,2)," CREDIT after discount"),IF(T2GDiscount=0,"",IF(G3327=0,"",IF(F3327="Buy",CONCATENATE(" $",ROUND(K3327*(1-T2GDiscount),2)," with ",(T2GDiscount*100),"% discount"),CONCATENATE(" $",ROUND(K3327*(1-T2GDiscount),2)," with ",((T2GDiscount*100+F3327*100)-(T2GDiscount*100*F3327)),IF(F3327&gt;0,"% discounts",IF(NoWarrantyDiscount&gt;0,"% discounts","% discount")))))))))</f>
        <v/>
      </c>
      <c r="N3327" s="660"/>
      <c r="O3327" s="233"/>
      <c r="P3327" s="233"/>
      <c r="Q3327" s="233"/>
      <c r="R3327" s="233"/>
      <c r="S3327" s="233"/>
      <c r="T3327" s="508">
        <f t="shared" si="2518"/>
        <v>0</v>
      </c>
      <c r="U3327" s="225">
        <f>IF(NOT(ISNUMBER(G3327)), "", VLOOKUP(A3327,'Discount Lookup'!D:E,2,FALSE)*G3327)</f>
        <v>0</v>
      </c>
      <c r="V3327" s="225">
        <f>IF(NOT(ISNUMBER(G3327)), "", VLOOKUP(A3327,'Discount Lookup'!G:H,2,FALSE)*G3327)</f>
        <v>0</v>
      </c>
      <c r="W3327" s="508">
        <f t="shared" si="2519"/>
        <v>0</v>
      </c>
      <c r="X3327" s="508">
        <f t="shared" si="2520"/>
        <v>0</v>
      </c>
      <c r="Y3327" s="509" t="b">
        <f t="shared" si="2521"/>
        <v>0</v>
      </c>
      <c r="Z3327" s="510">
        <f t="shared" si="2522"/>
        <v>0</v>
      </c>
      <c r="AA3327" s="511"/>
      <c r="AB3327" s="511" t="str">
        <f t="shared" si="2523"/>
        <v/>
      </c>
      <c r="AC3327" s="698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698"/>
      <c r="AE3327" s="631" t="str">
        <f t="shared" si="2524"/>
        <v/>
      </c>
      <c r="AF3327" s="699" t="str">
        <f t="shared" si="2525"/>
        <v/>
      </c>
      <c r="AG3327" s="699"/>
      <c r="AH3327" s="699"/>
      <c r="AI3327" s="512">
        <f>IF(H3327="credit",0,IF(AE3327="free",0,IF(AE3327="me",0,IF(G3327&gt;0,(VLOOKUP(A3327,'Discount Lookup'!J:K,2)*G3327),0))))</f>
        <v>0</v>
      </c>
      <c r="AJ3327" s="513" t="str">
        <f t="shared" ca="1" si="2526"/>
        <v/>
      </c>
      <c r="AK3327" s="700" t="str">
        <f t="shared" si="2527"/>
        <v/>
      </c>
      <c r="AL3327" s="700"/>
      <c r="AM3327" s="505" t="str">
        <f t="shared" si="2528"/>
        <v/>
      </c>
      <c r="AN3327" s="506"/>
      <c r="AO3327" s="507"/>
      <c r="AP3327" s="507"/>
      <c r="AQ3327" s="507"/>
      <c r="AR3327" s="507"/>
      <c r="AS3327" s="507"/>
      <c r="AT3327" s="507"/>
      <c r="AU3327" s="507"/>
      <c r="AV3327" s="225"/>
      <c r="AW3327" s="508"/>
      <c r="AX3327" s="225"/>
      <c r="AY3327" s="225"/>
      <c r="AZ3327" s="225"/>
      <c r="BA3327" s="225"/>
      <c r="BB3327" s="225"/>
      <c r="BC3327" s="56"/>
      <c r="BD3327" s="56"/>
      <c r="BE3327" s="56"/>
      <c r="BF3327" s="107" t="str">
        <f t="shared" si="2529"/>
        <v>https://www.google.com/search?tbm=isch&amp;q=5%20G4</v>
      </c>
      <c r="BG3327" s="107" t="str">
        <f t="shared" si="2530"/>
        <v>S</v>
      </c>
      <c r="BH3327" s="254"/>
      <c r="BI3327" s="254"/>
    </row>
    <row r="3328" spans="1:61" customFormat="1" ht="17.25" thickBot="1" x14ac:dyDescent="0.3">
      <c r="A3328" s="672" t="s">
        <v>5229</v>
      </c>
      <c r="B3328" s="491"/>
      <c r="C3328" s="675"/>
      <c r="D3328" s="491"/>
      <c r="E3328" s="491"/>
      <c r="F3328" s="492"/>
      <c r="G3328" s="493"/>
      <c r="H3328" s="491"/>
      <c r="I3328" s="234"/>
      <c r="J3328" s="234"/>
      <c r="K3328" s="494"/>
      <c r="L3328" s="543"/>
      <c r="M3328" s="561"/>
      <c r="N3328" s="495"/>
      <c r="O3328" s="496"/>
      <c r="P3328" s="497"/>
      <c r="Q3328" s="495"/>
      <c r="R3328" s="495"/>
      <c r="S3328" s="667" t="s">
        <v>4984</v>
      </c>
      <c r="T3328" s="508">
        <f t="shared" si="2518"/>
        <v>0</v>
      </c>
      <c r="U3328" s="225" t="str">
        <f>IF(NOT(ISNUMBER(G3328)), "", VLOOKUP(A3328,'Discount Lookup'!D:E,2,FALSE)*G3328)</f>
        <v/>
      </c>
      <c r="V3328" s="225" t="str">
        <f>IF(NOT(ISNUMBER(G3328)), "", VLOOKUP(A3328,'Discount Lookup'!G:H,2,FALSE)*G3328)</f>
        <v/>
      </c>
      <c r="W3328" s="508">
        <f t="shared" si="2519"/>
        <v>0</v>
      </c>
      <c r="X3328" s="508">
        <f t="shared" si="2520"/>
        <v>0</v>
      </c>
      <c r="Y3328" s="509" t="b">
        <f t="shared" si="2521"/>
        <v>0</v>
      </c>
      <c r="Z3328" s="510">
        <f t="shared" si="2522"/>
        <v>0</v>
      </c>
      <c r="AA3328" s="511"/>
      <c r="AB3328" s="511" t="str">
        <f t="shared" si="2523"/>
        <v/>
      </c>
      <c r="AC3328" s="698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698"/>
      <c r="AE3328" s="631" t="str">
        <f t="shared" si="2524"/>
        <v/>
      </c>
      <c r="AF3328" s="699" t="str">
        <f t="shared" si="2525"/>
        <v/>
      </c>
      <c r="AG3328" s="699"/>
      <c r="AH3328" s="699"/>
      <c r="AI3328" s="512">
        <f>IF(H3328="credit",0,IF(AE3328="free",0,IF(AE3328="me",0,IF(G3328&gt;0,(VLOOKUP(A3328,'Discount Lookup'!J:K,2)*G3328),0))))</f>
        <v>0</v>
      </c>
      <c r="AJ3328" s="513" t="str">
        <f t="shared" ca="1" si="2526"/>
        <v/>
      </c>
      <c r="AK3328" s="700" t="str">
        <f t="shared" si="2527"/>
        <v/>
      </c>
      <c r="AL3328" s="700"/>
      <c r="AM3328" s="505" t="str">
        <f t="shared" si="2528"/>
        <v/>
      </c>
      <c r="AN3328" s="506"/>
      <c r="AO3328" s="507"/>
      <c r="AP3328" s="507"/>
      <c r="AQ3328" s="507"/>
      <c r="AR3328" s="507"/>
      <c r="AS3328" s="507"/>
      <c r="AT3328" s="507"/>
      <c r="AU3328" s="507"/>
      <c r="AV3328" s="225"/>
      <c r="AW3328" s="508"/>
      <c r="AX3328" s="225"/>
      <c r="AY3328" s="225"/>
      <c r="AZ3328" s="225"/>
      <c r="BA3328" s="225"/>
      <c r="BB3328" s="225"/>
      <c r="BC3328" s="56"/>
      <c r="BD3328" s="56"/>
      <c r="BE3328" s="56"/>
      <c r="BF3328" s="107" t="str">
        <f t="shared" si="2529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328" s="107" t="str">
        <f t="shared" si="2530"/>
        <v>m</v>
      </c>
      <c r="BH3328" s="254"/>
      <c r="BI3328" s="254"/>
    </row>
    <row r="3329" spans="1:61" customFormat="1" ht="18" x14ac:dyDescent="0.25">
      <c r="A3329" s="521" t="s">
        <v>1725</v>
      </c>
      <c r="B3329" s="477"/>
      <c r="C3329" s="674"/>
      <c r="D3329" s="478" t="s">
        <v>1726</v>
      </c>
      <c r="E3329" s="479"/>
      <c r="F3329" s="479"/>
      <c r="G3329" s="479"/>
      <c r="H3329" s="582" t="s">
        <v>1727</v>
      </c>
      <c r="I3329" s="480" t="s">
        <v>656</v>
      </c>
      <c r="J3329" s="479"/>
      <c r="K3329" s="479"/>
      <c r="L3329" s="560"/>
      <c r="M3329" s="671" t="s">
        <v>4985</v>
      </c>
      <c r="N3329" s="680" t="str">
        <f>IF(AND(ISTEXT($A3329), ISERROR($A3329+0)), HYPERLINK($BF3329, "Images"), "")</f>
        <v>Images</v>
      </c>
      <c r="O3329" s="662" t="s">
        <v>4967</v>
      </c>
      <c r="P3329" s="482"/>
      <c r="Q3329" s="483"/>
      <c r="R3329" s="483"/>
      <c r="S3329" s="484"/>
      <c r="T3329" s="508">
        <f t="shared" si="2518"/>
        <v>0</v>
      </c>
      <c r="U3329" s="225" t="str">
        <f>IF(NOT(ISNUMBER(G3329)), "", VLOOKUP(A3329,'Discount Lookup'!D:E,2,FALSE)*G3329)</f>
        <v/>
      </c>
      <c r="V3329" s="225" t="str">
        <f>IF(NOT(ISNUMBER(G3329)), "", VLOOKUP(A3329,'Discount Lookup'!G:H,2,FALSE)*G3329)</f>
        <v/>
      </c>
      <c r="W3329" s="508">
        <f t="shared" si="2519"/>
        <v>0</v>
      </c>
      <c r="X3329" s="508" t="str">
        <f t="shared" si="2520"/>
        <v>Pink bloom</v>
      </c>
      <c r="Y3329" s="509" t="b">
        <f t="shared" si="2521"/>
        <v>0</v>
      </c>
      <c r="Z3329" s="510">
        <f t="shared" si="2522"/>
        <v>0</v>
      </c>
      <c r="AA3329" s="511"/>
      <c r="AB3329" s="511" t="str">
        <f t="shared" si="2523"/>
        <v/>
      </c>
      <c r="AC3329" s="698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698"/>
      <c r="AE3329" s="631" t="str">
        <f t="shared" si="2524"/>
        <v/>
      </c>
      <c r="AF3329" s="699" t="str">
        <f t="shared" si="2525"/>
        <v/>
      </c>
      <c r="AG3329" s="699"/>
      <c r="AH3329" s="699"/>
      <c r="AI3329" s="512">
        <f>IF(H3329="credit",0,IF(AE3329="free",0,IF(AE3329="me",0,IF(G3329&gt;0,(VLOOKUP(A3329,'Discount Lookup'!J:K,2)*G3329),0))))</f>
        <v>0</v>
      </c>
      <c r="AJ3329" s="513" t="str">
        <f t="shared" ca="1" si="2526"/>
        <v/>
      </c>
      <c r="AK3329" s="700" t="str">
        <f t="shared" si="2527"/>
        <v/>
      </c>
      <c r="AL3329" s="700"/>
      <c r="AM3329" s="505" t="str">
        <f t="shared" si="2528"/>
        <v/>
      </c>
      <c r="AN3329" s="506"/>
      <c r="AO3329" s="507"/>
      <c r="AP3329" s="507"/>
      <c r="AQ3329" s="507"/>
      <c r="AR3329" s="507"/>
      <c r="AS3329" s="507"/>
      <c r="AT3329" s="507"/>
      <c r="AU3329" s="507"/>
      <c r="AV3329" s="225"/>
      <c r="AW3329" s="508"/>
      <c r="AX3329" s="225"/>
      <c r="AY3329" s="225"/>
      <c r="AZ3329" s="225"/>
      <c r="BA3329" s="225"/>
      <c r="BB3329" s="225"/>
      <c r="BC3329" s="56"/>
      <c r="BD3329" s="56"/>
      <c r="BE3329" s="56"/>
      <c r="BF3329" s="107" t="str">
        <f t="shared" si="2529"/>
        <v>https://www.google.com/search?tbm=isch&amp;q=Shishigashira%20Camellia%20Camellia%20sasanqua%20%27Shishigashira%27</v>
      </c>
      <c r="BG3329" s="107" t="str">
        <f t="shared" si="2530"/>
        <v>S</v>
      </c>
      <c r="BH3329" s="254"/>
      <c r="BI3329" s="254"/>
    </row>
    <row r="3330" spans="1:61" customFormat="1" ht="15.75" x14ac:dyDescent="0.25">
      <c r="A3330" s="485">
        <v>7</v>
      </c>
      <c r="B3330" s="486" t="s">
        <v>291</v>
      </c>
      <c r="C3330" s="487" t="s">
        <v>2808</v>
      </c>
      <c r="D3330" s="488" t="s">
        <v>299</v>
      </c>
      <c r="E3330" s="489">
        <v>102.95</v>
      </c>
      <c r="F3330" s="516" t="s">
        <v>293</v>
      </c>
      <c r="G3330" s="232">
        <v>0</v>
      </c>
      <c r="H3330" s="658" t="str">
        <f>IF(G3330=0,"",IF(F3330="Buy",IF(G3330=1,"plant","plants"),IF(F3330&gt;0.01,"warranty","Error")))</f>
        <v/>
      </c>
      <c r="I3330" s="490">
        <f>IF(H3330="free",0,IF(H3330="credit",((E3330*(F3330))*G3330*-1),IF(F3330="Buy",(E3330*G3330),((E3330*(1-F3330))*G3330))))</f>
        <v>0</v>
      </c>
      <c r="J3330" s="490">
        <f>IF(H3330="warranty",0,(I3330*(_xlfn.SINGLE(SalesTaxPercentage))))</f>
        <v>0</v>
      </c>
      <c r="K3330" s="695">
        <f t="shared" ref="K3330" si="2556">I3330+J3330</f>
        <v>0</v>
      </c>
      <c r="L3330" s="695"/>
      <c r="M3330" s="659" t="str">
        <f>IF(AND(G3330&gt;0,E3330=0),"WARNING - no PRICE inserted",IF(H3330="free"," FREE ~ no charge this plant",IF(H3330="credit",CONCATENATE(" -$",ROUND(K3330*(1-T2GDiscount)*-1,2)," CREDIT after discount"),IF(T2GDiscount=0,"",IF(G3330=0,"",IF(F3330="Buy",CONCATENATE(" $",ROUND(K3330*(1-T2GDiscount),2)," with ",(T2GDiscount*100),"% discount"),CONCATENATE(" $",ROUND(K3330*(1-T2GDiscount),2)," with ",((T2GDiscount*100+F3330*100)-(T2GDiscount*100*F3330)),IF(F3330&gt;0,"% discounts",IF(NoWarrantyDiscount&gt;0,"% discounts","% discount")))))))))</f>
        <v/>
      </c>
      <c r="N3330" s="660"/>
      <c r="O3330" s="233"/>
      <c r="P3330" s="233"/>
      <c r="Q3330" s="233"/>
      <c r="R3330" s="233"/>
      <c r="S3330" s="233"/>
      <c r="T3330" s="508">
        <f t="shared" si="2518"/>
        <v>0</v>
      </c>
      <c r="U3330" s="225">
        <f>IF(NOT(ISNUMBER(G3330)), "", VLOOKUP(A3330,'Discount Lookup'!D:E,2,FALSE)*G3330)</f>
        <v>0</v>
      </c>
      <c r="V3330" s="225">
        <f>IF(NOT(ISNUMBER(G3330)), "", VLOOKUP(A3330,'Discount Lookup'!G:H,2,FALSE)*G3330)</f>
        <v>0</v>
      </c>
      <c r="W3330" s="508">
        <f t="shared" si="2519"/>
        <v>0</v>
      </c>
      <c r="X3330" s="508">
        <f t="shared" si="2520"/>
        <v>0</v>
      </c>
      <c r="Y3330" s="509" t="b">
        <f t="shared" si="2521"/>
        <v>0</v>
      </c>
      <c r="Z3330" s="510">
        <f t="shared" si="2522"/>
        <v>0</v>
      </c>
      <c r="AA3330" s="511"/>
      <c r="AB3330" s="511" t="str">
        <f t="shared" si="2523"/>
        <v/>
      </c>
      <c r="AC3330" s="698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698"/>
      <c r="AE3330" s="631" t="str">
        <f t="shared" si="2524"/>
        <v/>
      </c>
      <c r="AF3330" s="699" t="str">
        <f t="shared" si="2525"/>
        <v/>
      </c>
      <c r="AG3330" s="699"/>
      <c r="AH3330" s="699"/>
      <c r="AI3330" s="512">
        <f>IF(H3330="credit",0,IF(AE3330="free",0,IF(AE3330="me",0,IF(G3330&gt;0,(VLOOKUP(A3330,'Discount Lookup'!J:K,2)*G3330),0))))</f>
        <v>0</v>
      </c>
      <c r="AJ3330" s="513" t="str">
        <f t="shared" ca="1" si="2526"/>
        <v/>
      </c>
      <c r="AK3330" s="700" t="str">
        <f t="shared" si="2527"/>
        <v/>
      </c>
      <c r="AL3330" s="700"/>
      <c r="AM3330" s="505" t="str">
        <f t="shared" si="2528"/>
        <v/>
      </c>
      <c r="AN3330" s="506"/>
      <c r="AO3330" s="507"/>
      <c r="AP3330" s="507"/>
      <c r="AQ3330" s="507"/>
      <c r="AR3330" s="507"/>
      <c r="AS3330" s="507"/>
      <c r="AT3330" s="507"/>
      <c r="AU3330" s="507"/>
      <c r="AV3330" s="225"/>
      <c r="AW3330" s="508"/>
      <c r="AX3330" s="225"/>
      <c r="AY3330" s="225"/>
      <c r="AZ3330" s="225"/>
      <c r="BA3330" s="225"/>
      <c r="BB3330" s="225"/>
      <c r="BC3330" s="56"/>
      <c r="BD3330" s="56"/>
      <c r="BE3330" s="56"/>
      <c r="BF3330" s="107" t="str">
        <f t="shared" si="2529"/>
        <v>https://www.google.com/search?tbm=isch&amp;q=7%20G5</v>
      </c>
      <c r="BG3330" s="107" t="str">
        <f t="shared" si="2530"/>
        <v>S</v>
      </c>
      <c r="BH3330" s="254"/>
      <c r="BI3330" s="254"/>
    </row>
    <row r="3331" spans="1:61" customFormat="1" ht="27" x14ac:dyDescent="0.25">
      <c r="A3331" s="485">
        <v>7</v>
      </c>
      <c r="B3331" s="486" t="s">
        <v>291</v>
      </c>
      <c r="C3331" s="487" t="s">
        <v>4445</v>
      </c>
      <c r="D3331" s="488" t="s">
        <v>292</v>
      </c>
      <c r="E3331" s="489">
        <v>109.95</v>
      </c>
      <c r="F3331" s="516" t="s">
        <v>293</v>
      </c>
      <c r="G3331" s="232">
        <v>0</v>
      </c>
      <c r="H3331" s="658" t="str">
        <f>IF(G3331=0,"",IF(F3331="Buy",IF(G3331=1,"plant","plants"),IF(F3331&gt;0.01,"warranty","Error")))</f>
        <v/>
      </c>
      <c r="I3331" s="490">
        <f>IF(H3331="free",0,IF(H3331="credit",((E3331*(F3331))*G3331*-1),IF(F3331="Buy",(E3331*G3331),((E3331*(1-F3331))*G3331))))</f>
        <v>0</v>
      </c>
      <c r="J3331" s="490">
        <f>IF(H3331="warranty",0,(I3331*(_xlfn.SINGLE(SalesTaxPercentage))))</f>
        <v>0</v>
      </c>
      <c r="K3331" s="695">
        <f t="shared" ref="K3331" si="2557">I3331+J3331</f>
        <v>0</v>
      </c>
      <c r="L3331" s="695"/>
      <c r="M3331" s="659" t="str">
        <f>IF(AND(G3331&gt;0,E3331=0),"WARNING - no PRICE inserted",IF(H3331="free"," FREE ~ no charge this plant",IF(H3331="credit",CONCATENATE(" -$",ROUND(K3331*(1-T2GDiscount)*-1,2)," CREDIT after discount"),IF(T2GDiscount=0,"",IF(G3331=0,"",IF(F3331="Buy",CONCATENATE(" $",ROUND(K3331*(1-T2GDiscount),2)," with ",(T2GDiscount*100),"% discount"),CONCATENATE(" $",ROUND(K3331*(1-T2GDiscount),2)," with ",((T2GDiscount*100+F3331*100)-(T2GDiscount*100*F3331)),IF(F3331&gt;0,"% discounts",IF(NoWarrantyDiscount&gt;0,"% discounts","% discount")))))))))</f>
        <v/>
      </c>
      <c r="N3331" s="660"/>
      <c r="O3331" s="233"/>
      <c r="P3331" s="233"/>
      <c r="Q3331" s="233"/>
      <c r="R3331" s="233"/>
      <c r="S3331" s="233"/>
      <c r="T3331" s="508">
        <f t="shared" si="2518"/>
        <v>0</v>
      </c>
      <c r="U3331" s="225">
        <f>IF(NOT(ISNUMBER(G3331)), "", VLOOKUP(A3331,'Discount Lookup'!D:E,2,FALSE)*G3331)</f>
        <v>0</v>
      </c>
      <c r="V3331" s="225">
        <f>IF(NOT(ISNUMBER(G3331)), "", VLOOKUP(A3331,'Discount Lookup'!G:H,2,FALSE)*G3331)</f>
        <v>0</v>
      </c>
      <c r="W3331" s="508">
        <f t="shared" si="2519"/>
        <v>0</v>
      </c>
      <c r="X3331" s="508">
        <f t="shared" si="2520"/>
        <v>0</v>
      </c>
      <c r="Y3331" s="509" t="b">
        <f t="shared" si="2521"/>
        <v>0</v>
      </c>
      <c r="Z3331" s="510">
        <f t="shared" si="2522"/>
        <v>0</v>
      </c>
      <c r="AA3331" s="511"/>
      <c r="AB3331" s="511" t="str">
        <f t="shared" si="2523"/>
        <v/>
      </c>
      <c r="AC3331" s="698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698"/>
      <c r="AE3331" s="631" t="str">
        <f t="shared" si="2524"/>
        <v/>
      </c>
      <c r="AF3331" s="699" t="str">
        <f t="shared" si="2525"/>
        <v/>
      </c>
      <c r="AG3331" s="699"/>
      <c r="AH3331" s="699"/>
      <c r="AI3331" s="512">
        <f>IF(H3331="credit",0,IF(AE3331="free",0,IF(AE3331="me",0,IF(G3331&gt;0,(VLOOKUP(A3331,'Discount Lookup'!J:K,2)*G3331),0))))</f>
        <v>0</v>
      </c>
      <c r="AJ3331" s="513" t="str">
        <f t="shared" ca="1" si="2526"/>
        <v/>
      </c>
      <c r="AK3331" s="700" t="str">
        <f t="shared" si="2527"/>
        <v/>
      </c>
      <c r="AL3331" s="700"/>
      <c r="AM3331" s="505" t="str">
        <f t="shared" si="2528"/>
        <v/>
      </c>
      <c r="AN3331" s="506"/>
      <c r="AO3331" s="507"/>
      <c r="AP3331" s="507"/>
      <c r="AQ3331" s="507"/>
      <c r="AR3331" s="507"/>
      <c r="AS3331" s="507"/>
      <c r="AT3331" s="507"/>
      <c r="AU3331" s="507"/>
      <c r="AV3331" s="225"/>
      <c r="AW3331" s="508"/>
      <c r="AX3331" s="225"/>
      <c r="AY3331" s="225"/>
      <c r="AZ3331" s="225"/>
      <c r="BA3331" s="225"/>
      <c r="BB3331" s="225"/>
      <c r="BC3331" s="56"/>
      <c r="BD3331" s="56"/>
      <c r="BE3331" s="56"/>
      <c r="BF3331" s="107" t="str">
        <f t="shared" si="2529"/>
        <v>https://www.google.com/search?tbm=isch&amp;q=7%20G4</v>
      </c>
      <c r="BG3331" s="107" t="str">
        <f t="shared" si="2530"/>
        <v>S</v>
      </c>
      <c r="BH3331" s="254"/>
      <c r="BI3331" s="254"/>
    </row>
    <row r="3332" spans="1:61" customFormat="1" ht="17.25" thickBot="1" x14ac:dyDescent="0.3">
      <c r="A3332" s="522" t="s">
        <v>2478</v>
      </c>
      <c r="B3332" s="491"/>
      <c r="C3332" s="675"/>
      <c r="D3332" s="491"/>
      <c r="E3332" s="491"/>
      <c r="F3332" s="492"/>
      <c r="G3332" s="493"/>
      <c r="H3332" s="491"/>
      <c r="I3332" s="234"/>
      <c r="J3332" s="234"/>
      <c r="K3332" s="494"/>
      <c r="L3332" s="543"/>
      <c r="M3332" s="561"/>
      <c r="N3332" s="495"/>
      <c r="O3332" s="496"/>
      <c r="P3332" s="497"/>
      <c r="Q3332" s="495"/>
      <c r="R3332" s="495"/>
      <c r="S3332" s="667" t="s">
        <v>4986</v>
      </c>
      <c r="T3332" s="508">
        <f t="shared" si="2518"/>
        <v>0</v>
      </c>
      <c r="U3332" s="225" t="str">
        <f>IF(NOT(ISNUMBER(G3332)), "", VLOOKUP(A3332,'Discount Lookup'!D:E,2,FALSE)*G3332)</f>
        <v/>
      </c>
      <c r="V3332" s="225" t="str">
        <f>IF(NOT(ISNUMBER(G3332)), "", VLOOKUP(A3332,'Discount Lookup'!G:H,2,FALSE)*G3332)</f>
        <v/>
      </c>
      <c r="W3332" s="508">
        <f t="shared" si="2519"/>
        <v>0</v>
      </c>
      <c r="X3332" s="508">
        <f t="shared" si="2520"/>
        <v>0</v>
      </c>
      <c r="Y3332" s="509" t="b">
        <f t="shared" si="2521"/>
        <v>0</v>
      </c>
      <c r="Z3332" s="510">
        <f t="shared" si="2522"/>
        <v>0</v>
      </c>
      <c r="AA3332" s="511"/>
      <c r="AB3332" s="511" t="str">
        <f t="shared" si="2523"/>
        <v/>
      </c>
      <c r="AC3332" s="698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698"/>
      <c r="AE3332" s="631" t="str">
        <f t="shared" si="2524"/>
        <v/>
      </c>
      <c r="AF3332" s="699" t="str">
        <f t="shared" si="2525"/>
        <v/>
      </c>
      <c r="AG3332" s="699"/>
      <c r="AH3332" s="699"/>
      <c r="AI3332" s="512">
        <f>IF(H3332="credit",0,IF(AE3332="free",0,IF(AE3332="me",0,IF(G3332&gt;0,(VLOOKUP(A3332,'Discount Lookup'!J:K,2)*G3332),0))))</f>
        <v>0</v>
      </c>
      <c r="AJ3332" s="513" t="str">
        <f t="shared" ca="1" si="2526"/>
        <v/>
      </c>
      <c r="AK3332" s="700" t="str">
        <f t="shared" si="2527"/>
        <v/>
      </c>
      <c r="AL3332" s="700"/>
      <c r="AM3332" s="505" t="str">
        <f t="shared" si="2528"/>
        <v/>
      </c>
      <c r="AN3332" s="506"/>
      <c r="AO3332" s="507"/>
      <c r="AP3332" s="507"/>
      <c r="AQ3332" s="507"/>
      <c r="AR3332" s="507"/>
      <c r="AS3332" s="507"/>
      <c r="AT3332" s="507"/>
      <c r="AU3332" s="507"/>
      <c r="AV3332" s="225"/>
      <c r="AW3332" s="508"/>
      <c r="AX3332" s="225"/>
      <c r="AY3332" s="225"/>
      <c r="AZ3332" s="225"/>
      <c r="BA3332" s="225"/>
      <c r="BB3332" s="225"/>
      <c r="BC3332" s="56"/>
      <c r="BD3332" s="56"/>
      <c r="BE3332" s="56"/>
      <c r="BF3332" s="107" t="str">
        <f t="shared" si="2529"/>
        <v>https://www.google.com/search?tbm=isch&amp;q=Shishigashira%20translates%20to%20%27Lion%27s%20Head%27%2C%20with%20a%20double%20bloom%20and%20a%20yellow%20center%20</v>
      </c>
      <c r="BG3332" s="107" t="str">
        <f t="shared" si="2530"/>
        <v>S</v>
      </c>
      <c r="BH3332" s="254"/>
      <c r="BI3332" s="254"/>
    </row>
    <row r="3333" spans="1:61" customFormat="1" ht="18" x14ac:dyDescent="0.25">
      <c r="A3333" s="523" t="s">
        <v>1728</v>
      </c>
      <c r="B3333" s="235"/>
      <c r="C3333" s="676"/>
      <c r="D3333" s="255" t="s">
        <v>1729</v>
      </c>
      <c r="E3333" s="236"/>
      <c r="F3333" s="236"/>
      <c r="G3333" s="236"/>
      <c r="H3333" s="582" t="s">
        <v>321</v>
      </c>
      <c r="I3333" s="498" t="s">
        <v>2108</v>
      </c>
      <c r="J3333" s="237"/>
      <c r="K3333" s="237"/>
      <c r="L3333" s="274"/>
      <c r="M3333" s="668" t="s">
        <v>4962</v>
      </c>
      <c r="N3333" s="681" t="str">
        <f>IF(AND(ISTEXT($A3333), ISERROR($A3333+0)), HYPERLINK($BF3333, "Images"), "")</f>
        <v>Images</v>
      </c>
      <c r="O3333" s="663" t="s">
        <v>4969</v>
      </c>
      <c r="P3333" s="253"/>
      <c r="Q3333" s="238"/>
      <c r="R3333" s="239"/>
      <c r="S3333" s="275"/>
      <c r="T3333" s="508">
        <f t="shared" si="2518"/>
        <v>0</v>
      </c>
      <c r="U3333" s="225" t="str">
        <f>IF(NOT(ISNUMBER(G3333)), "", VLOOKUP(A3333,'Discount Lookup'!D:E,2,FALSE)*G3333)</f>
        <v/>
      </c>
      <c r="V3333" s="225" t="str">
        <f>IF(NOT(ISNUMBER(G3333)), "", VLOOKUP(A3333,'Discount Lookup'!G:H,2,FALSE)*G3333)</f>
        <v/>
      </c>
      <c r="W3333" s="508">
        <f t="shared" si="2519"/>
        <v>0</v>
      </c>
      <c r="X3333" s="508" t="str">
        <f t="shared" si="2520"/>
        <v>Lavendar-Blue bloom</v>
      </c>
      <c r="Y3333" s="509" t="b">
        <f t="shared" si="2521"/>
        <v>0</v>
      </c>
      <c r="Z3333" s="510">
        <f t="shared" si="2522"/>
        <v>0</v>
      </c>
      <c r="AA3333" s="511"/>
      <c r="AB3333" s="511" t="str">
        <f t="shared" si="2523"/>
        <v/>
      </c>
      <c r="AC3333" s="698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698"/>
      <c r="AE3333" s="631" t="str">
        <f t="shared" si="2524"/>
        <v/>
      </c>
      <c r="AF3333" s="699" t="str">
        <f t="shared" si="2525"/>
        <v/>
      </c>
      <c r="AG3333" s="699"/>
      <c r="AH3333" s="699"/>
      <c r="AI3333" s="512">
        <f>IF(H3333="credit",0,IF(AE3333="free",0,IF(AE3333="me",0,IF(G3333&gt;0,(VLOOKUP(A3333,'Discount Lookup'!J:K,2)*G3333),0))))</f>
        <v>0</v>
      </c>
      <c r="AJ3333" s="513" t="str">
        <f t="shared" ca="1" si="2526"/>
        <v/>
      </c>
      <c r="AK3333" s="700" t="str">
        <f t="shared" si="2527"/>
        <v/>
      </c>
      <c r="AL3333" s="700"/>
      <c r="AM3333" s="505" t="str">
        <f t="shared" si="2528"/>
        <v/>
      </c>
      <c r="AN3333" s="506"/>
      <c r="AO3333" s="507"/>
      <c r="AP3333" s="507"/>
      <c r="AQ3333" s="507"/>
      <c r="AR3333" s="507"/>
      <c r="AS3333" s="507"/>
      <c r="AT3333" s="507"/>
      <c r="AU3333" s="507"/>
      <c r="AV3333" s="225"/>
      <c r="AW3333" s="508"/>
      <c r="AX3333" s="225"/>
      <c r="AY3333" s="225"/>
      <c r="AZ3333" s="225"/>
      <c r="BA3333" s="225"/>
      <c r="BB3333" s="225"/>
      <c r="BC3333" s="56"/>
      <c r="BD3333" s="56"/>
      <c r="BE3333" s="56"/>
      <c r="BF3333" s="107" t="str">
        <f t="shared" si="2529"/>
        <v>https://www.google.com/search?tbm=isch&amp;q=Shoal%20Creek%20Chaste%20Tree%20Chaste%20agnus-castus%20%27Shoal%20Creek%27</v>
      </c>
      <c r="BG3333" s="107" t="str">
        <f t="shared" si="2530"/>
        <v>S</v>
      </c>
      <c r="BH3333" s="254"/>
      <c r="BI3333" s="254"/>
    </row>
    <row r="3334" spans="1:61" customFormat="1" ht="15.75" x14ac:dyDescent="0.25">
      <c r="A3334" s="276">
        <v>3</v>
      </c>
      <c r="B3334" s="240" t="s">
        <v>291</v>
      </c>
      <c r="C3334" s="241" t="s">
        <v>2809</v>
      </c>
      <c r="D3334" s="242" t="s">
        <v>299</v>
      </c>
      <c r="E3334" s="243">
        <v>31.95</v>
      </c>
      <c r="F3334" s="517" t="s">
        <v>293</v>
      </c>
      <c r="G3334" s="232">
        <v>0</v>
      </c>
      <c r="H3334" s="661" t="str">
        <f t="shared" ref="H3334:H3342" si="2558">IF(G3334=0,"",IF(F3334="Buy",IF(G3334=1,"plant","plants"),IF(F3334&gt;0.01,"warranty","Error")))</f>
        <v/>
      </c>
      <c r="I3334" s="244">
        <f t="shared" ref="I3334:I3342" si="2559">IF(H3334="free",0,IF(H3334="credit",((E3334*(F3334))*G3334*-1),IF(F3334="Buy",(E3334*G3334),((E3334*(1-F3334))*G3334))))</f>
        <v>0</v>
      </c>
      <c r="J3334" s="244">
        <f t="shared" ref="J3334:J3342" si="2560">IF(H3334="warranty",0,(I3334*(_xlfn.SINGLE(SalesTaxPercentage))))</f>
        <v>0</v>
      </c>
      <c r="K3334" s="696">
        <f t="shared" ref="K3334" si="2561">I3334+J3334</f>
        <v>0</v>
      </c>
      <c r="L3334" s="696"/>
      <c r="M3334" s="659" t="str">
        <f t="shared" ref="M3334:M3342" si="2562">IF(AND(G3334&gt;0,E3334=0),"WARNING - no PRICE inserted",IF(H3334="free"," FREE ~ no charge this plant",IF(H3334="credit",CONCATENATE(" -$",ROUND(K3334*(1-T2GDiscount)*-1,2)," CREDIT after discount"),IF(T2GDiscount=0,"",IF(G3334=0,"",IF(F3334="Buy",CONCATENATE(" $",ROUND(K3334*(1-T2GDiscount),2)," with ",(T2GDiscount*100),"% discount"),CONCATENATE(" $",ROUND(K3334*(1-T2GDiscount),2)," with ",((T2GDiscount*100+F3334*100)-(T2GDiscount*100*F3334)),IF(F3334&gt;0,"% discounts",IF(NoWarrantyDiscount&gt;0,"% discounts","% discount")))))))))</f>
        <v/>
      </c>
      <c r="N3334" s="660"/>
      <c r="O3334" s="233"/>
      <c r="P3334" s="233"/>
      <c r="Q3334" s="233"/>
      <c r="R3334" s="233"/>
      <c r="S3334" s="233"/>
      <c r="T3334" s="508">
        <f t="shared" si="2518"/>
        <v>0</v>
      </c>
      <c r="U3334" s="225">
        <f>IF(NOT(ISNUMBER(G3334)), "", VLOOKUP(A3334,'Discount Lookup'!D:E,2,FALSE)*G3334)</f>
        <v>0</v>
      </c>
      <c r="V3334" s="225">
        <f>IF(NOT(ISNUMBER(G3334)), "", VLOOKUP(A3334,'Discount Lookup'!G:H,2,FALSE)*G3334)</f>
        <v>0</v>
      </c>
      <c r="W3334" s="508">
        <f t="shared" si="2519"/>
        <v>0</v>
      </c>
      <c r="X3334" s="508">
        <f t="shared" si="2520"/>
        <v>0</v>
      </c>
      <c r="Y3334" s="509" t="b">
        <f t="shared" si="2521"/>
        <v>0</v>
      </c>
      <c r="Z3334" s="510">
        <f t="shared" si="2522"/>
        <v>0</v>
      </c>
      <c r="AA3334" s="511"/>
      <c r="AB3334" s="511" t="str">
        <f t="shared" si="2523"/>
        <v/>
      </c>
      <c r="AC3334" s="698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698"/>
      <c r="AE3334" s="631" t="str">
        <f t="shared" si="2524"/>
        <v/>
      </c>
      <c r="AF3334" s="699" t="str">
        <f t="shared" si="2525"/>
        <v/>
      </c>
      <c r="AG3334" s="699"/>
      <c r="AH3334" s="699"/>
      <c r="AI3334" s="512">
        <f>IF(H3334="credit",0,IF(AE3334="free",0,IF(AE3334="me",0,IF(G3334&gt;0,(VLOOKUP(A3334,'Discount Lookup'!J:K,2)*G3334),0))))</f>
        <v>0</v>
      </c>
      <c r="AJ3334" s="513" t="str">
        <f t="shared" ca="1" si="2526"/>
        <v/>
      </c>
      <c r="AK3334" s="700" t="str">
        <f t="shared" si="2527"/>
        <v/>
      </c>
      <c r="AL3334" s="700"/>
      <c r="AM3334" s="505" t="str">
        <f t="shared" si="2528"/>
        <v/>
      </c>
      <c r="AN3334" s="506"/>
      <c r="AO3334" s="507"/>
      <c r="AP3334" s="507"/>
      <c r="AQ3334" s="507"/>
      <c r="AR3334" s="507"/>
      <c r="AS3334" s="507"/>
      <c r="AT3334" s="507"/>
      <c r="AU3334" s="507"/>
      <c r="AV3334" s="225"/>
      <c r="AW3334" s="508"/>
      <c r="AX3334" s="225"/>
      <c r="AY3334" s="225"/>
      <c r="AZ3334" s="225"/>
      <c r="BA3334" s="225"/>
      <c r="BB3334" s="225"/>
      <c r="BC3334" s="56"/>
      <c r="BD3334" s="56"/>
      <c r="BE3334" s="56"/>
      <c r="BF3334" s="107" t="str">
        <f t="shared" si="2529"/>
        <v>https://www.google.com/search?tbm=isch&amp;q=3%20G5</v>
      </c>
      <c r="BG3334" s="107" t="str">
        <f t="shared" si="2530"/>
        <v>S</v>
      </c>
      <c r="BH3334" s="254"/>
      <c r="BI3334" s="254"/>
    </row>
    <row r="3335" spans="1:61" customFormat="1" ht="15.75" x14ac:dyDescent="0.25">
      <c r="A3335" s="276">
        <v>7</v>
      </c>
      <c r="B3335" s="240" t="s">
        <v>291</v>
      </c>
      <c r="C3335" s="241" t="s">
        <v>2810</v>
      </c>
      <c r="D3335" s="242" t="s">
        <v>299</v>
      </c>
      <c r="E3335" s="243">
        <v>68.95</v>
      </c>
      <c r="F3335" s="517" t="s">
        <v>293</v>
      </c>
      <c r="G3335" s="232">
        <v>0</v>
      </c>
      <c r="H3335" s="661" t="str">
        <f t="shared" si="2558"/>
        <v/>
      </c>
      <c r="I3335" s="244">
        <f t="shared" si="2559"/>
        <v>0</v>
      </c>
      <c r="J3335" s="244">
        <f t="shared" si="2560"/>
        <v>0</v>
      </c>
      <c r="K3335" s="696">
        <f t="shared" ref="K3335" si="2563">I3335+J3335</f>
        <v>0</v>
      </c>
      <c r="L3335" s="696"/>
      <c r="M3335" s="659" t="str">
        <f t="shared" si="2562"/>
        <v/>
      </c>
      <c r="N3335" s="660"/>
      <c r="O3335" s="233"/>
      <c r="P3335" s="233"/>
      <c r="Q3335" s="233"/>
      <c r="R3335" s="233"/>
      <c r="S3335" s="233"/>
      <c r="T3335" s="508">
        <f t="shared" si="2518"/>
        <v>0</v>
      </c>
      <c r="U3335" s="225">
        <f>IF(NOT(ISNUMBER(G3335)), "", VLOOKUP(A3335,'Discount Lookup'!D:E,2,FALSE)*G3335)</f>
        <v>0</v>
      </c>
      <c r="V3335" s="225">
        <f>IF(NOT(ISNUMBER(G3335)), "", VLOOKUP(A3335,'Discount Lookup'!G:H,2,FALSE)*G3335)</f>
        <v>0</v>
      </c>
      <c r="W3335" s="508">
        <f t="shared" si="2519"/>
        <v>0</v>
      </c>
      <c r="X3335" s="508">
        <f t="shared" si="2520"/>
        <v>0</v>
      </c>
      <c r="Y3335" s="509" t="b">
        <f t="shared" si="2521"/>
        <v>0</v>
      </c>
      <c r="Z3335" s="510">
        <f t="shared" si="2522"/>
        <v>0</v>
      </c>
      <c r="AA3335" s="511"/>
      <c r="AB3335" s="511" t="str">
        <f t="shared" si="2523"/>
        <v/>
      </c>
      <c r="AC3335" s="698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698"/>
      <c r="AE3335" s="631" t="str">
        <f t="shared" si="2524"/>
        <v/>
      </c>
      <c r="AF3335" s="699" t="str">
        <f t="shared" si="2525"/>
        <v/>
      </c>
      <c r="AG3335" s="699"/>
      <c r="AH3335" s="699"/>
      <c r="AI3335" s="512">
        <f>IF(H3335="credit",0,IF(AE3335="free",0,IF(AE3335="me",0,IF(G3335&gt;0,(VLOOKUP(A3335,'Discount Lookup'!J:K,2)*G3335),0))))</f>
        <v>0</v>
      </c>
      <c r="AJ3335" s="513" t="str">
        <f t="shared" ca="1" si="2526"/>
        <v/>
      </c>
      <c r="AK3335" s="700" t="str">
        <f t="shared" si="2527"/>
        <v/>
      </c>
      <c r="AL3335" s="700"/>
      <c r="AM3335" s="505" t="str">
        <f t="shared" si="2528"/>
        <v/>
      </c>
      <c r="AN3335" s="506"/>
      <c r="AO3335" s="507"/>
      <c r="AP3335" s="507"/>
      <c r="AQ3335" s="507"/>
      <c r="AR3335" s="507"/>
      <c r="AS3335" s="507"/>
      <c r="AT3335" s="507"/>
      <c r="AU3335" s="507"/>
      <c r="AV3335" s="225"/>
      <c r="AW3335" s="508"/>
      <c r="AX3335" s="225"/>
      <c r="AY3335" s="225"/>
      <c r="AZ3335" s="225"/>
      <c r="BA3335" s="225"/>
      <c r="BB3335" s="225"/>
      <c r="BC3335" s="56"/>
      <c r="BD3335" s="56"/>
      <c r="BE3335" s="56"/>
      <c r="BF3335" s="107" t="str">
        <f t="shared" si="2529"/>
        <v>https://www.google.com/search?tbm=isch&amp;q=7%20G5</v>
      </c>
      <c r="BG3335" s="107" t="str">
        <f t="shared" si="2530"/>
        <v>S</v>
      </c>
      <c r="BH3335" s="254"/>
      <c r="BI3335" s="254"/>
    </row>
    <row r="3336" spans="1:61" customFormat="1" ht="15.75" x14ac:dyDescent="0.25">
      <c r="A3336" s="276">
        <v>7</v>
      </c>
      <c r="B3336" s="240" t="s">
        <v>291</v>
      </c>
      <c r="C3336" s="241" t="s">
        <v>3769</v>
      </c>
      <c r="D3336" s="242" t="s">
        <v>292</v>
      </c>
      <c r="E3336" s="243">
        <v>86.95</v>
      </c>
      <c r="F3336" s="517" t="s">
        <v>293</v>
      </c>
      <c r="G3336" s="232">
        <v>0</v>
      </c>
      <c r="H3336" s="661" t="str">
        <f t="shared" si="2558"/>
        <v/>
      </c>
      <c r="I3336" s="244">
        <f t="shared" si="2559"/>
        <v>0</v>
      </c>
      <c r="J3336" s="244">
        <f t="shared" si="2560"/>
        <v>0</v>
      </c>
      <c r="K3336" s="696">
        <f t="shared" ref="K3336" si="2564">I3336+J3336</f>
        <v>0</v>
      </c>
      <c r="L3336" s="696"/>
      <c r="M3336" s="659" t="str">
        <f t="shared" si="2562"/>
        <v/>
      </c>
      <c r="N3336" s="660"/>
      <c r="O3336" s="233"/>
      <c r="P3336" s="233"/>
      <c r="Q3336" s="233"/>
      <c r="R3336" s="233"/>
      <c r="S3336" s="233"/>
      <c r="T3336" s="508">
        <f t="shared" si="2518"/>
        <v>0</v>
      </c>
      <c r="U3336" s="225">
        <f>IF(NOT(ISNUMBER(G3336)), "", VLOOKUP(A3336,'Discount Lookup'!D:E,2,FALSE)*G3336)</f>
        <v>0</v>
      </c>
      <c r="V3336" s="225">
        <f>IF(NOT(ISNUMBER(G3336)), "", VLOOKUP(A3336,'Discount Lookup'!G:H,2,FALSE)*G3336)</f>
        <v>0</v>
      </c>
      <c r="W3336" s="508">
        <f t="shared" si="2519"/>
        <v>0</v>
      </c>
      <c r="X3336" s="508">
        <f t="shared" si="2520"/>
        <v>0</v>
      </c>
      <c r="Y3336" s="509" t="b">
        <f t="shared" si="2521"/>
        <v>0</v>
      </c>
      <c r="Z3336" s="510">
        <f t="shared" si="2522"/>
        <v>0</v>
      </c>
      <c r="AA3336" s="511"/>
      <c r="AB3336" s="511" t="str">
        <f t="shared" si="2523"/>
        <v/>
      </c>
      <c r="AC3336" s="698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698"/>
      <c r="AE3336" s="631" t="str">
        <f t="shared" si="2524"/>
        <v/>
      </c>
      <c r="AF3336" s="699" t="str">
        <f t="shared" si="2525"/>
        <v/>
      </c>
      <c r="AG3336" s="699"/>
      <c r="AH3336" s="699"/>
      <c r="AI3336" s="512">
        <f>IF(H3336="credit",0,IF(AE3336="free",0,IF(AE3336="me",0,IF(G3336&gt;0,(VLOOKUP(A3336,'Discount Lookup'!J:K,2)*G3336),0))))</f>
        <v>0</v>
      </c>
      <c r="AJ3336" s="513" t="str">
        <f t="shared" ca="1" si="2526"/>
        <v/>
      </c>
      <c r="AK3336" s="700" t="str">
        <f t="shared" si="2527"/>
        <v/>
      </c>
      <c r="AL3336" s="700"/>
      <c r="AM3336" s="505" t="str">
        <f t="shared" si="2528"/>
        <v/>
      </c>
      <c r="AN3336" s="506"/>
      <c r="AO3336" s="507"/>
      <c r="AP3336" s="507"/>
      <c r="AQ3336" s="507"/>
      <c r="AR3336" s="507"/>
      <c r="AS3336" s="507"/>
      <c r="AT3336" s="507"/>
      <c r="AU3336" s="507"/>
      <c r="AV3336" s="225"/>
      <c r="AW3336" s="508"/>
      <c r="AX3336" s="225"/>
      <c r="AY3336" s="225"/>
      <c r="AZ3336" s="225"/>
      <c r="BA3336" s="225"/>
      <c r="BB3336" s="225"/>
      <c r="BC3336" s="56"/>
      <c r="BD3336" s="56"/>
      <c r="BE3336" s="56"/>
      <c r="BF3336" s="107" t="str">
        <f t="shared" si="2529"/>
        <v>https://www.google.com/search?tbm=isch&amp;q=7%20G4</v>
      </c>
      <c r="BG3336" s="107" t="str">
        <f t="shared" si="2530"/>
        <v>S</v>
      </c>
      <c r="BH3336" s="254"/>
      <c r="BI3336" s="254"/>
    </row>
    <row r="3337" spans="1:61" customFormat="1" ht="15.75" x14ac:dyDescent="0.25">
      <c r="A3337" s="276">
        <v>15</v>
      </c>
      <c r="B3337" s="240" t="s">
        <v>291</v>
      </c>
      <c r="C3337" s="241" t="s">
        <v>1730</v>
      </c>
      <c r="D3337" s="242" t="s">
        <v>297</v>
      </c>
      <c r="E3337" s="243">
        <v>155.94999999999999</v>
      </c>
      <c r="F3337" s="517" t="s">
        <v>293</v>
      </c>
      <c r="G3337" s="232">
        <v>0</v>
      </c>
      <c r="H3337" s="661" t="str">
        <f t="shared" si="2558"/>
        <v/>
      </c>
      <c r="I3337" s="244">
        <f t="shared" si="2559"/>
        <v>0</v>
      </c>
      <c r="J3337" s="244">
        <f t="shared" si="2560"/>
        <v>0</v>
      </c>
      <c r="K3337" s="696">
        <f t="shared" ref="K3337" si="2565">I3337+J3337</f>
        <v>0</v>
      </c>
      <c r="L3337" s="696"/>
      <c r="M3337" s="659" t="str">
        <f t="shared" si="2562"/>
        <v/>
      </c>
      <c r="N3337" s="660"/>
      <c r="O3337" s="233"/>
      <c r="P3337" s="233"/>
      <c r="Q3337" s="233"/>
      <c r="R3337" s="233"/>
      <c r="S3337" s="233"/>
      <c r="T3337" s="508">
        <f t="shared" si="2518"/>
        <v>0</v>
      </c>
      <c r="U3337" s="225">
        <f>IF(NOT(ISNUMBER(G3337)), "", VLOOKUP(A3337,'Discount Lookup'!D:E,2,FALSE)*G3337)</f>
        <v>0</v>
      </c>
      <c r="V3337" s="225">
        <f>IF(NOT(ISNUMBER(G3337)), "", VLOOKUP(A3337,'Discount Lookup'!G:H,2,FALSE)*G3337)</f>
        <v>0</v>
      </c>
      <c r="W3337" s="508">
        <f t="shared" si="2519"/>
        <v>0</v>
      </c>
      <c r="X3337" s="508">
        <f t="shared" si="2520"/>
        <v>0</v>
      </c>
      <c r="Y3337" s="509" t="b">
        <f t="shared" si="2521"/>
        <v>0</v>
      </c>
      <c r="Z3337" s="510">
        <f t="shared" si="2522"/>
        <v>0</v>
      </c>
      <c r="AA3337" s="511"/>
      <c r="AB3337" s="511" t="str">
        <f t="shared" si="2523"/>
        <v/>
      </c>
      <c r="AC3337" s="698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698"/>
      <c r="AE3337" s="631" t="str">
        <f t="shared" si="2524"/>
        <v/>
      </c>
      <c r="AF3337" s="699" t="str">
        <f t="shared" si="2525"/>
        <v/>
      </c>
      <c r="AG3337" s="699"/>
      <c r="AH3337" s="699"/>
      <c r="AI3337" s="512">
        <f>IF(H3337="credit",0,IF(AE3337="free",0,IF(AE3337="me",0,IF(G3337&gt;0,(VLOOKUP(A3337,'Discount Lookup'!J:K,2)*G3337),0))))</f>
        <v>0</v>
      </c>
      <c r="AJ3337" s="513" t="str">
        <f t="shared" ca="1" si="2526"/>
        <v/>
      </c>
      <c r="AK3337" s="700" t="str">
        <f t="shared" si="2527"/>
        <v/>
      </c>
      <c r="AL3337" s="700"/>
      <c r="AM3337" s="505" t="str">
        <f t="shared" si="2528"/>
        <v/>
      </c>
      <c r="AN3337" s="506"/>
      <c r="AO3337" s="507"/>
      <c r="AP3337" s="507"/>
      <c r="AQ3337" s="507"/>
      <c r="AR3337" s="507"/>
      <c r="AS3337" s="507"/>
      <c r="AT3337" s="507"/>
      <c r="AU3337" s="507"/>
      <c r="AV3337" s="225"/>
      <c r="AW3337" s="508"/>
      <c r="AX3337" s="225"/>
      <c r="AY3337" s="225"/>
      <c r="AZ3337" s="225"/>
      <c r="BA3337" s="225"/>
      <c r="BB3337" s="225"/>
      <c r="BC3337" s="56"/>
      <c r="BD3337" s="56"/>
      <c r="BE3337" s="56"/>
      <c r="BF3337" s="107" t="str">
        <f t="shared" si="2529"/>
        <v>https://www.google.com/search?tbm=isch&amp;q=15%20G3</v>
      </c>
      <c r="BG3337" s="107" t="str">
        <f t="shared" si="2530"/>
        <v>S</v>
      </c>
      <c r="BH3337" s="254"/>
      <c r="BI3337" s="254"/>
    </row>
    <row r="3338" spans="1:61" customFormat="1" ht="15.75" x14ac:dyDescent="0.25">
      <c r="A3338" s="276">
        <v>15</v>
      </c>
      <c r="B3338" s="240" t="s">
        <v>291</v>
      </c>
      <c r="C3338" s="241" t="s">
        <v>3770</v>
      </c>
      <c r="D3338" s="242" t="s">
        <v>292</v>
      </c>
      <c r="E3338" s="243">
        <v>155.94999999999999</v>
      </c>
      <c r="F3338" s="517" t="s">
        <v>293</v>
      </c>
      <c r="G3338" s="232">
        <v>0</v>
      </c>
      <c r="H3338" s="661" t="str">
        <f t="shared" si="2558"/>
        <v/>
      </c>
      <c r="I3338" s="244">
        <f t="shared" si="2559"/>
        <v>0</v>
      </c>
      <c r="J3338" s="244">
        <f t="shared" si="2560"/>
        <v>0</v>
      </c>
      <c r="K3338" s="696">
        <f t="shared" ref="K3338" si="2566">I3338+J3338</f>
        <v>0</v>
      </c>
      <c r="L3338" s="696"/>
      <c r="M3338" s="659" t="str">
        <f t="shared" si="2562"/>
        <v/>
      </c>
      <c r="N3338" s="660"/>
      <c r="O3338" s="233"/>
      <c r="P3338" s="233"/>
      <c r="Q3338" s="233"/>
      <c r="R3338" s="233"/>
      <c r="S3338" s="233"/>
      <c r="T3338" s="508">
        <f t="shared" si="2518"/>
        <v>0</v>
      </c>
      <c r="U3338" s="225">
        <f>IF(NOT(ISNUMBER(G3338)), "", VLOOKUP(A3338,'Discount Lookup'!D:E,2,FALSE)*G3338)</f>
        <v>0</v>
      </c>
      <c r="V3338" s="225">
        <f>IF(NOT(ISNUMBER(G3338)), "", VLOOKUP(A3338,'Discount Lookup'!G:H,2,FALSE)*G3338)</f>
        <v>0</v>
      </c>
      <c r="W3338" s="508">
        <f t="shared" si="2519"/>
        <v>0</v>
      </c>
      <c r="X3338" s="508">
        <f t="shared" si="2520"/>
        <v>0</v>
      </c>
      <c r="Y3338" s="509" t="b">
        <f t="shared" si="2521"/>
        <v>0</v>
      </c>
      <c r="Z3338" s="510">
        <f t="shared" si="2522"/>
        <v>0</v>
      </c>
      <c r="AA3338" s="511"/>
      <c r="AB3338" s="511" t="str">
        <f t="shared" si="2523"/>
        <v/>
      </c>
      <c r="AC3338" s="698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698"/>
      <c r="AE3338" s="631" t="str">
        <f t="shared" si="2524"/>
        <v/>
      </c>
      <c r="AF3338" s="699" t="str">
        <f t="shared" si="2525"/>
        <v/>
      </c>
      <c r="AG3338" s="699"/>
      <c r="AH3338" s="699"/>
      <c r="AI3338" s="512">
        <f>IF(H3338="credit",0,IF(AE3338="free",0,IF(AE3338="me",0,IF(G3338&gt;0,(VLOOKUP(A3338,'Discount Lookup'!J:K,2)*G3338),0))))</f>
        <v>0</v>
      </c>
      <c r="AJ3338" s="513" t="str">
        <f t="shared" ca="1" si="2526"/>
        <v/>
      </c>
      <c r="AK3338" s="700" t="str">
        <f t="shared" si="2527"/>
        <v/>
      </c>
      <c r="AL3338" s="700"/>
      <c r="AM3338" s="505" t="str">
        <f t="shared" si="2528"/>
        <v/>
      </c>
      <c r="AN3338" s="506"/>
      <c r="AO3338" s="507"/>
      <c r="AP3338" s="507"/>
      <c r="AQ3338" s="507"/>
      <c r="AR3338" s="507"/>
      <c r="AS3338" s="507"/>
      <c r="AT3338" s="507"/>
      <c r="AU3338" s="507"/>
      <c r="AV3338" s="225"/>
      <c r="AW3338" s="508"/>
      <c r="AX3338" s="225"/>
      <c r="AY3338" s="225"/>
      <c r="AZ3338" s="225"/>
      <c r="BA3338" s="225"/>
      <c r="BB3338" s="225"/>
      <c r="BC3338" s="56"/>
      <c r="BD3338" s="56"/>
      <c r="BE3338" s="56"/>
      <c r="BF3338" s="107" t="str">
        <f t="shared" si="2529"/>
        <v>https://www.google.com/search?tbm=isch&amp;q=15%20G4</v>
      </c>
      <c r="BG3338" s="107" t="str">
        <f t="shared" si="2530"/>
        <v>S</v>
      </c>
      <c r="BH3338" s="254"/>
      <c r="BI3338" s="254"/>
    </row>
    <row r="3339" spans="1:61" customFormat="1" ht="15.75" x14ac:dyDescent="0.25">
      <c r="A3339" s="276">
        <v>15</v>
      </c>
      <c r="B3339" s="240" t="s">
        <v>291</v>
      </c>
      <c r="C3339" s="241" t="s">
        <v>4302</v>
      </c>
      <c r="D3339" s="242" t="s">
        <v>299</v>
      </c>
      <c r="E3339" s="243">
        <v>160.94999999999999</v>
      </c>
      <c r="F3339" s="517" t="s">
        <v>293</v>
      </c>
      <c r="G3339" s="232">
        <v>0</v>
      </c>
      <c r="H3339" s="661" t="str">
        <f t="shared" si="2558"/>
        <v/>
      </c>
      <c r="I3339" s="244">
        <f t="shared" si="2559"/>
        <v>0</v>
      </c>
      <c r="J3339" s="244">
        <f t="shared" si="2560"/>
        <v>0</v>
      </c>
      <c r="K3339" s="696">
        <f t="shared" ref="K3339" si="2567">I3339+J3339</f>
        <v>0</v>
      </c>
      <c r="L3339" s="696"/>
      <c r="M3339" s="659" t="str">
        <f t="shared" si="2562"/>
        <v/>
      </c>
      <c r="N3339" s="660"/>
      <c r="O3339" s="233"/>
      <c r="P3339" s="233"/>
      <c r="Q3339" s="233"/>
      <c r="R3339" s="233"/>
      <c r="S3339" s="233"/>
      <c r="T3339" s="508">
        <f t="shared" si="2518"/>
        <v>0</v>
      </c>
      <c r="U3339" s="225">
        <f>IF(NOT(ISNUMBER(G3339)), "", VLOOKUP(A3339,'Discount Lookup'!D:E,2,FALSE)*G3339)</f>
        <v>0</v>
      </c>
      <c r="V3339" s="225">
        <f>IF(NOT(ISNUMBER(G3339)), "", VLOOKUP(A3339,'Discount Lookup'!G:H,2,FALSE)*G3339)</f>
        <v>0</v>
      </c>
      <c r="W3339" s="508">
        <f t="shared" si="2519"/>
        <v>0</v>
      </c>
      <c r="X3339" s="508">
        <f t="shared" si="2520"/>
        <v>0</v>
      </c>
      <c r="Y3339" s="509" t="b">
        <f t="shared" si="2521"/>
        <v>0</v>
      </c>
      <c r="Z3339" s="510">
        <f t="shared" si="2522"/>
        <v>0</v>
      </c>
      <c r="AA3339" s="511"/>
      <c r="AB3339" s="511" t="str">
        <f t="shared" si="2523"/>
        <v/>
      </c>
      <c r="AC3339" s="698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698"/>
      <c r="AE3339" s="631" t="str">
        <f t="shared" si="2524"/>
        <v/>
      </c>
      <c r="AF3339" s="699" t="str">
        <f t="shared" si="2525"/>
        <v/>
      </c>
      <c r="AG3339" s="699"/>
      <c r="AH3339" s="699"/>
      <c r="AI3339" s="512">
        <f>IF(H3339="credit",0,IF(AE3339="free",0,IF(AE3339="me",0,IF(G3339&gt;0,(VLOOKUP(A3339,'Discount Lookup'!J:K,2)*G3339),0))))</f>
        <v>0</v>
      </c>
      <c r="AJ3339" s="513" t="str">
        <f t="shared" ca="1" si="2526"/>
        <v/>
      </c>
      <c r="AK3339" s="700" t="str">
        <f t="shared" si="2527"/>
        <v/>
      </c>
      <c r="AL3339" s="700"/>
      <c r="AM3339" s="505" t="str">
        <f t="shared" si="2528"/>
        <v/>
      </c>
      <c r="AN3339" s="506"/>
      <c r="AO3339" s="507"/>
      <c r="AP3339" s="507"/>
      <c r="AQ3339" s="507"/>
      <c r="AR3339" s="507"/>
      <c r="AS3339" s="507"/>
      <c r="AT3339" s="507"/>
      <c r="AU3339" s="507"/>
      <c r="AV3339" s="225"/>
      <c r="AW3339" s="508"/>
      <c r="AX3339" s="225"/>
      <c r="AY3339" s="225"/>
      <c r="AZ3339" s="225"/>
      <c r="BA3339" s="225"/>
      <c r="BB3339" s="225"/>
      <c r="BC3339" s="56"/>
      <c r="BD3339" s="56"/>
      <c r="BE3339" s="56"/>
      <c r="BF3339" s="107" t="str">
        <f t="shared" si="2529"/>
        <v>https://www.google.com/search?tbm=isch&amp;q=15%20G5</v>
      </c>
      <c r="BG3339" s="107" t="str">
        <f t="shared" si="2530"/>
        <v>S</v>
      </c>
      <c r="BH3339" s="254"/>
      <c r="BI3339" s="254"/>
    </row>
    <row r="3340" spans="1:61" customFormat="1" ht="15.75" x14ac:dyDescent="0.25">
      <c r="A3340" s="276">
        <v>25</v>
      </c>
      <c r="B3340" s="240" t="s">
        <v>291</v>
      </c>
      <c r="C3340" s="241" t="s">
        <v>1731</v>
      </c>
      <c r="D3340" s="242" t="s">
        <v>300</v>
      </c>
      <c r="E3340" s="243">
        <v>168.95</v>
      </c>
      <c r="F3340" s="517" t="s">
        <v>293</v>
      </c>
      <c r="G3340" s="232">
        <v>0</v>
      </c>
      <c r="H3340" s="661" t="str">
        <f t="shared" si="2558"/>
        <v/>
      </c>
      <c r="I3340" s="244">
        <f t="shared" si="2559"/>
        <v>0</v>
      </c>
      <c r="J3340" s="244">
        <f t="shared" si="2560"/>
        <v>0</v>
      </c>
      <c r="K3340" s="696">
        <f t="shared" ref="K3340" si="2568">I3340+J3340</f>
        <v>0</v>
      </c>
      <c r="L3340" s="696"/>
      <c r="M3340" s="659" t="str">
        <f t="shared" si="2562"/>
        <v/>
      </c>
      <c r="N3340" s="660"/>
      <c r="O3340" s="233"/>
      <c r="P3340" s="233"/>
      <c r="Q3340" s="233"/>
      <c r="R3340" s="233"/>
      <c r="S3340" s="233"/>
      <c r="T3340" s="508">
        <f t="shared" si="2518"/>
        <v>0</v>
      </c>
      <c r="U3340" s="225">
        <f>IF(NOT(ISNUMBER(G3340)), "", VLOOKUP(A3340,'Discount Lookup'!D:E,2,FALSE)*G3340)</f>
        <v>0</v>
      </c>
      <c r="V3340" s="225">
        <f>IF(NOT(ISNUMBER(G3340)), "", VLOOKUP(A3340,'Discount Lookup'!G:H,2,FALSE)*G3340)</f>
        <v>0</v>
      </c>
      <c r="W3340" s="508">
        <f t="shared" si="2519"/>
        <v>0</v>
      </c>
      <c r="X3340" s="508">
        <f t="shared" si="2520"/>
        <v>0</v>
      </c>
      <c r="Y3340" s="509" t="b">
        <f t="shared" si="2521"/>
        <v>0</v>
      </c>
      <c r="Z3340" s="510">
        <f t="shared" si="2522"/>
        <v>0</v>
      </c>
      <c r="AA3340" s="511"/>
      <c r="AB3340" s="511" t="str">
        <f t="shared" si="2523"/>
        <v/>
      </c>
      <c r="AC3340" s="698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698"/>
      <c r="AE3340" s="631" t="str">
        <f t="shared" si="2524"/>
        <v/>
      </c>
      <c r="AF3340" s="699" t="str">
        <f t="shared" si="2525"/>
        <v/>
      </c>
      <c r="AG3340" s="699"/>
      <c r="AH3340" s="699"/>
      <c r="AI3340" s="512">
        <f>IF(H3340="credit",0,IF(AE3340="free",0,IF(AE3340="me",0,IF(G3340&gt;0,(VLOOKUP(A3340,'Discount Lookup'!J:K,2)*G3340),0))))</f>
        <v>0</v>
      </c>
      <c r="AJ3340" s="513" t="str">
        <f t="shared" ca="1" si="2526"/>
        <v/>
      </c>
      <c r="AK3340" s="700" t="str">
        <f t="shared" si="2527"/>
        <v/>
      </c>
      <c r="AL3340" s="700"/>
      <c r="AM3340" s="505" t="str">
        <f t="shared" si="2528"/>
        <v/>
      </c>
      <c r="AN3340" s="506"/>
      <c r="AO3340" s="507"/>
      <c r="AP3340" s="507"/>
      <c r="AQ3340" s="507"/>
      <c r="AR3340" s="507"/>
      <c r="AS3340" s="507"/>
      <c r="AT3340" s="507"/>
      <c r="AU3340" s="507"/>
      <c r="AV3340" s="225"/>
      <c r="AW3340" s="508"/>
      <c r="AX3340" s="225"/>
      <c r="AY3340" s="225"/>
      <c r="AZ3340" s="225"/>
      <c r="BA3340" s="225"/>
      <c r="BB3340" s="225"/>
      <c r="BC3340" s="56"/>
      <c r="BD3340" s="56"/>
      <c r="BE3340" s="56"/>
      <c r="BF3340" s="107" t="str">
        <f t="shared" si="2529"/>
        <v>https://www.google.com/search?tbm=isch&amp;q=25%20G6</v>
      </c>
      <c r="BG3340" s="107" t="str">
        <f t="shared" si="2530"/>
        <v>S</v>
      </c>
      <c r="BH3340" s="254"/>
      <c r="BI3340" s="254"/>
    </row>
    <row r="3341" spans="1:61" customFormat="1" ht="15.75" x14ac:dyDescent="0.25">
      <c r="A3341" s="276">
        <v>15</v>
      </c>
      <c r="B3341" s="240" t="s">
        <v>291</v>
      </c>
      <c r="C3341" s="241" t="s">
        <v>1732</v>
      </c>
      <c r="D3341" s="242" t="s">
        <v>299</v>
      </c>
      <c r="E3341" s="243">
        <v>194.95</v>
      </c>
      <c r="F3341" s="517" t="s">
        <v>293</v>
      </c>
      <c r="G3341" s="232">
        <v>0</v>
      </c>
      <c r="H3341" s="661" t="str">
        <f t="shared" si="2558"/>
        <v/>
      </c>
      <c r="I3341" s="244">
        <f t="shared" si="2559"/>
        <v>0</v>
      </c>
      <c r="J3341" s="244">
        <f t="shared" si="2560"/>
        <v>0</v>
      </c>
      <c r="K3341" s="696">
        <f t="shared" ref="K3341" si="2569">I3341+J3341</f>
        <v>0</v>
      </c>
      <c r="L3341" s="696"/>
      <c r="M3341" s="659" t="str">
        <f t="shared" si="2562"/>
        <v/>
      </c>
      <c r="N3341" s="660"/>
      <c r="O3341" s="233"/>
      <c r="P3341" s="233"/>
      <c r="Q3341" s="233"/>
      <c r="R3341" s="233"/>
      <c r="S3341" s="233"/>
      <c r="T3341" s="508">
        <f t="shared" si="2518"/>
        <v>0</v>
      </c>
      <c r="U3341" s="225">
        <f>IF(NOT(ISNUMBER(G3341)), "", VLOOKUP(A3341,'Discount Lookup'!D:E,2,FALSE)*G3341)</f>
        <v>0</v>
      </c>
      <c r="V3341" s="225">
        <f>IF(NOT(ISNUMBER(G3341)), "", VLOOKUP(A3341,'Discount Lookup'!G:H,2,FALSE)*G3341)</f>
        <v>0</v>
      </c>
      <c r="W3341" s="508">
        <f t="shared" si="2519"/>
        <v>0</v>
      </c>
      <c r="X3341" s="508">
        <f t="shared" si="2520"/>
        <v>0</v>
      </c>
      <c r="Y3341" s="509" t="b">
        <f t="shared" si="2521"/>
        <v>0</v>
      </c>
      <c r="Z3341" s="510">
        <f t="shared" si="2522"/>
        <v>0</v>
      </c>
      <c r="AA3341" s="511"/>
      <c r="AB3341" s="511" t="str">
        <f t="shared" si="2523"/>
        <v/>
      </c>
      <c r="AC3341" s="698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698"/>
      <c r="AE3341" s="631" t="str">
        <f t="shared" si="2524"/>
        <v/>
      </c>
      <c r="AF3341" s="699" t="str">
        <f t="shared" si="2525"/>
        <v/>
      </c>
      <c r="AG3341" s="699"/>
      <c r="AH3341" s="699"/>
      <c r="AI3341" s="512">
        <f>IF(H3341="credit",0,IF(AE3341="free",0,IF(AE3341="me",0,IF(G3341&gt;0,(VLOOKUP(A3341,'Discount Lookup'!J:K,2)*G3341),0))))</f>
        <v>0</v>
      </c>
      <c r="AJ3341" s="513" t="str">
        <f t="shared" ca="1" si="2526"/>
        <v/>
      </c>
      <c r="AK3341" s="700" t="str">
        <f t="shared" si="2527"/>
        <v/>
      </c>
      <c r="AL3341" s="700"/>
      <c r="AM3341" s="505" t="str">
        <f t="shared" si="2528"/>
        <v/>
      </c>
      <c r="AN3341" s="506"/>
      <c r="AO3341" s="507"/>
      <c r="AP3341" s="507"/>
      <c r="AQ3341" s="507"/>
      <c r="AR3341" s="507"/>
      <c r="AS3341" s="507"/>
      <c r="AT3341" s="507"/>
      <c r="AU3341" s="507"/>
      <c r="AV3341" s="225"/>
      <c r="AW3341" s="508"/>
      <c r="AX3341" s="225"/>
      <c r="AY3341" s="225"/>
      <c r="AZ3341" s="225"/>
      <c r="BA3341" s="225"/>
      <c r="BB3341" s="225"/>
      <c r="BC3341" s="56"/>
      <c r="BD3341" s="56"/>
      <c r="BE3341" s="56"/>
      <c r="BF3341" s="107" t="str">
        <f t="shared" si="2529"/>
        <v>https://www.google.com/search?tbm=isch&amp;q=15%20G5</v>
      </c>
      <c r="BG3341" s="107" t="str">
        <f t="shared" si="2530"/>
        <v>S</v>
      </c>
      <c r="BH3341" s="254"/>
      <c r="BI3341" s="254"/>
    </row>
    <row r="3342" spans="1:61" customFormat="1" ht="27" x14ac:dyDescent="0.25">
      <c r="A3342" s="276">
        <v>25</v>
      </c>
      <c r="B3342" s="240" t="s">
        <v>291</v>
      </c>
      <c r="C3342" s="241" t="s">
        <v>4813</v>
      </c>
      <c r="D3342" s="242" t="s">
        <v>292</v>
      </c>
      <c r="E3342" s="243">
        <v>263.95</v>
      </c>
      <c r="F3342" s="517" t="s">
        <v>293</v>
      </c>
      <c r="G3342" s="232">
        <v>0</v>
      </c>
      <c r="H3342" s="661" t="str">
        <f t="shared" si="2558"/>
        <v/>
      </c>
      <c r="I3342" s="244">
        <f t="shared" si="2559"/>
        <v>0</v>
      </c>
      <c r="J3342" s="244">
        <f t="shared" si="2560"/>
        <v>0</v>
      </c>
      <c r="K3342" s="696">
        <f t="shared" ref="K3342" si="2570">I3342+J3342</f>
        <v>0</v>
      </c>
      <c r="L3342" s="696"/>
      <c r="M3342" s="659" t="str">
        <f t="shared" si="2562"/>
        <v/>
      </c>
      <c r="N3342" s="660"/>
      <c r="O3342" s="233"/>
      <c r="P3342" s="233"/>
      <c r="Q3342" s="233"/>
      <c r="R3342" s="233"/>
      <c r="S3342" s="233"/>
      <c r="T3342" s="508">
        <f t="shared" ref="T3342:T3405" si="2571">E3342*G3342</f>
        <v>0</v>
      </c>
      <c r="U3342" s="225">
        <f>IF(NOT(ISNUMBER(G3342)), "", VLOOKUP(A3342,'Discount Lookup'!D:E,2,FALSE)*G3342)</f>
        <v>0</v>
      </c>
      <c r="V3342" s="225">
        <f>IF(NOT(ISNUMBER(G3342)), "", VLOOKUP(A3342,'Discount Lookup'!G:H,2,FALSE)*G3342)</f>
        <v>0</v>
      </c>
      <c r="W3342" s="508">
        <f t="shared" ref="W3342:W3405" si="2572">IF(H3342="credit",0,E3342*(SalesTaxPercentage)*G3342)</f>
        <v>0</v>
      </c>
      <c r="X3342" s="508">
        <f t="shared" ref="X3342:X3405" si="2573">I3342</f>
        <v>0</v>
      </c>
      <c r="Y3342" s="509" t="b">
        <f t="shared" ref="Y3342:Y3405" si="2574">IF(AE3342="T2G",0,IF(H3342="credit",0,IF(G3342&gt;0,IF(AE3342="me","",G3342))))</f>
        <v>0</v>
      </c>
      <c r="Z3342" s="510">
        <f t="shared" ref="Z3342:Z3405" si="2575">IF(H3342="credit",G3342,0)</f>
        <v>0</v>
      </c>
      <c r="AA3342" s="511"/>
      <c r="AB3342" s="511" t="str">
        <f t="shared" ref="AB3342:AB3405" si="2576">IF(AE3342="T2G","by Trees2Go",IF(H3342="credit","CREDIT only ~",IF(AND(K3342="",AE3342=OR(PlanterYesMe="No",PlanterYesMe="N",PlanterYesMe="me")),"not THIS line⇨",IF(AND(K3342="images",AE3342="me"),"not THIS line⇨",IF(H3342="credit","",IF(G3342=0,"",IF(AE3342="me","",IF(OR(PlanterYesMe="No",PlanterYesMe="N",PlanterYesMe="me"),"",IF(AE3342="free","warranty",IF(OR(PlanterYesMe="yes",PlanterYesMe="y"),"Edison install:","to install:"))))))))))</f>
        <v/>
      </c>
      <c r="AC3342" s="698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698"/>
      <c r="AE3342" s="631" t="str">
        <f t="shared" ref="AE3342:AE3405" si="2577">IF(H3342="credit","",IF(G3342=0,"",IF(OR(PlanterYesMe="No",PlanterYesMe="N",PlanterYesMe="me"),"me",IF(H3342="warranty","free",IF(OR(PlanterYesMe="yes",PlanterYesMe="y"),"ELP","")))))</f>
        <v/>
      </c>
      <c r="AF3342" s="699" t="str">
        <f t="shared" ref="AF3342:AF3405" si="2578">IF(OR(PlanterYesMe="No",PlanterYesMe="N",PlanterYesMe="me"),"",IF(H3342="credit","",IF(G3342&gt;0,(CONCATENATE((G3342)," quantity, ",(A3342)," ",B3342)),"")))</f>
        <v/>
      </c>
      <c r="AG3342" s="699"/>
      <c r="AH3342" s="699"/>
      <c r="AI3342" s="512">
        <f>IF(H3342="credit",0,IF(AE3342="free",0,IF(AE3342="me",0,IF(G3342&gt;0,(VLOOKUP(A3342,'Discount Lookup'!J:K,2)*G3342),0))))</f>
        <v>0</v>
      </c>
      <c r="AJ3342" s="513" t="str">
        <f t="shared" ref="AJ3342:AJ3405" ca="1" si="2579">IF(AND(ISREF(H3342),H3342="credit"),"",IF(AND(AND(OFFSET(G3342,0,0)=0,OFFSET(G3342,1,0)&gt;0,ISNUMBER(OFFSET(AC3342,1,0)),OFFSET(AC3342,1,0)&gt;0),OR(PlanterYesMe="yes",PlanterYesMe="y")),"T2G+ELP=",IF(AND(OFFSET(G3342,0,0)=0,OFFSET(G3342,1,0)&gt;0,ISNUMBER(OFFSET(AC3342,1,0)),OFFSET(AC3342,1,0)&gt;0),"if T2G+ELP=",IF(AND(OFFSET(G3342,0,0)=0,OFFSET(G3342,1,0)&gt;0),"T2G Subtotal",IF(H3342="credit","",IF(G3342=0,"",IF(AE3342="free",(K3342*(1-T2GDiscount)),IF(OR(PlanterYesMe="No",PlanterYesMe="N",PlanterYesMe="me"),(K3342*(1-T2GDiscount)),IF(OR(AE3342="me",AE3342="T2G"),(K3342*(1-T2GDiscount)),(K3342*(1-T2GDiscount))+AC3342)))))))))</f>
        <v/>
      </c>
      <c r="AK3342" s="700" t="str">
        <f t="shared" ref="AK3342:AK3405" si="2580">IF(H3342="credit","",IF(G3342=0,"",IF(OR(AE3342="me",AE3342="T2G"),"  delivery-only",IF(OR(PlanterYesMe="No",PlanterYesMe="N",PlanterYesMe="me"),"  delivery-only",CONCATENATE(" $",ROUND(AJ3342/G3342,2)," each")))))</f>
        <v/>
      </c>
      <c r="AL3342" s="700"/>
      <c r="AM3342" s="505" t="str">
        <f t="shared" ref="AM3342:AM3405" si="2581">IF(H3342="credit","",IF(AE3342="free","      ~ discounts included, no tax or planting fee applies ~",IF(G3342=0,"",IF(OR(PlanterYesMe="No",PlanterYesMe="N",PlanterYesMe="me"),CONCATENATE(" $",ROUND(AJ3342/G3342,2)," per plant, with tax &amp; discount"),IF(OR(AE3342="me",AE3342="T2G"),CONCATENATE(" $",ROUND(AJ3342/G3342,2)," per plant, with tax &amp; discount"),CONCATENATE("= $",ROUND((K3342*(1-T2GDiscount))/G3342,2)," per plant + $",AC3342/G3342,(" per planting      ~ includes tax &amp; discounts ~")))))))</f>
        <v/>
      </c>
      <c r="AN3342" s="506"/>
      <c r="AO3342" s="507"/>
      <c r="AP3342" s="507"/>
      <c r="AQ3342" s="507"/>
      <c r="AR3342" s="507"/>
      <c r="AS3342" s="507"/>
      <c r="AT3342" s="507"/>
      <c r="AU3342" s="507"/>
      <c r="AV3342" s="225"/>
      <c r="AW3342" s="508"/>
      <c r="AX3342" s="225"/>
      <c r="AY3342" s="225"/>
      <c r="AZ3342" s="225"/>
      <c r="BA3342" s="225"/>
      <c r="BB3342" s="225"/>
      <c r="BC3342" s="56"/>
      <c r="BD3342" s="56"/>
      <c r="BE3342" s="56"/>
      <c r="BF3342" s="107" t="str">
        <f t="shared" ref="BF3342:BF3405" si="2582">"https://www.google.com/search?tbm=isch&amp;q=" &amp; _xlfn.ENCODEURL($A3342 &amp; " " &amp; $D3342)</f>
        <v>https://www.google.com/search?tbm=isch&amp;q=25%20G4</v>
      </c>
      <c r="BG3342" s="107" t="str">
        <f t="shared" ref="BG3342:BG3405" si="2583">IF(ISTEXT(A3342),LEFT(A3342,1),BG3341)</f>
        <v>S</v>
      </c>
      <c r="BH3342" s="254"/>
      <c r="BI3342" s="254"/>
    </row>
    <row r="3343" spans="1:61" customFormat="1" ht="17.25" thickBot="1" x14ac:dyDescent="0.3">
      <c r="A3343" s="524" t="s">
        <v>2479</v>
      </c>
      <c r="B3343" s="245"/>
      <c r="C3343" s="677"/>
      <c r="D3343" s="499"/>
      <c r="E3343" s="499"/>
      <c r="F3343" s="500"/>
      <c r="G3343" s="501"/>
      <c r="H3343" s="502"/>
      <c r="I3343" s="246"/>
      <c r="J3343" s="247"/>
      <c r="K3343" s="503"/>
      <c r="L3343" s="544"/>
      <c r="M3343" s="544"/>
      <c r="N3343" s="500"/>
      <c r="O3343" s="500"/>
      <c r="P3343" s="500"/>
      <c r="Q3343" s="500"/>
      <c r="R3343" s="500"/>
      <c r="S3343" s="669" t="s">
        <v>4999</v>
      </c>
      <c r="T3343" s="508">
        <f t="shared" si="2571"/>
        <v>0</v>
      </c>
      <c r="U3343" s="225" t="str">
        <f>IF(NOT(ISNUMBER(G3343)), "", VLOOKUP(A3343,'Discount Lookup'!D:E,2,FALSE)*G3343)</f>
        <v/>
      </c>
      <c r="V3343" s="225" t="str">
        <f>IF(NOT(ISNUMBER(G3343)), "", VLOOKUP(A3343,'Discount Lookup'!G:H,2,FALSE)*G3343)</f>
        <v/>
      </c>
      <c r="W3343" s="508">
        <f t="shared" si="2572"/>
        <v>0</v>
      </c>
      <c r="X3343" s="508">
        <f t="shared" si="2573"/>
        <v>0</v>
      </c>
      <c r="Y3343" s="509" t="b">
        <f t="shared" si="2574"/>
        <v>0</v>
      </c>
      <c r="Z3343" s="510">
        <f t="shared" si="2575"/>
        <v>0</v>
      </c>
      <c r="AA3343" s="511"/>
      <c r="AB3343" s="511" t="str">
        <f t="shared" si="2576"/>
        <v/>
      </c>
      <c r="AC3343" s="698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698"/>
      <c r="AE3343" s="631" t="str">
        <f t="shared" si="2577"/>
        <v/>
      </c>
      <c r="AF3343" s="699" t="str">
        <f t="shared" si="2578"/>
        <v/>
      </c>
      <c r="AG3343" s="699"/>
      <c r="AH3343" s="699"/>
      <c r="AI3343" s="512">
        <f>IF(H3343="credit",0,IF(AE3343="free",0,IF(AE3343="me",0,IF(G3343&gt;0,(VLOOKUP(A3343,'Discount Lookup'!J:K,2)*G3343),0))))</f>
        <v>0</v>
      </c>
      <c r="AJ3343" s="513" t="str">
        <f t="shared" ca="1" si="2579"/>
        <v/>
      </c>
      <c r="AK3343" s="700" t="str">
        <f t="shared" si="2580"/>
        <v/>
      </c>
      <c r="AL3343" s="700"/>
      <c r="AM3343" s="505" t="str">
        <f t="shared" si="2581"/>
        <v/>
      </c>
      <c r="AN3343" s="506"/>
      <c r="AO3343" s="507"/>
      <c r="AP3343" s="507"/>
      <c r="AQ3343" s="507"/>
      <c r="AR3343" s="507"/>
      <c r="AS3343" s="507"/>
      <c r="AT3343" s="507"/>
      <c r="AU3343" s="507"/>
      <c r="AV3343" s="225"/>
      <c r="AW3343" s="508"/>
      <c r="AX3343" s="225"/>
      <c r="AY3343" s="225"/>
      <c r="AZ3343" s="225"/>
      <c r="BA3343" s="225"/>
      <c r="BB3343" s="225"/>
      <c r="BC3343" s="56"/>
      <c r="BD3343" s="56"/>
      <c r="BE3343" s="56"/>
      <c r="BF3343" s="107" t="str">
        <f t="shared" si="2582"/>
        <v>https://www.google.com/search?tbm=isch&amp;q=Shoal%20Creek%2C%20like%20most%20Chaste%2C%20has%20a%20long%20bloom%20season.%20Foliage%20%26%20blooms%20are%20especially%20fragrant%20</v>
      </c>
      <c r="BG3343" s="107" t="str">
        <f t="shared" si="2583"/>
        <v>S</v>
      </c>
      <c r="BH3343" s="254"/>
      <c r="BI3343" s="254"/>
    </row>
    <row r="3344" spans="1:61" customFormat="1" ht="18" x14ac:dyDescent="0.25">
      <c r="A3344" s="523" t="s">
        <v>2480</v>
      </c>
      <c r="B3344" s="235"/>
      <c r="C3344" s="676"/>
      <c r="D3344" s="255" t="s">
        <v>2481</v>
      </c>
      <c r="E3344" s="236"/>
      <c r="F3344" s="236"/>
      <c r="G3344" s="236"/>
      <c r="H3344" s="582" t="s">
        <v>2482</v>
      </c>
      <c r="I3344" s="498" t="s">
        <v>2093</v>
      </c>
      <c r="J3344" s="237"/>
      <c r="K3344" s="237"/>
      <c r="L3344" s="274"/>
      <c r="M3344" s="668" t="s">
        <v>4962</v>
      </c>
      <c r="N3344" s="681" t="str">
        <f>IF(AND(ISTEXT($A3344), ISERROR($A3344+0)), HYPERLINK($BF3344, "Images"), "")</f>
        <v>Images</v>
      </c>
      <c r="O3344" s="663" t="s">
        <v>4974</v>
      </c>
      <c r="P3344" s="253"/>
      <c r="Q3344" s="238"/>
      <c r="R3344" s="239"/>
      <c r="S3344" s="275" t="s">
        <v>305</v>
      </c>
      <c r="T3344" s="508">
        <f t="shared" si="2571"/>
        <v>0</v>
      </c>
      <c r="U3344" s="225" t="str">
        <f>IF(NOT(ISNUMBER(G3344)), "", VLOOKUP(A3344,'Discount Lookup'!D:E,2,FALSE)*G3344)</f>
        <v/>
      </c>
      <c r="V3344" s="225" t="str">
        <f>IF(NOT(ISNUMBER(G3344)), "", VLOOKUP(A3344,'Discount Lookup'!G:H,2,FALSE)*G3344)</f>
        <v/>
      </c>
      <c r="W3344" s="508">
        <f t="shared" si="2572"/>
        <v>0</v>
      </c>
      <c r="X3344" s="508" t="str">
        <f t="shared" si="2573"/>
        <v>Dark Green foliage</v>
      </c>
      <c r="Y3344" s="509" t="b">
        <f t="shared" si="2574"/>
        <v>0</v>
      </c>
      <c r="Z3344" s="510">
        <f t="shared" si="2575"/>
        <v>0</v>
      </c>
      <c r="AA3344" s="511"/>
      <c r="AB3344" s="511" t="str">
        <f t="shared" si="2576"/>
        <v/>
      </c>
      <c r="AC3344" s="698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698"/>
      <c r="AE3344" s="631" t="str">
        <f t="shared" si="2577"/>
        <v/>
      </c>
      <c r="AF3344" s="699" t="str">
        <f t="shared" si="2578"/>
        <v/>
      </c>
      <c r="AG3344" s="699"/>
      <c r="AH3344" s="699"/>
      <c r="AI3344" s="512">
        <f>IF(H3344="credit",0,IF(AE3344="free",0,IF(AE3344="me",0,IF(G3344&gt;0,(VLOOKUP(A3344,'Discount Lookup'!J:K,2)*G3344),0))))</f>
        <v>0</v>
      </c>
      <c r="AJ3344" s="513" t="str">
        <f t="shared" ca="1" si="2579"/>
        <v/>
      </c>
      <c r="AK3344" s="700" t="str">
        <f t="shared" si="2580"/>
        <v/>
      </c>
      <c r="AL3344" s="700"/>
      <c r="AM3344" s="505" t="str">
        <f t="shared" si="2581"/>
        <v/>
      </c>
      <c r="AN3344" s="506"/>
      <c r="AO3344" s="507"/>
      <c r="AP3344" s="507"/>
      <c r="AQ3344" s="507"/>
      <c r="AR3344" s="507"/>
      <c r="AS3344" s="507"/>
      <c r="AT3344" s="507"/>
      <c r="AU3344" s="507"/>
      <c r="AV3344" s="225"/>
      <c r="AW3344" s="508"/>
      <c r="AX3344" s="225"/>
      <c r="AY3344" s="225"/>
      <c r="AZ3344" s="225"/>
      <c r="BA3344" s="225"/>
      <c r="BB3344" s="225"/>
      <c r="BC3344" s="56"/>
      <c r="BD3344" s="56"/>
      <c r="BE3344" s="56"/>
      <c r="BF3344" s="107" t="str">
        <f t="shared" si="2582"/>
        <v>https://www.google.com/search?tbm=isch&amp;q=Shumard%20Oak%20Quercus%20shumardii</v>
      </c>
      <c r="BG3344" s="107" t="str">
        <f t="shared" si="2583"/>
        <v>S</v>
      </c>
      <c r="BH3344" s="254"/>
      <c r="BI3344" s="254"/>
    </row>
    <row r="3345" spans="1:61" customFormat="1" ht="27" x14ac:dyDescent="0.25">
      <c r="A3345" s="276">
        <v>15</v>
      </c>
      <c r="B3345" s="240" t="s">
        <v>291</v>
      </c>
      <c r="C3345" s="241" t="s">
        <v>3771</v>
      </c>
      <c r="D3345" s="242" t="s">
        <v>292</v>
      </c>
      <c r="E3345" s="243">
        <v>164.95</v>
      </c>
      <c r="F3345" s="517" t="s">
        <v>293</v>
      </c>
      <c r="G3345" s="232">
        <v>0</v>
      </c>
      <c r="H3345" s="661" t="str">
        <f>IF(G3345=0,"",IF(F3345="Buy",IF(G3345=1,"plant","plants"),IF(F3345&gt;0.01,"warranty","Error")))</f>
        <v/>
      </c>
      <c r="I3345" s="244">
        <f>IF(H3345="free",0,IF(H3345="credit",((E3345*(F3345))*G3345*-1),IF(F3345="Buy",(E3345*G3345),((E3345*(1-F3345))*G3345))))</f>
        <v>0</v>
      </c>
      <c r="J3345" s="244">
        <f>IF(H3345="warranty",0,(I3345*(_xlfn.SINGLE(SalesTaxPercentage))))</f>
        <v>0</v>
      </c>
      <c r="K3345" s="696">
        <f t="shared" ref="K3345" si="2584">I3345+J3345</f>
        <v>0</v>
      </c>
      <c r="L3345" s="696"/>
      <c r="M3345" s="659" t="str">
        <f>IF(AND(G3345&gt;0,E3345=0),"WARNING - no PRICE inserted",IF(H3345="free"," FREE ~ no charge this plant",IF(H3345="credit",CONCATENATE(" -$",ROUND(K3345*(1-T2GDiscount)*-1,2)," CREDIT after discount"),IF(T2GDiscount=0,"",IF(G3345=0,"",IF(F3345="Buy",CONCATENATE(" $",ROUND(K3345*(1-T2GDiscount),2)," with ",(T2GDiscount*100),"% discount"),CONCATENATE(" $",ROUND(K3345*(1-T2GDiscount),2)," with ",((T2GDiscount*100+F3345*100)-(T2GDiscount*100*F3345)),IF(F3345&gt;0,"% discounts",IF(NoWarrantyDiscount&gt;0,"% discounts","% discount")))))))))</f>
        <v/>
      </c>
      <c r="N3345" s="660"/>
      <c r="O3345" s="233"/>
      <c r="P3345" s="233"/>
      <c r="Q3345" s="233"/>
      <c r="R3345" s="233"/>
      <c r="S3345" s="233"/>
      <c r="T3345" s="508">
        <f t="shared" si="2571"/>
        <v>0</v>
      </c>
      <c r="U3345" s="225">
        <f>IF(NOT(ISNUMBER(G3345)), "", VLOOKUP(A3345,'Discount Lookup'!D:E,2,FALSE)*G3345)</f>
        <v>0</v>
      </c>
      <c r="V3345" s="225">
        <f>IF(NOT(ISNUMBER(G3345)), "", VLOOKUP(A3345,'Discount Lookup'!G:H,2,FALSE)*G3345)</f>
        <v>0</v>
      </c>
      <c r="W3345" s="508">
        <f t="shared" si="2572"/>
        <v>0</v>
      </c>
      <c r="X3345" s="508">
        <f t="shared" si="2573"/>
        <v>0</v>
      </c>
      <c r="Y3345" s="509" t="b">
        <f t="shared" si="2574"/>
        <v>0</v>
      </c>
      <c r="Z3345" s="510">
        <f t="shared" si="2575"/>
        <v>0</v>
      </c>
      <c r="AA3345" s="511"/>
      <c r="AB3345" s="511" t="str">
        <f t="shared" si="2576"/>
        <v/>
      </c>
      <c r="AC3345" s="698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698"/>
      <c r="AE3345" s="631" t="str">
        <f t="shared" si="2577"/>
        <v/>
      </c>
      <c r="AF3345" s="699" t="str">
        <f t="shared" si="2578"/>
        <v/>
      </c>
      <c r="AG3345" s="699"/>
      <c r="AH3345" s="699"/>
      <c r="AI3345" s="512">
        <f>IF(H3345="credit",0,IF(AE3345="free",0,IF(AE3345="me",0,IF(G3345&gt;0,(VLOOKUP(A3345,'Discount Lookup'!J:K,2)*G3345),0))))</f>
        <v>0</v>
      </c>
      <c r="AJ3345" s="513" t="str">
        <f t="shared" ca="1" si="2579"/>
        <v/>
      </c>
      <c r="AK3345" s="700" t="str">
        <f t="shared" si="2580"/>
        <v/>
      </c>
      <c r="AL3345" s="700"/>
      <c r="AM3345" s="505" t="str">
        <f t="shared" si="2581"/>
        <v/>
      </c>
      <c r="AN3345" s="506"/>
      <c r="AO3345" s="507"/>
      <c r="AP3345" s="507"/>
      <c r="AQ3345" s="507"/>
      <c r="AR3345" s="507"/>
      <c r="AS3345" s="507"/>
      <c r="AT3345" s="507"/>
      <c r="AU3345" s="507"/>
      <c r="AV3345" s="225"/>
      <c r="AW3345" s="508"/>
      <c r="AX3345" s="225"/>
      <c r="AY3345" s="225"/>
      <c r="AZ3345" s="225"/>
      <c r="BA3345" s="225"/>
      <c r="BB3345" s="225"/>
      <c r="BC3345" s="56"/>
      <c r="BD3345" s="56"/>
      <c r="BE3345" s="56"/>
      <c r="BF3345" s="107" t="str">
        <f t="shared" si="2582"/>
        <v>https://www.google.com/search?tbm=isch&amp;q=15%20G4</v>
      </c>
      <c r="BG3345" s="107" t="str">
        <f t="shared" si="2583"/>
        <v>S</v>
      </c>
      <c r="BH3345" s="254"/>
      <c r="BI3345" s="254"/>
    </row>
    <row r="3346" spans="1:61" customFormat="1" ht="17.25" thickBot="1" x14ac:dyDescent="0.3">
      <c r="A3346" s="673" t="s">
        <v>5230</v>
      </c>
      <c r="B3346" s="245"/>
      <c r="C3346" s="677"/>
      <c r="D3346" s="499"/>
      <c r="E3346" s="499"/>
      <c r="F3346" s="500"/>
      <c r="G3346" s="501"/>
      <c r="H3346" s="502"/>
      <c r="I3346" s="246"/>
      <c r="J3346" s="247"/>
      <c r="K3346" s="503"/>
      <c r="L3346" s="544"/>
      <c r="M3346" s="544"/>
      <c r="N3346" s="500"/>
      <c r="O3346" s="500"/>
      <c r="P3346" s="500"/>
      <c r="Q3346" s="500"/>
      <c r="R3346" s="500"/>
      <c r="S3346" s="669" t="s">
        <v>4978</v>
      </c>
      <c r="T3346" s="508">
        <f t="shared" si="2571"/>
        <v>0</v>
      </c>
      <c r="U3346" s="225" t="str">
        <f>IF(NOT(ISNUMBER(G3346)), "", VLOOKUP(A3346,'Discount Lookup'!D:E,2,FALSE)*G3346)</f>
        <v/>
      </c>
      <c r="V3346" s="225" t="str">
        <f>IF(NOT(ISNUMBER(G3346)), "", VLOOKUP(A3346,'Discount Lookup'!G:H,2,FALSE)*G3346)</f>
        <v/>
      </c>
      <c r="W3346" s="508">
        <f t="shared" si="2572"/>
        <v>0</v>
      </c>
      <c r="X3346" s="508">
        <f t="shared" si="2573"/>
        <v>0</v>
      </c>
      <c r="Y3346" s="509" t="b">
        <f t="shared" si="2574"/>
        <v>0</v>
      </c>
      <c r="Z3346" s="510">
        <f t="shared" si="2575"/>
        <v>0</v>
      </c>
      <c r="AA3346" s="511"/>
      <c r="AB3346" s="511" t="str">
        <f t="shared" si="2576"/>
        <v/>
      </c>
      <c r="AC3346" s="698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698"/>
      <c r="AE3346" s="631" t="str">
        <f t="shared" si="2577"/>
        <v/>
      </c>
      <c r="AF3346" s="699" t="str">
        <f t="shared" si="2578"/>
        <v/>
      </c>
      <c r="AG3346" s="699"/>
      <c r="AH3346" s="699"/>
      <c r="AI3346" s="512">
        <f>IF(H3346="credit",0,IF(AE3346="free",0,IF(AE3346="me",0,IF(G3346&gt;0,(VLOOKUP(A3346,'Discount Lookup'!J:K,2)*G3346),0))))</f>
        <v>0</v>
      </c>
      <c r="AJ3346" s="513" t="str">
        <f t="shared" ca="1" si="2579"/>
        <v/>
      </c>
      <c r="AK3346" s="700" t="str">
        <f t="shared" si="2580"/>
        <v/>
      </c>
      <c r="AL3346" s="700"/>
      <c r="AM3346" s="505" t="str">
        <f t="shared" si="2581"/>
        <v/>
      </c>
      <c r="AN3346" s="506"/>
      <c r="AO3346" s="507"/>
      <c r="AP3346" s="507"/>
      <c r="AQ3346" s="507"/>
      <c r="AR3346" s="507"/>
      <c r="AS3346" s="507"/>
      <c r="AT3346" s="507"/>
      <c r="AU3346" s="507"/>
      <c r="AV3346" s="225"/>
      <c r="AW3346" s="508"/>
      <c r="AX3346" s="225"/>
      <c r="AY3346" s="225"/>
      <c r="AZ3346" s="225"/>
      <c r="BA3346" s="225"/>
      <c r="BB3346" s="225"/>
      <c r="BC3346" s="56"/>
      <c r="BD3346" s="56"/>
      <c r="BE3346" s="56"/>
      <c r="BF3346" s="107" t="str">
        <f t="shared" si="2582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346" s="107" t="str">
        <f t="shared" si="2583"/>
        <v>w</v>
      </c>
      <c r="BH3346" s="254"/>
      <c r="BI3346" s="254"/>
    </row>
    <row r="3347" spans="1:61" customFormat="1" ht="18" x14ac:dyDescent="0.25">
      <c r="A3347" s="521" t="s">
        <v>1733</v>
      </c>
      <c r="B3347" s="477"/>
      <c r="C3347" s="674"/>
      <c r="D3347" s="478" t="s">
        <v>1734</v>
      </c>
      <c r="E3347" s="479"/>
      <c r="F3347" s="479"/>
      <c r="G3347" s="479"/>
      <c r="H3347" s="582" t="s">
        <v>3961</v>
      </c>
      <c r="I3347" s="480" t="s">
        <v>2106</v>
      </c>
      <c r="J3347" s="479"/>
      <c r="K3347" s="479"/>
      <c r="L3347" s="560"/>
      <c r="M3347" s="666" t="s">
        <v>4966</v>
      </c>
      <c r="N3347" s="680" t="str">
        <f>IF(AND(ISTEXT($A3347), ISERROR($A3347+0)), HYPERLINK($BF3347, "Images"), "")</f>
        <v>Images</v>
      </c>
      <c r="O3347" s="662" t="s">
        <v>4969</v>
      </c>
      <c r="P3347" s="482"/>
      <c r="Q3347" s="483"/>
      <c r="R3347" s="483"/>
      <c r="S3347" s="484"/>
      <c r="T3347" s="508">
        <f t="shared" si="2571"/>
        <v>0</v>
      </c>
      <c r="U3347" s="225" t="str">
        <f>IF(NOT(ISNUMBER(G3347)), "", VLOOKUP(A3347,'Discount Lookup'!D:E,2,FALSE)*G3347)</f>
        <v/>
      </c>
      <c r="V3347" s="225" t="str">
        <f>IF(NOT(ISNUMBER(G3347)), "", VLOOKUP(A3347,'Discount Lookup'!G:H,2,FALSE)*G3347)</f>
        <v/>
      </c>
      <c r="W3347" s="508">
        <f t="shared" si="2572"/>
        <v>0</v>
      </c>
      <c r="X3347" s="508" t="str">
        <f t="shared" si="2573"/>
        <v>Bright Green foliage</v>
      </c>
      <c r="Y3347" s="509" t="b">
        <f t="shared" si="2574"/>
        <v>0</v>
      </c>
      <c r="Z3347" s="510">
        <f t="shared" si="2575"/>
        <v>0</v>
      </c>
      <c r="AA3347" s="511"/>
      <c r="AB3347" s="511" t="str">
        <f t="shared" si="2576"/>
        <v/>
      </c>
      <c r="AC3347" s="698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698"/>
      <c r="AE3347" s="631" t="str">
        <f t="shared" si="2577"/>
        <v/>
      </c>
      <c r="AF3347" s="699" t="str">
        <f t="shared" si="2578"/>
        <v/>
      </c>
      <c r="AG3347" s="699"/>
      <c r="AH3347" s="699"/>
      <c r="AI3347" s="512">
        <f>IF(H3347="credit",0,IF(AE3347="free",0,IF(AE3347="me",0,IF(G3347&gt;0,(VLOOKUP(A3347,'Discount Lookup'!J:K,2)*G3347),0))))</f>
        <v>0</v>
      </c>
      <c r="AJ3347" s="513" t="str">
        <f t="shared" ca="1" si="2579"/>
        <v/>
      </c>
      <c r="AK3347" s="700" t="str">
        <f t="shared" si="2580"/>
        <v/>
      </c>
      <c r="AL3347" s="700"/>
      <c r="AM3347" s="505" t="str">
        <f t="shared" si="2581"/>
        <v/>
      </c>
      <c r="AN3347" s="506"/>
      <c r="AO3347" s="507"/>
      <c r="AP3347" s="507"/>
      <c r="AQ3347" s="507"/>
      <c r="AR3347" s="507"/>
      <c r="AS3347" s="507"/>
      <c r="AT3347" s="507"/>
      <c r="AU3347" s="507"/>
      <c r="AV3347" s="225"/>
      <c r="AW3347" s="508"/>
      <c r="AX3347" s="225"/>
      <c r="AY3347" s="225"/>
      <c r="AZ3347" s="225"/>
      <c r="BA3347" s="225"/>
      <c r="BB3347" s="225"/>
      <c r="BC3347" s="56"/>
      <c r="BD3347" s="56"/>
      <c r="BE3347" s="56"/>
      <c r="BF3347" s="107" t="str">
        <f t="shared" si="2582"/>
        <v>https://www.google.com/search?tbm=isch&amp;q=Siberian%20Cypress%20Microbiota%20decussata</v>
      </c>
      <c r="BG3347" s="107" t="str">
        <f t="shared" si="2583"/>
        <v>S</v>
      </c>
      <c r="BH3347" s="254"/>
      <c r="BI3347" s="254"/>
    </row>
    <row r="3348" spans="1:61" customFormat="1" ht="27" x14ac:dyDescent="0.25">
      <c r="A3348" s="485">
        <v>10</v>
      </c>
      <c r="B3348" s="486" t="s">
        <v>291</v>
      </c>
      <c r="C3348" s="487" t="s">
        <v>3772</v>
      </c>
      <c r="D3348" s="488" t="s">
        <v>292</v>
      </c>
      <c r="E3348" s="489">
        <v>284.95</v>
      </c>
      <c r="F3348" s="516" t="s">
        <v>293</v>
      </c>
      <c r="G3348" s="232">
        <v>0</v>
      </c>
      <c r="H3348" s="658" t="str">
        <f>IF(G3348=0,"",IF(F3348="Buy",IF(G3348=1,"plant","plants"),IF(F3348&gt;0.01,"warranty","Error")))</f>
        <v/>
      </c>
      <c r="I3348" s="490">
        <f>IF(H3348="free",0,IF(H3348="credit",((E3348*(F3348))*G3348*-1),IF(F3348="Buy",(E3348*G3348),((E3348*(1-F3348))*G3348))))</f>
        <v>0</v>
      </c>
      <c r="J3348" s="490">
        <f>IF(H3348="warranty",0,(I3348*(_xlfn.SINGLE(SalesTaxPercentage))))</f>
        <v>0</v>
      </c>
      <c r="K3348" s="695">
        <f t="shared" ref="K3348" si="2585">I3348+J3348</f>
        <v>0</v>
      </c>
      <c r="L3348" s="695"/>
      <c r="M3348" s="659" t="str">
        <f>IF(AND(G3348&gt;0,E3348=0),"WARNING - no PRICE inserted",IF(H3348="free"," FREE ~ no charge this plant",IF(H3348="credit",CONCATENATE(" -$",ROUND(K3348*(1-T2GDiscount)*-1,2)," CREDIT after discount"),IF(T2GDiscount=0,"",IF(G3348=0,"",IF(F3348="Buy",CONCATENATE(" $",ROUND(K3348*(1-T2GDiscount),2)," with ",(T2GDiscount*100),"% discount"),CONCATENATE(" $",ROUND(K3348*(1-T2GDiscount),2)," with ",((T2GDiscount*100+F3348*100)-(T2GDiscount*100*F3348)),IF(F3348&gt;0,"% discounts",IF(NoWarrantyDiscount&gt;0,"% discounts","% discount")))))))))</f>
        <v/>
      </c>
      <c r="N3348" s="660"/>
      <c r="O3348" s="233"/>
      <c r="P3348" s="233"/>
      <c r="Q3348" s="233"/>
      <c r="R3348" s="233"/>
      <c r="S3348" s="233"/>
      <c r="T3348" s="508">
        <f t="shared" si="2571"/>
        <v>0</v>
      </c>
      <c r="U3348" s="225">
        <f>IF(NOT(ISNUMBER(G3348)), "", VLOOKUP(A3348,'Discount Lookup'!D:E,2,FALSE)*G3348)</f>
        <v>0</v>
      </c>
      <c r="V3348" s="225">
        <f>IF(NOT(ISNUMBER(G3348)), "", VLOOKUP(A3348,'Discount Lookup'!G:H,2,FALSE)*G3348)</f>
        <v>0</v>
      </c>
      <c r="W3348" s="508">
        <f t="shared" si="2572"/>
        <v>0</v>
      </c>
      <c r="X3348" s="508">
        <f t="shared" si="2573"/>
        <v>0</v>
      </c>
      <c r="Y3348" s="509" t="b">
        <f t="shared" si="2574"/>
        <v>0</v>
      </c>
      <c r="Z3348" s="510">
        <f t="shared" si="2575"/>
        <v>0</v>
      </c>
      <c r="AA3348" s="511"/>
      <c r="AB3348" s="511" t="str">
        <f t="shared" si="2576"/>
        <v/>
      </c>
      <c r="AC3348" s="698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698"/>
      <c r="AE3348" s="631" t="str">
        <f t="shared" si="2577"/>
        <v/>
      </c>
      <c r="AF3348" s="699" t="str">
        <f t="shared" si="2578"/>
        <v/>
      </c>
      <c r="AG3348" s="699"/>
      <c r="AH3348" s="699"/>
      <c r="AI3348" s="512">
        <f>IF(H3348="credit",0,IF(AE3348="free",0,IF(AE3348="me",0,IF(G3348&gt;0,(VLOOKUP(A3348,'Discount Lookup'!J:K,2)*G3348),0))))</f>
        <v>0</v>
      </c>
      <c r="AJ3348" s="513" t="str">
        <f t="shared" ca="1" si="2579"/>
        <v/>
      </c>
      <c r="AK3348" s="700" t="str">
        <f t="shared" si="2580"/>
        <v/>
      </c>
      <c r="AL3348" s="700"/>
      <c r="AM3348" s="505" t="str">
        <f t="shared" si="2581"/>
        <v/>
      </c>
      <c r="AN3348" s="506"/>
      <c r="AO3348" s="507"/>
      <c r="AP3348" s="507"/>
      <c r="AQ3348" s="507"/>
      <c r="AR3348" s="507"/>
      <c r="AS3348" s="507"/>
      <c r="AT3348" s="507"/>
      <c r="AU3348" s="507"/>
      <c r="AV3348" s="225"/>
      <c r="AW3348" s="508"/>
      <c r="AX3348" s="225"/>
      <c r="AY3348" s="225"/>
      <c r="AZ3348" s="225"/>
      <c r="BA3348" s="225"/>
      <c r="BB3348" s="225"/>
      <c r="BC3348" s="56"/>
      <c r="BD3348" s="56"/>
      <c r="BE3348" s="56"/>
      <c r="BF3348" s="107" t="str">
        <f t="shared" si="2582"/>
        <v>https://www.google.com/search?tbm=isch&amp;q=10%20G4</v>
      </c>
      <c r="BG3348" s="107" t="str">
        <f t="shared" si="2583"/>
        <v>S</v>
      </c>
      <c r="BH3348" s="254"/>
      <c r="BI3348" s="254"/>
    </row>
    <row r="3349" spans="1:61" customFormat="1" ht="16.5" thickBot="1" x14ac:dyDescent="0.3">
      <c r="A3349" s="522" t="s">
        <v>3962</v>
      </c>
      <c r="B3349" s="491"/>
      <c r="C3349" s="675"/>
      <c r="D3349" s="491"/>
      <c r="E3349" s="491"/>
      <c r="F3349" s="492"/>
      <c r="G3349" s="493"/>
      <c r="H3349" s="491"/>
      <c r="I3349" s="234"/>
      <c r="J3349" s="234"/>
      <c r="K3349" s="494"/>
      <c r="L3349" s="543"/>
      <c r="M3349" s="561"/>
      <c r="N3349" s="495"/>
      <c r="O3349" s="496"/>
      <c r="P3349" s="497"/>
      <c r="Q3349" s="495"/>
      <c r="R3349" s="495"/>
      <c r="S3349" s="667" t="s">
        <v>4968</v>
      </c>
      <c r="T3349" s="508">
        <f t="shared" si="2571"/>
        <v>0</v>
      </c>
      <c r="U3349" s="225" t="str">
        <f>IF(NOT(ISNUMBER(G3349)), "", VLOOKUP(A3349,'Discount Lookup'!D:E,2,FALSE)*G3349)</f>
        <v/>
      </c>
      <c r="V3349" s="225" t="str">
        <f>IF(NOT(ISNUMBER(G3349)), "", VLOOKUP(A3349,'Discount Lookup'!G:H,2,FALSE)*G3349)</f>
        <v/>
      </c>
      <c r="W3349" s="508">
        <f t="shared" si="2572"/>
        <v>0</v>
      </c>
      <c r="X3349" s="508">
        <f t="shared" si="2573"/>
        <v>0</v>
      </c>
      <c r="Y3349" s="509" t="b">
        <f t="shared" si="2574"/>
        <v>0</v>
      </c>
      <c r="Z3349" s="510">
        <f t="shared" si="2575"/>
        <v>0</v>
      </c>
      <c r="AA3349" s="511"/>
      <c r="AB3349" s="511" t="str">
        <f t="shared" si="2576"/>
        <v/>
      </c>
      <c r="AC3349" s="698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698"/>
      <c r="AE3349" s="631" t="str">
        <f t="shared" si="2577"/>
        <v/>
      </c>
      <c r="AF3349" s="699" t="str">
        <f t="shared" si="2578"/>
        <v/>
      </c>
      <c r="AG3349" s="699"/>
      <c r="AH3349" s="699"/>
      <c r="AI3349" s="512">
        <f>IF(H3349="credit",0,IF(AE3349="free",0,IF(AE3349="me",0,IF(G3349&gt;0,(VLOOKUP(A3349,'Discount Lookup'!J:K,2)*G3349),0))))</f>
        <v>0</v>
      </c>
      <c r="AJ3349" s="513" t="str">
        <f t="shared" ca="1" si="2579"/>
        <v/>
      </c>
      <c r="AK3349" s="700" t="str">
        <f t="shared" si="2580"/>
        <v/>
      </c>
      <c r="AL3349" s="700"/>
      <c r="AM3349" s="505" t="str">
        <f t="shared" si="2581"/>
        <v/>
      </c>
      <c r="AN3349" s="506"/>
      <c r="AO3349" s="507"/>
      <c r="AP3349" s="507"/>
      <c r="AQ3349" s="507"/>
      <c r="AR3349" s="507"/>
      <c r="AS3349" s="507"/>
      <c r="AT3349" s="507"/>
      <c r="AU3349" s="507"/>
      <c r="AV3349" s="225"/>
      <c r="AW3349" s="508"/>
      <c r="AX3349" s="225"/>
      <c r="AY3349" s="225"/>
      <c r="AZ3349" s="225"/>
      <c r="BA3349" s="225"/>
      <c r="BB3349" s="225"/>
      <c r="BC3349" s="56"/>
      <c r="BD3349" s="56"/>
      <c r="BE3349" s="56"/>
      <c r="BF3349" s="107" t="str">
        <f t="shared" si="2582"/>
        <v>https://www.google.com/search?tbm=isch&amp;q=Siberian%20Cypress%20is%20notable%20for%20its%20graceful%2C%20feathery%2C%20fan-like%20evergreen%20foliage%20that%20turns%20a%20handsome%20Bronze-Purple%20in%20winter%20</v>
      </c>
      <c r="BG3349" s="107" t="str">
        <f t="shared" si="2583"/>
        <v>S</v>
      </c>
      <c r="BH3349" s="254"/>
      <c r="BI3349" s="254"/>
    </row>
    <row r="3350" spans="1:61" customFormat="1" ht="18" x14ac:dyDescent="0.25">
      <c r="A3350" s="523" t="s">
        <v>1735</v>
      </c>
      <c r="B3350" s="235"/>
      <c r="C3350" s="676"/>
      <c r="D3350" s="255" t="s">
        <v>1736</v>
      </c>
      <c r="E3350" s="236"/>
      <c r="F3350" s="236"/>
      <c r="G3350" s="236"/>
      <c r="H3350" s="582" t="s">
        <v>4042</v>
      </c>
      <c r="I3350" s="498" t="s">
        <v>1349</v>
      </c>
      <c r="J3350" s="237"/>
      <c r="K3350" s="237"/>
      <c r="L3350" s="274"/>
      <c r="M3350" s="670" t="s">
        <v>4987</v>
      </c>
      <c r="N3350" s="681" t="str">
        <f>IF(AND(ISTEXT($A3350), ISERROR($A3350+0)), HYPERLINK($BF3350, "Images"), "")</f>
        <v>Images</v>
      </c>
      <c r="O3350" s="663" t="s">
        <v>4971</v>
      </c>
      <c r="P3350" s="253"/>
      <c r="Q3350" s="238"/>
      <c r="R3350" s="239"/>
      <c r="S3350" s="275"/>
      <c r="T3350" s="508">
        <f t="shared" si="2571"/>
        <v>0</v>
      </c>
      <c r="U3350" s="225" t="str">
        <f>IF(NOT(ISNUMBER(G3350)), "", VLOOKUP(A3350,'Discount Lookup'!D:E,2,FALSE)*G3350)</f>
        <v/>
      </c>
      <c r="V3350" s="225" t="str">
        <f>IF(NOT(ISNUMBER(G3350)), "", VLOOKUP(A3350,'Discount Lookup'!G:H,2,FALSE)*G3350)</f>
        <v/>
      </c>
      <c r="W3350" s="508">
        <f t="shared" si="2572"/>
        <v>0</v>
      </c>
      <c r="X3350" s="508" t="str">
        <f t="shared" si="2573"/>
        <v>Pale Lavender bloom</v>
      </c>
      <c r="Y3350" s="509" t="b">
        <f t="shared" si="2574"/>
        <v>0</v>
      </c>
      <c r="Z3350" s="510">
        <f t="shared" si="2575"/>
        <v>0</v>
      </c>
      <c r="AA3350" s="511"/>
      <c r="AB3350" s="511" t="str">
        <f t="shared" si="2576"/>
        <v/>
      </c>
      <c r="AC3350" s="698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698"/>
      <c r="AE3350" s="631" t="str">
        <f t="shared" si="2577"/>
        <v/>
      </c>
      <c r="AF3350" s="699" t="str">
        <f t="shared" si="2578"/>
        <v/>
      </c>
      <c r="AG3350" s="699"/>
      <c r="AH3350" s="699"/>
      <c r="AI3350" s="512">
        <f>IF(H3350="credit",0,IF(AE3350="free",0,IF(AE3350="me",0,IF(G3350&gt;0,(VLOOKUP(A3350,'Discount Lookup'!J:K,2)*G3350),0))))</f>
        <v>0</v>
      </c>
      <c r="AJ3350" s="513" t="str">
        <f t="shared" ca="1" si="2579"/>
        <v/>
      </c>
      <c r="AK3350" s="700" t="str">
        <f t="shared" si="2580"/>
        <v/>
      </c>
      <c r="AL3350" s="700"/>
      <c r="AM3350" s="505" t="str">
        <f t="shared" si="2581"/>
        <v/>
      </c>
      <c r="AN3350" s="506"/>
      <c r="AO3350" s="507"/>
      <c r="AP3350" s="507"/>
      <c r="AQ3350" s="507"/>
      <c r="AR3350" s="507"/>
      <c r="AS3350" s="507"/>
      <c r="AT3350" s="507"/>
      <c r="AU3350" s="507"/>
      <c r="AV3350" s="225"/>
      <c r="AW3350" s="508"/>
      <c r="AX3350" s="225"/>
      <c r="AY3350" s="225"/>
      <c r="AZ3350" s="225"/>
      <c r="BA3350" s="225"/>
      <c r="BB3350" s="225"/>
      <c r="BC3350" s="56"/>
      <c r="BD3350" s="56"/>
      <c r="BE3350" s="56"/>
      <c r="BF3350" s="107" t="str">
        <f t="shared" si="2582"/>
        <v>https://www.google.com/search?tbm=isch&amp;q=Silver%20Crown%20Hosta%20Hosta%20Fortunei%20%27Albomarginata%27</v>
      </c>
      <c r="BG3350" s="107" t="str">
        <f t="shared" si="2583"/>
        <v>S</v>
      </c>
      <c r="BH3350" s="254"/>
      <c r="BI3350" s="254"/>
    </row>
    <row r="3351" spans="1:61" customFormat="1" ht="15.75" x14ac:dyDescent="0.25">
      <c r="A3351" s="276">
        <v>1</v>
      </c>
      <c r="B3351" s="240" t="s">
        <v>291</v>
      </c>
      <c r="C3351" s="241" t="s">
        <v>2178</v>
      </c>
      <c r="D3351" s="242" t="s">
        <v>297</v>
      </c>
      <c r="E3351" s="243">
        <v>6.95</v>
      </c>
      <c r="F3351" s="517" t="s">
        <v>293</v>
      </c>
      <c r="G3351" s="232">
        <v>0</v>
      </c>
      <c r="H3351" s="661" t="str">
        <f>IF(G3351=0,"",IF(F3351="Buy",IF(G3351=1,"plant","plants"),IF(F3351&gt;0.01,"warranty","Error")))</f>
        <v/>
      </c>
      <c r="I3351" s="244">
        <f>IF(H3351="free",0,IF(H3351="credit",((E3351*(F3351))*G3351*-1),IF(F3351="Buy",(E3351*G3351),((E3351*(1-F3351))*G3351))))</f>
        <v>0</v>
      </c>
      <c r="J3351" s="244">
        <f>IF(H3351="warranty",0,(I3351*(_xlfn.SINGLE(SalesTaxPercentage))))</f>
        <v>0</v>
      </c>
      <c r="K3351" s="696">
        <f t="shared" ref="K3351" si="2586">I3351+J3351</f>
        <v>0</v>
      </c>
      <c r="L3351" s="696"/>
      <c r="M3351" s="659" t="str">
        <f>IF(AND(G3351&gt;0,E3351=0),"WARNING - no PRICE inserted",IF(H3351="free"," FREE ~ no charge this plant",IF(H3351="credit",CONCATENATE(" -$",ROUND(K3351*(1-T2GDiscount)*-1,2)," CREDIT after discount"),IF(T2GDiscount=0,"",IF(G3351=0,"",IF(F3351="Buy",CONCATENATE(" $",ROUND(K3351*(1-T2GDiscount),2)," with ",(T2GDiscount*100),"% discount"),CONCATENATE(" $",ROUND(K3351*(1-T2GDiscount),2)," with ",((T2GDiscount*100+F3351*100)-(T2GDiscount*100*F3351)),IF(F3351&gt;0,"% discounts",IF(NoWarrantyDiscount&gt;0,"% discounts","% discount")))))))))</f>
        <v/>
      </c>
      <c r="N3351" s="660"/>
      <c r="O3351" s="233"/>
      <c r="P3351" s="233"/>
      <c r="Q3351" s="233"/>
      <c r="R3351" s="233"/>
      <c r="S3351" s="233"/>
      <c r="T3351" s="508">
        <f t="shared" si="2571"/>
        <v>0</v>
      </c>
      <c r="U3351" s="225">
        <f>IF(NOT(ISNUMBER(G3351)), "", VLOOKUP(A3351,'Discount Lookup'!D:E,2,FALSE)*G3351)</f>
        <v>0</v>
      </c>
      <c r="V3351" s="225">
        <f>IF(NOT(ISNUMBER(G3351)), "", VLOOKUP(A3351,'Discount Lookup'!G:H,2,FALSE)*G3351)</f>
        <v>0</v>
      </c>
      <c r="W3351" s="508">
        <f t="shared" si="2572"/>
        <v>0</v>
      </c>
      <c r="X3351" s="508">
        <f t="shared" si="2573"/>
        <v>0</v>
      </c>
      <c r="Y3351" s="509" t="b">
        <f t="shared" si="2574"/>
        <v>0</v>
      </c>
      <c r="Z3351" s="510">
        <f t="shared" si="2575"/>
        <v>0</v>
      </c>
      <c r="AA3351" s="511"/>
      <c r="AB3351" s="511" t="str">
        <f t="shared" si="2576"/>
        <v/>
      </c>
      <c r="AC3351" s="698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698"/>
      <c r="AE3351" s="631" t="str">
        <f t="shared" si="2577"/>
        <v/>
      </c>
      <c r="AF3351" s="699" t="str">
        <f t="shared" si="2578"/>
        <v/>
      </c>
      <c r="AG3351" s="699"/>
      <c r="AH3351" s="699"/>
      <c r="AI3351" s="512">
        <f>IF(H3351="credit",0,IF(AE3351="free",0,IF(AE3351="me",0,IF(G3351&gt;0,(VLOOKUP(A3351,'Discount Lookup'!J:K,2)*G3351),0))))</f>
        <v>0</v>
      </c>
      <c r="AJ3351" s="513" t="str">
        <f t="shared" ca="1" si="2579"/>
        <v/>
      </c>
      <c r="AK3351" s="700" t="str">
        <f t="shared" si="2580"/>
        <v/>
      </c>
      <c r="AL3351" s="700"/>
      <c r="AM3351" s="505" t="str">
        <f t="shared" si="2581"/>
        <v/>
      </c>
      <c r="AN3351" s="506"/>
      <c r="AO3351" s="507"/>
      <c r="AP3351" s="507"/>
      <c r="AQ3351" s="507"/>
      <c r="AR3351" s="507"/>
      <c r="AS3351" s="507"/>
      <c r="AT3351" s="507"/>
      <c r="AU3351" s="507"/>
      <c r="AV3351" s="225"/>
      <c r="AW3351" s="508"/>
      <c r="AX3351" s="225"/>
      <c r="AY3351" s="225"/>
      <c r="AZ3351" s="225"/>
      <c r="BA3351" s="225"/>
      <c r="BB3351" s="225"/>
      <c r="BC3351" s="56"/>
      <c r="BD3351" s="56"/>
      <c r="BE3351" s="56"/>
      <c r="BF3351" s="107" t="str">
        <f t="shared" si="2582"/>
        <v>https://www.google.com/search?tbm=isch&amp;q=1%20G3</v>
      </c>
      <c r="BG3351" s="107" t="str">
        <f t="shared" si="2583"/>
        <v>S</v>
      </c>
      <c r="BH3351" s="254"/>
      <c r="BI3351" s="254"/>
    </row>
    <row r="3352" spans="1:61" customFormat="1" ht="17.25" thickBot="1" x14ac:dyDescent="0.3">
      <c r="A3352" s="673" t="s">
        <v>5231</v>
      </c>
      <c r="B3352" s="245"/>
      <c r="C3352" s="677"/>
      <c r="D3352" s="499"/>
      <c r="E3352" s="499"/>
      <c r="F3352" s="500"/>
      <c r="G3352" s="501"/>
      <c r="H3352" s="502"/>
      <c r="I3352" s="246"/>
      <c r="J3352" s="247"/>
      <c r="K3352" s="503"/>
      <c r="L3352" s="544"/>
      <c r="M3352" s="544"/>
      <c r="N3352" s="500"/>
      <c r="O3352" s="500"/>
      <c r="P3352" s="500"/>
      <c r="Q3352" s="500"/>
      <c r="R3352" s="500"/>
      <c r="S3352" s="669" t="s">
        <v>4977</v>
      </c>
      <c r="T3352" s="508">
        <f t="shared" si="2571"/>
        <v>0</v>
      </c>
      <c r="U3352" s="225" t="str">
        <f>IF(NOT(ISNUMBER(G3352)), "", VLOOKUP(A3352,'Discount Lookup'!D:E,2,FALSE)*G3352)</f>
        <v/>
      </c>
      <c r="V3352" s="225" t="str">
        <f>IF(NOT(ISNUMBER(G3352)), "", VLOOKUP(A3352,'Discount Lookup'!G:H,2,FALSE)*G3352)</f>
        <v/>
      </c>
      <c r="W3352" s="508">
        <f t="shared" si="2572"/>
        <v>0</v>
      </c>
      <c r="X3352" s="508">
        <f t="shared" si="2573"/>
        <v>0</v>
      </c>
      <c r="Y3352" s="509" t="b">
        <f t="shared" si="2574"/>
        <v>0</v>
      </c>
      <c r="Z3352" s="510">
        <f t="shared" si="2575"/>
        <v>0</v>
      </c>
      <c r="AA3352" s="511"/>
      <c r="AB3352" s="511" t="str">
        <f t="shared" si="2576"/>
        <v/>
      </c>
      <c r="AC3352" s="698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698"/>
      <c r="AE3352" s="631" t="str">
        <f t="shared" si="2577"/>
        <v/>
      </c>
      <c r="AF3352" s="699" t="str">
        <f t="shared" si="2578"/>
        <v/>
      </c>
      <c r="AG3352" s="699"/>
      <c r="AH3352" s="699"/>
      <c r="AI3352" s="512">
        <f>IF(H3352="credit",0,IF(AE3352="free",0,IF(AE3352="me",0,IF(G3352&gt;0,(VLOOKUP(A3352,'Discount Lookup'!J:K,2)*G3352),0))))</f>
        <v>0</v>
      </c>
      <c r="AJ3352" s="513" t="str">
        <f t="shared" ca="1" si="2579"/>
        <v/>
      </c>
      <c r="AK3352" s="700" t="str">
        <f t="shared" si="2580"/>
        <v/>
      </c>
      <c r="AL3352" s="700"/>
      <c r="AM3352" s="505" t="str">
        <f t="shared" si="2581"/>
        <v/>
      </c>
      <c r="AN3352" s="506"/>
      <c r="AO3352" s="507"/>
      <c r="AP3352" s="507"/>
      <c r="AQ3352" s="507"/>
      <c r="AR3352" s="507"/>
      <c r="AS3352" s="507"/>
      <c r="AT3352" s="507"/>
      <c r="AU3352" s="507"/>
      <c r="AV3352" s="225"/>
      <c r="AW3352" s="508"/>
      <c r="AX3352" s="225"/>
      <c r="AY3352" s="225"/>
      <c r="AZ3352" s="225"/>
      <c r="BA3352" s="225"/>
      <c r="BB3352" s="225"/>
      <c r="BC3352" s="56"/>
      <c r="BD3352" s="56"/>
      <c r="BE3352" s="56"/>
      <c r="BF3352" s="107" t="str">
        <f t="shared" si="2582"/>
        <v>https://www.google.com/search?tbm=isch&amp;q=moist%20sites%F0%9F%92%A7OK%2C%20Silver%20Crown%20known%20for%20its%20large%2C%20Green%2C%20heart-shaped%20leaves%20with%20a%20striking%2C%20Creamy-White%20margin%20</v>
      </c>
      <c r="BG3352" s="107" t="str">
        <f t="shared" si="2583"/>
        <v>m</v>
      </c>
      <c r="BH3352" s="254"/>
      <c r="BI3352" s="254"/>
    </row>
    <row r="3353" spans="1:61" customFormat="1" ht="18" x14ac:dyDescent="0.25">
      <c r="A3353" s="523" t="s">
        <v>5533</v>
      </c>
      <c r="B3353" s="235"/>
      <c r="C3353" s="676"/>
      <c r="D3353" s="255" t="s">
        <v>1737</v>
      </c>
      <c r="E3353" s="236"/>
      <c r="F3353" s="236"/>
      <c r="G3353" s="236"/>
      <c r="H3353" s="582" t="s">
        <v>1858</v>
      </c>
      <c r="I3353" s="498" t="s">
        <v>2244</v>
      </c>
      <c r="J3353" s="237"/>
      <c r="K3353" s="237"/>
      <c r="L3353" s="274"/>
      <c r="M3353" s="668" t="s">
        <v>4975</v>
      </c>
      <c r="N3353" s="681" t="str">
        <f>IF(AND(ISTEXT($A3353), ISERROR($A3353+0)), HYPERLINK($BF3353, "Images"), "")</f>
        <v>Images</v>
      </c>
      <c r="O3353" s="663" t="s">
        <v>4967</v>
      </c>
      <c r="P3353" s="253"/>
      <c r="Q3353" s="238"/>
      <c r="R3353" s="239"/>
      <c r="S3353" s="275" t="s">
        <v>305</v>
      </c>
      <c r="T3353" s="508">
        <f t="shared" si="2571"/>
        <v>0</v>
      </c>
      <c r="U3353" s="225" t="str">
        <f>IF(NOT(ISNUMBER(G3353)), "", VLOOKUP(A3353,'Discount Lookup'!D:E,2,FALSE)*G3353)</f>
        <v/>
      </c>
      <c r="V3353" s="225" t="str">
        <f>IF(NOT(ISNUMBER(G3353)), "", VLOOKUP(A3353,'Discount Lookup'!G:H,2,FALSE)*G3353)</f>
        <v/>
      </c>
      <c r="W3353" s="508">
        <f t="shared" si="2572"/>
        <v>0</v>
      </c>
      <c r="X3353" s="508" t="str">
        <f t="shared" si="2573"/>
        <v>Burgundy-Red bloom</v>
      </c>
      <c r="Y3353" s="509" t="b">
        <f t="shared" si="2574"/>
        <v>0</v>
      </c>
      <c r="Z3353" s="510">
        <f t="shared" si="2575"/>
        <v>0</v>
      </c>
      <c r="AA3353" s="511"/>
      <c r="AB3353" s="511" t="str">
        <f t="shared" si="2576"/>
        <v/>
      </c>
      <c r="AC3353" s="698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698"/>
      <c r="AE3353" s="631" t="str">
        <f t="shared" si="2577"/>
        <v/>
      </c>
      <c r="AF3353" s="699" t="str">
        <f t="shared" si="2578"/>
        <v/>
      </c>
      <c r="AG3353" s="699"/>
      <c r="AH3353" s="699"/>
      <c r="AI3353" s="512">
        <f>IF(H3353="credit",0,IF(AE3353="free",0,IF(AE3353="me",0,IF(G3353&gt;0,(VLOOKUP(A3353,'Discount Lookup'!J:K,2)*G3353),0))))</f>
        <v>0</v>
      </c>
      <c r="AJ3353" s="513" t="str">
        <f t="shared" ca="1" si="2579"/>
        <v/>
      </c>
      <c r="AK3353" s="700" t="str">
        <f t="shared" si="2580"/>
        <v/>
      </c>
      <c r="AL3353" s="700"/>
      <c r="AM3353" s="505" t="str">
        <f t="shared" si="2581"/>
        <v/>
      </c>
      <c r="AN3353" s="506"/>
      <c r="AO3353" s="507"/>
      <c r="AP3353" s="507"/>
      <c r="AQ3353" s="507"/>
      <c r="AR3353" s="507"/>
      <c r="AS3353" s="507"/>
      <c r="AT3353" s="507"/>
      <c r="AU3353" s="507"/>
      <c r="AV3353" s="225"/>
      <c r="AW3353" s="508"/>
      <c r="AX3353" s="225"/>
      <c r="AY3353" s="225"/>
      <c r="AZ3353" s="225"/>
      <c r="BA3353" s="225"/>
      <c r="BB3353" s="225"/>
      <c r="BC3353" s="56"/>
      <c r="BD3353" s="56"/>
      <c r="BE3353" s="56"/>
      <c r="BF3353" s="107" t="str">
        <f t="shared" si="2582"/>
        <v>https://www.google.com/search?tbm=isch&amp;q=Simply%20Scentsational%C2%AE%20Sweetshrub%20Calycanthus%20%27SMNCAF%27%20PP%2333550</v>
      </c>
      <c r="BG3353" s="107" t="str">
        <f t="shared" si="2583"/>
        <v>S</v>
      </c>
      <c r="BH3353" s="254"/>
      <c r="BI3353" s="254"/>
    </row>
    <row r="3354" spans="1:61" customFormat="1" ht="15.75" x14ac:dyDescent="0.25">
      <c r="A3354" s="276">
        <v>3</v>
      </c>
      <c r="B3354" s="240" t="s">
        <v>291</v>
      </c>
      <c r="C3354" s="241" t="s">
        <v>4814</v>
      </c>
      <c r="D3354" s="242" t="s">
        <v>292</v>
      </c>
      <c r="E3354" s="243">
        <v>41.95</v>
      </c>
      <c r="F3354" s="517" t="s">
        <v>293</v>
      </c>
      <c r="G3354" s="232">
        <v>0</v>
      </c>
      <c r="H3354" s="661" t="str">
        <f>IF(G3354=0,"",IF(F3354="Buy",IF(G3354=1,"plant","plants"),IF(F3354&gt;0.01,"warranty","Error")))</f>
        <v/>
      </c>
      <c r="I3354" s="244">
        <f>IF(H3354="free",0,IF(H3354="credit",((E3354*(F3354))*G3354*-1),IF(F3354="Buy",(E3354*G3354),((E3354*(1-F3354))*G3354))))</f>
        <v>0</v>
      </c>
      <c r="J3354" s="244">
        <f>IF(H3354="warranty",0,(I3354*(_xlfn.SINGLE(SalesTaxPercentage))))</f>
        <v>0</v>
      </c>
      <c r="K3354" s="696">
        <f t="shared" ref="K3354" si="2587">I3354+J3354</f>
        <v>0</v>
      </c>
      <c r="L3354" s="696"/>
      <c r="M3354" s="659" t="str">
        <f>IF(AND(G3354&gt;0,E3354=0),"WARNING - no PRICE inserted",IF(H3354="free"," FREE ~ no charge this plant",IF(H3354="credit",CONCATENATE(" -$",ROUND(K3354*(1-T2GDiscount)*-1,2)," CREDIT after discount"),IF(T2GDiscount=0,"",IF(G3354=0,"",IF(F3354="Buy",CONCATENATE(" $",ROUND(K3354*(1-T2GDiscount),2)," with ",(T2GDiscount*100),"% discount"),CONCATENATE(" $",ROUND(K3354*(1-T2GDiscount),2)," with ",((T2GDiscount*100+F3354*100)-(T2GDiscount*100*F3354)),IF(F3354&gt;0,"% discounts",IF(NoWarrantyDiscount&gt;0,"% discounts","% discount")))))))))</f>
        <v/>
      </c>
      <c r="N3354" s="660"/>
      <c r="O3354" s="233"/>
      <c r="P3354" s="233"/>
      <c r="Q3354" s="233"/>
      <c r="R3354" s="233"/>
      <c r="S3354" s="233"/>
      <c r="T3354" s="508">
        <f t="shared" si="2571"/>
        <v>0</v>
      </c>
      <c r="U3354" s="225">
        <f>IF(NOT(ISNUMBER(G3354)), "", VLOOKUP(A3354,'Discount Lookup'!D:E,2,FALSE)*G3354)</f>
        <v>0</v>
      </c>
      <c r="V3354" s="225">
        <f>IF(NOT(ISNUMBER(G3354)), "", VLOOKUP(A3354,'Discount Lookup'!G:H,2,FALSE)*G3354)</f>
        <v>0</v>
      </c>
      <c r="W3354" s="508">
        <f t="shared" si="2572"/>
        <v>0</v>
      </c>
      <c r="X3354" s="508">
        <f t="shared" si="2573"/>
        <v>0</v>
      </c>
      <c r="Y3354" s="509" t="b">
        <f t="shared" si="2574"/>
        <v>0</v>
      </c>
      <c r="Z3354" s="510">
        <f t="shared" si="2575"/>
        <v>0</v>
      </c>
      <c r="AA3354" s="511"/>
      <c r="AB3354" s="511" t="str">
        <f t="shared" si="2576"/>
        <v/>
      </c>
      <c r="AC3354" s="698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698"/>
      <c r="AE3354" s="631" t="str">
        <f t="shared" si="2577"/>
        <v/>
      </c>
      <c r="AF3354" s="699" t="str">
        <f t="shared" si="2578"/>
        <v/>
      </c>
      <c r="AG3354" s="699"/>
      <c r="AH3354" s="699"/>
      <c r="AI3354" s="512">
        <f>IF(H3354="credit",0,IF(AE3354="free",0,IF(AE3354="me",0,IF(G3354&gt;0,(VLOOKUP(A3354,'Discount Lookup'!J:K,2)*G3354),0))))</f>
        <v>0</v>
      </c>
      <c r="AJ3354" s="513" t="str">
        <f t="shared" ca="1" si="2579"/>
        <v/>
      </c>
      <c r="AK3354" s="700" t="str">
        <f t="shared" si="2580"/>
        <v/>
      </c>
      <c r="AL3354" s="700"/>
      <c r="AM3354" s="505" t="str">
        <f t="shared" si="2581"/>
        <v/>
      </c>
      <c r="AN3354" s="506"/>
      <c r="AO3354" s="507"/>
      <c r="AP3354" s="507"/>
      <c r="AQ3354" s="507"/>
      <c r="AR3354" s="507"/>
      <c r="AS3354" s="507"/>
      <c r="AT3354" s="507"/>
      <c r="AU3354" s="507"/>
      <c r="AV3354" s="225"/>
      <c r="AW3354" s="508"/>
      <c r="AX3354" s="225"/>
      <c r="AY3354" s="225"/>
      <c r="AZ3354" s="225"/>
      <c r="BA3354" s="225"/>
      <c r="BB3354" s="225"/>
      <c r="BC3354" s="56"/>
      <c r="BD3354" s="56"/>
      <c r="BE3354" s="56"/>
      <c r="BF3354" s="107" t="str">
        <f t="shared" si="2582"/>
        <v>https://www.google.com/search?tbm=isch&amp;q=3%20G4</v>
      </c>
      <c r="BG3354" s="107" t="str">
        <f t="shared" si="2583"/>
        <v>S</v>
      </c>
      <c r="BH3354" s="254"/>
      <c r="BI3354" s="254"/>
    </row>
    <row r="3355" spans="1:61" customFormat="1" ht="17.25" thickBot="1" x14ac:dyDescent="0.3">
      <c r="A3355" s="673" t="s">
        <v>5232</v>
      </c>
      <c r="B3355" s="245"/>
      <c r="C3355" s="677"/>
      <c r="D3355" s="499"/>
      <c r="E3355" s="499"/>
      <c r="F3355" s="500"/>
      <c r="G3355" s="501"/>
      <c r="H3355" s="502"/>
      <c r="I3355" s="246"/>
      <c r="J3355" s="247"/>
      <c r="K3355" s="503"/>
      <c r="L3355" s="544"/>
      <c r="M3355" s="544"/>
      <c r="N3355" s="500"/>
      <c r="O3355" s="500"/>
      <c r="P3355" s="500"/>
      <c r="Q3355" s="500"/>
      <c r="R3355" s="500"/>
      <c r="S3355" s="278"/>
      <c r="T3355" s="508">
        <f t="shared" si="2571"/>
        <v>0</v>
      </c>
      <c r="U3355" s="225" t="str">
        <f>IF(NOT(ISNUMBER(G3355)), "", VLOOKUP(A3355,'Discount Lookup'!D:E,2,FALSE)*G3355)</f>
        <v/>
      </c>
      <c r="V3355" s="225" t="str">
        <f>IF(NOT(ISNUMBER(G3355)), "", VLOOKUP(A3355,'Discount Lookup'!G:H,2,FALSE)*G3355)</f>
        <v/>
      </c>
      <c r="W3355" s="508">
        <f t="shared" si="2572"/>
        <v>0</v>
      </c>
      <c r="X3355" s="508">
        <f t="shared" si="2573"/>
        <v>0</v>
      </c>
      <c r="Y3355" s="509" t="b">
        <f t="shared" si="2574"/>
        <v>0</v>
      </c>
      <c r="Z3355" s="510">
        <f t="shared" si="2575"/>
        <v>0</v>
      </c>
      <c r="AA3355" s="511"/>
      <c r="AB3355" s="511" t="str">
        <f t="shared" si="2576"/>
        <v/>
      </c>
      <c r="AC3355" s="698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698"/>
      <c r="AE3355" s="631" t="str">
        <f t="shared" si="2577"/>
        <v/>
      </c>
      <c r="AF3355" s="699" t="str">
        <f t="shared" si="2578"/>
        <v/>
      </c>
      <c r="AG3355" s="699"/>
      <c r="AH3355" s="699"/>
      <c r="AI3355" s="512">
        <f>IF(H3355="credit",0,IF(AE3355="free",0,IF(AE3355="me",0,IF(G3355&gt;0,(VLOOKUP(A3355,'Discount Lookup'!J:K,2)*G3355),0))))</f>
        <v>0</v>
      </c>
      <c r="AJ3355" s="513" t="str">
        <f t="shared" ca="1" si="2579"/>
        <v/>
      </c>
      <c r="AK3355" s="700" t="str">
        <f t="shared" si="2580"/>
        <v/>
      </c>
      <c r="AL3355" s="700"/>
      <c r="AM3355" s="505" t="str">
        <f t="shared" si="2581"/>
        <v/>
      </c>
      <c r="AN3355" s="506"/>
      <c r="AO3355" s="507"/>
      <c r="AP3355" s="507"/>
      <c r="AQ3355" s="507"/>
      <c r="AR3355" s="507"/>
      <c r="AS3355" s="507"/>
      <c r="AT3355" s="507"/>
      <c r="AU3355" s="507"/>
      <c r="AV3355" s="225"/>
      <c r="AW3355" s="508"/>
      <c r="AX3355" s="225"/>
      <c r="AY3355" s="225"/>
      <c r="AZ3355" s="225"/>
      <c r="BA3355" s="225"/>
      <c r="BB3355" s="225"/>
      <c r="BC3355" s="56"/>
      <c r="BD3355" s="56"/>
      <c r="BE3355" s="56"/>
      <c r="BF3355" s="107" t="str">
        <f t="shared" si="2582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3355" s="107" t="str">
        <f t="shared" si="2583"/>
        <v>m</v>
      </c>
      <c r="BH3355" s="254"/>
      <c r="BI3355" s="254"/>
    </row>
    <row r="3356" spans="1:61" customFormat="1" ht="18" x14ac:dyDescent="0.25">
      <c r="A3356" s="523" t="s">
        <v>1738</v>
      </c>
      <c r="B3356" s="235"/>
      <c r="C3356" s="676"/>
      <c r="D3356" s="255" t="s">
        <v>1739</v>
      </c>
      <c r="E3356" s="236"/>
      <c r="F3356" s="236"/>
      <c r="G3356" s="236"/>
      <c r="H3356" s="582" t="s">
        <v>311</v>
      </c>
      <c r="I3356" s="498" t="s">
        <v>1330</v>
      </c>
      <c r="J3356" s="237"/>
      <c r="K3356" s="237"/>
      <c r="L3356" s="274"/>
      <c r="M3356" s="668" t="s">
        <v>4962</v>
      </c>
      <c r="N3356" s="681" t="str">
        <f>IF(AND(ISTEXT($A3356), ISERROR($A3356+0)), HYPERLINK($BF3356, "Images"), "")</f>
        <v>Images</v>
      </c>
      <c r="O3356" s="663" t="s">
        <v>4967</v>
      </c>
      <c r="P3356" s="253"/>
      <c r="Q3356" s="238"/>
      <c r="R3356" s="239"/>
      <c r="S3356" s="275"/>
      <c r="T3356" s="508">
        <f t="shared" si="2571"/>
        <v>0</v>
      </c>
      <c r="U3356" s="225" t="str">
        <f>IF(NOT(ISNUMBER(G3356)), "", VLOOKUP(A3356,'Discount Lookup'!D:E,2,FALSE)*G3356)</f>
        <v/>
      </c>
      <c r="V3356" s="225" t="str">
        <f>IF(NOT(ISNUMBER(G3356)), "", VLOOKUP(A3356,'Discount Lookup'!G:H,2,FALSE)*G3356)</f>
        <v/>
      </c>
      <c r="W3356" s="508">
        <f t="shared" si="2572"/>
        <v>0</v>
      </c>
      <c r="X3356" s="508" t="str">
        <f t="shared" si="2573"/>
        <v>Dark Pink bloom</v>
      </c>
      <c r="Y3356" s="509" t="b">
        <f t="shared" si="2574"/>
        <v>0</v>
      </c>
      <c r="Z3356" s="510">
        <f t="shared" si="2575"/>
        <v>0</v>
      </c>
      <c r="AA3356" s="511"/>
      <c r="AB3356" s="511" t="str">
        <f t="shared" si="2576"/>
        <v/>
      </c>
      <c r="AC3356" s="698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698"/>
      <c r="AE3356" s="631" t="str">
        <f t="shared" si="2577"/>
        <v/>
      </c>
      <c r="AF3356" s="699" t="str">
        <f t="shared" si="2578"/>
        <v/>
      </c>
      <c r="AG3356" s="699"/>
      <c r="AH3356" s="699"/>
      <c r="AI3356" s="512">
        <f>IF(H3356="credit",0,IF(AE3356="free",0,IF(AE3356="me",0,IF(G3356&gt;0,(VLOOKUP(A3356,'Discount Lookup'!J:K,2)*G3356),0))))</f>
        <v>0</v>
      </c>
      <c r="AJ3356" s="513" t="str">
        <f t="shared" ca="1" si="2579"/>
        <v/>
      </c>
      <c r="AK3356" s="700" t="str">
        <f t="shared" si="2580"/>
        <v/>
      </c>
      <c r="AL3356" s="700"/>
      <c r="AM3356" s="505" t="str">
        <f t="shared" si="2581"/>
        <v/>
      </c>
      <c r="AN3356" s="506"/>
      <c r="AO3356" s="507"/>
      <c r="AP3356" s="507"/>
      <c r="AQ3356" s="507"/>
      <c r="AR3356" s="507"/>
      <c r="AS3356" s="507"/>
      <c r="AT3356" s="507"/>
      <c r="AU3356" s="507"/>
      <c r="AV3356" s="225"/>
      <c r="AW3356" s="508"/>
      <c r="AX3356" s="225"/>
      <c r="AY3356" s="225"/>
      <c r="AZ3356" s="225"/>
      <c r="BA3356" s="225"/>
      <c r="BB3356" s="225"/>
      <c r="BC3356" s="56"/>
      <c r="BD3356" s="56"/>
      <c r="BE3356" s="56"/>
      <c r="BF3356" s="107" t="str">
        <f t="shared" si="2582"/>
        <v>https://www.google.com/search?tbm=isch&amp;q=Sioux%20Crape%20Myrtle%20Lagerstroemia%20indica%20x%20fauriei%20%27Sioux%27</v>
      </c>
      <c r="BG3356" s="107" t="str">
        <f t="shared" si="2583"/>
        <v>S</v>
      </c>
      <c r="BH3356" s="254"/>
      <c r="BI3356" s="254"/>
    </row>
    <row r="3357" spans="1:61" customFormat="1" ht="15.75" x14ac:dyDescent="0.25">
      <c r="A3357" s="276">
        <v>15</v>
      </c>
      <c r="B3357" s="240" t="s">
        <v>291</v>
      </c>
      <c r="C3357" s="241" t="s">
        <v>1740</v>
      </c>
      <c r="D3357" s="242" t="s">
        <v>299</v>
      </c>
      <c r="E3357" s="243">
        <v>164.95</v>
      </c>
      <c r="F3357" s="517" t="s">
        <v>293</v>
      </c>
      <c r="G3357" s="232">
        <v>0</v>
      </c>
      <c r="H3357" s="661" t="str">
        <f>IF(G3357=0,"",IF(F3357="Buy",IF(G3357=1,"plant","plants"),IF(F3357&gt;0.01,"warranty","Error")))</f>
        <v/>
      </c>
      <c r="I3357" s="244">
        <f>IF(H3357="free",0,IF(H3357="credit",((E3357*(F3357))*G3357*-1),IF(F3357="Buy",(E3357*G3357),((E3357*(1-F3357))*G3357))))</f>
        <v>0</v>
      </c>
      <c r="J3357" s="244">
        <f>IF(H3357="warranty",0,(I3357*(_xlfn.SINGLE(SalesTaxPercentage))))</f>
        <v>0</v>
      </c>
      <c r="K3357" s="696">
        <f t="shared" ref="K3357" si="2588">I3357+J3357</f>
        <v>0</v>
      </c>
      <c r="L3357" s="696"/>
      <c r="M3357" s="659" t="str">
        <f>IF(AND(G3357&gt;0,E3357=0),"WARNING - no PRICE inserted",IF(H3357="free"," FREE ~ no charge this plant",IF(H3357="credit",CONCATENATE(" -$",ROUND(K3357*(1-T2GDiscount)*-1,2)," CREDIT after discount"),IF(T2GDiscount=0,"",IF(G3357=0,"",IF(F3357="Buy",CONCATENATE(" $",ROUND(K3357*(1-T2GDiscount),2)," with ",(T2GDiscount*100),"% discount"),CONCATENATE(" $",ROUND(K3357*(1-T2GDiscount),2)," with ",((T2GDiscount*100+F3357*100)-(T2GDiscount*100*F3357)),IF(F3357&gt;0,"% discounts",IF(NoWarrantyDiscount&gt;0,"% discounts","% discount")))))))))</f>
        <v/>
      </c>
      <c r="N3357" s="660"/>
      <c r="O3357" s="233"/>
      <c r="P3357" s="233"/>
      <c r="Q3357" s="233"/>
      <c r="R3357" s="233"/>
      <c r="S3357" s="233"/>
      <c r="T3357" s="508">
        <f t="shared" si="2571"/>
        <v>0</v>
      </c>
      <c r="U3357" s="225">
        <f>IF(NOT(ISNUMBER(G3357)), "", VLOOKUP(A3357,'Discount Lookup'!D:E,2,FALSE)*G3357)</f>
        <v>0</v>
      </c>
      <c r="V3357" s="225">
        <f>IF(NOT(ISNUMBER(G3357)), "", VLOOKUP(A3357,'Discount Lookup'!G:H,2,FALSE)*G3357)</f>
        <v>0</v>
      </c>
      <c r="W3357" s="508">
        <f t="shared" si="2572"/>
        <v>0</v>
      </c>
      <c r="X3357" s="508">
        <f t="shared" si="2573"/>
        <v>0</v>
      </c>
      <c r="Y3357" s="509" t="b">
        <f t="shared" si="2574"/>
        <v>0</v>
      </c>
      <c r="Z3357" s="510">
        <f t="shared" si="2575"/>
        <v>0</v>
      </c>
      <c r="AA3357" s="511"/>
      <c r="AB3357" s="511" t="str">
        <f t="shared" si="2576"/>
        <v/>
      </c>
      <c r="AC3357" s="698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698"/>
      <c r="AE3357" s="631" t="str">
        <f t="shared" si="2577"/>
        <v/>
      </c>
      <c r="AF3357" s="699" t="str">
        <f t="shared" si="2578"/>
        <v/>
      </c>
      <c r="AG3357" s="699"/>
      <c r="AH3357" s="699"/>
      <c r="AI3357" s="512">
        <f>IF(H3357="credit",0,IF(AE3357="free",0,IF(AE3357="me",0,IF(G3357&gt;0,(VLOOKUP(A3357,'Discount Lookup'!J:K,2)*G3357),0))))</f>
        <v>0</v>
      </c>
      <c r="AJ3357" s="513" t="str">
        <f t="shared" ca="1" si="2579"/>
        <v/>
      </c>
      <c r="AK3357" s="700" t="str">
        <f t="shared" si="2580"/>
        <v/>
      </c>
      <c r="AL3357" s="700"/>
      <c r="AM3357" s="505" t="str">
        <f t="shared" si="2581"/>
        <v/>
      </c>
      <c r="AN3357" s="506"/>
      <c r="AO3357" s="507"/>
      <c r="AP3357" s="507"/>
      <c r="AQ3357" s="507"/>
      <c r="AR3357" s="507"/>
      <c r="AS3357" s="507"/>
      <c r="AT3357" s="507"/>
      <c r="AU3357" s="507"/>
      <c r="AV3357" s="225"/>
      <c r="AW3357" s="508"/>
      <c r="AX3357" s="225"/>
      <c r="AY3357" s="225"/>
      <c r="AZ3357" s="225"/>
      <c r="BA3357" s="225"/>
      <c r="BB3357" s="225"/>
      <c r="BC3357" s="56"/>
      <c r="BD3357" s="56"/>
      <c r="BE3357" s="56"/>
      <c r="BF3357" s="107" t="str">
        <f t="shared" si="2582"/>
        <v>https://www.google.com/search?tbm=isch&amp;q=15%20G5</v>
      </c>
      <c r="BG3357" s="107" t="str">
        <f t="shared" si="2583"/>
        <v>S</v>
      </c>
      <c r="BH3357" s="254"/>
      <c r="BI3357" s="254"/>
    </row>
    <row r="3358" spans="1:61" customFormat="1" ht="15.75" x14ac:dyDescent="0.25">
      <c r="A3358" s="276">
        <v>20</v>
      </c>
      <c r="B3358" s="240" t="s">
        <v>291</v>
      </c>
      <c r="C3358" s="241" t="s">
        <v>1741</v>
      </c>
      <c r="D3358" s="242" t="s">
        <v>297</v>
      </c>
      <c r="E3358" s="243">
        <v>224.95</v>
      </c>
      <c r="F3358" s="517" t="s">
        <v>293</v>
      </c>
      <c r="G3358" s="232">
        <v>0</v>
      </c>
      <c r="H3358" s="661" t="str">
        <f>IF(G3358=0,"",IF(F3358="Buy",IF(G3358=1,"plant","plants"),IF(F3358&gt;0.01,"warranty","Error")))</f>
        <v/>
      </c>
      <c r="I3358" s="244">
        <f>IF(H3358="free",0,IF(H3358="credit",((E3358*(F3358))*G3358*-1),IF(F3358="Buy",(E3358*G3358),((E3358*(1-F3358))*G3358))))</f>
        <v>0</v>
      </c>
      <c r="J3358" s="244">
        <f>IF(H3358="warranty",0,(I3358*(_xlfn.SINGLE(SalesTaxPercentage))))</f>
        <v>0</v>
      </c>
      <c r="K3358" s="696">
        <f t="shared" ref="K3358" si="2589">I3358+J3358</f>
        <v>0</v>
      </c>
      <c r="L3358" s="696"/>
      <c r="M3358" s="659" t="str">
        <f>IF(AND(G3358&gt;0,E3358=0),"WARNING - no PRICE inserted",IF(H3358="free"," FREE ~ no charge this plant",IF(H3358="credit",CONCATENATE(" -$",ROUND(K3358*(1-T2GDiscount)*-1,2)," CREDIT after discount"),IF(T2GDiscount=0,"",IF(G3358=0,"",IF(F3358="Buy",CONCATENATE(" $",ROUND(K3358*(1-T2GDiscount),2)," with ",(T2GDiscount*100),"% discount"),CONCATENATE(" $",ROUND(K3358*(1-T2GDiscount),2)," with ",((T2GDiscount*100+F3358*100)-(T2GDiscount*100*F3358)),IF(F3358&gt;0,"% discounts",IF(NoWarrantyDiscount&gt;0,"% discounts","% discount")))))))))</f>
        <v/>
      </c>
      <c r="N3358" s="660"/>
      <c r="O3358" s="233"/>
      <c r="P3358" s="233"/>
      <c r="Q3358" s="233"/>
      <c r="R3358" s="233"/>
      <c r="S3358" s="233"/>
      <c r="T3358" s="508">
        <f t="shared" si="2571"/>
        <v>0</v>
      </c>
      <c r="U3358" s="225">
        <f>IF(NOT(ISNUMBER(G3358)), "", VLOOKUP(A3358,'Discount Lookup'!D:E,2,FALSE)*G3358)</f>
        <v>0</v>
      </c>
      <c r="V3358" s="225">
        <f>IF(NOT(ISNUMBER(G3358)), "", VLOOKUP(A3358,'Discount Lookup'!G:H,2,FALSE)*G3358)</f>
        <v>0</v>
      </c>
      <c r="W3358" s="508">
        <f t="shared" si="2572"/>
        <v>0</v>
      </c>
      <c r="X3358" s="508">
        <f t="shared" si="2573"/>
        <v>0</v>
      </c>
      <c r="Y3358" s="509" t="b">
        <f t="shared" si="2574"/>
        <v>0</v>
      </c>
      <c r="Z3358" s="510">
        <f t="shared" si="2575"/>
        <v>0</v>
      </c>
      <c r="AA3358" s="511"/>
      <c r="AB3358" s="511" t="str">
        <f t="shared" si="2576"/>
        <v/>
      </c>
      <c r="AC3358" s="698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698"/>
      <c r="AE3358" s="631" t="str">
        <f t="shared" si="2577"/>
        <v/>
      </c>
      <c r="AF3358" s="699" t="str">
        <f t="shared" si="2578"/>
        <v/>
      </c>
      <c r="AG3358" s="699"/>
      <c r="AH3358" s="699"/>
      <c r="AI3358" s="512">
        <f>IF(H3358="credit",0,IF(AE3358="free",0,IF(AE3358="me",0,IF(G3358&gt;0,(VLOOKUP(A3358,'Discount Lookup'!J:K,2)*G3358),0))))</f>
        <v>0</v>
      </c>
      <c r="AJ3358" s="513" t="str">
        <f t="shared" ca="1" si="2579"/>
        <v/>
      </c>
      <c r="AK3358" s="700" t="str">
        <f t="shared" si="2580"/>
        <v/>
      </c>
      <c r="AL3358" s="700"/>
      <c r="AM3358" s="505" t="str">
        <f t="shared" si="2581"/>
        <v/>
      </c>
      <c r="AN3358" s="506"/>
      <c r="AO3358" s="507"/>
      <c r="AP3358" s="507"/>
      <c r="AQ3358" s="507"/>
      <c r="AR3358" s="507"/>
      <c r="AS3358" s="507"/>
      <c r="AT3358" s="507"/>
      <c r="AU3358" s="507"/>
      <c r="AV3358" s="225"/>
      <c r="AW3358" s="508"/>
      <c r="AX3358" s="225"/>
      <c r="AY3358" s="225"/>
      <c r="AZ3358" s="225"/>
      <c r="BA3358" s="225"/>
      <c r="BB3358" s="225"/>
      <c r="BC3358" s="56"/>
      <c r="BD3358" s="56"/>
      <c r="BE3358" s="56"/>
      <c r="BF3358" s="107" t="str">
        <f t="shared" si="2582"/>
        <v>https://www.google.com/search?tbm=isch&amp;q=20%20G3</v>
      </c>
      <c r="BG3358" s="107" t="str">
        <f t="shared" si="2583"/>
        <v>S</v>
      </c>
      <c r="BH3358" s="254"/>
      <c r="BI3358" s="254"/>
    </row>
    <row r="3359" spans="1:61" customFormat="1" ht="17.25" thickBot="1" x14ac:dyDescent="0.3">
      <c r="A3359" s="524" t="s">
        <v>2484</v>
      </c>
      <c r="B3359" s="245"/>
      <c r="C3359" s="677"/>
      <c r="D3359" s="499"/>
      <c r="E3359" s="499"/>
      <c r="F3359" s="500"/>
      <c r="G3359" s="501"/>
      <c r="H3359" s="502"/>
      <c r="I3359" s="246"/>
      <c r="J3359" s="247"/>
      <c r="K3359" s="503"/>
      <c r="L3359" s="544"/>
      <c r="M3359" s="544"/>
      <c r="N3359" s="500"/>
      <c r="O3359" s="500"/>
      <c r="P3359" s="500"/>
      <c r="Q3359" s="500"/>
      <c r="R3359" s="500"/>
      <c r="S3359" s="278"/>
      <c r="T3359" s="508">
        <f t="shared" si="2571"/>
        <v>0</v>
      </c>
      <c r="U3359" s="225" t="str">
        <f>IF(NOT(ISNUMBER(G3359)), "", VLOOKUP(A3359,'Discount Lookup'!D:E,2,FALSE)*G3359)</f>
        <v/>
      </c>
      <c r="V3359" s="225" t="str">
        <f>IF(NOT(ISNUMBER(G3359)), "", VLOOKUP(A3359,'Discount Lookup'!G:H,2,FALSE)*G3359)</f>
        <v/>
      </c>
      <c r="W3359" s="508">
        <f t="shared" si="2572"/>
        <v>0</v>
      </c>
      <c r="X3359" s="508">
        <f t="shared" si="2573"/>
        <v>0</v>
      </c>
      <c r="Y3359" s="509" t="b">
        <f t="shared" si="2574"/>
        <v>0</v>
      </c>
      <c r="Z3359" s="510">
        <f t="shared" si="2575"/>
        <v>0</v>
      </c>
      <c r="AA3359" s="511"/>
      <c r="AB3359" s="511" t="str">
        <f t="shared" si="2576"/>
        <v/>
      </c>
      <c r="AC3359" s="698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698"/>
      <c r="AE3359" s="631" t="str">
        <f t="shared" si="2577"/>
        <v/>
      </c>
      <c r="AF3359" s="699" t="str">
        <f t="shared" si="2578"/>
        <v/>
      </c>
      <c r="AG3359" s="699"/>
      <c r="AH3359" s="699"/>
      <c r="AI3359" s="512">
        <f>IF(H3359="credit",0,IF(AE3359="free",0,IF(AE3359="me",0,IF(G3359&gt;0,(VLOOKUP(A3359,'Discount Lookup'!J:K,2)*G3359),0))))</f>
        <v>0</v>
      </c>
      <c r="AJ3359" s="513" t="str">
        <f t="shared" ca="1" si="2579"/>
        <v/>
      </c>
      <c r="AK3359" s="700" t="str">
        <f t="shared" si="2580"/>
        <v/>
      </c>
      <c r="AL3359" s="700"/>
      <c r="AM3359" s="505" t="str">
        <f t="shared" si="2581"/>
        <v/>
      </c>
      <c r="AN3359" s="506"/>
      <c r="AO3359" s="507"/>
      <c r="AP3359" s="507"/>
      <c r="AQ3359" s="507"/>
      <c r="AR3359" s="507"/>
      <c r="AS3359" s="507"/>
      <c r="AT3359" s="507"/>
      <c r="AU3359" s="507"/>
      <c r="AV3359" s="225"/>
      <c r="AW3359" s="508"/>
      <c r="AX3359" s="225"/>
      <c r="AY3359" s="225"/>
      <c r="AZ3359" s="225"/>
      <c r="BA3359" s="225"/>
      <c r="BB3359" s="225"/>
      <c r="BC3359" s="56"/>
      <c r="BD3359" s="56"/>
      <c r="BE3359" s="56"/>
      <c r="BF3359" s="107" t="str">
        <f t="shared" si="2582"/>
        <v>https://www.google.com/search?tbm=isch&amp;q=Sioux%20foliage%20emerges%20dark%20green%2C%20then%20turns%20to%20shades%20of%20red%20%26%20purple%20in%20fall.%20Bark%20exfoliates%20to%20dark%20brown%20</v>
      </c>
      <c r="BG3359" s="107" t="str">
        <f t="shared" si="2583"/>
        <v>S</v>
      </c>
      <c r="BH3359" s="254"/>
      <c r="BI3359" s="254"/>
    </row>
    <row r="3360" spans="1:61" customFormat="1" ht="18" x14ac:dyDescent="0.25">
      <c r="A3360" s="523" t="s">
        <v>1742</v>
      </c>
      <c r="B3360" s="235"/>
      <c r="C3360" s="676"/>
      <c r="D3360" s="255" t="s">
        <v>1743</v>
      </c>
      <c r="E3360" s="236"/>
      <c r="F3360" s="236"/>
      <c r="G3360" s="236"/>
      <c r="H3360" s="582" t="s">
        <v>2245</v>
      </c>
      <c r="I3360" s="498" t="s">
        <v>2120</v>
      </c>
      <c r="J3360" s="237"/>
      <c r="K3360" s="237"/>
      <c r="L3360" s="274"/>
      <c r="M3360" s="668" t="s">
        <v>4975</v>
      </c>
      <c r="N3360" s="681" t="str">
        <f>IF(AND(ISTEXT($A3360), ISERROR($A3360+0)), HYPERLINK($BF3360, "Images"), "")</f>
        <v>Images</v>
      </c>
      <c r="O3360" s="663" t="s">
        <v>4967</v>
      </c>
      <c r="P3360" s="253"/>
      <c r="Q3360" s="238"/>
      <c r="R3360" s="239"/>
      <c r="S3360" s="275"/>
      <c r="T3360" s="508">
        <f t="shared" si="2571"/>
        <v>0</v>
      </c>
      <c r="U3360" s="225" t="str">
        <f>IF(NOT(ISNUMBER(G3360)), "", VLOOKUP(A3360,'Discount Lookup'!D:E,2,FALSE)*G3360)</f>
        <v/>
      </c>
      <c r="V3360" s="225" t="str">
        <f>IF(NOT(ISNUMBER(G3360)), "", VLOOKUP(A3360,'Discount Lookup'!G:H,2,FALSE)*G3360)</f>
        <v/>
      </c>
      <c r="W3360" s="508">
        <f t="shared" si="2572"/>
        <v>0</v>
      </c>
      <c r="X3360" s="508" t="str">
        <f t="shared" si="2573"/>
        <v>Variegated foliage</v>
      </c>
      <c r="Y3360" s="509" t="b">
        <f t="shared" si="2574"/>
        <v>0</v>
      </c>
      <c r="Z3360" s="510">
        <f t="shared" si="2575"/>
        <v>0</v>
      </c>
      <c r="AA3360" s="511"/>
      <c r="AB3360" s="511" t="str">
        <f t="shared" si="2576"/>
        <v/>
      </c>
      <c r="AC3360" s="698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698"/>
      <c r="AE3360" s="631" t="str">
        <f t="shared" si="2577"/>
        <v/>
      </c>
      <c r="AF3360" s="699" t="str">
        <f t="shared" si="2578"/>
        <v/>
      </c>
      <c r="AG3360" s="699"/>
      <c r="AH3360" s="699"/>
      <c r="AI3360" s="512">
        <f>IF(H3360="credit",0,IF(AE3360="free",0,IF(AE3360="me",0,IF(G3360&gt;0,(VLOOKUP(A3360,'Discount Lookup'!J:K,2)*G3360),0))))</f>
        <v>0</v>
      </c>
      <c r="AJ3360" s="513" t="str">
        <f t="shared" ca="1" si="2579"/>
        <v/>
      </c>
      <c r="AK3360" s="700" t="str">
        <f t="shared" si="2580"/>
        <v/>
      </c>
      <c r="AL3360" s="700"/>
      <c r="AM3360" s="505" t="str">
        <f t="shared" si="2581"/>
        <v/>
      </c>
      <c r="AN3360" s="506"/>
      <c r="AO3360" s="507"/>
      <c r="AP3360" s="507"/>
      <c r="AQ3360" s="507"/>
      <c r="AR3360" s="507"/>
      <c r="AS3360" s="507"/>
      <c r="AT3360" s="507"/>
      <c r="AU3360" s="507"/>
      <c r="AV3360" s="225"/>
      <c r="AW3360" s="508"/>
      <c r="AX3360" s="225"/>
      <c r="AY3360" s="225"/>
      <c r="AZ3360" s="225"/>
      <c r="BA3360" s="225"/>
      <c r="BB3360" s="225"/>
      <c r="BC3360" s="56"/>
      <c r="BD3360" s="56"/>
      <c r="BE3360" s="56"/>
      <c r="BF3360" s="107" t="str">
        <f t="shared" si="2582"/>
        <v>https://www.google.com/search?tbm=isch&amp;q=Sister%20Ghost%20Japanese%20Maple%20Acer%20palmatum%20%27Sister%20Ghost%27</v>
      </c>
      <c r="BG3360" s="107" t="str">
        <f t="shared" si="2583"/>
        <v>S</v>
      </c>
      <c r="BH3360" s="254"/>
      <c r="BI3360" s="254"/>
    </row>
    <row r="3361" spans="1:61" customFormat="1" ht="15.75" x14ac:dyDescent="0.25">
      <c r="A3361" s="276">
        <v>7</v>
      </c>
      <c r="B3361" s="240" t="s">
        <v>291</v>
      </c>
      <c r="C3361" s="241" t="s">
        <v>3773</v>
      </c>
      <c r="D3361" s="242" t="s">
        <v>292</v>
      </c>
      <c r="E3361" s="243">
        <v>224.95</v>
      </c>
      <c r="F3361" s="517" t="s">
        <v>293</v>
      </c>
      <c r="G3361" s="232">
        <v>0</v>
      </c>
      <c r="H3361" s="661" t="str">
        <f>IF(G3361=0,"",IF(F3361="Buy",IF(G3361=1,"plant","plants"),IF(F3361&gt;0.01,"warranty","Error")))</f>
        <v/>
      </c>
      <c r="I3361" s="244">
        <f>IF(H3361="free",0,IF(H3361="credit",((E3361*(F3361))*G3361*-1),IF(F3361="Buy",(E3361*G3361),((E3361*(1-F3361))*G3361))))</f>
        <v>0</v>
      </c>
      <c r="J3361" s="244">
        <f>IF(H3361="warranty",0,(I3361*(_xlfn.SINGLE(SalesTaxPercentage))))</f>
        <v>0</v>
      </c>
      <c r="K3361" s="696">
        <f t="shared" ref="K3361" si="2590">I3361+J3361</f>
        <v>0</v>
      </c>
      <c r="L3361" s="696"/>
      <c r="M3361" s="659" t="str">
        <f>IF(AND(G3361&gt;0,E3361=0),"WARNING - no PRICE inserted",IF(H3361="free"," FREE ~ no charge this plant",IF(H3361="credit",CONCATENATE(" -$",ROUND(K3361*(1-T2GDiscount)*-1,2)," CREDIT after discount"),IF(T2GDiscount=0,"",IF(G3361=0,"",IF(F3361="Buy",CONCATENATE(" $",ROUND(K3361*(1-T2GDiscount),2)," with ",(T2GDiscount*100),"% discount"),CONCATENATE(" $",ROUND(K3361*(1-T2GDiscount),2)," with ",((T2GDiscount*100+F3361*100)-(T2GDiscount*100*F3361)),IF(F3361&gt;0,"% discounts",IF(NoWarrantyDiscount&gt;0,"% discounts","% discount")))))))))</f>
        <v/>
      </c>
      <c r="N3361" s="660"/>
      <c r="O3361" s="233"/>
      <c r="P3361" s="233"/>
      <c r="Q3361" s="233"/>
      <c r="R3361" s="233"/>
      <c r="S3361" s="233"/>
      <c r="T3361" s="508">
        <f t="shared" si="2571"/>
        <v>0</v>
      </c>
      <c r="U3361" s="225">
        <f>IF(NOT(ISNUMBER(G3361)), "", VLOOKUP(A3361,'Discount Lookup'!D:E,2,FALSE)*G3361)</f>
        <v>0</v>
      </c>
      <c r="V3361" s="225">
        <f>IF(NOT(ISNUMBER(G3361)), "", VLOOKUP(A3361,'Discount Lookup'!G:H,2,FALSE)*G3361)</f>
        <v>0</v>
      </c>
      <c r="W3361" s="508">
        <f t="shared" si="2572"/>
        <v>0</v>
      </c>
      <c r="X3361" s="508">
        <f t="shared" si="2573"/>
        <v>0</v>
      </c>
      <c r="Y3361" s="509" t="b">
        <f t="shared" si="2574"/>
        <v>0</v>
      </c>
      <c r="Z3361" s="510">
        <f t="shared" si="2575"/>
        <v>0</v>
      </c>
      <c r="AA3361" s="511"/>
      <c r="AB3361" s="511" t="str">
        <f t="shared" si="2576"/>
        <v/>
      </c>
      <c r="AC3361" s="698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698"/>
      <c r="AE3361" s="631" t="str">
        <f t="shared" si="2577"/>
        <v/>
      </c>
      <c r="AF3361" s="699" t="str">
        <f t="shared" si="2578"/>
        <v/>
      </c>
      <c r="AG3361" s="699"/>
      <c r="AH3361" s="699"/>
      <c r="AI3361" s="512">
        <f>IF(H3361="credit",0,IF(AE3361="free",0,IF(AE3361="me",0,IF(G3361&gt;0,(VLOOKUP(A3361,'Discount Lookup'!J:K,2)*G3361),0))))</f>
        <v>0</v>
      </c>
      <c r="AJ3361" s="513" t="str">
        <f t="shared" ca="1" si="2579"/>
        <v/>
      </c>
      <c r="AK3361" s="700" t="str">
        <f t="shared" si="2580"/>
        <v/>
      </c>
      <c r="AL3361" s="700"/>
      <c r="AM3361" s="505" t="str">
        <f t="shared" si="2581"/>
        <v/>
      </c>
      <c r="AN3361" s="506"/>
      <c r="AO3361" s="507"/>
      <c r="AP3361" s="507"/>
      <c r="AQ3361" s="507"/>
      <c r="AR3361" s="507"/>
      <c r="AS3361" s="507"/>
      <c r="AT3361" s="507"/>
      <c r="AU3361" s="507"/>
      <c r="AV3361" s="225"/>
      <c r="AW3361" s="508"/>
      <c r="AX3361" s="225"/>
      <c r="AY3361" s="225"/>
      <c r="AZ3361" s="225"/>
      <c r="BA3361" s="225"/>
      <c r="BB3361" s="225"/>
      <c r="BC3361" s="56"/>
      <c r="BD3361" s="56"/>
      <c r="BE3361" s="56"/>
      <c r="BF3361" s="107" t="str">
        <f t="shared" si="2582"/>
        <v>https://www.google.com/search?tbm=isch&amp;q=7%20G4</v>
      </c>
      <c r="BG3361" s="107" t="str">
        <f t="shared" si="2583"/>
        <v>S</v>
      </c>
      <c r="BH3361" s="254"/>
      <c r="BI3361" s="254"/>
    </row>
    <row r="3362" spans="1:61" customFormat="1" ht="17.25" thickBot="1" x14ac:dyDescent="0.3">
      <c r="A3362" s="524" t="s">
        <v>2246</v>
      </c>
      <c r="B3362" s="245"/>
      <c r="C3362" s="677"/>
      <c r="D3362" s="499"/>
      <c r="E3362" s="499"/>
      <c r="F3362" s="500"/>
      <c r="G3362" s="501"/>
      <c r="H3362" s="502"/>
      <c r="I3362" s="246"/>
      <c r="J3362" s="247"/>
      <c r="K3362" s="503"/>
      <c r="L3362" s="544"/>
      <c r="M3362" s="544"/>
      <c r="N3362" s="500"/>
      <c r="O3362" s="500"/>
      <c r="P3362" s="500"/>
      <c r="Q3362" s="500"/>
      <c r="R3362" s="500"/>
      <c r="S3362" s="278"/>
      <c r="T3362" s="508">
        <f t="shared" si="2571"/>
        <v>0</v>
      </c>
      <c r="U3362" s="225" t="str">
        <f>IF(NOT(ISNUMBER(G3362)), "", VLOOKUP(A3362,'Discount Lookup'!D:E,2,FALSE)*G3362)</f>
        <v/>
      </c>
      <c r="V3362" s="225" t="str">
        <f>IF(NOT(ISNUMBER(G3362)), "", VLOOKUP(A3362,'Discount Lookup'!G:H,2,FALSE)*G3362)</f>
        <v/>
      </c>
      <c r="W3362" s="508">
        <f t="shared" si="2572"/>
        <v>0</v>
      </c>
      <c r="X3362" s="508">
        <f t="shared" si="2573"/>
        <v>0</v>
      </c>
      <c r="Y3362" s="509" t="b">
        <f t="shared" si="2574"/>
        <v>0</v>
      </c>
      <c r="Z3362" s="510">
        <f t="shared" si="2575"/>
        <v>0</v>
      </c>
      <c r="AA3362" s="511"/>
      <c r="AB3362" s="511" t="str">
        <f t="shared" si="2576"/>
        <v/>
      </c>
      <c r="AC3362" s="698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698"/>
      <c r="AE3362" s="631" t="str">
        <f t="shared" si="2577"/>
        <v/>
      </c>
      <c r="AF3362" s="699" t="str">
        <f t="shared" si="2578"/>
        <v/>
      </c>
      <c r="AG3362" s="699"/>
      <c r="AH3362" s="699"/>
      <c r="AI3362" s="512">
        <f>IF(H3362="credit",0,IF(AE3362="free",0,IF(AE3362="me",0,IF(G3362&gt;0,(VLOOKUP(A3362,'Discount Lookup'!J:K,2)*G3362),0))))</f>
        <v>0</v>
      </c>
      <c r="AJ3362" s="513" t="str">
        <f t="shared" ca="1" si="2579"/>
        <v/>
      </c>
      <c r="AK3362" s="700" t="str">
        <f t="shared" si="2580"/>
        <v/>
      </c>
      <c r="AL3362" s="700"/>
      <c r="AM3362" s="505" t="str">
        <f t="shared" si="2581"/>
        <v/>
      </c>
      <c r="AN3362" s="506"/>
      <c r="AO3362" s="507"/>
      <c r="AP3362" s="507"/>
      <c r="AQ3362" s="507"/>
      <c r="AR3362" s="507"/>
      <c r="AS3362" s="507"/>
      <c r="AT3362" s="507"/>
      <c r="AU3362" s="507"/>
      <c r="AV3362" s="225"/>
      <c r="AW3362" s="508"/>
      <c r="AX3362" s="225"/>
      <c r="AY3362" s="225"/>
      <c r="AZ3362" s="225"/>
      <c r="BA3362" s="225"/>
      <c r="BB3362" s="225"/>
      <c r="BC3362" s="56"/>
      <c r="BD3362" s="56"/>
      <c r="BE3362" s="56"/>
      <c r="BF3362" s="107" t="str">
        <f t="shared" si="2582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3362" s="107" t="str">
        <f t="shared" si="2583"/>
        <v>S</v>
      </c>
      <c r="BH3362" s="254"/>
      <c r="BI3362" s="254"/>
    </row>
    <row r="3363" spans="1:61" customFormat="1" ht="18" x14ac:dyDescent="0.25">
      <c r="A3363" s="521" t="s">
        <v>1744</v>
      </c>
      <c r="B3363" s="477"/>
      <c r="C3363" s="674"/>
      <c r="D3363" s="478" t="s">
        <v>1745</v>
      </c>
      <c r="E3363" s="479"/>
      <c r="F3363" s="479"/>
      <c r="G3363" s="479"/>
      <c r="H3363" s="582" t="s">
        <v>463</v>
      </c>
      <c r="I3363" s="480" t="s">
        <v>827</v>
      </c>
      <c r="J3363" s="479"/>
      <c r="K3363" s="479"/>
      <c r="L3363" s="560"/>
      <c r="M3363" s="666" t="s">
        <v>4966</v>
      </c>
      <c r="N3363" s="680" t="str">
        <f>IF(AND(ISTEXT($A3363), ISERROR($A3363+0)), HYPERLINK($BF3363, "Images"), "")</f>
        <v>Images</v>
      </c>
      <c r="O3363" s="662" t="s">
        <v>4967</v>
      </c>
      <c r="P3363" s="482"/>
      <c r="Q3363" s="483"/>
      <c r="R3363" s="483"/>
      <c r="S3363" s="484"/>
      <c r="T3363" s="508">
        <f t="shared" si="2571"/>
        <v>0</v>
      </c>
      <c r="U3363" s="225" t="str">
        <f>IF(NOT(ISNUMBER(G3363)), "", VLOOKUP(A3363,'Discount Lookup'!D:E,2,FALSE)*G3363)</f>
        <v/>
      </c>
      <c r="V3363" s="225" t="str">
        <f>IF(NOT(ISNUMBER(G3363)), "", VLOOKUP(A3363,'Discount Lookup'!G:H,2,FALSE)*G3363)</f>
        <v/>
      </c>
      <c r="W3363" s="508">
        <f t="shared" si="2572"/>
        <v>0</v>
      </c>
      <c r="X3363" s="508" t="str">
        <f t="shared" si="2573"/>
        <v>Creamy White bloom</v>
      </c>
      <c r="Y3363" s="509" t="b">
        <f t="shared" si="2574"/>
        <v>0</v>
      </c>
      <c r="Z3363" s="510">
        <f t="shared" si="2575"/>
        <v>0</v>
      </c>
      <c r="AA3363" s="511"/>
      <c r="AB3363" s="511" t="str">
        <f t="shared" si="2576"/>
        <v/>
      </c>
      <c r="AC3363" s="698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698"/>
      <c r="AE3363" s="631" t="str">
        <f t="shared" si="2577"/>
        <v/>
      </c>
      <c r="AF3363" s="699" t="str">
        <f t="shared" si="2578"/>
        <v/>
      </c>
      <c r="AG3363" s="699"/>
      <c r="AH3363" s="699"/>
      <c r="AI3363" s="512">
        <f>IF(H3363="credit",0,IF(AE3363="free",0,IF(AE3363="me",0,IF(G3363&gt;0,(VLOOKUP(A3363,'Discount Lookup'!J:K,2)*G3363),0))))</f>
        <v>0</v>
      </c>
      <c r="AJ3363" s="513" t="str">
        <f t="shared" ca="1" si="2579"/>
        <v/>
      </c>
      <c r="AK3363" s="700" t="str">
        <f t="shared" si="2580"/>
        <v/>
      </c>
      <c r="AL3363" s="700"/>
      <c r="AM3363" s="505" t="str">
        <f t="shared" si="2581"/>
        <v/>
      </c>
      <c r="AN3363" s="506"/>
      <c r="AO3363" s="507"/>
      <c r="AP3363" s="507"/>
      <c r="AQ3363" s="507"/>
      <c r="AR3363" s="507"/>
      <c r="AS3363" s="507"/>
      <c r="AT3363" s="507"/>
      <c r="AU3363" s="507"/>
      <c r="AV3363" s="225"/>
      <c r="AW3363" s="508"/>
      <c r="AX3363" s="225"/>
      <c r="AY3363" s="225"/>
      <c r="AZ3363" s="225"/>
      <c r="BA3363" s="225"/>
      <c r="BB3363" s="225"/>
      <c r="BC3363" s="56"/>
      <c r="BD3363" s="56"/>
      <c r="BE3363" s="56"/>
      <c r="BF3363" s="107" t="str">
        <f t="shared" si="2582"/>
        <v>https://www.google.com/search?tbm=isch&amp;q=Skip%20Laurel%20Prunus%20laurocerasus%20%27Schipkaensis%27</v>
      </c>
      <c r="BG3363" s="107" t="str">
        <f t="shared" si="2583"/>
        <v>S</v>
      </c>
      <c r="BH3363" s="254"/>
      <c r="BI3363" s="254"/>
    </row>
    <row r="3364" spans="1:61" customFormat="1" ht="15.75" x14ac:dyDescent="0.25">
      <c r="A3364" s="485">
        <v>7</v>
      </c>
      <c r="B3364" s="486" t="s">
        <v>291</v>
      </c>
      <c r="C3364" s="487" t="s">
        <v>4936</v>
      </c>
      <c r="D3364" s="488" t="s">
        <v>300</v>
      </c>
      <c r="E3364" s="489">
        <v>124.95</v>
      </c>
      <c r="F3364" s="516" t="s">
        <v>293</v>
      </c>
      <c r="G3364" s="232">
        <v>0</v>
      </c>
      <c r="H3364" s="658" t="str">
        <f>IF(G3364=0,"",IF(F3364="Buy",IF(G3364=1,"plant","plants"),IF(F3364&gt;0.01,"warranty","Error")))</f>
        <v/>
      </c>
      <c r="I3364" s="490">
        <f>IF(H3364="free",0,IF(H3364="credit",((E3364*(F3364))*G3364*-1),IF(F3364="Buy",(E3364*G3364),((E3364*(1-F3364))*G3364))))</f>
        <v>0</v>
      </c>
      <c r="J3364" s="490">
        <f>IF(H3364="warranty",0,(I3364*(_xlfn.SINGLE(SalesTaxPercentage))))</f>
        <v>0</v>
      </c>
      <c r="K3364" s="695">
        <f t="shared" ref="K3364" si="2591">I3364+J3364</f>
        <v>0</v>
      </c>
      <c r="L3364" s="695"/>
      <c r="M3364" s="659" t="str">
        <f>IF(AND(G3364&gt;0,E3364=0),"WARNING - no PRICE inserted",IF(H3364="free"," FREE ~ no charge this plant",IF(H3364="credit",CONCATENATE(" -$",ROUND(K3364*(1-T2GDiscount)*-1,2)," CREDIT after discount"),IF(T2GDiscount=0,"",IF(G3364=0,"",IF(F3364="Buy",CONCATENATE(" $",ROUND(K3364*(1-T2GDiscount),2)," with ",(T2GDiscount*100),"% discount"),CONCATENATE(" $",ROUND(K3364*(1-T2GDiscount),2)," with ",((T2GDiscount*100+F3364*100)-(T2GDiscount*100*F3364)),IF(F3364&gt;0,"% discounts",IF(NoWarrantyDiscount&gt;0,"% discounts","% discount")))))))))</f>
        <v/>
      </c>
      <c r="N3364" s="660"/>
      <c r="O3364" s="233"/>
      <c r="P3364" s="233"/>
      <c r="Q3364" s="233"/>
      <c r="R3364" s="233"/>
      <c r="S3364" s="233"/>
      <c r="T3364" s="508">
        <f t="shared" si="2571"/>
        <v>0</v>
      </c>
      <c r="U3364" s="225">
        <f>IF(NOT(ISNUMBER(G3364)), "", VLOOKUP(A3364,'Discount Lookup'!D:E,2,FALSE)*G3364)</f>
        <v>0</v>
      </c>
      <c r="V3364" s="225">
        <f>IF(NOT(ISNUMBER(G3364)), "", VLOOKUP(A3364,'Discount Lookup'!G:H,2,FALSE)*G3364)</f>
        <v>0</v>
      </c>
      <c r="W3364" s="508">
        <f t="shared" si="2572"/>
        <v>0</v>
      </c>
      <c r="X3364" s="508">
        <f t="shared" si="2573"/>
        <v>0</v>
      </c>
      <c r="Y3364" s="509" t="b">
        <f t="shared" si="2574"/>
        <v>0</v>
      </c>
      <c r="Z3364" s="510">
        <f t="shared" si="2575"/>
        <v>0</v>
      </c>
      <c r="AA3364" s="511"/>
      <c r="AB3364" s="511" t="str">
        <f t="shared" si="2576"/>
        <v/>
      </c>
      <c r="AC3364" s="698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698"/>
      <c r="AE3364" s="631" t="str">
        <f t="shared" si="2577"/>
        <v/>
      </c>
      <c r="AF3364" s="699" t="str">
        <f t="shared" si="2578"/>
        <v/>
      </c>
      <c r="AG3364" s="699"/>
      <c r="AH3364" s="699"/>
      <c r="AI3364" s="512">
        <f>IF(H3364="credit",0,IF(AE3364="free",0,IF(AE3364="me",0,IF(G3364&gt;0,(VLOOKUP(A3364,'Discount Lookup'!J:K,2)*G3364),0))))</f>
        <v>0</v>
      </c>
      <c r="AJ3364" s="513" t="str">
        <f t="shared" ca="1" si="2579"/>
        <v/>
      </c>
      <c r="AK3364" s="700" t="str">
        <f t="shared" si="2580"/>
        <v/>
      </c>
      <c r="AL3364" s="700"/>
      <c r="AM3364" s="505" t="str">
        <f t="shared" si="2581"/>
        <v/>
      </c>
      <c r="AN3364" s="506"/>
      <c r="AO3364" s="507"/>
      <c r="AP3364" s="507"/>
      <c r="AQ3364" s="507"/>
      <c r="AR3364" s="507"/>
      <c r="AS3364" s="507"/>
      <c r="AT3364" s="507"/>
      <c r="AU3364" s="507"/>
      <c r="AV3364" s="225"/>
      <c r="AW3364" s="508"/>
      <c r="AX3364" s="225"/>
      <c r="AY3364" s="225"/>
      <c r="AZ3364" s="225"/>
      <c r="BA3364" s="225"/>
      <c r="BB3364" s="225"/>
      <c r="BC3364" s="56"/>
      <c r="BD3364" s="56"/>
      <c r="BE3364" s="56"/>
      <c r="BF3364" s="107" t="str">
        <f t="shared" si="2582"/>
        <v>https://www.google.com/search?tbm=isch&amp;q=7%20G6</v>
      </c>
      <c r="BG3364" s="107" t="str">
        <f t="shared" si="2583"/>
        <v>S</v>
      </c>
      <c r="BH3364" s="254"/>
      <c r="BI3364" s="254"/>
    </row>
    <row r="3365" spans="1:61" customFormat="1" ht="15.75" x14ac:dyDescent="0.25">
      <c r="A3365" s="485">
        <v>7</v>
      </c>
      <c r="B3365" s="486" t="s">
        <v>291</v>
      </c>
      <c r="C3365" s="487" t="s">
        <v>3774</v>
      </c>
      <c r="D3365" s="488" t="s">
        <v>292</v>
      </c>
      <c r="E3365" s="489">
        <v>137.94999999999999</v>
      </c>
      <c r="F3365" s="516" t="s">
        <v>293</v>
      </c>
      <c r="G3365" s="232">
        <v>0</v>
      </c>
      <c r="H3365" s="658" t="str">
        <f>IF(G3365=0,"",IF(F3365="Buy",IF(G3365=1,"plant","plants"),IF(F3365&gt;0.01,"warranty","Error")))</f>
        <v/>
      </c>
      <c r="I3365" s="490">
        <f>IF(H3365="free",0,IF(H3365="credit",((E3365*(F3365))*G3365*-1),IF(F3365="Buy",(E3365*G3365),((E3365*(1-F3365))*G3365))))</f>
        <v>0</v>
      </c>
      <c r="J3365" s="490">
        <f>IF(H3365="warranty",0,(I3365*(_xlfn.SINGLE(SalesTaxPercentage))))</f>
        <v>0</v>
      </c>
      <c r="K3365" s="695">
        <f t="shared" ref="K3365" si="2592">I3365+J3365</f>
        <v>0</v>
      </c>
      <c r="L3365" s="695"/>
      <c r="M3365" s="659" t="str">
        <f>IF(AND(G3365&gt;0,E3365=0),"WARNING - no PRICE inserted",IF(H3365="free"," FREE ~ no charge this plant",IF(H3365="credit",CONCATENATE(" -$",ROUND(K3365*(1-T2GDiscount)*-1,2)," CREDIT after discount"),IF(T2GDiscount=0,"",IF(G3365=0,"",IF(F3365="Buy",CONCATENATE(" $",ROUND(K3365*(1-T2GDiscount),2)," with ",(T2GDiscount*100),"% discount"),CONCATENATE(" $",ROUND(K3365*(1-T2GDiscount),2)," with ",((T2GDiscount*100+F3365*100)-(T2GDiscount*100*F3365)),IF(F3365&gt;0,"% discounts",IF(NoWarrantyDiscount&gt;0,"% discounts","% discount")))))))))</f>
        <v/>
      </c>
      <c r="N3365" s="660"/>
      <c r="O3365" s="233"/>
      <c r="P3365" s="233"/>
      <c r="Q3365" s="233"/>
      <c r="R3365" s="233"/>
      <c r="S3365" s="233"/>
      <c r="T3365" s="508">
        <f t="shared" si="2571"/>
        <v>0</v>
      </c>
      <c r="U3365" s="225">
        <f>IF(NOT(ISNUMBER(G3365)), "", VLOOKUP(A3365,'Discount Lookup'!D:E,2,FALSE)*G3365)</f>
        <v>0</v>
      </c>
      <c r="V3365" s="225">
        <f>IF(NOT(ISNUMBER(G3365)), "", VLOOKUP(A3365,'Discount Lookup'!G:H,2,FALSE)*G3365)</f>
        <v>0</v>
      </c>
      <c r="W3365" s="508">
        <f t="shared" si="2572"/>
        <v>0</v>
      </c>
      <c r="X3365" s="508">
        <f t="shared" si="2573"/>
        <v>0</v>
      </c>
      <c r="Y3365" s="509" t="b">
        <f t="shared" si="2574"/>
        <v>0</v>
      </c>
      <c r="Z3365" s="510">
        <f t="shared" si="2575"/>
        <v>0</v>
      </c>
      <c r="AA3365" s="511"/>
      <c r="AB3365" s="511" t="str">
        <f t="shared" si="2576"/>
        <v/>
      </c>
      <c r="AC3365" s="698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698"/>
      <c r="AE3365" s="631" t="str">
        <f t="shared" si="2577"/>
        <v/>
      </c>
      <c r="AF3365" s="699" t="str">
        <f t="shared" si="2578"/>
        <v/>
      </c>
      <c r="AG3365" s="699"/>
      <c r="AH3365" s="699"/>
      <c r="AI3365" s="512">
        <f>IF(H3365="credit",0,IF(AE3365="free",0,IF(AE3365="me",0,IF(G3365&gt;0,(VLOOKUP(A3365,'Discount Lookup'!J:K,2)*G3365),0))))</f>
        <v>0</v>
      </c>
      <c r="AJ3365" s="513" t="str">
        <f t="shared" ca="1" si="2579"/>
        <v/>
      </c>
      <c r="AK3365" s="700" t="str">
        <f t="shared" si="2580"/>
        <v/>
      </c>
      <c r="AL3365" s="700"/>
      <c r="AM3365" s="505" t="str">
        <f t="shared" si="2581"/>
        <v/>
      </c>
      <c r="AN3365" s="506"/>
      <c r="AO3365" s="507"/>
      <c r="AP3365" s="507"/>
      <c r="AQ3365" s="507"/>
      <c r="AR3365" s="507"/>
      <c r="AS3365" s="507"/>
      <c r="AT3365" s="507"/>
      <c r="AU3365" s="507"/>
      <c r="AV3365" s="225"/>
      <c r="AW3365" s="508"/>
      <c r="AX3365" s="225"/>
      <c r="AY3365" s="225"/>
      <c r="AZ3365" s="225"/>
      <c r="BA3365" s="225"/>
      <c r="BB3365" s="225"/>
      <c r="BC3365" s="56"/>
      <c r="BD3365" s="56"/>
      <c r="BE3365" s="56"/>
      <c r="BF3365" s="107" t="str">
        <f t="shared" si="2582"/>
        <v>https://www.google.com/search?tbm=isch&amp;q=7%20G4</v>
      </c>
      <c r="BG3365" s="107" t="str">
        <f t="shared" si="2583"/>
        <v>S</v>
      </c>
      <c r="BH3365" s="254"/>
      <c r="BI3365" s="254"/>
    </row>
    <row r="3366" spans="1:61" customFormat="1" ht="15.75" x14ac:dyDescent="0.25">
      <c r="A3366" s="485">
        <v>10</v>
      </c>
      <c r="B3366" s="486" t="s">
        <v>291</v>
      </c>
      <c r="C3366" s="487" t="s">
        <v>22</v>
      </c>
      <c r="D3366" s="488" t="s">
        <v>312</v>
      </c>
      <c r="E3366" s="489">
        <v>233.95</v>
      </c>
      <c r="F3366" s="516" t="s">
        <v>293</v>
      </c>
      <c r="G3366" s="232">
        <v>0</v>
      </c>
      <c r="H3366" s="658" t="str">
        <f>IF(G3366=0,"",IF(F3366="Buy",IF(G3366=1,"plant","plants"),IF(F3366&gt;0.01,"warranty","Error")))</f>
        <v/>
      </c>
      <c r="I3366" s="490">
        <f>IF(H3366="free",0,IF(H3366="credit",((E3366*(F3366))*G3366*-1),IF(F3366="Buy",(E3366*G3366),((E3366*(1-F3366))*G3366))))</f>
        <v>0</v>
      </c>
      <c r="J3366" s="490">
        <f>IF(H3366="warranty",0,(I3366*(_xlfn.SINGLE(SalesTaxPercentage))))</f>
        <v>0</v>
      </c>
      <c r="K3366" s="695">
        <f t="shared" ref="K3366" si="2593">I3366+J3366</f>
        <v>0</v>
      </c>
      <c r="L3366" s="695"/>
      <c r="M3366" s="659" t="str">
        <f>IF(AND(G3366&gt;0,E3366=0),"WARNING - no PRICE inserted",IF(H3366="free"," FREE ~ no charge this plant",IF(H3366="credit",CONCATENATE(" -$",ROUND(K3366*(1-T2GDiscount)*-1,2)," CREDIT after discount"),IF(T2GDiscount=0,"",IF(G3366=0,"",IF(F3366="Buy",CONCATENATE(" $",ROUND(K3366*(1-T2GDiscount),2)," with ",(T2GDiscount*100),"% discount"),CONCATENATE(" $",ROUND(K3366*(1-T2GDiscount),2)," with ",((T2GDiscount*100+F3366*100)-(T2GDiscount*100*F3366)),IF(F3366&gt;0,"% discounts",IF(NoWarrantyDiscount&gt;0,"% discounts","% discount")))))))))</f>
        <v/>
      </c>
      <c r="N3366" s="660"/>
      <c r="O3366" s="233"/>
      <c r="P3366" s="233"/>
      <c r="Q3366" s="233"/>
      <c r="R3366" s="233"/>
      <c r="S3366" s="233"/>
      <c r="T3366" s="508">
        <f t="shared" si="2571"/>
        <v>0</v>
      </c>
      <c r="U3366" s="225">
        <f>IF(NOT(ISNUMBER(G3366)), "", VLOOKUP(A3366,'Discount Lookup'!D:E,2,FALSE)*G3366)</f>
        <v>0</v>
      </c>
      <c r="V3366" s="225">
        <f>IF(NOT(ISNUMBER(G3366)), "", VLOOKUP(A3366,'Discount Lookup'!G:H,2,FALSE)*G3366)</f>
        <v>0</v>
      </c>
      <c r="W3366" s="508">
        <f t="shared" si="2572"/>
        <v>0</v>
      </c>
      <c r="X3366" s="508">
        <f t="shared" si="2573"/>
        <v>0</v>
      </c>
      <c r="Y3366" s="509" t="b">
        <f t="shared" si="2574"/>
        <v>0</v>
      </c>
      <c r="Z3366" s="510">
        <f t="shared" si="2575"/>
        <v>0</v>
      </c>
      <c r="AA3366" s="511"/>
      <c r="AB3366" s="511" t="str">
        <f t="shared" si="2576"/>
        <v/>
      </c>
      <c r="AC3366" s="698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698"/>
      <c r="AE3366" s="631" t="str">
        <f t="shared" si="2577"/>
        <v/>
      </c>
      <c r="AF3366" s="699" t="str">
        <f t="shared" si="2578"/>
        <v/>
      </c>
      <c r="AG3366" s="699"/>
      <c r="AH3366" s="699"/>
      <c r="AI3366" s="512">
        <f>IF(H3366="credit",0,IF(AE3366="free",0,IF(AE3366="me",0,IF(G3366&gt;0,(VLOOKUP(A3366,'Discount Lookup'!J:K,2)*G3366),0))))</f>
        <v>0</v>
      </c>
      <c r="AJ3366" s="513" t="str">
        <f t="shared" ca="1" si="2579"/>
        <v/>
      </c>
      <c r="AK3366" s="700" t="str">
        <f t="shared" si="2580"/>
        <v/>
      </c>
      <c r="AL3366" s="700"/>
      <c r="AM3366" s="505" t="str">
        <f t="shared" si="2581"/>
        <v/>
      </c>
      <c r="AN3366" s="506"/>
      <c r="AO3366" s="507"/>
      <c r="AP3366" s="507"/>
      <c r="AQ3366" s="507"/>
      <c r="AR3366" s="507"/>
      <c r="AS3366" s="507"/>
      <c r="AT3366" s="507"/>
      <c r="AU3366" s="507"/>
      <c r="AV3366" s="225"/>
      <c r="AW3366" s="508"/>
      <c r="AX3366" s="225"/>
      <c r="AY3366" s="225"/>
      <c r="AZ3366" s="225"/>
      <c r="BA3366" s="225"/>
      <c r="BB3366" s="225"/>
      <c r="BC3366" s="56"/>
      <c r="BD3366" s="56"/>
      <c r="BE3366" s="56"/>
      <c r="BF3366" s="107" t="str">
        <f t="shared" si="2582"/>
        <v>https://www.google.com/search?tbm=isch&amp;q=10%20G2</v>
      </c>
      <c r="BG3366" s="107" t="str">
        <f t="shared" si="2583"/>
        <v>S</v>
      </c>
      <c r="BH3366" s="254"/>
      <c r="BI3366" s="254"/>
    </row>
    <row r="3367" spans="1:61" customFormat="1" ht="15.75" x14ac:dyDescent="0.25">
      <c r="A3367" s="485">
        <v>25</v>
      </c>
      <c r="B3367" s="486" t="s">
        <v>291</v>
      </c>
      <c r="C3367" s="487" t="s">
        <v>3775</v>
      </c>
      <c r="D3367" s="488" t="s">
        <v>292</v>
      </c>
      <c r="E3367" s="489">
        <v>334.95</v>
      </c>
      <c r="F3367" s="516" t="s">
        <v>293</v>
      </c>
      <c r="G3367" s="232">
        <v>0</v>
      </c>
      <c r="H3367" s="658" t="str">
        <f>IF(G3367=0,"",IF(F3367="Buy",IF(G3367=1,"plant","plants"),IF(F3367&gt;0.01,"warranty","Error")))</f>
        <v/>
      </c>
      <c r="I3367" s="490">
        <f>IF(H3367="free",0,IF(H3367="credit",((E3367*(F3367))*G3367*-1),IF(F3367="Buy",(E3367*G3367),((E3367*(1-F3367))*G3367))))</f>
        <v>0</v>
      </c>
      <c r="J3367" s="490">
        <f>IF(H3367="warranty",0,(I3367*(_xlfn.SINGLE(SalesTaxPercentage))))</f>
        <v>0</v>
      </c>
      <c r="K3367" s="695">
        <f t="shared" ref="K3367" si="2594">I3367+J3367</f>
        <v>0</v>
      </c>
      <c r="L3367" s="695"/>
      <c r="M3367" s="659" t="str">
        <f>IF(AND(G3367&gt;0,E3367=0),"WARNING - no PRICE inserted",IF(H3367="free"," FREE ~ no charge this plant",IF(H3367="credit",CONCATENATE(" -$",ROUND(K3367*(1-T2GDiscount)*-1,2)," CREDIT after discount"),IF(T2GDiscount=0,"",IF(G3367=0,"",IF(F3367="Buy",CONCATENATE(" $",ROUND(K3367*(1-T2GDiscount),2)," with ",(T2GDiscount*100),"% discount"),CONCATENATE(" $",ROUND(K3367*(1-T2GDiscount),2)," with ",((T2GDiscount*100+F3367*100)-(T2GDiscount*100*F3367)),IF(F3367&gt;0,"% discounts",IF(NoWarrantyDiscount&gt;0,"% discounts","% discount")))))))))</f>
        <v/>
      </c>
      <c r="N3367" s="660"/>
      <c r="O3367" s="233"/>
      <c r="P3367" s="233"/>
      <c r="Q3367" s="233"/>
      <c r="R3367" s="233"/>
      <c r="S3367" s="233"/>
      <c r="T3367" s="508">
        <f t="shared" si="2571"/>
        <v>0</v>
      </c>
      <c r="U3367" s="225">
        <f>IF(NOT(ISNUMBER(G3367)), "", VLOOKUP(A3367,'Discount Lookup'!D:E,2,FALSE)*G3367)</f>
        <v>0</v>
      </c>
      <c r="V3367" s="225">
        <f>IF(NOT(ISNUMBER(G3367)), "", VLOOKUP(A3367,'Discount Lookup'!G:H,2,FALSE)*G3367)</f>
        <v>0</v>
      </c>
      <c r="W3367" s="508">
        <f t="shared" si="2572"/>
        <v>0</v>
      </c>
      <c r="X3367" s="508">
        <f t="shared" si="2573"/>
        <v>0</v>
      </c>
      <c r="Y3367" s="509" t="b">
        <f t="shared" si="2574"/>
        <v>0</v>
      </c>
      <c r="Z3367" s="510">
        <f t="shared" si="2575"/>
        <v>0</v>
      </c>
      <c r="AA3367" s="511"/>
      <c r="AB3367" s="511" t="str">
        <f t="shared" si="2576"/>
        <v/>
      </c>
      <c r="AC3367" s="698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698"/>
      <c r="AE3367" s="631" t="str">
        <f t="shared" si="2577"/>
        <v/>
      </c>
      <c r="AF3367" s="699" t="str">
        <f t="shared" si="2578"/>
        <v/>
      </c>
      <c r="AG3367" s="699"/>
      <c r="AH3367" s="699"/>
      <c r="AI3367" s="512">
        <f>IF(H3367="credit",0,IF(AE3367="free",0,IF(AE3367="me",0,IF(G3367&gt;0,(VLOOKUP(A3367,'Discount Lookup'!J:K,2)*G3367),0))))</f>
        <v>0</v>
      </c>
      <c r="AJ3367" s="513" t="str">
        <f t="shared" ca="1" si="2579"/>
        <v/>
      </c>
      <c r="AK3367" s="700" t="str">
        <f t="shared" si="2580"/>
        <v/>
      </c>
      <c r="AL3367" s="700"/>
      <c r="AM3367" s="505" t="str">
        <f t="shared" si="2581"/>
        <v/>
      </c>
      <c r="AN3367" s="506"/>
      <c r="AO3367" s="507"/>
      <c r="AP3367" s="507"/>
      <c r="AQ3367" s="507"/>
      <c r="AR3367" s="507"/>
      <c r="AS3367" s="507"/>
      <c r="AT3367" s="507"/>
      <c r="AU3367" s="507"/>
      <c r="AV3367" s="225"/>
      <c r="AW3367" s="508"/>
      <c r="AX3367" s="225"/>
      <c r="AY3367" s="225"/>
      <c r="AZ3367" s="225"/>
      <c r="BA3367" s="225"/>
      <c r="BB3367" s="225"/>
      <c r="BC3367" s="56"/>
      <c r="BD3367" s="56"/>
      <c r="BE3367" s="56"/>
      <c r="BF3367" s="107" t="str">
        <f t="shared" si="2582"/>
        <v>https://www.google.com/search?tbm=isch&amp;q=25%20G4</v>
      </c>
      <c r="BG3367" s="107" t="str">
        <f t="shared" si="2583"/>
        <v>S</v>
      </c>
      <c r="BH3367" s="254"/>
      <c r="BI3367" s="254"/>
    </row>
    <row r="3368" spans="1:61" customFormat="1" ht="17.25" thickBot="1" x14ac:dyDescent="0.3">
      <c r="A3368" s="672" t="s">
        <v>5233</v>
      </c>
      <c r="B3368" s="491"/>
      <c r="C3368" s="675"/>
      <c r="D3368" s="491"/>
      <c r="E3368" s="491"/>
      <c r="F3368" s="492"/>
      <c r="G3368" s="493"/>
      <c r="H3368" s="491"/>
      <c r="I3368" s="234"/>
      <c r="J3368" s="234"/>
      <c r="K3368" s="494"/>
      <c r="L3368" s="543"/>
      <c r="M3368" s="561"/>
      <c r="N3368" s="495"/>
      <c r="O3368" s="496"/>
      <c r="P3368" s="497"/>
      <c r="Q3368" s="495"/>
      <c r="R3368" s="495"/>
      <c r="S3368" s="667" t="s">
        <v>4986</v>
      </c>
      <c r="T3368" s="508">
        <f t="shared" si="2571"/>
        <v>0</v>
      </c>
      <c r="U3368" s="225" t="str">
        <f>IF(NOT(ISNUMBER(G3368)), "", VLOOKUP(A3368,'Discount Lookup'!D:E,2,FALSE)*G3368)</f>
        <v/>
      </c>
      <c r="V3368" s="225" t="str">
        <f>IF(NOT(ISNUMBER(G3368)), "", VLOOKUP(A3368,'Discount Lookup'!G:H,2,FALSE)*G3368)</f>
        <v/>
      </c>
      <c r="W3368" s="508">
        <f t="shared" si="2572"/>
        <v>0</v>
      </c>
      <c r="X3368" s="508">
        <f t="shared" si="2573"/>
        <v>0</v>
      </c>
      <c r="Y3368" s="509" t="b">
        <f t="shared" si="2574"/>
        <v>0</v>
      </c>
      <c r="Z3368" s="510">
        <f t="shared" si="2575"/>
        <v>0</v>
      </c>
      <c r="AA3368" s="511"/>
      <c r="AB3368" s="511" t="str">
        <f t="shared" si="2576"/>
        <v/>
      </c>
      <c r="AC3368" s="698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698"/>
      <c r="AE3368" s="631" t="str">
        <f t="shared" si="2577"/>
        <v/>
      </c>
      <c r="AF3368" s="699" t="str">
        <f t="shared" si="2578"/>
        <v/>
      </c>
      <c r="AG3368" s="699"/>
      <c r="AH3368" s="699"/>
      <c r="AI3368" s="512">
        <f>IF(H3368="credit",0,IF(AE3368="free",0,IF(AE3368="me",0,IF(G3368&gt;0,(VLOOKUP(A3368,'Discount Lookup'!J:K,2)*G3368),0))))</f>
        <v>0</v>
      </c>
      <c r="AJ3368" s="513" t="str">
        <f t="shared" ca="1" si="2579"/>
        <v/>
      </c>
      <c r="AK3368" s="700" t="str">
        <f t="shared" si="2580"/>
        <v/>
      </c>
      <c r="AL3368" s="700"/>
      <c r="AM3368" s="505" t="str">
        <f t="shared" si="2581"/>
        <v/>
      </c>
      <c r="AN3368" s="506"/>
      <c r="AO3368" s="507"/>
      <c r="AP3368" s="507"/>
      <c r="AQ3368" s="507"/>
      <c r="AR3368" s="507"/>
      <c r="AS3368" s="507"/>
      <c r="AT3368" s="507"/>
      <c r="AU3368" s="507"/>
      <c r="AV3368" s="225"/>
      <c r="AW3368" s="508"/>
      <c r="AX3368" s="225"/>
      <c r="AY3368" s="225"/>
      <c r="AZ3368" s="225"/>
      <c r="BA3368" s="225"/>
      <c r="BB3368" s="225"/>
      <c r="BC3368" s="56"/>
      <c r="BD3368" s="56"/>
      <c r="BE3368" s="56"/>
      <c r="BF3368" s="107" t="str">
        <f t="shared" si="2582"/>
        <v>https://www.google.com/search?tbm=isch&amp;q=moist%20sites%F0%9F%92%A7OK%2C%20Skip%20foliage%20is%20dark%20green%20on%20top%2C%20light%20green%20on%20bottom.%20Fragrant%20flowers%20are%20followed%20by%20small%20black%20drupes%20</v>
      </c>
      <c r="BG3368" s="107" t="str">
        <f t="shared" si="2583"/>
        <v>m</v>
      </c>
      <c r="BH3368" s="254"/>
      <c r="BI3368" s="254"/>
    </row>
    <row r="3369" spans="1:61" customFormat="1" ht="18" x14ac:dyDescent="0.25">
      <c r="A3369" s="521" t="s">
        <v>1746</v>
      </c>
      <c r="B3369" s="477"/>
      <c r="C3369" s="674"/>
      <c r="D3369" s="478" t="s">
        <v>1747</v>
      </c>
      <c r="E3369" s="479"/>
      <c r="F3369" s="479"/>
      <c r="G3369" s="479"/>
      <c r="H3369" s="582" t="s">
        <v>1748</v>
      </c>
      <c r="I3369" s="480" t="s">
        <v>2093</v>
      </c>
      <c r="J3369" s="479"/>
      <c r="K3369" s="479"/>
      <c r="L3369" s="560"/>
      <c r="M3369" s="666" t="s">
        <v>4966</v>
      </c>
      <c r="N3369" s="680" t="str">
        <f>IF(AND(ISTEXT($A3369), ISERROR($A3369+0)), HYPERLINK($BF3369, "Images"), "")</f>
        <v>Images</v>
      </c>
      <c r="O3369" s="662" t="s">
        <v>5001</v>
      </c>
      <c r="P3369" s="482"/>
      <c r="Q3369" s="483"/>
      <c r="R3369" s="483"/>
      <c r="S3369" s="484"/>
      <c r="T3369" s="508">
        <f t="shared" si="2571"/>
        <v>0</v>
      </c>
      <c r="U3369" s="225" t="str">
        <f>IF(NOT(ISNUMBER(G3369)), "", VLOOKUP(A3369,'Discount Lookup'!D:E,2,FALSE)*G3369)</f>
        <v/>
      </c>
      <c r="V3369" s="225" t="str">
        <f>IF(NOT(ISNUMBER(G3369)), "", VLOOKUP(A3369,'Discount Lookup'!G:H,2,FALSE)*G3369)</f>
        <v/>
      </c>
      <c r="W3369" s="508">
        <f t="shared" si="2572"/>
        <v>0</v>
      </c>
      <c r="X3369" s="508" t="str">
        <f t="shared" si="2573"/>
        <v>Dark Green foliage</v>
      </c>
      <c r="Y3369" s="509" t="b">
        <f t="shared" si="2574"/>
        <v>0</v>
      </c>
      <c r="Z3369" s="510">
        <f t="shared" si="2575"/>
        <v>0</v>
      </c>
      <c r="AA3369" s="511"/>
      <c r="AB3369" s="511" t="str">
        <f t="shared" si="2576"/>
        <v/>
      </c>
      <c r="AC3369" s="698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698"/>
      <c r="AE3369" s="631" t="str">
        <f t="shared" si="2577"/>
        <v/>
      </c>
      <c r="AF3369" s="699" t="str">
        <f t="shared" si="2578"/>
        <v/>
      </c>
      <c r="AG3369" s="699"/>
      <c r="AH3369" s="699"/>
      <c r="AI3369" s="512">
        <f>IF(H3369="credit",0,IF(AE3369="free",0,IF(AE3369="me",0,IF(G3369&gt;0,(VLOOKUP(A3369,'Discount Lookup'!J:K,2)*G3369),0))))</f>
        <v>0</v>
      </c>
      <c r="AJ3369" s="513" t="str">
        <f t="shared" ca="1" si="2579"/>
        <v/>
      </c>
      <c r="AK3369" s="700" t="str">
        <f t="shared" si="2580"/>
        <v/>
      </c>
      <c r="AL3369" s="700"/>
      <c r="AM3369" s="505" t="str">
        <f t="shared" si="2581"/>
        <v/>
      </c>
      <c r="AN3369" s="506"/>
      <c r="AO3369" s="507"/>
      <c r="AP3369" s="507"/>
      <c r="AQ3369" s="507"/>
      <c r="AR3369" s="507"/>
      <c r="AS3369" s="507"/>
      <c r="AT3369" s="507"/>
      <c r="AU3369" s="507"/>
      <c r="AV3369" s="225"/>
      <c r="AW3369" s="508"/>
      <c r="AX3369" s="225"/>
      <c r="AY3369" s="225"/>
      <c r="AZ3369" s="225"/>
      <c r="BA3369" s="225"/>
      <c r="BB3369" s="225"/>
      <c r="BC3369" s="56"/>
      <c r="BD3369" s="56"/>
      <c r="BE3369" s="56"/>
      <c r="BF3369" s="107" t="str">
        <f t="shared" si="2582"/>
        <v>https://www.google.com/search?tbm=isch&amp;q=Sky%20Pencil%20Holly%20Ilex%20crenata%20%27Sky%20Pencil%27</v>
      </c>
      <c r="BG3369" s="107" t="str">
        <f t="shared" si="2583"/>
        <v>S</v>
      </c>
      <c r="BH3369" s="254"/>
      <c r="BI3369" s="254"/>
    </row>
    <row r="3370" spans="1:61" customFormat="1" ht="15.75" x14ac:dyDescent="0.25">
      <c r="A3370" s="485">
        <v>1</v>
      </c>
      <c r="B3370" s="486" t="s">
        <v>291</v>
      </c>
      <c r="C3370" s="487" t="s">
        <v>1751</v>
      </c>
      <c r="D3370" s="488" t="s">
        <v>299</v>
      </c>
      <c r="E3370" s="489">
        <v>7.95</v>
      </c>
      <c r="F3370" s="516" t="s">
        <v>293</v>
      </c>
      <c r="G3370" s="232">
        <v>0</v>
      </c>
      <c r="H3370" s="658" t="str">
        <f t="shared" ref="H3370:H3381" si="2595">IF(G3370=0,"",IF(F3370="Buy",IF(G3370=1,"plant","plants"),IF(F3370&gt;0.01,"warranty","Error")))</f>
        <v/>
      </c>
      <c r="I3370" s="490">
        <f t="shared" ref="I3370:I3381" si="2596">IF(H3370="free",0,IF(H3370="credit",((E3370*(F3370))*G3370*-1),IF(F3370="Buy",(E3370*G3370),((E3370*(1-F3370))*G3370))))</f>
        <v>0</v>
      </c>
      <c r="J3370" s="490">
        <f t="shared" ref="J3370:J3381" si="2597">IF(H3370="warranty",0,(I3370*(_xlfn.SINGLE(SalesTaxPercentage))))</f>
        <v>0</v>
      </c>
      <c r="K3370" s="695">
        <f t="shared" ref="K3370" si="2598">I3370+J3370</f>
        <v>0</v>
      </c>
      <c r="L3370" s="695"/>
      <c r="M3370" s="659" t="str">
        <f t="shared" ref="M3370:M3381" si="2599">IF(AND(G3370&gt;0,E3370=0),"WARNING - no PRICE inserted",IF(H3370="free"," FREE ~ no charge this plant",IF(H3370="credit",CONCATENATE(" -$",ROUND(K3370*(1-T2GDiscount)*-1,2)," CREDIT after discount"),IF(T2GDiscount=0,"",IF(G3370=0,"",IF(F3370="Buy",CONCATENATE(" $",ROUND(K3370*(1-T2GDiscount),2)," with ",(T2GDiscount*100),"% discount"),CONCATENATE(" $",ROUND(K3370*(1-T2GDiscount),2)," with ",((T2GDiscount*100+F3370*100)-(T2GDiscount*100*F3370)),IF(F3370&gt;0,"% discounts",IF(NoWarrantyDiscount&gt;0,"% discounts","% discount")))))))))</f>
        <v/>
      </c>
      <c r="N3370" s="660"/>
      <c r="O3370" s="233"/>
      <c r="P3370" s="233"/>
      <c r="Q3370" s="233"/>
      <c r="R3370" s="233"/>
      <c r="S3370" s="233"/>
      <c r="T3370" s="508">
        <f t="shared" si="2571"/>
        <v>0</v>
      </c>
      <c r="U3370" s="225">
        <f>IF(NOT(ISNUMBER(G3370)), "", VLOOKUP(A3370,'Discount Lookup'!D:E,2,FALSE)*G3370)</f>
        <v>0</v>
      </c>
      <c r="V3370" s="225">
        <f>IF(NOT(ISNUMBER(G3370)), "", VLOOKUP(A3370,'Discount Lookup'!G:H,2,FALSE)*G3370)</f>
        <v>0</v>
      </c>
      <c r="W3370" s="508">
        <f t="shared" si="2572"/>
        <v>0</v>
      </c>
      <c r="X3370" s="508">
        <f t="shared" si="2573"/>
        <v>0</v>
      </c>
      <c r="Y3370" s="509" t="b">
        <f t="shared" si="2574"/>
        <v>0</v>
      </c>
      <c r="Z3370" s="510">
        <f t="shared" si="2575"/>
        <v>0</v>
      </c>
      <c r="AA3370" s="511"/>
      <c r="AB3370" s="511" t="str">
        <f t="shared" si="2576"/>
        <v/>
      </c>
      <c r="AC3370" s="698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698"/>
      <c r="AE3370" s="631" t="str">
        <f t="shared" si="2577"/>
        <v/>
      </c>
      <c r="AF3370" s="699" t="str">
        <f t="shared" si="2578"/>
        <v/>
      </c>
      <c r="AG3370" s="699"/>
      <c r="AH3370" s="699"/>
      <c r="AI3370" s="512">
        <f>IF(H3370="credit",0,IF(AE3370="free",0,IF(AE3370="me",0,IF(G3370&gt;0,(VLOOKUP(A3370,'Discount Lookup'!J:K,2)*G3370),0))))</f>
        <v>0</v>
      </c>
      <c r="AJ3370" s="513" t="str">
        <f t="shared" ca="1" si="2579"/>
        <v/>
      </c>
      <c r="AK3370" s="700" t="str">
        <f t="shared" si="2580"/>
        <v/>
      </c>
      <c r="AL3370" s="700"/>
      <c r="AM3370" s="505" t="str">
        <f t="shared" si="2581"/>
        <v/>
      </c>
      <c r="AN3370" s="506"/>
      <c r="AO3370" s="507"/>
      <c r="AP3370" s="507"/>
      <c r="AQ3370" s="507"/>
      <c r="AR3370" s="507"/>
      <c r="AS3370" s="507"/>
      <c r="AT3370" s="507"/>
      <c r="AU3370" s="507"/>
      <c r="AV3370" s="225"/>
      <c r="AW3370" s="508"/>
      <c r="AX3370" s="225"/>
      <c r="AY3370" s="225"/>
      <c r="AZ3370" s="225"/>
      <c r="BA3370" s="225"/>
      <c r="BB3370" s="225"/>
      <c r="BC3370" s="56"/>
      <c r="BD3370" s="56"/>
      <c r="BE3370" s="56"/>
      <c r="BF3370" s="107" t="str">
        <f t="shared" si="2582"/>
        <v>https://www.google.com/search?tbm=isch&amp;q=1%20G5</v>
      </c>
      <c r="BG3370" s="107" t="str">
        <f t="shared" si="2583"/>
        <v>S</v>
      </c>
      <c r="BH3370" s="254"/>
      <c r="BI3370" s="254"/>
    </row>
    <row r="3371" spans="1:61" customFormat="1" ht="15.75" x14ac:dyDescent="0.25">
      <c r="A3371" s="485">
        <v>3</v>
      </c>
      <c r="B3371" s="486" t="s">
        <v>291</v>
      </c>
      <c r="C3371" s="487" t="s">
        <v>1714</v>
      </c>
      <c r="D3371" s="488" t="s">
        <v>297</v>
      </c>
      <c r="E3371" s="489">
        <v>22.95</v>
      </c>
      <c r="F3371" s="516" t="s">
        <v>293</v>
      </c>
      <c r="G3371" s="232">
        <v>0</v>
      </c>
      <c r="H3371" s="658" t="str">
        <f t="shared" si="2595"/>
        <v/>
      </c>
      <c r="I3371" s="490">
        <f t="shared" si="2596"/>
        <v>0</v>
      </c>
      <c r="J3371" s="490">
        <f t="shared" si="2597"/>
        <v>0</v>
      </c>
      <c r="K3371" s="695">
        <f t="shared" ref="K3371" si="2600">I3371+J3371</f>
        <v>0</v>
      </c>
      <c r="L3371" s="695"/>
      <c r="M3371" s="659" t="str">
        <f t="shared" si="2599"/>
        <v/>
      </c>
      <c r="N3371" s="660"/>
      <c r="O3371" s="233"/>
      <c r="P3371" s="233"/>
      <c r="Q3371" s="233"/>
      <c r="R3371" s="233"/>
      <c r="S3371" s="233"/>
      <c r="T3371" s="508">
        <f t="shared" si="2571"/>
        <v>0</v>
      </c>
      <c r="U3371" s="225">
        <f>IF(NOT(ISNUMBER(G3371)), "", VLOOKUP(A3371,'Discount Lookup'!D:E,2,FALSE)*G3371)</f>
        <v>0</v>
      </c>
      <c r="V3371" s="225">
        <f>IF(NOT(ISNUMBER(G3371)), "", VLOOKUP(A3371,'Discount Lookup'!G:H,2,FALSE)*G3371)</f>
        <v>0</v>
      </c>
      <c r="W3371" s="508">
        <f t="shared" si="2572"/>
        <v>0</v>
      </c>
      <c r="X3371" s="508">
        <f t="shared" si="2573"/>
        <v>0</v>
      </c>
      <c r="Y3371" s="509" t="b">
        <f t="shared" si="2574"/>
        <v>0</v>
      </c>
      <c r="Z3371" s="510">
        <f t="shared" si="2575"/>
        <v>0</v>
      </c>
      <c r="AA3371" s="511"/>
      <c r="AB3371" s="511" t="str">
        <f t="shared" si="2576"/>
        <v/>
      </c>
      <c r="AC3371" s="698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698"/>
      <c r="AE3371" s="631" t="str">
        <f t="shared" si="2577"/>
        <v/>
      </c>
      <c r="AF3371" s="699" t="str">
        <f t="shared" si="2578"/>
        <v/>
      </c>
      <c r="AG3371" s="699"/>
      <c r="AH3371" s="699"/>
      <c r="AI3371" s="512">
        <f>IF(H3371="credit",0,IF(AE3371="free",0,IF(AE3371="me",0,IF(G3371&gt;0,(VLOOKUP(A3371,'Discount Lookup'!J:K,2)*G3371),0))))</f>
        <v>0</v>
      </c>
      <c r="AJ3371" s="513" t="str">
        <f t="shared" ca="1" si="2579"/>
        <v/>
      </c>
      <c r="AK3371" s="700" t="str">
        <f t="shared" si="2580"/>
        <v/>
      </c>
      <c r="AL3371" s="700"/>
      <c r="AM3371" s="505" t="str">
        <f t="shared" si="2581"/>
        <v/>
      </c>
      <c r="AN3371" s="506"/>
      <c r="AO3371" s="507"/>
      <c r="AP3371" s="507"/>
      <c r="AQ3371" s="507"/>
      <c r="AR3371" s="507"/>
      <c r="AS3371" s="507"/>
      <c r="AT3371" s="507"/>
      <c r="AU3371" s="507"/>
      <c r="AV3371" s="225"/>
      <c r="AW3371" s="508"/>
      <c r="AX3371" s="225"/>
      <c r="AY3371" s="225"/>
      <c r="AZ3371" s="225"/>
      <c r="BA3371" s="225"/>
      <c r="BB3371" s="225"/>
      <c r="BC3371" s="56"/>
      <c r="BD3371" s="56"/>
      <c r="BE3371" s="56"/>
      <c r="BF3371" s="107" t="str">
        <f t="shared" si="2582"/>
        <v>https://www.google.com/search?tbm=isch&amp;q=3%20G3</v>
      </c>
      <c r="BG3371" s="107" t="str">
        <f t="shared" si="2583"/>
        <v>S</v>
      </c>
      <c r="BH3371" s="254"/>
      <c r="BI3371" s="254"/>
    </row>
    <row r="3372" spans="1:61" customFormat="1" ht="15.75" x14ac:dyDescent="0.25">
      <c r="A3372" s="485">
        <v>3</v>
      </c>
      <c r="B3372" s="486" t="s">
        <v>291</v>
      </c>
      <c r="C3372" s="487" t="s">
        <v>1815</v>
      </c>
      <c r="D3372" s="488" t="s">
        <v>298</v>
      </c>
      <c r="E3372" s="489">
        <v>25.95</v>
      </c>
      <c r="F3372" s="516" t="s">
        <v>293</v>
      </c>
      <c r="G3372" s="232">
        <v>0</v>
      </c>
      <c r="H3372" s="658" t="str">
        <f t="shared" si="2595"/>
        <v/>
      </c>
      <c r="I3372" s="490">
        <f t="shared" si="2596"/>
        <v>0</v>
      </c>
      <c r="J3372" s="490">
        <f t="shared" si="2597"/>
        <v>0</v>
      </c>
      <c r="K3372" s="695">
        <f t="shared" ref="K3372" si="2601">I3372+J3372</f>
        <v>0</v>
      </c>
      <c r="L3372" s="695"/>
      <c r="M3372" s="659" t="str">
        <f t="shared" si="2599"/>
        <v/>
      </c>
      <c r="N3372" s="660"/>
      <c r="O3372" s="233"/>
      <c r="P3372" s="233"/>
      <c r="Q3372" s="233"/>
      <c r="R3372" s="233"/>
      <c r="S3372" s="233"/>
      <c r="T3372" s="508">
        <f t="shared" si="2571"/>
        <v>0</v>
      </c>
      <c r="U3372" s="225">
        <f>IF(NOT(ISNUMBER(G3372)), "", VLOOKUP(A3372,'Discount Lookup'!D:E,2,FALSE)*G3372)</f>
        <v>0</v>
      </c>
      <c r="V3372" s="225">
        <f>IF(NOT(ISNUMBER(G3372)), "", VLOOKUP(A3372,'Discount Lookup'!G:H,2,FALSE)*G3372)</f>
        <v>0</v>
      </c>
      <c r="W3372" s="508">
        <f t="shared" si="2572"/>
        <v>0</v>
      </c>
      <c r="X3372" s="508">
        <f t="shared" si="2573"/>
        <v>0</v>
      </c>
      <c r="Y3372" s="509" t="b">
        <f t="shared" si="2574"/>
        <v>0</v>
      </c>
      <c r="Z3372" s="510">
        <f t="shared" si="2575"/>
        <v>0</v>
      </c>
      <c r="AA3372" s="511"/>
      <c r="AB3372" s="511" t="str">
        <f t="shared" si="2576"/>
        <v/>
      </c>
      <c r="AC3372" s="698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698"/>
      <c r="AE3372" s="631" t="str">
        <f t="shared" si="2577"/>
        <v/>
      </c>
      <c r="AF3372" s="699" t="str">
        <f t="shared" si="2578"/>
        <v/>
      </c>
      <c r="AG3372" s="699"/>
      <c r="AH3372" s="699"/>
      <c r="AI3372" s="512">
        <f>IF(H3372="credit",0,IF(AE3372="free",0,IF(AE3372="me",0,IF(G3372&gt;0,(VLOOKUP(A3372,'Discount Lookup'!J:K,2)*G3372),0))))</f>
        <v>0</v>
      </c>
      <c r="AJ3372" s="513" t="str">
        <f t="shared" ca="1" si="2579"/>
        <v/>
      </c>
      <c r="AK3372" s="700" t="str">
        <f t="shared" si="2580"/>
        <v/>
      </c>
      <c r="AL3372" s="700"/>
      <c r="AM3372" s="505" t="str">
        <f t="shared" si="2581"/>
        <v/>
      </c>
      <c r="AN3372" s="506"/>
      <c r="AO3372" s="507"/>
      <c r="AP3372" s="507"/>
      <c r="AQ3372" s="507"/>
      <c r="AR3372" s="507"/>
      <c r="AS3372" s="507"/>
      <c r="AT3372" s="507"/>
      <c r="AU3372" s="507"/>
      <c r="AV3372" s="225"/>
      <c r="AW3372" s="508"/>
      <c r="AX3372" s="225"/>
      <c r="AY3372" s="225"/>
      <c r="AZ3372" s="225"/>
      <c r="BA3372" s="225"/>
      <c r="BB3372" s="225"/>
      <c r="BC3372" s="56"/>
      <c r="BD3372" s="56"/>
      <c r="BE3372" s="56"/>
      <c r="BF3372" s="107" t="str">
        <f t="shared" si="2582"/>
        <v>https://www.google.com/search?tbm=isch&amp;q=3%20G1</v>
      </c>
      <c r="BG3372" s="107" t="str">
        <f t="shared" si="2583"/>
        <v>S</v>
      </c>
      <c r="BH3372" s="254"/>
      <c r="BI3372" s="254"/>
    </row>
    <row r="3373" spans="1:61" customFormat="1" ht="15.75" x14ac:dyDescent="0.25">
      <c r="A3373" s="485">
        <v>3</v>
      </c>
      <c r="B3373" s="486" t="s">
        <v>291</v>
      </c>
      <c r="C3373" s="487" t="s">
        <v>18</v>
      </c>
      <c r="D3373" s="488" t="s">
        <v>312</v>
      </c>
      <c r="E3373" s="489">
        <v>25.95</v>
      </c>
      <c r="F3373" s="516" t="s">
        <v>293</v>
      </c>
      <c r="G3373" s="232">
        <v>0</v>
      </c>
      <c r="H3373" s="658" t="str">
        <f t="shared" si="2595"/>
        <v/>
      </c>
      <c r="I3373" s="490">
        <f t="shared" si="2596"/>
        <v>0</v>
      </c>
      <c r="J3373" s="490">
        <f t="shared" si="2597"/>
        <v>0</v>
      </c>
      <c r="K3373" s="695">
        <f t="shared" ref="K3373" si="2602">I3373+J3373</f>
        <v>0</v>
      </c>
      <c r="L3373" s="695"/>
      <c r="M3373" s="659" t="str">
        <f t="shared" si="2599"/>
        <v/>
      </c>
      <c r="N3373" s="660"/>
      <c r="O3373" s="233"/>
      <c r="P3373" s="233"/>
      <c r="Q3373" s="233"/>
      <c r="R3373" s="233"/>
      <c r="S3373" s="233"/>
      <c r="T3373" s="508">
        <f t="shared" si="2571"/>
        <v>0</v>
      </c>
      <c r="U3373" s="225">
        <f>IF(NOT(ISNUMBER(G3373)), "", VLOOKUP(A3373,'Discount Lookup'!D:E,2,FALSE)*G3373)</f>
        <v>0</v>
      </c>
      <c r="V3373" s="225">
        <f>IF(NOT(ISNUMBER(G3373)), "", VLOOKUP(A3373,'Discount Lookup'!G:H,2,FALSE)*G3373)</f>
        <v>0</v>
      </c>
      <c r="W3373" s="508">
        <f t="shared" si="2572"/>
        <v>0</v>
      </c>
      <c r="X3373" s="508">
        <f t="shared" si="2573"/>
        <v>0</v>
      </c>
      <c r="Y3373" s="509" t="b">
        <f t="shared" si="2574"/>
        <v>0</v>
      </c>
      <c r="Z3373" s="510">
        <f t="shared" si="2575"/>
        <v>0</v>
      </c>
      <c r="AA3373" s="511"/>
      <c r="AB3373" s="511" t="str">
        <f t="shared" si="2576"/>
        <v/>
      </c>
      <c r="AC3373" s="698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698"/>
      <c r="AE3373" s="631" t="str">
        <f t="shared" si="2577"/>
        <v/>
      </c>
      <c r="AF3373" s="699" t="str">
        <f t="shared" si="2578"/>
        <v/>
      </c>
      <c r="AG3373" s="699"/>
      <c r="AH3373" s="699"/>
      <c r="AI3373" s="512">
        <f>IF(H3373="credit",0,IF(AE3373="free",0,IF(AE3373="me",0,IF(G3373&gt;0,(VLOOKUP(A3373,'Discount Lookup'!J:K,2)*G3373),0))))</f>
        <v>0</v>
      </c>
      <c r="AJ3373" s="513" t="str">
        <f t="shared" ca="1" si="2579"/>
        <v/>
      </c>
      <c r="AK3373" s="700" t="str">
        <f t="shared" si="2580"/>
        <v/>
      </c>
      <c r="AL3373" s="700"/>
      <c r="AM3373" s="505" t="str">
        <f t="shared" si="2581"/>
        <v/>
      </c>
      <c r="AN3373" s="506"/>
      <c r="AO3373" s="507"/>
      <c r="AP3373" s="507"/>
      <c r="AQ3373" s="507"/>
      <c r="AR3373" s="507"/>
      <c r="AS3373" s="507"/>
      <c r="AT3373" s="507"/>
      <c r="AU3373" s="507"/>
      <c r="AV3373" s="225"/>
      <c r="AW3373" s="508"/>
      <c r="AX3373" s="225"/>
      <c r="AY3373" s="225"/>
      <c r="AZ3373" s="225"/>
      <c r="BA3373" s="225"/>
      <c r="BB3373" s="225"/>
      <c r="BC3373" s="56"/>
      <c r="BD3373" s="56"/>
      <c r="BE3373" s="56"/>
      <c r="BF3373" s="107" t="str">
        <f t="shared" si="2582"/>
        <v>https://www.google.com/search?tbm=isch&amp;q=3%20G2</v>
      </c>
      <c r="BG3373" s="107" t="str">
        <f t="shared" si="2583"/>
        <v>S</v>
      </c>
      <c r="BH3373" s="254"/>
      <c r="BI3373" s="254"/>
    </row>
    <row r="3374" spans="1:61" customFormat="1" ht="15.75" x14ac:dyDescent="0.25">
      <c r="A3374" s="485">
        <v>3</v>
      </c>
      <c r="B3374" s="486" t="s">
        <v>291</v>
      </c>
      <c r="C3374" s="487" t="s">
        <v>4937</v>
      </c>
      <c r="D3374" s="488" t="s">
        <v>300</v>
      </c>
      <c r="E3374" s="489">
        <v>27.95</v>
      </c>
      <c r="F3374" s="516" t="s">
        <v>293</v>
      </c>
      <c r="G3374" s="232">
        <v>0</v>
      </c>
      <c r="H3374" s="658" t="str">
        <f t="shared" si="2595"/>
        <v/>
      </c>
      <c r="I3374" s="490">
        <f t="shared" si="2596"/>
        <v>0</v>
      </c>
      <c r="J3374" s="490">
        <f t="shared" si="2597"/>
        <v>0</v>
      </c>
      <c r="K3374" s="695">
        <f t="shared" ref="K3374" si="2603">I3374+J3374</f>
        <v>0</v>
      </c>
      <c r="L3374" s="695"/>
      <c r="M3374" s="659" t="str">
        <f t="shared" si="2599"/>
        <v/>
      </c>
      <c r="N3374" s="660"/>
      <c r="O3374" s="233"/>
      <c r="P3374" s="233"/>
      <c r="Q3374" s="233"/>
      <c r="R3374" s="233"/>
      <c r="S3374" s="233"/>
      <c r="T3374" s="508">
        <f t="shared" si="2571"/>
        <v>0</v>
      </c>
      <c r="U3374" s="225">
        <f>IF(NOT(ISNUMBER(G3374)), "", VLOOKUP(A3374,'Discount Lookup'!D:E,2,FALSE)*G3374)</f>
        <v>0</v>
      </c>
      <c r="V3374" s="225">
        <f>IF(NOT(ISNUMBER(G3374)), "", VLOOKUP(A3374,'Discount Lookup'!G:H,2,FALSE)*G3374)</f>
        <v>0</v>
      </c>
      <c r="W3374" s="508">
        <f t="shared" si="2572"/>
        <v>0</v>
      </c>
      <c r="X3374" s="508">
        <f t="shared" si="2573"/>
        <v>0</v>
      </c>
      <c r="Y3374" s="509" t="b">
        <f t="shared" si="2574"/>
        <v>0</v>
      </c>
      <c r="Z3374" s="510">
        <f t="shared" si="2575"/>
        <v>0</v>
      </c>
      <c r="AA3374" s="511"/>
      <c r="AB3374" s="511" t="str">
        <f t="shared" si="2576"/>
        <v/>
      </c>
      <c r="AC3374" s="698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698"/>
      <c r="AE3374" s="631" t="str">
        <f t="shared" si="2577"/>
        <v/>
      </c>
      <c r="AF3374" s="699" t="str">
        <f t="shared" si="2578"/>
        <v/>
      </c>
      <c r="AG3374" s="699"/>
      <c r="AH3374" s="699"/>
      <c r="AI3374" s="512">
        <f>IF(H3374="credit",0,IF(AE3374="free",0,IF(AE3374="me",0,IF(G3374&gt;0,(VLOOKUP(A3374,'Discount Lookup'!J:K,2)*G3374),0))))</f>
        <v>0</v>
      </c>
      <c r="AJ3374" s="513" t="str">
        <f t="shared" ca="1" si="2579"/>
        <v/>
      </c>
      <c r="AK3374" s="700" t="str">
        <f t="shared" si="2580"/>
        <v/>
      </c>
      <c r="AL3374" s="700"/>
      <c r="AM3374" s="505" t="str">
        <f t="shared" si="2581"/>
        <v/>
      </c>
      <c r="AN3374" s="506"/>
      <c r="AO3374" s="507"/>
      <c r="AP3374" s="507"/>
      <c r="AQ3374" s="507"/>
      <c r="AR3374" s="507"/>
      <c r="AS3374" s="507"/>
      <c r="AT3374" s="507"/>
      <c r="AU3374" s="507"/>
      <c r="AV3374" s="225"/>
      <c r="AW3374" s="508"/>
      <c r="AX3374" s="225"/>
      <c r="AY3374" s="225"/>
      <c r="AZ3374" s="225"/>
      <c r="BA3374" s="225"/>
      <c r="BB3374" s="225"/>
      <c r="BC3374" s="56"/>
      <c r="BD3374" s="56"/>
      <c r="BE3374" s="56"/>
      <c r="BF3374" s="107" t="str">
        <f t="shared" si="2582"/>
        <v>https://www.google.com/search?tbm=isch&amp;q=3%20G6</v>
      </c>
      <c r="BG3374" s="107" t="str">
        <f t="shared" si="2583"/>
        <v>S</v>
      </c>
      <c r="BH3374" s="254"/>
      <c r="BI3374" s="254"/>
    </row>
    <row r="3375" spans="1:61" customFormat="1" ht="15.75" x14ac:dyDescent="0.25">
      <c r="A3375" s="485">
        <v>3</v>
      </c>
      <c r="B3375" s="486" t="s">
        <v>291</v>
      </c>
      <c r="C3375" s="487" t="s">
        <v>313</v>
      </c>
      <c r="D3375" s="488" t="s">
        <v>299</v>
      </c>
      <c r="E3375" s="489">
        <v>31.95</v>
      </c>
      <c r="F3375" s="516" t="s">
        <v>293</v>
      </c>
      <c r="G3375" s="232">
        <v>0</v>
      </c>
      <c r="H3375" s="658" t="str">
        <f t="shared" si="2595"/>
        <v/>
      </c>
      <c r="I3375" s="490">
        <f t="shared" si="2596"/>
        <v>0</v>
      </c>
      <c r="J3375" s="490">
        <f t="shared" si="2597"/>
        <v>0</v>
      </c>
      <c r="K3375" s="695">
        <f t="shared" ref="K3375" si="2604">I3375+J3375</f>
        <v>0</v>
      </c>
      <c r="L3375" s="695"/>
      <c r="M3375" s="659" t="str">
        <f t="shared" si="2599"/>
        <v/>
      </c>
      <c r="N3375" s="660"/>
      <c r="O3375" s="233"/>
      <c r="P3375" s="233"/>
      <c r="Q3375" s="233"/>
      <c r="R3375" s="233"/>
      <c r="S3375" s="233"/>
      <c r="T3375" s="508">
        <f t="shared" si="2571"/>
        <v>0</v>
      </c>
      <c r="U3375" s="225">
        <f>IF(NOT(ISNUMBER(G3375)), "", VLOOKUP(A3375,'Discount Lookup'!D:E,2,FALSE)*G3375)</f>
        <v>0</v>
      </c>
      <c r="V3375" s="225">
        <f>IF(NOT(ISNUMBER(G3375)), "", VLOOKUP(A3375,'Discount Lookup'!G:H,2,FALSE)*G3375)</f>
        <v>0</v>
      </c>
      <c r="W3375" s="508">
        <f t="shared" si="2572"/>
        <v>0</v>
      </c>
      <c r="X3375" s="508">
        <f t="shared" si="2573"/>
        <v>0</v>
      </c>
      <c r="Y3375" s="509" t="b">
        <f t="shared" si="2574"/>
        <v>0</v>
      </c>
      <c r="Z3375" s="510">
        <f t="shared" si="2575"/>
        <v>0</v>
      </c>
      <c r="AA3375" s="511"/>
      <c r="AB3375" s="511" t="str">
        <f t="shared" si="2576"/>
        <v/>
      </c>
      <c r="AC3375" s="698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698"/>
      <c r="AE3375" s="631" t="str">
        <f t="shared" si="2577"/>
        <v/>
      </c>
      <c r="AF3375" s="699" t="str">
        <f t="shared" si="2578"/>
        <v/>
      </c>
      <c r="AG3375" s="699"/>
      <c r="AH3375" s="699"/>
      <c r="AI3375" s="512">
        <f>IF(H3375="credit",0,IF(AE3375="free",0,IF(AE3375="me",0,IF(G3375&gt;0,(VLOOKUP(A3375,'Discount Lookup'!J:K,2)*G3375),0))))</f>
        <v>0</v>
      </c>
      <c r="AJ3375" s="513" t="str">
        <f t="shared" ca="1" si="2579"/>
        <v/>
      </c>
      <c r="AK3375" s="700" t="str">
        <f t="shared" si="2580"/>
        <v/>
      </c>
      <c r="AL3375" s="700"/>
      <c r="AM3375" s="505" t="str">
        <f t="shared" si="2581"/>
        <v/>
      </c>
      <c r="AN3375" s="506"/>
      <c r="AO3375" s="507"/>
      <c r="AP3375" s="507"/>
      <c r="AQ3375" s="507"/>
      <c r="AR3375" s="507"/>
      <c r="AS3375" s="507"/>
      <c r="AT3375" s="507"/>
      <c r="AU3375" s="507"/>
      <c r="AV3375" s="225"/>
      <c r="AW3375" s="508"/>
      <c r="AX3375" s="225"/>
      <c r="AY3375" s="225"/>
      <c r="AZ3375" s="225"/>
      <c r="BA3375" s="225"/>
      <c r="BB3375" s="225"/>
      <c r="BC3375" s="56"/>
      <c r="BD3375" s="56"/>
      <c r="BE3375" s="56"/>
      <c r="BF3375" s="107" t="str">
        <f t="shared" si="2582"/>
        <v>https://www.google.com/search?tbm=isch&amp;q=3%20G5</v>
      </c>
      <c r="BG3375" s="107" t="str">
        <f t="shared" si="2583"/>
        <v>S</v>
      </c>
      <c r="BH3375" s="254"/>
      <c r="BI3375" s="254"/>
    </row>
    <row r="3376" spans="1:61" customFormat="1" ht="15.75" x14ac:dyDescent="0.25">
      <c r="A3376" s="485">
        <v>7</v>
      </c>
      <c r="B3376" s="486" t="s">
        <v>291</v>
      </c>
      <c r="C3376" s="487" t="s">
        <v>1750</v>
      </c>
      <c r="D3376" s="488" t="s">
        <v>297</v>
      </c>
      <c r="E3376" s="489">
        <v>56.95</v>
      </c>
      <c r="F3376" s="516" t="s">
        <v>293</v>
      </c>
      <c r="G3376" s="232">
        <v>0</v>
      </c>
      <c r="H3376" s="658" t="str">
        <f t="shared" si="2595"/>
        <v/>
      </c>
      <c r="I3376" s="490">
        <f t="shared" si="2596"/>
        <v>0</v>
      </c>
      <c r="J3376" s="490">
        <f t="shared" si="2597"/>
        <v>0</v>
      </c>
      <c r="K3376" s="695">
        <f t="shared" ref="K3376" si="2605">I3376+J3376</f>
        <v>0</v>
      </c>
      <c r="L3376" s="695"/>
      <c r="M3376" s="659" t="str">
        <f t="shared" si="2599"/>
        <v/>
      </c>
      <c r="N3376" s="660"/>
      <c r="O3376" s="233"/>
      <c r="P3376" s="233"/>
      <c r="Q3376" s="233"/>
      <c r="R3376" s="233"/>
      <c r="S3376" s="233"/>
      <c r="T3376" s="508">
        <f t="shared" si="2571"/>
        <v>0</v>
      </c>
      <c r="U3376" s="225">
        <f>IF(NOT(ISNUMBER(G3376)), "", VLOOKUP(A3376,'Discount Lookup'!D:E,2,FALSE)*G3376)</f>
        <v>0</v>
      </c>
      <c r="V3376" s="225">
        <f>IF(NOT(ISNUMBER(G3376)), "", VLOOKUP(A3376,'Discount Lookup'!G:H,2,FALSE)*G3376)</f>
        <v>0</v>
      </c>
      <c r="W3376" s="508">
        <f t="shared" si="2572"/>
        <v>0</v>
      </c>
      <c r="X3376" s="508">
        <f t="shared" si="2573"/>
        <v>0</v>
      </c>
      <c r="Y3376" s="509" t="b">
        <f t="shared" si="2574"/>
        <v>0</v>
      </c>
      <c r="Z3376" s="510">
        <f t="shared" si="2575"/>
        <v>0</v>
      </c>
      <c r="AA3376" s="511"/>
      <c r="AB3376" s="511" t="str">
        <f t="shared" si="2576"/>
        <v/>
      </c>
      <c r="AC3376" s="698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698"/>
      <c r="AE3376" s="631" t="str">
        <f t="shared" si="2577"/>
        <v/>
      </c>
      <c r="AF3376" s="699" t="str">
        <f t="shared" si="2578"/>
        <v/>
      </c>
      <c r="AG3376" s="699"/>
      <c r="AH3376" s="699"/>
      <c r="AI3376" s="512">
        <f>IF(H3376="credit",0,IF(AE3376="free",0,IF(AE3376="me",0,IF(G3376&gt;0,(VLOOKUP(A3376,'Discount Lookup'!J:K,2)*G3376),0))))</f>
        <v>0</v>
      </c>
      <c r="AJ3376" s="513" t="str">
        <f t="shared" ca="1" si="2579"/>
        <v/>
      </c>
      <c r="AK3376" s="700" t="str">
        <f t="shared" si="2580"/>
        <v/>
      </c>
      <c r="AL3376" s="700"/>
      <c r="AM3376" s="505" t="str">
        <f t="shared" si="2581"/>
        <v/>
      </c>
      <c r="AN3376" s="506"/>
      <c r="AO3376" s="507"/>
      <c r="AP3376" s="507"/>
      <c r="AQ3376" s="507"/>
      <c r="AR3376" s="507"/>
      <c r="AS3376" s="507"/>
      <c r="AT3376" s="507"/>
      <c r="AU3376" s="507"/>
      <c r="AV3376" s="225"/>
      <c r="AW3376" s="508"/>
      <c r="AX3376" s="225"/>
      <c r="AY3376" s="225"/>
      <c r="AZ3376" s="225"/>
      <c r="BA3376" s="225"/>
      <c r="BB3376" s="225"/>
      <c r="BC3376" s="56"/>
      <c r="BD3376" s="56"/>
      <c r="BE3376" s="56"/>
      <c r="BF3376" s="107" t="str">
        <f t="shared" si="2582"/>
        <v>https://www.google.com/search?tbm=isch&amp;q=7%20G3</v>
      </c>
      <c r="BG3376" s="107" t="str">
        <f t="shared" si="2583"/>
        <v>S</v>
      </c>
      <c r="BH3376" s="254"/>
      <c r="BI3376" s="254"/>
    </row>
    <row r="3377" spans="1:61" customFormat="1" ht="15.75" x14ac:dyDescent="0.25">
      <c r="A3377" s="485">
        <v>7</v>
      </c>
      <c r="B3377" s="486" t="s">
        <v>291</v>
      </c>
      <c r="C3377" s="487" t="s">
        <v>2812</v>
      </c>
      <c r="D3377" s="488" t="s">
        <v>299</v>
      </c>
      <c r="E3377" s="489">
        <v>62.95</v>
      </c>
      <c r="F3377" s="516" t="s">
        <v>293</v>
      </c>
      <c r="G3377" s="232">
        <v>0</v>
      </c>
      <c r="H3377" s="658" t="str">
        <f t="shared" si="2595"/>
        <v/>
      </c>
      <c r="I3377" s="490">
        <f t="shared" si="2596"/>
        <v>0</v>
      </c>
      <c r="J3377" s="490">
        <f t="shared" si="2597"/>
        <v>0</v>
      </c>
      <c r="K3377" s="695">
        <f t="shared" ref="K3377" si="2606">I3377+J3377</f>
        <v>0</v>
      </c>
      <c r="L3377" s="695"/>
      <c r="M3377" s="659" t="str">
        <f t="shared" si="2599"/>
        <v/>
      </c>
      <c r="N3377" s="660"/>
      <c r="O3377" s="233"/>
      <c r="P3377" s="233"/>
      <c r="Q3377" s="233"/>
      <c r="R3377" s="233"/>
      <c r="S3377" s="233"/>
      <c r="T3377" s="508">
        <f t="shared" si="2571"/>
        <v>0</v>
      </c>
      <c r="U3377" s="225">
        <f>IF(NOT(ISNUMBER(G3377)), "", VLOOKUP(A3377,'Discount Lookup'!D:E,2,FALSE)*G3377)</f>
        <v>0</v>
      </c>
      <c r="V3377" s="225">
        <f>IF(NOT(ISNUMBER(G3377)), "", VLOOKUP(A3377,'Discount Lookup'!G:H,2,FALSE)*G3377)</f>
        <v>0</v>
      </c>
      <c r="W3377" s="508">
        <f t="shared" si="2572"/>
        <v>0</v>
      </c>
      <c r="X3377" s="508">
        <f t="shared" si="2573"/>
        <v>0</v>
      </c>
      <c r="Y3377" s="509" t="b">
        <f t="shared" si="2574"/>
        <v>0</v>
      </c>
      <c r="Z3377" s="510">
        <f t="shared" si="2575"/>
        <v>0</v>
      </c>
      <c r="AA3377" s="511"/>
      <c r="AB3377" s="511" t="str">
        <f t="shared" si="2576"/>
        <v/>
      </c>
      <c r="AC3377" s="698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698"/>
      <c r="AE3377" s="631" t="str">
        <f t="shared" si="2577"/>
        <v/>
      </c>
      <c r="AF3377" s="699" t="str">
        <f t="shared" si="2578"/>
        <v/>
      </c>
      <c r="AG3377" s="699"/>
      <c r="AH3377" s="699"/>
      <c r="AI3377" s="512">
        <f>IF(H3377="credit",0,IF(AE3377="free",0,IF(AE3377="me",0,IF(G3377&gt;0,(VLOOKUP(A3377,'Discount Lookup'!J:K,2)*G3377),0))))</f>
        <v>0</v>
      </c>
      <c r="AJ3377" s="513" t="str">
        <f t="shared" ca="1" si="2579"/>
        <v/>
      </c>
      <c r="AK3377" s="700" t="str">
        <f t="shared" si="2580"/>
        <v/>
      </c>
      <c r="AL3377" s="700"/>
      <c r="AM3377" s="505" t="str">
        <f t="shared" si="2581"/>
        <v/>
      </c>
      <c r="AN3377" s="506"/>
      <c r="AO3377" s="507"/>
      <c r="AP3377" s="507"/>
      <c r="AQ3377" s="507"/>
      <c r="AR3377" s="507"/>
      <c r="AS3377" s="507"/>
      <c r="AT3377" s="507"/>
      <c r="AU3377" s="507"/>
      <c r="AV3377" s="225"/>
      <c r="AW3377" s="508"/>
      <c r="AX3377" s="225"/>
      <c r="AY3377" s="225"/>
      <c r="AZ3377" s="225"/>
      <c r="BA3377" s="225"/>
      <c r="BB3377" s="225"/>
      <c r="BC3377" s="56"/>
      <c r="BD3377" s="56"/>
      <c r="BE3377" s="56"/>
      <c r="BF3377" s="107" t="str">
        <f t="shared" si="2582"/>
        <v>https://www.google.com/search?tbm=isch&amp;q=7%20G5</v>
      </c>
      <c r="BG3377" s="107" t="str">
        <f t="shared" si="2583"/>
        <v>S</v>
      </c>
      <c r="BH3377" s="254"/>
      <c r="BI3377" s="254"/>
    </row>
    <row r="3378" spans="1:61" customFormat="1" ht="15.75" x14ac:dyDescent="0.25">
      <c r="A3378" s="485">
        <v>7</v>
      </c>
      <c r="B3378" s="486" t="s">
        <v>291</v>
      </c>
      <c r="C3378" s="487" t="s">
        <v>3776</v>
      </c>
      <c r="D3378" s="488" t="s">
        <v>292</v>
      </c>
      <c r="E3378" s="489">
        <v>72.95</v>
      </c>
      <c r="F3378" s="516" t="s">
        <v>293</v>
      </c>
      <c r="G3378" s="232">
        <v>0</v>
      </c>
      <c r="H3378" s="658" t="str">
        <f t="shared" si="2595"/>
        <v/>
      </c>
      <c r="I3378" s="490">
        <f t="shared" si="2596"/>
        <v>0</v>
      </c>
      <c r="J3378" s="490">
        <f t="shared" si="2597"/>
        <v>0</v>
      </c>
      <c r="K3378" s="695">
        <f t="shared" ref="K3378" si="2607">I3378+J3378</f>
        <v>0</v>
      </c>
      <c r="L3378" s="695"/>
      <c r="M3378" s="659" t="str">
        <f t="shared" si="2599"/>
        <v/>
      </c>
      <c r="N3378" s="660"/>
      <c r="O3378" s="233"/>
      <c r="P3378" s="233"/>
      <c r="Q3378" s="233"/>
      <c r="R3378" s="233"/>
      <c r="S3378" s="233"/>
      <c r="T3378" s="508">
        <f t="shared" si="2571"/>
        <v>0</v>
      </c>
      <c r="U3378" s="225">
        <f>IF(NOT(ISNUMBER(G3378)), "", VLOOKUP(A3378,'Discount Lookup'!D:E,2,FALSE)*G3378)</f>
        <v>0</v>
      </c>
      <c r="V3378" s="225">
        <f>IF(NOT(ISNUMBER(G3378)), "", VLOOKUP(A3378,'Discount Lookup'!G:H,2,FALSE)*G3378)</f>
        <v>0</v>
      </c>
      <c r="W3378" s="508">
        <f t="shared" si="2572"/>
        <v>0</v>
      </c>
      <c r="X3378" s="508">
        <f t="shared" si="2573"/>
        <v>0</v>
      </c>
      <c r="Y3378" s="509" t="b">
        <f t="shared" si="2574"/>
        <v>0</v>
      </c>
      <c r="Z3378" s="510">
        <f t="shared" si="2575"/>
        <v>0</v>
      </c>
      <c r="AA3378" s="511"/>
      <c r="AB3378" s="511" t="str">
        <f t="shared" si="2576"/>
        <v/>
      </c>
      <c r="AC3378" s="698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698"/>
      <c r="AE3378" s="631" t="str">
        <f t="shared" si="2577"/>
        <v/>
      </c>
      <c r="AF3378" s="699" t="str">
        <f t="shared" si="2578"/>
        <v/>
      </c>
      <c r="AG3378" s="699"/>
      <c r="AH3378" s="699"/>
      <c r="AI3378" s="512">
        <f>IF(H3378="credit",0,IF(AE3378="free",0,IF(AE3378="me",0,IF(G3378&gt;0,(VLOOKUP(A3378,'Discount Lookup'!J:K,2)*G3378),0))))</f>
        <v>0</v>
      </c>
      <c r="AJ3378" s="513" t="str">
        <f t="shared" ca="1" si="2579"/>
        <v/>
      </c>
      <c r="AK3378" s="700" t="str">
        <f t="shared" si="2580"/>
        <v/>
      </c>
      <c r="AL3378" s="700"/>
      <c r="AM3378" s="505" t="str">
        <f t="shared" si="2581"/>
        <v/>
      </c>
      <c r="AN3378" s="506"/>
      <c r="AO3378" s="507"/>
      <c r="AP3378" s="507"/>
      <c r="AQ3378" s="507"/>
      <c r="AR3378" s="507"/>
      <c r="AS3378" s="507"/>
      <c r="AT3378" s="507"/>
      <c r="AU3378" s="507"/>
      <c r="AV3378" s="225"/>
      <c r="AW3378" s="508"/>
      <c r="AX3378" s="225"/>
      <c r="AY3378" s="225"/>
      <c r="AZ3378" s="225"/>
      <c r="BA3378" s="225"/>
      <c r="BB3378" s="225"/>
      <c r="BC3378" s="56"/>
      <c r="BD3378" s="56"/>
      <c r="BE3378" s="56"/>
      <c r="BF3378" s="107" t="str">
        <f t="shared" si="2582"/>
        <v>https://www.google.com/search?tbm=isch&amp;q=7%20G4</v>
      </c>
      <c r="BG3378" s="107" t="str">
        <f t="shared" si="2583"/>
        <v>S</v>
      </c>
      <c r="BH3378" s="254"/>
      <c r="BI3378" s="254"/>
    </row>
    <row r="3379" spans="1:61" customFormat="1" ht="15.75" x14ac:dyDescent="0.25">
      <c r="A3379" s="485">
        <v>10</v>
      </c>
      <c r="B3379" s="486" t="s">
        <v>291</v>
      </c>
      <c r="C3379" s="487" t="s">
        <v>2179</v>
      </c>
      <c r="D3379" s="488" t="s">
        <v>297</v>
      </c>
      <c r="E3379" s="489">
        <v>83.95</v>
      </c>
      <c r="F3379" s="516" t="s">
        <v>293</v>
      </c>
      <c r="G3379" s="232">
        <v>0</v>
      </c>
      <c r="H3379" s="658" t="str">
        <f t="shared" si="2595"/>
        <v/>
      </c>
      <c r="I3379" s="490">
        <f t="shared" si="2596"/>
        <v>0</v>
      </c>
      <c r="J3379" s="490">
        <f t="shared" si="2597"/>
        <v>0</v>
      </c>
      <c r="K3379" s="695">
        <f t="shared" ref="K3379" si="2608">I3379+J3379</f>
        <v>0</v>
      </c>
      <c r="L3379" s="695"/>
      <c r="M3379" s="659" t="str">
        <f t="shared" si="2599"/>
        <v/>
      </c>
      <c r="N3379" s="660"/>
      <c r="O3379" s="233"/>
      <c r="P3379" s="233"/>
      <c r="Q3379" s="233"/>
      <c r="R3379" s="233"/>
      <c r="S3379" s="233"/>
      <c r="T3379" s="508">
        <f t="shared" si="2571"/>
        <v>0</v>
      </c>
      <c r="U3379" s="225">
        <f>IF(NOT(ISNUMBER(G3379)), "", VLOOKUP(A3379,'Discount Lookup'!D:E,2,FALSE)*G3379)</f>
        <v>0</v>
      </c>
      <c r="V3379" s="225">
        <f>IF(NOT(ISNUMBER(G3379)), "", VLOOKUP(A3379,'Discount Lookup'!G:H,2,FALSE)*G3379)</f>
        <v>0</v>
      </c>
      <c r="W3379" s="508">
        <f t="shared" si="2572"/>
        <v>0</v>
      </c>
      <c r="X3379" s="508">
        <f t="shared" si="2573"/>
        <v>0</v>
      </c>
      <c r="Y3379" s="509" t="b">
        <f t="shared" si="2574"/>
        <v>0</v>
      </c>
      <c r="Z3379" s="510">
        <f t="shared" si="2575"/>
        <v>0</v>
      </c>
      <c r="AA3379" s="511"/>
      <c r="AB3379" s="511" t="str">
        <f t="shared" si="2576"/>
        <v/>
      </c>
      <c r="AC3379" s="698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698"/>
      <c r="AE3379" s="631" t="str">
        <f t="shared" si="2577"/>
        <v/>
      </c>
      <c r="AF3379" s="699" t="str">
        <f t="shared" si="2578"/>
        <v/>
      </c>
      <c r="AG3379" s="699"/>
      <c r="AH3379" s="699"/>
      <c r="AI3379" s="512">
        <f>IF(H3379="credit",0,IF(AE3379="free",0,IF(AE3379="me",0,IF(G3379&gt;0,(VLOOKUP(A3379,'Discount Lookup'!J:K,2)*G3379),0))))</f>
        <v>0</v>
      </c>
      <c r="AJ3379" s="513" t="str">
        <f t="shared" ca="1" si="2579"/>
        <v/>
      </c>
      <c r="AK3379" s="700" t="str">
        <f t="shared" si="2580"/>
        <v/>
      </c>
      <c r="AL3379" s="700"/>
      <c r="AM3379" s="505" t="str">
        <f t="shared" si="2581"/>
        <v/>
      </c>
      <c r="AN3379" s="506"/>
      <c r="AO3379" s="507"/>
      <c r="AP3379" s="507"/>
      <c r="AQ3379" s="507"/>
      <c r="AR3379" s="507"/>
      <c r="AS3379" s="507"/>
      <c r="AT3379" s="507"/>
      <c r="AU3379" s="507"/>
      <c r="AV3379" s="225"/>
      <c r="AW3379" s="508"/>
      <c r="AX3379" s="225"/>
      <c r="AY3379" s="225"/>
      <c r="AZ3379" s="225"/>
      <c r="BA3379" s="225"/>
      <c r="BB3379" s="225"/>
      <c r="BC3379" s="56"/>
      <c r="BD3379" s="56"/>
      <c r="BE3379" s="56"/>
      <c r="BF3379" s="107" t="str">
        <f t="shared" si="2582"/>
        <v>https://www.google.com/search?tbm=isch&amp;q=10%20G3</v>
      </c>
      <c r="BG3379" s="107" t="str">
        <f t="shared" si="2583"/>
        <v>S</v>
      </c>
      <c r="BH3379" s="254"/>
      <c r="BI3379" s="254"/>
    </row>
    <row r="3380" spans="1:61" customFormat="1" ht="15.75" x14ac:dyDescent="0.25">
      <c r="A3380" s="485">
        <v>7</v>
      </c>
      <c r="B3380" s="486" t="s">
        <v>291</v>
      </c>
      <c r="C3380" s="487" t="s">
        <v>1752</v>
      </c>
      <c r="D3380" s="488" t="s">
        <v>300</v>
      </c>
      <c r="E3380" s="489">
        <v>90.95</v>
      </c>
      <c r="F3380" s="516" t="s">
        <v>293</v>
      </c>
      <c r="G3380" s="232">
        <v>0</v>
      </c>
      <c r="H3380" s="658" t="str">
        <f t="shared" si="2595"/>
        <v/>
      </c>
      <c r="I3380" s="490">
        <f t="shared" si="2596"/>
        <v>0</v>
      </c>
      <c r="J3380" s="490">
        <f t="shared" si="2597"/>
        <v>0</v>
      </c>
      <c r="K3380" s="695">
        <f t="shared" ref="K3380" si="2609">I3380+J3380</f>
        <v>0</v>
      </c>
      <c r="L3380" s="695"/>
      <c r="M3380" s="659" t="str">
        <f t="shared" si="2599"/>
        <v/>
      </c>
      <c r="N3380" s="660"/>
      <c r="O3380" s="233"/>
      <c r="P3380" s="233"/>
      <c r="Q3380" s="233"/>
      <c r="R3380" s="233"/>
      <c r="S3380" s="233"/>
      <c r="T3380" s="508">
        <f t="shared" si="2571"/>
        <v>0</v>
      </c>
      <c r="U3380" s="225">
        <f>IF(NOT(ISNUMBER(G3380)), "", VLOOKUP(A3380,'Discount Lookup'!D:E,2,FALSE)*G3380)</f>
        <v>0</v>
      </c>
      <c r="V3380" s="225">
        <f>IF(NOT(ISNUMBER(G3380)), "", VLOOKUP(A3380,'Discount Lookup'!G:H,2,FALSE)*G3380)</f>
        <v>0</v>
      </c>
      <c r="W3380" s="508">
        <f t="shared" si="2572"/>
        <v>0</v>
      </c>
      <c r="X3380" s="508">
        <f t="shared" si="2573"/>
        <v>0</v>
      </c>
      <c r="Y3380" s="509" t="b">
        <f t="shared" si="2574"/>
        <v>0</v>
      </c>
      <c r="Z3380" s="510">
        <f t="shared" si="2575"/>
        <v>0</v>
      </c>
      <c r="AA3380" s="511"/>
      <c r="AB3380" s="511" t="str">
        <f t="shared" si="2576"/>
        <v/>
      </c>
      <c r="AC3380" s="698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698"/>
      <c r="AE3380" s="631" t="str">
        <f t="shared" si="2577"/>
        <v/>
      </c>
      <c r="AF3380" s="699" t="str">
        <f t="shared" si="2578"/>
        <v/>
      </c>
      <c r="AG3380" s="699"/>
      <c r="AH3380" s="699"/>
      <c r="AI3380" s="512">
        <f>IF(H3380="credit",0,IF(AE3380="free",0,IF(AE3380="me",0,IF(G3380&gt;0,(VLOOKUP(A3380,'Discount Lookup'!J:K,2)*G3380),0))))</f>
        <v>0</v>
      </c>
      <c r="AJ3380" s="513" t="str">
        <f t="shared" ca="1" si="2579"/>
        <v/>
      </c>
      <c r="AK3380" s="700" t="str">
        <f t="shared" si="2580"/>
        <v/>
      </c>
      <c r="AL3380" s="700"/>
      <c r="AM3380" s="505" t="str">
        <f t="shared" si="2581"/>
        <v/>
      </c>
      <c r="AN3380" s="506"/>
      <c r="AO3380" s="507"/>
      <c r="AP3380" s="507"/>
      <c r="AQ3380" s="507"/>
      <c r="AR3380" s="507"/>
      <c r="AS3380" s="507"/>
      <c r="AT3380" s="507"/>
      <c r="AU3380" s="507"/>
      <c r="AV3380" s="225"/>
      <c r="AW3380" s="508"/>
      <c r="AX3380" s="225"/>
      <c r="AY3380" s="225"/>
      <c r="AZ3380" s="225"/>
      <c r="BA3380" s="225"/>
      <c r="BB3380" s="225"/>
      <c r="BC3380" s="56"/>
      <c r="BD3380" s="56"/>
      <c r="BE3380" s="56"/>
      <c r="BF3380" s="107" t="str">
        <f t="shared" si="2582"/>
        <v>https://www.google.com/search?tbm=isch&amp;q=7%20G6</v>
      </c>
      <c r="BG3380" s="107" t="str">
        <f t="shared" si="2583"/>
        <v>S</v>
      </c>
      <c r="BH3380" s="254"/>
      <c r="BI3380" s="254"/>
    </row>
    <row r="3381" spans="1:61" customFormat="1" ht="15.75" x14ac:dyDescent="0.25">
      <c r="A3381" s="485">
        <v>15</v>
      </c>
      <c r="B3381" s="486" t="s">
        <v>291</v>
      </c>
      <c r="C3381" s="487" t="s">
        <v>22</v>
      </c>
      <c r="D3381" s="488" t="s">
        <v>312</v>
      </c>
      <c r="E3381" s="489">
        <v>158.94999999999999</v>
      </c>
      <c r="F3381" s="516" t="s">
        <v>293</v>
      </c>
      <c r="G3381" s="232">
        <v>0</v>
      </c>
      <c r="H3381" s="658" t="str">
        <f t="shared" si="2595"/>
        <v/>
      </c>
      <c r="I3381" s="490">
        <f t="shared" si="2596"/>
        <v>0</v>
      </c>
      <c r="J3381" s="490">
        <f t="shared" si="2597"/>
        <v>0</v>
      </c>
      <c r="K3381" s="695">
        <f t="shared" ref="K3381" si="2610">I3381+J3381</f>
        <v>0</v>
      </c>
      <c r="L3381" s="695"/>
      <c r="M3381" s="659" t="str">
        <f t="shared" si="2599"/>
        <v/>
      </c>
      <c r="N3381" s="660"/>
      <c r="O3381" s="233"/>
      <c r="P3381" s="233"/>
      <c r="Q3381" s="233"/>
      <c r="R3381" s="233"/>
      <c r="S3381" s="233"/>
      <c r="T3381" s="508">
        <f t="shared" si="2571"/>
        <v>0</v>
      </c>
      <c r="U3381" s="225">
        <f>IF(NOT(ISNUMBER(G3381)), "", VLOOKUP(A3381,'Discount Lookup'!D:E,2,FALSE)*G3381)</f>
        <v>0</v>
      </c>
      <c r="V3381" s="225">
        <f>IF(NOT(ISNUMBER(G3381)), "", VLOOKUP(A3381,'Discount Lookup'!G:H,2,FALSE)*G3381)</f>
        <v>0</v>
      </c>
      <c r="W3381" s="508">
        <f t="shared" si="2572"/>
        <v>0</v>
      </c>
      <c r="X3381" s="508">
        <f t="shared" si="2573"/>
        <v>0</v>
      </c>
      <c r="Y3381" s="509" t="b">
        <f t="shared" si="2574"/>
        <v>0</v>
      </c>
      <c r="Z3381" s="510">
        <f t="shared" si="2575"/>
        <v>0</v>
      </c>
      <c r="AA3381" s="511"/>
      <c r="AB3381" s="511" t="str">
        <f t="shared" si="2576"/>
        <v/>
      </c>
      <c r="AC3381" s="698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698"/>
      <c r="AE3381" s="631" t="str">
        <f t="shared" si="2577"/>
        <v/>
      </c>
      <c r="AF3381" s="699" t="str">
        <f t="shared" si="2578"/>
        <v/>
      </c>
      <c r="AG3381" s="699"/>
      <c r="AH3381" s="699"/>
      <c r="AI3381" s="512">
        <f>IF(H3381="credit",0,IF(AE3381="free",0,IF(AE3381="me",0,IF(G3381&gt;0,(VLOOKUP(A3381,'Discount Lookup'!J:K,2)*G3381),0))))</f>
        <v>0</v>
      </c>
      <c r="AJ3381" s="513" t="str">
        <f t="shared" ca="1" si="2579"/>
        <v/>
      </c>
      <c r="AK3381" s="700" t="str">
        <f t="shared" si="2580"/>
        <v/>
      </c>
      <c r="AL3381" s="700"/>
      <c r="AM3381" s="505" t="str">
        <f t="shared" si="2581"/>
        <v/>
      </c>
      <c r="AN3381" s="506"/>
      <c r="AO3381" s="507"/>
      <c r="AP3381" s="507"/>
      <c r="AQ3381" s="507"/>
      <c r="AR3381" s="507"/>
      <c r="AS3381" s="507"/>
      <c r="AT3381" s="507"/>
      <c r="AU3381" s="507"/>
      <c r="AV3381" s="225"/>
      <c r="AW3381" s="508"/>
      <c r="AX3381" s="225"/>
      <c r="AY3381" s="225"/>
      <c r="AZ3381" s="225"/>
      <c r="BA3381" s="225"/>
      <c r="BB3381" s="225"/>
      <c r="BC3381" s="56"/>
      <c r="BD3381" s="56"/>
      <c r="BE3381" s="56"/>
      <c r="BF3381" s="107" t="str">
        <f t="shared" si="2582"/>
        <v>https://www.google.com/search?tbm=isch&amp;q=15%20G2</v>
      </c>
      <c r="BG3381" s="107" t="str">
        <f t="shared" si="2583"/>
        <v>S</v>
      </c>
      <c r="BH3381" s="254"/>
      <c r="BI3381" s="254"/>
    </row>
    <row r="3382" spans="1:61" customFormat="1" ht="17.25" thickBot="1" x14ac:dyDescent="0.3">
      <c r="A3382" s="522" t="s">
        <v>2863</v>
      </c>
      <c r="B3382" s="491"/>
      <c r="C3382" s="675"/>
      <c r="D3382" s="491"/>
      <c r="E3382" s="491"/>
      <c r="F3382" s="492"/>
      <c r="G3382" s="493"/>
      <c r="H3382" s="491"/>
      <c r="I3382" s="234"/>
      <c r="J3382" s="234"/>
      <c r="K3382" s="494"/>
      <c r="L3382" s="543"/>
      <c r="M3382" s="561"/>
      <c r="N3382" s="495"/>
      <c r="O3382" s="496"/>
      <c r="P3382" s="497"/>
      <c r="Q3382" s="495"/>
      <c r="R3382" s="495"/>
      <c r="S3382" s="667" t="s">
        <v>5004</v>
      </c>
      <c r="T3382" s="508">
        <f t="shared" si="2571"/>
        <v>0</v>
      </c>
      <c r="U3382" s="225" t="str">
        <f>IF(NOT(ISNUMBER(G3382)), "", VLOOKUP(A3382,'Discount Lookup'!D:E,2,FALSE)*G3382)</f>
        <v/>
      </c>
      <c r="V3382" s="225" t="str">
        <f>IF(NOT(ISNUMBER(G3382)), "", VLOOKUP(A3382,'Discount Lookup'!G:H,2,FALSE)*G3382)</f>
        <v/>
      </c>
      <c r="W3382" s="508">
        <f t="shared" si="2572"/>
        <v>0</v>
      </c>
      <c r="X3382" s="508">
        <f t="shared" si="2573"/>
        <v>0</v>
      </c>
      <c r="Y3382" s="509" t="b">
        <f t="shared" si="2574"/>
        <v>0</v>
      </c>
      <c r="Z3382" s="510">
        <f t="shared" si="2575"/>
        <v>0</v>
      </c>
      <c r="AA3382" s="511"/>
      <c r="AB3382" s="511" t="str">
        <f t="shared" si="2576"/>
        <v/>
      </c>
      <c r="AC3382" s="698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698"/>
      <c r="AE3382" s="631" t="str">
        <f t="shared" si="2577"/>
        <v/>
      </c>
      <c r="AF3382" s="699" t="str">
        <f t="shared" si="2578"/>
        <v/>
      </c>
      <c r="AG3382" s="699"/>
      <c r="AH3382" s="699"/>
      <c r="AI3382" s="512">
        <f>IF(H3382="credit",0,IF(AE3382="free",0,IF(AE3382="me",0,IF(G3382&gt;0,(VLOOKUP(A3382,'Discount Lookup'!J:K,2)*G3382),0))))</f>
        <v>0</v>
      </c>
      <c r="AJ3382" s="513" t="str">
        <f t="shared" ca="1" si="2579"/>
        <v/>
      </c>
      <c r="AK3382" s="700" t="str">
        <f t="shared" si="2580"/>
        <v/>
      </c>
      <c r="AL3382" s="700"/>
      <c r="AM3382" s="505" t="str">
        <f t="shared" si="2581"/>
        <v/>
      </c>
      <c r="AN3382" s="506"/>
      <c r="AO3382" s="507"/>
      <c r="AP3382" s="507"/>
      <c r="AQ3382" s="507"/>
      <c r="AR3382" s="507"/>
      <c r="AS3382" s="507"/>
      <c r="AT3382" s="507"/>
      <c r="AU3382" s="507"/>
      <c r="AV3382" s="225"/>
      <c r="AW3382" s="508"/>
      <c r="AX3382" s="225"/>
      <c r="AY3382" s="225"/>
      <c r="AZ3382" s="225"/>
      <c r="BA3382" s="225"/>
      <c r="BB3382" s="225"/>
      <c r="BC3382" s="56"/>
      <c r="BD3382" s="56"/>
      <c r="BE3382" s="56"/>
      <c r="BF3382" s="107" t="str">
        <f t="shared" si="2582"/>
        <v>https://www.google.com/search?tbm=isch&amp;q=Sky%20Pencil%20are%20all%20female%2C%20requiring%20a%20male%20Holly%20to%20bear%20the%20Black%20fruit.%20Protect%20from%20wind%20%26%20late%20day%20sun%20</v>
      </c>
      <c r="BG3382" s="107" t="str">
        <f t="shared" si="2583"/>
        <v>S</v>
      </c>
      <c r="BH3382" s="254"/>
      <c r="BI3382" s="254"/>
    </row>
    <row r="3383" spans="1:61" customFormat="1" ht="18" x14ac:dyDescent="0.25">
      <c r="A3383" s="521" t="s">
        <v>1753</v>
      </c>
      <c r="B3383" s="477"/>
      <c r="C3383" s="674"/>
      <c r="D3383" s="478" t="s">
        <v>1754</v>
      </c>
      <c r="E3383" s="479"/>
      <c r="F3383" s="479"/>
      <c r="G3383" s="479"/>
      <c r="H3383" s="582" t="s">
        <v>1755</v>
      </c>
      <c r="I3383" s="480" t="s">
        <v>2304</v>
      </c>
      <c r="J3383" s="479"/>
      <c r="K3383" s="479"/>
      <c r="L3383" s="560"/>
      <c r="M3383" s="666" t="s">
        <v>4966</v>
      </c>
      <c r="N3383" s="680" t="str">
        <f>IF(AND(ISTEXT($A3383), ISERROR($A3383+0)), HYPERLINK($BF3383, "Images"), "")</f>
        <v>Images</v>
      </c>
      <c r="O3383" s="662" t="s">
        <v>4967</v>
      </c>
      <c r="P3383" s="482"/>
      <c r="Q3383" s="483"/>
      <c r="R3383" s="483"/>
      <c r="S3383" s="484"/>
      <c r="T3383" s="508">
        <f t="shared" si="2571"/>
        <v>0</v>
      </c>
      <c r="U3383" s="225" t="str">
        <f>IF(NOT(ISNUMBER(G3383)), "", VLOOKUP(A3383,'Discount Lookup'!D:E,2,FALSE)*G3383)</f>
        <v/>
      </c>
      <c r="V3383" s="225" t="str">
        <f>IF(NOT(ISNUMBER(G3383)), "", VLOOKUP(A3383,'Discount Lookup'!G:H,2,FALSE)*G3383)</f>
        <v/>
      </c>
      <c r="W3383" s="508">
        <f t="shared" si="2572"/>
        <v>0</v>
      </c>
      <c r="X3383" s="508" t="str">
        <f t="shared" si="2573"/>
        <v>Golden-Green needles</v>
      </c>
      <c r="Y3383" s="509" t="b">
        <f t="shared" si="2574"/>
        <v>0</v>
      </c>
      <c r="Z3383" s="510">
        <f t="shared" si="2575"/>
        <v>0</v>
      </c>
      <c r="AA3383" s="511"/>
      <c r="AB3383" s="511" t="str">
        <f t="shared" si="2576"/>
        <v/>
      </c>
      <c r="AC3383" s="698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698"/>
      <c r="AE3383" s="631" t="str">
        <f t="shared" si="2577"/>
        <v/>
      </c>
      <c r="AF3383" s="699" t="str">
        <f t="shared" si="2578"/>
        <v/>
      </c>
      <c r="AG3383" s="699"/>
      <c r="AH3383" s="699"/>
      <c r="AI3383" s="512">
        <f>IF(H3383="credit",0,IF(AE3383="free",0,IF(AE3383="me",0,IF(G3383&gt;0,(VLOOKUP(A3383,'Discount Lookup'!J:K,2)*G3383),0))))</f>
        <v>0</v>
      </c>
      <c r="AJ3383" s="513" t="str">
        <f t="shared" ca="1" si="2579"/>
        <v/>
      </c>
      <c r="AK3383" s="700" t="str">
        <f t="shared" si="2580"/>
        <v/>
      </c>
      <c r="AL3383" s="700"/>
      <c r="AM3383" s="505" t="str">
        <f t="shared" si="2581"/>
        <v/>
      </c>
      <c r="AN3383" s="506"/>
      <c r="AO3383" s="507"/>
      <c r="AP3383" s="507"/>
      <c r="AQ3383" s="507"/>
      <c r="AR3383" s="507"/>
      <c r="AS3383" s="507"/>
      <c r="AT3383" s="507"/>
      <c r="AU3383" s="507"/>
      <c r="AV3383" s="225"/>
      <c r="AW3383" s="508"/>
      <c r="AX3383" s="225"/>
      <c r="AY3383" s="225"/>
      <c r="AZ3383" s="225"/>
      <c r="BA3383" s="225"/>
      <c r="BB3383" s="225"/>
      <c r="BC3383" s="56"/>
      <c r="BD3383" s="56"/>
      <c r="BE3383" s="56"/>
      <c r="BF3383" s="107" t="str">
        <f t="shared" si="2582"/>
        <v>https://www.google.com/search?tbm=isch&amp;q=Skylands%20Oriental%20Spruce%20Picea%20orientalis%20%27Skylands%27</v>
      </c>
      <c r="BG3383" s="107" t="str">
        <f t="shared" si="2583"/>
        <v>S</v>
      </c>
      <c r="BH3383" s="254"/>
      <c r="BI3383" s="254"/>
    </row>
    <row r="3384" spans="1:61" customFormat="1" ht="15.75" x14ac:dyDescent="0.25">
      <c r="A3384" s="485">
        <v>7</v>
      </c>
      <c r="B3384" s="486" t="s">
        <v>291</v>
      </c>
      <c r="C3384" s="487" t="s">
        <v>3777</v>
      </c>
      <c r="D3384" s="488" t="s">
        <v>292</v>
      </c>
      <c r="E3384" s="489">
        <v>169.95</v>
      </c>
      <c r="F3384" s="516" t="s">
        <v>293</v>
      </c>
      <c r="G3384" s="232">
        <v>0</v>
      </c>
      <c r="H3384" s="658" t="str">
        <f>IF(G3384=0,"",IF(F3384="Buy",IF(G3384=1,"plant","plants"),IF(F3384&gt;0.01,"warranty","Error")))</f>
        <v/>
      </c>
      <c r="I3384" s="490">
        <f>IF(H3384="free",0,IF(H3384="credit",((E3384*(F3384))*G3384*-1),IF(F3384="Buy",(E3384*G3384),((E3384*(1-F3384))*G3384))))</f>
        <v>0</v>
      </c>
      <c r="J3384" s="490">
        <f>IF(H3384="warranty",0,(I3384*(_xlfn.SINGLE(SalesTaxPercentage))))</f>
        <v>0</v>
      </c>
      <c r="K3384" s="695">
        <f t="shared" ref="K3384" si="2611">I3384+J3384</f>
        <v>0</v>
      </c>
      <c r="L3384" s="695"/>
      <c r="M3384" s="659" t="str">
        <f>IF(AND(G3384&gt;0,E3384=0),"WARNING - no PRICE inserted",IF(H3384="free"," FREE ~ no charge this plant",IF(H3384="credit",CONCATENATE(" -$",ROUND(K3384*(1-T2GDiscount)*-1,2)," CREDIT after discount"),IF(T2GDiscount=0,"",IF(G3384=0,"",IF(F3384="Buy",CONCATENATE(" $",ROUND(K3384*(1-T2GDiscount),2)," with ",(T2GDiscount*100),"% discount"),CONCATENATE(" $",ROUND(K3384*(1-T2GDiscount),2)," with ",((T2GDiscount*100+F3384*100)-(T2GDiscount*100*F3384)),IF(F3384&gt;0,"% discounts",IF(NoWarrantyDiscount&gt;0,"% discounts","% discount")))))))))</f>
        <v/>
      </c>
      <c r="N3384" s="660"/>
      <c r="O3384" s="233"/>
      <c r="P3384" s="233"/>
      <c r="Q3384" s="233"/>
      <c r="R3384" s="233"/>
      <c r="S3384" s="233"/>
      <c r="T3384" s="508">
        <f t="shared" si="2571"/>
        <v>0</v>
      </c>
      <c r="U3384" s="225">
        <f>IF(NOT(ISNUMBER(G3384)), "", VLOOKUP(A3384,'Discount Lookup'!D:E,2,FALSE)*G3384)</f>
        <v>0</v>
      </c>
      <c r="V3384" s="225">
        <f>IF(NOT(ISNUMBER(G3384)), "", VLOOKUP(A3384,'Discount Lookup'!G:H,2,FALSE)*G3384)</f>
        <v>0</v>
      </c>
      <c r="W3384" s="508">
        <f t="shared" si="2572"/>
        <v>0</v>
      </c>
      <c r="X3384" s="508">
        <f t="shared" si="2573"/>
        <v>0</v>
      </c>
      <c r="Y3384" s="509" t="b">
        <f t="shared" si="2574"/>
        <v>0</v>
      </c>
      <c r="Z3384" s="510">
        <f t="shared" si="2575"/>
        <v>0</v>
      </c>
      <c r="AA3384" s="511"/>
      <c r="AB3384" s="511" t="str">
        <f t="shared" si="2576"/>
        <v/>
      </c>
      <c r="AC3384" s="698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698"/>
      <c r="AE3384" s="631" t="str">
        <f t="shared" si="2577"/>
        <v/>
      </c>
      <c r="AF3384" s="699" t="str">
        <f t="shared" si="2578"/>
        <v/>
      </c>
      <c r="AG3384" s="699"/>
      <c r="AH3384" s="699"/>
      <c r="AI3384" s="512">
        <f>IF(H3384="credit",0,IF(AE3384="free",0,IF(AE3384="me",0,IF(G3384&gt;0,(VLOOKUP(A3384,'Discount Lookup'!J:K,2)*G3384),0))))</f>
        <v>0</v>
      </c>
      <c r="AJ3384" s="513" t="str">
        <f t="shared" ca="1" si="2579"/>
        <v/>
      </c>
      <c r="AK3384" s="700" t="str">
        <f t="shared" si="2580"/>
        <v/>
      </c>
      <c r="AL3384" s="700"/>
      <c r="AM3384" s="505" t="str">
        <f t="shared" si="2581"/>
        <v/>
      </c>
      <c r="AN3384" s="506"/>
      <c r="AO3384" s="507"/>
      <c r="AP3384" s="507"/>
      <c r="AQ3384" s="507"/>
      <c r="AR3384" s="507"/>
      <c r="AS3384" s="507"/>
      <c r="AT3384" s="507"/>
      <c r="AU3384" s="507"/>
      <c r="AV3384" s="225"/>
      <c r="AW3384" s="508"/>
      <c r="AX3384" s="225"/>
      <c r="AY3384" s="225"/>
      <c r="AZ3384" s="225"/>
      <c r="BA3384" s="225"/>
      <c r="BB3384" s="225"/>
      <c r="BC3384" s="56"/>
      <c r="BD3384" s="56"/>
      <c r="BE3384" s="56"/>
      <c r="BF3384" s="107" t="str">
        <f t="shared" si="2582"/>
        <v>https://www.google.com/search?tbm=isch&amp;q=7%20G4</v>
      </c>
      <c r="BG3384" s="107" t="str">
        <f t="shared" si="2583"/>
        <v>S</v>
      </c>
      <c r="BH3384" s="254"/>
      <c r="BI3384" s="254"/>
    </row>
    <row r="3385" spans="1:61" customFormat="1" ht="15.75" x14ac:dyDescent="0.25">
      <c r="A3385" s="485">
        <v>15</v>
      </c>
      <c r="B3385" s="486" t="s">
        <v>291</v>
      </c>
      <c r="C3385" s="487" t="s">
        <v>3778</v>
      </c>
      <c r="D3385" s="488" t="s">
        <v>292</v>
      </c>
      <c r="E3385" s="489">
        <v>316.95</v>
      </c>
      <c r="F3385" s="516" t="s">
        <v>293</v>
      </c>
      <c r="G3385" s="232">
        <v>0</v>
      </c>
      <c r="H3385" s="658" t="str">
        <f>IF(G3385=0,"",IF(F3385="Buy",IF(G3385=1,"plant","plants"),IF(F3385&gt;0.01,"warranty","Error")))</f>
        <v/>
      </c>
      <c r="I3385" s="490">
        <f>IF(H3385="free",0,IF(H3385="credit",((E3385*(F3385))*G3385*-1),IF(F3385="Buy",(E3385*G3385),((E3385*(1-F3385))*G3385))))</f>
        <v>0</v>
      </c>
      <c r="J3385" s="490">
        <f>IF(H3385="warranty",0,(I3385*(_xlfn.SINGLE(SalesTaxPercentage))))</f>
        <v>0</v>
      </c>
      <c r="K3385" s="695">
        <f t="shared" ref="K3385" si="2612">I3385+J3385</f>
        <v>0</v>
      </c>
      <c r="L3385" s="695"/>
      <c r="M3385" s="659" t="str">
        <f>IF(AND(G3385&gt;0,E3385=0),"WARNING - no PRICE inserted",IF(H3385="free"," FREE ~ no charge this plant",IF(H3385="credit",CONCATENATE(" -$",ROUND(K3385*(1-T2GDiscount)*-1,2)," CREDIT after discount"),IF(T2GDiscount=0,"",IF(G3385=0,"",IF(F3385="Buy",CONCATENATE(" $",ROUND(K3385*(1-T2GDiscount),2)," with ",(T2GDiscount*100),"% discount"),CONCATENATE(" $",ROUND(K3385*(1-T2GDiscount),2)," with ",((T2GDiscount*100+F3385*100)-(T2GDiscount*100*F3385)),IF(F3385&gt;0,"% discounts",IF(NoWarrantyDiscount&gt;0,"% discounts","% discount")))))))))</f>
        <v/>
      </c>
      <c r="N3385" s="660"/>
      <c r="O3385" s="233"/>
      <c r="P3385" s="233"/>
      <c r="Q3385" s="233"/>
      <c r="R3385" s="233"/>
      <c r="S3385" s="233"/>
      <c r="T3385" s="508">
        <f t="shared" si="2571"/>
        <v>0</v>
      </c>
      <c r="U3385" s="225">
        <f>IF(NOT(ISNUMBER(G3385)), "", VLOOKUP(A3385,'Discount Lookup'!D:E,2,FALSE)*G3385)</f>
        <v>0</v>
      </c>
      <c r="V3385" s="225">
        <f>IF(NOT(ISNUMBER(G3385)), "", VLOOKUP(A3385,'Discount Lookup'!G:H,2,FALSE)*G3385)</f>
        <v>0</v>
      </c>
      <c r="W3385" s="508">
        <f t="shared" si="2572"/>
        <v>0</v>
      </c>
      <c r="X3385" s="508">
        <f t="shared" si="2573"/>
        <v>0</v>
      </c>
      <c r="Y3385" s="509" t="b">
        <f t="shared" si="2574"/>
        <v>0</v>
      </c>
      <c r="Z3385" s="510">
        <f t="shared" si="2575"/>
        <v>0</v>
      </c>
      <c r="AA3385" s="511"/>
      <c r="AB3385" s="511" t="str">
        <f t="shared" si="2576"/>
        <v/>
      </c>
      <c r="AC3385" s="698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698"/>
      <c r="AE3385" s="631" t="str">
        <f t="shared" si="2577"/>
        <v/>
      </c>
      <c r="AF3385" s="699" t="str">
        <f t="shared" si="2578"/>
        <v/>
      </c>
      <c r="AG3385" s="699"/>
      <c r="AH3385" s="699"/>
      <c r="AI3385" s="512">
        <f>IF(H3385="credit",0,IF(AE3385="free",0,IF(AE3385="me",0,IF(G3385&gt;0,(VLOOKUP(A3385,'Discount Lookup'!J:K,2)*G3385),0))))</f>
        <v>0</v>
      </c>
      <c r="AJ3385" s="513" t="str">
        <f t="shared" ca="1" si="2579"/>
        <v/>
      </c>
      <c r="AK3385" s="700" t="str">
        <f t="shared" si="2580"/>
        <v/>
      </c>
      <c r="AL3385" s="700"/>
      <c r="AM3385" s="505" t="str">
        <f t="shared" si="2581"/>
        <v/>
      </c>
      <c r="AN3385" s="506"/>
      <c r="AO3385" s="507"/>
      <c r="AP3385" s="507"/>
      <c r="AQ3385" s="507"/>
      <c r="AR3385" s="507"/>
      <c r="AS3385" s="507"/>
      <c r="AT3385" s="507"/>
      <c r="AU3385" s="507"/>
      <c r="AV3385" s="225"/>
      <c r="AW3385" s="508"/>
      <c r="AX3385" s="225"/>
      <c r="AY3385" s="225"/>
      <c r="AZ3385" s="225"/>
      <c r="BA3385" s="225"/>
      <c r="BB3385" s="225"/>
      <c r="BC3385" s="56"/>
      <c r="BD3385" s="56"/>
      <c r="BE3385" s="56"/>
      <c r="BF3385" s="107" t="str">
        <f t="shared" si="2582"/>
        <v>https://www.google.com/search?tbm=isch&amp;q=15%20G4</v>
      </c>
      <c r="BG3385" s="107" t="str">
        <f t="shared" si="2583"/>
        <v>S</v>
      </c>
      <c r="BH3385" s="254"/>
      <c r="BI3385" s="254"/>
    </row>
    <row r="3386" spans="1:61" customFormat="1" ht="16.5" thickBot="1" x14ac:dyDescent="0.3">
      <c r="A3386" s="522" t="s">
        <v>2485</v>
      </c>
      <c r="B3386" s="491"/>
      <c r="C3386" s="675"/>
      <c r="D3386" s="491"/>
      <c r="E3386" s="491"/>
      <c r="F3386" s="492"/>
      <c r="G3386" s="493"/>
      <c r="H3386" s="491"/>
      <c r="I3386" s="234"/>
      <c r="J3386" s="234"/>
      <c r="K3386" s="494"/>
      <c r="L3386" s="543"/>
      <c r="M3386" s="561"/>
      <c r="N3386" s="495"/>
      <c r="O3386" s="496"/>
      <c r="P3386" s="497"/>
      <c r="Q3386" s="495"/>
      <c r="R3386" s="495"/>
      <c r="S3386" s="667" t="s">
        <v>4968</v>
      </c>
      <c r="T3386" s="508">
        <f t="shared" si="2571"/>
        <v>0</v>
      </c>
      <c r="U3386" s="225" t="str">
        <f>IF(NOT(ISNUMBER(G3386)), "", VLOOKUP(A3386,'Discount Lookup'!D:E,2,FALSE)*G3386)</f>
        <v/>
      </c>
      <c r="V3386" s="225" t="str">
        <f>IF(NOT(ISNUMBER(G3386)), "", VLOOKUP(A3386,'Discount Lookup'!G:H,2,FALSE)*G3386)</f>
        <v/>
      </c>
      <c r="W3386" s="508">
        <f t="shared" si="2572"/>
        <v>0</v>
      </c>
      <c r="X3386" s="508">
        <f t="shared" si="2573"/>
        <v>0</v>
      </c>
      <c r="Y3386" s="509" t="b">
        <f t="shared" si="2574"/>
        <v>0</v>
      </c>
      <c r="Z3386" s="510">
        <f t="shared" si="2575"/>
        <v>0</v>
      </c>
      <c r="AA3386" s="511"/>
      <c r="AB3386" s="511" t="str">
        <f t="shared" si="2576"/>
        <v/>
      </c>
      <c r="AC3386" s="698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698"/>
      <c r="AE3386" s="631" t="str">
        <f t="shared" si="2577"/>
        <v/>
      </c>
      <c r="AF3386" s="699" t="str">
        <f t="shared" si="2578"/>
        <v/>
      </c>
      <c r="AG3386" s="699"/>
      <c r="AH3386" s="699"/>
      <c r="AI3386" s="512">
        <f>IF(H3386="credit",0,IF(AE3386="free",0,IF(AE3386="me",0,IF(G3386&gt;0,(VLOOKUP(A3386,'Discount Lookup'!J:K,2)*G3386),0))))</f>
        <v>0</v>
      </c>
      <c r="AJ3386" s="513" t="str">
        <f t="shared" ca="1" si="2579"/>
        <v/>
      </c>
      <c r="AK3386" s="700" t="str">
        <f t="shared" si="2580"/>
        <v/>
      </c>
      <c r="AL3386" s="700"/>
      <c r="AM3386" s="505" t="str">
        <f t="shared" si="2581"/>
        <v/>
      </c>
      <c r="AN3386" s="506"/>
      <c r="AO3386" s="507"/>
      <c r="AP3386" s="507"/>
      <c r="AQ3386" s="507"/>
      <c r="AR3386" s="507"/>
      <c r="AS3386" s="507"/>
      <c r="AT3386" s="507"/>
      <c r="AU3386" s="507"/>
      <c r="AV3386" s="225"/>
      <c r="AW3386" s="508"/>
      <c r="AX3386" s="225"/>
      <c r="AY3386" s="225"/>
      <c r="AZ3386" s="225"/>
      <c r="BA3386" s="225"/>
      <c r="BB3386" s="225"/>
      <c r="BC3386" s="56"/>
      <c r="BD3386" s="56"/>
      <c r="BE3386" s="56"/>
      <c r="BF3386" s="107" t="str">
        <f t="shared" si="2582"/>
        <v>https://www.google.com/search?tbm=isch&amp;q=Skyland%27s%20needles%20emerge%20a%20dramatic%20yellow-green%2C%20along%20with%20Red%20pollen%20cones%20and%20Purple%20seed%20cones.%20Grows%20fast%20for%20a%20Spruce%20</v>
      </c>
      <c r="BG3386" s="107" t="str">
        <f t="shared" si="2583"/>
        <v>S</v>
      </c>
      <c r="BH3386" s="254"/>
      <c r="BI3386" s="254"/>
    </row>
    <row r="3387" spans="1:61" customFormat="1" ht="18" x14ac:dyDescent="0.25">
      <c r="A3387" s="521" t="s">
        <v>1756</v>
      </c>
      <c r="B3387" s="477"/>
      <c r="C3387" s="674"/>
      <c r="D3387" s="478" t="s">
        <v>1757</v>
      </c>
      <c r="E3387" s="479"/>
      <c r="F3387" s="479"/>
      <c r="G3387" s="479"/>
      <c r="H3387" s="582" t="s">
        <v>833</v>
      </c>
      <c r="I3387" s="480" t="s">
        <v>2097</v>
      </c>
      <c r="J3387" s="479"/>
      <c r="K3387" s="479"/>
      <c r="L3387" s="560"/>
      <c r="M3387" s="666" t="s">
        <v>4966</v>
      </c>
      <c r="N3387" s="680" t="str">
        <f>IF(AND(ISTEXT($A3387), ISERROR($A3387+0)), HYPERLINK($BF3387, "Images"), "")</f>
        <v>Images</v>
      </c>
      <c r="O3387" s="662" t="s">
        <v>4967</v>
      </c>
      <c r="P3387" s="482"/>
      <c r="Q3387" s="483"/>
      <c r="R3387" s="483"/>
      <c r="S3387" s="484"/>
      <c r="T3387" s="508">
        <f t="shared" si="2571"/>
        <v>0</v>
      </c>
      <c r="U3387" s="225" t="str">
        <f>IF(NOT(ISNUMBER(G3387)), "", VLOOKUP(A3387,'Discount Lookup'!D:E,2,FALSE)*G3387)</f>
        <v/>
      </c>
      <c r="V3387" s="225" t="str">
        <f>IF(NOT(ISNUMBER(G3387)), "", VLOOKUP(A3387,'Discount Lookup'!G:H,2,FALSE)*G3387)</f>
        <v/>
      </c>
      <c r="W3387" s="508">
        <f t="shared" si="2572"/>
        <v>0</v>
      </c>
      <c r="X3387" s="508" t="str">
        <f t="shared" si="2573"/>
        <v>Deep Green foliage</v>
      </c>
      <c r="Y3387" s="509" t="b">
        <f t="shared" si="2574"/>
        <v>0</v>
      </c>
      <c r="Z3387" s="510">
        <f t="shared" si="2575"/>
        <v>0</v>
      </c>
      <c r="AA3387" s="511"/>
      <c r="AB3387" s="511" t="str">
        <f t="shared" si="2576"/>
        <v/>
      </c>
      <c r="AC3387" s="698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698"/>
      <c r="AE3387" s="631" t="str">
        <f t="shared" si="2577"/>
        <v/>
      </c>
      <c r="AF3387" s="699" t="str">
        <f t="shared" si="2578"/>
        <v/>
      </c>
      <c r="AG3387" s="699"/>
      <c r="AH3387" s="699"/>
      <c r="AI3387" s="512">
        <f>IF(H3387="credit",0,IF(AE3387="free",0,IF(AE3387="me",0,IF(G3387&gt;0,(VLOOKUP(A3387,'Discount Lookup'!J:K,2)*G3387),0))))</f>
        <v>0</v>
      </c>
      <c r="AJ3387" s="513" t="str">
        <f t="shared" ca="1" si="2579"/>
        <v/>
      </c>
      <c r="AK3387" s="700" t="str">
        <f t="shared" si="2580"/>
        <v/>
      </c>
      <c r="AL3387" s="700"/>
      <c r="AM3387" s="505" t="str">
        <f t="shared" si="2581"/>
        <v/>
      </c>
      <c r="AN3387" s="506"/>
      <c r="AO3387" s="507"/>
      <c r="AP3387" s="507"/>
      <c r="AQ3387" s="507"/>
      <c r="AR3387" s="507"/>
      <c r="AS3387" s="507"/>
      <c r="AT3387" s="507"/>
      <c r="AU3387" s="507"/>
      <c r="AV3387" s="225"/>
      <c r="AW3387" s="508"/>
      <c r="AX3387" s="225"/>
      <c r="AY3387" s="225"/>
      <c r="AZ3387" s="225"/>
      <c r="BA3387" s="225"/>
      <c r="BB3387" s="225"/>
      <c r="BC3387" s="56"/>
      <c r="BD3387" s="56"/>
      <c r="BE3387" s="56"/>
      <c r="BF3387" s="107" t="str">
        <f t="shared" si="2582"/>
        <v>https://www.google.com/search?tbm=isch&amp;q=Slender%20Hinoki%20Cypress%20Chamaecyparis%20obtusa%20%27Gracilis%27</v>
      </c>
      <c r="BG3387" s="107" t="str">
        <f t="shared" si="2583"/>
        <v>S</v>
      </c>
      <c r="BH3387" s="254"/>
      <c r="BI3387" s="254"/>
    </row>
    <row r="3388" spans="1:61" customFormat="1" ht="15.75" x14ac:dyDescent="0.25">
      <c r="A3388" s="485">
        <v>7</v>
      </c>
      <c r="B3388" s="486" t="s">
        <v>291</v>
      </c>
      <c r="C3388" s="487" t="s">
        <v>3779</v>
      </c>
      <c r="D3388" s="488" t="s">
        <v>292</v>
      </c>
      <c r="E3388" s="489">
        <v>104.95</v>
      </c>
      <c r="F3388" s="516" t="s">
        <v>293</v>
      </c>
      <c r="G3388" s="232">
        <v>0</v>
      </c>
      <c r="H3388" s="658" t="str">
        <f>IF(G3388=0,"",IF(F3388="Buy",IF(G3388=1,"plant","plants"),IF(F3388&gt;0.01,"warranty","Error")))</f>
        <v/>
      </c>
      <c r="I3388" s="490">
        <f>IF(H3388="free",0,IF(H3388="credit",((E3388*(F3388))*G3388*-1),IF(F3388="Buy",(E3388*G3388),((E3388*(1-F3388))*G3388))))</f>
        <v>0</v>
      </c>
      <c r="J3388" s="490">
        <f>IF(H3388="warranty",0,(I3388*(_xlfn.SINGLE(SalesTaxPercentage))))</f>
        <v>0</v>
      </c>
      <c r="K3388" s="695">
        <f t="shared" ref="K3388" si="2613">I3388+J3388</f>
        <v>0</v>
      </c>
      <c r="L3388" s="695"/>
      <c r="M3388" s="659" t="str">
        <f>IF(AND(G3388&gt;0,E3388=0),"WARNING - no PRICE inserted",IF(H3388="free"," FREE ~ no charge this plant",IF(H3388="credit",CONCATENATE(" -$",ROUND(K3388*(1-T2GDiscount)*-1,2)," CREDIT after discount"),IF(T2GDiscount=0,"",IF(G3388=0,"",IF(F3388="Buy",CONCATENATE(" $",ROUND(K3388*(1-T2GDiscount),2)," with ",(T2GDiscount*100),"% discount"),CONCATENATE(" $",ROUND(K3388*(1-T2GDiscount),2)," with ",((T2GDiscount*100+F3388*100)-(T2GDiscount*100*F3388)),IF(F3388&gt;0,"% discounts",IF(NoWarrantyDiscount&gt;0,"% discounts","% discount")))))))))</f>
        <v/>
      </c>
      <c r="N3388" s="660"/>
      <c r="O3388" s="233"/>
      <c r="P3388" s="233"/>
      <c r="Q3388" s="233"/>
      <c r="R3388" s="233"/>
      <c r="S3388" s="233"/>
      <c r="T3388" s="508">
        <f t="shared" si="2571"/>
        <v>0</v>
      </c>
      <c r="U3388" s="225">
        <f>IF(NOT(ISNUMBER(G3388)), "", VLOOKUP(A3388,'Discount Lookup'!D:E,2,FALSE)*G3388)</f>
        <v>0</v>
      </c>
      <c r="V3388" s="225">
        <f>IF(NOT(ISNUMBER(G3388)), "", VLOOKUP(A3388,'Discount Lookup'!G:H,2,FALSE)*G3388)</f>
        <v>0</v>
      </c>
      <c r="W3388" s="508">
        <f t="shared" si="2572"/>
        <v>0</v>
      </c>
      <c r="X3388" s="508">
        <f t="shared" si="2573"/>
        <v>0</v>
      </c>
      <c r="Y3388" s="509" t="b">
        <f t="shared" si="2574"/>
        <v>0</v>
      </c>
      <c r="Z3388" s="510">
        <f t="shared" si="2575"/>
        <v>0</v>
      </c>
      <c r="AA3388" s="511"/>
      <c r="AB3388" s="511" t="str">
        <f t="shared" si="2576"/>
        <v/>
      </c>
      <c r="AC3388" s="698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698"/>
      <c r="AE3388" s="631" t="str">
        <f t="shared" si="2577"/>
        <v/>
      </c>
      <c r="AF3388" s="699" t="str">
        <f t="shared" si="2578"/>
        <v/>
      </c>
      <c r="AG3388" s="699"/>
      <c r="AH3388" s="699"/>
      <c r="AI3388" s="512">
        <f>IF(H3388="credit",0,IF(AE3388="free",0,IF(AE3388="me",0,IF(G3388&gt;0,(VLOOKUP(A3388,'Discount Lookup'!J:K,2)*G3388),0))))</f>
        <v>0</v>
      </c>
      <c r="AJ3388" s="513" t="str">
        <f t="shared" ca="1" si="2579"/>
        <v/>
      </c>
      <c r="AK3388" s="700" t="str">
        <f t="shared" si="2580"/>
        <v/>
      </c>
      <c r="AL3388" s="700"/>
      <c r="AM3388" s="505" t="str">
        <f t="shared" si="2581"/>
        <v/>
      </c>
      <c r="AN3388" s="506"/>
      <c r="AO3388" s="507"/>
      <c r="AP3388" s="507"/>
      <c r="AQ3388" s="507"/>
      <c r="AR3388" s="507"/>
      <c r="AS3388" s="507"/>
      <c r="AT3388" s="507"/>
      <c r="AU3388" s="507"/>
      <c r="AV3388" s="225"/>
      <c r="AW3388" s="508"/>
      <c r="AX3388" s="225"/>
      <c r="AY3388" s="225"/>
      <c r="AZ3388" s="225"/>
      <c r="BA3388" s="225"/>
      <c r="BB3388" s="225"/>
      <c r="BC3388" s="56"/>
      <c r="BD3388" s="56"/>
      <c r="BE3388" s="56"/>
      <c r="BF3388" s="107" t="str">
        <f t="shared" si="2582"/>
        <v>https://www.google.com/search?tbm=isch&amp;q=7%20G4</v>
      </c>
      <c r="BG3388" s="107" t="str">
        <f t="shared" si="2583"/>
        <v>S</v>
      </c>
      <c r="BH3388" s="254"/>
      <c r="BI3388" s="254"/>
    </row>
    <row r="3389" spans="1:61" customFormat="1" ht="15.75" x14ac:dyDescent="0.25">
      <c r="A3389" s="485">
        <v>15</v>
      </c>
      <c r="B3389" s="486" t="s">
        <v>291</v>
      </c>
      <c r="C3389" s="487" t="s">
        <v>3337</v>
      </c>
      <c r="D3389" s="488" t="s">
        <v>292</v>
      </c>
      <c r="E3389" s="489">
        <v>293.95</v>
      </c>
      <c r="F3389" s="516" t="s">
        <v>293</v>
      </c>
      <c r="G3389" s="232">
        <v>0</v>
      </c>
      <c r="H3389" s="658" t="str">
        <f>IF(G3389=0,"",IF(F3389="Buy",IF(G3389=1,"plant","plants"),IF(F3389&gt;0.01,"warranty","Error")))</f>
        <v/>
      </c>
      <c r="I3389" s="490">
        <f>IF(H3389="free",0,IF(H3389="credit",((E3389*(F3389))*G3389*-1),IF(F3389="Buy",(E3389*G3389),((E3389*(1-F3389))*G3389))))</f>
        <v>0</v>
      </c>
      <c r="J3389" s="490">
        <f>IF(H3389="warranty",0,(I3389*(_xlfn.SINGLE(SalesTaxPercentage))))</f>
        <v>0</v>
      </c>
      <c r="K3389" s="695">
        <f t="shared" ref="K3389" si="2614">I3389+J3389</f>
        <v>0</v>
      </c>
      <c r="L3389" s="695"/>
      <c r="M3389" s="659" t="str">
        <f>IF(AND(G3389&gt;0,E3389=0),"WARNING - no PRICE inserted",IF(H3389="free"," FREE ~ no charge this plant",IF(H3389="credit",CONCATENATE(" -$",ROUND(K3389*(1-T2GDiscount)*-1,2)," CREDIT after discount"),IF(T2GDiscount=0,"",IF(G3389=0,"",IF(F3389="Buy",CONCATENATE(" $",ROUND(K3389*(1-T2GDiscount),2)," with ",(T2GDiscount*100),"% discount"),CONCATENATE(" $",ROUND(K3389*(1-T2GDiscount),2)," with ",((T2GDiscount*100+F3389*100)-(T2GDiscount*100*F3389)),IF(F3389&gt;0,"% discounts",IF(NoWarrantyDiscount&gt;0,"% discounts","% discount")))))))))</f>
        <v/>
      </c>
      <c r="N3389" s="660"/>
      <c r="O3389" s="233"/>
      <c r="P3389" s="233"/>
      <c r="Q3389" s="233"/>
      <c r="R3389" s="233"/>
      <c r="S3389" s="233"/>
      <c r="T3389" s="508">
        <f t="shared" si="2571"/>
        <v>0</v>
      </c>
      <c r="U3389" s="225">
        <f>IF(NOT(ISNUMBER(G3389)), "", VLOOKUP(A3389,'Discount Lookup'!D:E,2,FALSE)*G3389)</f>
        <v>0</v>
      </c>
      <c r="V3389" s="225">
        <f>IF(NOT(ISNUMBER(G3389)), "", VLOOKUP(A3389,'Discount Lookup'!G:H,2,FALSE)*G3389)</f>
        <v>0</v>
      </c>
      <c r="W3389" s="508">
        <f t="shared" si="2572"/>
        <v>0</v>
      </c>
      <c r="X3389" s="508">
        <f t="shared" si="2573"/>
        <v>0</v>
      </c>
      <c r="Y3389" s="509" t="b">
        <f t="shared" si="2574"/>
        <v>0</v>
      </c>
      <c r="Z3389" s="510">
        <f t="shared" si="2575"/>
        <v>0</v>
      </c>
      <c r="AA3389" s="511"/>
      <c r="AB3389" s="511" t="str">
        <f t="shared" si="2576"/>
        <v/>
      </c>
      <c r="AC3389" s="698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698"/>
      <c r="AE3389" s="631" t="str">
        <f t="shared" si="2577"/>
        <v/>
      </c>
      <c r="AF3389" s="699" t="str">
        <f t="shared" si="2578"/>
        <v/>
      </c>
      <c r="AG3389" s="699"/>
      <c r="AH3389" s="699"/>
      <c r="AI3389" s="512">
        <f>IF(H3389="credit",0,IF(AE3389="free",0,IF(AE3389="me",0,IF(G3389&gt;0,(VLOOKUP(A3389,'Discount Lookup'!J:K,2)*G3389),0))))</f>
        <v>0</v>
      </c>
      <c r="AJ3389" s="513" t="str">
        <f t="shared" ca="1" si="2579"/>
        <v/>
      </c>
      <c r="AK3389" s="700" t="str">
        <f t="shared" si="2580"/>
        <v/>
      </c>
      <c r="AL3389" s="700"/>
      <c r="AM3389" s="505" t="str">
        <f t="shared" si="2581"/>
        <v/>
      </c>
      <c r="AN3389" s="506"/>
      <c r="AO3389" s="507"/>
      <c r="AP3389" s="507"/>
      <c r="AQ3389" s="507"/>
      <c r="AR3389" s="507"/>
      <c r="AS3389" s="507"/>
      <c r="AT3389" s="507"/>
      <c r="AU3389" s="507"/>
      <c r="AV3389" s="225"/>
      <c r="AW3389" s="508"/>
      <c r="AX3389" s="225"/>
      <c r="AY3389" s="225"/>
      <c r="AZ3389" s="225"/>
      <c r="BA3389" s="225"/>
      <c r="BB3389" s="225"/>
      <c r="BC3389" s="56"/>
      <c r="BD3389" s="56"/>
      <c r="BE3389" s="56"/>
      <c r="BF3389" s="107" t="str">
        <f t="shared" si="2582"/>
        <v>https://www.google.com/search?tbm=isch&amp;q=15%20G4</v>
      </c>
      <c r="BG3389" s="107" t="str">
        <f t="shared" si="2583"/>
        <v>S</v>
      </c>
      <c r="BH3389" s="254"/>
      <c r="BI3389" s="254"/>
    </row>
    <row r="3390" spans="1:61" customFormat="1" ht="15.75" x14ac:dyDescent="0.25">
      <c r="A3390" s="485">
        <v>25</v>
      </c>
      <c r="B3390" s="486" t="s">
        <v>291</v>
      </c>
      <c r="C3390" s="487" t="s">
        <v>3780</v>
      </c>
      <c r="D3390" s="488" t="s">
        <v>292</v>
      </c>
      <c r="E3390" s="489">
        <v>385.95</v>
      </c>
      <c r="F3390" s="516" t="s">
        <v>293</v>
      </c>
      <c r="G3390" s="232">
        <v>0</v>
      </c>
      <c r="H3390" s="658" t="str">
        <f>IF(G3390=0,"",IF(F3390="Buy",IF(G3390=1,"plant","plants"),IF(F3390&gt;0.01,"warranty","Error")))</f>
        <v/>
      </c>
      <c r="I3390" s="490">
        <f>IF(H3390="free",0,IF(H3390="credit",((E3390*(F3390))*G3390*-1),IF(F3390="Buy",(E3390*G3390),((E3390*(1-F3390))*G3390))))</f>
        <v>0</v>
      </c>
      <c r="J3390" s="490">
        <f>IF(H3390="warranty",0,(I3390*(_xlfn.SINGLE(SalesTaxPercentage))))</f>
        <v>0</v>
      </c>
      <c r="K3390" s="695">
        <f t="shared" ref="K3390" si="2615">I3390+J3390</f>
        <v>0</v>
      </c>
      <c r="L3390" s="695"/>
      <c r="M3390" s="659" t="str">
        <f>IF(AND(G3390&gt;0,E3390=0),"WARNING - no PRICE inserted",IF(H3390="free"," FREE ~ no charge this plant",IF(H3390="credit",CONCATENATE(" -$",ROUND(K3390*(1-T2GDiscount)*-1,2)," CREDIT after discount"),IF(T2GDiscount=0,"",IF(G3390=0,"",IF(F3390="Buy",CONCATENATE(" $",ROUND(K3390*(1-T2GDiscount),2)," with ",(T2GDiscount*100),"% discount"),CONCATENATE(" $",ROUND(K3390*(1-T2GDiscount),2)," with ",((T2GDiscount*100+F3390*100)-(T2GDiscount*100*F3390)),IF(F3390&gt;0,"% discounts",IF(NoWarrantyDiscount&gt;0,"% discounts","% discount")))))))))</f>
        <v/>
      </c>
      <c r="N3390" s="660"/>
      <c r="O3390" s="233"/>
      <c r="P3390" s="233"/>
      <c r="Q3390" s="233"/>
      <c r="R3390" s="233"/>
      <c r="S3390" s="233"/>
      <c r="T3390" s="508">
        <f t="shared" si="2571"/>
        <v>0</v>
      </c>
      <c r="U3390" s="225">
        <f>IF(NOT(ISNUMBER(G3390)), "", VLOOKUP(A3390,'Discount Lookup'!D:E,2,FALSE)*G3390)</f>
        <v>0</v>
      </c>
      <c r="V3390" s="225">
        <f>IF(NOT(ISNUMBER(G3390)), "", VLOOKUP(A3390,'Discount Lookup'!G:H,2,FALSE)*G3390)</f>
        <v>0</v>
      </c>
      <c r="W3390" s="508">
        <f t="shared" si="2572"/>
        <v>0</v>
      </c>
      <c r="X3390" s="508">
        <f t="shared" si="2573"/>
        <v>0</v>
      </c>
      <c r="Y3390" s="509" t="b">
        <f t="shared" si="2574"/>
        <v>0</v>
      </c>
      <c r="Z3390" s="510">
        <f t="shared" si="2575"/>
        <v>0</v>
      </c>
      <c r="AA3390" s="511"/>
      <c r="AB3390" s="511" t="str">
        <f t="shared" si="2576"/>
        <v/>
      </c>
      <c r="AC3390" s="698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698"/>
      <c r="AE3390" s="631" t="str">
        <f t="shared" si="2577"/>
        <v/>
      </c>
      <c r="AF3390" s="699" t="str">
        <f t="shared" si="2578"/>
        <v/>
      </c>
      <c r="AG3390" s="699"/>
      <c r="AH3390" s="699"/>
      <c r="AI3390" s="512">
        <f>IF(H3390="credit",0,IF(AE3390="free",0,IF(AE3390="me",0,IF(G3390&gt;0,(VLOOKUP(A3390,'Discount Lookup'!J:K,2)*G3390),0))))</f>
        <v>0</v>
      </c>
      <c r="AJ3390" s="513" t="str">
        <f t="shared" ca="1" si="2579"/>
        <v/>
      </c>
      <c r="AK3390" s="700" t="str">
        <f t="shared" si="2580"/>
        <v/>
      </c>
      <c r="AL3390" s="700"/>
      <c r="AM3390" s="505" t="str">
        <f t="shared" si="2581"/>
        <v/>
      </c>
      <c r="AN3390" s="506"/>
      <c r="AO3390" s="507"/>
      <c r="AP3390" s="507"/>
      <c r="AQ3390" s="507"/>
      <c r="AR3390" s="507"/>
      <c r="AS3390" s="507"/>
      <c r="AT3390" s="507"/>
      <c r="AU3390" s="507"/>
      <c r="AV3390" s="225"/>
      <c r="AW3390" s="508"/>
      <c r="AX3390" s="225"/>
      <c r="AY3390" s="225"/>
      <c r="AZ3390" s="225"/>
      <c r="BA3390" s="225"/>
      <c r="BB3390" s="225"/>
      <c r="BC3390" s="56"/>
      <c r="BD3390" s="56"/>
      <c r="BE3390" s="56"/>
      <c r="BF3390" s="107" t="str">
        <f t="shared" si="2582"/>
        <v>https://www.google.com/search?tbm=isch&amp;q=25%20G4</v>
      </c>
      <c r="BG3390" s="107" t="str">
        <f t="shared" si="2583"/>
        <v>S</v>
      </c>
      <c r="BH3390" s="254"/>
      <c r="BI3390" s="254"/>
    </row>
    <row r="3391" spans="1:61" customFormat="1" ht="17.25" thickBot="1" x14ac:dyDescent="0.3">
      <c r="A3391" s="522" t="s">
        <v>2486</v>
      </c>
      <c r="B3391" s="491"/>
      <c r="C3391" s="675"/>
      <c r="D3391" s="491"/>
      <c r="E3391" s="491"/>
      <c r="F3391" s="492"/>
      <c r="G3391" s="493"/>
      <c r="H3391" s="491"/>
      <c r="I3391" s="234"/>
      <c r="J3391" s="234"/>
      <c r="K3391" s="494"/>
      <c r="L3391" s="543"/>
      <c r="M3391" s="561"/>
      <c r="N3391" s="495"/>
      <c r="O3391" s="496"/>
      <c r="P3391" s="497"/>
      <c r="Q3391" s="495"/>
      <c r="R3391" s="495"/>
      <c r="S3391" s="667" t="s">
        <v>4982</v>
      </c>
      <c r="T3391" s="508">
        <f t="shared" si="2571"/>
        <v>0</v>
      </c>
      <c r="U3391" s="225" t="str">
        <f>IF(NOT(ISNUMBER(G3391)), "", VLOOKUP(A3391,'Discount Lookup'!D:E,2,FALSE)*G3391)</f>
        <v/>
      </c>
      <c r="V3391" s="225" t="str">
        <f>IF(NOT(ISNUMBER(G3391)), "", VLOOKUP(A3391,'Discount Lookup'!G:H,2,FALSE)*G3391)</f>
        <v/>
      </c>
      <c r="W3391" s="508">
        <f t="shared" si="2572"/>
        <v>0</v>
      </c>
      <c r="X3391" s="508">
        <f t="shared" si="2573"/>
        <v>0</v>
      </c>
      <c r="Y3391" s="509" t="b">
        <f t="shared" si="2574"/>
        <v>0</v>
      </c>
      <c r="Z3391" s="510">
        <f t="shared" si="2575"/>
        <v>0</v>
      </c>
      <c r="AA3391" s="511"/>
      <c r="AB3391" s="511" t="str">
        <f t="shared" si="2576"/>
        <v/>
      </c>
      <c r="AC3391" s="698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698"/>
      <c r="AE3391" s="631" t="str">
        <f t="shared" si="2577"/>
        <v/>
      </c>
      <c r="AF3391" s="699" t="str">
        <f t="shared" si="2578"/>
        <v/>
      </c>
      <c r="AG3391" s="699"/>
      <c r="AH3391" s="699"/>
      <c r="AI3391" s="512">
        <f>IF(H3391="credit",0,IF(AE3391="free",0,IF(AE3391="me",0,IF(G3391&gt;0,(VLOOKUP(A3391,'Discount Lookup'!J:K,2)*G3391),0))))</f>
        <v>0</v>
      </c>
      <c r="AJ3391" s="513" t="str">
        <f t="shared" ca="1" si="2579"/>
        <v/>
      </c>
      <c r="AK3391" s="700" t="str">
        <f t="shared" si="2580"/>
        <v/>
      </c>
      <c r="AL3391" s="700"/>
      <c r="AM3391" s="505" t="str">
        <f t="shared" si="2581"/>
        <v/>
      </c>
      <c r="AN3391" s="506"/>
      <c r="AO3391" s="507"/>
      <c r="AP3391" s="507"/>
      <c r="AQ3391" s="507"/>
      <c r="AR3391" s="507"/>
      <c r="AS3391" s="507"/>
      <c r="AT3391" s="507"/>
      <c r="AU3391" s="507"/>
      <c r="AV3391" s="225"/>
      <c r="AW3391" s="508"/>
      <c r="AX3391" s="225"/>
      <c r="AY3391" s="225"/>
      <c r="AZ3391" s="225"/>
      <c r="BA3391" s="225"/>
      <c r="BB3391" s="225"/>
      <c r="BC3391" s="56"/>
      <c r="BD3391" s="56"/>
      <c r="BE3391" s="56"/>
      <c r="BF3391" s="107" t="str">
        <f t="shared" si="2582"/>
        <v>https://www.google.com/search?tbm=isch&amp;q=Slender%20Hinoki%20known%20for%20it%27s%20distinctive%2C%20open%2C%20graceful%2C%20and%20somewhat%20irregular%20shape.%20Slow%20grower%20</v>
      </c>
      <c r="BG3391" s="107" t="str">
        <f t="shared" si="2583"/>
        <v>S</v>
      </c>
      <c r="BH3391" s="254"/>
      <c r="BI3391" s="254"/>
    </row>
    <row r="3392" spans="1:61" customFormat="1" ht="18" x14ac:dyDescent="0.25">
      <c r="A3392" s="523" t="s">
        <v>1758</v>
      </c>
      <c r="B3392" s="235"/>
      <c r="C3392" s="676"/>
      <c r="D3392" s="255" t="s">
        <v>1759</v>
      </c>
      <c r="E3392" s="236"/>
      <c r="F3392" s="236"/>
      <c r="G3392" s="236"/>
      <c r="H3392" s="582" t="s">
        <v>2247</v>
      </c>
      <c r="I3392" s="498" t="s">
        <v>2109</v>
      </c>
      <c r="J3392" s="237"/>
      <c r="K3392" s="237"/>
      <c r="L3392" s="274"/>
      <c r="M3392" s="668" t="s">
        <v>4962</v>
      </c>
      <c r="N3392" s="681" t="str">
        <f>IF(AND(ISTEXT($A3392), ISERROR($A3392+0)), HYPERLINK($BF3392, "Images"), "")</f>
        <v>Images</v>
      </c>
      <c r="O3392" s="663" t="s">
        <v>4967</v>
      </c>
      <c r="P3392" s="253"/>
      <c r="Q3392" s="238"/>
      <c r="R3392" s="239"/>
      <c r="S3392" s="275" t="s">
        <v>305</v>
      </c>
      <c r="T3392" s="508">
        <f t="shared" si="2571"/>
        <v>0</v>
      </c>
      <c r="U3392" s="225" t="str">
        <f>IF(NOT(ISNUMBER(G3392)), "", VLOOKUP(A3392,'Discount Lookup'!D:E,2,FALSE)*G3392)</f>
        <v/>
      </c>
      <c r="V3392" s="225" t="str">
        <f>IF(NOT(ISNUMBER(G3392)), "", VLOOKUP(A3392,'Discount Lookup'!G:H,2,FALSE)*G3392)</f>
        <v/>
      </c>
      <c r="W3392" s="508">
        <f t="shared" si="2572"/>
        <v>0</v>
      </c>
      <c r="X3392" s="508" t="str">
        <f t="shared" si="2573"/>
        <v>Green foliage</v>
      </c>
      <c r="Y3392" s="509" t="b">
        <f t="shared" si="2574"/>
        <v>0</v>
      </c>
      <c r="Z3392" s="510">
        <f t="shared" si="2575"/>
        <v>0</v>
      </c>
      <c r="AA3392" s="511"/>
      <c r="AB3392" s="511" t="str">
        <f t="shared" si="2576"/>
        <v/>
      </c>
      <c r="AC3392" s="698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698"/>
      <c r="AE3392" s="631" t="str">
        <f t="shared" si="2577"/>
        <v/>
      </c>
      <c r="AF3392" s="699" t="str">
        <f t="shared" si="2578"/>
        <v/>
      </c>
      <c r="AG3392" s="699"/>
      <c r="AH3392" s="699"/>
      <c r="AI3392" s="512">
        <f>IF(H3392="credit",0,IF(AE3392="free",0,IF(AE3392="me",0,IF(G3392&gt;0,(VLOOKUP(A3392,'Discount Lookup'!J:K,2)*G3392),0))))</f>
        <v>0</v>
      </c>
      <c r="AJ3392" s="513" t="str">
        <f t="shared" ca="1" si="2579"/>
        <v/>
      </c>
      <c r="AK3392" s="700" t="str">
        <f t="shared" si="2580"/>
        <v/>
      </c>
      <c r="AL3392" s="700"/>
      <c r="AM3392" s="505" t="str">
        <f t="shared" si="2581"/>
        <v/>
      </c>
      <c r="AN3392" s="506"/>
      <c r="AO3392" s="507"/>
      <c r="AP3392" s="507"/>
      <c r="AQ3392" s="507"/>
      <c r="AR3392" s="507"/>
      <c r="AS3392" s="507"/>
      <c r="AT3392" s="507"/>
      <c r="AU3392" s="507"/>
      <c r="AV3392" s="225"/>
      <c r="AW3392" s="508"/>
      <c r="AX3392" s="225"/>
      <c r="AY3392" s="225"/>
      <c r="AZ3392" s="225"/>
      <c r="BA3392" s="225"/>
      <c r="BB3392" s="225"/>
      <c r="BC3392" s="56"/>
      <c r="BD3392" s="56"/>
      <c r="BE3392" s="56"/>
      <c r="BF3392" s="107" t="str">
        <f t="shared" si="2582"/>
        <v>https://www.google.com/search?tbm=isch&amp;q=Slender%20Silhouette%20Sweetgum%20Liquidambar%20styraciflua%20%27Slender%20Silhouette%27</v>
      </c>
      <c r="BG3392" s="107" t="str">
        <f t="shared" si="2583"/>
        <v>S</v>
      </c>
      <c r="BH3392" s="254"/>
      <c r="BI3392" s="254"/>
    </row>
    <row r="3393" spans="1:61" customFormat="1" ht="15.75" x14ac:dyDescent="0.25">
      <c r="A3393" s="276">
        <v>7</v>
      </c>
      <c r="B3393" s="240" t="s">
        <v>291</v>
      </c>
      <c r="C3393" s="241" t="s">
        <v>3360</v>
      </c>
      <c r="D3393" s="242" t="s">
        <v>292</v>
      </c>
      <c r="E3393" s="243">
        <v>132.94999999999999</v>
      </c>
      <c r="F3393" s="517" t="s">
        <v>293</v>
      </c>
      <c r="G3393" s="232">
        <v>0</v>
      </c>
      <c r="H3393" s="661" t="str">
        <f>IF(G3393=0,"",IF(F3393="Buy",IF(G3393=1,"plant","plants"),IF(F3393&gt;0.01,"warranty","Error")))</f>
        <v/>
      </c>
      <c r="I3393" s="244">
        <f>IF(H3393="free",0,IF(H3393="credit",((E3393*(F3393))*G3393*-1),IF(F3393="Buy",(E3393*G3393),((E3393*(1-F3393))*G3393))))</f>
        <v>0</v>
      </c>
      <c r="J3393" s="244">
        <f>IF(H3393="warranty",0,(I3393*(_xlfn.SINGLE(SalesTaxPercentage))))</f>
        <v>0</v>
      </c>
      <c r="K3393" s="696">
        <f t="shared" ref="K3393" si="2616">I3393+J3393</f>
        <v>0</v>
      </c>
      <c r="L3393" s="696"/>
      <c r="M3393" s="659" t="str">
        <f>IF(AND(G3393&gt;0,E3393=0),"WARNING - no PRICE inserted",IF(H3393="free"," FREE ~ no charge this plant",IF(H3393="credit",CONCATENATE(" -$",ROUND(K3393*(1-T2GDiscount)*-1,2)," CREDIT after discount"),IF(T2GDiscount=0,"",IF(G3393=0,"",IF(F3393="Buy",CONCATENATE(" $",ROUND(K3393*(1-T2GDiscount),2)," with ",(T2GDiscount*100),"% discount"),CONCATENATE(" $",ROUND(K3393*(1-T2GDiscount),2)," with ",((T2GDiscount*100+F3393*100)-(T2GDiscount*100*F3393)),IF(F3393&gt;0,"% discounts",IF(NoWarrantyDiscount&gt;0,"% discounts","% discount")))))))))</f>
        <v/>
      </c>
      <c r="N3393" s="660"/>
      <c r="O3393" s="233"/>
      <c r="P3393" s="233"/>
      <c r="Q3393" s="233"/>
      <c r="R3393" s="233"/>
      <c r="S3393" s="233"/>
      <c r="T3393" s="508">
        <f t="shared" si="2571"/>
        <v>0</v>
      </c>
      <c r="U3393" s="225">
        <f>IF(NOT(ISNUMBER(G3393)), "", VLOOKUP(A3393,'Discount Lookup'!D:E,2,FALSE)*G3393)</f>
        <v>0</v>
      </c>
      <c r="V3393" s="225">
        <f>IF(NOT(ISNUMBER(G3393)), "", VLOOKUP(A3393,'Discount Lookup'!G:H,2,FALSE)*G3393)</f>
        <v>0</v>
      </c>
      <c r="W3393" s="508">
        <f t="shared" si="2572"/>
        <v>0</v>
      </c>
      <c r="X3393" s="508">
        <f t="shared" si="2573"/>
        <v>0</v>
      </c>
      <c r="Y3393" s="509" t="b">
        <f t="shared" si="2574"/>
        <v>0</v>
      </c>
      <c r="Z3393" s="510">
        <f t="shared" si="2575"/>
        <v>0</v>
      </c>
      <c r="AA3393" s="511"/>
      <c r="AB3393" s="511" t="str">
        <f t="shared" si="2576"/>
        <v/>
      </c>
      <c r="AC3393" s="698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698"/>
      <c r="AE3393" s="631" t="str">
        <f t="shared" si="2577"/>
        <v/>
      </c>
      <c r="AF3393" s="699" t="str">
        <f t="shared" si="2578"/>
        <v/>
      </c>
      <c r="AG3393" s="699"/>
      <c r="AH3393" s="699"/>
      <c r="AI3393" s="512">
        <f>IF(H3393="credit",0,IF(AE3393="free",0,IF(AE3393="me",0,IF(G3393&gt;0,(VLOOKUP(A3393,'Discount Lookup'!J:K,2)*G3393),0))))</f>
        <v>0</v>
      </c>
      <c r="AJ3393" s="513" t="str">
        <f t="shared" ca="1" si="2579"/>
        <v/>
      </c>
      <c r="AK3393" s="700" t="str">
        <f t="shared" si="2580"/>
        <v/>
      </c>
      <c r="AL3393" s="700"/>
      <c r="AM3393" s="505" t="str">
        <f t="shared" si="2581"/>
        <v/>
      </c>
      <c r="AN3393" s="506"/>
      <c r="AO3393" s="507"/>
      <c r="AP3393" s="507"/>
      <c r="AQ3393" s="507"/>
      <c r="AR3393" s="507"/>
      <c r="AS3393" s="507"/>
      <c r="AT3393" s="507"/>
      <c r="AU3393" s="507"/>
      <c r="AV3393" s="225"/>
      <c r="AW3393" s="508"/>
      <c r="AX3393" s="225"/>
      <c r="AY3393" s="225"/>
      <c r="AZ3393" s="225"/>
      <c r="BA3393" s="225"/>
      <c r="BB3393" s="225"/>
      <c r="BC3393" s="56"/>
      <c r="BD3393" s="56"/>
      <c r="BE3393" s="56"/>
      <c r="BF3393" s="107" t="str">
        <f t="shared" si="2582"/>
        <v>https://www.google.com/search?tbm=isch&amp;q=7%20G4</v>
      </c>
      <c r="BG3393" s="107" t="str">
        <f t="shared" si="2583"/>
        <v>S</v>
      </c>
      <c r="BH3393" s="254"/>
      <c r="BI3393" s="254"/>
    </row>
    <row r="3394" spans="1:61" customFormat="1" ht="27" x14ac:dyDescent="0.25">
      <c r="A3394" s="276">
        <v>15</v>
      </c>
      <c r="B3394" s="240" t="s">
        <v>291</v>
      </c>
      <c r="C3394" s="241" t="s">
        <v>3781</v>
      </c>
      <c r="D3394" s="242" t="s">
        <v>292</v>
      </c>
      <c r="E3394" s="243">
        <v>169.95</v>
      </c>
      <c r="F3394" s="517" t="s">
        <v>293</v>
      </c>
      <c r="G3394" s="232">
        <v>0</v>
      </c>
      <c r="H3394" s="661" t="str">
        <f>IF(G3394=0,"",IF(F3394="Buy",IF(G3394=1,"plant","plants"),IF(F3394&gt;0.01,"warranty","Error")))</f>
        <v/>
      </c>
      <c r="I3394" s="244">
        <f>IF(H3394="free",0,IF(H3394="credit",((E3394*(F3394))*G3394*-1),IF(F3394="Buy",(E3394*G3394),((E3394*(1-F3394))*G3394))))</f>
        <v>0</v>
      </c>
      <c r="J3394" s="244">
        <f>IF(H3394="warranty",0,(I3394*(_xlfn.SINGLE(SalesTaxPercentage))))</f>
        <v>0</v>
      </c>
      <c r="K3394" s="696">
        <f t="shared" ref="K3394" si="2617">I3394+J3394</f>
        <v>0</v>
      </c>
      <c r="L3394" s="696"/>
      <c r="M3394" s="659" t="str">
        <f>IF(AND(G3394&gt;0,E3394=0),"WARNING - no PRICE inserted",IF(H3394="free"," FREE ~ no charge this plant",IF(H3394="credit",CONCATENATE(" -$",ROUND(K3394*(1-T2GDiscount)*-1,2)," CREDIT after discount"),IF(T2GDiscount=0,"",IF(G3394=0,"",IF(F3394="Buy",CONCATENATE(" $",ROUND(K3394*(1-T2GDiscount),2)," with ",(T2GDiscount*100),"% discount"),CONCATENATE(" $",ROUND(K3394*(1-T2GDiscount),2)," with ",((T2GDiscount*100+F3394*100)-(T2GDiscount*100*F3394)),IF(F3394&gt;0,"% discounts",IF(NoWarrantyDiscount&gt;0,"% discounts","% discount")))))))))</f>
        <v/>
      </c>
      <c r="N3394" s="660"/>
      <c r="O3394" s="233"/>
      <c r="P3394" s="233"/>
      <c r="Q3394" s="233"/>
      <c r="R3394" s="233"/>
      <c r="S3394" s="233"/>
      <c r="T3394" s="508">
        <f t="shared" si="2571"/>
        <v>0</v>
      </c>
      <c r="U3394" s="225">
        <f>IF(NOT(ISNUMBER(G3394)), "", VLOOKUP(A3394,'Discount Lookup'!D:E,2,FALSE)*G3394)</f>
        <v>0</v>
      </c>
      <c r="V3394" s="225">
        <f>IF(NOT(ISNUMBER(G3394)), "", VLOOKUP(A3394,'Discount Lookup'!G:H,2,FALSE)*G3394)</f>
        <v>0</v>
      </c>
      <c r="W3394" s="508">
        <f t="shared" si="2572"/>
        <v>0</v>
      </c>
      <c r="X3394" s="508">
        <f t="shared" si="2573"/>
        <v>0</v>
      </c>
      <c r="Y3394" s="509" t="b">
        <f t="shared" si="2574"/>
        <v>0</v>
      </c>
      <c r="Z3394" s="510">
        <f t="shared" si="2575"/>
        <v>0</v>
      </c>
      <c r="AA3394" s="511"/>
      <c r="AB3394" s="511" t="str">
        <f t="shared" si="2576"/>
        <v/>
      </c>
      <c r="AC3394" s="698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698"/>
      <c r="AE3394" s="631" t="str">
        <f t="shared" si="2577"/>
        <v/>
      </c>
      <c r="AF3394" s="699" t="str">
        <f t="shared" si="2578"/>
        <v/>
      </c>
      <c r="AG3394" s="699"/>
      <c r="AH3394" s="699"/>
      <c r="AI3394" s="512">
        <f>IF(H3394="credit",0,IF(AE3394="free",0,IF(AE3394="me",0,IF(G3394&gt;0,(VLOOKUP(A3394,'Discount Lookup'!J:K,2)*G3394),0))))</f>
        <v>0</v>
      </c>
      <c r="AJ3394" s="513" t="str">
        <f t="shared" ca="1" si="2579"/>
        <v/>
      </c>
      <c r="AK3394" s="700" t="str">
        <f t="shared" si="2580"/>
        <v/>
      </c>
      <c r="AL3394" s="700"/>
      <c r="AM3394" s="505" t="str">
        <f t="shared" si="2581"/>
        <v/>
      </c>
      <c r="AN3394" s="506"/>
      <c r="AO3394" s="507"/>
      <c r="AP3394" s="507"/>
      <c r="AQ3394" s="507"/>
      <c r="AR3394" s="507"/>
      <c r="AS3394" s="507"/>
      <c r="AT3394" s="507"/>
      <c r="AU3394" s="507"/>
      <c r="AV3394" s="225"/>
      <c r="AW3394" s="508"/>
      <c r="AX3394" s="225"/>
      <c r="AY3394" s="225"/>
      <c r="AZ3394" s="225"/>
      <c r="BA3394" s="225"/>
      <c r="BB3394" s="225"/>
      <c r="BC3394" s="56"/>
      <c r="BD3394" s="56"/>
      <c r="BE3394" s="56"/>
      <c r="BF3394" s="107" t="str">
        <f t="shared" si="2582"/>
        <v>https://www.google.com/search?tbm=isch&amp;q=15%20G4</v>
      </c>
      <c r="BG3394" s="107" t="str">
        <f t="shared" si="2583"/>
        <v>S</v>
      </c>
      <c r="BH3394" s="254"/>
      <c r="BI3394" s="254"/>
    </row>
    <row r="3395" spans="1:61" customFormat="1" ht="17.25" thickBot="1" x14ac:dyDescent="0.3">
      <c r="A3395" s="673" t="s">
        <v>5234</v>
      </c>
      <c r="B3395" s="245"/>
      <c r="C3395" s="677"/>
      <c r="D3395" s="499"/>
      <c r="E3395" s="499"/>
      <c r="F3395" s="500"/>
      <c r="G3395" s="501"/>
      <c r="H3395" s="502"/>
      <c r="I3395" s="246"/>
      <c r="J3395" s="247"/>
      <c r="K3395" s="503"/>
      <c r="L3395" s="544"/>
      <c r="M3395" s="544"/>
      <c r="N3395" s="500"/>
      <c r="O3395" s="500"/>
      <c r="P3395" s="500"/>
      <c r="Q3395" s="500"/>
      <c r="R3395" s="500"/>
      <c r="S3395" s="669" t="s">
        <v>4978</v>
      </c>
      <c r="T3395" s="508">
        <f t="shared" si="2571"/>
        <v>0</v>
      </c>
      <c r="U3395" s="225" t="str">
        <f>IF(NOT(ISNUMBER(G3395)), "", VLOOKUP(A3395,'Discount Lookup'!D:E,2,FALSE)*G3395)</f>
        <v/>
      </c>
      <c r="V3395" s="225" t="str">
        <f>IF(NOT(ISNUMBER(G3395)), "", VLOOKUP(A3395,'Discount Lookup'!G:H,2,FALSE)*G3395)</f>
        <v/>
      </c>
      <c r="W3395" s="508">
        <f t="shared" si="2572"/>
        <v>0</v>
      </c>
      <c r="X3395" s="508">
        <f t="shared" si="2573"/>
        <v>0</v>
      </c>
      <c r="Y3395" s="509" t="b">
        <f t="shared" si="2574"/>
        <v>0</v>
      </c>
      <c r="Z3395" s="510">
        <f t="shared" si="2575"/>
        <v>0</v>
      </c>
      <c r="AA3395" s="511"/>
      <c r="AB3395" s="511" t="str">
        <f t="shared" si="2576"/>
        <v/>
      </c>
      <c r="AC3395" s="698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698"/>
      <c r="AE3395" s="631" t="str">
        <f t="shared" si="2577"/>
        <v/>
      </c>
      <c r="AF3395" s="699" t="str">
        <f t="shared" si="2578"/>
        <v/>
      </c>
      <c r="AG3395" s="699"/>
      <c r="AH3395" s="699"/>
      <c r="AI3395" s="512">
        <f>IF(H3395="credit",0,IF(AE3395="free",0,IF(AE3395="me",0,IF(G3395&gt;0,(VLOOKUP(A3395,'Discount Lookup'!J:K,2)*G3395),0))))</f>
        <v>0</v>
      </c>
      <c r="AJ3395" s="513" t="str">
        <f t="shared" ca="1" si="2579"/>
        <v/>
      </c>
      <c r="AK3395" s="700" t="str">
        <f t="shared" si="2580"/>
        <v/>
      </c>
      <c r="AL3395" s="700"/>
      <c r="AM3395" s="505" t="str">
        <f t="shared" si="2581"/>
        <v/>
      </c>
      <c r="AN3395" s="506"/>
      <c r="AO3395" s="507"/>
      <c r="AP3395" s="507"/>
      <c r="AQ3395" s="507"/>
      <c r="AR3395" s="507"/>
      <c r="AS3395" s="507"/>
      <c r="AT3395" s="507"/>
      <c r="AU3395" s="507"/>
      <c r="AV3395" s="225"/>
      <c r="AW3395" s="508"/>
      <c r="AX3395" s="225"/>
      <c r="AY3395" s="225"/>
      <c r="AZ3395" s="225"/>
      <c r="BA3395" s="225"/>
      <c r="BB3395" s="225"/>
      <c r="BC3395" s="56"/>
      <c r="BD3395" s="56"/>
      <c r="BE3395" s="56"/>
      <c r="BF3395" s="107" t="str">
        <f t="shared" si="2582"/>
        <v>https://www.google.com/search?tbm=isch&amp;q=moist%20sites%F0%9F%92%A7GOOD%2C%20Slender%20Silhouette%27s%20Dark%20Green%20foliage%20turns%20Yellow-Red-Orange%20in%20fall.%20Gumballs%2C%20but%20not%20as%20many%20as%20Sweetgum%20</v>
      </c>
      <c r="BG3395" s="107" t="str">
        <f t="shared" si="2583"/>
        <v>m</v>
      </c>
      <c r="BH3395" s="254"/>
      <c r="BI3395" s="254"/>
    </row>
    <row r="3396" spans="1:61" customFormat="1" ht="18" x14ac:dyDescent="0.25">
      <c r="A3396" s="521" t="s">
        <v>4938</v>
      </c>
      <c r="B3396" s="477"/>
      <c r="C3396" s="674"/>
      <c r="D3396" s="478" t="s">
        <v>1760</v>
      </c>
      <c r="E3396" s="479"/>
      <c r="F3396" s="479"/>
      <c r="G3396" s="479"/>
      <c r="H3396" s="582" t="s">
        <v>839</v>
      </c>
      <c r="I3396" s="480" t="s">
        <v>2118</v>
      </c>
      <c r="J3396" s="479"/>
      <c r="K3396" s="479"/>
      <c r="L3396" s="560"/>
      <c r="M3396" s="671" t="s">
        <v>4990</v>
      </c>
      <c r="N3396" s="680" t="str">
        <f>IF(AND(ISTEXT($A3396), ISERROR($A3396+0)), HYPERLINK($BF3396, "Images"), "")</f>
        <v>Images</v>
      </c>
      <c r="O3396" s="662" t="s">
        <v>4967</v>
      </c>
      <c r="P3396" s="482"/>
      <c r="Q3396" s="483"/>
      <c r="R3396" s="483"/>
      <c r="S3396" s="484"/>
      <c r="T3396" s="508">
        <f t="shared" si="2571"/>
        <v>0</v>
      </c>
      <c r="U3396" s="225" t="str">
        <f>IF(NOT(ISNUMBER(G3396)), "", VLOOKUP(A3396,'Discount Lookup'!D:E,2,FALSE)*G3396)</f>
        <v/>
      </c>
      <c r="V3396" s="225" t="str">
        <f>IF(NOT(ISNUMBER(G3396)), "", VLOOKUP(A3396,'Discount Lookup'!G:H,2,FALSE)*G3396)</f>
        <v/>
      </c>
      <c r="W3396" s="508">
        <f t="shared" si="2572"/>
        <v>0</v>
      </c>
      <c r="X3396" s="508" t="str">
        <f t="shared" si="2573"/>
        <v>Rose-Pink bloom</v>
      </c>
      <c r="Y3396" s="509" t="b">
        <f t="shared" si="2574"/>
        <v>0</v>
      </c>
      <c r="Z3396" s="510">
        <f t="shared" si="2575"/>
        <v>0</v>
      </c>
      <c r="AA3396" s="511"/>
      <c r="AB3396" s="511" t="str">
        <f t="shared" si="2576"/>
        <v/>
      </c>
      <c r="AC3396" s="698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698"/>
      <c r="AE3396" s="631" t="str">
        <f t="shared" si="2577"/>
        <v/>
      </c>
      <c r="AF3396" s="699" t="str">
        <f t="shared" si="2578"/>
        <v/>
      </c>
      <c r="AG3396" s="699"/>
      <c r="AH3396" s="699"/>
      <c r="AI3396" s="512">
        <f>IF(H3396="credit",0,IF(AE3396="free",0,IF(AE3396="me",0,IF(G3396&gt;0,(VLOOKUP(A3396,'Discount Lookup'!J:K,2)*G3396),0))))</f>
        <v>0</v>
      </c>
      <c r="AJ3396" s="513" t="str">
        <f t="shared" ca="1" si="2579"/>
        <v/>
      </c>
      <c r="AK3396" s="700" t="str">
        <f t="shared" si="2580"/>
        <v/>
      </c>
      <c r="AL3396" s="700"/>
      <c r="AM3396" s="505" t="str">
        <f t="shared" si="2581"/>
        <v/>
      </c>
      <c r="AN3396" s="506"/>
      <c r="AO3396" s="507"/>
      <c r="AP3396" s="507"/>
      <c r="AQ3396" s="507"/>
      <c r="AR3396" s="507"/>
      <c r="AS3396" s="507"/>
      <c r="AT3396" s="507"/>
      <c r="AU3396" s="507"/>
      <c r="AV3396" s="225"/>
      <c r="AW3396" s="508"/>
      <c r="AX3396" s="225"/>
      <c r="AY3396" s="225"/>
      <c r="AZ3396" s="225"/>
      <c r="BA3396" s="225"/>
      <c r="BB3396" s="225"/>
      <c r="BC3396" s="56"/>
      <c r="BD3396" s="56"/>
      <c r="BE3396" s="56"/>
      <c r="BF3396" s="107" t="str">
        <f t="shared" si="2582"/>
        <v>https://www.google.com/search?tbm=isch&amp;q=Slim%20N%27%20Trim%20Camellia%20Camellia%20sasanqua%20%27Slim%20N%27%20Trim%27</v>
      </c>
      <c r="BG3396" s="107" t="str">
        <f t="shared" si="2583"/>
        <v>S</v>
      </c>
      <c r="BH3396" s="254"/>
      <c r="BI3396" s="254"/>
    </row>
    <row r="3397" spans="1:61" customFormat="1" ht="15.75" x14ac:dyDescent="0.25">
      <c r="A3397" s="485">
        <v>10</v>
      </c>
      <c r="B3397" s="486" t="s">
        <v>291</v>
      </c>
      <c r="C3397" s="487" t="s">
        <v>4023</v>
      </c>
      <c r="D3397" s="488" t="s">
        <v>300</v>
      </c>
      <c r="E3397" s="489">
        <v>231.95</v>
      </c>
      <c r="F3397" s="516" t="s">
        <v>293</v>
      </c>
      <c r="G3397" s="232">
        <v>0</v>
      </c>
      <c r="H3397" s="658" t="str">
        <f>IF(G3397=0,"",IF(F3397="Buy",IF(G3397=1,"plant","plants"),IF(F3397&gt;0.01,"warranty","Error")))</f>
        <v/>
      </c>
      <c r="I3397" s="490">
        <f>IF(H3397="free",0,IF(H3397="credit",((E3397*(F3397))*G3397*-1),IF(F3397="Buy",(E3397*G3397),((E3397*(1-F3397))*G3397))))</f>
        <v>0</v>
      </c>
      <c r="J3397" s="490">
        <f>IF(H3397="warranty",0,(I3397*(_xlfn.SINGLE(SalesTaxPercentage))))</f>
        <v>0</v>
      </c>
      <c r="K3397" s="695">
        <f t="shared" ref="K3397" si="2618">I3397+J3397</f>
        <v>0</v>
      </c>
      <c r="L3397" s="695"/>
      <c r="M3397" s="659" t="str">
        <f>IF(AND(G3397&gt;0,E3397=0),"WARNING - no PRICE inserted",IF(H3397="free"," FREE ~ no charge this plant",IF(H3397="credit",CONCATENATE(" -$",ROUND(K3397*(1-T2GDiscount)*-1,2)," CREDIT after discount"),IF(T2GDiscount=0,"",IF(G3397=0,"",IF(F3397="Buy",CONCATENATE(" $",ROUND(K3397*(1-T2GDiscount),2)," with ",(T2GDiscount*100),"% discount"),CONCATENATE(" $",ROUND(K3397*(1-T2GDiscount),2)," with ",((T2GDiscount*100+F3397*100)-(T2GDiscount*100*F3397)),IF(F3397&gt;0,"% discounts",IF(NoWarrantyDiscount&gt;0,"% discounts","% discount")))))))))</f>
        <v/>
      </c>
      <c r="N3397" s="660"/>
      <c r="O3397" s="233"/>
      <c r="P3397" s="233"/>
      <c r="Q3397" s="233"/>
      <c r="R3397" s="233"/>
      <c r="S3397" s="233"/>
      <c r="T3397" s="508">
        <f t="shared" si="2571"/>
        <v>0</v>
      </c>
      <c r="U3397" s="225">
        <f>IF(NOT(ISNUMBER(G3397)), "", VLOOKUP(A3397,'Discount Lookup'!D:E,2,FALSE)*G3397)</f>
        <v>0</v>
      </c>
      <c r="V3397" s="225">
        <f>IF(NOT(ISNUMBER(G3397)), "", VLOOKUP(A3397,'Discount Lookup'!G:H,2,FALSE)*G3397)</f>
        <v>0</v>
      </c>
      <c r="W3397" s="508">
        <f t="shared" si="2572"/>
        <v>0</v>
      </c>
      <c r="X3397" s="508">
        <f t="shared" si="2573"/>
        <v>0</v>
      </c>
      <c r="Y3397" s="509" t="b">
        <f t="shared" si="2574"/>
        <v>0</v>
      </c>
      <c r="Z3397" s="510">
        <f t="shared" si="2575"/>
        <v>0</v>
      </c>
      <c r="AA3397" s="511"/>
      <c r="AB3397" s="511" t="str">
        <f t="shared" si="2576"/>
        <v/>
      </c>
      <c r="AC3397" s="698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698"/>
      <c r="AE3397" s="631" t="str">
        <f t="shared" si="2577"/>
        <v/>
      </c>
      <c r="AF3397" s="699" t="str">
        <f t="shared" si="2578"/>
        <v/>
      </c>
      <c r="AG3397" s="699"/>
      <c r="AH3397" s="699"/>
      <c r="AI3397" s="512">
        <f>IF(H3397="credit",0,IF(AE3397="free",0,IF(AE3397="me",0,IF(G3397&gt;0,(VLOOKUP(A3397,'Discount Lookup'!J:K,2)*G3397),0))))</f>
        <v>0</v>
      </c>
      <c r="AJ3397" s="513" t="str">
        <f t="shared" ca="1" si="2579"/>
        <v/>
      </c>
      <c r="AK3397" s="700" t="str">
        <f t="shared" si="2580"/>
        <v/>
      </c>
      <c r="AL3397" s="700"/>
      <c r="AM3397" s="505" t="str">
        <f t="shared" si="2581"/>
        <v/>
      </c>
      <c r="AN3397" s="506"/>
      <c r="AO3397" s="507"/>
      <c r="AP3397" s="507"/>
      <c r="AQ3397" s="507"/>
      <c r="AR3397" s="507"/>
      <c r="AS3397" s="507"/>
      <c r="AT3397" s="507"/>
      <c r="AU3397" s="507"/>
      <c r="AV3397" s="225"/>
      <c r="AW3397" s="508"/>
      <c r="AX3397" s="225"/>
      <c r="AY3397" s="225"/>
      <c r="AZ3397" s="225"/>
      <c r="BA3397" s="225"/>
      <c r="BB3397" s="225"/>
      <c r="BC3397" s="56"/>
      <c r="BD3397" s="56"/>
      <c r="BE3397" s="56"/>
      <c r="BF3397" s="107" t="str">
        <f t="shared" si="2582"/>
        <v>https://www.google.com/search?tbm=isch&amp;q=10%20G6</v>
      </c>
      <c r="BG3397" s="107" t="str">
        <f t="shared" si="2583"/>
        <v>S</v>
      </c>
      <c r="BH3397" s="254"/>
      <c r="BI3397" s="254"/>
    </row>
    <row r="3398" spans="1:61" customFormat="1" ht="15.75" x14ac:dyDescent="0.25">
      <c r="A3398" s="485">
        <v>10</v>
      </c>
      <c r="B3398" s="486" t="s">
        <v>291</v>
      </c>
      <c r="C3398" s="487" t="s">
        <v>4564</v>
      </c>
      <c r="D3398" s="488" t="s">
        <v>300</v>
      </c>
      <c r="E3398" s="489">
        <v>313.95</v>
      </c>
      <c r="F3398" s="516" t="s">
        <v>293</v>
      </c>
      <c r="G3398" s="232">
        <v>0</v>
      </c>
      <c r="H3398" s="658" t="str">
        <f>IF(G3398=0,"",IF(F3398="Buy",IF(G3398=1,"plant","plants"),IF(F3398&gt;0.01,"warranty","Error")))</f>
        <v/>
      </c>
      <c r="I3398" s="490">
        <f>IF(H3398="free",0,IF(H3398="credit",((E3398*(F3398))*G3398*-1),IF(F3398="Buy",(E3398*G3398),((E3398*(1-F3398))*G3398))))</f>
        <v>0</v>
      </c>
      <c r="J3398" s="490">
        <f>IF(H3398="warranty",0,(I3398*(_xlfn.SINGLE(SalesTaxPercentage))))</f>
        <v>0</v>
      </c>
      <c r="K3398" s="695">
        <f t="shared" ref="K3398" si="2619">I3398+J3398</f>
        <v>0</v>
      </c>
      <c r="L3398" s="695"/>
      <c r="M3398" s="659" t="str">
        <f>IF(AND(G3398&gt;0,E3398=0),"WARNING - no PRICE inserted",IF(H3398="free"," FREE ~ no charge this plant",IF(H3398="credit",CONCATENATE(" -$",ROUND(K3398*(1-T2GDiscount)*-1,2)," CREDIT after discount"),IF(T2GDiscount=0,"",IF(G3398=0,"",IF(F3398="Buy",CONCATENATE(" $",ROUND(K3398*(1-T2GDiscount),2)," with ",(T2GDiscount*100),"% discount"),CONCATENATE(" $",ROUND(K3398*(1-T2GDiscount),2)," with ",((T2GDiscount*100+F3398*100)-(T2GDiscount*100*F3398)),IF(F3398&gt;0,"% discounts",IF(NoWarrantyDiscount&gt;0,"% discounts","% discount")))))))))</f>
        <v/>
      </c>
      <c r="N3398" s="660"/>
      <c r="O3398" s="233"/>
      <c r="P3398" s="233"/>
      <c r="Q3398" s="233"/>
      <c r="R3398" s="233"/>
      <c r="S3398" s="233"/>
      <c r="T3398" s="508">
        <f t="shared" si="2571"/>
        <v>0</v>
      </c>
      <c r="U3398" s="225">
        <f>IF(NOT(ISNUMBER(G3398)), "", VLOOKUP(A3398,'Discount Lookup'!D:E,2,FALSE)*G3398)</f>
        <v>0</v>
      </c>
      <c r="V3398" s="225">
        <f>IF(NOT(ISNUMBER(G3398)), "", VLOOKUP(A3398,'Discount Lookup'!G:H,2,FALSE)*G3398)</f>
        <v>0</v>
      </c>
      <c r="W3398" s="508">
        <f t="shared" si="2572"/>
        <v>0</v>
      </c>
      <c r="X3398" s="508">
        <f t="shared" si="2573"/>
        <v>0</v>
      </c>
      <c r="Y3398" s="509" t="b">
        <f t="shared" si="2574"/>
        <v>0</v>
      </c>
      <c r="Z3398" s="510">
        <f t="shared" si="2575"/>
        <v>0</v>
      </c>
      <c r="AA3398" s="511"/>
      <c r="AB3398" s="511" t="str">
        <f t="shared" si="2576"/>
        <v/>
      </c>
      <c r="AC3398" s="698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698"/>
      <c r="AE3398" s="631" t="str">
        <f t="shared" si="2577"/>
        <v/>
      </c>
      <c r="AF3398" s="699" t="str">
        <f t="shared" si="2578"/>
        <v/>
      </c>
      <c r="AG3398" s="699"/>
      <c r="AH3398" s="699"/>
      <c r="AI3398" s="512">
        <f>IF(H3398="credit",0,IF(AE3398="free",0,IF(AE3398="me",0,IF(G3398&gt;0,(VLOOKUP(A3398,'Discount Lookup'!J:K,2)*G3398),0))))</f>
        <v>0</v>
      </c>
      <c r="AJ3398" s="513" t="str">
        <f t="shared" ca="1" si="2579"/>
        <v/>
      </c>
      <c r="AK3398" s="700" t="str">
        <f t="shared" si="2580"/>
        <v/>
      </c>
      <c r="AL3398" s="700"/>
      <c r="AM3398" s="505" t="str">
        <f t="shared" si="2581"/>
        <v/>
      </c>
      <c r="AN3398" s="506"/>
      <c r="AO3398" s="507"/>
      <c r="AP3398" s="507"/>
      <c r="AQ3398" s="507"/>
      <c r="AR3398" s="507"/>
      <c r="AS3398" s="507"/>
      <c r="AT3398" s="507"/>
      <c r="AU3398" s="507"/>
      <c r="AV3398" s="225"/>
      <c r="AW3398" s="508"/>
      <c r="AX3398" s="225"/>
      <c r="AY3398" s="225"/>
      <c r="AZ3398" s="225"/>
      <c r="BA3398" s="225"/>
      <c r="BB3398" s="225"/>
      <c r="BC3398" s="56"/>
      <c r="BD3398" s="56"/>
      <c r="BE3398" s="56"/>
      <c r="BF3398" s="107" t="str">
        <f t="shared" si="2582"/>
        <v>https://www.google.com/search?tbm=isch&amp;q=10%20G6</v>
      </c>
      <c r="BG3398" s="107" t="str">
        <f t="shared" si="2583"/>
        <v>S</v>
      </c>
      <c r="BH3398" s="254"/>
      <c r="BI3398" s="254"/>
    </row>
    <row r="3399" spans="1:61" customFormat="1" ht="17.25" thickBot="1" x14ac:dyDescent="0.3">
      <c r="A3399" s="522" t="s">
        <v>2574</v>
      </c>
      <c r="B3399" s="491"/>
      <c r="C3399" s="675"/>
      <c r="D3399" s="491"/>
      <c r="E3399" s="491"/>
      <c r="F3399" s="492"/>
      <c r="G3399" s="493"/>
      <c r="H3399" s="491"/>
      <c r="I3399" s="234"/>
      <c r="J3399" s="234"/>
      <c r="K3399" s="494"/>
      <c r="L3399" s="543"/>
      <c r="M3399" s="561"/>
      <c r="N3399" s="495"/>
      <c r="O3399" s="496"/>
      <c r="P3399" s="497"/>
      <c r="Q3399" s="495"/>
      <c r="R3399" s="495"/>
      <c r="S3399" s="667" t="s">
        <v>4986</v>
      </c>
      <c r="T3399" s="508">
        <f t="shared" si="2571"/>
        <v>0</v>
      </c>
      <c r="U3399" s="225" t="str">
        <f>IF(NOT(ISNUMBER(G3399)), "", VLOOKUP(A3399,'Discount Lookup'!D:E,2,FALSE)*G3399)</f>
        <v/>
      </c>
      <c r="V3399" s="225" t="str">
        <f>IF(NOT(ISNUMBER(G3399)), "", VLOOKUP(A3399,'Discount Lookup'!G:H,2,FALSE)*G3399)</f>
        <v/>
      </c>
      <c r="W3399" s="508">
        <f t="shared" si="2572"/>
        <v>0</v>
      </c>
      <c r="X3399" s="508">
        <f t="shared" si="2573"/>
        <v>0</v>
      </c>
      <c r="Y3399" s="509" t="b">
        <f t="shared" si="2574"/>
        <v>0</v>
      </c>
      <c r="Z3399" s="510">
        <f t="shared" si="2575"/>
        <v>0</v>
      </c>
      <c r="AA3399" s="511"/>
      <c r="AB3399" s="511" t="str">
        <f t="shared" si="2576"/>
        <v/>
      </c>
      <c r="AC3399" s="698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698"/>
      <c r="AE3399" s="631" t="str">
        <f t="shared" si="2577"/>
        <v/>
      </c>
      <c r="AF3399" s="699" t="str">
        <f t="shared" si="2578"/>
        <v/>
      </c>
      <c r="AG3399" s="699"/>
      <c r="AH3399" s="699"/>
      <c r="AI3399" s="512">
        <f>IF(H3399="credit",0,IF(AE3399="free",0,IF(AE3399="me",0,IF(G3399&gt;0,(VLOOKUP(A3399,'Discount Lookup'!J:K,2)*G3399),0))))</f>
        <v>0</v>
      </c>
      <c r="AJ3399" s="513" t="str">
        <f t="shared" ca="1" si="2579"/>
        <v/>
      </c>
      <c r="AK3399" s="700" t="str">
        <f t="shared" si="2580"/>
        <v/>
      </c>
      <c r="AL3399" s="700"/>
      <c r="AM3399" s="505" t="str">
        <f t="shared" si="2581"/>
        <v/>
      </c>
      <c r="AN3399" s="506"/>
      <c r="AO3399" s="507"/>
      <c r="AP3399" s="507"/>
      <c r="AQ3399" s="507"/>
      <c r="AR3399" s="507"/>
      <c r="AS3399" s="507"/>
      <c r="AT3399" s="507"/>
      <c r="AU3399" s="507"/>
      <c r="AV3399" s="225"/>
      <c r="AW3399" s="508"/>
      <c r="AX3399" s="225"/>
      <c r="AY3399" s="225"/>
      <c r="AZ3399" s="225"/>
      <c r="BA3399" s="225"/>
      <c r="BB3399" s="225"/>
      <c r="BC3399" s="56"/>
      <c r="BD3399" s="56"/>
      <c r="BE3399" s="56"/>
      <c r="BF3399" s="107" t="str">
        <f t="shared" si="2582"/>
        <v>https://www.google.com/search?tbm=isch&amp;q=Slim%20N%27%20Trim%20has%20a%20narrow%2C%20upright%20form%20ideal%20for%20tight%20spaces%2C%20producing%20bright%20Pink%20blooms%20that%20light%20up%20the%20fall%20garden%20</v>
      </c>
      <c r="BG3399" s="107" t="str">
        <f t="shared" si="2583"/>
        <v>S</v>
      </c>
      <c r="BH3399" s="254"/>
      <c r="BI3399" s="254"/>
    </row>
    <row r="3400" spans="1:61" customFormat="1" ht="18" x14ac:dyDescent="0.25">
      <c r="A3400" s="523" t="s">
        <v>5534</v>
      </c>
      <c r="B3400" s="235"/>
      <c r="C3400" s="676"/>
      <c r="D3400" s="255" t="s">
        <v>1761</v>
      </c>
      <c r="E3400" s="236"/>
      <c r="F3400" s="236"/>
      <c r="G3400" s="236"/>
      <c r="H3400" s="582" t="s">
        <v>1698</v>
      </c>
      <c r="I3400" s="498" t="s">
        <v>654</v>
      </c>
      <c r="J3400" s="237"/>
      <c r="K3400" s="237"/>
      <c r="L3400" s="274"/>
      <c r="M3400" s="668" t="s">
        <v>4962</v>
      </c>
      <c r="N3400" s="681" t="str">
        <f>IF(AND(ISTEXT($A3400), ISERROR($A3400+0)), HYPERLINK($BF3400, "Images"), "")</f>
        <v>Images</v>
      </c>
      <c r="O3400" s="663" t="s">
        <v>4971</v>
      </c>
      <c r="P3400" s="253"/>
      <c r="Q3400" s="238"/>
      <c r="R3400" s="239"/>
      <c r="S3400" s="275"/>
      <c r="T3400" s="508">
        <f t="shared" si="2571"/>
        <v>0</v>
      </c>
      <c r="U3400" s="225" t="str">
        <f>IF(NOT(ISNUMBER(G3400)), "", VLOOKUP(A3400,'Discount Lookup'!D:E,2,FALSE)*G3400)</f>
        <v/>
      </c>
      <c r="V3400" s="225" t="str">
        <f>IF(NOT(ISNUMBER(G3400)), "", VLOOKUP(A3400,'Discount Lookup'!G:H,2,FALSE)*G3400)</f>
        <v/>
      </c>
      <c r="W3400" s="508">
        <f t="shared" si="2572"/>
        <v>0</v>
      </c>
      <c r="X3400" s="508" t="str">
        <f t="shared" si="2573"/>
        <v>White bloom</v>
      </c>
      <c r="Y3400" s="509" t="b">
        <f t="shared" si="2574"/>
        <v>0</v>
      </c>
      <c r="Z3400" s="510">
        <f t="shared" si="2575"/>
        <v>0</v>
      </c>
      <c r="AA3400" s="511"/>
      <c r="AB3400" s="511" t="str">
        <f t="shared" si="2576"/>
        <v/>
      </c>
      <c r="AC3400" s="698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698"/>
      <c r="AE3400" s="631" t="str">
        <f t="shared" si="2577"/>
        <v/>
      </c>
      <c r="AF3400" s="699" t="str">
        <f t="shared" si="2578"/>
        <v/>
      </c>
      <c r="AG3400" s="699"/>
      <c r="AH3400" s="699"/>
      <c r="AI3400" s="512">
        <f>IF(H3400="credit",0,IF(AE3400="free",0,IF(AE3400="me",0,IF(G3400&gt;0,(VLOOKUP(A3400,'Discount Lookup'!J:K,2)*G3400),0))))</f>
        <v>0</v>
      </c>
      <c r="AJ3400" s="513" t="str">
        <f t="shared" ca="1" si="2579"/>
        <v/>
      </c>
      <c r="AK3400" s="700" t="str">
        <f t="shared" si="2580"/>
        <v/>
      </c>
      <c r="AL3400" s="700"/>
      <c r="AM3400" s="505" t="str">
        <f t="shared" si="2581"/>
        <v/>
      </c>
      <c r="AN3400" s="506"/>
      <c r="AO3400" s="507"/>
      <c r="AP3400" s="507"/>
      <c r="AQ3400" s="507"/>
      <c r="AR3400" s="507"/>
      <c r="AS3400" s="507"/>
      <c r="AT3400" s="507"/>
      <c r="AU3400" s="507"/>
      <c r="AV3400" s="225"/>
      <c r="AW3400" s="508"/>
      <c r="AX3400" s="225"/>
      <c r="AY3400" s="225"/>
      <c r="AZ3400" s="225"/>
      <c r="BA3400" s="225"/>
      <c r="BB3400" s="225"/>
      <c r="BC3400" s="56"/>
      <c r="BD3400" s="56"/>
      <c r="BE3400" s="56"/>
      <c r="BF3400" s="107" t="str">
        <f t="shared" si="2582"/>
        <v>https://www.google.com/search?tbm=isch&amp;q=Snow%20Fountains%C2%AE%20Weeping%20Cherry%20Prunus%20x%20subhirtella%20%27Snofozam%27%20PP%236739Exp.</v>
      </c>
      <c r="BG3400" s="107" t="str">
        <f t="shared" si="2583"/>
        <v>S</v>
      </c>
      <c r="BH3400" s="254"/>
      <c r="BI3400" s="254"/>
    </row>
    <row r="3401" spans="1:61" customFormat="1" ht="15.75" x14ac:dyDescent="0.25">
      <c r="A3401" s="276">
        <v>7</v>
      </c>
      <c r="B3401" s="240" t="s">
        <v>291</v>
      </c>
      <c r="C3401" s="241" t="s">
        <v>3782</v>
      </c>
      <c r="D3401" s="242" t="s">
        <v>292</v>
      </c>
      <c r="E3401" s="243">
        <v>111.95</v>
      </c>
      <c r="F3401" s="517" t="s">
        <v>293</v>
      </c>
      <c r="G3401" s="232">
        <v>0</v>
      </c>
      <c r="H3401" s="661" t="str">
        <f>IF(G3401=0,"",IF(F3401="Buy",IF(G3401=1,"plant","plants"),IF(F3401&gt;0.01,"warranty","Error")))</f>
        <v/>
      </c>
      <c r="I3401" s="244">
        <f>IF(H3401="free",0,IF(H3401="credit",((E3401*(F3401))*G3401*-1),IF(F3401="Buy",(E3401*G3401),((E3401*(1-F3401))*G3401))))</f>
        <v>0</v>
      </c>
      <c r="J3401" s="244">
        <f>IF(H3401="warranty",0,(I3401*(_xlfn.SINGLE(SalesTaxPercentage))))</f>
        <v>0</v>
      </c>
      <c r="K3401" s="696">
        <f t="shared" ref="K3401" si="2620">I3401+J3401</f>
        <v>0</v>
      </c>
      <c r="L3401" s="696"/>
      <c r="M3401" s="659" t="str">
        <f>IF(AND(G3401&gt;0,E3401=0),"WARNING - no PRICE inserted",IF(H3401="free"," FREE ~ no charge this plant",IF(H3401="credit",CONCATENATE(" -$",ROUND(K3401*(1-T2GDiscount)*-1,2)," CREDIT after discount"),IF(T2GDiscount=0,"",IF(G3401=0,"",IF(F3401="Buy",CONCATENATE(" $",ROUND(K3401*(1-T2GDiscount),2)," with ",(T2GDiscount*100),"% discount"),CONCATENATE(" $",ROUND(K3401*(1-T2GDiscount),2)," with ",((T2GDiscount*100+F3401*100)-(T2GDiscount*100*F3401)),IF(F3401&gt;0,"% discounts",IF(NoWarrantyDiscount&gt;0,"% discounts","% discount")))))))))</f>
        <v/>
      </c>
      <c r="N3401" s="660"/>
      <c r="O3401" s="233"/>
      <c r="P3401" s="233"/>
      <c r="Q3401" s="233"/>
      <c r="R3401" s="233"/>
      <c r="S3401" s="233"/>
      <c r="T3401" s="508">
        <f t="shared" si="2571"/>
        <v>0</v>
      </c>
      <c r="U3401" s="225">
        <f>IF(NOT(ISNUMBER(G3401)), "", VLOOKUP(A3401,'Discount Lookup'!D:E,2,FALSE)*G3401)</f>
        <v>0</v>
      </c>
      <c r="V3401" s="225">
        <f>IF(NOT(ISNUMBER(G3401)), "", VLOOKUP(A3401,'Discount Lookup'!G:H,2,FALSE)*G3401)</f>
        <v>0</v>
      </c>
      <c r="W3401" s="508">
        <f t="shared" si="2572"/>
        <v>0</v>
      </c>
      <c r="X3401" s="508">
        <f t="shared" si="2573"/>
        <v>0</v>
      </c>
      <c r="Y3401" s="509" t="b">
        <f t="shared" si="2574"/>
        <v>0</v>
      </c>
      <c r="Z3401" s="510">
        <f t="shared" si="2575"/>
        <v>0</v>
      </c>
      <c r="AA3401" s="511"/>
      <c r="AB3401" s="511" t="str">
        <f t="shared" si="2576"/>
        <v/>
      </c>
      <c r="AC3401" s="698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698"/>
      <c r="AE3401" s="631" t="str">
        <f t="shared" si="2577"/>
        <v/>
      </c>
      <c r="AF3401" s="699" t="str">
        <f t="shared" si="2578"/>
        <v/>
      </c>
      <c r="AG3401" s="699"/>
      <c r="AH3401" s="699"/>
      <c r="AI3401" s="512">
        <f>IF(H3401="credit",0,IF(AE3401="free",0,IF(AE3401="me",0,IF(G3401&gt;0,(VLOOKUP(A3401,'Discount Lookup'!J:K,2)*G3401),0))))</f>
        <v>0</v>
      </c>
      <c r="AJ3401" s="513" t="str">
        <f t="shared" ca="1" si="2579"/>
        <v/>
      </c>
      <c r="AK3401" s="700" t="str">
        <f t="shared" si="2580"/>
        <v/>
      </c>
      <c r="AL3401" s="700"/>
      <c r="AM3401" s="505" t="str">
        <f t="shared" si="2581"/>
        <v/>
      </c>
      <c r="AN3401" s="506"/>
      <c r="AO3401" s="507"/>
      <c r="AP3401" s="507"/>
      <c r="AQ3401" s="507"/>
      <c r="AR3401" s="507"/>
      <c r="AS3401" s="507"/>
      <c r="AT3401" s="507"/>
      <c r="AU3401" s="507"/>
      <c r="AV3401" s="225"/>
      <c r="AW3401" s="508"/>
      <c r="AX3401" s="225"/>
      <c r="AY3401" s="225"/>
      <c r="AZ3401" s="225"/>
      <c r="BA3401" s="225"/>
      <c r="BB3401" s="225"/>
      <c r="BC3401" s="56"/>
      <c r="BD3401" s="56"/>
      <c r="BE3401" s="56"/>
      <c r="BF3401" s="107" t="str">
        <f t="shared" si="2582"/>
        <v>https://www.google.com/search?tbm=isch&amp;q=7%20G4</v>
      </c>
      <c r="BG3401" s="107" t="str">
        <f t="shared" si="2583"/>
        <v>S</v>
      </c>
      <c r="BH3401" s="254"/>
      <c r="BI3401" s="254"/>
    </row>
    <row r="3402" spans="1:61" customFormat="1" ht="15.75" x14ac:dyDescent="0.25">
      <c r="A3402" s="276">
        <v>15</v>
      </c>
      <c r="B3402" s="240" t="s">
        <v>291</v>
      </c>
      <c r="C3402" s="241" t="s">
        <v>358</v>
      </c>
      <c r="D3402" s="242" t="s">
        <v>312</v>
      </c>
      <c r="E3402" s="243">
        <v>175.95</v>
      </c>
      <c r="F3402" s="517" t="s">
        <v>293</v>
      </c>
      <c r="G3402" s="232">
        <v>0</v>
      </c>
      <c r="H3402" s="661" t="str">
        <f>IF(G3402=0,"",IF(F3402="Buy",IF(G3402=1,"plant","plants"),IF(F3402&gt;0.01,"warranty","Error")))</f>
        <v/>
      </c>
      <c r="I3402" s="244">
        <f>IF(H3402="free",0,IF(H3402="credit",((E3402*(F3402))*G3402*-1),IF(F3402="Buy",(E3402*G3402),((E3402*(1-F3402))*G3402))))</f>
        <v>0</v>
      </c>
      <c r="J3402" s="244">
        <f>IF(H3402="warranty",0,(I3402*(_xlfn.SINGLE(SalesTaxPercentage))))</f>
        <v>0</v>
      </c>
      <c r="K3402" s="696">
        <f t="shared" ref="K3402" si="2621">I3402+J3402</f>
        <v>0</v>
      </c>
      <c r="L3402" s="696"/>
      <c r="M3402" s="659" t="str">
        <f>IF(AND(G3402&gt;0,E3402=0),"WARNING - no PRICE inserted",IF(H3402="free"," FREE ~ no charge this plant",IF(H3402="credit",CONCATENATE(" -$",ROUND(K3402*(1-T2GDiscount)*-1,2)," CREDIT after discount"),IF(T2GDiscount=0,"",IF(G3402=0,"",IF(F3402="Buy",CONCATENATE(" $",ROUND(K3402*(1-T2GDiscount),2)," with ",(T2GDiscount*100),"% discount"),CONCATENATE(" $",ROUND(K3402*(1-T2GDiscount),2)," with ",((T2GDiscount*100+F3402*100)-(T2GDiscount*100*F3402)),IF(F3402&gt;0,"% discounts",IF(NoWarrantyDiscount&gt;0,"% discounts","% discount")))))))))</f>
        <v/>
      </c>
      <c r="N3402" s="660"/>
      <c r="O3402" s="233"/>
      <c r="P3402" s="233"/>
      <c r="Q3402" s="233"/>
      <c r="R3402" s="233"/>
      <c r="S3402" s="233"/>
      <c r="T3402" s="508">
        <f t="shared" si="2571"/>
        <v>0</v>
      </c>
      <c r="U3402" s="225">
        <f>IF(NOT(ISNUMBER(G3402)), "", VLOOKUP(A3402,'Discount Lookup'!D:E,2,FALSE)*G3402)</f>
        <v>0</v>
      </c>
      <c r="V3402" s="225">
        <f>IF(NOT(ISNUMBER(G3402)), "", VLOOKUP(A3402,'Discount Lookup'!G:H,2,FALSE)*G3402)</f>
        <v>0</v>
      </c>
      <c r="W3402" s="508">
        <f t="shared" si="2572"/>
        <v>0</v>
      </c>
      <c r="X3402" s="508">
        <f t="shared" si="2573"/>
        <v>0</v>
      </c>
      <c r="Y3402" s="509" t="b">
        <f t="shared" si="2574"/>
        <v>0</v>
      </c>
      <c r="Z3402" s="510">
        <f t="shared" si="2575"/>
        <v>0</v>
      </c>
      <c r="AA3402" s="511"/>
      <c r="AB3402" s="511" t="str">
        <f t="shared" si="2576"/>
        <v/>
      </c>
      <c r="AC3402" s="698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698"/>
      <c r="AE3402" s="631" t="str">
        <f t="shared" si="2577"/>
        <v/>
      </c>
      <c r="AF3402" s="699" t="str">
        <f t="shared" si="2578"/>
        <v/>
      </c>
      <c r="AG3402" s="699"/>
      <c r="AH3402" s="699"/>
      <c r="AI3402" s="512">
        <f>IF(H3402="credit",0,IF(AE3402="free",0,IF(AE3402="me",0,IF(G3402&gt;0,(VLOOKUP(A3402,'Discount Lookup'!J:K,2)*G3402),0))))</f>
        <v>0</v>
      </c>
      <c r="AJ3402" s="513" t="str">
        <f t="shared" ca="1" si="2579"/>
        <v/>
      </c>
      <c r="AK3402" s="700" t="str">
        <f t="shared" si="2580"/>
        <v/>
      </c>
      <c r="AL3402" s="700"/>
      <c r="AM3402" s="505" t="str">
        <f t="shared" si="2581"/>
        <v/>
      </c>
      <c r="AN3402" s="506"/>
      <c r="AO3402" s="507"/>
      <c r="AP3402" s="507"/>
      <c r="AQ3402" s="507"/>
      <c r="AR3402" s="507"/>
      <c r="AS3402" s="507"/>
      <c r="AT3402" s="507"/>
      <c r="AU3402" s="507"/>
      <c r="AV3402" s="225"/>
      <c r="AW3402" s="508"/>
      <c r="AX3402" s="225"/>
      <c r="AY3402" s="225"/>
      <c r="AZ3402" s="225"/>
      <c r="BA3402" s="225"/>
      <c r="BB3402" s="225"/>
      <c r="BC3402" s="56"/>
      <c r="BD3402" s="56"/>
      <c r="BE3402" s="56"/>
      <c r="BF3402" s="107" t="str">
        <f t="shared" si="2582"/>
        <v>https://www.google.com/search?tbm=isch&amp;q=15%20G2</v>
      </c>
      <c r="BG3402" s="107" t="str">
        <f t="shared" si="2583"/>
        <v>S</v>
      </c>
      <c r="BH3402" s="254"/>
      <c r="BI3402" s="254"/>
    </row>
    <row r="3403" spans="1:61" customFormat="1" ht="27" x14ac:dyDescent="0.25">
      <c r="A3403" s="276">
        <v>10</v>
      </c>
      <c r="B3403" s="240" t="s">
        <v>291</v>
      </c>
      <c r="C3403" s="241" t="s">
        <v>3783</v>
      </c>
      <c r="D3403" s="242" t="s">
        <v>292</v>
      </c>
      <c r="E3403" s="243">
        <v>194.95</v>
      </c>
      <c r="F3403" s="517" t="s">
        <v>293</v>
      </c>
      <c r="G3403" s="232">
        <v>0</v>
      </c>
      <c r="H3403" s="661" t="str">
        <f>IF(G3403=0,"",IF(F3403="Buy",IF(G3403=1,"plant","plants"),IF(F3403&gt;0.01,"warranty","Error")))</f>
        <v/>
      </c>
      <c r="I3403" s="244">
        <f>IF(H3403="free",0,IF(H3403="credit",((E3403*(F3403))*G3403*-1),IF(F3403="Buy",(E3403*G3403),((E3403*(1-F3403))*G3403))))</f>
        <v>0</v>
      </c>
      <c r="J3403" s="244">
        <f>IF(H3403="warranty",0,(I3403*(_xlfn.SINGLE(SalesTaxPercentage))))</f>
        <v>0</v>
      </c>
      <c r="K3403" s="696">
        <f t="shared" ref="K3403" si="2622">I3403+J3403</f>
        <v>0</v>
      </c>
      <c r="L3403" s="696"/>
      <c r="M3403" s="659" t="str">
        <f>IF(AND(G3403&gt;0,E3403=0),"WARNING - no PRICE inserted",IF(H3403="free"," FREE ~ no charge this plant",IF(H3403="credit",CONCATENATE(" -$",ROUND(K3403*(1-T2GDiscount)*-1,2)," CREDIT after discount"),IF(T2GDiscount=0,"",IF(G3403=0,"",IF(F3403="Buy",CONCATENATE(" $",ROUND(K3403*(1-T2GDiscount),2)," with ",(T2GDiscount*100),"% discount"),CONCATENATE(" $",ROUND(K3403*(1-T2GDiscount),2)," with ",((T2GDiscount*100+F3403*100)-(T2GDiscount*100*F3403)),IF(F3403&gt;0,"% discounts",IF(NoWarrantyDiscount&gt;0,"% discounts","% discount")))))))))</f>
        <v/>
      </c>
      <c r="N3403" s="660"/>
      <c r="O3403" s="233"/>
      <c r="P3403" s="233"/>
      <c r="Q3403" s="233"/>
      <c r="R3403" s="233"/>
      <c r="S3403" s="233"/>
      <c r="T3403" s="508">
        <f t="shared" si="2571"/>
        <v>0</v>
      </c>
      <c r="U3403" s="225">
        <f>IF(NOT(ISNUMBER(G3403)), "", VLOOKUP(A3403,'Discount Lookup'!D:E,2,FALSE)*G3403)</f>
        <v>0</v>
      </c>
      <c r="V3403" s="225">
        <f>IF(NOT(ISNUMBER(G3403)), "", VLOOKUP(A3403,'Discount Lookup'!G:H,2,FALSE)*G3403)</f>
        <v>0</v>
      </c>
      <c r="W3403" s="508">
        <f t="shared" si="2572"/>
        <v>0</v>
      </c>
      <c r="X3403" s="508">
        <f t="shared" si="2573"/>
        <v>0</v>
      </c>
      <c r="Y3403" s="509" t="b">
        <f t="shared" si="2574"/>
        <v>0</v>
      </c>
      <c r="Z3403" s="510">
        <f t="shared" si="2575"/>
        <v>0</v>
      </c>
      <c r="AA3403" s="511"/>
      <c r="AB3403" s="511" t="str">
        <f t="shared" si="2576"/>
        <v/>
      </c>
      <c r="AC3403" s="698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698"/>
      <c r="AE3403" s="631" t="str">
        <f t="shared" si="2577"/>
        <v/>
      </c>
      <c r="AF3403" s="699" t="str">
        <f t="shared" si="2578"/>
        <v/>
      </c>
      <c r="AG3403" s="699"/>
      <c r="AH3403" s="699"/>
      <c r="AI3403" s="512">
        <f>IF(H3403="credit",0,IF(AE3403="free",0,IF(AE3403="me",0,IF(G3403&gt;0,(VLOOKUP(A3403,'Discount Lookup'!J:K,2)*G3403),0))))</f>
        <v>0</v>
      </c>
      <c r="AJ3403" s="513" t="str">
        <f t="shared" ca="1" si="2579"/>
        <v/>
      </c>
      <c r="AK3403" s="700" t="str">
        <f t="shared" si="2580"/>
        <v/>
      </c>
      <c r="AL3403" s="700"/>
      <c r="AM3403" s="505" t="str">
        <f t="shared" si="2581"/>
        <v/>
      </c>
      <c r="AN3403" s="506"/>
      <c r="AO3403" s="507"/>
      <c r="AP3403" s="507"/>
      <c r="AQ3403" s="507"/>
      <c r="AR3403" s="507"/>
      <c r="AS3403" s="507"/>
      <c r="AT3403" s="507"/>
      <c r="AU3403" s="507"/>
      <c r="AV3403" s="225"/>
      <c r="AW3403" s="508"/>
      <c r="AX3403" s="225"/>
      <c r="AY3403" s="225"/>
      <c r="AZ3403" s="225"/>
      <c r="BA3403" s="225"/>
      <c r="BB3403" s="225"/>
      <c r="BC3403" s="56"/>
      <c r="BD3403" s="56"/>
      <c r="BE3403" s="56"/>
      <c r="BF3403" s="107" t="str">
        <f t="shared" si="2582"/>
        <v>https://www.google.com/search?tbm=isch&amp;q=10%20G4</v>
      </c>
      <c r="BG3403" s="107" t="str">
        <f t="shared" si="2583"/>
        <v>S</v>
      </c>
      <c r="BH3403" s="254"/>
      <c r="BI3403" s="254"/>
    </row>
    <row r="3404" spans="1:61" customFormat="1" ht="27" x14ac:dyDescent="0.25">
      <c r="A3404" s="276">
        <v>15</v>
      </c>
      <c r="B3404" s="240" t="s">
        <v>291</v>
      </c>
      <c r="C3404" s="241" t="s">
        <v>3784</v>
      </c>
      <c r="D3404" s="242" t="s">
        <v>292</v>
      </c>
      <c r="E3404" s="243">
        <v>219.95</v>
      </c>
      <c r="F3404" s="517" t="s">
        <v>293</v>
      </c>
      <c r="G3404" s="232">
        <v>0</v>
      </c>
      <c r="H3404" s="661" t="str">
        <f>IF(G3404=0,"",IF(F3404="Buy",IF(G3404=1,"plant","plants"),IF(F3404&gt;0.01,"warranty","Error")))</f>
        <v/>
      </c>
      <c r="I3404" s="244">
        <f>IF(H3404="free",0,IF(H3404="credit",((E3404*(F3404))*G3404*-1),IF(F3404="Buy",(E3404*G3404),((E3404*(1-F3404))*G3404))))</f>
        <v>0</v>
      </c>
      <c r="J3404" s="244">
        <f>IF(H3404="warranty",0,(I3404*(_xlfn.SINGLE(SalesTaxPercentage))))</f>
        <v>0</v>
      </c>
      <c r="K3404" s="696">
        <f t="shared" ref="K3404" si="2623">I3404+J3404</f>
        <v>0</v>
      </c>
      <c r="L3404" s="696"/>
      <c r="M3404" s="659" t="str">
        <f>IF(AND(G3404&gt;0,E3404=0),"WARNING - no PRICE inserted",IF(H3404="free"," FREE ~ no charge this plant",IF(H3404="credit",CONCATENATE(" -$",ROUND(K3404*(1-T2GDiscount)*-1,2)," CREDIT after discount"),IF(T2GDiscount=0,"",IF(G3404=0,"",IF(F3404="Buy",CONCATENATE(" $",ROUND(K3404*(1-T2GDiscount),2)," with ",(T2GDiscount*100),"% discount"),CONCATENATE(" $",ROUND(K3404*(1-T2GDiscount),2)," with ",((T2GDiscount*100+F3404*100)-(T2GDiscount*100*F3404)),IF(F3404&gt;0,"% discounts",IF(NoWarrantyDiscount&gt;0,"% discounts","% discount")))))))))</f>
        <v/>
      </c>
      <c r="N3404" s="660"/>
      <c r="O3404" s="233"/>
      <c r="P3404" s="233"/>
      <c r="Q3404" s="233"/>
      <c r="R3404" s="233"/>
      <c r="S3404" s="233"/>
      <c r="T3404" s="508">
        <f t="shared" si="2571"/>
        <v>0</v>
      </c>
      <c r="U3404" s="225">
        <f>IF(NOT(ISNUMBER(G3404)), "", VLOOKUP(A3404,'Discount Lookup'!D:E,2,FALSE)*G3404)</f>
        <v>0</v>
      </c>
      <c r="V3404" s="225">
        <f>IF(NOT(ISNUMBER(G3404)), "", VLOOKUP(A3404,'Discount Lookup'!G:H,2,FALSE)*G3404)</f>
        <v>0</v>
      </c>
      <c r="W3404" s="508">
        <f t="shared" si="2572"/>
        <v>0</v>
      </c>
      <c r="X3404" s="508">
        <f t="shared" si="2573"/>
        <v>0</v>
      </c>
      <c r="Y3404" s="509" t="b">
        <f t="shared" si="2574"/>
        <v>0</v>
      </c>
      <c r="Z3404" s="510">
        <f t="shared" si="2575"/>
        <v>0</v>
      </c>
      <c r="AA3404" s="511"/>
      <c r="AB3404" s="511" t="str">
        <f t="shared" si="2576"/>
        <v/>
      </c>
      <c r="AC3404" s="698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698"/>
      <c r="AE3404" s="631" t="str">
        <f t="shared" si="2577"/>
        <v/>
      </c>
      <c r="AF3404" s="699" t="str">
        <f t="shared" si="2578"/>
        <v/>
      </c>
      <c r="AG3404" s="699"/>
      <c r="AH3404" s="699"/>
      <c r="AI3404" s="512">
        <f>IF(H3404="credit",0,IF(AE3404="free",0,IF(AE3404="me",0,IF(G3404&gt;0,(VLOOKUP(A3404,'Discount Lookup'!J:K,2)*G3404),0))))</f>
        <v>0</v>
      </c>
      <c r="AJ3404" s="513" t="str">
        <f t="shared" ca="1" si="2579"/>
        <v/>
      </c>
      <c r="AK3404" s="700" t="str">
        <f t="shared" si="2580"/>
        <v/>
      </c>
      <c r="AL3404" s="700"/>
      <c r="AM3404" s="505" t="str">
        <f t="shared" si="2581"/>
        <v/>
      </c>
      <c r="AN3404" s="506"/>
      <c r="AO3404" s="507"/>
      <c r="AP3404" s="507"/>
      <c r="AQ3404" s="507"/>
      <c r="AR3404" s="507"/>
      <c r="AS3404" s="507"/>
      <c r="AT3404" s="507"/>
      <c r="AU3404" s="507"/>
      <c r="AV3404" s="225"/>
      <c r="AW3404" s="508"/>
      <c r="AX3404" s="225"/>
      <c r="AY3404" s="225"/>
      <c r="AZ3404" s="225"/>
      <c r="BA3404" s="225"/>
      <c r="BB3404" s="225"/>
      <c r="BC3404" s="56"/>
      <c r="BD3404" s="56"/>
      <c r="BE3404" s="56"/>
      <c r="BF3404" s="107" t="str">
        <f t="shared" si="2582"/>
        <v>https://www.google.com/search?tbm=isch&amp;q=15%20G4</v>
      </c>
      <c r="BG3404" s="107" t="str">
        <f t="shared" si="2583"/>
        <v>S</v>
      </c>
      <c r="BH3404" s="254"/>
      <c r="BI3404" s="254"/>
    </row>
    <row r="3405" spans="1:61" customFormat="1" ht="27" x14ac:dyDescent="0.25">
      <c r="A3405" s="276">
        <v>15</v>
      </c>
      <c r="B3405" s="240" t="s">
        <v>291</v>
      </c>
      <c r="C3405" s="241" t="s">
        <v>3785</v>
      </c>
      <c r="D3405" s="242" t="s">
        <v>292</v>
      </c>
      <c r="E3405" s="243">
        <v>263.95</v>
      </c>
      <c r="F3405" s="517" t="s">
        <v>293</v>
      </c>
      <c r="G3405" s="232">
        <v>0</v>
      </c>
      <c r="H3405" s="661" t="str">
        <f>IF(G3405=0,"",IF(F3405="Buy",IF(G3405=1,"plant","plants"),IF(F3405&gt;0.01,"warranty","Error")))</f>
        <v/>
      </c>
      <c r="I3405" s="244">
        <f>IF(H3405="free",0,IF(H3405="credit",((E3405*(F3405))*G3405*-1),IF(F3405="Buy",(E3405*G3405),((E3405*(1-F3405))*G3405))))</f>
        <v>0</v>
      </c>
      <c r="J3405" s="244">
        <f>IF(H3405="warranty",0,(I3405*(_xlfn.SINGLE(SalesTaxPercentage))))</f>
        <v>0</v>
      </c>
      <c r="K3405" s="696">
        <f t="shared" ref="K3405" si="2624">I3405+J3405</f>
        <v>0</v>
      </c>
      <c r="L3405" s="696"/>
      <c r="M3405" s="659" t="str">
        <f>IF(AND(G3405&gt;0,E3405=0),"WARNING - no PRICE inserted",IF(H3405="free"," FREE ~ no charge this plant",IF(H3405="credit",CONCATENATE(" -$",ROUND(K3405*(1-T2GDiscount)*-1,2)," CREDIT after discount"),IF(T2GDiscount=0,"",IF(G3405=0,"",IF(F3405="Buy",CONCATENATE(" $",ROUND(K3405*(1-T2GDiscount),2)," with ",(T2GDiscount*100),"% discount"),CONCATENATE(" $",ROUND(K3405*(1-T2GDiscount),2)," with ",((T2GDiscount*100+F3405*100)-(T2GDiscount*100*F3405)),IF(F3405&gt;0,"% discounts",IF(NoWarrantyDiscount&gt;0,"% discounts","% discount")))))))))</f>
        <v/>
      </c>
      <c r="N3405" s="660"/>
      <c r="O3405" s="233"/>
      <c r="P3405" s="233"/>
      <c r="Q3405" s="233"/>
      <c r="R3405" s="233"/>
      <c r="S3405" s="233"/>
      <c r="T3405" s="508">
        <f t="shared" si="2571"/>
        <v>0</v>
      </c>
      <c r="U3405" s="225">
        <f>IF(NOT(ISNUMBER(G3405)), "", VLOOKUP(A3405,'Discount Lookup'!D:E,2,FALSE)*G3405)</f>
        <v>0</v>
      </c>
      <c r="V3405" s="225">
        <f>IF(NOT(ISNUMBER(G3405)), "", VLOOKUP(A3405,'Discount Lookup'!G:H,2,FALSE)*G3405)</f>
        <v>0</v>
      </c>
      <c r="W3405" s="508">
        <f t="shared" si="2572"/>
        <v>0</v>
      </c>
      <c r="X3405" s="508">
        <f t="shared" si="2573"/>
        <v>0</v>
      </c>
      <c r="Y3405" s="509" t="b">
        <f t="shared" si="2574"/>
        <v>0</v>
      </c>
      <c r="Z3405" s="510">
        <f t="shared" si="2575"/>
        <v>0</v>
      </c>
      <c r="AA3405" s="511"/>
      <c r="AB3405" s="511" t="str">
        <f t="shared" si="2576"/>
        <v/>
      </c>
      <c r="AC3405" s="698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698"/>
      <c r="AE3405" s="631" t="str">
        <f t="shared" si="2577"/>
        <v/>
      </c>
      <c r="AF3405" s="699" t="str">
        <f t="shared" si="2578"/>
        <v/>
      </c>
      <c r="AG3405" s="699"/>
      <c r="AH3405" s="699"/>
      <c r="AI3405" s="512">
        <f>IF(H3405="credit",0,IF(AE3405="free",0,IF(AE3405="me",0,IF(G3405&gt;0,(VLOOKUP(A3405,'Discount Lookup'!J:K,2)*G3405),0))))</f>
        <v>0</v>
      </c>
      <c r="AJ3405" s="513" t="str">
        <f t="shared" ca="1" si="2579"/>
        <v/>
      </c>
      <c r="AK3405" s="700" t="str">
        <f t="shared" si="2580"/>
        <v/>
      </c>
      <c r="AL3405" s="700"/>
      <c r="AM3405" s="505" t="str">
        <f t="shared" si="2581"/>
        <v/>
      </c>
      <c r="AN3405" s="506"/>
      <c r="AO3405" s="507"/>
      <c r="AP3405" s="507"/>
      <c r="AQ3405" s="507"/>
      <c r="AR3405" s="507"/>
      <c r="AS3405" s="507"/>
      <c r="AT3405" s="507"/>
      <c r="AU3405" s="507"/>
      <c r="AV3405" s="225"/>
      <c r="AW3405" s="508"/>
      <c r="AX3405" s="225"/>
      <c r="AY3405" s="225"/>
      <c r="AZ3405" s="225"/>
      <c r="BA3405" s="225"/>
      <c r="BB3405" s="225"/>
      <c r="BC3405" s="56"/>
      <c r="BD3405" s="56"/>
      <c r="BE3405" s="56"/>
      <c r="BF3405" s="107" t="str">
        <f t="shared" si="2582"/>
        <v>https://www.google.com/search?tbm=isch&amp;q=15%20G4</v>
      </c>
      <c r="BG3405" s="107" t="str">
        <f t="shared" si="2583"/>
        <v>S</v>
      </c>
      <c r="BH3405" s="254"/>
      <c r="BI3405" s="254"/>
    </row>
    <row r="3406" spans="1:61" customFormat="1" ht="17.25" thickBot="1" x14ac:dyDescent="0.3">
      <c r="A3406" s="524" t="s">
        <v>2487</v>
      </c>
      <c r="B3406" s="245"/>
      <c r="C3406" s="677"/>
      <c r="D3406" s="499"/>
      <c r="E3406" s="499"/>
      <c r="F3406" s="500"/>
      <c r="G3406" s="501"/>
      <c r="H3406" s="502"/>
      <c r="I3406" s="246"/>
      <c r="J3406" s="247"/>
      <c r="K3406" s="503"/>
      <c r="L3406" s="544"/>
      <c r="M3406" s="544"/>
      <c r="N3406" s="500"/>
      <c r="O3406" s="500"/>
      <c r="P3406" s="500"/>
      <c r="Q3406" s="500"/>
      <c r="R3406" s="500"/>
      <c r="S3406" s="669" t="s">
        <v>4972</v>
      </c>
      <c r="T3406" s="508">
        <f t="shared" ref="T3406:T3469" si="2625">E3406*G3406</f>
        <v>0</v>
      </c>
      <c r="U3406" s="225" t="str">
        <f>IF(NOT(ISNUMBER(G3406)), "", VLOOKUP(A3406,'Discount Lookup'!D:E,2,FALSE)*G3406)</f>
        <v/>
      </c>
      <c r="V3406" s="225" t="str">
        <f>IF(NOT(ISNUMBER(G3406)), "", VLOOKUP(A3406,'Discount Lookup'!G:H,2,FALSE)*G3406)</f>
        <v/>
      </c>
      <c r="W3406" s="508">
        <f t="shared" ref="W3406:W3469" si="2626">IF(H3406="credit",0,E3406*(SalesTaxPercentage)*G3406)</f>
        <v>0</v>
      </c>
      <c r="X3406" s="508">
        <f t="shared" ref="X3406:X3469" si="2627">I3406</f>
        <v>0</v>
      </c>
      <c r="Y3406" s="509" t="b">
        <f t="shared" ref="Y3406:Y3469" si="2628">IF(AE3406="T2G",0,IF(H3406="credit",0,IF(G3406&gt;0,IF(AE3406="me","",G3406))))</f>
        <v>0</v>
      </c>
      <c r="Z3406" s="510">
        <f t="shared" ref="Z3406:Z3469" si="2629">IF(H3406="credit",G3406,0)</f>
        <v>0</v>
      </c>
      <c r="AA3406" s="511"/>
      <c r="AB3406" s="511" t="str">
        <f t="shared" ref="AB3406:AB3469" si="2630">IF(AE3406="T2G","by Trees2Go",IF(H3406="credit","CREDIT only ~",IF(AND(K3406="",AE3406=OR(PlanterYesMe="No",PlanterYesMe="N",PlanterYesMe="me")),"not THIS line⇨",IF(AND(K3406="images",AE3406="me"),"not THIS line⇨",IF(H3406="credit","",IF(G3406=0,"",IF(AE3406="me","",IF(OR(PlanterYesMe="No",PlanterYesMe="N",PlanterYesMe="me"),"",IF(AE3406="free","warranty",IF(OR(PlanterYesMe="yes",PlanterYesMe="y"),"Edison install:","to install:"))))))))))</f>
        <v/>
      </c>
      <c r="AC3406" s="698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698"/>
      <c r="AE3406" s="631" t="str">
        <f t="shared" ref="AE3406:AE3469" si="2631">IF(H3406="credit","",IF(G3406=0,"",IF(OR(PlanterYesMe="No",PlanterYesMe="N",PlanterYesMe="me"),"me",IF(H3406="warranty","free",IF(OR(PlanterYesMe="yes",PlanterYesMe="y"),"ELP","")))))</f>
        <v/>
      </c>
      <c r="AF3406" s="699" t="str">
        <f t="shared" ref="AF3406:AF3469" si="2632">IF(OR(PlanterYesMe="No",PlanterYesMe="N",PlanterYesMe="me"),"",IF(H3406="credit","",IF(G3406&gt;0,(CONCATENATE((G3406)," quantity, ",(A3406)," ",B3406)),"")))</f>
        <v/>
      </c>
      <c r="AG3406" s="699"/>
      <c r="AH3406" s="699"/>
      <c r="AI3406" s="512">
        <f>IF(H3406="credit",0,IF(AE3406="free",0,IF(AE3406="me",0,IF(G3406&gt;0,(VLOOKUP(A3406,'Discount Lookup'!J:K,2)*G3406),0))))</f>
        <v>0</v>
      </c>
      <c r="AJ3406" s="513" t="str">
        <f t="shared" ref="AJ3406:AJ3469" ca="1" si="2633">IF(AND(ISREF(H3406),H3406="credit"),"",IF(AND(AND(OFFSET(G3406,0,0)=0,OFFSET(G3406,1,0)&gt;0,ISNUMBER(OFFSET(AC3406,1,0)),OFFSET(AC3406,1,0)&gt;0),OR(PlanterYesMe="yes",PlanterYesMe="y")),"T2G+ELP=",IF(AND(OFFSET(G3406,0,0)=0,OFFSET(G3406,1,0)&gt;0,ISNUMBER(OFFSET(AC3406,1,0)),OFFSET(AC3406,1,0)&gt;0),"if T2G+ELP=",IF(AND(OFFSET(G3406,0,0)=0,OFFSET(G3406,1,0)&gt;0),"T2G Subtotal",IF(H3406="credit","",IF(G3406=0,"",IF(AE3406="free",(K3406*(1-T2GDiscount)),IF(OR(PlanterYesMe="No",PlanterYesMe="N",PlanterYesMe="me"),(K3406*(1-T2GDiscount)),IF(OR(AE3406="me",AE3406="T2G"),(K3406*(1-T2GDiscount)),(K3406*(1-T2GDiscount))+AC3406)))))))))</f>
        <v/>
      </c>
      <c r="AK3406" s="700" t="str">
        <f t="shared" ref="AK3406:AK3469" si="2634">IF(H3406="credit","",IF(G3406=0,"",IF(OR(AE3406="me",AE3406="T2G"),"  delivery-only",IF(OR(PlanterYesMe="No",PlanterYesMe="N",PlanterYesMe="me"),"  delivery-only",CONCATENATE(" $",ROUND(AJ3406/G3406,2)," each")))))</f>
        <v/>
      </c>
      <c r="AL3406" s="700"/>
      <c r="AM3406" s="505" t="str">
        <f t="shared" ref="AM3406:AM3469" si="2635">IF(H3406="credit","",IF(AE3406="free","      ~ discounts included, no tax or planting fee applies ~",IF(G3406=0,"",IF(OR(PlanterYesMe="No",PlanterYesMe="N",PlanterYesMe="me"),CONCATENATE(" $",ROUND(AJ3406/G3406,2)," per plant, with tax &amp; discount"),IF(OR(AE3406="me",AE3406="T2G"),CONCATENATE(" $",ROUND(AJ3406/G3406,2)," per plant, with tax &amp; discount"),CONCATENATE("= $",ROUND((K3406*(1-T2GDiscount))/G3406,2)," per plant + $",AC3406/G3406,(" per planting      ~ includes tax &amp; discounts ~")))))))</f>
        <v/>
      </c>
      <c r="AN3406" s="506"/>
      <c r="AO3406" s="507"/>
      <c r="AP3406" s="507"/>
      <c r="AQ3406" s="507"/>
      <c r="AR3406" s="507"/>
      <c r="AS3406" s="507"/>
      <c r="AT3406" s="507"/>
      <c r="AU3406" s="507"/>
      <c r="AV3406" s="225"/>
      <c r="AW3406" s="508"/>
      <c r="AX3406" s="225"/>
      <c r="AY3406" s="225"/>
      <c r="AZ3406" s="225"/>
      <c r="BA3406" s="225"/>
      <c r="BB3406" s="225"/>
      <c r="BC3406" s="56"/>
      <c r="BD3406" s="56"/>
      <c r="BE3406" s="56"/>
      <c r="BF3406" s="107" t="str">
        <f t="shared" ref="BF3406:BF3469" si="2636">"https://www.google.com/search?tbm=isch&amp;q=" &amp; _xlfn.ENCODEURL($A3406 &amp; " " &amp; $D3406)</f>
        <v>https://www.google.com/search?tbm=isch&amp;q=Snow%20Fountains%20starts%20with%20fragrant%20flowers%20on%20pink%20buds%2C%20then%20dark%20green%20foliage%2C%20turning-yellow%20to%20orange%20in%20fall%20</v>
      </c>
      <c r="BG3406" s="107" t="str">
        <f t="shared" ref="BG3406:BG3469" si="2637">IF(ISTEXT(A3406),LEFT(A3406,1),BG3405)</f>
        <v>S</v>
      </c>
      <c r="BH3406" s="254"/>
      <c r="BI3406" s="254"/>
    </row>
    <row r="3407" spans="1:61" customFormat="1" ht="18" x14ac:dyDescent="0.25">
      <c r="A3407" s="523" t="s">
        <v>1762</v>
      </c>
      <c r="B3407" s="235"/>
      <c r="C3407" s="676"/>
      <c r="D3407" s="255" t="s">
        <v>1763</v>
      </c>
      <c r="E3407" s="236"/>
      <c r="F3407" s="236"/>
      <c r="G3407" s="236"/>
      <c r="H3407" s="582" t="s">
        <v>357</v>
      </c>
      <c r="I3407" s="498" t="s">
        <v>654</v>
      </c>
      <c r="J3407" s="237"/>
      <c r="K3407" s="237"/>
      <c r="L3407" s="274"/>
      <c r="M3407" s="668" t="s">
        <v>4975</v>
      </c>
      <c r="N3407" s="681" t="str">
        <f>IF(AND(ISTEXT($A3407), ISERROR($A3407+0)), HYPERLINK($BF3407, "Images"), "")</f>
        <v>Images</v>
      </c>
      <c r="O3407" s="663" t="s">
        <v>4967</v>
      </c>
      <c r="P3407" s="253"/>
      <c r="Q3407" s="238"/>
      <c r="R3407" s="239"/>
      <c r="S3407" s="275"/>
      <c r="T3407" s="508">
        <f t="shared" si="2625"/>
        <v>0</v>
      </c>
      <c r="U3407" s="225" t="str">
        <f>IF(NOT(ISNUMBER(G3407)), "", VLOOKUP(A3407,'Discount Lookup'!D:E,2,FALSE)*G3407)</f>
        <v/>
      </c>
      <c r="V3407" s="225" t="str">
        <f>IF(NOT(ISNUMBER(G3407)), "", VLOOKUP(A3407,'Discount Lookup'!G:H,2,FALSE)*G3407)</f>
        <v/>
      </c>
      <c r="W3407" s="508">
        <f t="shared" si="2626"/>
        <v>0</v>
      </c>
      <c r="X3407" s="508" t="str">
        <f t="shared" si="2627"/>
        <v>White bloom</v>
      </c>
      <c r="Y3407" s="509" t="b">
        <f t="shared" si="2628"/>
        <v>0</v>
      </c>
      <c r="Z3407" s="510">
        <f t="shared" si="2629"/>
        <v>0</v>
      </c>
      <c r="AA3407" s="511"/>
      <c r="AB3407" s="511" t="str">
        <f t="shared" si="2630"/>
        <v/>
      </c>
      <c r="AC3407" s="698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698"/>
      <c r="AE3407" s="631" t="str">
        <f t="shared" si="2631"/>
        <v/>
      </c>
      <c r="AF3407" s="699" t="str">
        <f t="shared" si="2632"/>
        <v/>
      </c>
      <c r="AG3407" s="699"/>
      <c r="AH3407" s="699"/>
      <c r="AI3407" s="512">
        <f>IF(H3407="credit",0,IF(AE3407="free",0,IF(AE3407="me",0,IF(G3407&gt;0,(VLOOKUP(A3407,'Discount Lookup'!J:K,2)*G3407),0))))</f>
        <v>0</v>
      </c>
      <c r="AJ3407" s="513" t="str">
        <f t="shared" ca="1" si="2633"/>
        <v/>
      </c>
      <c r="AK3407" s="700" t="str">
        <f t="shared" si="2634"/>
        <v/>
      </c>
      <c r="AL3407" s="700"/>
      <c r="AM3407" s="505" t="str">
        <f t="shared" si="2635"/>
        <v/>
      </c>
      <c r="AN3407" s="506"/>
      <c r="AO3407" s="507"/>
      <c r="AP3407" s="507"/>
      <c r="AQ3407" s="507"/>
      <c r="AR3407" s="507"/>
      <c r="AS3407" s="507"/>
      <c r="AT3407" s="507"/>
      <c r="AU3407" s="507"/>
      <c r="AV3407" s="225"/>
      <c r="AW3407" s="508"/>
      <c r="AX3407" s="225"/>
      <c r="AY3407" s="225"/>
      <c r="AZ3407" s="225"/>
      <c r="BA3407" s="225"/>
      <c r="BB3407" s="225"/>
      <c r="BC3407" s="56"/>
      <c r="BD3407" s="56"/>
      <c r="BE3407" s="56"/>
      <c r="BF3407" s="107" t="str">
        <f t="shared" si="2636"/>
        <v>https://www.google.com/search?tbm=isch&amp;q=Snow%20Goose%20Cherry%20Prunus%20serrulata%20%27Snow%20Goose%27</v>
      </c>
      <c r="BG3407" s="107" t="str">
        <f t="shared" si="2637"/>
        <v>S</v>
      </c>
      <c r="BH3407" s="254"/>
      <c r="BI3407" s="254"/>
    </row>
    <row r="3408" spans="1:61" customFormat="1" ht="15.75" x14ac:dyDescent="0.25">
      <c r="A3408" s="276">
        <v>7</v>
      </c>
      <c r="B3408" s="240" t="s">
        <v>291</v>
      </c>
      <c r="C3408" s="241" t="s">
        <v>3786</v>
      </c>
      <c r="D3408" s="242" t="s">
        <v>292</v>
      </c>
      <c r="E3408" s="243">
        <v>102.95</v>
      </c>
      <c r="F3408" s="517" t="s">
        <v>293</v>
      </c>
      <c r="G3408" s="232">
        <v>0</v>
      </c>
      <c r="H3408" s="661" t="str">
        <f>IF(G3408=0,"",IF(F3408="Buy",IF(G3408=1,"plant","plants"),IF(F3408&gt;0.01,"warranty","Error")))</f>
        <v/>
      </c>
      <c r="I3408" s="244">
        <f>IF(H3408="free",0,IF(H3408="credit",((E3408*(F3408))*G3408*-1),IF(F3408="Buy",(E3408*G3408),((E3408*(1-F3408))*G3408))))</f>
        <v>0</v>
      </c>
      <c r="J3408" s="244">
        <f>IF(H3408="warranty",0,(I3408*(_xlfn.SINGLE(SalesTaxPercentage))))</f>
        <v>0</v>
      </c>
      <c r="K3408" s="696">
        <f t="shared" ref="K3408" si="2638">I3408+J3408</f>
        <v>0</v>
      </c>
      <c r="L3408" s="696"/>
      <c r="M3408" s="659" t="str">
        <f>IF(AND(G3408&gt;0,E3408=0),"WARNING - no PRICE inserted",IF(H3408="free"," FREE ~ no charge this plant",IF(H3408="credit",CONCATENATE(" -$",ROUND(K3408*(1-T2GDiscount)*-1,2)," CREDIT after discount"),IF(T2GDiscount=0,"",IF(G3408=0,"",IF(F3408="Buy",CONCATENATE(" $",ROUND(K3408*(1-T2GDiscount),2)," with ",(T2GDiscount*100),"% discount"),CONCATENATE(" $",ROUND(K3408*(1-T2GDiscount),2)," with ",((T2GDiscount*100+F3408*100)-(T2GDiscount*100*F3408)),IF(F3408&gt;0,"% discounts",IF(NoWarrantyDiscount&gt;0,"% discounts","% discount")))))))))</f>
        <v/>
      </c>
      <c r="N3408" s="660"/>
      <c r="O3408" s="233"/>
      <c r="P3408" s="233"/>
      <c r="Q3408" s="233"/>
      <c r="R3408" s="233"/>
      <c r="S3408" s="233"/>
      <c r="T3408" s="508">
        <f t="shared" si="2625"/>
        <v>0</v>
      </c>
      <c r="U3408" s="225">
        <f>IF(NOT(ISNUMBER(G3408)), "", VLOOKUP(A3408,'Discount Lookup'!D:E,2,FALSE)*G3408)</f>
        <v>0</v>
      </c>
      <c r="V3408" s="225">
        <f>IF(NOT(ISNUMBER(G3408)), "", VLOOKUP(A3408,'Discount Lookup'!G:H,2,FALSE)*G3408)</f>
        <v>0</v>
      </c>
      <c r="W3408" s="508">
        <f t="shared" si="2626"/>
        <v>0</v>
      </c>
      <c r="X3408" s="508">
        <f t="shared" si="2627"/>
        <v>0</v>
      </c>
      <c r="Y3408" s="509" t="b">
        <f t="shared" si="2628"/>
        <v>0</v>
      </c>
      <c r="Z3408" s="510">
        <f t="shared" si="2629"/>
        <v>0</v>
      </c>
      <c r="AA3408" s="511"/>
      <c r="AB3408" s="511" t="str">
        <f t="shared" si="2630"/>
        <v/>
      </c>
      <c r="AC3408" s="698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698"/>
      <c r="AE3408" s="631" t="str">
        <f t="shared" si="2631"/>
        <v/>
      </c>
      <c r="AF3408" s="699" t="str">
        <f t="shared" si="2632"/>
        <v/>
      </c>
      <c r="AG3408" s="699"/>
      <c r="AH3408" s="699"/>
      <c r="AI3408" s="512">
        <f>IF(H3408="credit",0,IF(AE3408="free",0,IF(AE3408="me",0,IF(G3408&gt;0,(VLOOKUP(A3408,'Discount Lookup'!J:K,2)*G3408),0))))</f>
        <v>0</v>
      </c>
      <c r="AJ3408" s="513" t="str">
        <f t="shared" ca="1" si="2633"/>
        <v/>
      </c>
      <c r="AK3408" s="700" t="str">
        <f t="shared" si="2634"/>
        <v/>
      </c>
      <c r="AL3408" s="700"/>
      <c r="AM3408" s="505" t="str">
        <f t="shared" si="2635"/>
        <v/>
      </c>
      <c r="AN3408" s="506"/>
      <c r="AO3408" s="507"/>
      <c r="AP3408" s="507"/>
      <c r="AQ3408" s="507"/>
      <c r="AR3408" s="507"/>
      <c r="AS3408" s="507"/>
      <c r="AT3408" s="507"/>
      <c r="AU3408" s="507"/>
      <c r="AV3408" s="225"/>
      <c r="AW3408" s="508"/>
      <c r="AX3408" s="225"/>
      <c r="AY3408" s="225"/>
      <c r="AZ3408" s="225"/>
      <c r="BA3408" s="225"/>
      <c r="BB3408" s="225"/>
      <c r="BC3408" s="56"/>
      <c r="BD3408" s="56"/>
      <c r="BE3408" s="56"/>
      <c r="BF3408" s="107" t="str">
        <f t="shared" si="2636"/>
        <v>https://www.google.com/search?tbm=isch&amp;q=7%20G4</v>
      </c>
      <c r="BG3408" s="107" t="str">
        <f t="shared" si="2637"/>
        <v>S</v>
      </c>
      <c r="BH3408" s="254"/>
      <c r="BI3408" s="254"/>
    </row>
    <row r="3409" spans="1:61" customFormat="1" ht="15.75" x14ac:dyDescent="0.25">
      <c r="A3409" s="276">
        <v>15</v>
      </c>
      <c r="B3409" s="240" t="s">
        <v>291</v>
      </c>
      <c r="C3409" s="241" t="s">
        <v>3372</v>
      </c>
      <c r="D3409" s="242" t="s">
        <v>292</v>
      </c>
      <c r="E3409" s="243">
        <v>178.95</v>
      </c>
      <c r="F3409" s="517" t="s">
        <v>293</v>
      </c>
      <c r="G3409" s="232">
        <v>0</v>
      </c>
      <c r="H3409" s="661" t="str">
        <f>IF(G3409=0,"",IF(F3409="Buy",IF(G3409=1,"plant","plants"),IF(F3409&gt;0.01,"warranty","Error")))</f>
        <v/>
      </c>
      <c r="I3409" s="244">
        <f>IF(H3409="free",0,IF(H3409="credit",((E3409*(F3409))*G3409*-1),IF(F3409="Buy",(E3409*G3409),((E3409*(1-F3409))*G3409))))</f>
        <v>0</v>
      </c>
      <c r="J3409" s="244">
        <f>IF(H3409="warranty",0,(I3409*(_xlfn.SINGLE(SalesTaxPercentage))))</f>
        <v>0</v>
      </c>
      <c r="K3409" s="696">
        <f t="shared" ref="K3409" si="2639">I3409+J3409</f>
        <v>0</v>
      </c>
      <c r="L3409" s="696"/>
      <c r="M3409" s="659" t="str">
        <f>IF(AND(G3409&gt;0,E3409=0),"WARNING - no PRICE inserted",IF(H3409="free"," FREE ~ no charge this plant",IF(H3409="credit",CONCATENATE(" -$",ROUND(K3409*(1-T2GDiscount)*-1,2)," CREDIT after discount"),IF(T2GDiscount=0,"",IF(G3409=0,"",IF(F3409="Buy",CONCATENATE(" $",ROUND(K3409*(1-T2GDiscount),2)," with ",(T2GDiscount*100),"% discount"),CONCATENATE(" $",ROUND(K3409*(1-T2GDiscount),2)," with ",((T2GDiscount*100+F3409*100)-(T2GDiscount*100*F3409)),IF(F3409&gt;0,"% discounts",IF(NoWarrantyDiscount&gt;0,"% discounts","% discount")))))))))</f>
        <v/>
      </c>
      <c r="N3409" s="660"/>
      <c r="O3409" s="233"/>
      <c r="P3409" s="233"/>
      <c r="Q3409" s="233"/>
      <c r="R3409" s="233"/>
      <c r="S3409" s="233"/>
      <c r="T3409" s="508">
        <f t="shared" si="2625"/>
        <v>0</v>
      </c>
      <c r="U3409" s="225">
        <f>IF(NOT(ISNUMBER(G3409)), "", VLOOKUP(A3409,'Discount Lookup'!D:E,2,FALSE)*G3409)</f>
        <v>0</v>
      </c>
      <c r="V3409" s="225">
        <f>IF(NOT(ISNUMBER(G3409)), "", VLOOKUP(A3409,'Discount Lookup'!G:H,2,FALSE)*G3409)</f>
        <v>0</v>
      </c>
      <c r="W3409" s="508">
        <f t="shared" si="2626"/>
        <v>0</v>
      </c>
      <c r="X3409" s="508">
        <f t="shared" si="2627"/>
        <v>0</v>
      </c>
      <c r="Y3409" s="509" t="b">
        <f t="shared" si="2628"/>
        <v>0</v>
      </c>
      <c r="Z3409" s="510">
        <f t="shared" si="2629"/>
        <v>0</v>
      </c>
      <c r="AA3409" s="511"/>
      <c r="AB3409" s="511" t="str">
        <f t="shared" si="2630"/>
        <v/>
      </c>
      <c r="AC3409" s="698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698"/>
      <c r="AE3409" s="631" t="str">
        <f t="shared" si="2631"/>
        <v/>
      </c>
      <c r="AF3409" s="699" t="str">
        <f t="shared" si="2632"/>
        <v/>
      </c>
      <c r="AG3409" s="699"/>
      <c r="AH3409" s="699"/>
      <c r="AI3409" s="512">
        <f>IF(H3409="credit",0,IF(AE3409="free",0,IF(AE3409="me",0,IF(G3409&gt;0,(VLOOKUP(A3409,'Discount Lookup'!J:K,2)*G3409),0))))</f>
        <v>0</v>
      </c>
      <c r="AJ3409" s="513" t="str">
        <f t="shared" ca="1" si="2633"/>
        <v/>
      </c>
      <c r="AK3409" s="700" t="str">
        <f t="shared" si="2634"/>
        <v/>
      </c>
      <c r="AL3409" s="700"/>
      <c r="AM3409" s="505" t="str">
        <f t="shared" si="2635"/>
        <v/>
      </c>
      <c r="AN3409" s="506"/>
      <c r="AO3409" s="507"/>
      <c r="AP3409" s="507"/>
      <c r="AQ3409" s="507"/>
      <c r="AR3409" s="507"/>
      <c r="AS3409" s="507"/>
      <c r="AT3409" s="507"/>
      <c r="AU3409" s="507"/>
      <c r="AV3409" s="225"/>
      <c r="AW3409" s="508"/>
      <c r="AX3409" s="225"/>
      <c r="AY3409" s="225"/>
      <c r="AZ3409" s="225"/>
      <c r="BA3409" s="225"/>
      <c r="BB3409" s="225"/>
      <c r="BC3409" s="56"/>
      <c r="BD3409" s="56"/>
      <c r="BE3409" s="56"/>
      <c r="BF3409" s="107" t="str">
        <f t="shared" si="2636"/>
        <v>https://www.google.com/search?tbm=isch&amp;q=15%20G4</v>
      </c>
      <c r="BG3409" s="107" t="str">
        <f t="shared" si="2637"/>
        <v>S</v>
      </c>
      <c r="BH3409" s="254"/>
      <c r="BI3409" s="254"/>
    </row>
    <row r="3410" spans="1:61" customFormat="1" ht="15.75" x14ac:dyDescent="0.25">
      <c r="A3410" s="276">
        <v>15</v>
      </c>
      <c r="B3410" s="240" t="s">
        <v>291</v>
      </c>
      <c r="C3410" s="241" t="s">
        <v>1764</v>
      </c>
      <c r="D3410" s="242" t="s">
        <v>300</v>
      </c>
      <c r="E3410" s="243">
        <v>299.95</v>
      </c>
      <c r="F3410" s="517" t="s">
        <v>293</v>
      </c>
      <c r="G3410" s="232">
        <v>0</v>
      </c>
      <c r="H3410" s="661" t="str">
        <f>IF(G3410=0,"",IF(F3410="Buy",IF(G3410=1,"plant","plants"),IF(F3410&gt;0.01,"warranty","Error")))</f>
        <v/>
      </c>
      <c r="I3410" s="244">
        <f>IF(H3410="free",0,IF(H3410="credit",((E3410*(F3410))*G3410*-1),IF(F3410="Buy",(E3410*G3410),((E3410*(1-F3410))*G3410))))</f>
        <v>0</v>
      </c>
      <c r="J3410" s="244">
        <f>IF(H3410="warranty",0,(I3410*(_xlfn.SINGLE(SalesTaxPercentage))))</f>
        <v>0</v>
      </c>
      <c r="K3410" s="696">
        <f t="shared" ref="K3410" si="2640">I3410+J3410</f>
        <v>0</v>
      </c>
      <c r="L3410" s="696"/>
      <c r="M3410" s="659" t="str">
        <f>IF(AND(G3410&gt;0,E3410=0),"WARNING - no PRICE inserted",IF(H3410="free"," FREE ~ no charge this plant",IF(H3410="credit",CONCATENATE(" -$",ROUND(K3410*(1-T2GDiscount)*-1,2)," CREDIT after discount"),IF(T2GDiscount=0,"",IF(G3410=0,"",IF(F3410="Buy",CONCATENATE(" $",ROUND(K3410*(1-T2GDiscount),2)," with ",(T2GDiscount*100),"% discount"),CONCATENATE(" $",ROUND(K3410*(1-T2GDiscount),2)," with ",((T2GDiscount*100+F3410*100)-(T2GDiscount*100*F3410)),IF(F3410&gt;0,"% discounts",IF(NoWarrantyDiscount&gt;0,"% discounts","% discount")))))))))</f>
        <v/>
      </c>
      <c r="N3410" s="660"/>
      <c r="O3410" s="233"/>
      <c r="P3410" s="233"/>
      <c r="Q3410" s="233"/>
      <c r="R3410" s="233"/>
      <c r="S3410" s="233"/>
      <c r="T3410" s="508">
        <f t="shared" si="2625"/>
        <v>0</v>
      </c>
      <c r="U3410" s="225">
        <f>IF(NOT(ISNUMBER(G3410)), "", VLOOKUP(A3410,'Discount Lookup'!D:E,2,FALSE)*G3410)</f>
        <v>0</v>
      </c>
      <c r="V3410" s="225">
        <f>IF(NOT(ISNUMBER(G3410)), "", VLOOKUP(A3410,'Discount Lookup'!G:H,2,FALSE)*G3410)</f>
        <v>0</v>
      </c>
      <c r="W3410" s="508">
        <f t="shared" si="2626"/>
        <v>0</v>
      </c>
      <c r="X3410" s="508">
        <f t="shared" si="2627"/>
        <v>0</v>
      </c>
      <c r="Y3410" s="509" t="b">
        <f t="shared" si="2628"/>
        <v>0</v>
      </c>
      <c r="Z3410" s="510">
        <f t="shared" si="2629"/>
        <v>0</v>
      </c>
      <c r="AA3410" s="511"/>
      <c r="AB3410" s="511" t="str">
        <f t="shared" si="2630"/>
        <v/>
      </c>
      <c r="AC3410" s="698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698"/>
      <c r="AE3410" s="631" t="str">
        <f t="shared" si="2631"/>
        <v/>
      </c>
      <c r="AF3410" s="699" t="str">
        <f t="shared" si="2632"/>
        <v/>
      </c>
      <c r="AG3410" s="699"/>
      <c r="AH3410" s="699"/>
      <c r="AI3410" s="512">
        <f>IF(H3410="credit",0,IF(AE3410="free",0,IF(AE3410="me",0,IF(G3410&gt;0,(VLOOKUP(A3410,'Discount Lookup'!J:K,2)*G3410),0))))</f>
        <v>0</v>
      </c>
      <c r="AJ3410" s="513" t="str">
        <f t="shared" ca="1" si="2633"/>
        <v/>
      </c>
      <c r="AK3410" s="700" t="str">
        <f t="shared" si="2634"/>
        <v/>
      </c>
      <c r="AL3410" s="700"/>
      <c r="AM3410" s="505" t="str">
        <f t="shared" si="2635"/>
        <v/>
      </c>
      <c r="AN3410" s="506"/>
      <c r="AO3410" s="507"/>
      <c r="AP3410" s="507"/>
      <c r="AQ3410" s="507"/>
      <c r="AR3410" s="507"/>
      <c r="AS3410" s="507"/>
      <c r="AT3410" s="507"/>
      <c r="AU3410" s="507"/>
      <c r="AV3410" s="225"/>
      <c r="AW3410" s="508"/>
      <c r="AX3410" s="225"/>
      <c r="AY3410" s="225"/>
      <c r="AZ3410" s="225"/>
      <c r="BA3410" s="225"/>
      <c r="BB3410" s="225"/>
      <c r="BC3410" s="56"/>
      <c r="BD3410" s="56"/>
      <c r="BE3410" s="56"/>
      <c r="BF3410" s="107" t="str">
        <f t="shared" si="2636"/>
        <v>https://www.google.com/search?tbm=isch&amp;q=15%20G6</v>
      </c>
      <c r="BG3410" s="107" t="str">
        <f t="shared" si="2637"/>
        <v>S</v>
      </c>
      <c r="BH3410" s="254"/>
      <c r="BI3410" s="254"/>
    </row>
    <row r="3411" spans="1:61" customFormat="1" ht="17.25" thickBot="1" x14ac:dyDescent="0.3">
      <c r="A3411" s="524" t="s">
        <v>2541</v>
      </c>
      <c r="B3411" s="245"/>
      <c r="C3411" s="677"/>
      <c r="D3411" s="499"/>
      <c r="E3411" s="499"/>
      <c r="F3411" s="500"/>
      <c r="G3411" s="501"/>
      <c r="H3411" s="502"/>
      <c r="I3411" s="246"/>
      <c r="J3411" s="247"/>
      <c r="K3411" s="503"/>
      <c r="L3411" s="544"/>
      <c r="M3411" s="544"/>
      <c r="N3411" s="500"/>
      <c r="O3411" s="500"/>
      <c r="P3411" s="500"/>
      <c r="Q3411" s="500"/>
      <c r="R3411" s="500"/>
      <c r="S3411" s="669" t="s">
        <v>4978</v>
      </c>
      <c r="T3411" s="508">
        <f t="shared" si="2625"/>
        <v>0</v>
      </c>
      <c r="U3411" s="225" t="str">
        <f>IF(NOT(ISNUMBER(G3411)), "", VLOOKUP(A3411,'Discount Lookup'!D:E,2,FALSE)*G3411)</f>
        <v/>
      </c>
      <c r="V3411" s="225" t="str">
        <f>IF(NOT(ISNUMBER(G3411)), "", VLOOKUP(A3411,'Discount Lookup'!G:H,2,FALSE)*G3411)</f>
        <v/>
      </c>
      <c r="W3411" s="508">
        <f t="shared" si="2626"/>
        <v>0</v>
      </c>
      <c r="X3411" s="508">
        <f t="shared" si="2627"/>
        <v>0</v>
      </c>
      <c r="Y3411" s="509" t="b">
        <f t="shared" si="2628"/>
        <v>0</v>
      </c>
      <c r="Z3411" s="510">
        <f t="shared" si="2629"/>
        <v>0</v>
      </c>
      <c r="AA3411" s="511"/>
      <c r="AB3411" s="511" t="str">
        <f t="shared" si="2630"/>
        <v/>
      </c>
      <c r="AC3411" s="698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698"/>
      <c r="AE3411" s="631" t="str">
        <f t="shared" si="2631"/>
        <v/>
      </c>
      <c r="AF3411" s="699" t="str">
        <f t="shared" si="2632"/>
        <v/>
      </c>
      <c r="AG3411" s="699"/>
      <c r="AH3411" s="699"/>
      <c r="AI3411" s="512">
        <f>IF(H3411="credit",0,IF(AE3411="free",0,IF(AE3411="me",0,IF(G3411&gt;0,(VLOOKUP(A3411,'Discount Lookup'!J:K,2)*G3411),0))))</f>
        <v>0</v>
      </c>
      <c r="AJ3411" s="513" t="str">
        <f t="shared" ca="1" si="2633"/>
        <v/>
      </c>
      <c r="AK3411" s="700" t="str">
        <f t="shared" si="2634"/>
        <v/>
      </c>
      <c r="AL3411" s="700"/>
      <c r="AM3411" s="505" t="str">
        <f t="shared" si="2635"/>
        <v/>
      </c>
      <c r="AN3411" s="506"/>
      <c r="AO3411" s="507"/>
      <c r="AP3411" s="507"/>
      <c r="AQ3411" s="507"/>
      <c r="AR3411" s="507"/>
      <c r="AS3411" s="507"/>
      <c r="AT3411" s="507"/>
      <c r="AU3411" s="507"/>
      <c r="AV3411" s="225"/>
      <c r="AW3411" s="508"/>
      <c r="AX3411" s="225"/>
      <c r="AY3411" s="225"/>
      <c r="AZ3411" s="225"/>
      <c r="BA3411" s="225"/>
      <c r="BB3411" s="225"/>
      <c r="BC3411" s="56"/>
      <c r="BD3411" s="56"/>
      <c r="BE3411" s="56"/>
      <c r="BF3411" s="107" t="str">
        <f t="shared" si="2636"/>
        <v>https://www.google.com/search?tbm=isch&amp;q=Snow%20Goose%20bark%20is%20coppery%20red%20and%20peels.%20Dark%20foliage.%20Fast%20growing.%20Finest%20blooms%20in%20full%20sun%20</v>
      </c>
      <c r="BG3411" s="107" t="str">
        <f t="shared" si="2637"/>
        <v>S</v>
      </c>
      <c r="BH3411" s="254"/>
      <c r="BI3411" s="254"/>
    </row>
    <row r="3412" spans="1:61" customFormat="1" ht="18" x14ac:dyDescent="0.25">
      <c r="A3412" s="523" t="s">
        <v>3120</v>
      </c>
      <c r="B3412" s="235"/>
      <c r="C3412" s="676"/>
      <c r="D3412" s="255" t="s">
        <v>1765</v>
      </c>
      <c r="E3412" s="236"/>
      <c r="F3412" s="236"/>
      <c r="G3412" s="236"/>
      <c r="H3412" s="582" t="s">
        <v>496</v>
      </c>
      <c r="I3412" s="498" t="s">
        <v>3113</v>
      </c>
      <c r="J3412" s="237"/>
      <c r="K3412" s="237"/>
      <c r="L3412" s="274"/>
      <c r="M3412" s="670" t="s">
        <v>4973</v>
      </c>
      <c r="N3412" s="681" t="str">
        <f>IF(AND(ISTEXT($A3412), ISERROR($A3412+0)), HYPERLINK($BF3412, "Images"), "")</f>
        <v>Images</v>
      </c>
      <c r="O3412" s="663" t="s">
        <v>4974</v>
      </c>
      <c r="P3412" s="253"/>
      <c r="Q3412" s="238"/>
      <c r="R3412" s="239"/>
      <c r="S3412" s="275" t="s">
        <v>305</v>
      </c>
      <c r="T3412" s="508">
        <f t="shared" si="2625"/>
        <v>0</v>
      </c>
      <c r="U3412" s="225" t="str">
        <f>IF(NOT(ISNUMBER(G3412)), "", VLOOKUP(A3412,'Discount Lookup'!D:E,2,FALSE)*G3412)</f>
        <v/>
      </c>
      <c r="V3412" s="225" t="str">
        <f>IF(NOT(ISNUMBER(G3412)), "", VLOOKUP(A3412,'Discount Lookup'!G:H,2,FALSE)*G3412)</f>
        <v/>
      </c>
      <c r="W3412" s="508">
        <f t="shared" si="2626"/>
        <v>0</v>
      </c>
      <c r="X3412" s="508" t="str">
        <f t="shared" si="2627"/>
        <v>White bloom ages to Pink</v>
      </c>
      <c r="Y3412" s="509" t="b">
        <f t="shared" si="2628"/>
        <v>0</v>
      </c>
      <c r="Z3412" s="510">
        <f t="shared" si="2629"/>
        <v>0</v>
      </c>
      <c r="AA3412" s="511"/>
      <c r="AB3412" s="511" t="str">
        <f t="shared" si="2630"/>
        <v/>
      </c>
      <c r="AC3412" s="698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698"/>
      <c r="AE3412" s="631" t="str">
        <f t="shared" si="2631"/>
        <v/>
      </c>
      <c r="AF3412" s="699" t="str">
        <f t="shared" si="2632"/>
        <v/>
      </c>
      <c r="AG3412" s="699"/>
      <c r="AH3412" s="699"/>
      <c r="AI3412" s="512">
        <f>IF(H3412="credit",0,IF(AE3412="free",0,IF(AE3412="me",0,IF(G3412&gt;0,(VLOOKUP(A3412,'Discount Lookup'!J:K,2)*G3412),0))))</f>
        <v>0</v>
      </c>
      <c r="AJ3412" s="513" t="str">
        <f t="shared" ca="1" si="2633"/>
        <v/>
      </c>
      <c r="AK3412" s="700" t="str">
        <f t="shared" si="2634"/>
        <v/>
      </c>
      <c r="AL3412" s="700"/>
      <c r="AM3412" s="505" t="str">
        <f t="shared" si="2635"/>
        <v/>
      </c>
      <c r="AN3412" s="506"/>
      <c r="AO3412" s="507"/>
      <c r="AP3412" s="507"/>
      <c r="AQ3412" s="507"/>
      <c r="AR3412" s="507"/>
      <c r="AS3412" s="507"/>
      <c r="AT3412" s="507"/>
      <c r="AU3412" s="507"/>
      <c r="AV3412" s="225"/>
      <c r="AW3412" s="508"/>
      <c r="AX3412" s="225"/>
      <c r="AY3412" s="225"/>
      <c r="AZ3412" s="225"/>
      <c r="BA3412" s="225"/>
      <c r="BB3412" s="225"/>
      <c r="BC3412" s="56"/>
      <c r="BD3412" s="56"/>
      <c r="BE3412" s="56"/>
      <c r="BF3412" s="107" t="str">
        <f t="shared" si="2636"/>
        <v>https://www.google.com/search?tbm=isch&amp;q=Snow%20Queen%20Oakleaf%20Hydrangea%20Hyd.%20quercifolia%20%27Flemygea%27%20PP%234458Exp.</v>
      </c>
      <c r="BG3412" s="107" t="str">
        <f t="shared" si="2637"/>
        <v>S</v>
      </c>
      <c r="BH3412" s="254"/>
      <c r="BI3412" s="254"/>
    </row>
    <row r="3413" spans="1:61" customFormat="1" ht="15.75" x14ac:dyDescent="0.25">
      <c r="A3413" s="276">
        <v>10</v>
      </c>
      <c r="B3413" s="240" t="s">
        <v>291</v>
      </c>
      <c r="C3413" s="241" t="s">
        <v>4939</v>
      </c>
      <c r="D3413" s="242" t="s">
        <v>300</v>
      </c>
      <c r="E3413" s="243">
        <v>177.95</v>
      </c>
      <c r="F3413" s="517" t="s">
        <v>293</v>
      </c>
      <c r="G3413" s="232">
        <v>0</v>
      </c>
      <c r="H3413" s="661" t="str">
        <f>IF(G3413=0,"",IF(F3413="Buy",IF(G3413=1,"plant","plants"),IF(F3413&gt;0.01,"warranty","Error")))</f>
        <v/>
      </c>
      <c r="I3413" s="244">
        <f>IF(H3413="free",0,IF(H3413="credit",((E3413*(F3413))*G3413*-1),IF(F3413="Buy",(E3413*G3413),((E3413*(1-F3413))*G3413))))</f>
        <v>0</v>
      </c>
      <c r="J3413" s="244">
        <f>IF(H3413="warranty",0,(I3413*(_xlfn.SINGLE(SalesTaxPercentage))))</f>
        <v>0</v>
      </c>
      <c r="K3413" s="696">
        <f t="shared" ref="K3413" si="2641">I3413+J3413</f>
        <v>0</v>
      </c>
      <c r="L3413" s="696"/>
      <c r="M3413" s="659" t="str">
        <f>IF(AND(G3413&gt;0,E3413=0),"WARNING - no PRICE inserted",IF(H3413="free"," FREE ~ no charge this plant",IF(H3413="credit",CONCATENATE(" -$",ROUND(K3413*(1-T2GDiscount)*-1,2)," CREDIT after discount"),IF(T2GDiscount=0,"",IF(G3413=0,"",IF(F3413="Buy",CONCATENATE(" $",ROUND(K3413*(1-T2GDiscount),2)," with ",(T2GDiscount*100),"% discount"),CONCATENATE(" $",ROUND(K3413*(1-T2GDiscount),2)," with ",((T2GDiscount*100+F3413*100)-(T2GDiscount*100*F3413)),IF(F3413&gt;0,"% discounts",IF(NoWarrantyDiscount&gt;0,"% discounts","% discount")))))))))</f>
        <v/>
      </c>
      <c r="N3413" s="660"/>
      <c r="O3413" s="233"/>
      <c r="P3413" s="233"/>
      <c r="Q3413" s="233"/>
      <c r="R3413" s="233"/>
      <c r="S3413" s="233"/>
      <c r="T3413" s="508">
        <f t="shared" si="2625"/>
        <v>0</v>
      </c>
      <c r="U3413" s="225">
        <f>IF(NOT(ISNUMBER(G3413)), "", VLOOKUP(A3413,'Discount Lookup'!D:E,2,FALSE)*G3413)</f>
        <v>0</v>
      </c>
      <c r="V3413" s="225">
        <f>IF(NOT(ISNUMBER(G3413)), "", VLOOKUP(A3413,'Discount Lookup'!G:H,2,FALSE)*G3413)</f>
        <v>0</v>
      </c>
      <c r="W3413" s="508">
        <f t="shared" si="2626"/>
        <v>0</v>
      </c>
      <c r="X3413" s="508">
        <f t="shared" si="2627"/>
        <v>0</v>
      </c>
      <c r="Y3413" s="509" t="b">
        <f t="shared" si="2628"/>
        <v>0</v>
      </c>
      <c r="Z3413" s="510">
        <f t="shared" si="2629"/>
        <v>0</v>
      </c>
      <c r="AA3413" s="511"/>
      <c r="AB3413" s="511" t="str">
        <f t="shared" si="2630"/>
        <v/>
      </c>
      <c r="AC3413" s="698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698"/>
      <c r="AE3413" s="631" t="str">
        <f t="shared" si="2631"/>
        <v/>
      </c>
      <c r="AF3413" s="699" t="str">
        <f t="shared" si="2632"/>
        <v/>
      </c>
      <c r="AG3413" s="699"/>
      <c r="AH3413" s="699"/>
      <c r="AI3413" s="512">
        <f>IF(H3413="credit",0,IF(AE3413="free",0,IF(AE3413="me",0,IF(G3413&gt;0,(VLOOKUP(A3413,'Discount Lookup'!J:K,2)*G3413),0))))</f>
        <v>0</v>
      </c>
      <c r="AJ3413" s="513" t="str">
        <f t="shared" ca="1" si="2633"/>
        <v/>
      </c>
      <c r="AK3413" s="700" t="str">
        <f t="shared" si="2634"/>
        <v/>
      </c>
      <c r="AL3413" s="700"/>
      <c r="AM3413" s="505" t="str">
        <f t="shared" si="2635"/>
        <v/>
      </c>
      <c r="AN3413" s="506"/>
      <c r="AO3413" s="507"/>
      <c r="AP3413" s="507"/>
      <c r="AQ3413" s="507"/>
      <c r="AR3413" s="507"/>
      <c r="AS3413" s="507"/>
      <c r="AT3413" s="507"/>
      <c r="AU3413" s="507"/>
      <c r="AV3413" s="225"/>
      <c r="AW3413" s="508"/>
      <c r="AX3413" s="225"/>
      <c r="AY3413" s="225"/>
      <c r="AZ3413" s="225"/>
      <c r="BA3413" s="225"/>
      <c r="BB3413" s="225"/>
      <c r="BC3413" s="56"/>
      <c r="BD3413" s="56"/>
      <c r="BE3413" s="56"/>
      <c r="BF3413" s="107" t="str">
        <f t="shared" si="2636"/>
        <v>https://www.google.com/search?tbm=isch&amp;q=10%20G6</v>
      </c>
      <c r="BG3413" s="107" t="str">
        <f t="shared" si="2637"/>
        <v>S</v>
      </c>
      <c r="BH3413" s="254"/>
      <c r="BI3413" s="254"/>
    </row>
    <row r="3414" spans="1:61" customFormat="1" ht="17.25" thickBot="1" x14ac:dyDescent="0.3">
      <c r="A3414" s="673" t="s">
        <v>5235</v>
      </c>
      <c r="B3414" s="245"/>
      <c r="C3414" s="677"/>
      <c r="D3414" s="499"/>
      <c r="E3414" s="499"/>
      <c r="F3414" s="500"/>
      <c r="G3414" s="501"/>
      <c r="H3414" s="502"/>
      <c r="I3414" s="246"/>
      <c r="J3414" s="247"/>
      <c r="K3414" s="503"/>
      <c r="L3414" s="544"/>
      <c r="M3414" s="544"/>
      <c r="N3414" s="500"/>
      <c r="O3414" s="500"/>
      <c r="P3414" s="500"/>
      <c r="Q3414" s="500"/>
      <c r="R3414" s="500"/>
      <c r="S3414" s="278"/>
      <c r="T3414" s="508">
        <f t="shared" si="2625"/>
        <v>0</v>
      </c>
      <c r="U3414" s="225" t="str">
        <f>IF(NOT(ISNUMBER(G3414)), "", VLOOKUP(A3414,'Discount Lookup'!D:E,2,FALSE)*G3414)</f>
        <v/>
      </c>
      <c r="V3414" s="225" t="str">
        <f>IF(NOT(ISNUMBER(G3414)), "", VLOOKUP(A3414,'Discount Lookup'!G:H,2,FALSE)*G3414)</f>
        <v/>
      </c>
      <c r="W3414" s="508">
        <f t="shared" si="2626"/>
        <v>0</v>
      </c>
      <c r="X3414" s="508">
        <f t="shared" si="2627"/>
        <v>0</v>
      </c>
      <c r="Y3414" s="509" t="b">
        <f t="shared" si="2628"/>
        <v>0</v>
      </c>
      <c r="Z3414" s="510">
        <f t="shared" si="2629"/>
        <v>0</v>
      </c>
      <c r="AA3414" s="511"/>
      <c r="AB3414" s="511" t="str">
        <f t="shared" si="2630"/>
        <v/>
      </c>
      <c r="AC3414" s="698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698"/>
      <c r="AE3414" s="631" t="str">
        <f t="shared" si="2631"/>
        <v/>
      </c>
      <c r="AF3414" s="699" t="str">
        <f t="shared" si="2632"/>
        <v/>
      </c>
      <c r="AG3414" s="699"/>
      <c r="AH3414" s="699"/>
      <c r="AI3414" s="512">
        <f>IF(H3414="credit",0,IF(AE3414="free",0,IF(AE3414="me",0,IF(G3414&gt;0,(VLOOKUP(A3414,'Discount Lookup'!J:K,2)*G3414),0))))</f>
        <v>0</v>
      </c>
      <c r="AJ3414" s="513" t="str">
        <f t="shared" ca="1" si="2633"/>
        <v/>
      </c>
      <c r="AK3414" s="700" t="str">
        <f t="shared" si="2634"/>
        <v/>
      </c>
      <c r="AL3414" s="700"/>
      <c r="AM3414" s="505" t="str">
        <f t="shared" si="2635"/>
        <v/>
      </c>
      <c r="AN3414" s="506"/>
      <c r="AO3414" s="507"/>
      <c r="AP3414" s="507"/>
      <c r="AQ3414" s="507"/>
      <c r="AR3414" s="507"/>
      <c r="AS3414" s="507"/>
      <c r="AT3414" s="507"/>
      <c r="AU3414" s="507"/>
      <c r="AV3414" s="225"/>
      <c r="AW3414" s="508"/>
      <c r="AX3414" s="225"/>
      <c r="AY3414" s="225"/>
      <c r="AZ3414" s="225"/>
      <c r="BA3414" s="225"/>
      <c r="BB3414" s="225"/>
      <c r="BC3414" s="56"/>
      <c r="BD3414" s="56"/>
      <c r="BE3414" s="56"/>
      <c r="BF3414" s="107" t="str">
        <f t="shared" si="2636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3414" s="107" t="str">
        <f t="shared" si="2637"/>
        <v>m</v>
      </c>
      <c r="BH3414" s="254"/>
      <c r="BI3414" s="254"/>
    </row>
    <row r="3415" spans="1:61" customFormat="1" ht="18" x14ac:dyDescent="0.25">
      <c r="A3415" s="523" t="s">
        <v>5535</v>
      </c>
      <c r="B3415" s="235"/>
      <c r="C3415" s="676"/>
      <c r="D3415" s="255" t="s">
        <v>1766</v>
      </c>
      <c r="E3415" s="236"/>
      <c r="F3415" s="236"/>
      <c r="G3415" s="236"/>
      <c r="H3415" s="582" t="s">
        <v>1441</v>
      </c>
      <c r="I3415" s="498" t="s">
        <v>654</v>
      </c>
      <c r="J3415" s="237"/>
      <c r="K3415" s="237"/>
      <c r="L3415" s="274"/>
      <c r="M3415" s="668" t="s">
        <v>4975</v>
      </c>
      <c r="N3415" s="681" t="str">
        <f>IF(AND(ISTEXT($A3415), ISERROR($A3415+0)), HYPERLINK($BF3415, "Images"), "")</f>
        <v>Images</v>
      </c>
      <c r="O3415" s="663" t="s">
        <v>4967</v>
      </c>
      <c r="P3415" s="253"/>
      <c r="Q3415" s="238"/>
      <c r="R3415" s="239"/>
      <c r="S3415" s="275"/>
      <c r="T3415" s="508">
        <f t="shared" si="2625"/>
        <v>0</v>
      </c>
      <c r="U3415" s="225" t="str">
        <f>IF(NOT(ISNUMBER(G3415)), "", VLOOKUP(A3415,'Discount Lookup'!D:E,2,FALSE)*G3415)</f>
        <v/>
      </c>
      <c r="V3415" s="225" t="str">
        <f>IF(NOT(ISNUMBER(G3415)), "", VLOOKUP(A3415,'Discount Lookup'!G:H,2,FALSE)*G3415)</f>
        <v/>
      </c>
      <c r="W3415" s="508">
        <f t="shared" si="2626"/>
        <v>0</v>
      </c>
      <c r="X3415" s="508" t="str">
        <f t="shared" si="2627"/>
        <v>White bloom</v>
      </c>
      <c r="Y3415" s="509" t="b">
        <f t="shared" si="2628"/>
        <v>0</v>
      </c>
      <c r="Z3415" s="510">
        <f t="shared" si="2629"/>
        <v>0</v>
      </c>
      <c r="AA3415" s="511"/>
      <c r="AB3415" s="511" t="str">
        <f t="shared" si="2630"/>
        <v/>
      </c>
      <c r="AC3415" s="698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698"/>
      <c r="AE3415" s="631" t="str">
        <f t="shared" si="2631"/>
        <v/>
      </c>
      <c r="AF3415" s="699" t="str">
        <f t="shared" si="2632"/>
        <v/>
      </c>
      <c r="AG3415" s="699"/>
      <c r="AH3415" s="699"/>
      <c r="AI3415" s="512">
        <f>IF(H3415="credit",0,IF(AE3415="free",0,IF(AE3415="me",0,IF(G3415&gt;0,(VLOOKUP(A3415,'Discount Lookup'!J:K,2)*G3415),0))))</f>
        <v>0</v>
      </c>
      <c r="AJ3415" s="513" t="str">
        <f t="shared" ca="1" si="2633"/>
        <v/>
      </c>
      <c r="AK3415" s="700" t="str">
        <f t="shared" si="2634"/>
        <v/>
      </c>
      <c r="AL3415" s="700"/>
      <c r="AM3415" s="505" t="str">
        <f t="shared" si="2635"/>
        <v/>
      </c>
      <c r="AN3415" s="506"/>
      <c r="AO3415" s="507"/>
      <c r="AP3415" s="507"/>
      <c r="AQ3415" s="507"/>
      <c r="AR3415" s="507"/>
      <c r="AS3415" s="507"/>
      <c r="AT3415" s="507"/>
      <c r="AU3415" s="507"/>
      <c r="AV3415" s="225"/>
      <c r="AW3415" s="508"/>
      <c r="AX3415" s="225"/>
      <c r="AY3415" s="225"/>
      <c r="AZ3415" s="225"/>
      <c r="BA3415" s="225"/>
      <c r="BB3415" s="225"/>
      <c r="BC3415" s="56"/>
      <c r="BD3415" s="56"/>
      <c r="BE3415" s="56"/>
      <c r="BF3415" s="107" t="str">
        <f t="shared" si="2636"/>
        <v>https://www.google.com/search?tbm=isch&amp;q=Snow%20Tower%E2%84%A2%20Kousa%20Dogwood%20Cornus%20kousa%20%27Snow%20Tower%27</v>
      </c>
      <c r="BG3415" s="107" t="str">
        <f t="shared" si="2637"/>
        <v>S</v>
      </c>
      <c r="BH3415" s="254"/>
      <c r="BI3415" s="254"/>
    </row>
    <row r="3416" spans="1:61" customFormat="1" ht="15.75" x14ac:dyDescent="0.25">
      <c r="A3416" s="276">
        <v>10</v>
      </c>
      <c r="B3416" s="240" t="s">
        <v>291</v>
      </c>
      <c r="C3416" s="241" t="s">
        <v>4446</v>
      </c>
      <c r="D3416" s="242" t="s">
        <v>292</v>
      </c>
      <c r="E3416" s="243">
        <v>171.95</v>
      </c>
      <c r="F3416" s="517" t="s">
        <v>293</v>
      </c>
      <c r="G3416" s="232">
        <v>0</v>
      </c>
      <c r="H3416" s="661" t="str">
        <f>IF(G3416=0,"",IF(F3416="Buy",IF(G3416=1,"plant","plants"),IF(F3416&gt;0.01,"warranty","Error")))</f>
        <v/>
      </c>
      <c r="I3416" s="244">
        <f>IF(H3416="free",0,IF(H3416="credit",((E3416*(F3416))*G3416*-1),IF(F3416="Buy",(E3416*G3416),((E3416*(1-F3416))*G3416))))</f>
        <v>0</v>
      </c>
      <c r="J3416" s="244">
        <f>IF(H3416="warranty",0,(I3416*(_xlfn.SINGLE(SalesTaxPercentage))))</f>
        <v>0</v>
      </c>
      <c r="K3416" s="696">
        <f t="shared" ref="K3416" si="2642">I3416+J3416</f>
        <v>0</v>
      </c>
      <c r="L3416" s="696"/>
      <c r="M3416" s="659" t="str">
        <f>IF(AND(G3416&gt;0,E3416=0),"WARNING - no PRICE inserted",IF(H3416="free"," FREE ~ no charge this plant",IF(H3416="credit",CONCATENATE(" -$",ROUND(K3416*(1-T2GDiscount)*-1,2)," CREDIT after discount"),IF(T2GDiscount=0,"",IF(G3416=0,"",IF(F3416="Buy",CONCATENATE(" $",ROUND(K3416*(1-T2GDiscount),2)," with ",(T2GDiscount*100),"% discount"),CONCATENATE(" $",ROUND(K3416*(1-T2GDiscount),2)," with ",((T2GDiscount*100+F3416*100)-(T2GDiscount*100*F3416)),IF(F3416&gt;0,"% discounts",IF(NoWarrantyDiscount&gt;0,"% discounts","% discount")))))))))</f>
        <v/>
      </c>
      <c r="N3416" s="660"/>
      <c r="O3416" s="233"/>
      <c r="P3416" s="233"/>
      <c r="Q3416" s="233"/>
      <c r="R3416" s="233"/>
      <c r="S3416" s="233"/>
      <c r="T3416" s="508">
        <f t="shared" si="2625"/>
        <v>0</v>
      </c>
      <c r="U3416" s="225">
        <f>IF(NOT(ISNUMBER(G3416)), "", VLOOKUP(A3416,'Discount Lookup'!D:E,2,FALSE)*G3416)</f>
        <v>0</v>
      </c>
      <c r="V3416" s="225">
        <f>IF(NOT(ISNUMBER(G3416)), "", VLOOKUP(A3416,'Discount Lookup'!G:H,2,FALSE)*G3416)</f>
        <v>0</v>
      </c>
      <c r="W3416" s="508">
        <f t="shared" si="2626"/>
        <v>0</v>
      </c>
      <c r="X3416" s="508">
        <f t="shared" si="2627"/>
        <v>0</v>
      </c>
      <c r="Y3416" s="509" t="b">
        <f t="shared" si="2628"/>
        <v>0</v>
      </c>
      <c r="Z3416" s="510">
        <f t="shared" si="2629"/>
        <v>0</v>
      </c>
      <c r="AA3416" s="511"/>
      <c r="AB3416" s="511" t="str">
        <f t="shared" si="2630"/>
        <v/>
      </c>
      <c r="AC3416" s="698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698"/>
      <c r="AE3416" s="631" t="str">
        <f t="shared" si="2631"/>
        <v/>
      </c>
      <c r="AF3416" s="699" t="str">
        <f t="shared" si="2632"/>
        <v/>
      </c>
      <c r="AG3416" s="699"/>
      <c r="AH3416" s="699"/>
      <c r="AI3416" s="512">
        <f>IF(H3416="credit",0,IF(AE3416="free",0,IF(AE3416="me",0,IF(G3416&gt;0,(VLOOKUP(A3416,'Discount Lookup'!J:K,2)*G3416),0))))</f>
        <v>0</v>
      </c>
      <c r="AJ3416" s="513" t="str">
        <f t="shared" ca="1" si="2633"/>
        <v/>
      </c>
      <c r="AK3416" s="700" t="str">
        <f t="shared" si="2634"/>
        <v/>
      </c>
      <c r="AL3416" s="700"/>
      <c r="AM3416" s="505" t="str">
        <f t="shared" si="2635"/>
        <v/>
      </c>
      <c r="AN3416" s="506"/>
      <c r="AO3416" s="507"/>
      <c r="AP3416" s="507"/>
      <c r="AQ3416" s="507"/>
      <c r="AR3416" s="507"/>
      <c r="AS3416" s="507"/>
      <c r="AT3416" s="507"/>
      <c r="AU3416" s="507"/>
      <c r="AV3416" s="225"/>
      <c r="AW3416" s="508"/>
      <c r="AX3416" s="225"/>
      <c r="AY3416" s="225"/>
      <c r="AZ3416" s="225"/>
      <c r="BA3416" s="225"/>
      <c r="BB3416" s="225"/>
      <c r="BC3416" s="56"/>
      <c r="BD3416" s="56"/>
      <c r="BE3416" s="56"/>
      <c r="BF3416" s="107" t="str">
        <f t="shared" si="2636"/>
        <v>https://www.google.com/search?tbm=isch&amp;q=10%20G4</v>
      </c>
      <c r="BG3416" s="107" t="str">
        <f t="shared" si="2637"/>
        <v>S</v>
      </c>
      <c r="BH3416" s="254"/>
      <c r="BI3416" s="254"/>
    </row>
    <row r="3417" spans="1:61" customFormat="1" ht="15.75" x14ac:dyDescent="0.25">
      <c r="A3417" s="276">
        <v>15</v>
      </c>
      <c r="B3417" s="240" t="s">
        <v>291</v>
      </c>
      <c r="C3417" s="241" t="s">
        <v>4447</v>
      </c>
      <c r="D3417" s="242" t="s">
        <v>292</v>
      </c>
      <c r="E3417" s="243">
        <v>201.95</v>
      </c>
      <c r="F3417" s="517" t="s">
        <v>293</v>
      </c>
      <c r="G3417" s="232">
        <v>0</v>
      </c>
      <c r="H3417" s="661" t="str">
        <f>IF(G3417=0,"",IF(F3417="Buy",IF(G3417=1,"plant","plants"),IF(F3417&gt;0.01,"warranty","Error")))</f>
        <v/>
      </c>
      <c r="I3417" s="244">
        <f>IF(H3417="free",0,IF(H3417="credit",((E3417*(F3417))*G3417*-1),IF(F3417="Buy",(E3417*G3417),((E3417*(1-F3417))*G3417))))</f>
        <v>0</v>
      </c>
      <c r="J3417" s="244">
        <f>IF(H3417="warranty",0,(I3417*(_xlfn.SINGLE(SalesTaxPercentage))))</f>
        <v>0</v>
      </c>
      <c r="K3417" s="696">
        <f t="shared" ref="K3417" si="2643">I3417+J3417</f>
        <v>0</v>
      </c>
      <c r="L3417" s="696"/>
      <c r="M3417" s="659" t="str">
        <f>IF(AND(G3417&gt;0,E3417=0),"WARNING - no PRICE inserted",IF(H3417="free"," FREE ~ no charge this plant",IF(H3417="credit",CONCATENATE(" -$",ROUND(K3417*(1-T2GDiscount)*-1,2)," CREDIT after discount"),IF(T2GDiscount=0,"",IF(G3417=0,"",IF(F3417="Buy",CONCATENATE(" $",ROUND(K3417*(1-T2GDiscount),2)," with ",(T2GDiscount*100),"% discount"),CONCATENATE(" $",ROUND(K3417*(1-T2GDiscount),2)," with ",((T2GDiscount*100+F3417*100)-(T2GDiscount*100*F3417)),IF(F3417&gt;0,"% discounts",IF(NoWarrantyDiscount&gt;0,"% discounts","% discount")))))))))</f>
        <v/>
      </c>
      <c r="N3417" s="660"/>
      <c r="O3417" s="233"/>
      <c r="P3417" s="233"/>
      <c r="Q3417" s="233"/>
      <c r="R3417" s="233"/>
      <c r="S3417" s="233"/>
      <c r="T3417" s="508">
        <f t="shared" si="2625"/>
        <v>0</v>
      </c>
      <c r="U3417" s="225">
        <f>IF(NOT(ISNUMBER(G3417)), "", VLOOKUP(A3417,'Discount Lookup'!D:E,2,FALSE)*G3417)</f>
        <v>0</v>
      </c>
      <c r="V3417" s="225">
        <f>IF(NOT(ISNUMBER(G3417)), "", VLOOKUP(A3417,'Discount Lookup'!G:H,2,FALSE)*G3417)</f>
        <v>0</v>
      </c>
      <c r="W3417" s="508">
        <f t="shared" si="2626"/>
        <v>0</v>
      </c>
      <c r="X3417" s="508">
        <f t="shared" si="2627"/>
        <v>0</v>
      </c>
      <c r="Y3417" s="509" t="b">
        <f t="shared" si="2628"/>
        <v>0</v>
      </c>
      <c r="Z3417" s="510">
        <f t="shared" si="2629"/>
        <v>0</v>
      </c>
      <c r="AA3417" s="511"/>
      <c r="AB3417" s="511" t="str">
        <f t="shared" si="2630"/>
        <v/>
      </c>
      <c r="AC3417" s="698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698"/>
      <c r="AE3417" s="631" t="str">
        <f t="shared" si="2631"/>
        <v/>
      </c>
      <c r="AF3417" s="699" t="str">
        <f t="shared" si="2632"/>
        <v/>
      </c>
      <c r="AG3417" s="699"/>
      <c r="AH3417" s="699"/>
      <c r="AI3417" s="512">
        <f>IF(H3417="credit",0,IF(AE3417="free",0,IF(AE3417="me",0,IF(G3417&gt;0,(VLOOKUP(A3417,'Discount Lookup'!J:K,2)*G3417),0))))</f>
        <v>0</v>
      </c>
      <c r="AJ3417" s="513" t="str">
        <f t="shared" ca="1" si="2633"/>
        <v/>
      </c>
      <c r="AK3417" s="700" t="str">
        <f t="shared" si="2634"/>
        <v/>
      </c>
      <c r="AL3417" s="700"/>
      <c r="AM3417" s="505" t="str">
        <f t="shared" si="2635"/>
        <v/>
      </c>
      <c r="AN3417" s="506"/>
      <c r="AO3417" s="507"/>
      <c r="AP3417" s="507"/>
      <c r="AQ3417" s="507"/>
      <c r="AR3417" s="507"/>
      <c r="AS3417" s="507"/>
      <c r="AT3417" s="507"/>
      <c r="AU3417" s="507"/>
      <c r="AV3417" s="225"/>
      <c r="AW3417" s="508"/>
      <c r="AX3417" s="225"/>
      <c r="AY3417" s="225"/>
      <c r="AZ3417" s="225"/>
      <c r="BA3417" s="225"/>
      <c r="BB3417" s="225"/>
      <c r="BC3417" s="56"/>
      <c r="BD3417" s="56"/>
      <c r="BE3417" s="56"/>
      <c r="BF3417" s="107" t="str">
        <f t="shared" si="2636"/>
        <v>https://www.google.com/search?tbm=isch&amp;q=15%20G4</v>
      </c>
      <c r="BG3417" s="107" t="str">
        <f t="shared" si="2637"/>
        <v>S</v>
      </c>
      <c r="BH3417" s="254"/>
      <c r="BI3417" s="254"/>
    </row>
    <row r="3418" spans="1:61" customFormat="1" ht="17.25" thickBot="1" x14ac:dyDescent="0.3">
      <c r="A3418" s="524" t="s">
        <v>4164</v>
      </c>
      <c r="B3418" s="245"/>
      <c r="C3418" s="677"/>
      <c r="D3418" s="499"/>
      <c r="E3418" s="499"/>
      <c r="F3418" s="500"/>
      <c r="G3418" s="501"/>
      <c r="H3418" s="502"/>
      <c r="I3418" s="246"/>
      <c r="J3418" s="247"/>
      <c r="K3418" s="503"/>
      <c r="L3418" s="544"/>
      <c r="M3418" s="544"/>
      <c r="N3418" s="500"/>
      <c r="O3418" s="500"/>
      <c r="P3418" s="500"/>
      <c r="Q3418" s="500"/>
      <c r="R3418" s="500"/>
      <c r="S3418" s="669" t="s">
        <v>4978</v>
      </c>
      <c r="T3418" s="508">
        <f t="shared" si="2625"/>
        <v>0</v>
      </c>
      <c r="U3418" s="225" t="str">
        <f>IF(NOT(ISNUMBER(G3418)), "", VLOOKUP(A3418,'Discount Lookup'!D:E,2,FALSE)*G3418)</f>
        <v/>
      </c>
      <c r="V3418" s="225" t="str">
        <f>IF(NOT(ISNUMBER(G3418)), "", VLOOKUP(A3418,'Discount Lookup'!G:H,2,FALSE)*G3418)</f>
        <v/>
      </c>
      <c r="W3418" s="508">
        <f t="shared" si="2626"/>
        <v>0</v>
      </c>
      <c r="X3418" s="508">
        <f t="shared" si="2627"/>
        <v>0</v>
      </c>
      <c r="Y3418" s="509" t="b">
        <f t="shared" si="2628"/>
        <v>0</v>
      </c>
      <c r="Z3418" s="510">
        <f t="shared" si="2629"/>
        <v>0</v>
      </c>
      <c r="AA3418" s="511"/>
      <c r="AB3418" s="511" t="str">
        <f t="shared" si="2630"/>
        <v/>
      </c>
      <c r="AC3418" s="698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698"/>
      <c r="AE3418" s="631" t="str">
        <f t="shared" si="2631"/>
        <v/>
      </c>
      <c r="AF3418" s="699" t="str">
        <f t="shared" si="2632"/>
        <v/>
      </c>
      <c r="AG3418" s="699"/>
      <c r="AH3418" s="699"/>
      <c r="AI3418" s="512">
        <f>IF(H3418="credit",0,IF(AE3418="free",0,IF(AE3418="me",0,IF(G3418&gt;0,(VLOOKUP(A3418,'Discount Lookup'!J:K,2)*G3418),0))))</f>
        <v>0</v>
      </c>
      <c r="AJ3418" s="513" t="str">
        <f t="shared" ca="1" si="2633"/>
        <v/>
      </c>
      <c r="AK3418" s="700" t="str">
        <f t="shared" si="2634"/>
        <v/>
      </c>
      <c r="AL3418" s="700"/>
      <c r="AM3418" s="505" t="str">
        <f t="shared" si="2635"/>
        <v/>
      </c>
      <c r="AN3418" s="506"/>
      <c r="AO3418" s="507"/>
      <c r="AP3418" s="507"/>
      <c r="AQ3418" s="507"/>
      <c r="AR3418" s="507"/>
      <c r="AS3418" s="507"/>
      <c r="AT3418" s="507"/>
      <c r="AU3418" s="507"/>
      <c r="AV3418" s="225"/>
      <c r="AW3418" s="508"/>
      <c r="AX3418" s="225"/>
      <c r="AY3418" s="225"/>
      <c r="AZ3418" s="225"/>
      <c r="BA3418" s="225"/>
      <c r="BB3418" s="225"/>
      <c r="BC3418" s="56"/>
      <c r="BD3418" s="56"/>
      <c r="BE3418" s="56"/>
      <c r="BF3418" s="107" t="str">
        <f t="shared" si="2636"/>
        <v>https://www.google.com/search?tbm=isch&amp;q=Snow%20Tower%20foliage%20is%20Dark%20Green%2C%20turning%20Reddish-Purple%20to%20Scarlet%20in%20fall.%20Exfoliating%20bark%20</v>
      </c>
      <c r="BG3418" s="107" t="str">
        <f t="shared" si="2637"/>
        <v>S</v>
      </c>
      <c r="BH3418" s="254"/>
      <c r="BI3418" s="254"/>
    </row>
    <row r="3419" spans="1:61" customFormat="1" ht="18" x14ac:dyDescent="0.25">
      <c r="A3419" s="521" t="s">
        <v>4565</v>
      </c>
      <c r="B3419" s="477"/>
      <c r="C3419" s="674"/>
      <c r="D3419" s="478" t="s">
        <v>4566</v>
      </c>
      <c r="E3419" s="479"/>
      <c r="F3419" s="479"/>
      <c r="G3419" s="479"/>
      <c r="H3419" s="582" t="s">
        <v>483</v>
      </c>
      <c r="I3419" s="480" t="s">
        <v>654</v>
      </c>
      <c r="J3419" s="479"/>
      <c r="K3419" s="479"/>
      <c r="L3419" s="560"/>
      <c r="M3419" s="666" t="s">
        <v>4966</v>
      </c>
      <c r="N3419" s="680" t="str">
        <f>IF(AND(ISTEXT($A3419), ISERROR($A3419+0)), HYPERLINK($BF3419, "Images"), "")</f>
        <v>Images</v>
      </c>
      <c r="O3419" s="662" t="s">
        <v>4967</v>
      </c>
      <c r="P3419" s="482"/>
      <c r="Q3419" s="483"/>
      <c r="R3419" s="483"/>
      <c r="S3419" s="484"/>
      <c r="T3419" s="508">
        <f t="shared" si="2625"/>
        <v>0</v>
      </c>
      <c r="U3419" s="225" t="str">
        <f>IF(NOT(ISNUMBER(G3419)), "", VLOOKUP(A3419,'Discount Lookup'!D:E,2,FALSE)*G3419)</f>
        <v/>
      </c>
      <c r="V3419" s="225" t="str">
        <f>IF(NOT(ISNUMBER(G3419)), "", VLOOKUP(A3419,'Discount Lookup'!G:H,2,FALSE)*G3419)</f>
        <v/>
      </c>
      <c r="W3419" s="508">
        <f t="shared" si="2626"/>
        <v>0</v>
      </c>
      <c r="X3419" s="508" t="str">
        <f t="shared" si="2627"/>
        <v>White bloom</v>
      </c>
      <c r="Y3419" s="509" t="b">
        <f t="shared" si="2628"/>
        <v>0</v>
      </c>
      <c r="Z3419" s="510">
        <f t="shared" si="2629"/>
        <v>0</v>
      </c>
      <c r="AA3419" s="511"/>
      <c r="AB3419" s="511" t="str">
        <f t="shared" si="2630"/>
        <v/>
      </c>
      <c r="AC3419" s="698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698"/>
      <c r="AE3419" s="631" t="str">
        <f t="shared" si="2631"/>
        <v/>
      </c>
      <c r="AF3419" s="699" t="str">
        <f t="shared" si="2632"/>
        <v/>
      </c>
      <c r="AG3419" s="699"/>
      <c r="AH3419" s="699"/>
      <c r="AI3419" s="512">
        <f>IF(H3419="credit",0,IF(AE3419="free",0,IF(AE3419="me",0,IF(G3419&gt;0,(VLOOKUP(A3419,'Discount Lookup'!J:K,2)*G3419),0))))</f>
        <v>0</v>
      </c>
      <c r="AJ3419" s="513" t="str">
        <f t="shared" ca="1" si="2633"/>
        <v/>
      </c>
      <c r="AK3419" s="700" t="str">
        <f t="shared" si="2634"/>
        <v/>
      </c>
      <c r="AL3419" s="700"/>
      <c r="AM3419" s="505" t="str">
        <f t="shared" si="2635"/>
        <v/>
      </c>
      <c r="AN3419" s="506"/>
      <c r="AO3419" s="507"/>
      <c r="AP3419" s="507"/>
      <c r="AQ3419" s="507"/>
      <c r="AR3419" s="507"/>
      <c r="AS3419" s="507"/>
      <c r="AT3419" s="507"/>
      <c r="AU3419" s="507"/>
      <c r="AV3419" s="225"/>
      <c r="AW3419" s="508"/>
      <c r="AX3419" s="225"/>
      <c r="AY3419" s="225"/>
      <c r="AZ3419" s="225"/>
      <c r="BA3419" s="225"/>
      <c r="BB3419" s="225"/>
      <c r="BC3419" s="56"/>
      <c r="BD3419" s="56"/>
      <c r="BE3419" s="56"/>
      <c r="BF3419" s="107" t="str">
        <f t="shared" si="2636"/>
        <v>https://www.google.com/search?tbm=isch&amp;q=Snow%20White%20Indian%20Hawthorn%20Rhaphiolepis%20indica%20%27Snow%20White%27%20PP%2311612</v>
      </c>
      <c r="BG3419" s="107" t="str">
        <f t="shared" si="2637"/>
        <v>S</v>
      </c>
      <c r="BH3419" s="254"/>
      <c r="BI3419" s="254"/>
    </row>
    <row r="3420" spans="1:61" customFormat="1" ht="15.75" x14ac:dyDescent="0.25">
      <c r="A3420" s="485">
        <v>3</v>
      </c>
      <c r="B3420" s="486" t="s">
        <v>291</v>
      </c>
      <c r="C3420" s="487" t="s">
        <v>4718</v>
      </c>
      <c r="D3420" s="488" t="s">
        <v>312</v>
      </c>
      <c r="E3420" s="489">
        <v>24.95</v>
      </c>
      <c r="F3420" s="516" t="s">
        <v>293</v>
      </c>
      <c r="G3420" s="232">
        <v>0</v>
      </c>
      <c r="H3420" s="658" t="str">
        <f>IF(G3420=0,"",IF(F3420="Buy",IF(G3420=1,"plant","plants"),IF(F3420&gt;0.01,"warranty","Error")))</f>
        <v/>
      </c>
      <c r="I3420" s="490">
        <f>IF(H3420="free",0,IF(H3420="credit",((E3420*(F3420))*G3420*-1),IF(F3420="Buy",(E3420*G3420),((E3420*(1-F3420))*G3420))))</f>
        <v>0</v>
      </c>
      <c r="J3420" s="490">
        <f>IF(H3420="warranty",0,(I3420*(_xlfn.SINGLE(SalesTaxPercentage))))</f>
        <v>0</v>
      </c>
      <c r="K3420" s="695">
        <f t="shared" ref="K3420" si="2644">I3420+J3420</f>
        <v>0</v>
      </c>
      <c r="L3420" s="695"/>
      <c r="M3420" s="659" t="str">
        <f>IF(AND(G3420&gt;0,E3420=0),"WARNING - no PRICE inserted",IF(H3420="free"," FREE ~ no charge this plant",IF(H3420="credit",CONCATENATE(" -$",ROUND(K3420*(1-T2GDiscount)*-1,2)," CREDIT after discount"),IF(T2GDiscount=0,"",IF(G3420=0,"",IF(F3420="Buy",CONCATENATE(" $",ROUND(K3420*(1-T2GDiscount),2)," with ",(T2GDiscount*100),"% discount"),CONCATENATE(" $",ROUND(K3420*(1-T2GDiscount),2)," with ",((T2GDiscount*100+F3420*100)-(T2GDiscount*100*F3420)),IF(F3420&gt;0,"% discounts",IF(NoWarrantyDiscount&gt;0,"% discounts","% discount")))))))))</f>
        <v/>
      </c>
      <c r="N3420" s="660"/>
      <c r="O3420" s="233"/>
      <c r="P3420" s="233"/>
      <c r="Q3420" s="233"/>
      <c r="R3420" s="233"/>
      <c r="S3420" s="233"/>
      <c r="T3420" s="508">
        <f t="shared" si="2625"/>
        <v>0</v>
      </c>
      <c r="U3420" s="225">
        <f>IF(NOT(ISNUMBER(G3420)), "", VLOOKUP(A3420,'Discount Lookup'!D:E,2,FALSE)*G3420)</f>
        <v>0</v>
      </c>
      <c r="V3420" s="225">
        <f>IF(NOT(ISNUMBER(G3420)), "", VLOOKUP(A3420,'Discount Lookup'!G:H,2,FALSE)*G3420)</f>
        <v>0</v>
      </c>
      <c r="W3420" s="508">
        <f t="shared" si="2626"/>
        <v>0</v>
      </c>
      <c r="X3420" s="508">
        <f t="shared" si="2627"/>
        <v>0</v>
      </c>
      <c r="Y3420" s="509" t="b">
        <f t="shared" si="2628"/>
        <v>0</v>
      </c>
      <c r="Z3420" s="510">
        <f t="shared" si="2629"/>
        <v>0</v>
      </c>
      <c r="AA3420" s="511"/>
      <c r="AB3420" s="511" t="str">
        <f t="shared" si="2630"/>
        <v/>
      </c>
      <c r="AC3420" s="698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698"/>
      <c r="AE3420" s="631" t="str">
        <f t="shared" si="2631"/>
        <v/>
      </c>
      <c r="AF3420" s="699" t="str">
        <f t="shared" si="2632"/>
        <v/>
      </c>
      <c r="AG3420" s="699"/>
      <c r="AH3420" s="699"/>
      <c r="AI3420" s="512">
        <f>IF(H3420="credit",0,IF(AE3420="free",0,IF(AE3420="me",0,IF(G3420&gt;0,(VLOOKUP(A3420,'Discount Lookup'!J:K,2)*G3420),0))))</f>
        <v>0</v>
      </c>
      <c r="AJ3420" s="513" t="str">
        <f t="shared" ca="1" si="2633"/>
        <v/>
      </c>
      <c r="AK3420" s="700" t="str">
        <f t="shared" si="2634"/>
        <v/>
      </c>
      <c r="AL3420" s="700"/>
      <c r="AM3420" s="505" t="str">
        <f t="shared" si="2635"/>
        <v/>
      </c>
      <c r="AN3420" s="506"/>
      <c r="AO3420" s="507"/>
      <c r="AP3420" s="507"/>
      <c r="AQ3420" s="507"/>
      <c r="AR3420" s="507"/>
      <c r="AS3420" s="507"/>
      <c r="AT3420" s="507"/>
      <c r="AU3420" s="507"/>
      <c r="AV3420" s="225"/>
      <c r="AW3420" s="508"/>
      <c r="AX3420" s="225"/>
      <c r="AY3420" s="225"/>
      <c r="AZ3420" s="225"/>
      <c r="BA3420" s="225"/>
      <c r="BB3420" s="225"/>
      <c r="BC3420" s="56"/>
      <c r="BD3420" s="56"/>
      <c r="BE3420" s="56"/>
      <c r="BF3420" s="107" t="str">
        <f t="shared" si="2636"/>
        <v>https://www.google.com/search?tbm=isch&amp;q=3%20G2</v>
      </c>
      <c r="BG3420" s="107" t="str">
        <f t="shared" si="2637"/>
        <v>S</v>
      </c>
      <c r="BH3420" s="254"/>
      <c r="BI3420" s="254"/>
    </row>
    <row r="3421" spans="1:61" customFormat="1" ht="17.25" thickBot="1" x14ac:dyDescent="0.3">
      <c r="A3421" s="522" t="s">
        <v>4567</v>
      </c>
      <c r="B3421" s="491"/>
      <c r="C3421" s="675"/>
      <c r="D3421" s="491"/>
      <c r="E3421" s="491"/>
      <c r="F3421" s="492"/>
      <c r="G3421" s="493"/>
      <c r="H3421" s="491"/>
      <c r="I3421" s="234"/>
      <c r="J3421" s="234"/>
      <c r="K3421" s="494"/>
      <c r="L3421" s="543"/>
      <c r="M3421" s="561"/>
      <c r="N3421" s="495"/>
      <c r="O3421" s="496"/>
      <c r="P3421" s="497"/>
      <c r="Q3421" s="495"/>
      <c r="R3421" s="495"/>
      <c r="S3421" s="667" t="s">
        <v>4984</v>
      </c>
      <c r="T3421" s="508">
        <f t="shared" si="2625"/>
        <v>0</v>
      </c>
      <c r="U3421" s="225" t="str">
        <f>IF(NOT(ISNUMBER(G3421)), "", VLOOKUP(A3421,'Discount Lookup'!D:E,2,FALSE)*G3421)</f>
        <v/>
      </c>
      <c r="V3421" s="225" t="str">
        <f>IF(NOT(ISNUMBER(G3421)), "", VLOOKUP(A3421,'Discount Lookup'!G:H,2,FALSE)*G3421)</f>
        <v/>
      </c>
      <c r="W3421" s="508">
        <f t="shared" si="2626"/>
        <v>0</v>
      </c>
      <c r="X3421" s="508">
        <f t="shared" si="2627"/>
        <v>0</v>
      </c>
      <c r="Y3421" s="509" t="b">
        <f t="shared" si="2628"/>
        <v>0</v>
      </c>
      <c r="Z3421" s="510">
        <f t="shared" si="2629"/>
        <v>0</v>
      </c>
      <c r="AA3421" s="511"/>
      <c r="AB3421" s="511" t="str">
        <f t="shared" si="2630"/>
        <v/>
      </c>
      <c r="AC3421" s="698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698"/>
      <c r="AE3421" s="631" t="str">
        <f t="shared" si="2631"/>
        <v/>
      </c>
      <c r="AF3421" s="699" t="str">
        <f t="shared" si="2632"/>
        <v/>
      </c>
      <c r="AG3421" s="699"/>
      <c r="AH3421" s="699"/>
      <c r="AI3421" s="512">
        <f>IF(H3421="credit",0,IF(AE3421="free",0,IF(AE3421="me",0,IF(G3421&gt;0,(VLOOKUP(A3421,'Discount Lookup'!J:K,2)*G3421),0))))</f>
        <v>0</v>
      </c>
      <c r="AJ3421" s="513" t="str">
        <f t="shared" ca="1" si="2633"/>
        <v/>
      </c>
      <c r="AK3421" s="700" t="str">
        <f t="shared" si="2634"/>
        <v/>
      </c>
      <c r="AL3421" s="700"/>
      <c r="AM3421" s="505" t="str">
        <f t="shared" si="2635"/>
        <v/>
      </c>
      <c r="AN3421" s="506"/>
      <c r="AO3421" s="507"/>
      <c r="AP3421" s="507"/>
      <c r="AQ3421" s="507"/>
      <c r="AR3421" s="507"/>
      <c r="AS3421" s="507"/>
      <c r="AT3421" s="507"/>
      <c r="AU3421" s="507"/>
      <c r="AV3421" s="225"/>
      <c r="AW3421" s="508"/>
      <c r="AX3421" s="225"/>
      <c r="AY3421" s="225"/>
      <c r="AZ3421" s="225"/>
      <c r="BA3421" s="225"/>
      <c r="BB3421" s="225"/>
      <c r="BC3421" s="56"/>
      <c r="BD3421" s="56"/>
      <c r="BE3421" s="56"/>
      <c r="BF3421" s="107" t="str">
        <f t="shared" si="2636"/>
        <v>https://www.google.com/search?tbm=isch&amp;q=Snow%20White%20has%20fragrant%20white%20blooms%2C%20glossy%20foliage%2C%20and%20Dark%20Blue%20berries%20in%20winter.%20Bred%20for%20compact%20form%20and%20improved%20disease%20resistance%20</v>
      </c>
      <c r="BG3421" s="107" t="str">
        <f t="shared" si="2637"/>
        <v>S</v>
      </c>
      <c r="BH3421" s="254"/>
      <c r="BI3421" s="254"/>
    </row>
    <row r="3422" spans="1:61" customFormat="1" ht="18" x14ac:dyDescent="0.25">
      <c r="A3422" s="521" t="s">
        <v>1767</v>
      </c>
      <c r="B3422" s="477"/>
      <c r="C3422" s="674"/>
      <c r="D3422" s="478" t="s">
        <v>1768</v>
      </c>
      <c r="E3422" s="479"/>
      <c r="F3422" s="479"/>
      <c r="G3422" s="479"/>
      <c r="H3422" s="582" t="s">
        <v>471</v>
      </c>
      <c r="I3422" s="480" t="s">
        <v>2864</v>
      </c>
      <c r="J3422" s="479"/>
      <c r="K3422" s="479"/>
      <c r="L3422" s="560"/>
      <c r="M3422" s="666" t="s">
        <v>4966</v>
      </c>
      <c r="N3422" s="680" t="str">
        <f>IF(AND(ISTEXT($A3422), ISERROR($A3422+0)), HYPERLINK($BF3422, "Images"), "")</f>
        <v>Images</v>
      </c>
      <c r="O3422" s="662" t="s">
        <v>4969</v>
      </c>
      <c r="P3422" s="482"/>
      <c r="Q3422" s="483"/>
      <c r="R3422" s="483"/>
      <c r="S3422" s="484"/>
      <c r="T3422" s="508">
        <f t="shared" si="2625"/>
        <v>0</v>
      </c>
      <c r="U3422" s="225" t="str">
        <f>IF(NOT(ISNUMBER(G3422)), "", VLOOKUP(A3422,'Discount Lookup'!D:E,2,FALSE)*G3422)</f>
        <v/>
      </c>
      <c r="V3422" s="225" t="str">
        <f>IF(NOT(ISNUMBER(G3422)), "", VLOOKUP(A3422,'Discount Lookup'!G:H,2,FALSE)*G3422)</f>
        <v/>
      </c>
      <c r="W3422" s="508">
        <f t="shared" si="2626"/>
        <v>0</v>
      </c>
      <c r="X3422" s="508" t="str">
        <f t="shared" si="2627"/>
        <v>Dark Greem, White edge</v>
      </c>
      <c r="Y3422" s="509" t="b">
        <f t="shared" si="2628"/>
        <v>0</v>
      </c>
      <c r="Z3422" s="510">
        <f t="shared" si="2629"/>
        <v>0</v>
      </c>
      <c r="AA3422" s="511"/>
      <c r="AB3422" s="511" t="str">
        <f t="shared" si="2630"/>
        <v/>
      </c>
      <c r="AC3422" s="698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698"/>
      <c r="AE3422" s="631" t="str">
        <f t="shared" si="2631"/>
        <v/>
      </c>
      <c r="AF3422" s="699" t="str">
        <f t="shared" si="2632"/>
        <v/>
      </c>
      <c r="AG3422" s="699"/>
      <c r="AH3422" s="699"/>
      <c r="AI3422" s="512">
        <f>IF(H3422="credit",0,IF(AE3422="free",0,IF(AE3422="me",0,IF(G3422&gt;0,(VLOOKUP(A3422,'Discount Lookup'!J:K,2)*G3422),0))))</f>
        <v>0</v>
      </c>
      <c r="AJ3422" s="513" t="str">
        <f t="shared" ca="1" si="2633"/>
        <v/>
      </c>
      <c r="AK3422" s="700" t="str">
        <f t="shared" si="2634"/>
        <v/>
      </c>
      <c r="AL3422" s="700"/>
      <c r="AM3422" s="505" t="str">
        <f t="shared" si="2635"/>
        <v/>
      </c>
      <c r="AN3422" s="506"/>
      <c r="AO3422" s="507"/>
      <c r="AP3422" s="507"/>
      <c r="AQ3422" s="507"/>
      <c r="AR3422" s="507"/>
      <c r="AS3422" s="507"/>
      <c r="AT3422" s="507"/>
      <c r="AU3422" s="507"/>
      <c r="AV3422" s="225"/>
      <c r="AW3422" s="508"/>
      <c r="AX3422" s="225"/>
      <c r="AY3422" s="225"/>
      <c r="AZ3422" s="225"/>
      <c r="BA3422" s="225"/>
      <c r="BB3422" s="225"/>
      <c r="BC3422" s="56"/>
      <c r="BD3422" s="56"/>
      <c r="BE3422" s="56"/>
      <c r="BF3422" s="107" t="str">
        <f t="shared" si="2636"/>
        <v>https://www.google.com/search?tbm=isch&amp;q=Snowflake%20Holly%20Ilex%20crenata%20%27Shiro-fukurin%27</v>
      </c>
      <c r="BG3422" s="107" t="str">
        <f t="shared" si="2637"/>
        <v>S</v>
      </c>
      <c r="BH3422" s="254"/>
      <c r="BI3422" s="254"/>
    </row>
    <row r="3423" spans="1:61" customFormat="1" ht="27" x14ac:dyDescent="0.25">
      <c r="A3423" s="485">
        <v>7</v>
      </c>
      <c r="B3423" s="486" t="s">
        <v>291</v>
      </c>
      <c r="C3423" s="487" t="s">
        <v>3787</v>
      </c>
      <c r="D3423" s="488" t="s">
        <v>292</v>
      </c>
      <c r="E3423" s="489">
        <v>95.95</v>
      </c>
      <c r="F3423" s="516" t="s">
        <v>293</v>
      </c>
      <c r="G3423" s="232">
        <v>0</v>
      </c>
      <c r="H3423" s="658" t="str">
        <f>IF(G3423=0,"",IF(F3423="Buy",IF(G3423=1,"plant","plants"),IF(F3423&gt;0.01,"warranty","Error")))</f>
        <v/>
      </c>
      <c r="I3423" s="490">
        <f>IF(H3423="free",0,IF(H3423="credit",((E3423*(F3423))*G3423*-1),IF(F3423="Buy",(E3423*G3423),((E3423*(1-F3423))*G3423))))</f>
        <v>0</v>
      </c>
      <c r="J3423" s="490">
        <f>IF(H3423="warranty",0,(I3423*(_xlfn.SINGLE(SalesTaxPercentage))))</f>
        <v>0</v>
      </c>
      <c r="K3423" s="695">
        <f t="shared" ref="K3423" si="2645">I3423+J3423</f>
        <v>0</v>
      </c>
      <c r="L3423" s="695"/>
      <c r="M3423" s="659" t="str">
        <f>IF(AND(G3423&gt;0,E3423=0),"WARNING - no PRICE inserted",IF(H3423="free"," FREE ~ no charge this plant",IF(H3423="credit",CONCATENATE(" -$",ROUND(K3423*(1-T2GDiscount)*-1,2)," CREDIT after discount"),IF(T2GDiscount=0,"",IF(G3423=0,"",IF(F3423="Buy",CONCATENATE(" $",ROUND(K3423*(1-T2GDiscount),2)," with ",(T2GDiscount*100),"% discount"),CONCATENATE(" $",ROUND(K3423*(1-T2GDiscount),2)," with ",((T2GDiscount*100+F3423*100)-(T2GDiscount*100*F3423)),IF(F3423&gt;0,"% discounts",IF(NoWarrantyDiscount&gt;0,"% discounts","% discount")))))))))</f>
        <v/>
      </c>
      <c r="N3423" s="660"/>
      <c r="O3423" s="233"/>
      <c r="P3423" s="233"/>
      <c r="Q3423" s="233"/>
      <c r="R3423" s="233"/>
      <c r="S3423" s="233"/>
      <c r="T3423" s="508">
        <f t="shared" si="2625"/>
        <v>0</v>
      </c>
      <c r="U3423" s="225">
        <f>IF(NOT(ISNUMBER(G3423)), "", VLOOKUP(A3423,'Discount Lookup'!D:E,2,FALSE)*G3423)</f>
        <v>0</v>
      </c>
      <c r="V3423" s="225">
        <f>IF(NOT(ISNUMBER(G3423)), "", VLOOKUP(A3423,'Discount Lookup'!G:H,2,FALSE)*G3423)</f>
        <v>0</v>
      </c>
      <c r="W3423" s="508">
        <f t="shared" si="2626"/>
        <v>0</v>
      </c>
      <c r="X3423" s="508">
        <f t="shared" si="2627"/>
        <v>0</v>
      </c>
      <c r="Y3423" s="509" t="b">
        <f t="shared" si="2628"/>
        <v>0</v>
      </c>
      <c r="Z3423" s="510">
        <f t="shared" si="2629"/>
        <v>0</v>
      </c>
      <c r="AA3423" s="511"/>
      <c r="AB3423" s="511" t="str">
        <f t="shared" si="2630"/>
        <v/>
      </c>
      <c r="AC3423" s="698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698"/>
      <c r="AE3423" s="631" t="str">
        <f t="shared" si="2631"/>
        <v/>
      </c>
      <c r="AF3423" s="699" t="str">
        <f t="shared" si="2632"/>
        <v/>
      </c>
      <c r="AG3423" s="699"/>
      <c r="AH3423" s="699"/>
      <c r="AI3423" s="512">
        <f>IF(H3423="credit",0,IF(AE3423="free",0,IF(AE3423="me",0,IF(G3423&gt;0,(VLOOKUP(A3423,'Discount Lookup'!J:K,2)*G3423),0))))</f>
        <v>0</v>
      </c>
      <c r="AJ3423" s="513" t="str">
        <f t="shared" ca="1" si="2633"/>
        <v/>
      </c>
      <c r="AK3423" s="700" t="str">
        <f t="shared" si="2634"/>
        <v/>
      </c>
      <c r="AL3423" s="700"/>
      <c r="AM3423" s="505" t="str">
        <f t="shared" si="2635"/>
        <v/>
      </c>
      <c r="AN3423" s="506"/>
      <c r="AO3423" s="507"/>
      <c r="AP3423" s="507"/>
      <c r="AQ3423" s="507"/>
      <c r="AR3423" s="507"/>
      <c r="AS3423" s="507"/>
      <c r="AT3423" s="507"/>
      <c r="AU3423" s="507"/>
      <c r="AV3423" s="225"/>
      <c r="AW3423" s="508"/>
      <c r="AX3423" s="225"/>
      <c r="AY3423" s="225"/>
      <c r="AZ3423" s="225"/>
      <c r="BA3423" s="225"/>
      <c r="BB3423" s="225"/>
      <c r="BC3423" s="56"/>
      <c r="BD3423" s="56"/>
      <c r="BE3423" s="56"/>
      <c r="BF3423" s="107" t="str">
        <f t="shared" si="2636"/>
        <v>https://www.google.com/search?tbm=isch&amp;q=7%20G4</v>
      </c>
      <c r="BG3423" s="107" t="str">
        <f t="shared" si="2637"/>
        <v>S</v>
      </c>
      <c r="BH3423" s="254"/>
      <c r="BI3423" s="254"/>
    </row>
    <row r="3424" spans="1:61" customFormat="1" ht="17.25" thickBot="1" x14ac:dyDescent="0.3">
      <c r="A3424" s="522" t="s">
        <v>2865</v>
      </c>
      <c r="B3424" s="491"/>
      <c r="C3424" s="675"/>
      <c r="D3424" s="491"/>
      <c r="E3424" s="491"/>
      <c r="F3424" s="492"/>
      <c r="G3424" s="493"/>
      <c r="H3424" s="491"/>
      <c r="I3424" s="234"/>
      <c r="J3424" s="234"/>
      <c r="K3424" s="494"/>
      <c r="L3424" s="543"/>
      <c r="M3424" s="561"/>
      <c r="N3424" s="495"/>
      <c r="O3424" s="496"/>
      <c r="P3424" s="497"/>
      <c r="Q3424" s="495"/>
      <c r="R3424" s="495"/>
      <c r="S3424" s="667" t="s">
        <v>4984</v>
      </c>
      <c r="T3424" s="508">
        <f t="shared" si="2625"/>
        <v>0</v>
      </c>
      <c r="U3424" s="225" t="str">
        <f>IF(NOT(ISNUMBER(G3424)), "", VLOOKUP(A3424,'Discount Lookup'!D:E,2,FALSE)*G3424)</f>
        <v/>
      </c>
      <c r="V3424" s="225" t="str">
        <f>IF(NOT(ISNUMBER(G3424)), "", VLOOKUP(A3424,'Discount Lookup'!G:H,2,FALSE)*G3424)</f>
        <v/>
      </c>
      <c r="W3424" s="508">
        <f t="shared" si="2626"/>
        <v>0</v>
      </c>
      <c r="X3424" s="508">
        <f t="shared" si="2627"/>
        <v>0</v>
      </c>
      <c r="Y3424" s="509" t="b">
        <f t="shared" si="2628"/>
        <v>0</v>
      </c>
      <c r="Z3424" s="510">
        <f t="shared" si="2629"/>
        <v>0</v>
      </c>
      <c r="AA3424" s="511"/>
      <c r="AB3424" s="511" t="str">
        <f t="shared" si="2630"/>
        <v/>
      </c>
      <c r="AC3424" s="698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698"/>
      <c r="AE3424" s="631" t="str">
        <f t="shared" si="2631"/>
        <v/>
      </c>
      <c r="AF3424" s="699" t="str">
        <f t="shared" si="2632"/>
        <v/>
      </c>
      <c r="AG3424" s="699"/>
      <c r="AH3424" s="699"/>
      <c r="AI3424" s="512">
        <f>IF(H3424="credit",0,IF(AE3424="free",0,IF(AE3424="me",0,IF(G3424&gt;0,(VLOOKUP(A3424,'Discount Lookup'!J:K,2)*G3424),0))))</f>
        <v>0</v>
      </c>
      <c r="AJ3424" s="513" t="str">
        <f t="shared" ca="1" si="2633"/>
        <v/>
      </c>
      <c r="AK3424" s="700" t="str">
        <f t="shared" si="2634"/>
        <v/>
      </c>
      <c r="AL3424" s="700"/>
      <c r="AM3424" s="505" t="str">
        <f t="shared" si="2635"/>
        <v/>
      </c>
      <c r="AN3424" s="506"/>
      <c r="AO3424" s="507"/>
      <c r="AP3424" s="507"/>
      <c r="AQ3424" s="507"/>
      <c r="AR3424" s="507"/>
      <c r="AS3424" s="507"/>
      <c r="AT3424" s="507"/>
      <c r="AU3424" s="507"/>
      <c r="AV3424" s="225"/>
      <c r="AW3424" s="508"/>
      <c r="AX3424" s="225"/>
      <c r="AY3424" s="225"/>
      <c r="AZ3424" s="225"/>
      <c r="BA3424" s="225"/>
      <c r="BB3424" s="225"/>
      <c r="BC3424" s="56"/>
      <c r="BD3424" s="56"/>
      <c r="BE3424" s="56"/>
      <c r="BF3424" s="107" t="str">
        <f t="shared" si="2636"/>
        <v>https://www.google.com/search?tbm=isch&amp;q=Snowflake%20has%20striking%20variegated%20foliage%20with%20creamy%20white%20margins%2C%20glossy%20texture%2C%20and%20black%20fruit%20on%20pollinated%20female%20plants%20</v>
      </c>
      <c r="BG3424" s="107" t="str">
        <f t="shared" si="2637"/>
        <v>S</v>
      </c>
      <c r="BH3424" s="254"/>
      <c r="BI3424" s="254"/>
    </row>
    <row r="3425" spans="1:61" customFormat="1" ht="18" x14ac:dyDescent="0.25">
      <c r="A3425" s="521" t="s">
        <v>5536</v>
      </c>
      <c r="B3425" s="477"/>
      <c r="C3425" s="674"/>
      <c r="D3425" s="478" t="s">
        <v>1769</v>
      </c>
      <c r="E3425" s="479"/>
      <c r="F3425" s="479"/>
      <c r="G3425" s="479"/>
      <c r="H3425" s="582" t="s">
        <v>1041</v>
      </c>
      <c r="I3425" s="480" t="s">
        <v>3941</v>
      </c>
      <c r="J3425" s="479"/>
      <c r="K3425" s="479"/>
      <c r="L3425" s="560"/>
      <c r="M3425" s="666" t="s">
        <v>4966</v>
      </c>
      <c r="N3425" s="680" t="str">
        <f>IF(AND(ISTEXT($A3425), ISERROR($A3425+0)), HYPERLINK($BF3425, "Images"), "")</f>
        <v>Images</v>
      </c>
      <c r="O3425" s="662" t="s">
        <v>4967</v>
      </c>
      <c r="P3425" s="482"/>
      <c r="Q3425" s="483"/>
      <c r="R3425" s="483"/>
      <c r="S3425" s="484"/>
      <c r="T3425" s="508">
        <f t="shared" si="2625"/>
        <v>0</v>
      </c>
      <c r="U3425" s="225" t="str">
        <f>IF(NOT(ISNUMBER(G3425)), "", VLOOKUP(A3425,'Discount Lookup'!D:E,2,FALSE)*G3425)</f>
        <v/>
      </c>
      <c r="V3425" s="225" t="str">
        <f>IF(NOT(ISNUMBER(G3425)), "", VLOOKUP(A3425,'Discount Lookup'!G:H,2,FALSE)*G3425)</f>
        <v/>
      </c>
      <c r="W3425" s="508">
        <f t="shared" si="2626"/>
        <v>0</v>
      </c>
      <c r="X3425" s="508" t="str">
        <f t="shared" si="2627"/>
        <v>Green &amp; White variegation</v>
      </c>
      <c r="Y3425" s="509" t="b">
        <f t="shared" si="2628"/>
        <v>0</v>
      </c>
      <c r="Z3425" s="510">
        <f t="shared" si="2629"/>
        <v>0</v>
      </c>
      <c r="AA3425" s="511"/>
      <c r="AB3425" s="511" t="str">
        <f t="shared" si="2630"/>
        <v/>
      </c>
      <c r="AC3425" s="698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698"/>
      <c r="AE3425" s="631" t="str">
        <f t="shared" si="2631"/>
        <v/>
      </c>
      <c r="AF3425" s="699" t="str">
        <f t="shared" si="2632"/>
        <v/>
      </c>
      <c r="AG3425" s="699"/>
      <c r="AH3425" s="699"/>
      <c r="AI3425" s="512">
        <f>IF(H3425="credit",0,IF(AE3425="free",0,IF(AE3425="me",0,IF(G3425&gt;0,(VLOOKUP(A3425,'Discount Lookup'!J:K,2)*G3425),0))))</f>
        <v>0</v>
      </c>
      <c r="AJ3425" s="513" t="str">
        <f t="shared" ca="1" si="2633"/>
        <v/>
      </c>
      <c r="AK3425" s="700" t="str">
        <f t="shared" si="2634"/>
        <v/>
      </c>
      <c r="AL3425" s="700"/>
      <c r="AM3425" s="505" t="str">
        <f t="shared" si="2635"/>
        <v/>
      </c>
      <c r="AN3425" s="506"/>
      <c r="AO3425" s="507"/>
      <c r="AP3425" s="507"/>
      <c r="AQ3425" s="507"/>
      <c r="AR3425" s="507"/>
      <c r="AS3425" s="507"/>
      <c r="AT3425" s="507"/>
      <c r="AU3425" s="507"/>
      <c r="AV3425" s="225"/>
      <c r="AW3425" s="508"/>
      <c r="AX3425" s="225"/>
      <c r="AY3425" s="225"/>
      <c r="AZ3425" s="225"/>
      <c r="BA3425" s="225"/>
      <c r="BB3425" s="225"/>
      <c r="BC3425" s="56"/>
      <c r="BD3425" s="56"/>
      <c r="BE3425" s="56"/>
      <c r="BF3425" s="107" t="str">
        <f t="shared" si="2636"/>
        <v>https://www.google.com/search?tbm=isch&amp;q=Snow-N-Summer%E2%84%A2%20Asiatic%20Jasmine%20Vine%20Trachelospermum%20asiaticum%20%27HOSNS%27</v>
      </c>
      <c r="BG3425" s="107" t="str">
        <f t="shared" si="2637"/>
        <v>S</v>
      </c>
      <c r="BH3425" s="254"/>
      <c r="BI3425" s="254"/>
    </row>
    <row r="3426" spans="1:61" customFormat="1" ht="15.75" x14ac:dyDescent="0.25">
      <c r="A3426" s="485">
        <v>1</v>
      </c>
      <c r="B3426" s="486" t="s">
        <v>291</v>
      </c>
      <c r="C3426" s="487"/>
      <c r="D3426" s="488" t="s">
        <v>300</v>
      </c>
      <c r="E3426" s="489">
        <v>13.95</v>
      </c>
      <c r="F3426" s="516" t="s">
        <v>293</v>
      </c>
      <c r="G3426" s="232">
        <v>0</v>
      </c>
      <c r="H3426" s="658" t="str">
        <f>IF(G3426=0,"",IF(F3426="Buy",IF(G3426=1,"plant","plants"),IF(F3426&gt;0.01,"warranty","Error")))</f>
        <v/>
      </c>
      <c r="I3426" s="490">
        <f>IF(H3426="free",0,IF(H3426="credit",((E3426*(F3426))*G3426*-1),IF(F3426="Buy",(E3426*G3426),((E3426*(1-F3426))*G3426))))</f>
        <v>0</v>
      </c>
      <c r="J3426" s="490">
        <f>IF(H3426="warranty",0,(I3426*(_xlfn.SINGLE(SalesTaxPercentage))))</f>
        <v>0</v>
      </c>
      <c r="K3426" s="695">
        <f t="shared" ref="K3426" si="2646">I3426+J3426</f>
        <v>0</v>
      </c>
      <c r="L3426" s="695"/>
      <c r="M3426" s="659" t="str">
        <f>IF(AND(G3426&gt;0,E3426=0),"WARNING - no PRICE inserted",IF(H3426="free"," FREE ~ no charge this plant",IF(H3426="credit",CONCATENATE(" -$",ROUND(K3426*(1-T2GDiscount)*-1,2)," CREDIT after discount"),IF(T2GDiscount=0,"",IF(G3426=0,"",IF(F3426="Buy",CONCATENATE(" $",ROUND(K3426*(1-T2GDiscount),2)," with ",(T2GDiscount*100),"% discount"),CONCATENATE(" $",ROUND(K3426*(1-T2GDiscount),2)," with ",((T2GDiscount*100+F3426*100)-(T2GDiscount*100*F3426)),IF(F3426&gt;0,"% discounts",IF(NoWarrantyDiscount&gt;0,"% discounts","% discount")))))))))</f>
        <v/>
      </c>
      <c r="N3426" s="660"/>
      <c r="O3426" s="233"/>
      <c r="P3426" s="233"/>
      <c r="Q3426" s="233"/>
      <c r="R3426" s="233"/>
      <c r="S3426" s="233"/>
      <c r="T3426" s="508">
        <f t="shared" si="2625"/>
        <v>0</v>
      </c>
      <c r="U3426" s="225">
        <f>IF(NOT(ISNUMBER(G3426)), "", VLOOKUP(A3426,'Discount Lookup'!D:E,2,FALSE)*G3426)</f>
        <v>0</v>
      </c>
      <c r="V3426" s="225">
        <f>IF(NOT(ISNUMBER(G3426)), "", VLOOKUP(A3426,'Discount Lookup'!G:H,2,FALSE)*G3426)</f>
        <v>0</v>
      </c>
      <c r="W3426" s="508">
        <f t="shared" si="2626"/>
        <v>0</v>
      </c>
      <c r="X3426" s="508">
        <f t="shared" si="2627"/>
        <v>0</v>
      </c>
      <c r="Y3426" s="509" t="b">
        <f t="shared" si="2628"/>
        <v>0</v>
      </c>
      <c r="Z3426" s="510">
        <f t="shared" si="2629"/>
        <v>0</v>
      </c>
      <c r="AA3426" s="511"/>
      <c r="AB3426" s="511" t="str">
        <f t="shared" si="2630"/>
        <v/>
      </c>
      <c r="AC3426" s="698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698"/>
      <c r="AE3426" s="631" t="str">
        <f t="shared" si="2631"/>
        <v/>
      </c>
      <c r="AF3426" s="699" t="str">
        <f t="shared" si="2632"/>
        <v/>
      </c>
      <c r="AG3426" s="699"/>
      <c r="AH3426" s="699"/>
      <c r="AI3426" s="512">
        <f>IF(H3426="credit",0,IF(AE3426="free",0,IF(AE3426="me",0,IF(G3426&gt;0,(VLOOKUP(A3426,'Discount Lookup'!J:K,2)*G3426),0))))</f>
        <v>0</v>
      </c>
      <c r="AJ3426" s="513" t="str">
        <f t="shared" ca="1" si="2633"/>
        <v/>
      </c>
      <c r="AK3426" s="700" t="str">
        <f t="shared" si="2634"/>
        <v/>
      </c>
      <c r="AL3426" s="700"/>
      <c r="AM3426" s="505" t="str">
        <f t="shared" si="2635"/>
        <v/>
      </c>
      <c r="AN3426" s="506"/>
      <c r="AO3426" s="507"/>
      <c r="AP3426" s="507"/>
      <c r="AQ3426" s="507"/>
      <c r="AR3426" s="507"/>
      <c r="AS3426" s="507"/>
      <c r="AT3426" s="507"/>
      <c r="AU3426" s="507"/>
      <c r="AV3426" s="225"/>
      <c r="AW3426" s="508"/>
      <c r="AX3426" s="225"/>
      <c r="AY3426" s="225"/>
      <c r="AZ3426" s="225"/>
      <c r="BA3426" s="225"/>
      <c r="BB3426" s="225"/>
      <c r="BC3426" s="56"/>
      <c r="BD3426" s="56"/>
      <c r="BE3426" s="56"/>
      <c r="BF3426" s="107" t="str">
        <f t="shared" si="2636"/>
        <v>https://www.google.com/search?tbm=isch&amp;q=1%20G6</v>
      </c>
      <c r="BG3426" s="107" t="str">
        <f t="shared" si="2637"/>
        <v>S</v>
      </c>
      <c r="BH3426" s="254"/>
      <c r="BI3426" s="254"/>
    </row>
    <row r="3427" spans="1:61" customFormat="1" ht="15.75" x14ac:dyDescent="0.25">
      <c r="A3427" s="485">
        <v>3</v>
      </c>
      <c r="B3427" s="486" t="s">
        <v>291</v>
      </c>
      <c r="C3427" s="487"/>
      <c r="D3427" s="488" t="s">
        <v>300</v>
      </c>
      <c r="E3427" s="489">
        <v>20.95</v>
      </c>
      <c r="F3427" s="516" t="s">
        <v>293</v>
      </c>
      <c r="G3427" s="232">
        <v>0</v>
      </c>
      <c r="H3427" s="658" t="str">
        <f>IF(G3427=0,"",IF(F3427="Buy",IF(G3427=1,"plant","plants"),IF(F3427&gt;0.01,"warranty","Error")))</f>
        <v/>
      </c>
      <c r="I3427" s="490">
        <f>IF(H3427="free",0,IF(H3427="credit",((E3427*(F3427))*G3427*-1),IF(F3427="Buy",(E3427*G3427),((E3427*(1-F3427))*G3427))))</f>
        <v>0</v>
      </c>
      <c r="J3427" s="490">
        <f>IF(H3427="warranty",0,(I3427*(_xlfn.SINGLE(SalesTaxPercentage))))</f>
        <v>0</v>
      </c>
      <c r="K3427" s="695">
        <f t="shared" ref="K3427" si="2647">I3427+J3427</f>
        <v>0</v>
      </c>
      <c r="L3427" s="695"/>
      <c r="M3427" s="659" t="str">
        <f>IF(AND(G3427&gt;0,E3427=0),"WARNING - no PRICE inserted",IF(H3427="free"," FREE ~ no charge this plant",IF(H3427="credit",CONCATENATE(" -$",ROUND(K3427*(1-T2GDiscount)*-1,2)," CREDIT after discount"),IF(T2GDiscount=0,"",IF(G3427=0,"",IF(F3427="Buy",CONCATENATE(" $",ROUND(K3427*(1-T2GDiscount),2)," with ",(T2GDiscount*100),"% discount"),CONCATENATE(" $",ROUND(K3427*(1-T2GDiscount),2)," with ",((T2GDiscount*100+F3427*100)-(T2GDiscount*100*F3427)),IF(F3427&gt;0,"% discounts",IF(NoWarrantyDiscount&gt;0,"% discounts","% discount")))))))))</f>
        <v/>
      </c>
      <c r="N3427" s="660"/>
      <c r="O3427" s="233"/>
      <c r="P3427" s="233"/>
      <c r="Q3427" s="233"/>
      <c r="R3427" s="233"/>
      <c r="S3427" s="233"/>
      <c r="T3427" s="508">
        <f t="shared" si="2625"/>
        <v>0</v>
      </c>
      <c r="U3427" s="225">
        <f>IF(NOT(ISNUMBER(G3427)), "", VLOOKUP(A3427,'Discount Lookup'!D:E,2,FALSE)*G3427)</f>
        <v>0</v>
      </c>
      <c r="V3427" s="225">
        <f>IF(NOT(ISNUMBER(G3427)), "", VLOOKUP(A3427,'Discount Lookup'!G:H,2,FALSE)*G3427)</f>
        <v>0</v>
      </c>
      <c r="W3427" s="508">
        <f t="shared" si="2626"/>
        <v>0</v>
      </c>
      <c r="X3427" s="508">
        <f t="shared" si="2627"/>
        <v>0</v>
      </c>
      <c r="Y3427" s="509" t="b">
        <f t="shared" si="2628"/>
        <v>0</v>
      </c>
      <c r="Z3427" s="510">
        <f t="shared" si="2629"/>
        <v>0</v>
      </c>
      <c r="AA3427" s="511"/>
      <c r="AB3427" s="511" t="str">
        <f t="shared" si="2630"/>
        <v/>
      </c>
      <c r="AC3427" s="698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698"/>
      <c r="AE3427" s="631" t="str">
        <f t="shared" si="2631"/>
        <v/>
      </c>
      <c r="AF3427" s="699" t="str">
        <f t="shared" si="2632"/>
        <v/>
      </c>
      <c r="AG3427" s="699"/>
      <c r="AH3427" s="699"/>
      <c r="AI3427" s="512">
        <f>IF(H3427="credit",0,IF(AE3427="free",0,IF(AE3427="me",0,IF(G3427&gt;0,(VLOOKUP(A3427,'Discount Lookup'!J:K,2)*G3427),0))))</f>
        <v>0</v>
      </c>
      <c r="AJ3427" s="513" t="str">
        <f t="shared" ca="1" si="2633"/>
        <v/>
      </c>
      <c r="AK3427" s="700" t="str">
        <f t="shared" si="2634"/>
        <v/>
      </c>
      <c r="AL3427" s="700"/>
      <c r="AM3427" s="505" t="str">
        <f t="shared" si="2635"/>
        <v/>
      </c>
      <c r="AN3427" s="506"/>
      <c r="AO3427" s="507"/>
      <c r="AP3427" s="507"/>
      <c r="AQ3427" s="507"/>
      <c r="AR3427" s="507"/>
      <c r="AS3427" s="507"/>
      <c r="AT3427" s="507"/>
      <c r="AU3427" s="507"/>
      <c r="AV3427" s="225"/>
      <c r="AW3427" s="508"/>
      <c r="AX3427" s="225"/>
      <c r="AY3427" s="225"/>
      <c r="AZ3427" s="225"/>
      <c r="BA3427" s="225"/>
      <c r="BB3427" s="225"/>
      <c r="BC3427" s="56"/>
      <c r="BD3427" s="56"/>
      <c r="BE3427" s="56"/>
      <c r="BF3427" s="107" t="str">
        <f t="shared" si="2636"/>
        <v>https://www.google.com/search?tbm=isch&amp;q=3%20G6</v>
      </c>
      <c r="BG3427" s="107" t="str">
        <f t="shared" si="2637"/>
        <v>S</v>
      </c>
      <c r="BH3427" s="254"/>
      <c r="BI3427" s="254"/>
    </row>
    <row r="3428" spans="1:61" customFormat="1" ht="17.25" thickBot="1" x14ac:dyDescent="0.3">
      <c r="A3428" s="522" t="s">
        <v>3942</v>
      </c>
      <c r="B3428" s="491"/>
      <c r="C3428" s="675"/>
      <c r="D3428" s="491"/>
      <c r="E3428" s="491"/>
      <c r="F3428" s="492"/>
      <c r="G3428" s="493"/>
      <c r="H3428" s="491"/>
      <c r="I3428" s="234"/>
      <c r="J3428" s="234"/>
      <c r="K3428" s="494"/>
      <c r="L3428" s="543"/>
      <c r="M3428" s="561"/>
      <c r="N3428" s="495"/>
      <c r="O3428" s="496"/>
      <c r="P3428" s="497"/>
      <c r="Q3428" s="495"/>
      <c r="R3428" s="495"/>
      <c r="S3428" s="667" t="s">
        <v>4984</v>
      </c>
      <c r="T3428" s="508">
        <f t="shared" si="2625"/>
        <v>0</v>
      </c>
      <c r="U3428" s="225" t="str">
        <f>IF(NOT(ISNUMBER(G3428)), "", VLOOKUP(A3428,'Discount Lookup'!D:E,2,FALSE)*G3428)</f>
        <v/>
      </c>
      <c r="V3428" s="225" t="str">
        <f>IF(NOT(ISNUMBER(G3428)), "", VLOOKUP(A3428,'Discount Lookup'!G:H,2,FALSE)*G3428)</f>
        <v/>
      </c>
      <c r="W3428" s="508">
        <f t="shared" si="2626"/>
        <v>0</v>
      </c>
      <c r="X3428" s="508">
        <f t="shared" si="2627"/>
        <v>0</v>
      </c>
      <c r="Y3428" s="509" t="b">
        <f t="shared" si="2628"/>
        <v>0</v>
      </c>
      <c r="Z3428" s="510">
        <f t="shared" si="2629"/>
        <v>0</v>
      </c>
      <c r="AA3428" s="511"/>
      <c r="AB3428" s="511" t="str">
        <f t="shared" si="2630"/>
        <v/>
      </c>
      <c r="AC3428" s="698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698"/>
      <c r="AE3428" s="631" t="str">
        <f t="shared" si="2631"/>
        <v/>
      </c>
      <c r="AF3428" s="699" t="str">
        <f t="shared" si="2632"/>
        <v/>
      </c>
      <c r="AG3428" s="699"/>
      <c r="AH3428" s="699"/>
      <c r="AI3428" s="512">
        <f>IF(H3428="credit",0,IF(AE3428="free",0,IF(AE3428="me",0,IF(G3428&gt;0,(VLOOKUP(A3428,'Discount Lookup'!J:K,2)*G3428),0))))</f>
        <v>0</v>
      </c>
      <c r="AJ3428" s="513" t="str">
        <f t="shared" ca="1" si="2633"/>
        <v/>
      </c>
      <c r="AK3428" s="700" t="str">
        <f t="shared" si="2634"/>
        <v/>
      </c>
      <c r="AL3428" s="700"/>
      <c r="AM3428" s="505" t="str">
        <f t="shared" si="2635"/>
        <v/>
      </c>
      <c r="AN3428" s="506"/>
      <c r="AO3428" s="507"/>
      <c r="AP3428" s="507"/>
      <c r="AQ3428" s="507"/>
      <c r="AR3428" s="507"/>
      <c r="AS3428" s="507"/>
      <c r="AT3428" s="507"/>
      <c r="AU3428" s="507"/>
      <c r="AV3428" s="225"/>
      <c r="AW3428" s="508"/>
      <c r="AX3428" s="225"/>
      <c r="AY3428" s="225"/>
      <c r="AZ3428" s="225"/>
      <c r="BA3428" s="225"/>
      <c r="BB3428" s="225"/>
      <c r="BC3428" s="56"/>
      <c r="BD3428" s="56"/>
      <c r="BE3428" s="56"/>
      <c r="BF3428" s="107" t="str">
        <f t="shared" si="2636"/>
        <v>https://www.google.com/search?tbm=isch&amp;q=Snow-N-Summer%20known%20for%20it%27s%20tricolor%20foliage%2C%20emerging%20White%2C%20then%20variegated.%20Can%20be%20invasive.%20Can%20be%20trained%20to%20climb%20up%20a%20trellis%20</v>
      </c>
      <c r="BG3428" s="107" t="str">
        <f t="shared" si="2637"/>
        <v>S</v>
      </c>
      <c r="BH3428" s="254"/>
      <c r="BI3428" s="254"/>
    </row>
    <row r="3429" spans="1:61" customFormat="1" ht="18" x14ac:dyDescent="0.25">
      <c r="A3429" s="521" t="s">
        <v>1770</v>
      </c>
      <c r="B3429" s="477"/>
      <c r="C3429" s="674"/>
      <c r="D3429" s="478" t="s">
        <v>1771</v>
      </c>
      <c r="E3429" s="479"/>
      <c r="F3429" s="479"/>
      <c r="G3429" s="479"/>
      <c r="H3429" s="582" t="s">
        <v>441</v>
      </c>
      <c r="I3429" s="480" t="s">
        <v>2314</v>
      </c>
      <c r="J3429" s="479"/>
      <c r="K3429" s="479"/>
      <c r="L3429" s="560"/>
      <c r="M3429" s="671" t="s">
        <v>4985</v>
      </c>
      <c r="N3429" s="680" t="str">
        <f>IF(AND(ISTEXT($A3429), ISERROR($A3429+0)), HYPERLINK($BF3429, "Images"), "")</f>
        <v>Images</v>
      </c>
      <c r="O3429" s="662" t="s">
        <v>4969</v>
      </c>
      <c r="P3429" s="482"/>
      <c r="Q3429" s="483"/>
      <c r="R3429" s="483"/>
      <c r="S3429" s="484"/>
      <c r="T3429" s="508">
        <f t="shared" si="2625"/>
        <v>0</v>
      </c>
      <c r="U3429" s="225" t="str">
        <f>IF(NOT(ISNUMBER(G3429)), "", VLOOKUP(A3429,'Discount Lookup'!D:E,2,FALSE)*G3429)</f>
        <v/>
      </c>
      <c r="V3429" s="225" t="str">
        <f>IF(NOT(ISNUMBER(G3429)), "", VLOOKUP(A3429,'Discount Lookup'!G:H,2,FALSE)*G3429)</f>
        <v/>
      </c>
      <c r="W3429" s="508">
        <f t="shared" si="2626"/>
        <v>0</v>
      </c>
      <c r="X3429" s="508" t="str">
        <f t="shared" si="2627"/>
        <v>Olive-Green foliage</v>
      </c>
      <c r="Y3429" s="509" t="b">
        <f t="shared" si="2628"/>
        <v>0</v>
      </c>
      <c r="Z3429" s="510">
        <f t="shared" si="2629"/>
        <v>0</v>
      </c>
      <c r="AA3429" s="511"/>
      <c r="AB3429" s="511" t="str">
        <f t="shared" si="2630"/>
        <v/>
      </c>
      <c r="AC3429" s="698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698"/>
      <c r="AE3429" s="631" t="str">
        <f t="shared" si="2631"/>
        <v/>
      </c>
      <c r="AF3429" s="699" t="str">
        <f t="shared" si="2632"/>
        <v/>
      </c>
      <c r="AG3429" s="699"/>
      <c r="AH3429" s="699"/>
      <c r="AI3429" s="512">
        <f>IF(H3429="credit",0,IF(AE3429="free",0,IF(AE3429="me",0,IF(G3429&gt;0,(VLOOKUP(A3429,'Discount Lookup'!J:K,2)*G3429),0))))</f>
        <v>0</v>
      </c>
      <c r="AJ3429" s="513" t="str">
        <f t="shared" ca="1" si="2633"/>
        <v/>
      </c>
      <c r="AK3429" s="700" t="str">
        <f t="shared" si="2634"/>
        <v/>
      </c>
      <c r="AL3429" s="700"/>
      <c r="AM3429" s="505" t="str">
        <f t="shared" si="2635"/>
        <v/>
      </c>
      <c r="AN3429" s="506"/>
      <c r="AO3429" s="507"/>
      <c r="AP3429" s="507"/>
      <c r="AQ3429" s="507"/>
      <c r="AR3429" s="507"/>
      <c r="AS3429" s="507"/>
      <c r="AT3429" s="507"/>
      <c r="AU3429" s="507"/>
      <c r="AV3429" s="225"/>
      <c r="AW3429" s="508"/>
      <c r="AX3429" s="225"/>
      <c r="AY3429" s="225"/>
      <c r="AZ3429" s="225"/>
      <c r="BA3429" s="225"/>
      <c r="BB3429" s="225"/>
      <c r="BC3429" s="56"/>
      <c r="BD3429" s="56"/>
      <c r="BE3429" s="56"/>
      <c r="BF3429" s="107" t="str">
        <f t="shared" si="2636"/>
        <v>https://www.google.com/search?tbm=isch&amp;q=Soft%20Caress%20Mahonia%20Mahonia%20eurybracteata%20%27Soft%20Caress%27%20PP%2320183</v>
      </c>
      <c r="BG3429" s="107" t="str">
        <f t="shared" si="2637"/>
        <v>S</v>
      </c>
      <c r="BH3429" s="254"/>
      <c r="BI3429" s="254"/>
    </row>
    <row r="3430" spans="1:61" customFormat="1" ht="15.75" x14ac:dyDescent="0.25">
      <c r="A3430" s="485">
        <v>1</v>
      </c>
      <c r="B3430" s="486" t="s">
        <v>291</v>
      </c>
      <c r="C3430" s="487" t="s">
        <v>4940</v>
      </c>
      <c r="D3430" s="488" t="s">
        <v>312</v>
      </c>
      <c r="E3430" s="489">
        <v>28.95</v>
      </c>
      <c r="F3430" s="516" t="s">
        <v>293</v>
      </c>
      <c r="G3430" s="232">
        <v>0</v>
      </c>
      <c r="H3430" s="658" t="str">
        <f>IF(G3430=0,"",IF(F3430="Buy",IF(G3430=1,"plant","plants"),IF(F3430&gt;0.01,"warranty","Error")))</f>
        <v/>
      </c>
      <c r="I3430" s="490">
        <f>IF(H3430="free",0,IF(H3430="credit",((E3430*(F3430))*G3430*-1),IF(F3430="Buy",(E3430*G3430),((E3430*(1-F3430))*G3430))))</f>
        <v>0</v>
      </c>
      <c r="J3430" s="490">
        <f>IF(H3430="warranty",0,(I3430*(_xlfn.SINGLE(SalesTaxPercentage))))</f>
        <v>0</v>
      </c>
      <c r="K3430" s="695">
        <f t="shared" ref="K3430" si="2648">I3430+J3430</f>
        <v>0</v>
      </c>
      <c r="L3430" s="695"/>
      <c r="M3430" s="659" t="str">
        <f>IF(AND(G3430&gt;0,E3430=0),"WARNING - no PRICE inserted",IF(H3430="free"," FREE ~ no charge this plant",IF(H3430="credit",CONCATENATE(" -$",ROUND(K3430*(1-T2GDiscount)*-1,2)," CREDIT after discount"),IF(T2GDiscount=0,"",IF(G3430=0,"",IF(F3430="Buy",CONCATENATE(" $",ROUND(K3430*(1-T2GDiscount),2)," with ",(T2GDiscount*100),"% discount"),CONCATENATE(" $",ROUND(K3430*(1-T2GDiscount),2)," with ",((T2GDiscount*100+F3430*100)-(T2GDiscount*100*F3430)),IF(F3430&gt;0,"% discounts",IF(NoWarrantyDiscount&gt;0,"% discounts","% discount")))))))))</f>
        <v/>
      </c>
      <c r="N3430" s="660"/>
      <c r="O3430" s="233"/>
      <c r="P3430" s="233"/>
      <c r="Q3430" s="233"/>
      <c r="R3430" s="233"/>
      <c r="S3430" s="233"/>
      <c r="T3430" s="508">
        <f t="shared" si="2625"/>
        <v>0</v>
      </c>
      <c r="U3430" s="225">
        <f>IF(NOT(ISNUMBER(G3430)), "", VLOOKUP(A3430,'Discount Lookup'!D:E,2,FALSE)*G3430)</f>
        <v>0</v>
      </c>
      <c r="V3430" s="225">
        <f>IF(NOT(ISNUMBER(G3430)), "", VLOOKUP(A3430,'Discount Lookup'!G:H,2,FALSE)*G3430)</f>
        <v>0</v>
      </c>
      <c r="W3430" s="508">
        <f t="shared" si="2626"/>
        <v>0</v>
      </c>
      <c r="X3430" s="508">
        <f t="shared" si="2627"/>
        <v>0</v>
      </c>
      <c r="Y3430" s="509" t="b">
        <f t="shared" si="2628"/>
        <v>0</v>
      </c>
      <c r="Z3430" s="510">
        <f t="shared" si="2629"/>
        <v>0</v>
      </c>
      <c r="AA3430" s="511"/>
      <c r="AB3430" s="511" t="str">
        <f t="shared" si="2630"/>
        <v/>
      </c>
      <c r="AC3430" s="698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698"/>
      <c r="AE3430" s="631" t="str">
        <f t="shared" si="2631"/>
        <v/>
      </c>
      <c r="AF3430" s="699" t="str">
        <f t="shared" si="2632"/>
        <v/>
      </c>
      <c r="AG3430" s="699"/>
      <c r="AH3430" s="699"/>
      <c r="AI3430" s="512">
        <f>IF(H3430="credit",0,IF(AE3430="free",0,IF(AE3430="me",0,IF(G3430&gt;0,(VLOOKUP(A3430,'Discount Lookup'!J:K,2)*G3430),0))))</f>
        <v>0</v>
      </c>
      <c r="AJ3430" s="513" t="str">
        <f t="shared" ca="1" si="2633"/>
        <v/>
      </c>
      <c r="AK3430" s="700" t="str">
        <f t="shared" si="2634"/>
        <v/>
      </c>
      <c r="AL3430" s="700"/>
      <c r="AM3430" s="505" t="str">
        <f t="shared" si="2635"/>
        <v/>
      </c>
      <c r="AN3430" s="506"/>
      <c r="AO3430" s="507"/>
      <c r="AP3430" s="507"/>
      <c r="AQ3430" s="507"/>
      <c r="AR3430" s="507"/>
      <c r="AS3430" s="507"/>
      <c r="AT3430" s="507"/>
      <c r="AU3430" s="507"/>
      <c r="AV3430" s="225"/>
      <c r="AW3430" s="508"/>
      <c r="AX3430" s="225"/>
      <c r="AY3430" s="225"/>
      <c r="AZ3430" s="225"/>
      <c r="BA3430" s="225"/>
      <c r="BB3430" s="225"/>
      <c r="BC3430" s="56"/>
      <c r="BD3430" s="56"/>
      <c r="BE3430" s="56"/>
      <c r="BF3430" s="107" t="str">
        <f t="shared" si="2636"/>
        <v>https://www.google.com/search?tbm=isch&amp;q=1%20G2</v>
      </c>
      <c r="BG3430" s="107" t="str">
        <f t="shared" si="2637"/>
        <v>S</v>
      </c>
      <c r="BH3430" s="254"/>
      <c r="BI3430" s="254"/>
    </row>
    <row r="3431" spans="1:61" customFormat="1" ht="15.75" x14ac:dyDescent="0.25">
      <c r="A3431" s="485">
        <v>3</v>
      </c>
      <c r="B3431" s="486" t="s">
        <v>291</v>
      </c>
      <c r="C3431" s="487" t="s">
        <v>4448</v>
      </c>
      <c r="D3431" s="488" t="s">
        <v>292</v>
      </c>
      <c r="E3431" s="489">
        <v>39.950000000000003</v>
      </c>
      <c r="F3431" s="516" t="s">
        <v>293</v>
      </c>
      <c r="G3431" s="232">
        <v>0</v>
      </c>
      <c r="H3431" s="658" t="str">
        <f>IF(G3431=0,"",IF(F3431="Buy",IF(G3431=1,"plant","plants"),IF(F3431&gt;0.01,"warranty","Error")))</f>
        <v/>
      </c>
      <c r="I3431" s="490">
        <f>IF(H3431="free",0,IF(H3431="credit",((E3431*(F3431))*G3431*-1),IF(F3431="Buy",(E3431*G3431),((E3431*(1-F3431))*G3431))))</f>
        <v>0</v>
      </c>
      <c r="J3431" s="490">
        <f>IF(H3431="warranty",0,(I3431*(_xlfn.SINGLE(SalesTaxPercentage))))</f>
        <v>0</v>
      </c>
      <c r="K3431" s="695">
        <f t="shared" ref="K3431" si="2649">I3431+J3431</f>
        <v>0</v>
      </c>
      <c r="L3431" s="695"/>
      <c r="M3431" s="659" t="str">
        <f>IF(AND(G3431&gt;0,E3431=0),"WARNING - no PRICE inserted",IF(H3431="free"," FREE ~ no charge this plant",IF(H3431="credit",CONCATENATE(" -$",ROUND(K3431*(1-T2GDiscount)*-1,2)," CREDIT after discount"),IF(T2GDiscount=0,"",IF(G3431=0,"",IF(F3431="Buy",CONCATENATE(" $",ROUND(K3431*(1-T2GDiscount),2)," with ",(T2GDiscount*100),"% discount"),CONCATENATE(" $",ROUND(K3431*(1-T2GDiscount),2)," with ",((T2GDiscount*100+F3431*100)-(T2GDiscount*100*F3431)),IF(F3431&gt;0,"% discounts",IF(NoWarrantyDiscount&gt;0,"% discounts","% discount")))))))))</f>
        <v/>
      </c>
      <c r="N3431" s="660"/>
      <c r="O3431" s="233"/>
      <c r="P3431" s="233"/>
      <c r="Q3431" s="233"/>
      <c r="R3431" s="233"/>
      <c r="S3431" s="233"/>
      <c r="T3431" s="508">
        <f t="shared" si="2625"/>
        <v>0</v>
      </c>
      <c r="U3431" s="225">
        <f>IF(NOT(ISNUMBER(G3431)), "", VLOOKUP(A3431,'Discount Lookup'!D:E,2,FALSE)*G3431)</f>
        <v>0</v>
      </c>
      <c r="V3431" s="225">
        <f>IF(NOT(ISNUMBER(G3431)), "", VLOOKUP(A3431,'Discount Lookup'!G:H,2,FALSE)*G3431)</f>
        <v>0</v>
      </c>
      <c r="W3431" s="508">
        <f t="shared" si="2626"/>
        <v>0</v>
      </c>
      <c r="X3431" s="508">
        <f t="shared" si="2627"/>
        <v>0</v>
      </c>
      <c r="Y3431" s="509" t="b">
        <f t="shared" si="2628"/>
        <v>0</v>
      </c>
      <c r="Z3431" s="510">
        <f t="shared" si="2629"/>
        <v>0</v>
      </c>
      <c r="AA3431" s="511"/>
      <c r="AB3431" s="511" t="str">
        <f t="shared" si="2630"/>
        <v/>
      </c>
      <c r="AC3431" s="698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698"/>
      <c r="AE3431" s="631" t="str">
        <f t="shared" si="2631"/>
        <v/>
      </c>
      <c r="AF3431" s="699" t="str">
        <f t="shared" si="2632"/>
        <v/>
      </c>
      <c r="AG3431" s="699"/>
      <c r="AH3431" s="699"/>
      <c r="AI3431" s="512">
        <f>IF(H3431="credit",0,IF(AE3431="free",0,IF(AE3431="me",0,IF(G3431&gt;0,(VLOOKUP(A3431,'Discount Lookup'!J:K,2)*G3431),0))))</f>
        <v>0</v>
      </c>
      <c r="AJ3431" s="513" t="str">
        <f t="shared" ca="1" si="2633"/>
        <v/>
      </c>
      <c r="AK3431" s="700" t="str">
        <f t="shared" si="2634"/>
        <v/>
      </c>
      <c r="AL3431" s="700"/>
      <c r="AM3431" s="505" t="str">
        <f t="shared" si="2635"/>
        <v/>
      </c>
      <c r="AN3431" s="506"/>
      <c r="AO3431" s="507"/>
      <c r="AP3431" s="507"/>
      <c r="AQ3431" s="507"/>
      <c r="AR3431" s="507"/>
      <c r="AS3431" s="507"/>
      <c r="AT3431" s="507"/>
      <c r="AU3431" s="507"/>
      <c r="AV3431" s="225"/>
      <c r="AW3431" s="508"/>
      <c r="AX3431" s="225"/>
      <c r="AY3431" s="225"/>
      <c r="AZ3431" s="225"/>
      <c r="BA3431" s="225"/>
      <c r="BB3431" s="225"/>
      <c r="BC3431" s="56"/>
      <c r="BD3431" s="56"/>
      <c r="BE3431" s="56"/>
      <c r="BF3431" s="107" t="str">
        <f t="shared" si="2636"/>
        <v>https://www.google.com/search?tbm=isch&amp;q=3%20G4</v>
      </c>
      <c r="BG3431" s="107" t="str">
        <f t="shared" si="2637"/>
        <v>S</v>
      </c>
      <c r="BH3431" s="254"/>
      <c r="BI3431" s="254"/>
    </row>
    <row r="3432" spans="1:61" customFormat="1" ht="15.75" x14ac:dyDescent="0.25">
      <c r="A3432" s="485">
        <v>5</v>
      </c>
      <c r="B3432" s="486" t="s">
        <v>291</v>
      </c>
      <c r="C3432" s="487" t="s">
        <v>2248</v>
      </c>
      <c r="D3432" s="488" t="s">
        <v>300</v>
      </c>
      <c r="E3432" s="489">
        <v>82.95</v>
      </c>
      <c r="F3432" s="516" t="s">
        <v>293</v>
      </c>
      <c r="G3432" s="232">
        <v>0</v>
      </c>
      <c r="H3432" s="658" t="str">
        <f>IF(G3432=0,"",IF(F3432="Buy",IF(G3432=1,"plant","plants"),IF(F3432&gt;0.01,"warranty","Error")))</f>
        <v/>
      </c>
      <c r="I3432" s="490">
        <f>IF(H3432="free",0,IF(H3432="credit",((E3432*(F3432))*G3432*-1),IF(F3432="Buy",(E3432*G3432),((E3432*(1-F3432))*G3432))))</f>
        <v>0</v>
      </c>
      <c r="J3432" s="490">
        <f>IF(H3432="warranty",0,(I3432*(_xlfn.SINGLE(SalesTaxPercentage))))</f>
        <v>0</v>
      </c>
      <c r="K3432" s="695">
        <f t="shared" ref="K3432" si="2650">I3432+J3432</f>
        <v>0</v>
      </c>
      <c r="L3432" s="695"/>
      <c r="M3432" s="659" t="str">
        <f>IF(AND(G3432&gt;0,E3432=0),"WARNING - no PRICE inserted",IF(H3432="free"," FREE ~ no charge this plant",IF(H3432="credit",CONCATENATE(" -$",ROUND(K3432*(1-T2GDiscount)*-1,2)," CREDIT after discount"),IF(T2GDiscount=0,"",IF(G3432=0,"",IF(F3432="Buy",CONCATENATE(" $",ROUND(K3432*(1-T2GDiscount),2)," with ",(T2GDiscount*100),"% discount"),CONCATENATE(" $",ROUND(K3432*(1-T2GDiscount),2)," with ",((T2GDiscount*100+F3432*100)-(T2GDiscount*100*F3432)),IF(F3432&gt;0,"% discounts",IF(NoWarrantyDiscount&gt;0,"% discounts","% discount")))))))))</f>
        <v/>
      </c>
      <c r="N3432" s="660"/>
      <c r="O3432" s="233"/>
      <c r="P3432" s="233"/>
      <c r="Q3432" s="233"/>
      <c r="R3432" s="233"/>
      <c r="S3432" s="233"/>
      <c r="T3432" s="508">
        <f t="shared" si="2625"/>
        <v>0</v>
      </c>
      <c r="U3432" s="225">
        <f>IF(NOT(ISNUMBER(G3432)), "", VLOOKUP(A3432,'Discount Lookup'!D:E,2,FALSE)*G3432)</f>
        <v>0</v>
      </c>
      <c r="V3432" s="225">
        <f>IF(NOT(ISNUMBER(G3432)), "", VLOOKUP(A3432,'Discount Lookup'!G:H,2,FALSE)*G3432)</f>
        <v>0</v>
      </c>
      <c r="W3432" s="508">
        <f t="shared" si="2626"/>
        <v>0</v>
      </c>
      <c r="X3432" s="508">
        <f t="shared" si="2627"/>
        <v>0</v>
      </c>
      <c r="Y3432" s="509" t="b">
        <f t="shared" si="2628"/>
        <v>0</v>
      </c>
      <c r="Z3432" s="510">
        <f t="shared" si="2629"/>
        <v>0</v>
      </c>
      <c r="AA3432" s="511"/>
      <c r="AB3432" s="511" t="str">
        <f t="shared" si="2630"/>
        <v/>
      </c>
      <c r="AC3432" s="698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698"/>
      <c r="AE3432" s="631" t="str">
        <f t="shared" si="2631"/>
        <v/>
      </c>
      <c r="AF3432" s="699" t="str">
        <f t="shared" si="2632"/>
        <v/>
      </c>
      <c r="AG3432" s="699"/>
      <c r="AH3432" s="699"/>
      <c r="AI3432" s="512">
        <f>IF(H3432="credit",0,IF(AE3432="free",0,IF(AE3432="me",0,IF(G3432&gt;0,(VLOOKUP(A3432,'Discount Lookup'!J:K,2)*G3432),0))))</f>
        <v>0</v>
      </c>
      <c r="AJ3432" s="513" t="str">
        <f t="shared" ca="1" si="2633"/>
        <v/>
      </c>
      <c r="AK3432" s="700" t="str">
        <f t="shared" si="2634"/>
        <v/>
      </c>
      <c r="AL3432" s="700"/>
      <c r="AM3432" s="505" t="str">
        <f t="shared" si="2635"/>
        <v/>
      </c>
      <c r="AN3432" s="506"/>
      <c r="AO3432" s="507"/>
      <c r="AP3432" s="507"/>
      <c r="AQ3432" s="507"/>
      <c r="AR3432" s="507"/>
      <c r="AS3432" s="507"/>
      <c r="AT3432" s="507"/>
      <c r="AU3432" s="507"/>
      <c r="AV3432" s="225"/>
      <c r="AW3432" s="508"/>
      <c r="AX3432" s="225"/>
      <c r="AY3432" s="225"/>
      <c r="AZ3432" s="225"/>
      <c r="BA3432" s="225"/>
      <c r="BB3432" s="225"/>
      <c r="BC3432" s="56"/>
      <c r="BD3432" s="56"/>
      <c r="BE3432" s="56"/>
      <c r="BF3432" s="107" t="str">
        <f t="shared" si="2636"/>
        <v>https://www.google.com/search?tbm=isch&amp;q=5%20G6</v>
      </c>
      <c r="BG3432" s="107" t="str">
        <f t="shared" si="2637"/>
        <v>S</v>
      </c>
      <c r="BH3432" s="254"/>
      <c r="BI3432" s="254"/>
    </row>
    <row r="3433" spans="1:61" customFormat="1" ht="17.25" thickBot="1" x14ac:dyDescent="0.3">
      <c r="A3433" s="522" t="s">
        <v>2973</v>
      </c>
      <c r="B3433" s="491"/>
      <c r="C3433" s="675"/>
      <c r="D3433" s="491"/>
      <c r="E3433" s="491"/>
      <c r="F3433" s="492"/>
      <c r="G3433" s="493"/>
      <c r="H3433" s="491"/>
      <c r="I3433" s="234"/>
      <c r="J3433" s="234"/>
      <c r="K3433" s="494"/>
      <c r="L3433" s="543"/>
      <c r="M3433" s="561"/>
      <c r="N3433" s="495"/>
      <c r="O3433" s="496"/>
      <c r="P3433" s="497"/>
      <c r="Q3433" s="495"/>
      <c r="R3433" s="495"/>
      <c r="S3433" s="667" t="s">
        <v>4982</v>
      </c>
      <c r="T3433" s="508">
        <f t="shared" si="2625"/>
        <v>0</v>
      </c>
      <c r="U3433" s="225" t="str">
        <f>IF(NOT(ISNUMBER(G3433)), "", VLOOKUP(A3433,'Discount Lookup'!D:E,2,FALSE)*G3433)</f>
        <v/>
      </c>
      <c r="V3433" s="225" t="str">
        <f>IF(NOT(ISNUMBER(G3433)), "", VLOOKUP(A3433,'Discount Lookup'!G:H,2,FALSE)*G3433)</f>
        <v/>
      </c>
      <c r="W3433" s="508">
        <f t="shared" si="2626"/>
        <v>0</v>
      </c>
      <c r="X3433" s="508">
        <f t="shared" si="2627"/>
        <v>0</v>
      </c>
      <c r="Y3433" s="509" t="b">
        <f t="shared" si="2628"/>
        <v>0</v>
      </c>
      <c r="Z3433" s="510">
        <f t="shared" si="2629"/>
        <v>0</v>
      </c>
      <c r="AA3433" s="511"/>
      <c r="AB3433" s="511" t="str">
        <f t="shared" si="2630"/>
        <v/>
      </c>
      <c r="AC3433" s="698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698"/>
      <c r="AE3433" s="631" t="str">
        <f t="shared" si="2631"/>
        <v/>
      </c>
      <c r="AF3433" s="699" t="str">
        <f t="shared" si="2632"/>
        <v/>
      </c>
      <c r="AG3433" s="699"/>
      <c r="AH3433" s="699"/>
      <c r="AI3433" s="512">
        <f>IF(H3433="credit",0,IF(AE3433="free",0,IF(AE3433="me",0,IF(G3433&gt;0,(VLOOKUP(A3433,'Discount Lookup'!J:K,2)*G3433),0))))</f>
        <v>0</v>
      </c>
      <c r="AJ3433" s="513" t="str">
        <f t="shared" ca="1" si="2633"/>
        <v/>
      </c>
      <c r="AK3433" s="700" t="str">
        <f t="shared" si="2634"/>
        <v/>
      </c>
      <c r="AL3433" s="700"/>
      <c r="AM3433" s="505" t="str">
        <f t="shared" si="2635"/>
        <v/>
      </c>
      <c r="AN3433" s="506"/>
      <c r="AO3433" s="507"/>
      <c r="AP3433" s="507"/>
      <c r="AQ3433" s="507"/>
      <c r="AR3433" s="507"/>
      <c r="AS3433" s="507"/>
      <c r="AT3433" s="507"/>
      <c r="AU3433" s="507"/>
      <c r="AV3433" s="225"/>
      <c r="AW3433" s="508"/>
      <c r="AX3433" s="225"/>
      <c r="AY3433" s="225"/>
      <c r="AZ3433" s="225"/>
      <c r="BA3433" s="225"/>
      <c r="BB3433" s="225"/>
      <c r="BC3433" s="56"/>
      <c r="BD3433" s="56"/>
      <c r="BE3433" s="56"/>
      <c r="BF3433" s="107" t="str">
        <f t="shared" si="2636"/>
        <v>https://www.google.com/search?tbm=isch&amp;q=Soft%20Caress%20named%20for%20being%20thornless.%20Bright%20Yellow%20late%20winter%20blooms%2C%20followed%20by%20Light%20Blue%20berries.%20Purple%20winter%20cast%20</v>
      </c>
      <c r="BG3433" s="107" t="str">
        <f t="shared" si="2637"/>
        <v>S</v>
      </c>
      <c r="BH3433" s="254"/>
      <c r="BI3433" s="254"/>
    </row>
    <row r="3434" spans="1:61" customFormat="1" ht="18" x14ac:dyDescent="0.25">
      <c r="A3434" s="521" t="s">
        <v>1772</v>
      </c>
      <c r="B3434" s="477"/>
      <c r="C3434" s="674"/>
      <c r="D3434" s="478" t="s">
        <v>1773</v>
      </c>
      <c r="E3434" s="479"/>
      <c r="F3434" s="479"/>
      <c r="G3434" s="479"/>
      <c r="H3434" s="582" t="s">
        <v>720</v>
      </c>
      <c r="I3434" s="480" t="s">
        <v>2093</v>
      </c>
      <c r="J3434" s="479"/>
      <c r="K3434" s="479"/>
      <c r="L3434" s="560"/>
      <c r="M3434" s="666" t="s">
        <v>4966</v>
      </c>
      <c r="N3434" s="680" t="str">
        <f>IF(AND(ISTEXT($A3434), ISERROR($A3434+0)), HYPERLINK($BF3434, "Images"), "")</f>
        <v>Images</v>
      </c>
      <c r="O3434" s="662" t="s">
        <v>5001</v>
      </c>
      <c r="P3434" s="482"/>
      <c r="Q3434" s="483"/>
      <c r="R3434" s="483"/>
      <c r="S3434" s="484"/>
      <c r="T3434" s="508">
        <f t="shared" si="2625"/>
        <v>0</v>
      </c>
      <c r="U3434" s="225" t="str">
        <f>IF(NOT(ISNUMBER(G3434)), "", VLOOKUP(A3434,'Discount Lookup'!D:E,2,FALSE)*G3434)</f>
        <v/>
      </c>
      <c r="V3434" s="225" t="str">
        <f>IF(NOT(ISNUMBER(G3434)), "", VLOOKUP(A3434,'Discount Lookup'!G:H,2,FALSE)*G3434)</f>
        <v/>
      </c>
      <c r="W3434" s="508">
        <f t="shared" si="2626"/>
        <v>0</v>
      </c>
      <c r="X3434" s="508" t="str">
        <f t="shared" si="2627"/>
        <v>Dark Green foliage</v>
      </c>
      <c r="Y3434" s="509" t="b">
        <f t="shared" si="2628"/>
        <v>0</v>
      </c>
      <c r="Z3434" s="510">
        <f t="shared" si="2629"/>
        <v>0</v>
      </c>
      <c r="AA3434" s="511"/>
      <c r="AB3434" s="511" t="str">
        <f t="shared" si="2630"/>
        <v/>
      </c>
      <c r="AC3434" s="698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698"/>
      <c r="AE3434" s="631" t="str">
        <f t="shared" si="2631"/>
        <v/>
      </c>
      <c r="AF3434" s="699" t="str">
        <f t="shared" si="2632"/>
        <v/>
      </c>
      <c r="AG3434" s="699"/>
      <c r="AH3434" s="699"/>
      <c r="AI3434" s="512">
        <f>IF(H3434="credit",0,IF(AE3434="free",0,IF(AE3434="me",0,IF(G3434&gt;0,(VLOOKUP(A3434,'Discount Lookup'!J:K,2)*G3434),0))))</f>
        <v>0</v>
      </c>
      <c r="AJ3434" s="513" t="str">
        <f t="shared" ca="1" si="2633"/>
        <v/>
      </c>
      <c r="AK3434" s="700" t="str">
        <f t="shared" si="2634"/>
        <v/>
      </c>
      <c r="AL3434" s="700"/>
      <c r="AM3434" s="505" t="str">
        <f t="shared" si="2635"/>
        <v/>
      </c>
      <c r="AN3434" s="506"/>
      <c r="AO3434" s="507"/>
      <c r="AP3434" s="507"/>
      <c r="AQ3434" s="507"/>
      <c r="AR3434" s="507"/>
      <c r="AS3434" s="507"/>
      <c r="AT3434" s="507"/>
      <c r="AU3434" s="507"/>
      <c r="AV3434" s="225"/>
      <c r="AW3434" s="508"/>
      <c r="AX3434" s="225"/>
      <c r="AY3434" s="225"/>
      <c r="AZ3434" s="225"/>
      <c r="BA3434" s="225"/>
      <c r="BB3434" s="225"/>
      <c r="BC3434" s="56"/>
      <c r="BD3434" s="56"/>
      <c r="BE3434" s="56"/>
      <c r="BF3434" s="107" t="str">
        <f t="shared" si="2636"/>
        <v>https://www.google.com/search?tbm=isch&amp;q=Soft%20Touch%20Holly%20Ilex%20crenata%20%27Soft%20Touch%27</v>
      </c>
      <c r="BG3434" s="107" t="str">
        <f t="shared" si="2637"/>
        <v>S</v>
      </c>
      <c r="BH3434" s="254"/>
      <c r="BI3434" s="254"/>
    </row>
    <row r="3435" spans="1:61" customFormat="1" ht="15.75" x14ac:dyDescent="0.25">
      <c r="A3435" s="485">
        <v>3</v>
      </c>
      <c r="B3435" s="486" t="s">
        <v>291</v>
      </c>
      <c r="C3435" s="487" t="s">
        <v>2488</v>
      </c>
      <c r="D3435" s="488" t="s">
        <v>297</v>
      </c>
      <c r="E3435" s="489">
        <v>22.95</v>
      </c>
      <c r="F3435" s="516" t="s">
        <v>293</v>
      </c>
      <c r="G3435" s="232">
        <v>0</v>
      </c>
      <c r="H3435" s="658" t="str">
        <f t="shared" ref="H3435:H3440" si="2651">IF(G3435=0,"",IF(F3435="Buy",IF(G3435=1,"plant","plants"),IF(F3435&gt;0.01,"warranty","Error")))</f>
        <v/>
      </c>
      <c r="I3435" s="490">
        <f t="shared" ref="I3435:I3440" si="2652">IF(H3435="free",0,IF(H3435="credit",((E3435*(F3435))*G3435*-1),IF(F3435="Buy",(E3435*G3435),((E3435*(1-F3435))*G3435))))</f>
        <v>0</v>
      </c>
      <c r="J3435" s="490">
        <f t="shared" ref="J3435:J3440" si="2653">IF(H3435="warranty",0,(I3435*(_xlfn.SINGLE(SalesTaxPercentage))))</f>
        <v>0</v>
      </c>
      <c r="K3435" s="695">
        <f t="shared" ref="K3435" si="2654">I3435+J3435</f>
        <v>0</v>
      </c>
      <c r="L3435" s="695"/>
      <c r="M3435" s="659" t="str">
        <f t="shared" ref="M3435:M3440" si="2655">IF(AND(G3435&gt;0,E3435=0),"WARNING - no PRICE inserted",IF(H3435="free"," FREE ~ no charge this plant",IF(H3435="credit",CONCATENATE(" -$",ROUND(K3435*(1-T2GDiscount)*-1,2)," CREDIT after discount"),IF(T2GDiscount=0,"",IF(G3435=0,"",IF(F3435="Buy",CONCATENATE(" $",ROUND(K3435*(1-T2GDiscount),2)," with ",(T2GDiscount*100),"% discount"),CONCATENATE(" $",ROUND(K3435*(1-T2GDiscount),2)," with ",((T2GDiscount*100+F3435*100)-(T2GDiscount*100*F3435)),IF(F3435&gt;0,"% discounts",IF(NoWarrantyDiscount&gt;0,"% discounts","% discount")))))))))</f>
        <v/>
      </c>
      <c r="N3435" s="660"/>
      <c r="O3435" s="233"/>
      <c r="P3435" s="233"/>
      <c r="Q3435" s="233"/>
      <c r="R3435" s="233"/>
      <c r="S3435" s="233"/>
      <c r="T3435" s="508">
        <f t="shared" si="2625"/>
        <v>0</v>
      </c>
      <c r="U3435" s="225">
        <f>IF(NOT(ISNUMBER(G3435)), "", VLOOKUP(A3435,'Discount Lookup'!D:E,2,FALSE)*G3435)</f>
        <v>0</v>
      </c>
      <c r="V3435" s="225">
        <f>IF(NOT(ISNUMBER(G3435)), "", VLOOKUP(A3435,'Discount Lookup'!G:H,2,FALSE)*G3435)</f>
        <v>0</v>
      </c>
      <c r="W3435" s="508">
        <f t="shared" si="2626"/>
        <v>0</v>
      </c>
      <c r="X3435" s="508">
        <f t="shared" si="2627"/>
        <v>0</v>
      </c>
      <c r="Y3435" s="509" t="b">
        <f t="shared" si="2628"/>
        <v>0</v>
      </c>
      <c r="Z3435" s="510">
        <f t="shared" si="2629"/>
        <v>0</v>
      </c>
      <c r="AA3435" s="511"/>
      <c r="AB3435" s="511" t="str">
        <f t="shared" si="2630"/>
        <v/>
      </c>
      <c r="AC3435" s="698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698"/>
      <c r="AE3435" s="631" t="str">
        <f t="shared" si="2631"/>
        <v/>
      </c>
      <c r="AF3435" s="699" t="str">
        <f t="shared" si="2632"/>
        <v/>
      </c>
      <c r="AG3435" s="699"/>
      <c r="AH3435" s="699"/>
      <c r="AI3435" s="512">
        <f>IF(H3435="credit",0,IF(AE3435="free",0,IF(AE3435="me",0,IF(G3435&gt;0,(VLOOKUP(A3435,'Discount Lookup'!J:K,2)*G3435),0))))</f>
        <v>0</v>
      </c>
      <c r="AJ3435" s="513" t="str">
        <f t="shared" ca="1" si="2633"/>
        <v/>
      </c>
      <c r="AK3435" s="700" t="str">
        <f t="shared" si="2634"/>
        <v/>
      </c>
      <c r="AL3435" s="700"/>
      <c r="AM3435" s="505" t="str">
        <f t="shared" si="2635"/>
        <v/>
      </c>
      <c r="AN3435" s="506"/>
      <c r="AO3435" s="507"/>
      <c r="AP3435" s="507"/>
      <c r="AQ3435" s="507"/>
      <c r="AR3435" s="507"/>
      <c r="AS3435" s="507"/>
      <c r="AT3435" s="507"/>
      <c r="AU3435" s="507"/>
      <c r="AV3435" s="225"/>
      <c r="AW3435" s="508"/>
      <c r="AX3435" s="225"/>
      <c r="AY3435" s="225"/>
      <c r="AZ3435" s="225"/>
      <c r="BA3435" s="225"/>
      <c r="BB3435" s="225"/>
      <c r="BC3435" s="56"/>
      <c r="BD3435" s="56"/>
      <c r="BE3435" s="56"/>
      <c r="BF3435" s="107" t="str">
        <f t="shared" si="2636"/>
        <v>https://www.google.com/search?tbm=isch&amp;q=3%20G3</v>
      </c>
      <c r="BG3435" s="107" t="str">
        <f t="shared" si="2637"/>
        <v>S</v>
      </c>
      <c r="BH3435" s="254"/>
      <c r="BI3435" s="254"/>
    </row>
    <row r="3436" spans="1:61" customFormat="1" ht="15.75" x14ac:dyDescent="0.25">
      <c r="A3436" s="485">
        <v>3</v>
      </c>
      <c r="B3436" s="486" t="s">
        <v>291</v>
      </c>
      <c r="C3436" s="487" t="s">
        <v>329</v>
      </c>
      <c r="D3436" s="488" t="s">
        <v>298</v>
      </c>
      <c r="E3436" s="489">
        <v>25.95</v>
      </c>
      <c r="F3436" s="516" t="s">
        <v>293</v>
      </c>
      <c r="G3436" s="232">
        <v>0</v>
      </c>
      <c r="H3436" s="658" t="str">
        <f t="shared" si="2651"/>
        <v/>
      </c>
      <c r="I3436" s="490">
        <f t="shared" si="2652"/>
        <v>0</v>
      </c>
      <c r="J3436" s="490">
        <f t="shared" si="2653"/>
        <v>0</v>
      </c>
      <c r="K3436" s="695">
        <f t="shared" ref="K3436" si="2656">I3436+J3436</f>
        <v>0</v>
      </c>
      <c r="L3436" s="695"/>
      <c r="M3436" s="659" t="str">
        <f t="shared" si="2655"/>
        <v/>
      </c>
      <c r="N3436" s="660"/>
      <c r="O3436" s="233"/>
      <c r="P3436" s="233"/>
      <c r="Q3436" s="233"/>
      <c r="R3436" s="233"/>
      <c r="S3436" s="233"/>
      <c r="T3436" s="508">
        <f t="shared" si="2625"/>
        <v>0</v>
      </c>
      <c r="U3436" s="225">
        <f>IF(NOT(ISNUMBER(G3436)), "", VLOOKUP(A3436,'Discount Lookup'!D:E,2,FALSE)*G3436)</f>
        <v>0</v>
      </c>
      <c r="V3436" s="225">
        <f>IF(NOT(ISNUMBER(G3436)), "", VLOOKUP(A3436,'Discount Lookup'!G:H,2,FALSE)*G3436)</f>
        <v>0</v>
      </c>
      <c r="W3436" s="508">
        <f t="shared" si="2626"/>
        <v>0</v>
      </c>
      <c r="X3436" s="508">
        <f t="shared" si="2627"/>
        <v>0</v>
      </c>
      <c r="Y3436" s="509" t="b">
        <f t="shared" si="2628"/>
        <v>0</v>
      </c>
      <c r="Z3436" s="510">
        <f t="shared" si="2629"/>
        <v>0</v>
      </c>
      <c r="AA3436" s="511"/>
      <c r="AB3436" s="511" t="str">
        <f t="shared" si="2630"/>
        <v/>
      </c>
      <c r="AC3436" s="698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698"/>
      <c r="AE3436" s="631" t="str">
        <f t="shared" si="2631"/>
        <v/>
      </c>
      <c r="AF3436" s="699" t="str">
        <f t="shared" si="2632"/>
        <v/>
      </c>
      <c r="AG3436" s="699"/>
      <c r="AH3436" s="699"/>
      <c r="AI3436" s="512">
        <f>IF(H3436="credit",0,IF(AE3436="free",0,IF(AE3436="me",0,IF(G3436&gt;0,(VLOOKUP(A3436,'Discount Lookup'!J:K,2)*G3436),0))))</f>
        <v>0</v>
      </c>
      <c r="AJ3436" s="513" t="str">
        <f t="shared" ca="1" si="2633"/>
        <v/>
      </c>
      <c r="AK3436" s="700" t="str">
        <f t="shared" si="2634"/>
        <v/>
      </c>
      <c r="AL3436" s="700"/>
      <c r="AM3436" s="505" t="str">
        <f t="shared" si="2635"/>
        <v/>
      </c>
      <c r="AN3436" s="506"/>
      <c r="AO3436" s="507"/>
      <c r="AP3436" s="507"/>
      <c r="AQ3436" s="507"/>
      <c r="AR3436" s="507"/>
      <c r="AS3436" s="507"/>
      <c r="AT3436" s="507"/>
      <c r="AU3436" s="507"/>
      <c r="AV3436" s="225"/>
      <c r="AW3436" s="508"/>
      <c r="AX3436" s="225"/>
      <c r="AY3436" s="225"/>
      <c r="AZ3436" s="225"/>
      <c r="BA3436" s="225"/>
      <c r="BB3436" s="225"/>
      <c r="BC3436" s="56"/>
      <c r="BD3436" s="56"/>
      <c r="BE3436" s="56"/>
      <c r="BF3436" s="107" t="str">
        <f t="shared" si="2636"/>
        <v>https://www.google.com/search?tbm=isch&amp;q=3%20G1</v>
      </c>
      <c r="BG3436" s="107" t="str">
        <f t="shared" si="2637"/>
        <v>S</v>
      </c>
      <c r="BH3436" s="254"/>
      <c r="BI3436" s="254"/>
    </row>
    <row r="3437" spans="1:61" customFormat="1" ht="15.75" x14ac:dyDescent="0.25">
      <c r="A3437" s="485">
        <v>3</v>
      </c>
      <c r="B3437" s="486" t="s">
        <v>291</v>
      </c>
      <c r="C3437" s="487"/>
      <c r="D3437" s="488" t="s">
        <v>312</v>
      </c>
      <c r="E3437" s="489">
        <v>25.95</v>
      </c>
      <c r="F3437" s="516" t="s">
        <v>293</v>
      </c>
      <c r="G3437" s="232">
        <v>0</v>
      </c>
      <c r="H3437" s="658" t="str">
        <f t="shared" si="2651"/>
        <v/>
      </c>
      <c r="I3437" s="490">
        <f t="shared" si="2652"/>
        <v>0</v>
      </c>
      <c r="J3437" s="490">
        <f t="shared" si="2653"/>
        <v>0</v>
      </c>
      <c r="K3437" s="695">
        <f t="shared" ref="K3437" si="2657">I3437+J3437</f>
        <v>0</v>
      </c>
      <c r="L3437" s="695"/>
      <c r="M3437" s="659" t="str">
        <f t="shared" si="2655"/>
        <v/>
      </c>
      <c r="N3437" s="660"/>
      <c r="O3437" s="233"/>
      <c r="P3437" s="233"/>
      <c r="Q3437" s="233"/>
      <c r="R3437" s="233"/>
      <c r="S3437" s="233"/>
      <c r="T3437" s="508">
        <f t="shared" si="2625"/>
        <v>0</v>
      </c>
      <c r="U3437" s="225">
        <f>IF(NOT(ISNUMBER(G3437)), "", VLOOKUP(A3437,'Discount Lookup'!D:E,2,FALSE)*G3437)</f>
        <v>0</v>
      </c>
      <c r="V3437" s="225">
        <f>IF(NOT(ISNUMBER(G3437)), "", VLOOKUP(A3437,'Discount Lookup'!G:H,2,FALSE)*G3437)</f>
        <v>0</v>
      </c>
      <c r="W3437" s="508">
        <f t="shared" si="2626"/>
        <v>0</v>
      </c>
      <c r="X3437" s="508">
        <f t="shared" si="2627"/>
        <v>0</v>
      </c>
      <c r="Y3437" s="509" t="b">
        <f t="shared" si="2628"/>
        <v>0</v>
      </c>
      <c r="Z3437" s="510">
        <f t="shared" si="2629"/>
        <v>0</v>
      </c>
      <c r="AA3437" s="511"/>
      <c r="AB3437" s="511" t="str">
        <f t="shared" si="2630"/>
        <v/>
      </c>
      <c r="AC3437" s="698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698"/>
      <c r="AE3437" s="631" t="str">
        <f t="shared" si="2631"/>
        <v/>
      </c>
      <c r="AF3437" s="699" t="str">
        <f t="shared" si="2632"/>
        <v/>
      </c>
      <c r="AG3437" s="699"/>
      <c r="AH3437" s="699"/>
      <c r="AI3437" s="512">
        <f>IF(H3437="credit",0,IF(AE3437="free",0,IF(AE3437="me",0,IF(G3437&gt;0,(VLOOKUP(A3437,'Discount Lookup'!J:K,2)*G3437),0))))</f>
        <v>0</v>
      </c>
      <c r="AJ3437" s="513" t="str">
        <f t="shared" ca="1" si="2633"/>
        <v/>
      </c>
      <c r="AK3437" s="700" t="str">
        <f t="shared" si="2634"/>
        <v/>
      </c>
      <c r="AL3437" s="700"/>
      <c r="AM3437" s="505" t="str">
        <f t="shared" si="2635"/>
        <v/>
      </c>
      <c r="AN3437" s="506"/>
      <c r="AO3437" s="507"/>
      <c r="AP3437" s="507"/>
      <c r="AQ3437" s="507"/>
      <c r="AR3437" s="507"/>
      <c r="AS3437" s="507"/>
      <c r="AT3437" s="507"/>
      <c r="AU3437" s="507"/>
      <c r="AV3437" s="225"/>
      <c r="AW3437" s="508"/>
      <c r="AX3437" s="225"/>
      <c r="AY3437" s="225"/>
      <c r="AZ3437" s="225"/>
      <c r="BA3437" s="225"/>
      <c r="BB3437" s="225"/>
      <c r="BC3437" s="56"/>
      <c r="BD3437" s="56"/>
      <c r="BE3437" s="56"/>
      <c r="BF3437" s="107" t="str">
        <f t="shared" si="2636"/>
        <v>https://www.google.com/search?tbm=isch&amp;q=3%20G2</v>
      </c>
      <c r="BG3437" s="107" t="str">
        <f t="shared" si="2637"/>
        <v>S</v>
      </c>
      <c r="BH3437" s="254"/>
      <c r="BI3437" s="254"/>
    </row>
    <row r="3438" spans="1:61" customFormat="1" ht="15.75" x14ac:dyDescent="0.25">
      <c r="A3438" s="485">
        <v>3</v>
      </c>
      <c r="B3438" s="486" t="s">
        <v>291</v>
      </c>
      <c r="C3438" s="487"/>
      <c r="D3438" s="488" t="s">
        <v>299</v>
      </c>
      <c r="E3438" s="489">
        <v>27.95</v>
      </c>
      <c r="F3438" s="516" t="s">
        <v>293</v>
      </c>
      <c r="G3438" s="232">
        <v>0</v>
      </c>
      <c r="H3438" s="658" t="str">
        <f t="shared" si="2651"/>
        <v/>
      </c>
      <c r="I3438" s="490">
        <f t="shared" si="2652"/>
        <v>0</v>
      </c>
      <c r="J3438" s="490">
        <f t="shared" si="2653"/>
        <v>0</v>
      </c>
      <c r="K3438" s="695">
        <f t="shared" ref="K3438" si="2658">I3438+J3438</f>
        <v>0</v>
      </c>
      <c r="L3438" s="695"/>
      <c r="M3438" s="659" t="str">
        <f t="shared" si="2655"/>
        <v/>
      </c>
      <c r="N3438" s="660"/>
      <c r="O3438" s="233"/>
      <c r="P3438" s="233"/>
      <c r="Q3438" s="233"/>
      <c r="R3438" s="233"/>
      <c r="S3438" s="233"/>
      <c r="T3438" s="508">
        <f t="shared" si="2625"/>
        <v>0</v>
      </c>
      <c r="U3438" s="225">
        <f>IF(NOT(ISNUMBER(G3438)), "", VLOOKUP(A3438,'Discount Lookup'!D:E,2,FALSE)*G3438)</f>
        <v>0</v>
      </c>
      <c r="V3438" s="225">
        <f>IF(NOT(ISNUMBER(G3438)), "", VLOOKUP(A3438,'Discount Lookup'!G:H,2,FALSE)*G3438)</f>
        <v>0</v>
      </c>
      <c r="W3438" s="508">
        <f t="shared" si="2626"/>
        <v>0</v>
      </c>
      <c r="X3438" s="508">
        <f t="shared" si="2627"/>
        <v>0</v>
      </c>
      <c r="Y3438" s="509" t="b">
        <f t="shared" si="2628"/>
        <v>0</v>
      </c>
      <c r="Z3438" s="510">
        <f t="shared" si="2629"/>
        <v>0</v>
      </c>
      <c r="AA3438" s="511"/>
      <c r="AB3438" s="511" t="str">
        <f t="shared" si="2630"/>
        <v/>
      </c>
      <c r="AC3438" s="698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698"/>
      <c r="AE3438" s="631" t="str">
        <f t="shared" si="2631"/>
        <v/>
      </c>
      <c r="AF3438" s="699" t="str">
        <f t="shared" si="2632"/>
        <v/>
      </c>
      <c r="AG3438" s="699"/>
      <c r="AH3438" s="699"/>
      <c r="AI3438" s="512">
        <f>IF(H3438="credit",0,IF(AE3438="free",0,IF(AE3438="me",0,IF(G3438&gt;0,(VLOOKUP(A3438,'Discount Lookup'!J:K,2)*G3438),0))))</f>
        <v>0</v>
      </c>
      <c r="AJ3438" s="513" t="str">
        <f t="shared" ca="1" si="2633"/>
        <v/>
      </c>
      <c r="AK3438" s="700" t="str">
        <f t="shared" si="2634"/>
        <v/>
      </c>
      <c r="AL3438" s="700"/>
      <c r="AM3438" s="505" t="str">
        <f t="shared" si="2635"/>
        <v/>
      </c>
      <c r="AN3438" s="506"/>
      <c r="AO3438" s="507"/>
      <c r="AP3438" s="507"/>
      <c r="AQ3438" s="507"/>
      <c r="AR3438" s="507"/>
      <c r="AS3438" s="507"/>
      <c r="AT3438" s="507"/>
      <c r="AU3438" s="507"/>
      <c r="AV3438" s="225"/>
      <c r="AW3438" s="508"/>
      <c r="AX3438" s="225"/>
      <c r="AY3438" s="225"/>
      <c r="AZ3438" s="225"/>
      <c r="BA3438" s="225"/>
      <c r="BB3438" s="225"/>
      <c r="BC3438" s="56"/>
      <c r="BD3438" s="56"/>
      <c r="BE3438" s="56"/>
      <c r="BF3438" s="107" t="str">
        <f t="shared" si="2636"/>
        <v>https://www.google.com/search?tbm=isch&amp;q=3%20G5</v>
      </c>
      <c r="BG3438" s="107" t="str">
        <f t="shared" si="2637"/>
        <v>S</v>
      </c>
      <c r="BH3438" s="254"/>
      <c r="BI3438" s="254"/>
    </row>
    <row r="3439" spans="1:61" customFormat="1" ht="15.75" x14ac:dyDescent="0.25">
      <c r="A3439" s="485">
        <v>5</v>
      </c>
      <c r="B3439" s="486" t="s">
        <v>291</v>
      </c>
      <c r="C3439" s="487" t="s">
        <v>1774</v>
      </c>
      <c r="D3439" s="488" t="s">
        <v>297</v>
      </c>
      <c r="E3439" s="489">
        <v>40.950000000000003</v>
      </c>
      <c r="F3439" s="516" t="s">
        <v>293</v>
      </c>
      <c r="G3439" s="232">
        <v>0</v>
      </c>
      <c r="H3439" s="658" t="str">
        <f t="shared" si="2651"/>
        <v/>
      </c>
      <c r="I3439" s="490">
        <f t="shared" si="2652"/>
        <v>0</v>
      </c>
      <c r="J3439" s="490">
        <f t="shared" si="2653"/>
        <v>0</v>
      </c>
      <c r="K3439" s="695">
        <f t="shared" ref="K3439" si="2659">I3439+J3439</f>
        <v>0</v>
      </c>
      <c r="L3439" s="695"/>
      <c r="M3439" s="659" t="str">
        <f t="shared" si="2655"/>
        <v/>
      </c>
      <c r="N3439" s="660"/>
      <c r="O3439" s="233"/>
      <c r="P3439" s="233"/>
      <c r="Q3439" s="233"/>
      <c r="R3439" s="233"/>
      <c r="S3439" s="233"/>
      <c r="T3439" s="508">
        <f t="shared" si="2625"/>
        <v>0</v>
      </c>
      <c r="U3439" s="225">
        <f>IF(NOT(ISNUMBER(G3439)), "", VLOOKUP(A3439,'Discount Lookup'!D:E,2,FALSE)*G3439)</f>
        <v>0</v>
      </c>
      <c r="V3439" s="225">
        <f>IF(NOT(ISNUMBER(G3439)), "", VLOOKUP(A3439,'Discount Lookup'!G:H,2,FALSE)*G3439)</f>
        <v>0</v>
      </c>
      <c r="W3439" s="508">
        <f t="shared" si="2626"/>
        <v>0</v>
      </c>
      <c r="X3439" s="508">
        <f t="shared" si="2627"/>
        <v>0</v>
      </c>
      <c r="Y3439" s="509" t="b">
        <f t="shared" si="2628"/>
        <v>0</v>
      </c>
      <c r="Z3439" s="510">
        <f t="shared" si="2629"/>
        <v>0</v>
      </c>
      <c r="AA3439" s="511"/>
      <c r="AB3439" s="511" t="str">
        <f t="shared" si="2630"/>
        <v/>
      </c>
      <c r="AC3439" s="698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698"/>
      <c r="AE3439" s="631" t="str">
        <f t="shared" si="2631"/>
        <v/>
      </c>
      <c r="AF3439" s="699" t="str">
        <f t="shared" si="2632"/>
        <v/>
      </c>
      <c r="AG3439" s="699"/>
      <c r="AH3439" s="699"/>
      <c r="AI3439" s="512">
        <f>IF(H3439="credit",0,IF(AE3439="free",0,IF(AE3439="me",0,IF(G3439&gt;0,(VLOOKUP(A3439,'Discount Lookup'!J:K,2)*G3439),0))))</f>
        <v>0</v>
      </c>
      <c r="AJ3439" s="513" t="str">
        <f t="shared" ca="1" si="2633"/>
        <v/>
      </c>
      <c r="AK3439" s="700" t="str">
        <f t="shared" si="2634"/>
        <v/>
      </c>
      <c r="AL3439" s="700"/>
      <c r="AM3439" s="505" t="str">
        <f t="shared" si="2635"/>
        <v/>
      </c>
      <c r="AN3439" s="506"/>
      <c r="AO3439" s="507"/>
      <c r="AP3439" s="507"/>
      <c r="AQ3439" s="507"/>
      <c r="AR3439" s="507"/>
      <c r="AS3439" s="507"/>
      <c r="AT3439" s="507"/>
      <c r="AU3439" s="507"/>
      <c r="AV3439" s="225"/>
      <c r="AW3439" s="508"/>
      <c r="AX3439" s="225"/>
      <c r="AY3439" s="225"/>
      <c r="AZ3439" s="225"/>
      <c r="BA3439" s="225"/>
      <c r="BB3439" s="225"/>
      <c r="BC3439" s="56"/>
      <c r="BD3439" s="56"/>
      <c r="BE3439" s="56"/>
      <c r="BF3439" s="107" t="str">
        <f t="shared" si="2636"/>
        <v>https://www.google.com/search?tbm=isch&amp;q=5%20G3</v>
      </c>
      <c r="BG3439" s="107" t="str">
        <f t="shared" si="2637"/>
        <v>S</v>
      </c>
      <c r="BH3439" s="254"/>
      <c r="BI3439" s="254"/>
    </row>
    <row r="3440" spans="1:61" customFormat="1" ht="15.75" x14ac:dyDescent="0.25">
      <c r="A3440" s="485">
        <v>7</v>
      </c>
      <c r="B3440" s="486" t="s">
        <v>291</v>
      </c>
      <c r="C3440" s="487" t="s">
        <v>2811</v>
      </c>
      <c r="D3440" s="488" t="s">
        <v>299</v>
      </c>
      <c r="E3440" s="489">
        <v>56.95</v>
      </c>
      <c r="F3440" s="516" t="s">
        <v>293</v>
      </c>
      <c r="G3440" s="232">
        <v>0</v>
      </c>
      <c r="H3440" s="658" t="str">
        <f t="shared" si="2651"/>
        <v/>
      </c>
      <c r="I3440" s="490">
        <f t="shared" si="2652"/>
        <v>0</v>
      </c>
      <c r="J3440" s="490">
        <f t="shared" si="2653"/>
        <v>0</v>
      </c>
      <c r="K3440" s="695">
        <f t="shared" ref="K3440" si="2660">I3440+J3440</f>
        <v>0</v>
      </c>
      <c r="L3440" s="695"/>
      <c r="M3440" s="659" t="str">
        <f t="shared" si="2655"/>
        <v/>
      </c>
      <c r="N3440" s="660"/>
      <c r="O3440" s="233"/>
      <c r="P3440" s="233"/>
      <c r="Q3440" s="233"/>
      <c r="R3440" s="233"/>
      <c r="S3440" s="233"/>
      <c r="T3440" s="508">
        <f t="shared" si="2625"/>
        <v>0</v>
      </c>
      <c r="U3440" s="225">
        <f>IF(NOT(ISNUMBER(G3440)), "", VLOOKUP(A3440,'Discount Lookup'!D:E,2,FALSE)*G3440)</f>
        <v>0</v>
      </c>
      <c r="V3440" s="225">
        <f>IF(NOT(ISNUMBER(G3440)), "", VLOOKUP(A3440,'Discount Lookup'!G:H,2,FALSE)*G3440)</f>
        <v>0</v>
      </c>
      <c r="W3440" s="508">
        <f t="shared" si="2626"/>
        <v>0</v>
      </c>
      <c r="X3440" s="508">
        <f t="shared" si="2627"/>
        <v>0</v>
      </c>
      <c r="Y3440" s="509" t="b">
        <f t="shared" si="2628"/>
        <v>0</v>
      </c>
      <c r="Z3440" s="510">
        <f t="shared" si="2629"/>
        <v>0</v>
      </c>
      <c r="AA3440" s="511"/>
      <c r="AB3440" s="511" t="str">
        <f t="shared" si="2630"/>
        <v/>
      </c>
      <c r="AC3440" s="698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698"/>
      <c r="AE3440" s="631" t="str">
        <f t="shared" si="2631"/>
        <v/>
      </c>
      <c r="AF3440" s="699" t="str">
        <f t="shared" si="2632"/>
        <v/>
      </c>
      <c r="AG3440" s="699"/>
      <c r="AH3440" s="699"/>
      <c r="AI3440" s="512">
        <f>IF(H3440="credit",0,IF(AE3440="free",0,IF(AE3440="me",0,IF(G3440&gt;0,(VLOOKUP(A3440,'Discount Lookup'!J:K,2)*G3440),0))))</f>
        <v>0</v>
      </c>
      <c r="AJ3440" s="513" t="str">
        <f t="shared" ca="1" si="2633"/>
        <v/>
      </c>
      <c r="AK3440" s="700" t="str">
        <f t="shared" si="2634"/>
        <v/>
      </c>
      <c r="AL3440" s="700"/>
      <c r="AM3440" s="505" t="str">
        <f t="shared" si="2635"/>
        <v/>
      </c>
      <c r="AN3440" s="506"/>
      <c r="AO3440" s="507"/>
      <c r="AP3440" s="507"/>
      <c r="AQ3440" s="507"/>
      <c r="AR3440" s="507"/>
      <c r="AS3440" s="507"/>
      <c r="AT3440" s="507"/>
      <c r="AU3440" s="507"/>
      <c r="AV3440" s="225"/>
      <c r="AW3440" s="508"/>
      <c r="AX3440" s="225"/>
      <c r="AY3440" s="225"/>
      <c r="AZ3440" s="225"/>
      <c r="BA3440" s="225"/>
      <c r="BB3440" s="225"/>
      <c r="BC3440" s="56"/>
      <c r="BD3440" s="56"/>
      <c r="BE3440" s="56"/>
      <c r="BF3440" s="107" t="str">
        <f t="shared" si="2636"/>
        <v>https://www.google.com/search?tbm=isch&amp;q=7%20G5</v>
      </c>
      <c r="BG3440" s="107" t="str">
        <f t="shared" si="2637"/>
        <v>S</v>
      </c>
      <c r="BH3440" s="254"/>
      <c r="BI3440" s="254"/>
    </row>
    <row r="3441" spans="1:61" customFormat="1" ht="17.25" thickBot="1" x14ac:dyDescent="0.3">
      <c r="A3441" s="522" t="s">
        <v>2974</v>
      </c>
      <c r="B3441" s="491"/>
      <c r="C3441" s="675"/>
      <c r="D3441" s="491"/>
      <c r="E3441" s="491"/>
      <c r="F3441" s="492"/>
      <c r="G3441" s="493"/>
      <c r="H3441" s="491"/>
      <c r="I3441" s="234"/>
      <c r="J3441" s="234"/>
      <c r="K3441" s="494"/>
      <c r="L3441" s="543"/>
      <c r="M3441" s="561"/>
      <c r="N3441" s="495"/>
      <c r="O3441" s="496"/>
      <c r="P3441" s="497"/>
      <c r="Q3441" s="495"/>
      <c r="R3441" s="495"/>
      <c r="S3441" s="667" t="s">
        <v>4982</v>
      </c>
      <c r="T3441" s="508">
        <f t="shared" si="2625"/>
        <v>0</v>
      </c>
      <c r="U3441" s="225" t="str">
        <f>IF(NOT(ISNUMBER(G3441)), "", VLOOKUP(A3441,'Discount Lookup'!D:E,2,FALSE)*G3441)</f>
        <v/>
      </c>
      <c r="V3441" s="225" t="str">
        <f>IF(NOT(ISNUMBER(G3441)), "", VLOOKUP(A3441,'Discount Lookup'!G:H,2,FALSE)*G3441)</f>
        <v/>
      </c>
      <c r="W3441" s="508">
        <f t="shared" si="2626"/>
        <v>0</v>
      </c>
      <c r="X3441" s="508">
        <f t="shared" si="2627"/>
        <v>0</v>
      </c>
      <c r="Y3441" s="509" t="b">
        <f t="shared" si="2628"/>
        <v>0</v>
      </c>
      <c r="Z3441" s="510">
        <f t="shared" si="2629"/>
        <v>0</v>
      </c>
      <c r="AA3441" s="511"/>
      <c r="AB3441" s="511" t="str">
        <f t="shared" si="2630"/>
        <v/>
      </c>
      <c r="AC3441" s="698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698"/>
      <c r="AE3441" s="631" t="str">
        <f t="shared" si="2631"/>
        <v/>
      </c>
      <c r="AF3441" s="699" t="str">
        <f t="shared" si="2632"/>
        <v/>
      </c>
      <c r="AG3441" s="699"/>
      <c r="AH3441" s="699"/>
      <c r="AI3441" s="512">
        <f>IF(H3441="credit",0,IF(AE3441="free",0,IF(AE3441="me",0,IF(G3441&gt;0,(VLOOKUP(A3441,'Discount Lookup'!J:K,2)*G3441),0))))</f>
        <v>0</v>
      </c>
      <c r="AJ3441" s="513" t="str">
        <f t="shared" ca="1" si="2633"/>
        <v/>
      </c>
      <c r="AK3441" s="700" t="str">
        <f t="shared" si="2634"/>
        <v/>
      </c>
      <c r="AL3441" s="700"/>
      <c r="AM3441" s="505" t="str">
        <f t="shared" si="2635"/>
        <v/>
      </c>
      <c r="AN3441" s="506"/>
      <c r="AO3441" s="507"/>
      <c r="AP3441" s="507"/>
      <c r="AQ3441" s="507"/>
      <c r="AR3441" s="507"/>
      <c r="AS3441" s="507"/>
      <c r="AT3441" s="507"/>
      <c r="AU3441" s="507"/>
      <c r="AV3441" s="225"/>
      <c r="AW3441" s="508"/>
      <c r="AX3441" s="225"/>
      <c r="AY3441" s="225"/>
      <c r="AZ3441" s="225"/>
      <c r="BA3441" s="225"/>
      <c r="BB3441" s="225"/>
      <c r="BC3441" s="56"/>
      <c r="BD3441" s="56"/>
      <c r="BE3441" s="56"/>
      <c r="BF3441" s="107" t="str">
        <f t="shared" si="2636"/>
        <v>https://www.google.com/search?tbm=isch&amp;q=Soft%20Touch%20is%20indeed%20soft%20to%20the%20touch.%20Deep%20green%20foliage%20with%20a%20silver%20mid-vein.%20Lustrous%20black%20berries%20in%20fall%20</v>
      </c>
      <c r="BG3441" s="107" t="str">
        <f t="shared" si="2637"/>
        <v>S</v>
      </c>
      <c r="BH3441" s="254"/>
      <c r="BI3441" s="254"/>
    </row>
    <row r="3442" spans="1:61" customFormat="1" ht="18" x14ac:dyDescent="0.25">
      <c r="A3442" s="523" t="s">
        <v>5537</v>
      </c>
      <c r="B3442" s="235"/>
      <c r="C3442" s="676"/>
      <c r="D3442" s="255" t="s">
        <v>5538</v>
      </c>
      <c r="E3442" s="236"/>
      <c r="F3442" s="236"/>
      <c r="G3442" s="236"/>
      <c r="H3442" s="582" t="s">
        <v>2542</v>
      </c>
      <c r="I3442" s="498" t="s">
        <v>4165</v>
      </c>
      <c r="J3442" s="237"/>
      <c r="K3442" s="237"/>
      <c r="L3442" s="274"/>
      <c r="M3442" s="668" t="s">
        <v>4962</v>
      </c>
      <c r="N3442" s="681" t="str">
        <f>IF(AND(ISTEXT($A3442), ISERROR($A3442+0)), HYPERLINK($BF3442, "Images"), "")</f>
        <v>Images</v>
      </c>
      <c r="O3442" s="663" t="s">
        <v>4969</v>
      </c>
      <c r="P3442" s="253"/>
      <c r="Q3442" s="238"/>
      <c r="R3442" s="239"/>
      <c r="S3442" s="275" t="s">
        <v>305</v>
      </c>
      <c r="T3442" s="508">
        <f t="shared" si="2625"/>
        <v>0</v>
      </c>
      <c r="U3442" s="225" t="str">
        <f>IF(NOT(ISNUMBER(G3442)), "", VLOOKUP(A3442,'Discount Lookup'!D:E,2,FALSE)*G3442)</f>
        <v/>
      </c>
      <c r="V3442" s="225" t="str">
        <f>IF(NOT(ISNUMBER(G3442)), "", VLOOKUP(A3442,'Discount Lookup'!G:H,2,FALSE)*G3442)</f>
        <v/>
      </c>
      <c r="W3442" s="508">
        <f t="shared" si="2626"/>
        <v>0</v>
      </c>
      <c r="X3442" s="508" t="str">
        <f t="shared" si="2627"/>
        <v>Yellow to Copper-Red rays, Dark eye</v>
      </c>
      <c r="Y3442" s="509" t="b">
        <f t="shared" si="2628"/>
        <v>0</v>
      </c>
      <c r="Z3442" s="510">
        <f t="shared" si="2629"/>
        <v>0</v>
      </c>
      <c r="AA3442" s="511"/>
      <c r="AB3442" s="511" t="str">
        <f t="shared" si="2630"/>
        <v/>
      </c>
      <c r="AC3442" s="698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698"/>
      <c r="AE3442" s="631" t="str">
        <f t="shared" si="2631"/>
        <v/>
      </c>
      <c r="AF3442" s="699" t="str">
        <f t="shared" si="2632"/>
        <v/>
      </c>
      <c r="AG3442" s="699"/>
      <c r="AH3442" s="699"/>
      <c r="AI3442" s="512">
        <f>IF(H3442="credit",0,IF(AE3442="free",0,IF(AE3442="me",0,IF(G3442&gt;0,(VLOOKUP(A3442,'Discount Lookup'!J:K,2)*G3442),0))))</f>
        <v>0</v>
      </c>
      <c r="AJ3442" s="513" t="str">
        <f t="shared" ca="1" si="2633"/>
        <v/>
      </c>
      <c r="AK3442" s="700" t="str">
        <f t="shared" si="2634"/>
        <v/>
      </c>
      <c r="AL3442" s="700"/>
      <c r="AM3442" s="505" t="str">
        <f t="shared" si="2635"/>
        <v/>
      </c>
      <c r="AN3442" s="506"/>
      <c r="AO3442" s="507"/>
      <c r="AP3442" s="507"/>
      <c r="AQ3442" s="507"/>
      <c r="AR3442" s="507"/>
      <c r="AS3442" s="507"/>
      <c r="AT3442" s="507"/>
      <c r="AU3442" s="507"/>
      <c r="AV3442" s="225"/>
      <c r="AW3442" s="508"/>
      <c r="AX3442" s="225"/>
      <c r="AY3442" s="225"/>
      <c r="AZ3442" s="225"/>
      <c r="BA3442" s="225"/>
      <c r="BB3442" s="225"/>
      <c r="BC3442" s="56"/>
      <c r="BD3442" s="56"/>
      <c r="BE3442" s="56"/>
      <c r="BF3442" s="107" t="str">
        <f t="shared" si="2636"/>
        <v>https://www.google.com/search?tbm=isch&amp;q=Solar%20Sisters%E2%84%A2%20Black-Eyed%20Susan%20Rudbeckia%20hirta%20Solar%20Sisters%E2%84%A2%20PPAF</v>
      </c>
      <c r="BG3442" s="107" t="str">
        <f t="shared" si="2637"/>
        <v>S</v>
      </c>
      <c r="BH3442" s="254"/>
      <c r="BI3442" s="254"/>
    </row>
    <row r="3443" spans="1:61" customFormat="1" ht="15.75" x14ac:dyDescent="0.25">
      <c r="A3443" s="276">
        <v>4</v>
      </c>
      <c r="B3443" s="240" t="s">
        <v>340</v>
      </c>
      <c r="C3443" s="241"/>
      <c r="D3443" s="242" t="s">
        <v>312</v>
      </c>
      <c r="E3443" s="243">
        <v>16.95</v>
      </c>
      <c r="F3443" s="517" t="s">
        <v>293</v>
      </c>
      <c r="G3443" s="232">
        <v>0</v>
      </c>
      <c r="H3443" s="661" t="str">
        <f>IF(G3443=0,"",IF(F3443="Buy",IF(G3443=1,"plant","plants"),IF(F3443&gt;0.01,"warranty","Error")))</f>
        <v/>
      </c>
      <c r="I3443" s="244">
        <f>IF(H3443="free",0,IF(H3443="credit",((E3443*(F3443))*G3443*-1),IF(F3443="Buy",(E3443*G3443),((E3443*(1-F3443))*G3443))))</f>
        <v>0</v>
      </c>
      <c r="J3443" s="244">
        <f>IF(H3443="warranty",0,(I3443*(_xlfn.SINGLE(SalesTaxPercentage))))</f>
        <v>0</v>
      </c>
      <c r="K3443" s="696">
        <f t="shared" ref="K3443" si="2661">I3443+J3443</f>
        <v>0</v>
      </c>
      <c r="L3443" s="696"/>
      <c r="M3443" s="659" t="str">
        <f>IF(AND(G3443&gt;0,E3443=0),"WARNING - no PRICE inserted",IF(H3443="free"," FREE ~ no charge this plant",IF(H3443="credit",CONCATENATE(" -$",ROUND(K3443*(1-T2GDiscount)*-1,2)," CREDIT after discount"),IF(T2GDiscount=0,"",IF(G3443=0,"",IF(F3443="Buy",CONCATENATE(" $",ROUND(K3443*(1-T2GDiscount),2)," with ",(T2GDiscount*100),"% discount"),CONCATENATE(" $",ROUND(K3443*(1-T2GDiscount),2)," with ",((T2GDiscount*100+F3443*100)-(T2GDiscount*100*F3443)),IF(F3443&gt;0,"% discounts",IF(NoWarrantyDiscount&gt;0,"% discounts","% discount")))))))))</f>
        <v/>
      </c>
      <c r="N3443" s="660"/>
      <c r="O3443" s="233"/>
      <c r="P3443" s="233"/>
      <c r="Q3443" s="233"/>
      <c r="R3443" s="233"/>
      <c r="S3443" s="233"/>
      <c r="T3443" s="508">
        <f t="shared" si="2625"/>
        <v>0</v>
      </c>
      <c r="U3443" s="225">
        <f>IF(NOT(ISNUMBER(G3443)), "", VLOOKUP(A3443,'Discount Lookup'!D:E,2,FALSE)*G3443)</f>
        <v>0</v>
      </c>
      <c r="V3443" s="225">
        <f>IF(NOT(ISNUMBER(G3443)), "", VLOOKUP(A3443,'Discount Lookup'!G:H,2,FALSE)*G3443)</f>
        <v>0</v>
      </c>
      <c r="W3443" s="508">
        <f t="shared" si="2626"/>
        <v>0</v>
      </c>
      <c r="X3443" s="508">
        <f t="shared" si="2627"/>
        <v>0</v>
      </c>
      <c r="Y3443" s="509" t="b">
        <f t="shared" si="2628"/>
        <v>0</v>
      </c>
      <c r="Z3443" s="510">
        <f t="shared" si="2629"/>
        <v>0</v>
      </c>
      <c r="AA3443" s="511"/>
      <c r="AB3443" s="511" t="str">
        <f t="shared" si="2630"/>
        <v/>
      </c>
      <c r="AC3443" s="698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698"/>
      <c r="AE3443" s="631" t="str">
        <f t="shared" si="2631"/>
        <v/>
      </c>
      <c r="AF3443" s="699" t="str">
        <f t="shared" si="2632"/>
        <v/>
      </c>
      <c r="AG3443" s="699"/>
      <c r="AH3443" s="699"/>
      <c r="AI3443" s="512">
        <f>IF(H3443="credit",0,IF(AE3443="free",0,IF(AE3443="me",0,IF(G3443&gt;0,(VLOOKUP(A3443,'Discount Lookup'!J:K,2)*G3443),0))))</f>
        <v>0</v>
      </c>
      <c r="AJ3443" s="513" t="str">
        <f t="shared" ca="1" si="2633"/>
        <v/>
      </c>
      <c r="AK3443" s="700" t="str">
        <f t="shared" si="2634"/>
        <v/>
      </c>
      <c r="AL3443" s="700"/>
      <c r="AM3443" s="505" t="str">
        <f t="shared" si="2635"/>
        <v/>
      </c>
      <c r="AN3443" s="506"/>
      <c r="AO3443" s="507"/>
      <c r="AP3443" s="507"/>
      <c r="AQ3443" s="507"/>
      <c r="AR3443" s="507"/>
      <c r="AS3443" s="507"/>
      <c r="AT3443" s="507"/>
      <c r="AU3443" s="507"/>
      <c r="AV3443" s="225"/>
      <c r="AW3443" s="508"/>
      <c r="AX3443" s="225"/>
      <c r="AY3443" s="225"/>
      <c r="AZ3443" s="225"/>
      <c r="BA3443" s="225"/>
      <c r="BB3443" s="225"/>
      <c r="BC3443" s="56"/>
      <c r="BD3443" s="56"/>
      <c r="BE3443" s="56"/>
      <c r="BF3443" s="107" t="str">
        <f t="shared" si="2636"/>
        <v>https://www.google.com/search?tbm=isch&amp;q=4%20G2</v>
      </c>
      <c r="BG3443" s="107" t="str">
        <f t="shared" si="2637"/>
        <v>S</v>
      </c>
      <c r="BH3443" s="254"/>
      <c r="BI3443" s="254"/>
    </row>
    <row r="3444" spans="1:61" customFormat="1" ht="17.25" thickBot="1" x14ac:dyDescent="0.3">
      <c r="A3444" s="524" t="s">
        <v>4166</v>
      </c>
      <c r="B3444" s="245"/>
      <c r="C3444" s="677"/>
      <c r="D3444" s="499"/>
      <c r="E3444" s="499"/>
      <c r="F3444" s="500"/>
      <c r="G3444" s="501"/>
      <c r="H3444" s="502"/>
      <c r="I3444" s="246"/>
      <c r="J3444" s="247"/>
      <c r="K3444" s="503"/>
      <c r="L3444" s="544"/>
      <c r="M3444" s="544"/>
      <c r="N3444" s="500"/>
      <c r="O3444" s="500"/>
      <c r="P3444" s="500"/>
      <c r="Q3444" s="500"/>
      <c r="R3444" s="500"/>
      <c r="S3444" s="669" t="s">
        <v>4979</v>
      </c>
      <c r="T3444" s="508">
        <f t="shared" si="2625"/>
        <v>0</v>
      </c>
      <c r="U3444" s="225" t="str">
        <f>IF(NOT(ISNUMBER(G3444)), "", VLOOKUP(A3444,'Discount Lookup'!D:E,2,FALSE)*G3444)</f>
        <v/>
      </c>
      <c r="V3444" s="225" t="str">
        <f>IF(NOT(ISNUMBER(G3444)), "", VLOOKUP(A3444,'Discount Lookup'!G:H,2,FALSE)*G3444)</f>
        <v/>
      </c>
      <c r="W3444" s="508">
        <f t="shared" si="2626"/>
        <v>0</v>
      </c>
      <c r="X3444" s="508">
        <f t="shared" si="2627"/>
        <v>0</v>
      </c>
      <c r="Y3444" s="509" t="b">
        <f t="shared" si="2628"/>
        <v>0</v>
      </c>
      <c r="Z3444" s="510">
        <f t="shared" si="2629"/>
        <v>0</v>
      </c>
      <c r="AA3444" s="511"/>
      <c r="AB3444" s="511" t="str">
        <f t="shared" si="2630"/>
        <v/>
      </c>
      <c r="AC3444" s="698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698"/>
      <c r="AE3444" s="631" t="str">
        <f t="shared" si="2631"/>
        <v/>
      </c>
      <c r="AF3444" s="699" t="str">
        <f t="shared" si="2632"/>
        <v/>
      </c>
      <c r="AG3444" s="699"/>
      <c r="AH3444" s="699"/>
      <c r="AI3444" s="512">
        <f>IF(H3444="credit",0,IF(AE3444="free",0,IF(AE3444="me",0,IF(G3444&gt;0,(VLOOKUP(A3444,'Discount Lookup'!J:K,2)*G3444),0))))</f>
        <v>0</v>
      </c>
      <c r="AJ3444" s="513" t="str">
        <f t="shared" ca="1" si="2633"/>
        <v/>
      </c>
      <c r="AK3444" s="700" t="str">
        <f t="shared" si="2634"/>
        <v/>
      </c>
      <c r="AL3444" s="700"/>
      <c r="AM3444" s="505" t="str">
        <f t="shared" si="2635"/>
        <v/>
      </c>
      <c r="AN3444" s="506"/>
      <c r="AO3444" s="507"/>
      <c r="AP3444" s="507"/>
      <c r="AQ3444" s="507"/>
      <c r="AR3444" s="507"/>
      <c r="AS3444" s="507"/>
      <c r="AT3444" s="507"/>
      <c r="AU3444" s="507"/>
      <c r="AV3444" s="225"/>
      <c r="AW3444" s="508"/>
      <c r="AX3444" s="225"/>
      <c r="AY3444" s="225"/>
      <c r="AZ3444" s="225"/>
      <c r="BA3444" s="225"/>
      <c r="BB3444" s="225"/>
      <c r="BC3444" s="56"/>
      <c r="BD3444" s="56"/>
      <c r="BE3444" s="56"/>
      <c r="BF3444" s="107" t="str">
        <f t="shared" si="2636"/>
        <v>https://www.google.com/search?tbm=isch&amp;q=Solar%20Sisters%20offers%20warm%2C%20vibrant%20flowers%20colors%2C%20%20summer%20to%20frost%2C%20then%20fiery%20color%20shifts%20that%20intensify%20as%20nights%20cool%20</v>
      </c>
      <c r="BG3444" s="107" t="str">
        <f t="shared" si="2637"/>
        <v>S</v>
      </c>
      <c r="BH3444" s="254"/>
      <c r="BI3444" s="254"/>
    </row>
    <row r="3445" spans="1:61" customFormat="1" ht="18" x14ac:dyDescent="0.25">
      <c r="A3445" s="523" t="s">
        <v>5539</v>
      </c>
      <c r="B3445" s="235"/>
      <c r="C3445" s="676"/>
      <c r="D3445" s="255" t="s">
        <v>1775</v>
      </c>
      <c r="E3445" s="236"/>
      <c r="F3445" s="236"/>
      <c r="G3445" s="236"/>
      <c r="H3445" s="582" t="s">
        <v>4246</v>
      </c>
      <c r="I3445" s="498" t="s">
        <v>4255</v>
      </c>
      <c r="J3445" s="237"/>
      <c r="K3445" s="237"/>
      <c r="L3445" s="274"/>
      <c r="M3445" s="668" t="s">
        <v>4962</v>
      </c>
      <c r="N3445" s="681" t="str">
        <f>IF(AND(ISTEXT($A3445), ISERROR($A3445+0)), HYPERLINK($BF3445, "Images"), "")</f>
        <v>Images</v>
      </c>
      <c r="O3445" s="663" t="s">
        <v>4967</v>
      </c>
      <c r="P3445" s="253"/>
      <c r="Q3445" s="238"/>
      <c r="R3445" s="239"/>
      <c r="S3445" s="275" t="s">
        <v>305</v>
      </c>
      <c r="T3445" s="508">
        <f t="shared" si="2625"/>
        <v>0</v>
      </c>
      <c r="U3445" s="225" t="str">
        <f>IF(NOT(ISNUMBER(G3445)), "", VLOOKUP(A3445,'Discount Lookup'!D:E,2,FALSE)*G3445)</f>
        <v/>
      </c>
      <c r="V3445" s="225" t="str">
        <f>IF(NOT(ISNUMBER(G3445)), "", VLOOKUP(A3445,'Discount Lookup'!G:H,2,FALSE)*G3445)</f>
        <v/>
      </c>
      <c r="W3445" s="508">
        <f t="shared" si="2626"/>
        <v>0</v>
      </c>
      <c r="X3445" s="508" t="str">
        <f t="shared" si="2627"/>
        <v>Adobe Orange bloom</v>
      </c>
      <c r="Y3445" s="509" t="b">
        <f t="shared" si="2628"/>
        <v>0</v>
      </c>
      <c r="Z3445" s="510">
        <f t="shared" si="2629"/>
        <v>0</v>
      </c>
      <c r="AA3445" s="511"/>
      <c r="AB3445" s="511" t="str">
        <f t="shared" si="2630"/>
        <v/>
      </c>
      <c r="AC3445" s="698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698"/>
      <c r="AE3445" s="631" t="str">
        <f t="shared" si="2631"/>
        <v/>
      </c>
      <c r="AF3445" s="699" t="str">
        <f t="shared" si="2632"/>
        <v/>
      </c>
      <c r="AG3445" s="699"/>
      <c r="AH3445" s="699"/>
      <c r="AI3445" s="512">
        <f>IF(H3445="credit",0,IF(AE3445="free",0,IF(AE3445="me",0,IF(G3445&gt;0,(VLOOKUP(A3445,'Discount Lookup'!J:K,2)*G3445),0))))</f>
        <v>0</v>
      </c>
      <c r="AJ3445" s="513" t="str">
        <f t="shared" ca="1" si="2633"/>
        <v/>
      </c>
      <c r="AK3445" s="700" t="str">
        <f t="shared" si="2634"/>
        <v/>
      </c>
      <c r="AL3445" s="700"/>
      <c r="AM3445" s="505" t="str">
        <f t="shared" si="2635"/>
        <v/>
      </c>
      <c r="AN3445" s="506"/>
      <c r="AO3445" s="507"/>
      <c r="AP3445" s="507"/>
      <c r="AQ3445" s="507"/>
      <c r="AR3445" s="507"/>
      <c r="AS3445" s="507"/>
      <c r="AT3445" s="507"/>
      <c r="AU3445" s="507"/>
      <c r="AV3445" s="225"/>
      <c r="AW3445" s="508"/>
      <c r="AX3445" s="225"/>
      <c r="AY3445" s="225"/>
      <c r="AZ3445" s="225"/>
      <c r="BA3445" s="225"/>
      <c r="BB3445" s="225"/>
      <c r="BC3445" s="56"/>
      <c r="BD3445" s="56"/>
      <c r="BE3445" s="56"/>
      <c r="BF3445" s="107" t="str">
        <f t="shared" si="2636"/>
        <v>https://www.google.com/search?tbm=isch&amp;q=Sombrero%C2%AE%20Adobe%20Orange%20Coneflower%20Echinacea%20%27Balsomador%27%20PP%2326639</v>
      </c>
      <c r="BG3445" s="107" t="str">
        <f t="shared" si="2637"/>
        <v>S</v>
      </c>
      <c r="BH3445" s="254"/>
      <c r="BI3445" s="254"/>
    </row>
    <row r="3446" spans="1:61" customFormat="1" ht="15.75" x14ac:dyDescent="0.25">
      <c r="A3446" s="276">
        <v>2</v>
      </c>
      <c r="B3446" s="240" t="s">
        <v>291</v>
      </c>
      <c r="C3446" s="241"/>
      <c r="D3446" s="242" t="s">
        <v>300</v>
      </c>
      <c r="E3446" s="243">
        <v>26.95</v>
      </c>
      <c r="F3446" s="517" t="s">
        <v>293</v>
      </c>
      <c r="G3446" s="232">
        <v>0</v>
      </c>
      <c r="H3446" s="661" t="str">
        <f>IF(G3446=0,"",IF(F3446="Buy",IF(G3446=1,"plant","plants"),IF(F3446&gt;0.01,"warranty","Error")))</f>
        <v/>
      </c>
      <c r="I3446" s="244">
        <f>IF(H3446="free",0,IF(H3446="credit",((E3446*(F3446))*G3446*-1),IF(F3446="Buy",(E3446*G3446),((E3446*(1-F3446))*G3446))))</f>
        <v>0</v>
      </c>
      <c r="J3446" s="244">
        <f>IF(H3446="warranty",0,(I3446*(_xlfn.SINGLE(SalesTaxPercentage))))</f>
        <v>0</v>
      </c>
      <c r="K3446" s="696">
        <f t="shared" ref="K3446" si="2662">I3446+J3446</f>
        <v>0</v>
      </c>
      <c r="L3446" s="696"/>
      <c r="M3446" s="659" t="str">
        <f>IF(AND(G3446&gt;0,E3446=0),"WARNING - no PRICE inserted",IF(H3446="free"," FREE ~ no charge this plant",IF(H3446="credit",CONCATENATE(" -$",ROUND(K3446*(1-T2GDiscount)*-1,2)," CREDIT after discount"),IF(T2GDiscount=0,"",IF(G3446=0,"",IF(F3446="Buy",CONCATENATE(" $",ROUND(K3446*(1-T2GDiscount),2)," with ",(T2GDiscount*100),"% discount"),CONCATENATE(" $",ROUND(K3446*(1-T2GDiscount),2)," with ",((T2GDiscount*100+F3446*100)-(T2GDiscount*100*F3446)),IF(F3446&gt;0,"% discounts",IF(NoWarrantyDiscount&gt;0,"% discounts","% discount")))))))))</f>
        <v/>
      </c>
      <c r="N3446" s="660"/>
      <c r="O3446" s="233"/>
      <c r="P3446" s="233"/>
      <c r="Q3446" s="233"/>
      <c r="R3446" s="233"/>
      <c r="S3446" s="233"/>
      <c r="T3446" s="508">
        <f t="shared" si="2625"/>
        <v>0</v>
      </c>
      <c r="U3446" s="225">
        <f>IF(NOT(ISNUMBER(G3446)), "", VLOOKUP(A3446,'Discount Lookup'!D:E,2,FALSE)*G3446)</f>
        <v>0</v>
      </c>
      <c r="V3446" s="225">
        <f>IF(NOT(ISNUMBER(G3446)), "", VLOOKUP(A3446,'Discount Lookup'!G:H,2,FALSE)*G3446)</f>
        <v>0</v>
      </c>
      <c r="W3446" s="508">
        <f t="shared" si="2626"/>
        <v>0</v>
      </c>
      <c r="X3446" s="508">
        <f t="shared" si="2627"/>
        <v>0</v>
      </c>
      <c r="Y3446" s="509" t="b">
        <f t="shared" si="2628"/>
        <v>0</v>
      </c>
      <c r="Z3446" s="510">
        <f t="shared" si="2629"/>
        <v>0</v>
      </c>
      <c r="AA3446" s="511"/>
      <c r="AB3446" s="511" t="str">
        <f t="shared" si="2630"/>
        <v/>
      </c>
      <c r="AC3446" s="698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698"/>
      <c r="AE3446" s="631" t="str">
        <f t="shared" si="2631"/>
        <v/>
      </c>
      <c r="AF3446" s="699" t="str">
        <f t="shared" si="2632"/>
        <v/>
      </c>
      <c r="AG3446" s="699"/>
      <c r="AH3446" s="699"/>
      <c r="AI3446" s="512">
        <f>IF(H3446="credit",0,IF(AE3446="free",0,IF(AE3446="me",0,IF(G3446&gt;0,(VLOOKUP(A3446,'Discount Lookup'!J:K,2)*G3446),0))))</f>
        <v>0</v>
      </c>
      <c r="AJ3446" s="513" t="str">
        <f t="shared" ca="1" si="2633"/>
        <v/>
      </c>
      <c r="AK3446" s="700" t="str">
        <f t="shared" si="2634"/>
        <v/>
      </c>
      <c r="AL3446" s="700"/>
      <c r="AM3446" s="505" t="str">
        <f t="shared" si="2635"/>
        <v/>
      </c>
      <c r="AN3446" s="506"/>
      <c r="AO3446" s="507"/>
      <c r="AP3446" s="507"/>
      <c r="AQ3446" s="507"/>
      <c r="AR3446" s="507"/>
      <c r="AS3446" s="507"/>
      <c r="AT3446" s="507"/>
      <c r="AU3446" s="507"/>
      <c r="AV3446" s="225"/>
      <c r="AW3446" s="508"/>
      <c r="AX3446" s="225"/>
      <c r="AY3446" s="225"/>
      <c r="AZ3446" s="225"/>
      <c r="BA3446" s="225"/>
      <c r="BB3446" s="225"/>
      <c r="BC3446" s="56"/>
      <c r="BD3446" s="56"/>
      <c r="BE3446" s="56"/>
      <c r="BF3446" s="107" t="str">
        <f t="shared" si="2636"/>
        <v>https://www.google.com/search?tbm=isch&amp;q=2%20G6</v>
      </c>
      <c r="BG3446" s="107" t="str">
        <f t="shared" si="2637"/>
        <v>S</v>
      </c>
      <c r="BH3446" s="254"/>
      <c r="BI3446" s="254"/>
    </row>
    <row r="3447" spans="1:61" customFormat="1" ht="17.25" thickBot="1" x14ac:dyDescent="0.3">
      <c r="A3447" s="524" t="s">
        <v>4256</v>
      </c>
      <c r="B3447" s="245"/>
      <c r="C3447" s="677"/>
      <c r="D3447" s="499"/>
      <c r="E3447" s="499"/>
      <c r="F3447" s="500"/>
      <c r="G3447" s="501"/>
      <c r="H3447" s="502"/>
      <c r="I3447" s="246"/>
      <c r="J3447" s="247"/>
      <c r="K3447" s="503"/>
      <c r="L3447" s="544"/>
      <c r="M3447" s="544"/>
      <c r="N3447" s="500"/>
      <c r="O3447" s="500"/>
      <c r="P3447" s="500"/>
      <c r="Q3447" s="500"/>
      <c r="R3447" s="500"/>
      <c r="S3447" s="669" t="s">
        <v>4979</v>
      </c>
      <c r="T3447" s="508">
        <f t="shared" si="2625"/>
        <v>0</v>
      </c>
      <c r="U3447" s="225" t="str">
        <f>IF(NOT(ISNUMBER(G3447)), "", VLOOKUP(A3447,'Discount Lookup'!D:E,2,FALSE)*G3447)</f>
        <v/>
      </c>
      <c r="V3447" s="225" t="str">
        <f>IF(NOT(ISNUMBER(G3447)), "", VLOOKUP(A3447,'Discount Lookup'!G:H,2,FALSE)*G3447)</f>
        <v/>
      </c>
      <c r="W3447" s="508">
        <f t="shared" si="2626"/>
        <v>0</v>
      </c>
      <c r="X3447" s="508">
        <f t="shared" si="2627"/>
        <v>0</v>
      </c>
      <c r="Y3447" s="509" t="b">
        <f t="shared" si="2628"/>
        <v>0</v>
      </c>
      <c r="Z3447" s="510">
        <f t="shared" si="2629"/>
        <v>0</v>
      </c>
      <c r="AA3447" s="511"/>
      <c r="AB3447" s="511" t="str">
        <f t="shared" si="2630"/>
        <v/>
      </c>
      <c r="AC3447" s="698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698"/>
      <c r="AE3447" s="631" t="str">
        <f t="shared" si="2631"/>
        <v/>
      </c>
      <c r="AF3447" s="699" t="str">
        <f t="shared" si="2632"/>
        <v/>
      </c>
      <c r="AG3447" s="699"/>
      <c r="AH3447" s="699"/>
      <c r="AI3447" s="512">
        <f>IF(H3447="credit",0,IF(AE3447="free",0,IF(AE3447="me",0,IF(G3447&gt;0,(VLOOKUP(A3447,'Discount Lookup'!J:K,2)*G3447),0))))</f>
        <v>0</v>
      </c>
      <c r="AJ3447" s="513" t="str">
        <f t="shared" ca="1" si="2633"/>
        <v/>
      </c>
      <c r="AK3447" s="700" t="str">
        <f t="shared" si="2634"/>
        <v/>
      </c>
      <c r="AL3447" s="700"/>
      <c r="AM3447" s="505" t="str">
        <f t="shared" si="2635"/>
        <v/>
      </c>
      <c r="AN3447" s="506"/>
      <c r="AO3447" s="507"/>
      <c r="AP3447" s="507"/>
      <c r="AQ3447" s="507"/>
      <c r="AR3447" s="507"/>
      <c r="AS3447" s="507"/>
      <c r="AT3447" s="507"/>
      <c r="AU3447" s="507"/>
      <c r="AV3447" s="225"/>
      <c r="AW3447" s="508"/>
      <c r="AX3447" s="225"/>
      <c r="AY3447" s="225"/>
      <c r="AZ3447" s="225"/>
      <c r="BA3447" s="225"/>
      <c r="BB3447" s="225"/>
      <c r="BC3447" s="56"/>
      <c r="BD3447" s="56"/>
      <c r="BE3447" s="56"/>
      <c r="BF3447" s="107" t="str">
        <f t="shared" si="2636"/>
        <v>https://www.google.com/search?tbm=isch&amp;q=Sombrero%20Adobe%20Orange%20is%20notable%20for%20its%20vibrant%2C%20non-fading%20Orange%20petals%20and%20its%20long%20bloom%20season%20</v>
      </c>
      <c r="BG3447" s="107" t="str">
        <f t="shared" si="2637"/>
        <v>S</v>
      </c>
      <c r="BH3447" s="254"/>
      <c r="BI3447" s="254"/>
    </row>
    <row r="3448" spans="1:61" customFormat="1" ht="18" x14ac:dyDescent="0.25">
      <c r="A3448" s="523" t="s">
        <v>5540</v>
      </c>
      <c r="B3448" s="235"/>
      <c r="C3448" s="676"/>
      <c r="D3448" s="255" t="s">
        <v>1777</v>
      </c>
      <c r="E3448" s="236"/>
      <c r="F3448" s="236"/>
      <c r="G3448" s="236"/>
      <c r="H3448" s="582" t="s">
        <v>4246</v>
      </c>
      <c r="I3448" s="498" t="s">
        <v>3958</v>
      </c>
      <c r="J3448" s="237"/>
      <c r="K3448" s="237"/>
      <c r="L3448" s="274"/>
      <c r="M3448" s="668" t="s">
        <v>4962</v>
      </c>
      <c r="N3448" s="681" t="str">
        <f>IF(AND(ISTEXT($A3448), ISERROR($A3448+0)), HYPERLINK($BF3448, "Images"), "")</f>
        <v>Images</v>
      </c>
      <c r="O3448" s="663" t="s">
        <v>4967</v>
      </c>
      <c r="P3448" s="253"/>
      <c r="Q3448" s="238"/>
      <c r="R3448" s="239"/>
      <c r="S3448" s="275" t="s">
        <v>305</v>
      </c>
      <c r="T3448" s="508">
        <f t="shared" si="2625"/>
        <v>0</v>
      </c>
      <c r="U3448" s="225" t="str">
        <f>IF(NOT(ISNUMBER(G3448)), "", VLOOKUP(A3448,'Discount Lookup'!D:E,2,FALSE)*G3448)</f>
        <v/>
      </c>
      <c r="V3448" s="225" t="str">
        <f>IF(NOT(ISNUMBER(G3448)), "", VLOOKUP(A3448,'Discount Lookup'!G:H,2,FALSE)*G3448)</f>
        <v/>
      </c>
      <c r="W3448" s="508">
        <f t="shared" si="2626"/>
        <v>0</v>
      </c>
      <c r="X3448" s="508" t="str">
        <f t="shared" si="2627"/>
        <v>Deep Red bloom</v>
      </c>
      <c r="Y3448" s="509" t="b">
        <f t="shared" si="2628"/>
        <v>0</v>
      </c>
      <c r="Z3448" s="510">
        <f t="shared" si="2629"/>
        <v>0</v>
      </c>
      <c r="AA3448" s="511"/>
      <c r="AB3448" s="511" t="str">
        <f t="shared" si="2630"/>
        <v/>
      </c>
      <c r="AC3448" s="698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698"/>
      <c r="AE3448" s="631" t="str">
        <f t="shared" si="2631"/>
        <v/>
      </c>
      <c r="AF3448" s="699" t="str">
        <f t="shared" si="2632"/>
        <v/>
      </c>
      <c r="AG3448" s="699"/>
      <c r="AH3448" s="699"/>
      <c r="AI3448" s="512">
        <f>IF(H3448="credit",0,IF(AE3448="free",0,IF(AE3448="me",0,IF(G3448&gt;0,(VLOOKUP(A3448,'Discount Lookup'!J:K,2)*G3448),0))))</f>
        <v>0</v>
      </c>
      <c r="AJ3448" s="513" t="str">
        <f t="shared" ca="1" si="2633"/>
        <v/>
      </c>
      <c r="AK3448" s="700" t="str">
        <f t="shared" si="2634"/>
        <v/>
      </c>
      <c r="AL3448" s="700"/>
      <c r="AM3448" s="505" t="str">
        <f t="shared" si="2635"/>
        <v/>
      </c>
      <c r="AN3448" s="506"/>
      <c r="AO3448" s="507"/>
      <c r="AP3448" s="507"/>
      <c r="AQ3448" s="507"/>
      <c r="AR3448" s="507"/>
      <c r="AS3448" s="507"/>
      <c r="AT3448" s="507"/>
      <c r="AU3448" s="507"/>
      <c r="AV3448" s="225"/>
      <c r="AW3448" s="508"/>
      <c r="AX3448" s="225"/>
      <c r="AY3448" s="225"/>
      <c r="AZ3448" s="225"/>
      <c r="BA3448" s="225"/>
      <c r="BB3448" s="225"/>
      <c r="BC3448" s="56"/>
      <c r="BD3448" s="56"/>
      <c r="BE3448" s="56"/>
      <c r="BF3448" s="107" t="str">
        <f t="shared" si="2636"/>
        <v>https://www.google.com/search?tbm=isch&amp;q=Sombrero%C2%AE%20Red%20Coneflower%20Echinacea%20%27Balsomsed%27%20PP%2323105</v>
      </c>
      <c r="BG3448" s="107" t="str">
        <f t="shared" si="2637"/>
        <v>S</v>
      </c>
      <c r="BH3448" s="254"/>
      <c r="BI3448" s="254"/>
    </row>
    <row r="3449" spans="1:61" customFormat="1" ht="15.75" x14ac:dyDescent="0.25">
      <c r="A3449" s="276">
        <v>2</v>
      </c>
      <c r="B3449" s="240" t="s">
        <v>291</v>
      </c>
      <c r="C3449" s="241"/>
      <c r="D3449" s="242" t="s">
        <v>300</v>
      </c>
      <c r="E3449" s="243">
        <v>26.95</v>
      </c>
      <c r="F3449" s="517" t="s">
        <v>293</v>
      </c>
      <c r="G3449" s="232">
        <v>0</v>
      </c>
      <c r="H3449" s="661" t="str">
        <f>IF(G3449=0,"",IF(F3449="Buy",IF(G3449=1,"plant","plants"),IF(F3449&gt;0.01,"warranty","Error")))</f>
        <v/>
      </c>
      <c r="I3449" s="244">
        <f>IF(H3449="free",0,IF(H3449="credit",((E3449*(F3449))*G3449*-1),IF(F3449="Buy",(E3449*G3449),((E3449*(1-F3449))*G3449))))</f>
        <v>0</v>
      </c>
      <c r="J3449" s="244">
        <f>IF(H3449="warranty",0,(I3449*(_xlfn.SINGLE(SalesTaxPercentage))))</f>
        <v>0</v>
      </c>
      <c r="K3449" s="696">
        <f t="shared" ref="K3449" si="2663">I3449+J3449</f>
        <v>0</v>
      </c>
      <c r="L3449" s="696"/>
      <c r="M3449" s="659" t="str">
        <f>IF(AND(G3449&gt;0,E3449=0),"WARNING - no PRICE inserted",IF(H3449="free"," FREE ~ no charge this plant",IF(H3449="credit",CONCATENATE(" -$",ROUND(K3449*(1-T2GDiscount)*-1,2)," CREDIT after discount"),IF(T2GDiscount=0,"",IF(G3449=0,"",IF(F3449="Buy",CONCATENATE(" $",ROUND(K3449*(1-T2GDiscount),2)," with ",(T2GDiscount*100),"% discount"),CONCATENATE(" $",ROUND(K3449*(1-T2GDiscount),2)," with ",((T2GDiscount*100+F3449*100)-(T2GDiscount*100*F3449)),IF(F3449&gt;0,"% discounts",IF(NoWarrantyDiscount&gt;0,"% discounts","% discount")))))))))</f>
        <v/>
      </c>
      <c r="N3449" s="660"/>
      <c r="O3449" s="233"/>
      <c r="P3449" s="233"/>
      <c r="Q3449" s="233"/>
      <c r="R3449" s="233"/>
      <c r="S3449" s="233"/>
      <c r="T3449" s="508">
        <f t="shared" si="2625"/>
        <v>0</v>
      </c>
      <c r="U3449" s="225">
        <f>IF(NOT(ISNUMBER(G3449)), "", VLOOKUP(A3449,'Discount Lookup'!D:E,2,FALSE)*G3449)</f>
        <v>0</v>
      </c>
      <c r="V3449" s="225">
        <f>IF(NOT(ISNUMBER(G3449)), "", VLOOKUP(A3449,'Discount Lookup'!G:H,2,FALSE)*G3449)</f>
        <v>0</v>
      </c>
      <c r="W3449" s="508">
        <f t="shared" si="2626"/>
        <v>0</v>
      </c>
      <c r="X3449" s="508">
        <f t="shared" si="2627"/>
        <v>0</v>
      </c>
      <c r="Y3449" s="509" t="b">
        <f t="shared" si="2628"/>
        <v>0</v>
      </c>
      <c r="Z3449" s="510">
        <f t="shared" si="2629"/>
        <v>0</v>
      </c>
      <c r="AA3449" s="511"/>
      <c r="AB3449" s="511" t="str">
        <f t="shared" si="2630"/>
        <v/>
      </c>
      <c r="AC3449" s="698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698"/>
      <c r="AE3449" s="631" t="str">
        <f t="shared" si="2631"/>
        <v/>
      </c>
      <c r="AF3449" s="699" t="str">
        <f t="shared" si="2632"/>
        <v/>
      </c>
      <c r="AG3449" s="699"/>
      <c r="AH3449" s="699"/>
      <c r="AI3449" s="512">
        <f>IF(H3449="credit",0,IF(AE3449="free",0,IF(AE3449="me",0,IF(G3449&gt;0,(VLOOKUP(A3449,'Discount Lookup'!J:K,2)*G3449),0))))</f>
        <v>0</v>
      </c>
      <c r="AJ3449" s="513" t="str">
        <f t="shared" ca="1" si="2633"/>
        <v/>
      </c>
      <c r="AK3449" s="700" t="str">
        <f t="shared" si="2634"/>
        <v/>
      </c>
      <c r="AL3449" s="700"/>
      <c r="AM3449" s="505" t="str">
        <f t="shared" si="2635"/>
        <v/>
      </c>
      <c r="AN3449" s="506"/>
      <c r="AO3449" s="507"/>
      <c r="AP3449" s="507"/>
      <c r="AQ3449" s="507"/>
      <c r="AR3449" s="507"/>
      <c r="AS3449" s="507"/>
      <c r="AT3449" s="507"/>
      <c r="AU3449" s="507"/>
      <c r="AV3449" s="225"/>
      <c r="AW3449" s="508"/>
      <c r="AX3449" s="225"/>
      <c r="AY3449" s="225"/>
      <c r="AZ3449" s="225"/>
      <c r="BA3449" s="225"/>
      <c r="BB3449" s="225"/>
      <c r="BC3449" s="56"/>
      <c r="BD3449" s="56"/>
      <c r="BE3449" s="56"/>
      <c r="BF3449" s="107" t="str">
        <f t="shared" si="2636"/>
        <v>https://www.google.com/search?tbm=isch&amp;q=2%20G6</v>
      </c>
      <c r="BG3449" s="107" t="str">
        <f t="shared" si="2637"/>
        <v>S</v>
      </c>
      <c r="BH3449" s="254"/>
      <c r="BI3449" s="254"/>
    </row>
    <row r="3450" spans="1:61" customFormat="1" ht="17.25" thickBot="1" x14ac:dyDescent="0.3">
      <c r="A3450" s="524" t="s">
        <v>4257</v>
      </c>
      <c r="B3450" s="245"/>
      <c r="C3450" s="677"/>
      <c r="D3450" s="499"/>
      <c r="E3450" s="499"/>
      <c r="F3450" s="500"/>
      <c r="G3450" s="501"/>
      <c r="H3450" s="502"/>
      <c r="I3450" s="246"/>
      <c r="J3450" s="247"/>
      <c r="K3450" s="503"/>
      <c r="L3450" s="544"/>
      <c r="M3450" s="544"/>
      <c r="N3450" s="500"/>
      <c r="O3450" s="500"/>
      <c r="P3450" s="500"/>
      <c r="Q3450" s="500"/>
      <c r="R3450" s="500"/>
      <c r="S3450" s="669" t="s">
        <v>4979</v>
      </c>
      <c r="T3450" s="508">
        <f t="shared" si="2625"/>
        <v>0</v>
      </c>
      <c r="U3450" s="225" t="str">
        <f>IF(NOT(ISNUMBER(G3450)), "", VLOOKUP(A3450,'Discount Lookup'!D:E,2,FALSE)*G3450)</f>
        <v/>
      </c>
      <c r="V3450" s="225" t="str">
        <f>IF(NOT(ISNUMBER(G3450)), "", VLOOKUP(A3450,'Discount Lookup'!G:H,2,FALSE)*G3450)</f>
        <v/>
      </c>
      <c r="W3450" s="508">
        <f t="shared" si="2626"/>
        <v>0</v>
      </c>
      <c r="X3450" s="508">
        <f t="shared" si="2627"/>
        <v>0</v>
      </c>
      <c r="Y3450" s="509" t="b">
        <f t="shared" si="2628"/>
        <v>0</v>
      </c>
      <c r="Z3450" s="510">
        <f t="shared" si="2629"/>
        <v>0</v>
      </c>
      <c r="AA3450" s="511"/>
      <c r="AB3450" s="511" t="str">
        <f t="shared" si="2630"/>
        <v/>
      </c>
      <c r="AC3450" s="698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698"/>
      <c r="AE3450" s="631" t="str">
        <f t="shared" si="2631"/>
        <v/>
      </c>
      <c r="AF3450" s="699" t="str">
        <f t="shared" si="2632"/>
        <v/>
      </c>
      <c r="AG3450" s="699"/>
      <c r="AH3450" s="699"/>
      <c r="AI3450" s="512">
        <f>IF(H3450="credit",0,IF(AE3450="free",0,IF(AE3450="me",0,IF(G3450&gt;0,(VLOOKUP(A3450,'Discount Lookup'!J:K,2)*G3450),0))))</f>
        <v>0</v>
      </c>
      <c r="AJ3450" s="513" t="str">
        <f t="shared" ca="1" si="2633"/>
        <v/>
      </c>
      <c r="AK3450" s="700" t="str">
        <f t="shared" si="2634"/>
        <v/>
      </c>
      <c r="AL3450" s="700"/>
      <c r="AM3450" s="505" t="str">
        <f t="shared" si="2635"/>
        <v/>
      </c>
      <c r="AN3450" s="506"/>
      <c r="AO3450" s="507"/>
      <c r="AP3450" s="507"/>
      <c r="AQ3450" s="507"/>
      <c r="AR3450" s="507"/>
      <c r="AS3450" s="507"/>
      <c r="AT3450" s="507"/>
      <c r="AU3450" s="507"/>
      <c r="AV3450" s="225"/>
      <c r="AW3450" s="508"/>
      <c r="AX3450" s="225"/>
      <c r="AY3450" s="225"/>
      <c r="AZ3450" s="225"/>
      <c r="BA3450" s="225"/>
      <c r="BB3450" s="225"/>
      <c r="BC3450" s="56"/>
      <c r="BD3450" s="56"/>
      <c r="BE3450" s="56"/>
      <c r="BF3450" s="107" t="str">
        <f t="shared" si="2636"/>
        <v>https://www.google.com/search?tbm=isch&amp;q=Sombrero%20Red%20offers%20spicy%2C%20non-fading%20Red%20blooms%20with%20overlapping%20petals%20and%20compact%20form%3B%20</v>
      </c>
      <c r="BG3450" s="107" t="str">
        <f t="shared" si="2637"/>
        <v>S</v>
      </c>
      <c r="BH3450" s="254"/>
      <c r="BI3450" s="254"/>
    </row>
    <row r="3451" spans="1:61" customFormat="1" ht="18" x14ac:dyDescent="0.25">
      <c r="A3451" s="523" t="s">
        <v>1778</v>
      </c>
      <c r="B3451" s="235"/>
      <c r="C3451" s="676"/>
      <c r="D3451" s="255" t="s">
        <v>1779</v>
      </c>
      <c r="E3451" s="236"/>
      <c r="F3451" s="236"/>
      <c r="G3451" s="236"/>
      <c r="H3451" s="582" t="s">
        <v>2249</v>
      </c>
      <c r="I3451" s="498" t="s">
        <v>2250</v>
      </c>
      <c r="J3451" s="237"/>
      <c r="K3451" s="237"/>
      <c r="L3451" s="274"/>
      <c r="M3451" s="668" t="s">
        <v>4975</v>
      </c>
      <c r="N3451" s="681" t="str">
        <f>IF(AND(ISTEXT($A3451), ISERROR($A3451+0)), HYPERLINK($BF3451, "Images"), "")</f>
        <v>Images</v>
      </c>
      <c r="O3451" s="663" t="s">
        <v>4969</v>
      </c>
      <c r="P3451" s="253"/>
      <c r="Q3451" s="238"/>
      <c r="R3451" s="239"/>
      <c r="S3451" s="275"/>
      <c r="T3451" s="508">
        <f t="shared" si="2625"/>
        <v>0</v>
      </c>
      <c r="U3451" s="225" t="str">
        <f>IF(NOT(ISNUMBER(G3451)), "", VLOOKUP(A3451,'Discount Lookup'!D:E,2,FALSE)*G3451)</f>
        <v/>
      </c>
      <c r="V3451" s="225" t="str">
        <f>IF(NOT(ISNUMBER(G3451)), "", VLOOKUP(A3451,'Discount Lookup'!G:H,2,FALSE)*G3451)</f>
        <v/>
      </c>
      <c r="W3451" s="508">
        <f t="shared" si="2626"/>
        <v>0</v>
      </c>
      <c r="X3451" s="508" t="str">
        <f t="shared" si="2627"/>
        <v>Chartreuse needles</v>
      </c>
      <c r="Y3451" s="509" t="b">
        <f t="shared" si="2628"/>
        <v>0</v>
      </c>
      <c r="Z3451" s="510">
        <f t="shared" si="2629"/>
        <v>0</v>
      </c>
      <c r="AA3451" s="511"/>
      <c r="AB3451" s="511" t="str">
        <f t="shared" si="2630"/>
        <v/>
      </c>
      <c r="AC3451" s="698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698"/>
      <c r="AE3451" s="631" t="str">
        <f t="shared" si="2631"/>
        <v/>
      </c>
      <c r="AF3451" s="699" t="str">
        <f t="shared" si="2632"/>
        <v/>
      </c>
      <c r="AG3451" s="699"/>
      <c r="AH3451" s="699"/>
      <c r="AI3451" s="512">
        <f>IF(H3451="credit",0,IF(AE3451="free",0,IF(AE3451="me",0,IF(G3451&gt;0,(VLOOKUP(A3451,'Discount Lookup'!J:K,2)*G3451),0))))</f>
        <v>0</v>
      </c>
      <c r="AJ3451" s="513" t="str">
        <f t="shared" ca="1" si="2633"/>
        <v/>
      </c>
      <c r="AK3451" s="700" t="str">
        <f t="shared" si="2634"/>
        <v/>
      </c>
      <c r="AL3451" s="700"/>
      <c r="AM3451" s="505" t="str">
        <f t="shared" si="2635"/>
        <v/>
      </c>
      <c r="AN3451" s="506"/>
      <c r="AO3451" s="507"/>
      <c r="AP3451" s="507"/>
      <c r="AQ3451" s="507"/>
      <c r="AR3451" s="507"/>
      <c r="AS3451" s="507"/>
      <c r="AT3451" s="507"/>
      <c r="AU3451" s="507"/>
      <c r="AV3451" s="225"/>
      <c r="AW3451" s="508"/>
      <c r="AX3451" s="225"/>
      <c r="AY3451" s="225"/>
      <c r="AZ3451" s="225"/>
      <c r="BA3451" s="225"/>
      <c r="BB3451" s="225"/>
      <c r="BC3451" s="56"/>
      <c r="BD3451" s="56"/>
      <c r="BE3451" s="56"/>
      <c r="BF3451" s="107" t="str">
        <f t="shared" si="2636"/>
        <v>https://www.google.com/search?tbm=isch&amp;q=Soul%20Fire%20Dawn%20Redwood%20Metasequoia%20%27Soul%20Fire%27%20PP%2332580</v>
      </c>
      <c r="BG3451" s="107" t="str">
        <f t="shared" si="2637"/>
        <v>S</v>
      </c>
      <c r="BH3451" s="254"/>
      <c r="BI3451" s="254"/>
    </row>
    <row r="3452" spans="1:61" customFormat="1" ht="15.75" x14ac:dyDescent="0.25">
      <c r="A3452" s="276">
        <v>7</v>
      </c>
      <c r="B3452" s="240" t="s">
        <v>291</v>
      </c>
      <c r="C3452" s="241" t="s">
        <v>3788</v>
      </c>
      <c r="D3452" s="242" t="s">
        <v>292</v>
      </c>
      <c r="E3452" s="243">
        <v>153.94999999999999</v>
      </c>
      <c r="F3452" s="517" t="s">
        <v>293</v>
      </c>
      <c r="G3452" s="232">
        <v>0</v>
      </c>
      <c r="H3452" s="661" t="str">
        <f>IF(G3452=0,"",IF(F3452="Buy",IF(G3452=1,"plant","plants"),IF(F3452&gt;0.01,"warranty","Error")))</f>
        <v/>
      </c>
      <c r="I3452" s="244">
        <f>IF(H3452="free",0,IF(H3452="credit",((E3452*(F3452))*G3452*-1),IF(F3452="Buy",(E3452*G3452),((E3452*(1-F3452))*G3452))))</f>
        <v>0</v>
      </c>
      <c r="J3452" s="244">
        <f>IF(H3452="warranty",0,(I3452*(_xlfn.SINGLE(SalesTaxPercentage))))</f>
        <v>0</v>
      </c>
      <c r="K3452" s="696">
        <f t="shared" ref="K3452" si="2664">I3452+J3452</f>
        <v>0</v>
      </c>
      <c r="L3452" s="696"/>
      <c r="M3452" s="659" t="str">
        <f>IF(AND(G3452&gt;0,E3452=0),"WARNING - no PRICE inserted",IF(H3452="free"," FREE ~ no charge this plant",IF(H3452="credit",CONCATENATE(" -$",ROUND(K3452*(1-T2GDiscount)*-1,2)," CREDIT after discount"),IF(T2GDiscount=0,"",IF(G3452=0,"",IF(F3452="Buy",CONCATENATE(" $",ROUND(K3452*(1-T2GDiscount),2)," with ",(T2GDiscount*100),"% discount"),CONCATENATE(" $",ROUND(K3452*(1-T2GDiscount),2)," with ",((T2GDiscount*100+F3452*100)-(T2GDiscount*100*F3452)),IF(F3452&gt;0,"% discounts",IF(NoWarrantyDiscount&gt;0,"% discounts","% discount")))))))))</f>
        <v/>
      </c>
      <c r="N3452" s="660"/>
      <c r="O3452" s="233"/>
      <c r="P3452" s="233"/>
      <c r="Q3452" s="233"/>
      <c r="R3452" s="233"/>
      <c r="S3452" s="233"/>
      <c r="T3452" s="508">
        <f t="shared" si="2625"/>
        <v>0</v>
      </c>
      <c r="U3452" s="225">
        <f>IF(NOT(ISNUMBER(G3452)), "", VLOOKUP(A3452,'Discount Lookup'!D:E,2,FALSE)*G3452)</f>
        <v>0</v>
      </c>
      <c r="V3452" s="225">
        <f>IF(NOT(ISNUMBER(G3452)), "", VLOOKUP(A3452,'Discount Lookup'!G:H,2,FALSE)*G3452)</f>
        <v>0</v>
      </c>
      <c r="W3452" s="508">
        <f t="shared" si="2626"/>
        <v>0</v>
      </c>
      <c r="X3452" s="508">
        <f t="shared" si="2627"/>
        <v>0</v>
      </c>
      <c r="Y3452" s="509" t="b">
        <f t="shared" si="2628"/>
        <v>0</v>
      </c>
      <c r="Z3452" s="510">
        <f t="shared" si="2629"/>
        <v>0</v>
      </c>
      <c r="AA3452" s="511"/>
      <c r="AB3452" s="511" t="str">
        <f t="shared" si="2630"/>
        <v/>
      </c>
      <c r="AC3452" s="698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698"/>
      <c r="AE3452" s="631" t="str">
        <f t="shared" si="2631"/>
        <v/>
      </c>
      <c r="AF3452" s="699" t="str">
        <f t="shared" si="2632"/>
        <v/>
      </c>
      <c r="AG3452" s="699"/>
      <c r="AH3452" s="699"/>
      <c r="AI3452" s="512">
        <f>IF(H3452="credit",0,IF(AE3452="free",0,IF(AE3452="me",0,IF(G3452&gt;0,(VLOOKUP(A3452,'Discount Lookup'!J:K,2)*G3452),0))))</f>
        <v>0</v>
      </c>
      <c r="AJ3452" s="513" t="str">
        <f t="shared" ca="1" si="2633"/>
        <v/>
      </c>
      <c r="AK3452" s="700" t="str">
        <f t="shared" si="2634"/>
        <v/>
      </c>
      <c r="AL3452" s="700"/>
      <c r="AM3452" s="505" t="str">
        <f t="shared" si="2635"/>
        <v/>
      </c>
      <c r="AN3452" s="506"/>
      <c r="AO3452" s="507"/>
      <c r="AP3452" s="507"/>
      <c r="AQ3452" s="507"/>
      <c r="AR3452" s="507"/>
      <c r="AS3452" s="507"/>
      <c r="AT3452" s="507"/>
      <c r="AU3452" s="507"/>
      <c r="AV3452" s="225"/>
      <c r="AW3452" s="508"/>
      <c r="AX3452" s="225"/>
      <c r="AY3452" s="225"/>
      <c r="AZ3452" s="225"/>
      <c r="BA3452" s="225"/>
      <c r="BB3452" s="225"/>
      <c r="BC3452" s="56"/>
      <c r="BD3452" s="56"/>
      <c r="BE3452" s="56"/>
      <c r="BF3452" s="107" t="str">
        <f t="shared" si="2636"/>
        <v>https://www.google.com/search?tbm=isch&amp;q=7%20G4</v>
      </c>
      <c r="BG3452" s="107" t="str">
        <f t="shared" si="2637"/>
        <v>S</v>
      </c>
      <c r="BH3452" s="254"/>
      <c r="BI3452" s="254"/>
    </row>
    <row r="3453" spans="1:61" customFormat="1" ht="17.25" thickBot="1" x14ac:dyDescent="0.3">
      <c r="A3453" s="673" t="s">
        <v>5236</v>
      </c>
      <c r="B3453" s="245"/>
      <c r="C3453" s="677"/>
      <c r="D3453" s="499"/>
      <c r="E3453" s="499"/>
      <c r="F3453" s="500"/>
      <c r="G3453" s="501"/>
      <c r="H3453" s="502"/>
      <c r="I3453" s="246"/>
      <c r="J3453" s="247"/>
      <c r="K3453" s="503"/>
      <c r="L3453" s="544"/>
      <c r="M3453" s="544"/>
      <c r="N3453" s="500"/>
      <c r="O3453" s="500"/>
      <c r="P3453" s="500"/>
      <c r="Q3453" s="500"/>
      <c r="R3453" s="500"/>
      <c r="S3453" s="669" t="s">
        <v>4972</v>
      </c>
      <c r="T3453" s="508">
        <f t="shared" si="2625"/>
        <v>0</v>
      </c>
      <c r="U3453" s="225" t="str">
        <f>IF(NOT(ISNUMBER(G3453)), "", VLOOKUP(A3453,'Discount Lookup'!D:E,2,FALSE)*G3453)</f>
        <v/>
      </c>
      <c r="V3453" s="225" t="str">
        <f>IF(NOT(ISNUMBER(G3453)), "", VLOOKUP(A3453,'Discount Lookup'!G:H,2,FALSE)*G3453)</f>
        <v/>
      </c>
      <c r="W3453" s="508">
        <f t="shared" si="2626"/>
        <v>0</v>
      </c>
      <c r="X3453" s="508">
        <f t="shared" si="2627"/>
        <v>0</v>
      </c>
      <c r="Y3453" s="509" t="b">
        <f t="shared" si="2628"/>
        <v>0</v>
      </c>
      <c r="Z3453" s="510">
        <f t="shared" si="2629"/>
        <v>0</v>
      </c>
      <c r="AA3453" s="511"/>
      <c r="AB3453" s="511" t="str">
        <f t="shared" si="2630"/>
        <v/>
      </c>
      <c r="AC3453" s="698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698"/>
      <c r="AE3453" s="631" t="str">
        <f t="shared" si="2631"/>
        <v/>
      </c>
      <c r="AF3453" s="699" t="str">
        <f t="shared" si="2632"/>
        <v/>
      </c>
      <c r="AG3453" s="699"/>
      <c r="AH3453" s="699"/>
      <c r="AI3453" s="512">
        <f>IF(H3453="credit",0,IF(AE3453="free",0,IF(AE3453="me",0,IF(G3453&gt;0,(VLOOKUP(A3453,'Discount Lookup'!J:K,2)*G3453),0))))</f>
        <v>0</v>
      </c>
      <c r="AJ3453" s="513" t="str">
        <f t="shared" ca="1" si="2633"/>
        <v/>
      </c>
      <c r="AK3453" s="700" t="str">
        <f t="shared" si="2634"/>
        <v/>
      </c>
      <c r="AL3453" s="700"/>
      <c r="AM3453" s="505" t="str">
        <f t="shared" si="2635"/>
        <v/>
      </c>
      <c r="AN3453" s="506"/>
      <c r="AO3453" s="507"/>
      <c r="AP3453" s="507"/>
      <c r="AQ3453" s="507"/>
      <c r="AR3453" s="507"/>
      <c r="AS3453" s="507"/>
      <c r="AT3453" s="507"/>
      <c r="AU3453" s="507"/>
      <c r="AV3453" s="225"/>
      <c r="AW3453" s="508"/>
      <c r="AX3453" s="225"/>
      <c r="AY3453" s="225"/>
      <c r="AZ3453" s="225"/>
      <c r="BA3453" s="225"/>
      <c r="BB3453" s="225"/>
      <c r="BC3453" s="56"/>
      <c r="BD3453" s="56"/>
      <c r="BE3453" s="56"/>
      <c r="BF3453" s="107" t="str">
        <f t="shared" si="2636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3453" s="107" t="str">
        <f t="shared" si="2637"/>
        <v>m</v>
      </c>
      <c r="BH3453" s="254"/>
      <c r="BI3453" s="254"/>
    </row>
    <row r="3454" spans="1:61" customFormat="1" ht="18" x14ac:dyDescent="0.25">
      <c r="A3454" s="523" t="s">
        <v>1780</v>
      </c>
      <c r="B3454" s="235"/>
      <c r="C3454" s="676"/>
      <c r="D3454" s="255" t="s">
        <v>1781</v>
      </c>
      <c r="E3454" s="236"/>
      <c r="F3454" s="236"/>
      <c r="G3454" s="236"/>
      <c r="H3454" s="582" t="s">
        <v>507</v>
      </c>
      <c r="I3454" s="498" t="s">
        <v>2489</v>
      </c>
      <c r="J3454" s="237"/>
      <c r="K3454" s="237"/>
      <c r="L3454" s="274"/>
      <c r="M3454" s="668" t="s">
        <v>4962</v>
      </c>
      <c r="N3454" s="681" t="str">
        <f>IF(AND(ISTEXT($A3454), ISERROR($A3454+0)), HYPERLINK($BF3454, "Images"), "")</f>
        <v>Images</v>
      </c>
      <c r="O3454" s="663" t="s">
        <v>4969</v>
      </c>
      <c r="P3454" s="253"/>
      <c r="Q3454" s="238"/>
      <c r="R3454" s="239"/>
      <c r="S3454" s="275"/>
      <c r="T3454" s="508">
        <f t="shared" si="2625"/>
        <v>0</v>
      </c>
      <c r="U3454" s="225" t="str">
        <f>IF(NOT(ISNUMBER(G3454)), "", VLOOKUP(A3454,'Discount Lookup'!D:E,2,FALSE)*G3454)</f>
        <v/>
      </c>
      <c r="V3454" s="225" t="str">
        <f>IF(NOT(ISNUMBER(G3454)), "", VLOOKUP(A3454,'Discount Lookup'!G:H,2,FALSE)*G3454)</f>
        <v/>
      </c>
      <c r="W3454" s="508">
        <f t="shared" si="2626"/>
        <v>0</v>
      </c>
      <c r="X3454" s="508" t="str">
        <f t="shared" si="2627"/>
        <v>Peach, Pink, Lavender, Yellow blooms</v>
      </c>
      <c r="Y3454" s="509" t="b">
        <f t="shared" si="2628"/>
        <v>0</v>
      </c>
      <c r="Z3454" s="510">
        <f t="shared" si="2629"/>
        <v>0</v>
      </c>
      <c r="AA3454" s="511"/>
      <c r="AB3454" s="511" t="str">
        <f t="shared" si="2630"/>
        <v/>
      </c>
      <c r="AC3454" s="698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698"/>
      <c r="AE3454" s="631" t="str">
        <f t="shared" si="2631"/>
        <v/>
      </c>
      <c r="AF3454" s="699" t="str">
        <f t="shared" si="2632"/>
        <v/>
      </c>
      <c r="AG3454" s="699"/>
      <c r="AH3454" s="699"/>
      <c r="AI3454" s="512">
        <f>IF(H3454="credit",0,IF(AE3454="free",0,IF(AE3454="me",0,IF(G3454&gt;0,(VLOOKUP(A3454,'Discount Lookup'!J:K,2)*G3454),0))))</f>
        <v>0</v>
      </c>
      <c r="AJ3454" s="513" t="str">
        <f t="shared" ca="1" si="2633"/>
        <v/>
      </c>
      <c r="AK3454" s="700" t="str">
        <f t="shared" si="2634"/>
        <v/>
      </c>
      <c r="AL3454" s="700"/>
      <c r="AM3454" s="505" t="str">
        <f t="shared" si="2635"/>
        <v/>
      </c>
      <c r="AN3454" s="506"/>
      <c r="AO3454" s="507"/>
      <c r="AP3454" s="507"/>
      <c r="AQ3454" s="507"/>
      <c r="AR3454" s="507"/>
      <c r="AS3454" s="507"/>
      <c r="AT3454" s="507"/>
      <c r="AU3454" s="507"/>
      <c r="AV3454" s="225"/>
      <c r="AW3454" s="508"/>
      <c r="AX3454" s="225"/>
      <c r="AY3454" s="225"/>
      <c r="AZ3454" s="225"/>
      <c r="BA3454" s="225"/>
      <c r="BB3454" s="225"/>
      <c r="BC3454" s="56"/>
      <c r="BD3454" s="56"/>
      <c r="BE3454" s="56"/>
      <c r="BF3454" s="107" t="str">
        <f t="shared" si="2636"/>
        <v>https://www.google.com/search?tbm=isch&amp;q=Southern%20Charm%20Verbascum%20Verbascum%20%27Southern%20Charm%27</v>
      </c>
      <c r="BG3454" s="107" t="str">
        <f t="shared" si="2637"/>
        <v>S</v>
      </c>
      <c r="BH3454" s="254"/>
      <c r="BI3454" s="254"/>
    </row>
    <row r="3455" spans="1:61" customFormat="1" ht="15.75" x14ac:dyDescent="0.25">
      <c r="A3455" s="276">
        <v>2</v>
      </c>
      <c r="B3455" s="240" t="s">
        <v>291</v>
      </c>
      <c r="C3455" s="241"/>
      <c r="D3455" s="242" t="s">
        <v>300</v>
      </c>
      <c r="E3455" s="243">
        <v>28.95</v>
      </c>
      <c r="F3455" s="517" t="s">
        <v>293</v>
      </c>
      <c r="G3455" s="232">
        <v>0</v>
      </c>
      <c r="H3455" s="661" t="str">
        <f>IF(G3455=0,"",IF(F3455="Buy",IF(G3455=1,"plant","plants"),IF(F3455&gt;0.01,"warranty","Error")))</f>
        <v/>
      </c>
      <c r="I3455" s="244">
        <f>IF(H3455="free",0,IF(H3455="credit",((E3455*(F3455))*G3455*-1),IF(F3455="Buy",(E3455*G3455),((E3455*(1-F3455))*G3455))))</f>
        <v>0</v>
      </c>
      <c r="J3455" s="244">
        <f>IF(H3455="warranty",0,(I3455*(_xlfn.SINGLE(SalesTaxPercentage))))</f>
        <v>0</v>
      </c>
      <c r="K3455" s="696">
        <f t="shared" ref="K3455" si="2665">I3455+J3455</f>
        <v>0</v>
      </c>
      <c r="L3455" s="696"/>
      <c r="M3455" s="659" t="str">
        <f>IF(AND(G3455&gt;0,E3455=0),"WARNING - no PRICE inserted",IF(H3455="free"," FREE ~ no charge this plant",IF(H3455="credit",CONCATENATE(" -$",ROUND(K3455*(1-T2GDiscount)*-1,2)," CREDIT after discount"),IF(T2GDiscount=0,"",IF(G3455=0,"",IF(F3455="Buy",CONCATENATE(" $",ROUND(K3455*(1-T2GDiscount),2)," with ",(T2GDiscount*100),"% discount"),CONCATENATE(" $",ROUND(K3455*(1-T2GDiscount),2)," with ",((T2GDiscount*100+F3455*100)-(T2GDiscount*100*F3455)),IF(F3455&gt;0,"% discounts",IF(NoWarrantyDiscount&gt;0,"% discounts","% discount")))))))))</f>
        <v/>
      </c>
      <c r="N3455" s="660"/>
      <c r="O3455" s="233"/>
      <c r="P3455" s="233"/>
      <c r="Q3455" s="233"/>
      <c r="R3455" s="233"/>
      <c r="S3455" s="233"/>
      <c r="T3455" s="508">
        <f t="shared" si="2625"/>
        <v>0</v>
      </c>
      <c r="U3455" s="225">
        <f>IF(NOT(ISNUMBER(G3455)), "", VLOOKUP(A3455,'Discount Lookup'!D:E,2,FALSE)*G3455)</f>
        <v>0</v>
      </c>
      <c r="V3455" s="225">
        <f>IF(NOT(ISNUMBER(G3455)), "", VLOOKUP(A3455,'Discount Lookup'!G:H,2,FALSE)*G3455)</f>
        <v>0</v>
      </c>
      <c r="W3455" s="508">
        <f t="shared" si="2626"/>
        <v>0</v>
      </c>
      <c r="X3455" s="508">
        <f t="shared" si="2627"/>
        <v>0</v>
      </c>
      <c r="Y3455" s="509" t="b">
        <f t="shared" si="2628"/>
        <v>0</v>
      </c>
      <c r="Z3455" s="510">
        <f t="shared" si="2629"/>
        <v>0</v>
      </c>
      <c r="AA3455" s="511"/>
      <c r="AB3455" s="511" t="str">
        <f t="shared" si="2630"/>
        <v/>
      </c>
      <c r="AC3455" s="698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698"/>
      <c r="AE3455" s="631" t="str">
        <f t="shared" si="2631"/>
        <v/>
      </c>
      <c r="AF3455" s="699" t="str">
        <f t="shared" si="2632"/>
        <v/>
      </c>
      <c r="AG3455" s="699"/>
      <c r="AH3455" s="699"/>
      <c r="AI3455" s="512">
        <f>IF(H3455="credit",0,IF(AE3455="free",0,IF(AE3455="me",0,IF(G3455&gt;0,(VLOOKUP(A3455,'Discount Lookup'!J:K,2)*G3455),0))))</f>
        <v>0</v>
      </c>
      <c r="AJ3455" s="513" t="str">
        <f t="shared" ca="1" si="2633"/>
        <v/>
      </c>
      <c r="AK3455" s="700" t="str">
        <f t="shared" si="2634"/>
        <v/>
      </c>
      <c r="AL3455" s="700"/>
      <c r="AM3455" s="505" t="str">
        <f t="shared" si="2635"/>
        <v/>
      </c>
      <c r="AN3455" s="506"/>
      <c r="AO3455" s="507"/>
      <c r="AP3455" s="507"/>
      <c r="AQ3455" s="507"/>
      <c r="AR3455" s="507"/>
      <c r="AS3455" s="507"/>
      <c r="AT3455" s="507"/>
      <c r="AU3455" s="507"/>
      <c r="AV3455" s="225"/>
      <c r="AW3455" s="508"/>
      <c r="AX3455" s="225"/>
      <c r="AY3455" s="225"/>
      <c r="AZ3455" s="225"/>
      <c r="BA3455" s="225"/>
      <c r="BB3455" s="225"/>
      <c r="BC3455" s="56"/>
      <c r="BD3455" s="56"/>
      <c r="BE3455" s="56"/>
      <c r="BF3455" s="107" t="str">
        <f t="shared" si="2636"/>
        <v>https://www.google.com/search?tbm=isch&amp;q=2%20G6</v>
      </c>
      <c r="BG3455" s="107" t="str">
        <f t="shared" si="2637"/>
        <v>S</v>
      </c>
      <c r="BH3455" s="254"/>
      <c r="BI3455" s="254"/>
    </row>
    <row r="3456" spans="1:61" customFormat="1" ht="17.25" thickBot="1" x14ac:dyDescent="0.3">
      <c r="A3456" s="524" t="s">
        <v>2695</v>
      </c>
      <c r="B3456" s="245"/>
      <c r="C3456" s="677"/>
      <c r="D3456" s="499"/>
      <c r="E3456" s="499"/>
      <c r="F3456" s="500"/>
      <c r="G3456" s="501"/>
      <c r="H3456" s="502"/>
      <c r="I3456" s="246"/>
      <c r="J3456" s="247"/>
      <c r="K3456" s="503"/>
      <c r="L3456" s="544"/>
      <c r="M3456" s="544"/>
      <c r="N3456" s="500"/>
      <c r="O3456" s="500"/>
      <c r="P3456" s="500"/>
      <c r="Q3456" s="500"/>
      <c r="R3456" s="500"/>
      <c r="S3456" s="669" t="s">
        <v>4980</v>
      </c>
      <c r="T3456" s="508">
        <f t="shared" si="2625"/>
        <v>0</v>
      </c>
      <c r="U3456" s="225" t="str">
        <f>IF(NOT(ISNUMBER(G3456)), "", VLOOKUP(A3456,'Discount Lookup'!D:E,2,FALSE)*G3456)</f>
        <v/>
      </c>
      <c r="V3456" s="225" t="str">
        <f>IF(NOT(ISNUMBER(G3456)), "", VLOOKUP(A3456,'Discount Lookup'!G:H,2,FALSE)*G3456)</f>
        <v/>
      </c>
      <c r="W3456" s="508">
        <f t="shared" si="2626"/>
        <v>0</v>
      </c>
      <c r="X3456" s="508">
        <f t="shared" si="2627"/>
        <v>0</v>
      </c>
      <c r="Y3456" s="509" t="b">
        <f t="shared" si="2628"/>
        <v>0</v>
      </c>
      <c r="Z3456" s="510">
        <f t="shared" si="2629"/>
        <v>0</v>
      </c>
      <c r="AA3456" s="511"/>
      <c r="AB3456" s="511" t="str">
        <f t="shared" si="2630"/>
        <v/>
      </c>
      <c r="AC3456" s="698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698"/>
      <c r="AE3456" s="631" t="str">
        <f t="shared" si="2631"/>
        <v/>
      </c>
      <c r="AF3456" s="699" t="str">
        <f t="shared" si="2632"/>
        <v/>
      </c>
      <c r="AG3456" s="699"/>
      <c r="AH3456" s="699"/>
      <c r="AI3456" s="512">
        <f>IF(H3456="credit",0,IF(AE3456="free",0,IF(AE3456="me",0,IF(G3456&gt;0,(VLOOKUP(A3456,'Discount Lookup'!J:K,2)*G3456),0))))</f>
        <v>0</v>
      </c>
      <c r="AJ3456" s="513" t="str">
        <f t="shared" ca="1" si="2633"/>
        <v/>
      </c>
      <c r="AK3456" s="700" t="str">
        <f t="shared" si="2634"/>
        <v/>
      </c>
      <c r="AL3456" s="700"/>
      <c r="AM3456" s="505" t="str">
        <f t="shared" si="2635"/>
        <v/>
      </c>
      <c r="AN3456" s="506"/>
      <c r="AO3456" s="507"/>
      <c r="AP3456" s="507"/>
      <c r="AQ3456" s="507"/>
      <c r="AR3456" s="507"/>
      <c r="AS3456" s="507"/>
      <c r="AT3456" s="507"/>
      <c r="AU3456" s="507"/>
      <c r="AV3456" s="225"/>
      <c r="AW3456" s="508"/>
      <c r="AX3456" s="225"/>
      <c r="AY3456" s="225"/>
      <c r="AZ3456" s="225"/>
      <c r="BA3456" s="225"/>
      <c r="BB3456" s="225"/>
      <c r="BC3456" s="56"/>
      <c r="BD3456" s="56"/>
      <c r="BE3456" s="56"/>
      <c r="BF3456" s="107" t="str">
        <f t="shared" si="2636"/>
        <v>https://www.google.com/search?tbm=isch&amp;q=Southern%20Charm%20delivers%20vertical%20elegance%20with%20Pastel%20flower%20spikes%20and%20Silvery%20foliage.%20Excellent%20flowers%20for%20cutting%20</v>
      </c>
      <c r="BG3456" s="107" t="str">
        <f t="shared" si="2637"/>
        <v>S</v>
      </c>
      <c r="BH3456" s="254"/>
      <c r="BI3456" s="254"/>
    </row>
    <row r="3457" spans="1:61" customFormat="1" ht="18" x14ac:dyDescent="0.25">
      <c r="A3457" s="523" t="s">
        <v>1782</v>
      </c>
      <c r="B3457" s="235"/>
      <c r="C3457" s="676"/>
      <c r="D3457" s="255" t="s">
        <v>1783</v>
      </c>
      <c r="E3457" s="236"/>
      <c r="F3457" s="236"/>
      <c r="G3457" s="236"/>
      <c r="H3457" s="582" t="s">
        <v>1299</v>
      </c>
      <c r="I3457" s="498" t="s">
        <v>2109</v>
      </c>
      <c r="J3457" s="237"/>
      <c r="K3457" s="237"/>
      <c r="L3457" s="274"/>
      <c r="M3457" s="668" t="s">
        <v>4975</v>
      </c>
      <c r="N3457" s="681" t="str">
        <f>IF(AND(ISTEXT($A3457), ISERROR($A3457+0)), HYPERLINK($BF3457, "Images"), "")</f>
        <v>Images</v>
      </c>
      <c r="O3457" s="663" t="s">
        <v>4967</v>
      </c>
      <c r="P3457" s="253"/>
      <c r="Q3457" s="238"/>
      <c r="R3457" s="239"/>
      <c r="S3457" s="275" t="s">
        <v>305</v>
      </c>
      <c r="T3457" s="508">
        <f t="shared" si="2625"/>
        <v>0</v>
      </c>
      <c r="U3457" s="225" t="str">
        <f>IF(NOT(ISNUMBER(G3457)), "", VLOOKUP(A3457,'Discount Lookup'!D:E,2,FALSE)*G3457)</f>
        <v/>
      </c>
      <c r="V3457" s="225" t="str">
        <f>IF(NOT(ISNUMBER(G3457)), "", VLOOKUP(A3457,'Discount Lookup'!G:H,2,FALSE)*G3457)</f>
        <v/>
      </c>
      <c r="W3457" s="508">
        <f t="shared" si="2626"/>
        <v>0</v>
      </c>
      <c r="X3457" s="508" t="str">
        <f t="shared" si="2627"/>
        <v>Green foliage</v>
      </c>
      <c r="Y3457" s="509" t="b">
        <f t="shared" si="2628"/>
        <v>0</v>
      </c>
      <c r="Z3457" s="510">
        <f t="shared" si="2629"/>
        <v>0</v>
      </c>
      <c r="AA3457" s="511"/>
      <c r="AB3457" s="511" t="str">
        <f t="shared" si="2630"/>
        <v/>
      </c>
      <c r="AC3457" s="698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698"/>
      <c r="AE3457" s="631" t="str">
        <f t="shared" si="2631"/>
        <v/>
      </c>
      <c r="AF3457" s="699" t="str">
        <f t="shared" si="2632"/>
        <v/>
      </c>
      <c r="AG3457" s="699"/>
      <c r="AH3457" s="699"/>
      <c r="AI3457" s="512">
        <f>IF(H3457="credit",0,IF(AE3457="free",0,IF(AE3457="me",0,IF(G3457&gt;0,(VLOOKUP(A3457,'Discount Lookup'!J:K,2)*G3457),0))))</f>
        <v>0</v>
      </c>
      <c r="AJ3457" s="513" t="str">
        <f t="shared" ca="1" si="2633"/>
        <v/>
      </c>
      <c r="AK3457" s="700" t="str">
        <f t="shared" si="2634"/>
        <v/>
      </c>
      <c r="AL3457" s="700"/>
      <c r="AM3457" s="505" t="str">
        <f t="shared" si="2635"/>
        <v/>
      </c>
      <c r="AN3457" s="506"/>
      <c r="AO3457" s="507"/>
      <c r="AP3457" s="507"/>
      <c r="AQ3457" s="507"/>
      <c r="AR3457" s="507"/>
      <c r="AS3457" s="507"/>
      <c r="AT3457" s="507"/>
      <c r="AU3457" s="507"/>
      <c r="AV3457" s="225"/>
      <c r="AW3457" s="508"/>
      <c r="AX3457" s="225"/>
      <c r="AY3457" s="225"/>
      <c r="AZ3457" s="225"/>
      <c r="BA3457" s="225"/>
      <c r="BB3457" s="225"/>
      <c r="BC3457" s="56"/>
      <c r="BD3457" s="56"/>
      <c r="BE3457" s="56"/>
      <c r="BF3457" s="107" t="str">
        <f t="shared" si="2636"/>
        <v>https://www.google.com/search?tbm=isch&amp;q=Southern%20Gentleman%20Winterberry%20Holly%20Ilex%20verticillata%20%27Southern%20Gentleman%27</v>
      </c>
      <c r="BG3457" s="107" t="str">
        <f t="shared" si="2637"/>
        <v>S</v>
      </c>
      <c r="BH3457" s="254"/>
      <c r="BI3457" s="254"/>
    </row>
    <row r="3458" spans="1:61" customFormat="1" ht="15.75" x14ac:dyDescent="0.25">
      <c r="A3458" s="276">
        <v>3</v>
      </c>
      <c r="B3458" s="240" t="s">
        <v>291</v>
      </c>
      <c r="C3458" s="241" t="s">
        <v>1784</v>
      </c>
      <c r="D3458" s="242" t="s">
        <v>299</v>
      </c>
      <c r="E3458" s="243">
        <v>30.95</v>
      </c>
      <c r="F3458" s="517" t="s">
        <v>293</v>
      </c>
      <c r="G3458" s="232">
        <v>0</v>
      </c>
      <c r="H3458" s="661" t="str">
        <f>IF(G3458=0,"",IF(F3458="Buy",IF(G3458=1,"plant","plants"),IF(F3458&gt;0.01,"warranty","Error")))</f>
        <v/>
      </c>
      <c r="I3458" s="244">
        <f>IF(H3458="free",0,IF(H3458="credit",((E3458*(F3458))*G3458*-1),IF(F3458="Buy",(E3458*G3458),((E3458*(1-F3458))*G3458))))</f>
        <v>0</v>
      </c>
      <c r="J3458" s="244">
        <f>IF(H3458="warranty",0,(I3458*(_xlfn.SINGLE(SalesTaxPercentage))))</f>
        <v>0</v>
      </c>
      <c r="K3458" s="696">
        <f t="shared" ref="K3458" si="2666">I3458+J3458</f>
        <v>0</v>
      </c>
      <c r="L3458" s="696"/>
      <c r="M3458" s="659" t="str">
        <f>IF(AND(G3458&gt;0,E3458=0),"WARNING - no PRICE inserted",IF(H3458="free"," FREE ~ no charge this plant",IF(H3458="credit",CONCATENATE(" -$",ROUND(K3458*(1-T2GDiscount)*-1,2)," CREDIT after discount"),IF(T2GDiscount=0,"",IF(G3458=0,"",IF(F3458="Buy",CONCATENATE(" $",ROUND(K3458*(1-T2GDiscount),2)," with ",(T2GDiscount*100),"% discount"),CONCATENATE(" $",ROUND(K3458*(1-T2GDiscount),2)," with ",((T2GDiscount*100+F3458*100)-(T2GDiscount*100*F3458)),IF(F3458&gt;0,"% discounts",IF(NoWarrantyDiscount&gt;0,"% discounts","% discount")))))))))</f>
        <v/>
      </c>
      <c r="N3458" s="660"/>
      <c r="O3458" s="233"/>
      <c r="P3458" s="233"/>
      <c r="Q3458" s="233"/>
      <c r="R3458" s="233"/>
      <c r="S3458" s="233"/>
      <c r="T3458" s="508">
        <f t="shared" si="2625"/>
        <v>0</v>
      </c>
      <c r="U3458" s="225">
        <f>IF(NOT(ISNUMBER(G3458)), "", VLOOKUP(A3458,'Discount Lookup'!D:E,2,FALSE)*G3458)</f>
        <v>0</v>
      </c>
      <c r="V3458" s="225">
        <f>IF(NOT(ISNUMBER(G3458)), "", VLOOKUP(A3458,'Discount Lookup'!G:H,2,FALSE)*G3458)</f>
        <v>0</v>
      </c>
      <c r="W3458" s="508">
        <f t="shared" si="2626"/>
        <v>0</v>
      </c>
      <c r="X3458" s="508">
        <f t="shared" si="2627"/>
        <v>0</v>
      </c>
      <c r="Y3458" s="509" t="b">
        <f t="shared" si="2628"/>
        <v>0</v>
      </c>
      <c r="Z3458" s="510">
        <f t="shared" si="2629"/>
        <v>0</v>
      </c>
      <c r="AA3458" s="511"/>
      <c r="AB3458" s="511" t="str">
        <f t="shared" si="2630"/>
        <v/>
      </c>
      <c r="AC3458" s="698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698"/>
      <c r="AE3458" s="631" t="str">
        <f t="shared" si="2631"/>
        <v/>
      </c>
      <c r="AF3458" s="699" t="str">
        <f t="shared" si="2632"/>
        <v/>
      </c>
      <c r="AG3458" s="699"/>
      <c r="AH3458" s="699"/>
      <c r="AI3458" s="512">
        <f>IF(H3458="credit",0,IF(AE3458="free",0,IF(AE3458="me",0,IF(G3458&gt;0,(VLOOKUP(A3458,'Discount Lookup'!J:K,2)*G3458),0))))</f>
        <v>0</v>
      </c>
      <c r="AJ3458" s="513" t="str">
        <f t="shared" ca="1" si="2633"/>
        <v/>
      </c>
      <c r="AK3458" s="700" t="str">
        <f t="shared" si="2634"/>
        <v/>
      </c>
      <c r="AL3458" s="700"/>
      <c r="AM3458" s="505" t="str">
        <f t="shared" si="2635"/>
        <v/>
      </c>
      <c r="AN3458" s="506"/>
      <c r="AO3458" s="507"/>
      <c r="AP3458" s="507"/>
      <c r="AQ3458" s="507"/>
      <c r="AR3458" s="507"/>
      <c r="AS3458" s="507"/>
      <c r="AT3458" s="507"/>
      <c r="AU3458" s="507"/>
      <c r="AV3458" s="225"/>
      <c r="AW3458" s="508"/>
      <c r="AX3458" s="225"/>
      <c r="AY3458" s="225"/>
      <c r="AZ3458" s="225"/>
      <c r="BA3458" s="225"/>
      <c r="BB3458" s="225"/>
      <c r="BC3458" s="56"/>
      <c r="BD3458" s="56"/>
      <c r="BE3458" s="56"/>
      <c r="BF3458" s="107" t="str">
        <f t="shared" si="2636"/>
        <v>https://www.google.com/search?tbm=isch&amp;q=3%20G5</v>
      </c>
      <c r="BG3458" s="107" t="str">
        <f t="shared" si="2637"/>
        <v>S</v>
      </c>
      <c r="BH3458" s="254"/>
      <c r="BI3458" s="254"/>
    </row>
    <row r="3459" spans="1:61" customFormat="1" ht="15.75" x14ac:dyDescent="0.25">
      <c r="A3459" s="276">
        <v>7</v>
      </c>
      <c r="B3459" s="240" t="s">
        <v>291</v>
      </c>
      <c r="C3459" s="241" t="s">
        <v>504</v>
      </c>
      <c r="D3459" s="242" t="s">
        <v>300</v>
      </c>
      <c r="E3459" s="243">
        <v>96.95</v>
      </c>
      <c r="F3459" s="517" t="s">
        <v>293</v>
      </c>
      <c r="G3459" s="232">
        <v>0</v>
      </c>
      <c r="H3459" s="661" t="str">
        <f>IF(G3459=0,"",IF(F3459="Buy",IF(G3459=1,"plant","plants"),IF(F3459&gt;0.01,"warranty","Error")))</f>
        <v/>
      </c>
      <c r="I3459" s="244">
        <f>IF(H3459="free",0,IF(H3459="credit",((E3459*(F3459))*G3459*-1),IF(F3459="Buy",(E3459*G3459),((E3459*(1-F3459))*G3459))))</f>
        <v>0</v>
      </c>
      <c r="J3459" s="244">
        <f>IF(H3459="warranty",0,(I3459*(_xlfn.SINGLE(SalesTaxPercentage))))</f>
        <v>0</v>
      </c>
      <c r="K3459" s="696">
        <f t="shared" ref="K3459" si="2667">I3459+J3459</f>
        <v>0</v>
      </c>
      <c r="L3459" s="696"/>
      <c r="M3459" s="659" t="str">
        <f>IF(AND(G3459&gt;0,E3459=0),"WARNING - no PRICE inserted",IF(H3459="free"," FREE ~ no charge this plant",IF(H3459="credit",CONCATENATE(" -$",ROUND(K3459*(1-T2GDiscount)*-1,2)," CREDIT after discount"),IF(T2GDiscount=0,"",IF(G3459=0,"",IF(F3459="Buy",CONCATENATE(" $",ROUND(K3459*(1-T2GDiscount),2)," with ",(T2GDiscount*100),"% discount"),CONCATENATE(" $",ROUND(K3459*(1-T2GDiscount),2)," with ",((T2GDiscount*100+F3459*100)-(T2GDiscount*100*F3459)),IF(F3459&gt;0,"% discounts",IF(NoWarrantyDiscount&gt;0,"% discounts","% discount")))))))))</f>
        <v/>
      </c>
      <c r="N3459" s="660"/>
      <c r="O3459" s="233"/>
      <c r="P3459" s="233"/>
      <c r="Q3459" s="233"/>
      <c r="R3459" s="233"/>
      <c r="S3459" s="233"/>
      <c r="T3459" s="508">
        <f t="shared" si="2625"/>
        <v>0</v>
      </c>
      <c r="U3459" s="225">
        <f>IF(NOT(ISNUMBER(G3459)), "", VLOOKUP(A3459,'Discount Lookup'!D:E,2,FALSE)*G3459)</f>
        <v>0</v>
      </c>
      <c r="V3459" s="225">
        <f>IF(NOT(ISNUMBER(G3459)), "", VLOOKUP(A3459,'Discount Lookup'!G:H,2,FALSE)*G3459)</f>
        <v>0</v>
      </c>
      <c r="W3459" s="508">
        <f t="shared" si="2626"/>
        <v>0</v>
      </c>
      <c r="X3459" s="508">
        <f t="shared" si="2627"/>
        <v>0</v>
      </c>
      <c r="Y3459" s="509" t="b">
        <f t="shared" si="2628"/>
        <v>0</v>
      </c>
      <c r="Z3459" s="510">
        <f t="shared" si="2629"/>
        <v>0</v>
      </c>
      <c r="AA3459" s="511"/>
      <c r="AB3459" s="511" t="str">
        <f t="shared" si="2630"/>
        <v/>
      </c>
      <c r="AC3459" s="698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698"/>
      <c r="AE3459" s="631" t="str">
        <f t="shared" si="2631"/>
        <v/>
      </c>
      <c r="AF3459" s="699" t="str">
        <f t="shared" si="2632"/>
        <v/>
      </c>
      <c r="AG3459" s="699"/>
      <c r="AH3459" s="699"/>
      <c r="AI3459" s="512">
        <f>IF(H3459="credit",0,IF(AE3459="free",0,IF(AE3459="me",0,IF(G3459&gt;0,(VLOOKUP(A3459,'Discount Lookup'!J:K,2)*G3459),0))))</f>
        <v>0</v>
      </c>
      <c r="AJ3459" s="513" t="str">
        <f t="shared" ca="1" si="2633"/>
        <v/>
      </c>
      <c r="AK3459" s="700" t="str">
        <f t="shared" si="2634"/>
        <v/>
      </c>
      <c r="AL3459" s="700"/>
      <c r="AM3459" s="505" t="str">
        <f t="shared" si="2635"/>
        <v/>
      </c>
      <c r="AN3459" s="506"/>
      <c r="AO3459" s="507"/>
      <c r="AP3459" s="507"/>
      <c r="AQ3459" s="507"/>
      <c r="AR3459" s="507"/>
      <c r="AS3459" s="507"/>
      <c r="AT3459" s="507"/>
      <c r="AU3459" s="507"/>
      <c r="AV3459" s="225"/>
      <c r="AW3459" s="508"/>
      <c r="AX3459" s="225"/>
      <c r="AY3459" s="225"/>
      <c r="AZ3459" s="225"/>
      <c r="BA3459" s="225"/>
      <c r="BB3459" s="225"/>
      <c r="BC3459" s="56"/>
      <c r="BD3459" s="56"/>
      <c r="BE3459" s="56"/>
      <c r="BF3459" s="107" t="str">
        <f t="shared" si="2636"/>
        <v>https://www.google.com/search?tbm=isch&amp;q=7%20G6</v>
      </c>
      <c r="BG3459" s="107" t="str">
        <f t="shared" si="2637"/>
        <v>S</v>
      </c>
      <c r="BH3459" s="254"/>
      <c r="BI3459" s="254"/>
    </row>
    <row r="3460" spans="1:61" customFormat="1" ht="17.25" thickBot="1" x14ac:dyDescent="0.3">
      <c r="A3460" s="673" t="s">
        <v>5237</v>
      </c>
      <c r="B3460" s="245"/>
      <c r="C3460" s="677"/>
      <c r="D3460" s="499"/>
      <c r="E3460" s="499"/>
      <c r="F3460" s="500"/>
      <c r="G3460" s="501"/>
      <c r="H3460" s="502"/>
      <c r="I3460" s="246"/>
      <c r="J3460" s="247"/>
      <c r="K3460" s="503"/>
      <c r="L3460" s="544"/>
      <c r="M3460" s="544"/>
      <c r="N3460" s="500"/>
      <c r="O3460" s="500"/>
      <c r="P3460" s="500"/>
      <c r="Q3460" s="500"/>
      <c r="R3460" s="500"/>
      <c r="S3460" s="669" t="s">
        <v>5008</v>
      </c>
      <c r="T3460" s="508">
        <f t="shared" si="2625"/>
        <v>0</v>
      </c>
      <c r="U3460" s="225" t="str">
        <f>IF(NOT(ISNUMBER(G3460)), "", VLOOKUP(A3460,'Discount Lookup'!D:E,2,FALSE)*G3460)</f>
        <v/>
      </c>
      <c r="V3460" s="225" t="str">
        <f>IF(NOT(ISNUMBER(G3460)), "", VLOOKUP(A3460,'Discount Lookup'!G:H,2,FALSE)*G3460)</f>
        <v/>
      </c>
      <c r="W3460" s="508">
        <f t="shared" si="2626"/>
        <v>0</v>
      </c>
      <c r="X3460" s="508">
        <f t="shared" si="2627"/>
        <v>0</v>
      </c>
      <c r="Y3460" s="509" t="b">
        <f t="shared" si="2628"/>
        <v>0</v>
      </c>
      <c r="Z3460" s="510">
        <f t="shared" si="2629"/>
        <v>0</v>
      </c>
      <c r="AA3460" s="511"/>
      <c r="AB3460" s="511" t="str">
        <f t="shared" si="2630"/>
        <v/>
      </c>
      <c r="AC3460" s="698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698"/>
      <c r="AE3460" s="631" t="str">
        <f t="shared" si="2631"/>
        <v/>
      </c>
      <c r="AF3460" s="699" t="str">
        <f t="shared" si="2632"/>
        <v/>
      </c>
      <c r="AG3460" s="699"/>
      <c r="AH3460" s="699"/>
      <c r="AI3460" s="512">
        <f>IF(H3460="credit",0,IF(AE3460="free",0,IF(AE3460="me",0,IF(G3460&gt;0,(VLOOKUP(A3460,'Discount Lookup'!J:K,2)*G3460),0))))</f>
        <v>0</v>
      </c>
      <c r="AJ3460" s="513" t="str">
        <f t="shared" ca="1" si="2633"/>
        <v/>
      </c>
      <c r="AK3460" s="700" t="str">
        <f t="shared" si="2634"/>
        <v/>
      </c>
      <c r="AL3460" s="700"/>
      <c r="AM3460" s="505" t="str">
        <f t="shared" si="2635"/>
        <v/>
      </c>
      <c r="AN3460" s="506"/>
      <c r="AO3460" s="507"/>
      <c r="AP3460" s="507"/>
      <c r="AQ3460" s="507"/>
      <c r="AR3460" s="507"/>
      <c r="AS3460" s="507"/>
      <c r="AT3460" s="507"/>
      <c r="AU3460" s="507"/>
      <c r="AV3460" s="225"/>
      <c r="AW3460" s="508"/>
      <c r="AX3460" s="225"/>
      <c r="AY3460" s="225"/>
      <c r="AZ3460" s="225"/>
      <c r="BA3460" s="225"/>
      <c r="BB3460" s="225"/>
      <c r="BC3460" s="56"/>
      <c r="BD3460" s="56"/>
      <c r="BE3460" s="56"/>
      <c r="BF3460" s="107" t="str">
        <f t="shared" si="2636"/>
        <v>https://www.google.com/search?tbm=isch&amp;q=wet%20sites%F0%9F%92%A7BEST%2C%20Gentleman%20is%20a%20rare%20male%20pollinator.%20Optimal%20for%20verticilatta%2C%20maybe%20worth%20a%20try%20on%20other%20species%20</v>
      </c>
      <c r="BG3460" s="107" t="str">
        <f t="shared" si="2637"/>
        <v>w</v>
      </c>
      <c r="BH3460" s="254"/>
      <c r="BI3460" s="254"/>
    </row>
    <row r="3461" spans="1:61" customFormat="1" ht="18" x14ac:dyDescent="0.25">
      <c r="A3461" s="521" t="s">
        <v>1785</v>
      </c>
      <c r="B3461" s="477"/>
      <c r="C3461" s="674"/>
      <c r="D3461" s="478" t="s">
        <v>1786</v>
      </c>
      <c r="E3461" s="479"/>
      <c r="F3461" s="479"/>
      <c r="G3461" s="479"/>
      <c r="H3461" s="582" t="s">
        <v>2251</v>
      </c>
      <c r="I3461" s="480" t="s">
        <v>2093</v>
      </c>
      <c r="J3461" s="479"/>
      <c r="K3461" s="479"/>
      <c r="L3461" s="560"/>
      <c r="M3461" s="666" t="s">
        <v>4966</v>
      </c>
      <c r="N3461" s="680" t="str">
        <f>IF(AND(ISTEXT($A3461), ISERROR($A3461+0)), HYPERLINK($BF3461, "Images"), "")</f>
        <v>Images</v>
      </c>
      <c r="O3461" s="662" t="s">
        <v>4969</v>
      </c>
      <c r="P3461" s="482"/>
      <c r="Q3461" s="483"/>
      <c r="R3461" s="483"/>
      <c r="S3461" s="484" t="s">
        <v>305</v>
      </c>
      <c r="T3461" s="508">
        <f t="shared" si="2625"/>
        <v>0</v>
      </c>
      <c r="U3461" s="225" t="str">
        <f>IF(NOT(ISNUMBER(G3461)), "", VLOOKUP(A3461,'Discount Lookup'!D:E,2,FALSE)*G3461)</f>
        <v/>
      </c>
      <c r="V3461" s="225" t="str">
        <f>IF(NOT(ISNUMBER(G3461)), "", VLOOKUP(A3461,'Discount Lookup'!G:H,2,FALSE)*G3461)</f>
        <v/>
      </c>
      <c r="W3461" s="508">
        <f t="shared" si="2626"/>
        <v>0</v>
      </c>
      <c r="X3461" s="508" t="str">
        <f t="shared" si="2627"/>
        <v>Dark Green foliage</v>
      </c>
      <c r="Y3461" s="509" t="b">
        <f t="shared" si="2628"/>
        <v>0</v>
      </c>
      <c r="Z3461" s="510">
        <f t="shared" si="2629"/>
        <v>0</v>
      </c>
      <c r="AA3461" s="511"/>
      <c r="AB3461" s="511" t="str">
        <f t="shared" si="2630"/>
        <v/>
      </c>
      <c r="AC3461" s="698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698"/>
      <c r="AE3461" s="631" t="str">
        <f t="shared" si="2631"/>
        <v/>
      </c>
      <c r="AF3461" s="699" t="str">
        <f t="shared" si="2632"/>
        <v/>
      </c>
      <c r="AG3461" s="699"/>
      <c r="AH3461" s="699"/>
      <c r="AI3461" s="512">
        <f>IF(H3461="credit",0,IF(AE3461="free",0,IF(AE3461="me",0,IF(G3461&gt;0,(VLOOKUP(A3461,'Discount Lookup'!J:K,2)*G3461),0))))</f>
        <v>0</v>
      </c>
      <c r="AJ3461" s="513" t="str">
        <f t="shared" ca="1" si="2633"/>
        <v/>
      </c>
      <c r="AK3461" s="700" t="str">
        <f t="shared" si="2634"/>
        <v/>
      </c>
      <c r="AL3461" s="700"/>
      <c r="AM3461" s="505" t="str">
        <f t="shared" si="2635"/>
        <v/>
      </c>
      <c r="AN3461" s="506"/>
      <c r="AO3461" s="507"/>
      <c r="AP3461" s="507"/>
      <c r="AQ3461" s="507"/>
      <c r="AR3461" s="507"/>
      <c r="AS3461" s="507"/>
      <c r="AT3461" s="507"/>
      <c r="AU3461" s="507"/>
      <c r="AV3461" s="225"/>
      <c r="AW3461" s="508"/>
      <c r="AX3461" s="225"/>
      <c r="AY3461" s="225"/>
      <c r="AZ3461" s="225"/>
      <c r="BA3461" s="225"/>
      <c r="BB3461" s="225"/>
      <c r="BC3461" s="56"/>
      <c r="BD3461" s="56"/>
      <c r="BE3461" s="56"/>
      <c r="BF3461" s="107" t="str">
        <f t="shared" si="2636"/>
        <v>https://www.google.com/search?tbm=isch&amp;q=Southern%20Live%20Oak%20Quercus%20virginiana</v>
      </c>
      <c r="BG3461" s="107" t="str">
        <f t="shared" si="2637"/>
        <v>S</v>
      </c>
      <c r="BH3461" s="254"/>
      <c r="BI3461" s="254"/>
    </row>
    <row r="3462" spans="1:61" customFormat="1" ht="15.75" x14ac:dyDescent="0.25">
      <c r="A3462" s="485">
        <v>7</v>
      </c>
      <c r="B3462" s="486" t="s">
        <v>291</v>
      </c>
      <c r="C3462" s="487" t="s">
        <v>3789</v>
      </c>
      <c r="D3462" s="488" t="s">
        <v>292</v>
      </c>
      <c r="E3462" s="489">
        <v>104.95</v>
      </c>
      <c r="F3462" s="516" t="s">
        <v>293</v>
      </c>
      <c r="G3462" s="232">
        <v>0</v>
      </c>
      <c r="H3462" s="658" t="str">
        <f>IF(G3462=0,"",IF(F3462="Buy",IF(G3462=1,"plant","plants"),IF(F3462&gt;0.01,"warranty","Error")))</f>
        <v/>
      </c>
      <c r="I3462" s="490">
        <f>IF(H3462="free",0,IF(H3462="credit",((E3462*(F3462))*G3462*-1),IF(F3462="Buy",(E3462*G3462),((E3462*(1-F3462))*G3462))))</f>
        <v>0</v>
      </c>
      <c r="J3462" s="490">
        <f>IF(H3462="warranty",0,(I3462*(_xlfn.SINGLE(SalesTaxPercentage))))</f>
        <v>0</v>
      </c>
      <c r="K3462" s="695">
        <f t="shared" ref="K3462" si="2668">I3462+J3462</f>
        <v>0</v>
      </c>
      <c r="L3462" s="695"/>
      <c r="M3462" s="659" t="str">
        <f>IF(AND(G3462&gt;0,E3462=0),"WARNING - no PRICE inserted",IF(H3462="free"," FREE ~ no charge this plant",IF(H3462="credit",CONCATENATE(" -$",ROUND(K3462*(1-T2GDiscount)*-1,2)," CREDIT after discount"),IF(T2GDiscount=0,"",IF(G3462=0,"",IF(F3462="Buy",CONCATENATE(" $",ROUND(K3462*(1-T2GDiscount),2)," with ",(T2GDiscount*100),"% discount"),CONCATENATE(" $",ROUND(K3462*(1-T2GDiscount),2)," with ",((T2GDiscount*100+F3462*100)-(T2GDiscount*100*F3462)),IF(F3462&gt;0,"% discounts",IF(NoWarrantyDiscount&gt;0,"% discounts","% discount")))))))))</f>
        <v/>
      </c>
      <c r="N3462" s="660"/>
      <c r="O3462" s="233"/>
      <c r="P3462" s="233"/>
      <c r="Q3462" s="233"/>
      <c r="R3462" s="233"/>
      <c r="S3462" s="233"/>
      <c r="T3462" s="508">
        <f t="shared" si="2625"/>
        <v>0</v>
      </c>
      <c r="U3462" s="225">
        <f>IF(NOT(ISNUMBER(G3462)), "", VLOOKUP(A3462,'Discount Lookup'!D:E,2,FALSE)*G3462)</f>
        <v>0</v>
      </c>
      <c r="V3462" s="225">
        <f>IF(NOT(ISNUMBER(G3462)), "", VLOOKUP(A3462,'Discount Lookup'!G:H,2,FALSE)*G3462)</f>
        <v>0</v>
      </c>
      <c r="W3462" s="508">
        <f t="shared" si="2626"/>
        <v>0</v>
      </c>
      <c r="X3462" s="508">
        <f t="shared" si="2627"/>
        <v>0</v>
      </c>
      <c r="Y3462" s="509" t="b">
        <f t="shared" si="2628"/>
        <v>0</v>
      </c>
      <c r="Z3462" s="510">
        <f t="shared" si="2629"/>
        <v>0</v>
      </c>
      <c r="AA3462" s="511"/>
      <c r="AB3462" s="511" t="str">
        <f t="shared" si="2630"/>
        <v/>
      </c>
      <c r="AC3462" s="698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698"/>
      <c r="AE3462" s="631" t="str">
        <f t="shared" si="2631"/>
        <v/>
      </c>
      <c r="AF3462" s="699" t="str">
        <f t="shared" si="2632"/>
        <v/>
      </c>
      <c r="AG3462" s="699"/>
      <c r="AH3462" s="699"/>
      <c r="AI3462" s="512">
        <f>IF(H3462="credit",0,IF(AE3462="free",0,IF(AE3462="me",0,IF(G3462&gt;0,(VLOOKUP(A3462,'Discount Lookup'!J:K,2)*G3462),0))))</f>
        <v>0</v>
      </c>
      <c r="AJ3462" s="513" t="str">
        <f t="shared" ca="1" si="2633"/>
        <v/>
      </c>
      <c r="AK3462" s="700" t="str">
        <f t="shared" si="2634"/>
        <v/>
      </c>
      <c r="AL3462" s="700"/>
      <c r="AM3462" s="505" t="str">
        <f t="shared" si="2635"/>
        <v/>
      </c>
      <c r="AN3462" s="506"/>
      <c r="AO3462" s="507"/>
      <c r="AP3462" s="507"/>
      <c r="AQ3462" s="507"/>
      <c r="AR3462" s="507"/>
      <c r="AS3462" s="507"/>
      <c r="AT3462" s="507"/>
      <c r="AU3462" s="507"/>
      <c r="AV3462" s="225"/>
      <c r="AW3462" s="508"/>
      <c r="AX3462" s="225"/>
      <c r="AY3462" s="225"/>
      <c r="AZ3462" s="225"/>
      <c r="BA3462" s="225"/>
      <c r="BB3462" s="225"/>
      <c r="BC3462" s="56"/>
      <c r="BD3462" s="56"/>
      <c r="BE3462" s="56"/>
      <c r="BF3462" s="107" t="str">
        <f t="shared" si="2636"/>
        <v>https://www.google.com/search?tbm=isch&amp;q=7%20G4</v>
      </c>
      <c r="BG3462" s="107" t="str">
        <f t="shared" si="2637"/>
        <v>S</v>
      </c>
      <c r="BH3462" s="254"/>
      <c r="BI3462" s="254"/>
    </row>
    <row r="3463" spans="1:61" customFormat="1" ht="17.25" thickBot="1" x14ac:dyDescent="0.3">
      <c r="A3463" s="672" t="s">
        <v>5238</v>
      </c>
      <c r="B3463" s="491"/>
      <c r="C3463" s="675"/>
      <c r="D3463" s="491"/>
      <c r="E3463" s="491"/>
      <c r="F3463" s="492"/>
      <c r="G3463" s="493"/>
      <c r="H3463" s="491"/>
      <c r="I3463" s="234"/>
      <c r="J3463" s="234"/>
      <c r="K3463" s="494"/>
      <c r="L3463" s="543"/>
      <c r="M3463" s="561"/>
      <c r="N3463" s="495"/>
      <c r="O3463" s="496"/>
      <c r="P3463" s="497"/>
      <c r="Q3463" s="495"/>
      <c r="R3463" s="495"/>
      <c r="S3463" s="667" t="s">
        <v>5027</v>
      </c>
      <c r="T3463" s="508">
        <f t="shared" si="2625"/>
        <v>0</v>
      </c>
      <c r="U3463" s="225" t="str">
        <f>IF(NOT(ISNUMBER(G3463)), "", VLOOKUP(A3463,'Discount Lookup'!D:E,2,FALSE)*G3463)</f>
        <v/>
      </c>
      <c r="V3463" s="225" t="str">
        <f>IF(NOT(ISNUMBER(G3463)), "", VLOOKUP(A3463,'Discount Lookup'!G:H,2,FALSE)*G3463)</f>
        <v/>
      </c>
      <c r="W3463" s="508">
        <f t="shared" si="2626"/>
        <v>0</v>
      </c>
      <c r="X3463" s="508">
        <f t="shared" si="2627"/>
        <v>0</v>
      </c>
      <c r="Y3463" s="509" t="b">
        <f t="shared" si="2628"/>
        <v>0</v>
      </c>
      <c r="Z3463" s="510">
        <f t="shared" si="2629"/>
        <v>0</v>
      </c>
      <c r="AA3463" s="511"/>
      <c r="AB3463" s="511" t="str">
        <f t="shared" si="2630"/>
        <v/>
      </c>
      <c r="AC3463" s="698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698"/>
      <c r="AE3463" s="631" t="str">
        <f t="shared" si="2631"/>
        <v/>
      </c>
      <c r="AF3463" s="699" t="str">
        <f t="shared" si="2632"/>
        <v/>
      </c>
      <c r="AG3463" s="699"/>
      <c r="AH3463" s="699"/>
      <c r="AI3463" s="512">
        <f>IF(H3463="credit",0,IF(AE3463="free",0,IF(AE3463="me",0,IF(G3463&gt;0,(VLOOKUP(A3463,'Discount Lookup'!J:K,2)*G3463),0))))</f>
        <v>0</v>
      </c>
      <c r="AJ3463" s="513" t="str">
        <f t="shared" ca="1" si="2633"/>
        <v/>
      </c>
      <c r="AK3463" s="700" t="str">
        <f t="shared" si="2634"/>
        <v/>
      </c>
      <c r="AL3463" s="700"/>
      <c r="AM3463" s="505" t="str">
        <f t="shared" si="2635"/>
        <v/>
      </c>
      <c r="AN3463" s="506"/>
      <c r="AO3463" s="507"/>
      <c r="AP3463" s="507"/>
      <c r="AQ3463" s="507"/>
      <c r="AR3463" s="507"/>
      <c r="AS3463" s="507"/>
      <c r="AT3463" s="507"/>
      <c r="AU3463" s="507"/>
      <c r="AV3463" s="225"/>
      <c r="AW3463" s="508"/>
      <c r="AX3463" s="225"/>
      <c r="AY3463" s="225"/>
      <c r="AZ3463" s="225"/>
      <c r="BA3463" s="225"/>
      <c r="BB3463" s="225"/>
      <c r="BC3463" s="56"/>
      <c r="BD3463" s="56"/>
      <c r="BE3463" s="56"/>
      <c r="BF3463" s="107" t="str">
        <f t="shared" si="2636"/>
        <v>https://www.google.com/search?tbm=isch&amp;q=moist%20sites%F0%9F%92%A7OK%2C%20Southern%20Live%20Oak%20may%20lose%20foliage%20in%20cold%20winter.%20Often%20grows%20Spanish%20moss%20%28safe%20for%20tree%29.%20Long%20lived%20</v>
      </c>
      <c r="BG3463" s="107" t="str">
        <f t="shared" si="2637"/>
        <v>m</v>
      </c>
      <c r="BH3463" s="254"/>
      <c r="BI3463" s="254"/>
    </row>
    <row r="3464" spans="1:61" customFormat="1" ht="18" x14ac:dyDescent="0.25">
      <c r="A3464" s="521" t="s">
        <v>1787</v>
      </c>
      <c r="B3464" s="477"/>
      <c r="C3464" s="674"/>
      <c r="D3464" s="478" t="s">
        <v>1788</v>
      </c>
      <c r="E3464" s="479"/>
      <c r="F3464" s="479"/>
      <c r="G3464" s="479"/>
      <c r="H3464" s="582" t="s">
        <v>463</v>
      </c>
      <c r="I3464" s="480" t="s">
        <v>2252</v>
      </c>
      <c r="J3464" s="479"/>
      <c r="K3464" s="479"/>
      <c r="L3464" s="560"/>
      <c r="M3464" s="671" t="s">
        <v>4985</v>
      </c>
      <c r="N3464" s="680" t="str">
        <f>IF(AND(ISTEXT($A3464), ISERROR($A3464+0)), HYPERLINK($BF3464, "Images"), "")</f>
        <v>Images</v>
      </c>
      <c r="O3464" s="662" t="s">
        <v>4967</v>
      </c>
      <c r="P3464" s="482"/>
      <c r="Q3464" s="483"/>
      <c r="R3464" s="483"/>
      <c r="S3464" s="484"/>
      <c r="T3464" s="508">
        <f t="shared" si="2625"/>
        <v>0</v>
      </c>
      <c r="U3464" s="225" t="str">
        <f>IF(NOT(ISNUMBER(G3464)), "", VLOOKUP(A3464,'Discount Lookup'!D:E,2,FALSE)*G3464)</f>
        <v/>
      </c>
      <c r="V3464" s="225" t="str">
        <f>IF(NOT(ISNUMBER(G3464)), "", VLOOKUP(A3464,'Discount Lookup'!G:H,2,FALSE)*G3464)</f>
        <v/>
      </c>
      <c r="W3464" s="508">
        <f t="shared" si="2626"/>
        <v>0</v>
      </c>
      <c r="X3464" s="508" t="str">
        <f t="shared" si="2627"/>
        <v>Burgundy-Rose bloom</v>
      </c>
      <c r="Y3464" s="509" t="b">
        <f t="shared" si="2628"/>
        <v>0</v>
      </c>
      <c r="Z3464" s="510">
        <f t="shared" si="2629"/>
        <v>0</v>
      </c>
      <c r="AA3464" s="511"/>
      <c r="AB3464" s="511" t="str">
        <f t="shared" si="2630"/>
        <v/>
      </c>
      <c r="AC3464" s="698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698"/>
      <c r="AE3464" s="631" t="str">
        <f t="shared" si="2631"/>
        <v/>
      </c>
      <c r="AF3464" s="699" t="str">
        <f t="shared" si="2632"/>
        <v/>
      </c>
      <c r="AG3464" s="699"/>
      <c r="AH3464" s="699"/>
      <c r="AI3464" s="512">
        <f>IF(H3464="credit",0,IF(AE3464="free",0,IF(AE3464="me",0,IF(G3464&gt;0,(VLOOKUP(A3464,'Discount Lookup'!J:K,2)*G3464),0))))</f>
        <v>0</v>
      </c>
      <c r="AJ3464" s="513" t="str">
        <f t="shared" ca="1" si="2633"/>
        <v/>
      </c>
      <c r="AK3464" s="700" t="str">
        <f t="shared" si="2634"/>
        <v/>
      </c>
      <c r="AL3464" s="700"/>
      <c r="AM3464" s="505" t="str">
        <f t="shared" si="2635"/>
        <v/>
      </c>
      <c r="AN3464" s="506"/>
      <c r="AO3464" s="507"/>
      <c r="AP3464" s="507"/>
      <c r="AQ3464" s="507"/>
      <c r="AR3464" s="507"/>
      <c r="AS3464" s="507"/>
      <c r="AT3464" s="507"/>
      <c r="AU3464" s="507"/>
      <c r="AV3464" s="225"/>
      <c r="AW3464" s="508"/>
      <c r="AX3464" s="225"/>
      <c r="AY3464" s="225"/>
      <c r="AZ3464" s="225"/>
      <c r="BA3464" s="225"/>
      <c r="BB3464" s="225"/>
      <c r="BC3464" s="56"/>
      <c r="BD3464" s="56"/>
      <c r="BE3464" s="56"/>
      <c r="BF3464" s="107" t="str">
        <f t="shared" si="2636"/>
        <v>https://www.google.com/search?tbm=isch&amp;q=Sparkling%20Burgundy%20Camellia%20Camellia%20sasanqua%20%27Sparkling%20Burgundy%27</v>
      </c>
      <c r="BG3464" s="107" t="str">
        <f t="shared" si="2637"/>
        <v>S</v>
      </c>
      <c r="BH3464" s="254"/>
      <c r="BI3464" s="254"/>
    </row>
    <row r="3465" spans="1:61" customFormat="1" ht="27" x14ac:dyDescent="0.25">
      <c r="A3465" s="485">
        <v>7</v>
      </c>
      <c r="B3465" s="486" t="s">
        <v>291</v>
      </c>
      <c r="C3465" s="487" t="s">
        <v>3790</v>
      </c>
      <c r="D3465" s="488" t="s">
        <v>292</v>
      </c>
      <c r="E3465" s="489">
        <v>104.95</v>
      </c>
      <c r="F3465" s="516" t="s">
        <v>293</v>
      </c>
      <c r="G3465" s="232">
        <v>0</v>
      </c>
      <c r="H3465" s="658" t="str">
        <f>IF(G3465=0,"",IF(F3465="Buy",IF(G3465=1,"plant","plants"),IF(F3465&gt;0.01,"warranty","Error")))</f>
        <v/>
      </c>
      <c r="I3465" s="490">
        <f>IF(H3465="free",0,IF(H3465="credit",((E3465*(F3465))*G3465*-1),IF(F3465="Buy",(E3465*G3465),((E3465*(1-F3465))*G3465))))</f>
        <v>0</v>
      </c>
      <c r="J3465" s="490">
        <f>IF(H3465="warranty",0,(I3465*(_xlfn.SINGLE(SalesTaxPercentage))))</f>
        <v>0</v>
      </c>
      <c r="K3465" s="695">
        <f t="shared" ref="K3465" si="2669">I3465+J3465</f>
        <v>0</v>
      </c>
      <c r="L3465" s="695"/>
      <c r="M3465" s="659" t="str">
        <f>IF(AND(G3465&gt;0,E3465=0),"WARNING - no PRICE inserted",IF(H3465="free"," FREE ~ no charge this plant",IF(H3465="credit",CONCATENATE(" -$",ROUND(K3465*(1-T2GDiscount)*-1,2)," CREDIT after discount"),IF(T2GDiscount=0,"",IF(G3465=0,"",IF(F3465="Buy",CONCATENATE(" $",ROUND(K3465*(1-T2GDiscount),2)," with ",(T2GDiscount*100),"% discount"),CONCATENATE(" $",ROUND(K3465*(1-T2GDiscount),2)," with ",((T2GDiscount*100+F3465*100)-(T2GDiscount*100*F3465)),IF(F3465&gt;0,"% discounts",IF(NoWarrantyDiscount&gt;0,"% discounts","% discount")))))))))</f>
        <v/>
      </c>
      <c r="N3465" s="660"/>
      <c r="O3465" s="233"/>
      <c r="P3465" s="233"/>
      <c r="Q3465" s="233"/>
      <c r="R3465" s="233"/>
      <c r="S3465" s="233"/>
      <c r="T3465" s="508">
        <f t="shared" si="2625"/>
        <v>0</v>
      </c>
      <c r="U3465" s="225">
        <f>IF(NOT(ISNUMBER(G3465)), "", VLOOKUP(A3465,'Discount Lookup'!D:E,2,FALSE)*G3465)</f>
        <v>0</v>
      </c>
      <c r="V3465" s="225">
        <f>IF(NOT(ISNUMBER(G3465)), "", VLOOKUP(A3465,'Discount Lookup'!G:H,2,FALSE)*G3465)</f>
        <v>0</v>
      </c>
      <c r="W3465" s="508">
        <f t="shared" si="2626"/>
        <v>0</v>
      </c>
      <c r="X3465" s="508">
        <f t="shared" si="2627"/>
        <v>0</v>
      </c>
      <c r="Y3465" s="509" t="b">
        <f t="shared" si="2628"/>
        <v>0</v>
      </c>
      <c r="Z3465" s="510">
        <f t="shared" si="2629"/>
        <v>0</v>
      </c>
      <c r="AA3465" s="511"/>
      <c r="AB3465" s="511" t="str">
        <f t="shared" si="2630"/>
        <v/>
      </c>
      <c r="AC3465" s="698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698"/>
      <c r="AE3465" s="631" t="str">
        <f t="shared" si="2631"/>
        <v/>
      </c>
      <c r="AF3465" s="699" t="str">
        <f t="shared" si="2632"/>
        <v/>
      </c>
      <c r="AG3465" s="699"/>
      <c r="AH3465" s="699"/>
      <c r="AI3465" s="512">
        <f>IF(H3465="credit",0,IF(AE3465="free",0,IF(AE3465="me",0,IF(G3465&gt;0,(VLOOKUP(A3465,'Discount Lookup'!J:K,2)*G3465),0))))</f>
        <v>0</v>
      </c>
      <c r="AJ3465" s="513" t="str">
        <f t="shared" ca="1" si="2633"/>
        <v/>
      </c>
      <c r="AK3465" s="700" t="str">
        <f t="shared" si="2634"/>
        <v/>
      </c>
      <c r="AL3465" s="700"/>
      <c r="AM3465" s="505" t="str">
        <f t="shared" si="2635"/>
        <v/>
      </c>
      <c r="AN3465" s="506"/>
      <c r="AO3465" s="507"/>
      <c r="AP3465" s="507"/>
      <c r="AQ3465" s="507"/>
      <c r="AR3465" s="507"/>
      <c r="AS3465" s="507"/>
      <c r="AT3465" s="507"/>
      <c r="AU3465" s="507"/>
      <c r="AV3465" s="225"/>
      <c r="AW3465" s="508"/>
      <c r="AX3465" s="225"/>
      <c r="AY3465" s="225"/>
      <c r="AZ3465" s="225"/>
      <c r="BA3465" s="225"/>
      <c r="BB3465" s="225"/>
      <c r="BC3465" s="56"/>
      <c r="BD3465" s="56"/>
      <c r="BE3465" s="56"/>
      <c r="BF3465" s="107" t="str">
        <f t="shared" si="2636"/>
        <v>https://www.google.com/search?tbm=isch&amp;q=7%20G4</v>
      </c>
      <c r="BG3465" s="107" t="str">
        <f t="shared" si="2637"/>
        <v>S</v>
      </c>
      <c r="BH3465" s="254"/>
      <c r="BI3465" s="254"/>
    </row>
    <row r="3466" spans="1:61" customFormat="1" ht="17.25" thickBot="1" x14ac:dyDescent="0.3">
      <c r="A3466" s="672" t="s">
        <v>5239</v>
      </c>
      <c r="B3466" s="491"/>
      <c r="C3466" s="675"/>
      <c r="D3466" s="491"/>
      <c r="E3466" s="491"/>
      <c r="F3466" s="492"/>
      <c r="G3466" s="493"/>
      <c r="H3466" s="491"/>
      <c r="I3466" s="234"/>
      <c r="J3466" s="234"/>
      <c r="K3466" s="494"/>
      <c r="L3466" s="543"/>
      <c r="M3466" s="561"/>
      <c r="N3466" s="495"/>
      <c r="O3466" s="496"/>
      <c r="P3466" s="497"/>
      <c r="Q3466" s="495"/>
      <c r="R3466" s="495"/>
      <c r="S3466" s="667" t="s">
        <v>4986</v>
      </c>
      <c r="T3466" s="508">
        <f t="shared" si="2625"/>
        <v>0</v>
      </c>
      <c r="U3466" s="225" t="str">
        <f>IF(NOT(ISNUMBER(G3466)), "", VLOOKUP(A3466,'Discount Lookup'!D:E,2,FALSE)*G3466)</f>
        <v/>
      </c>
      <c r="V3466" s="225" t="str">
        <f>IF(NOT(ISNUMBER(G3466)), "", VLOOKUP(A3466,'Discount Lookup'!G:H,2,FALSE)*G3466)</f>
        <v/>
      </c>
      <c r="W3466" s="508">
        <f t="shared" si="2626"/>
        <v>0</v>
      </c>
      <c r="X3466" s="508">
        <f t="shared" si="2627"/>
        <v>0</v>
      </c>
      <c r="Y3466" s="509" t="b">
        <f t="shared" si="2628"/>
        <v>0</v>
      </c>
      <c r="Z3466" s="510">
        <f t="shared" si="2629"/>
        <v>0</v>
      </c>
      <c r="AA3466" s="511"/>
      <c r="AB3466" s="511" t="str">
        <f t="shared" si="2630"/>
        <v/>
      </c>
      <c r="AC3466" s="698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698"/>
      <c r="AE3466" s="631" t="str">
        <f t="shared" si="2631"/>
        <v/>
      </c>
      <c r="AF3466" s="699" t="str">
        <f t="shared" si="2632"/>
        <v/>
      </c>
      <c r="AG3466" s="699"/>
      <c r="AH3466" s="699"/>
      <c r="AI3466" s="512">
        <f>IF(H3466="credit",0,IF(AE3466="free",0,IF(AE3466="me",0,IF(G3466&gt;0,(VLOOKUP(A3466,'Discount Lookup'!J:K,2)*G3466),0))))</f>
        <v>0</v>
      </c>
      <c r="AJ3466" s="513" t="str">
        <f t="shared" ca="1" si="2633"/>
        <v/>
      </c>
      <c r="AK3466" s="700" t="str">
        <f t="shared" si="2634"/>
        <v/>
      </c>
      <c r="AL3466" s="700"/>
      <c r="AM3466" s="505" t="str">
        <f t="shared" si="2635"/>
        <v/>
      </c>
      <c r="AN3466" s="506"/>
      <c r="AO3466" s="507"/>
      <c r="AP3466" s="507"/>
      <c r="AQ3466" s="507"/>
      <c r="AR3466" s="507"/>
      <c r="AS3466" s="507"/>
      <c r="AT3466" s="507"/>
      <c r="AU3466" s="507"/>
      <c r="AV3466" s="225"/>
      <c r="AW3466" s="508"/>
      <c r="AX3466" s="225"/>
      <c r="AY3466" s="225"/>
      <c r="AZ3466" s="225"/>
      <c r="BA3466" s="225"/>
      <c r="BB3466" s="225"/>
      <c r="BC3466" s="56"/>
      <c r="BD3466" s="56"/>
      <c r="BE3466" s="56"/>
      <c r="BF3466" s="107" t="str">
        <f t="shared" si="2636"/>
        <v>https://www.google.com/search?tbm=isch&amp;q=moist%20sites%F0%9F%92%A7OK%2C%20Sparkling%20Burgundy%20offers%20beautiful%2C%20fragrant%20flowers%20in%20late%20fall%20and%20early%20winter%20on%20glossy%20evergreen%20foliage%20</v>
      </c>
      <c r="BG3466" s="107" t="str">
        <f t="shared" si="2637"/>
        <v>m</v>
      </c>
      <c r="BH3466" s="254"/>
      <c r="BI3466" s="254"/>
    </row>
    <row r="3467" spans="1:61" customFormat="1" ht="18" x14ac:dyDescent="0.25">
      <c r="A3467" s="523" t="s">
        <v>5541</v>
      </c>
      <c r="B3467" s="235"/>
      <c r="C3467" s="676"/>
      <c r="D3467" s="255" t="s">
        <v>1789</v>
      </c>
      <c r="E3467" s="236"/>
      <c r="F3467" s="236"/>
      <c r="G3467" s="236"/>
      <c r="H3467" s="582" t="s">
        <v>326</v>
      </c>
      <c r="I3467" s="498" t="s">
        <v>2253</v>
      </c>
      <c r="J3467" s="237"/>
      <c r="K3467" s="237"/>
      <c r="L3467" s="274"/>
      <c r="M3467" s="668" t="s">
        <v>4975</v>
      </c>
      <c r="N3467" s="681" t="str">
        <f>IF(AND(ISTEXT($A3467), ISERROR($A3467+0)), HYPERLINK($BF3467, "Images"), "")</f>
        <v>Images</v>
      </c>
      <c r="O3467" s="663" t="s">
        <v>4967</v>
      </c>
      <c r="P3467" s="253"/>
      <c r="Q3467" s="238"/>
      <c r="R3467" s="239"/>
      <c r="S3467" s="275" t="s">
        <v>305</v>
      </c>
      <c r="T3467" s="508">
        <f t="shared" si="2625"/>
        <v>0</v>
      </c>
      <c r="U3467" s="225" t="str">
        <f>IF(NOT(ISNUMBER(G3467)), "", VLOOKUP(A3467,'Discount Lookup'!D:E,2,FALSE)*G3467)</f>
        <v/>
      </c>
      <c r="V3467" s="225" t="str">
        <f>IF(NOT(ISNUMBER(G3467)), "", VLOOKUP(A3467,'Discount Lookup'!G:H,2,FALSE)*G3467)</f>
        <v/>
      </c>
      <c r="W3467" s="508">
        <f t="shared" si="2626"/>
        <v>0</v>
      </c>
      <c r="X3467" s="508" t="str">
        <f t="shared" si="2627"/>
        <v>Pink-Purple bloom</v>
      </c>
      <c r="Y3467" s="509" t="b">
        <f t="shared" si="2628"/>
        <v>0</v>
      </c>
      <c r="Z3467" s="510">
        <f t="shared" si="2629"/>
        <v>0</v>
      </c>
      <c r="AA3467" s="511"/>
      <c r="AB3467" s="511" t="str">
        <f t="shared" si="2630"/>
        <v/>
      </c>
      <c r="AC3467" s="698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698"/>
      <c r="AE3467" s="631" t="str">
        <f t="shared" si="2631"/>
        <v/>
      </c>
      <c r="AF3467" s="699" t="str">
        <f t="shared" si="2632"/>
        <v/>
      </c>
      <c r="AG3467" s="699"/>
      <c r="AH3467" s="699"/>
      <c r="AI3467" s="512">
        <f>IF(H3467="credit",0,IF(AE3467="free",0,IF(AE3467="me",0,IF(G3467&gt;0,(VLOOKUP(A3467,'Discount Lookup'!J:K,2)*G3467),0))))</f>
        <v>0</v>
      </c>
      <c r="AJ3467" s="513" t="str">
        <f t="shared" ca="1" si="2633"/>
        <v/>
      </c>
      <c r="AK3467" s="700" t="str">
        <f t="shared" si="2634"/>
        <v/>
      </c>
      <c r="AL3467" s="700"/>
      <c r="AM3467" s="505" t="str">
        <f t="shared" si="2635"/>
        <v/>
      </c>
      <c r="AN3467" s="506"/>
      <c r="AO3467" s="507"/>
      <c r="AP3467" s="507"/>
      <c r="AQ3467" s="507"/>
      <c r="AR3467" s="507"/>
      <c r="AS3467" s="507"/>
      <c r="AT3467" s="507"/>
      <c r="AU3467" s="507"/>
      <c r="AV3467" s="225"/>
      <c r="AW3467" s="508"/>
      <c r="AX3467" s="225"/>
      <c r="AY3467" s="225"/>
      <c r="AZ3467" s="225"/>
      <c r="BA3467" s="225"/>
      <c r="BB3467" s="225"/>
      <c r="BC3467" s="56"/>
      <c r="BD3467" s="56"/>
      <c r="BE3467" s="56"/>
      <c r="BF3467" s="107" t="str">
        <f t="shared" si="2636"/>
        <v>https://www.google.com/search?tbm=isch&amp;q=Sparkling%20Wine%E2%84%A2%20Redbud%20Cercis%20canadensis%20%27JN7%27</v>
      </c>
      <c r="BG3467" s="107" t="str">
        <f t="shared" si="2637"/>
        <v>S</v>
      </c>
      <c r="BH3467" s="254"/>
      <c r="BI3467" s="254"/>
    </row>
    <row r="3468" spans="1:61" customFormat="1" ht="15.75" x14ac:dyDescent="0.25">
      <c r="A3468" s="276">
        <v>7</v>
      </c>
      <c r="B3468" s="240" t="s">
        <v>291</v>
      </c>
      <c r="C3468" s="241" t="s">
        <v>3791</v>
      </c>
      <c r="D3468" s="242" t="s">
        <v>292</v>
      </c>
      <c r="E3468" s="243">
        <v>104.95</v>
      </c>
      <c r="F3468" s="517" t="s">
        <v>293</v>
      </c>
      <c r="G3468" s="232">
        <v>0</v>
      </c>
      <c r="H3468" s="661" t="str">
        <f>IF(G3468=0,"",IF(F3468="Buy",IF(G3468=1,"plant","plants"),IF(F3468&gt;0.01,"warranty","Error")))</f>
        <v/>
      </c>
      <c r="I3468" s="244">
        <f>IF(H3468="free",0,IF(H3468="credit",((E3468*(F3468))*G3468*-1),IF(F3468="Buy",(E3468*G3468),((E3468*(1-F3468))*G3468))))</f>
        <v>0</v>
      </c>
      <c r="J3468" s="244">
        <f>IF(H3468="warranty",0,(I3468*(_xlfn.SINGLE(SalesTaxPercentage))))</f>
        <v>0</v>
      </c>
      <c r="K3468" s="696">
        <f t="shared" ref="K3468" si="2670">I3468+J3468</f>
        <v>0</v>
      </c>
      <c r="L3468" s="696"/>
      <c r="M3468" s="659" t="str">
        <f>IF(AND(G3468&gt;0,E3468=0),"WARNING - no PRICE inserted",IF(H3468="free"," FREE ~ no charge this plant",IF(H3468="credit",CONCATENATE(" -$",ROUND(K3468*(1-T2GDiscount)*-1,2)," CREDIT after discount"),IF(T2GDiscount=0,"",IF(G3468=0,"",IF(F3468="Buy",CONCATENATE(" $",ROUND(K3468*(1-T2GDiscount),2)," with ",(T2GDiscount*100),"% discount"),CONCATENATE(" $",ROUND(K3468*(1-T2GDiscount),2)," with ",((T2GDiscount*100+F3468*100)-(T2GDiscount*100*F3468)),IF(F3468&gt;0,"% discounts",IF(NoWarrantyDiscount&gt;0,"% discounts","% discount")))))))))</f>
        <v/>
      </c>
      <c r="N3468" s="660"/>
      <c r="O3468" s="233"/>
      <c r="P3468" s="233"/>
      <c r="Q3468" s="233"/>
      <c r="R3468" s="233"/>
      <c r="S3468" s="233"/>
      <c r="T3468" s="508">
        <f t="shared" si="2625"/>
        <v>0</v>
      </c>
      <c r="U3468" s="225">
        <f>IF(NOT(ISNUMBER(G3468)), "", VLOOKUP(A3468,'Discount Lookup'!D:E,2,FALSE)*G3468)</f>
        <v>0</v>
      </c>
      <c r="V3468" s="225">
        <f>IF(NOT(ISNUMBER(G3468)), "", VLOOKUP(A3468,'Discount Lookup'!G:H,2,FALSE)*G3468)</f>
        <v>0</v>
      </c>
      <c r="W3468" s="508">
        <f t="shared" si="2626"/>
        <v>0</v>
      </c>
      <c r="X3468" s="508">
        <f t="shared" si="2627"/>
        <v>0</v>
      </c>
      <c r="Y3468" s="509" t="b">
        <f t="shared" si="2628"/>
        <v>0</v>
      </c>
      <c r="Z3468" s="510">
        <f t="shared" si="2629"/>
        <v>0</v>
      </c>
      <c r="AA3468" s="511"/>
      <c r="AB3468" s="511" t="str">
        <f t="shared" si="2630"/>
        <v/>
      </c>
      <c r="AC3468" s="698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698"/>
      <c r="AE3468" s="631" t="str">
        <f t="shared" si="2631"/>
        <v/>
      </c>
      <c r="AF3468" s="699" t="str">
        <f t="shared" si="2632"/>
        <v/>
      </c>
      <c r="AG3468" s="699"/>
      <c r="AH3468" s="699"/>
      <c r="AI3468" s="512">
        <f>IF(H3468="credit",0,IF(AE3468="free",0,IF(AE3468="me",0,IF(G3468&gt;0,(VLOOKUP(A3468,'Discount Lookup'!J:K,2)*G3468),0))))</f>
        <v>0</v>
      </c>
      <c r="AJ3468" s="513" t="str">
        <f t="shared" ca="1" si="2633"/>
        <v/>
      </c>
      <c r="AK3468" s="700" t="str">
        <f t="shared" si="2634"/>
        <v/>
      </c>
      <c r="AL3468" s="700"/>
      <c r="AM3468" s="505" t="str">
        <f t="shared" si="2635"/>
        <v/>
      </c>
      <c r="AN3468" s="506"/>
      <c r="AO3468" s="507"/>
      <c r="AP3468" s="507"/>
      <c r="AQ3468" s="507"/>
      <c r="AR3468" s="507"/>
      <c r="AS3468" s="507"/>
      <c r="AT3468" s="507"/>
      <c r="AU3468" s="507"/>
      <c r="AV3468" s="225"/>
      <c r="AW3468" s="508"/>
      <c r="AX3468" s="225"/>
      <c r="AY3468" s="225"/>
      <c r="AZ3468" s="225"/>
      <c r="BA3468" s="225"/>
      <c r="BB3468" s="225"/>
      <c r="BC3468" s="56"/>
      <c r="BD3468" s="56"/>
      <c r="BE3468" s="56"/>
      <c r="BF3468" s="107" t="str">
        <f t="shared" si="2636"/>
        <v>https://www.google.com/search?tbm=isch&amp;q=7%20G4</v>
      </c>
      <c r="BG3468" s="107" t="str">
        <f t="shared" si="2637"/>
        <v>S</v>
      </c>
      <c r="BH3468" s="254"/>
      <c r="BI3468" s="254"/>
    </row>
    <row r="3469" spans="1:61" customFormat="1" ht="17.25" thickBot="1" x14ac:dyDescent="0.3">
      <c r="A3469" s="524" t="s">
        <v>4167</v>
      </c>
      <c r="B3469" s="245"/>
      <c r="C3469" s="677"/>
      <c r="D3469" s="499"/>
      <c r="E3469" s="499"/>
      <c r="F3469" s="500"/>
      <c r="G3469" s="501"/>
      <c r="H3469" s="502"/>
      <c r="I3469" s="246"/>
      <c r="J3469" s="247"/>
      <c r="K3469" s="503"/>
      <c r="L3469" s="544"/>
      <c r="M3469" s="544"/>
      <c r="N3469" s="500"/>
      <c r="O3469" s="500"/>
      <c r="P3469" s="500"/>
      <c r="Q3469" s="500"/>
      <c r="R3469" s="500"/>
      <c r="S3469" s="669" t="s">
        <v>4996</v>
      </c>
      <c r="T3469" s="508">
        <f t="shared" si="2625"/>
        <v>0</v>
      </c>
      <c r="U3469" s="225" t="str">
        <f>IF(NOT(ISNUMBER(G3469)), "", VLOOKUP(A3469,'Discount Lookup'!D:E,2,FALSE)*G3469)</f>
        <v/>
      </c>
      <c r="V3469" s="225" t="str">
        <f>IF(NOT(ISNUMBER(G3469)), "", VLOOKUP(A3469,'Discount Lookup'!G:H,2,FALSE)*G3469)</f>
        <v/>
      </c>
      <c r="W3469" s="508">
        <f t="shared" si="2626"/>
        <v>0</v>
      </c>
      <c r="X3469" s="508">
        <f t="shared" si="2627"/>
        <v>0</v>
      </c>
      <c r="Y3469" s="509" t="b">
        <f t="shared" si="2628"/>
        <v>0</v>
      </c>
      <c r="Z3469" s="510">
        <f t="shared" si="2629"/>
        <v>0</v>
      </c>
      <c r="AA3469" s="511"/>
      <c r="AB3469" s="511" t="str">
        <f t="shared" si="2630"/>
        <v/>
      </c>
      <c r="AC3469" s="698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698"/>
      <c r="AE3469" s="631" t="str">
        <f t="shared" si="2631"/>
        <v/>
      </c>
      <c r="AF3469" s="699" t="str">
        <f t="shared" si="2632"/>
        <v/>
      </c>
      <c r="AG3469" s="699"/>
      <c r="AH3469" s="699"/>
      <c r="AI3469" s="512">
        <f>IF(H3469="credit",0,IF(AE3469="free",0,IF(AE3469="me",0,IF(G3469&gt;0,(VLOOKUP(A3469,'Discount Lookup'!J:K,2)*G3469),0))))</f>
        <v>0</v>
      </c>
      <c r="AJ3469" s="513" t="str">
        <f t="shared" ca="1" si="2633"/>
        <v/>
      </c>
      <c r="AK3469" s="700" t="str">
        <f t="shared" si="2634"/>
        <v/>
      </c>
      <c r="AL3469" s="700"/>
      <c r="AM3469" s="505" t="str">
        <f t="shared" si="2635"/>
        <v/>
      </c>
      <c r="AN3469" s="506"/>
      <c r="AO3469" s="507"/>
      <c r="AP3469" s="507"/>
      <c r="AQ3469" s="507"/>
      <c r="AR3469" s="507"/>
      <c r="AS3469" s="507"/>
      <c r="AT3469" s="507"/>
      <c r="AU3469" s="507"/>
      <c r="AV3469" s="225"/>
      <c r="AW3469" s="508"/>
      <c r="AX3469" s="225"/>
      <c r="AY3469" s="225"/>
      <c r="AZ3469" s="225"/>
      <c r="BA3469" s="225"/>
      <c r="BB3469" s="225"/>
      <c r="BC3469" s="56"/>
      <c r="BD3469" s="56"/>
      <c r="BE3469" s="56"/>
      <c r="BF3469" s="107" t="str">
        <f t="shared" si="2636"/>
        <v>https://www.google.com/search?tbm=isch&amp;q=Sparkling%20Wine%20named%20for%20shimmering%2C%20variegated%20new%20foliage%2C%20emerging%20with%20an%20Orange-Red%20hue%2C%20that%20holds%20well%20through%20summer%20</v>
      </c>
      <c r="BG3469" s="107" t="str">
        <f t="shared" si="2637"/>
        <v>S</v>
      </c>
      <c r="BH3469" s="254"/>
      <c r="BI3469" s="254"/>
    </row>
    <row r="3470" spans="1:61" customFormat="1" ht="18" x14ac:dyDescent="0.25">
      <c r="A3470" s="521" t="s">
        <v>4568</v>
      </c>
      <c r="B3470" s="477"/>
      <c r="C3470" s="674"/>
      <c r="D3470" s="478" t="s">
        <v>4569</v>
      </c>
      <c r="E3470" s="479"/>
      <c r="F3470" s="479"/>
      <c r="G3470" s="479"/>
      <c r="H3470" s="582" t="s">
        <v>441</v>
      </c>
      <c r="I3470" s="480" t="s">
        <v>654</v>
      </c>
      <c r="J3470" s="479"/>
      <c r="K3470" s="479"/>
      <c r="L3470" s="560"/>
      <c r="M3470" s="666" t="s">
        <v>4966</v>
      </c>
      <c r="N3470" s="680" t="str">
        <f>IF(AND(ISTEXT($A3470), ISERROR($A3470+0)), HYPERLINK($BF3470, "Images"), "")</f>
        <v>Images</v>
      </c>
      <c r="O3470" s="662" t="s">
        <v>4974</v>
      </c>
      <c r="P3470" s="482"/>
      <c r="Q3470" s="483"/>
      <c r="R3470" s="483"/>
      <c r="S3470" s="484"/>
      <c r="T3470" s="508">
        <f t="shared" ref="T3470:T3533" si="2671">E3470*G3470</f>
        <v>0</v>
      </c>
      <c r="U3470" s="225" t="str">
        <f>IF(NOT(ISNUMBER(G3470)), "", VLOOKUP(A3470,'Discount Lookup'!D:E,2,FALSE)*G3470)</f>
        <v/>
      </c>
      <c r="V3470" s="225" t="str">
        <f>IF(NOT(ISNUMBER(G3470)), "", VLOOKUP(A3470,'Discount Lookup'!G:H,2,FALSE)*G3470)</f>
        <v/>
      </c>
      <c r="W3470" s="508">
        <f t="shared" ref="W3470:W3533" si="2672">IF(H3470="credit",0,E3470*(SalesTaxPercentage)*G3470)</f>
        <v>0</v>
      </c>
      <c r="X3470" s="508" t="str">
        <f t="shared" ref="X3470:X3533" si="2673">I3470</f>
        <v>White bloom</v>
      </c>
      <c r="Y3470" s="509" t="b">
        <f t="shared" ref="Y3470:Y3533" si="2674">IF(AE3470="T2G",0,IF(H3470="credit",0,IF(G3470&gt;0,IF(AE3470="me","",G3470))))</f>
        <v>0</v>
      </c>
      <c r="Z3470" s="510">
        <f t="shared" ref="Z3470:Z3533" si="2675">IF(H3470="credit",G3470,0)</f>
        <v>0</v>
      </c>
      <c r="AA3470" s="511"/>
      <c r="AB3470" s="511" t="str">
        <f t="shared" ref="AB3470:AB3533" si="2676">IF(AE3470="T2G","by Trees2Go",IF(H3470="credit","CREDIT only ~",IF(AND(K3470="",AE3470=OR(PlanterYesMe="No",PlanterYesMe="N",PlanterYesMe="me")),"not THIS line⇨",IF(AND(K3470="images",AE3470="me"),"not THIS line⇨",IF(H3470="credit","",IF(G3470=0,"",IF(AE3470="me","",IF(OR(PlanterYesMe="No",PlanterYesMe="N",PlanterYesMe="me"),"",IF(AE3470="free","warranty",IF(OR(PlanterYesMe="yes",PlanterYesMe="y"),"Edison install:","to install:"))))))))))</f>
        <v/>
      </c>
      <c r="AC3470" s="698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698"/>
      <c r="AE3470" s="631" t="str">
        <f t="shared" ref="AE3470:AE3533" si="2677">IF(H3470="credit","",IF(G3470=0,"",IF(OR(PlanterYesMe="No",PlanterYesMe="N",PlanterYesMe="me"),"me",IF(H3470="warranty","free",IF(OR(PlanterYesMe="yes",PlanterYesMe="y"),"ELP","")))))</f>
        <v/>
      </c>
      <c r="AF3470" s="699" t="str">
        <f t="shared" ref="AF3470:AF3533" si="2678">IF(OR(PlanterYesMe="No",PlanterYesMe="N",PlanterYesMe="me"),"",IF(H3470="credit","",IF(G3470&gt;0,(CONCATENATE((G3470)," quantity, ",(A3470)," ",B3470)),"")))</f>
        <v/>
      </c>
      <c r="AG3470" s="699"/>
      <c r="AH3470" s="699"/>
      <c r="AI3470" s="512">
        <f>IF(H3470="credit",0,IF(AE3470="free",0,IF(AE3470="me",0,IF(G3470&gt;0,(VLOOKUP(A3470,'Discount Lookup'!J:K,2)*G3470),0))))</f>
        <v>0</v>
      </c>
      <c r="AJ3470" s="513" t="str">
        <f t="shared" ref="AJ3470:AJ3533" ca="1" si="2679">IF(AND(ISREF(H3470),H3470="credit"),"",IF(AND(AND(OFFSET(G3470,0,0)=0,OFFSET(G3470,1,0)&gt;0,ISNUMBER(OFFSET(AC3470,1,0)),OFFSET(AC3470,1,0)&gt;0),OR(PlanterYesMe="yes",PlanterYesMe="y")),"T2G+ELP=",IF(AND(OFFSET(G3470,0,0)=0,OFFSET(G3470,1,0)&gt;0,ISNUMBER(OFFSET(AC3470,1,0)),OFFSET(AC3470,1,0)&gt;0),"if T2G+ELP=",IF(AND(OFFSET(G3470,0,0)=0,OFFSET(G3470,1,0)&gt;0),"T2G Subtotal",IF(H3470="credit","",IF(G3470=0,"",IF(AE3470="free",(K3470*(1-T2GDiscount)),IF(OR(PlanterYesMe="No",PlanterYesMe="N",PlanterYesMe="me"),(K3470*(1-T2GDiscount)),IF(OR(AE3470="me",AE3470="T2G"),(K3470*(1-T2GDiscount)),(K3470*(1-T2GDiscount))+AC3470)))))))))</f>
        <v/>
      </c>
      <c r="AK3470" s="700" t="str">
        <f t="shared" ref="AK3470:AK3533" si="2680">IF(H3470="credit","",IF(G3470=0,"",IF(OR(AE3470="me",AE3470="T2G"),"  delivery-only",IF(OR(PlanterYesMe="No",PlanterYesMe="N",PlanterYesMe="me"),"  delivery-only",CONCATENATE(" $",ROUND(AJ3470/G3470,2)," each")))))</f>
        <v/>
      </c>
      <c r="AL3470" s="700"/>
      <c r="AM3470" s="505" t="str">
        <f t="shared" ref="AM3470:AM3533" si="2681">IF(H3470="credit","",IF(AE3470="free","      ~ discounts included, no tax or planting fee applies ~",IF(G3470=0,"",IF(OR(PlanterYesMe="No",PlanterYesMe="N",PlanterYesMe="me"),CONCATENATE(" $",ROUND(AJ3470/G3470,2)," per plant, with tax &amp; discount"),IF(OR(AE3470="me",AE3470="T2G"),CONCATENATE(" $",ROUND(AJ3470/G3470,2)," per plant, with tax &amp; discount"),CONCATENATE("= $",ROUND((K3470*(1-T2GDiscount))/G3470,2)," per plant + $",AC3470/G3470,(" per planting      ~ includes tax &amp; discounts ~")))))))</f>
        <v/>
      </c>
      <c r="AN3470" s="506"/>
      <c r="AO3470" s="507"/>
      <c r="AP3470" s="507"/>
      <c r="AQ3470" s="507"/>
      <c r="AR3470" s="507"/>
      <c r="AS3470" s="507"/>
      <c r="AT3470" s="507"/>
      <c r="AU3470" s="507"/>
      <c r="AV3470" s="225"/>
      <c r="AW3470" s="508"/>
      <c r="AX3470" s="225"/>
      <c r="AY3470" s="225"/>
      <c r="AZ3470" s="225"/>
      <c r="BA3470" s="225"/>
      <c r="BB3470" s="225"/>
      <c r="BC3470" s="56"/>
      <c r="BD3470" s="56"/>
      <c r="BE3470" s="56"/>
      <c r="BF3470" s="107" t="str">
        <f t="shared" ref="BF3470:BF3533" si="2682">"https://www.google.com/search?tbm=isch&amp;q=" &amp; _xlfn.ENCODEURL($A3470 &amp; " " &amp; $D3470)</f>
        <v>https://www.google.com/search?tbm=isch&amp;q=Sparks%20Gardenia%20Gardenia%20jasminoides%20%27Sparks%27%20PP%2322105</v>
      </c>
      <c r="BG3470" s="107" t="str">
        <f t="shared" ref="BG3470:BG3533" si="2683">IF(ISTEXT(A3470),LEFT(A3470,1),BG3469)</f>
        <v>S</v>
      </c>
      <c r="BH3470" s="254"/>
      <c r="BI3470" s="254"/>
    </row>
    <row r="3471" spans="1:61" customFormat="1" ht="15.75" x14ac:dyDescent="0.25">
      <c r="A3471" s="485">
        <v>3</v>
      </c>
      <c r="B3471" s="486" t="s">
        <v>291</v>
      </c>
      <c r="C3471" s="487" t="s">
        <v>4570</v>
      </c>
      <c r="D3471" s="488" t="s">
        <v>312</v>
      </c>
      <c r="E3471" s="489">
        <v>43.95</v>
      </c>
      <c r="F3471" s="516" t="s">
        <v>293</v>
      </c>
      <c r="G3471" s="232">
        <v>0</v>
      </c>
      <c r="H3471" s="658" t="str">
        <f>IF(G3471=0,"",IF(F3471="Buy",IF(G3471=1,"plant","plants"),IF(F3471&gt;0.01,"warranty","Error")))</f>
        <v/>
      </c>
      <c r="I3471" s="490">
        <f>IF(H3471="free",0,IF(H3471="credit",((E3471*(F3471))*G3471*-1),IF(F3471="Buy",(E3471*G3471),((E3471*(1-F3471))*G3471))))</f>
        <v>0</v>
      </c>
      <c r="J3471" s="490">
        <f>IF(H3471="warranty",0,(I3471*(_xlfn.SINGLE(SalesTaxPercentage))))</f>
        <v>0</v>
      </c>
      <c r="K3471" s="695">
        <f t="shared" ref="K3471" si="2684">I3471+J3471</f>
        <v>0</v>
      </c>
      <c r="L3471" s="695"/>
      <c r="M3471" s="659" t="str">
        <f>IF(AND(G3471&gt;0,E3471=0),"WARNING - no PRICE inserted",IF(H3471="free"," FREE ~ no charge this plant",IF(H3471="credit",CONCATENATE(" -$",ROUND(K3471*(1-T2GDiscount)*-1,2)," CREDIT after discount"),IF(T2GDiscount=0,"",IF(G3471=0,"",IF(F3471="Buy",CONCATENATE(" $",ROUND(K3471*(1-T2GDiscount),2)," with ",(T2GDiscount*100),"% discount"),CONCATENATE(" $",ROUND(K3471*(1-T2GDiscount),2)," with ",((T2GDiscount*100+F3471*100)-(T2GDiscount*100*F3471)),IF(F3471&gt;0,"% discounts",IF(NoWarrantyDiscount&gt;0,"% discounts","% discount")))))))))</f>
        <v/>
      </c>
      <c r="N3471" s="660"/>
      <c r="O3471" s="233"/>
      <c r="P3471" s="233"/>
      <c r="Q3471" s="233"/>
      <c r="R3471" s="233"/>
      <c r="S3471" s="233"/>
      <c r="T3471" s="508">
        <f t="shared" si="2671"/>
        <v>0</v>
      </c>
      <c r="U3471" s="225">
        <f>IF(NOT(ISNUMBER(G3471)), "", VLOOKUP(A3471,'Discount Lookup'!D:E,2,FALSE)*G3471)</f>
        <v>0</v>
      </c>
      <c r="V3471" s="225">
        <f>IF(NOT(ISNUMBER(G3471)), "", VLOOKUP(A3471,'Discount Lookup'!G:H,2,FALSE)*G3471)</f>
        <v>0</v>
      </c>
      <c r="W3471" s="508">
        <f t="shared" si="2672"/>
        <v>0</v>
      </c>
      <c r="X3471" s="508">
        <f t="shared" si="2673"/>
        <v>0</v>
      </c>
      <c r="Y3471" s="509" t="b">
        <f t="shared" si="2674"/>
        <v>0</v>
      </c>
      <c r="Z3471" s="510">
        <f t="shared" si="2675"/>
        <v>0</v>
      </c>
      <c r="AA3471" s="511"/>
      <c r="AB3471" s="511" t="str">
        <f t="shared" si="2676"/>
        <v/>
      </c>
      <c r="AC3471" s="698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698"/>
      <c r="AE3471" s="631" t="str">
        <f t="shared" si="2677"/>
        <v/>
      </c>
      <c r="AF3471" s="699" t="str">
        <f t="shared" si="2678"/>
        <v/>
      </c>
      <c r="AG3471" s="699"/>
      <c r="AH3471" s="699"/>
      <c r="AI3471" s="512">
        <f>IF(H3471="credit",0,IF(AE3471="free",0,IF(AE3471="me",0,IF(G3471&gt;0,(VLOOKUP(A3471,'Discount Lookup'!J:K,2)*G3471),0))))</f>
        <v>0</v>
      </c>
      <c r="AJ3471" s="513" t="str">
        <f t="shared" ca="1" si="2679"/>
        <v/>
      </c>
      <c r="AK3471" s="700" t="str">
        <f t="shared" si="2680"/>
        <v/>
      </c>
      <c r="AL3471" s="700"/>
      <c r="AM3471" s="505" t="str">
        <f t="shared" si="2681"/>
        <v/>
      </c>
      <c r="AN3471" s="506"/>
      <c r="AO3471" s="507"/>
      <c r="AP3471" s="507"/>
      <c r="AQ3471" s="507"/>
      <c r="AR3471" s="507"/>
      <c r="AS3471" s="507"/>
      <c r="AT3471" s="507"/>
      <c r="AU3471" s="507"/>
      <c r="AV3471" s="225"/>
      <c r="AW3471" s="508"/>
      <c r="AX3471" s="225"/>
      <c r="AY3471" s="225"/>
      <c r="AZ3471" s="225"/>
      <c r="BA3471" s="225"/>
      <c r="BB3471" s="225"/>
      <c r="BC3471" s="56"/>
      <c r="BD3471" s="56"/>
      <c r="BE3471" s="56"/>
      <c r="BF3471" s="107" t="str">
        <f t="shared" si="2682"/>
        <v>https://www.google.com/search?tbm=isch&amp;q=3%20G2</v>
      </c>
      <c r="BG3471" s="107" t="str">
        <f t="shared" si="2683"/>
        <v>S</v>
      </c>
      <c r="BH3471" s="254"/>
      <c r="BI3471" s="254"/>
    </row>
    <row r="3472" spans="1:61" customFormat="1" ht="16.5" thickBot="1" x14ac:dyDescent="0.3">
      <c r="A3472" s="522" t="s">
        <v>4571</v>
      </c>
      <c r="B3472" s="491"/>
      <c r="C3472" s="675"/>
      <c r="D3472" s="491"/>
      <c r="E3472" s="491"/>
      <c r="F3472" s="492"/>
      <c r="G3472" s="493"/>
      <c r="H3472" s="491"/>
      <c r="I3472" s="234"/>
      <c r="J3472" s="234"/>
      <c r="K3472" s="494"/>
      <c r="L3472" s="543"/>
      <c r="M3472" s="561"/>
      <c r="N3472" s="495"/>
      <c r="O3472" s="496"/>
      <c r="P3472" s="497"/>
      <c r="Q3472" s="495"/>
      <c r="R3472" s="495"/>
      <c r="S3472" s="277"/>
      <c r="T3472" s="508">
        <f t="shared" si="2671"/>
        <v>0</v>
      </c>
      <c r="U3472" s="225" t="str">
        <f>IF(NOT(ISNUMBER(G3472)), "", VLOOKUP(A3472,'Discount Lookup'!D:E,2,FALSE)*G3472)</f>
        <v/>
      </c>
      <c r="V3472" s="225" t="str">
        <f>IF(NOT(ISNUMBER(G3472)), "", VLOOKUP(A3472,'Discount Lookup'!G:H,2,FALSE)*G3472)</f>
        <v/>
      </c>
      <c r="W3472" s="508">
        <f t="shared" si="2672"/>
        <v>0</v>
      </c>
      <c r="X3472" s="508">
        <f t="shared" si="2673"/>
        <v>0</v>
      </c>
      <c r="Y3472" s="509" t="b">
        <f t="shared" si="2674"/>
        <v>0</v>
      </c>
      <c r="Z3472" s="510">
        <f t="shared" si="2675"/>
        <v>0</v>
      </c>
      <c r="AA3472" s="511"/>
      <c r="AB3472" s="511" t="str">
        <f t="shared" si="2676"/>
        <v/>
      </c>
      <c r="AC3472" s="698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698"/>
      <c r="AE3472" s="631" t="str">
        <f t="shared" si="2677"/>
        <v/>
      </c>
      <c r="AF3472" s="699" t="str">
        <f t="shared" si="2678"/>
        <v/>
      </c>
      <c r="AG3472" s="699"/>
      <c r="AH3472" s="699"/>
      <c r="AI3472" s="512">
        <f>IF(H3472="credit",0,IF(AE3472="free",0,IF(AE3472="me",0,IF(G3472&gt;0,(VLOOKUP(A3472,'Discount Lookup'!J:K,2)*G3472),0))))</f>
        <v>0</v>
      </c>
      <c r="AJ3472" s="513" t="str">
        <f t="shared" ca="1" si="2679"/>
        <v/>
      </c>
      <c r="AK3472" s="700" t="str">
        <f t="shared" si="2680"/>
        <v/>
      </c>
      <c r="AL3472" s="700"/>
      <c r="AM3472" s="505" t="str">
        <f t="shared" si="2681"/>
        <v/>
      </c>
      <c r="AN3472" s="506"/>
      <c r="AO3472" s="507"/>
      <c r="AP3472" s="507"/>
      <c r="AQ3472" s="507"/>
      <c r="AR3472" s="507"/>
      <c r="AS3472" s="507"/>
      <c r="AT3472" s="507"/>
      <c r="AU3472" s="507"/>
      <c r="AV3472" s="225"/>
      <c r="AW3472" s="508"/>
      <c r="AX3472" s="225"/>
      <c r="AY3472" s="225"/>
      <c r="AZ3472" s="225"/>
      <c r="BA3472" s="225"/>
      <c r="BB3472" s="225"/>
      <c r="BC3472" s="56"/>
      <c r="BD3472" s="56"/>
      <c r="BE3472" s="56"/>
      <c r="BF3472" s="107" t="str">
        <f t="shared" si="2682"/>
        <v>https://www.google.com/search?tbm=isch&amp;q=Sparks%20Gardenia%20has%20prolific%2C%20fragrant%20blooms.%20Bred%20for%20a%20compact%20habit%2C%20improved%20cold%20tolerance%3B%20and%20enhanced%20bud%20set%20and%20bloom%20density%20</v>
      </c>
      <c r="BG3472" s="107" t="str">
        <f t="shared" si="2683"/>
        <v>S</v>
      </c>
      <c r="BH3472" s="254"/>
      <c r="BI3472" s="254"/>
    </row>
    <row r="3473" spans="1:61" customFormat="1" ht="18" x14ac:dyDescent="0.25">
      <c r="A3473" s="521" t="s">
        <v>1790</v>
      </c>
      <c r="B3473" s="477"/>
      <c r="C3473" s="674"/>
      <c r="D3473" s="478" t="s">
        <v>1791</v>
      </c>
      <c r="E3473" s="479"/>
      <c r="F3473" s="479"/>
      <c r="G3473" s="479"/>
      <c r="H3473" s="582" t="s">
        <v>342</v>
      </c>
      <c r="I3473" s="480" t="s">
        <v>2093</v>
      </c>
      <c r="J3473" s="479"/>
      <c r="K3473" s="479"/>
      <c r="L3473" s="560"/>
      <c r="M3473" s="666" t="s">
        <v>4963</v>
      </c>
      <c r="N3473" s="680" t="str">
        <f>IF(AND(ISTEXT($A3473), ISERROR($A3473+0)), HYPERLINK($BF3473, "Images"), "")</f>
        <v>Images</v>
      </c>
      <c r="O3473" s="662" t="s">
        <v>4969</v>
      </c>
      <c r="P3473" s="482"/>
      <c r="Q3473" s="483"/>
      <c r="R3473" s="483"/>
      <c r="S3473" s="484"/>
      <c r="T3473" s="508">
        <f t="shared" si="2671"/>
        <v>0</v>
      </c>
      <c r="U3473" s="225" t="str">
        <f>IF(NOT(ISNUMBER(G3473)), "", VLOOKUP(A3473,'Discount Lookup'!D:E,2,FALSE)*G3473)</f>
        <v/>
      </c>
      <c r="V3473" s="225" t="str">
        <f>IF(NOT(ISNUMBER(G3473)), "", VLOOKUP(A3473,'Discount Lookup'!G:H,2,FALSE)*G3473)</f>
        <v/>
      </c>
      <c r="W3473" s="508">
        <f t="shared" si="2672"/>
        <v>0</v>
      </c>
      <c r="X3473" s="508" t="str">
        <f t="shared" si="2673"/>
        <v>Dark Green foliage</v>
      </c>
      <c r="Y3473" s="509" t="b">
        <f t="shared" si="2674"/>
        <v>0</v>
      </c>
      <c r="Z3473" s="510">
        <f t="shared" si="2675"/>
        <v>0</v>
      </c>
      <c r="AA3473" s="511"/>
      <c r="AB3473" s="511" t="str">
        <f t="shared" si="2676"/>
        <v/>
      </c>
      <c r="AC3473" s="698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698"/>
      <c r="AE3473" s="631" t="str">
        <f t="shared" si="2677"/>
        <v/>
      </c>
      <c r="AF3473" s="699" t="str">
        <f t="shared" si="2678"/>
        <v/>
      </c>
      <c r="AG3473" s="699"/>
      <c r="AH3473" s="699"/>
      <c r="AI3473" s="512">
        <f>IF(H3473="credit",0,IF(AE3473="free",0,IF(AE3473="me",0,IF(G3473&gt;0,(VLOOKUP(A3473,'Discount Lookup'!J:K,2)*G3473),0))))</f>
        <v>0</v>
      </c>
      <c r="AJ3473" s="513" t="str">
        <f t="shared" ca="1" si="2679"/>
        <v/>
      </c>
      <c r="AK3473" s="700" t="str">
        <f t="shared" si="2680"/>
        <v/>
      </c>
      <c r="AL3473" s="700"/>
      <c r="AM3473" s="505" t="str">
        <f t="shared" si="2681"/>
        <v/>
      </c>
      <c r="AN3473" s="506"/>
      <c r="AO3473" s="507"/>
      <c r="AP3473" s="507"/>
      <c r="AQ3473" s="507"/>
      <c r="AR3473" s="507"/>
      <c r="AS3473" s="507"/>
      <c r="AT3473" s="507"/>
      <c r="AU3473" s="507"/>
      <c r="AV3473" s="225"/>
      <c r="AW3473" s="508"/>
      <c r="AX3473" s="225"/>
      <c r="AY3473" s="225"/>
      <c r="AZ3473" s="225"/>
      <c r="BA3473" s="225"/>
      <c r="BB3473" s="225"/>
      <c r="BC3473" s="56"/>
      <c r="BD3473" s="56"/>
      <c r="BE3473" s="56"/>
      <c r="BF3473" s="107" t="str">
        <f t="shared" si="2682"/>
        <v>https://www.google.com/search?tbm=isch&amp;q=Spartan%20Juniper%20Juniperus%20chinensis%20%27Spartan%27</v>
      </c>
      <c r="BG3473" s="107" t="str">
        <f t="shared" si="2683"/>
        <v>S</v>
      </c>
      <c r="BH3473" s="254"/>
      <c r="BI3473" s="254"/>
    </row>
    <row r="3474" spans="1:61" customFormat="1" ht="27" x14ac:dyDescent="0.25">
      <c r="A3474" s="485">
        <v>3</v>
      </c>
      <c r="B3474" s="486" t="s">
        <v>291</v>
      </c>
      <c r="C3474" s="487" t="s">
        <v>4024</v>
      </c>
      <c r="D3474" s="488" t="s">
        <v>299</v>
      </c>
      <c r="E3474" s="489">
        <v>27.95</v>
      </c>
      <c r="F3474" s="516" t="s">
        <v>293</v>
      </c>
      <c r="G3474" s="232">
        <v>0</v>
      </c>
      <c r="H3474" s="658" t="str">
        <f>IF(G3474=0,"",IF(F3474="Buy",IF(G3474=1,"plant","plants"),IF(F3474&gt;0.01,"warranty","Error")))</f>
        <v/>
      </c>
      <c r="I3474" s="490">
        <f>IF(H3474="free",0,IF(H3474="credit",((E3474*(F3474))*G3474*-1),IF(F3474="Buy",(E3474*G3474),((E3474*(1-F3474))*G3474))))</f>
        <v>0</v>
      </c>
      <c r="J3474" s="490">
        <f>IF(H3474="warranty",0,(I3474*(_xlfn.SINGLE(SalesTaxPercentage))))</f>
        <v>0</v>
      </c>
      <c r="K3474" s="695">
        <f t="shared" ref="K3474" si="2685">I3474+J3474</f>
        <v>0</v>
      </c>
      <c r="L3474" s="695"/>
      <c r="M3474" s="659" t="str">
        <f>IF(AND(G3474&gt;0,E3474=0),"WARNING - no PRICE inserted",IF(H3474="free"," FREE ~ no charge this plant",IF(H3474="credit",CONCATENATE(" -$",ROUND(K3474*(1-T2GDiscount)*-1,2)," CREDIT after discount"),IF(T2GDiscount=0,"",IF(G3474=0,"",IF(F3474="Buy",CONCATENATE(" $",ROUND(K3474*(1-T2GDiscount),2)," with ",(T2GDiscount*100),"% discount"),CONCATENATE(" $",ROUND(K3474*(1-T2GDiscount),2)," with ",((T2GDiscount*100+F3474*100)-(T2GDiscount*100*F3474)),IF(F3474&gt;0,"% discounts",IF(NoWarrantyDiscount&gt;0,"% discounts","% discount")))))))))</f>
        <v/>
      </c>
      <c r="N3474" s="660"/>
      <c r="O3474" s="233"/>
      <c r="P3474" s="233"/>
      <c r="Q3474" s="233"/>
      <c r="R3474" s="233"/>
      <c r="S3474" s="233"/>
      <c r="T3474" s="508">
        <f t="shared" si="2671"/>
        <v>0</v>
      </c>
      <c r="U3474" s="225">
        <f>IF(NOT(ISNUMBER(G3474)), "", VLOOKUP(A3474,'Discount Lookup'!D:E,2,FALSE)*G3474)</f>
        <v>0</v>
      </c>
      <c r="V3474" s="225">
        <f>IF(NOT(ISNUMBER(G3474)), "", VLOOKUP(A3474,'Discount Lookup'!G:H,2,FALSE)*G3474)</f>
        <v>0</v>
      </c>
      <c r="W3474" s="508">
        <f t="shared" si="2672"/>
        <v>0</v>
      </c>
      <c r="X3474" s="508">
        <f t="shared" si="2673"/>
        <v>0</v>
      </c>
      <c r="Y3474" s="509" t="b">
        <f t="shared" si="2674"/>
        <v>0</v>
      </c>
      <c r="Z3474" s="510">
        <f t="shared" si="2675"/>
        <v>0</v>
      </c>
      <c r="AA3474" s="511"/>
      <c r="AB3474" s="511" t="str">
        <f t="shared" si="2676"/>
        <v/>
      </c>
      <c r="AC3474" s="698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698"/>
      <c r="AE3474" s="631" t="str">
        <f t="shared" si="2677"/>
        <v/>
      </c>
      <c r="AF3474" s="699" t="str">
        <f t="shared" si="2678"/>
        <v/>
      </c>
      <c r="AG3474" s="699"/>
      <c r="AH3474" s="699"/>
      <c r="AI3474" s="512">
        <f>IF(H3474="credit",0,IF(AE3474="free",0,IF(AE3474="me",0,IF(G3474&gt;0,(VLOOKUP(A3474,'Discount Lookup'!J:K,2)*G3474),0))))</f>
        <v>0</v>
      </c>
      <c r="AJ3474" s="513" t="str">
        <f t="shared" ca="1" si="2679"/>
        <v/>
      </c>
      <c r="AK3474" s="700" t="str">
        <f t="shared" si="2680"/>
        <v/>
      </c>
      <c r="AL3474" s="700"/>
      <c r="AM3474" s="505" t="str">
        <f t="shared" si="2681"/>
        <v/>
      </c>
      <c r="AN3474" s="506"/>
      <c r="AO3474" s="507"/>
      <c r="AP3474" s="507"/>
      <c r="AQ3474" s="507"/>
      <c r="AR3474" s="507"/>
      <c r="AS3474" s="507"/>
      <c r="AT3474" s="507"/>
      <c r="AU3474" s="507"/>
      <c r="AV3474" s="225"/>
      <c r="AW3474" s="508"/>
      <c r="AX3474" s="225"/>
      <c r="AY3474" s="225"/>
      <c r="AZ3474" s="225"/>
      <c r="BA3474" s="225"/>
      <c r="BB3474" s="225"/>
      <c r="BC3474" s="56"/>
      <c r="BD3474" s="56"/>
      <c r="BE3474" s="56"/>
      <c r="BF3474" s="107" t="str">
        <f t="shared" si="2682"/>
        <v>https://www.google.com/search?tbm=isch&amp;q=3%20G5</v>
      </c>
      <c r="BG3474" s="107" t="str">
        <f t="shared" si="2683"/>
        <v>S</v>
      </c>
      <c r="BH3474" s="254"/>
      <c r="BI3474" s="254"/>
    </row>
    <row r="3475" spans="1:61" customFormat="1" ht="15.75" x14ac:dyDescent="0.25">
      <c r="A3475" s="485">
        <v>7</v>
      </c>
      <c r="B3475" s="486" t="s">
        <v>291</v>
      </c>
      <c r="C3475" s="487" t="s">
        <v>2180</v>
      </c>
      <c r="D3475" s="488" t="s">
        <v>299</v>
      </c>
      <c r="E3475" s="489">
        <v>79.95</v>
      </c>
      <c r="F3475" s="516" t="s">
        <v>293</v>
      </c>
      <c r="G3475" s="232">
        <v>0</v>
      </c>
      <c r="H3475" s="658" t="str">
        <f>IF(G3475=0,"",IF(F3475="Buy",IF(G3475=1,"plant","plants"),IF(F3475&gt;0.01,"warranty","Error")))</f>
        <v/>
      </c>
      <c r="I3475" s="490">
        <f>IF(H3475="free",0,IF(H3475="credit",((E3475*(F3475))*G3475*-1),IF(F3475="Buy",(E3475*G3475),((E3475*(1-F3475))*G3475))))</f>
        <v>0</v>
      </c>
      <c r="J3475" s="490">
        <f>IF(H3475="warranty",0,(I3475*(_xlfn.SINGLE(SalesTaxPercentage))))</f>
        <v>0</v>
      </c>
      <c r="K3475" s="695">
        <f t="shared" ref="K3475" si="2686">I3475+J3475</f>
        <v>0</v>
      </c>
      <c r="L3475" s="695"/>
      <c r="M3475" s="659" t="str">
        <f>IF(AND(G3475&gt;0,E3475=0),"WARNING - no PRICE inserted",IF(H3475="free"," FREE ~ no charge this plant",IF(H3475="credit",CONCATENATE(" -$",ROUND(K3475*(1-T2GDiscount)*-1,2)," CREDIT after discount"),IF(T2GDiscount=0,"",IF(G3475=0,"",IF(F3475="Buy",CONCATENATE(" $",ROUND(K3475*(1-T2GDiscount),2)," with ",(T2GDiscount*100),"% discount"),CONCATENATE(" $",ROUND(K3475*(1-T2GDiscount),2)," with ",((T2GDiscount*100+F3475*100)-(T2GDiscount*100*F3475)),IF(F3475&gt;0,"% discounts",IF(NoWarrantyDiscount&gt;0,"% discounts","% discount")))))))))</f>
        <v/>
      </c>
      <c r="N3475" s="660"/>
      <c r="O3475" s="233"/>
      <c r="P3475" s="233"/>
      <c r="Q3475" s="233"/>
      <c r="R3475" s="233"/>
      <c r="S3475" s="233"/>
      <c r="T3475" s="508">
        <f t="shared" si="2671"/>
        <v>0</v>
      </c>
      <c r="U3475" s="225">
        <f>IF(NOT(ISNUMBER(G3475)), "", VLOOKUP(A3475,'Discount Lookup'!D:E,2,FALSE)*G3475)</f>
        <v>0</v>
      </c>
      <c r="V3475" s="225">
        <f>IF(NOT(ISNUMBER(G3475)), "", VLOOKUP(A3475,'Discount Lookup'!G:H,2,FALSE)*G3475)</f>
        <v>0</v>
      </c>
      <c r="W3475" s="508">
        <f t="shared" si="2672"/>
        <v>0</v>
      </c>
      <c r="X3475" s="508">
        <f t="shared" si="2673"/>
        <v>0</v>
      </c>
      <c r="Y3475" s="509" t="b">
        <f t="shared" si="2674"/>
        <v>0</v>
      </c>
      <c r="Z3475" s="510">
        <f t="shared" si="2675"/>
        <v>0</v>
      </c>
      <c r="AA3475" s="511"/>
      <c r="AB3475" s="511" t="str">
        <f t="shared" si="2676"/>
        <v/>
      </c>
      <c r="AC3475" s="698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698"/>
      <c r="AE3475" s="631" t="str">
        <f t="shared" si="2677"/>
        <v/>
      </c>
      <c r="AF3475" s="699" t="str">
        <f t="shared" si="2678"/>
        <v/>
      </c>
      <c r="AG3475" s="699"/>
      <c r="AH3475" s="699"/>
      <c r="AI3475" s="512">
        <f>IF(H3475="credit",0,IF(AE3475="free",0,IF(AE3475="me",0,IF(G3475&gt;0,(VLOOKUP(A3475,'Discount Lookup'!J:K,2)*G3475),0))))</f>
        <v>0</v>
      </c>
      <c r="AJ3475" s="513" t="str">
        <f t="shared" ca="1" si="2679"/>
        <v/>
      </c>
      <c r="AK3475" s="700" t="str">
        <f t="shared" si="2680"/>
        <v/>
      </c>
      <c r="AL3475" s="700"/>
      <c r="AM3475" s="505" t="str">
        <f t="shared" si="2681"/>
        <v/>
      </c>
      <c r="AN3475" s="506"/>
      <c r="AO3475" s="507"/>
      <c r="AP3475" s="507"/>
      <c r="AQ3475" s="507"/>
      <c r="AR3475" s="507"/>
      <c r="AS3475" s="507"/>
      <c r="AT3475" s="507"/>
      <c r="AU3475" s="507"/>
      <c r="AV3475" s="225"/>
      <c r="AW3475" s="508"/>
      <c r="AX3475" s="225"/>
      <c r="AY3475" s="225"/>
      <c r="AZ3475" s="225"/>
      <c r="BA3475" s="225"/>
      <c r="BB3475" s="225"/>
      <c r="BC3475" s="56"/>
      <c r="BD3475" s="56"/>
      <c r="BE3475" s="56"/>
      <c r="BF3475" s="107" t="str">
        <f t="shared" si="2682"/>
        <v>https://www.google.com/search?tbm=isch&amp;q=7%20G5</v>
      </c>
      <c r="BG3475" s="107" t="str">
        <f t="shared" si="2683"/>
        <v>S</v>
      </c>
      <c r="BH3475" s="254"/>
      <c r="BI3475" s="254"/>
    </row>
    <row r="3476" spans="1:61" customFormat="1" ht="15.75" x14ac:dyDescent="0.25">
      <c r="A3476" s="485">
        <v>7</v>
      </c>
      <c r="B3476" s="486" t="s">
        <v>291</v>
      </c>
      <c r="C3476" s="487" t="s">
        <v>3472</v>
      </c>
      <c r="D3476" s="488" t="s">
        <v>292</v>
      </c>
      <c r="E3476" s="489">
        <v>95.95</v>
      </c>
      <c r="F3476" s="516" t="s">
        <v>293</v>
      </c>
      <c r="G3476" s="232">
        <v>0</v>
      </c>
      <c r="H3476" s="658" t="str">
        <f>IF(G3476=0,"",IF(F3476="Buy",IF(G3476=1,"plant","plants"),IF(F3476&gt;0.01,"warranty","Error")))</f>
        <v/>
      </c>
      <c r="I3476" s="490">
        <f>IF(H3476="free",0,IF(H3476="credit",((E3476*(F3476))*G3476*-1),IF(F3476="Buy",(E3476*G3476),((E3476*(1-F3476))*G3476))))</f>
        <v>0</v>
      </c>
      <c r="J3476" s="490">
        <f>IF(H3476="warranty",0,(I3476*(_xlfn.SINGLE(SalesTaxPercentage))))</f>
        <v>0</v>
      </c>
      <c r="K3476" s="695">
        <f t="shared" ref="K3476" si="2687">I3476+J3476</f>
        <v>0</v>
      </c>
      <c r="L3476" s="695"/>
      <c r="M3476" s="659" t="str">
        <f>IF(AND(G3476&gt;0,E3476=0),"WARNING - no PRICE inserted",IF(H3476="free"," FREE ~ no charge this plant",IF(H3476="credit",CONCATENATE(" -$",ROUND(K3476*(1-T2GDiscount)*-1,2)," CREDIT after discount"),IF(T2GDiscount=0,"",IF(G3476=0,"",IF(F3476="Buy",CONCATENATE(" $",ROUND(K3476*(1-T2GDiscount),2)," with ",(T2GDiscount*100),"% discount"),CONCATENATE(" $",ROUND(K3476*(1-T2GDiscount),2)," with ",((T2GDiscount*100+F3476*100)-(T2GDiscount*100*F3476)),IF(F3476&gt;0,"% discounts",IF(NoWarrantyDiscount&gt;0,"% discounts","% discount")))))))))</f>
        <v/>
      </c>
      <c r="N3476" s="660"/>
      <c r="O3476" s="233"/>
      <c r="P3476" s="233"/>
      <c r="Q3476" s="233"/>
      <c r="R3476" s="233"/>
      <c r="S3476" s="233"/>
      <c r="T3476" s="508">
        <f t="shared" si="2671"/>
        <v>0</v>
      </c>
      <c r="U3476" s="225">
        <f>IF(NOT(ISNUMBER(G3476)), "", VLOOKUP(A3476,'Discount Lookup'!D:E,2,FALSE)*G3476)</f>
        <v>0</v>
      </c>
      <c r="V3476" s="225">
        <f>IF(NOT(ISNUMBER(G3476)), "", VLOOKUP(A3476,'Discount Lookup'!G:H,2,FALSE)*G3476)</f>
        <v>0</v>
      </c>
      <c r="W3476" s="508">
        <f t="shared" si="2672"/>
        <v>0</v>
      </c>
      <c r="X3476" s="508">
        <f t="shared" si="2673"/>
        <v>0</v>
      </c>
      <c r="Y3476" s="509" t="b">
        <f t="shared" si="2674"/>
        <v>0</v>
      </c>
      <c r="Z3476" s="510">
        <f t="shared" si="2675"/>
        <v>0</v>
      </c>
      <c r="AA3476" s="511"/>
      <c r="AB3476" s="511" t="str">
        <f t="shared" si="2676"/>
        <v/>
      </c>
      <c r="AC3476" s="698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698"/>
      <c r="AE3476" s="631" t="str">
        <f t="shared" si="2677"/>
        <v/>
      </c>
      <c r="AF3476" s="699" t="str">
        <f t="shared" si="2678"/>
        <v/>
      </c>
      <c r="AG3476" s="699"/>
      <c r="AH3476" s="699"/>
      <c r="AI3476" s="512">
        <f>IF(H3476="credit",0,IF(AE3476="free",0,IF(AE3476="me",0,IF(G3476&gt;0,(VLOOKUP(A3476,'Discount Lookup'!J:K,2)*G3476),0))))</f>
        <v>0</v>
      </c>
      <c r="AJ3476" s="513" t="str">
        <f t="shared" ca="1" si="2679"/>
        <v/>
      </c>
      <c r="AK3476" s="700" t="str">
        <f t="shared" si="2680"/>
        <v/>
      </c>
      <c r="AL3476" s="700"/>
      <c r="AM3476" s="505" t="str">
        <f t="shared" si="2681"/>
        <v/>
      </c>
      <c r="AN3476" s="506"/>
      <c r="AO3476" s="507"/>
      <c r="AP3476" s="507"/>
      <c r="AQ3476" s="507"/>
      <c r="AR3476" s="507"/>
      <c r="AS3476" s="507"/>
      <c r="AT3476" s="507"/>
      <c r="AU3476" s="507"/>
      <c r="AV3476" s="225"/>
      <c r="AW3476" s="508"/>
      <c r="AX3476" s="225"/>
      <c r="AY3476" s="225"/>
      <c r="AZ3476" s="225"/>
      <c r="BA3476" s="225"/>
      <c r="BB3476" s="225"/>
      <c r="BC3476" s="56"/>
      <c r="BD3476" s="56"/>
      <c r="BE3476" s="56"/>
      <c r="BF3476" s="107" t="str">
        <f t="shared" si="2682"/>
        <v>https://www.google.com/search?tbm=isch&amp;q=7%20G4</v>
      </c>
      <c r="BG3476" s="107" t="str">
        <f t="shared" si="2683"/>
        <v>S</v>
      </c>
      <c r="BH3476" s="254"/>
      <c r="BI3476" s="254"/>
    </row>
    <row r="3477" spans="1:61" customFormat="1" ht="15.75" x14ac:dyDescent="0.25">
      <c r="A3477" s="485">
        <v>15</v>
      </c>
      <c r="B3477" s="486" t="s">
        <v>291</v>
      </c>
      <c r="C3477" s="487" t="s">
        <v>4941</v>
      </c>
      <c r="D3477" s="488" t="s">
        <v>300</v>
      </c>
      <c r="E3477" s="489">
        <v>126.95</v>
      </c>
      <c r="F3477" s="516" t="s">
        <v>293</v>
      </c>
      <c r="G3477" s="232">
        <v>0</v>
      </c>
      <c r="H3477" s="658" t="str">
        <f>IF(G3477=0,"",IF(F3477="Buy",IF(G3477=1,"plant","plants"),IF(F3477&gt;0.01,"warranty","Error")))</f>
        <v/>
      </c>
      <c r="I3477" s="490">
        <f>IF(H3477="free",0,IF(H3477="credit",((E3477*(F3477))*G3477*-1),IF(F3477="Buy",(E3477*G3477),((E3477*(1-F3477))*G3477))))</f>
        <v>0</v>
      </c>
      <c r="J3477" s="490">
        <f>IF(H3477="warranty",0,(I3477*(_xlfn.SINGLE(SalesTaxPercentage))))</f>
        <v>0</v>
      </c>
      <c r="K3477" s="695">
        <f t="shared" ref="K3477" si="2688">I3477+J3477</f>
        <v>0</v>
      </c>
      <c r="L3477" s="695"/>
      <c r="M3477" s="659" t="str">
        <f>IF(AND(G3477&gt;0,E3477=0),"WARNING - no PRICE inserted",IF(H3477="free"," FREE ~ no charge this plant",IF(H3477="credit",CONCATENATE(" -$",ROUND(K3477*(1-T2GDiscount)*-1,2)," CREDIT after discount"),IF(T2GDiscount=0,"",IF(G3477=0,"",IF(F3477="Buy",CONCATENATE(" $",ROUND(K3477*(1-T2GDiscount),2)," with ",(T2GDiscount*100),"% discount"),CONCATENATE(" $",ROUND(K3477*(1-T2GDiscount),2)," with ",((T2GDiscount*100+F3477*100)-(T2GDiscount*100*F3477)),IF(F3477&gt;0,"% discounts",IF(NoWarrantyDiscount&gt;0,"% discounts","% discount")))))))))</f>
        <v/>
      </c>
      <c r="N3477" s="660"/>
      <c r="O3477" s="233"/>
      <c r="P3477" s="233"/>
      <c r="Q3477" s="233"/>
      <c r="R3477" s="233"/>
      <c r="S3477" s="233"/>
      <c r="T3477" s="508">
        <f t="shared" si="2671"/>
        <v>0</v>
      </c>
      <c r="U3477" s="225">
        <f>IF(NOT(ISNUMBER(G3477)), "", VLOOKUP(A3477,'Discount Lookup'!D:E,2,FALSE)*G3477)</f>
        <v>0</v>
      </c>
      <c r="V3477" s="225">
        <f>IF(NOT(ISNUMBER(G3477)), "", VLOOKUP(A3477,'Discount Lookup'!G:H,2,FALSE)*G3477)</f>
        <v>0</v>
      </c>
      <c r="W3477" s="508">
        <f t="shared" si="2672"/>
        <v>0</v>
      </c>
      <c r="X3477" s="508">
        <f t="shared" si="2673"/>
        <v>0</v>
      </c>
      <c r="Y3477" s="509" t="b">
        <f t="shared" si="2674"/>
        <v>0</v>
      </c>
      <c r="Z3477" s="510">
        <f t="shared" si="2675"/>
        <v>0</v>
      </c>
      <c r="AA3477" s="511"/>
      <c r="AB3477" s="511" t="str">
        <f t="shared" si="2676"/>
        <v/>
      </c>
      <c r="AC3477" s="698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698"/>
      <c r="AE3477" s="631" t="str">
        <f t="shared" si="2677"/>
        <v/>
      </c>
      <c r="AF3477" s="699" t="str">
        <f t="shared" si="2678"/>
        <v/>
      </c>
      <c r="AG3477" s="699"/>
      <c r="AH3477" s="699"/>
      <c r="AI3477" s="512">
        <f>IF(H3477="credit",0,IF(AE3477="free",0,IF(AE3477="me",0,IF(G3477&gt;0,(VLOOKUP(A3477,'Discount Lookup'!J:K,2)*G3477),0))))</f>
        <v>0</v>
      </c>
      <c r="AJ3477" s="513" t="str">
        <f t="shared" ca="1" si="2679"/>
        <v/>
      </c>
      <c r="AK3477" s="700" t="str">
        <f t="shared" si="2680"/>
        <v/>
      </c>
      <c r="AL3477" s="700"/>
      <c r="AM3477" s="505" t="str">
        <f t="shared" si="2681"/>
        <v/>
      </c>
      <c r="AN3477" s="506"/>
      <c r="AO3477" s="507"/>
      <c r="AP3477" s="507"/>
      <c r="AQ3477" s="507"/>
      <c r="AR3477" s="507"/>
      <c r="AS3477" s="507"/>
      <c r="AT3477" s="507"/>
      <c r="AU3477" s="507"/>
      <c r="AV3477" s="225"/>
      <c r="AW3477" s="508"/>
      <c r="AX3477" s="225"/>
      <c r="AY3477" s="225"/>
      <c r="AZ3477" s="225"/>
      <c r="BA3477" s="225"/>
      <c r="BB3477" s="225"/>
      <c r="BC3477" s="56"/>
      <c r="BD3477" s="56"/>
      <c r="BE3477" s="56"/>
      <c r="BF3477" s="107" t="str">
        <f t="shared" si="2682"/>
        <v>https://www.google.com/search?tbm=isch&amp;q=15%20G6</v>
      </c>
      <c r="BG3477" s="107" t="str">
        <f t="shared" si="2683"/>
        <v>S</v>
      </c>
      <c r="BH3477" s="254"/>
      <c r="BI3477" s="254"/>
    </row>
    <row r="3478" spans="1:61" customFormat="1" ht="16.5" thickBot="1" x14ac:dyDescent="0.3">
      <c r="A3478" s="522" t="s">
        <v>2657</v>
      </c>
      <c r="B3478" s="491"/>
      <c r="C3478" s="675"/>
      <c r="D3478" s="491"/>
      <c r="E3478" s="491"/>
      <c r="F3478" s="492"/>
      <c r="G3478" s="493"/>
      <c r="H3478" s="491"/>
      <c r="I3478" s="234"/>
      <c r="J3478" s="234"/>
      <c r="K3478" s="494"/>
      <c r="L3478" s="543"/>
      <c r="M3478" s="561"/>
      <c r="N3478" s="495"/>
      <c r="O3478" s="496"/>
      <c r="P3478" s="497"/>
      <c r="Q3478" s="495"/>
      <c r="R3478" s="495"/>
      <c r="S3478" s="667" t="s">
        <v>4968</v>
      </c>
      <c r="T3478" s="508">
        <f t="shared" si="2671"/>
        <v>0</v>
      </c>
      <c r="U3478" s="225" t="str">
        <f>IF(NOT(ISNUMBER(G3478)), "", VLOOKUP(A3478,'Discount Lookup'!D:E,2,FALSE)*G3478)</f>
        <v/>
      </c>
      <c r="V3478" s="225" t="str">
        <f>IF(NOT(ISNUMBER(G3478)), "", VLOOKUP(A3478,'Discount Lookup'!G:H,2,FALSE)*G3478)</f>
        <v/>
      </c>
      <c r="W3478" s="508">
        <f t="shared" si="2672"/>
        <v>0</v>
      </c>
      <c r="X3478" s="508">
        <f t="shared" si="2673"/>
        <v>0</v>
      </c>
      <c r="Y3478" s="509" t="b">
        <f t="shared" si="2674"/>
        <v>0</v>
      </c>
      <c r="Z3478" s="510">
        <f t="shared" si="2675"/>
        <v>0</v>
      </c>
      <c r="AA3478" s="511"/>
      <c r="AB3478" s="511" t="str">
        <f t="shared" si="2676"/>
        <v/>
      </c>
      <c r="AC3478" s="698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698"/>
      <c r="AE3478" s="631" t="str">
        <f t="shared" si="2677"/>
        <v/>
      </c>
      <c r="AF3478" s="699" t="str">
        <f t="shared" si="2678"/>
        <v/>
      </c>
      <c r="AG3478" s="699"/>
      <c r="AH3478" s="699"/>
      <c r="AI3478" s="512">
        <f>IF(H3478="credit",0,IF(AE3478="free",0,IF(AE3478="me",0,IF(G3478&gt;0,(VLOOKUP(A3478,'Discount Lookup'!J:K,2)*G3478),0))))</f>
        <v>0</v>
      </c>
      <c r="AJ3478" s="513" t="str">
        <f t="shared" ca="1" si="2679"/>
        <v/>
      </c>
      <c r="AK3478" s="700" t="str">
        <f t="shared" si="2680"/>
        <v/>
      </c>
      <c r="AL3478" s="700"/>
      <c r="AM3478" s="505" t="str">
        <f t="shared" si="2681"/>
        <v/>
      </c>
      <c r="AN3478" s="506"/>
      <c r="AO3478" s="507"/>
      <c r="AP3478" s="507"/>
      <c r="AQ3478" s="507"/>
      <c r="AR3478" s="507"/>
      <c r="AS3478" s="507"/>
      <c r="AT3478" s="507"/>
      <c r="AU3478" s="507"/>
      <c r="AV3478" s="225"/>
      <c r="AW3478" s="508"/>
      <c r="AX3478" s="225"/>
      <c r="AY3478" s="225"/>
      <c r="AZ3478" s="225"/>
      <c r="BA3478" s="225"/>
      <c r="BB3478" s="225"/>
      <c r="BC3478" s="56"/>
      <c r="BD3478" s="56"/>
      <c r="BE3478" s="56"/>
      <c r="BF3478" s="107" t="str">
        <f t="shared" si="2682"/>
        <v>https://www.google.com/search?tbm=isch&amp;q=Spartan%20maintains%20a%20dense%2C%20narrow%20shape%20without%20shearing.%20Sun%2Fheat%2Fdrought%20tolerant%20</v>
      </c>
      <c r="BG3478" s="107" t="str">
        <f t="shared" si="2683"/>
        <v>S</v>
      </c>
      <c r="BH3478" s="254"/>
      <c r="BI3478" s="254"/>
    </row>
    <row r="3479" spans="1:61" customFormat="1" ht="18" x14ac:dyDescent="0.25">
      <c r="A3479" s="521" t="s">
        <v>1793</v>
      </c>
      <c r="B3479" s="477"/>
      <c r="C3479" s="674"/>
      <c r="D3479" s="478" t="s">
        <v>1794</v>
      </c>
      <c r="E3479" s="479"/>
      <c r="F3479" s="479"/>
      <c r="G3479" s="479"/>
      <c r="H3479" s="582" t="s">
        <v>1521</v>
      </c>
      <c r="I3479" s="480" t="s">
        <v>2123</v>
      </c>
      <c r="J3479" s="479"/>
      <c r="K3479" s="479"/>
      <c r="L3479" s="560"/>
      <c r="M3479" s="671" t="s">
        <v>4985</v>
      </c>
      <c r="N3479" s="680" t="str">
        <f>IF(AND(ISTEXT($A3479), ISERROR($A3479+0)), HYPERLINK($BF3479, "Images"), "")</f>
        <v>Images</v>
      </c>
      <c r="O3479" s="662" t="s">
        <v>4967</v>
      </c>
      <c r="P3479" s="482"/>
      <c r="Q3479" s="483"/>
      <c r="R3479" s="483"/>
      <c r="S3479" s="484"/>
      <c r="T3479" s="508">
        <f t="shared" si="2671"/>
        <v>0</v>
      </c>
      <c r="U3479" s="225" t="str">
        <f>IF(NOT(ISNUMBER(G3479)), "", VLOOKUP(A3479,'Discount Lookup'!D:E,2,FALSE)*G3479)</f>
        <v/>
      </c>
      <c r="V3479" s="225" t="str">
        <f>IF(NOT(ISNUMBER(G3479)), "", VLOOKUP(A3479,'Discount Lookup'!G:H,2,FALSE)*G3479)</f>
        <v/>
      </c>
      <c r="W3479" s="508">
        <f t="shared" si="2672"/>
        <v>0</v>
      </c>
      <c r="X3479" s="508" t="str">
        <f t="shared" si="2673"/>
        <v>Coral-Pink bloom</v>
      </c>
      <c r="Y3479" s="509" t="b">
        <f t="shared" si="2674"/>
        <v>0</v>
      </c>
      <c r="Z3479" s="510">
        <f t="shared" si="2675"/>
        <v>0</v>
      </c>
      <c r="AA3479" s="511"/>
      <c r="AB3479" s="511" t="str">
        <f t="shared" si="2676"/>
        <v/>
      </c>
      <c r="AC3479" s="698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698"/>
      <c r="AE3479" s="631" t="str">
        <f t="shared" si="2677"/>
        <v/>
      </c>
      <c r="AF3479" s="699" t="str">
        <f t="shared" si="2678"/>
        <v/>
      </c>
      <c r="AG3479" s="699"/>
      <c r="AH3479" s="699"/>
      <c r="AI3479" s="512">
        <f>IF(H3479="credit",0,IF(AE3479="free",0,IF(AE3479="me",0,IF(G3479&gt;0,(VLOOKUP(A3479,'Discount Lookup'!J:K,2)*G3479),0))))</f>
        <v>0</v>
      </c>
      <c r="AJ3479" s="513" t="str">
        <f t="shared" ca="1" si="2679"/>
        <v/>
      </c>
      <c r="AK3479" s="700" t="str">
        <f t="shared" si="2680"/>
        <v/>
      </c>
      <c r="AL3479" s="700"/>
      <c r="AM3479" s="505" t="str">
        <f t="shared" si="2681"/>
        <v/>
      </c>
      <c r="AN3479" s="506"/>
      <c r="AO3479" s="507"/>
      <c r="AP3479" s="507"/>
      <c r="AQ3479" s="507"/>
      <c r="AR3479" s="507"/>
      <c r="AS3479" s="507"/>
      <c r="AT3479" s="507"/>
      <c r="AU3479" s="507"/>
      <c r="AV3479" s="225"/>
      <c r="AW3479" s="508"/>
      <c r="AX3479" s="225"/>
      <c r="AY3479" s="225"/>
      <c r="AZ3479" s="225"/>
      <c r="BA3479" s="225"/>
      <c r="BB3479" s="225"/>
      <c r="BC3479" s="56"/>
      <c r="BD3479" s="56"/>
      <c r="BE3479" s="56"/>
      <c r="BF3479" s="107" t="str">
        <f t="shared" si="2682"/>
        <v>https://www.google.com/search?tbm=isch&amp;q=Spellbound%20Camellia%20Camellia%20japonica%20%27Spellbound%27</v>
      </c>
      <c r="BG3479" s="107" t="str">
        <f t="shared" si="2683"/>
        <v>S</v>
      </c>
      <c r="BH3479" s="254"/>
      <c r="BI3479" s="254"/>
    </row>
    <row r="3480" spans="1:61" customFormat="1" ht="15.75" x14ac:dyDescent="0.25">
      <c r="A3480" s="485">
        <v>7</v>
      </c>
      <c r="B3480" s="486" t="s">
        <v>291</v>
      </c>
      <c r="C3480" s="487" t="s">
        <v>1795</v>
      </c>
      <c r="D3480" s="488" t="s">
        <v>300</v>
      </c>
      <c r="E3480" s="489">
        <v>111.95</v>
      </c>
      <c r="F3480" s="516" t="s">
        <v>293</v>
      </c>
      <c r="G3480" s="232">
        <v>0</v>
      </c>
      <c r="H3480" s="658" t="str">
        <f>IF(G3480=0,"",IF(F3480="Buy",IF(G3480=1,"plant","plants"),IF(F3480&gt;0.01,"warranty","Error")))</f>
        <v/>
      </c>
      <c r="I3480" s="490">
        <f>IF(H3480="free",0,IF(H3480="credit",((E3480*(F3480))*G3480*-1),IF(F3480="Buy",(E3480*G3480),((E3480*(1-F3480))*G3480))))</f>
        <v>0</v>
      </c>
      <c r="J3480" s="490">
        <f>IF(H3480="warranty",0,(I3480*(_xlfn.SINGLE(SalesTaxPercentage))))</f>
        <v>0</v>
      </c>
      <c r="K3480" s="695">
        <f t="shared" ref="K3480" si="2689">I3480+J3480</f>
        <v>0</v>
      </c>
      <c r="L3480" s="695"/>
      <c r="M3480" s="659" t="str">
        <f>IF(AND(G3480&gt;0,E3480=0),"WARNING - no PRICE inserted",IF(H3480="free"," FREE ~ no charge this plant",IF(H3480="credit",CONCATENATE(" -$",ROUND(K3480*(1-T2GDiscount)*-1,2)," CREDIT after discount"),IF(T2GDiscount=0,"",IF(G3480=0,"",IF(F3480="Buy",CONCATENATE(" $",ROUND(K3480*(1-T2GDiscount),2)," with ",(T2GDiscount*100),"% discount"),CONCATENATE(" $",ROUND(K3480*(1-T2GDiscount),2)," with ",((T2GDiscount*100+F3480*100)-(T2GDiscount*100*F3480)),IF(F3480&gt;0,"% discounts",IF(NoWarrantyDiscount&gt;0,"% discounts","% discount")))))))))</f>
        <v/>
      </c>
      <c r="N3480" s="660"/>
      <c r="O3480" s="233"/>
      <c r="P3480" s="233"/>
      <c r="Q3480" s="233"/>
      <c r="R3480" s="233"/>
      <c r="S3480" s="233"/>
      <c r="T3480" s="508">
        <f t="shared" si="2671"/>
        <v>0</v>
      </c>
      <c r="U3480" s="225">
        <f>IF(NOT(ISNUMBER(G3480)), "", VLOOKUP(A3480,'Discount Lookup'!D:E,2,FALSE)*G3480)</f>
        <v>0</v>
      </c>
      <c r="V3480" s="225">
        <f>IF(NOT(ISNUMBER(G3480)), "", VLOOKUP(A3480,'Discount Lookup'!G:H,2,FALSE)*G3480)</f>
        <v>0</v>
      </c>
      <c r="W3480" s="508">
        <f t="shared" si="2672"/>
        <v>0</v>
      </c>
      <c r="X3480" s="508">
        <f t="shared" si="2673"/>
        <v>0</v>
      </c>
      <c r="Y3480" s="509" t="b">
        <f t="shared" si="2674"/>
        <v>0</v>
      </c>
      <c r="Z3480" s="510">
        <f t="shared" si="2675"/>
        <v>0</v>
      </c>
      <c r="AA3480" s="511"/>
      <c r="AB3480" s="511" t="str">
        <f t="shared" si="2676"/>
        <v/>
      </c>
      <c r="AC3480" s="698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698"/>
      <c r="AE3480" s="631" t="str">
        <f t="shared" si="2677"/>
        <v/>
      </c>
      <c r="AF3480" s="699" t="str">
        <f t="shared" si="2678"/>
        <v/>
      </c>
      <c r="AG3480" s="699"/>
      <c r="AH3480" s="699"/>
      <c r="AI3480" s="512">
        <f>IF(H3480="credit",0,IF(AE3480="free",0,IF(AE3480="me",0,IF(G3480&gt;0,(VLOOKUP(A3480,'Discount Lookup'!J:K,2)*G3480),0))))</f>
        <v>0</v>
      </c>
      <c r="AJ3480" s="513" t="str">
        <f t="shared" ca="1" si="2679"/>
        <v/>
      </c>
      <c r="AK3480" s="700" t="str">
        <f t="shared" si="2680"/>
        <v/>
      </c>
      <c r="AL3480" s="700"/>
      <c r="AM3480" s="505" t="str">
        <f t="shared" si="2681"/>
        <v/>
      </c>
      <c r="AN3480" s="506"/>
      <c r="AO3480" s="507"/>
      <c r="AP3480" s="507"/>
      <c r="AQ3480" s="507"/>
      <c r="AR3480" s="507"/>
      <c r="AS3480" s="507"/>
      <c r="AT3480" s="507"/>
      <c r="AU3480" s="507"/>
      <c r="AV3480" s="225"/>
      <c r="AW3480" s="508"/>
      <c r="AX3480" s="225"/>
      <c r="AY3480" s="225"/>
      <c r="AZ3480" s="225"/>
      <c r="BA3480" s="225"/>
      <c r="BB3480" s="225"/>
      <c r="BC3480" s="56"/>
      <c r="BD3480" s="56"/>
      <c r="BE3480" s="56"/>
      <c r="BF3480" s="107" t="str">
        <f t="shared" si="2682"/>
        <v>https://www.google.com/search?tbm=isch&amp;q=7%20G6</v>
      </c>
      <c r="BG3480" s="107" t="str">
        <f t="shared" si="2683"/>
        <v>S</v>
      </c>
      <c r="BH3480" s="254"/>
      <c r="BI3480" s="254"/>
    </row>
    <row r="3481" spans="1:61" customFormat="1" ht="17.25" thickBot="1" x14ac:dyDescent="0.3">
      <c r="A3481" s="522" t="s">
        <v>2575</v>
      </c>
      <c r="B3481" s="491"/>
      <c r="C3481" s="675"/>
      <c r="D3481" s="491"/>
      <c r="E3481" s="491"/>
      <c r="F3481" s="492"/>
      <c r="G3481" s="493"/>
      <c r="H3481" s="491"/>
      <c r="I3481" s="234"/>
      <c r="J3481" s="234"/>
      <c r="K3481" s="494"/>
      <c r="L3481" s="543"/>
      <c r="M3481" s="561"/>
      <c r="N3481" s="495"/>
      <c r="O3481" s="496"/>
      <c r="P3481" s="497"/>
      <c r="Q3481" s="495"/>
      <c r="R3481" s="495"/>
      <c r="S3481" s="667" t="s">
        <v>4986</v>
      </c>
      <c r="T3481" s="508">
        <f t="shared" si="2671"/>
        <v>0</v>
      </c>
      <c r="U3481" s="225" t="str">
        <f>IF(NOT(ISNUMBER(G3481)), "", VLOOKUP(A3481,'Discount Lookup'!D:E,2,FALSE)*G3481)</f>
        <v/>
      </c>
      <c r="V3481" s="225" t="str">
        <f>IF(NOT(ISNUMBER(G3481)), "", VLOOKUP(A3481,'Discount Lookup'!G:H,2,FALSE)*G3481)</f>
        <v/>
      </c>
      <c r="W3481" s="508">
        <f t="shared" si="2672"/>
        <v>0</v>
      </c>
      <c r="X3481" s="508">
        <f t="shared" si="2673"/>
        <v>0</v>
      </c>
      <c r="Y3481" s="509" t="b">
        <f t="shared" si="2674"/>
        <v>0</v>
      </c>
      <c r="Z3481" s="510">
        <f t="shared" si="2675"/>
        <v>0</v>
      </c>
      <c r="AA3481" s="511"/>
      <c r="AB3481" s="511" t="str">
        <f t="shared" si="2676"/>
        <v/>
      </c>
      <c r="AC3481" s="698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698"/>
      <c r="AE3481" s="631" t="str">
        <f t="shared" si="2677"/>
        <v/>
      </c>
      <c r="AF3481" s="699" t="str">
        <f t="shared" si="2678"/>
        <v/>
      </c>
      <c r="AG3481" s="699"/>
      <c r="AH3481" s="699"/>
      <c r="AI3481" s="512">
        <f>IF(H3481="credit",0,IF(AE3481="free",0,IF(AE3481="me",0,IF(G3481&gt;0,(VLOOKUP(A3481,'Discount Lookup'!J:K,2)*G3481),0))))</f>
        <v>0</v>
      </c>
      <c r="AJ3481" s="513" t="str">
        <f t="shared" ca="1" si="2679"/>
        <v/>
      </c>
      <c r="AK3481" s="700" t="str">
        <f t="shared" si="2680"/>
        <v/>
      </c>
      <c r="AL3481" s="700"/>
      <c r="AM3481" s="505" t="str">
        <f t="shared" si="2681"/>
        <v/>
      </c>
      <c r="AN3481" s="506"/>
      <c r="AO3481" s="507"/>
      <c r="AP3481" s="507"/>
      <c r="AQ3481" s="507"/>
      <c r="AR3481" s="507"/>
      <c r="AS3481" s="507"/>
      <c r="AT3481" s="507"/>
      <c r="AU3481" s="507"/>
      <c r="AV3481" s="225"/>
      <c r="AW3481" s="508"/>
      <c r="AX3481" s="225"/>
      <c r="AY3481" s="225"/>
      <c r="AZ3481" s="225"/>
      <c r="BA3481" s="225"/>
      <c r="BB3481" s="225"/>
      <c r="BC3481" s="56"/>
      <c r="BD3481" s="56"/>
      <c r="BE3481" s="56"/>
      <c r="BF3481" s="107" t="str">
        <f t="shared" si="2682"/>
        <v>https://www.google.com/search?tbm=isch&amp;q=Spellbound%20blooms%20from%20December%20to%20March.%20Its%20upright%20habit%20matures%20into%20a%20rounded%20form.%20The%20flowers%20are%20excellent%20for%20cutting%20</v>
      </c>
      <c r="BG3481" s="107" t="str">
        <f t="shared" si="2683"/>
        <v>S</v>
      </c>
      <c r="BH3481" s="254"/>
      <c r="BI3481" s="254"/>
    </row>
    <row r="3482" spans="1:61" customFormat="1" ht="18" x14ac:dyDescent="0.25">
      <c r="A3482" s="523" t="s">
        <v>5542</v>
      </c>
      <c r="B3482" s="235"/>
      <c r="C3482" s="676"/>
      <c r="D3482" s="255" t="s">
        <v>1796</v>
      </c>
      <c r="E3482" s="236"/>
      <c r="F3482" s="236"/>
      <c r="G3482" s="236"/>
      <c r="H3482" s="582" t="s">
        <v>720</v>
      </c>
      <c r="I3482" s="498" t="s">
        <v>3196</v>
      </c>
      <c r="J3482" s="237"/>
      <c r="K3482" s="237"/>
      <c r="L3482" s="274"/>
      <c r="M3482" s="668" t="s">
        <v>4962</v>
      </c>
      <c r="N3482" s="681" t="str">
        <f>IF(AND(ISTEXT($A3482), ISERROR($A3482+0)), HYPERLINK($BF3482, "Images"), "")</f>
        <v>Images</v>
      </c>
      <c r="O3482" s="663" t="s">
        <v>4967</v>
      </c>
      <c r="P3482" s="253"/>
      <c r="Q3482" s="238"/>
      <c r="R3482" s="239"/>
      <c r="S3482" s="275"/>
      <c r="T3482" s="508">
        <f t="shared" si="2671"/>
        <v>0</v>
      </c>
      <c r="U3482" s="225" t="str">
        <f>IF(NOT(ISNUMBER(G3482)), "", VLOOKUP(A3482,'Discount Lookup'!D:E,2,FALSE)*G3482)</f>
        <v/>
      </c>
      <c r="V3482" s="225" t="str">
        <f>IF(NOT(ISNUMBER(G3482)), "", VLOOKUP(A3482,'Discount Lookup'!G:H,2,FALSE)*G3482)</f>
        <v/>
      </c>
      <c r="W3482" s="508">
        <f t="shared" si="2672"/>
        <v>0</v>
      </c>
      <c r="X3482" s="508" t="str">
        <f t="shared" si="2673"/>
        <v>Hot Pink to Magenta bloom</v>
      </c>
      <c r="Y3482" s="509" t="b">
        <f t="shared" si="2674"/>
        <v>0</v>
      </c>
      <c r="Z3482" s="510">
        <f t="shared" si="2675"/>
        <v>0</v>
      </c>
      <c r="AA3482" s="511"/>
      <c r="AB3482" s="511" t="str">
        <f t="shared" si="2676"/>
        <v/>
      </c>
      <c r="AC3482" s="698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698"/>
      <c r="AE3482" s="631" t="str">
        <f t="shared" si="2677"/>
        <v/>
      </c>
      <c r="AF3482" s="699" t="str">
        <f t="shared" si="2678"/>
        <v/>
      </c>
      <c r="AG3482" s="699"/>
      <c r="AH3482" s="699"/>
      <c r="AI3482" s="512">
        <f>IF(H3482="credit",0,IF(AE3482="free",0,IF(AE3482="me",0,IF(G3482&gt;0,(VLOOKUP(A3482,'Discount Lookup'!J:K,2)*G3482),0))))</f>
        <v>0</v>
      </c>
      <c r="AJ3482" s="513" t="str">
        <f t="shared" ca="1" si="2679"/>
        <v/>
      </c>
      <c r="AK3482" s="700" t="str">
        <f t="shared" si="2680"/>
        <v/>
      </c>
      <c r="AL3482" s="700"/>
      <c r="AM3482" s="505" t="str">
        <f t="shared" si="2681"/>
        <v/>
      </c>
      <c r="AN3482" s="506"/>
      <c r="AO3482" s="507"/>
      <c r="AP3482" s="507"/>
      <c r="AQ3482" s="507"/>
      <c r="AR3482" s="507"/>
      <c r="AS3482" s="507"/>
      <c r="AT3482" s="507"/>
      <c r="AU3482" s="507"/>
      <c r="AV3482" s="225"/>
      <c r="AW3482" s="508"/>
      <c r="AX3482" s="225"/>
      <c r="AY3482" s="225"/>
      <c r="AZ3482" s="225"/>
      <c r="BA3482" s="225"/>
      <c r="BB3482" s="225"/>
      <c r="BC3482" s="56"/>
      <c r="BD3482" s="56"/>
      <c r="BE3482" s="56"/>
      <c r="BF3482" s="107" t="str">
        <f t="shared" si="2682"/>
        <v>https://www.google.com/search?tbm=isch&amp;q=Spilled%20Wine%C2%AE%20Weigela%20Weigela%20florida%20%27Bokraspiwi%27%20PP%2323781</v>
      </c>
      <c r="BG3482" s="107" t="str">
        <f t="shared" si="2683"/>
        <v>S</v>
      </c>
      <c r="BH3482" s="254"/>
      <c r="BI3482" s="254"/>
    </row>
    <row r="3483" spans="1:61" customFormat="1" ht="15.75" x14ac:dyDescent="0.25">
      <c r="A3483" s="276">
        <v>3</v>
      </c>
      <c r="B3483" s="240" t="s">
        <v>291</v>
      </c>
      <c r="C3483" s="241" t="s">
        <v>439</v>
      </c>
      <c r="D3483" s="242" t="s">
        <v>312</v>
      </c>
      <c r="E3483" s="243">
        <v>40.950000000000003</v>
      </c>
      <c r="F3483" s="517" t="s">
        <v>293</v>
      </c>
      <c r="G3483" s="232">
        <v>0</v>
      </c>
      <c r="H3483" s="661" t="str">
        <f>IF(G3483=0,"",IF(F3483="Buy",IF(G3483=1,"plant","plants"),IF(F3483&gt;0.01,"warranty","Error")))</f>
        <v/>
      </c>
      <c r="I3483" s="244">
        <f>IF(H3483="free",0,IF(H3483="credit",((E3483*(F3483))*G3483*-1),IF(F3483="Buy",(E3483*G3483),((E3483*(1-F3483))*G3483))))</f>
        <v>0</v>
      </c>
      <c r="J3483" s="244">
        <f>IF(H3483="warranty",0,(I3483*(_xlfn.SINGLE(SalesTaxPercentage))))</f>
        <v>0</v>
      </c>
      <c r="K3483" s="696">
        <f t="shared" ref="K3483" si="2690">I3483+J3483</f>
        <v>0</v>
      </c>
      <c r="L3483" s="696"/>
      <c r="M3483" s="659" t="str">
        <f>IF(AND(G3483&gt;0,E3483=0),"WARNING - no PRICE inserted",IF(H3483="free"," FREE ~ no charge this plant",IF(H3483="credit",CONCATENATE(" -$",ROUND(K3483*(1-T2GDiscount)*-1,2)," CREDIT after discount"),IF(T2GDiscount=0,"",IF(G3483=0,"",IF(F3483="Buy",CONCATENATE(" $",ROUND(K3483*(1-T2GDiscount),2)," with ",(T2GDiscount*100),"% discount"),CONCATENATE(" $",ROUND(K3483*(1-T2GDiscount),2)," with ",((T2GDiscount*100+F3483*100)-(T2GDiscount*100*F3483)),IF(F3483&gt;0,"% discounts",IF(NoWarrantyDiscount&gt;0,"% discounts","% discount")))))))))</f>
        <v/>
      </c>
      <c r="N3483" s="660"/>
      <c r="O3483" s="233"/>
      <c r="P3483" s="233"/>
      <c r="Q3483" s="233"/>
      <c r="R3483" s="233"/>
      <c r="S3483" s="233"/>
      <c r="T3483" s="508">
        <f t="shared" si="2671"/>
        <v>0</v>
      </c>
      <c r="U3483" s="225">
        <f>IF(NOT(ISNUMBER(G3483)), "", VLOOKUP(A3483,'Discount Lookup'!D:E,2,FALSE)*G3483)</f>
        <v>0</v>
      </c>
      <c r="V3483" s="225">
        <f>IF(NOT(ISNUMBER(G3483)), "", VLOOKUP(A3483,'Discount Lookup'!G:H,2,FALSE)*G3483)</f>
        <v>0</v>
      </c>
      <c r="W3483" s="508">
        <f t="shared" si="2672"/>
        <v>0</v>
      </c>
      <c r="X3483" s="508">
        <f t="shared" si="2673"/>
        <v>0</v>
      </c>
      <c r="Y3483" s="509" t="b">
        <f t="shared" si="2674"/>
        <v>0</v>
      </c>
      <c r="Z3483" s="510">
        <f t="shared" si="2675"/>
        <v>0</v>
      </c>
      <c r="AA3483" s="511"/>
      <c r="AB3483" s="511" t="str">
        <f t="shared" si="2676"/>
        <v/>
      </c>
      <c r="AC3483" s="698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698"/>
      <c r="AE3483" s="631" t="str">
        <f t="shared" si="2677"/>
        <v/>
      </c>
      <c r="AF3483" s="699" t="str">
        <f t="shared" si="2678"/>
        <v/>
      </c>
      <c r="AG3483" s="699"/>
      <c r="AH3483" s="699"/>
      <c r="AI3483" s="512">
        <f>IF(H3483="credit",0,IF(AE3483="free",0,IF(AE3483="me",0,IF(G3483&gt;0,(VLOOKUP(A3483,'Discount Lookup'!J:K,2)*G3483),0))))</f>
        <v>0</v>
      </c>
      <c r="AJ3483" s="513" t="str">
        <f t="shared" ca="1" si="2679"/>
        <v/>
      </c>
      <c r="AK3483" s="700" t="str">
        <f t="shared" si="2680"/>
        <v/>
      </c>
      <c r="AL3483" s="700"/>
      <c r="AM3483" s="505" t="str">
        <f t="shared" si="2681"/>
        <v/>
      </c>
      <c r="AN3483" s="506"/>
      <c r="AO3483" s="507"/>
      <c r="AP3483" s="507"/>
      <c r="AQ3483" s="507"/>
      <c r="AR3483" s="507"/>
      <c r="AS3483" s="507"/>
      <c r="AT3483" s="507"/>
      <c r="AU3483" s="507"/>
      <c r="AV3483" s="225"/>
      <c r="AW3483" s="508"/>
      <c r="AX3483" s="225"/>
      <c r="AY3483" s="225"/>
      <c r="AZ3483" s="225"/>
      <c r="BA3483" s="225"/>
      <c r="BB3483" s="225"/>
      <c r="BC3483" s="56"/>
      <c r="BD3483" s="56"/>
      <c r="BE3483" s="56"/>
      <c r="BF3483" s="107" t="str">
        <f t="shared" si="2682"/>
        <v>https://www.google.com/search?tbm=isch&amp;q=3%20G2</v>
      </c>
      <c r="BG3483" s="107" t="str">
        <f t="shared" si="2683"/>
        <v>S</v>
      </c>
      <c r="BH3483" s="254"/>
      <c r="BI3483" s="254"/>
    </row>
    <row r="3484" spans="1:61" customFormat="1" ht="17.25" thickBot="1" x14ac:dyDescent="0.3">
      <c r="A3484" s="524" t="s">
        <v>4215</v>
      </c>
      <c r="B3484" s="245"/>
      <c r="C3484" s="677"/>
      <c r="D3484" s="499"/>
      <c r="E3484" s="499"/>
      <c r="F3484" s="500"/>
      <c r="G3484" s="501"/>
      <c r="H3484" s="502"/>
      <c r="I3484" s="246"/>
      <c r="J3484" s="247"/>
      <c r="K3484" s="503"/>
      <c r="L3484" s="544"/>
      <c r="M3484" s="544"/>
      <c r="N3484" s="500"/>
      <c r="O3484" s="500"/>
      <c r="P3484" s="500"/>
      <c r="Q3484" s="500"/>
      <c r="R3484" s="500"/>
      <c r="S3484" s="669" t="s">
        <v>5011</v>
      </c>
      <c r="T3484" s="508">
        <f t="shared" si="2671"/>
        <v>0</v>
      </c>
      <c r="U3484" s="225" t="str">
        <f>IF(NOT(ISNUMBER(G3484)), "", VLOOKUP(A3484,'Discount Lookup'!D:E,2,FALSE)*G3484)</f>
        <v/>
      </c>
      <c r="V3484" s="225" t="str">
        <f>IF(NOT(ISNUMBER(G3484)), "", VLOOKUP(A3484,'Discount Lookup'!G:H,2,FALSE)*G3484)</f>
        <v/>
      </c>
      <c r="W3484" s="508">
        <f t="shared" si="2672"/>
        <v>0</v>
      </c>
      <c r="X3484" s="508">
        <f t="shared" si="2673"/>
        <v>0</v>
      </c>
      <c r="Y3484" s="509" t="b">
        <f t="shared" si="2674"/>
        <v>0</v>
      </c>
      <c r="Z3484" s="510">
        <f t="shared" si="2675"/>
        <v>0</v>
      </c>
      <c r="AA3484" s="511"/>
      <c r="AB3484" s="511" t="str">
        <f t="shared" si="2676"/>
        <v/>
      </c>
      <c r="AC3484" s="698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698"/>
      <c r="AE3484" s="631" t="str">
        <f t="shared" si="2677"/>
        <v/>
      </c>
      <c r="AF3484" s="699" t="str">
        <f t="shared" si="2678"/>
        <v/>
      </c>
      <c r="AG3484" s="699"/>
      <c r="AH3484" s="699"/>
      <c r="AI3484" s="512">
        <f>IF(H3484="credit",0,IF(AE3484="free",0,IF(AE3484="me",0,IF(G3484&gt;0,(VLOOKUP(A3484,'Discount Lookup'!J:K,2)*G3484),0))))</f>
        <v>0</v>
      </c>
      <c r="AJ3484" s="513" t="str">
        <f t="shared" ca="1" si="2679"/>
        <v/>
      </c>
      <c r="AK3484" s="700" t="str">
        <f t="shared" si="2680"/>
        <v/>
      </c>
      <c r="AL3484" s="700"/>
      <c r="AM3484" s="505" t="str">
        <f t="shared" si="2681"/>
        <v/>
      </c>
      <c r="AN3484" s="506"/>
      <c r="AO3484" s="507"/>
      <c r="AP3484" s="507"/>
      <c r="AQ3484" s="507"/>
      <c r="AR3484" s="507"/>
      <c r="AS3484" s="507"/>
      <c r="AT3484" s="507"/>
      <c r="AU3484" s="507"/>
      <c r="AV3484" s="225"/>
      <c r="AW3484" s="508"/>
      <c r="AX3484" s="225"/>
      <c r="AY3484" s="225"/>
      <c r="AZ3484" s="225"/>
      <c r="BA3484" s="225"/>
      <c r="BB3484" s="225"/>
      <c r="BC3484" s="56"/>
      <c r="BD3484" s="56"/>
      <c r="BE3484" s="56"/>
      <c r="BF3484" s="107" t="str">
        <f t="shared" si="2682"/>
        <v>https://www.google.com/search?tbm=isch&amp;q=Spilled%20Wine%20has%20Deep%20Purple%20foliage%2C%20holding%20color%20to%20leaf%20drop.%20Trumpet-shaped%20flowers%20on%20old%20wood%E2%80%94prune%20right%20after%20spring%20bloom%20</v>
      </c>
      <c r="BG3484" s="107" t="str">
        <f t="shared" si="2683"/>
        <v>S</v>
      </c>
      <c r="BH3484" s="254"/>
      <c r="BI3484" s="254"/>
    </row>
    <row r="3485" spans="1:61" customFormat="1" ht="18" x14ac:dyDescent="0.25">
      <c r="A3485" s="521" t="s">
        <v>1797</v>
      </c>
      <c r="B3485" s="477"/>
      <c r="C3485" s="674"/>
      <c r="D3485" s="478" t="s">
        <v>1798</v>
      </c>
      <c r="E3485" s="479"/>
      <c r="F3485" s="479"/>
      <c r="G3485" s="479"/>
      <c r="H3485" s="582" t="s">
        <v>839</v>
      </c>
      <c r="I3485" s="480" t="s">
        <v>2293</v>
      </c>
      <c r="J3485" s="479"/>
      <c r="K3485" s="479"/>
      <c r="L3485" s="560"/>
      <c r="M3485" s="666" t="s">
        <v>4966</v>
      </c>
      <c r="N3485" s="680" t="str">
        <f>IF(AND(ISTEXT($A3485), ISERROR($A3485+0)), HYPERLINK($BF3485, "Images"), "")</f>
        <v>Images</v>
      </c>
      <c r="O3485" s="662" t="s">
        <v>4969</v>
      </c>
      <c r="P3485" s="482"/>
      <c r="Q3485" s="483"/>
      <c r="R3485" s="483"/>
      <c r="S3485" s="484"/>
      <c r="T3485" s="508">
        <f t="shared" si="2671"/>
        <v>0</v>
      </c>
      <c r="U3485" s="225" t="str">
        <f>IF(NOT(ISNUMBER(G3485)), "", VLOOKUP(A3485,'Discount Lookup'!D:E,2,FALSE)*G3485)</f>
        <v/>
      </c>
      <c r="V3485" s="225" t="str">
        <f>IF(NOT(ISNUMBER(G3485)), "", VLOOKUP(A3485,'Discount Lookup'!G:H,2,FALSE)*G3485)</f>
        <v/>
      </c>
      <c r="W3485" s="508">
        <f t="shared" si="2672"/>
        <v>0</v>
      </c>
      <c r="X3485" s="508" t="str">
        <f t="shared" si="2673"/>
        <v>Golden-Yellow foliage</v>
      </c>
      <c r="Y3485" s="509" t="b">
        <f t="shared" si="2674"/>
        <v>0</v>
      </c>
      <c r="Z3485" s="510">
        <f t="shared" si="2675"/>
        <v>0</v>
      </c>
      <c r="AA3485" s="511"/>
      <c r="AB3485" s="511" t="str">
        <f t="shared" si="2676"/>
        <v/>
      </c>
      <c r="AC3485" s="698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698"/>
      <c r="AE3485" s="631" t="str">
        <f t="shared" si="2677"/>
        <v/>
      </c>
      <c r="AF3485" s="699" t="str">
        <f t="shared" si="2678"/>
        <v/>
      </c>
      <c r="AG3485" s="699"/>
      <c r="AH3485" s="699"/>
      <c r="AI3485" s="512">
        <f>IF(H3485="credit",0,IF(AE3485="free",0,IF(AE3485="me",0,IF(G3485&gt;0,(VLOOKUP(A3485,'Discount Lookup'!J:K,2)*G3485),0))))</f>
        <v>0</v>
      </c>
      <c r="AJ3485" s="513" t="str">
        <f t="shared" ca="1" si="2679"/>
        <v/>
      </c>
      <c r="AK3485" s="700" t="str">
        <f t="shared" si="2680"/>
        <v/>
      </c>
      <c r="AL3485" s="700"/>
      <c r="AM3485" s="505" t="str">
        <f t="shared" si="2681"/>
        <v/>
      </c>
      <c r="AN3485" s="506"/>
      <c r="AO3485" s="507"/>
      <c r="AP3485" s="507"/>
      <c r="AQ3485" s="507"/>
      <c r="AR3485" s="507"/>
      <c r="AS3485" s="507"/>
      <c r="AT3485" s="507"/>
      <c r="AU3485" s="507"/>
      <c r="AV3485" s="225"/>
      <c r="AW3485" s="508"/>
      <c r="AX3485" s="225"/>
      <c r="AY3485" s="225"/>
      <c r="AZ3485" s="225"/>
      <c r="BA3485" s="225"/>
      <c r="BB3485" s="225"/>
      <c r="BC3485" s="56"/>
      <c r="BD3485" s="56"/>
      <c r="BE3485" s="56"/>
      <c r="BF3485" s="107" t="str">
        <f t="shared" si="2682"/>
        <v>https://www.google.com/search?tbm=isch&amp;q=Spirited%20Cypress%20Chamaecyparis%20obtusa%20%27Spirited%27</v>
      </c>
      <c r="BG3485" s="107" t="str">
        <f t="shared" si="2683"/>
        <v>S</v>
      </c>
      <c r="BH3485" s="254"/>
      <c r="BI3485" s="254"/>
    </row>
    <row r="3486" spans="1:61" customFormat="1" ht="15.75" x14ac:dyDescent="0.25">
      <c r="A3486" s="485">
        <v>7</v>
      </c>
      <c r="B3486" s="486" t="s">
        <v>291</v>
      </c>
      <c r="C3486" s="487" t="s">
        <v>3792</v>
      </c>
      <c r="D3486" s="488" t="s">
        <v>292</v>
      </c>
      <c r="E3486" s="489">
        <v>111.95</v>
      </c>
      <c r="F3486" s="516" t="s">
        <v>293</v>
      </c>
      <c r="G3486" s="232">
        <v>0</v>
      </c>
      <c r="H3486" s="658" t="str">
        <f>IF(G3486=0,"",IF(F3486="Buy",IF(G3486=1,"plant","plants"),IF(F3486&gt;0.01,"warranty","Error")))</f>
        <v/>
      </c>
      <c r="I3486" s="490">
        <f>IF(H3486="free",0,IF(H3486="credit",((E3486*(F3486))*G3486*-1),IF(F3486="Buy",(E3486*G3486),((E3486*(1-F3486))*G3486))))</f>
        <v>0</v>
      </c>
      <c r="J3486" s="490">
        <f>IF(H3486="warranty",0,(I3486*(_xlfn.SINGLE(SalesTaxPercentage))))</f>
        <v>0</v>
      </c>
      <c r="K3486" s="695">
        <f t="shared" ref="K3486" si="2691">I3486+J3486</f>
        <v>0</v>
      </c>
      <c r="L3486" s="695"/>
      <c r="M3486" s="659" t="str">
        <f>IF(AND(G3486&gt;0,E3486=0),"WARNING - no PRICE inserted",IF(H3486="free"," FREE ~ no charge this plant",IF(H3486="credit",CONCATENATE(" -$",ROUND(K3486*(1-T2GDiscount)*-1,2)," CREDIT after discount"),IF(T2GDiscount=0,"",IF(G3486=0,"",IF(F3486="Buy",CONCATENATE(" $",ROUND(K3486*(1-T2GDiscount),2)," with ",(T2GDiscount*100),"% discount"),CONCATENATE(" $",ROUND(K3486*(1-T2GDiscount),2)," with ",((T2GDiscount*100+F3486*100)-(T2GDiscount*100*F3486)),IF(F3486&gt;0,"% discounts",IF(NoWarrantyDiscount&gt;0,"% discounts","% discount")))))))))</f>
        <v/>
      </c>
      <c r="N3486" s="660"/>
      <c r="O3486" s="233"/>
      <c r="P3486" s="233"/>
      <c r="Q3486" s="233"/>
      <c r="R3486" s="233"/>
      <c r="S3486" s="233"/>
      <c r="T3486" s="508">
        <f t="shared" si="2671"/>
        <v>0</v>
      </c>
      <c r="U3486" s="225">
        <f>IF(NOT(ISNUMBER(G3486)), "", VLOOKUP(A3486,'Discount Lookup'!D:E,2,FALSE)*G3486)</f>
        <v>0</v>
      </c>
      <c r="V3486" s="225">
        <f>IF(NOT(ISNUMBER(G3486)), "", VLOOKUP(A3486,'Discount Lookup'!G:H,2,FALSE)*G3486)</f>
        <v>0</v>
      </c>
      <c r="W3486" s="508">
        <f t="shared" si="2672"/>
        <v>0</v>
      </c>
      <c r="X3486" s="508">
        <f t="shared" si="2673"/>
        <v>0</v>
      </c>
      <c r="Y3486" s="509" t="b">
        <f t="shared" si="2674"/>
        <v>0</v>
      </c>
      <c r="Z3486" s="510">
        <f t="shared" si="2675"/>
        <v>0</v>
      </c>
      <c r="AA3486" s="511"/>
      <c r="AB3486" s="511" t="str">
        <f t="shared" si="2676"/>
        <v/>
      </c>
      <c r="AC3486" s="698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698"/>
      <c r="AE3486" s="631" t="str">
        <f t="shared" si="2677"/>
        <v/>
      </c>
      <c r="AF3486" s="699" t="str">
        <f t="shared" si="2678"/>
        <v/>
      </c>
      <c r="AG3486" s="699"/>
      <c r="AH3486" s="699"/>
      <c r="AI3486" s="512">
        <f>IF(H3486="credit",0,IF(AE3486="free",0,IF(AE3486="me",0,IF(G3486&gt;0,(VLOOKUP(A3486,'Discount Lookup'!J:K,2)*G3486),0))))</f>
        <v>0</v>
      </c>
      <c r="AJ3486" s="513" t="str">
        <f t="shared" ca="1" si="2679"/>
        <v/>
      </c>
      <c r="AK3486" s="700" t="str">
        <f t="shared" si="2680"/>
        <v/>
      </c>
      <c r="AL3486" s="700"/>
      <c r="AM3486" s="505" t="str">
        <f t="shared" si="2681"/>
        <v/>
      </c>
      <c r="AN3486" s="506"/>
      <c r="AO3486" s="507"/>
      <c r="AP3486" s="507"/>
      <c r="AQ3486" s="507"/>
      <c r="AR3486" s="507"/>
      <c r="AS3486" s="507"/>
      <c r="AT3486" s="507"/>
      <c r="AU3486" s="507"/>
      <c r="AV3486" s="225"/>
      <c r="AW3486" s="508"/>
      <c r="AX3486" s="225"/>
      <c r="AY3486" s="225"/>
      <c r="AZ3486" s="225"/>
      <c r="BA3486" s="225"/>
      <c r="BB3486" s="225"/>
      <c r="BC3486" s="56"/>
      <c r="BD3486" s="56"/>
      <c r="BE3486" s="56"/>
      <c r="BF3486" s="107" t="str">
        <f t="shared" si="2682"/>
        <v>https://www.google.com/search?tbm=isch&amp;q=7%20G4</v>
      </c>
      <c r="BG3486" s="107" t="str">
        <f t="shared" si="2683"/>
        <v>S</v>
      </c>
      <c r="BH3486" s="254"/>
      <c r="BI3486" s="254"/>
    </row>
    <row r="3487" spans="1:61" customFormat="1" ht="16.5" thickBot="1" x14ac:dyDescent="0.3">
      <c r="A3487" s="522" t="s">
        <v>2915</v>
      </c>
      <c r="B3487" s="491"/>
      <c r="C3487" s="675"/>
      <c r="D3487" s="491"/>
      <c r="E3487" s="491"/>
      <c r="F3487" s="492"/>
      <c r="G3487" s="493"/>
      <c r="H3487" s="491"/>
      <c r="I3487" s="234"/>
      <c r="J3487" s="234"/>
      <c r="K3487" s="494"/>
      <c r="L3487" s="543"/>
      <c r="M3487" s="561"/>
      <c r="N3487" s="495"/>
      <c r="O3487" s="496"/>
      <c r="P3487" s="497"/>
      <c r="Q3487" s="495"/>
      <c r="R3487" s="495"/>
      <c r="S3487" s="277"/>
      <c r="T3487" s="508">
        <f t="shared" si="2671"/>
        <v>0</v>
      </c>
      <c r="U3487" s="225" t="str">
        <f>IF(NOT(ISNUMBER(G3487)), "", VLOOKUP(A3487,'Discount Lookup'!D:E,2,FALSE)*G3487)</f>
        <v/>
      </c>
      <c r="V3487" s="225" t="str">
        <f>IF(NOT(ISNUMBER(G3487)), "", VLOOKUP(A3487,'Discount Lookup'!G:H,2,FALSE)*G3487)</f>
        <v/>
      </c>
      <c r="W3487" s="508">
        <f t="shared" si="2672"/>
        <v>0</v>
      </c>
      <c r="X3487" s="508">
        <f t="shared" si="2673"/>
        <v>0</v>
      </c>
      <c r="Y3487" s="509" t="b">
        <f t="shared" si="2674"/>
        <v>0</v>
      </c>
      <c r="Z3487" s="510">
        <f t="shared" si="2675"/>
        <v>0</v>
      </c>
      <c r="AA3487" s="511"/>
      <c r="AB3487" s="511" t="str">
        <f t="shared" si="2676"/>
        <v/>
      </c>
      <c r="AC3487" s="698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698"/>
      <c r="AE3487" s="631" t="str">
        <f t="shared" si="2677"/>
        <v/>
      </c>
      <c r="AF3487" s="699" t="str">
        <f t="shared" si="2678"/>
        <v/>
      </c>
      <c r="AG3487" s="699"/>
      <c r="AH3487" s="699"/>
      <c r="AI3487" s="512">
        <f>IF(H3487="credit",0,IF(AE3487="free",0,IF(AE3487="me",0,IF(G3487&gt;0,(VLOOKUP(A3487,'Discount Lookup'!J:K,2)*G3487),0))))</f>
        <v>0</v>
      </c>
      <c r="AJ3487" s="513" t="str">
        <f t="shared" ca="1" si="2679"/>
        <v/>
      </c>
      <c r="AK3487" s="700" t="str">
        <f t="shared" si="2680"/>
        <v/>
      </c>
      <c r="AL3487" s="700"/>
      <c r="AM3487" s="505" t="str">
        <f t="shared" si="2681"/>
        <v/>
      </c>
      <c r="AN3487" s="506"/>
      <c r="AO3487" s="507"/>
      <c r="AP3487" s="507"/>
      <c r="AQ3487" s="507"/>
      <c r="AR3487" s="507"/>
      <c r="AS3487" s="507"/>
      <c r="AT3487" s="507"/>
      <c r="AU3487" s="507"/>
      <c r="AV3487" s="225"/>
      <c r="AW3487" s="508"/>
      <c r="AX3487" s="225"/>
      <c r="AY3487" s="225"/>
      <c r="AZ3487" s="225"/>
      <c r="BA3487" s="225"/>
      <c r="BB3487" s="225"/>
      <c r="BC3487" s="56"/>
      <c r="BD3487" s="56"/>
      <c r="BE3487" s="56"/>
      <c r="BF3487" s="107" t="str">
        <f t="shared" si="2682"/>
        <v>https://www.google.com/search?tbm=isch&amp;q=Spirited%20has%20vibrant%2C%20lace-like%20Golden%20foliage%20in%20a%20compact%20pyramidal%20form.%20Best%20color%20in%20full%20sun%20</v>
      </c>
      <c r="BG3487" s="107" t="str">
        <f t="shared" si="2683"/>
        <v>S</v>
      </c>
      <c r="BH3487" s="254"/>
      <c r="BI3487" s="254"/>
    </row>
    <row r="3488" spans="1:61" customFormat="1" ht="18" x14ac:dyDescent="0.25">
      <c r="A3488" s="521" t="s">
        <v>1799</v>
      </c>
      <c r="B3488" s="477"/>
      <c r="C3488" s="674"/>
      <c r="D3488" s="478" t="s">
        <v>1800</v>
      </c>
      <c r="E3488" s="479"/>
      <c r="F3488" s="479"/>
      <c r="G3488" s="479"/>
      <c r="H3488" s="582" t="s">
        <v>356</v>
      </c>
      <c r="I3488" s="480" t="s">
        <v>2519</v>
      </c>
      <c r="J3488" s="479"/>
      <c r="K3488" s="479"/>
      <c r="L3488" s="560"/>
      <c r="M3488" s="666" t="s">
        <v>4966</v>
      </c>
      <c r="N3488" s="680" t="str">
        <f>IF(AND(ISTEXT($A3488), ISERROR($A3488+0)), HYPERLINK($BF3488, "Images"), "")</f>
        <v>Images</v>
      </c>
      <c r="O3488" s="662" t="s">
        <v>4967</v>
      </c>
      <c r="P3488" s="482"/>
      <c r="Q3488" s="483"/>
      <c r="R3488" s="483"/>
      <c r="S3488" s="484"/>
      <c r="T3488" s="508">
        <f t="shared" si="2671"/>
        <v>0</v>
      </c>
      <c r="U3488" s="225" t="str">
        <f>IF(NOT(ISNUMBER(G3488)), "", VLOOKUP(A3488,'Discount Lookup'!D:E,2,FALSE)*G3488)</f>
        <v/>
      </c>
      <c r="V3488" s="225" t="str">
        <f>IF(NOT(ISNUMBER(G3488)), "", VLOOKUP(A3488,'Discount Lookup'!G:H,2,FALSE)*G3488)</f>
        <v/>
      </c>
      <c r="W3488" s="508">
        <f t="shared" si="2672"/>
        <v>0</v>
      </c>
      <c r="X3488" s="508" t="str">
        <f t="shared" si="2673"/>
        <v>Pink fades to White</v>
      </c>
      <c r="Y3488" s="509" t="b">
        <f t="shared" si="2674"/>
        <v>0</v>
      </c>
      <c r="Z3488" s="510">
        <f t="shared" si="2675"/>
        <v>0</v>
      </c>
      <c r="AA3488" s="511"/>
      <c r="AB3488" s="511" t="str">
        <f t="shared" si="2676"/>
        <v/>
      </c>
      <c r="AC3488" s="698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698"/>
      <c r="AE3488" s="631" t="str">
        <f t="shared" si="2677"/>
        <v/>
      </c>
      <c r="AF3488" s="699" t="str">
        <f t="shared" si="2678"/>
        <v/>
      </c>
      <c r="AG3488" s="699"/>
      <c r="AH3488" s="699"/>
      <c r="AI3488" s="512">
        <f>IF(H3488="credit",0,IF(AE3488="free",0,IF(AE3488="me",0,IF(G3488&gt;0,(VLOOKUP(A3488,'Discount Lookup'!J:K,2)*G3488),0))))</f>
        <v>0</v>
      </c>
      <c r="AJ3488" s="513" t="str">
        <f t="shared" ca="1" si="2679"/>
        <v/>
      </c>
      <c r="AK3488" s="700" t="str">
        <f t="shared" si="2680"/>
        <v/>
      </c>
      <c r="AL3488" s="700"/>
      <c r="AM3488" s="505" t="str">
        <f t="shared" si="2681"/>
        <v/>
      </c>
      <c r="AN3488" s="506"/>
      <c r="AO3488" s="507"/>
      <c r="AP3488" s="507"/>
      <c r="AQ3488" s="507"/>
      <c r="AR3488" s="507"/>
      <c r="AS3488" s="507"/>
      <c r="AT3488" s="507"/>
      <c r="AU3488" s="507"/>
      <c r="AV3488" s="225"/>
      <c r="AW3488" s="508"/>
      <c r="AX3488" s="225"/>
      <c r="AY3488" s="225"/>
      <c r="AZ3488" s="225"/>
      <c r="BA3488" s="225"/>
      <c r="BB3488" s="225"/>
      <c r="BC3488" s="56"/>
      <c r="BD3488" s="56"/>
      <c r="BE3488" s="56"/>
      <c r="BF3488" s="107" t="str">
        <f t="shared" si="2682"/>
        <v>https://www.google.com/search?tbm=isch&amp;q=Spring%20Bouquet%20Viburnum%20Viburnum%20tinus%20%27Compactum%27</v>
      </c>
      <c r="BG3488" s="107" t="str">
        <f t="shared" si="2683"/>
        <v>S</v>
      </c>
      <c r="BH3488" s="254"/>
      <c r="BI3488" s="254"/>
    </row>
    <row r="3489" spans="1:61" customFormat="1" ht="15.75" x14ac:dyDescent="0.25">
      <c r="A3489" s="485">
        <v>3</v>
      </c>
      <c r="B3489" s="486" t="s">
        <v>291</v>
      </c>
      <c r="C3489" s="487" t="s">
        <v>9</v>
      </c>
      <c r="D3489" s="488" t="s">
        <v>298</v>
      </c>
      <c r="E3489" s="489">
        <v>25.95</v>
      </c>
      <c r="F3489" s="516" t="s">
        <v>293</v>
      </c>
      <c r="G3489" s="232">
        <v>0</v>
      </c>
      <c r="H3489" s="658" t="str">
        <f>IF(G3489=0,"",IF(F3489="Buy",IF(G3489=1,"plant","plants"),IF(F3489&gt;0.01,"warranty","Error")))</f>
        <v/>
      </c>
      <c r="I3489" s="490">
        <f>IF(H3489="free",0,IF(H3489="credit",((E3489*(F3489))*G3489*-1),IF(F3489="Buy",(E3489*G3489),((E3489*(1-F3489))*G3489))))</f>
        <v>0</v>
      </c>
      <c r="J3489" s="490">
        <f>IF(H3489="warranty",0,(I3489*(_xlfn.SINGLE(SalesTaxPercentage))))</f>
        <v>0</v>
      </c>
      <c r="K3489" s="695">
        <f t="shared" ref="K3489" si="2692">I3489+J3489</f>
        <v>0</v>
      </c>
      <c r="L3489" s="695"/>
      <c r="M3489" s="659" t="str">
        <f>IF(AND(G3489&gt;0,E3489=0),"WARNING - no PRICE inserted",IF(H3489="free"," FREE ~ no charge this plant",IF(H3489="credit",CONCATENATE(" -$",ROUND(K3489*(1-T2GDiscount)*-1,2)," CREDIT after discount"),IF(T2GDiscount=0,"",IF(G3489=0,"",IF(F3489="Buy",CONCATENATE(" $",ROUND(K3489*(1-T2GDiscount),2)," with ",(T2GDiscount*100),"% discount"),CONCATENATE(" $",ROUND(K3489*(1-T2GDiscount),2)," with ",((T2GDiscount*100+F3489*100)-(T2GDiscount*100*F3489)),IF(F3489&gt;0,"% discounts",IF(NoWarrantyDiscount&gt;0,"% discounts","% discount")))))))))</f>
        <v/>
      </c>
      <c r="N3489" s="660"/>
      <c r="O3489" s="233"/>
      <c r="P3489" s="233"/>
      <c r="Q3489" s="233"/>
      <c r="R3489" s="233"/>
      <c r="S3489" s="233"/>
      <c r="T3489" s="508">
        <f t="shared" si="2671"/>
        <v>0</v>
      </c>
      <c r="U3489" s="225">
        <f>IF(NOT(ISNUMBER(G3489)), "", VLOOKUP(A3489,'Discount Lookup'!D:E,2,FALSE)*G3489)</f>
        <v>0</v>
      </c>
      <c r="V3489" s="225">
        <f>IF(NOT(ISNUMBER(G3489)), "", VLOOKUP(A3489,'Discount Lookup'!G:H,2,FALSE)*G3489)</f>
        <v>0</v>
      </c>
      <c r="W3489" s="508">
        <f t="shared" si="2672"/>
        <v>0</v>
      </c>
      <c r="X3489" s="508">
        <f t="shared" si="2673"/>
        <v>0</v>
      </c>
      <c r="Y3489" s="509" t="b">
        <f t="shared" si="2674"/>
        <v>0</v>
      </c>
      <c r="Z3489" s="510">
        <f t="shared" si="2675"/>
        <v>0</v>
      </c>
      <c r="AA3489" s="511"/>
      <c r="AB3489" s="511" t="str">
        <f t="shared" si="2676"/>
        <v/>
      </c>
      <c r="AC3489" s="698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698"/>
      <c r="AE3489" s="631" t="str">
        <f t="shared" si="2677"/>
        <v/>
      </c>
      <c r="AF3489" s="699" t="str">
        <f t="shared" si="2678"/>
        <v/>
      </c>
      <c r="AG3489" s="699"/>
      <c r="AH3489" s="699"/>
      <c r="AI3489" s="512">
        <f>IF(H3489="credit",0,IF(AE3489="free",0,IF(AE3489="me",0,IF(G3489&gt;0,(VLOOKUP(A3489,'Discount Lookup'!J:K,2)*G3489),0))))</f>
        <v>0</v>
      </c>
      <c r="AJ3489" s="513" t="str">
        <f t="shared" ca="1" si="2679"/>
        <v/>
      </c>
      <c r="AK3489" s="700" t="str">
        <f t="shared" si="2680"/>
        <v/>
      </c>
      <c r="AL3489" s="700"/>
      <c r="AM3489" s="505" t="str">
        <f t="shared" si="2681"/>
        <v/>
      </c>
      <c r="AN3489" s="506"/>
      <c r="AO3489" s="507"/>
      <c r="AP3489" s="507"/>
      <c r="AQ3489" s="507"/>
      <c r="AR3489" s="507"/>
      <c r="AS3489" s="507"/>
      <c r="AT3489" s="507"/>
      <c r="AU3489" s="507"/>
      <c r="AV3489" s="225"/>
      <c r="AW3489" s="508"/>
      <c r="AX3489" s="225"/>
      <c r="AY3489" s="225"/>
      <c r="AZ3489" s="225"/>
      <c r="BA3489" s="225"/>
      <c r="BB3489" s="225"/>
      <c r="BC3489" s="56"/>
      <c r="BD3489" s="56"/>
      <c r="BE3489" s="56"/>
      <c r="BF3489" s="107" t="str">
        <f t="shared" si="2682"/>
        <v>https://www.google.com/search?tbm=isch&amp;q=3%20G1</v>
      </c>
      <c r="BG3489" s="107" t="str">
        <f t="shared" si="2683"/>
        <v>S</v>
      </c>
      <c r="BH3489" s="254"/>
      <c r="BI3489" s="254"/>
    </row>
    <row r="3490" spans="1:61" customFormat="1" ht="15.75" x14ac:dyDescent="0.25">
      <c r="A3490" s="485">
        <v>7</v>
      </c>
      <c r="B3490" s="486" t="s">
        <v>291</v>
      </c>
      <c r="C3490" s="487" t="s">
        <v>1801</v>
      </c>
      <c r="D3490" s="488" t="s">
        <v>300</v>
      </c>
      <c r="E3490" s="489">
        <v>98.95</v>
      </c>
      <c r="F3490" s="516" t="s">
        <v>293</v>
      </c>
      <c r="G3490" s="232">
        <v>0</v>
      </c>
      <c r="H3490" s="658" t="str">
        <f>IF(G3490=0,"",IF(F3490="Buy",IF(G3490=1,"plant","plants"),IF(F3490&gt;0.01,"warranty","Error")))</f>
        <v/>
      </c>
      <c r="I3490" s="490">
        <f>IF(H3490="free",0,IF(H3490="credit",((E3490*(F3490))*G3490*-1),IF(F3490="Buy",(E3490*G3490),((E3490*(1-F3490))*G3490))))</f>
        <v>0</v>
      </c>
      <c r="J3490" s="490">
        <f>IF(H3490="warranty",0,(I3490*(_xlfn.SINGLE(SalesTaxPercentage))))</f>
        <v>0</v>
      </c>
      <c r="K3490" s="695">
        <f t="shared" ref="K3490" si="2693">I3490+J3490</f>
        <v>0</v>
      </c>
      <c r="L3490" s="695"/>
      <c r="M3490" s="659" t="str">
        <f>IF(AND(G3490&gt;0,E3490=0),"WARNING - no PRICE inserted",IF(H3490="free"," FREE ~ no charge this plant",IF(H3490="credit",CONCATENATE(" -$",ROUND(K3490*(1-T2GDiscount)*-1,2)," CREDIT after discount"),IF(T2GDiscount=0,"",IF(G3490=0,"",IF(F3490="Buy",CONCATENATE(" $",ROUND(K3490*(1-T2GDiscount),2)," with ",(T2GDiscount*100),"% discount"),CONCATENATE(" $",ROUND(K3490*(1-T2GDiscount),2)," with ",((T2GDiscount*100+F3490*100)-(T2GDiscount*100*F3490)),IF(F3490&gt;0,"% discounts",IF(NoWarrantyDiscount&gt;0,"% discounts","% discount")))))))))</f>
        <v/>
      </c>
      <c r="N3490" s="660"/>
      <c r="O3490" s="233"/>
      <c r="P3490" s="233"/>
      <c r="Q3490" s="233"/>
      <c r="R3490" s="233"/>
      <c r="S3490" s="233"/>
      <c r="T3490" s="508">
        <f t="shared" si="2671"/>
        <v>0</v>
      </c>
      <c r="U3490" s="225">
        <f>IF(NOT(ISNUMBER(G3490)), "", VLOOKUP(A3490,'Discount Lookup'!D:E,2,FALSE)*G3490)</f>
        <v>0</v>
      </c>
      <c r="V3490" s="225">
        <f>IF(NOT(ISNUMBER(G3490)), "", VLOOKUP(A3490,'Discount Lookup'!G:H,2,FALSE)*G3490)</f>
        <v>0</v>
      </c>
      <c r="W3490" s="508">
        <f t="shared" si="2672"/>
        <v>0</v>
      </c>
      <c r="X3490" s="508">
        <f t="shared" si="2673"/>
        <v>0</v>
      </c>
      <c r="Y3490" s="509" t="b">
        <f t="shared" si="2674"/>
        <v>0</v>
      </c>
      <c r="Z3490" s="510">
        <f t="shared" si="2675"/>
        <v>0</v>
      </c>
      <c r="AA3490" s="511"/>
      <c r="AB3490" s="511" t="str">
        <f t="shared" si="2676"/>
        <v/>
      </c>
      <c r="AC3490" s="698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698"/>
      <c r="AE3490" s="631" t="str">
        <f t="shared" si="2677"/>
        <v/>
      </c>
      <c r="AF3490" s="699" t="str">
        <f t="shared" si="2678"/>
        <v/>
      </c>
      <c r="AG3490" s="699"/>
      <c r="AH3490" s="699"/>
      <c r="AI3490" s="512">
        <f>IF(H3490="credit",0,IF(AE3490="free",0,IF(AE3490="me",0,IF(G3490&gt;0,(VLOOKUP(A3490,'Discount Lookup'!J:K,2)*G3490),0))))</f>
        <v>0</v>
      </c>
      <c r="AJ3490" s="513" t="str">
        <f t="shared" ca="1" si="2679"/>
        <v/>
      </c>
      <c r="AK3490" s="700" t="str">
        <f t="shared" si="2680"/>
        <v/>
      </c>
      <c r="AL3490" s="700"/>
      <c r="AM3490" s="505" t="str">
        <f t="shared" si="2681"/>
        <v/>
      </c>
      <c r="AN3490" s="506"/>
      <c r="AO3490" s="507"/>
      <c r="AP3490" s="507"/>
      <c r="AQ3490" s="507"/>
      <c r="AR3490" s="507"/>
      <c r="AS3490" s="507"/>
      <c r="AT3490" s="507"/>
      <c r="AU3490" s="507"/>
      <c r="AV3490" s="225"/>
      <c r="AW3490" s="508"/>
      <c r="AX3490" s="225"/>
      <c r="AY3490" s="225"/>
      <c r="AZ3490" s="225"/>
      <c r="BA3490" s="225"/>
      <c r="BB3490" s="225"/>
      <c r="BC3490" s="56"/>
      <c r="BD3490" s="56"/>
      <c r="BE3490" s="56"/>
      <c r="BF3490" s="107" t="str">
        <f t="shared" si="2682"/>
        <v>https://www.google.com/search?tbm=isch&amp;q=7%20G6</v>
      </c>
      <c r="BG3490" s="107" t="str">
        <f t="shared" si="2683"/>
        <v>S</v>
      </c>
      <c r="BH3490" s="254"/>
      <c r="BI3490" s="254"/>
    </row>
    <row r="3491" spans="1:61" customFormat="1" ht="17.25" thickBot="1" x14ac:dyDescent="0.3">
      <c r="A3491" s="522" t="s">
        <v>2696</v>
      </c>
      <c r="B3491" s="491"/>
      <c r="C3491" s="675"/>
      <c r="D3491" s="491"/>
      <c r="E3491" s="491"/>
      <c r="F3491" s="492"/>
      <c r="G3491" s="493"/>
      <c r="H3491" s="491"/>
      <c r="I3491" s="234"/>
      <c r="J3491" s="234"/>
      <c r="K3491" s="494"/>
      <c r="L3491" s="543"/>
      <c r="M3491" s="561"/>
      <c r="N3491" s="495"/>
      <c r="O3491" s="496"/>
      <c r="P3491" s="497"/>
      <c r="Q3491" s="495"/>
      <c r="R3491" s="495"/>
      <c r="S3491" s="667" t="s">
        <v>4984</v>
      </c>
      <c r="T3491" s="508">
        <f t="shared" si="2671"/>
        <v>0</v>
      </c>
      <c r="U3491" s="225" t="str">
        <f>IF(NOT(ISNUMBER(G3491)), "", VLOOKUP(A3491,'Discount Lookup'!D:E,2,FALSE)*G3491)</f>
        <v/>
      </c>
      <c r="V3491" s="225" t="str">
        <f>IF(NOT(ISNUMBER(G3491)), "", VLOOKUP(A3491,'Discount Lookup'!G:H,2,FALSE)*G3491)</f>
        <v/>
      </c>
      <c r="W3491" s="508">
        <f t="shared" si="2672"/>
        <v>0</v>
      </c>
      <c r="X3491" s="508">
        <f t="shared" si="2673"/>
        <v>0</v>
      </c>
      <c r="Y3491" s="509" t="b">
        <f t="shared" si="2674"/>
        <v>0</v>
      </c>
      <c r="Z3491" s="510">
        <f t="shared" si="2675"/>
        <v>0</v>
      </c>
      <c r="AA3491" s="511"/>
      <c r="AB3491" s="511" t="str">
        <f t="shared" si="2676"/>
        <v/>
      </c>
      <c r="AC3491" s="698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698"/>
      <c r="AE3491" s="631" t="str">
        <f t="shared" si="2677"/>
        <v/>
      </c>
      <c r="AF3491" s="699" t="str">
        <f t="shared" si="2678"/>
        <v/>
      </c>
      <c r="AG3491" s="699"/>
      <c r="AH3491" s="699"/>
      <c r="AI3491" s="512">
        <f>IF(H3491="credit",0,IF(AE3491="free",0,IF(AE3491="me",0,IF(G3491&gt;0,(VLOOKUP(A3491,'Discount Lookup'!J:K,2)*G3491),0))))</f>
        <v>0</v>
      </c>
      <c r="AJ3491" s="513" t="str">
        <f t="shared" ca="1" si="2679"/>
        <v/>
      </c>
      <c r="AK3491" s="700" t="str">
        <f t="shared" si="2680"/>
        <v/>
      </c>
      <c r="AL3491" s="700"/>
      <c r="AM3491" s="505" t="str">
        <f t="shared" si="2681"/>
        <v/>
      </c>
      <c r="AN3491" s="506"/>
      <c r="AO3491" s="507"/>
      <c r="AP3491" s="507"/>
      <c r="AQ3491" s="507"/>
      <c r="AR3491" s="507"/>
      <c r="AS3491" s="507"/>
      <c r="AT3491" s="507"/>
      <c r="AU3491" s="507"/>
      <c r="AV3491" s="225"/>
      <c r="AW3491" s="508"/>
      <c r="AX3491" s="225"/>
      <c r="AY3491" s="225"/>
      <c r="AZ3491" s="225"/>
      <c r="BA3491" s="225"/>
      <c r="BB3491" s="225"/>
      <c r="BC3491" s="56"/>
      <c r="BD3491" s="56"/>
      <c r="BE3491" s="56"/>
      <c r="BF3491" s="107" t="str">
        <f t="shared" si="2682"/>
        <v>https://www.google.com/search?tbm=isch&amp;q=Spring%20Bouquet%20honey-scented%20blooms%20give%20way%20to%20attractive%20Lavender%2FBlue%20berries%20</v>
      </c>
      <c r="BG3491" s="107" t="str">
        <f t="shared" si="2683"/>
        <v>S</v>
      </c>
      <c r="BH3491" s="254"/>
      <c r="BI3491" s="254"/>
    </row>
    <row r="3492" spans="1:61" customFormat="1" ht="18" x14ac:dyDescent="0.25">
      <c r="A3492" s="523" t="s">
        <v>1802</v>
      </c>
      <c r="B3492" s="235"/>
      <c r="C3492" s="676"/>
      <c r="D3492" s="255" t="s">
        <v>1803</v>
      </c>
      <c r="E3492" s="236"/>
      <c r="F3492" s="236"/>
      <c r="G3492" s="236"/>
      <c r="H3492" s="582" t="s">
        <v>326</v>
      </c>
      <c r="I3492" s="498" t="s">
        <v>654</v>
      </c>
      <c r="J3492" s="237"/>
      <c r="K3492" s="237"/>
      <c r="L3492" s="274"/>
      <c r="M3492" s="668" t="s">
        <v>4975</v>
      </c>
      <c r="N3492" s="681" t="str">
        <f>IF(AND(ISTEXT($A3492), ISERROR($A3492+0)), HYPERLINK($BF3492, "Images"), "")</f>
        <v>Images</v>
      </c>
      <c r="O3492" s="663" t="s">
        <v>4974</v>
      </c>
      <c r="P3492" s="253"/>
      <c r="Q3492" s="238"/>
      <c r="R3492" s="239"/>
      <c r="S3492" s="275" t="s">
        <v>305</v>
      </c>
      <c r="T3492" s="508">
        <f t="shared" si="2671"/>
        <v>0</v>
      </c>
      <c r="U3492" s="225" t="str">
        <f>IF(NOT(ISNUMBER(G3492)), "", VLOOKUP(A3492,'Discount Lookup'!D:E,2,FALSE)*G3492)</f>
        <v/>
      </c>
      <c r="V3492" s="225" t="str">
        <f>IF(NOT(ISNUMBER(G3492)), "", VLOOKUP(A3492,'Discount Lookup'!G:H,2,FALSE)*G3492)</f>
        <v/>
      </c>
      <c r="W3492" s="508">
        <f t="shared" si="2672"/>
        <v>0</v>
      </c>
      <c r="X3492" s="508" t="str">
        <f t="shared" si="2673"/>
        <v>White bloom</v>
      </c>
      <c r="Y3492" s="509" t="b">
        <f t="shared" si="2674"/>
        <v>0</v>
      </c>
      <c r="Z3492" s="510">
        <f t="shared" si="2675"/>
        <v>0</v>
      </c>
      <c r="AA3492" s="511"/>
      <c r="AB3492" s="511" t="str">
        <f t="shared" si="2676"/>
        <v/>
      </c>
      <c r="AC3492" s="698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698"/>
      <c r="AE3492" s="631" t="str">
        <f t="shared" si="2677"/>
        <v/>
      </c>
      <c r="AF3492" s="699" t="str">
        <f t="shared" si="2678"/>
        <v/>
      </c>
      <c r="AG3492" s="699"/>
      <c r="AH3492" s="699"/>
      <c r="AI3492" s="512">
        <f>IF(H3492="credit",0,IF(AE3492="free",0,IF(AE3492="me",0,IF(G3492&gt;0,(VLOOKUP(A3492,'Discount Lookup'!J:K,2)*G3492),0))))</f>
        <v>0</v>
      </c>
      <c r="AJ3492" s="513" t="str">
        <f t="shared" ca="1" si="2679"/>
        <v/>
      </c>
      <c r="AK3492" s="700" t="str">
        <f t="shared" si="2680"/>
        <v/>
      </c>
      <c r="AL3492" s="700"/>
      <c r="AM3492" s="505" t="str">
        <f t="shared" si="2681"/>
        <v/>
      </c>
      <c r="AN3492" s="506"/>
      <c r="AO3492" s="507"/>
      <c r="AP3492" s="507"/>
      <c r="AQ3492" s="507"/>
      <c r="AR3492" s="507"/>
      <c r="AS3492" s="507"/>
      <c r="AT3492" s="507"/>
      <c r="AU3492" s="507"/>
      <c r="AV3492" s="225"/>
      <c r="AW3492" s="508"/>
      <c r="AX3492" s="225"/>
      <c r="AY3492" s="225"/>
      <c r="AZ3492" s="225"/>
      <c r="BA3492" s="225"/>
      <c r="BB3492" s="225"/>
      <c r="BC3492" s="56"/>
      <c r="BD3492" s="56"/>
      <c r="BE3492" s="56"/>
      <c r="BF3492" s="107" t="str">
        <f t="shared" si="2682"/>
        <v>https://www.google.com/search?tbm=isch&amp;q=Spring%20Fleecing%20White%20Fringetree%20Chionanthus%20virginicus%20%27Spring%20Fleecing%27</v>
      </c>
      <c r="BG3492" s="107" t="str">
        <f t="shared" si="2683"/>
        <v>S</v>
      </c>
      <c r="BH3492" s="254"/>
      <c r="BI3492" s="254"/>
    </row>
    <row r="3493" spans="1:61" customFormat="1" ht="15.75" x14ac:dyDescent="0.25">
      <c r="A3493" s="276">
        <v>7</v>
      </c>
      <c r="B3493" s="240" t="s">
        <v>291</v>
      </c>
      <c r="C3493" s="241" t="s">
        <v>4025</v>
      </c>
      <c r="D3493" s="242" t="s">
        <v>292</v>
      </c>
      <c r="E3493" s="243">
        <v>111.95</v>
      </c>
      <c r="F3493" s="517" t="s">
        <v>293</v>
      </c>
      <c r="G3493" s="232">
        <v>0</v>
      </c>
      <c r="H3493" s="661" t="str">
        <f>IF(G3493=0,"",IF(F3493="Buy",IF(G3493=1,"plant","plants"),IF(F3493&gt;0.01,"warranty","Error")))</f>
        <v/>
      </c>
      <c r="I3493" s="244">
        <f>IF(H3493="free",0,IF(H3493="credit",((E3493*(F3493))*G3493*-1),IF(F3493="Buy",(E3493*G3493),((E3493*(1-F3493))*G3493))))</f>
        <v>0</v>
      </c>
      <c r="J3493" s="244">
        <f>IF(H3493="warranty",0,(I3493*(_xlfn.SINGLE(SalesTaxPercentage))))</f>
        <v>0</v>
      </c>
      <c r="K3493" s="696">
        <f t="shared" ref="K3493" si="2694">I3493+J3493</f>
        <v>0</v>
      </c>
      <c r="L3493" s="696"/>
      <c r="M3493" s="659" t="str">
        <f>IF(AND(G3493&gt;0,E3493=0),"WARNING - no PRICE inserted",IF(H3493="free"," FREE ~ no charge this plant",IF(H3493="credit",CONCATENATE(" -$",ROUND(K3493*(1-T2GDiscount)*-1,2)," CREDIT after discount"),IF(T2GDiscount=0,"",IF(G3493=0,"",IF(F3493="Buy",CONCATENATE(" $",ROUND(K3493*(1-T2GDiscount),2)," with ",(T2GDiscount*100),"% discount"),CONCATENATE(" $",ROUND(K3493*(1-T2GDiscount),2)," with ",((T2GDiscount*100+F3493*100)-(T2GDiscount*100*F3493)),IF(F3493&gt;0,"% discounts",IF(NoWarrantyDiscount&gt;0,"% discounts","% discount")))))))))</f>
        <v/>
      </c>
      <c r="N3493" s="660"/>
      <c r="O3493" s="233"/>
      <c r="P3493" s="233"/>
      <c r="Q3493" s="233"/>
      <c r="R3493" s="233"/>
      <c r="S3493" s="233"/>
      <c r="T3493" s="508">
        <f t="shared" si="2671"/>
        <v>0</v>
      </c>
      <c r="U3493" s="225">
        <f>IF(NOT(ISNUMBER(G3493)), "", VLOOKUP(A3493,'Discount Lookup'!D:E,2,FALSE)*G3493)</f>
        <v>0</v>
      </c>
      <c r="V3493" s="225">
        <f>IF(NOT(ISNUMBER(G3493)), "", VLOOKUP(A3493,'Discount Lookup'!G:H,2,FALSE)*G3493)</f>
        <v>0</v>
      </c>
      <c r="W3493" s="508">
        <f t="shared" si="2672"/>
        <v>0</v>
      </c>
      <c r="X3493" s="508">
        <f t="shared" si="2673"/>
        <v>0</v>
      </c>
      <c r="Y3493" s="509" t="b">
        <f t="shared" si="2674"/>
        <v>0</v>
      </c>
      <c r="Z3493" s="510">
        <f t="shared" si="2675"/>
        <v>0</v>
      </c>
      <c r="AA3493" s="511"/>
      <c r="AB3493" s="511" t="str">
        <f t="shared" si="2676"/>
        <v/>
      </c>
      <c r="AC3493" s="698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698"/>
      <c r="AE3493" s="631" t="str">
        <f t="shared" si="2677"/>
        <v/>
      </c>
      <c r="AF3493" s="699" t="str">
        <f t="shared" si="2678"/>
        <v/>
      </c>
      <c r="AG3493" s="699"/>
      <c r="AH3493" s="699"/>
      <c r="AI3493" s="512">
        <f>IF(H3493="credit",0,IF(AE3493="free",0,IF(AE3493="me",0,IF(G3493&gt;0,(VLOOKUP(A3493,'Discount Lookup'!J:K,2)*G3493),0))))</f>
        <v>0</v>
      </c>
      <c r="AJ3493" s="513" t="str">
        <f t="shared" ca="1" si="2679"/>
        <v/>
      </c>
      <c r="AK3493" s="700" t="str">
        <f t="shared" si="2680"/>
        <v/>
      </c>
      <c r="AL3493" s="700"/>
      <c r="AM3493" s="505" t="str">
        <f t="shared" si="2681"/>
        <v/>
      </c>
      <c r="AN3493" s="506"/>
      <c r="AO3493" s="507"/>
      <c r="AP3493" s="507"/>
      <c r="AQ3493" s="507"/>
      <c r="AR3493" s="507"/>
      <c r="AS3493" s="507"/>
      <c r="AT3493" s="507"/>
      <c r="AU3493" s="507"/>
      <c r="AV3493" s="225"/>
      <c r="AW3493" s="508"/>
      <c r="AX3493" s="225"/>
      <c r="AY3493" s="225"/>
      <c r="AZ3493" s="225"/>
      <c r="BA3493" s="225"/>
      <c r="BB3493" s="225"/>
      <c r="BC3493" s="56"/>
      <c r="BD3493" s="56"/>
      <c r="BE3493" s="56"/>
      <c r="BF3493" s="107" t="str">
        <f t="shared" si="2682"/>
        <v>https://www.google.com/search?tbm=isch&amp;q=7%20G4</v>
      </c>
      <c r="BG3493" s="107" t="str">
        <f t="shared" si="2683"/>
        <v>S</v>
      </c>
      <c r="BH3493" s="254"/>
      <c r="BI3493" s="254"/>
    </row>
    <row r="3494" spans="1:61" customFormat="1" ht="15.75" x14ac:dyDescent="0.25">
      <c r="A3494" s="276">
        <v>7</v>
      </c>
      <c r="B3494" s="240" t="s">
        <v>291</v>
      </c>
      <c r="C3494" s="241" t="s">
        <v>4026</v>
      </c>
      <c r="D3494" s="242" t="s">
        <v>299</v>
      </c>
      <c r="E3494" s="243">
        <v>148.94999999999999</v>
      </c>
      <c r="F3494" s="517" t="s">
        <v>293</v>
      </c>
      <c r="G3494" s="232">
        <v>0</v>
      </c>
      <c r="H3494" s="661" t="str">
        <f>IF(G3494=0,"",IF(F3494="Buy",IF(G3494=1,"plant","plants"),IF(F3494&gt;0.01,"warranty","Error")))</f>
        <v/>
      </c>
      <c r="I3494" s="244">
        <f>IF(H3494="free",0,IF(H3494="credit",((E3494*(F3494))*G3494*-1),IF(F3494="Buy",(E3494*G3494),((E3494*(1-F3494))*G3494))))</f>
        <v>0</v>
      </c>
      <c r="J3494" s="244">
        <f>IF(H3494="warranty",0,(I3494*(_xlfn.SINGLE(SalesTaxPercentage))))</f>
        <v>0</v>
      </c>
      <c r="K3494" s="696">
        <f t="shared" ref="K3494" si="2695">I3494+J3494</f>
        <v>0</v>
      </c>
      <c r="L3494" s="696"/>
      <c r="M3494" s="659" t="str">
        <f>IF(AND(G3494&gt;0,E3494=0),"WARNING - no PRICE inserted",IF(H3494="free"," FREE ~ no charge this plant",IF(H3494="credit",CONCATENATE(" -$",ROUND(K3494*(1-T2GDiscount)*-1,2)," CREDIT after discount"),IF(T2GDiscount=0,"",IF(G3494=0,"",IF(F3494="Buy",CONCATENATE(" $",ROUND(K3494*(1-T2GDiscount),2)," with ",(T2GDiscount*100),"% discount"),CONCATENATE(" $",ROUND(K3494*(1-T2GDiscount),2)," with ",((T2GDiscount*100+F3494*100)-(T2GDiscount*100*F3494)),IF(F3494&gt;0,"% discounts",IF(NoWarrantyDiscount&gt;0,"% discounts","% discount")))))))))</f>
        <v/>
      </c>
      <c r="N3494" s="660"/>
      <c r="O3494" s="233"/>
      <c r="P3494" s="233"/>
      <c r="Q3494" s="233"/>
      <c r="R3494" s="233"/>
      <c r="S3494" s="233"/>
      <c r="T3494" s="508">
        <f t="shared" si="2671"/>
        <v>0</v>
      </c>
      <c r="U3494" s="225">
        <f>IF(NOT(ISNUMBER(G3494)), "", VLOOKUP(A3494,'Discount Lookup'!D:E,2,FALSE)*G3494)</f>
        <v>0</v>
      </c>
      <c r="V3494" s="225">
        <f>IF(NOT(ISNUMBER(G3494)), "", VLOOKUP(A3494,'Discount Lookup'!G:H,2,FALSE)*G3494)</f>
        <v>0</v>
      </c>
      <c r="W3494" s="508">
        <f t="shared" si="2672"/>
        <v>0</v>
      </c>
      <c r="X3494" s="508">
        <f t="shared" si="2673"/>
        <v>0</v>
      </c>
      <c r="Y3494" s="509" t="b">
        <f t="shared" si="2674"/>
        <v>0</v>
      </c>
      <c r="Z3494" s="510">
        <f t="shared" si="2675"/>
        <v>0</v>
      </c>
      <c r="AA3494" s="511"/>
      <c r="AB3494" s="511" t="str">
        <f t="shared" si="2676"/>
        <v/>
      </c>
      <c r="AC3494" s="698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698"/>
      <c r="AE3494" s="631" t="str">
        <f t="shared" si="2677"/>
        <v/>
      </c>
      <c r="AF3494" s="699" t="str">
        <f t="shared" si="2678"/>
        <v/>
      </c>
      <c r="AG3494" s="699"/>
      <c r="AH3494" s="699"/>
      <c r="AI3494" s="512">
        <f>IF(H3494="credit",0,IF(AE3494="free",0,IF(AE3494="me",0,IF(G3494&gt;0,(VLOOKUP(A3494,'Discount Lookup'!J:K,2)*G3494),0))))</f>
        <v>0</v>
      </c>
      <c r="AJ3494" s="513" t="str">
        <f t="shared" ca="1" si="2679"/>
        <v/>
      </c>
      <c r="AK3494" s="700" t="str">
        <f t="shared" si="2680"/>
        <v/>
      </c>
      <c r="AL3494" s="700"/>
      <c r="AM3494" s="505" t="str">
        <f t="shared" si="2681"/>
        <v/>
      </c>
      <c r="AN3494" s="506"/>
      <c r="AO3494" s="507"/>
      <c r="AP3494" s="507"/>
      <c r="AQ3494" s="507"/>
      <c r="AR3494" s="507"/>
      <c r="AS3494" s="507"/>
      <c r="AT3494" s="507"/>
      <c r="AU3494" s="507"/>
      <c r="AV3494" s="225"/>
      <c r="AW3494" s="508"/>
      <c r="AX3494" s="225"/>
      <c r="AY3494" s="225"/>
      <c r="AZ3494" s="225"/>
      <c r="BA3494" s="225"/>
      <c r="BB3494" s="225"/>
      <c r="BC3494" s="56"/>
      <c r="BD3494" s="56"/>
      <c r="BE3494" s="56"/>
      <c r="BF3494" s="107" t="str">
        <f t="shared" si="2682"/>
        <v>https://www.google.com/search?tbm=isch&amp;q=7%20G5</v>
      </c>
      <c r="BG3494" s="107" t="str">
        <f t="shared" si="2683"/>
        <v>S</v>
      </c>
      <c r="BH3494" s="254"/>
      <c r="BI3494" s="254"/>
    </row>
    <row r="3495" spans="1:61" customFormat="1" ht="15.75" x14ac:dyDescent="0.25">
      <c r="A3495" s="276">
        <v>15</v>
      </c>
      <c r="B3495" s="240" t="s">
        <v>291</v>
      </c>
      <c r="C3495" s="241" t="s">
        <v>1804</v>
      </c>
      <c r="D3495" s="242" t="s">
        <v>300</v>
      </c>
      <c r="E3495" s="243">
        <v>299.95</v>
      </c>
      <c r="F3495" s="517" t="s">
        <v>293</v>
      </c>
      <c r="G3495" s="232">
        <v>0</v>
      </c>
      <c r="H3495" s="661" t="str">
        <f>IF(G3495=0,"",IF(F3495="Buy",IF(G3495=1,"plant","plants"),IF(F3495&gt;0.01,"warranty","Error")))</f>
        <v/>
      </c>
      <c r="I3495" s="244">
        <f>IF(H3495="free",0,IF(H3495="credit",((E3495*(F3495))*G3495*-1),IF(F3495="Buy",(E3495*G3495),((E3495*(1-F3495))*G3495))))</f>
        <v>0</v>
      </c>
      <c r="J3495" s="244">
        <f>IF(H3495="warranty",0,(I3495*(_xlfn.SINGLE(SalesTaxPercentage))))</f>
        <v>0</v>
      </c>
      <c r="K3495" s="696">
        <f t="shared" ref="K3495" si="2696">I3495+J3495</f>
        <v>0</v>
      </c>
      <c r="L3495" s="696"/>
      <c r="M3495" s="659" t="str">
        <f>IF(AND(G3495&gt;0,E3495=0),"WARNING - no PRICE inserted",IF(H3495="free"," FREE ~ no charge this plant",IF(H3495="credit",CONCATENATE(" -$",ROUND(K3495*(1-T2GDiscount)*-1,2)," CREDIT after discount"),IF(T2GDiscount=0,"",IF(G3495=0,"",IF(F3495="Buy",CONCATENATE(" $",ROUND(K3495*(1-T2GDiscount),2)," with ",(T2GDiscount*100),"% discount"),CONCATENATE(" $",ROUND(K3495*(1-T2GDiscount),2)," with ",((T2GDiscount*100+F3495*100)-(T2GDiscount*100*F3495)),IF(F3495&gt;0,"% discounts",IF(NoWarrantyDiscount&gt;0,"% discounts","% discount")))))))))</f>
        <v/>
      </c>
      <c r="N3495" s="660"/>
      <c r="O3495" s="233"/>
      <c r="P3495" s="233"/>
      <c r="Q3495" s="233"/>
      <c r="R3495" s="233"/>
      <c r="S3495" s="233"/>
      <c r="T3495" s="508">
        <f t="shared" si="2671"/>
        <v>0</v>
      </c>
      <c r="U3495" s="225">
        <f>IF(NOT(ISNUMBER(G3495)), "", VLOOKUP(A3495,'Discount Lookup'!D:E,2,FALSE)*G3495)</f>
        <v>0</v>
      </c>
      <c r="V3495" s="225">
        <f>IF(NOT(ISNUMBER(G3495)), "", VLOOKUP(A3495,'Discount Lookup'!G:H,2,FALSE)*G3495)</f>
        <v>0</v>
      </c>
      <c r="W3495" s="508">
        <f t="shared" si="2672"/>
        <v>0</v>
      </c>
      <c r="X3495" s="508">
        <f t="shared" si="2673"/>
        <v>0</v>
      </c>
      <c r="Y3495" s="509" t="b">
        <f t="shared" si="2674"/>
        <v>0</v>
      </c>
      <c r="Z3495" s="510">
        <f t="shared" si="2675"/>
        <v>0</v>
      </c>
      <c r="AA3495" s="511"/>
      <c r="AB3495" s="511" t="str">
        <f t="shared" si="2676"/>
        <v/>
      </c>
      <c r="AC3495" s="698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698"/>
      <c r="AE3495" s="631" t="str">
        <f t="shared" si="2677"/>
        <v/>
      </c>
      <c r="AF3495" s="699" t="str">
        <f t="shared" si="2678"/>
        <v/>
      </c>
      <c r="AG3495" s="699"/>
      <c r="AH3495" s="699"/>
      <c r="AI3495" s="512">
        <f>IF(H3495="credit",0,IF(AE3495="free",0,IF(AE3495="me",0,IF(G3495&gt;0,(VLOOKUP(A3495,'Discount Lookup'!J:K,2)*G3495),0))))</f>
        <v>0</v>
      </c>
      <c r="AJ3495" s="513" t="str">
        <f t="shared" ca="1" si="2679"/>
        <v/>
      </c>
      <c r="AK3495" s="700" t="str">
        <f t="shared" si="2680"/>
        <v/>
      </c>
      <c r="AL3495" s="700"/>
      <c r="AM3495" s="505" t="str">
        <f t="shared" si="2681"/>
        <v/>
      </c>
      <c r="AN3495" s="506"/>
      <c r="AO3495" s="507"/>
      <c r="AP3495" s="507"/>
      <c r="AQ3495" s="507"/>
      <c r="AR3495" s="507"/>
      <c r="AS3495" s="507"/>
      <c r="AT3495" s="507"/>
      <c r="AU3495" s="507"/>
      <c r="AV3495" s="225"/>
      <c r="AW3495" s="508"/>
      <c r="AX3495" s="225"/>
      <c r="AY3495" s="225"/>
      <c r="AZ3495" s="225"/>
      <c r="BA3495" s="225"/>
      <c r="BB3495" s="225"/>
      <c r="BC3495" s="56"/>
      <c r="BD3495" s="56"/>
      <c r="BE3495" s="56"/>
      <c r="BF3495" s="107" t="str">
        <f t="shared" si="2682"/>
        <v>https://www.google.com/search?tbm=isch&amp;q=15%20G6</v>
      </c>
      <c r="BG3495" s="107" t="str">
        <f t="shared" si="2683"/>
        <v>S</v>
      </c>
      <c r="BH3495" s="254"/>
      <c r="BI3495" s="254"/>
    </row>
    <row r="3496" spans="1:61" customFormat="1" ht="17.25" thickBot="1" x14ac:dyDescent="0.3">
      <c r="A3496" s="673" t="s">
        <v>5240</v>
      </c>
      <c r="B3496" s="245"/>
      <c r="C3496" s="677"/>
      <c r="D3496" s="499"/>
      <c r="E3496" s="499"/>
      <c r="F3496" s="500"/>
      <c r="G3496" s="501"/>
      <c r="H3496" s="502"/>
      <c r="I3496" s="246"/>
      <c r="J3496" s="247"/>
      <c r="K3496" s="503"/>
      <c r="L3496" s="544"/>
      <c r="M3496" s="544"/>
      <c r="N3496" s="500"/>
      <c r="O3496" s="500"/>
      <c r="P3496" s="500"/>
      <c r="Q3496" s="500"/>
      <c r="R3496" s="500"/>
      <c r="S3496" s="669" t="s">
        <v>4978</v>
      </c>
      <c r="T3496" s="508">
        <f t="shared" si="2671"/>
        <v>0</v>
      </c>
      <c r="U3496" s="225" t="str">
        <f>IF(NOT(ISNUMBER(G3496)), "", VLOOKUP(A3496,'Discount Lookup'!D:E,2,FALSE)*G3496)</f>
        <v/>
      </c>
      <c r="V3496" s="225" t="str">
        <f>IF(NOT(ISNUMBER(G3496)), "", VLOOKUP(A3496,'Discount Lookup'!G:H,2,FALSE)*G3496)</f>
        <v/>
      </c>
      <c r="W3496" s="508">
        <f t="shared" si="2672"/>
        <v>0</v>
      </c>
      <c r="X3496" s="508">
        <f t="shared" si="2673"/>
        <v>0</v>
      </c>
      <c r="Y3496" s="509" t="b">
        <f t="shared" si="2674"/>
        <v>0</v>
      </c>
      <c r="Z3496" s="510">
        <f t="shared" si="2675"/>
        <v>0</v>
      </c>
      <c r="AA3496" s="511"/>
      <c r="AB3496" s="511" t="str">
        <f t="shared" si="2676"/>
        <v/>
      </c>
      <c r="AC3496" s="698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698"/>
      <c r="AE3496" s="631" t="str">
        <f t="shared" si="2677"/>
        <v/>
      </c>
      <c r="AF3496" s="699" t="str">
        <f t="shared" si="2678"/>
        <v/>
      </c>
      <c r="AG3496" s="699"/>
      <c r="AH3496" s="699"/>
      <c r="AI3496" s="512">
        <f>IF(H3496="credit",0,IF(AE3496="free",0,IF(AE3496="me",0,IF(G3496&gt;0,(VLOOKUP(A3496,'Discount Lookup'!J:K,2)*G3496),0))))</f>
        <v>0</v>
      </c>
      <c r="AJ3496" s="513" t="str">
        <f t="shared" ca="1" si="2679"/>
        <v/>
      </c>
      <c r="AK3496" s="700" t="str">
        <f t="shared" si="2680"/>
        <v/>
      </c>
      <c r="AL3496" s="700"/>
      <c r="AM3496" s="505" t="str">
        <f t="shared" si="2681"/>
        <v/>
      </c>
      <c r="AN3496" s="506"/>
      <c r="AO3496" s="507"/>
      <c r="AP3496" s="507"/>
      <c r="AQ3496" s="507"/>
      <c r="AR3496" s="507"/>
      <c r="AS3496" s="507"/>
      <c r="AT3496" s="507"/>
      <c r="AU3496" s="507"/>
      <c r="AV3496" s="225"/>
      <c r="AW3496" s="508"/>
      <c r="AX3496" s="225"/>
      <c r="AY3496" s="225"/>
      <c r="AZ3496" s="225"/>
      <c r="BA3496" s="225"/>
      <c r="BB3496" s="225"/>
      <c r="BC3496" s="56"/>
      <c r="BD3496" s="56"/>
      <c r="BE3496" s="56"/>
      <c r="BF3496" s="107" t="str">
        <f t="shared" si="2682"/>
        <v>https://www.google.com/search?tbm=isch&amp;q=moist%20sites%F0%9F%92%A7GOOD%2C%20Spring%20Fleecing%20boasts%20heavy%20bloom%20of%20large%2C%20fragrant%2C%20lacy%20flowers.%20Male-only%2C%20so%20no%20messy%20fruit%20</v>
      </c>
      <c r="BG3496" s="107" t="str">
        <f t="shared" si="2683"/>
        <v>m</v>
      </c>
      <c r="BH3496" s="254"/>
      <c r="BI3496" s="254"/>
    </row>
    <row r="3497" spans="1:61" customFormat="1" ht="18" x14ac:dyDescent="0.25">
      <c r="A3497" s="523" t="s">
        <v>1805</v>
      </c>
      <c r="B3497" s="235"/>
      <c r="C3497" s="676"/>
      <c r="D3497" s="255" t="s">
        <v>1806</v>
      </c>
      <c r="E3497" s="236"/>
      <c r="F3497" s="236"/>
      <c r="G3497" s="236"/>
      <c r="H3497" s="582" t="s">
        <v>857</v>
      </c>
      <c r="I3497" s="498" t="s">
        <v>1349</v>
      </c>
      <c r="J3497" s="237"/>
      <c r="K3497" s="237"/>
      <c r="L3497" s="274"/>
      <c r="M3497" s="670" t="s">
        <v>4973</v>
      </c>
      <c r="N3497" s="681" t="str">
        <f>IF(AND(ISTEXT($A3497), ISERROR($A3497+0)), HYPERLINK($BF3497, "Images"), "")</f>
        <v>Images</v>
      </c>
      <c r="O3497" s="663" t="s">
        <v>4971</v>
      </c>
      <c r="P3497" s="253"/>
      <c r="Q3497" s="238"/>
      <c r="R3497" s="239"/>
      <c r="S3497" s="275"/>
      <c r="T3497" s="508">
        <f t="shared" si="2671"/>
        <v>0</v>
      </c>
      <c r="U3497" s="225" t="str">
        <f>IF(NOT(ISNUMBER(G3497)), "", VLOOKUP(A3497,'Discount Lookup'!D:E,2,FALSE)*G3497)</f>
        <v/>
      </c>
      <c r="V3497" s="225" t="str">
        <f>IF(NOT(ISNUMBER(G3497)), "", VLOOKUP(A3497,'Discount Lookup'!G:H,2,FALSE)*G3497)</f>
        <v/>
      </c>
      <c r="W3497" s="508">
        <f t="shared" si="2672"/>
        <v>0</v>
      </c>
      <c r="X3497" s="508" t="str">
        <f t="shared" si="2673"/>
        <v>Pale Lavender bloom</v>
      </c>
      <c r="Y3497" s="509" t="b">
        <f t="shared" si="2674"/>
        <v>0</v>
      </c>
      <c r="Z3497" s="510">
        <f t="shared" si="2675"/>
        <v>0</v>
      </c>
      <c r="AA3497" s="511"/>
      <c r="AB3497" s="511" t="str">
        <f t="shared" si="2676"/>
        <v/>
      </c>
      <c r="AC3497" s="698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698"/>
      <c r="AE3497" s="631" t="str">
        <f t="shared" si="2677"/>
        <v/>
      </c>
      <c r="AF3497" s="699" t="str">
        <f t="shared" si="2678"/>
        <v/>
      </c>
      <c r="AG3497" s="699"/>
      <c r="AH3497" s="699"/>
      <c r="AI3497" s="512">
        <f>IF(H3497="credit",0,IF(AE3497="free",0,IF(AE3497="me",0,IF(G3497&gt;0,(VLOOKUP(A3497,'Discount Lookup'!J:K,2)*G3497),0))))</f>
        <v>0</v>
      </c>
      <c r="AJ3497" s="513" t="str">
        <f t="shared" ca="1" si="2679"/>
        <v/>
      </c>
      <c r="AK3497" s="700" t="str">
        <f t="shared" si="2680"/>
        <v/>
      </c>
      <c r="AL3497" s="700"/>
      <c r="AM3497" s="505" t="str">
        <f t="shared" si="2681"/>
        <v/>
      </c>
      <c r="AN3497" s="506"/>
      <c r="AO3497" s="507"/>
      <c r="AP3497" s="507"/>
      <c r="AQ3497" s="507"/>
      <c r="AR3497" s="507"/>
      <c r="AS3497" s="507"/>
      <c r="AT3497" s="507"/>
      <c r="AU3497" s="507"/>
      <c r="AV3497" s="225"/>
      <c r="AW3497" s="508"/>
      <c r="AX3497" s="225"/>
      <c r="AY3497" s="225"/>
      <c r="AZ3497" s="225"/>
      <c r="BA3497" s="225"/>
      <c r="BB3497" s="225"/>
      <c r="BC3497" s="56"/>
      <c r="BD3497" s="56"/>
      <c r="BE3497" s="56"/>
      <c r="BF3497" s="107" t="str">
        <f t="shared" si="2682"/>
        <v>https://www.google.com/search?tbm=isch&amp;q=Stained%20Glass%20Hosta%20Hosta%20%27Stained%20Glass%27</v>
      </c>
      <c r="BG3497" s="107" t="str">
        <f t="shared" si="2683"/>
        <v>S</v>
      </c>
      <c r="BH3497" s="254"/>
      <c r="BI3497" s="254"/>
    </row>
    <row r="3498" spans="1:61" customFormat="1" ht="15.75" x14ac:dyDescent="0.25">
      <c r="A3498" s="276">
        <v>4</v>
      </c>
      <c r="B3498" s="240" t="s">
        <v>340</v>
      </c>
      <c r="C3498" s="241"/>
      <c r="D3498" s="242" t="s">
        <v>312</v>
      </c>
      <c r="E3498" s="243">
        <v>14.95</v>
      </c>
      <c r="F3498" s="517" t="s">
        <v>293</v>
      </c>
      <c r="G3498" s="232">
        <v>0</v>
      </c>
      <c r="H3498" s="661" t="str">
        <f>IF(G3498=0,"",IF(F3498="Buy",IF(G3498=1,"plant","plants"),IF(F3498&gt;0.01,"warranty","Error")))</f>
        <v/>
      </c>
      <c r="I3498" s="244">
        <f>IF(H3498="free",0,IF(H3498="credit",((E3498*(F3498))*G3498*-1),IF(F3498="Buy",(E3498*G3498),((E3498*(1-F3498))*G3498))))</f>
        <v>0</v>
      </c>
      <c r="J3498" s="244">
        <f>IF(H3498="warranty",0,(I3498*(_xlfn.SINGLE(SalesTaxPercentage))))</f>
        <v>0</v>
      </c>
      <c r="K3498" s="696">
        <f t="shared" ref="K3498" si="2697">I3498+J3498</f>
        <v>0</v>
      </c>
      <c r="L3498" s="696"/>
      <c r="M3498" s="659" t="str">
        <f>IF(AND(G3498&gt;0,E3498=0),"WARNING - no PRICE inserted",IF(H3498="free"," FREE ~ no charge this plant",IF(H3498="credit",CONCATENATE(" -$",ROUND(K3498*(1-T2GDiscount)*-1,2)," CREDIT after discount"),IF(T2GDiscount=0,"",IF(G3498=0,"",IF(F3498="Buy",CONCATENATE(" $",ROUND(K3498*(1-T2GDiscount),2)," with ",(T2GDiscount*100),"% discount"),CONCATENATE(" $",ROUND(K3498*(1-T2GDiscount),2)," with ",((T2GDiscount*100+F3498*100)-(T2GDiscount*100*F3498)),IF(F3498&gt;0,"% discounts",IF(NoWarrantyDiscount&gt;0,"% discounts","% discount")))))))))</f>
        <v/>
      </c>
      <c r="N3498" s="660"/>
      <c r="O3498" s="233"/>
      <c r="P3498" s="233"/>
      <c r="Q3498" s="233"/>
      <c r="R3498" s="233"/>
      <c r="S3498" s="233"/>
      <c r="T3498" s="508">
        <f t="shared" si="2671"/>
        <v>0</v>
      </c>
      <c r="U3498" s="225">
        <f>IF(NOT(ISNUMBER(G3498)), "", VLOOKUP(A3498,'Discount Lookup'!D:E,2,FALSE)*G3498)</f>
        <v>0</v>
      </c>
      <c r="V3498" s="225">
        <f>IF(NOT(ISNUMBER(G3498)), "", VLOOKUP(A3498,'Discount Lookup'!G:H,2,FALSE)*G3498)</f>
        <v>0</v>
      </c>
      <c r="W3498" s="508">
        <f t="shared" si="2672"/>
        <v>0</v>
      </c>
      <c r="X3498" s="508">
        <f t="shared" si="2673"/>
        <v>0</v>
      </c>
      <c r="Y3498" s="509" t="b">
        <f t="shared" si="2674"/>
        <v>0</v>
      </c>
      <c r="Z3498" s="510">
        <f t="shared" si="2675"/>
        <v>0</v>
      </c>
      <c r="AA3498" s="511"/>
      <c r="AB3498" s="511" t="str">
        <f t="shared" si="2676"/>
        <v/>
      </c>
      <c r="AC3498" s="698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698"/>
      <c r="AE3498" s="631" t="str">
        <f t="shared" si="2677"/>
        <v/>
      </c>
      <c r="AF3498" s="699" t="str">
        <f t="shared" si="2678"/>
        <v/>
      </c>
      <c r="AG3498" s="699"/>
      <c r="AH3498" s="699"/>
      <c r="AI3498" s="512">
        <f>IF(H3498="credit",0,IF(AE3498="free",0,IF(AE3498="me",0,IF(G3498&gt;0,(VLOOKUP(A3498,'Discount Lookup'!J:K,2)*G3498),0))))</f>
        <v>0</v>
      </c>
      <c r="AJ3498" s="513" t="str">
        <f t="shared" ca="1" si="2679"/>
        <v/>
      </c>
      <c r="AK3498" s="700" t="str">
        <f t="shared" si="2680"/>
        <v/>
      </c>
      <c r="AL3498" s="700"/>
      <c r="AM3498" s="505" t="str">
        <f t="shared" si="2681"/>
        <v/>
      </c>
      <c r="AN3498" s="506"/>
      <c r="AO3498" s="507"/>
      <c r="AP3498" s="507"/>
      <c r="AQ3498" s="507"/>
      <c r="AR3498" s="507"/>
      <c r="AS3498" s="507"/>
      <c r="AT3498" s="507"/>
      <c r="AU3498" s="507"/>
      <c r="AV3498" s="225"/>
      <c r="AW3498" s="508"/>
      <c r="AX3498" s="225"/>
      <c r="AY3498" s="225"/>
      <c r="AZ3498" s="225"/>
      <c r="BA3498" s="225"/>
      <c r="BB3498" s="225"/>
      <c r="BC3498" s="56"/>
      <c r="BD3498" s="56"/>
      <c r="BE3498" s="56"/>
      <c r="BF3498" s="107" t="str">
        <f t="shared" si="2682"/>
        <v>https://www.google.com/search?tbm=isch&amp;q=4%20G2</v>
      </c>
      <c r="BG3498" s="107" t="str">
        <f t="shared" si="2683"/>
        <v>S</v>
      </c>
      <c r="BH3498" s="254"/>
      <c r="BI3498" s="254"/>
    </row>
    <row r="3499" spans="1:61" customFormat="1" ht="17.25" thickBot="1" x14ac:dyDescent="0.3">
      <c r="A3499" s="673" t="s">
        <v>5241</v>
      </c>
      <c r="B3499" s="245"/>
      <c r="C3499" s="677"/>
      <c r="D3499" s="499"/>
      <c r="E3499" s="499"/>
      <c r="F3499" s="500"/>
      <c r="G3499" s="501"/>
      <c r="H3499" s="502"/>
      <c r="I3499" s="246"/>
      <c r="J3499" s="247"/>
      <c r="K3499" s="503"/>
      <c r="L3499" s="544"/>
      <c r="M3499" s="544"/>
      <c r="N3499" s="500"/>
      <c r="O3499" s="500"/>
      <c r="P3499" s="500"/>
      <c r="Q3499" s="500"/>
      <c r="R3499" s="500"/>
      <c r="S3499" s="669" t="s">
        <v>4977</v>
      </c>
      <c r="T3499" s="508">
        <f t="shared" si="2671"/>
        <v>0</v>
      </c>
      <c r="U3499" s="225" t="str">
        <f>IF(NOT(ISNUMBER(G3499)), "", VLOOKUP(A3499,'Discount Lookup'!D:E,2,FALSE)*G3499)</f>
        <v/>
      </c>
      <c r="V3499" s="225" t="str">
        <f>IF(NOT(ISNUMBER(G3499)), "", VLOOKUP(A3499,'Discount Lookup'!G:H,2,FALSE)*G3499)</f>
        <v/>
      </c>
      <c r="W3499" s="508">
        <f t="shared" si="2672"/>
        <v>0</v>
      </c>
      <c r="X3499" s="508">
        <f t="shared" si="2673"/>
        <v>0</v>
      </c>
      <c r="Y3499" s="509" t="b">
        <f t="shared" si="2674"/>
        <v>0</v>
      </c>
      <c r="Z3499" s="510">
        <f t="shared" si="2675"/>
        <v>0</v>
      </c>
      <c r="AA3499" s="511"/>
      <c r="AB3499" s="511" t="str">
        <f t="shared" si="2676"/>
        <v/>
      </c>
      <c r="AC3499" s="698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698"/>
      <c r="AE3499" s="631" t="str">
        <f t="shared" si="2677"/>
        <v/>
      </c>
      <c r="AF3499" s="699" t="str">
        <f t="shared" si="2678"/>
        <v/>
      </c>
      <c r="AG3499" s="699"/>
      <c r="AH3499" s="699"/>
      <c r="AI3499" s="512">
        <f>IF(H3499="credit",0,IF(AE3499="free",0,IF(AE3499="me",0,IF(G3499&gt;0,(VLOOKUP(A3499,'Discount Lookup'!J:K,2)*G3499),0))))</f>
        <v>0</v>
      </c>
      <c r="AJ3499" s="513" t="str">
        <f t="shared" ca="1" si="2679"/>
        <v/>
      </c>
      <c r="AK3499" s="700" t="str">
        <f t="shared" si="2680"/>
        <v/>
      </c>
      <c r="AL3499" s="700"/>
      <c r="AM3499" s="505" t="str">
        <f t="shared" si="2681"/>
        <v/>
      </c>
      <c r="AN3499" s="506"/>
      <c r="AO3499" s="507"/>
      <c r="AP3499" s="507"/>
      <c r="AQ3499" s="507"/>
      <c r="AR3499" s="507"/>
      <c r="AS3499" s="507"/>
      <c r="AT3499" s="507"/>
      <c r="AU3499" s="507"/>
      <c r="AV3499" s="225"/>
      <c r="AW3499" s="508"/>
      <c r="AX3499" s="225"/>
      <c r="AY3499" s="225"/>
      <c r="AZ3499" s="225"/>
      <c r="BA3499" s="225"/>
      <c r="BB3499" s="225"/>
      <c r="BC3499" s="56"/>
      <c r="BD3499" s="56"/>
      <c r="BE3499" s="56"/>
      <c r="BF3499" s="107" t="str">
        <f t="shared" si="2682"/>
        <v>https://www.google.com/search?tbm=isch&amp;q=moist%20sites%F0%9F%92%A7OK%2C%20Stained%20Glass%20named%20for%20Golden-Yellow%20leaves%20with%20wide%2C%20Dark%20Green%20margins.%20Fragrant%20blooms%20</v>
      </c>
      <c r="BG3499" s="107" t="str">
        <f t="shared" si="2683"/>
        <v>m</v>
      </c>
      <c r="BH3499" s="254"/>
      <c r="BI3499" s="254"/>
    </row>
    <row r="3500" spans="1:61" customFormat="1" ht="18" x14ac:dyDescent="0.25">
      <c r="A3500" s="523" t="s">
        <v>1807</v>
      </c>
      <c r="B3500" s="235"/>
      <c r="C3500" s="676"/>
      <c r="D3500" s="255" t="s">
        <v>1808</v>
      </c>
      <c r="E3500" s="236"/>
      <c r="F3500" s="236"/>
      <c r="G3500" s="236"/>
      <c r="H3500" s="582" t="s">
        <v>765</v>
      </c>
      <c r="I3500" s="498" t="s">
        <v>3035</v>
      </c>
      <c r="J3500" s="237"/>
      <c r="K3500" s="237"/>
      <c r="L3500" s="274"/>
      <c r="M3500" s="668" t="s">
        <v>4962</v>
      </c>
      <c r="N3500" s="681" t="str">
        <f>IF(AND(ISTEXT($A3500), ISERROR($A3500+0)), HYPERLINK($BF3500, "Images"), "")</f>
        <v>Images</v>
      </c>
      <c r="O3500" s="663" t="s">
        <v>4969</v>
      </c>
      <c r="P3500" s="253"/>
      <c r="Q3500" s="238"/>
      <c r="R3500" s="239"/>
      <c r="S3500" s="275" t="s">
        <v>305</v>
      </c>
      <c r="T3500" s="508">
        <f t="shared" si="2671"/>
        <v>0</v>
      </c>
      <c r="U3500" s="225" t="str">
        <f>IF(NOT(ISNUMBER(G3500)), "", VLOOKUP(A3500,'Discount Lookup'!D:E,2,FALSE)*G3500)</f>
        <v/>
      </c>
      <c r="V3500" s="225" t="str">
        <f>IF(NOT(ISNUMBER(G3500)), "", VLOOKUP(A3500,'Discount Lookup'!G:H,2,FALSE)*G3500)</f>
        <v/>
      </c>
      <c r="W3500" s="508">
        <f t="shared" si="2672"/>
        <v>0</v>
      </c>
      <c r="X3500" s="508" t="str">
        <f t="shared" si="2673"/>
        <v>Blue-Green blades, Red tips</v>
      </c>
      <c r="Y3500" s="509" t="b">
        <f t="shared" si="2674"/>
        <v>0</v>
      </c>
      <c r="Z3500" s="510">
        <f t="shared" si="2675"/>
        <v>0</v>
      </c>
      <c r="AA3500" s="511"/>
      <c r="AB3500" s="511" t="str">
        <f t="shared" si="2676"/>
        <v/>
      </c>
      <c r="AC3500" s="698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698"/>
      <c r="AE3500" s="631" t="str">
        <f t="shared" si="2677"/>
        <v/>
      </c>
      <c r="AF3500" s="699" t="str">
        <f t="shared" si="2678"/>
        <v/>
      </c>
      <c r="AG3500" s="699"/>
      <c r="AH3500" s="699"/>
      <c r="AI3500" s="512">
        <f>IF(H3500="credit",0,IF(AE3500="free",0,IF(AE3500="me",0,IF(G3500&gt;0,(VLOOKUP(A3500,'Discount Lookup'!J:K,2)*G3500),0))))</f>
        <v>0</v>
      </c>
      <c r="AJ3500" s="513" t="str">
        <f t="shared" ca="1" si="2679"/>
        <v/>
      </c>
      <c r="AK3500" s="700" t="str">
        <f t="shared" si="2680"/>
        <v/>
      </c>
      <c r="AL3500" s="700"/>
      <c r="AM3500" s="505" t="str">
        <f t="shared" si="2681"/>
        <v/>
      </c>
      <c r="AN3500" s="506"/>
      <c r="AO3500" s="507"/>
      <c r="AP3500" s="507"/>
      <c r="AQ3500" s="507"/>
      <c r="AR3500" s="507"/>
      <c r="AS3500" s="507"/>
      <c r="AT3500" s="507"/>
      <c r="AU3500" s="507"/>
      <c r="AV3500" s="225"/>
      <c r="AW3500" s="508"/>
      <c r="AX3500" s="225"/>
      <c r="AY3500" s="225"/>
      <c r="AZ3500" s="225"/>
      <c r="BA3500" s="225"/>
      <c r="BB3500" s="225"/>
      <c r="BC3500" s="56"/>
      <c r="BD3500" s="56"/>
      <c r="BE3500" s="56"/>
      <c r="BF3500" s="107" t="str">
        <f t="shared" si="2682"/>
        <v>https://www.google.com/search?tbm=isch&amp;q=Standing%20Ovation%20Little%20Bluestem%20Grass%20Schizachyrium%20scoparium%20%27Standing%20Ovation%27%20PP%2325202</v>
      </c>
      <c r="BG3500" s="107" t="str">
        <f t="shared" si="2683"/>
        <v>S</v>
      </c>
      <c r="BH3500" s="254"/>
      <c r="BI3500" s="254"/>
    </row>
    <row r="3501" spans="1:61" customFormat="1" ht="15.75" x14ac:dyDescent="0.25">
      <c r="A3501" s="276">
        <v>1</v>
      </c>
      <c r="B3501" s="240" t="s">
        <v>291</v>
      </c>
      <c r="C3501" s="241"/>
      <c r="D3501" s="242" t="s">
        <v>300</v>
      </c>
      <c r="E3501" s="243">
        <v>21.95</v>
      </c>
      <c r="F3501" s="517" t="s">
        <v>293</v>
      </c>
      <c r="G3501" s="232">
        <v>0</v>
      </c>
      <c r="H3501" s="661" t="str">
        <f>IF(G3501=0,"",IF(F3501="Buy",IF(G3501=1,"plant","plants"),IF(F3501&gt;0.01,"warranty","Error")))</f>
        <v/>
      </c>
      <c r="I3501" s="244">
        <f>IF(H3501="free",0,IF(H3501="credit",((E3501*(F3501))*G3501*-1),IF(F3501="Buy",(E3501*G3501),((E3501*(1-F3501))*G3501))))</f>
        <v>0</v>
      </c>
      <c r="J3501" s="244">
        <f>IF(H3501="warranty",0,(I3501*(_xlfn.SINGLE(SalesTaxPercentage))))</f>
        <v>0</v>
      </c>
      <c r="K3501" s="696">
        <f t="shared" ref="K3501" si="2698">I3501+J3501</f>
        <v>0</v>
      </c>
      <c r="L3501" s="696"/>
      <c r="M3501" s="659" t="str">
        <f>IF(AND(G3501&gt;0,E3501=0),"WARNING - no PRICE inserted",IF(H3501="free"," FREE ~ no charge this plant",IF(H3501="credit",CONCATENATE(" -$",ROUND(K3501*(1-T2GDiscount)*-1,2)," CREDIT after discount"),IF(T2GDiscount=0,"",IF(G3501=0,"",IF(F3501="Buy",CONCATENATE(" $",ROUND(K3501*(1-T2GDiscount),2)," with ",(T2GDiscount*100),"% discount"),CONCATENATE(" $",ROUND(K3501*(1-T2GDiscount),2)," with ",((T2GDiscount*100+F3501*100)-(T2GDiscount*100*F3501)),IF(F3501&gt;0,"% discounts",IF(NoWarrantyDiscount&gt;0,"% discounts","% discount")))))))))</f>
        <v/>
      </c>
      <c r="N3501" s="660"/>
      <c r="O3501" s="233"/>
      <c r="P3501" s="233"/>
      <c r="Q3501" s="233"/>
      <c r="R3501" s="233"/>
      <c r="S3501" s="233"/>
      <c r="T3501" s="508">
        <f t="shared" si="2671"/>
        <v>0</v>
      </c>
      <c r="U3501" s="225">
        <f>IF(NOT(ISNUMBER(G3501)), "", VLOOKUP(A3501,'Discount Lookup'!D:E,2,FALSE)*G3501)</f>
        <v>0</v>
      </c>
      <c r="V3501" s="225">
        <f>IF(NOT(ISNUMBER(G3501)), "", VLOOKUP(A3501,'Discount Lookup'!G:H,2,FALSE)*G3501)</f>
        <v>0</v>
      </c>
      <c r="W3501" s="508">
        <f t="shared" si="2672"/>
        <v>0</v>
      </c>
      <c r="X3501" s="508">
        <f t="shared" si="2673"/>
        <v>0</v>
      </c>
      <c r="Y3501" s="509" t="b">
        <f t="shared" si="2674"/>
        <v>0</v>
      </c>
      <c r="Z3501" s="510">
        <f t="shared" si="2675"/>
        <v>0</v>
      </c>
      <c r="AA3501" s="511"/>
      <c r="AB3501" s="511" t="str">
        <f t="shared" si="2676"/>
        <v/>
      </c>
      <c r="AC3501" s="698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698"/>
      <c r="AE3501" s="631" t="str">
        <f t="shared" si="2677"/>
        <v/>
      </c>
      <c r="AF3501" s="699" t="str">
        <f t="shared" si="2678"/>
        <v/>
      </c>
      <c r="AG3501" s="699"/>
      <c r="AH3501" s="699"/>
      <c r="AI3501" s="512">
        <f>IF(H3501="credit",0,IF(AE3501="free",0,IF(AE3501="me",0,IF(G3501&gt;0,(VLOOKUP(A3501,'Discount Lookup'!J:K,2)*G3501),0))))</f>
        <v>0</v>
      </c>
      <c r="AJ3501" s="513" t="str">
        <f t="shared" ca="1" si="2679"/>
        <v/>
      </c>
      <c r="AK3501" s="700" t="str">
        <f t="shared" si="2680"/>
        <v/>
      </c>
      <c r="AL3501" s="700"/>
      <c r="AM3501" s="505" t="str">
        <f t="shared" si="2681"/>
        <v/>
      </c>
      <c r="AN3501" s="506"/>
      <c r="AO3501" s="507"/>
      <c r="AP3501" s="507"/>
      <c r="AQ3501" s="507"/>
      <c r="AR3501" s="507"/>
      <c r="AS3501" s="507"/>
      <c r="AT3501" s="507"/>
      <c r="AU3501" s="507"/>
      <c r="AV3501" s="225"/>
      <c r="AW3501" s="508"/>
      <c r="AX3501" s="225"/>
      <c r="AY3501" s="225"/>
      <c r="AZ3501" s="225"/>
      <c r="BA3501" s="225"/>
      <c r="BB3501" s="225"/>
      <c r="BC3501" s="56"/>
      <c r="BD3501" s="56"/>
      <c r="BE3501" s="56"/>
      <c r="BF3501" s="107" t="str">
        <f t="shared" si="2682"/>
        <v>https://www.google.com/search?tbm=isch&amp;q=1%20G6</v>
      </c>
      <c r="BG3501" s="107" t="str">
        <f t="shared" si="2683"/>
        <v>S</v>
      </c>
      <c r="BH3501" s="254"/>
      <c r="BI3501" s="254"/>
    </row>
    <row r="3502" spans="1:61" customFormat="1" ht="15.75" x14ac:dyDescent="0.25">
      <c r="A3502" s="276">
        <v>3</v>
      </c>
      <c r="B3502" s="240" t="s">
        <v>291</v>
      </c>
      <c r="C3502" s="241"/>
      <c r="D3502" s="242" t="s">
        <v>300</v>
      </c>
      <c r="E3502" s="243">
        <v>32.950000000000003</v>
      </c>
      <c r="F3502" s="517" t="s">
        <v>293</v>
      </c>
      <c r="G3502" s="232">
        <v>0</v>
      </c>
      <c r="H3502" s="661" t="str">
        <f>IF(G3502=0,"",IF(F3502="Buy",IF(G3502=1,"plant","plants"),IF(F3502&gt;0.01,"warranty","Error")))</f>
        <v/>
      </c>
      <c r="I3502" s="244">
        <f>IF(H3502="free",0,IF(H3502="credit",((E3502*(F3502))*G3502*-1),IF(F3502="Buy",(E3502*G3502),((E3502*(1-F3502))*G3502))))</f>
        <v>0</v>
      </c>
      <c r="J3502" s="244">
        <f>IF(H3502="warranty",0,(I3502*(_xlfn.SINGLE(SalesTaxPercentage))))</f>
        <v>0</v>
      </c>
      <c r="K3502" s="696">
        <f t="shared" ref="K3502" si="2699">I3502+J3502</f>
        <v>0</v>
      </c>
      <c r="L3502" s="696"/>
      <c r="M3502" s="659" t="str">
        <f>IF(AND(G3502&gt;0,E3502=0),"WARNING - no PRICE inserted",IF(H3502="free"," FREE ~ no charge this plant",IF(H3502="credit",CONCATENATE(" -$",ROUND(K3502*(1-T2GDiscount)*-1,2)," CREDIT after discount"),IF(T2GDiscount=0,"",IF(G3502=0,"",IF(F3502="Buy",CONCATENATE(" $",ROUND(K3502*(1-T2GDiscount),2)," with ",(T2GDiscount*100),"% discount"),CONCATENATE(" $",ROUND(K3502*(1-T2GDiscount),2)," with ",((T2GDiscount*100+F3502*100)-(T2GDiscount*100*F3502)),IF(F3502&gt;0,"% discounts",IF(NoWarrantyDiscount&gt;0,"% discounts","% discount")))))))))</f>
        <v/>
      </c>
      <c r="N3502" s="660"/>
      <c r="O3502" s="233"/>
      <c r="P3502" s="233"/>
      <c r="Q3502" s="233"/>
      <c r="R3502" s="233"/>
      <c r="S3502" s="233"/>
      <c r="T3502" s="508">
        <f t="shared" si="2671"/>
        <v>0</v>
      </c>
      <c r="U3502" s="225">
        <f>IF(NOT(ISNUMBER(G3502)), "", VLOOKUP(A3502,'Discount Lookup'!D:E,2,FALSE)*G3502)</f>
        <v>0</v>
      </c>
      <c r="V3502" s="225">
        <f>IF(NOT(ISNUMBER(G3502)), "", VLOOKUP(A3502,'Discount Lookup'!G:H,2,FALSE)*G3502)</f>
        <v>0</v>
      </c>
      <c r="W3502" s="508">
        <f t="shared" si="2672"/>
        <v>0</v>
      </c>
      <c r="X3502" s="508">
        <f t="shared" si="2673"/>
        <v>0</v>
      </c>
      <c r="Y3502" s="509" t="b">
        <f t="shared" si="2674"/>
        <v>0</v>
      </c>
      <c r="Z3502" s="510">
        <f t="shared" si="2675"/>
        <v>0</v>
      </c>
      <c r="AA3502" s="511"/>
      <c r="AB3502" s="511" t="str">
        <f t="shared" si="2676"/>
        <v/>
      </c>
      <c r="AC3502" s="698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698"/>
      <c r="AE3502" s="631" t="str">
        <f t="shared" si="2677"/>
        <v/>
      </c>
      <c r="AF3502" s="699" t="str">
        <f t="shared" si="2678"/>
        <v/>
      </c>
      <c r="AG3502" s="699"/>
      <c r="AH3502" s="699"/>
      <c r="AI3502" s="512">
        <f>IF(H3502="credit",0,IF(AE3502="free",0,IF(AE3502="me",0,IF(G3502&gt;0,(VLOOKUP(A3502,'Discount Lookup'!J:K,2)*G3502),0))))</f>
        <v>0</v>
      </c>
      <c r="AJ3502" s="513" t="str">
        <f t="shared" ca="1" si="2679"/>
        <v/>
      </c>
      <c r="AK3502" s="700" t="str">
        <f t="shared" si="2680"/>
        <v/>
      </c>
      <c r="AL3502" s="700"/>
      <c r="AM3502" s="505" t="str">
        <f t="shared" si="2681"/>
        <v/>
      </c>
      <c r="AN3502" s="506"/>
      <c r="AO3502" s="507"/>
      <c r="AP3502" s="507"/>
      <c r="AQ3502" s="507"/>
      <c r="AR3502" s="507"/>
      <c r="AS3502" s="507"/>
      <c r="AT3502" s="507"/>
      <c r="AU3502" s="507"/>
      <c r="AV3502" s="225"/>
      <c r="AW3502" s="508"/>
      <c r="AX3502" s="225"/>
      <c r="AY3502" s="225"/>
      <c r="AZ3502" s="225"/>
      <c r="BA3502" s="225"/>
      <c r="BB3502" s="225"/>
      <c r="BC3502" s="56"/>
      <c r="BD3502" s="56"/>
      <c r="BE3502" s="56"/>
      <c r="BF3502" s="107" t="str">
        <f t="shared" si="2682"/>
        <v>https://www.google.com/search?tbm=isch&amp;q=3%20G6</v>
      </c>
      <c r="BG3502" s="107" t="str">
        <f t="shared" si="2683"/>
        <v>S</v>
      </c>
      <c r="BH3502" s="254"/>
      <c r="BI3502" s="254"/>
    </row>
    <row r="3503" spans="1:61" customFormat="1" ht="17.25" thickBot="1" x14ac:dyDescent="0.3">
      <c r="A3503" s="524" t="s">
        <v>3089</v>
      </c>
      <c r="B3503" s="245"/>
      <c r="C3503" s="677"/>
      <c r="D3503" s="499"/>
      <c r="E3503" s="499"/>
      <c r="F3503" s="500"/>
      <c r="G3503" s="501"/>
      <c r="H3503" s="502"/>
      <c r="I3503" s="246"/>
      <c r="J3503" s="247"/>
      <c r="K3503" s="503"/>
      <c r="L3503" s="544"/>
      <c r="M3503" s="544"/>
      <c r="N3503" s="500"/>
      <c r="O3503" s="500"/>
      <c r="P3503" s="500"/>
      <c r="Q3503" s="500"/>
      <c r="R3503" s="500"/>
      <c r="S3503" s="669" t="s">
        <v>5008</v>
      </c>
      <c r="T3503" s="508">
        <f t="shared" si="2671"/>
        <v>0</v>
      </c>
      <c r="U3503" s="225" t="str">
        <f>IF(NOT(ISNUMBER(G3503)), "", VLOOKUP(A3503,'Discount Lookup'!D:E,2,FALSE)*G3503)</f>
        <v/>
      </c>
      <c r="V3503" s="225" t="str">
        <f>IF(NOT(ISNUMBER(G3503)), "", VLOOKUP(A3503,'Discount Lookup'!G:H,2,FALSE)*G3503)</f>
        <v/>
      </c>
      <c r="W3503" s="508">
        <f t="shared" si="2672"/>
        <v>0</v>
      </c>
      <c r="X3503" s="508">
        <f t="shared" si="2673"/>
        <v>0</v>
      </c>
      <c r="Y3503" s="509" t="b">
        <f t="shared" si="2674"/>
        <v>0</v>
      </c>
      <c r="Z3503" s="510">
        <f t="shared" si="2675"/>
        <v>0</v>
      </c>
      <c r="AA3503" s="511"/>
      <c r="AB3503" s="511" t="str">
        <f t="shared" si="2676"/>
        <v/>
      </c>
      <c r="AC3503" s="698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698"/>
      <c r="AE3503" s="631" t="str">
        <f t="shared" si="2677"/>
        <v/>
      </c>
      <c r="AF3503" s="699" t="str">
        <f t="shared" si="2678"/>
        <v/>
      </c>
      <c r="AG3503" s="699"/>
      <c r="AH3503" s="699"/>
      <c r="AI3503" s="512">
        <f>IF(H3503="credit",0,IF(AE3503="free",0,IF(AE3503="me",0,IF(G3503&gt;0,(VLOOKUP(A3503,'Discount Lookup'!J:K,2)*G3503),0))))</f>
        <v>0</v>
      </c>
      <c r="AJ3503" s="513" t="str">
        <f t="shared" ca="1" si="2679"/>
        <v/>
      </c>
      <c r="AK3503" s="700" t="str">
        <f t="shared" si="2680"/>
        <v/>
      </c>
      <c r="AL3503" s="700"/>
      <c r="AM3503" s="505" t="str">
        <f t="shared" si="2681"/>
        <v/>
      </c>
      <c r="AN3503" s="506"/>
      <c r="AO3503" s="507"/>
      <c r="AP3503" s="507"/>
      <c r="AQ3503" s="507"/>
      <c r="AR3503" s="507"/>
      <c r="AS3503" s="507"/>
      <c r="AT3503" s="507"/>
      <c r="AU3503" s="507"/>
      <c r="AV3503" s="225"/>
      <c r="AW3503" s="508"/>
      <c r="AX3503" s="225"/>
      <c r="AY3503" s="225"/>
      <c r="AZ3503" s="225"/>
      <c r="BA3503" s="225"/>
      <c r="BB3503" s="225"/>
      <c r="BC3503" s="56"/>
      <c r="BD3503" s="56"/>
      <c r="BE3503" s="56"/>
      <c r="BF3503" s="107" t="str">
        <f t="shared" si="2682"/>
        <v>https://www.google.com/search?tbm=isch&amp;q=Standing%20Ovation%20has%20Silvery-White%20fluffy%20seedheadsl%2C%20Fiery%20Red%2C%20Orange%2C%20Burgundy%2C%20and%20Purple%20fall%20color%20</v>
      </c>
      <c r="BG3503" s="107" t="str">
        <f t="shared" si="2683"/>
        <v>S</v>
      </c>
      <c r="BH3503" s="254"/>
      <c r="BI3503" s="254"/>
    </row>
    <row r="3504" spans="1:61" customFormat="1" ht="18" x14ac:dyDescent="0.25">
      <c r="A3504" s="521" t="s">
        <v>5543</v>
      </c>
      <c r="B3504" s="477"/>
      <c r="C3504" s="674"/>
      <c r="D3504" s="478" t="s">
        <v>3233</v>
      </c>
      <c r="E3504" s="479"/>
      <c r="F3504" s="479"/>
      <c r="G3504" s="479"/>
      <c r="H3504" s="582" t="s">
        <v>443</v>
      </c>
      <c r="I3504" s="480" t="s">
        <v>1496</v>
      </c>
      <c r="J3504" s="479"/>
      <c r="K3504" s="479"/>
      <c r="L3504" s="560"/>
      <c r="M3504" s="671" t="s">
        <v>4990</v>
      </c>
      <c r="N3504" s="680" t="str">
        <f>IF(AND(ISTEXT($A3504), ISERROR($A3504+0)), HYPERLINK($BF3504, "Images"), "")</f>
        <v>Images</v>
      </c>
      <c r="O3504" s="662" t="s">
        <v>4974</v>
      </c>
      <c r="P3504" s="482"/>
      <c r="Q3504" s="483"/>
      <c r="R3504" s="483"/>
      <c r="S3504" s="484"/>
      <c r="T3504" s="508">
        <f t="shared" si="2671"/>
        <v>0</v>
      </c>
      <c r="U3504" s="225" t="str">
        <f>IF(NOT(ISNUMBER(G3504)), "", VLOOKUP(A3504,'Discount Lookup'!D:E,2,FALSE)*G3504)</f>
        <v/>
      </c>
      <c r="V3504" s="225" t="str">
        <f>IF(NOT(ISNUMBER(G3504)), "", VLOOKUP(A3504,'Discount Lookup'!G:H,2,FALSE)*G3504)</f>
        <v/>
      </c>
      <c r="W3504" s="508">
        <f t="shared" si="2672"/>
        <v>0</v>
      </c>
      <c r="X3504" s="508" t="str">
        <f t="shared" si="2673"/>
        <v>Pink to Blue bloom</v>
      </c>
      <c r="Y3504" s="509" t="b">
        <f t="shared" si="2674"/>
        <v>0</v>
      </c>
      <c r="Z3504" s="510">
        <f t="shared" si="2675"/>
        <v>0</v>
      </c>
      <c r="AA3504" s="511"/>
      <c r="AB3504" s="511" t="str">
        <f t="shared" si="2676"/>
        <v/>
      </c>
      <c r="AC3504" s="698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698"/>
      <c r="AE3504" s="631" t="str">
        <f t="shared" si="2677"/>
        <v/>
      </c>
      <c r="AF3504" s="699" t="str">
        <f t="shared" si="2678"/>
        <v/>
      </c>
      <c r="AG3504" s="699"/>
      <c r="AH3504" s="699"/>
      <c r="AI3504" s="512">
        <f>IF(H3504="credit",0,IF(AE3504="free",0,IF(AE3504="me",0,IF(G3504&gt;0,(VLOOKUP(A3504,'Discount Lookup'!J:K,2)*G3504),0))))</f>
        <v>0</v>
      </c>
      <c r="AJ3504" s="513" t="str">
        <f t="shared" ca="1" si="2679"/>
        <v/>
      </c>
      <c r="AK3504" s="700" t="str">
        <f t="shared" si="2680"/>
        <v/>
      </c>
      <c r="AL3504" s="700"/>
      <c r="AM3504" s="505" t="str">
        <f t="shared" si="2681"/>
        <v/>
      </c>
      <c r="AN3504" s="506"/>
      <c r="AO3504" s="507"/>
      <c r="AP3504" s="507"/>
      <c r="AQ3504" s="507"/>
      <c r="AR3504" s="507"/>
      <c r="AS3504" s="507"/>
      <c r="AT3504" s="507"/>
      <c r="AU3504" s="507"/>
      <c r="AV3504" s="225"/>
      <c r="AW3504" s="508"/>
      <c r="AX3504" s="225"/>
      <c r="AY3504" s="225"/>
      <c r="AZ3504" s="225"/>
      <c r="BA3504" s="225"/>
      <c r="BB3504" s="225"/>
      <c r="BC3504" s="56"/>
      <c r="BD3504" s="56"/>
      <c r="BE3504" s="56"/>
      <c r="BF3504" s="107" t="str">
        <f t="shared" si="2682"/>
        <v>https://www.google.com/search?tbm=isch&amp;q=Starfield%E2%84%A2%20Hydrangea%20Hyd.%20macrophylla%20%27Hortmafarfa%27%20PP%2332164</v>
      </c>
      <c r="BG3504" s="107" t="str">
        <f t="shared" si="2683"/>
        <v>S</v>
      </c>
      <c r="BH3504" s="254"/>
      <c r="BI3504" s="254"/>
    </row>
    <row r="3505" spans="1:61" customFormat="1" ht="15.75" x14ac:dyDescent="0.25">
      <c r="A3505" s="485">
        <v>3</v>
      </c>
      <c r="B3505" s="486" t="s">
        <v>291</v>
      </c>
      <c r="C3505" s="487" t="s">
        <v>4744</v>
      </c>
      <c r="D3505" s="488" t="s">
        <v>312</v>
      </c>
      <c r="E3505" s="489">
        <v>33.950000000000003</v>
      </c>
      <c r="F3505" s="516" t="s">
        <v>293</v>
      </c>
      <c r="G3505" s="232">
        <v>0</v>
      </c>
      <c r="H3505" s="658" t="str">
        <f>IF(G3505=0,"",IF(F3505="Buy",IF(G3505=1,"plant","plants"),IF(F3505&gt;0.01,"warranty","Error")))</f>
        <v/>
      </c>
      <c r="I3505" s="490">
        <f>IF(H3505="free",0,IF(H3505="credit",((E3505*(F3505))*G3505*-1),IF(F3505="Buy",(E3505*G3505),((E3505*(1-F3505))*G3505))))</f>
        <v>0</v>
      </c>
      <c r="J3505" s="490">
        <f>IF(H3505="warranty",0,(I3505*(_xlfn.SINGLE(SalesTaxPercentage))))</f>
        <v>0</v>
      </c>
      <c r="K3505" s="695">
        <f t="shared" ref="K3505" si="2700">I3505+J3505</f>
        <v>0</v>
      </c>
      <c r="L3505" s="695"/>
      <c r="M3505" s="659" t="str">
        <f>IF(AND(G3505&gt;0,E3505=0),"WARNING - no PRICE inserted",IF(H3505="free"," FREE ~ no charge this plant",IF(H3505="credit",CONCATENATE(" -$",ROUND(K3505*(1-T2GDiscount)*-1,2)," CREDIT after discount"),IF(T2GDiscount=0,"",IF(G3505=0,"",IF(F3505="Buy",CONCATENATE(" $",ROUND(K3505*(1-T2GDiscount),2)," with ",(T2GDiscount*100),"% discount"),CONCATENATE(" $",ROUND(K3505*(1-T2GDiscount),2)," with ",((T2GDiscount*100+F3505*100)-(T2GDiscount*100*F3505)),IF(F3505&gt;0,"% discounts",IF(NoWarrantyDiscount&gt;0,"% discounts","% discount")))))))))</f>
        <v/>
      </c>
      <c r="N3505" s="660"/>
      <c r="O3505" s="233"/>
      <c r="P3505" s="233"/>
      <c r="Q3505" s="233"/>
      <c r="R3505" s="233"/>
      <c r="S3505" s="233"/>
      <c r="T3505" s="508">
        <f t="shared" si="2671"/>
        <v>0</v>
      </c>
      <c r="U3505" s="225">
        <f>IF(NOT(ISNUMBER(G3505)), "", VLOOKUP(A3505,'Discount Lookup'!D:E,2,FALSE)*G3505)</f>
        <v>0</v>
      </c>
      <c r="V3505" s="225">
        <f>IF(NOT(ISNUMBER(G3505)), "", VLOOKUP(A3505,'Discount Lookup'!G:H,2,FALSE)*G3505)</f>
        <v>0</v>
      </c>
      <c r="W3505" s="508">
        <f t="shared" si="2672"/>
        <v>0</v>
      </c>
      <c r="X3505" s="508">
        <f t="shared" si="2673"/>
        <v>0</v>
      </c>
      <c r="Y3505" s="509" t="b">
        <f t="shared" si="2674"/>
        <v>0</v>
      </c>
      <c r="Z3505" s="510">
        <f t="shared" si="2675"/>
        <v>0</v>
      </c>
      <c r="AA3505" s="511"/>
      <c r="AB3505" s="511" t="str">
        <f t="shared" si="2676"/>
        <v/>
      </c>
      <c r="AC3505" s="698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698"/>
      <c r="AE3505" s="631" t="str">
        <f t="shared" si="2677"/>
        <v/>
      </c>
      <c r="AF3505" s="699" t="str">
        <f t="shared" si="2678"/>
        <v/>
      </c>
      <c r="AG3505" s="699"/>
      <c r="AH3505" s="699"/>
      <c r="AI3505" s="512">
        <f>IF(H3505="credit",0,IF(AE3505="free",0,IF(AE3505="me",0,IF(G3505&gt;0,(VLOOKUP(A3505,'Discount Lookup'!J:K,2)*G3505),0))))</f>
        <v>0</v>
      </c>
      <c r="AJ3505" s="513" t="str">
        <f t="shared" ca="1" si="2679"/>
        <v/>
      </c>
      <c r="AK3505" s="700" t="str">
        <f t="shared" si="2680"/>
        <v/>
      </c>
      <c r="AL3505" s="700"/>
      <c r="AM3505" s="505" t="str">
        <f t="shared" si="2681"/>
        <v/>
      </c>
      <c r="AN3505" s="506"/>
      <c r="AO3505" s="507"/>
      <c r="AP3505" s="507"/>
      <c r="AQ3505" s="507"/>
      <c r="AR3505" s="507"/>
      <c r="AS3505" s="507"/>
      <c r="AT3505" s="507"/>
      <c r="AU3505" s="507"/>
      <c r="AV3505" s="225"/>
      <c r="AW3505" s="508"/>
      <c r="AX3505" s="225"/>
      <c r="AY3505" s="225"/>
      <c r="AZ3505" s="225"/>
      <c r="BA3505" s="225"/>
      <c r="BB3505" s="225"/>
      <c r="BC3505" s="56"/>
      <c r="BD3505" s="56"/>
      <c r="BE3505" s="56"/>
      <c r="BF3505" s="107" t="str">
        <f t="shared" si="2682"/>
        <v>https://www.google.com/search?tbm=isch&amp;q=3%20G2</v>
      </c>
      <c r="BG3505" s="107" t="str">
        <f t="shared" si="2683"/>
        <v>S</v>
      </c>
      <c r="BH3505" s="254"/>
      <c r="BI3505" s="254"/>
    </row>
    <row r="3506" spans="1:61" customFormat="1" ht="16.5" thickBot="1" x14ac:dyDescent="0.3">
      <c r="A3506" s="672" t="s">
        <v>5242</v>
      </c>
      <c r="B3506" s="491"/>
      <c r="C3506" s="675"/>
      <c r="D3506" s="491"/>
      <c r="E3506" s="491"/>
      <c r="F3506" s="492"/>
      <c r="G3506" s="493"/>
      <c r="H3506" s="491"/>
      <c r="I3506" s="234"/>
      <c r="J3506" s="234"/>
      <c r="K3506" s="494"/>
      <c r="L3506" s="543"/>
      <c r="M3506" s="561"/>
      <c r="N3506" s="495"/>
      <c r="O3506" s="496"/>
      <c r="P3506" s="497"/>
      <c r="Q3506" s="495"/>
      <c r="R3506" s="495"/>
      <c r="S3506" s="277"/>
      <c r="T3506" s="508">
        <f t="shared" si="2671"/>
        <v>0</v>
      </c>
      <c r="U3506" s="225" t="str">
        <f>IF(NOT(ISNUMBER(G3506)), "", VLOOKUP(A3506,'Discount Lookup'!D:E,2,FALSE)*G3506)</f>
        <v/>
      </c>
      <c r="V3506" s="225" t="str">
        <f>IF(NOT(ISNUMBER(G3506)), "", VLOOKUP(A3506,'Discount Lookup'!G:H,2,FALSE)*G3506)</f>
        <v/>
      </c>
      <c r="W3506" s="508">
        <f t="shared" si="2672"/>
        <v>0</v>
      </c>
      <c r="X3506" s="508">
        <f t="shared" si="2673"/>
        <v>0</v>
      </c>
      <c r="Y3506" s="509" t="b">
        <f t="shared" si="2674"/>
        <v>0</v>
      </c>
      <c r="Z3506" s="510">
        <f t="shared" si="2675"/>
        <v>0</v>
      </c>
      <c r="AA3506" s="511"/>
      <c r="AB3506" s="511" t="str">
        <f t="shared" si="2676"/>
        <v/>
      </c>
      <c r="AC3506" s="698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698"/>
      <c r="AE3506" s="631" t="str">
        <f t="shared" si="2677"/>
        <v/>
      </c>
      <c r="AF3506" s="699" t="str">
        <f t="shared" si="2678"/>
        <v/>
      </c>
      <c r="AG3506" s="699"/>
      <c r="AH3506" s="699"/>
      <c r="AI3506" s="512">
        <f>IF(H3506="credit",0,IF(AE3506="free",0,IF(AE3506="me",0,IF(G3506&gt;0,(VLOOKUP(A3506,'Discount Lookup'!J:K,2)*G3506),0))))</f>
        <v>0</v>
      </c>
      <c r="AJ3506" s="513" t="str">
        <f t="shared" ca="1" si="2679"/>
        <v/>
      </c>
      <c r="AK3506" s="700" t="str">
        <f t="shared" si="2680"/>
        <v/>
      </c>
      <c r="AL3506" s="700"/>
      <c r="AM3506" s="505" t="str">
        <f t="shared" si="2681"/>
        <v/>
      </c>
      <c r="AN3506" s="506"/>
      <c r="AO3506" s="507"/>
      <c r="AP3506" s="507"/>
      <c r="AQ3506" s="507"/>
      <c r="AR3506" s="507"/>
      <c r="AS3506" s="507"/>
      <c r="AT3506" s="507"/>
      <c r="AU3506" s="507"/>
      <c r="AV3506" s="225"/>
      <c r="AW3506" s="508"/>
      <c r="AX3506" s="225"/>
      <c r="AY3506" s="225"/>
      <c r="AZ3506" s="225"/>
      <c r="BA3506" s="225"/>
      <c r="BB3506" s="225"/>
      <c r="BC3506" s="56"/>
      <c r="BD3506" s="56"/>
      <c r="BE3506" s="56"/>
      <c r="BF3506" s="107" t="str">
        <f t="shared" si="2682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506" s="107" t="str">
        <f t="shared" si="2683"/>
        <v>m</v>
      </c>
      <c r="BH3506" s="254"/>
      <c r="BI3506" s="254"/>
    </row>
    <row r="3507" spans="1:61" customFormat="1" ht="18" x14ac:dyDescent="0.25">
      <c r="A3507" s="523" t="s">
        <v>1809</v>
      </c>
      <c r="B3507" s="235"/>
      <c r="C3507" s="676"/>
      <c r="D3507" s="255" t="s">
        <v>1810</v>
      </c>
      <c r="E3507" s="236"/>
      <c r="F3507" s="236"/>
      <c r="G3507" s="236"/>
      <c r="H3507" s="582" t="s">
        <v>308</v>
      </c>
      <c r="I3507" s="498" t="s">
        <v>654</v>
      </c>
      <c r="J3507" s="237"/>
      <c r="K3507" s="237"/>
      <c r="L3507" s="274"/>
      <c r="M3507" s="668" t="s">
        <v>4975</v>
      </c>
      <c r="N3507" s="681" t="str">
        <f>IF(AND(ISTEXT($A3507), ISERROR($A3507+0)), HYPERLINK($BF3507, "Images"), "")</f>
        <v>Images</v>
      </c>
      <c r="O3507" s="663" t="s">
        <v>4967</v>
      </c>
      <c r="P3507" s="253"/>
      <c r="Q3507" s="238"/>
      <c r="R3507" s="239"/>
      <c r="S3507" s="275"/>
      <c r="T3507" s="508">
        <f t="shared" si="2671"/>
        <v>0</v>
      </c>
      <c r="U3507" s="225" t="str">
        <f>IF(NOT(ISNUMBER(G3507)), "", VLOOKUP(A3507,'Discount Lookup'!D:E,2,FALSE)*G3507)</f>
        <v/>
      </c>
      <c r="V3507" s="225" t="str">
        <f>IF(NOT(ISNUMBER(G3507)), "", VLOOKUP(A3507,'Discount Lookup'!G:H,2,FALSE)*G3507)</f>
        <v/>
      </c>
      <c r="W3507" s="508">
        <f t="shared" si="2672"/>
        <v>0</v>
      </c>
      <c r="X3507" s="508" t="str">
        <f t="shared" si="2673"/>
        <v>White bloom</v>
      </c>
      <c r="Y3507" s="509" t="b">
        <f t="shared" si="2674"/>
        <v>0</v>
      </c>
      <c r="Z3507" s="510">
        <f t="shared" si="2675"/>
        <v>0</v>
      </c>
      <c r="AA3507" s="511"/>
      <c r="AB3507" s="511" t="str">
        <f t="shared" si="2676"/>
        <v/>
      </c>
      <c r="AC3507" s="698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698"/>
      <c r="AE3507" s="631" t="str">
        <f t="shared" si="2677"/>
        <v/>
      </c>
      <c r="AF3507" s="699" t="str">
        <f t="shared" si="2678"/>
        <v/>
      </c>
      <c r="AG3507" s="699"/>
      <c r="AH3507" s="699"/>
      <c r="AI3507" s="512">
        <f>IF(H3507="credit",0,IF(AE3507="free",0,IF(AE3507="me",0,IF(G3507&gt;0,(VLOOKUP(A3507,'Discount Lookup'!J:K,2)*G3507),0))))</f>
        <v>0</v>
      </c>
      <c r="AJ3507" s="513" t="str">
        <f t="shared" ca="1" si="2679"/>
        <v/>
      </c>
      <c r="AK3507" s="700" t="str">
        <f t="shared" si="2680"/>
        <v/>
      </c>
      <c r="AL3507" s="700"/>
      <c r="AM3507" s="505" t="str">
        <f t="shared" si="2681"/>
        <v/>
      </c>
      <c r="AN3507" s="506"/>
      <c r="AO3507" s="507"/>
      <c r="AP3507" s="507"/>
      <c r="AQ3507" s="507"/>
      <c r="AR3507" s="507"/>
      <c r="AS3507" s="507"/>
      <c r="AT3507" s="507"/>
      <c r="AU3507" s="507"/>
      <c r="AV3507" s="225"/>
      <c r="AW3507" s="508"/>
      <c r="AX3507" s="225"/>
      <c r="AY3507" s="225"/>
      <c r="AZ3507" s="225"/>
      <c r="BA3507" s="225"/>
      <c r="BB3507" s="225"/>
      <c r="BC3507" s="56"/>
      <c r="BD3507" s="56"/>
      <c r="BE3507" s="56"/>
      <c r="BF3507" s="107" t="str">
        <f t="shared" si="2682"/>
        <v>https://www.google.com/search?tbm=isch&amp;q=Starlight%20Dogwood%20Cornus%20x%20elwinortonii%20%27Starlight%27</v>
      </c>
      <c r="BG3507" s="107" t="str">
        <f t="shared" si="2683"/>
        <v>S</v>
      </c>
      <c r="BH3507" s="254"/>
      <c r="BI3507" s="254"/>
    </row>
    <row r="3508" spans="1:61" customFormat="1" ht="15.75" x14ac:dyDescent="0.25">
      <c r="A3508" s="276">
        <v>7</v>
      </c>
      <c r="B3508" s="240" t="s">
        <v>291</v>
      </c>
      <c r="C3508" s="241" t="s">
        <v>3586</v>
      </c>
      <c r="D3508" s="242" t="s">
        <v>292</v>
      </c>
      <c r="E3508" s="243">
        <v>102.95</v>
      </c>
      <c r="F3508" s="517" t="s">
        <v>293</v>
      </c>
      <c r="G3508" s="232">
        <v>0</v>
      </c>
      <c r="H3508" s="661" t="str">
        <f>IF(G3508=0,"",IF(F3508="Buy",IF(G3508=1,"plant","plants"),IF(F3508&gt;0.01,"warranty","Error")))</f>
        <v/>
      </c>
      <c r="I3508" s="244">
        <f>IF(H3508="free",0,IF(H3508="credit",((E3508*(F3508))*G3508*-1),IF(F3508="Buy",(E3508*G3508),((E3508*(1-F3508))*G3508))))</f>
        <v>0</v>
      </c>
      <c r="J3508" s="244">
        <f>IF(H3508="warranty",0,(I3508*(_xlfn.SINGLE(SalesTaxPercentage))))</f>
        <v>0</v>
      </c>
      <c r="K3508" s="696">
        <f t="shared" ref="K3508" si="2701">I3508+J3508</f>
        <v>0</v>
      </c>
      <c r="L3508" s="696"/>
      <c r="M3508" s="659" t="str">
        <f>IF(AND(G3508&gt;0,E3508=0),"WARNING - no PRICE inserted",IF(H3508="free"," FREE ~ no charge this plant",IF(H3508="credit",CONCATENATE(" -$",ROUND(K3508*(1-T2GDiscount)*-1,2)," CREDIT after discount"),IF(T2GDiscount=0,"",IF(G3508=0,"",IF(F3508="Buy",CONCATENATE(" $",ROUND(K3508*(1-T2GDiscount),2)," with ",(T2GDiscount*100),"% discount"),CONCATENATE(" $",ROUND(K3508*(1-T2GDiscount),2)," with ",((T2GDiscount*100+F3508*100)-(T2GDiscount*100*F3508)),IF(F3508&gt;0,"% discounts",IF(NoWarrantyDiscount&gt;0,"% discounts","% discount")))))))))</f>
        <v/>
      </c>
      <c r="N3508" s="660"/>
      <c r="O3508" s="233"/>
      <c r="P3508" s="233"/>
      <c r="Q3508" s="233"/>
      <c r="R3508" s="233"/>
      <c r="S3508" s="233"/>
      <c r="T3508" s="508">
        <f t="shared" si="2671"/>
        <v>0</v>
      </c>
      <c r="U3508" s="225">
        <f>IF(NOT(ISNUMBER(G3508)), "", VLOOKUP(A3508,'Discount Lookup'!D:E,2,FALSE)*G3508)</f>
        <v>0</v>
      </c>
      <c r="V3508" s="225">
        <f>IF(NOT(ISNUMBER(G3508)), "", VLOOKUP(A3508,'Discount Lookup'!G:H,2,FALSE)*G3508)</f>
        <v>0</v>
      </c>
      <c r="W3508" s="508">
        <f t="shared" si="2672"/>
        <v>0</v>
      </c>
      <c r="X3508" s="508">
        <f t="shared" si="2673"/>
        <v>0</v>
      </c>
      <c r="Y3508" s="509" t="b">
        <f t="shared" si="2674"/>
        <v>0</v>
      </c>
      <c r="Z3508" s="510">
        <f t="shared" si="2675"/>
        <v>0</v>
      </c>
      <c r="AA3508" s="511"/>
      <c r="AB3508" s="511" t="str">
        <f t="shared" si="2676"/>
        <v/>
      </c>
      <c r="AC3508" s="698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698"/>
      <c r="AE3508" s="631" t="str">
        <f t="shared" si="2677"/>
        <v/>
      </c>
      <c r="AF3508" s="699" t="str">
        <f t="shared" si="2678"/>
        <v/>
      </c>
      <c r="AG3508" s="699"/>
      <c r="AH3508" s="699"/>
      <c r="AI3508" s="512">
        <f>IF(H3508="credit",0,IF(AE3508="free",0,IF(AE3508="me",0,IF(G3508&gt;0,(VLOOKUP(A3508,'Discount Lookup'!J:K,2)*G3508),0))))</f>
        <v>0</v>
      </c>
      <c r="AJ3508" s="513" t="str">
        <f t="shared" ca="1" si="2679"/>
        <v/>
      </c>
      <c r="AK3508" s="700" t="str">
        <f t="shared" si="2680"/>
        <v/>
      </c>
      <c r="AL3508" s="700"/>
      <c r="AM3508" s="505" t="str">
        <f t="shared" si="2681"/>
        <v/>
      </c>
      <c r="AN3508" s="506"/>
      <c r="AO3508" s="507"/>
      <c r="AP3508" s="507"/>
      <c r="AQ3508" s="507"/>
      <c r="AR3508" s="507"/>
      <c r="AS3508" s="507"/>
      <c r="AT3508" s="507"/>
      <c r="AU3508" s="507"/>
      <c r="AV3508" s="225"/>
      <c r="AW3508" s="508"/>
      <c r="AX3508" s="225"/>
      <c r="AY3508" s="225"/>
      <c r="AZ3508" s="225"/>
      <c r="BA3508" s="225"/>
      <c r="BB3508" s="225"/>
      <c r="BC3508" s="56"/>
      <c r="BD3508" s="56"/>
      <c r="BE3508" s="56"/>
      <c r="BF3508" s="107" t="str">
        <f t="shared" si="2682"/>
        <v>https://www.google.com/search?tbm=isch&amp;q=7%20G4</v>
      </c>
      <c r="BG3508" s="107" t="str">
        <f t="shared" si="2683"/>
        <v>S</v>
      </c>
      <c r="BH3508" s="254"/>
      <c r="BI3508" s="254"/>
    </row>
    <row r="3509" spans="1:61" customFormat="1" ht="15.75" x14ac:dyDescent="0.25">
      <c r="A3509" s="276">
        <v>10</v>
      </c>
      <c r="B3509" s="240" t="s">
        <v>291</v>
      </c>
      <c r="C3509" s="241" t="s">
        <v>3793</v>
      </c>
      <c r="D3509" s="242" t="s">
        <v>292</v>
      </c>
      <c r="E3509" s="243">
        <v>160.94999999999999</v>
      </c>
      <c r="F3509" s="517" t="s">
        <v>293</v>
      </c>
      <c r="G3509" s="232">
        <v>0</v>
      </c>
      <c r="H3509" s="661" t="str">
        <f>IF(G3509=0,"",IF(F3509="Buy",IF(G3509=1,"plant","plants"),IF(F3509&gt;0.01,"warranty","Error")))</f>
        <v/>
      </c>
      <c r="I3509" s="244">
        <f>IF(H3509="free",0,IF(H3509="credit",((E3509*(F3509))*G3509*-1),IF(F3509="Buy",(E3509*G3509),((E3509*(1-F3509))*G3509))))</f>
        <v>0</v>
      </c>
      <c r="J3509" s="244">
        <f>IF(H3509="warranty",0,(I3509*(_xlfn.SINGLE(SalesTaxPercentage))))</f>
        <v>0</v>
      </c>
      <c r="K3509" s="696">
        <f t="shared" ref="K3509" si="2702">I3509+J3509</f>
        <v>0</v>
      </c>
      <c r="L3509" s="696"/>
      <c r="M3509" s="659" t="str">
        <f>IF(AND(G3509&gt;0,E3509=0),"WARNING - no PRICE inserted",IF(H3509="free"," FREE ~ no charge this plant",IF(H3509="credit",CONCATENATE(" -$",ROUND(K3509*(1-T2GDiscount)*-1,2)," CREDIT after discount"),IF(T2GDiscount=0,"",IF(G3509=0,"",IF(F3509="Buy",CONCATENATE(" $",ROUND(K3509*(1-T2GDiscount),2)," with ",(T2GDiscount*100),"% discount"),CONCATENATE(" $",ROUND(K3509*(1-T2GDiscount),2)," with ",((T2GDiscount*100+F3509*100)-(T2GDiscount*100*F3509)),IF(F3509&gt;0,"% discounts",IF(NoWarrantyDiscount&gt;0,"% discounts","% discount")))))))))</f>
        <v/>
      </c>
      <c r="N3509" s="660"/>
      <c r="O3509" s="233"/>
      <c r="P3509" s="233"/>
      <c r="Q3509" s="233"/>
      <c r="R3509" s="233"/>
      <c r="S3509" s="233"/>
      <c r="T3509" s="508">
        <f t="shared" si="2671"/>
        <v>0</v>
      </c>
      <c r="U3509" s="225">
        <f>IF(NOT(ISNUMBER(G3509)), "", VLOOKUP(A3509,'Discount Lookup'!D:E,2,FALSE)*G3509)</f>
        <v>0</v>
      </c>
      <c r="V3509" s="225">
        <f>IF(NOT(ISNUMBER(G3509)), "", VLOOKUP(A3509,'Discount Lookup'!G:H,2,FALSE)*G3509)</f>
        <v>0</v>
      </c>
      <c r="W3509" s="508">
        <f t="shared" si="2672"/>
        <v>0</v>
      </c>
      <c r="X3509" s="508">
        <f t="shared" si="2673"/>
        <v>0</v>
      </c>
      <c r="Y3509" s="509" t="b">
        <f t="shared" si="2674"/>
        <v>0</v>
      </c>
      <c r="Z3509" s="510">
        <f t="shared" si="2675"/>
        <v>0</v>
      </c>
      <c r="AA3509" s="511"/>
      <c r="AB3509" s="511" t="str">
        <f t="shared" si="2676"/>
        <v/>
      </c>
      <c r="AC3509" s="698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698"/>
      <c r="AE3509" s="631" t="str">
        <f t="shared" si="2677"/>
        <v/>
      </c>
      <c r="AF3509" s="699" t="str">
        <f t="shared" si="2678"/>
        <v/>
      </c>
      <c r="AG3509" s="699"/>
      <c r="AH3509" s="699"/>
      <c r="AI3509" s="512">
        <f>IF(H3509="credit",0,IF(AE3509="free",0,IF(AE3509="me",0,IF(G3509&gt;0,(VLOOKUP(A3509,'Discount Lookup'!J:K,2)*G3509),0))))</f>
        <v>0</v>
      </c>
      <c r="AJ3509" s="513" t="str">
        <f t="shared" ca="1" si="2679"/>
        <v/>
      </c>
      <c r="AK3509" s="700" t="str">
        <f t="shared" si="2680"/>
        <v/>
      </c>
      <c r="AL3509" s="700"/>
      <c r="AM3509" s="505" t="str">
        <f t="shared" si="2681"/>
        <v/>
      </c>
      <c r="AN3509" s="506"/>
      <c r="AO3509" s="507"/>
      <c r="AP3509" s="507"/>
      <c r="AQ3509" s="507"/>
      <c r="AR3509" s="507"/>
      <c r="AS3509" s="507"/>
      <c r="AT3509" s="507"/>
      <c r="AU3509" s="507"/>
      <c r="AV3509" s="225"/>
      <c r="AW3509" s="508"/>
      <c r="AX3509" s="225"/>
      <c r="AY3509" s="225"/>
      <c r="AZ3509" s="225"/>
      <c r="BA3509" s="225"/>
      <c r="BB3509" s="225"/>
      <c r="BC3509" s="56"/>
      <c r="BD3509" s="56"/>
      <c r="BE3509" s="56"/>
      <c r="BF3509" s="107" t="str">
        <f t="shared" si="2682"/>
        <v>https://www.google.com/search?tbm=isch&amp;q=10%20G4</v>
      </c>
      <c r="BG3509" s="107" t="str">
        <f t="shared" si="2683"/>
        <v>S</v>
      </c>
      <c r="BH3509" s="254"/>
      <c r="BI3509" s="254"/>
    </row>
    <row r="3510" spans="1:61" customFormat="1" ht="15.75" x14ac:dyDescent="0.25">
      <c r="A3510" s="276">
        <v>15</v>
      </c>
      <c r="B3510" s="240" t="s">
        <v>291</v>
      </c>
      <c r="C3510" s="241" t="s">
        <v>4168</v>
      </c>
      <c r="D3510" s="242" t="s">
        <v>292</v>
      </c>
      <c r="E3510" s="243">
        <v>183.95</v>
      </c>
      <c r="F3510" s="517" t="s">
        <v>293</v>
      </c>
      <c r="G3510" s="232">
        <v>0</v>
      </c>
      <c r="H3510" s="661" t="str">
        <f>IF(G3510=0,"",IF(F3510="Buy",IF(G3510=1,"plant","plants"),IF(F3510&gt;0.01,"warranty","Error")))</f>
        <v/>
      </c>
      <c r="I3510" s="244">
        <f>IF(H3510="free",0,IF(H3510="credit",((E3510*(F3510))*G3510*-1),IF(F3510="Buy",(E3510*G3510),((E3510*(1-F3510))*G3510))))</f>
        <v>0</v>
      </c>
      <c r="J3510" s="244">
        <f>IF(H3510="warranty",0,(I3510*(_xlfn.SINGLE(SalesTaxPercentage))))</f>
        <v>0</v>
      </c>
      <c r="K3510" s="696">
        <f t="shared" ref="K3510" si="2703">I3510+J3510</f>
        <v>0</v>
      </c>
      <c r="L3510" s="696"/>
      <c r="M3510" s="659" t="str">
        <f>IF(AND(G3510&gt;0,E3510=0),"WARNING - no PRICE inserted",IF(H3510="free"," FREE ~ no charge this plant",IF(H3510="credit",CONCATENATE(" -$",ROUND(K3510*(1-T2GDiscount)*-1,2)," CREDIT after discount"),IF(T2GDiscount=0,"",IF(G3510=0,"",IF(F3510="Buy",CONCATENATE(" $",ROUND(K3510*(1-T2GDiscount),2)," with ",(T2GDiscount*100),"% discount"),CONCATENATE(" $",ROUND(K3510*(1-T2GDiscount),2)," with ",((T2GDiscount*100+F3510*100)-(T2GDiscount*100*F3510)),IF(F3510&gt;0,"% discounts",IF(NoWarrantyDiscount&gt;0,"% discounts","% discount")))))))))</f>
        <v/>
      </c>
      <c r="N3510" s="660"/>
      <c r="O3510" s="233"/>
      <c r="P3510" s="233"/>
      <c r="Q3510" s="233"/>
      <c r="R3510" s="233"/>
      <c r="S3510" s="233"/>
      <c r="T3510" s="508">
        <f t="shared" si="2671"/>
        <v>0</v>
      </c>
      <c r="U3510" s="225">
        <f>IF(NOT(ISNUMBER(G3510)), "", VLOOKUP(A3510,'Discount Lookup'!D:E,2,FALSE)*G3510)</f>
        <v>0</v>
      </c>
      <c r="V3510" s="225">
        <f>IF(NOT(ISNUMBER(G3510)), "", VLOOKUP(A3510,'Discount Lookup'!G:H,2,FALSE)*G3510)</f>
        <v>0</v>
      </c>
      <c r="W3510" s="508">
        <f t="shared" si="2672"/>
        <v>0</v>
      </c>
      <c r="X3510" s="508">
        <f t="shared" si="2673"/>
        <v>0</v>
      </c>
      <c r="Y3510" s="509" t="b">
        <f t="shared" si="2674"/>
        <v>0</v>
      </c>
      <c r="Z3510" s="510">
        <f t="shared" si="2675"/>
        <v>0</v>
      </c>
      <c r="AA3510" s="511"/>
      <c r="AB3510" s="511" t="str">
        <f t="shared" si="2676"/>
        <v/>
      </c>
      <c r="AC3510" s="698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698"/>
      <c r="AE3510" s="631" t="str">
        <f t="shared" si="2677"/>
        <v/>
      </c>
      <c r="AF3510" s="699" t="str">
        <f t="shared" si="2678"/>
        <v/>
      </c>
      <c r="AG3510" s="699"/>
      <c r="AH3510" s="699"/>
      <c r="AI3510" s="512">
        <f>IF(H3510="credit",0,IF(AE3510="free",0,IF(AE3510="me",0,IF(G3510&gt;0,(VLOOKUP(A3510,'Discount Lookup'!J:K,2)*G3510),0))))</f>
        <v>0</v>
      </c>
      <c r="AJ3510" s="513" t="str">
        <f t="shared" ca="1" si="2679"/>
        <v/>
      </c>
      <c r="AK3510" s="700" t="str">
        <f t="shared" si="2680"/>
        <v/>
      </c>
      <c r="AL3510" s="700"/>
      <c r="AM3510" s="505" t="str">
        <f t="shared" si="2681"/>
        <v/>
      </c>
      <c r="AN3510" s="506"/>
      <c r="AO3510" s="507"/>
      <c r="AP3510" s="507"/>
      <c r="AQ3510" s="507"/>
      <c r="AR3510" s="507"/>
      <c r="AS3510" s="507"/>
      <c r="AT3510" s="507"/>
      <c r="AU3510" s="507"/>
      <c r="AV3510" s="225"/>
      <c r="AW3510" s="508"/>
      <c r="AX3510" s="225"/>
      <c r="AY3510" s="225"/>
      <c r="AZ3510" s="225"/>
      <c r="BA3510" s="225"/>
      <c r="BB3510" s="225"/>
      <c r="BC3510" s="56"/>
      <c r="BD3510" s="56"/>
      <c r="BE3510" s="56"/>
      <c r="BF3510" s="107" t="str">
        <f t="shared" si="2682"/>
        <v>https://www.google.com/search?tbm=isch&amp;q=15%20G4</v>
      </c>
      <c r="BG3510" s="107" t="str">
        <f t="shared" si="2683"/>
        <v>S</v>
      </c>
      <c r="BH3510" s="254"/>
      <c r="BI3510" s="254"/>
    </row>
    <row r="3511" spans="1:61" customFormat="1" ht="17.25" thickBot="1" x14ac:dyDescent="0.3">
      <c r="A3511" s="524" t="s">
        <v>2181</v>
      </c>
      <c r="B3511" s="245"/>
      <c r="C3511" s="677"/>
      <c r="D3511" s="499"/>
      <c r="E3511" s="499"/>
      <c r="F3511" s="500"/>
      <c r="G3511" s="501"/>
      <c r="H3511" s="502"/>
      <c r="I3511" s="246"/>
      <c r="J3511" s="247"/>
      <c r="K3511" s="503"/>
      <c r="L3511" s="544"/>
      <c r="M3511" s="544"/>
      <c r="N3511" s="500"/>
      <c r="O3511" s="500"/>
      <c r="P3511" s="500"/>
      <c r="Q3511" s="500"/>
      <c r="R3511" s="500"/>
      <c r="S3511" s="669" t="s">
        <v>4980</v>
      </c>
      <c r="T3511" s="508">
        <f t="shared" si="2671"/>
        <v>0</v>
      </c>
      <c r="U3511" s="225" t="str">
        <f>IF(NOT(ISNUMBER(G3511)), "", VLOOKUP(A3511,'Discount Lookup'!D:E,2,FALSE)*G3511)</f>
        <v/>
      </c>
      <c r="V3511" s="225" t="str">
        <f>IF(NOT(ISNUMBER(G3511)), "", VLOOKUP(A3511,'Discount Lookup'!G:H,2,FALSE)*G3511)</f>
        <v/>
      </c>
      <c r="W3511" s="508">
        <f t="shared" si="2672"/>
        <v>0</v>
      </c>
      <c r="X3511" s="508">
        <f t="shared" si="2673"/>
        <v>0</v>
      </c>
      <c r="Y3511" s="509" t="b">
        <f t="shared" si="2674"/>
        <v>0</v>
      </c>
      <c r="Z3511" s="510">
        <f t="shared" si="2675"/>
        <v>0</v>
      </c>
      <c r="AA3511" s="511"/>
      <c r="AB3511" s="511" t="str">
        <f t="shared" si="2676"/>
        <v/>
      </c>
      <c r="AC3511" s="698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698"/>
      <c r="AE3511" s="631" t="str">
        <f t="shared" si="2677"/>
        <v/>
      </c>
      <c r="AF3511" s="699" t="str">
        <f t="shared" si="2678"/>
        <v/>
      </c>
      <c r="AG3511" s="699"/>
      <c r="AH3511" s="699"/>
      <c r="AI3511" s="512">
        <f>IF(H3511="credit",0,IF(AE3511="free",0,IF(AE3511="me",0,IF(G3511&gt;0,(VLOOKUP(A3511,'Discount Lookup'!J:K,2)*G3511),0))))</f>
        <v>0</v>
      </c>
      <c r="AJ3511" s="513" t="str">
        <f t="shared" ca="1" si="2679"/>
        <v/>
      </c>
      <c r="AK3511" s="700" t="str">
        <f t="shared" si="2680"/>
        <v/>
      </c>
      <c r="AL3511" s="700"/>
      <c r="AM3511" s="505" t="str">
        <f t="shared" si="2681"/>
        <v/>
      </c>
      <c r="AN3511" s="506"/>
      <c r="AO3511" s="507"/>
      <c r="AP3511" s="507"/>
      <c r="AQ3511" s="507"/>
      <c r="AR3511" s="507"/>
      <c r="AS3511" s="507"/>
      <c r="AT3511" s="507"/>
      <c r="AU3511" s="507"/>
      <c r="AV3511" s="225"/>
      <c r="AW3511" s="508"/>
      <c r="AX3511" s="225"/>
      <c r="AY3511" s="225"/>
      <c r="AZ3511" s="225"/>
      <c r="BA3511" s="225"/>
      <c r="BB3511" s="225"/>
      <c r="BC3511" s="56"/>
      <c r="BD3511" s="56"/>
      <c r="BE3511" s="56"/>
      <c r="BF3511" s="107" t="str">
        <f t="shared" si="2682"/>
        <v>https://www.google.com/search?tbm=isch&amp;q=Starlight%20is%20a%20sturdy%20Dogwood%2C%20with%20good%20drought%20tolerance%2C%20and%20good%20insect%20and%20disease%20resistance%20</v>
      </c>
      <c r="BG3511" s="107" t="str">
        <f t="shared" si="2683"/>
        <v>S</v>
      </c>
      <c r="BH3511" s="254"/>
      <c r="BI3511" s="254"/>
    </row>
    <row r="3512" spans="1:61" customFormat="1" ht="18" x14ac:dyDescent="0.25">
      <c r="A3512" s="523" t="s">
        <v>2543</v>
      </c>
      <c r="B3512" s="235"/>
      <c r="C3512" s="676"/>
      <c r="D3512" s="255" t="s">
        <v>2544</v>
      </c>
      <c r="E3512" s="236"/>
      <c r="F3512" s="236"/>
      <c r="G3512" s="236"/>
      <c r="H3512" s="582" t="s">
        <v>483</v>
      </c>
      <c r="I3512" s="498" t="s">
        <v>2545</v>
      </c>
      <c r="J3512" s="237"/>
      <c r="K3512" s="237"/>
      <c r="L3512" s="274"/>
      <c r="M3512" s="668" t="s">
        <v>4962</v>
      </c>
      <c r="N3512" s="681" t="str">
        <f>IF(AND(ISTEXT($A3512), ISERROR($A3512+0)), HYPERLINK($BF3512, "Images"), "")</f>
        <v>Images</v>
      </c>
      <c r="O3512" s="663" t="s">
        <v>4974</v>
      </c>
      <c r="P3512" s="253"/>
      <c r="Q3512" s="238"/>
      <c r="R3512" s="239"/>
      <c r="S3512" s="275" t="s">
        <v>305</v>
      </c>
      <c r="T3512" s="508">
        <f t="shared" si="2671"/>
        <v>0</v>
      </c>
      <c r="U3512" s="225" t="str">
        <f>IF(NOT(ISNUMBER(G3512)), "", VLOOKUP(A3512,'Discount Lookup'!D:E,2,FALSE)*G3512)</f>
        <v/>
      </c>
      <c r="V3512" s="225" t="str">
        <f>IF(NOT(ISNUMBER(G3512)), "", VLOOKUP(A3512,'Discount Lookup'!G:H,2,FALSE)*G3512)</f>
        <v/>
      </c>
      <c r="W3512" s="508">
        <f t="shared" si="2672"/>
        <v>0</v>
      </c>
      <c r="X3512" s="508" t="str">
        <f t="shared" si="2673"/>
        <v>Pink bloom, deeper eye</v>
      </c>
      <c r="Y3512" s="509" t="b">
        <f t="shared" si="2674"/>
        <v>0</v>
      </c>
      <c r="Z3512" s="510">
        <f t="shared" si="2675"/>
        <v>0</v>
      </c>
      <c r="AA3512" s="511"/>
      <c r="AB3512" s="511" t="str">
        <f t="shared" si="2676"/>
        <v/>
      </c>
      <c r="AC3512" s="698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698"/>
      <c r="AE3512" s="631" t="str">
        <f t="shared" si="2677"/>
        <v/>
      </c>
      <c r="AF3512" s="699" t="str">
        <f t="shared" si="2678"/>
        <v/>
      </c>
      <c r="AG3512" s="699"/>
      <c r="AH3512" s="699"/>
      <c r="AI3512" s="512">
        <f>IF(H3512="credit",0,IF(AE3512="free",0,IF(AE3512="me",0,IF(G3512&gt;0,(VLOOKUP(A3512,'Discount Lookup'!J:K,2)*G3512),0))))</f>
        <v>0</v>
      </c>
      <c r="AJ3512" s="513" t="str">
        <f t="shared" ca="1" si="2679"/>
        <v/>
      </c>
      <c r="AK3512" s="700" t="str">
        <f t="shared" si="2680"/>
        <v/>
      </c>
      <c r="AL3512" s="700"/>
      <c r="AM3512" s="505" t="str">
        <f t="shared" si="2681"/>
        <v/>
      </c>
      <c r="AN3512" s="506"/>
      <c r="AO3512" s="507"/>
      <c r="AP3512" s="507"/>
      <c r="AQ3512" s="507"/>
      <c r="AR3512" s="507"/>
      <c r="AS3512" s="507"/>
      <c r="AT3512" s="507"/>
      <c r="AU3512" s="507"/>
      <c r="AV3512" s="225"/>
      <c r="AW3512" s="508"/>
      <c r="AX3512" s="225"/>
      <c r="AY3512" s="225"/>
      <c r="AZ3512" s="225"/>
      <c r="BA3512" s="225"/>
      <c r="BB3512" s="225"/>
      <c r="BC3512" s="56"/>
      <c r="BD3512" s="56"/>
      <c r="BE3512" s="56"/>
      <c r="BF3512" s="107" t="str">
        <f t="shared" si="2682"/>
        <v>https://www.google.com/search?tbm=isch&amp;q=Starry%20Starry%20Night%20Hardy%20Hibiscus%20Hibiscus%20moscheutos%20%27Starry%20Starry%20Night%27%20PP%2327901</v>
      </c>
      <c r="BG3512" s="107" t="str">
        <f t="shared" si="2683"/>
        <v>S</v>
      </c>
      <c r="BH3512" s="254"/>
      <c r="BI3512" s="254"/>
    </row>
    <row r="3513" spans="1:61" customFormat="1" ht="15.75" x14ac:dyDescent="0.25">
      <c r="A3513" s="276">
        <v>3</v>
      </c>
      <c r="B3513" s="240" t="s">
        <v>291</v>
      </c>
      <c r="C3513" s="241"/>
      <c r="D3513" s="242" t="s">
        <v>312</v>
      </c>
      <c r="E3513" s="243">
        <v>30.95</v>
      </c>
      <c r="F3513" s="517" t="s">
        <v>293</v>
      </c>
      <c r="G3513" s="232">
        <v>0</v>
      </c>
      <c r="H3513" s="661" t="str">
        <f>IF(G3513=0,"",IF(F3513="Buy",IF(G3513=1,"plant","plants"),IF(F3513&gt;0.01,"warranty","Error")))</f>
        <v/>
      </c>
      <c r="I3513" s="244">
        <f>IF(H3513="free",0,IF(H3513="credit",((E3513*(F3513))*G3513*-1),IF(F3513="Buy",(E3513*G3513),((E3513*(1-F3513))*G3513))))</f>
        <v>0</v>
      </c>
      <c r="J3513" s="244">
        <f>IF(H3513="warranty",0,(I3513*(_xlfn.SINGLE(SalesTaxPercentage))))</f>
        <v>0</v>
      </c>
      <c r="K3513" s="696">
        <f t="shared" ref="K3513" si="2704">I3513+J3513</f>
        <v>0</v>
      </c>
      <c r="L3513" s="696"/>
      <c r="M3513" s="659" t="str">
        <f>IF(AND(G3513&gt;0,E3513=0),"WARNING - no PRICE inserted",IF(H3513="free"," FREE ~ no charge this plant",IF(H3513="credit",CONCATENATE(" -$",ROUND(K3513*(1-T2GDiscount)*-1,2)," CREDIT after discount"),IF(T2GDiscount=0,"",IF(G3513=0,"",IF(F3513="Buy",CONCATENATE(" $",ROUND(K3513*(1-T2GDiscount),2)," with ",(T2GDiscount*100),"% discount"),CONCATENATE(" $",ROUND(K3513*(1-T2GDiscount),2)," with ",((T2GDiscount*100+F3513*100)-(T2GDiscount*100*F3513)),IF(F3513&gt;0,"% discounts",IF(NoWarrantyDiscount&gt;0,"% discounts","% discount")))))))))</f>
        <v/>
      </c>
      <c r="N3513" s="660"/>
      <c r="O3513" s="233"/>
      <c r="P3513" s="233"/>
      <c r="Q3513" s="233"/>
      <c r="R3513" s="233"/>
      <c r="S3513" s="233"/>
      <c r="T3513" s="508">
        <f t="shared" si="2671"/>
        <v>0</v>
      </c>
      <c r="U3513" s="225">
        <f>IF(NOT(ISNUMBER(G3513)), "", VLOOKUP(A3513,'Discount Lookup'!D:E,2,FALSE)*G3513)</f>
        <v>0</v>
      </c>
      <c r="V3513" s="225">
        <f>IF(NOT(ISNUMBER(G3513)), "", VLOOKUP(A3513,'Discount Lookup'!G:H,2,FALSE)*G3513)</f>
        <v>0</v>
      </c>
      <c r="W3513" s="508">
        <f t="shared" si="2672"/>
        <v>0</v>
      </c>
      <c r="X3513" s="508">
        <f t="shared" si="2673"/>
        <v>0</v>
      </c>
      <c r="Y3513" s="509" t="b">
        <f t="shared" si="2674"/>
        <v>0</v>
      </c>
      <c r="Z3513" s="510">
        <f t="shared" si="2675"/>
        <v>0</v>
      </c>
      <c r="AA3513" s="511"/>
      <c r="AB3513" s="511" t="str">
        <f t="shared" si="2676"/>
        <v/>
      </c>
      <c r="AC3513" s="698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698"/>
      <c r="AE3513" s="631" t="str">
        <f t="shared" si="2677"/>
        <v/>
      </c>
      <c r="AF3513" s="699" t="str">
        <f t="shared" si="2678"/>
        <v/>
      </c>
      <c r="AG3513" s="699"/>
      <c r="AH3513" s="699"/>
      <c r="AI3513" s="512">
        <f>IF(H3513="credit",0,IF(AE3513="free",0,IF(AE3513="me",0,IF(G3513&gt;0,(VLOOKUP(A3513,'Discount Lookup'!J:K,2)*G3513),0))))</f>
        <v>0</v>
      </c>
      <c r="AJ3513" s="513" t="str">
        <f t="shared" ca="1" si="2679"/>
        <v/>
      </c>
      <c r="AK3513" s="700" t="str">
        <f t="shared" si="2680"/>
        <v/>
      </c>
      <c r="AL3513" s="700"/>
      <c r="AM3513" s="505" t="str">
        <f t="shared" si="2681"/>
        <v/>
      </c>
      <c r="AN3513" s="506"/>
      <c r="AO3513" s="507"/>
      <c r="AP3513" s="507"/>
      <c r="AQ3513" s="507"/>
      <c r="AR3513" s="507"/>
      <c r="AS3513" s="507"/>
      <c r="AT3513" s="507"/>
      <c r="AU3513" s="507"/>
      <c r="AV3513" s="225"/>
      <c r="AW3513" s="508"/>
      <c r="AX3513" s="225"/>
      <c r="AY3513" s="225"/>
      <c r="AZ3513" s="225"/>
      <c r="BA3513" s="225"/>
      <c r="BB3513" s="225"/>
      <c r="BC3513" s="56"/>
      <c r="BD3513" s="56"/>
      <c r="BE3513" s="56"/>
      <c r="BF3513" s="107" t="str">
        <f t="shared" si="2682"/>
        <v>https://www.google.com/search?tbm=isch&amp;q=3%20G2</v>
      </c>
      <c r="BG3513" s="107" t="str">
        <f t="shared" si="2683"/>
        <v>S</v>
      </c>
      <c r="BH3513" s="254"/>
      <c r="BI3513" s="254"/>
    </row>
    <row r="3514" spans="1:61" customFormat="1" ht="27" x14ac:dyDescent="0.25">
      <c r="A3514" s="276">
        <v>7</v>
      </c>
      <c r="B3514" s="240" t="s">
        <v>291</v>
      </c>
      <c r="C3514" s="241" t="s">
        <v>4815</v>
      </c>
      <c r="D3514" s="242" t="s">
        <v>292</v>
      </c>
      <c r="E3514" s="243">
        <v>77.95</v>
      </c>
      <c r="F3514" s="517" t="s">
        <v>293</v>
      </c>
      <c r="G3514" s="232">
        <v>0</v>
      </c>
      <c r="H3514" s="661" t="str">
        <f>IF(G3514=0,"",IF(F3514="Buy",IF(G3514=1,"plant","plants"),IF(F3514&gt;0.01,"warranty","Error")))</f>
        <v/>
      </c>
      <c r="I3514" s="244">
        <f>IF(H3514="free",0,IF(H3514="credit",((E3514*(F3514))*G3514*-1),IF(F3514="Buy",(E3514*G3514),((E3514*(1-F3514))*G3514))))</f>
        <v>0</v>
      </c>
      <c r="J3514" s="244">
        <f>IF(H3514="warranty",0,(I3514*(_xlfn.SINGLE(SalesTaxPercentage))))</f>
        <v>0</v>
      </c>
      <c r="K3514" s="696">
        <f t="shared" ref="K3514" si="2705">I3514+J3514</f>
        <v>0</v>
      </c>
      <c r="L3514" s="696"/>
      <c r="M3514" s="659" t="str">
        <f>IF(AND(G3514&gt;0,E3514=0),"WARNING - no PRICE inserted",IF(H3514="free"," FREE ~ no charge this plant",IF(H3514="credit",CONCATENATE(" -$",ROUND(K3514*(1-T2GDiscount)*-1,2)," CREDIT after discount"),IF(T2GDiscount=0,"",IF(G3514=0,"",IF(F3514="Buy",CONCATENATE(" $",ROUND(K3514*(1-T2GDiscount),2)," with ",(T2GDiscount*100),"% discount"),CONCATENATE(" $",ROUND(K3514*(1-T2GDiscount),2)," with ",((T2GDiscount*100+F3514*100)-(T2GDiscount*100*F3514)),IF(F3514&gt;0,"% discounts",IF(NoWarrantyDiscount&gt;0,"% discounts","% discount")))))))))</f>
        <v/>
      </c>
      <c r="N3514" s="660"/>
      <c r="O3514" s="233"/>
      <c r="P3514" s="233"/>
      <c r="Q3514" s="233"/>
      <c r="R3514" s="233"/>
      <c r="S3514" s="233"/>
      <c r="T3514" s="508">
        <f t="shared" si="2671"/>
        <v>0</v>
      </c>
      <c r="U3514" s="225">
        <f>IF(NOT(ISNUMBER(G3514)), "", VLOOKUP(A3514,'Discount Lookup'!D:E,2,FALSE)*G3514)</f>
        <v>0</v>
      </c>
      <c r="V3514" s="225">
        <f>IF(NOT(ISNUMBER(G3514)), "", VLOOKUP(A3514,'Discount Lookup'!G:H,2,FALSE)*G3514)</f>
        <v>0</v>
      </c>
      <c r="W3514" s="508">
        <f t="shared" si="2672"/>
        <v>0</v>
      </c>
      <c r="X3514" s="508">
        <f t="shared" si="2673"/>
        <v>0</v>
      </c>
      <c r="Y3514" s="509" t="b">
        <f t="shared" si="2674"/>
        <v>0</v>
      </c>
      <c r="Z3514" s="510">
        <f t="shared" si="2675"/>
        <v>0</v>
      </c>
      <c r="AA3514" s="511"/>
      <c r="AB3514" s="511" t="str">
        <f t="shared" si="2676"/>
        <v/>
      </c>
      <c r="AC3514" s="698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698"/>
      <c r="AE3514" s="631" t="str">
        <f t="shared" si="2677"/>
        <v/>
      </c>
      <c r="AF3514" s="699" t="str">
        <f t="shared" si="2678"/>
        <v/>
      </c>
      <c r="AG3514" s="699"/>
      <c r="AH3514" s="699"/>
      <c r="AI3514" s="512">
        <f>IF(H3514="credit",0,IF(AE3514="free",0,IF(AE3514="me",0,IF(G3514&gt;0,(VLOOKUP(A3514,'Discount Lookup'!J:K,2)*G3514),0))))</f>
        <v>0</v>
      </c>
      <c r="AJ3514" s="513" t="str">
        <f t="shared" ca="1" si="2679"/>
        <v/>
      </c>
      <c r="AK3514" s="700" t="str">
        <f t="shared" si="2680"/>
        <v/>
      </c>
      <c r="AL3514" s="700"/>
      <c r="AM3514" s="505" t="str">
        <f t="shared" si="2681"/>
        <v/>
      </c>
      <c r="AN3514" s="506"/>
      <c r="AO3514" s="507"/>
      <c r="AP3514" s="507"/>
      <c r="AQ3514" s="507"/>
      <c r="AR3514" s="507"/>
      <c r="AS3514" s="507"/>
      <c r="AT3514" s="507"/>
      <c r="AU3514" s="507"/>
      <c r="AV3514" s="225"/>
      <c r="AW3514" s="508"/>
      <c r="AX3514" s="225"/>
      <c r="AY3514" s="225"/>
      <c r="AZ3514" s="225"/>
      <c r="BA3514" s="225"/>
      <c r="BB3514" s="225"/>
      <c r="BC3514" s="56"/>
      <c r="BD3514" s="56"/>
      <c r="BE3514" s="56"/>
      <c r="BF3514" s="107" t="str">
        <f t="shared" si="2682"/>
        <v>https://www.google.com/search?tbm=isch&amp;q=7%20G4</v>
      </c>
      <c r="BG3514" s="107" t="str">
        <f t="shared" si="2683"/>
        <v>S</v>
      </c>
      <c r="BH3514" s="254"/>
      <c r="BI3514" s="254"/>
    </row>
    <row r="3515" spans="1:61" customFormat="1" ht="17.25" thickBot="1" x14ac:dyDescent="0.3">
      <c r="A3515" s="673" t="s">
        <v>5243</v>
      </c>
      <c r="B3515" s="245"/>
      <c r="C3515" s="677"/>
      <c r="D3515" s="499"/>
      <c r="E3515" s="499"/>
      <c r="F3515" s="500"/>
      <c r="G3515" s="501"/>
      <c r="H3515" s="502"/>
      <c r="I3515" s="246"/>
      <c r="J3515" s="247"/>
      <c r="K3515" s="503"/>
      <c r="L3515" s="544"/>
      <c r="M3515" s="544"/>
      <c r="N3515" s="500"/>
      <c r="O3515" s="500"/>
      <c r="P3515" s="500"/>
      <c r="Q3515" s="500"/>
      <c r="R3515" s="500"/>
      <c r="S3515" s="669" t="s">
        <v>4976</v>
      </c>
      <c r="T3515" s="508">
        <f t="shared" si="2671"/>
        <v>0</v>
      </c>
      <c r="U3515" s="225" t="str">
        <f>IF(NOT(ISNUMBER(G3515)), "", VLOOKUP(A3515,'Discount Lookup'!D:E,2,FALSE)*G3515)</f>
        <v/>
      </c>
      <c r="V3515" s="225" t="str">
        <f>IF(NOT(ISNUMBER(G3515)), "", VLOOKUP(A3515,'Discount Lookup'!G:H,2,FALSE)*G3515)</f>
        <v/>
      </c>
      <c r="W3515" s="508">
        <f t="shared" si="2672"/>
        <v>0</v>
      </c>
      <c r="X3515" s="508">
        <f t="shared" si="2673"/>
        <v>0</v>
      </c>
      <c r="Y3515" s="509" t="b">
        <f t="shared" si="2674"/>
        <v>0</v>
      </c>
      <c r="Z3515" s="510">
        <f t="shared" si="2675"/>
        <v>0</v>
      </c>
      <c r="AA3515" s="511"/>
      <c r="AB3515" s="511" t="str">
        <f t="shared" si="2676"/>
        <v/>
      </c>
      <c r="AC3515" s="698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698"/>
      <c r="AE3515" s="631" t="str">
        <f t="shared" si="2677"/>
        <v/>
      </c>
      <c r="AF3515" s="699" t="str">
        <f t="shared" si="2678"/>
        <v/>
      </c>
      <c r="AG3515" s="699"/>
      <c r="AH3515" s="699"/>
      <c r="AI3515" s="512">
        <f>IF(H3515="credit",0,IF(AE3515="free",0,IF(AE3515="me",0,IF(G3515&gt;0,(VLOOKUP(A3515,'Discount Lookup'!J:K,2)*G3515),0))))</f>
        <v>0</v>
      </c>
      <c r="AJ3515" s="513" t="str">
        <f t="shared" ca="1" si="2679"/>
        <v/>
      </c>
      <c r="AK3515" s="700" t="str">
        <f t="shared" si="2680"/>
        <v/>
      </c>
      <c r="AL3515" s="700"/>
      <c r="AM3515" s="505" t="str">
        <f t="shared" si="2681"/>
        <v/>
      </c>
      <c r="AN3515" s="506"/>
      <c r="AO3515" s="507"/>
      <c r="AP3515" s="507"/>
      <c r="AQ3515" s="507"/>
      <c r="AR3515" s="507"/>
      <c r="AS3515" s="507"/>
      <c r="AT3515" s="507"/>
      <c r="AU3515" s="507"/>
      <c r="AV3515" s="225"/>
      <c r="AW3515" s="508"/>
      <c r="AX3515" s="225"/>
      <c r="AY3515" s="225"/>
      <c r="AZ3515" s="225"/>
      <c r="BA3515" s="225"/>
      <c r="BB3515" s="225"/>
      <c r="BC3515" s="56"/>
      <c r="BD3515" s="56"/>
      <c r="BE3515" s="56"/>
      <c r="BF3515" s="107" t="str">
        <f t="shared" si="2682"/>
        <v>https://www.google.com/search?tbm=isch&amp;q=wet%20sites%F0%9F%92%A7GOOD%2C%20Starry%20Starry%20Night%27s%20near-Black%20foliage.%20%22Hardy%22%20Hibiscus%20have%20giant%20tropical%20blooms%20%28to%2012%22%29%20on%20new%20wood%20</v>
      </c>
      <c r="BG3515" s="107" t="str">
        <f t="shared" si="2683"/>
        <v>w</v>
      </c>
      <c r="BH3515" s="254"/>
      <c r="BI3515" s="254"/>
    </row>
    <row r="3516" spans="1:61" customFormat="1" ht="18" x14ac:dyDescent="0.25">
      <c r="A3516" s="523" t="s">
        <v>5619</v>
      </c>
      <c r="B3516" s="235"/>
      <c r="C3516" s="676"/>
      <c r="D3516" s="255" t="s">
        <v>4350</v>
      </c>
      <c r="E3516" s="236"/>
      <c r="F3516" s="236"/>
      <c r="G3516" s="236"/>
      <c r="H3516" s="582" t="s">
        <v>4351</v>
      </c>
      <c r="I3516" s="498" t="s">
        <v>654</v>
      </c>
      <c r="J3516" s="237"/>
      <c r="K3516" s="237"/>
      <c r="L3516" s="274"/>
      <c r="M3516" s="668" t="s">
        <v>4975</v>
      </c>
      <c r="N3516" s="681" t="str">
        <f>IF(AND(ISTEXT($A3516), ISERROR($A3516+0)), HYPERLINK($BF3516, "Images"), "")</f>
        <v>Images</v>
      </c>
      <c r="O3516" s="663" t="s">
        <v>4967</v>
      </c>
      <c r="P3516" s="253"/>
      <c r="Q3516" s="238"/>
      <c r="R3516" s="239"/>
      <c r="S3516" s="275"/>
      <c r="T3516" s="508">
        <f t="shared" si="2671"/>
        <v>0</v>
      </c>
      <c r="U3516" s="225" t="str">
        <f>IF(NOT(ISNUMBER(G3516)), "", VLOOKUP(A3516,'Discount Lookup'!D:E,2,FALSE)*G3516)</f>
        <v/>
      </c>
      <c r="V3516" s="225" t="str">
        <f>IF(NOT(ISNUMBER(G3516)), "", VLOOKUP(A3516,'Discount Lookup'!G:H,2,FALSE)*G3516)</f>
        <v/>
      </c>
      <c r="W3516" s="508">
        <f t="shared" si="2672"/>
        <v>0</v>
      </c>
      <c r="X3516" s="508" t="str">
        <f t="shared" si="2673"/>
        <v>White bloom</v>
      </c>
      <c r="Y3516" s="509" t="b">
        <f t="shared" si="2674"/>
        <v>0</v>
      </c>
      <c r="Z3516" s="510">
        <f t="shared" si="2675"/>
        <v>0</v>
      </c>
      <c r="AA3516" s="511"/>
      <c r="AB3516" s="511" t="str">
        <f t="shared" si="2676"/>
        <v/>
      </c>
      <c r="AC3516" s="698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698"/>
      <c r="AE3516" s="631" t="str">
        <f t="shared" si="2677"/>
        <v/>
      </c>
      <c r="AF3516" s="699" t="str">
        <f t="shared" si="2678"/>
        <v/>
      </c>
      <c r="AG3516" s="699"/>
      <c r="AH3516" s="699"/>
      <c r="AI3516" s="512">
        <f>IF(H3516="credit",0,IF(AE3516="free",0,IF(AE3516="me",0,IF(G3516&gt;0,(VLOOKUP(A3516,'Discount Lookup'!J:K,2)*G3516),0))))</f>
        <v>0</v>
      </c>
      <c r="AJ3516" s="513" t="str">
        <f t="shared" ca="1" si="2679"/>
        <v/>
      </c>
      <c r="AK3516" s="700" t="str">
        <f t="shared" si="2680"/>
        <v/>
      </c>
      <c r="AL3516" s="700"/>
      <c r="AM3516" s="505" t="str">
        <f t="shared" si="2681"/>
        <v/>
      </c>
      <c r="AN3516" s="506"/>
      <c r="AO3516" s="507"/>
      <c r="AP3516" s="507"/>
      <c r="AQ3516" s="507"/>
      <c r="AR3516" s="507"/>
      <c r="AS3516" s="507"/>
      <c r="AT3516" s="507"/>
      <c r="AU3516" s="507"/>
      <c r="AV3516" s="225"/>
      <c r="AW3516" s="508"/>
      <c r="AX3516" s="225"/>
      <c r="AY3516" s="225"/>
      <c r="AZ3516" s="225"/>
      <c r="BA3516" s="225"/>
      <c r="BB3516" s="225"/>
      <c r="BC3516" s="56"/>
      <c r="BD3516" s="56"/>
      <c r="BE3516" s="56"/>
      <c r="BF3516" s="107" t="str">
        <f t="shared" si="2682"/>
        <v>https://www.google.com/search?tbm=isch&amp;q=Starway%20to%20Heaven%C2%AE%20Japanese%20Snowbell%20%28PW%C2%AE%29%20Styrax%20japonicus%20%27RNI-RIXRED%27%20PP%2335353</v>
      </c>
      <c r="BG3516" s="107" t="str">
        <f t="shared" si="2683"/>
        <v>S</v>
      </c>
      <c r="BH3516" s="254"/>
      <c r="BI3516" s="254"/>
    </row>
    <row r="3517" spans="1:61" customFormat="1" ht="15.75" x14ac:dyDescent="0.25">
      <c r="A3517" s="276">
        <v>10</v>
      </c>
      <c r="B3517" s="240" t="s">
        <v>291</v>
      </c>
      <c r="C3517" s="241" t="s">
        <v>4408</v>
      </c>
      <c r="D3517" s="242" t="s">
        <v>292</v>
      </c>
      <c r="E3517" s="243">
        <v>173.95</v>
      </c>
      <c r="F3517" s="517" t="s">
        <v>293</v>
      </c>
      <c r="G3517" s="232">
        <v>0</v>
      </c>
      <c r="H3517" s="661" t="str">
        <f>IF(G3517=0,"",IF(F3517="Buy",IF(G3517=1,"plant","plants"),IF(F3517&gt;0.01,"warranty","Error")))</f>
        <v/>
      </c>
      <c r="I3517" s="244">
        <f>IF(H3517="free",0,IF(H3517="credit",((E3517*(F3517))*G3517*-1),IF(F3517="Buy",(E3517*G3517),((E3517*(1-F3517))*G3517))))</f>
        <v>0</v>
      </c>
      <c r="J3517" s="244">
        <f>IF(H3517="warranty",0,(I3517*(_xlfn.SINGLE(SalesTaxPercentage))))</f>
        <v>0</v>
      </c>
      <c r="K3517" s="696">
        <f t="shared" ref="K3517" si="2706">I3517+J3517</f>
        <v>0</v>
      </c>
      <c r="L3517" s="696"/>
      <c r="M3517" s="659" t="str">
        <f>IF(AND(G3517&gt;0,E3517=0),"WARNING - no PRICE inserted",IF(H3517="free"," FREE ~ no charge this plant",IF(H3517="credit",CONCATENATE(" -$",ROUND(K3517*(1-T2GDiscount)*-1,2)," CREDIT after discount"),IF(T2GDiscount=0,"",IF(G3517=0,"",IF(F3517="Buy",CONCATENATE(" $",ROUND(K3517*(1-T2GDiscount),2)," with ",(T2GDiscount*100),"% discount"),CONCATENATE(" $",ROUND(K3517*(1-T2GDiscount),2)," with ",((T2GDiscount*100+F3517*100)-(T2GDiscount*100*F3517)),IF(F3517&gt;0,"% discounts",IF(NoWarrantyDiscount&gt;0,"% discounts","% discount")))))))))</f>
        <v/>
      </c>
      <c r="N3517" s="660"/>
      <c r="O3517" s="233"/>
      <c r="P3517" s="233"/>
      <c r="Q3517" s="233"/>
      <c r="R3517" s="233"/>
      <c r="S3517" s="233"/>
      <c r="T3517" s="508">
        <f t="shared" si="2671"/>
        <v>0</v>
      </c>
      <c r="U3517" s="225">
        <f>IF(NOT(ISNUMBER(G3517)), "", VLOOKUP(A3517,'Discount Lookup'!D:E,2,FALSE)*G3517)</f>
        <v>0</v>
      </c>
      <c r="V3517" s="225">
        <f>IF(NOT(ISNUMBER(G3517)), "", VLOOKUP(A3517,'Discount Lookup'!G:H,2,FALSE)*G3517)</f>
        <v>0</v>
      </c>
      <c r="W3517" s="508">
        <f t="shared" si="2672"/>
        <v>0</v>
      </c>
      <c r="X3517" s="508">
        <f t="shared" si="2673"/>
        <v>0</v>
      </c>
      <c r="Y3517" s="509" t="b">
        <f t="shared" si="2674"/>
        <v>0</v>
      </c>
      <c r="Z3517" s="510">
        <f t="shared" si="2675"/>
        <v>0</v>
      </c>
      <c r="AA3517" s="511"/>
      <c r="AB3517" s="511" t="str">
        <f t="shared" si="2676"/>
        <v/>
      </c>
      <c r="AC3517" s="698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698"/>
      <c r="AE3517" s="631" t="str">
        <f t="shared" si="2677"/>
        <v/>
      </c>
      <c r="AF3517" s="699" t="str">
        <f t="shared" si="2678"/>
        <v/>
      </c>
      <c r="AG3517" s="699"/>
      <c r="AH3517" s="699"/>
      <c r="AI3517" s="512">
        <f>IF(H3517="credit",0,IF(AE3517="free",0,IF(AE3517="me",0,IF(G3517&gt;0,(VLOOKUP(A3517,'Discount Lookup'!J:K,2)*G3517),0))))</f>
        <v>0</v>
      </c>
      <c r="AJ3517" s="513" t="str">
        <f t="shared" ca="1" si="2679"/>
        <v/>
      </c>
      <c r="AK3517" s="700" t="str">
        <f t="shared" si="2680"/>
        <v/>
      </c>
      <c r="AL3517" s="700"/>
      <c r="AM3517" s="505" t="str">
        <f t="shared" si="2681"/>
        <v/>
      </c>
      <c r="AN3517" s="506"/>
      <c r="AO3517" s="507"/>
      <c r="AP3517" s="507"/>
      <c r="AQ3517" s="507"/>
      <c r="AR3517" s="507"/>
      <c r="AS3517" s="507"/>
      <c r="AT3517" s="507"/>
      <c r="AU3517" s="507"/>
      <c r="AV3517" s="225"/>
      <c r="AW3517" s="508"/>
      <c r="AX3517" s="225"/>
      <c r="AY3517" s="225"/>
      <c r="AZ3517" s="225"/>
      <c r="BA3517" s="225"/>
      <c r="BB3517" s="225"/>
      <c r="BC3517" s="56"/>
      <c r="BD3517" s="56"/>
      <c r="BE3517" s="56"/>
      <c r="BF3517" s="107" t="str">
        <f t="shared" si="2682"/>
        <v>https://www.google.com/search?tbm=isch&amp;q=10%20G4</v>
      </c>
      <c r="BG3517" s="107" t="str">
        <f t="shared" si="2683"/>
        <v>S</v>
      </c>
      <c r="BH3517" s="254"/>
      <c r="BI3517" s="254"/>
    </row>
    <row r="3518" spans="1:61" customFormat="1" ht="17.25" thickBot="1" x14ac:dyDescent="0.3">
      <c r="A3518" s="673" t="s">
        <v>5244</v>
      </c>
      <c r="B3518" s="245"/>
      <c r="C3518" s="677"/>
      <c r="D3518" s="499"/>
      <c r="E3518" s="499"/>
      <c r="F3518" s="500"/>
      <c r="G3518" s="501"/>
      <c r="H3518" s="502"/>
      <c r="I3518" s="246"/>
      <c r="J3518" s="247"/>
      <c r="K3518" s="503"/>
      <c r="L3518" s="544"/>
      <c r="M3518" s="544"/>
      <c r="N3518" s="500"/>
      <c r="O3518" s="500"/>
      <c r="P3518" s="500"/>
      <c r="Q3518" s="500"/>
      <c r="R3518" s="500"/>
      <c r="S3518" s="669" t="s">
        <v>4972</v>
      </c>
      <c r="T3518" s="508">
        <f t="shared" si="2671"/>
        <v>0</v>
      </c>
      <c r="U3518" s="225" t="str">
        <f>IF(NOT(ISNUMBER(G3518)), "", VLOOKUP(A3518,'Discount Lookup'!D:E,2,FALSE)*G3518)</f>
        <v/>
      </c>
      <c r="V3518" s="225" t="str">
        <f>IF(NOT(ISNUMBER(G3518)), "", VLOOKUP(A3518,'Discount Lookup'!G:H,2,FALSE)*G3518)</f>
        <v/>
      </c>
      <c r="W3518" s="508">
        <f t="shared" si="2672"/>
        <v>0</v>
      </c>
      <c r="X3518" s="508">
        <f t="shared" si="2673"/>
        <v>0</v>
      </c>
      <c r="Y3518" s="509" t="b">
        <f t="shared" si="2674"/>
        <v>0</v>
      </c>
      <c r="Z3518" s="510">
        <f t="shared" si="2675"/>
        <v>0</v>
      </c>
      <c r="AA3518" s="511"/>
      <c r="AB3518" s="511" t="str">
        <f t="shared" si="2676"/>
        <v/>
      </c>
      <c r="AC3518" s="698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698"/>
      <c r="AE3518" s="631" t="str">
        <f t="shared" si="2677"/>
        <v/>
      </c>
      <c r="AF3518" s="699" t="str">
        <f t="shared" si="2678"/>
        <v/>
      </c>
      <c r="AG3518" s="699"/>
      <c r="AH3518" s="699"/>
      <c r="AI3518" s="512">
        <f>IF(H3518="credit",0,IF(AE3518="free",0,IF(AE3518="me",0,IF(G3518&gt;0,(VLOOKUP(A3518,'Discount Lookup'!J:K,2)*G3518),0))))</f>
        <v>0</v>
      </c>
      <c r="AJ3518" s="513" t="str">
        <f t="shared" ca="1" si="2679"/>
        <v/>
      </c>
      <c r="AK3518" s="700" t="str">
        <f t="shared" si="2680"/>
        <v/>
      </c>
      <c r="AL3518" s="700"/>
      <c r="AM3518" s="505" t="str">
        <f t="shared" si="2681"/>
        <v/>
      </c>
      <c r="AN3518" s="506"/>
      <c r="AO3518" s="507"/>
      <c r="AP3518" s="507"/>
      <c r="AQ3518" s="507"/>
      <c r="AR3518" s="507"/>
      <c r="AS3518" s="507"/>
      <c r="AT3518" s="507"/>
      <c r="AU3518" s="507"/>
      <c r="AV3518" s="225"/>
      <c r="AW3518" s="508"/>
      <c r="AX3518" s="225"/>
      <c r="AY3518" s="225"/>
      <c r="AZ3518" s="225"/>
      <c r="BA3518" s="225"/>
      <c r="BB3518" s="225"/>
      <c r="BC3518" s="56"/>
      <c r="BD3518" s="56"/>
      <c r="BE3518" s="56"/>
      <c r="BF3518" s="107" t="str">
        <f t="shared" si="2682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518" s="107" t="str">
        <f t="shared" si="2683"/>
        <v>m</v>
      </c>
      <c r="BH3518" s="254"/>
      <c r="BI3518" s="254"/>
    </row>
    <row r="3519" spans="1:61" customFormat="1" ht="18" x14ac:dyDescent="0.25">
      <c r="A3519" s="523" t="s">
        <v>4942</v>
      </c>
      <c r="B3519" s="235"/>
      <c r="C3519" s="676"/>
      <c r="D3519" s="255" t="s">
        <v>4943</v>
      </c>
      <c r="E3519" s="236"/>
      <c r="F3519" s="236"/>
      <c r="G3519" s="236"/>
      <c r="H3519" s="582" t="s">
        <v>715</v>
      </c>
      <c r="I3519" s="498" t="s">
        <v>654</v>
      </c>
      <c r="J3519" s="237"/>
      <c r="K3519" s="237"/>
      <c r="L3519" s="274"/>
      <c r="M3519" s="668" t="s">
        <v>4975</v>
      </c>
      <c r="N3519" s="681" t="str">
        <f>IF(AND(ISTEXT($A3519), ISERROR($A3519+0)), HYPERLINK($BF3519, "Images"), "")</f>
        <v>Images</v>
      </c>
      <c r="O3519" s="663" t="s">
        <v>4967</v>
      </c>
      <c r="P3519" s="253"/>
      <c r="Q3519" s="238"/>
      <c r="R3519" s="239"/>
      <c r="S3519" s="275"/>
      <c r="T3519" s="508">
        <f t="shared" si="2671"/>
        <v>0</v>
      </c>
      <c r="U3519" s="225" t="str">
        <f>IF(NOT(ISNUMBER(G3519)), "", VLOOKUP(A3519,'Discount Lookup'!D:E,2,FALSE)*G3519)</f>
        <v/>
      </c>
      <c r="V3519" s="225" t="str">
        <f>IF(NOT(ISNUMBER(G3519)), "", VLOOKUP(A3519,'Discount Lookup'!G:H,2,FALSE)*G3519)</f>
        <v/>
      </c>
      <c r="W3519" s="508">
        <f t="shared" si="2672"/>
        <v>0</v>
      </c>
      <c r="X3519" s="508" t="str">
        <f t="shared" si="2673"/>
        <v>White bloom</v>
      </c>
      <c r="Y3519" s="509" t="b">
        <f t="shared" si="2674"/>
        <v>0</v>
      </c>
      <c r="Z3519" s="510">
        <f t="shared" si="2675"/>
        <v>0</v>
      </c>
      <c r="AA3519" s="511"/>
      <c r="AB3519" s="511" t="str">
        <f t="shared" si="2676"/>
        <v/>
      </c>
      <c r="AC3519" s="698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698"/>
      <c r="AE3519" s="631" t="str">
        <f t="shared" si="2677"/>
        <v/>
      </c>
      <c r="AF3519" s="699" t="str">
        <f t="shared" si="2678"/>
        <v/>
      </c>
      <c r="AG3519" s="699"/>
      <c r="AH3519" s="699"/>
      <c r="AI3519" s="512">
        <f>IF(H3519="credit",0,IF(AE3519="free",0,IF(AE3519="me",0,IF(G3519&gt;0,(VLOOKUP(A3519,'Discount Lookup'!J:K,2)*G3519),0))))</f>
        <v>0</v>
      </c>
      <c r="AJ3519" s="513" t="str">
        <f t="shared" ca="1" si="2679"/>
        <v/>
      </c>
      <c r="AK3519" s="700" t="str">
        <f t="shared" si="2680"/>
        <v/>
      </c>
      <c r="AL3519" s="700"/>
      <c r="AM3519" s="505" t="str">
        <f t="shared" si="2681"/>
        <v/>
      </c>
      <c r="AN3519" s="506"/>
      <c r="AO3519" s="507"/>
      <c r="AP3519" s="507"/>
      <c r="AQ3519" s="507"/>
      <c r="AR3519" s="507"/>
      <c r="AS3519" s="507"/>
      <c r="AT3519" s="507"/>
      <c r="AU3519" s="507"/>
      <c r="AV3519" s="225"/>
      <c r="AW3519" s="508"/>
      <c r="AX3519" s="225"/>
      <c r="AY3519" s="225"/>
      <c r="AZ3519" s="225"/>
      <c r="BA3519" s="225"/>
      <c r="BB3519" s="225"/>
      <c r="BC3519" s="56"/>
      <c r="BD3519" s="56"/>
      <c r="BE3519" s="56"/>
      <c r="BF3519" s="107" t="str">
        <f t="shared" si="2682"/>
        <v>https://www.google.com/search?tbm=isch&amp;q=Steady%20Eddy%20Doublefile%20Viburnum%20Viburnum%20plicatum%20%27Steady%20Eddy%27</v>
      </c>
      <c r="BG3519" s="107" t="str">
        <f t="shared" si="2683"/>
        <v>S</v>
      </c>
      <c r="BH3519" s="254"/>
      <c r="BI3519" s="254"/>
    </row>
    <row r="3520" spans="1:61" customFormat="1" ht="27" x14ac:dyDescent="0.25">
      <c r="A3520" s="276">
        <v>10</v>
      </c>
      <c r="B3520" s="240" t="s">
        <v>291</v>
      </c>
      <c r="C3520" s="241" t="s">
        <v>4944</v>
      </c>
      <c r="D3520" s="242" t="s">
        <v>292</v>
      </c>
      <c r="E3520" s="243">
        <v>148.94999999999999</v>
      </c>
      <c r="F3520" s="517" t="s">
        <v>293</v>
      </c>
      <c r="G3520" s="232">
        <v>0</v>
      </c>
      <c r="H3520" s="661" t="str">
        <f>IF(G3520=0,"",IF(F3520="Buy",IF(G3520=1,"plant","plants"),IF(F3520&gt;0.01,"warranty","Error")))</f>
        <v/>
      </c>
      <c r="I3520" s="244">
        <f>IF(H3520="free",0,IF(H3520="credit",((E3520*(F3520))*G3520*-1),IF(F3520="Buy",(E3520*G3520),((E3520*(1-F3520))*G3520))))</f>
        <v>0</v>
      </c>
      <c r="J3520" s="244">
        <f>IF(H3520="warranty",0,(I3520*(_xlfn.SINGLE(SalesTaxPercentage))))</f>
        <v>0</v>
      </c>
      <c r="K3520" s="696">
        <f t="shared" ref="K3520" si="2707">I3520+J3520</f>
        <v>0</v>
      </c>
      <c r="L3520" s="696"/>
      <c r="M3520" s="659" t="str">
        <f>IF(AND(G3520&gt;0,E3520=0),"WARNING - no PRICE inserted",IF(H3520="free"," FREE ~ no charge this plant",IF(H3520="credit",CONCATENATE(" -$",ROUND(K3520*(1-T2GDiscount)*-1,2)," CREDIT after discount"),IF(T2GDiscount=0,"",IF(G3520=0,"",IF(F3520="Buy",CONCATENATE(" $",ROUND(K3520*(1-T2GDiscount),2)," with ",(T2GDiscount*100),"% discount"),CONCATENATE(" $",ROUND(K3520*(1-T2GDiscount),2)," with ",((T2GDiscount*100+F3520*100)-(T2GDiscount*100*F3520)),IF(F3520&gt;0,"% discounts",IF(NoWarrantyDiscount&gt;0,"% discounts","% discount")))))))))</f>
        <v/>
      </c>
      <c r="N3520" s="660"/>
      <c r="O3520" s="233"/>
      <c r="P3520" s="233"/>
      <c r="Q3520" s="233"/>
      <c r="R3520" s="233"/>
      <c r="S3520" s="233"/>
      <c r="T3520" s="508">
        <f t="shared" si="2671"/>
        <v>0</v>
      </c>
      <c r="U3520" s="225">
        <f>IF(NOT(ISNUMBER(G3520)), "", VLOOKUP(A3520,'Discount Lookup'!D:E,2,FALSE)*G3520)</f>
        <v>0</v>
      </c>
      <c r="V3520" s="225">
        <f>IF(NOT(ISNUMBER(G3520)), "", VLOOKUP(A3520,'Discount Lookup'!G:H,2,FALSE)*G3520)</f>
        <v>0</v>
      </c>
      <c r="W3520" s="508">
        <f t="shared" si="2672"/>
        <v>0</v>
      </c>
      <c r="X3520" s="508">
        <f t="shared" si="2673"/>
        <v>0</v>
      </c>
      <c r="Y3520" s="509" t="b">
        <f t="shared" si="2674"/>
        <v>0</v>
      </c>
      <c r="Z3520" s="510">
        <f t="shared" si="2675"/>
        <v>0</v>
      </c>
      <c r="AA3520" s="511"/>
      <c r="AB3520" s="511" t="str">
        <f t="shared" si="2676"/>
        <v/>
      </c>
      <c r="AC3520" s="698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698"/>
      <c r="AE3520" s="631" t="str">
        <f t="shared" si="2677"/>
        <v/>
      </c>
      <c r="AF3520" s="699" t="str">
        <f t="shared" si="2678"/>
        <v/>
      </c>
      <c r="AG3520" s="699"/>
      <c r="AH3520" s="699"/>
      <c r="AI3520" s="512">
        <f>IF(H3520="credit",0,IF(AE3520="free",0,IF(AE3520="me",0,IF(G3520&gt;0,(VLOOKUP(A3520,'Discount Lookup'!J:K,2)*G3520),0))))</f>
        <v>0</v>
      </c>
      <c r="AJ3520" s="513" t="str">
        <f t="shared" ca="1" si="2679"/>
        <v/>
      </c>
      <c r="AK3520" s="700" t="str">
        <f t="shared" si="2680"/>
        <v/>
      </c>
      <c r="AL3520" s="700"/>
      <c r="AM3520" s="505" t="str">
        <f t="shared" si="2681"/>
        <v/>
      </c>
      <c r="AN3520" s="506"/>
      <c r="AO3520" s="507"/>
      <c r="AP3520" s="507"/>
      <c r="AQ3520" s="507"/>
      <c r="AR3520" s="507"/>
      <c r="AS3520" s="507"/>
      <c r="AT3520" s="507"/>
      <c r="AU3520" s="507"/>
      <c r="AV3520" s="225"/>
      <c r="AW3520" s="508"/>
      <c r="AX3520" s="225"/>
      <c r="AY3520" s="225"/>
      <c r="AZ3520" s="225"/>
      <c r="BA3520" s="225"/>
      <c r="BB3520" s="225"/>
      <c r="BC3520" s="56"/>
      <c r="BD3520" s="56"/>
      <c r="BE3520" s="56"/>
      <c r="BF3520" s="107" t="str">
        <f t="shared" si="2682"/>
        <v>https://www.google.com/search?tbm=isch&amp;q=10%20G4</v>
      </c>
      <c r="BG3520" s="107" t="str">
        <f t="shared" si="2683"/>
        <v>S</v>
      </c>
      <c r="BH3520" s="254"/>
      <c r="BI3520" s="254"/>
    </row>
    <row r="3521" spans="1:61" customFormat="1" ht="17.25" thickBot="1" x14ac:dyDescent="0.3">
      <c r="A3521" s="524" t="s">
        <v>4945</v>
      </c>
      <c r="B3521" s="245"/>
      <c r="C3521" s="677"/>
      <c r="D3521" s="499"/>
      <c r="E3521" s="499"/>
      <c r="F3521" s="500"/>
      <c r="G3521" s="501"/>
      <c r="H3521" s="502"/>
      <c r="I3521" s="246"/>
      <c r="J3521" s="247"/>
      <c r="K3521" s="503"/>
      <c r="L3521" s="544"/>
      <c r="M3521" s="544"/>
      <c r="N3521" s="500"/>
      <c r="O3521" s="500"/>
      <c r="P3521" s="500"/>
      <c r="Q3521" s="500"/>
      <c r="R3521" s="500"/>
      <c r="S3521" s="669" t="s">
        <v>4996</v>
      </c>
      <c r="T3521" s="508">
        <f t="shared" si="2671"/>
        <v>0</v>
      </c>
      <c r="U3521" s="225" t="str">
        <f>IF(NOT(ISNUMBER(G3521)), "", VLOOKUP(A3521,'Discount Lookup'!D:E,2,FALSE)*G3521)</f>
        <v/>
      </c>
      <c r="V3521" s="225" t="str">
        <f>IF(NOT(ISNUMBER(G3521)), "", VLOOKUP(A3521,'Discount Lookup'!G:H,2,FALSE)*G3521)</f>
        <v/>
      </c>
      <c r="W3521" s="508">
        <f t="shared" si="2672"/>
        <v>0</v>
      </c>
      <c r="X3521" s="508">
        <f t="shared" si="2673"/>
        <v>0</v>
      </c>
      <c r="Y3521" s="509" t="b">
        <f t="shared" si="2674"/>
        <v>0</v>
      </c>
      <c r="Z3521" s="510">
        <f t="shared" si="2675"/>
        <v>0</v>
      </c>
      <c r="AA3521" s="511"/>
      <c r="AB3521" s="511" t="str">
        <f t="shared" si="2676"/>
        <v/>
      </c>
      <c r="AC3521" s="698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698"/>
      <c r="AE3521" s="631" t="str">
        <f t="shared" si="2677"/>
        <v/>
      </c>
      <c r="AF3521" s="699" t="str">
        <f t="shared" si="2678"/>
        <v/>
      </c>
      <c r="AG3521" s="699"/>
      <c r="AH3521" s="699"/>
      <c r="AI3521" s="512">
        <f>IF(H3521="credit",0,IF(AE3521="free",0,IF(AE3521="me",0,IF(G3521&gt;0,(VLOOKUP(A3521,'Discount Lookup'!J:K,2)*G3521),0))))</f>
        <v>0</v>
      </c>
      <c r="AJ3521" s="513" t="str">
        <f t="shared" ca="1" si="2679"/>
        <v/>
      </c>
      <c r="AK3521" s="700" t="str">
        <f t="shared" si="2680"/>
        <v/>
      </c>
      <c r="AL3521" s="700"/>
      <c r="AM3521" s="505" t="str">
        <f t="shared" si="2681"/>
        <v/>
      </c>
      <c r="AN3521" s="506"/>
      <c r="AO3521" s="507"/>
      <c r="AP3521" s="507"/>
      <c r="AQ3521" s="507"/>
      <c r="AR3521" s="507"/>
      <c r="AS3521" s="507"/>
      <c r="AT3521" s="507"/>
      <c r="AU3521" s="507"/>
      <c r="AV3521" s="225"/>
      <c r="AW3521" s="508"/>
      <c r="AX3521" s="225"/>
      <c r="AY3521" s="225"/>
      <c r="AZ3521" s="225"/>
      <c r="BA3521" s="225"/>
      <c r="BB3521" s="225"/>
      <c r="BC3521" s="56"/>
      <c r="BD3521" s="56"/>
      <c r="BE3521" s="56"/>
      <c r="BF3521" s="107" t="str">
        <f t="shared" si="2682"/>
        <v>https://www.google.com/search?tbm=isch&amp;q=Steady%20Eddy%20known%20for%20repeat%20lacecap%20blooms%2C%20followed%20by%20attractive%20Red%20fruit%20and%20brilliant%20Purplish-Burgundy%20fall%20color%20</v>
      </c>
      <c r="BG3521" s="107" t="str">
        <f t="shared" si="2683"/>
        <v>S</v>
      </c>
      <c r="BH3521" s="254"/>
      <c r="BI3521" s="254"/>
    </row>
    <row r="3522" spans="1:61" customFormat="1" ht="18" x14ac:dyDescent="0.25">
      <c r="A3522" s="521" t="s">
        <v>1811</v>
      </c>
      <c r="B3522" s="477"/>
      <c r="C3522" s="674"/>
      <c r="D3522" s="478" t="s">
        <v>1812</v>
      </c>
      <c r="E3522" s="479"/>
      <c r="F3522" s="479"/>
      <c r="G3522" s="479"/>
      <c r="H3522" s="582" t="s">
        <v>471</v>
      </c>
      <c r="I3522" s="480" t="s">
        <v>2093</v>
      </c>
      <c r="J3522" s="479"/>
      <c r="K3522" s="479"/>
      <c r="L3522" s="560"/>
      <c r="M3522" s="666" t="s">
        <v>4966</v>
      </c>
      <c r="N3522" s="680" t="str">
        <f>IF(AND(ISTEXT($A3522), ISERROR($A3522+0)), HYPERLINK($BF3522, "Images"), "")</f>
        <v>Images</v>
      </c>
      <c r="O3522" s="662" t="s">
        <v>5001</v>
      </c>
      <c r="P3522" s="482"/>
      <c r="Q3522" s="483"/>
      <c r="R3522" s="483"/>
      <c r="S3522" s="484"/>
      <c r="T3522" s="508">
        <f t="shared" si="2671"/>
        <v>0</v>
      </c>
      <c r="U3522" s="225" t="str">
        <f>IF(NOT(ISNUMBER(G3522)), "", VLOOKUP(A3522,'Discount Lookup'!D:E,2,FALSE)*G3522)</f>
        <v/>
      </c>
      <c r="V3522" s="225" t="str">
        <f>IF(NOT(ISNUMBER(G3522)), "", VLOOKUP(A3522,'Discount Lookup'!G:H,2,FALSE)*G3522)</f>
        <v/>
      </c>
      <c r="W3522" s="508">
        <f t="shared" si="2672"/>
        <v>0</v>
      </c>
      <c r="X3522" s="508" t="str">
        <f t="shared" si="2673"/>
        <v>Dark Green foliage</v>
      </c>
      <c r="Y3522" s="509" t="b">
        <f t="shared" si="2674"/>
        <v>0</v>
      </c>
      <c r="Z3522" s="510">
        <f t="shared" si="2675"/>
        <v>0</v>
      </c>
      <c r="AA3522" s="511"/>
      <c r="AB3522" s="511" t="str">
        <f t="shared" si="2676"/>
        <v/>
      </c>
      <c r="AC3522" s="698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698"/>
      <c r="AE3522" s="631" t="str">
        <f t="shared" si="2677"/>
        <v/>
      </c>
      <c r="AF3522" s="699" t="str">
        <f t="shared" si="2678"/>
        <v/>
      </c>
      <c r="AG3522" s="699"/>
      <c r="AH3522" s="699"/>
      <c r="AI3522" s="512">
        <f>IF(H3522="credit",0,IF(AE3522="free",0,IF(AE3522="me",0,IF(G3522&gt;0,(VLOOKUP(A3522,'Discount Lookup'!J:K,2)*G3522),0))))</f>
        <v>0</v>
      </c>
      <c r="AJ3522" s="513" t="str">
        <f t="shared" ca="1" si="2679"/>
        <v/>
      </c>
      <c r="AK3522" s="700" t="str">
        <f t="shared" si="2680"/>
        <v/>
      </c>
      <c r="AL3522" s="700"/>
      <c r="AM3522" s="505" t="str">
        <f t="shared" si="2681"/>
        <v/>
      </c>
      <c r="AN3522" s="506"/>
      <c r="AO3522" s="507"/>
      <c r="AP3522" s="507"/>
      <c r="AQ3522" s="507"/>
      <c r="AR3522" s="507"/>
      <c r="AS3522" s="507"/>
      <c r="AT3522" s="507"/>
      <c r="AU3522" s="507"/>
      <c r="AV3522" s="225"/>
      <c r="AW3522" s="508"/>
      <c r="AX3522" s="225"/>
      <c r="AY3522" s="225"/>
      <c r="AZ3522" s="225"/>
      <c r="BA3522" s="225"/>
      <c r="BB3522" s="225"/>
      <c r="BC3522" s="56"/>
      <c r="BD3522" s="56"/>
      <c r="BE3522" s="56"/>
      <c r="BF3522" s="107" t="str">
        <f t="shared" si="2682"/>
        <v>https://www.google.com/search?tbm=isch&amp;q=Steeds%20Holly%20Ilex%20crenata%20%27Steeds%27</v>
      </c>
      <c r="BG3522" s="107" t="str">
        <f t="shared" si="2683"/>
        <v>S</v>
      </c>
      <c r="BH3522" s="254"/>
      <c r="BI3522" s="254"/>
    </row>
    <row r="3523" spans="1:61" customFormat="1" ht="15.75" x14ac:dyDescent="0.25">
      <c r="A3523" s="485">
        <v>3</v>
      </c>
      <c r="B3523" s="486" t="s">
        <v>291</v>
      </c>
      <c r="C3523" s="487" t="s">
        <v>1815</v>
      </c>
      <c r="D3523" s="488" t="s">
        <v>298</v>
      </c>
      <c r="E3523" s="489">
        <v>25.95</v>
      </c>
      <c r="F3523" s="516" t="s">
        <v>293</v>
      </c>
      <c r="G3523" s="232">
        <v>0</v>
      </c>
      <c r="H3523" s="658" t="str">
        <f t="shared" ref="H3523:H3534" si="2708">IF(G3523=0,"",IF(F3523="Buy",IF(G3523=1,"plant","plants"),IF(F3523&gt;0.01,"warranty","Error")))</f>
        <v/>
      </c>
      <c r="I3523" s="490">
        <f t="shared" ref="I3523:I3534" si="2709">IF(H3523="free",0,IF(H3523="credit",((E3523*(F3523))*G3523*-1),IF(F3523="Buy",(E3523*G3523),((E3523*(1-F3523))*G3523))))</f>
        <v>0</v>
      </c>
      <c r="J3523" s="490">
        <f t="shared" ref="J3523:J3534" si="2710">IF(H3523="warranty",0,(I3523*(_xlfn.SINGLE(SalesTaxPercentage))))</f>
        <v>0</v>
      </c>
      <c r="K3523" s="695">
        <f t="shared" ref="K3523" si="2711">I3523+J3523</f>
        <v>0</v>
      </c>
      <c r="L3523" s="695"/>
      <c r="M3523" s="659" t="str">
        <f t="shared" ref="M3523:M3534" si="2712">IF(AND(G3523&gt;0,E3523=0),"WARNING - no PRICE inserted",IF(H3523="free"," FREE ~ no charge this plant",IF(H3523="credit",CONCATENATE(" -$",ROUND(K3523*(1-T2GDiscount)*-1,2)," CREDIT after discount"),IF(T2GDiscount=0,"",IF(G3523=0,"",IF(F3523="Buy",CONCATENATE(" $",ROUND(K3523*(1-T2GDiscount),2)," with ",(T2GDiscount*100),"% discount"),CONCATENATE(" $",ROUND(K3523*(1-T2GDiscount),2)," with ",((T2GDiscount*100+F3523*100)-(T2GDiscount*100*F3523)),IF(F3523&gt;0,"% discounts",IF(NoWarrantyDiscount&gt;0,"% discounts","% discount")))))))))</f>
        <v/>
      </c>
      <c r="N3523" s="660"/>
      <c r="O3523" s="233"/>
      <c r="P3523" s="233"/>
      <c r="Q3523" s="233"/>
      <c r="R3523" s="233"/>
      <c r="S3523" s="233"/>
      <c r="T3523" s="508">
        <f t="shared" si="2671"/>
        <v>0</v>
      </c>
      <c r="U3523" s="225">
        <f>IF(NOT(ISNUMBER(G3523)), "", VLOOKUP(A3523,'Discount Lookup'!D:E,2,FALSE)*G3523)</f>
        <v>0</v>
      </c>
      <c r="V3523" s="225">
        <f>IF(NOT(ISNUMBER(G3523)), "", VLOOKUP(A3523,'Discount Lookup'!G:H,2,FALSE)*G3523)</f>
        <v>0</v>
      </c>
      <c r="W3523" s="508">
        <f t="shared" si="2672"/>
        <v>0</v>
      </c>
      <c r="X3523" s="508">
        <f t="shared" si="2673"/>
        <v>0</v>
      </c>
      <c r="Y3523" s="509" t="b">
        <f t="shared" si="2674"/>
        <v>0</v>
      </c>
      <c r="Z3523" s="510">
        <f t="shared" si="2675"/>
        <v>0</v>
      </c>
      <c r="AA3523" s="511"/>
      <c r="AB3523" s="511" t="str">
        <f t="shared" si="2676"/>
        <v/>
      </c>
      <c r="AC3523" s="698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698"/>
      <c r="AE3523" s="631" t="str">
        <f t="shared" si="2677"/>
        <v/>
      </c>
      <c r="AF3523" s="699" t="str">
        <f t="shared" si="2678"/>
        <v/>
      </c>
      <c r="AG3523" s="699"/>
      <c r="AH3523" s="699"/>
      <c r="AI3523" s="512">
        <f>IF(H3523="credit",0,IF(AE3523="free",0,IF(AE3523="me",0,IF(G3523&gt;0,(VLOOKUP(A3523,'Discount Lookup'!J:K,2)*G3523),0))))</f>
        <v>0</v>
      </c>
      <c r="AJ3523" s="513" t="str">
        <f t="shared" ca="1" si="2679"/>
        <v/>
      </c>
      <c r="AK3523" s="700" t="str">
        <f t="shared" si="2680"/>
        <v/>
      </c>
      <c r="AL3523" s="700"/>
      <c r="AM3523" s="505" t="str">
        <f t="shared" si="2681"/>
        <v/>
      </c>
      <c r="AN3523" s="506"/>
      <c r="AO3523" s="507"/>
      <c r="AP3523" s="507"/>
      <c r="AQ3523" s="507"/>
      <c r="AR3523" s="507"/>
      <c r="AS3523" s="507"/>
      <c r="AT3523" s="507"/>
      <c r="AU3523" s="507"/>
      <c r="AV3523" s="225"/>
      <c r="AW3523" s="508"/>
      <c r="AX3523" s="225"/>
      <c r="AY3523" s="225"/>
      <c r="AZ3523" s="225"/>
      <c r="BA3523" s="225"/>
      <c r="BB3523" s="225"/>
      <c r="BC3523" s="56"/>
      <c r="BD3523" s="56"/>
      <c r="BE3523" s="56"/>
      <c r="BF3523" s="107" t="str">
        <f t="shared" si="2682"/>
        <v>https://www.google.com/search?tbm=isch&amp;q=3%20G1</v>
      </c>
      <c r="BG3523" s="107" t="str">
        <f t="shared" si="2683"/>
        <v>S</v>
      </c>
      <c r="BH3523" s="254"/>
      <c r="BI3523" s="254"/>
    </row>
    <row r="3524" spans="1:61" customFormat="1" ht="15.75" x14ac:dyDescent="0.25">
      <c r="A3524" s="485">
        <v>3</v>
      </c>
      <c r="B3524" s="486" t="s">
        <v>291</v>
      </c>
      <c r="C3524" s="487" t="s">
        <v>1816</v>
      </c>
      <c r="D3524" s="488" t="s">
        <v>300</v>
      </c>
      <c r="E3524" s="489">
        <v>29.95</v>
      </c>
      <c r="F3524" s="516" t="s">
        <v>293</v>
      </c>
      <c r="G3524" s="232">
        <v>0</v>
      </c>
      <c r="H3524" s="658" t="str">
        <f t="shared" si="2708"/>
        <v/>
      </c>
      <c r="I3524" s="490">
        <f t="shared" si="2709"/>
        <v>0</v>
      </c>
      <c r="J3524" s="490">
        <f t="shared" si="2710"/>
        <v>0</v>
      </c>
      <c r="K3524" s="695">
        <f t="shared" ref="K3524" si="2713">I3524+J3524</f>
        <v>0</v>
      </c>
      <c r="L3524" s="695"/>
      <c r="M3524" s="659" t="str">
        <f t="shared" si="2712"/>
        <v/>
      </c>
      <c r="N3524" s="660"/>
      <c r="O3524" s="233"/>
      <c r="P3524" s="233"/>
      <c r="Q3524" s="233"/>
      <c r="R3524" s="233"/>
      <c r="S3524" s="233"/>
      <c r="T3524" s="508">
        <f t="shared" si="2671"/>
        <v>0</v>
      </c>
      <c r="U3524" s="225">
        <f>IF(NOT(ISNUMBER(G3524)), "", VLOOKUP(A3524,'Discount Lookup'!D:E,2,FALSE)*G3524)</f>
        <v>0</v>
      </c>
      <c r="V3524" s="225">
        <f>IF(NOT(ISNUMBER(G3524)), "", VLOOKUP(A3524,'Discount Lookup'!G:H,2,FALSE)*G3524)</f>
        <v>0</v>
      </c>
      <c r="W3524" s="508">
        <f t="shared" si="2672"/>
        <v>0</v>
      </c>
      <c r="X3524" s="508">
        <f t="shared" si="2673"/>
        <v>0</v>
      </c>
      <c r="Y3524" s="509" t="b">
        <f t="shared" si="2674"/>
        <v>0</v>
      </c>
      <c r="Z3524" s="510">
        <f t="shared" si="2675"/>
        <v>0</v>
      </c>
      <c r="AA3524" s="511"/>
      <c r="AB3524" s="511" t="str">
        <f t="shared" si="2676"/>
        <v/>
      </c>
      <c r="AC3524" s="698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698"/>
      <c r="AE3524" s="631" t="str">
        <f t="shared" si="2677"/>
        <v/>
      </c>
      <c r="AF3524" s="699" t="str">
        <f t="shared" si="2678"/>
        <v/>
      </c>
      <c r="AG3524" s="699"/>
      <c r="AH3524" s="699"/>
      <c r="AI3524" s="512">
        <f>IF(H3524="credit",0,IF(AE3524="free",0,IF(AE3524="me",0,IF(G3524&gt;0,(VLOOKUP(A3524,'Discount Lookup'!J:K,2)*G3524),0))))</f>
        <v>0</v>
      </c>
      <c r="AJ3524" s="513" t="str">
        <f t="shared" ca="1" si="2679"/>
        <v/>
      </c>
      <c r="AK3524" s="700" t="str">
        <f t="shared" si="2680"/>
        <v/>
      </c>
      <c r="AL3524" s="700"/>
      <c r="AM3524" s="505" t="str">
        <f t="shared" si="2681"/>
        <v/>
      </c>
      <c r="AN3524" s="506"/>
      <c r="AO3524" s="507"/>
      <c r="AP3524" s="507"/>
      <c r="AQ3524" s="507"/>
      <c r="AR3524" s="507"/>
      <c r="AS3524" s="507"/>
      <c r="AT3524" s="507"/>
      <c r="AU3524" s="507"/>
      <c r="AV3524" s="225"/>
      <c r="AW3524" s="508"/>
      <c r="AX3524" s="225"/>
      <c r="AY3524" s="225"/>
      <c r="AZ3524" s="225"/>
      <c r="BA3524" s="225"/>
      <c r="BB3524" s="225"/>
      <c r="BC3524" s="56"/>
      <c r="BD3524" s="56"/>
      <c r="BE3524" s="56"/>
      <c r="BF3524" s="107" t="str">
        <f t="shared" si="2682"/>
        <v>https://www.google.com/search?tbm=isch&amp;q=3%20G6</v>
      </c>
      <c r="BG3524" s="107" t="str">
        <f t="shared" si="2683"/>
        <v>S</v>
      </c>
      <c r="BH3524" s="254"/>
      <c r="BI3524" s="254"/>
    </row>
    <row r="3525" spans="1:61" customFormat="1" ht="15.75" x14ac:dyDescent="0.25">
      <c r="A3525" s="485">
        <v>3</v>
      </c>
      <c r="B3525" s="486" t="s">
        <v>291</v>
      </c>
      <c r="C3525" s="487" t="s">
        <v>4572</v>
      </c>
      <c r="D3525" s="488" t="s">
        <v>299</v>
      </c>
      <c r="E3525" s="489">
        <v>33.950000000000003</v>
      </c>
      <c r="F3525" s="516" t="s">
        <v>293</v>
      </c>
      <c r="G3525" s="232">
        <v>0</v>
      </c>
      <c r="H3525" s="658" t="str">
        <f t="shared" si="2708"/>
        <v/>
      </c>
      <c r="I3525" s="490">
        <f t="shared" si="2709"/>
        <v>0</v>
      </c>
      <c r="J3525" s="490">
        <f t="shared" si="2710"/>
        <v>0</v>
      </c>
      <c r="K3525" s="695">
        <f t="shared" ref="K3525" si="2714">I3525+J3525</f>
        <v>0</v>
      </c>
      <c r="L3525" s="695"/>
      <c r="M3525" s="659" t="str">
        <f t="shared" si="2712"/>
        <v/>
      </c>
      <c r="N3525" s="660"/>
      <c r="O3525" s="233"/>
      <c r="P3525" s="233"/>
      <c r="Q3525" s="233"/>
      <c r="R3525" s="233"/>
      <c r="S3525" s="233"/>
      <c r="T3525" s="508">
        <f t="shared" si="2671"/>
        <v>0</v>
      </c>
      <c r="U3525" s="225">
        <f>IF(NOT(ISNUMBER(G3525)), "", VLOOKUP(A3525,'Discount Lookup'!D:E,2,FALSE)*G3525)</f>
        <v>0</v>
      </c>
      <c r="V3525" s="225">
        <f>IF(NOT(ISNUMBER(G3525)), "", VLOOKUP(A3525,'Discount Lookup'!G:H,2,FALSE)*G3525)</f>
        <v>0</v>
      </c>
      <c r="W3525" s="508">
        <f t="shared" si="2672"/>
        <v>0</v>
      </c>
      <c r="X3525" s="508">
        <f t="shared" si="2673"/>
        <v>0</v>
      </c>
      <c r="Y3525" s="509" t="b">
        <f t="shared" si="2674"/>
        <v>0</v>
      </c>
      <c r="Z3525" s="510">
        <f t="shared" si="2675"/>
        <v>0</v>
      </c>
      <c r="AA3525" s="511"/>
      <c r="AB3525" s="511" t="str">
        <f t="shared" si="2676"/>
        <v/>
      </c>
      <c r="AC3525" s="698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698"/>
      <c r="AE3525" s="631" t="str">
        <f t="shared" si="2677"/>
        <v/>
      </c>
      <c r="AF3525" s="699" t="str">
        <f t="shared" si="2678"/>
        <v/>
      </c>
      <c r="AG3525" s="699"/>
      <c r="AH3525" s="699"/>
      <c r="AI3525" s="512">
        <f>IF(H3525="credit",0,IF(AE3525="free",0,IF(AE3525="me",0,IF(G3525&gt;0,(VLOOKUP(A3525,'Discount Lookup'!J:K,2)*G3525),0))))</f>
        <v>0</v>
      </c>
      <c r="AJ3525" s="513" t="str">
        <f t="shared" ca="1" si="2679"/>
        <v/>
      </c>
      <c r="AK3525" s="700" t="str">
        <f t="shared" si="2680"/>
        <v/>
      </c>
      <c r="AL3525" s="700"/>
      <c r="AM3525" s="505" t="str">
        <f t="shared" si="2681"/>
        <v/>
      </c>
      <c r="AN3525" s="506"/>
      <c r="AO3525" s="507"/>
      <c r="AP3525" s="507"/>
      <c r="AQ3525" s="507"/>
      <c r="AR3525" s="507"/>
      <c r="AS3525" s="507"/>
      <c r="AT3525" s="507"/>
      <c r="AU3525" s="507"/>
      <c r="AV3525" s="225"/>
      <c r="AW3525" s="508"/>
      <c r="AX3525" s="225"/>
      <c r="AY3525" s="225"/>
      <c r="AZ3525" s="225"/>
      <c r="BA3525" s="225"/>
      <c r="BB3525" s="225"/>
      <c r="BC3525" s="56"/>
      <c r="BD3525" s="56"/>
      <c r="BE3525" s="56"/>
      <c r="BF3525" s="107" t="str">
        <f t="shared" si="2682"/>
        <v>https://www.google.com/search?tbm=isch&amp;q=3%20G5</v>
      </c>
      <c r="BG3525" s="107" t="str">
        <f t="shared" si="2683"/>
        <v>S</v>
      </c>
      <c r="BH3525" s="254"/>
      <c r="BI3525" s="254"/>
    </row>
    <row r="3526" spans="1:61" customFormat="1" ht="15.75" x14ac:dyDescent="0.25">
      <c r="A3526" s="485">
        <v>5</v>
      </c>
      <c r="B3526" s="486" t="s">
        <v>291</v>
      </c>
      <c r="C3526" s="487" t="s">
        <v>17</v>
      </c>
      <c r="D3526" s="488" t="s">
        <v>298</v>
      </c>
      <c r="E3526" s="489">
        <v>41.95</v>
      </c>
      <c r="F3526" s="516" t="s">
        <v>293</v>
      </c>
      <c r="G3526" s="232">
        <v>0</v>
      </c>
      <c r="H3526" s="658" t="str">
        <f t="shared" si="2708"/>
        <v/>
      </c>
      <c r="I3526" s="490">
        <f t="shared" si="2709"/>
        <v>0</v>
      </c>
      <c r="J3526" s="490">
        <f t="shared" si="2710"/>
        <v>0</v>
      </c>
      <c r="K3526" s="695">
        <f t="shared" ref="K3526" si="2715">I3526+J3526</f>
        <v>0</v>
      </c>
      <c r="L3526" s="695"/>
      <c r="M3526" s="659" t="str">
        <f t="shared" si="2712"/>
        <v/>
      </c>
      <c r="N3526" s="660"/>
      <c r="O3526" s="233"/>
      <c r="P3526" s="233"/>
      <c r="Q3526" s="233"/>
      <c r="R3526" s="233"/>
      <c r="S3526" s="233"/>
      <c r="T3526" s="508">
        <f t="shared" si="2671"/>
        <v>0</v>
      </c>
      <c r="U3526" s="225">
        <f>IF(NOT(ISNUMBER(G3526)), "", VLOOKUP(A3526,'Discount Lookup'!D:E,2,FALSE)*G3526)</f>
        <v>0</v>
      </c>
      <c r="V3526" s="225">
        <f>IF(NOT(ISNUMBER(G3526)), "", VLOOKUP(A3526,'Discount Lookup'!G:H,2,FALSE)*G3526)</f>
        <v>0</v>
      </c>
      <c r="W3526" s="508">
        <f t="shared" si="2672"/>
        <v>0</v>
      </c>
      <c r="X3526" s="508">
        <f t="shared" si="2673"/>
        <v>0</v>
      </c>
      <c r="Y3526" s="509" t="b">
        <f t="shared" si="2674"/>
        <v>0</v>
      </c>
      <c r="Z3526" s="510">
        <f t="shared" si="2675"/>
        <v>0</v>
      </c>
      <c r="AA3526" s="511"/>
      <c r="AB3526" s="511" t="str">
        <f t="shared" si="2676"/>
        <v/>
      </c>
      <c r="AC3526" s="698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698"/>
      <c r="AE3526" s="631" t="str">
        <f t="shared" si="2677"/>
        <v/>
      </c>
      <c r="AF3526" s="699" t="str">
        <f t="shared" si="2678"/>
        <v/>
      </c>
      <c r="AG3526" s="699"/>
      <c r="AH3526" s="699"/>
      <c r="AI3526" s="512">
        <f>IF(H3526="credit",0,IF(AE3526="free",0,IF(AE3526="me",0,IF(G3526&gt;0,(VLOOKUP(A3526,'Discount Lookup'!J:K,2)*G3526),0))))</f>
        <v>0</v>
      </c>
      <c r="AJ3526" s="513" t="str">
        <f t="shared" ca="1" si="2679"/>
        <v/>
      </c>
      <c r="AK3526" s="700" t="str">
        <f t="shared" si="2680"/>
        <v/>
      </c>
      <c r="AL3526" s="700"/>
      <c r="AM3526" s="505" t="str">
        <f t="shared" si="2681"/>
        <v/>
      </c>
      <c r="AN3526" s="506"/>
      <c r="AO3526" s="507"/>
      <c r="AP3526" s="507"/>
      <c r="AQ3526" s="507"/>
      <c r="AR3526" s="507"/>
      <c r="AS3526" s="507"/>
      <c r="AT3526" s="507"/>
      <c r="AU3526" s="507"/>
      <c r="AV3526" s="225"/>
      <c r="AW3526" s="508"/>
      <c r="AX3526" s="225"/>
      <c r="AY3526" s="225"/>
      <c r="AZ3526" s="225"/>
      <c r="BA3526" s="225"/>
      <c r="BB3526" s="225"/>
      <c r="BC3526" s="56"/>
      <c r="BD3526" s="56"/>
      <c r="BE3526" s="56"/>
      <c r="BF3526" s="107" t="str">
        <f t="shared" si="2682"/>
        <v>https://www.google.com/search?tbm=isch&amp;q=5%20G1</v>
      </c>
      <c r="BG3526" s="107" t="str">
        <f t="shared" si="2683"/>
        <v>S</v>
      </c>
      <c r="BH3526" s="254"/>
      <c r="BI3526" s="254"/>
    </row>
    <row r="3527" spans="1:61" customFormat="1" ht="15.75" x14ac:dyDescent="0.25">
      <c r="A3527" s="485">
        <v>7</v>
      </c>
      <c r="B3527" s="486" t="s">
        <v>291</v>
      </c>
      <c r="C3527" s="487" t="s">
        <v>17</v>
      </c>
      <c r="D3527" s="488" t="s">
        <v>298</v>
      </c>
      <c r="E3527" s="489">
        <v>56.95</v>
      </c>
      <c r="F3527" s="516" t="s">
        <v>293</v>
      </c>
      <c r="G3527" s="232">
        <v>0</v>
      </c>
      <c r="H3527" s="658" t="str">
        <f t="shared" si="2708"/>
        <v/>
      </c>
      <c r="I3527" s="490">
        <f t="shared" si="2709"/>
        <v>0</v>
      </c>
      <c r="J3527" s="490">
        <f t="shared" si="2710"/>
        <v>0</v>
      </c>
      <c r="K3527" s="695">
        <f t="shared" ref="K3527" si="2716">I3527+J3527</f>
        <v>0</v>
      </c>
      <c r="L3527" s="695"/>
      <c r="M3527" s="659" t="str">
        <f t="shared" si="2712"/>
        <v/>
      </c>
      <c r="N3527" s="660"/>
      <c r="O3527" s="233"/>
      <c r="P3527" s="233"/>
      <c r="Q3527" s="233"/>
      <c r="R3527" s="233"/>
      <c r="S3527" s="233"/>
      <c r="T3527" s="508">
        <f t="shared" si="2671"/>
        <v>0</v>
      </c>
      <c r="U3527" s="225">
        <f>IF(NOT(ISNUMBER(G3527)), "", VLOOKUP(A3527,'Discount Lookup'!D:E,2,FALSE)*G3527)</f>
        <v>0</v>
      </c>
      <c r="V3527" s="225">
        <f>IF(NOT(ISNUMBER(G3527)), "", VLOOKUP(A3527,'Discount Lookup'!G:H,2,FALSE)*G3527)</f>
        <v>0</v>
      </c>
      <c r="W3527" s="508">
        <f t="shared" si="2672"/>
        <v>0</v>
      </c>
      <c r="X3527" s="508">
        <f t="shared" si="2673"/>
        <v>0</v>
      </c>
      <c r="Y3527" s="509" t="b">
        <f t="shared" si="2674"/>
        <v>0</v>
      </c>
      <c r="Z3527" s="510">
        <f t="shared" si="2675"/>
        <v>0</v>
      </c>
      <c r="AA3527" s="511"/>
      <c r="AB3527" s="511" t="str">
        <f t="shared" si="2676"/>
        <v/>
      </c>
      <c r="AC3527" s="698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698"/>
      <c r="AE3527" s="631" t="str">
        <f t="shared" si="2677"/>
        <v/>
      </c>
      <c r="AF3527" s="699" t="str">
        <f t="shared" si="2678"/>
        <v/>
      </c>
      <c r="AG3527" s="699"/>
      <c r="AH3527" s="699"/>
      <c r="AI3527" s="512">
        <f>IF(H3527="credit",0,IF(AE3527="free",0,IF(AE3527="me",0,IF(G3527&gt;0,(VLOOKUP(A3527,'Discount Lookup'!J:K,2)*G3527),0))))</f>
        <v>0</v>
      </c>
      <c r="AJ3527" s="513" t="str">
        <f t="shared" ca="1" si="2679"/>
        <v/>
      </c>
      <c r="AK3527" s="700" t="str">
        <f t="shared" si="2680"/>
        <v/>
      </c>
      <c r="AL3527" s="700"/>
      <c r="AM3527" s="505" t="str">
        <f t="shared" si="2681"/>
        <v/>
      </c>
      <c r="AN3527" s="506"/>
      <c r="AO3527" s="507"/>
      <c r="AP3527" s="507"/>
      <c r="AQ3527" s="507"/>
      <c r="AR3527" s="507"/>
      <c r="AS3527" s="507"/>
      <c r="AT3527" s="507"/>
      <c r="AU3527" s="507"/>
      <c r="AV3527" s="225"/>
      <c r="AW3527" s="508"/>
      <c r="AX3527" s="225"/>
      <c r="AY3527" s="225"/>
      <c r="AZ3527" s="225"/>
      <c r="BA3527" s="225"/>
      <c r="BB3527" s="225"/>
      <c r="BC3527" s="56"/>
      <c r="BD3527" s="56"/>
      <c r="BE3527" s="56"/>
      <c r="BF3527" s="107" t="str">
        <f t="shared" si="2682"/>
        <v>https://www.google.com/search?tbm=isch&amp;q=7%20G1</v>
      </c>
      <c r="BG3527" s="107" t="str">
        <f t="shared" si="2683"/>
        <v>S</v>
      </c>
      <c r="BH3527" s="254"/>
      <c r="BI3527" s="254"/>
    </row>
    <row r="3528" spans="1:61" customFormat="1" ht="15.75" x14ac:dyDescent="0.25">
      <c r="A3528" s="485">
        <v>7</v>
      </c>
      <c r="B3528" s="486" t="s">
        <v>291</v>
      </c>
      <c r="C3528" s="487" t="s">
        <v>4303</v>
      </c>
      <c r="D3528" s="488" t="s">
        <v>297</v>
      </c>
      <c r="E3528" s="489">
        <v>56.95</v>
      </c>
      <c r="F3528" s="516" t="s">
        <v>293</v>
      </c>
      <c r="G3528" s="232">
        <v>0</v>
      </c>
      <c r="H3528" s="658" t="str">
        <f t="shared" si="2708"/>
        <v/>
      </c>
      <c r="I3528" s="490">
        <f t="shared" si="2709"/>
        <v>0</v>
      </c>
      <c r="J3528" s="490">
        <f t="shared" si="2710"/>
        <v>0</v>
      </c>
      <c r="K3528" s="695">
        <f t="shared" ref="K3528" si="2717">I3528+J3528</f>
        <v>0</v>
      </c>
      <c r="L3528" s="695"/>
      <c r="M3528" s="659" t="str">
        <f t="shared" si="2712"/>
        <v/>
      </c>
      <c r="N3528" s="660"/>
      <c r="O3528" s="233"/>
      <c r="P3528" s="233"/>
      <c r="Q3528" s="233"/>
      <c r="R3528" s="233"/>
      <c r="S3528" s="233"/>
      <c r="T3528" s="508">
        <f t="shared" si="2671"/>
        <v>0</v>
      </c>
      <c r="U3528" s="225">
        <f>IF(NOT(ISNUMBER(G3528)), "", VLOOKUP(A3528,'Discount Lookup'!D:E,2,FALSE)*G3528)</f>
        <v>0</v>
      </c>
      <c r="V3528" s="225">
        <f>IF(NOT(ISNUMBER(G3528)), "", VLOOKUP(A3528,'Discount Lookup'!G:H,2,FALSE)*G3528)</f>
        <v>0</v>
      </c>
      <c r="W3528" s="508">
        <f t="shared" si="2672"/>
        <v>0</v>
      </c>
      <c r="X3528" s="508">
        <f t="shared" si="2673"/>
        <v>0</v>
      </c>
      <c r="Y3528" s="509" t="b">
        <f t="shared" si="2674"/>
        <v>0</v>
      </c>
      <c r="Z3528" s="510">
        <f t="shared" si="2675"/>
        <v>0</v>
      </c>
      <c r="AA3528" s="511"/>
      <c r="AB3528" s="511" t="str">
        <f t="shared" si="2676"/>
        <v/>
      </c>
      <c r="AC3528" s="698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698"/>
      <c r="AE3528" s="631" t="str">
        <f t="shared" si="2677"/>
        <v/>
      </c>
      <c r="AF3528" s="699" t="str">
        <f t="shared" si="2678"/>
        <v/>
      </c>
      <c r="AG3528" s="699"/>
      <c r="AH3528" s="699"/>
      <c r="AI3528" s="512">
        <f>IF(H3528="credit",0,IF(AE3528="free",0,IF(AE3528="me",0,IF(G3528&gt;0,(VLOOKUP(A3528,'Discount Lookup'!J:K,2)*G3528),0))))</f>
        <v>0</v>
      </c>
      <c r="AJ3528" s="513" t="str">
        <f t="shared" ca="1" si="2679"/>
        <v/>
      </c>
      <c r="AK3528" s="700" t="str">
        <f t="shared" si="2680"/>
        <v/>
      </c>
      <c r="AL3528" s="700"/>
      <c r="AM3528" s="505" t="str">
        <f t="shared" si="2681"/>
        <v/>
      </c>
      <c r="AN3528" s="506"/>
      <c r="AO3528" s="507"/>
      <c r="AP3528" s="507"/>
      <c r="AQ3528" s="507"/>
      <c r="AR3528" s="507"/>
      <c r="AS3528" s="507"/>
      <c r="AT3528" s="507"/>
      <c r="AU3528" s="507"/>
      <c r="AV3528" s="225"/>
      <c r="AW3528" s="508"/>
      <c r="AX3528" s="225"/>
      <c r="AY3528" s="225"/>
      <c r="AZ3528" s="225"/>
      <c r="BA3528" s="225"/>
      <c r="BB3528" s="225"/>
      <c r="BC3528" s="56"/>
      <c r="BD3528" s="56"/>
      <c r="BE3528" s="56"/>
      <c r="BF3528" s="107" t="str">
        <f t="shared" si="2682"/>
        <v>https://www.google.com/search?tbm=isch&amp;q=7%20G3</v>
      </c>
      <c r="BG3528" s="107" t="str">
        <f t="shared" si="2683"/>
        <v>S</v>
      </c>
      <c r="BH3528" s="254"/>
      <c r="BI3528" s="254"/>
    </row>
    <row r="3529" spans="1:61" customFormat="1" ht="15.75" x14ac:dyDescent="0.25">
      <c r="A3529" s="485">
        <v>7</v>
      </c>
      <c r="B3529" s="486" t="s">
        <v>291</v>
      </c>
      <c r="C3529" s="487" t="s">
        <v>1813</v>
      </c>
      <c r="D3529" s="488" t="s">
        <v>299</v>
      </c>
      <c r="E3529" s="489">
        <v>68.95</v>
      </c>
      <c r="F3529" s="516" t="s">
        <v>293</v>
      </c>
      <c r="G3529" s="232">
        <v>0</v>
      </c>
      <c r="H3529" s="658" t="str">
        <f t="shared" si="2708"/>
        <v/>
      </c>
      <c r="I3529" s="490">
        <f t="shared" si="2709"/>
        <v>0</v>
      </c>
      <c r="J3529" s="490">
        <f t="shared" si="2710"/>
        <v>0</v>
      </c>
      <c r="K3529" s="695">
        <f t="shared" ref="K3529" si="2718">I3529+J3529</f>
        <v>0</v>
      </c>
      <c r="L3529" s="695"/>
      <c r="M3529" s="659" t="str">
        <f t="shared" si="2712"/>
        <v/>
      </c>
      <c r="N3529" s="660"/>
      <c r="O3529" s="233"/>
      <c r="P3529" s="233"/>
      <c r="Q3529" s="233"/>
      <c r="R3529" s="233"/>
      <c r="S3529" s="233"/>
      <c r="T3529" s="508">
        <f t="shared" si="2671"/>
        <v>0</v>
      </c>
      <c r="U3529" s="225">
        <f>IF(NOT(ISNUMBER(G3529)), "", VLOOKUP(A3529,'Discount Lookup'!D:E,2,FALSE)*G3529)</f>
        <v>0</v>
      </c>
      <c r="V3529" s="225">
        <f>IF(NOT(ISNUMBER(G3529)), "", VLOOKUP(A3529,'Discount Lookup'!G:H,2,FALSE)*G3529)</f>
        <v>0</v>
      </c>
      <c r="W3529" s="508">
        <f t="shared" si="2672"/>
        <v>0</v>
      </c>
      <c r="X3529" s="508">
        <f t="shared" si="2673"/>
        <v>0</v>
      </c>
      <c r="Y3529" s="509" t="b">
        <f t="shared" si="2674"/>
        <v>0</v>
      </c>
      <c r="Z3529" s="510">
        <f t="shared" si="2675"/>
        <v>0</v>
      </c>
      <c r="AA3529" s="511"/>
      <c r="AB3529" s="511" t="str">
        <f t="shared" si="2676"/>
        <v/>
      </c>
      <c r="AC3529" s="698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698"/>
      <c r="AE3529" s="631" t="str">
        <f t="shared" si="2677"/>
        <v/>
      </c>
      <c r="AF3529" s="699" t="str">
        <f t="shared" si="2678"/>
        <v/>
      </c>
      <c r="AG3529" s="699"/>
      <c r="AH3529" s="699"/>
      <c r="AI3529" s="512">
        <f>IF(H3529="credit",0,IF(AE3529="free",0,IF(AE3529="me",0,IF(G3529&gt;0,(VLOOKUP(A3529,'Discount Lookup'!J:K,2)*G3529),0))))</f>
        <v>0</v>
      </c>
      <c r="AJ3529" s="513" t="str">
        <f t="shared" ca="1" si="2679"/>
        <v/>
      </c>
      <c r="AK3529" s="700" t="str">
        <f t="shared" si="2680"/>
        <v/>
      </c>
      <c r="AL3529" s="700"/>
      <c r="AM3529" s="505" t="str">
        <f t="shared" si="2681"/>
        <v/>
      </c>
      <c r="AN3529" s="506"/>
      <c r="AO3529" s="507"/>
      <c r="AP3529" s="507"/>
      <c r="AQ3529" s="507"/>
      <c r="AR3529" s="507"/>
      <c r="AS3529" s="507"/>
      <c r="AT3529" s="507"/>
      <c r="AU3529" s="507"/>
      <c r="AV3529" s="225"/>
      <c r="AW3529" s="508"/>
      <c r="AX3529" s="225"/>
      <c r="AY3529" s="225"/>
      <c r="AZ3529" s="225"/>
      <c r="BA3529" s="225"/>
      <c r="BB3529" s="225"/>
      <c r="BC3529" s="56"/>
      <c r="BD3529" s="56"/>
      <c r="BE3529" s="56"/>
      <c r="BF3529" s="107" t="str">
        <f t="shared" si="2682"/>
        <v>https://www.google.com/search?tbm=isch&amp;q=7%20G5</v>
      </c>
      <c r="BG3529" s="107" t="str">
        <f t="shared" si="2683"/>
        <v>S</v>
      </c>
      <c r="BH3529" s="254"/>
      <c r="BI3529" s="254"/>
    </row>
    <row r="3530" spans="1:61" customFormat="1" ht="15.75" x14ac:dyDescent="0.25">
      <c r="A3530" s="485">
        <v>7</v>
      </c>
      <c r="B3530" s="486" t="s">
        <v>291</v>
      </c>
      <c r="C3530" s="487" t="s">
        <v>4449</v>
      </c>
      <c r="D3530" s="488" t="s">
        <v>292</v>
      </c>
      <c r="E3530" s="489">
        <v>77.95</v>
      </c>
      <c r="F3530" s="516" t="s">
        <v>293</v>
      </c>
      <c r="G3530" s="232">
        <v>0</v>
      </c>
      <c r="H3530" s="658" t="str">
        <f t="shared" si="2708"/>
        <v/>
      </c>
      <c r="I3530" s="490">
        <f t="shared" si="2709"/>
        <v>0</v>
      </c>
      <c r="J3530" s="490">
        <f t="shared" si="2710"/>
        <v>0</v>
      </c>
      <c r="K3530" s="695">
        <f t="shared" ref="K3530" si="2719">I3530+J3530</f>
        <v>0</v>
      </c>
      <c r="L3530" s="695"/>
      <c r="M3530" s="659" t="str">
        <f t="shared" si="2712"/>
        <v/>
      </c>
      <c r="N3530" s="660"/>
      <c r="O3530" s="233"/>
      <c r="P3530" s="233"/>
      <c r="Q3530" s="233"/>
      <c r="R3530" s="233"/>
      <c r="S3530" s="233"/>
      <c r="T3530" s="508">
        <f t="shared" si="2671"/>
        <v>0</v>
      </c>
      <c r="U3530" s="225">
        <f>IF(NOT(ISNUMBER(G3530)), "", VLOOKUP(A3530,'Discount Lookup'!D:E,2,FALSE)*G3530)</f>
        <v>0</v>
      </c>
      <c r="V3530" s="225">
        <f>IF(NOT(ISNUMBER(G3530)), "", VLOOKUP(A3530,'Discount Lookup'!G:H,2,FALSE)*G3530)</f>
        <v>0</v>
      </c>
      <c r="W3530" s="508">
        <f t="shared" si="2672"/>
        <v>0</v>
      </c>
      <c r="X3530" s="508">
        <f t="shared" si="2673"/>
        <v>0</v>
      </c>
      <c r="Y3530" s="509" t="b">
        <f t="shared" si="2674"/>
        <v>0</v>
      </c>
      <c r="Z3530" s="510">
        <f t="shared" si="2675"/>
        <v>0</v>
      </c>
      <c r="AA3530" s="511"/>
      <c r="AB3530" s="511" t="str">
        <f t="shared" si="2676"/>
        <v/>
      </c>
      <c r="AC3530" s="698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698"/>
      <c r="AE3530" s="631" t="str">
        <f t="shared" si="2677"/>
        <v/>
      </c>
      <c r="AF3530" s="699" t="str">
        <f t="shared" si="2678"/>
        <v/>
      </c>
      <c r="AG3530" s="699"/>
      <c r="AH3530" s="699"/>
      <c r="AI3530" s="512">
        <f>IF(H3530="credit",0,IF(AE3530="free",0,IF(AE3530="me",0,IF(G3530&gt;0,(VLOOKUP(A3530,'Discount Lookup'!J:K,2)*G3530),0))))</f>
        <v>0</v>
      </c>
      <c r="AJ3530" s="513" t="str">
        <f t="shared" ca="1" si="2679"/>
        <v/>
      </c>
      <c r="AK3530" s="700" t="str">
        <f t="shared" si="2680"/>
        <v/>
      </c>
      <c r="AL3530" s="700"/>
      <c r="AM3530" s="505" t="str">
        <f t="shared" si="2681"/>
        <v/>
      </c>
      <c r="AN3530" s="506"/>
      <c r="AO3530" s="507"/>
      <c r="AP3530" s="507"/>
      <c r="AQ3530" s="507"/>
      <c r="AR3530" s="507"/>
      <c r="AS3530" s="507"/>
      <c r="AT3530" s="507"/>
      <c r="AU3530" s="507"/>
      <c r="AV3530" s="225"/>
      <c r="AW3530" s="508"/>
      <c r="AX3530" s="225"/>
      <c r="AY3530" s="225"/>
      <c r="AZ3530" s="225"/>
      <c r="BA3530" s="225"/>
      <c r="BB3530" s="225"/>
      <c r="BC3530" s="56"/>
      <c r="BD3530" s="56"/>
      <c r="BE3530" s="56"/>
      <c r="BF3530" s="107" t="str">
        <f t="shared" si="2682"/>
        <v>https://www.google.com/search?tbm=isch&amp;q=7%20G4</v>
      </c>
      <c r="BG3530" s="107" t="str">
        <f t="shared" si="2683"/>
        <v>S</v>
      </c>
      <c r="BH3530" s="254"/>
      <c r="BI3530" s="254"/>
    </row>
    <row r="3531" spans="1:61" customFormat="1" ht="15.75" x14ac:dyDescent="0.25">
      <c r="A3531" s="485">
        <v>10</v>
      </c>
      <c r="B3531" s="486" t="s">
        <v>291</v>
      </c>
      <c r="C3531" s="487" t="s">
        <v>4816</v>
      </c>
      <c r="D3531" s="488" t="s">
        <v>297</v>
      </c>
      <c r="E3531" s="489">
        <v>83.95</v>
      </c>
      <c r="F3531" s="516" t="s">
        <v>293</v>
      </c>
      <c r="G3531" s="232">
        <v>0</v>
      </c>
      <c r="H3531" s="658" t="str">
        <f t="shared" si="2708"/>
        <v/>
      </c>
      <c r="I3531" s="490">
        <f t="shared" si="2709"/>
        <v>0</v>
      </c>
      <c r="J3531" s="490">
        <f t="shared" si="2710"/>
        <v>0</v>
      </c>
      <c r="K3531" s="695">
        <f t="shared" ref="K3531" si="2720">I3531+J3531</f>
        <v>0</v>
      </c>
      <c r="L3531" s="695"/>
      <c r="M3531" s="659" t="str">
        <f t="shared" si="2712"/>
        <v/>
      </c>
      <c r="N3531" s="660"/>
      <c r="O3531" s="233"/>
      <c r="P3531" s="233"/>
      <c r="Q3531" s="233"/>
      <c r="R3531" s="233"/>
      <c r="S3531" s="233"/>
      <c r="T3531" s="508">
        <f t="shared" si="2671"/>
        <v>0</v>
      </c>
      <c r="U3531" s="225">
        <f>IF(NOT(ISNUMBER(G3531)), "", VLOOKUP(A3531,'Discount Lookup'!D:E,2,FALSE)*G3531)</f>
        <v>0</v>
      </c>
      <c r="V3531" s="225">
        <f>IF(NOT(ISNUMBER(G3531)), "", VLOOKUP(A3531,'Discount Lookup'!G:H,2,FALSE)*G3531)</f>
        <v>0</v>
      </c>
      <c r="W3531" s="508">
        <f t="shared" si="2672"/>
        <v>0</v>
      </c>
      <c r="X3531" s="508">
        <f t="shared" si="2673"/>
        <v>0</v>
      </c>
      <c r="Y3531" s="509" t="b">
        <f t="shared" si="2674"/>
        <v>0</v>
      </c>
      <c r="Z3531" s="510">
        <f t="shared" si="2675"/>
        <v>0</v>
      </c>
      <c r="AA3531" s="511"/>
      <c r="AB3531" s="511" t="str">
        <f t="shared" si="2676"/>
        <v/>
      </c>
      <c r="AC3531" s="698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698"/>
      <c r="AE3531" s="631" t="str">
        <f t="shared" si="2677"/>
        <v/>
      </c>
      <c r="AF3531" s="699" t="str">
        <f t="shared" si="2678"/>
        <v/>
      </c>
      <c r="AG3531" s="699"/>
      <c r="AH3531" s="699"/>
      <c r="AI3531" s="512">
        <f>IF(H3531="credit",0,IF(AE3531="free",0,IF(AE3531="me",0,IF(G3531&gt;0,(VLOOKUP(A3531,'Discount Lookup'!J:K,2)*G3531),0))))</f>
        <v>0</v>
      </c>
      <c r="AJ3531" s="513" t="str">
        <f t="shared" ca="1" si="2679"/>
        <v/>
      </c>
      <c r="AK3531" s="700" t="str">
        <f t="shared" si="2680"/>
        <v/>
      </c>
      <c r="AL3531" s="700"/>
      <c r="AM3531" s="505" t="str">
        <f t="shared" si="2681"/>
        <v/>
      </c>
      <c r="AN3531" s="506"/>
      <c r="AO3531" s="507"/>
      <c r="AP3531" s="507"/>
      <c r="AQ3531" s="507"/>
      <c r="AR3531" s="507"/>
      <c r="AS3531" s="507"/>
      <c r="AT3531" s="507"/>
      <c r="AU3531" s="507"/>
      <c r="AV3531" s="225"/>
      <c r="AW3531" s="508"/>
      <c r="AX3531" s="225"/>
      <c r="AY3531" s="225"/>
      <c r="AZ3531" s="225"/>
      <c r="BA3531" s="225"/>
      <c r="BB3531" s="225"/>
      <c r="BC3531" s="56"/>
      <c r="BD3531" s="56"/>
      <c r="BE3531" s="56"/>
      <c r="BF3531" s="107" t="str">
        <f t="shared" si="2682"/>
        <v>https://www.google.com/search?tbm=isch&amp;q=10%20G3</v>
      </c>
      <c r="BG3531" s="107" t="str">
        <f t="shared" si="2683"/>
        <v>S</v>
      </c>
      <c r="BH3531" s="254"/>
      <c r="BI3531" s="254"/>
    </row>
    <row r="3532" spans="1:61" customFormat="1" ht="15.75" x14ac:dyDescent="0.25">
      <c r="A3532" s="485">
        <v>15</v>
      </c>
      <c r="B3532" s="486" t="s">
        <v>291</v>
      </c>
      <c r="C3532" s="487" t="s">
        <v>4946</v>
      </c>
      <c r="D3532" s="488" t="s">
        <v>300</v>
      </c>
      <c r="E3532" s="489">
        <v>104.95</v>
      </c>
      <c r="F3532" s="516" t="s">
        <v>293</v>
      </c>
      <c r="G3532" s="232">
        <v>0</v>
      </c>
      <c r="H3532" s="658" t="str">
        <f t="shared" si="2708"/>
        <v/>
      </c>
      <c r="I3532" s="490">
        <f t="shared" si="2709"/>
        <v>0</v>
      </c>
      <c r="J3532" s="490">
        <f t="shared" si="2710"/>
        <v>0</v>
      </c>
      <c r="K3532" s="695">
        <f t="shared" ref="K3532" si="2721">I3532+J3532</f>
        <v>0</v>
      </c>
      <c r="L3532" s="695"/>
      <c r="M3532" s="659" t="str">
        <f t="shared" si="2712"/>
        <v/>
      </c>
      <c r="N3532" s="660"/>
      <c r="O3532" s="233"/>
      <c r="P3532" s="233"/>
      <c r="Q3532" s="233"/>
      <c r="R3532" s="233"/>
      <c r="S3532" s="233"/>
      <c r="T3532" s="508">
        <f t="shared" si="2671"/>
        <v>0</v>
      </c>
      <c r="U3532" s="225">
        <f>IF(NOT(ISNUMBER(G3532)), "", VLOOKUP(A3532,'Discount Lookup'!D:E,2,FALSE)*G3532)</f>
        <v>0</v>
      </c>
      <c r="V3532" s="225">
        <f>IF(NOT(ISNUMBER(G3532)), "", VLOOKUP(A3532,'Discount Lookup'!G:H,2,FALSE)*G3532)</f>
        <v>0</v>
      </c>
      <c r="W3532" s="508">
        <f t="shared" si="2672"/>
        <v>0</v>
      </c>
      <c r="X3532" s="508">
        <f t="shared" si="2673"/>
        <v>0</v>
      </c>
      <c r="Y3532" s="509" t="b">
        <f t="shared" si="2674"/>
        <v>0</v>
      </c>
      <c r="Z3532" s="510">
        <f t="shared" si="2675"/>
        <v>0</v>
      </c>
      <c r="AA3532" s="511"/>
      <c r="AB3532" s="511" t="str">
        <f t="shared" si="2676"/>
        <v/>
      </c>
      <c r="AC3532" s="698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698"/>
      <c r="AE3532" s="631" t="str">
        <f t="shared" si="2677"/>
        <v/>
      </c>
      <c r="AF3532" s="699" t="str">
        <f t="shared" si="2678"/>
        <v/>
      </c>
      <c r="AG3532" s="699"/>
      <c r="AH3532" s="699"/>
      <c r="AI3532" s="512">
        <f>IF(H3532="credit",0,IF(AE3532="free",0,IF(AE3532="me",0,IF(G3532&gt;0,(VLOOKUP(A3532,'Discount Lookup'!J:K,2)*G3532),0))))</f>
        <v>0</v>
      </c>
      <c r="AJ3532" s="513" t="str">
        <f t="shared" ca="1" si="2679"/>
        <v/>
      </c>
      <c r="AK3532" s="700" t="str">
        <f t="shared" si="2680"/>
        <v/>
      </c>
      <c r="AL3532" s="700"/>
      <c r="AM3532" s="505" t="str">
        <f t="shared" si="2681"/>
        <v/>
      </c>
      <c r="AN3532" s="506"/>
      <c r="AO3532" s="507"/>
      <c r="AP3532" s="507"/>
      <c r="AQ3532" s="507"/>
      <c r="AR3532" s="507"/>
      <c r="AS3532" s="507"/>
      <c r="AT3532" s="507"/>
      <c r="AU3532" s="507"/>
      <c r="AV3532" s="225"/>
      <c r="AW3532" s="508"/>
      <c r="AX3532" s="225"/>
      <c r="AY3532" s="225"/>
      <c r="AZ3532" s="225"/>
      <c r="BA3532" s="225"/>
      <c r="BB3532" s="225"/>
      <c r="BC3532" s="56"/>
      <c r="BD3532" s="56"/>
      <c r="BE3532" s="56"/>
      <c r="BF3532" s="107" t="str">
        <f t="shared" si="2682"/>
        <v>https://www.google.com/search?tbm=isch&amp;q=15%20G6</v>
      </c>
      <c r="BG3532" s="107" t="str">
        <f t="shared" si="2683"/>
        <v>S</v>
      </c>
      <c r="BH3532" s="254"/>
      <c r="BI3532" s="254"/>
    </row>
    <row r="3533" spans="1:61" customFormat="1" ht="27" x14ac:dyDescent="0.25">
      <c r="A3533" s="485">
        <v>15</v>
      </c>
      <c r="B3533" s="486" t="s">
        <v>291</v>
      </c>
      <c r="C3533" s="487" t="s">
        <v>1814</v>
      </c>
      <c r="D3533" s="488" t="s">
        <v>299</v>
      </c>
      <c r="E3533" s="489">
        <v>160.94999999999999</v>
      </c>
      <c r="F3533" s="516" t="s">
        <v>293</v>
      </c>
      <c r="G3533" s="232">
        <v>0</v>
      </c>
      <c r="H3533" s="658" t="str">
        <f t="shared" si="2708"/>
        <v/>
      </c>
      <c r="I3533" s="490">
        <f t="shared" si="2709"/>
        <v>0</v>
      </c>
      <c r="J3533" s="490">
        <f t="shared" si="2710"/>
        <v>0</v>
      </c>
      <c r="K3533" s="695">
        <f t="shared" ref="K3533" si="2722">I3533+J3533</f>
        <v>0</v>
      </c>
      <c r="L3533" s="695"/>
      <c r="M3533" s="659" t="str">
        <f t="shared" si="2712"/>
        <v/>
      </c>
      <c r="N3533" s="660"/>
      <c r="O3533" s="233"/>
      <c r="P3533" s="233"/>
      <c r="Q3533" s="233"/>
      <c r="R3533" s="233"/>
      <c r="S3533" s="233"/>
      <c r="T3533" s="508">
        <f t="shared" si="2671"/>
        <v>0</v>
      </c>
      <c r="U3533" s="225">
        <f>IF(NOT(ISNUMBER(G3533)), "", VLOOKUP(A3533,'Discount Lookup'!D:E,2,FALSE)*G3533)</f>
        <v>0</v>
      </c>
      <c r="V3533" s="225">
        <f>IF(NOT(ISNUMBER(G3533)), "", VLOOKUP(A3533,'Discount Lookup'!G:H,2,FALSE)*G3533)</f>
        <v>0</v>
      </c>
      <c r="W3533" s="508">
        <f t="shared" si="2672"/>
        <v>0</v>
      </c>
      <c r="X3533" s="508">
        <f t="shared" si="2673"/>
        <v>0</v>
      </c>
      <c r="Y3533" s="509" t="b">
        <f t="shared" si="2674"/>
        <v>0</v>
      </c>
      <c r="Z3533" s="510">
        <f t="shared" si="2675"/>
        <v>0</v>
      </c>
      <c r="AA3533" s="511"/>
      <c r="AB3533" s="511" t="str">
        <f t="shared" si="2676"/>
        <v/>
      </c>
      <c r="AC3533" s="698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698"/>
      <c r="AE3533" s="631" t="str">
        <f t="shared" si="2677"/>
        <v/>
      </c>
      <c r="AF3533" s="699" t="str">
        <f t="shared" si="2678"/>
        <v/>
      </c>
      <c r="AG3533" s="699"/>
      <c r="AH3533" s="699"/>
      <c r="AI3533" s="512">
        <f>IF(H3533="credit",0,IF(AE3533="free",0,IF(AE3533="me",0,IF(G3533&gt;0,(VLOOKUP(A3533,'Discount Lookup'!J:K,2)*G3533),0))))</f>
        <v>0</v>
      </c>
      <c r="AJ3533" s="513" t="str">
        <f t="shared" ca="1" si="2679"/>
        <v/>
      </c>
      <c r="AK3533" s="700" t="str">
        <f t="shared" si="2680"/>
        <v/>
      </c>
      <c r="AL3533" s="700"/>
      <c r="AM3533" s="505" t="str">
        <f t="shared" si="2681"/>
        <v/>
      </c>
      <c r="AN3533" s="506"/>
      <c r="AO3533" s="507"/>
      <c r="AP3533" s="507"/>
      <c r="AQ3533" s="507"/>
      <c r="AR3533" s="507"/>
      <c r="AS3533" s="507"/>
      <c r="AT3533" s="507"/>
      <c r="AU3533" s="507"/>
      <c r="AV3533" s="225"/>
      <c r="AW3533" s="508"/>
      <c r="AX3533" s="225"/>
      <c r="AY3533" s="225"/>
      <c r="AZ3533" s="225"/>
      <c r="BA3533" s="225"/>
      <c r="BB3533" s="225"/>
      <c r="BC3533" s="56"/>
      <c r="BD3533" s="56"/>
      <c r="BE3533" s="56"/>
      <c r="BF3533" s="107" t="str">
        <f t="shared" si="2682"/>
        <v>https://www.google.com/search?tbm=isch&amp;q=15%20G5</v>
      </c>
      <c r="BG3533" s="107" t="str">
        <f t="shared" si="2683"/>
        <v>S</v>
      </c>
      <c r="BH3533" s="254"/>
      <c r="BI3533" s="254"/>
    </row>
    <row r="3534" spans="1:61" customFormat="1" ht="15.75" x14ac:dyDescent="0.25">
      <c r="A3534" s="485">
        <v>25</v>
      </c>
      <c r="B3534" s="486" t="s">
        <v>291</v>
      </c>
      <c r="C3534" s="487" t="s">
        <v>4947</v>
      </c>
      <c r="D3534" s="488" t="s">
        <v>300</v>
      </c>
      <c r="E3534" s="489">
        <v>211.95</v>
      </c>
      <c r="F3534" s="516" t="s">
        <v>293</v>
      </c>
      <c r="G3534" s="232">
        <v>0</v>
      </c>
      <c r="H3534" s="658" t="str">
        <f t="shared" si="2708"/>
        <v/>
      </c>
      <c r="I3534" s="490">
        <f t="shared" si="2709"/>
        <v>0</v>
      </c>
      <c r="J3534" s="490">
        <f t="shared" si="2710"/>
        <v>0</v>
      </c>
      <c r="K3534" s="695">
        <f t="shared" ref="K3534" si="2723">I3534+J3534</f>
        <v>0</v>
      </c>
      <c r="L3534" s="695"/>
      <c r="M3534" s="659" t="str">
        <f t="shared" si="2712"/>
        <v/>
      </c>
      <c r="N3534" s="660"/>
      <c r="O3534" s="233"/>
      <c r="P3534" s="233"/>
      <c r="Q3534" s="233"/>
      <c r="R3534" s="233"/>
      <c r="S3534" s="233"/>
      <c r="T3534" s="508">
        <f t="shared" ref="T3534:T3597" si="2724">E3534*G3534</f>
        <v>0</v>
      </c>
      <c r="U3534" s="225">
        <f>IF(NOT(ISNUMBER(G3534)), "", VLOOKUP(A3534,'Discount Lookup'!D:E,2,FALSE)*G3534)</f>
        <v>0</v>
      </c>
      <c r="V3534" s="225">
        <f>IF(NOT(ISNUMBER(G3534)), "", VLOOKUP(A3534,'Discount Lookup'!G:H,2,FALSE)*G3534)</f>
        <v>0</v>
      </c>
      <c r="W3534" s="508">
        <f t="shared" ref="W3534:W3597" si="2725">IF(H3534="credit",0,E3534*(SalesTaxPercentage)*G3534)</f>
        <v>0</v>
      </c>
      <c r="X3534" s="508">
        <f t="shared" ref="X3534:X3597" si="2726">I3534</f>
        <v>0</v>
      </c>
      <c r="Y3534" s="509" t="b">
        <f t="shared" ref="Y3534:Y3597" si="2727">IF(AE3534="T2G",0,IF(H3534="credit",0,IF(G3534&gt;0,IF(AE3534="me","",G3534))))</f>
        <v>0</v>
      </c>
      <c r="Z3534" s="510">
        <f t="shared" ref="Z3534:Z3597" si="2728">IF(H3534="credit",G3534,0)</f>
        <v>0</v>
      </c>
      <c r="AA3534" s="511"/>
      <c r="AB3534" s="511" t="str">
        <f t="shared" ref="AB3534:AB3597" si="2729">IF(AE3534="T2G","by Trees2Go",IF(H3534="credit","CREDIT only ~",IF(AND(K3534="",AE3534=OR(PlanterYesMe="No",PlanterYesMe="N",PlanterYesMe="me")),"not THIS line⇨",IF(AND(K3534="images",AE3534="me"),"not THIS line⇨",IF(H3534="credit","",IF(G3534=0,"",IF(AE3534="me","",IF(OR(PlanterYesMe="No",PlanterYesMe="N",PlanterYesMe="me"),"",IF(AE3534="free","warranty",IF(OR(PlanterYesMe="yes",PlanterYesMe="y"),"Edison install:","to install:"))))))))))</f>
        <v/>
      </c>
      <c r="AC3534" s="698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698"/>
      <c r="AE3534" s="631" t="str">
        <f t="shared" ref="AE3534:AE3597" si="2730">IF(H3534="credit","",IF(G3534=0,"",IF(OR(PlanterYesMe="No",PlanterYesMe="N",PlanterYesMe="me"),"me",IF(H3534="warranty","free",IF(OR(PlanterYesMe="yes",PlanterYesMe="y"),"ELP","")))))</f>
        <v/>
      </c>
      <c r="AF3534" s="699" t="str">
        <f t="shared" ref="AF3534:AF3597" si="2731">IF(OR(PlanterYesMe="No",PlanterYesMe="N",PlanterYesMe="me"),"",IF(H3534="credit","",IF(G3534&gt;0,(CONCATENATE((G3534)," quantity, ",(A3534)," ",B3534)),"")))</f>
        <v/>
      </c>
      <c r="AG3534" s="699"/>
      <c r="AH3534" s="699"/>
      <c r="AI3534" s="512">
        <f>IF(H3534="credit",0,IF(AE3534="free",0,IF(AE3534="me",0,IF(G3534&gt;0,(VLOOKUP(A3534,'Discount Lookup'!J:K,2)*G3534),0))))</f>
        <v>0</v>
      </c>
      <c r="AJ3534" s="513" t="str">
        <f t="shared" ref="AJ3534:AJ3597" ca="1" si="2732">IF(AND(ISREF(H3534),H3534="credit"),"",IF(AND(AND(OFFSET(G3534,0,0)=0,OFFSET(G3534,1,0)&gt;0,ISNUMBER(OFFSET(AC3534,1,0)),OFFSET(AC3534,1,0)&gt;0),OR(PlanterYesMe="yes",PlanterYesMe="y")),"T2G+ELP=",IF(AND(OFFSET(G3534,0,0)=0,OFFSET(G3534,1,0)&gt;0,ISNUMBER(OFFSET(AC3534,1,0)),OFFSET(AC3534,1,0)&gt;0),"if T2G+ELP=",IF(AND(OFFSET(G3534,0,0)=0,OFFSET(G3534,1,0)&gt;0),"T2G Subtotal",IF(H3534="credit","",IF(G3534=0,"",IF(AE3534="free",(K3534*(1-T2GDiscount)),IF(OR(PlanterYesMe="No",PlanterYesMe="N",PlanterYesMe="me"),(K3534*(1-T2GDiscount)),IF(OR(AE3534="me",AE3534="T2G"),(K3534*(1-T2GDiscount)),(K3534*(1-T2GDiscount))+AC3534)))))))))</f>
        <v/>
      </c>
      <c r="AK3534" s="700" t="str">
        <f t="shared" ref="AK3534:AK3597" si="2733">IF(H3534="credit","",IF(G3534=0,"",IF(OR(AE3534="me",AE3534="T2G"),"  delivery-only",IF(OR(PlanterYesMe="No",PlanterYesMe="N",PlanterYesMe="me"),"  delivery-only",CONCATENATE(" $",ROUND(AJ3534/G3534,2)," each")))))</f>
        <v/>
      </c>
      <c r="AL3534" s="700"/>
      <c r="AM3534" s="505" t="str">
        <f t="shared" ref="AM3534:AM3597" si="2734">IF(H3534="credit","",IF(AE3534="free","      ~ discounts included, no tax or planting fee applies ~",IF(G3534=0,"",IF(OR(PlanterYesMe="No",PlanterYesMe="N",PlanterYesMe="me"),CONCATENATE(" $",ROUND(AJ3534/G3534,2)," per plant, with tax &amp; discount"),IF(OR(AE3534="me",AE3534="T2G"),CONCATENATE(" $",ROUND(AJ3534/G3534,2)," per plant, with tax &amp; discount"),CONCATENATE("= $",ROUND((K3534*(1-T2GDiscount))/G3534,2)," per plant + $",AC3534/G3534,(" per planting      ~ includes tax &amp; discounts ~")))))))</f>
        <v/>
      </c>
      <c r="AN3534" s="506"/>
      <c r="AO3534" s="507"/>
      <c r="AP3534" s="507"/>
      <c r="AQ3534" s="507"/>
      <c r="AR3534" s="507"/>
      <c r="AS3534" s="507"/>
      <c r="AT3534" s="507"/>
      <c r="AU3534" s="507"/>
      <c r="AV3534" s="225"/>
      <c r="AW3534" s="508"/>
      <c r="AX3534" s="225"/>
      <c r="AY3534" s="225"/>
      <c r="AZ3534" s="225"/>
      <c r="BA3534" s="225"/>
      <c r="BB3534" s="225"/>
      <c r="BC3534" s="56"/>
      <c r="BD3534" s="56"/>
      <c r="BE3534" s="56"/>
      <c r="BF3534" s="107" t="str">
        <f t="shared" ref="BF3534:BF3597" si="2735">"https://www.google.com/search?tbm=isch&amp;q=" &amp; _xlfn.ENCODEURL($A3534 &amp; " " &amp; $D3534)</f>
        <v>https://www.google.com/search?tbm=isch&amp;q=25%20G6</v>
      </c>
      <c r="BG3534" s="107" t="str">
        <f t="shared" ref="BG3534:BG3597" si="2736">IF(ISTEXT(A3534),LEFT(A3534,1),BG3533)</f>
        <v>S</v>
      </c>
      <c r="BH3534" s="254"/>
      <c r="BI3534" s="254"/>
    </row>
    <row r="3535" spans="1:61" customFormat="1" ht="16.5" thickBot="1" x14ac:dyDescent="0.3">
      <c r="A3535" s="522" t="s">
        <v>2182</v>
      </c>
      <c r="B3535" s="491"/>
      <c r="C3535" s="675"/>
      <c r="D3535" s="491"/>
      <c r="E3535" s="491"/>
      <c r="F3535" s="492"/>
      <c r="G3535" s="493"/>
      <c r="H3535" s="491"/>
      <c r="I3535" s="234"/>
      <c r="J3535" s="234"/>
      <c r="K3535" s="494"/>
      <c r="L3535" s="543"/>
      <c r="M3535" s="561"/>
      <c r="N3535" s="495"/>
      <c r="O3535" s="496"/>
      <c r="P3535" s="497"/>
      <c r="Q3535" s="495"/>
      <c r="R3535" s="495"/>
      <c r="S3535" s="667" t="s">
        <v>4968</v>
      </c>
      <c r="T3535" s="508">
        <f t="shared" si="2724"/>
        <v>0</v>
      </c>
      <c r="U3535" s="225" t="str">
        <f>IF(NOT(ISNUMBER(G3535)), "", VLOOKUP(A3535,'Discount Lookup'!D:E,2,FALSE)*G3535)</f>
        <v/>
      </c>
      <c r="V3535" s="225" t="str">
        <f>IF(NOT(ISNUMBER(G3535)), "", VLOOKUP(A3535,'Discount Lookup'!G:H,2,FALSE)*G3535)</f>
        <v/>
      </c>
      <c r="W3535" s="508">
        <f t="shared" si="2725"/>
        <v>0</v>
      </c>
      <c r="X3535" s="508">
        <f t="shared" si="2726"/>
        <v>0</v>
      </c>
      <c r="Y3535" s="509" t="b">
        <f t="shared" si="2727"/>
        <v>0</v>
      </c>
      <c r="Z3535" s="510">
        <f t="shared" si="2728"/>
        <v>0</v>
      </c>
      <c r="AA3535" s="511"/>
      <c r="AB3535" s="511" t="str">
        <f t="shared" si="2729"/>
        <v/>
      </c>
      <c r="AC3535" s="698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698"/>
      <c r="AE3535" s="631" t="str">
        <f t="shared" si="2730"/>
        <v/>
      </c>
      <c r="AF3535" s="699" t="str">
        <f t="shared" si="2731"/>
        <v/>
      </c>
      <c r="AG3535" s="699"/>
      <c r="AH3535" s="699"/>
      <c r="AI3535" s="512">
        <f>IF(H3535="credit",0,IF(AE3535="free",0,IF(AE3535="me",0,IF(G3535&gt;0,(VLOOKUP(A3535,'Discount Lookup'!J:K,2)*G3535),0))))</f>
        <v>0</v>
      </c>
      <c r="AJ3535" s="513" t="str">
        <f t="shared" ca="1" si="2732"/>
        <v/>
      </c>
      <c r="AK3535" s="700" t="str">
        <f t="shared" si="2733"/>
        <v/>
      </c>
      <c r="AL3535" s="700"/>
      <c r="AM3535" s="505" t="str">
        <f t="shared" si="2734"/>
        <v/>
      </c>
      <c r="AN3535" s="506"/>
      <c r="AO3535" s="507"/>
      <c r="AP3535" s="507"/>
      <c r="AQ3535" s="507"/>
      <c r="AR3535" s="507"/>
      <c r="AS3535" s="507"/>
      <c r="AT3535" s="507"/>
      <c r="AU3535" s="507"/>
      <c r="AV3535" s="225"/>
      <c r="AW3535" s="508"/>
      <c r="AX3535" s="225"/>
      <c r="AY3535" s="225"/>
      <c r="AZ3535" s="225"/>
      <c r="BA3535" s="225"/>
      <c r="BB3535" s="225"/>
      <c r="BC3535" s="56"/>
      <c r="BD3535" s="56"/>
      <c r="BE3535" s="56"/>
      <c r="BF3535" s="107" t="str">
        <f t="shared" si="2735"/>
        <v>https://www.google.com/search?tbm=isch&amp;q=Steeds%20is%20a%20dense%2C%20lustrous%2C%20upright%20pyramidal%20shrub%20that%20shears%20well.%20Tiny%20flowers%20produce%20showy%20black%20winter%20berries%20</v>
      </c>
      <c r="BG3535" s="107" t="str">
        <f t="shared" si="2736"/>
        <v>S</v>
      </c>
      <c r="BH3535" s="254"/>
      <c r="BI3535" s="254"/>
    </row>
    <row r="3536" spans="1:61" customFormat="1" ht="18" x14ac:dyDescent="0.25">
      <c r="A3536" s="523" t="s">
        <v>1817</v>
      </c>
      <c r="B3536" s="235"/>
      <c r="C3536" s="676"/>
      <c r="D3536" s="255" t="s">
        <v>1818</v>
      </c>
      <c r="E3536" s="236"/>
      <c r="F3536" s="236"/>
      <c r="G3536" s="236"/>
      <c r="H3536" s="582" t="s">
        <v>1819</v>
      </c>
      <c r="I3536" s="498" t="s">
        <v>660</v>
      </c>
      <c r="J3536" s="237"/>
      <c r="K3536" s="237"/>
      <c r="L3536" s="274"/>
      <c r="M3536" s="668" t="s">
        <v>4975</v>
      </c>
      <c r="N3536" s="681" t="str">
        <f>IF(AND(ISTEXT($A3536), ISERROR($A3536+0)), HYPERLINK($BF3536, "Images"), "")</f>
        <v>Images</v>
      </c>
      <c r="O3536" s="663" t="s">
        <v>4974</v>
      </c>
      <c r="P3536" s="253"/>
      <c r="Q3536" s="238"/>
      <c r="R3536" s="239"/>
      <c r="S3536" s="275"/>
      <c r="T3536" s="508">
        <f t="shared" si="2724"/>
        <v>0</v>
      </c>
      <c r="U3536" s="225" t="str">
        <f>IF(NOT(ISNUMBER(G3536)), "", VLOOKUP(A3536,'Discount Lookup'!D:E,2,FALSE)*G3536)</f>
        <v/>
      </c>
      <c r="V3536" s="225" t="str">
        <f>IF(NOT(ISNUMBER(G3536)), "", VLOOKUP(A3536,'Discount Lookup'!G:H,2,FALSE)*G3536)</f>
        <v/>
      </c>
      <c r="W3536" s="508">
        <f t="shared" si="2725"/>
        <v>0</v>
      </c>
      <c r="X3536" s="508" t="str">
        <f t="shared" si="2726"/>
        <v>Golden Yellow bloom</v>
      </c>
      <c r="Y3536" s="509" t="b">
        <f t="shared" si="2727"/>
        <v>0</v>
      </c>
      <c r="Z3536" s="510">
        <f t="shared" si="2728"/>
        <v>0</v>
      </c>
      <c r="AA3536" s="511"/>
      <c r="AB3536" s="511" t="str">
        <f t="shared" si="2729"/>
        <v/>
      </c>
      <c r="AC3536" s="698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698"/>
      <c r="AE3536" s="631" t="str">
        <f t="shared" si="2730"/>
        <v/>
      </c>
      <c r="AF3536" s="699" t="str">
        <f t="shared" si="2731"/>
        <v/>
      </c>
      <c r="AG3536" s="699"/>
      <c r="AH3536" s="699"/>
      <c r="AI3536" s="512">
        <f>IF(H3536="credit",0,IF(AE3536="free",0,IF(AE3536="me",0,IF(G3536&gt;0,(VLOOKUP(A3536,'Discount Lookup'!J:K,2)*G3536),0))))</f>
        <v>0</v>
      </c>
      <c r="AJ3536" s="513" t="str">
        <f t="shared" ca="1" si="2732"/>
        <v/>
      </c>
      <c r="AK3536" s="700" t="str">
        <f t="shared" si="2733"/>
        <v/>
      </c>
      <c r="AL3536" s="700"/>
      <c r="AM3536" s="505" t="str">
        <f t="shared" si="2734"/>
        <v/>
      </c>
      <c r="AN3536" s="506"/>
      <c r="AO3536" s="507"/>
      <c r="AP3536" s="507"/>
      <c r="AQ3536" s="507"/>
      <c r="AR3536" s="507"/>
      <c r="AS3536" s="507"/>
      <c r="AT3536" s="507"/>
      <c r="AU3536" s="507"/>
      <c r="AV3536" s="225"/>
      <c r="AW3536" s="508"/>
      <c r="AX3536" s="225"/>
      <c r="AY3536" s="225"/>
      <c r="AZ3536" s="225"/>
      <c r="BA3536" s="225"/>
      <c r="BB3536" s="225"/>
      <c r="BC3536" s="56"/>
      <c r="BD3536" s="56"/>
      <c r="BE3536" s="56"/>
      <c r="BF3536" s="107" t="str">
        <f t="shared" si="2735"/>
        <v>https://www.google.com/search?tbm=isch&amp;q=Stella%20d%27Oro%20Daylily%20Hemerocallis%20%27Stella%20d%27Oro%27</v>
      </c>
      <c r="BG3536" s="107" t="str">
        <f t="shared" si="2736"/>
        <v>S</v>
      </c>
      <c r="BH3536" s="254"/>
      <c r="BI3536" s="254"/>
    </row>
    <row r="3537" spans="1:61" customFormat="1" ht="15.75" x14ac:dyDescent="0.25">
      <c r="A3537" s="276">
        <v>1</v>
      </c>
      <c r="B3537" s="240" t="s">
        <v>291</v>
      </c>
      <c r="C3537" s="241">
        <v>2000</v>
      </c>
      <c r="D3537" s="242" t="s">
        <v>297</v>
      </c>
      <c r="E3537" s="243">
        <v>6.95</v>
      </c>
      <c r="F3537" s="517" t="s">
        <v>293</v>
      </c>
      <c r="G3537" s="232">
        <v>0</v>
      </c>
      <c r="H3537" s="661" t="str">
        <f>IF(G3537=0,"",IF(F3537="Buy",IF(G3537=1,"plant","plants"),IF(F3537&gt;0.01,"warranty","Error")))</f>
        <v/>
      </c>
      <c r="I3537" s="244">
        <f>IF(H3537="free",0,IF(H3537="credit",((E3537*(F3537))*G3537*-1),IF(F3537="Buy",(E3537*G3537),((E3537*(1-F3537))*G3537))))</f>
        <v>0</v>
      </c>
      <c r="J3537" s="244">
        <f>IF(H3537="warranty",0,(I3537*(_xlfn.SINGLE(SalesTaxPercentage))))</f>
        <v>0</v>
      </c>
      <c r="K3537" s="696">
        <f t="shared" ref="K3537" si="2737">I3537+J3537</f>
        <v>0</v>
      </c>
      <c r="L3537" s="696"/>
      <c r="M3537" s="659" t="str">
        <f>IF(AND(G3537&gt;0,E3537=0),"WARNING - no PRICE inserted",IF(H3537="free"," FREE ~ no charge this plant",IF(H3537="credit",CONCATENATE(" -$",ROUND(K3537*(1-T2GDiscount)*-1,2)," CREDIT after discount"),IF(T2GDiscount=0,"",IF(G3537=0,"",IF(F3537="Buy",CONCATENATE(" $",ROUND(K3537*(1-T2GDiscount),2)," with ",(T2GDiscount*100),"% discount"),CONCATENATE(" $",ROUND(K3537*(1-T2GDiscount),2)," with ",((T2GDiscount*100+F3537*100)-(T2GDiscount*100*F3537)),IF(F3537&gt;0,"% discounts",IF(NoWarrantyDiscount&gt;0,"% discounts","% discount")))))))))</f>
        <v/>
      </c>
      <c r="N3537" s="660"/>
      <c r="O3537" s="233"/>
      <c r="P3537" s="233"/>
      <c r="Q3537" s="233"/>
      <c r="R3537" s="233"/>
      <c r="S3537" s="233"/>
      <c r="T3537" s="508">
        <f t="shared" si="2724"/>
        <v>0</v>
      </c>
      <c r="U3537" s="225">
        <f>IF(NOT(ISNUMBER(G3537)), "", VLOOKUP(A3537,'Discount Lookup'!D:E,2,FALSE)*G3537)</f>
        <v>0</v>
      </c>
      <c r="V3537" s="225">
        <f>IF(NOT(ISNUMBER(G3537)), "", VLOOKUP(A3537,'Discount Lookup'!G:H,2,FALSE)*G3537)</f>
        <v>0</v>
      </c>
      <c r="W3537" s="508">
        <f t="shared" si="2725"/>
        <v>0</v>
      </c>
      <c r="X3537" s="508">
        <f t="shared" si="2726"/>
        <v>0</v>
      </c>
      <c r="Y3537" s="509" t="b">
        <f t="shared" si="2727"/>
        <v>0</v>
      </c>
      <c r="Z3537" s="510">
        <f t="shared" si="2728"/>
        <v>0</v>
      </c>
      <c r="AA3537" s="511"/>
      <c r="AB3537" s="511" t="str">
        <f t="shared" si="2729"/>
        <v/>
      </c>
      <c r="AC3537" s="698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698"/>
      <c r="AE3537" s="631" t="str">
        <f t="shared" si="2730"/>
        <v/>
      </c>
      <c r="AF3537" s="699" t="str">
        <f t="shared" si="2731"/>
        <v/>
      </c>
      <c r="AG3537" s="699"/>
      <c r="AH3537" s="699"/>
      <c r="AI3537" s="512">
        <f>IF(H3537="credit",0,IF(AE3537="free",0,IF(AE3537="me",0,IF(G3537&gt;0,(VLOOKUP(A3537,'Discount Lookup'!J:K,2)*G3537),0))))</f>
        <v>0</v>
      </c>
      <c r="AJ3537" s="513" t="str">
        <f t="shared" ca="1" si="2732"/>
        <v/>
      </c>
      <c r="AK3537" s="700" t="str">
        <f t="shared" si="2733"/>
        <v/>
      </c>
      <c r="AL3537" s="700"/>
      <c r="AM3537" s="505" t="str">
        <f t="shared" si="2734"/>
        <v/>
      </c>
      <c r="AN3537" s="506"/>
      <c r="AO3537" s="507"/>
      <c r="AP3537" s="507"/>
      <c r="AQ3537" s="507"/>
      <c r="AR3537" s="507"/>
      <c r="AS3537" s="507"/>
      <c r="AT3537" s="507"/>
      <c r="AU3537" s="507"/>
      <c r="AV3537" s="225"/>
      <c r="AW3537" s="508"/>
      <c r="AX3537" s="225"/>
      <c r="AY3537" s="225"/>
      <c r="AZ3537" s="225"/>
      <c r="BA3537" s="225"/>
      <c r="BB3537" s="225"/>
      <c r="BC3537" s="56"/>
      <c r="BD3537" s="56"/>
      <c r="BE3537" s="56"/>
      <c r="BF3537" s="107" t="str">
        <f t="shared" si="2735"/>
        <v>https://www.google.com/search?tbm=isch&amp;q=1%20G3</v>
      </c>
      <c r="BG3537" s="107" t="str">
        <f t="shared" si="2736"/>
        <v>S</v>
      </c>
      <c r="BH3537" s="254"/>
      <c r="BI3537" s="254"/>
    </row>
    <row r="3538" spans="1:61" customFormat="1" ht="15.75" x14ac:dyDescent="0.25">
      <c r="A3538" s="276">
        <v>1</v>
      </c>
      <c r="B3538" s="240" t="s">
        <v>291</v>
      </c>
      <c r="C3538" s="241" t="s">
        <v>2214</v>
      </c>
      <c r="D3538" s="242" t="s">
        <v>300</v>
      </c>
      <c r="E3538" s="243">
        <v>9.9499999999999993</v>
      </c>
      <c r="F3538" s="517" t="s">
        <v>293</v>
      </c>
      <c r="G3538" s="232">
        <v>0</v>
      </c>
      <c r="H3538" s="661" t="str">
        <f>IF(G3538=0,"",IF(F3538="Buy",IF(G3538=1,"plant","plants"),IF(F3538&gt;0.01,"warranty","Error")))</f>
        <v/>
      </c>
      <c r="I3538" s="244">
        <f>IF(H3538="free",0,IF(H3538="credit",((E3538*(F3538))*G3538*-1),IF(F3538="Buy",(E3538*G3538),((E3538*(1-F3538))*G3538))))</f>
        <v>0</v>
      </c>
      <c r="J3538" s="244">
        <f>IF(H3538="warranty",0,(I3538*(_xlfn.SINGLE(SalesTaxPercentage))))</f>
        <v>0</v>
      </c>
      <c r="K3538" s="696">
        <f t="shared" ref="K3538" si="2738">I3538+J3538</f>
        <v>0</v>
      </c>
      <c r="L3538" s="696"/>
      <c r="M3538" s="659" t="str">
        <f>IF(AND(G3538&gt;0,E3538=0),"WARNING - no PRICE inserted",IF(H3538="free"," FREE ~ no charge this plant",IF(H3538="credit",CONCATENATE(" -$",ROUND(K3538*(1-T2GDiscount)*-1,2)," CREDIT after discount"),IF(T2GDiscount=0,"",IF(G3538=0,"",IF(F3538="Buy",CONCATENATE(" $",ROUND(K3538*(1-T2GDiscount),2)," with ",(T2GDiscount*100),"% discount"),CONCATENATE(" $",ROUND(K3538*(1-T2GDiscount),2)," with ",((T2GDiscount*100+F3538*100)-(T2GDiscount*100*F3538)),IF(F3538&gt;0,"% discounts",IF(NoWarrantyDiscount&gt;0,"% discounts","% discount")))))))))</f>
        <v/>
      </c>
      <c r="N3538" s="660"/>
      <c r="O3538" s="233"/>
      <c r="P3538" s="233"/>
      <c r="Q3538" s="233"/>
      <c r="R3538" s="233"/>
      <c r="S3538" s="233"/>
      <c r="T3538" s="508">
        <f t="shared" si="2724"/>
        <v>0</v>
      </c>
      <c r="U3538" s="225">
        <f>IF(NOT(ISNUMBER(G3538)), "", VLOOKUP(A3538,'Discount Lookup'!D:E,2,FALSE)*G3538)</f>
        <v>0</v>
      </c>
      <c r="V3538" s="225">
        <f>IF(NOT(ISNUMBER(G3538)), "", VLOOKUP(A3538,'Discount Lookup'!G:H,2,FALSE)*G3538)</f>
        <v>0</v>
      </c>
      <c r="W3538" s="508">
        <f t="shared" si="2725"/>
        <v>0</v>
      </c>
      <c r="X3538" s="508">
        <f t="shared" si="2726"/>
        <v>0</v>
      </c>
      <c r="Y3538" s="509" t="b">
        <f t="shared" si="2727"/>
        <v>0</v>
      </c>
      <c r="Z3538" s="510">
        <f t="shared" si="2728"/>
        <v>0</v>
      </c>
      <c r="AA3538" s="511"/>
      <c r="AB3538" s="511" t="str">
        <f t="shared" si="2729"/>
        <v/>
      </c>
      <c r="AC3538" s="698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698"/>
      <c r="AE3538" s="631" t="str">
        <f t="shared" si="2730"/>
        <v/>
      </c>
      <c r="AF3538" s="699" t="str">
        <f t="shared" si="2731"/>
        <v/>
      </c>
      <c r="AG3538" s="699"/>
      <c r="AH3538" s="699"/>
      <c r="AI3538" s="512">
        <f>IF(H3538="credit",0,IF(AE3538="free",0,IF(AE3538="me",0,IF(G3538&gt;0,(VLOOKUP(A3538,'Discount Lookup'!J:K,2)*G3538),0))))</f>
        <v>0</v>
      </c>
      <c r="AJ3538" s="513" t="str">
        <f t="shared" ca="1" si="2732"/>
        <v/>
      </c>
      <c r="AK3538" s="700" t="str">
        <f t="shared" si="2733"/>
        <v/>
      </c>
      <c r="AL3538" s="700"/>
      <c r="AM3538" s="505" t="str">
        <f t="shared" si="2734"/>
        <v/>
      </c>
      <c r="AN3538" s="506"/>
      <c r="AO3538" s="507"/>
      <c r="AP3538" s="507"/>
      <c r="AQ3538" s="507"/>
      <c r="AR3538" s="507"/>
      <c r="AS3538" s="507"/>
      <c r="AT3538" s="507"/>
      <c r="AU3538" s="507"/>
      <c r="AV3538" s="225"/>
      <c r="AW3538" s="508"/>
      <c r="AX3538" s="225"/>
      <c r="AY3538" s="225"/>
      <c r="AZ3538" s="225"/>
      <c r="BA3538" s="225"/>
      <c r="BB3538" s="225"/>
      <c r="BC3538" s="56"/>
      <c r="BD3538" s="56"/>
      <c r="BE3538" s="56"/>
      <c r="BF3538" s="107" t="str">
        <f t="shared" si="2735"/>
        <v>https://www.google.com/search?tbm=isch&amp;q=1%20G6</v>
      </c>
      <c r="BG3538" s="107" t="str">
        <f t="shared" si="2736"/>
        <v>S</v>
      </c>
      <c r="BH3538" s="254"/>
      <c r="BI3538" s="254"/>
    </row>
    <row r="3539" spans="1:61" customFormat="1" ht="17.25" thickBot="1" x14ac:dyDescent="0.3">
      <c r="A3539" s="673" t="s">
        <v>5245</v>
      </c>
      <c r="B3539" s="245"/>
      <c r="C3539" s="677"/>
      <c r="D3539" s="499"/>
      <c r="E3539" s="499"/>
      <c r="F3539" s="500"/>
      <c r="G3539" s="501"/>
      <c r="H3539" s="502"/>
      <c r="I3539" s="246"/>
      <c r="J3539" s="247"/>
      <c r="K3539" s="503"/>
      <c r="L3539" s="544"/>
      <c r="M3539" s="544"/>
      <c r="N3539" s="500"/>
      <c r="O3539" s="500"/>
      <c r="P3539" s="500"/>
      <c r="Q3539" s="500"/>
      <c r="R3539" s="500"/>
      <c r="S3539" s="669" t="s">
        <v>4976</v>
      </c>
      <c r="T3539" s="508">
        <f t="shared" si="2724"/>
        <v>0</v>
      </c>
      <c r="U3539" s="225" t="str">
        <f>IF(NOT(ISNUMBER(G3539)), "", VLOOKUP(A3539,'Discount Lookup'!D:E,2,FALSE)*G3539)</f>
        <v/>
      </c>
      <c r="V3539" s="225" t="str">
        <f>IF(NOT(ISNUMBER(G3539)), "", VLOOKUP(A3539,'Discount Lookup'!G:H,2,FALSE)*G3539)</f>
        <v/>
      </c>
      <c r="W3539" s="508">
        <f t="shared" si="2725"/>
        <v>0</v>
      </c>
      <c r="X3539" s="508">
        <f t="shared" si="2726"/>
        <v>0</v>
      </c>
      <c r="Y3539" s="509" t="b">
        <f t="shared" si="2727"/>
        <v>0</v>
      </c>
      <c r="Z3539" s="510">
        <f t="shared" si="2728"/>
        <v>0</v>
      </c>
      <c r="AA3539" s="511"/>
      <c r="AB3539" s="511" t="str">
        <f t="shared" si="2729"/>
        <v/>
      </c>
      <c r="AC3539" s="698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698"/>
      <c r="AE3539" s="631" t="str">
        <f t="shared" si="2730"/>
        <v/>
      </c>
      <c r="AF3539" s="699" t="str">
        <f t="shared" si="2731"/>
        <v/>
      </c>
      <c r="AG3539" s="699"/>
      <c r="AH3539" s="699"/>
      <c r="AI3539" s="512">
        <f>IF(H3539="credit",0,IF(AE3539="free",0,IF(AE3539="me",0,IF(G3539&gt;0,(VLOOKUP(A3539,'Discount Lookup'!J:K,2)*G3539),0))))</f>
        <v>0</v>
      </c>
      <c r="AJ3539" s="513" t="str">
        <f t="shared" ca="1" si="2732"/>
        <v/>
      </c>
      <c r="AK3539" s="700" t="str">
        <f t="shared" si="2733"/>
        <v/>
      </c>
      <c r="AL3539" s="700"/>
      <c r="AM3539" s="505" t="str">
        <f t="shared" si="2734"/>
        <v/>
      </c>
      <c r="AN3539" s="506"/>
      <c r="AO3539" s="507"/>
      <c r="AP3539" s="507"/>
      <c r="AQ3539" s="507"/>
      <c r="AR3539" s="507"/>
      <c r="AS3539" s="507"/>
      <c r="AT3539" s="507"/>
      <c r="AU3539" s="507"/>
      <c r="AV3539" s="225"/>
      <c r="AW3539" s="508"/>
      <c r="AX3539" s="225"/>
      <c r="AY3539" s="225"/>
      <c r="AZ3539" s="225"/>
      <c r="BA3539" s="225"/>
      <c r="BB3539" s="225"/>
      <c r="BC3539" s="56"/>
      <c r="BD3539" s="56"/>
      <c r="BE3539" s="56"/>
      <c r="BF3539" s="107" t="str">
        <f t="shared" si="2735"/>
        <v>https://www.google.com/search?tbm=isch&amp;q=wet%20sites%F0%9F%92%A7OK%2C%20Stella%20is%20the%20longest%20blooming%20of%20all%20Daylily%2C%20starting%20early%2C%20through%20frost.%20Fragrant%20</v>
      </c>
      <c r="BG3539" s="107" t="str">
        <f t="shared" si="2736"/>
        <v>w</v>
      </c>
      <c r="BH3539" s="254"/>
      <c r="BI3539" s="254"/>
    </row>
    <row r="3540" spans="1:61" customFormat="1" ht="18" x14ac:dyDescent="0.25">
      <c r="A3540" s="523" t="s">
        <v>5544</v>
      </c>
      <c r="B3540" s="235"/>
      <c r="C3540" s="676"/>
      <c r="D3540" s="255" t="s">
        <v>3234</v>
      </c>
      <c r="E3540" s="236"/>
      <c r="F3540" s="236"/>
      <c r="G3540" s="236"/>
      <c r="H3540" s="582" t="s">
        <v>326</v>
      </c>
      <c r="I3540" s="498" t="s">
        <v>656</v>
      </c>
      <c r="J3540" s="237"/>
      <c r="K3540" s="237"/>
      <c r="L3540" s="274"/>
      <c r="M3540" s="668" t="s">
        <v>4975</v>
      </c>
      <c r="N3540" s="681" t="str">
        <f>IF(AND(ISTEXT($A3540), ISERROR($A3540+0)), HYPERLINK($BF3540, "Images"), "")</f>
        <v>Images</v>
      </c>
      <c r="O3540" s="663" t="s">
        <v>4967</v>
      </c>
      <c r="P3540" s="253"/>
      <c r="Q3540" s="238"/>
      <c r="R3540" s="239"/>
      <c r="S3540" s="275" t="s">
        <v>305</v>
      </c>
      <c r="T3540" s="508">
        <f t="shared" si="2724"/>
        <v>0</v>
      </c>
      <c r="U3540" s="225" t="str">
        <f>IF(NOT(ISNUMBER(G3540)), "", VLOOKUP(A3540,'Discount Lookup'!D:E,2,FALSE)*G3540)</f>
        <v/>
      </c>
      <c r="V3540" s="225" t="str">
        <f>IF(NOT(ISNUMBER(G3540)), "", VLOOKUP(A3540,'Discount Lookup'!G:H,2,FALSE)*G3540)</f>
        <v/>
      </c>
      <c r="W3540" s="508">
        <f t="shared" si="2725"/>
        <v>0</v>
      </c>
      <c r="X3540" s="508" t="str">
        <f t="shared" si="2726"/>
        <v>Pink bloom</v>
      </c>
      <c r="Y3540" s="509" t="b">
        <f t="shared" si="2727"/>
        <v>0</v>
      </c>
      <c r="Z3540" s="510">
        <f t="shared" si="2728"/>
        <v>0</v>
      </c>
      <c r="AA3540" s="511"/>
      <c r="AB3540" s="511" t="str">
        <f t="shared" si="2729"/>
        <v/>
      </c>
      <c r="AC3540" s="698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698"/>
      <c r="AE3540" s="631" t="str">
        <f t="shared" si="2730"/>
        <v/>
      </c>
      <c r="AF3540" s="699" t="str">
        <f t="shared" si="2731"/>
        <v/>
      </c>
      <c r="AG3540" s="699"/>
      <c r="AH3540" s="699"/>
      <c r="AI3540" s="512">
        <f>IF(H3540="credit",0,IF(AE3540="free",0,IF(AE3540="me",0,IF(G3540&gt;0,(VLOOKUP(A3540,'Discount Lookup'!J:K,2)*G3540),0))))</f>
        <v>0</v>
      </c>
      <c r="AJ3540" s="513" t="str">
        <f t="shared" ca="1" si="2732"/>
        <v/>
      </c>
      <c r="AK3540" s="700" t="str">
        <f t="shared" si="2733"/>
        <v/>
      </c>
      <c r="AL3540" s="700"/>
      <c r="AM3540" s="505" t="str">
        <f t="shared" si="2734"/>
        <v/>
      </c>
      <c r="AN3540" s="506"/>
      <c r="AO3540" s="507"/>
      <c r="AP3540" s="507"/>
      <c r="AQ3540" s="507"/>
      <c r="AR3540" s="507"/>
      <c r="AS3540" s="507"/>
      <c r="AT3540" s="507"/>
      <c r="AU3540" s="507"/>
      <c r="AV3540" s="225"/>
      <c r="AW3540" s="508"/>
      <c r="AX3540" s="225"/>
      <c r="AY3540" s="225"/>
      <c r="AZ3540" s="225"/>
      <c r="BA3540" s="225"/>
      <c r="BB3540" s="225"/>
      <c r="BC3540" s="56"/>
      <c r="BD3540" s="56"/>
      <c r="BE3540" s="56"/>
      <c r="BF3540" s="107" t="str">
        <f t="shared" si="2735"/>
        <v>https://www.google.com/search?tbm=isch&amp;q=Stellar%20Pink%E2%84%A2%20Dogwood%20Cornus%20x%20florida%20%27Retgen%27%20PP%237207Exp.</v>
      </c>
      <c r="BG3540" s="107" t="str">
        <f t="shared" si="2736"/>
        <v>S</v>
      </c>
      <c r="BH3540" s="254"/>
      <c r="BI3540" s="254"/>
    </row>
    <row r="3541" spans="1:61" customFormat="1" ht="15.75" x14ac:dyDescent="0.25">
      <c r="A3541" s="276">
        <v>5</v>
      </c>
      <c r="B3541" s="240" t="s">
        <v>291</v>
      </c>
      <c r="C3541" s="241" t="s">
        <v>3493</v>
      </c>
      <c r="D3541" s="242" t="s">
        <v>292</v>
      </c>
      <c r="E3541" s="243">
        <v>81.95</v>
      </c>
      <c r="F3541" s="517" t="s">
        <v>293</v>
      </c>
      <c r="G3541" s="232">
        <v>0</v>
      </c>
      <c r="H3541" s="661" t="str">
        <f>IF(G3541=0,"",IF(F3541="Buy",IF(G3541=1,"plant","plants"),IF(F3541&gt;0.01,"warranty","Error")))</f>
        <v/>
      </c>
      <c r="I3541" s="244">
        <f>IF(H3541="free",0,IF(H3541="credit",((E3541*(F3541))*G3541*-1),IF(F3541="Buy",(E3541*G3541),((E3541*(1-F3541))*G3541))))</f>
        <v>0</v>
      </c>
      <c r="J3541" s="244">
        <f>IF(H3541="warranty",0,(I3541*(_xlfn.SINGLE(SalesTaxPercentage))))</f>
        <v>0</v>
      </c>
      <c r="K3541" s="696">
        <f t="shared" ref="K3541" si="2739">I3541+J3541</f>
        <v>0</v>
      </c>
      <c r="L3541" s="696"/>
      <c r="M3541" s="659" t="str">
        <f>IF(AND(G3541&gt;0,E3541=0),"WARNING - no PRICE inserted",IF(H3541="free"," FREE ~ no charge this plant",IF(H3541="credit",CONCATENATE(" -$",ROUND(K3541*(1-T2GDiscount)*-1,2)," CREDIT after discount"),IF(T2GDiscount=0,"",IF(G3541=0,"",IF(F3541="Buy",CONCATENATE(" $",ROUND(K3541*(1-T2GDiscount),2)," with ",(T2GDiscount*100),"% discount"),CONCATENATE(" $",ROUND(K3541*(1-T2GDiscount),2)," with ",((T2GDiscount*100+F3541*100)-(T2GDiscount*100*F3541)),IF(F3541&gt;0,"% discounts",IF(NoWarrantyDiscount&gt;0,"% discounts","% discount")))))))))</f>
        <v/>
      </c>
      <c r="N3541" s="660"/>
      <c r="O3541" s="233"/>
      <c r="P3541" s="233"/>
      <c r="Q3541" s="233"/>
      <c r="R3541" s="233"/>
      <c r="S3541" s="233"/>
      <c r="T3541" s="508">
        <f t="shared" si="2724"/>
        <v>0</v>
      </c>
      <c r="U3541" s="225">
        <f>IF(NOT(ISNUMBER(G3541)), "", VLOOKUP(A3541,'Discount Lookup'!D:E,2,FALSE)*G3541)</f>
        <v>0</v>
      </c>
      <c r="V3541" s="225">
        <f>IF(NOT(ISNUMBER(G3541)), "", VLOOKUP(A3541,'Discount Lookup'!G:H,2,FALSE)*G3541)</f>
        <v>0</v>
      </c>
      <c r="W3541" s="508">
        <f t="shared" si="2725"/>
        <v>0</v>
      </c>
      <c r="X3541" s="508">
        <f t="shared" si="2726"/>
        <v>0</v>
      </c>
      <c r="Y3541" s="509" t="b">
        <f t="shared" si="2727"/>
        <v>0</v>
      </c>
      <c r="Z3541" s="510">
        <f t="shared" si="2728"/>
        <v>0</v>
      </c>
      <c r="AA3541" s="511"/>
      <c r="AB3541" s="511" t="str">
        <f t="shared" si="2729"/>
        <v/>
      </c>
      <c r="AC3541" s="698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698"/>
      <c r="AE3541" s="631" t="str">
        <f t="shared" si="2730"/>
        <v/>
      </c>
      <c r="AF3541" s="699" t="str">
        <f t="shared" si="2731"/>
        <v/>
      </c>
      <c r="AG3541" s="699"/>
      <c r="AH3541" s="699"/>
      <c r="AI3541" s="512">
        <f>IF(H3541="credit",0,IF(AE3541="free",0,IF(AE3541="me",0,IF(G3541&gt;0,(VLOOKUP(A3541,'Discount Lookup'!J:K,2)*G3541),0))))</f>
        <v>0</v>
      </c>
      <c r="AJ3541" s="513" t="str">
        <f t="shared" ca="1" si="2732"/>
        <v/>
      </c>
      <c r="AK3541" s="700" t="str">
        <f t="shared" si="2733"/>
        <v/>
      </c>
      <c r="AL3541" s="700"/>
      <c r="AM3541" s="505" t="str">
        <f t="shared" si="2734"/>
        <v/>
      </c>
      <c r="AN3541" s="506"/>
      <c r="AO3541" s="507"/>
      <c r="AP3541" s="507"/>
      <c r="AQ3541" s="507"/>
      <c r="AR3541" s="507"/>
      <c r="AS3541" s="507"/>
      <c r="AT3541" s="507"/>
      <c r="AU3541" s="507"/>
      <c r="AV3541" s="225"/>
      <c r="AW3541" s="508"/>
      <c r="AX3541" s="225"/>
      <c r="AY3541" s="225"/>
      <c r="AZ3541" s="225"/>
      <c r="BA3541" s="225"/>
      <c r="BB3541" s="225"/>
      <c r="BC3541" s="56"/>
      <c r="BD3541" s="56"/>
      <c r="BE3541" s="56"/>
      <c r="BF3541" s="107" t="str">
        <f t="shared" si="2735"/>
        <v>https://www.google.com/search?tbm=isch&amp;q=5%20G4</v>
      </c>
      <c r="BG3541" s="107" t="str">
        <f t="shared" si="2736"/>
        <v>S</v>
      </c>
      <c r="BH3541" s="254"/>
      <c r="BI3541" s="254"/>
    </row>
    <row r="3542" spans="1:61" customFormat="1" ht="15.75" x14ac:dyDescent="0.25">
      <c r="A3542" s="276">
        <v>7</v>
      </c>
      <c r="B3542" s="240" t="s">
        <v>291</v>
      </c>
      <c r="C3542" s="241" t="s">
        <v>3337</v>
      </c>
      <c r="D3542" s="242" t="s">
        <v>292</v>
      </c>
      <c r="E3542" s="243">
        <v>104.95</v>
      </c>
      <c r="F3542" s="517" t="s">
        <v>293</v>
      </c>
      <c r="G3542" s="232">
        <v>0</v>
      </c>
      <c r="H3542" s="661" t="str">
        <f>IF(G3542=0,"",IF(F3542="Buy",IF(G3542=1,"plant","plants"),IF(F3542&gt;0.01,"warranty","Error")))</f>
        <v/>
      </c>
      <c r="I3542" s="244">
        <f>IF(H3542="free",0,IF(H3542="credit",((E3542*(F3542))*G3542*-1),IF(F3542="Buy",(E3542*G3542),((E3542*(1-F3542))*G3542))))</f>
        <v>0</v>
      </c>
      <c r="J3542" s="244">
        <f>IF(H3542="warranty",0,(I3542*(_xlfn.SINGLE(SalesTaxPercentage))))</f>
        <v>0</v>
      </c>
      <c r="K3542" s="696">
        <f t="shared" ref="K3542" si="2740">I3542+J3542</f>
        <v>0</v>
      </c>
      <c r="L3542" s="696"/>
      <c r="M3542" s="659" t="str">
        <f>IF(AND(G3542&gt;0,E3542=0),"WARNING - no PRICE inserted",IF(H3542="free"," FREE ~ no charge this plant",IF(H3542="credit",CONCATENATE(" -$",ROUND(K3542*(1-T2GDiscount)*-1,2)," CREDIT after discount"),IF(T2GDiscount=0,"",IF(G3542=0,"",IF(F3542="Buy",CONCATENATE(" $",ROUND(K3542*(1-T2GDiscount),2)," with ",(T2GDiscount*100),"% discount"),CONCATENATE(" $",ROUND(K3542*(1-T2GDiscount),2)," with ",((T2GDiscount*100+F3542*100)-(T2GDiscount*100*F3542)),IF(F3542&gt;0,"% discounts",IF(NoWarrantyDiscount&gt;0,"% discounts","% discount")))))))))</f>
        <v/>
      </c>
      <c r="N3542" s="660"/>
      <c r="O3542" s="233"/>
      <c r="P3542" s="233"/>
      <c r="Q3542" s="233"/>
      <c r="R3542" s="233"/>
      <c r="S3542" s="233"/>
      <c r="T3542" s="508">
        <f t="shared" si="2724"/>
        <v>0</v>
      </c>
      <c r="U3542" s="225">
        <f>IF(NOT(ISNUMBER(G3542)), "", VLOOKUP(A3542,'Discount Lookup'!D:E,2,FALSE)*G3542)</f>
        <v>0</v>
      </c>
      <c r="V3542" s="225">
        <f>IF(NOT(ISNUMBER(G3542)), "", VLOOKUP(A3542,'Discount Lookup'!G:H,2,FALSE)*G3542)</f>
        <v>0</v>
      </c>
      <c r="W3542" s="508">
        <f t="shared" si="2725"/>
        <v>0</v>
      </c>
      <c r="X3542" s="508">
        <f t="shared" si="2726"/>
        <v>0</v>
      </c>
      <c r="Y3542" s="509" t="b">
        <f t="shared" si="2727"/>
        <v>0</v>
      </c>
      <c r="Z3542" s="510">
        <f t="shared" si="2728"/>
        <v>0</v>
      </c>
      <c r="AA3542" s="511"/>
      <c r="AB3542" s="511" t="str">
        <f t="shared" si="2729"/>
        <v/>
      </c>
      <c r="AC3542" s="698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698"/>
      <c r="AE3542" s="631" t="str">
        <f t="shared" si="2730"/>
        <v/>
      </c>
      <c r="AF3542" s="699" t="str">
        <f t="shared" si="2731"/>
        <v/>
      </c>
      <c r="AG3542" s="699"/>
      <c r="AH3542" s="699"/>
      <c r="AI3542" s="512">
        <f>IF(H3542="credit",0,IF(AE3542="free",0,IF(AE3542="me",0,IF(G3542&gt;0,(VLOOKUP(A3542,'Discount Lookup'!J:K,2)*G3542),0))))</f>
        <v>0</v>
      </c>
      <c r="AJ3542" s="513" t="str">
        <f t="shared" ca="1" si="2732"/>
        <v/>
      </c>
      <c r="AK3542" s="700" t="str">
        <f t="shared" si="2733"/>
        <v/>
      </c>
      <c r="AL3542" s="700"/>
      <c r="AM3542" s="505" t="str">
        <f t="shared" si="2734"/>
        <v/>
      </c>
      <c r="AN3542" s="506"/>
      <c r="AO3542" s="507"/>
      <c r="AP3542" s="507"/>
      <c r="AQ3542" s="507"/>
      <c r="AR3542" s="507"/>
      <c r="AS3542" s="507"/>
      <c r="AT3542" s="507"/>
      <c r="AU3542" s="507"/>
      <c r="AV3542" s="225"/>
      <c r="AW3542" s="508"/>
      <c r="AX3542" s="225"/>
      <c r="AY3542" s="225"/>
      <c r="AZ3542" s="225"/>
      <c r="BA3542" s="225"/>
      <c r="BB3542" s="225"/>
      <c r="BC3542" s="56"/>
      <c r="BD3542" s="56"/>
      <c r="BE3542" s="56"/>
      <c r="BF3542" s="107" t="str">
        <f t="shared" si="2735"/>
        <v>https://www.google.com/search?tbm=isch&amp;q=7%20G4</v>
      </c>
      <c r="BG3542" s="107" t="str">
        <f t="shared" si="2736"/>
        <v>S</v>
      </c>
      <c r="BH3542" s="254"/>
      <c r="BI3542" s="254"/>
    </row>
    <row r="3543" spans="1:61" customFormat="1" ht="15.75" x14ac:dyDescent="0.25">
      <c r="A3543" s="276">
        <v>10</v>
      </c>
      <c r="B3543" s="240" t="s">
        <v>291</v>
      </c>
      <c r="C3543" s="241" t="s">
        <v>4450</v>
      </c>
      <c r="D3543" s="242" t="s">
        <v>292</v>
      </c>
      <c r="E3543" s="243">
        <v>164.95</v>
      </c>
      <c r="F3543" s="517" t="s">
        <v>293</v>
      </c>
      <c r="G3543" s="232">
        <v>0</v>
      </c>
      <c r="H3543" s="661" t="str">
        <f>IF(G3543=0,"",IF(F3543="Buy",IF(G3543=1,"plant","plants"),IF(F3543&gt;0.01,"warranty","Error")))</f>
        <v/>
      </c>
      <c r="I3543" s="244">
        <f>IF(H3543="free",0,IF(H3543="credit",((E3543*(F3543))*G3543*-1),IF(F3543="Buy",(E3543*G3543),((E3543*(1-F3543))*G3543))))</f>
        <v>0</v>
      </c>
      <c r="J3543" s="244">
        <f>IF(H3543="warranty",0,(I3543*(_xlfn.SINGLE(SalesTaxPercentage))))</f>
        <v>0</v>
      </c>
      <c r="K3543" s="696">
        <f t="shared" ref="K3543" si="2741">I3543+J3543</f>
        <v>0</v>
      </c>
      <c r="L3543" s="696"/>
      <c r="M3543" s="659" t="str">
        <f>IF(AND(G3543&gt;0,E3543=0),"WARNING - no PRICE inserted",IF(H3543="free"," FREE ~ no charge this plant",IF(H3543="credit",CONCATENATE(" -$",ROUND(K3543*(1-T2GDiscount)*-1,2)," CREDIT after discount"),IF(T2GDiscount=0,"",IF(G3543=0,"",IF(F3543="Buy",CONCATENATE(" $",ROUND(K3543*(1-T2GDiscount),2)," with ",(T2GDiscount*100),"% discount"),CONCATENATE(" $",ROUND(K3543*(1-T2GDiscount),2)," with ",((T2GDiscount*100+F3543*100)-(T2GDiscount*100*F3543)),IF(F3543&gt;0,"% discounts",IF(NoWarrantyDiscount&gt;0,"% discounts","% discount")))))))))</f>
        <v/>
      </c>
      <c r="N3543" s="660"/>
      <c r="O3543" s="233"/>
      <c r="P3543" s="233"/>
      <c r="Q3543" s="233"/>
      <c r="R3543" s="233"/>
      <c r="S3543" s="233"/>
      <c r="T3543" s="508">
        <f t="shared" si="2724"/>
        <v>0</v>
      </c>
      <c r="U3543" s="225">
        <f>IF(NOT(ISNUMBER(G3543)), "", VLOOKUP(A3543,'Discount Lookup'!D:E,2,FALSE)*G3543)</f>
        <v>0</v>
      </c>
      <c r="V3543" s="225">
        <f>IF(NOT(ISNUMBER(G3543)), "", VLOOKUP(A3543,'Discount Lookup'!G:H,2,FALSE)*G3543)</f>
        <v>0</v>
      </c>
      <c r="W3543" s="508">
        <f t="shared" si="2725"/>
        <v>0</v>
      </c>
      <c r="X3543" s="508">
        <f t="shared" si="2726"/>
        <v>0</v>
      </c>
      <c r="Y3543" s="509" t="b">
        <f t="shared" si="2727"/>
        <v>0</v>
      </c>
      <c r="Z3543" s="510">
        <f t="shared" si="2728"/>
        <v>0</v>
      </c>
      <c r="AA3543" s="511"/>
      <c r="AB3543" s="511" t="str">
        <f t="shared" si="2729"/>
        <v/>
      </c>
      <c r="AC3543" s="698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698"/>
      <c r="AE3543" s="631" t="str">
        <f t="shared" si="2730"/>
        <v/>
      </c>
      <c r="AF3543" s="699" t="str">
        <f t="shared" si="2731"/>
        <v/>
      </c>
      <c r="AG3543" s="699"/>
      <c r="AH3543" s="699"/>
      <c r="AI3543" s="512">
        <f>IF(H3543="credit",0,IF(AE3543="free",0,IF(AE3543="me",0,IF(G3543&gt;0,(VLOOKUP(A3543,'Discount Lookup'!J:K,2)*G3543),0))))</f>
        <v>0</v>
      </c>
      <c r="AJ3543" s="513" t="str">
        <f t="shared" ca="1" si="2732"/>
        <v/>
      </c>
      <c r="AK3543" s="700" t="str">
        <f t="shared" si="2733"/>
        <v/>
      </c>
      <c r="AL3543" s="700"/>
      <c r="AM3543" s="505" t="str">
        <f t="shared" si="2734"/>
        <v/>
      </c>
      <c r="AN3543" s="506"/>
      <c r="AO3543" s="507"/>
      <c r="AP3543" s="507"/>
      <c r="AQ3543" s="507"/>
      <c r="AR3543" s="507"/>
      <c r="AS3543" s="507"/>
      <c r="AT3543" s="507"/>
      <c r="AU3543" s="507"/>
      <c r="AV3543" s="225"/>
      <c r="AW3543" s="508"/>
      <c r="AX3543" s="225"/>
      <c r="AY3543" s="225"/>
      <c r="AZ3543" s="225"/>
      <c r="BA3543" s="225"/>
      <c r="BB3543" s="225"/>
      <c r="BC3543" s="56"/>
      <c r="BD3543" s="56"/>
      <c r="BE3543" s="56"/>
      <c r="BF3543" s="107" t="str">
        <f t="shared" si="2735"/>
        <v>https://www.google.com/search?tbm=isch&amp;q=10%20G4</v>
      </c>
      <c r="BG3543" s="107" t="str">
        <f t="shared" si="2736"/>
        <v>S</v>
      </c>
      <c r="BH3543" s="254"/>
      <c r="BI3543" s="254"/>
    </row>
    <row r="3544" spans="1:61" customFormat="1" ht="15.75" x14ac:dyDescent="0.25">
      <c r="A3544" s="276">
        <v>15</v>
      </c>
      <c r="B3544" s="240" t="s">
        <v>291</v>
      </c>
      <c r="C3544" s="241" t="s">
        <v>4451</v>
      </c>
      <c r="D3544" s="242" t="s">
        <v>292</v>
      </c>
      <c r="E3544" s="243">
        <v>192.95</v>
      </c>
      <c r="F3544" s="517" t="s">
        <v>293</v>
      </c>
      <c r="G3544" s="232">
        <v>0</v>
      </c>
      <c r="H3544" s="661" t="str">
        <f>IF(G3544=0,"",IF(F3544="Buy",IF(G3544=1,"plant","plants"),IF(F3544&gt;0.01,"warranty","Error")))</f>
        <v/>
      </c>
      <c r="I3544" s="244">
        <f>IF(H3544="free",0,IF(H3544="credit",((E3544*(F3544))*G3544*-1),IF(F3544="Buy",(E3544*G3544),((E3544*(1-F3544))*G3544))))</f>
        <v>0</v>
      </c>
      <c r="J3544" s="244">
        <f>IF(H3544="warranty",0,(I3544*(_xlfn.SINGLE(SalesTaxPercentage))))</f>
        <v>0</v>
      </c>
      <c r="K3544" s="696">
        <f t="shared" ref="K3544" si="2742">I3544+J3544</f>
        <v>0</v>
      </c>
      <c r="L3544" s="696"/>
      <c r="M3544" s="659" t="str">
        <f>IF(AND(G3544&gt;0,E3544=0),"WARNING - no PRICE inserted",IF(H3544="free"," FREE ~ no charge this plant",IF(H3544="credit",CONCATENATE(" -$",ROUND(K3544*(1-T2GDiscount)*-1,2)," CREDIT after discount"),IF(T2GDiscount=0,"",IF(G3544=0,"",IF(F3544="Buy",CONCATENATE(" $",ROUND(K3544*(1-T2GDiscount),2)," with ",(T2GDiscount*100),"% discount"),CONCATENATE(" $",ROUND(K3544*(1-T2GDiscount),2)," with ",((T2GDiscount*100+F3544*100)-(T2GDiscount*100*F3544)),IF(F3544&gt;0,"% discounts",IF(NoWarrantyDiscount&gt;0,"% discounts","% discount")))))))))</f>
        <v/>
      </c>
      <c r="N3544" s="660"/>
      <c r="O3544" s="233"/>
      <c r="P3544" s="233"/>
      <c r="Q3544" s="233"/>
      <c r="R3544" s="233"/>
      <c r="S3544" s="233"/>
      <c r="T3544" s="508">
        <f t="shared" si="2724"/>
        <v>0</v>
      </c>
      <c r="U3544" s="225">
        <f>IF(NOT(ISNUMBER(G3544)), "", VLOOKUP(A3544,'Discount Lookup'!D:E,2,FALSE)*G3544)</f>
        <v>0</v>
      </c>
      <c r="V3544" s="225">
        <f>IF(NOT(ISNUMBER(G3544)), "", VLOOKUP(A3544,'Discount Lookup'!G:H,2,FALSE)*G3544)</f>
        <v>0</v>
      </c>
      <c r="W3544" s="508">
        <f t="shared" si="2725"/>
        <v>0</v>
      </c>
      <c r="X3544" s="508">
        <f t="shared" si="2726"/>
        <v>0</v>
      </c>
      <c r="Y3544" s="509" t="b">
        <f t="shared" si="2727"/>
        <v>0</v>
      </c>
      <c r="Z3544" s="510">
        <f t="shared" si="2728"/>
        <v>0</v>
      </c>
      <c r="AA3544" s="511"/>
      <c r="AB3544" s="511" t="str">
        <f t="shared" si="2729"/>
        <v/>
      </c>
      <c r="AC3544" s="698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698"/>
      <c r="AE3544" s="631" t="str">
        <f t="shared" si="2730"/>
        <v/>
      </c>
      <c r="AF3544" s="699" t="str">
        <f t="shared" si="2731"/>
        <v/>
      </c>
      <c r="AG3544" s="699"/>
      <c r="AH3544" s="699"/>
      <c r="AI3544" s="512">
        <f>IF(H3544="credit",0,IF(AE3544="free",0,IF(AE3544="me",0,IF(G3544&gt;0,(VLOOKUP(A3544,'Discount Lookup'!J:K,2)*G3544),0))))</f>
        <v>0</v>
      </c>
      <c r="AJ3544" s="513" t="str">
        <f t="shared" ca="1" si="2732"/>
        <v/>
      </c>
      <c r="AK3544" s="700" t="str">
        <f t="shared" si="2733"/>
        <v/>
      </c>
      <c r="AL3544" s="700"/>
      <c r="AM3544" s="505" t="str">
        <f t="shared" si="2734"/>
        <v/>
      </c>
      <c r="AN3544" s="506"/>
      <c r="AO3544" s="507"/>
      <c r="AP3544" s="507"/>
      <c r="AQ3544" s="507"/>
      <c r="AR3544" s="507"/>
      <c r="AS3544" s="507"/>
      <c r="AT3544" s="507"/>
      <c r="AU3544" s="507"/>
      <c r="AV3544" s="225"/>
      <c r="AW3544" s="508"/>
      <c r="AX3544" s="225"/>
      <c r="AY3544" s="225"/>
      <c r="AZ3544" s="225"/>
      <c r="BA3544" s="225"/>
      <c r="BB3544" s="225"/>
      <c r="BC3544" s="56"/>
      <c r="BD3544" s="56"/>
      <c r="BE3544" s="56"/>
      <c r="BF3544" s="107" t="str">
        <f t="shared" si="2735"/>
        <v>https://www.google.com/search?tbm=isch&amp;q=15%20G4</v>
      </c>
      <c r="BG3544" s="107" t="str">
        <f t="shared" si="2736"/>
        <v>S</v>
      </c>
      <c r="BH3544" s="254"/>
      <c r="BI3544" s="254"/>
    </row>
    <row r="3545" spans="1:61" customFormat="1" ht="17.25" thickBot="1" x14ac:dyDescent="0.3">
      <c r="A3545" s="524" t="s">
        <v>3235</v>
      </c>
      <c r="B3545" s="245"/>
      <c r="C3545" s="677"/>
      <c r="D3545" s="499"/>
      <c r="E3545" s="499"/>
      <c r="F3545" s="500"/>
      <c r="G3545" s="501"/>
      <c r="H3545" s="502"/>
      <c r="I3545" s="246"/>
      <c r="J3545" s="247"/>
      <c r="K3545" s="503"/>
      <c r="L3545" s="544"/>
      <c r="M3545" s="544"/>
      <c r="N3545" s="500"/>
      <c r="O3545" s="500"/>
      <c r="P3545" s="500"/>
      <c r="Q3545" s="500"/>
      <c r="R3545" s="500"/>
      <c r="S3545" s="669" t="s">
        <v>4980</v>
      </c>
      <c r="T3545" s="508">
        <f t="shared" si="2724"/>
        <v>0</v>
      </c>
      <c r="U3545" s="225" t="str">
        <f>IF(NOT(ISNUMBER(G3545)), "", VLOOKUP(A3545,'Discount Lookup'!D:E,2,FALSE)*G3545)</f>
        <v/>
      </c>
      <c r="V3545" s="225" t="str">
        <f>IF(NOT(ISNUMBER(G3545)), "", VLOOKUP(A3545,'Discount Lookup'!G:H,2,FALSE)*G3545)</f>
        <v/>
      </c>
      <c r="W3545" s="508">
        <f t="shared" si="2725"/>
        <v>0</v>
      </c>
      <c r="X3545" s="508">
        <f t="shared" si="2726"/>
        <v>0</v>
      </c>
      <c r="Y3545" s="509" t="b">
        <f t="shared" si="2727"/>
        <v>0</v>
      </c>
      <c r="Z3545" s="510">
        <f t="shared" si="2728"/>
        <v>0</v>
      </c>
      <c r="AA3545" s="511"/>
      <c r="AB3545" s="511" t="str">
        <f t="shared" si="2729"/>
        <v/>
      </c>
      <c r="AC3545" s="698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698"/>
      <c r="AE3545" s="631" t="str">
        <f t="shared" si="2730"/>
        <v/>
      </c>
      <c r="AF3545" s="699" t="str">
        <f t="shared" si="2731"/>
        <v/>
      </c>
      <c r="AG3545" s="699"/>
      <c r="AH3545" s="699"/>
      <c r="AI3545" s="512">
        <f>IF(H3545="credit",0,IF(AE3545="free",0,IF(AE3545="me",0,IF(G3545&gt;0,(VLOOKUP(A3545,'Discount Lookup'!J:K,2)*G3545),0))))</f>
        <v>0</v>
      </c>
      <c r="AJ3545" s="513" t="str">
        <f t="shared" ca="1" si="2732"/>
        <v/>
      </c>
      <c r="AK3545" s="700" t="str">
        <f t="shared" si="2733"/>
        <v/>
      </c>
      <c r="AL3545" s="700"/>
      <c r="AM3545" s="505" t="str">
        <f t="shared" si="2734"/>
        <v/>
      </c>
      <c r="AN3545" s="506"/>
      <c r="AO3545" s="507"/>
      <c r="AP3545" s="507"/>
      <c r="AQ3545" s="507"/>
      <c r="AR3545" s="507"/>
      <c r="AS3545" s="507"/>
      <c r="AT3545" s="507"/>
      <c r="AU3545" s="507"/>
      <c r="AV3545" s="225"/>
      <c r="AW3545" s="508"/>
      <c r="AX3545" s="225"/>
      <c r="AY3545" s="225"/>
      <c r="AZ3545" s="225"/>
      <c r="BA3545" s="225"/>
      <c r="BB3545" s="225"/>
      <c r="BC3545" s="56"/>
      <c r="BD3545" s="56"/>
      <c r="BE3545" s="56"/>
      <c r="BF3545" s="107" t="str">
        <f t="shared" si="2735"/>
        <v>https://www.google.com/search?tbm=isch&amp;q=Stellar%20Pink%27s%20dark%20green%20foliage%20turns%20purplish-red%20in%20the%20fall.%20Produces%20no%20fruit%20</v>
      </c>
      <c r="BG3545" s="107" t="str">
        <f t="shared" si="2736"/>
        <v>S</v>
      </c>
      <c r="BH3545" s="254"/>
      <c r="BI3545" s="254"/>
    </row>
    <row r="3546" spans="1:61" customFormat="1" ht="18" x14ac:dyDescent="0.25">
      <c r="A3546" s="521" t="s">
        <v>1820</v>
      </c>
      <c r="B3546" s="477"/>
      <c r="C3546" s="674"/>
      <c r="D3546" s="478" t="s">
        <v>1821</v>
      </c>
      <c r="E3546" s="479"/>
      <c r="F3546" s="479"/>
      <c r="G3546" s="479"/>
      <c r="H3546" s="582" t="s">
        <v>1698</v>
      </c>
      <c r="I3546" s="480" t="s">
        <v>1822</v>
      </c>
      <c r="J3546" s="479"/>
      <c r="K3546" s="479"/>
      <c r="L3546" s="560"/>
      <c r="M3546" s="666" t="s">
        <v>4965</v>
      </c>
      <c r="N3546" s="680" t="str">
        <f>IF(AND(ISTEXT($A3546), ISERROR($A3546+0)), HYPERLINK($BF3546, "Images"), "")</f>
        <v>Images</v>
      </c>
      <c r="O3546" s="662" t="s">
        <v>4967</v>
      </c>
      <c r="P3546" s="482"/>
      <c r="Q3546" s="483"/>
      <c r="R3546" s="483"/>
      <c r="S3546" s="484"/>
      <c r="T3546" s="508">
        <f t="shared" si="2724"/>
        <v>0</v>
      </c>
      <c r="U3546" s="225" t="str">
        <f>IF(NOT(ISNUMBER(G3546)), "", VLOOKUP(A3546,'Discount Lookup'!D:E,2,FALSE)*G3546)</f>
        <v/>
      </c>
      <c r="V3546" s="225" t="str">
        <f>IF(NOT(ISNUMBER(G3546)), "", VLOOKUP(A3546,'Discount Lookup'!G:H,2,FALSE)*G3546)</f>
        <v/>
      </c>
      <c r="W3546" s="508">
        <f t="shared" si="2725"/>
        <v>0</v>
      </c>
      <c r="X3546" s="508" t="str">
        <f t="shared" si="2726"/>
        <v>Ruby bloom</v>
      </c>
      <c r="Y3546" s="509" t="b">
        <f t="shared" si="2727"/>
        <v>0</v>
      </c>
      <c r="Z3546" s="510">
        <f t="shared" si="2728"/>
        <v>0</v>
      </c>
      <c r="AA3546" s="511"/>
      <c r="AB3546" s="511" t="str">
        <f t="shared" si="2729"/>
        <v/>
      </c>
      <c r="AC3546" s="698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698"/>
      <c r="AE3546" s="631" t="str">
        <f t="shared" si="2730"/>
        <v/>
      </c>
      <c r="AF3546" s="699" t="str">
        <f t="shared" si="2731"/>
        <v/>
      </c>
      <c r="AG3546" s="699"/>
      <c r="AH3546" s="699"/>
      <c r="AI3546" s="512">
        <f>IF(H3546="credit",0,IF(AE3546="free",0,IF(AE3546="me",0,IF(G3546&gt;0,(VLOOKUP(A3546,'Discount Lookup'!J:K,2)*G3546),0))))</f>
        <v>0</v>
      </c>
      <c r="AJ3546" s="513" t="str">
        <f t="shared" ca="1" si="2732"/>
        <v/>
      </c>
      <c r="AK3546" s="700" t="str">
        <f t="shared" si="2733"/>
        <v/>
      </c>
      <c r="AL3546" s="700"/>
      <c r="AM3546" s="505" t="str">
        <f t="shared" si="2734"/>
        <v/>
      </c>
      <c r="AN3546" s="506"/>
      <c r="AO3546" s="507"/>
      <c r="AP3546" s="507"/>
      <c r="AQ3546" s="507"/>
      <c r="AR3546" s="507"/>
      <c r="AS3546" s="507"/>
      <c r="AT3546" s="507"/>
      <c r="AU3546" s="507"/>
      <c r="AV3546" s="225"/>
      <c r="AW3546" s="508"/>
      <c r="AX3546" s="225"/>
      <c r="AY3546" s="225"/>
      <c r="AZ3546" s="225"/>
      <c r="BA3546" s="225"/>
      <c r="BB3546" s="225"/>
      <c r="BC3546" s="56"/>
      <c r="BD3546" s="56"/>
      <c r="BE3546" s="56"/>
      <c r="BF3546" s="107" t="str">
        <f t="shared" si="2735"/>
        <v>https://www.google.com/search?tbm=isch&amp;q=Stellar%20Ruby%20Magnolia%20Magnolia%20x%20figo%20%27Stellar%20Ruby%27%20PP%2329778</v>
      </c>
      <c r="BG3546" s="107" t="str">
        <f t="shared" si="2736"/>
        <v>S</v>
      </c>
      <c r="BH3546" s="254"/>
      <c r="BI3546" s="254"/>
    </row>
    <row r="3547" spans="1:61" customFormat="1" ht="15.75" x14ac:dyDescent="0.25">
      <c r="A3547" s="485">
        <v>1</v>
      </c>
      <c r="B3547" s="486" t="s">
        <v>291</v>
      </c>
      <c r="C3547" s="487" t="s">
        <v>445</v>
      </c>
      <c r="D3547" s="488" t="s">
        <v>312</v>
      </c>
      <c r="E3547" s="489">
        <v>10.95</v>
      </c>
      <c r="F3547" s="516" t="s">
        <v>293</v>
      </c>
      <c r="G3547" s="232">
        <v>0</v>
      </c>
      <c r="H3547" s="658" t="str">
        <f t="shared" ref="H3547:H3553" si="2743">IF(G3547=0,"",IF(F3547="Buy",IF(G3547=1,"plant","plants"),IF(F3547&gt;0.01,"warranty","Error")))</f>
        <v/>
      </c>
      <c r="I3547" s="490">
        <f t="shared" ref="I3547:I3553" si="2744">IF(H3547="free",0,IF(H3547="credit",((E3547*(F3547))*G3547*-1),IF(F3547="Buy",(E3547*G3547),((E3547*(1-F3547))*G3547))))</f>
        <v>0</v>
      </c>
      <c r="J3547" s="490">
        <f t="shared" ref="J3547:J3553" si="2745">IF(H3547="warranty",0,(I3547*(_xlfn.SINGLE(SalesTaxPercentage))))</f>
        <v>0</v>
      </c>
      <c r="K3547" s="695">
        <f t="shared" ref="K3547" si="2746">I3547+J3547</f>
        <v>0</v>
      </c>
      <c r="L3547" s="695"/>
      <c r="M3547" s="659" t="str">
        <f t="shared" ref="M3547:M3553" si="2747">IF(AND(G3547&gt;0,E3547=0),"WARNING - no PRICE inserted",IF(H3547="free"," FREE ~ no charge this plant",IF(H3547="credit",CONCATENATE(" -$",ROUND(K3547*(1-T2GDiscount)*-1,2)," CREDIT after discount"),IF(T2GDiscount=0,"",IF(G3547=0,"",IF(F3547="Buy",CONCATENATE(" $",ROUND(K3547*(1-T2GDiscount),2)," with ",(T2GDiscount*100),"% discount"),CONCATENATE(" $",ROUND(K3547*(1-T2GDiscount),2)," with ",((T2GDiscount*100+F3547*100)-(T2GDiscount*100*F3547)),IF(F3547&gt;0,"% discounts",IF(NoWarrantyDiscount&gt;0,"% discounts","% discount")))))))))</f>
        <v/>
      </c>
      <c r="N3547" s="660"/>
      <c r="O3547" s="233"/>
      <c r="P3547" s="233"/>
      <c r="Q3547" s="233"/>
      <c r="R3547" s="233"/>
      <c r="S3547" s="233"/>
      <c r="T3547" s="508">
        <f t="shared" si="2724"/>
        <v>0</v>
      </c>
      <c r="U3547" s="225">
        <f>IF(NOT(ISNUMBER(G3547)), "", VLOOKUP(A3547,'Discount Lookup'!D:E,2,FALSE)*G3547)</f>
        <v>0</v>
      </c>
      <c r="V3547" s="225">
        <f>IF(NOT(ISNUMBER(G3547)), "", VLOOKUP(A3547,'Discount Lookup'!G:H,2,FALSE)*G3547)</f>
        <v>0</v>
      </c>
      <c r="W3547" s="508">
        <f t="shared" si="2725"/>
        <v>0</v>
      </c>
      <c r="X3547" s="508">
        <f t="shared" si="2726"/>
        <v>0</v>
      </c>
      <c r="Y3547" s="509" t="b">
        <f t="shared" si="2727"/>
        <v>0</v>
      </c>
      <c r="Z3547" s="510">
        <f t="shared" si="2728"/>
        <v>0</v>
      </c>
      <c r="AA3547" s="511"/>
      <c r="AB3547" s="511" t="str">
        <f t="shared" si="2729"/>
        <v/>
      </c>
      <c r="AC3547" s="698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698"/>
      <c r="AE3547" s="631" t="str">
        <f t="shared" si="2730"/>
        <v/>
      </c>
      <c r="AF3547" s="699" t="str">
        <f t="shared" si="2731"/>
        <v/>
      </c>
      <c r="AG3547" s="699"/>
      <c r="AH3547" s="699"/>
      <c r="AI3547" s="512">
        <f>IF(H3547="credit",0,IF(AE3547="free",0,IF(AE3547="me",0,IF(G3547&gt;0,(VLOOKUP(A3547,'Discount Lookup'!J:K,2)*G3547),0))))</f>
        <v>0</v>
      </c>
      <c r="AJ3547" s="513" t="str">
        <f t="shared" ca="1" si="2732"/>
        <v/>
      </c>
      <c r="AK3547" s="700" t="str">
        <f t="shared" si="2733"/>
        <v/>
      </c>
      <c r="AL3547" s="700"/>
      <c r="AM3547" s="505" t="str">
        <f t="shared" si="2734"/>
        <v/>
      </c>
      <c r="AN3547" s="506"/>
      <c r="AO3547" s="507"/>
      <c r="AP3547" s="507"/>
      <c r="AQ3547" s="507"/>
      <c r="AR3547" s="507"/>
      <c r="AS3547" s="507"/>
      <c r="AT3547" s="507"/>
      <c r="AU3547" s="507"/>
      <c r="AV3547" s="225"/>
      <c r="AW3547" s="508"/>
      <c r="AX3547" s="225"/>
      <c r="AY3547" s="225"/>
      <c r="AZ3547" s="225"/>
      <c r="BA3547" s="225"/>
      <c r="BB3547" s="225"/>
      <c r="BC3547" s="56"/>
      <c r="BD3547" s="56"/>
      <c r="BE3547" s="56"/>
      <c r="BF3547" s="107" t="str">
        <f t="shared" si="2735"/>
        <v>https://www.google.com/search?tbm=isch&amp;q=1%20G2</v>
      </c>
      <c r="BG3547" s="107" t="str">
        <f t="shared" si="2736"/>
        <v>S</v>
      </c>
      <c r="BH3547" s="254"/>
      <c r="BI3547" s="254"/>
    </row>
    <row r="3548" spans="1:61" customFormat="1" ht="15.75" x14ac:dyDescent="0.25">
      <c r="A3548" s="485">
        <v>3</v>
      </c>
      <c r="B3548" s="486" t="s">
        <v>291</v>
      </c>
      <c r="C3548" s="487" t="s">
        <v>334</v>
      </c>
      <c r="D3548" s="488" t="s">
        <v>312</v>
      </c>
      <c r="E3548" s="489">
        <v>34.950000000000003</v>
      </c>
      <c r="F3548" s="516" t="s">
        <v>293</v>
      </c>
      <c r="G3548" s="232">
        <v>0</v>
      </c>
      <c r="H3548" s="658" t="str">
        <f t="shared" si="2743"/>
        <v/>
      </c>
      <c r="I3548" s="490">
        <f t="shared" si="2744"/>
        <v>0</v>
      </c>
      <c r="J3548" s="490">
        <f t="shared" si="2745"/>
        <v>0</v>
      </c>
      <c r="K3548" s="695">
        <f t="shared" ref="K3548" si="2748">I3548+J3548</f>
        <v>0</v>
      </c>
      <c r="L3548" s="695"/>
      <c r="M3548" s="659" t="str">
        <f t="shared" si="2747"/>
        <v/>
      </c>
      <c r="N3548" s="660"/>
      <c r="O3548" s="233"/>
      <c r="P3548" s="233"/>
      <c r="Q3548" s="233"/>
      <c r="R3548" s="233"/>
      <c r="S3548" s="233"/>
      <c r="T3548" s="508">
        <f t="shared" si="2724"/>
        <v>0</v>
      </c>
      <c r="U3548" s="225">
        <f>IF(NOT(ISNUMBER(G3548)), "", VLOOKUP(A3548,'Discount Lookup'!D:E,2,FALSE)*G3548)</f>
        <v>0</v>
      </c>
      <c r="V3548" s="225">
        <f>IF(NOT(ISNUMBER(G3548)), "", VLOOKUP(A3548,'Discount Lookup'!G:H,2,FALSE)*G3548)</f>
        <v>0</v>
      </c>
      <c r="W3548" s="508">
        <f t="shared" si="2725"/>
        <v>0</v>
      </c>
      <c r="X3548" s="508">
        <f t="shared" si="2726"/>
        <v>0</v>
      </c>
      <c r="Y3548" s="509" t="b">
        <f t="shared" si="2727"/>
        <v>0</v>
      </c>
      <c r="Z3548" s="510">
        <f t="shared" si="2728"/>
        <v>0</v>
      </c>
      <c r="AA3548" s="511"/>
      <c r="AB3548" s="511" t="str">
        <f t="shared" si="2729"/>
        <v/>
      </c>
      <c r="AC3548" s="698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698"/>
      <c r="AE3548" s="631" t="str">
        <f t="shared" si="2730"/>
        <v/>
      </c>
      <c r="AF3548" s="699" t="str">
        <f t="shared" si="2731"/>
        <v/>
      </c>
      <c r="AG3548" s="699"/>
      <c r="AH3548" s="699"/>
      <c r="AI3548" s="512">
        <f>IF(H3548="credit",0,IF(AE3548="free",0,IF(AE3548="me",0,IF(G3548&gt;0,(VLOOKUP(A3548,'Discount Lookup'!J:K,2)*G3548),0))))</f>
        <v>0</v>
      </c>
      <c r="AJ3548" s="513" t="str">
        <f t="shared" ca="1" si="2732"/>
        <v/>
      </c>
      <c r="AK3548" s="700" t="str">
        <f t="shared" si="2733"/>
        <v/>
      </c>
      <c r="AL3548" s="700"/>
      <c r="AM3548" s="505" t="str">
        <f t="shared" si="2734"/>
        <v/>
      </c>
      <c r="AN3548" s="506"/>
      <c r="AO3548" s="507"/>
      <c r="AP3548" s="507"/>
      <c r="AQ3548" s="507"/>
      <c r="AR3548" s="507"/>
      <c r="AS3548" s="507"/>
      <c r="AT3548" s="507"/>
      <c r="AU3548" s="507"/>
      <c r="AV3548" s="225"/>
      <c r="AW3548" s="508"/>
      <c r="AX3548" s="225"/>
      <c r="AY3548" s="225"/>
      <c r="AZ3548" s="225"/>
      <c r="BA3548" s="225"/>
      <c r="BB3548" s="225"/>
      <c r="BC3548" s="56"/>
      <c r="BD3548" s="56"/>
      <c r="BE3548" s="56"/>
      <c r="BF3548" s="107" t="str">
        <f t="shared" si="2735"/>
        <v>https://www.google.com/search?tbm=isch&amp;q=3%20G2</v>
      </c>
      <c r="BG3548" s="107" t="str">
        <f t="shared" si="2736"/>
        <v>S</v>
      </c>
      <c r="BH3548" s="254"/>
      <c r="BI3548" s="254"/>
    </row>
    <row r="3549" spans="1:61" customFormat="1" ht="15.75" x14ac:dyDescent="0.25">
      <c r="A3549" s="485">
        <v>3</v>
      </c>
      <c r="B3549" s="486" t="s">
        <v>291</v>
      </c>
      <c r="C3549" s="487" t="s">
        <v>1823</v>
      </c>
      <c r="D3549" s="488" t="s">
        <v>299</v>
      </c>
      <c r="E3549" s="489">
        <v>40.950000000000003</v>
      </c>
      <c r="F3549" s="516" t="s">
        <v>293</v>
      </c>
      <c r="G3549" s="232">
        <v>0</v>
      </c>
      <c r="H3549" s="658" t="str">
        <f t="shared" si="2743"/>
        <v/>
      </c>
      <c r="I3549" s="490">
        <f t="shared" si="2744"/>
        <v>0</v>
      </c>
      <c r="J3549" s="490">
        <f t="shared" si="2745"/>
        <v>0</v>
      </c>
      <c r="K3549" s="695">
        <f t="shared" ref="K3549" si="2749">I3549+J3549</f>
        <v>0</v>
      </c>
      <c r="L3549" s="695"/>
      <c r="M3549" s="659" t="str">
        <f t="shared" si="2747"/>
        <v/>
      </c>
      <c r="N3549" s="660"/>
      <c r="O3549" s="233"/>
      <c r="P3549" s="233"/>
      <c r="Q3549" s="233"/>
      <c r="R3549" s="233"/>
      <c r="S3549" s="233"/>
      <c r="T3549" s="508">
        <f t="shared" si="2724"/>
        <v>0</v>
      </c>
      <c r="U3549" s="225">
        <f>IF(NOT(ISNUMBER(G3549)), "", VLOOKUP(A3549,'Discount Lookup'!D:E,2,FALSE)*G3549)</f>
        <v>0</v>
      </c>
      <c r="V3549" s="225">
        <f>IF(NOT(ISNUMBER(G3549)), "", VLOOKUP(A3549,'Discount Lookup'!G:H,2,FALSE)*G3549)</f>
        <v>0</v>
      </c>
      <c r="W3549" s="508">
        <f t="shared" si="2725"/>
        <v>0</v>
      </c>
      <c r="X3549" s="508">
        <f t="shared" si="2726"/>
        <v>0</v>
      </c>
      <c r="Y3549" s="509" t="b">
        <f t="shared" si="2727"/>
        <v>0</v>
      </c>
      <c r="Z3549" s="510">
        <f t="shared" si="2728"/>
        <v>0</v>
      </c>
      <c r="AA3549" s="511"/>
      <c r="AB3549" s="511" t="str">
        <f t="shared" si="2729"/>
        <v/>
      </c>
      <c r="AC3549" s="698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698"/>
      <c r="AE3549" s="631" t="str">
        <f t="shared" si="2730"/>
        <v/>
      </c>
      <c r="AF3549" s="699" t="str">
        <f t="shared" si="2731"/>
        <v/>
      </c>
      <c r="AG3549" s="699"/>
      <c r="AH3549" s="699"/>
      <c r="AI3549" s="512">
        <f>IF(H3549="credit",0,IF(AE3549="free",0,IF(AE3549="me",0,IF(G3549&gt;0,(VLOOKUP(A3549,'Discount Lookup'!J:K,2)*G3549),0))))</f>
        <v>0</v>
      </c>
      <c r="AJ3549" s="513" t="str">
        <f t="shared" ca="1" si="2732"/>
        <v/>
      </c>
      <c r="AK3549" s="700" t="str">
        <f t="shared" si="2733"/>
        <v/>
      </c>
      <c r="AL3549" s="700"/>
      <c r="AM3549" s="505" t="str">
        <f t="shared" si="2734"/>
        <v/>
      </c>
      <c r="AN3549" s="506"/>
      <c r="AO3549" s="507"/>
      <c r="AP3549" s="507"/>
      <c r="AQ3549" s="507"/>
      <c r="AR3549" s="507"/>
      <c r="AS3549" s="507"/>
      <c r="AT3549" s="507"/>
      <c r="AU3549" s="507"/>
      <c r="AV3549" s="225"/>
      <c r="AW3549" s="508"/>
      <c r="AX3549" s="225"/>
      <c r="AY3549" s="225"/>
      <c r="AZ3549" s="225"/>
      <c r="BA3549" s="225"/>
      <c r="BB3549" s="225"/>
      <c r="BC3549" s="56"/>
      <c r="BD3549" s="56"/>
      <c r="BE3549" s="56"/>
      <c r="BF3549" s="107" t="str">
        <f t="shared" si="2735"/>
        <v>https://www.google.com/search?tbm=isch&amp;q=3%20G5</v>
      </c>
      <c r="BG3549" s="107" t="str">
        <f t="shared" si="2736"/>
        <v>S</v>
      </c>
      <c r="BH3549" s="254"/>
      <c r="BI3549" s="254"/>
    </row>
    <row r="3550" spans="1:61" customFormat="1" ht="15.75" x14ac:dyDescent="0.25">
      <c r="A3550" s="485">
        <v>7</v>
      </c>
      <c r="B3550" s="486" t="s">
        <v>291</v>
      </c>
      <c r="C3550" s="487" t="s">
        <v>4452</v>
      </c>
      <c r="D3550" s="488" t="s">
        <v>292</v>
      </c>
      <c r="E3550" s="489">
        <v>104.95</v>
      </c>
      <c r="F3550" s="516" t="s">
        <v>293</v>
      </c>
      <c r="G3550" s="232">
        <v>0</v>
      </c>
      <c r="H3550" s="658" t="str">
        <f t="shared" si="2743"/>
        <v/>
      </c>
      <c r="I3550" s="490">
        <f t="shared" si="2744"/>
        <v>0</v>
      </c>
      <c r="J3550" s="490">
        <f t="shared" si="2745"/>
        <v>0</v>
      </c>
      <c r="K3550" s="695">
        <f t="shared" ref="K3550" si="2750">I3550+J3550</f>
        <v>0</v>
      </c>
      <c r="L3550" s="695"/>
      <c r="M3550" s="659" t="str">
        <f t="shared" si="2747"/>
        <v/>
      </c>
      <c r="N3550" s="660"/>
      <c r="O3550" s="233"/>
      <c r="P3550" s="233"/>
      <c r="Q3550" s="233"/>
      <c r="R3550" s="233"/>
      <c r="S3550" s="233"/>
      <c r="T3550" s="508">
        <f t="shared" si="2724"/>
        <v>0</v>
      </c>
      <c r="U3550" s="225">
        <f>IF(NOT(ISNUMBER(G3550)), "", VLOOKUP(A3550,'Discount Lookup'!D:E,2,FALSE)*G3550)</f>
        <v>0</v>
      </c>
      <c r="V3550" s="225">
        <f>IF(NOT(ISNUMBER(G3550)), "", VLOOKUP(A3550,'Discount Lookup'!G:H,2,FALSE)*G3550)</f>
        <v>0</v>
      </c>
      <c r="W3550" s="508">
        <f t="shared" si="2725"/>
        <v>0</v>
      </c>
      <c r="X3550" s="508">
        <f t="shared" si="2726"/>
        <v>0</v>
      </c>
      <c r="Y3550" s="509" t="b">
        <f t="shared" si="2727"/>
        <v>0</v>
      </c>
      <c r="Z3550" s="510">
        <f t="shared" si="2728"/>
        <v>0</v>
      </c>
      <c r="AA3550" s="511"/>
      <c r="AB3550" s="511" t="str">
        <f t="shared" si="2729"/>
        <v/>
      </c>
      <c r="AC3550" s="698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698"/>
      <c r="AE3550" s="631" t="str">
        <f t="shared" si="2730"/>
        <v/>
      </c>
      <c r="AF3550" s="699" t="str">
        <f t="shared" si="2731"/>
        <v/>
      </c>
      <c r="AG3550" s="699"/>
      <c r="AH3550" s="699"/>
      <c r="AI3550" s="512">
        <f>IF(H3550="credit",0,IF(AE3550="free",0,IF(AE3550="me",0,IF(G3550&gt;0,(VLOOKUP(A3550,'Discount Lookup'!J:K,2)*G3550),0))))</f>
        <v>0</v>
      </c>
      <c r="AJ3550" s="513" t="str">
        <f t="shared" ca="1" si="2732"/>
        <v/>
      </c>
      <c r="AK3550" s="700" t="str">
        <f t="shared" si="2733"/>
        <v/>
      </c>
      <c r="AL3550" s="700"/>
      <c r="AM3550" s="505" t="str">
        <f t="shared" si="2734"/>
        <v/>
      </c>
      <c r="AN3550" s="506"/>
      <c r="AO3550" s="507"/>
      <c r="AP3550" s="507"/>
      <c r="AQ3550" s="507"/>
      <c r="AR3550" s="507"/>
      <c r="AS3550" s="507"/>
      <c r="AT3550" s="507"/>
      <c r="AU3550" s="507"/>
      <c r="AV3550" s="225"/>
      <c r="AW3550" s="508"/>
      <c r="AX3550" s="225"/>
      <c r="AY3550" s="225"/>
      <c r="AZ3550" s="225"/>
      <c r="BA3550" s="225"/>
      <c r="BB3550" s="225"/>
      <c r="BC3550" s="56"/>
      <c r="BD3550" s="56"/>
      <c r="BE3550" s="56"/>
      <c r="BF3550" s="107" t="str">
        <f t="shared" si="2735"/>
        <v>https://www.google.com/search?tbm=isch&amp;q=7%20G4</v>
      </c>
      <c r="BG3550" s="107" t="str">
        <f t="shared" si="2736"/>
        <v>S</v>
      </c>
      <c r="BH3550" s="254"/>
      <c r="BI3550" s="254"/>
    </row>
    <row r="3551" spans="1:61" customFormat="1" ht="15.75" x14ac:dyDescent="0.25">
      <c r="A3551" s="485">
        <v>7</v>
      </c>
      <c r="B3551" s="486" t="s">
        <v>291</v>
      </c>
      <c r="C3551" s="487" t="s">
        <v>2224</v>
      </c>
      <c r="D3551" s="488" t="s">
        <v>300</v>
      </c>
      <c r="E3551" s="489">
        <v>111.95</v>
      </c>
      <c r="F3551" s="516" t="s">
        <v>293</v>
      </c>
      <c r="G3551" s="232">
        <v>0</v>
      </c>
      <c r="H3551" s="658" t="str">
        <f t="shared" si="2743"/>
        <v/>
      </c>
      <c r="I3551" s="490">
        <f t="shared" si="2744"/>
        <v>0</v>
      </c>
      <c r="J3551" s="490">
        <f t="shared" si="2745"/>
        <v>0</v>
      </c>
      <c r="K3551" s="695">
        <f t="shared" ref="K3551" si="2751">I3551+J3551</f>
        <v>0</v>
      </c>
      <c r="L3551" s="695"/>
      <c r="M3551" s="659" t="str">
        <f t="shared" si="2747"/>
        <v/>
      </c>
      <c r="N3551" s="660"/>
      <c r="O3551" s="233"/>
      <c r="P3551" s="233"/>
      <c r="Q3551" s="233"/>
      <c r="R3551" s="233"/>
      <c r="S3551" s="233"/>
      <c r="T3551" s="508">
        <f t="shared" si="2724"/>
        <v>0</v>
      </c>
      <c r="U3551" s="225">
        <f>IF(NOT(ISNUMBER(G3551)), "", VLOOKUP(A3551,'Discount Lookup'!D:E,2,FALSE)*G3551)</f>
        <v>0</v>
      </c>
      <c r="V3551" s="225">
        <f>IF(NOT(ISNUMBER(G3551)), "", VLOOKUP(A3551,'Discount Lookup'!G:H,2,FALSE)*G3551)</f>
        <v>0</v>
      </c>
      <c r="W3551" s="508">
        <f t="shared" si="2725"/>
        <v>0</v>
      </c>
      <c r="X3551" s="508">
        <f t="shared" si="2726"/>
        <v>0</v>
      </c>
      <c r="Y3551" s="509" t="b">
        <f t="shared" si="2727"/>
        <v>0</v>
      </c>
      <c r="Z3551" s="510">
        <f t="shared" si="2728"/>
        <v>0</v>
      </c>
      <c r="AA3551" s="511"/>
      <c r="AB3551" s="511" t="str">
        <f t="shared" si="2729"/>
        <v/>
      </c>
      <c r="AC3551" s="698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698"/>
      <c r="AE3551" s="631" t="str">
        <f t="shared" si="2730"/>
        <v/>
      </c>
      <c r="AF3551" s="699" t="str">
        <f t="shared" si="2731"/>
        <v/>
      </c>
      <c r="AG3551" s="699"/>
      <c r="AH3551" s="699"/>
      <c r="AI3551" s="512">
        <f>IF(H3551="credit",0,IF(AE3551="free",0,IF(AE3551="me",0,IF(G3551&gt;0,(VLOOKUP(A3551,'Discount Lookup'!J:K,2)*G3551),0))))</f>
        <v>0</v>
      </c>
      <c r="AJ3551" s="513" t="str">
        <f t="shared" ca="1" si="2732"/>
        <v/>
      </c>
      <c r="AK3551" s="700" t="str">
        <f t="shared" si="2733"/>
        <v/>
      </c>
      <c r="AL3551" s="700"/>
      <c r="AM3551" s="505" t="str">
        <f t="shared" si="2734"/>
        <v/>
      </c>
      <c r="AN3551" s="506"/>
      <c r="AO3551" s="507"/>
      <c r="AP3551" s="507"/>
      <c r="AQ3551" s="507"/>
      <c r="AR3551" s="507"/>
      <c r="AS3551" s="507"/>
      <c r="AT3551" s="507"/>
      <c r="AU3551" s="507"/>
      <c r="AV3551" s="225"/>
      <c r="AW3551" s="508"/>
      <c r="AX3551" s="225"/>
      <c r="AY3551" s="225"/>
      <c r="AZ3551" s="225"/>
      <c r="BA3551" s="225"/>
      <c r="BB3551" s="225"/>
      <c r="BC3551" s="56"/>
      <c r="BD3551" s="56"/>
      <c r="BE3551" s="56"/>
      <c r="BF3551" s="107" t="str">
        <f t="shared" si="2735"/>
        <v>https://www.google.com/search?tbm=isch&amp;q=7%20G6</v>
      </c>
      <c r="BG3551" s="107" t="str">
        <f t="shared" si="2736"/>
        <v>S</v>
      </c>
      <c r="BH3551" s="254"/>
      <c r="BI3551" s="254"/>
    </row>
    <row r="3552" spans="1:61" customFormat="1" ht="27" x14ac:dyDescent="0.25">
      <c r="A3552" s="485">
        <v>7</v>
      </c>
      <c r="B3552" s="486" t="s">
        <v>291</v>
      </c>
      <c r="C3552" s="487" t="s">
        <v>3794</v>
      </c>
      <c r="D3552" s="488" t="s">
        <v>292</v>
      </c>
      <c r="E3552" s="489">
        <v>118.95</v>
      </c>
      <c r="F3552" s="516" t="s">
        <v>293</v>
      </c>
      <c r="G3552" s="232">
        <v>0</v>
      </c>
      <c r="H3552" s="658" t="str">
        <f t="shared" si="2743"/>
        <v/>
      </c>
      <c r="I3552" s="490">
        <f t="shared" si="2744"/>
        <v>0</v>
      </c>
      <c r="J3552" s="490">
        <f t="shared" si="2745"/>
        <v>0</v>
      </c>
      <c r="K3552" s="695">
        <f t="shared" ref="K3552" si="2752">I3552+J3552</f>
        <v>0</v>
      </c>
      <c r="L3552" s="695"/>
      <c r="M3552" s="659" t="str">
        <f t="shared" si="2747"/>
        <v/>
      </c>
      <c r="N3552" s="660"/>
      <c r="O3552" s="233"/>
      <c r="P3552" s="233"/>
      <c r="Q3552" s="233"/>
      <c r="R3552" s="233"/>
      <c r="S3552" s="233"/>
      <c r="T3552" s="508">
        <f t="shared" si="2724"/>
        <v>0</v>
      </c>
      <c r="U3552" s="225">
        <f>IF(NOT(ISNUMBER(G3552)), "", VLOOKUP(A3552,'Discount Lookup'!D:E,2,FALSE)*G3552)</f>
        <v>0</v>
      </c>
      <c r="V3552" s="225">
        <f>IF(NOT(ISNUMBER(G3552)), "", VLOOKUP(A3552,'Discount Lookup'!G:H,2,FALSE)*G3552)</f>
        <v>0</v>
      </c>
      <c r="W3552" s="508">
        <f t="shared" si="2725"/>
        <v>0</v>
      </c>
      <c r="X3552" s="508">
        <f t="shared" si="2726"/>
        <v>0</v>
      </c>
      <c r="Y3552" s="509" t="b">
        <f t="shared" si="2727"/>
        <v>0</v>
      </c>
      <c r="Z3552" s="510">
        <f t="shared" si="2728"/>
        <v>0</v>
      </c>
      <c r="AA3552" s="511"/>
      <c r="AB3552" s="511" t="str">
        <f t="shared" si="2729"/>
        <v/>
      </c>
      <c r="AC3552" s="698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698"/>
      <c r="AE3552" s="631" t="str">
        <f t="shared" si="2730"/>
        <v/>
      </c>
      <c r="AF3552" s="699" t="str">
        <f t="shared" si="2731"/>
        <v/>
      </c>
      <c r="AG3552" s="699"/>
      <c r="AH3552" s="699"/>
      <c r="AI3552" s="512">
        <f>IF(H3552="credit",0,IF(AE3552="free",0,IF(AE3552="me",0,IF(G3552&gt;0,(VLOOKUP(A3552,'Discount Lookup'!J:K,2)*G3552),0))))</f>
        <v>0</v>
      </c>
      <c r="AJ3552" s="513" t="str">
        <f t="shared" ca="1" si="2732"/>
        <v/>
      </c>
      <c r="AK3552" s="700" t="str">
        <f t="shared" si="2733"/>
        <v/>
      </c>
      <c r="AL3552" s="700"/>
      <c r="AM3552" s="505" t="str">
        <f t="shared" si="2734"/>
        <v/>
      </c>
      <c r="AN3552" s="506"/>
      <c r="AO3552" s="507"/>
      <c r="AP3552" s="507"/>
      <c r="AQ3552" s="507"/>
      <c r="AR3552" s="507"/>
      <c r="AS3552" s="507"/>
      <c r="AT3552" s="507"/>
      <c r="AU3552" s="507"/>
      <c r="AV3552" s="225"/>
      <c r="AW3552" s="508"/>
      <c r="AX3552" s="225"/>
      <c r="AY3552" s="225"/>
      <c r="AZ3552" s="225"/>
      <c r="BA3552" s="225"/>
      <c r="BB3552" s="225"/>
      <c r="BC3552" s="56"/>
      <c r="BD3552" s="56"/>
      <c r="BE3552" s="56"/>
      <c r="BF3552" s="107" t="str">
        <f t="shared" si="2735"/>
        <v>https://www.google.com/search?tbm=isch&amp;q=7%20G4</v>
      </c>
      <c r="BG3552" s="107" t="str">
        <f t="shared" si="2736"/>
        <v>S</v>
      </c>
      <c r="BH3552" s="254"/>
      <c r="BI3552" s="254"/>
    </row>
    <row r="3553" spans="1:61" customFormat="1" ht="15.75" x14ac:dyDescent="0.25">
      <c r="A3553" s="485">
        <v>15</v>
      </c>
      <c r="B3553" s="486" t="s">
        <v>291</v>
      </c>
      <c r="C3553" s="487" t="s">
        <v>2813</v>
      </c>
      <c r="D3553" s="488" t="s">
        <v>299</v>
      </c>
      <c r="E3553" s="489">
        <v>183.95</v>
      </c>
      <c r="F3553" s="516" t="s">
        <v>293</v>
      </c>
      <c r="G3553" s="232">
        <v>0</v>
      </c>
      <c r="H3553" s="658" t="str">
        <f t="shared" si="2743"/>
        <v/>
      </c>
      <c r="I3553" s="490">
        <f t="shared" si="2744"/>
        <v>0</v>
      </c>
      <c r="J3553" s="490">
        <f t="shared" si="2745"/>
        <v>0</v>
      </c>
      <c r="K3553" s="695">
        <f t="shared" ref="K3553" si="2753">I3553+J3553</f>
        <v>0</v>
      </c>
      <c r="L3553" s="695"/>
      <c r="M3553" s="659" t="str">
        <f t="shared" si="2747"/>
        <v/>
      </c>
      <c r="N3553" s="660"/>
      <c r="O3553" s="233"/>
      <c r="P3553" s="233"/>
      <c r="Q3553" s="233"/>
      <c r="R3553" s="233"/>
      <c r="S3553" s="233"/>
      <c r="T3553" s="508">
        <f t="shared" si="2724"/>
        <v>0</v>
      </c>
      <c r="U3553" s="225">
        <f>IF(NOT(ISNUMBER(G3553)), "", VLOOKUP(A3553,'Discount Lookup'!D:E,2,FALSE)*G3553)</f>
        <v>0</v>
      </c>
      <c r="V3553" s="225">
        <f>IF(NOT(ISNUMBER(G3553)), "", VLOOKUP(A3553,'Discount Lookup'!G:H,2,FALSE)*G3553)</f>
        <v>0</v>
      </c>
      <c r="W3553" s="508">
        <f t="shared" si="2725"/>
        <v>0</v>
      </c>
      <c r="X3553" s="508">
        <f t="shared" si="2726"/>
        <v>0</v>
      </c>
      <c r="Y3553" s="509" t="b">
        <f t="shared" si="2727"/>
        <v>0</v>
      </c>
      <c r="Z3553" s="510">
        <f t="shared" si="2728"/>
        <v>0</v>
      </c>
      <c r="AA3553" s="511"/>
      <c r="AB3553" s="511" t="str">
        <f t="shared" si="2729"/>
        <v/>
      </c>
      <c r="AC3553" s="698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698"/>
      <c r="AE3553" s="631" t="str">
        <f t="shared" si="2730"/>
        <v/>
      </c>
      <c r="AF3553" s="699" t="str">
        <f t="shared" si="2731"/>
        <v/>
      </c>
      <c r="AG3553" s="699"/>
      <c r="AH3553" s="699"/>
      <c r="AI3553" s="512">
        <f>IF(H3553="credit",0,IF(AE3553="free",0,IF(AE3553="me",0,IF(G3553&gt;0,(VLOOKUP(A3553,'Discount Lookup'!J:K,2)*G3553),0))))</f>
        <v>0</v>
      </c>
      <c r="AJ3553" s="513" t="str">
        <f t="shared" ca="1" si="2732"/>
        <v/>
      </c>
      <c r="AK3553" s="700" t="str">
        <f t="shared" si="2733"/>
        <v/>
      </c>
      <c r="AL3553" s="700"/>
      <c r="AM3553" s="505" t="str">
        <f t="shared" si="2734"/>
        <v/>
      </c>
      <c r="AN3553" s="506"/>
      <c r="AO3553" s="507"/>
      <c r="AP3553" s="507"/>
      <c r="AQ3553" s="507"/>
      <c r="AR3553" s="507"/>
      <c r="AS3553" s="507"/>
      <c r="AT3553" s="507"/>
      <c r="AU3553" s="507"/>
      <c r="AV3553" s="225"/>
      <c r="AW3553" s="508"/>
      <c r="AX3553" s="225"/>
      <c r="AY3553" s="225"/>
      <c r="AZ3553" s="225"/>
      <c r="BA3553" s="225"/>
      <c r="BB3553" s="225"/>
      <c r="BC3553" s="56"/>
      <c r="BD3553" s="56"/>
      <c r="BE3553" s="56"/>
      <c r="BF3553" s="107" t="str">
        <f t="shared" si="2735"/>
        <v>https://www.google.com/search?tbm=isch&amp;q=15%20G5</v>
      </c>
      <c r="BG3553" s="107" t="str">
        <f t="shared" si="2736"/>
        <v>S</v>
      </c>
      <c r="BH3553" s="254"/>
      <c r="BI3553" s="254"/>
    </row>
    <row r="3554" spans="1:61" customFormat="1" ht="17.25" thickBot="1" x14ac:dyDescent="0.3">
      <c r="A3554" s="522" t="s">
        <v>2183</v>
      </c>
      <c r="B3554" s="491"/>
      <c r="C3554" s="675"/>
      <c r="D3554" s="491"/>
      <c r="E3554" s="491"/>
      <c r="F3554" s="492"/>
      <c r="G3554" s="493"/>
      <c r="H3554" s="491"/>
      <c r="I3554" s="234"/>
      <c r="J3554" s="234"/>
      <c r="K3554" s="494"/>
      <c r="L3554" s="543"/>
      <c r="M3554" s="561"/>
      <c r="N3554" s="495"/>
      <c r="O3554" s="496"/>
      <c r="P3554" s="497"/>
      <c r="Q3554" s="495"/>
      <c r="R3554" s="495"/>
      <c r="S3554" s="667" t="s">
        <v>4986</v>
      </c>
      <c r="T3554" s="508">
        <f t="shared" si="2724"/>
        <v>0</v>
      </c>
      <c r="U3554" s="225" t="str">
        <f>IF(NOT(ISNUMBER(G3554)), "", VLOOKUP(A3554,'Discount Lookup'!D:E,2,FALSE)*G3554)</f>
        <v/>
      </c>
      <c r="V3554" s="225" t="str">
        <f>IF(NOT(ISNUMBER(G3554)), "", VLOOKUP(A3554,'Discount Lookup'!G:H,2,FALSE)*G3554)</f>
        <v/>
      </c>
      <c r="W3554" s="508">
        <f t="shared" si="2725"/>
        <v>0</v>
      </c>
      <c r="X3554" s="508">
        <f t="shared" si="2726"/>
        <v>0</v>
      </c>
      <c r="Y3554" s="509" t="b">
        <f t="shared" si="2727"/>
        <v>0</v>
      </c>
      <c r="Z3554" s="510">
        <f t="shared" si="2728"/>
        <v>0</v>
      </c>
      <c r="AA3554" s="511"/>
      <c r="AB3554" s="511" t="str">
        <f t="shared" si="2729"/>
        <v/>
      </c>
      <c r="AC3554" s="698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698"/>
      <c r="AE3554" s="631" t="str">
        <f t="shared" si="2730"/>
        <v/>
      </c>
      <c r="AF3554" s="699" t="str">
        <f t="shared" si="2731"/>
        <v/>
      </c>
      <c r="AG3554" s="699"/>
      <c r="AH3554" s="699"/>
      <c r="AI3554" s="512">
        <f>IF(H3554="credit",0,IF(AE3554="free",0,IF(AE3554="me",0,IF(G3554&gt;0,(VLOOKUP(A3554,'Discount Lookup'!J:K,2)*G3554),0))))</f>
        <v>0</v>
      </c>
      <c r="AJ3554" s="513" t="str">
        <f t="shared" ca="1" si="2732"/>
        <v/>
      </c>
      <c r="AK3554" s="700" t="str">
        <f t="shared" si="2733"/>
        <v/>
      </c>
      <c r="AL3554" s="700"/>
      <c r="AM3554" s="505" t="str">
        <f t="shared" si="2734"/>
        <v/>
      </c>
      <c r="AN3554" s="506"/>
      <c r="AO3554" s="507"/>
      <c r="AP3554" s="507"/>
      <c r="AQ3554" s="507"/>
      <c r="AR3554" s="507"/>
      <c r="AS3554" s="507"/>
      <c r="AT3554" s="507"/>
      <c r="AU3554" s="507"/>
      <c r="AV3554" s="225"/>
      <c r="AW3554" s="508"/>
      <c r="AX3554" s="225"/>
      <c r="AY3554" s="225"/>
      <c r="AZ3554" s="225"/>
      <c r="BA3554" s="225"/>
      <c r="BB3554" s="225"/>
      <c r="BC3554" s="56"/>
      <c r="BD3554" s="56"/>
      <c r="BE3554" s="56"/>
      <c r="BF3554" s="107" t="str">
        <f t="shared" si="2735"/>
        <v>https://www.google.com/search?tbm=isch&amp;q=Stellar%20Ruby%20is%20vigorous%20%26%20hardy.%20Blooms%20%26%20reblooms%20from%20early%20spring%20through%20summer%20</v>
      </c>
      <c r="BG3554" s="107" t="str">
        <f t="shared" si="2736"/>
        <v>S</v>
      </c>
      <c r="BH3554" s="254"/>
      <c r="BI3554" s="254"/>
    </row>
    <row r="3555" spans="1:61" customFormat="1" ht="18" x14ac:dyDescent="0.25">
      <c r="A3555" s="521" t="s">
        <v>5620</v>
      </c>
      <c r="B3555" s="477"/>
      <c r="C3555" s="674"/>
      <c r="D3555" s="478" t="s">
        <v>1824</v>
      </c>
      <c r="E3555" s="479"/>
      <c r="F3555" s="479"/>
      <c r="G3555" s="479"/>
      <c r="H3555" s="582" t="s">
        <v>1825</v>
      </c>
      <c r="I3555" s="480" t="s">
        <v>2284</v>
      </c>
      <c r="J3555" s="479"/>
      <c r="K3555" s="479"/>
      <c r="L3555" s="560"/>
      <c r="M3555" s="666" t="s">
        <v>4966</v>
      </c>
      <c r="N3555" s="680" t="str">
        <f>IF(AND(ISTEXT($A3555), ISERROR($A3555+0)), HYPERLINK($BF3555, "Images"), "")</f>
        <v>Images</v>
      </c>
      <c r="O3555" s="662" t="s">
        <v>4971</v>
      </c>
      <c r="P3555" s="482"/>
      <c r="Q3555" s="483"/>
      <c r="R3555" s="483"/>
      <c r="S3555" s="484"/>
      <c r="T3555" s="508">
        <f t="shared" si="2724"/>
        <v>0</v>
      </c>
      <c r="U3555" s="225" t="str">
        <f>IF(NOT(ISNUMBER(G3555)), "", VLOOKUP(A3555,'Discount Lookup'!D:E,2,FALSE)*G3555)</f>
        <v/>
      </c>
      <c r="V3555" s="225" t="str">
        <f>IF(NOT(ISNUMBER(G3555)), "", VLOOKUP(A3555,'Discount Lookup'!G:H,2,FALSE)*G3555)</f>
        <v/>
      </c>
      <c r="W3555" s="508">
        <f t="shared" si="2725"/>
        <v>0</v>
      </c>
      <c r="X3555" s="508" t="str">
        <f t="shared" si="2726"/>
        <v>Rich Green foliage</v>
      </c>
      <c r="Y3555" s="509" t="b">
        <f t="shared" si="2727"/>
        <v>0</v>
      </c>
      <c r="Z3555" s="510">
        <f t="shared" si="2728"/>
        <v>0</v>
      </c>
      <c r="AA3555" s="511"/>
      <c r="AB3555" s="511" t="str">
        <f t="shared" si="2729"/>
        <v/>
      </c>
      <c r="AC3555" s="698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698"/>
      <c r="AE3555" s="631" t="str">
        <f t="shared" si="2730"/>
        <v/>
      </c>
      <c r="AF3555" s="699" t="str">
        <f t="shared" si="2731"/>
        <v/>
      </c>
      <c r="AG3555" s="699"/>
      <c r="AH3555" s="699"/>
      <c r="AI3555" s="512">
        <f>IF(H3555="credit",0,IF(AE3555="free",0,IF(AE3555="me",0,IF(G3555&gt;0,(VLOOKUP(A3555,'Discount Lookup'!J:K,2)*G3555),0))))</f>
        <v>0</v>
      </c>
      <c r="AJ3555" s="513" t="str">
        <f t="shared" ca="1" si="2732"/>
        <v/>
      </c>
      <c r="AK3555" s="700" t="str">
        <f t="shared" si="2733"/>
        <v/>
      </c>
      <c r="AL3555" s="700"/>
      <c r="AM3555" s="505" t="str">
        <f t="shared" si="2734"/>
        <v/>
      </c>
      <c r="AN3555" s="506"/>
      <c r="AO3555" s="507"/>
      <c r="AP3555" s="507"/>
      <c r="AQ3555" s="507"/>
      <c r="AR3555" s="507"/>
      <c r="AS3555" s="507"/>
      <c r="AT3555" s="507"/>
      <c r="AU3555" s="507"/>
      <c r="AV3555" s="225"/>
      <c r="AW3555" s="508"/>
      <c r="AX3555" s="225"/>
      <c r="AY3555" s="225"/>
      <c r="AZ3555" s="225"/>
      <c r="BA3555" s="225"/>
      <c r="BB3555" s="225"/>
      <c r="BC3555" s="56"/>
      <c r="BD3555" s="56"/>
      <c r="BE3555" s="56"/>
      <c r="BF3555" s="107" t="str">
        <f t="shared" si="2735"/>
        <v>https://www.google.com/search?tbm=isch&amp;q=Sting%C2%AE%20Arborvitae%20%28PW%C2%AE%29%20Thuja%20occidentalis%20%27SMNTOO%27%20PP%2334292</v>
      </c>
      <c r="BG3555" s="107" t="str">
        <f t="shared" si="2736"/>
        <v>S</v>
      </c>
      <c r="BH3555" s="254"/>
      <c r="BI3555" s="254"/>
    </row>
    <row r="3556" spans="1:61" customFormat="1" ht="15.75" x14ac:dyDescent="0.25">
      <c r="A3556" s="485">
        <v>3</v>
      </c>
      <c r="B3556" s="486" t="s">
        <v>291</v>
      </c>
      <c r="C3556" s="487" t="s">
        <v>754</v>
      </c>
      <c r="D3556" s="488" t="s">
        <v>299</v>
      </c>
      <c r="E3556" s="489">
        <v>42.95</v>
      </c>
      <c r="F3556" s="516" t="s">
        <v>293</v>
      </c>
      <c r="G3556" s="232">
        <v>0</v>
      </c>
      <c r="H3556" s="658" t="str">
        <f>IF(G3556=0,"",IF(F3556="Buy",IF(G3556=1,"plant","plants"),IF(F3556&gt;0.01,"warranty","Error")))</f>
        <v/>
      </c>
      <c r="I3556" s="490">
        <f>IF(H3556="free",0,IF(H3556="credit",((E3556*(F3556))*G3556*-1),IF(F3556="Buy",(E3556*G3556),((E3556*(1-F3556))*G3556))))</f>
        <v>0</v>
      </c>
      <c r="J3556" s="490">
        <f>IF(H3556="warranty",0,(I3556*(_xlfn.SINGLE(SalesTaxPercentage))))</f>
        <v>0</v>
      </c>
      <c r="K3556" s="695">
        <f t="shared" ref="K3556" si="2754">I3556+J3556</f>
        <v>0</v>
      </c>
      <c r="L3556" s="695"/>
      <c r="M3556" s="659" t="str">
        <f>IF(AND(G3556&gt;0,E3556=0),"WARNING - no PRICE inserted",IF(H3556="free"," FREE ~ no charge this plant",IF(H3556="credit",CONCATENATE(" -$",ROUND(K3556*(1-T2GDiscount)*-1,2)," CREDIT after discount"),IF(T2GDiscount=0,"",IF(G3556=0,"",IF(F3556="Buy",CONCATENATE(" $",ROUND(K3556*(1-T2GDiscount),2)," with ",(T2GDiscount*100),"% discount"),CONCATENATE(" $",ROUND(K3556*(1-T2GDiscount),2)," with ",((T2GDiscount*100+F3556*100)-(T2GDiscount*100*F3556)),IF(F3556&gt;0,"% discounts",IF(NoWarrantyDiscount&gt;0,"% discounts","% discount")))))))))</f>
        <v/>
      </c>
      <c r="N3556" s="660"/>
      <c r="O3556" s="233"/>
      <c r="P3556" s="233"/>
      <c r="Q3556" s="233"/>
      <c r="R3556" s="233"/>
      <c r="S3556" s="233"/>
      <c r="T3556" s="508">
        <f t="shared" si="2724"/>
        <v>0</v>
      </c>
      <c r="U3556" s="225">
        <f>IF(NOT(ISNUMBER(G3556)), "", VLOOKUP(A3556,'Discount Lookup'!D:E,2,FALSE)*G3556)</f>
        <v>0</v>
      </c>
      <c r="V3556" s="225">
        <f>IF(NOT(ISNUMBER(G3556)), "", VLOOKUP(A3556,'Discount Lookup'!G:H,2,FALSE)*G3556)</f>
        <v>0</v>
      </c>
      <c r="W3556" s="508">
        <f t="shared" si="2725"/>
        <v>0</v>
      </c>
      <c r="X3556" s="508">
        <f t="shared" si="2726"/>
        <v>0</v>
      </c>
      <c r="Y3556" s="509" t="b">
        <f t="shared" si="2727"/>
        <v>0</v>
      </c>
      <c r="Z3556" s="510">
        <f t="shared" si="2728"/>
        <v>0</v>
      </c>
      <c r="AA3556" s="511"/>
      <c r="AB3556" s="511" t="str">
        <f t="shared" si="2729"/>
        <v/>
      </c>
      <c r="AC3556" s="698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698"/>
      <c r="AE3556" s="631" t="str">
        <f t="shared" si="2730"/>
        <v/>
      </c>
      <c r="AF3556" s="699" t="str">
        <f t="shared" si="2731"/>
        <v/>
      </c>
      <c r="AG3556" s="699"/>
      <c r="AH3556" s="699"/>
      <c r="AI3556" s="512">
        <f>IF(H3556="credit",0,IF(AE3556="free",0,IF(AE3556="me",0,IF(G3556&gt;0,(VLOOKUP(A3556,'Discount Lookup'!J:K,2)*G3556),0))))</f>
        <v>0</v>
      </c>
      <c r="AJ3556" s="513" t="str">
        <f t="shared" ca="1" si="2732"/>
        <v/>
      </c>
      <c r="AK3556" s="700" t="str">
        <f t="shared" si="2733"/>
        <v/>
      </c>
      <c r="AL3556" s="700"/>
      <c r="AM3556" s="505" t="str">
        <f t="shared" si="2734"/>
        <v/>
      </c>
      <c r="AN3556" s="506"/>
      <c r="AO3556" s="507"/>
      <c r="AP3556" s="507"/>
      <c r="AQ3556" s="507"/>
      <c r="AR3556" s="507"/>
      <c r="AS3556" s="507"/>
      <c r="AT3556" s="507"/>
      <c r="AU3556" s="507"/>
      <c r="AV3556" s="225"/>
      <c r="AW3556" s="508"/>
      <c r="AX3556" s="225"/>
      <c r="AY3556" s="225"/>
      <c r="AZ3556" s="225"/>
      <c r="BA3556" s="225"/>
      <c r="BB3556" s="225"/>
      <c r="BC3556" s="56"/>
      <c r="BD3556" s="56"/>
      <c r="BE3556" s="56"/>
      <c r="BF3556" s="107" t="str">
        <f t="shared" si="2735"/>
        <v>https://www.google.com/search?tbm=isch&amp;q=3%20G5</v>
      </c>
      <c r="BG3556" s="107" t="str">
        <f t="shared" si="2736"/>
        <v>S</v>
      </c>
      <c r="BH3556" s="254"/>
      <c r="BI3556" s="254"/>
    </row>
    <row r="3557" spans="1:61" customFormat="1" ht="15.75" x14ac:dyDescent="0.25">
      <c r="A3557" s="485">
        <v>15</v>
      </c>
      <c r="B3557" s="486" t="s">
        <v>291</v>
      </c>
      <c r="C3557" s="487"/>
      <c r="D3557" s="488" t="s">
        <v>300</v>
      </c>
      <c r="E3557" s="489">
        <v>187.95</v>
      </c>
      <c r="F3557" s="516" t="s">
        <v>293</v>
      </c>
      <c r="G3557" s="232">
        <v>0</v>
      </c>
      <c r="H3557" s="658" t="str">
        <f>IF(G3557=0,"",IF(F3557="Buy",IF(G3557=1,"plant","plants"),IF(F3557&gt;0.01,"warranty","Error")))</f>
        <v/>
      </c>
      <c r="I3557" s="490">
        <f>IF(H3557="free",0,IF(H3557="credit",((E3557*(F3557))*G3557*-1),IF(F3557="Buy",(E3557*G3557),((E3557*(1-F3557))*G3557))))</f>
        <v>0</v>
      </c>
      <c r="J3557" s="490">
        <f>IF(H3557="warranty",0,(I3557*(_xlfn.SINGLE(SalesTaxPercentage))))</f>
        <v>0</v>
      </c>
      <c r="K3557" s="695">
        <f t="shared" ref="K3557" si="2755">I3557+J3557</f>
        <v>0</v>
      </c>
      <c r="L3557" s="695"/>
      <c r="M3557" s="659" t="str">
        <f>IF(AND(G3557&gt;0,E3557=0),"WARNING - no PRICE inserted",IF(H3557="free"," FREE ~ no charge this plant",IF(H3557="credit",CONCATENATE(" -$",ROUND(K3557*(1-T2GDiscount)*-1,2)," CREDIT after discount"),IF(T2GDiscount=0,"",IF(G3557=0,"",IF(F3557="Buy",CONCATENATE(" $",ROUND(K3557*(1-T2GDiscount),2)," with ",(T2GDiscount*100),"% discount"),CONCATENATE(" $",ROUND(K3557*(1-T2GDiscount),2)," with ",((T2GDiscount*100+F3557*100)-(T2GDiscount*100*F3557)),IF(F3557&gt;0,"% discounts",IF(NoWarrantyDiscount&gt;0,"% discounts","% discount")))))))))</f>
        <v/>
      </c>
      <c r="N3557" s="660"/>
      <c r="O3557" s="233"/>
      <c r="P3557" s="233"/>
      <c r="Q3557" s="233"/>
      <c r="R3557" s="233"/>
      <c r="S3557" s="233"/>
      <c r="T3557" s="508">
        <f t="shared" si="2724"/>
        <v>0</v>
      </c>
      <c r="U3557" s="225">
        <f>IF(NOT(ISNUMBER(G3557)), "", VLOOKUP(A3557,'Discount Lookup'!D:E,2,FALSE)*G3557)</f>
        <v>0</v>
      </c>
      <c r="V3557" s="225">
        <f>IF(NOT(ISNUMBER(G3557)), "", VLOOKUP(A3557,'Discount Lookup'!G:H,2,FALSE)*G3557)</f>
        <v>0</v>
      </c>
      <c r="W3557" s="508">
        <f t="shared" si="2725"/>
        <v>0</v>
      </c>
      <c r="X3557" s="508">
        <f t="shared" si="2726"/>
        <v>0</v>
      </c>
      <c r="Y3557" s="509" t="b">
        <f t="shared" si="2727"/>
        <v>0</v>
      </c>
      <c r="Z3557" s="510">
        <f t="shared" si="2728"/>
        <v>0</v>
      </c>
      <c r="AA3557" s="511"/>
      <c r="AB3557" s="511" t="str">
        <f t="shared" si="2729"/>
        <v/>
      </c>
      <c r="AC3557" s="698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698"/>
      <c r="AE3557" s="631" t="str">
        <f t="shared" si="2730"/>
        <v/>
      </c>
      <c r="AF3557" s="699" t="str">
        <f t="shared" si="2731"/>
        <v/>
      </c>
      <c r="AG3557" s="699"/>
      <c r="AH3557" s="699"/>
      <c r="AI3557" s="512">
        <f>IF(H3557="credit",0,IF(AE3557="free",0,IF(AE3557="me",0,IF(G3557&gt;0,(VLOOKUP(A3557,'Discount Lookup'!J:K,2)*G3557),0))))</f>
        <v>0</v>
      </c>
      <c r="AJ3557" s="513" t="str">
        <f t="shared" ca="1" si="2732"/>
        <v/>
      </c>
      <c r="AK3557" s="700" t="str">
        <f t="shared" si="2733"/>
        <v/>
      </c>
      <c r="AL3557" s="700"/>
      <c r="AM3557" s="505" t="str">
        <f t="shared" si="2734"/>
        <v/>
      </c>
      <c r="AN3557" s="506"/>
      <c r="AO3557" s="507"/>
      <c r="AP3557" s="507"/>
      <c r="AQ3557" s="507"/>
      <c r="AR3557" s="507"/>
      <c r="AS3557" s="507"/>
      <c r="AT3557" s="507"/>
      <c r="AU3557" s="507"/>
      <c r="AV3557" s="225"/>
      <c r="AW3557" s="508"/>
      <c r="AX3557" s="225"/>
      <c r="AY3557" s="225"/>
      <c r="AZ3557" s="225"/>
      <c r="BA3557" s="225"/>
      <c r="BB3557" s="225"/>
      <c r="BC3557" s="56"/>
      <c r="BD3557" s="56"/>
      <c r="BE3557" s="56"/>
      <c r="BF3557" s="107" t="str">
        <f t="shared" si="2735"/>
        <v>https://www.google.com/search?tbm=isch&amp;q=15%20G6</v>
      </c>
      <c r="BG3557" s="107" t="str">
        <f t="shared" si="2736"/>
        <v>S</v>
      </c>
      <c r="BH3557" s="254"/>
      <c r="BI3557" s="254"/>
    </row>
    <row r="3558" spans="1:61" customFormat="1" ht="17.25" thickBot="1" x14ac:dyDescent="0.3">
      <c r="A3558" s="522" t="s">
        <v>2305</v>
      </c>
      <c r="B3558" s="491"/>
      <c r="C3558" s="675"/>
      <c r="D3558" s="491"/>
      <c r="E3558" s="491"/>
      <c r="F3558" s="492"/>
      <c r="G3558" s="493"/>
      <c r="H3558" s="491"/>
      <c r="I3558" s="234"/>
      <c r="J3558" s="234"/>
      <c r="K3558" s="494"/>
      <c r="L3558" s="543"/>
      <c r="M3558" s="561"/>
      <c r="N3558" s="495"/>
      <c r="O3558" s="496"/>
      <c r="P3558" s="497"/>
      <c r="Q3558" s="495"/>
      <c r="R3558" s="495"/>
      <c r="S3558" s="667" t="s">
        <v>4984</v>
      </c>
      <c r="T3558" s="508">
        <f t="shared" si="2724"/>
        <v>0</v>
      </c>
      <c r="U3558" s="225" t="str">
        <f>IF(NOT(ISNUMBER(G3558)), "", VLOOKUP(A3558,'Discount Lookup'!D:E,2,FALSE)*G3558)</f>
        <v/>
      </c>
      <c r="V3558" s="225" t="str">
        <f>IF(NOT(ISNUMBER(G3558)), "", VLOOKUP(A3558,'Discount Lookup'!G:H,2,FALSE)*G3558)</f>
        <v/>
      </c>
      <c r="W3558" s="508">
        <f t="shared" si="2725"/>
        <v>0</v>
      </c>
      <c r="X3558" s="508">
        <f t="shared" si="2726"/>
        <v>0</v>
      </c>
      <c r="Y3558" s="509" t="b">
        <f t="shared" si="2727"/>
        <v>0</v>
      </c>
      <c r="Z3558" s="510">
        <f t="shared" si="2728"/>
        <v>0</v>
      </c>
      <c r="AA3558" s="511"/>
      <c r="AB3558" s="511" t="str">
        <f t="shared" si="2729"/>
        <v/>
      </c>
      <c r="AC3558" s="698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698"/>
      <c r="AE3558" s="631" t="str">
        <f t="shared" si="2730"/>
        <v/>
      </c>
      <c r="AF3558" s="699" t="str">
        <f t="shared" si="2731"/>
        <v/>
      </c>
      <c r="AG3558" s="699"/>
      <c r="AH3558" s="699"/>
      <c r="AI3558" s="512">
        <f>IF(H3558="credit",0,IF(AE3558="free",0,IF(AE3558="me",0,IF(G3558&gt;0,(VLOOKUP(A3558,'Discount Lookup'!J:K,2)*G3558),0))))</f>
        <v>0</v>
      </c>
      <c r="AJ3558" s="513" t="str">
        <f t="shared" ca="1" si="2732"/>
        <v/>
      </c>
      <c r="AK3558" s="700" t="str">
        <f t="shared" si="2733"/>
        <v/>
      </c>
      <c r="AL3558" s="700"/>
      <c r="AM3558" s="505" t="str">
        <f t="shared" si="2734"/>
        <v/>
      </c>
      <c r="AN3558" s="506"/>
      <c r="AO3558" s="507"/>
      <c r="AP3558" s="507"/>
      <c r="AQ3558" s="507"/>
      <c r="AR3558" s="507"/>
      <c r="AS3558" s="507"/>
      <c r="AT3558" s="507"/>
      <c r="AU3558" s="507"/>
      <c r="AV3558" s="225"/>
      <c r="AW3558" s="508"/>
      <c r="AX3558" s="225"/>
      <c r="AY3558" s="225"/>
      <c r="AZ3558" s="225"/>
      <c r="BA3558" s="225"/>
      <c r="BB3558" s="225"/>
      <c r="BC3558" s="56"/>
      <c r="BD3558" s="56"/>
      <c r="BE3558" s="56"/>
      <c r="BF3558" s="107" t="str">
        <f t="shared" si="2735"/>
        <v>https://www.google.com/search?tbm=isch&amp;q=Sting%20is%20an%20exceptionally%20narrow%2C%20columnar%20evergreen%20prized%20for%20its%20sword-like%20silhouette%20and%20rich%20foliage%20that%20holds%20its%20color%20year-round%20</v>
      </c>
      <c r="BG3558" s="107" t="str">
        <f t="shared" si="2736"/>
        <v>S</v>
      </c>
      <c r="BH3558" s="254"/>
      <c r="BI3558" s="254"/>
    </row>
    <row r="3559" spans="1:61" customFormat="1" ht="18" x14ac:dyDescent="0.25">
      <c r="A3559" s="521" t="s">
        <v>1826</v>
      </c>
      <c r="B3559" s="477"/>
      <c r="C3559" s="674"/>
      <c r="D3559" s="478" t="s">
        <v>1827</v>
      </c>
      <c r="E3559" s="479"/>
      <c r="F3559" s="479"/>
      <c r="G3559" s="479"/>
      <c r="H3559" s="582" t="s">
        <v>443</v>
      </c>
      <c r="I3559" s="480" t="s">
        <v>2314</v>
      </c>
      <c r="J3559" s="479"/>
      <c r="K3559" s="479"/>
      <c r="L3559" s="560"/>
      <c r="M3559" s="666" t="s">
        <v>4966</v>
      </c>
      <c r="N3559" s="680" t="str">
        <f>IF(AND(ISTEXT($A3559), ISERROR($A3559+0)), HYPERLINK($BF3559, "Images"), "")</f>
        <v>Images</v>
      </c>
      <c r="O3559" s="662" t="s">
        <v>4969</v>
      </c>
      <c r="P3559" s="482"/>
      <c r="Q3559" s="483"/>
      <c r="R3559" s="483"/>
      <c r="S3559" s="484" t="s">
        <v>305</v>
      </c>
      <c r="T3559" s="508">
        <f t="shared" si="2724"/>
        <v>0</v>
      </c>
      <c r="U3559" s="225" t="str">
        <f>IF(NOT(ISNUMBER(G3559)), "", VLOOKUP(A3559,'Discount Lookup'!D:E,2,FALSE)*G3559)</f>
        <v/>
      </c>
      <c r="V3559" s="225" t="str">
        <f>IF(NOT(ISNUMBER(G3559)), "", VLOOKUP(A3559,'Discount Lookup'!G:H,2,FALSE)*G3559)</f>
        <v/>
      </c>
      <c r="W3559" s="508">
        <f t="shared" si="2725"/>
        <v>0</v>
      </c>
      <c r="X3559" s="508" t="str">
        <f t="shared" si="2726"/>
        <v>Olive-Green foliage</v>
      </c>
      <c r="Y3559" s="509" t="b">
        <f t="shared" si="2727"/>
        <v>0</v>
      </c>
      <c r="Z3559" s="510">
        <f t="shared" si="2728"/>
        <v>0</v>
      </c>
      <c r="AA3559" s="511"/>
      <c r="AB3559" s="511" t="str">
        <f t="shared" si="2729"/>
        <v/>
      </c>
      <c r="AC3559" s="698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698"/>
      <c r="AE3559" s="631" t="str">
        <f t="shared" si="2730"/>
        <v/>
      </c>
      <c r="AF3559" s="699" t="str">
        <f t="shared" si="2731"/>
        <v/>
      </c>
      <c r="AG3559" s="699"/>
      <c r="AH3559" s="699"/>
      <c r="AI3559" s="512">
        <f>IF(H3559="credit",0,IF(AE3559="free",0,IF(AE3559="me",0,IF(G3559&gt;0,(VLOOKUP(A3559,'Discount Lookup'!J:K,2)*G3559),0))))</f>
        <v>0</v>
      </c>
      <c r="AJ3559" s="513" t="str">
        <f t="shared" ca="1" si="2732"/>
        <v/>
      </c>
      <c r="AK3559" s="700" t="str">
        <f t="shared" si="2733"/>
        <v/>
      </c>
      <c r="AL3559" s="700"/>
      <c r="AM3559" s="505" t="str">
        <f t="shared" si="2734"/>
        <v/>
      </c>
      <c r="AN3559" s="506"/>
      <c r="AO3559" s="507"/>
      <c r="AP3559" s="507"/>
      <c r="AQ3559" s="507"/>
      <c r="AR3559" s="507"/>
      <c r="AS3559" s="507"/>
      <c r="AT3559" s="507"/>
      <c r="AU3559" s="507"/>
      <c r="AV3559" s="225"/>
      <c r="AW3559" s="508"/>
      <c r="AX3559" s="225"/>
      <c r="AY3559" s="225"/>
      <c r="AZ3559" s="225"/>
      <c r="BA3559" s="225"/>
      <c r="BB3559" s="225"/>
      <c r="BC3559" s="56"/>
      <c r="BD3559" s="56"/>
      <c r="BE3559" s="56"/>
      <c r="BF3559" s="107" t="str">
        <f t="shared" si="2735"/>
        <v>https://www.google.com/search?tbm=isch&amp;q=Strawberry%20Shortcake%20Wax%20Myrtle%20Myrica%20cerifera%20%27Strawberry%20Shortcake%27</v>
      </c>
      <c r="BG3559" s="107" t="str">
        <f t="shared" si="2736"/>
        <v>S</v>
      </c>
      <c r="BH3559" s="254"/>
      <c r="BI3559" s="254"/>
    </row>
    <row r="3560" spans="1:61" customFormat="1" ht="15.75" x14ac:dyDescent="0.25">
      <c r="A3560" s="485">
        <v>3</v>
      </c>
      <c r="B3560" s="486" t="s">
        <v>291</v>
      </c>
      <c r="C3560" s="487"/>
      <c r="D3560" s="488" t="s">
        <v>298</v>
      </c>
      <c r="E3560" s="489">
        <v>28.95</v>
      </c>
      <c r="F3560" s="516" t="s">
        <v>293</v>
      </c>
      <c r="G3560" s="232">
        <v>0</v>
      </c>
      <c r="H3560" s="658" t="str">
        <f>IF(G3560=0,"",IF(F3560="Buy",IF(G3560=1,"plant","plants"),IF(F3560&gt;0.01,"warranty","Error")))</f>
        <v/>
      </c>
      <c r="I3560" s="490">
        <f>IF(H3560="free",0,IF(H3560="credit",((E3560*(F3560))*G3560*-1),IF(F3560="Buy",(E3560*G3560),((E3560*(1-F3560))*G3560))))</f>
        <v>0</v>
      </c>
      <c r="J3560" s="490">
        <f>IF(H3560="warranty",0,(I3560*(_xlfn.SINGLE(SalesTaxPercentage))))</f>
        <v>0</v>
      </c>
      <c r="K3560" s="695">
        <f t="shared" ref="K3560" si="2756">I3560+J3560</f>
        <v>0</v>
      </c>
      <c r="L3560" s="695"/>
      <c r="M3560" s="659" t="str">
        <f>IF(AND(G3560&gt;0,E3560=0),"WARNING - no PRICE inserted",IF(H3560="free"," FREE ~ no charge this plant",IF(H3560="credit",CONCATENATE(" -$",ROUND(K3560*(1-T2GDiscount)*-1,2)," CREDIT after discount"),IF(T2GDiscount=0,"",IF(G3560=0,"",IF(F3560="Buy",CONCATENATE(" $",ROUND(K3560*(1-T2GDiscount),2)," with ",(T2GDiscount*100),"% discount"),CONCATENATE(" $",ROUND(K3560*(1-T2GDiscount),2)," with ",((T2GDiscount*100+F3560*100)-(T2GDiscount*100*F3560)),IF(F3560&gt;0,"% discounts",IF(NoWarrantyDiscount&gt;0,"% discounts","% discount")))))))))</f>
        <v/>
      </c>
      <c r="N3560" s="660"/>
      <c r="O3560" s="233"/>
      <c r="P3560" s="233"/>
      <c r="Q3560" s="233"/>
      <c r="R3560" s="233"/>
      <c r="S3560" s="233"/>
      <c r="T3560" s="508">
        <f t="shared" si="2724"/>
        <v>0</v>
      </c>
      <c r="U3560" s="225">
        <f>IF(NOT(ISNUMBER(G3560)), "", VLOOKUP(A3560,'Discount Lookup'!D:E,2,FALSE)*G3560)</f>
        <v>0</v>
      </c>
      <c r="V3560" s="225">
        <f>IF(NOT(ISNUMBER(G3560)), "", VLOOKUP(A3560,'Discount Lookup'!G:H,2,FALSE)*G3560)</f>
        <v>0</v>
      </c>
      <c r="W3560" s="508">
        <f t="shared" si="2725"/>
        <v>0</v>
      </c>
      <c r="X3560" s="508">
        <f t="shared" si="2726"/>
        <v>0</v>
      </c>
      <c r="Y3560" s="509" t="b">
        <f t="shared" si="2727"/>
        <v>0</v>
      </c>
      <c r="Z3560" s="510">
        <f t="shared" si="2728"/>
        <v>0</v>
      </c>
      <c r="AA3560" s="511"/>
      <c r="AB3560" s="511" t="str">
        <f t="shared" si="2729"/>
        <v/>
      </c>
      <c r="AC3560" s="698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698"/>
      <c r="AE3560" s="631" t="str">
        <f t="shared" si="2730"/>
        <v/>
      </c>
      <c r="AF3560" s="699" t="str">
        <f t="shared" si="2731"/>
        <v/>
      </c>
      <c r="AG3560" s="699"/>
      <c r="AH3560" s="699"/>
      <c r="AI3560" s="512">
        <f>IF(H3560="credit",0,IF(AE3560="free",0,IF(AE3560="me",0,IF(G3560&gt;0,(VLOOKUP(A3560,'Discount Lookup'!J:K,2)*G3560),0))))</f>
        <v>0</v>
      </c>
      <c r="AJ3560" s="513" t="str">
        <f t="shared" ca="1" si="2732"/>
        <v/>
      </c>
      <c r="AK3560" s="700" t="str">
        <f t="shared" si="2733"/>
        <v/>
      </c>
      <c r="AL3560" s="700"/>
      <c r="AM3560" s="505" t="str">
        <f t="shared" si="2734"/>
        <v/>
      </c>
      <c r="AN3560" s="506"/>
      <c r="AO3560" s="507"/>
      <c r="AP3560" s="507"/>
      <c r="AQ3560" s="507"/>
      <c r="AR3560" s="507"/>
      <c r="AS3560" s="507"/>
      <c r="AT3560" s="507"/>
      <c r="AU3560" s="507"/>
      <c r="AV3560" s="225"/>
      <c r="AW3560" s="508"/>
      <c r="AX3560" s="225"/>
      <c r="AY3560" s="225"/>
      <c r="AZ3560" s="225"/>
      <c r="BA3560" s="225"/>
      <c r="BB3560" s="225"/>
      <c r="BC3560" s="56"/>
      <c r="BD3560" s="56"/>
      <c r="BE3560" s="56"/>
      <c r="BF3560" s="107" t="str">
        <f t="shared" si="2735"/>
        <v>https://www.google.com/search?tbm=isch&amp;q=3%20G1</v>
      </c>
      <c r="BG3560" s="107" t="str">
        <f t="shared" si="2736"/>
        <v>S</v>
      </c>
      <c r="BH3560" s="254"/>
      <c r="BI3560" s="254"/>
    </row>
    <row r="3561" spans="1:61" customFormat="1" ht="15.75" x14ac:dyDescent="0.25">
      <c r="A3561" s="485">
        <v>7</v>
      </c>
      <c r="B3561" s="486" t="s">
        <v>291</v>
      </c>
      <c r="C3561" s="487"/>
      <c r="D3561" s="488" t="s">
        <v>298</v>
      </c>
      <c r="E3561" s="489">
        <v>56.95</v>
      </c>
      <c r="F3561" s="516" t="s">
        <v>293</v>
      </c>
      <c r="G3561" s="232">
        <v>0</v>
      </c>
      <c r="H3561" s="658" t="str">
        <f>IF(G3561=0,"",IF(F3561="Buy",IF(G3561=1,"plant","plants"),IF(F3561&gt;0.01,"warranty","Error")))</f>
        <v/>
      </c>
      <c r="I3561" s="490">
        <f>IF(H3561="free",0,IF(H3561="credit",((E3561*(F3561))*G3561*-1),IF(F3561="Buy",(E3561*G3561),((E3561*(1-F3561))*G3561))))</f>
        <v>0</v>
      </c>
      <c r="J3561" s="490">
        <f>IF(H3561="warranty",0,(I3561*(_xlfn.SINGLE(SalesTaxPercentage))))</f>
        <v>0</v>
      </c>
      <c r="K3561" s="695">
        <f t="shared" ref="K3561" si="2757">I3561+J3561</f>
        <v>0</v>
      </c>
      <c r="L3561" s="695"/>
      <c r="M3561" s="659" t="str">
        <f>IF(AND(G3561&gt;0,E3561=0),"WARNING - no PRICE inserted",IF(H3561="free"," FREE ~ no charge this plant",IF(H3561="credit",CONCATENATE(" -$",ROUND(K3561*(1-T2GDiscount)*-1,2)," CREDIT after discount"),IF(T2GDiscount=0,"",IF(G3561=0,"",IF(F3561="Buy",CONCATENATE(" $",ROUND(K3561*(1-T2GDiscount),2)," with ",(T2GDiscount*100),"% discount"),CONCATENATE(" $",ROUND(K3561*(1-T2GDiscount),2)," with ",((T2GDiscount*100+F3561*100)-(T2GDiscount*100*F3561)),IF(F3561&gt;0,"% discounts",IF(NoWarrantyDiscount&gt;0,"% discounts","% discount")))))))))</f>
        <v/>
      </c>
      <c r="N3561" s="660"/>
      <c r="O3561" s="233"/>
      <c r="P3561" s="233"/>
      <c r="Q3561" s="233"/>
      <c r="R3561" s="233"/>
      <c r="S3561" s="233"/>
      <c r="T3561" s="508">
        <f t="shared" si="2724"/>
        <v>0</v>
      </c>
      <c r="U3561" s="225">
        <f>IF(NOT(ISNUMBER(G3561)), "", VLOOKUP(A3561,'Discount Lookup'!D:E,2,FALSE)*G3561)</f>
        <v>0</v>
      </c>
      <c r="V3561" s="225">
        <f>IF(NOT(ISNUMBER(G3561)), "", VLOOKUP(A3561,'Discount Lookup'!G:H,2,FALSE)*G3561)</f>
        <v>0</v>
      </c>
      <c r="W3561" s="508">
        <f t="shared" si="2725"/>
        <v>0</v>
      </c>
      <c r="X3561" s="508">
        <f t="shared" si="2726"/>
        <v>0</v>
      </c>
      <c r="Y3561" s="509" t="b">
        <f t="shared" si="2727"/>
        <v>0</v>
      </c>
      <c r="Z3561" s="510">
        <f t="shared" si="2728"/>
        <v>0</v>
      </c>
      <c r="AA3561" s="511"/>
      <c r="AB3561" s="511" t="str">
        <f t="shared" si="2729"/>
        <v/>
      </c>
      <c r="AC3561" s="698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698"/>
      <c r="AE3561" s="631" t="str">
        <f t="shared" si="2730"/>
        <v/>
      </c>
      <c r="AF3561" s="699" t="str">
        <f t="shared" si="2731"/>
        <v/>
      </c>
      <c r="AG3561" s="699"/>
      <c r="AH3561" s="699"/>
      <c r="AI3561" s="512">
        <f>IF(H3561="credit",0,IF(AE3561="free",0,IF(AE3561="me",0,IF(G3561&gt;0,(VLOOKUP(A3561,'Discount Lookup'!J:K,2)*G3561),0))))</f>
        <v>0</v>
      </c>
      <c r="AJ3561" s="513" t="str">
        <f t="shared" ca="1" si="2732"/>
        <v/>
      </c>
      <c r="AK3561" s="700" t="str">
        <f t="shared" si="2733"/>
        <v/>
      </c>
      <c r="AL3561" s="700"/>
      <c r="AM3561" s="505" t="str">
        <f t="shared" si="2734"/>
        <v/>
      </c>
      <c r="AN3561" s="506"/>
      <c r="AO3561" s="507"/>
      <c r="AP3561" s="507"/>
      <c r="AQ3561" s="507"/>
      <c r="AR3561" s="507"/>
      <c r="AS3561" s="507"/>
      <c r="AT3561" s="507"/>
      <c r="AU3561" s="507"/>
      <c r="AV3561" s="225"/>
      <c r="AW3561" s="508"/>
      <c r="AX3561" s="225"/>
      <c r="AY3561" s="225"/>
      <c r="AZ3561" s="225"/>
      <c r="BA3561" s="225"/>
      <c r="BB3561" s="225"/>
      <c r="BC3561" s="56"/>
      <c r="BD3561" s="56"/>
      <c r="BE3561" s="56"/>
      <c r="BF3561" s="107" t="str">
        <f t="shared" si="2735"/>
        <v>https://www.google.com/search?tbm=isch&amp;q=7%20G1</v>
      </c>
      <c r="BG3561" s="107" t="str">
        <f t="shared" si="2736"/>
        <v>S</v>
      </c>
      <c r="BH3561" s="254"/>
      <c r="BI3561" s="254"/>
    </row>
    <row r="3562" spans="1:61" customFormat="1" ht="17.25" thickBot="1" x14ac:dyDescent="0.3">
      <c r="A3562" s="672" t="s">
        <v>5246</v>
      </c>
      <c r="B3562" s="491"/>
      <c r="C3562" s="675"/>
      <c r="D3562" s="491"/>
      <c r="E3562" s="491"/>
      <c r="F3562" s="492"/>
      <c r="G3562" s="493"/>
      <c r="H3562" s="491"/>
      <c r="I3562" s="234"/>
      <c r="J3562" s="234"/>
      <c r="K3562" s="494"/>
      <c r="L3562" s="543"/>
      <c r="M3562" s="561"/>
      <c r="N3562" s="495"/>
      <c r="O3562" s="496"/>
      <c r="P3562" s="497"/>
      <c r="Q3562" s="495"/>
      <c r="R3562" s="495"/>
      <c r="S3562" s="667" t="s">
        <v>4970</v>
      </c>
      <c r="T3562" s="508">
        <f t="shared" si="2724"/>
        <v>0</v>
      </c>
      <c r="U3562" s="225" t="str">
        <f>IF(NOT(ISNUMBER(G3562)), "", VLOOKUP(A3562,'Discount Lookup'!D:E,2,FALSE)*G3562)</f>
        <v/>
      </c>
      <c r="V3562" s="225" t="str">
        <f>IF(NOT(ISNUMBER(G3562)), "", VLOOKUP(A3562,'Discount Lookup'!G:H,2,FALSE)*G3562)</f>
        <v/>
      </c>
      <c r="W3562" s="508">
        <f t="shared" si="2725"/>
        <v>0</v>
      </c>
      <c r="X3562" s="508">
        <f t="shared" si="2726"/>
        <v>0</v>
      </c>
      <c r="Y3562" s="509" t="b">
        <f t="shared" si="2727"/>
        <v>0</v>
      </c>
      <c r="Z3562" s="510">
        <f t="shared" si="2728"/>
        <v>0</v>
      </c>
      <c r="AA3562" s="511"/>
      <c r="AB3562" s="511" t="str">
        <f t="shared" si="2729"/>
        <v/>
      </c>
      <c r="AC3562" s="698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698"/>
      <c r="AE3562" s="631" t="str">
        <f t="shared" si="2730"/>
        <v/>
      </c>
      <c r="AF3562" s="699" t="str">
        <f t="shared" si="2731"/>
        <v/>
      </c>
      <c r="AG3562" s="699"/>
      <c r="AH3562" s="699"/>
      <c r="AI3562" s="512">
        <f>IF(H3562="credit",0,IF(AE3562="free",0,IF(AE3562="me",0,IF(G3562&gt;0,(VLOOKUP(A3562,'Discount Lookup'!J:K,2)*G3562),0))))</f>
        <v>0</v>
      </c>
      <c r="AJ3562" s="513" t="str">
        <f t="shared" ca="1" si="2732"/>
        <v/>
      </c>
      <c r="AK3562" s="700" t="str">
        <f t="shared" si="2733"/>
        <v/>
      </c>
      <c r="AL3562" s="700"/>
      <c r="AM3562" s="505" t="str">
        <f t="shared" si="2734"/>
        <v/>
      </c>
      <c r="AN3562" s="506"/>
      <c r="AO3562" s="507"/>
      <c r="AP3562" s="507"/>
      <c r="AQ3562" s="507"/>
      <c r="AR3562" s="507"/>
      <c r="AS3562" s="507"/>
      <c r="AT3562" s="507"/>
      <c r="AU3562" s="507"/>
      <c r="AV3562" s="225"/>
      <c r="AW3562" s="508"/>
      <c r="AX3562" s="225"/>
      <c r="AY3562" s="225"/>
      <c r="AZ3562" s="225"/>
      <c r="BA3562" s="225"/>
      <c r="BB3562" s="225"/>
      <c r="BC3562" s="56"/>
      <c r="BD3562" s="56"/>
      <c r="BE3562" s="56"/>
      <c r="BF3562" s="107" t="str">
        <f t="shared" si="2735"/>
        <v>https://www.google.com/search?tbm=isch&amp;q=wet%20sites%F0%9F%92%A7GOOD%2C%20Strawberry%20Shortcake%20is%20a%20dwarf%20sport%20of%20%27Suwanee%20Elf%27.%20Fragrant%20folisge%20is%20deer%2Frabbit%20repellent.%20</v>
      </c>
      <c r="BG3562" s="107" t="str">
        <f t="shared" si="2736"/>
        <v>w</v>
      </c>
      <c r="BH3562" s="254"/>
      <c r="BI3562" s="254"/>
    </row>
    <row r="3563" spans="1:61" customFormat="1" ht="18" x14ac:dyDescent="0.25">
      <c r="A3563" s="523" t="s">
        <v>5621</v>
      </c>
      <c r="B3563" s="235"/>
      <c r="C3563" s="676"/>
      <c r="D3563" s="255" t="s">
        <v>574</v>
      </c>
      <c r="E3563" s="236"/>
      <c r="F3563" s="236"/>
      <c r="G3563" s="236"/>
      <c r="H3563" s="582" t="s">
        <v>441</v>
      </c>
      <c r="I3563" s="498" t="s">
        <v>1378</v>
      </c>
      <c r="J3563" s="237"/>
      <c r="K3563" s="237"/>
      <c r="L3563" s="274"/>
      <c r="M3563" s="668" t="s">
        <v>4962</v>
      </c>
      <c r="N3563" s="681" t="str">
        <f>IF(AND(ISTEXT($A3563), ISERROR($A3563+0)), HYPERLINK($BF3563, "Images"), "")</f>
        <v>Images</v>
      </c>
      <c r="O3563" s="663" t="s">
        <v>4967</v>
      </c>
      <c r="P3563" s="253"/>
      <c r="Q3563" s="238"/>
      <c r="R3563" s="239"/>
      <c r="S3563" s="275"/>
      <c r="T3563" s="508">
        <f t="shared" si="2724"/>
        <v>0</v>
      </c>
      <c r="U3563" s="225" t="str">
        <f>IF(NOT(ISNUMBER(G3563)), "", VLOOKUP(A3563,'Discount Lookup'!D:E,2,FALSE)*G3563)</f>
        <v/>
      </c>
      <c r="V3563" s="225" t="str">
        <f>IF(NOT(ISNUMBER(G3563)), "", VLOOKUP(A3563,'Discount Lookup'!G:H,2,FALSE)*G3563)</f>
        <v/>
      </c>
      <c r="W3563" s="508">
        <f t="shared" si="2725"/>
        <v>0</v>
      </c>
      <c r="X3563" s="508" t="str">
        <f t="shared" si="2726"/>
        <v>Bright Pink bloom</v>
      </c>
      <c r="Y3563" s="509" t="b">
        <f t="shared" si="2727"/>
        <v>0</v>
      </c>
      <c r="Z3563" s="510">
        <f t="shared" si="2728"/>
        <v>0</v>
      </c>
      <c r="AA3563" s="511"/>
      <c r="AB3563" s="511" t="str">
        <f t="shared" si="2729"/>
        <v/>
      </c>
      <c r="AC3563" s="698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698"/>
      <c r="AE3563" s="631" t="str">
        <f t="shared" si="2730"/>
        <v/>
      </c>
      <c r="AF3563" s="699" t="str">
        <f t="shared" si="2731"/>
        <v/>
      </c>
      <c r="AG3563" s="699"/>
      <c r="AH3563" s="699"/>
      <c r="AI3563" s="512">
        <f>IF(H3563="credit",0,IF(AE3563="free",0,IF(AE3563="me",0,IF(G3563&gt;0,(VLOOKUP(A3563,'Discount Lookup'!J:K,2)*G3563),0))))</f>
        <v>0</v>
      </c>
      <c r="AJ3563" s="513" t="str">
        <f t="shared" ca="1" si="2732"/>
        <v/>
      </c>
      <c r="AK3563" s="700" t="str">
        <f t="shared" si="2733"/>
        <v/>
      </c>
      <c r="AL3563" s="700"/>
      <c r="AM3563" s="505" t="str">
        <f t="shared" si="2734"/>
        <v/>
      </c>
      <c r="AN3563" s="506"/>
      <c r="AO3563" s="507"/>
      <c r="AP3563" s="507"/>
      <c r="AQ3563" s="507"/>
      <c r="AR3563" s="507"/>
      <c r="AS3563" s="507"/>
      <c r="AT3563" s="507"/>
      <c r="AU3563" s="507"/>
      <c r="AV3563" s="225"/>
      <c r="AW3563" s="508"/>
      <c r="AX3563" s="225"/>
      <c r="AY3563" s="225"/>
      <c r="AZ3563" s="225"/>
      <c r="BA3563" s="225"/>
      <c r="BB3563" s="225"/>
      <c r="BC3563" s="56"/>
      <c r="BD3563" s="56"/>
      <c r="BE3563" s="56"/>
      <c r="BF3563" s="107" t="str">
        <f t="shared" si="2735"/>
        <v>https://www.google.com/search?tbm=isch&amp;q=Stunner%C2%AE%20Weigela%20%28BE%C2%AE%29%20Weigela%20%27Spring%202%27%20PP%2330185</v>
      </c>
      <c r="BG3563" s="107" t="str">
        <f t="shared" si="2736"/>
        <v>S</v>
      </c>
      <c r="BH3563" s="254"/>
      <c r="BI3563" s="254"/>
    </row>
    <row r="3564" spans="1:61" customFormat="1" ht="15.75" x14ac:dyDescent="0.25">
      <c r="A3564" s="276">
        <v>1</v>
      </c>
      <c r="B3564" s="240" t="s">
        <v>291</v>
      </c>
      <c r="C3564" s="241" t="s">
        <v>439</v>
      </c>
      <c r="D3564" s="242" t="s">
        <v>312</v>
      </c>
      <c r="E3564" s="243">
        <v>32.950000000000003</v>
      </c>
      <c r="F3564" s="517" t="s">
        <v>293</v>
      </c>
      <c r="G3564" s="232">
        <v>0</v>
      </c>
      <c r="H3564" s="661" t="str">
        <f>IF(G3564=0,"",IF(F3564="Buy",IF(G3564=1,"plant","plants"),IF(F3564&gt;0.01,"warranty","Error")))</f>
        <v/>
      </c>
      <c r="I3564" s="244">
        <f>IF(H3564="free",0,IF(H3564="credit",((E3564*(F3564))*G3564*-1),IF(F3564="Buy",(E3564*G3564),((E3564*(1-F3564))*G3564))))</f>
        <v>0</v>
      </c>
      <c r="J3564" s="244">
        <f>IF(H3564="warranty",0,(I3564*(_xlfn.SINGLE(SalesTaxPercentage))))</f>
        <v>0</v>
      </c>
      <c r="K3564" s="696">
        <f t="shared" ref="K3564" si="2758">I3564+J3564</f>
        <v>0</v>
      </c>
      <c r="L3564" s="696"/>
      <c r="M3564" s="659" t="str">
        <f>IF(AND(G3564&gt;0,E3564=0),"WARNING - no PRICE inserted",IF(H3564="free"," FREE ~ no charge this plant",IF(H3564="credit",CONCATENATE(" -$",ROUND(K3564*(1-T2GDiscount)*-1,2)," CREDIT after discount"),IF(T2GDiscount=0,"",IF(G3564=0,"",IF(F3564="Buy",CONCATENATE(" $",ROUND(K3564*(1-T2GDiscount),2)," with ",(T2GDiscount*100),"% discount"),CONCATENATE(" $",ROUND(K3564*(1-T2GDiscount),2)," with ",((T2GDiscount*100+F3564*100)-(T2GDiscount*100*F3564)),IF(F3564&gt;0,"% discounts",IF(NoWarrantyDiscount&gt;0,"% discounts","% discount")))))))))</f>
        <v/>
      </c>
      <c r="N3564" s="660"/>
      <c r="O3564" s="233"/>
      <c r="P3564" s="233"/>
      <c r="Q3564" s="233"/>
      <c r="R3564" s="233"/>
      <c r="S3564" s="233"/>
      <c r="T3564" s="508">
        <f t="shared" si="2724"/>
        <v>0</v>
      </c>
      <c r="U3564" s="225">
        <f>IF(NOT(ISNUMBER(G3564)), "", VLOOKUP(A3564,'Discount Lookup'!D:E,2,FALSE)*G3564)</f>
        <v>0</v>
      </c>
      <c r="V3564" s="225">
        <f>IF(NOT(ISNUMBER(G3564)), "", VLOOKUP(A3564,'Discount Lookup'!G:H,2,FALSE)*G3564)</f>
        <v>0</v>
      </c>
      <c r="W3564" s="508">
        <f t="shared" si="2725"/>
        <v>0</v>
      </c>
      <c r="X3564" s="508">
        <f t="shared" si="2726"/>
        <v>0</v>
      </c>
      <c r="Y3564" s="509" t="b">
        <f t="shared" si="2727"/>
        <v>0</v>
      </c>
      <c r="Z3564" s="510">
        <f t="shared" si="2728"/>
        <v>0</v>
      </c>
      <c r="AA3564" s="511"/>
      <c r="AB3564" s="511" t="str">
        <f t="shared" si="2729"/>
        <v/>
      </c>
      <c r="AC3564" s="698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698"/>
      <c r="AE3564" s="631" t="str">
        <f t="shared" si="2730"/>
        <v/>
      </c>
      <c r="AF3564" s="699" t="str">
        <f t="shared" si="2731"/>
        <v/>
      </c>
      <c r="AG3564" s="699"/>
      <c r="AH3564" s="699"/>
      <c r="AI3564" s="512">
        <f>IF(H3564="credit",0,IF(AE3564="free",0,IF(AE3564="me",0,IF(G3564&gt;0,(VLOOKUP(A3564,'Discount Lookup'!J:K,2)*G3564),0))))</f>
        <v>0</v>
      </c>
      <c r="AJ3564" s="513" t="str">
        <f t="shared" ca="1" si="2732"/>
        <v/>
      </c>
      <c r="AK3564" s="700" t="str">
        <f t="shared" si="2733"/>
        <v/>
      </c>
      <c r="AL3564" s="700"/>
      <c r="AM3564" s="505" t="str">
        <f t="shared" si="2734"/>
        <v/>
      </c>
      <c r="AN3564" s="506"/>
      <c r="AO3564" s="507"/>
      <c r="AP3564" s="507"/>
      <c r="AQ3564" s="507"/>
      <c r="AR3564" s="507"/>
      <c r="AS3564" s="507"/>
      <c r="AT3564" s="507"/>
      <c r="AU3564" s="507"/>
      <c r="AV3564" s="225"/>
      <c r="AW3564" s="508"/>
      <c r="AX3564" s="225"/>
      <c r="AY3564" s="225"/>
      <c r="AZ3564" s="225"/>
      <c r="BA3564" s="225"/>
      <c r="BB3564" s="225"/>
      <c r="BC3564" s="56"/>
      <c r="BD3564" s="56"/>
      <c r="BE3564" s="56"/>
      <c r="BF3564" s="107" t="str">
        <f t="shared" si="2735"/>
        <v>https://www.google.com/search?tbm=isch&amp;q=1%20G2</v>
      </c>
      <c r="BG3564" s="107" t="str">
        <f t="shared" si="2736"/>
        <v>S</v>
      </c>
      <c r="BH3564" s="254"/>
      <c r="BI3564" s="254"/>
    </row>
    <row r="3565" spans="1:61" customFormat="1" ht="17.25" thickBot="1" x14ac:dyDescent="0.3">
      <c r="A3565" s="524" t="s">
        <v>4216</v>
      </c>
      <c r="B3565" s="245"/>
      <c r="C3565" s="677"/>
      <c r="D3565" s="499"/>
      <c r="E3565" s="499"/>
      <c r="F3565" s="500"/>
      <c r="G3565" s="501"/>
      <c r="H3565" s="502"/>
      <c r="I3565" s="246"/>
      <c r="J3565" s="247"/>
      <c r="K3565" s="503"/>
      <c r="L3565" s="544"/>
      <c r="M3565" s="544"/>
      <c r="N3565" s="500"/>
      <c r="O3565" s="500"/>
      <c r="P3565" s="500"/>
      <c r="Q3565" s="500"/>
      <c r="R3565" s="500"/>
      <c r="S3565" s="669" t="s">
        <v>5011</v>
      </c>
      <c r="T3565" s="508">
        <f t="shared" si="2724"/>
        <v>0</v>
      </c>
      <c r="U3565" s="225" t="str">
        <f>IF(NOT(ISNUMBER(G3565)), "", VLOOKUP(A3565,'Discount Lookup'!D:E,2,FALSE)*G3565)</f>
        <v/>
      </c>
      <c r="V3565" s="225" t="str">
        <f>IF(NOT(ISNUMBER(G3565)), "", VLOOKUP(A3565,'Discount Lookup'!G:H,2,FALSE)*G3565)</f>
        <v/>
      </c>
      <c r="W3565" s="508">
        <f t="shared" si="2725"/>
        <v>0</v>
      </c>
      <c r="X3565" s="508">
        <f t="shared" si="2726"/>
        <v>0</v>
      </c>
      <c r="Y3565" s="509" t="b">
        <f t="shared" si="2727"/>
        <v>0</v>
      </c>
      <c r="Z3565" s="510">
        <f t="shared" si="2728"/>
        <v>0</v>
      </c>
      <c r="AA3565" s="511"/>
      <c r="AB3565" s="511" t="str">
        <f t="shared" si="2729"/>
        <v/>
      </c>
      <c r="AC3565" s="698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698"/>
      <c r="AE3565" s="631" t="str">
        <f t="shared" si="2730"/>
        <v/>
      </c>
      <c r="AF3565" s="699" t="str">
        <f t="shared" si="2731"/>
        <v/>
      </c>
      <c r="AG3565" s="699"/>
      <c r="AH3565" s="699"/>
      <c r="AI3565" s="512">
        <f>IF(H3565="credit",0,IF(AE3565="free",0,IF(AE3565="me",0,IF(G3565&gt;0,(VLOOKUP(A3565,'Discount Lookup'!J:K,2)*G3565),0))))</f>
        <v>0</v>
      </c>
      <c r="AJ3565" s="513" t="str">
        <f t="shared" ca="1" si="2732"/>
        <v/>
      </c>
      <c r="AK3565" s="700" t="str">
        <f t="shared" si="2733"/>
        <v/>
      </c>
      <c r="AL3565" s="700"/>
      <c r="AM3565" s="505" t="str">
        <f t="shared" si="2734"/>
        <v/>
      </c>
      <c r="AN3565" s="506"/>
      <c r="AO3565" s="507"/>
      <c r="AP3565" s="507"/>
      <c r="AQ3565" s="507"/>
      <c r="AR3565" s="507"/>
      <c r="AS3565" s="507"/>
      <c r="AT3565" s="507"/>
      <c r="AU3565" s="507"/>
      <c r="AV3565" s="225"/>
      <c r="AW3565" s="508"/>
      <c r="AX3565" s="225"/>
      <c r="AY3565" s="225"/>
      <c r="AZ3565" s="225"/>
      <c r="BA3565" s="225"/>
      <c r="BB3565" s="225"/>
      <c r="BC3565" s="56"/>
      <c r="BD3565" s="56"/>
      <c r="BE3565" s="56"/>
      <c r="BF3565" s="107" t="str">
        <f t="shared" si="2735"/>
        <v>https://www.google.com/search?tbm=isch&amp;q=Stunner%20Weigela%20has%20Dark%20Purple%20foliage%2C%20Burgundy%20hue%20in%20fall%20.%20Trumpet-shaped%20flowers%20on%20old%20wood%E2%80%94prune%20right%20after%20spring%20bloom%20</v>
      </c>
      <c r="BG3565" s="107" t="str">
        <f t="shared" si="2736"/>
        <v>S</v>
      </c>
      <c r="BH3565" s="254"/>
      <c r="BI3565" s="254"/>
    </row>
    <row r="3566" spans="1:61" customFormat="1" ht="18" x14ac:dyDescent="0.25">
      <c r="A3566" s="521" t="s">
        <v>5545</v>
      </c>
      <c r="B3566" s="477"/>
      <c r="C3566" s="674"/>
      <c r="D3566" s="478" t="s">
        <v>1828</v>
      </c>
      <c r="E3566" s="479"/>
      <c r="F3566" s="479"/>
      <c r="G3566" s="479"/>
      <c r="H3566" s="582" t="s">
        <v>2099</v>
      </c>
      <c r="I3566" s="480" t="s">
        <v>2306</v>
      </c>
      <c r="J3566" s="479"/>
      <c r="K3566" s="479"/>
      <c r="L3566" s="560"/>
      <c r="M3566" s="666" t="s">
        <v>4963</v>
      </c>
      <c r="N3566" s="680" t="str">
        <f>IF(AND(ISTEXT($A3566), ISERROR($A3566+0)), HYPERLINK($BF3566, "Images"), "")</f>
        <v>Images</v>
      </c>
      <c r="O3566" s="662" t="s">
        <v>4974</v>
      </c>
      <c r="P3566" s="482"/>
      <c r="Q3566" s="483"/>
      <c r="R3566" s="483"/>
      <c r="S3566" s="484"/>
      <c r="T3566" s="508">
        <f t="shared" si="2724"/>
        <v>0</v>
      </c>
      <c r="U3566" s="225" t="str">
        <f>IF(NOT(ISNUMBER(G3566)), "", VLOOKUP(A3566,'Discount Lookup'!D:E,2,FALSE)*G3566)</f>
        <v/>
      </c>
      <c r="V3566" s="225" t="str">
        <f>IF(NOT(ISNUMBER(G3566)), "", VLOOKUP(A3566,'Discount Lookup'!G:H,2,FALSE)*G3566)</f>
        <v/>
      </c>
      <c r="W3566" s="508">
        <f t="shared" si="2725"/>
        <v>0</v>
      </c>
      <c r="X3566" s="508" t="str">
        <f t="shared" si="2726"/>
        <v>Green foliage, Yellow tips</v>
      </c>
      <c r="Y3566" s="509" t="b">
        <f t="shared" si="2727"/>
        <v>0</v>
      </c>
      <c r="Z3566" s="510">
        <f t="shared" si="2728"/>
        <v>0</v>
      </c>
      <c r="AA3566" s="511"/>
      <c r="AB3566" s="511" t="str">
        <f t="shared" si="2729"/>
        <v/>
      </c>
      <c r="AC3566" s="698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698"/>
      <c r="AE3566" s="631" t="str">
        <f t="shared" si="2730"/>
        <v/>
      </c>
      <c r="AF3566" s="699" t="str">
        <f t="shared" si="2731"/>
        <v/>
      </c>
      <c r="AG3566" s="699"/>
      <c r="AH3566" s="699"/>
      <c r="AI3566" s="512">
        <f>IF(H3566="credit",0,IF(AE3566="free",0,IF(AE3566="me",0,IF(G3566&gt;0,(VLOOKUP(A3566,'Discount Lookup'!J:K,2)*G3566),0))))</f>
        <v>0</v>
      </c>
      <c r="AJ3566" s="513" t="str">
        <f t="shared" ca="1" si="2732"/>
        <v/>
      </c>
      <c r="AK3566" s="700" t="str">
        <f t="shared" si="2733"/>
        <v/>
      </c>
      <c r="AL3566" s="700"/>
      <c r="AM3566" s="505" t="str">
        <f t="shared" si="2734"/>
        <v/>
      </c>
      <c r="AN3566" s="506"/>
      <c r="AO3566" s="507"/>
      <c r="AP3566" s="507"/>
      <c r="AQ3566" s="507"/>
      <c r="AR3566" s="507"/>
      <c r="AS3566" s="507"/>
      <c r="AT3566" s="507"/>
      <c r="AU3566" s="507"/>
      <c r="AV3566" s="225"/>
      <c r="AW3566" s="508"/>
      <c r="AX3566" s="225"/>
      <c r="AY3566" s="225"/>
      <c r="AZ3566" s="225"/>
      <c r="BA3566" s="225"/>
      <c r="BB3566" s="225"/>
      <c r="BC3566" s="56"/>
      <c r="BD3566" s="56"/>
      <c r="BE3566" s="56"/>
      <c r="BF3566" s="107" t="str">
        <f t="shared" si="2735"/>
        <v>https://www.google.com/search?tbm=isch&amp;q=Sugar%20and%20Spice%C2%AE%20Arborvitae%20Thuja%20plicata%20%27De%20Rakt%27%20PP%2319926</v>
      </c>
      <c r="BG3566" s="107" t="str">
        <f t="shared" si="2736"/>
        <v>S</v>
      </c>
      <c r="BH3566" s="254"/>
      <c r="BI3566" s="254"/>
    </row>
    <row r="3567" spans="1:61" customFormat="1" ht="15.75" x14ac:dyDescent="0.25">
      <c r="A3567" s="485">
        <v>7</v>
      </c>
      <c r="B3567" s="486" t="s">
        <v>291</v>
      </c>
      <c r="C3567" s="487" t="s">
        <v>3361</v>
      </c>
      <c r="D3567" s="488" t="s">
        <v>292</v>
      </c>
      <c r="E3567" s="489">
        <v>95.95</v>
      </c>
      <c r="F3567" s="516" t="s">
        <v>293</v>
      </c>
      <c r="G3567" s="232">
        <v>0</v>
      </c>
      <c r="H3567" s="658" t="str">
        <f>IF(G3567=0,"",IF(F3567="Buy",IF(G3567=1,"plant","plants"),IF(F3567&gt;0.01,"warranty","Error")))</f>
        <v/>
      </c>
      <c r="I3567" s="490">
        <f>IF(H3567="free",0,IF(H3567="credit",((E3567*(F3567))*G3567*-1),IF(F3567="Buy",(E3567*G3567),((E3567*(1-F3567))*G3567))))</f>
        <v>0</v>
      </c>
      <c r="J3567" s="490">
        <f>IF(H3567="warranty",0,(I3567*(_xlfn.SINGLE(SalesTaxPercentage))))</f>
        <v>0</v>
      </c>
      <c r="K3567" s="695">
        <f t="shared" ref="K3567" si="2759">I3567+J3567</f>
        <v>0</v>
      </c>
      <c r="L3567" s="695"/>
      <c r="M3567" s="659" t="str">
        <f>IF(AND(G3567&gt;0,E3567=0),"WARNING - no PRICE inserted",IF(H3567="free"," FREE ~ no charge this plant",IF(H3567="credit",CONCATENATE(" -$",ROUND(K3567*(1-T2GDiscount)*-1,2)," CREDIT after discount"),IF(T2GDiscount=0,"",IF(G3567=0,"",IF(F3567="Buy",CONCATENATE(" $",ROUND(K3567*(1-T2GDiscount),2)," with ",(T2GDiscount*100),"% discount"),CONCATENATE(" $",ROUND(K3567*(1-T2GDiscount),2)," with ",((T2GDiscount*100+F3567*100)-(T2GDiscount*100*F3567)),IF(F3567&gt;0,"% discounts",IF(NoWarrantyDiscount&gt;0,"% discounts","% discount")))))))))</f>
        <v/>
      </c>
      <c r="N3567" s="660"/>
      <c r="O3567" s="233"/>
      <c r="P3567" s="233"/>
      <c r="Q3567" s="233"/>
      <c r="R3567" s="233"/>
      <c r="S3567" s="233"/>
      <c r="T3567" s="508">
        <f t="shared" si="2724"/>
        <v>0</v>
      </c>
      <c r="U3567" s="225">
        <f>IF(NOT(ISNUMBER(G3567)), "", VLOOKUP(A3567,'Discount Lookup'!D:E,2,FALSE)*G3567)</f>
        <v>0</v>
      </c>
      <c r="V3567" s="225">
        <f>IF(NOT(ISNUMBER(G3567)), "", VLOOKUP(A3567,'Discount Lookup'!G:H,2,FALSE)*G3567)</f>
        <v>0</v>
      </c>
      <c r="W3567" s="508">
        <f t="shared" si="2725"/>
        <v>0</v>
      </c>
      <c r="X3567" s="508">
        <f t="shared" si="2726"/>
        <v>0</v>
      </c>
      <c r="Y3567" s="509" t="b">
        <f t="shared" si="2727"/>
        <v>0</v>
      </c>
      <c r="Z3567" s="510">
        <f t="shared" si="2728"/>
        <v>0</v>
      </c>
      <c r="AA3567" s="511"/>
      <c r="AB3567" s="511" t="str">
        <f t="shared" si="2729"/>
        <v/>
      </c>
      <c r="AC3567" s="698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698"/>
      <c r="AE3567" s="631" t="str">
        <f t="shared" si="2730"/>
        <v/>
      </c>
      <c r="AF3567" s="699" t="str">
        <f t="shared" si="2731"/>
        <v/>
      </c>
      <c r="AG3567" s="699"/>
      <c r="AH3567" s="699"/>
      <c r="AI3567" s="512">
        <f>IF(H3567="credit",0,IF(AE3567="free",0,IF(AE3567="me",0,IF(G3567&gt;0,(VLOOKUP(A3567,'Discount Lookup'!J:K,2)*G3567),0))))</f>
        <v>0</v>
      </c>
      <c r="AJ3567" s="513" t="str">
        <f t="shared" ca="1" si="2732"/>
        <v/>
      </c>
      <c r="AK3567" s="700" t="str">
        <f t="shared" si="2733"/>
        <v/>
      </c>
      <c r="AL3567" s="700"/>
      <c r="AM3567" s="505" t="str">
        <f t="shared" si="2734"/>
        <v/>
      </c>
      <c r="AN3567" s="506"/>
      <c r="AO3567" s="507"/>
      <c r="AP3567" s="507"/>
      <c r="AQ3567" s="507"/>
      <c r="AR3567" s="507"/>
      <c r="AS3567" s="507"/>
      <c r="AT3567" s="507"/>
      <c r="AU3567" s="507"/>
      <c r="AV3567" s="225"/>
      <c r="AW3567" s="508"/>
      <c r="AX3567" s="225"/>
      <c r="AY3567" s="225"/>
      <c r="AZ3567" s="225"/>
      <c r="BA3567" s="225"/>
      <c r="BB3567" s="225"/>
      <c r="BC3567" s="56"/>
      <c r="BD3567" s="56"/>
      <c r="BE3567" s="56"/>
      <c r="BF3567" s="107" t="str">
        <f t="shared" si="2735"/>
        <v>https://www.google.com/search?tbm=isch&amp;q=7%20G4</v>
      </c>
      <c r="BG3567" s="107" t="str">
        <f t="shared" si="2736"/>
        <v>S</v>
      </c>
      <c r="BH3567" s="254"/>
      <c r="BI3567" s="254"/>
    </row>
    <row r="3568" spans="1:61" customFormat="1" ht="15.75" x14ac:dyDescent="0.25">
      <c r="A3568" s="485">
        <v>15</v>
      </c>
      <c r="B3568" s="486" t="s">
        <v>291</v>
      </c>
      <c r="C3568" s="487" t="s">
        <v>3795</v>
      </c>
      <c r="D3568" s="488" t="s">
        <v>292</v>
      </c>
      <c r="E3568" s="489">
        <v>169.95</v>
      </c>
      <c r="F3568" s="516" t="s">
        <v>293</v>
      </c>
      <c r="G3568" s="232">
        <v>0</v>
      </c>
      <c r="H3568" s="658" t="str">
        <f>IF(G3568=0,"",IF(F3568="Buy",IF(G3568=1,"plant","plants"),IF(F3568&gt;0.01,"warranty","Error")))</f>
        <v/>
      </c>
      <c r="I3568" s="490">
        <f>IF(H3568="free",0,IF(H3568="credit",((E3568*(F3568))*G3568*-1),IF(F3568="Buy",(E3568*G3568),((E3568*(1-F3568))*G3568))))</f>
        <v>0</v>
      </c>
      <c r="J3568" s="490">
        <f>IF(H3568="warranty",0,(I3568*(_xlfn.SINGLE(SalesTaxPercentage))))</f>
        <v>0</v>
      </c>
      <c r="K3568" s="695">
        <f t="shared" ref="K3568" si="2760">I3568+J3568</f>
        <v>0</v>
      </c>
      <c r="L3568" s="695"/>
      <c r="M3568" s="659" t="str">
        <f>IF(AND(G3568&gt;0,E3568=0),"WARNING - no PRICE inserted",IF(H3568="free"," FREE ~ no charge this plant",IF(H3568="credit",CONCATENATE(" -$",ROUND(K3568*(1-T2GDiscount)*-1,2)," CREDIT after discount"),IF(T2GDiscount=0,"",IF(G3568=0,"",IF(F3568="Buy",CONCATENATE(" $",ROUND(K3568*(1-T2GDiscount),2)," with ",(T2GDiscount*100),"% discount"),CONCATENATE(" $",ROUND(K3568*(1-T2GDiscount),2)," with ",((T2GDiscount*100+F3568*100)-(T2GDiscount*100*F3568)),IF(F3568&gt;0,"% discounts",IF(NoWarrantyDiscount&gt;0,"% discounts","% discount")))))))))</f>
        <v/>
      </c>
      <c r="N3568" s="660"/>
      <c r="O3568" s="233"/>
      <c r="P3568" s="233"/>
      <c r="Q3568" s="233"/>
      <c r="R3568" s="233"/>
      <c r="S3568" s="233"/>
      <c r="T3568" s="508">
        <f t="shared" si="2724"/>
        <v>0</v>
      </c>
      <c r="U3568" s="225">
        <f>IF(NOT(ISNUMBER(G3568)), "", VLOOKUP(A3568,'Discount Lookup'!D:E,2,FALSE)*G3568)</f>
        <v>0</v>
      </c>
      <c r="V3568" s="225">
        <f>IF(NOT(ISNUMBER(G3568)), "", VLOOKUP(A3568,'Discount Lookup'!G:H,2,FALSE)*G3568)</f>
        <v>0</v>
      </c>
      <c r="W3568" s="508">
        <f t="shared" si="2725"/>
        <v>0</v>
      </c>
      <c r="X3568" s="508">
        <f t="shared" si="2726"/>
        <v>0</v>
      </c>
      <c r="Y3568" s="509" t="b">
        <f t="shared" si="2727"/>
        <v>0</v>
      </c>
      <c r="Z3568" s="510">
        <f t="shared" si="2728"/>
        <v>0</v>
      </c>
      <c r="AA3568" s="511"/>
      <c r="AB3568" s="511" t="str">
        <f t="shared" si="2729"/>
        <v/>
      </c>
      <c r="AC3568" s="698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698"/>
      <c r="AE3568" s="631" t="str">
        <f t="shared" si="2730"/>
        <v/>
      </c>
      <c r="AF3568" s="699" t="str">
        <f t="shared" si="2731"/>
        <v/>
      </c>
      <c r="AG3568" s="699"/>
      <c r="AH3568" s="699"/>
      <c r="AI3568" s="512">
        <f>IF(H3568="credit",0,IF(AE3568="free",0,IF(AE3568="me",0,IF(G3568&gt;0,(VLOOKUP(A3568,'Discount Lookup'!J:K,2)*G3568),0))))</f>
        <v>0</v>
      </c>
      <c r="AJ3568" s="513" t="str">
        <f t="shared" ca="1" si="2732"/>
        <v/>
      </c>
      <c r="AK3568" s="700" t="str">
        <f t="shared" si="2733"/>
        <v/>
      </c>
      <c r="AL3568" s="700"/>
      <c r="AM3568" s="505" t="str">
        <f t="shared" si="2734"/>
        <v/>
      </c>
      <c r="AN3568" s="506"/>
      <c r="AO3568" s="507"/>
      <c r="AP3568" s="507"/>
      <c r="AQ3568" s="507"/>
      <c r="AR3568" s="507"/>
      <c r="AS3568" s="507"/>
      <c r="AT3568" s="507"/>
      <c r="AU3568" s="507"/>
      <c r="AV3568" s="225"/>
      <c r="AW3568" s="508"/>
      <c r="AX3568" s="225"/>
      <c r="AY3568" s="225"/>
      <c r="AZ3568" s="225"/>
      <c r="BA3568" s="225"/>
      <c r="BB3568" s="225"/>
      <c r="BC3568" s="56"/>
      <c r="BD3568" s="56"/>
      <c r="BE3568" s="56"/>
      <c r="BF3568" s="107" t="str">
        <f t="shared" si="2735"/>
        <v>https://www.google.com/search?tbm=isch&amp;q=15%20G4</v>
      </c>
      <c r="BG3568" s="107" t="str">
        <f t="shared" si="2736"/>
        <v>S</v>
      </c>
      <c r="BH3568" s="254"/>
      <c r="BI3568" s="254"/>
    </row>
    <row r="3569" spans="1:61" customFormat="1" ht="16.5" thickBot="1" x14ac:dyDescent="0.3">
      <c r="A3569" s="672" t="s">
        <v>5247</v>
      </c>
      <c r="B3569" s="491"/>
      <c r="C3569" s="675"/>
      <c r="D3569" s="491"/>
      <c r="E3569" s="491"/>
      <c r="F3569" s="492"/>
      <c r="G3569" s="493"/>
      <c r="H3569" s="491"/>
      <c r="I3569" s="234"/>
      <c r="J3569" s="234"/>
      <c r="K3569" s="494"/>
      <c r="L3569" s="543"/>
      <c r="M3569" s="561"/>
      <c r="N3569" s="495"/>
      <c r="O3569" s="496"/>
      <c r="P3569" s="497"/>
      <c r="Q3569" s="495"/>
      <c r="R3569" s="495"/>
      <c r="S3569" s="277"/>
      <c r="T3569" s="508">
        <f t="shared" si="2724"/>
        <v>0</v>
      </c>
      <c r="U3569" s="225" t="str">
        <f>IF(NOT(ISNUMBER(G3569)), "", VLOOKUP(A3569,'Discount Lookup'!D:E,2,FALSE)*G3569)</f>
        <v/>
      </c>
      <c r="V3569" s="225" t="str">
        <f>IF(NOT(ISNUMBER(G3569)), "", VLOOKUP(A3569,'Discount Lookup'!G:H,2,FALSE)*G3569)</f>
        <v/>
      </c>
      <c r="W3569" s="508">
        <f t="shared" si="2725"/>
        <v>0</v>
      </c>
      <c r="X3569" s="508">
        <f t="shared" si="2726"/>
        <v>0</v>
      </c>
      <c r="Y3569" s="509" t="b">
        <f t="shared" si="2727"/>
        <v>0</v>
      </c>
      <c r="Z3569" s="510">
        <f t="shared" si="2728"/>
        <v>0</v>
      </c>
      <c r="AA3569" s="511"/>
      <c r="AB3569" s="511" t="str">
        <f t="shared" si="2729"/>
        <v/>
      </c>
      <c r="AC3569" s="698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698"/>
      <c r="AE3569" s="631" t="str">
        <f t="shared" si="2730"/>
        <v/>
      </c>
      <c r="AF3569" s="699" t="str">
        <f t="shared" si="2731"/>
        <v/>
      </c>
      <c r="AG3569" s="699"/>
      <c r="AH3569" s="699"/>
      <c r="AI3569" s="512">
        <f>IF(H3569="credit",0,IF(AE3569="free",0,IF(AE3569="me",0,IF(G3569&gt;0,(VLOOKUP(A3569,'Discount Lookup'!J:K,2)*G3569),0))))</f>
        <v>0</v>
      </c>
      <c r="AJ3569" s="513" t="str">
        <f t="shared" ca="1" si="2732"/>
        <v/>
      </c>
      <c r="AK3569" s="700" t="str">
        <f t="shared" si="2733"/>
        <v/>
      </c>
      <c r="AL3569" s="700"/>
      <c r="AM3569" s="505" t="str">
        <f t="shared" si="2734"/>
        <v/>
      </c>
      <c r="AN3569" s="506"/>
      <c r="AO3569" s="507"/>
      <c r="AP3569" s="507"/>
      <c r="AQ3569" s="507"/>
      <c r="AR3569" s="507"/>
      <c r="AS3569" s="507"/>
      <c r="AT3569" s="507"/>
      <c r="AU3569" s="507"/>
      <c r="AV3569" s="225"/>
      <c r="AW3569" s="508"/>
      <c r="AX3569" s="225"/>
      <c r="AY3569" s="225"/>
      <c r="AZ3569" s="225"/>
      <c r="BA3569" s="225"/>
      <c r="BB3569" s="225"/>
      <c r="BC3569" s="56"/>
      <c r="BD3569" s="56"/>
      <c r="BE3569" s="56"/>
      <c r="BF3569" s="107" t="str">
        <f t="shared" si="2735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3569" s="107" t="str">
        <f t="shared" si="2736"/>
        <v>m</v>
      </c>
      <c r="BH3569" s="254"/>
      <c r="BI3569" s="254"/>
    </row>
    <row r="3570" spans="1:61" customFormat="1" ht="18" x14ac:dyDescent="0.25">
      <c r="A3570" s="523" t="s">
        <v>1829</v>
      </c>
      <c r="B3570" s="235"/>
      <c r="C3570" s="676"/>
      <c r="D3570" s="255" t="s">
        <v>1830</v>
      </c>
      <c r="E3570" s="236"/>
      <c r="F3570" s="236"/>
      <c r="G3570" s="236"/>
      <c r="H3570" s="582" t="s">
        <v>4239</v>
      </c>
      <c r="I3570" s="498" t="s">
        <v>1349</v>
      </c>
      <c r="J3570" s="237"/>
      <c r="K3570" s="237"/>
      <c r="L3570" s="274"/>
      <c r="M3570" s="670" t="s">
        <v>4973</v>
      </c>
      <c r="N3570" s="681" t="str">
        <f>IF(AND(ISTEXT($A3570), ISERROR($A3570+0)), HYPERLINK($BF3570, "Images"), "")</f>
        <v>Images</v>
      </c>
      <c r="O3570" s="663" t="s">
        <v>4971</v>
      </c>
      <c r="P3570" s="253"/>
      <c r="Q3570" s="238"/>
      <c r="R3570" s="239"/>
      <c r="S3570" s="275"/>
      <c r="T3570" s="508">
        <f t="shared" si="2724"/>
        <v>0</v>
      </c>
      <c r="U3570" s="225" t="str">
        <f>IF(NOT(ISNUMBER(G3570)), "", VLOOKUP(A3570,'Discount Lookup'!D:E,2,FALSE)*G3570)</f>
        <v/>
      </c>
      <c r="V3570" s="225" t="str">
        <f>IF(NOT(ISNUMBER(G3570)), "", VLOOKUP(A3570,'Discount Lookup'!G:H,2,FALSE)*G3570)</f>
        <v/>
      </c>
      <c r="W3570" s="508">
        <f t="shared" si="2725"/>
        <v>0</v>
      </c>
      <c r="X3570" s="508" t="str">
        <f t="shared" si="2726"/>
        <v>Pale Lavender bloom</v>
      </c>
      <c r="Y3570" s="509" t="b">
        <f t="shared" si="2727"/>
        <v>0</v>
      </c>
      <c r="Z3570" s="510">
        <f t="shared" si="2728"/>
        <v>0</v>
      </c>
      <c r="AA3570" s="511"/>
      <c r="AB3570" s="511" t="str">
        <f t="shared" si="2729"/>
        <v/>
      </c>
      <c r="AC3570" s="698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698"/>
      <c r="AE3570" s="631" t="str">
        <f t="shared" si="2730"/>
        <v/>
      </c>
      <c r="AF3570" s="699" t="str">
        <f t="shared" si="2731"/>
        <v/>
      </c>
      <c r="AG3570" s="699"/>
      <c r="AH3570" s="699"/>
      <c r="AI3570" s="512">
        <f>IF(H3570="credit",0,IF(AE3570="free",0,IF(AE3570="me",0,IF(G3570&gt;0,(VLOOKUP(A3570,'Discount Lookup'!J:K,2)*G3570),0))))</f>
        <v>0</v>
      </c>
      <c r="AJ3570" s="513" t="str">
        <f t="shared" ca="1" si="2732"/>
        <v/>
      </c>
      <c r="AK3570" s="700" t="str">
        <f t="shared" si="2733"/>
        <v/>
      </c>
      <c r="AL3570" s="700"/>
      <c r="AM3570" s="505" t="str">
        <f t="shared" si="2734"/>
        <v/>
      </c>
      <c r="AN3570" s="506"/>
      <c r="AO3570" s="507"/>
      <c r="AP3570" s="507"/>
      <c r="AQ3570" s="507"/>
      <c r="AR3570" s="507"/>
      <c r="AS3570" s="507"/>
      <c r="AT3570" s="507"/>
      <c r="AU3570" s="507"/>
      <c r="AV3570" s="225"/>
      <c r="AW3570" s="508"/>
      <c r="AX3570" s="225"/>
      <c r="AY3570" s="225"/>
      <c r="AZ3570" s="225"/>
      <c r="BA3570" s="225"/>
      <c r="BB3570" s="225"/>
      <c r="BC3570" s="56"/>
      <c r="BD3570" s="56"/>
      <c r="BE3570" s="56"/>
      <c r="BF3570" s="107" t="str">
        <f t="shared" si="2735"/>
        <v>https://www.google.com/search?tbm=isch&amp;q=Sum%20%26%20Substance%20Hosta%20Hosta%20%27Sum%20%26%20Substance%27</v>
      </c>
      <c r="BG3570" s="107" t="str">
        <f t="shared" si="2736"/>
        <v>S</v>
      </c>
      <c r="BH3570" s="254"/>
      <c r="BI3570" s="254"/>
    </row>
    <row r="3571" spans="1:61" customFormat="1" ht="15.75" x14ac:dyDescent="0.25">
      <c r="A3571" s="276">
        <v>1</v>
      </c>
      <c r="B3571" s="240" t="s">
        <v>291</v>
      </c>
      <c r="C3571" s="241"/>
      <c r="D3571" s="242" t="s">
        <v>300</v>
      </c>
      <c r="E3571" s="243">
        <v>17.95</v>
      </c>
      <c r="F3571" s="517" t="s">
        <v>293</v>
      </c>
      <c r="G3571" s="232">
        <v>0</v>
      </c>
      <c r="H3571" s="661" t="str">
        <f>IF(G3571=0,"",IF(F3571="Buy",IF(G3571=1,"plant","plants"),IF(F3571&gt;0.01,"warranty","Error")))</f>
        <v/>
      </c>
      <c r="I3571" s="244">
        <f>IF(H3571="free",0,IF(H3571="credit",((E3571*(F3571))*G3571*-1),IF(F3571="Buy",(E3571*G3571),((E3571*(1-F3571))*G3571))))</f>
        <v>0</v>
      </c>
      <c r="J3571" s="244">
        <f>IF(H3571="warranty",0,(I3571*(_xlfn.SINGLE(SalesTaxPercentage))))</f>
        <v>0</v>
      </c>
      <c r="K3571" s="696">
        <f t="shared" ref="K3571" si="2761">I3571+J3571</f>
        <v>0</v>
      </c>
      <c r="L3571" s="696"/>
      <c r="M3571" s="659" t="str">
        <f>IF(AND(G3571&gt;0,E3571=0),"WARNING - no PRICE inserted",IF(H3571="free"," FREE ~ no charge this plant",IF(H3571="credit",CONCATENATE(" -$",ROUND(K3571*(1-T2GDiscount)*-1,2)," CREDIT after discount"),IF(T2GDiscount=0,"",IF(G3571=0,"",IF(F3571="Buy",CONCATENATE(" $",ROUND(K3571*(1-T2GDiscount),2)," with ",(T2GDiscount*100),"% discount"),CONCATENATE(" $",ROUND(K3571*(1-T2GDiscount),2)," with ",((T2GDiscount*100+F3571*100)-(T2GDiscount*100*F3571)),IF(F3571&gt;0,"% discounts",IF(NoWarrantyDiscount&gt;0,"% discounts","% discount")))))))))</f>
        <v/>
      </c>
      <c r="N3571" s="660"/>
      <c r="O3571" s="233"/>
      <c r="P3571" s="233"/>
      <c r="Q3571" s="233"/>
      <c r="R3571" s="233"/>
      <c r="S3571" s="233"/>
      <c r="T3571" s="508">
        <f t="shared" si="2724"/>
        <v>0</v>
      </c>
      <c r="U3571" s="225">
        <f>IF(NOT(ISNUMBER(G3571)), "", VLOOKUP(A3571,'Discount Lookup'!D:E,2,FALSE)*G3571)</f>
        <v>0</v>
      </c>
      <c r="V3571" s="225">
        <f>IF(NOT(ISNUMBER(G3571)), "", VLOOKUP(A3571,'Discount Lookup'!G:H,2,FALSE)*G3571)</f>
        <v>0</v>
      </c>
      <c r="W3571" s="508">
        <f t="shared" si="2725"/>
        <v>0</v>
      </c>
      <c r="X3571" s="508">
        <f t="shared" si="2726"/>
        <v>0</v>
      </c>
      <c r="Y3571" s="509" t="b">
        <f t="shared" si="2727"/>
        <v>0</v>
      </c>
      <c r="Z3571" s="510">
        <f t="shared" si="2728"/>
        <v>0</v>
      </c>
      <c r="AA3571" s="511"/>
      <c r="AB3571" s="511" t="str">
        <f t="shared" si="2729"/>
        <v/>
      </c>
      <c r="AC3571" s="698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698"/>
      <c r="AE3571" s="631" t="str">
        <f t="shared" si="2730"/>
        <v/>
      </c>
      <c r="AF3571" s="699" t="str">
        <f t="shared" si="2731"/>
        <v/>
      </c>
      <c r="AG3571" s="699"/>
      <c r="AH3571" s="699"/>
      <c r="AI3571" s="512">
        <f>IF(H3571="credit",0,IF(AE3571="free",0,IF(AE3571="me",0,IF(G3571&gt;0,(VLOOKUP(A3571,'Discount Lookup'!J:K,2)*G3571),0))))</f>
        <v>0</v>
      </c>
      <c r="AJ3571" s="513" t="str">
        <f t="shared" ca="1" si="2732"/>
        <v/>
      </c>
      <c r="AK3571" s="700" t="str">
        <f t="shared" si="2733"/>
        <v/>
      </c>
      <c r="AL3571" s="700"/>
      <c r="AM3571" s="505" t="str">
        <f t="shared" si="2734"/>
        <v/>
      </c>
      <c r="AN3571" s="506"/>
      <c r="AO3571" s="507"/>
      <c r="AP3571" s="507"/>
      <c r="AQ3571" s="507"/>
      <c r="AR3571" s="507"/>
      <c r="AS3571" s="507"/>
      <c r="AT3571" s="507"/>
      <c r="AU3571" s="507"/>
      <c r="AV3571" s="225"/>
      <c r="AW3571" s="508"/>
      <c r="AX3571" s="225"/>
      <c r="AY3571" s="225"/>
      <c r="AZ3571" s="225"/>
      <c r="BA3571" s="225"/>
      <c r="BB3571" s="225"/>
      <c r="BC3571" s="56"/>
      <c r="BD3571" s="56"/>
      <c r="BE3571" s="56"/>
      <c r="BF3571" s="107" t="str">
        <f t="shared" si="2735"/>
        <v>https://www.google.com/search?tbm=isch&amp;q=1%20G6</v>
      </c>
      <c r="BG3571" s="107" t="str">
        <f t="shared" si="2736"/>
        <v>S</v>
      </c>
      <c r="BH3571" s="254"/>
      <c r="BI3571" s="254"/>
    </row>
    <row r="3572" spans="1:61" customFormat="1" ht="15.75" x14ac:dyDescent="0.25">
      <c r="A3572" s="276">
        <v>1</v>
      </c>
      <c r="B3572" s="240" t="s">
        <v>291</v>
      </c>
      <c r="C3572" s="241" t="s">
        <v>1831</v>
      </c>
      <c r="D3572" s="242" t="s">
        <v>299</v>
      </c>
      <c r="E3572" s="243">
        <v>18.95</v>
      </c>
      <c r="F3572" s="517" t="s">
        <v>293</v>
      </c>
      <c r="G3572" s="232">
        <v>0</v>
      </c>
      <c r="H3572" s="661" t="str">
        <f>IF(G3572=0,"",IF(F3572="Buy",IF(G3572=1,"plant","plants"),IF(F3572&gt;0.01,"warranty","Error")))</f>
        <v/>
      </c>
      <c r="I3572" s="244">
        <f>IF(H3572="free",0,IF(H3572="credit",((E3572*(F3572))*G3572*-1),IF(F3572="Buy",(E3572*G3572),((E3572*(1-F3572))*G3572))))</f>
        <v>0</v>
      </c>
      <c r="J3572" s="244">
        <f>IF(H3572="warranty",0,(I3572*(_xlfn.SINGLE(SalesTaxPercentage))))</f>
        <v>0</v>
      </c>
      <c r="K3572" s="696">
        <f t="shared" ref="K3572" si="2762">I3572+J3572</f>
        <v>0</v>
      </c>
      <c r="L3572" s="696"/>
      <c r="M3572" s="659" t="str">
        <f>IF(AND(G3572&gt;0,E3572=0),"WARNING - no PRICE inserted",IF(H3572="free"," FREE ~ no charge this plant",IF(H3572="credit",CONCATENATE(" -$",ROUND(K3572*(1-T2GDiscount)*-1,2)," CREDIT after discount"),IF(T2GDiscount=0,"",IF(G3572=0,"",IF(F3572="Buy",CONCATENATE(" $",ROUND(K3572*(1-T2GDiscount),2)," with ",(T2GDiscount*100),"% discount"),CONCATENATE(" $",ROUND(K3572*(1-T2GDiscount),2)," with ",((T2GDiscount*100+F3572*100)-(T2GDiscount*100*F3572)),IF(F3572&gt;0,"% discounts",IF(NoWarrantyDiscount&gt;0,"% discounts","% discount")))))))))</f>
        <v/>
      </c>
      <c r="N3572" s="660"/>
      <c r="O3572" s="233"/>
      <c r="P3572" s="233"/>
      <c r="Q3572" s="233"/>
      <c r="R3572" s="233"/>
      <c r="S3572" s="233"/>
      <c r="T3572" s="508">
        <f t="shared" si="2724"/>
        <v>0</v>
      </c>
      <c r="U3572" s="225">
        <f>IF(NOT(ISNUMBER(G3572)), "", VLOOKUP(A3572,'Discount Lookup'!D:E,2,FALSE)*G3572)</f>
        <v>0</v>
      </c>
      <c r="V3572" s="225">
        <f>IF(NOT(ISNUMBER(G3572)), "", VLOOKUP(A3572,'Discount Lookup'!G:H,2,FALSE)*G3572)</f>
        <v>0</v>
      </c>
      <c r="W3572" s="508">
        <f t="shared" si="2725"/>
        <v>0</v>
      </c>
      <c r="X3572" s="508">
        <f t="shared" si="2726"/>
        <v>0</v>
      </c>
      <c r="Y3572" s="509" t="b">
        <f t="shared" si="2727"/>
        <v>0</v>
      </c>
      <c r="Z3572" s="510">
        <f t="shared" si="2728"/>
        <v>0</v>
      </c>
      <c r="AA3572" s="511"/>
      <c r="AB3572" s="511" t="str">
        <f t="shared" si="2729"/>
        <v/>
      </c>
      <c r="AC3572" s="698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698"/>
      <c r="AE3572" s="631" t="str">
        <f t="shared" si="2730"/>
        <v/>
      </c>
      <c r="AF3572" s="699" t="str">
        <f t="shared" si="2731"/>
        <v/>
      </c>
      <c r="AG3572" s="699"/>
      <c r="AH3572" s="699"/>
      <c r="AI3572" s="512">
        <f>IF(H3572="credit",0,IF(AE3572="free",0,IF(AE3572="me",0,IF(G3572&gt;0,(VLOOKUP(A3572,'Discount Lookup'!J:K,2)*G3572),0))))</f>
        <v>0</v>
      </c>
      <c r="AJ3572" s="513" t="str">
        <f t="shared" ca="1" si="2732"/>
        <v/>
      </c>
      <c r="AK3572" s="700" t="str">
        <f t="shared" si="2733"/>
        <v/>
      </c>
      <c r="AL3572" s="700"/>
      <c r="AM3572" s="505" t="str">
        <f t="shared" si="2734"/>
        <v/>
      </c>
      <c r="AN3572" s="506"/>
      <c r="AO3572" s="507"/>
      <c r="AP3572" s="507"/>
      <c r="AQ3572" s="507"/>
      <c r="AR3572" s="507"/>
      <c r="AS3572" s="507"/>
      <c r="AT3572" s="507"/>
      <c r="AU3572" s="507"/>
      <c r="AV3572" s="225"/>
      <c r="AW3572" s="508"/>
      <c r="AX3572" s="225"/>
      <c r="AY3572" s="225"/>
      <c r="AZ3572" s="225"/>
      <c r="BA3572" s="225"/>
      <c r="BB3572" s="225"/>
      <c r="BC3572" s="56"/>
      <c r="BD3572" s="56"/>
      <c r="BE3572" s="56"/>
      <c r="BF3572" s="107" t="str">
        <f t="shared" si="2735"/>
        <v>https://www.google.com/search?tbm=isch&amp;q=1%20G5</v>
      </c>
      <c r="BG3572" s="107" t="str">
        <f t="shared" si="2736"/>
        <v>S</v>
      </c>
      <c r="BH3572" s="254"/>
      <c r="BI3572" s="254"/>
    </row>
    <row r="3573" spans="1:61" customFormat="1" ht="17.25" thickBot="1" x14ac:dyDescent="0.3">
      <c r="A3573" s="673" t="s">
        <v>5248</v>
      </c>
      <c r="B3573" s="245"/>
      <c r="C3573" s="677"/>
      <c r="D3573" s="499"/>
      <c r="E3573" s="499"/>
      <c r="F3573" s="500"/>
      <c r="G3573" s="501"/>
      <c r="H3573" s="502"/>
      <c r="I3573" s="246"/>
      <c r="J3573" s="247"/>
      <c r="K3573" s="503"/>
      <c r="L3573" s="544"/>
      <c r="M3573" s="544"/>
      <c r="N3573" s="500"/>
      <c r="O3573" s="500"/>
      <c r="P3573" s="500"/>
      <c r="Q3573" s="500"/>
      <c r="R3573" s="500"/>
      <c r="S3573" s="669" t="s">
        <v>4977</v>
      </c>
      <c r="T3573" s="508">
        <f t="shared" si="2724"/>
        <v>0</v>
      </c>
      <c r="U3573" s="225" t="str">
        <f>IF(NOT(ISNUMBER(G3573)), "", VLOOKUP(A3573,'Discount Lookup'!D:E,2,FALSE)*G3573)</f>
        <v/>
      </c>
      <c r="V3573" s="225" t="str">
        <f>IF(NOT(ISNUMBER(G3573)), "", VLOOKUP(A3573,'Discount Lookup'!G:H,2,FALSE)*G3573)</f>
        <v/>
      </c>
      <c r="W3573" s="508">
        <f t="shared" si="2725"/>
        <v>0</v>
      </c>
      <c r="X3573" s="508">
        <f t="shared" si="2726"/>
        <v>0</v>
      </c>
      <c r="Y3573" s="509" t="b">
        <f t="shared" si="2727"/>
        <v>0</v>
      </c>
      <c r="Z3573" s="510">
        <f t="shared" si="2728"/>
        <v>0</v>
      </c>
      <c r="AA3573" s="511"/>
      <c r="AB3573" s="511" t="str">
        <f t="shared" si="2729"/>
        <v/>
      </c>
      <c r="AC3573" s="698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698"/>
      <c r="AE3573" s="631" t="str">
        <f t="shared" si="2730"/>
        <v/>
      </c>
      <c r="AF3573" s="699" t="str">
        <f t="shared" si="2731"/>
        <v/>
      </c>
      <c r="AG3573" s="699"/>
      <c r="AH3573" s="699"/>
      <c r="AI3573" s="512">
        <f>IF(H3573="credit",0,IF(AE3573="free",0,IF(AE3573="me",0,IF(G3573&gt;0,(VLOOKUP(A3573,'Discount Lookup'!J:K,2)*G3573),0))))</f>
        <v>0</v>
      </c>
      <c r="AJ3573" s="513" t="str">
        <f t="shared" ca="1" si="2732"/>
        <v/>
      </c>
      <c r="AK3573" s="700" t="str">
        <f t="shared" si="2733"/>
        <v/>
      </c>
      <c r="AL3573" s="700"/>
      <c r="AM3573" s="505" t="str">
        <f t="shared" si="2734"/>
        <v/>
      </c>
      <c r="AN3573" s="506"/>
      <c r="AO3573" s="507"/>
      <c r="AP3573" s="507"/>
      <c r="AQ3573" s="507"/>
      <c r="AR3573" s="507"/>
      <c r="AS3573" s="507"/>
      <c r="AT3573" s="507"/>
      <c r="AU3573" s="507"/>
      <c r="AV3573" s="225"/>
      <c r="AW3573" s="508"/>
      <c r="AX3573" s="225"/>
      <c r="AY3573" s="225"/>
      <c r="AZ3573" s="225"/>
      <c r="BA3573" s="225"/>
      <c r="BB3573" s="225"/>
      <c r="BC3573" s="56"/>
      <c r="BD3573" s="56"/>
      <c r="BE3573" s="56"/>
      <c r="BF3573" s="107" t="str">
        <f t="shared" si="2735"/>
        <v>https://www.google.com/search?tbm=isch&amp;q=moist%20sites%F0%9F%92%A7OK%2C%20Sum%20%26%20Substance%20is%20the%20largest%20Hosta.%20Heart-shaped%2C%20Chartreuse-to-Golden-Yellow%20foliage%20</v>
      </c>
      <c r="BG3573" s="107" t="str">
        <f t="shared" si="2736"/>
        <v>m</v>
      </c>
      <c r="BH3573" s="254"/>
      <c r="BI3573" s="254"/>
    </row>
    <row r="3574" spans="1:61" customFormat="1" ht="18" x14ac:dyDescent="0.25">
      <c r="A3574" s="523" t="s">
        <v>4817</v>
      </c>
      <c r="B3574" s="235"/>
      <c r="C3574" s="676"/>
      <c r="D3574" s="255" t="s">
        <v>4818</v>
      </c>
      <c r="E3574" s="236"/>
      <c r="F3574" s="236"/>
      <c r="G3574" s="236"/>
      <c r="H3574" s="582" t="s">
        <v>905</v>
      </c>
      <c r="I3574" s="498" t="s">
        <v>4819</v>
      </c>
      <c r="J3574" s="237"/>
      <c r="K3574" s="237"/>
      <c r="L3574" s="274"/>
      <c r="M3574" s="668" t="s">
        <v>4975</v>
      </c>
      <c r="N3574" s="681" t="str">
        <f>IF(AND(ISTEXT($A3574), ISERROR($A3574+0)), HYPERLINK($BF3574, "Images"), "")</f>
        <v>Images</v>
      </c>
      <c r="O3574" s="663" t="s">
        <v>4969</v>
      </c>
      <c r="P3574" s="253"/>
      <c r="Q3574" s="238"/>
      <c r="R3574" s="239"/>
      <c r="S3574" s="275"/>
      <c r="T3574" s="508">
        <f t="shared" si="2724"/>
        <v>0</v>
      </c>
      <c r="U3574" s="225" t="str">
        <f>IF(NOT(ISNUMBER(G3574)), "", VLOOKUP(A3574,'Discount Lookup'!D:E,2,FALSE)*G3574)</f>
        <v/>
      </c>
      <c r="V3574" s="225" t="str">
        <f>IF(NOT(ISNUMBER(G3574)), "", VLOOKUP(A3574,'Discount Lookup'!G:H,2,FALSE)*G3574)</f>
        <v/>
      </c>
      <c r="W3574" s="508">
        <f t="shared" si="2725"/>
        <v>0</v>
      </c>
      <c r="X3574" s="508" t="str">
        <f t="shared" si="2726"/>
        <v>White, Purple-Pink bracts</v>
      </c>
      <c r="Y3574" s="509" t="b">
        <f t="shared" si="2727"/>
        <v>0</v>
      </c>
      <c r="Z3574" s="510">
        <f t="shared" si="2728"/>
        <v>0</v>
      </c>
      <c r="AA3574" s="511"/>
      <c r="AB3574" s="511" t="str">
        <f t="shared" si="2729"/>
        <v/>
      </c>
      <c r="AC3574" s="698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698"/>
      <c r="AE3574" s="631" t="str">
        <f t="shared" si="2730"/>
        <v/>
      </c>
      <c r="AF3574" s="699" t="str">
        <f t="shared" si="2731"/>
        <v/>
      </c>
      <c r="AG3574" s="699"/>
      <c r="AH3574" s="699"/>
      <c r="AI3574" s="512">
        <f>IF(H3574="credit",0,IF(AE3574="free",0,IF(AE3574="me",0,IF(G3574&gt;0,(VLOOKUP(A3574,'Discount Lookup'!J:K,2)*G3574),0))))</f>
        <v>0</v>
      </c>
      <c r="AJ3574" s="513" t="str">
        <f t="shared" ca="1" si="2732"/>
        <v/>
      </c>
      <c r="AK3574" s="700" t="str">
        <f t="shared" si="2733"/>
        <v/>
      </c>
      <c r="AL3574" s="700"/>
      <c r="AM3574" s="505" t="str">
        <f t="shared" si="2734"/>
        <v/>
      </c>
      <c r="AN3574" s="506"/>
      <c r="AO3574" s="507"/>
      <c r="AP3574" s="507"/>
      <c r="AQ3574" s="507"/>
      <c r="AR3574" s="507"/>
      <c r="AS3574" s="507"/>
      <c r="AT3574" s="507"/>
      <c r="AU3574" s="507"/>
      <c r="AV3574" s="225"/>
      <c r="AW3574" s="508"/>
      <c r="AX3574" s="225"/>
      <c r="AY3574" s="225"/>
      <c r="AZ3574" s="225"/>
      <c r="BA3574" s="225"/>
      <c r="BB3574" s="225"/>
      <c r="BC3574" s="56"/>
      <c r="BD3574" s="56"/>
      <c r="BE3574" s="56"/>
      <c r="BF3574" s="107" t="str">
        <f t="shared" si="2735"/>
        <v>https://www.google.com/search?tbm=isch&amp;q=Summer%20Beauty%20Bear%27s%20Breeches%20Acanthus%20mollis%20%C3%97%20Acanthus%20spinosus</v>
      </c>
      <c r="BG3574" s="107" t="str">
        <f t="shared" si="2736"/>
        <v>S</v>
      </c>
      <c r="BH3574" s="254"/>
      <c r="BI3574" s="254"/>
    </row>
    <row r="3575" spans="1:61" customFormat="1" ht="15.75" x14ac:dyDescent="0.25">
      <c r="A3575" s="276">
        <v>1</v>
      </c>
      <c r="B3575" s="240" t="s">
        <v>291</v>
      </c>
      <c r="C3575" s="241"/>
      <c r="D3575" s="242" t="s">
        <v>312</v>
      </c>
      <c r="E3575" s="243">
        <v>14.95</v>
      </c>
      <c r="F3575" s="517" t="s">
        <v>293</v>
      </c>
      <c r="G3575" s="232">
        <v>0</v>
      </c>
      <c r="H3575" s="661" t="str">
        <f>IF(G3575=0,"",IF(F3575="Buy",IF(G3575=1,"plant","plants"),IF(F3575&gt;0.01,"warranty","Error")))</f>
        <v/>
      </c>
      <c r="I3575" s="244">
        <f>IF(H3575="free",0,IF(H3575="credit",((E3575*(F3575))*G3575*-1),IF(F3575="Buy",(E3575*G3575),((E3575*(1-F3575))*G3575))))</f>
        <v>0</v>
      </c>
      <c r="J3575" s="244">
        <f>IF(H3575="warranty",0,(I3575*(_xlfn.SINGLE(SalesTaxPercentage))))</f>
        <v>0</v>
      </c>
      <c r="K3575" s="696">
        <f t="shared" ref="K3575" si="2763">I3575+J3575</f>
        <v>0</v>
      </c>
      <c r="L3575" s="696"/>
      <c r="M3575" s="659" t="str">
        <f>IF(AND(G3575&gt;0,E3575=0),"WARNING - no PRICE inserted",IF(H3575="free"," FREE ~ no charge this plant",IF(H3575="credit",CONCATENATE(" -$",ROUND(K3575*(1-T2GDiscount)*-1,2)," CREDIT after discount"),IF(T2GDiscount=0,"",IF(G3575=0,"",IF(F3575="Buy",CONCATENATE(" $",ROUND(K3575*(1-T2GDiscount),2)," with ",(T2GDiscount*100),"% discount"),CONCATENATE(" $",ROUND(K3575*(1-T2GDiscount),2)," with ",((T2GDiscount*100+F3575*100)-(T2GDiscount*100*F3575)),IF(F3575&gt;0,"% discounts",IF(NoWarrantyDiscount&gt;0,"% discounts","% discount")))))))))</f>
        <v/>
      </c>
      <c r="N3575" s="660"/>
      <c r="O3575" s="233"/>
      <c r="P3575" s="233"/>
      <c r="Q3575" s="233"/>
      <c r="R3575" s="233"/>
      <c r="S3575" s="233"/>
      <c r="T3575" s="508">
        <f t="shared" si="2724"/>
        <v>0</v>
      </c>
      <c r="U3575" s="225">
        <f>IF(NOT(ISNUMBER(G3575)), "", VLOOKUP(A3575,'Discount Lookup'!D:E,2,FALSE)*G3575)</f>
        <v>0</v>
      </c>
      <c r="V3575" s="225">
        <f>IF(NOT(ISNUMBER(G3575)), "", VLOOKUP(A3575,'Discount Lookup'!G:H,2,FALSE)*G3575)</f>
        <v>0</v>
      </c>
      <c r="W3575" s="508">
        <f t="shared" si="2725"/>
        <v>0</v>
      </c>
      <c r="X3575" s="508">
        <f t="shared" si="2726"/>
        <v>0</v>
      </c>
      <c r="Y3575" s="509" t="b">
        <f t="shared" si="2727"/>
        <v>0</v>
      </c>
      <c r="Z3575" s="510">
        <f t="shared" si="2728"/>
        <v>0</v>
      </c>
      <c r="AA3575" s="511"/>
      <c r="AB3575" s="511" t="str">
        <f t="shared" si="2729"/>
        <v/>
      </c>
      <c r="AC3575" s="698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698"/>
      <c r="AE3575" s="631" t="str">
        <f t="shared" si="2730"/>
        <v/>
      </c>
      <c r="AF3575" s="699" t="str">
        <f t="shared" si="2731"/>
        <v/>
      </c>
      <c r="AG3575" s="699"/>
      <c r="AH3575" s="699"/>
      <c r="AI3575" s="512">
        <f>IF(H3575="credit",0,IF(AE3575="free",0,IF(AE3575="me",0,IF(G3575&gt;0,(VLOOKUP(A3575,'Discount Lookup'!J:K,2)*G3575),0))))</f>
        <v>0</v>
      </c>
      <c r="AJ3575" s="513" t="str">
        <f t="shared" ca="1" si="2732"/>
        <v/>
      </c>
      <c r="AK3575" s="700" t="str">
        <f t="shared" si="2733"/>
        <v/>
      </c>
      <c r="AL3575" s="700"/>
      <c r="AM3575" s="505" t="str">
        <f t="shared" si="2734"/>
        <v/>
      </c>
      <c r="AN3575" s="506"/>
      <c r="AO3575" s="507"/>
      <c r="AP3575" s="507"/>
      <c r="AQ3575" s="507"/>
      <c r="AR3575" s="507"/>
      <c r="AS3575" s="507"/>
      <c r="AT3575" s="507"/>
      <c r="AU3575" s="507"/>
      <c r="AV3575" s="225"/>
      <c r="AW3575" s="508"/>
      <c r="AX3575" s="225"/>
      <c r="AY3575" s="225"/>
      <c r="AZ3575" s="225"/>
      <c r="BA3575" s="225"/>
      <c r="BB3575" s="225"/>
      <c r="BC3575" s="56"/>
      <c r="BD3575" s="56"/>
      <c r="BE3575" s="56"/>
      <c r="BF3575" s="107" t="str">
        <f t="shared" si="2735"/>
        <v>https://www.google.com/search?tbm=isch&amp;q=1%20G2</v>
      </c>
      <c r="BG3575" s="107" t="str">
        <f t="shared" si="2736"/>
        <v>S</v>
      </c>
      <c r="BH3575" s="254"/>
      <c r="BI3575" s="254"/>
    </row>
    <row r="3576" spans="1:61" customFormat="1" ht="17.25" thickBot="1" x14ac:dyDescent="0.3">
      <c r="A3576" s="673" t="s">
        <v>5249</v>
      </c>
      <c r="B3576" s="245"/>
      <c r="C3576" s="677"/>
      <c r="D3576" s="499"/>
      <c r="E3576" s="499"/>
      <c r="F3576" s="500"/>
      <c r="G3576" s="501"/>
      <c r="H3576" s="502"/>
      <c r="I3576" s="246"/>
      <c r="J3576" s="247"/>
      <c r="K3576" s="503"/>
      <c r="L3576" s="544"/>
      <c r="M3576" s="544"/>
      <c r="N3576" s="500"/>
      <c r="O3576" s="500"/>
      <c r="P3576" s="500"/>
      <c r="Q3576" s="500"/>
      <c r="R3576" s="500"/>
      <c r="S3576" s="669" t="s">
        <v>4993</v>
      </c>
      <c r="T3576" s="508">
        <f t="shared" si="2724"/>
        <v>0</v>
      </c>
      <c r="U3576" s="225" t="str">
        <f>IF(NOT(ISNUMBER(G3576)), "", VLOOKUP(A3576,'Discount Lookup'!D:E,2,FALSE)*G3576)</f>
        <v/>
      </c>
      <c r="V3576" s="225" t="str">
        <f>IF(NOT(ISNUMBER(G3576)), "", VLOOKUP(A3576,'Discount Lookup'!G:H,2,FALSE)*G3576)</f>
        <v/>
      </c>
      <c r="W3576" s="508">
        <f t="shared" si="2725"/>
        <v>0</v>
      </c>
      <c r="X3576" s="508">
        <f t="shared" si="2726"/>
        <v>0</v>
      </c>
      <c r="Y3576" s="509" t="b">
        <f t="shared" si="2727"/>
        <v>0</v>
      </c>
      <c r="Z3576" s="510">
        <f t="shared" si="2728"/>
        <v>0</v>
      </c>
      <c r="AA3576" s="511"/>
      <c r="AB3576" s="511" t="str">
        <f t="shared" si="2729"/>
        <v/>
      </c>
      <c r="AC3576" s="698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698"/>
      <c r="AE3576" s="631" t="str">
        <f t="shared" si="2730"/>
        <v/>
      </c>
      <c r="AF3576" s="699" t="str">
        <f t="shared" si="2731"/>
        <v/>
      </c>
      <c r="AG3576" s="699"/>
      <c r="AH3576" s="699"/>
      <c r="AI3576" s="512">
        <f>IF(H3576="credit",0,IF(AE3576="free",0,IF(AE3576="me",0,IF(G3576&gt;0,(VLOOKUP(A3576,'Discount Lookup'!J:K,2)*G3576),0))))</f>
        <v>0</v>
      </c>
      <c r="AJ3576" s="513" t="str">
        <f t="shared" ca="1" si="2732"/>
        <v/>
      </c>
      <c r="AK3576" s="700" t="str">
        <f t="shared" si="2733"/>
        <v/>
      </c>
      <c r="AL3576" s="700"/>
      <c r="AM3576" s="505" t="str">
        <f t="shared" si="2734"/>
        <v/>
      </c>
      <c r="AN3576" s="506"/>
      <c r="AO3576" s="507"/>
      <c r="AP3576" s="507"/>
      <c r="AQ3576" s="507"/>
      <c r="AR3576" s="507"/>
      <c r="AS3576" s="507"/>
      <c r="AT3576" s="507"/>
      <c r="AU3576" s="507"/>
      <c r="AV3576" s="225"/>
      <c r="AW3576" s="508"/>
      <c r="AX3576" s="225"/>
      <c r="AY3576" s="225"/>
      <c r="AZ3576" s="225"/>
      <c r="BA3576" s="225"/>
      <c r="BB3576" s="225"/>
      <c r="BC3576" s="56"/>
      <c r="BD3576" s="56"/>
      <c r="BE3576" s="56"/>
      <c r="BF3576" s="107" t="str">
        <f t="shared" si="2735"/>
        <v>https://www.google.com/search?tbm=isch&amp;q=moist%20sites%F0%9F%92%A7GOOD%2C%20Summer%20Beauty%20bred%20improved%20heat%20and%20humidity%20tolerance.%20Bold%2C%20distinct%20foliage%2C%20with%20deeply%20lobed%2C%20glossy%20leaves%20</v>
      </c>
      <c r="BG3576" s="107" t="str">
        <f t="shared" si="2736"/>
        <v>m</v>
      </c>
      <c r="BH3576" s="254"/>
      <c r="BI3576" s="254"/>
    </row>
    <row r="3577" spans="1:61" customFormat="1" ht="18" x14ac:dyDescent="0.25">
      <c r="A3577" s="523" t="s">
        <v>1832</v>
      </c>
      <c r="B3577" s="235"/>
      <c r="C3577" s="676"/>
      <c r="D3577" s="255" t="s">
        <v>1833</v>
      </c>
      <c r="E3577" s="236"/>
      <c r="F3577" s="236"/>
      <c r="G3577" s="236"/>
      <c r="H3577" s="582" t="s">
        <v>326</v>
      </c>
      <c r="I3577" s="498" t="s">
        <v>2254</v>
      </c>
      <c r="J3577" s="237"/>
      <c r="K3577" s="237"/>
      <c r="L3577" s="274"/>
      <c r="M3577" s="668" t="s">
        <v>4962</v>
      </c>
      <c r="N3577" s="681" t="str">
        <f>IF(AND(ISTEXT($A3577), ISERROR($A3577+0)), HYPERLINK($BF3577, "Images"), "")</f>
        <v>Images</v>
      </c>
      <c r="O3577" s="663" t="s">
        <v>4969</v>
      </c>
      <c r="P3577" s="253"/>
      <c r="Q3577" s="238"/>
      <c r="R3577" s="239"/>
      <c r="S3577" s="275"/>
      <c r="T3577" s="508">
        <f t="shared" si="2724"/>
        <v>0</v>
      </c>
      <c r="U3577" s="225" t="str">
        <f>IF(NOT(ISNUMBER(G3577)), "", VLOOKUP(A3577,'Discount Lookup'!D:E,2,FALSE)*G3577)</f>
        <v/>
      </c>
      <c r="V3577" s="225" t="str">
        <f>IF(NOT(ISNUMBER(G3577)), "", VLOOKUP(A3577,'Discount Lookup'!G:H,2,FALSE)*G3577)</f>
        <v/>
      </c>
      <c r="W3577" s="508">
        <f t="shared" si="2725"/>
        <v>0</v>
      </c>
      <c r="X3577" s="508" t="str">
        <f t="shared" si="2726"/>
        <v>Pink fluffy bloom</v>
      </c>
      <c r="Y3577" s="509" t="b">
        <f t="shared" si="2727"/>
        <v>0</v>
      </c>
      <c r="Z3577" s="510">
        <f t="shared" si="2728"/>
        <v>0</v>
      </c>
      <c r="AA3577" s="511"/>
      <c r="AB3577" s="511" t="str">
        <f t="shared" si="2729"/>
        <v/>
      </c>
      <c r="AC3577" s="698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698"/>
      <c r="AE3577" s="631" t="str">
        <f t="shared" si="2730"/>
        <v/>
      </c>
      <c r="AF3577" s="699" t="str">
        <f t="shared" si="2731"/>
        <v/>
      </c>
      <c r="AG3577" s="699"/>
      <c r="AH3577" s="699"/>
      <c r="AI3577" s="512">
        <f>IF(H3577="credit",0,IF(AE3577="free",0,IF(AE3577="me",0,IF(G3577&gt;0,(VLOOKUP(A3577,'Discount Lookup'!J:K,2)*G3577),0))))</f>
        <v>0</v>
      </c>
      <c r="AJ3577" s="513" t="str">
        <f t="shared" ca="1" si="2732"/>
        <v/>
      </c>
      <c r="AK3577" s="700" t="str">
        <f t="shared" si="2733"/>
        <v/>
      </c>
      <c r="AL3577" s="700"/>
      <c r="AM3577" s="505" t="str">
        <f t="shared" si="2734"/>
        <v/>
      </c>
      <c r="AN3577" s="506"/>
      <c r="AO3577" s="507"/>
      <c r="AP3577" s="507"/>
      <c r="AQ3577" s="507"/>
      <c r="AR3577" s="507"/>
      <c r="AS3577" s="507"/>
      <c r="AT3577" s="507"/>
      <c r="AU3577" s="507"/>
      <c r="AV3577" s="225"/>
      <c r="AW3577" s="508"/>
      <c r="AX3577" s="225"/>
      <c r="AY3577" s="225"/>
      <c r="AZ3577" s="225"/>
      <c r="BA3577" s="225"/>
      <c r="BB3577" s="225"/>
      <c r="BC3577" s="56"/>
      <c r="BD3577" s="56"/>
      <c r="BE3577" s="56"/>
      <c r="BF3577" s="107" t="str">
        <f t="shared" si="2735"/>
        <v>https://www.google.com/search?tbm=isch&amp;q=Summer%20Chocolate%20Mimosa%20Tree%20Albizia%20julibrissin%20%27Summer%20Chocolate%27</v>
      </c>
      <c r="BG3577" s="107" t="str">
        <f t="shared" si="2736"/>
        <v>S</v>
      </c>
      <c r="BH3577" s="254"/>
      <c r="BI3577" s="254"/>
    </row>
    <row r="3578" spans="1:61" customFormat="1" ht="15.75" x14ac:dyDescent="0.25">
      <c r="A3578" s="276">
        <v>7</v>
      </c>
      <c r="B3578" s="240" t="s">
        <v>291</v>
      </c>
      <c r="C3578" s="241" t="s">
        <v>3796</v>
      </c>
      <c r="D3578" s="242" t="s">
        <v>292</v>
      </c>
      <c r="E3578" s="243">
        <v>125.95</v>
      </c>
      <c r="F3578" s="517" t="s">
        <v>293</v>
      </c>
      <c r="G3578" s="232">
        <v>0</v>
      </c>
      <c r="H3578" s="661" t="str">
        <f>IF(G3578=0,"",IF(F3578="Buy",IF(G3578=1,"plant","plants"),IF(F3578&gt;0.01,"warranty","Error")))</f>
        <v/>
      </c>
      <c r="I3578" s="244">
        <f>IF(H3578="free",0,IF(H3578="credit",((E3578*(F3578))*G3578*-1),IF(F3578="Buy",(E3578*G3578),((E3578*(1-F3578))*G3578))))</f>
        <v>0</v>
      </c>
      <c r="J3578" s="244">
        <f>IF(H3578="warranty",0,(I3578*(_xlfn.SINGLE(SalesTaxPercentage))))</f>
        <v>0</v>
      </c>
      <c r="K3578" s="696">
        <f t="shared" ref="K3578" si="2764">I3578+J3578</f>
        <v>0</v>
      </c>
      <c r="L3578" s="696"/>
      <c r="M3578" s="659" t="str">
        <f>IF(AND(G3578&gt;0,E3578=0),"WARNING - no PRICE inserted",IF(H3578="free"," FREE ~ no charge this plant",IF(H3578="credit",CONCATENATE(" -$",ROUND(K3578*(1-T2GDiscount)*-1,2)," CREDIT after discount"),IF(T2GDiscount=0,"",IF(G3578=0,"",IF(F3578="Buy",CONCATENATE(" $",ROUND(K3578*(1-T2GDiscount),2)," with ",(T2GDiscount*100),"% discount"),CONCATENATE(" $",ROUND(K3578*(1-T2GDiscount),2)," with ",((T2GDiscount*100+F3578*100)-(T2GDiscount*100*F3578)),IF(F3578&gt;0,"% discounts",IF(NoWarrantyDiscount&gt;0,"% discounts","% discount")))))))))</f>
        <v/>
      </c>
      <c r="N3578" s="660"/>
      <c r="O3578" s="233"/>
      <c r="P3578" s="233"/>
      <c r="Q3578" s="233"/>
      <c r="R3578" s="233"/>
      <c r="S3578" s="233"/>
      <c r="T3578" s="508">
        <f t="shared" si="2724"/>
        <v>0</v>
      </c>
      <c r="U3578" s="225">
        <f>IF(NOT(ISNUMBER(G3578)), "", VLOOKUP(A3578,'Discount Lookup'!D:E,2,FALSE)*G3578)</f>
        <v>0</v>
      </c>
      <c r="V3578" s="225">
        <f>IF(NOT(ISNUMBER(G3578)), "", VLOOKUP(A3578,'Discount Lookup'!G:H,2,FALSE)*G3578)</f>
        <v>0</v>
      </c>
      <c r="W3578" s="508">
        <f t="shared" si="2725"/>
        <v>0</v>
      </c>
      <c r="X3578" s="508">
        <f t="shared" si="2726"/>
        <v>0</v>
      </c>
      <c r="Y3578" s="509" t="b">
        <f t="shared" si="2727"/>
        <v>0</v>
      </c>
      <c r="Z3578" s="510">
        <f t="shared" si="2728"/>
        <v>0</v>
      </c>
      <c r="AA3578" s="511"/>
      <c r="AB3578" s="511" t="str">
        <f t="shared" si="2729"/>
        <v/>
      </c>
      <c r="AC3578" s="698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698"/>
      <c r="AE3578" s="631" t="str">
        <f t="shared" si="2730"/>
        <v/>
      </c>
      <c r="AF3578" s="699" t="str">
        <f t="shared" si="2731"/>
        <v/>
      </c>
      <c r="AG3578" s="699"/>
      <c r="AH3578" s="699"/>
      <c r="AI3578" s="512">
        <f>IF(H3578="credit",0,IF(AE3578="free",0,IF(AE3578="me",0,IF(G3578&gt;0,(VLOOKUP(A3578,'Discount Lookup'!J:K,2)*G3578),0))))</f>
        <v>0</v>
      </c>
      <c r="AJ3578" s="513" t="str">
        <f t="shared" ca="1" si="2732"/>
        <v/>
      </c>
      <c r="AK3578" s="700" t="str">
        <f t="shared" si="2733"/>
        <v/>
      </c>
      <c r="AL3578" s="700"/>
      <c r="AM3578" s="505" t="str">
        <f t="shared" si="2734"/>
        <v/>
      </c>
      <c r="AN3578" s="506"/>
      <c r="AO3578" s="507"/>
      <c r="AP3578" s="507"/>
      <c r="AQ3578" s="507"/>
      <c r="AR3578" s="507"/>
      <c r="AS3578" s="507"/>
      <c r="AT3578" s="507"/>
      <c r="AU3578" s="507"/>
      <c r="AV3578" s="225"/>
      <c r="AW3578" s="508"/>
      <c r="AX3578" s="225"/>
      <c r="AY3578" s="225"/>
      <c r="AZ3578" s="225"/>
      <c r="BA3578" s="225"/>
      <c r="BB3578" s="225"/>
      <c r="BC3578" s="56"/>
      <c r="BD3578" s="56"/>
      <c r="BE3578" s="56"/>
      <c r="BF3578" s="107" t="str">
        <f t="shared" si="2735"/>
        <v>https://www.google.com/search?tbm=isch&amp;q=7%20G4</v>
      </c>
      <c r="BG3578" s="107" t="str">
        <f t="shared" si="2736"/>
        <v>S</v>
      </c>
      <c r="BH3578" s="254"/>
      <c r="BI3578" s="254"/>
    </row>
    <row r="3579" spans="1:61" customFormat="1" ht="17.25" thickBot="1" x14ac:dyDescent="0.3">
      <c r="A3579" s="524" t="s">
        <v>2697</v>
      </c>
      <c r="B3579" s="245"/>
      <c r="C3579" s="677"/>
      <c r="D3579" s="499"/>
      <c r="E3579" s="499"/>
      <c r="F3579" s="500"/>
      <c r="G3579" s="501"/>
      <c r="H3579" s="502"/>
      <c r="I3579" s="246"/>
      <c r="J3579" s="247"/>
      <c r="K3579" s="503"/>
      <c r="L3579" s="544"/>
      <c r="M3579" s="544"/>
      <c r="N3579" s="500"/>
      <c r="O3579" s="500"/>
      <c r="P3579" s="500"/>
      <c r="Q3579" s="500"/>
      <c r="R3579" s="500"/>
      <c r="S3579" s="669" t="s">
        <v>4994</v>
      </c>
      <c r="T3579" s="508">
        <f t="shared" si="2724"/>
        <v>0</v>
      </c>
      <c r="U3579" s="225" t="str">
        <f>IF(NOT(ISNUMBER(G3579)), "", VLOOKUP(A3579,'Discount Lookup'!D:E,2,FALSE)*G3579)</f>
        <v/>
      </c>
      <c r="V3579" s="225" t="str">
        <f>IF(NOT(ISNUMBER(G3579)), "", VLOOKUP(A3579,'Discount Lookup'!G:H,2,FALSE)*G3579)</f>
        <v/>
      </c>
      <c r="W3579" s="508">
        <f t="shared" si="2725"/>
        <v>0</v>
      </c>
      <c r="X3579" s="508">
        <f t="shared" si="2726"/>
        <v>0</v>
      </c>
      <c r="Y3579" s="509" t="b">
        <f t="shared" si="2727"/>
        <v>0</v>
      </c>
      <c r="Z3579" s="510">
        <f t="shared" si="2728"/>
        <v>0</v>
      </c>
      <c r="AA3579" s="511"/>
      <c r="AB3579" s="511" t="str">
        <f t="shared" si="2729"/>
        <v/>
      </c>
      <c r="AC3579" s="698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698"/>
      <c r="AE3579" s="631" t="str">
        <f t="shared" si="2730"/>
        <v/>
      </c>
      <c r="AF3579" s="699" t="str">
        <f t="shared" si="2731"/>
        <v/>
      </c>
      <c r="AG3579" s="699"/>
      <c r="AH3579" s="699"/>
      <c r="AI3579" s="512">
        <f>IF(H3579="credit",0,IF(AE3579="free",0,IF(AE3579="me",0,IF(G3579&gt;0,(VLOOKUP(A3579,'Discount Lookup'!J:K,2)*G3579),0))))</f>
        <v>0</v>
      </c>
      <c r="AJ3579" s="513" t="str">
        <f t="shared" ca="1" si="2732"/>
        <v/>
      </c>
      <c r="AK3579" s="700" t="str">
        <f t="shared" si="2733"/>
        <v/>
      </c>
      <c r="AL3579" s="700"/>
      <c r="AM3579" s="505" t="str">
        <f t="shared" si="2734"/>
        <v/>
      </c>
      <c r="AN3579" s="506"/>
      <c r="AO3579" s="507"/>
      <c r="AP3579" s="507"/>
      <c r="AQ3579" s="507"/>
      <c r="AR3579" s="507"/>
      <c r="AS3579" s="507"/>
      <c r="AT3579" s="507"/>
      <c r="AU3579" s="507"/>
      <c r="AV3579" s="225"/>
      <c r="AW3579" s="508"/>
      <c r="AX3579" s="225"/>
      <c r="AY3579" s="225"/>
      <c r="AZ3579" s="225"/>
      <c r="BA3579" s="225"/>
      <c r="BB3579" s="225"/>
      <c r="BC3579" s="56"/>
      <c r="BD3579" s="56"/>
      <c r="BE3579" s="56"/>
      <c r="BF3579" s="107" t="str">
        <f t="shared" si="2735"/>
        <v>https://www.google.com/search?tbm=isch&amp;q=Summer%20Chocolate%20has%20rich%20Burgundy%20foliage%2C%20fragrant%20blooms%2C%20and%20a%20graceful%20tropical%20canopy%20</v>
      </c>
      <c r="BG3579" s="107" t="str">
        <f t="shared" si="2736"/>
        <v>S</v>
      </c>
      <c r="BH3579" s="254"/>
      <c r="BI3579" s="254"/>
    </row>
    <row r="3580" spans="1:61" customFormat="1" ht="18" x14ac:dyDescent="0.25">
      <c r="A3580" s="523" t="s">
        <v>5622</v>
      </c>
      <c r="B3580" s="235"/>
      <c r="C3580" s="676"/>
      <c r="D3580" s="255" t="s">
        <v>849</v>
      </c>
      <c r="E3580" s="236"/>
      <c r="F3580" s="236"/>
      <c r="G3580" s="236"/>
      <c r="H3580" s="582" t="s">
        <v>443</v>
      </c>
      <c r="I3580" s="498" t="s">
        <v>2509</v>
      </c>
      <c r="J3580" s="237"/>
      <c r="K3580" s="237"/>
      <c r="L3580" s="274"/>
      <c r="M3580" s="670" t="s">
        <v>4973</v>
      </c>
      <c r="N3580" s="681" t="str">
        <f>IF(AND(ISTEXT($A3580), ISERROR($A3580+0)), HYPERLINK($BF3580, "Images"), "")</f>
        <v>Images</v>
      </c>
      <c r="O3580" s="663" t="s">
        <v>4974</v>
      </c>
      <c r="P3580" s="253"/>
      <c r="Q3580" s="238"/>
      <c r="R3580" s="239"/>
      <c r="S3580" s="275"/>
      <c r="T3580" s="508">
        <f t="shared" si="2724"/>
        <v>0</v>
      </c>
      <c r="U3580" s="225" t="str">
        <f>IF(NOT(ISNUMBER(G3580)), "", VLOOKUP(A3580,'Discount Lookup'!D:E,2,FALSE)*G3580)</f>
        <v/>
      </c>
      <c r="V3580" s="225" t="str">
        <f>IF(NOT(ISNUMBER(G3580)), "", VLOOKUP(A3580,'Discount Lookup'!G:H,2,FALSE)*G3580)</f>
        <v/>
      </c>
      <c r="W3580" s="508">
        <f t="shared" si="2725"/>
        <v>0</v>
      </c>
      <c r="X3580" s="508" t="str">
        <f t="shared" si="2726"/>
        <v>Raspberry Red-Purple</v>
      </c>
      <c r="Y3580" s="509" t="b">
        <f t="shared" si="2727"/>
        <v>0</v>
      </c>
      <c r="Z3580" s="510">
        <f t="shared" si="2728"/>
        <v>0</v>
      </c>
      <c r="AA3580" s="511"/>
      <c r="AB3580" s="511" t="str">
        <f t="shared" si="2729"/>
        <v/>
      </c>
      <c r="AC3580" s="698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698"/>
      <c r="AE3580" s="631" t="str">
        <f t="shared" si="2730"/>
        <v/>
      </c>
      <c r="AF3580" s="699" t="str">
        <f t="shared" si="2731"/>
        <v/>
      </c>
      <c r="AG3580" s="699"/>
      <c r="AH3580" s="699"/>
      <c r="AI3580" s="512">
        <f>IF(H3580="credit",0,IF(AE3580="free",0,IF(AE3580="me",0,IF(G3580&gt;0,(VLOOKUP(A3580,'Discount Lookup'!J:K,2)*G3580),0))))</f>
        <v>0</v>
      </c>
      <c r="AJ3580" s="513" t="str">
        <f t="shared" ca="1" si="2732"/>
        <v/>
      </c>
      <c r="AK3580" s="700" t="str">
        <f t="shared" si="2733"/>
        <v/>
      </c>
      <c r="AL3580" s="700"/>
      <c r="AM3580" s="505" t="str">
        <f t="shared" si="2734"/>
        <v/>
      </c>
      <c r="AN3580" s="506"/>
      <c r="AO3580" s="507"/>
      <c r="AP3580" s="507"/>
      <c r="AQ3580" s="507"/>
      <c r="AR3580" s="507"/>
      <c r="AS3580" s="507"/>
      <c r="AT3580" s="507"/>
      <c r="AU3580" s="507"/>
      <c r="AV3580" s="225"/>
      <c r="AW3580" s="508"/>
      <c r="AX3580" s="225"/>
      <c r="AY3580" s="225"/>
      <c r="AZ3580" s="225"/>
      <c r="BA3580" s="225"/>
      <c r="BB3580" s="225"/>
      <c r="BC3580" s="56"/>
      <c r="BD3580" s="56"/>
      <c r="BE3580" s="56"/>
      <c r="BF3580" s="107" t="str">
        <f t="shared" si="2735"/>
        <v>https://www.google.com/search?tbm=isch&amp;q=Summer%20Crush%C2%AE%20Bigleaf%20Hydrangea%20%28ES%C2%AE%29%20Hyd.%20macrophylla%20%27Bailmacfive%27%20PP%2330359</v>
      </c>
      <c r="BG3580" s="107" t="str">
        <f t="shared" si="2736"/>
        <v>S</v>
      </c>
      <c r="BH3580" s="254"/>
      <c r="BI3580" s="254"/>
    </row>
    <row r="3581" spans="1:61" customFormat="1" ht="15.75" x14ac:dyDescent="0.25">
      <c r="A3581" s="276">
        <v>3</v>
      </c>
      <c r="B3581" s="240" t="s">
        <v>291</v>
      </c>
      <c r="C3581" s="241" t="s">
        <v>4758</v>
      </c>
      <c r="D3581" s="242" t="s">
        <v>312</v>
      </c>
      <c r="E3581" s="243">
        <v>38.950000000000003</v>
      </c>
      <c r="F3581" s="517" t="s">
        <v>293</v>
      </c>
      <c r="G3581" s="232">
        <v>0</v>
      </c>
      <c r="H3581" s="661" t="str">
        <f>IF(G3581=0,"",IF(F3581="Buy",IF(G3581=1,"plant","plants"),IF(F3581&gt;0.01,"warranty","Error")))</f>
        <v/>
      </c>
      <c r="I3581" s="244">
        <f>IF(H3581="free",0,IF(H3581="credit",((E3581*(F3581))*G3581*-1),IF(F3581="Buy",(E3581*G3581),((E3581*(1-F3581))*G3581))))</f>
        <v>0</v>
      </c>
      <c r="J3581" s="244">
        <f>IF(H3581="warranty",0,(I3581*(_xlfn.SINGLE(SalesTaxPercentage))))</f>
        <v>0</v>
      </c>
      <c r="K3581" s="696">
        <f t="shared" ref="K3581" si="2765">I3581+J3581</f>
        <v>0</v>
      </c>
      <c r="L3581" s="696"/>
      <c r="M3581" s="659" t="str">
        <f>IF(AND(G3581&gt;0,E3581=0),"WARNING - no PRICE inserted",IF(H3581="free"," FREE ~ no charge this plant",IF(H3581="credit",CONCATENATE(" -$",ROUND(K3581*(1-T2GDiscount)*-1,2)," CREDIT after discount"),IF(T2GDiscount=0,"",IF(G3581=0,"",IF(F3581="Buy",CONCATENATE(" $",ROUND(K3581*(1-T2GDiscount),2)," with ",(T2GDiscount*100),"% discount"),CONCATENATE(" $",ROUND(K3581*(1-T2GDiscount),2)," with ",((T2GDiscount*100+F3581*100)-(T2GDiscount*100*F3581)),IF(F3581&gt;0,"% discounts",IF(NoWarrantyDiscount&gt;0,"% discounts","% discount")))))))))</f>
        <v/>
      </c>
      <c r="N3581" s="660"/>
      <c r="O3581" s="233"/>
      <c r="P3581" s="233"/>
      <c r="Q3581" s="233"/>
      <c r="R3581" s="233"/>
      <c r="S3581" s="233"/>
      <c r="T3581" s="508">
        <f t="shared" si="2724"/>
        <v>0</v>
      </c>
      <c r="U3581" s="225">
        <f>IF(NOT(ISNUMBER(G3581)), "", VLOOKUP(A3581,'Discount Lookup'!D:E,2,FALSE)*G3581)</f>
        <v>0</v>
      </c>
      <c r="V3581" s="225">
        <f>IF(NOT(ISNUMBER(G3581)), "", VLOOKUP(A3581,'Discount Lookup'!G:H,2,FALSE)*G3581)</f>
        <v>0</v>
      </c>
      <c r="W3581" s="508">
        <f t="shared" si="2725"/>
        <v>0</v>
      </c>
      <c r="X3581" s="508">
        <f t="shared" si="2726"/>
        <v>0</v>
      </c>
      <c r="Y3581" s="509" t="b">
        <f t="shared" si="2727"/>
        <v>0</v>
      </c>
      <c r="Z3581" s="510">
        <f t="shared" si="2728"/>
        <v>0</v>
      </c>
      <c r="AA3581" s="511"/>
      <c r="AB3581" s="511" t="str">
        <f t="shared" si="2729"/>
        <v/>
      </c>
      <c r="AC3581" s="698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698"/>
      <c r="AE3581" s="631" t="str">
        <f t="shared" si="2730"/>
        <v/>
      </c>
      <c r="AF3581" s="699" t="str">
        <f t="shared" si="2731"/>
        <v/>
      </c>
      <c r="AG3581" s="699"/>
      <c r="AH3581" s="699"/>
      <c r="AI3581" s="512">
        <f>IF(H3581="credit",0,IF(AE3581="free",0,IF(AE3581="me",0,IF(G3581&gt;0,(VLOOKUP(A3581,'Discount Lookup'!J:K,2)*G3581),0))))</f>
        <v>0</v>
      </c>
      <c r="AJ3581" s="513" t="str">
        <f t="shared" ca="1" si="2732"/>
        <v/>
      </c>
      <c r="AK3581" s="700" t="str">
        <f t="shared" si="2733"/>
        <v/>
      </c>
      <c r="AL3581" s="700"/>
      <c r="AM3581" s="505" t="str">
        <f t="shared" si="2734"/>
        <v/>
      </c>
      <c r="AN3581" s="506"/>
      <c r="AO3581" s="507"/>
      <c r="AP3581" s="507"/>
      <c r="AQ3581" s="507"/>
      <c r="AR3581" s="507"/>
      <c r="AS3581" s="507"/>
      <c r="AT3581" s="507"/>
      <c r="AU3581" s="507"/>
      <c r="AV3581" s="225"/>
      <c r="AW3581" s="508"/>
      <c r="AX3581" s="225"/>
      <c r="AY3581" s="225"/>
      <c r="AZ3581" s="225"/>
      <c r="BA3581" s="225"/>
      <c r="BB3581" s="225"/>
      <c r="BC3581" s="56"/>
      <c r="BD3581" s="56"/>
      <c r="BE3581" s="56"/>
      <c r="BF3581" s="107" t="str">
        <f t="shared" si="2735"/>
        <v>https://www.google.com/search?tbm=isch&amp;q=3%20G2</v>
      </c>
      <c r="BG3581" s="107" t="str">
        <f t="shared" si="2736"/>
        <v>S</v>
      </c>
      <c r="BH3581" s="254"/>
      <c r="BI3581" s="254"/>
    </row>
    <row r="3582" spans="1:61" customFormat="1" ht="17.25" thickBot="1" x14ac:dyDescent="0.3">
      <c r="A3582" s="673" t="s">
        <v>5250</v>
      </c>
      <c r="B3582" s="245"/>
      <c r="C3582" s="677"/>
      <c r="D3582" s="499"/>
      <c r="E3582" s="499"/>
      <c r="F3582" s="500"/>
      <c r="G3582" s="501"/>
      <c r="H3582" s="502"/>
      <c r="I3582" s="246"/>
      <c r="J3582" s="247"/>
      <c r="K3582" s="503"/>
      <c r="L3582" s="544"/>
      <c r="M3582" s="544"/>
      <c r="N3582" s="500"/>
      <c r="O3582" s="500"/>
      <c r="P3582" s="500"/>
      <c r="Q3582" s="500"/>
      <c r="R3582" s="500"/>
      <c r="S3582" s="278"/>
      <c r="T3582" s="508">
        <f t="shared" si="2724"/>
        <v>0</v>
      </c>
      <c r="U3582" s="225" t="str">
        <f>IF(NOT(ISNUMBER(G3582)), "", VLOOKUP(A3582,'Discount Lookup'!D:E,2,FALSE)*G3582)</f>
        <v/>
      </c>
      <c r="V3582" s="225" t="str">
        <f>IF(NOT(ISNUMBER(G3582)), "", VLOOKUP(A3582,'Discount Lookup'!G:H,2,FALSE)*G3582)</f>
        <v/>
      </c>
      <c r="W3582" s="508">
        <f t="shared" si="2725"/>
        <v>0</v>
      </c>
      <c r="X3582" s="508">
        <f t="shared" si="2726"/>
        <v>0</v>
      </c>
      <c r="Y3582" s="509" t="b">
        <f t="shared" si="2727"/>
        <v>0</v>
      </c>
      <c r="Z3582" s="510">
        <f t="shared" si="2728"/>
        <v>0</v>
      </c>
      <c r="AA3582" s="511"/>
      <c r="AB3582" s="511" t="str">
        <f t="shared" si="2729"/>
        <v/>
      </c>
      <c r="AC3582" s="698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698"/>
      <c r="AE3582" s="631" t="str">
        <f t="shared" si="2730"/>
        <v/>
      </c>
      <c r="AF3582" s="699" t="str">
        <f t="shared" si="2731"/>
        <v/>
      </c>
      <c r="AG3582" s="699"/>
      <c r="AH3582" s="699"/>
      <c r="AI3582" s="512">
        <f>IF(H3582="credit",0,IF(AE3582="free",0,IF(AE3582="me",0,IF(G3582&gt;0,(VLOOKUP(A3582,'Discount Lookup'!J:K,2)*G3582),0))))</f>
        <v>0</v>
      </c>
      <c r="AJ3582" s="513" t="str">
        <f t="shared" ca="1" si="2732"/>
        <v/>
      </c>
      <c r="AK3582" s="700" t="str">
        <f t="shared" si="2733"/>
        <v/>
      </c>
      <c r="AL3582" s="700"/>
      <c r="AM3582" s="505" t="str">
        <f t="shared" si="2734"/>
        <v/>
      </c>
      <c r="AN3582" s="506"/>
      <c r="AO3582" s="507"/>
      <c r="AP3582" s="507"/>
      <c r="AQ3582" s="507"/>
      <c r="AR3582" s="507"/>
      <c r="AS3582" s="507"/>
      <c r="AT3582" s="507"/>
      <c r="AU3582" s="507"/>
      <c r="AV3582" s="225"/>
      <c r="AW3582" s="508"/>
      <c r="AX3582" s="225"/>
      <c r="AY3582" s="225"/>
      <c r="AZ3582" s="225"/>
      <c r="BA3582" s="225"/>
      <c r="BB3582" s="225"/>
      <c r="BC3582" s="56"/>
      <c r="BD3582" s="56"/>
      <c r="BE3582" s="56"/>
      <c r="BF3582" s="107" t="str">
        <f t="shared" si="2735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582" s="107" t="str">
        <f t="shared" si="2736"/>
        <v>m</v>
      </c>
      <c r="BH3582" s="254"/>
      <c r="BI3582" s="254"/>
    </row>
    <row r="3583" spans="1:61" customFormat="1" ht="18" x14ac:dyDescent="0.25">
      <c r="A3583" s="523" t="s">
        <v>5546</v>
      </c>
      <c r="B3583" s="235"/>
      <c r="C3583" s="676"/>
      <c r="D3583" s="255" t="s">
        <v>1834</v>
      </c>
      <c r="E3583" s="236"/>
      <c r="F3583" s="236"/>
      <c r="G3583" s="236"/>
      <c r="H3583" s="582" t="s">
        <v>2878</v>
      </c>
      <c r="I3583" s="498" t="s">
        <v>4270</v>
      </c>
      <c r="J3583" s="237"/>
      <c r="K3583" s="237"/>
      <c r="L3583" s="274"/>
      <c r="M3583" s="668" t="s">
        <v>4962</v>
      </c>
      <c r="N3583" s="681" t="str">
        <f>IF(AND(ISTEXT($A3583), ISERROR($A3583+0)), HYPERLINK($BF3583, "Images"), "")</f>
        <v>Images</v>
      </c>
      <c r="O3583" s="663" t="s">
        <v>4967</v>
      </c>
      <c r="P3583" s="253"/>
      <c r="Q3583" s="238"/>
      <c r="R3583" s="239"/>
      <c r="S3583" s="275"/>
      <c r="T3583" s="508">
        <f t="shared" si="2724"/>
        <v>0</v>
      </c>
      <c r="U3583" s="225" t="str">
        <f>IF(NOT(ISNUMBER(G3583)), "", VLOOKUP(A3583,'Discount Lookup'!D:E,2,FALSE)*G3583)</f>
        <v/>
      </c>
      <c r="V3583" s="225" t="str">
        <f>IF(NOT(ISNUMBER(G3583)), "", VLOOKUP(A3583,'Discount Lookup'!G:H,2,FALSE)*G3583)</f>
        <v/>
      </c>
      <c r="W3583" s="508">
        <f t="shared" si="2725"/>
        <v>0</v>
      </c>
      <c r="X3583" s="508" t="str">
        <f t="shared" si="2726"/>
        <v>Red-Orange bloom, Yellow eye</v>
      </c>
      <c r="Y3583" s="509" t="b">
        <f t="shared" si="2727"/>
        <v>0</v>
      </c>
      <c r="Z3583" s="510">
        <f t="shared" si="2728"/>
        <v>0</v>
      </c>
      <c r="AA3583" s="511"/>
      <c r="AB3583" s="511" t="str">
        <f t="shared" si="2729"/>
        <v/>
      </c>
      <c r="AC3583" s="698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698"/>
      <c r="AE3583" s="631" t="str">
        <f t="shared" si="2730"/>
        <v/>
      </c>
      <c r="AF3583" s="699" t="str">
        <f t="shared" si="2731"/>
        <v/>
      </c>
      <c r="AG3583" s="699"/>
      <c r="AH3583" s="699"/>
      <c r="AI3583" s="512">
        <f>IF(H3583="credit",0,IF(AE3583="free",0,IF(AE3583="me",0,IF(G3583&gt;0,(VLOOKUP(A3583,'Discount Lookup'!J:K,2)*G3583),0))))</f>
        <v>0</v>
      </c>
      <c r="AJ3583" s="513" t="str">
        <f t="shared" ca="1" si="2732"/>
        <v/>
      </c>
      <c r="AK3583" s="700" t="str">
        <f t="shared" si="2733"/>
        <v/>
      </c>
      <c r="AL3583" s="700"/>
      <c r="AM3583" s="505" t="str">
        <f t="shared" si="2734"/>
        <v/>
      </c>
      <c r="AN3583" s="506"/>
      <c r="AO3583" s="507"/>
      <c r="AP3583" s="507"/>
      <c r="AQ3583" s="507"/>
      <c r="AR3583" s="507"/>
      <c r="AS3583" s="507"/>
      <c r="AT3583" s="507"/>
      <c r="AU3583" s="507"/>
      <c r="AV3583" s="225"/>
      <c r="AW3583" s="508"/>
      <c r="AX3583" s="225"/>
      <c r="AY3583" s="225"/>
      <c r="AZ3583" s="225"/>
      <c r="BA3583" s="225"/>
      <c r="BB3583" s="225"/>
      <c r="BC3583" s="56"/>
      <c r="BD3583" s="56"/>
      <c r="BE3583" s="56"/>
      <c r="BF3583" s="107" t="str">
        <f t="shared" si="2735"/>
        <v>https://www.google.com/search?tbm=isch&amp;q=Summer%20Jazz%E2%84%A2%20Fire%20Trumpet%20Vine%20Campsis%20x%20tagliabuana%20%27Fire%27%20PP%2323917</v>
      </c>
      <c r="BG3583" s="107" t="str">
        <f t="shared" si="2736"/>
        <v>S</v>
      </c>
      <c r="BH3583" s="254"/>
      <c r="BI3583" s="254"/>
    </row>
    <row r="3584" spans="1:61" customFormat="1" ht="15.75" x14ac:dyDescent="0.25">
      <c r="A3584" s="276">
        <v>3</v>
      </c>
      <c r="B3584" s="240" t="s">
        <v>291</v>
      </c>
      <c r="C3584" s="241"/>
      <c r="D3584" s="242" t="s">
        <v>312</v>
      </c>
      <c r="E3584" s="243">
        <v>33.950000000000003</v>
      </c>
      <c r="F3584" s="517" t="s">
        <v>293</v>
      </c>
      <c r="G3584" s="232">
        <v>0</v>
      </c>
      <c r="H3584" s="661" t="str">
        <f>IF(G3584=0,"",IF(F3584="Buy",IF(G3584=1,"plant","plants"),IF(F3584&gt;0.01,"warranty","Error")))</f>
        <v/>
      </c>
      <c r="I3584" s="244">
        <f>IF(H3584="free",0,IF(H3584="credit",((E3584*(F3584))*G3584*-1),IF(F3584="Buy",(E3584*G3584),((E3584*(1-F3584))*G3584))))</f>
        <v>0</v>
      </c>
      <c r="J3584" s="244">
        <f>IF(H3584="warranty",0,(I3584*(_xlfn.SINGLE(SalesTaxPercentage))))</f>
        <v>0</v>
      </c>
      <c r="K3584" s="696">
        <f t="shared" ref="K3584" si="2766">I3584+J3584</f>
        <v>0</v>
      </c>
      <c r="L3584" s="696"/>
      <c r="M3584" s="659" t="str">
        <f>IF(AND(G3584&gt;0,E3584=0),"WARNING - no PRICE inserted",IF(H3584="free"," FREE ~ no charge this plant",IF(H3584="credit",CONCATENATE(" -$",ROUND(K3584*(1-T2GDiscount)*-1,2)," CREDIT after discount"),IF(T2GDiscount=0,"",IF(G3584=0,"",IF(F3584="Buy",CONCATENATE(" $",ROUND(K3584*(1-T2GDiscount),2)," with ",(T2GDiscount*100),"% discount"),CONCATENATE(" $",ROUND(K3584*(1-T2GDiscount),2)," with ",((T2GDiscount*100+F3584*100)-(T2GDiscount*100*F3584)),IF(F3584&gt;0,"% discounts",IF(NoWarrantyDiscount&gt;0,"% discounts","% discount")))))))))</f>
        <v/>
      </c>
      <c r="N3584" s="660"/>
      <c r="O3584" s="233"/>
      <c r="P3584" s="233"/>
      <c r="Q3584" s="233"/>
      <c r="R3584" s="233"/>
      <c r="S3584" s="233"/>
      <c r="T3584" s="508">
        <f t="shared" si="2724"/>
        <v>0</v>
      </c>
      <c r="U3584" s="225">
        <f>IF(NOT(ISNUMBER(G3584)), "", VLOOKUP(A3584,'Discount Lookup'!D:E,2,FALSE)*G3584)</f>
        <v>0</v>
      </c>
      <c r="V3584" s="225">
        <f>IF(NOT(ISNUMBER(G3584)), "", VLOOKUP(A3584,'Discount Lookup'!G:H,2,FALSE)*G3584)</f>
        <v>0</v>
      </c>
      <c r="W3584" s="508">
        <f t="shared" si="2725"/>
        <v>0</v>
      </c>
      <c r="X3584" s="508">
        <f t="shared" si="2726"/>
        <v>0</v>
      </c>
      <c r="Y3584" s="509" t="b">
        <f t="shared" si="2727"/>
        <v>0</v>
      </c>
      <c r="Z3584" s="510">
        <f t="shared" si="2728"/>
        <v>0</v>
      </c>
      <c r="AA3584" s="511"/>
      <c r="AB3584" s="511" t="str">
        <f t="shared" si="2729"/>
        <v/>
      </c>
      <c r="AC3584" s="698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698"/>
      <c r="AE3584" s="631" t="str">
        <f t="shared" si="2730"/>
        <v/>
      </c>
      <c r="AF3584" s="699" t="str">
        <f t="shared" si="2731"/>
        <v/>
      </c>
      <c r="AG3584" s="699"/>
      <c r="AH3584" s="699"/>
      <c r="AI3584" s="512">
        <f>IF(H3584="credit",0,IF(AE3584="free",0,IF(AE3584="me",0,IF(G3584&gt;0,(VLOOKUP(A3584,'Discount Lookup'!J:K,2)*G3584),0))))</f>
        <v>0</v>
      </c>
      <c r="AJ3584" s="513" t="str">
        <f t="shared" ca="1" si="2732"/>
        <v/>
      </c>
      <c r="AK3584" s="700" t="str">
        <f t="shared" si="2733"/>
        <v/>
      </c>
      <c r="AL3584" s="700"/>
      <c r="AM3584" s="505" t="str">
        <f t="shared" si="2734"/>
        <v/>
      </c>
      <c r="AN3584" s="506"/>
      <c r="AO3584" s="507"/>
      <c r="AP3584" s="507"/>
      <c r="AQ3584" s="507"/>
      <c r="AR3584" s="507"/>
      <c r="AS3584" s="507"/>
      <c r="AT3584" s="507"/>
      <c r="AU3584" s="507"/>
      <c r="AV3584" s="225"/>
      <c r="AW3584" s="508"/>
      <c r="AX3584" s="225"/>
      <c r="AY3584" s="225"/>
      <c r="AZ3584" s="225"/>
      <c r="BA3584" s="225"/>
      <c r="BB3584" s="225"/>
      <c r="BC3584" s="56"/>
      <c r="BD3584" s="56"/>
      <c r="BE3584" s="56"/>
      <c r="BF3584" s="107" t="str">
        <f t="shared" si="2735"/>
        <v>https://www.google.com/search?tbm=isch&amp;q=3%20G2</v>
      </c>
      <c r="BG3584" s="107" t="str">
        <f t="shared" si="2736"/>
        <v>S</v>
      </c>
      <c r="BH3584" s="254"/>
      <c r="BI3584" s="254"/>
    </row>
    <row r="3585" spans="1:61" customFormat="1" ht="17.25" thickBot="1" x14ac:dyDescent="0.3">
      <c r="A3585" s="524" t="s">
        <v>4271</v>
      </c>
      <c r="B3585" s="245"/>
      <c r="C3585" s="677"/>
      <c r="D3585" s="499"/>
      <c r="E3585" s="499"/>
      <c r="F3585" s="500"/>
      <c r="G3585" s="501"/>
      <c r="H3585" s="502"/>
      <c r="I3585" s="246"/>
      <c r="J3585" s="247"/>
      <c r="K3585" s="503"/>
      <c r="L3585" s="544"/>
      <c r="M3585" s="544"/>
      <c r="N3585" s="500"/>
      <c r="O3585" s="500"/>
      <c r="P3585" s="500"/>
      <c r="Q3585" s="500"/>
      <c r="R3585" s="500"/>
      <c r="S3585" s="669" t="s">
        <v>4976</v>
      </c>
      <c r="T3585" s="508">
        <f t="shared" si="2724"/>
        <v>0</v>
      </c>
      <c r="U3585" s="225" t="str">
        <f>IF(NOT(ISNUMBER(G3585)), "", VLOOKUP(A3585,'Discount Lookup'!D:E,2,FALSE)*G3585)</f>
        <v/>
      </c>
      <c r="V3585" s="225" t="str">
        <f>IF(NOT(ISNUMBER(G3585)), "", VLOOKUP(A3585,'Discount Lookup'!G:H,2,FALSE)*G3585)</f>
        <v/>
      </c>
      <c r="W3585" s="508">
        <f t="shared" si="2725"/>
        <v>0</v>
      </c>
      <c r="X3585" s="508">
        <f t="shared" si="2726"/>
        <v>0</v>
      </c>
      <c r="Y3585" s="509" t="b">
        <f t="shared" si="2727"/>
        <v>0</v>
      </c>
      <c r="Z3585" s="510">
        <f t="shared" si="2728"/>
        <v>0</v>
      </c>
      <c r="AA3585" s="511"/>
      <c r="AB3585" s="511" t="str">
        <f t="shared" si="2729"/>
        <v/>
      </c>
      <c r="AC3585" s="698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698"/>
      <c r="AE3585" s="631" t="str">
        <f t="shared" si="2730"/>
        <v/>
      </c>
      <c r="AF3585" s="699" t="str">
        <f t="shared" si="2731"/>
        <v/>
      </c>
      <c r="AG3585" s="699"/>
      <c r="AH3585" s="699"/>
      <c r="AI3585" s="512">
        <f>IF(H3585="credit",0,IF(AE3585="free",0,IF(AE3585="me",0,IF(G3585&gt;0,(VLOOKUP(A3585,'Discount Lookup'!J:K,2)*G3585),0))))</f>
        <v>0</v>
      </c>
      <c r="AJ3585" s="513" t="str">
        <f t="shared" ca="1" si="2732"/>
        <v/>
      </c>
      <c r="AK3585" s="700" t="str">
        <f t="shared" si="2733"/>
        <v/>
      </c>
      <c r="AL3585" s="700"/>
      <c r="AM3585" s="505" t="str">
        <f t="shared" si="2734"/>
        <v/>
      </c>
      <c r="AN3585" s="506"/>
      <c r="AO3585" s="507"/>
      <c r="AP3585" s="507"/>
      <c r="AQ3585" s="507"/>
      <c r="AR3585" s="507"/>
      <c r="AS3585" s="507"/>
      <c r="AT3585" s="507"/>
      <c r="AU3585" s="507"/>
      <c r="AV3585" s="225"/>
      <c r="AW3585" s="508"/>
      <c r="AX3585" s="225"/>
      <c r="AY3585" s="225"/>
      <c r="AZ3585" s="225"/>
      <c r="BA3585" s="225"/>
      <c r="BB3585" s="225"/>
      <c r="BC3585" s="56"/>
      <c r="BD3585" s="56"/>
      <c r="BE3585" s="56"/>
      <c r="BF3585" s="107" t="str">
        <f t="shared" si="2735"/>
        <v>https://www.google.com/search?tbm=isch&amp;q=Summer%20Jazz%20Fire%20is%20a%20compact%2C%20well-behaved%20vine%20that%20is%20perfect%20for%20small%20spaces%20and%20containers.%20Blooms%20late%20spring%20into%20fall%20</v>
      </c>
      <c r="BG3585" s="107" t="str">
        <f t="shared" si="2736"/>
        <v>S</v>
      </c>
      <c r="BH3585" s="254"/>
      <c r="BI3585" s="254"/>
    </row>
    <row r="3586" spans="1:61" customFormat="1" ht="18" x14ac:dyDescent="0.25">
      <c r="A3586" s="523" t="s">
        <v>5547</v>
      </c>
      <c r="B3586" s="235"/>
      <c r="C3586" s="676"/>
      <c r="D3586" s="255" t="s">
        <v>1835</v>
      </c>
      <c r="E3586" s="236"/>
      <c r="F3586" s="236"/>
      <c r="G3586" s="236"/>
      <c r="H3586" s="582" t="s">
        <v>1698</v>
      </c>
      <c r="I3586" s="498" t="s">
        <v>3147</v>
      </c>
      <c r="J3586" s="237"/>
      <c r="K3586" s="237"/>
      <c r="L3586" s="274"/>
      <c r="M3586" s="668" t="s">
        <v>4962</v>
      </c>
      <c r="N3586" s="681" t="str">
        <f>IF(AND(ISTEXT($A3586), ISERROR($A3586+0)), HYPERLINK($BF3586, "Images"), "")</f>
        <v>Images</v>
      </c>
      <c r="O3586" s="663" t="s">
        <v>4967</v>
      </c>
      <c r="P3586" s="253"/>
      <c r="Q3586" s="238"/>
      <c r="R3586" s="239"/>
      <c r="S3586" s="275"/>
      <c r="T3586" s="508">
        <f t="shared" si="2724"/>
        <v>0</v>
      </c>
      <c r="U3586" s="225" t="str">
        <f>IF(NOT(ISNUMBER(G3586)), "", VLOOKUP(A3586,'Discount Lookup'!D:E,2,FALSE)*G3586)</f>
        <v/>
      </c>
      <c r="V3586" s="225" t="str">
        <f>IF(NOT(ISNUMBER(G3586)), "", VLOOKUP(A3586,'Discount Lookup'!G:H,2,FALSE)*G3586)</f>
        <v/>
      </c>
      <c r="W3586" s="508">
        <f t="shared" si="2725"/>
        <v>0</v>
      </c>
      <c r="X3586" s="508" t="str">
        <f t="shared" si="2726"/>
        <v>Golden-Yellow bloom, Orange eye</v>
      </c>
      <c r="Y3586" s="509" t="b">
        <f t="shared" si="2727"/>
        <v>0</v>
      </c>
      <c r="Z3586" s="510">
        <f t="shared" si="2728"/>
        <v>0</v>
      </c>
      <c r="AA3586" s="511"/>
      <c r="AB3586" s="511" t="str">
        <f t="shared" si="2729"/>
        <v/>
      </c>
      <c r="AC3586" s="698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698"/>
      <c r="AE3586" s="631" t="str">
        <f t="shared" si="2730"/>
        <v/>
      </c>
      <c r="AF3586" s="699" t="str">
        <f t="shared" si="2731"/>
        <v/>
      </c>
      <c r="AG3586" s="699"/>
      <c r="AH3586" s="699"/>
      <c r="AI3586" s="512">
        <f>IF(H3586="credit",0,IF(AE3586="free",0,IF(AE3586="me",0,IF(G3586&gt;0,(VLOOKUP(A3586,'Discount Lookup'!J:K,2)*G3586),0))))</f>
        <v>0</v>
      </c>
      <c r="AJ3586" s="513" t="str">
        <f t="shared" ca="1" si="2732"/>
        <v/>
      </c>
      <c r="AK3586" s="700" t="str">
        <f t="shared" si="2733"/>
        <v/>
      </c>
      <c r="AL3586" s="700"/>
      <c r="AM3586" s="505" t="str">
        <f t="shared" si="2734"/>
        <v/>
      </c>
      <c r="AN3586" s="506"/>
      <c r="AO3586" s="507"/>
      <c r="AP3586" s="507"/>
      <c r="AQ3586" s="507"/>
      <c r="AR3586" s="507"/>
      <c r="AS3586" s="507"/>
      <c r="AT3586" s="507"/>
      <c r="AU3586" s="507"/>
      <c r="AV3586" s="225"/>
      <c r="AW3586" s="508"/>
      <c r="AX3586" s="225"/>
      <c r="AY3586" s="225"/>
      <c r="AZ3586" s="225"/>
      <c r="BA3586" s="225"/>
      <c r="BB3586" s="225"/>
      <c r="BC3586" s="56"/>
      <c r="BD3586" s="56"/>
      <c r="BE3586" s="56"/>
      <c r="BF3586" s="107" t="str">
        <f t="shared" si="2735"/>
        <v>https://www.google.com/search?tbm=isch&amp;q=Summer%20Jazz%E2%84%A2%20Gold%20Trumpet%20Vine%20Campsis%20x%20tagliabuana%20%27Kudian%27%20PP%2324008</v>
      </c>
      <c r="BG3586" s="107" t="str">
        <f t="shared" si="2736"/>
        <v>S</v>
      </c>
      <c r="BH3586" s="254"/>
      <c r="BI3586" s="254"/>
    </row>
    <row r="3587" spans="1:61" customFormat="1" ht="15.75" x14ac:dyDescent="0.25">
      <c r="A3587" s="276">
        <v>3</v>
      </c>
      <c r="B3587" s="240" t="s">
        <v>291</v>
      </c>
      <c r="C3587" s="241"/>
      <c r="D3587" s="242" t="s">
        <v>312</v>
      </c>
      <c r="E3587" s="243">
        <v>33.950000000000003</v>
      </c>
      <c r="F3587" s="517" t="s">
        <v>293</v>
      </c>
      <c r="G3587" s="232">
        <v>0</v>
      </c>
      <c r="H3587" s="661" t="str">
        <f>IF(G3587=0,"",IF(F3587="Buy",IF(G3587=1,"plant","plants"),IF(F3587&gt;0.01,"warranty","Error")))</f>
        <v/>
      </c>
      <c r="I3587" s="244">
        <f>IF(H3587="free",0,IF(H3587="credit",((E3587*(F3587))*G3587*-1),IF(F3587="Buy",(E3587*G3587),((E3587*(1-F3587))*G3587))))</f>
        <v>0</v>
      </c>
      <c r="J3587" s="244">
        <f>IF(H3587="warranty",0,(I3587*(_xlfn.SINGLE(SalesTaxPercentage))))</f>
        <v>0</v>
      </c>
      <c r="K3587" s="696">
        <f t="shared" ref="K3587" si="2767">I3587+J3587</f>
        <v>0</v>
      </c>
      <c r="L3587" s="696"/>
      <c r="M3587" s="659" t="str">
        <f>IF(AND(G3587&gt;0,E3587=0),"WARNING - no PRICE inserted",IF(H3587="free"," FREE ~ no charge this plant",IF(H3587="credit",CONCATENATE(" -$",ROUND(K3587*(1-T2GDiscount)*-1,2)," CREDIT after discount"),IF(T2GDiscount=0,"",IF(G3587=0,"",IF(F3587="Buy",CONCATENATE(" $",ROUND(K3587*(1-T2GDiscount),2)," with ",(T2GDiscount*100),"% discount"),CONCATENATE(" $",ROUND(K3587*(1-T2GDiscount),2)," with ",((T2GDiscount*100+F3587*100)-(T2GDiscount*100*F3587)),IF(F3587&gt;0,"% discounts",IF(NoWarrantyDiscount&gt;0,"% discounts","% discount")))))))))</f>
        <v/>
      </c>
      <c r="N3587" s="660"/>
      <c r="O3587" s="233"/>
      <c r="P3587" s="233"/>
      <c r="Q3587" s="233"/>
      <c r="R3587" s="233"/>
      <c r="S3587" s="233"/>
      <c r="T3587" s="508">
        <f t="shared" si="2724"/>
        <v>0</v>
      </c>
      <c r="U3587" s="225">
        <f>IF(NOT(ISNUMBER(G3587)), "", VLOOKUP(A3587,'Discount Lookup'!D:E,2,FALSE)*G3587)</f>
        <v>0</v>
      </c>
      <c r="V3587" s="225">
        <f>IF(NOT(ISNUMBER(G3587)), "", VLOOKUP(A3587,'Discount Lookup'!G:H,2,FALSE)*G3587)</f>
        <v>0</v>
      </c>
      <c r="W3587" s="508">
        <f t="shared" si="2725"/>
        <v>0</v>
      </c>
      <c r="X3587" s="508">
        <f t="shared" si="2726"/>
        <v>0</v>
      </c>
      <c r="Y3587" s="509" t="b">
        <f t="shared" si="2727"/>
        <v>0</v>
      </c>
      <c r="Z3587" s="510">
        <f t="shared" si="2728"/>
        <v>0</v>
      </c>
      <c r="AA3587" s="511"/>
      <c r="AB3587" s="511" t="str">
        <f t="shared" si="2729"/>
        <v/>
      </c>
      <c r="AC3587" s="698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698"/>
      <c r="AE3587" s="631" t="str">
        <f t="shared" si="2730"/>
        <v/>
      </c>
      <c r="AF3587" s="699" t="str">
        <f t="shared" si="2731"/>
        <v/>
      </c>
      <c r="AG3587" s="699"/>
      <c r="AH3587" s="699"/>
      <c r="AI3587" s="512">
        <f>IF(H3587="credit",0,IF(AE3587="free",0,IF(AE3587="me",0,IF(G3587&gt;0,(VLOOKUP(A3587,'Discount Lookup'!J:K,2)*G3587),0))))</f>
        <v>0</v>
      </c>
      <c r="AJ3587" s="513" t="str">
        <f t="shared" ca="1" si="2732"/>
        <v/>
      </c>
      <c r="AK3587" s="700" t="str">
        <f t="shared" si="2733"/>
        <v/>
      </c>
      <c r="AL3587" s="700"/>
      <c r="AM3587" s="505" t="str">
        <f t="shared" si="2734"/>
        <v/>
      </c>
      <c r="AN3587" s="506"/>
      <c r="AO3587" s="507"/>
      <c r="AP3587" s="507"/>
      <c r="AQ3587" s="507"/>
      <c r="AR3587" s="507"/>
      <c r="AS3587" s="507"/>
      <c r="AT3587" s="507"/>
      <c r="AU3587" s="507"/>
      <c r="AV3587" s="225"/>
      <c r="AW3587" s="508"/>
      <c r="AX3587" s="225"/>
      <c r="AY3587" s="225"/>
      <c r="AZ3587" s="225"/>
      <c r="BA3587" s="225"/>
      <c r="BB3587" s="225"/>
      <c r="BC3587" s="56"/>
      <c r="BD3587" s="56"/>
      <c r="BE3587" s="56"/>
      <c r="BF3587" s="107" t="str">
        <f t="shared" si="2735"/>
        <v>https://www.google.com/search?tbm=isch&amp;q=3%20G2</v>
      </c>
      <c r="BG3587" s="107" t="str">
        <f t="shared" si="2736"/>
        <v>S</v>
      </c>
      <c r="BH3587" s="254"/>
      <c r="BI3587" s="254"/>
    </row>
    <row r="3588" spans="1:61" customFormat="1" ht="17.25" thickBot="1" x14ac:dyDescent="0.3">
      <c r="A3588" s="524" t="s">
        <v>4453</v>
      </c>
      <c r="B3588" s="245"/>
      <c r="C3588" s="677"/>
      <c r="D3588" s="499"/>
      <c r="E3588" s="499"/>
      <c r="F3588" s="500"/>
      <c r="G3588" s="501"/>
      <c r="H3588" s="502"/>
      <c r="I3588" s="246"/>
      <c r="J3588" s="247"/>
      <c r="K3588" s="503"/>
      <c r="L3588" s="544"/>
      <c r="M3588" s="544"/>
      <c r="N3588" s="500"/>
      <c r="O3588" s="500"/>
      <c r="P3588" s="500"/>
      <c r="Q3588" s="500"/>
      <c r="R3588" s="500"/>
      <c r="S3588" s="669" t="s">
        <v>4976</v>
      </c>
      <c r="T3588" s="508">
        <f t="shared" si="2724"/>
        <v>0</v>
      </c>
      <c r="U3588" s="225" t="str">
        <f>IF(NOT(ISNUMBER(G3588)), "", VLOOKUP(A3588,'Discount Lookup'!D:E,2,FALSE)*G3588)</f>
        <v/>
      </c>
      <c r="V3588" s="225" t="str">
        <f>IF(NOT(ISNUMBER(G3588)), "", VLOOKUP(A3588,'Discount Lookup'!G:H,2,FALSE)*G3588)</f>
        <v/>
      </c>
      <c r="W3588" s="508">
        <f t="shared" si="2725"/>
        <v>0</v>
      </c>
      <c r="X3588" s="508">
        <f t="shared" si="2726"/>
        <v>0</v>
      </c>
      <c r="Y3588" s="509" t="b">
        <f t="shared" si="2727"/>
        <v>0</v>
      </c>
      <c r="Z3588" s="510">
        <f t="shared" si="2728"/>
        <v>0</v>
      </c>
      <c r="AA3588" s="511"/>
      <c r="AB3588" s="511" t="str">
        <f t="shared" si="2729"/>
        <v/>
      </c>
      <c r="AC3588" s="698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698"/>
      <c r="AE3588" s="631" t="str">
        <f t="shared" si="2730"/>
        <v/>
      </c>
      <c r="AF3588" s="699" t="str">
        <f t="shared" si="2731"/>
        <v/>
      </c>
      <c r="AG3588" s="699"/>
      <c r="AH3588" s="699"/>
      <c r="AI3588" s="512">
        <f>IF(H3588="credit",0,IF(AE3588="free",0,IF(AE3588="me",0,IF(G3588&gt;0,(VLOOKUP(A3588,'Discount Lookup'!J:K,2)*G3588),0))))</f>
        <v>0</v>
      </c>
      <c r="AJ3588" s="513" t="str">
        <f t="shared" ca="1" si="2732"/>
        <v/>
      </c>
      <c r="AK3588" s="700" t="str">
        <f t="shared" si="2733"/>
        <v/>
      </c>
      <c r="AL3588" s="700"/>
      <c r="AM3588" s="505" t="str">
        <f t="shared" si="2734"/>
        <v/>
      </c>
      <c r="AN3588" s="506"/>
      <c r="AO3588" s="507"/>
      <c r="AP3588" s="507"/>
      <c r="AQ3588" s="507"/>
      <c r="AR3588" s="507"/>
      <c r="AS3588" s="507"/>
      <c r="AT3588" s="507"/>
      <c r="AU3588" s="507"/>
      <c r="AV3588" s="225"/>
      <c r="AW3588" s="508"/>
      <c r="AX3588" s="225"/>
      <c r="AY3588" s="225"/>
      <c r="AZ3588" s="225"/>
      <c r="BA3588" s="225"/>
      <c r="BB3588" s="225"/>
      <c r="BC3588" s="56"/>
      <c r="BD3588" s="56"/>
      <c r="BE3588" s="56"/>
      <c r="BF3588" s="107" t="str">
        <f t="shared" si="2735"/>
        <v>https://www.google.com/search?tbm=isch&amp;q=Summer%20Jazz%20Gold%20has%20trumpet%20blooms%20with%20Fiery%20Orange%20throats%20from%20midsummer%20to%20fall.%20Bred%20for%20reduced%20invasiveness%20</v>
      </c>
      <c r="BG3588" s="107" t="str">
        <f t="shared" si="2736"/>
        <v>S</v>
      </c>
      <c r="BH3588" s="254"/>
      <c r="BI3588" s="254"/>
    </row>
    <row r="3589" spans="1:61" customFormat="1" ht="18" x14ac:dyDescent="0.25">
      <c r="A3589" s="523" t="s">
        <v>5548</v>
      </c>
      <c r="B3589" s="235"/>
      <c r="C3589" s="676"/>
      <c r="D3589" s="255" t="s">
        <v>1836</v>
      </c>
      <c r="E3589" s="236"/>
      <c r="F3589" s="236"/>
      <c r="G3589" s="236"/>
      <c r="H3589" s="582" t="s">
        <v>362</v>
      </c>
      <c r="I3589" s="498" t="s">
        <v>2490</v>
      </c>
      <c r="J3589" s="237"/>
      <c r="K3589" s="237"/>
      <c r="L3589" s="274"/>
      <c r="M3589" s="668" t="s">
        <v>4975</v>
      </c>
      <c r="N3589" s="681" t="str">
        <f>IF(AND(ISTEXT($A3589), ISERROR($A3589+0)), HYPERLINK($BF3589, "Images"), "")</f>
        <v>Images</v>
      </c>
      <c r="O3589" s="663" t="s">
        <v>4967</v>
      </c>
      <c r="P3589" s="253"/>
      <c r="Q3589" s="238"/>
      <c r="R3589" s="239"/>
      <c r="S3589" s="275" t="s">
        <v>305</v>
      </c>
      <c r="T3589" s="508">
        <f t="shared" si="2724"/>
        <v>0</v>
      </c>
      <c r="U3589" s="225" t="str">
        <f>IF(NOT(ISNUMBER(G3589)), "", VLOOKUP(A3589,'Discount Lookup'!D:E,2,FALSE)*G3589)</f>
        <v/>
      </c>
      <c r="V3589" s="225" t="str">
        <f>IF(NOT(ISNUMBER(G3589)), "", VLOOKUP(A3589,'Discount Lookup'!G:H,2,FALSE)*G3589)</f>
        <v/>
      </c>
      <c r="W3589" s="508">
        <f t="shared" si="2725"/>
        <v>0</v>
      </c>
      <c r="X3589" s="508" t="str">
        <f t="shared" si="2726"/>
        <v>Green foliage, Red cast</v>
      </c>
      <c r="Y3589" s="509" t="b">
        <f t="shared" si="2727"/>
        <v>0</v>
      </c>
      <c r="Z3589" s="510">
        <f t="shared" si="2728"/>
        <v>0</v>
      </c>
      <c r="AA3589" s="511"/>
      <c r="AB3589" s="511" t="str">
        <f t="shared" si="2729"/>
        <v/>
      </c>
      <c r="AC3589" s="698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698"/>
      <c r="AE3589" s="631" t="str">
        <f t="shared" si="2730"/>
        <v/>
      </c>
      <c r="AF3589" s="699" t="str">
        <f t="shared" si="2731"/>
        <v/>
      </c>
      <c r="AG3589" s="699"/>
      <c r="AH3589" s="699"/>
      <c r="AI3589" s="512">
        <f>IF(H3589="credit",0,IF(AE3589="free",0,IF(AE3589="me",0,IF(G3589&gt;0,(VLOOKUP(A3589,'Discount Lookup'!J:K,2)*G3589),0))))</f>
        <v>0</v>
      </c>
      <c r="AJ3589" s="513" t="str">
        <f t="shared" ca="1" si="2732"/>
        <v/>
      </c>
      <c r="AK3589" s="700" t="str">
        <f t="shared" si="2733"/>
        <v/>
      </c>
      <c r="AL3589" s="700"/>
      <c r="AM3589" s="505" t="str">
        <f t="shared" si="2734"/>
        <v/>
      </c>
      <c r="AN3589" s="506"/>
      <c r="AO3589" s="507"/>
      <c r="AP3589" s="507"/>
      <c r="AQ3589" s="507"/>
      <c r="AR3589" s="507"/>
      <c r="AS3589" s="507"/>
      <c r="AT3589" s="507"/>
      <c r="AU3589" s="507"/>
      <c r="AV3589" s="225"/>
      <c r="AW3589" s="508"/>
      <c r="AX3589" s="225"/>
      <c r="AY3589" s="225"/>
      <c r="AZ3589" s="225"/>
      <c r="BA3589" s="225"/>
      <c r="BB3589" s="225"/>
      <c r="BC3589" s="56"/>
      <c r="BD3589" s="56"/>
      <c r="BE3589" s="56"/>
      <c r="BF3589" s="107" t="str">
        <f t="shared" si="2735"/>
        <v>https://www.google.com/search?tbm=isch&amp;q=Summer%20Sensation%C2%AE%20Red%20Maple%20Acer%20rubrum%20%27Katicole%27%20PP%2321076</v>
      </c>
      <c r="BG3589" s="107" t="str">
        <f t="shared" si="2736"/>
        <v>S</v>
      </c>
      <c r="BH3589" s="254"/>
      <c r="BI3589" s="254"/>
    </row>
    <row r="3590" spans="1:61" customFormat="1" ht="15.75" x14ac:dyDescent="0.25">
      <c r="A3590" s="276">
        <v>25</v>
      </c>
      <c r="B3590" s="240" t="s">
        <v>291</v>
      </c>
      <c r="C3590" s="241" t="s">
        <v>4820</v>
      </c>
      <c r="D3590" s="242" t="s">
        <v>292</v>
      </c>
      <c r="E3590" s="243">
        <v>299.95</v>
      </c>
      <c r="F3590" s="517" t="s">
        <v>293</v>
      </c>
      <c r="G3590" s="232">
        <v>0</v>
      </c>
      <c r="H3590" s="661" t="str">
        <f>IF(G3590=0,"",IF(F3590="Buy",IF(G3590=1,"plant","plants"),IF(F3590&gt;0.01,"warranty","Error")))</f>
        <v/>
      </c>
      <c r="I3590" s="244">
        <f>IF(H3590="free",0,IF(H3590="credit",((E3590*(F3590))*G3590*-1),IF(F3590="Buy",(E3590*G3590),((E3590*(1-F3590))*G3590))))</f>
        <v>0</v>
      </c>
      <c r="J3590" s="244">
        <f>IF(H3590="warranty",0,(I3590*(_xlfn.SINGLE(SalesTaxPercentage))))</f>
        <v>0</v>
      </c>
      <c r="K3590" s="696">
        <f t="shared" ref="K3590" si="2768">I3590+J3590</f>
        <v>0</v>
      </c>
      <c r="L3590" s="696"/>
      <c r="M3590" s="659" t="str">
        <f>IF(AND(G3590&gt;0,E3590=0),"WARNING - no PRICE inserted",IF(H3590="free"," FREE ~ no charge this plant",IF(H3590="credit",CONCATENATE(" -$",ROUND(K3590*(1-T2GDiscount)*-1,2)," CREDIT after discount"),IF(T2GDiscount=0,"",IF(G3590=0,"",IF(F3590="Buy",CONCATENATE(" $",ROUND(K3590*(1-T2GDiscount),2)," with ",(T2GDiscount*100),"% discount"),CONCATENATE(" $",ROUND(K3590*(1-T2GDiscount),2)," with ",((T2GDiscount*100+F3590*100)-(T2GDiscount*100*F3590)),IF(F3590&gt;0,"% discounts",IF(NoWarrantyDiscount&gt;0,"% discounts","% discount")))))))))</f>
        <v/>
      </c>
      <c r="N3590" s="660"/>
      <c r="O3590" s="233"/>
      <c r="P3590" s="233"/>
      <c r="Q3590" s="233"/>
      <c r="R3590" s="233"/>
      <c r="S3590" s="233"/>
      <c r="T3590" s="508">
        <f t="shared" si="2724"/>
        <v>0</v>
      </c>
      <c r="U3590" s="225">
        <f>IF(NOT(ISNUMBER(G3590)), "", VLOOKUP(A3590,'Discount Lookup'!D:E,2,FALSE)*G3590)</f>
        <v>0</v>
      </c>
      <c r="V3590" s="225">
        <f>IF(NOT(ISNUMBER(G3590)), "", VLOOKUP(A3590,'Discount Lookup'!G:H,2,FALSE)*G3590)</f>
        <v>0</v>
      </c>
      <c r="W3590" s="508">
        <f t="shared" si="2725"/>
        <v>0</v>
      </c>
      <c r="X3590" s="508">
        <f t="shared" si="2726"/>
        <v>0</v>
      </c>
      <c r="Y3590" s="509" t="b">
        <f t="shared" si="2727"/>
        <v>0</v>
      </c>
      <c r="Z3590" s="510">
        <f t="shared" si="2728"/>
        <v>0</v>
      </c>
      <c r="AA3590" s="511"/>
      <c r="AB3590" s="511" t="str">
        <f t="shared" si="2729"/>
        <v/>
      </c>
      <c r="AC3590" s="698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698"/>
      <c r="AE3590" s="631" t="str">
        <f t="shared" si="2730"/>
        <v/>
      </c>
      <c r="AF3590" s="699" t="str">
        <f t="shared" si="2731"/>
        <v/>
      </c>
      <c r="AG3590" s="699"/>
      <c r="AH3590" s="699"/>
      <c r="AI3590" s="512">
        <f>IF(H3590="credit",0,IF(AE3590="free",0,IF(AE3590="me",0,IF(G3590&gt;0,(VLOOKUP(A3590,'Discount Lookup'!J:K,2)*G3590),0))))</f>
        <v>0</v>
      </c>
      <c r="AJ3590" s="513" t="str">
        <f t="shared" ca="1" si="2732"/>
        <v/>
      </c>
      <c r="AK3590" s="700" t="str">
        <f t="shared" si="2733"/>
        <v/>
      </c>
      <c r="AL3590" s="700"/>
      <c r="AM3590" s="505" t="str">
        <f t="shared" si="2734"/>
        <v/>
      </c>
      <c r="AN3590" s="506"/>
      <c r="AO3590" s="507"/>
      <c r="AP3590" s="507"/>
      <c r="AQ3590" s="507"/>
      <c r="AR3590" s="507"/>
      <c r="AS3590" s="507"/>
      <c r="AT3590" s="507"/>
      <c r="AU3590" s="507"/>
      <c r="AV3590" s="225"/>
      <c r="AW3590" s="508"/>
      <c r="AX3590" s="225"/>
      <c r="AY3590" s="225"/>
      <c r="AZ3590" s="225"/>
      <c r="BA3590" s="225"/>
      <c r="BB3590" s="225"/>
      <c r="BC3590" s="56"/>
      <c r="BD3590" s="56"/>
      <c r="BE3590" s="56"/>
      <c r="BF3590" s="107" t="str">
        <f t="shared" si="2735"/>
        <v>https://www.google.com/search?tbm=isch&amp;q=25%20G4</v>
      </c>
      <c r="BG3590" s="107" t="str">
        <f t="shared" si="2736"/>
        <v>S</v>
      </c>
      <c r="BH3590" s="254"/>
      <c r="BI3590" s="254"/>
    </row>
    <row r="3591" spans="1:61" customFormat="1" ht="17.25" thickBot="1" x14ac:dyDescent="0.3">
      <c r="A3591" s="673" t="s">
        <v>5251</v>
      </c>
      <c r="B3591" s="245"/>
      <c r="C3591" s="677"/>
      <c r="D3591" s="499"/>
      <c r="E3591" s="499"/>
      <c r="F3591" s="500"/>
      <c r="G3591" s="501"/>
      <c r="H3591" s="502"/>
      <c r="I3591" s="246"/>
      <c r="J3591" s="247"/>
      <c r="K3591" s="503"/>
      <c r="L3591" s="544"/>
      <c r="M3591" s="544"/>
      <c r="N3591" s="500"/>
      <c r="O3591" s="500"/>
      <c r="P3591" s="500"/>
      <c r="Q3591" s="500"/>
      <c r="R3591" s="500"/>
      <c r="S3591" s="669" t="s">
        <v>4978</v>
      </c>
      <c r="T3591" s="508">
        <f t="shared" si="2724"/>
        <v>0</v>
      </c>
      <c r="U3591" s="225" t="str">
        <f>IF(NOT(ISNUMBER(G3591)), "", VLOOKUP(A3591,'Discount Lookup'!D:E,2,FALSE)*G3591)</f>
        <v/>
      </c>
      <c r="V3591" s="225" t="str">
        <f>IF(NOT(ISNUMBER(G3591)), "", VLOOKUP(A3591,'Discount Lookup'!G:H,2,FALSE)*G3591)</f>
        <v/>
      </c>
      <c r="W3591" s="508">
        <f t="shared" si="2725"/>
        <v>0</v>
      </c>
      <c r="X3591" s="508">
        <f t="shared" si="2726"/>
        <v>0</v>
      </c>
      <c r="Y3591" s="509" t="b">
        <f t="shared" si="2727"/>
        <v>0</v>
      </c>
      <c r="Z3591" s="510">
        <f t="shared" si="2728"/>
        <v>0</v>
      </c>
      <c r="AA3591" s="511"/>
      <c r="AB3591" s="511" t="str">
        <f t="shared" si="2729"/>
        <v/>
      </c>
      <c r="AC3591" s="698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698"/>
      <c r="AE3591" s="631" t="str">
        <f t="shared" si="2730"/>
        <v/>
      </c>
      <c r="AF3591" s="699" t="str">
        <f t="shared" si="2731"/>
        <v/>
      </c>
      <c r="AG3591" s="699"/>
      <c r="AH3591" s="699"/>
      <c r="AI3591" s="512">
        <f>IF(H3591="credit",0,IF(AE3591="free",0,IF(AE3591="me",0,IF(G3591&gt;0,(VLOOKUP(A3591,'Discount Lookup'!J:K,2)*G3591),0))))</f>
        <v>0</v>
      </c>
      <c r="AJ3591" s="513" t="str">
        <f t="shared" ca="1" si="2732"/>
        <v/>
      </c>
      <c r="AK3591" s="700" t="str">
        <f t="shared" si="2733"/>
        <v/>
      </c>
      <c r="AL3591" s="700"/>
      <c r="AM3591" s="505" t="str">
        <f t="shared" si="2734"/>
        <v/>
      </c>
      <c r="AN3591" s="506"/>
      <c r="AO3591" s="507"/>
      <c r="AP3591" s="507"/>
      <c r="AQ3591" s="507"/>
      <c r="AR3591" s="507"/>
      <c r="AS3591" s="507"/>
      <c r="AT3591" s="507"/>
      <c r="AU3591" s="507"/>
      <c r="AV3591" s="225"/>
      <c r="AW3591" s="508"/>
      <c r="AX3591" s="225"/>
      <c r="AY3591" s="225"/>
      <c r="AZ3591" s="225"/>
      <c r="BA3591" s="225"/>
      <c r="BB3591" s="225"/>
      <c r="BC3591" s="56"/>
      <c r="BD3591" s="56"/>
      <c r="BE3591" s="56"/>
      <c r="BF3591" s="107" t="str">
        <f t="shared" si="2735"/>
        <v>https://www.google.com/search?tbm=isch&amp;q=moist%20sites%F0%9F%92%A7BEST%2C%20Summer%20Sensation%20offers%20vibrant%20Orange-Red%20new%20spring%20growth%20and%20brilliant%20Scarlet%20fall%20foliage%20</v>
      </c>
      <c r="BG3591" s="107" t="str">
        <f t="shared" si="2736"/>
        <v>m</v>
      </c>
      <c r="BH3591" s="254"/>
      <c r="BI3591" s="254"/>
    </row>
    <row r="3592" spans="1:61" customFormat="1" ht="18" x14ac:dyDescent="0.25">
      <c r="A3592" s="523" t="s">
        <v>5549</v>
      </c>
      <c r="B3592" s="235"/>
      <c r="C3592" s="676"/>
      <c r="D3592" s="255" t="s">
        <v>1837</v>
      </c>
      <c r="E3592" s="236"/>
      <c r="F3592" s="236"/>
      <c r="G3592" s="236"/>
      <c r="H3592" s="582" t="s">
        <v>441</v>
      </c>
      <c r="I3592" s="498" t="s">
        <v>827</v>
      </c>
      <c r="J3592" s="237"/>
      <c r="K3592" s="237"/>
      <c r="L3592" s="274"/>
      <c r="M3592" s="668" t="s">
        <v>4964</v>
      </c>
      <c r="N3592" s="681" t="str">
        <f>IF(AND(ISTEXT($A3592), ISERROR($A3592+0)), HYPERLINK($BF3592, "Images"), "")</f>
        <v>Images</v>
      </c>
      <c r="O3592" s="663" t="s">
        <v>4967</v>
      </c>
      <c r="P3592" s="253"/>
      <c r="Q3592" s="238"/>
      <c r="R3592" s="239"/>
      <c r="S3592" s="275" t="s">
        <v>305</v>
      </c>
      <c r="T3592" s="508">
        <f t="shared" si="2724"/>
        <v>0</v>
      </c>
      <c r="U3592" s="225" t="str">
        <f>IF(NOT(ISNUMBER(G3592)), "", VLOOKUP(A3592,'Discount Lookup'!D:E,2,FALSE)*G3592)</f>
        <v/>
      </c>
      <c r="V3592" s="225" t="str">
        <f>IF(NOT(ISNUMBER(G3592)), "", VLOOKUP(A3592,'Discount Lookup'!G:H,2,FALSE)*G3592)</f>
        <v/>
      </c>
      <c r="W3592" s="508">
        <f t="shared" si="2725"/>
        <v>0</v>
      </c>
      <c r="X3592" s="508" t="str">
        <f t="shared" si="2726"/>
        <v>Creamy White bloom</v>
      </c>
      <c r="Y3592" s="509" t="b">
        <f t="shared" si="2727"/>
        <v>0</v>
      </c>
      <c r="Z3592" s="510">
        <f t="shared" si="2728"/>
        <v>0</v>
      </c>
      <c r="AA3592" s="511"/>
      <c r="AB3592" s="511" t="str">
        <f t="shared" si="2729"/>
        <v/>
      </c>
      <c r="AC3592" s="698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698"/>
      <c r="AE3592" s="631" t="str">
        <f t="shared" si="2730"/>
        <v/>
      </c>
      <c r="AF3592" s="699" t="str">
        <f t="shared" si="2731"/>
        <v/>
      </c>
      <c r="AG3592" s="699"/>
      <c r="AH3592" s="699"/>
      <c r="AI3592" s="512">
        <f>IF(H3592="credit",0,IF(AE3592="free",0,IF(AE3592="me",0,IF(G3592&gt;0,(VLOOKUP(A3592,'Discount Lookup'!J:K,2)*G3592),0))))</f>
        <v>0</v>
      </c>
      <c r="AJ3592" s="513" t="str">
        <f t="shared" ca="1" si="2732"/>
        <v/>
      </c>
      <c r="AK3592" s="700" t="str">
        <f t="shared" si="2733"/>
        <v/>
      </c>
      <c r="AL3592" s="700"/>
      <c r="AM3592" s="505" t="str">
        <f t="shared" si="2734"/>
        <v/>
      </c>
      <c r="AN3592" s="506"/>
      <c r="AO3592" s="507"/>
      <c r="AP3592" s="507"/>
      <c r="AQ3592" s="507"/>
      <c r="AR3592" s="507"/>
      <c r="AS3592" s="507"/>
      <c r="AT3592" s="507"/>
      <c r="AU3592" s="507"/>
      <c r="AV3592" s="225"/>
      <c r="AW3592" s="508"/>
      <c r="AX3592" s="225"/>
      <c r="AY3592" s="225"/>
      <c r="AZ3592" s="225"/>
      <c r="BA3592" s="225"/>
      <c r="BB3592" s="225"/>
      <c r="BC3592" s="56"/>
      <c r="BD3592" s="56"/>
      <c r="BE3592" s="56"/>
      <c r="BF3592" s="107" t="str">
        <f t="shared" si="2735"/>
        <v>https://www.google.com/search?tbm=isch&amp;q=Summer%20Sparkler%E2%84%A2%20Summersweet%20Clethra%20alnifolia%20%27Novacleein%27%20PP%2327590</v>
      </c>
      <c r="BG3592" s="107" t="str">
        <f t="shared" si="2736"/>
        <v>S</v>
      </c>
      <c r="BH3592" s="254"/>
      <c r="BI3592" s="254"/>
    </row>
    <row r="3593" spans="1:61" customFormat="1" ht="15.75" x14ac:dyDescent="0.25">
      <c r="A3593" s="276">
        <v>3</v>
      </c>
      <c r="B3593" s="240" t="s">
        <v>291</v>
      </c>
      <c r="C3593" s="241" t="s">
        <v>2797</v>
      </c>
      <c r="D3593" s="242" t="s">
        <v>299</v>
      </c>
      <c r="E3593" s="243">
        <v>36.950000000000003</v>
      </c>
      <c r="F3593" s="517" t="s">
        <v>293</v>
      </c>
      <c r="G3593" s="232">
        <v>0</v>
      </c>
      <c r="H3593" s="661" t="str">
        <f>IF(G3593=0,"",IF(F3593="Buy",IF(G3593=1,"plant","plants"),IF(F3593&gt;0.01,"warranty","Error")))</f>
        <v/>
      </c>
      <c r="I3593" s="244">
        <f>IF(H3593="free",0,IF(H3593="credit",((E3593*(F3593))*G3593*-1),IF(F3593="Buy",(E3593*G3593),((E3593*(1-F3593))*G3593))))</f>
        <v>0</v>
      </c>
      <c r="J3593" s="244">
        <f>IF(H3593="warranty",0,(I3593*(_xlfn.SINGLE(SalesTaxPercentage))))</f>
        <v>0</v>
      </c>
      <c r="K3593" s="696">
        <f t="shared" ref="K3593" si="2769">I3593+J3593</f>
        <v>0</v>
      </c>
      <c r="L3593" s="696"/>
      <c r="M3593" s="659" t="str">
        <f>IF(AND(G3593&gt;0,E3593=0),"WARNING - no PRICE inserted",IF(H3593="free"," FREE ~ no charge this plant",IF(H3593="credit",CONCATENATE(" -$",ROUND(K3593*(1-T2GDiscount)*-1,2)," CREDIT after discount"),IF(T2GDiscount=0,"",IF(G3593=0,"",IF(F3593="Buy",CONCATENATE(" $",ROUND(K3593*(1-T2GDiscount),2)," with ",(T2GDiscount*100),"% discount"),CONCATENATE(" $",ROUND(K3593*(1-T2GDiscount),2)," with ",((T2GDiscount*100+F3593*100)-(T2GDiscount*100*F3593)),IF(F3593&gt;0,"% discounts",IF(NoWarrantyDiscount&gt;0,"% discounts","% discount")))))))))</f>
        <v/>
      </c>
      <c r="N3593" s="660"/>
      <c r="O3593" s="233"/>
      <c r="P3593" s="233"/>
      <c r="Q3593" s="233"/>
      <c r="R3593" s="233"/>
      <c r="S3593" s="233"/>
      <c r="T3593" s="508">
        <f t="shared" si="2724"/>
        <v>0</v>
      </c>
      <c r="U3593" s="225">
        <f>IF(NOT(ISNUMBER(G3593)), "", VLOOKUP(A3593,'Discount Lookup'!D:E,2,FALSE)*G3593)</f>
        <v>0</v>
      </c>
      <c r="V3593" s="225">
        <f>IF(NOT(ISNUMBER(G3593)), "", VLOOKUP(A3593,'Discount Lookup'!G:H,2,FALSE)*G3593)</f>
        <v>0</v>
      </c>
      <c r="W3593" s="508">
        <f t="shared" si="2725"/>
        <v>0</v>
      </c>
      <c r="X3593" s="508">
        <f t="shared" si="2726"/>
        <v>0</v>
      </c>
      <c r="Y3593" s="509" t="b">
        <f t="shared" si="2727"/>
        <v>0</v>
      </c>
      <c r="Z3593" s="510">
        <f t="shared" si="2728"/>
        <v>0</v>
      </c>
      <c r="AA3593" s="511"/>
      <c r="AB3593" s="511" t="str">
        <f t="shared" si="2729"/>
        <v/>
      </c>
      <c r="AC3593" s="698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698"/>
      <c r="AE3593" s="631" t="str">
        <f t="shared" si="2730"/>
        <v/>
      </c>
      <c r="AF3593" s="699" t="str">
        <f t="shared" si="2731"/>
        <v/>
      </c>
      <c r="AG3593" s="699"/>
      <c r="AH3593" s="699"/>
      <c r="AI3593" s="512">
        <f>IF(H3593="credit",0,IF(AE3593="free",0,IF(AE3593="me",0,IF(G3593&gt;0,(VLOOKUP(A3593,'Discount Lookup'!J:K,2)*G3593),0))))</f>
        <v>0</v>
      </c>
      <c r="AJ3593" s="513" t="str">
        <f t="shared" ca="1" si="2732"/>
        <v/>
      </c>
      <c r="AK3593" s="700" t="str">
        <f t="shared" si="2733"/>
        <v/>
      </c>
      <c r="AL3593" s="700"/>
      <c r="AM3593" s="505" t="str">
        <f t="shared" si="2734"/>
        <v/>
      </c>
      <c r="AN3593" s="506"/>
      <c r="AO3593" s="507"/>
      <c r="AP3593" s="507"/>
      <c r="AQ3593" s="507"/>
      <c r="AR3593" s="507"/>
      <c r="AS3593" s="507"/>
      <c r="AT3593" s="507"/>
      <c r="AU3593" s="507"/>
      <c r="AV3593" s="225"/>
      <c r="AW3593" s="508"/>
      <c r="AX3593" s="225"/>
      <c r="AY3593" s="225"/>
      <c r="AZ3593" s="225"/>
      <c r="BA3593" s="225"/>
      <c r="BB3593" s="225"/>
      <c r="BC3593" s="56"/>
      <c r="BD3593" s="56"/>
      <c r="BE3593" s="56"/>
      <c r="BF3593" s="107" t="str">
        <f t="shared" si="2735"/>
        <v>https://www.google.com/search?tbm=isch&amp;q=3%20G5</v>
      </c>
      <c r="BG3593" s="107" t="str">
        <f t="shared" si="2736"/>
        <v>S</v>
      </c>
      <c r="BH3593" s="254"/>
      <c r="BI3593" s="254"/>
    </row>
    <row r="3594" spans="1:61" customFormat="1" ht="17.25" thickBot="1" x14ac:dyDescent="0.3">
      <c r="A3594" s="673" t="s">
        <v>5252</v>
      </c>
      <c r="B3594" s="245"/>
      <c r="C3594" s="677"/>
      <c r="D3594" s="499"/>
      <c r="E3594" s="499"/>
      <c r="F3594" s="500"/>
      <c r="G3594" s="501"/>
      <c r="H3594" s="502"/>
      <c r="I3594" s="246"/>
      <c r="J3594" s="247"/>
      <c r="K3594" s="503"/>
      <c r="L3594" s="544"/>
      <c r="M3594" s="544"/>
      <c r="N3594" s="500"/>
      <c r="O3594" s="500"/>
      <c r="P3594" s="500"/>
      <c r="Q3594" s="500"/>
      <c r="R3594" s="500"/>
      <c r="S3594" s="669" t="s">
        <v>4976</v>
      </c>
      <c r="T3594" s="508">
        <f t="shared" si="2724"/>
        <v>0</v>
      </c>
      <c r="U3594" s="225" t="str">
        <f>IF(NOT(ISNUMBER(G3594)), "", VLOOKUP(A3594,'Discount Lookup'!D:E,2,FALSE)*G3594)</f>
        <v/>
      </c>
      <c r="V3594" s="225" t="str">
        <f>IF(NOT(ISNUMBER(G3594)), "", VLOOKUP(A3594,'Discount Lookup'!G:H,2,FALSE)*G3594)</f>
        <v/>
      </c>
      <c r="W3594" s="508">
        <f t="shared" si="2725"/>
        <v>0</v>
      </c>
      <c r="X3594" s="508">
        <f t="shared" si="2726"/>
        <v>0</v>
      </c>
      <c r="Y3594" s="509" t="b">
        <f t="shared" si="2727"/>
        <v>0</v>
      </c>
      <c r="Z3594" s="510">
        <f t="shared" si="2728"/>
        <v>0</v>
      </c>
      <c r="AA3594" s="511"/>
      <c r="AB3594" s="511" t="str">
        <f t="shared" si="2729"/>
        <v/>
      </c>
      <c r="AC3594" s="698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698"/>
      <c r="AE3594" s="631" t="str">
        <f t="shared" si="2730"/>
        <v/>
      </c>
      <c r="AF3594" s="699" t="str">
        <f t="shared" si="2731"/>
        <v/>
      </c>
      <c r="AG3594" s="699"/>
      <c r="AH3594" s="699"/>
      <c r="AI3594" s="512">
        <f>IF(H3594="credit",0,IF(AE3594="free",0,IF(AE3594="me",0,IF(G3594&gt;0,(VLOOKUP(A3594,'Discount Lookup'!J:K,2)*G3594),0))))</f>
        <v>0</v>
      </c>
      <c r="AJ3594" s="513" t="str">
        <f t="shared" ca="1" si="2732"/>
        <v/>
      </c>
      <c r="AK3594" s="700" t="str">
        <f t="shared" si="2733"/>
        <v/>
      </c>
      <c r="AL3594" s="700"/>
      <c r="AM3594" s="505" t="str">
        <f t="shared" si="2734"/>
        <v/>
      </c>
      <c r="AN3594" s="506"/>
      <c r="AO3594" s="507"/>
      <c r="AP3594" s="507"/>
      <c r="AQ3594" s="507"/>
      <c r="AR3594" s="507"/>
      <c r="AS3594" s="507"/>
      <c r="AT3594" s="507"/>
      <c r="AU3594" s="507"/>
      <c r="AV3594" s="225"/>
      <c r="AW3594" s="508"/>
      <c r="AX3594" s="225"/>
      <c r="AY3594" s="225"/>
      <c r="AZ3594" s="225"/>
      <c r="BA3594" s="225"/>
      <c r="BB3594" s="225"/>
      <c r="BC3594" s="56"/>
      <c r="BD3594" s="56"/>
      <c r="BE3594" s="56"/>
      <c r="BF3594" s="107" t="str">
        <f t="shared" si="2735"/>
        <v>https://www.google.com/search?tbm=isch&amp;q=wet%20sites%F0%9F%92%A7GOOD%2C%20Summer%20Sparkler%20has%20twisted%20flower%20spikes%20with%20a%20spicy%20clove-like%20fragrance%20from%20early%20to%20late%20summer%20</v>
      </c>
      <c r="BG3594" s="107" t="str">
        <f t="shared" si="2736"/>
        <v>w</v>
      </c>
      <c r="BH3594" s="254"/>
      <c r="BI3594" s="254"/>
    </row>
    <row r="3595" spans="1:61" customFormat="1" ht="18" x14ac:dyDescent="0.25">
      <c r="A3595" s="521" t="s">
        <v>3943</v>
      </c>
      <c r="B3595" s="477"/>
      <c r="C3595" s="674"/>
      <c r="D3595" s="478" t="s">
        <v>1839</v>
      </c>
      <c r="E3595" s="479"/>
      <c r="F3595" s="479"/>
      <c r="G3595" s="479"/>
      <c r="H3595" s="582" t="s">
        <v>2650</v>
      </c>
      <c r="I3595" s="480" t="s">
        <v>3944</v>
      </c>
      <c r="J3595" s="479"/>
      <c r="K3595" s="479"/>
      <c r="L3595" s="560"/>
      <c r="M3595" s="666" t="s">
        <v>4966</v>
      </c>
      <c r="N3595" s="680" t="str">
        <f>IF(AND(ISTEXT($A3595), ISERROR($A3595+0)), HYPERLINK($BF3595, "Images"), "")</f>
        <v>Images</v>
      </c>
      <c r="O3595" s="662" t="s">
        <v>4967</v>
      </c>
      <c r="P3595" s="482"/>
      <c r="Q3595" s="483"/>
      <c r="R3595" s="483"/>
      <c r="S3595" s="484"/>
      <c r="T3595" s="508">
        <f t="shared" si="2724"/>
        <v>0</v>
      </c>
      <c r="U3595" s="225" t="str">
        <f>IF(NOT(ISNUMBER(G3595)), "", VLOOKUP(A3595,'Discount Lookup'!D:E,2,FALSE)*G3595)</f>
        <v/>
      </c>
      <c r="V3595" s="225" t="str">
        <f>IF(NOT(ISNUMBER(G3595)), "", VLOOKUP(A3595,'Discount Lookup'!G:H,2,FALSE)*G3595)</f>
        <v/>
      </c>
      <c r="W3595" s="508">
        <f t="shared" si="2725"/>
        <v>0</v>
      </c>
      <c r="X3595" s="508" t="str">
        <f t="shared" si="2726"/>
        <v>Multicolor foliage</v>
      </c>
      <c r="Y3595" s="509" t="b">
        <f t="shared" si="2727"/>
        <v>0</v>
      </c>
      <c r="Z3595" s="510">
        <f t="shared" si="2728"/>
        <v>0</v>
      </c>
      <c r="AA3595" s="511"/>
      <c r="AB3595" s="511" t="str">
        <f t="shared" si="2729"/>
        <v/>
      </c>
      <c r="AC3595" s="698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698"/>
      <c r="AE3595" s="631" t="str">
        <f t="shared" si="2730"/>
        <v/>
      </c>
      <c r="AF3595" s="699" t="str">
        <f t="shared" si="2731"/>
        <v/>
      </c>
      <c r="AG3595" s="699"/>
      <c r="AH3595" s="699"/>
      <c r="AI3595" s="512">
        <f>IF(H3595="credit",0,IF(AE3595="free",0,IF(AE3595="me",0,IF(G3595&gt;0,(VLOOKUP(A3595,'Discount Lookup'!J:K,2)*G3595),0))))</f>
        <v>0</v>
      </c>
      <c r="AJ3595" s="513" t="str">
        <f t="shared" ca="1" si="2732"/>
        <v/>
      </c>
      <c r="AK3595" s="700" t="str">
        <f t="shared" si="2733"/>
        <v/>
      </c>
      <c r="AL3595" s="700"/>
      <c r="AM3595" s="505" t="str">
        <f t="shared" si="2734"/>
        <v/>
      </c>
      <c r="AN3595" s="506"/>
      <c r="AO3595" s="507"/>
      <c r="AP3595" s="507"/>
      <c r="AQ3595" s="507"/>
      <c r="AR3595" s="507"/>
      <c r="AS3595" s="507"/>
      <c r="AT3595" s="507"/>
      <c r="AU3595" s="507"/>
      <c r="AV3595" s="225"/>
      <c r="AW3595" s="508"/>
      <c r="AX3595" s="225"/>
      <c r="AY3595" s="225"/>
      <c r="AZ3595" s="225"/>
      <c r="BA3595" s="225"/>
      <c r="BB3595" s="225"/>
      <c r="BC3595" s="56"/>
      <c r="BD3595" s="56"/>
      <c r="BE3595" s="56"/>
      <c r="BF3595" s="107" t="str">
        <f t="shared" si="2735"/>
        <v>https://www.google.com/search?tbm=isch&amp;q=Summer%20Sunset%20Asiatic%20Jasmine%20Vine%20Trachelospermum%20asiaticum%20%27Summer%20Sunset%27</v>
      </c>
      <c r="BG3595" s="107" t="str">
        <f t="shared" si="2736"/>
        <v>S</v>
      </c>
      <c r="BH3595" s="254"/>
      <c r="BI3595" s="254"/>
    </row>
    <row r="3596" spans="1:61" customFormat="1" ht="15.75" x14ac:dyDescent="0.25">
      <c r="A3596" s="485">
        <v>1</v>
      </c>
      <c r="B3596" s="486" t="s">
        <v>291</v>
      </c>
      <c r="C3596" s="487"/>
      <c r="D3596" s="488" t="s">
        <v>312</v>
      </c>
      <c r="E3596" s="489">
        <v>13.95</v>
      </c>
      <c r="F3596" s="516" t="s">
        <v>293</v>
      </c>
      <c r="G3596" s="232">
        <v>0</v>
      </c>
      <c r="H3596" s="658" t="str">
        <f>IF(G3596=0,"",IF(F3596="Buy",IF(G3596=1,"plant","plants"),IF(F3596&gt;0.01,"warranty","Error")))</f>
        <v/>
      </c>
      <c r="I3596" s="490">
        <f>IF(H3596="free",0,IF(H3596="credit",((E3596*(F3596))*G3596*-1),IF(F3596="Buy",(E3596*G3596),((E3596*(1-F3596))*G3596))))</f>
        <v>0</v>
      </c>
      <c r="J3596" s="490">
        <f>IF(H3596="warranty",0,(I3596*(_xlfn.SINGLE(SalesTaxPercentage))))</f>
        <v>0</v>
      </c>
      <c r="K3596" s="695">
        <f t="shared" ref="K3596" si="2770">I3596+J3596</f>
        <v>0</v>
      </c>
      <c r="L3596" s="695"/>
      <c r="M3596" s="659" t="str">
        <f>IF(AND(G3596&gt;0,E3596=0),"WARNING - no PRICE inserted",IF(H3596="free"," FREE ~ no charge this plant",IF(H3596="credit",CONCATENATE(" -$",ROUND(K3596*(1-T2GDiscount)*-1,2)," CREDIT after discount"),IF(T2GDiscount=0,"",IF(G3596=0,"",IF(F3596="Buy",CONCATENATE(" $",ROUND(K3596*(1-T2GDiscount),2)," with ",(T2GDiscount*100),"% discount"),CONCATENATE(" $",ROUND(K3596*(1-T2GDiscount),2)," with ",((T2GDiscount*100+F3596*100)-(T2GDiscount*100*F3596)),IF(F3596&gt;0,"% discounts",IF(NoWarrantyDiscount&gt;0,"% discounts","% discount")))))))))</f>
        <v/>
      </c>
      <c r="N3596" s="660"/>
      <c r="O3596" s="233"/>
      <c r="P3596" s="233"/>
      <c r="Q3596" s="233"/>
      <c r="R3596" s="233"/>
      <c r="S3596" s="233"/>
      <c r="T3596" s="508">
        <f t="shared" si="2724"/>
        <v>0</v>
      </c>
      <c r="U3596" s="225">
        <f>IF(NOT(ISNUMBER(G3596)), "", VLOOKUP(A3596,'Discount Lookup'!D:E,2,FALSE)*G3596)</f>
        <v>0</v>
      </c>
      <c r="V3596" s="225">
        <f>IF(NOT(ISNUMBER(G3596)), "", VLOOKUP(A3596,'Discount Lookup'!G:H,2,FALSE)*G3596)</f>
        <v>0</v>
      </c>
      <c r="W3596" s="508">
        <f t="shared" si="2725"/>
        <v>0</v>
      </c>
      <c r="X3596" s="508">
        <f t="shared" si="2726"/>
        <v>0</v>
      </c>
      <c r="Y3596" s="509" t="b">
        <f t="shared" si="2727"/>
        <v>0</v>
      </c>
      <c r="Z3596" s="510">
        <f t="shared" si="2728"/>
        <v>0</v>
      </c>
      <c r="AA3596" s="511"/>
      <c r="AB3596" s="511" t="str">
        <f t="shared" si="2729"/>
        <v/>
      </c>
      <c r="AC3596" s="698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698"/>
      <c r="AE3596" s="631" t="str">
        <f t="shared" si="2730"/>
        <v/>
      </c>
      <c r="AF3596" s="699" t="str">
        <f t="shared" si="2731"/>
        <v/>
      </c>
      <c r="AG3596" s="699"/>
      <c r="AH3596" s="699"/>
      <c r="AI3596" s="512">
        <f>IF(H3596="credit",0,IF(AE3596="free",0,IF(AE3596="me",0,IF(G3596&gt;0,(VLOOKUP(A3596,'Discount Lookup'!J:K,2)*G3596),0))))</f>
        <v>0</v>
      </c>
      <c r="AJ3596" s="513" t="str">
        <f t="shared" ca="1" si="2732"/>
        <v/>
      </c>
      <c r="AK3596" s="700" t="str">
        <f t="shared" si="2733"/>
        <v/>
      </c>
      <c r="AL3596" s="700"/>
      <c r="AM3596" s="505" t="str">
        <f t="shared" si="2734"/>
        <v/>
      </c>
      <c r="AN3596" s="506"/>
      <c r="AO3596" s="507"/>
      <c r="AP3596" s="507"/>
      <c r="AQ3596" s="507"/>
      <c r="AR3596" s="507"/>
      <c r="AS3596" s="507"/>
      <c r="AT3596" s="507"/>
      <c r="AU3596" s="507"/>
      <c r="AV3596" s="225"/>
      <c r="AW3596" s="508"/>
      <c r="AX3596" s="225"/>
      <c r="AY3596" s="225"/>
      <c r="AZ3596" s="225"/>
      <c r="BA3596" s="225"/>
      <c r="BB3596" s="225"/>
      <c r="BC3596" s="56"/>
      <c r="BD3596" s="56"/>
      <c r="BE3596" s="56"/>
      <c r="BF3596" s="107" t="str">
        <f t="shared" si="2735"/>
        <v>https://www.google.com/search?tbm=isch&amp;q=1%20G2</v>
      </c>
      <c r="BG3596" s="107" t="str">
        <f t="shared" si="2736"/>
        <v>S</v>
      </c>
      <c r="BH3596" s="254"/>
      <c r="BI3596" s="254"/>
    </row>
    <row r="3597" spans="1:61" customFormat="1" ht="16.5" thickBot="1" x14ac:dyDescent="0.3">
      <c r="A3597" s="522" t="s">
        <v>4477</v>
      </c>
      <c r="B3597" s="491"/>
      <c r="C3597" s="675"/>
      <c r="D3597" s="491"/>
      <c r="E3597" s="491"/>
      <c r="F3597" s="492"/>
      <c r="G3597" s="493"/>
      <c r="H3597" s="491"/>
      <c r="I3597" s="234"/>
      <c r="J3597" s="234"/>
      <c r="K3597" s="494"/>
      <c r="L3597" s="543"/>
      <c r="M3597" s="561"/>
      <c r="N3597" s="495"/>
      <c r="O3597" s="496"/>
      <c r="P3597" s="497"/>
      <c r="Q3597" s="495"/>
      <c r="R3597" s="495"/>
      <c r="S3597" s="277"/>
      <c r="T3597" s="508">
        <f t="shared" si="2724"/>
        <v>0</v>
      </c>
      <c r="U3597" s="225" t="str">
        <f>IF(NOT(ISNUMBER(G3597)), "", VLOOKUP(A3597,'Discount Lookup'!D:E,2,FALSE)*G3597)</f>
        <v/>
      </c>
      <c r="V3597" s="225" t="str">
        <f>IF(NOT(ISNUMBER(G3597)), "", VLOOKUP(A3597,'Discount Lookup'!G:H,2,FALSE)*G3597)</f>
        <v/>
      </c>
      <c r="W3597" s="508">
        <f t="shared" si="2725"/>
        <v>0</v>
      </c>
      <c r="X3597" s="508">
        <f t="shared" si="2726"/>
        <v>0</v>
      </c>
      <c r="Y3597" s="509" t="b">
        <f t="shared" si="2727"/>
        <v>0</v>
      </c>
      <c r="Z3597" s="510">
        <f t="shared" si="2728"/>
        <v>0</v>
      </c>
      <c r="AA3597" s="511"/>
      <c r="AB3597" s="511" t="str">
        <f t="shared" si="2729"/>
        <v/>
      </c>
      <c r="AC3597" s="698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698"/>
      <c r="AE3597" s="631" t="str">
        <f t="shared" si="2730"/>
        <v/>
      </c>
      <c r="AF3597" s="699" t="str">
        <f t="shared" si="2731"/>
        <v/>
      </c>
      <c r="AG3597" s="699"/>
      <c r="AH3597" s="699"/>
      <c r="AI3597" s="512">
        <f>IF(H3597="credit",0,IF(AE3597="free",0,IF(AE3597="me",0,IF(G3597&gt;0,(VLOOKUP(A3597,'Discount Lookup'!J:K,2)*G3597),0))))</f>
        <v>0</v>
      </c>
      <c r="AJ3597" s="513" t="str">
        <f t="shared" ca="1" si="2732"/>
        <v/>
      </c>
      <c r="AK3597" s="700" t="str">
        <f t="shared" si="2733"/>
        <v/>
      </c>
      <c r="AL3597" s="700"/>
      <c r="AM3597" s="505" t="str">
        <f t="shared" si="2734"/>
        <v/>
      </c>
      <c r="AN3597" s="506"/>
      <c r="AO3597" s="507"/>
      <c r="AP3597" s="507"/>
      <c r="AQ3597" s="507"/>
      <c r="AR3597" s="507"/>
      <c r="AS3597" s="507"/>
      <c r="AT3597" s="507"/>
      <c r="AU3597" s="507"/>
      <c r="AV3597" s="225"/>
      <c r="AW3597" s="508"/>
      <c r="AX3597" s="225"/>
      <c r="AY3597" s="225"/>
      <c r="AZ3597" s="225"/>
      <c r="BA3597" s="225"/>
      <c r="BB3597" s="225"/>
      <c r="BC3597" s="56"/>
      <c r="BD3597" s="56"/>
      <c r="BE3597" s="56"/>
      <c r="BF3597" s="107" t="str">
        <f t="shared" si="2735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597" s="107" t="str">
        <f t="shared" si="2736"/>
        <v>S</v>
      </c>
      <c r="BH3597" s="254"/>
      <c r="BI3597" s="254"/>
    </row>
    <row r="3598" spans="1:61" customFormat="1" ht="18" x14ac:dyDescent="0.25">
      <c r="A3598" s="523" t="s">
        <v>1840</v>
      </c>
      <c r="B3598" s="235"/>
      <c r="C3598" s="676"/>
      <c r="D3598" s="255" t="s">
        <v>1841</v>
      </c>
      <c r="E3598" s="236"/>
      <c r="F3598" s="236"/>
      <c r="G3598" s="236"/>
      <c r="H3598" s="582" t="s">
        <v>441</v>
      </c>
      <c r="I3598" s="498" t="s">
        <v>827</v>
      </c>
      <c r="J3598" s="237"/>
      <c r="K3598" s="237"/>
      <c r="L3598" s="274"/>
      <c r="M3598" s="670" t="s">
        <v>4987</v>
      </c>
      <c r="N3598" s="681" t="str">
        <f>IF(AND(ISTEXT($A3598), ISERROR($A3598+0)), HYPERLINK($BF3598, "Images"), "")</f>
        <v>Images</v>
      </c>
      <c r="O3598" s="663" t="s">
        <v>4967</v>
      </c>
      <c r="P3598" s="253"/>
      <c r="Q3598" s="238"/>
      <c r="R3598" s="239"/>
      <c r="S3598" s="275"/>
      <c r="T3598" s="508">
        <f t="shared" ref="T3598:T3661" si="2771">E3598*G3598</f>
        <v>0</v>
      </c>
      <c r="U3598" s="225" t="str">
        <f>IF(NOT(ISNUMBER(G3598)), "", VLOOKUP(A3598,'Discount Lookup'!D:E,2,FALSE)*G3598)</f>
        <v/>
      </c>
      <c r="V3598" s="225" t="str">
        <f>IF(NOT(ISNUMBER(G3598)), "", VLOOKUP(A3598,'Discount Lookup'!G:H,2,FALSE)*G3598)</f>
        <v/>
      </c>
      <c r="W3598" s="508">
        <f t="shared" ref="W3598:W3661" si="2772">IF(H3598="credit",0,E3598*(SalesTaxPercentage)*G3598)</f>
        <v>0</v>
      </c>
      <c r="X3598" s="508" t="str">
        <f t="shared" ref="X3598:X3661" si="2773">I3598</f>
        <v>Creamy White bloom</v>
      </c>
      <c r="Y3598" s="509" t="b">
        <f t="shared" ref="Y3598:Y3661" si="2774">IF(AE3598="T2G",0,IF(H3598="credit",0,IF(G3598&gt;0,IF(AE3598="me","",G3598))))</f>
        <v>0</v>
      </c>
      <c r="Z3598" s="510">
        <f t="shared" ref="Z3598:Z3661" si="2775">IF(H3598="credit",G3598,0)</f>
        <v>0</v>
      </c>
      <c r="AA3598" s="511"/>
      <c r="AB3598" s="511" t="str">
        <f t="shared" ref="AB3598:AB3661" si="2776">IF(AE3598="T2G","by Trees2Go",IF(H3598="credit","CREDIT only ~",IF(AND(K3598="",AE3598=OR(PlanterYesMe="No",PlanterYesMe="N",PlanterYesMe="me")),"not THIS line⇨",IF(AND(K3598="images",AE3598="me"),"not THIS line⇨",IF(H3598="credit","",IF(G3598=0,"",IF(AE3598="me","",IF(OR(PlanterYesMe="No",PlanterYesMe="N",PlanterYesMe="me"),"",IF(AE3598="free","warranty",IF(OR(PlanterYesMe="yes",PlanterYesMe="y"),"Edison install:","to install:"))))))))))</f>
        <v/>
      </c>
      <c r="AC3598" s="698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698"/>
      <c r="AE3598" s="631" t="str">
        <f t="shared" ref="AE3598:AE3661" si="2777">IF(H3598="credit","",IF(G3598=0,"",IF(OR(PlanterYesMe="No",PlanterYesMe="N",PlanterYesMe="me"),"me",IF(H3598="warranty","free",IF(OR(PlanterYesMe="yes",PlanterYesMe="y"),"ELP","")))))</f>
        <v/>
      </c>
      <c r="AF3598" s="699" t="str">
        <f t="shared" ref="AF3598:AF3661" si="2778">IF(OR(PlanterYesMe="No",PlanterYesMe="N",PlanterYesMe="me"),"",IF(H3598="credit","",IF(G3598&gt;0,(CONCATENATE((G3598)," quantity, ",(A3598)," ",B3598)),"")))</f>
        <v/>
      </c>
      <c r="AG3598" s="699"/>
      <c r="AH3598" s="699"/>
      <c r="AI3598" s="512">
        <f>IF(H3598="credit",0,IF(AE3598="free",0,IF(AE3598="me",0,IF(G3598&gt;0,(VLOOKUP(A3598,'Discount Lookup'!J:K,2)*G3598),0))))</f>
        <v>0</v>
      </c>
      <c r="AJ3598" s="513" t="str">
        <f t="shared" ref="AJ3598:AJ3661" ca="1" si="2779">IF(AND(ISREF(H3598),H3598="credit"),"",IF(AND(AND(OFFSET(G3598,0,0)=0,OFFSET(G3598,1,0)&gt;0,ISNUMBER(OFFSET(AC3598,1,0)),OFFSET(AC3598,1,0)&gt;0),OR(PlanterYesMe="yes",PlanterYesMe="y")),"T2G+ELP=",IF(AND(OFFSET(G3598,0,0)=0,OFFSET(G3598,1,0)&gt;0,ISNUMBER(OFFSET(AC3598,1,0)),OFFSET(AC3598,1,0)&gt;0),"if T2G+ELP=",IF(AND(OFFSET(G3598,0,0)=0,OFFSET(G3598,1,0)&gt;0),"T2G Subtotal",IF(H3598="credit","",IF(G3598=0,"",IF(AE3598="free",(K3598*(1-T2GDiscount)),IF(OR(PlanterYesMe="No",PlanterYesMe="N",PlanterYesMe="me"),(K3598*(1-T2GDiscount)),IF(OR(AE3598="me",AE3598="T2G"),(K3598*(1-T2GDiscount)),(K3598*(1-T2GDiscount))+AC3598)))))))))</f>
        <v/>
      </c>
      <c r="AK3598" s="700" t="str">
        <f t="shared" ref="AK3598:AK3661" si="2780">IF(H3598="credit","",IF(G3598=0,"",IF(OR(AE3598="me",AE3598="T2G"),"  delivery-only",IF(OR(PlanterYesMe="No",PlanterYesMe="N",PlanterYesMe="me"),"  delivery-only",CONCATENATE(" $",ROUND(AJ3598/G3598,2)," each")))))</f>
        <v/>
      </c>
      <c r="AL3598" s="700"/>
      <c r="AM3598" s="505" t="str">
        <f t="shared" ref="AM3598:AM3661" si="2781">IF(H3598="credit","",IF(AE3598="free","      ~ discounts included, no tax or planting fee applies ~",IF(G3598=0,"",IF(OR(PlanterYesMe="No",PlanterYesMe="N",PlanterYesMe="me"),CONCATENATE(" $",ROUND(AJ3598/G3598,2)," per plant, with tax &amp; discount"),IF(OR(AE3598="me",AE3598="T2G"),CONCATENATE(" $",ROUND(AJ3598/G3598,2)," per plant, with tax &amp; discount"),CONCATENATE("= $",ROUND((K3598*(1-T2GDiscount))/G3598,2)," per plant + $",AC3598/G3598,(" per planting      ~ includes tax &amp; discounts ~")))))))</f>
        <v/>
      </c>
      <c r="AN3598" s="506"/>
      <c r="AO3598" s="507"/>
      <c r="AP3598" s="507"/>
      <c r="AQ3598" s="507"/>
      <c r="AR3598" s="507"/>
      <c r="AS3598" s="507"/>
      <c r="AT3598" s="507"/>
      <c r="AU3598" s="507"/>
      <c r="AV3598" s="225"/>
      <c r="AW3598" s="508"/>
      <c r="AX3598" s="225"/>
      <c r="AY3598" s="225"/>
      <c r="AZ3598" s="225"/>
      <c r="BA3598" s="225"/>
      <c r="BB3598" s="225"/>
      <c r="BC3598" s="56"/>
      <c r="BD3598" s="56"/>
      <c r="BE3598" s="56"/>
      <c r="BF3598" s="107" t="str">
        <f t="shared" ref="BF3598:BF3661" si="2782">"https://www.google.com/search?tbm=isch&amp;q=" &amp; _xlfn.ENCODEURL($A3598 &amp; " " &amp; $D3598)</f>
        <v>https://www.google.com/search?tbm=isch&amp;q=Sun%20King%20Aralia%20Aralia%20cordata%20%27Sun%20King%27</v>
      </c>
      <c r="BG3598" s="107" t="str">
        <f t="shared" ref="BG3598:BG3661" si="2783">IF(ISTEXT(A3598),LEFT(A3598,1),BG3597)</f>
        <v>S</v>
      </c>
      <c r="BH3598" s="254"/>
      <c r="BI3598" s="254"/>
    </row>
    <row r="3599" spans="1:61" customFormat="1" ht="15.75" x14ac:dyDescent="0.25">
      <c r="A3599" s="276">
        <v>4</v>
      </c>
      <c r="B3599" s="240" t="s">
        <v>340</v>
      </c>
      <c r="C3599" s="241"/>
      <c r="D3599" s="242" t="s">
        <v>312</v>
      </c>
      <c r="E3599" s="243">
        <v>14.95</v>
      </c>
      <c r="F3599" s="517" t="s">
        <v>293</v>
      </c>
      <c r="G3599" s="232">
        <v>0</v>
      </c>
      <c r="H3599" s="661" t="str">
        <f>IF(G3599=0,"",IF(F3599="Buy",IF(G3599=1,"plant","plants"),IF(F3599&gt;0.01,"warranty","Error")))</f>
        <v/>
      </c>
      <c r="I3599" s="244">
        <f>IF(H3599="free",0,IF(H3599="credit",((E3599*(F3599))*G3599*-1),IF(F3599="Buy",(E3599*G3599),((E3599*(1-F3599))*G3599))))</f>
        <v>0</v>
      </c>
      <c r="J3599" s="244">
        <f>IF(H3599="warranty",0,(I3599*(_xlfn.SINGLE(SalesTaxPercentage))))</f>
        <v>0</v>
      </c>
      <c r="K3599" s="696">
        <f t="shared" ref="K3599" si="2784">I3599+J3599</f>
        <v>0</v>
      </c>
      <c r="L3599" s="696"/>
      <c r="M3599" s="659" t="str">
        <f>IF(AND(G3599&gt;0,E3599=0),"WARNING - no PRICE inserted",IF(H3599="free"," FREE ~ no charge this plant",IF(H3599="credit",CONCATENATE(" -$",ROUND(K3599*(1-T2GDiscount)*-1,2)," CREDIT after discount"),IF(T2GDiscount=0,"",IF(G3599=0,"",IF(F3599="Buy",CONCATENATE(" $",ROUND(K3599*(1-T2GDiscount),2)," with ",(T2GDiscount*100),"% discount"),CONCATENATE(" $",ROUND(K3599*(1-T2GDiscount),2)," with ",((T2GDiscount*100+F3599*100)-(T2GDiscount*100*F3599)),IF(F3599&gt;0,"% discounts",IF(NoWarrantyDiscount&gt;0,"% discounts","% discount")))))))))</f>
        <v/>
      </c>
      <c r="N3599" s="660"/>
      <c r="O3599" s="233"/>
      <c r="P3599" s="233"/>
      <c r="Q3599" s="233"/>
      <c r="R3599" s="233"/>
      <c r="S3599" s="233"/>
      <c r="T3599" s="508">
        <f t="shared" si="2771"/>
        <v>0</v>
      </c>
      <c r="U3599" s="225">
        <f>IF(NOT(ISNUMBER(G3599)), "", VLOOKUP(A3599,'Discount Lookup'!D:E,2,FALSE)*G3599)</f>
        <v>0</v>
      </c>
      <c r="V3599" s="225">
        <f>IF(NOT(ISNUMBER(G3599)), "", VLOOKUP(A3599,'Discount Lookup'!G:H,2,FALSE)*G3599)</f>
        <v>0</v>
      </c>
      <c r="W3599" s="508">
        <f t="shared" si="2772"/>
        <v>0</v>
      </c>
      <c r="X3599" s="508">
        <f t="shared" si="2773"/>
        <v>0</v>
      </c>
      <c r="Y3599" s="509" t="b">
        <f t="shared" si="2774"/>
        <v>0</v>
      </c>
      <c r="Z3599" s="510">
        <f t="shared" si="2775"/>
        <v>0</v>
      </c>
      <c r="AA3599" s="511"/>
      <c r="AB3599" s="511" t="str">
        <f t="shared" si="2776"/>
        <v/>
      </c>
      <c r="AC3599" s="698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698"/>
      <c r="AE3599" s="631" t="str">
        <f t="shared" si="2777"/>
        <v/>
      </c>
      <c r="AF3599" s="699" t="str">
        <f t="shared" si="2778"/>
        <v/>
      </c>
      <c r="AG3599" s="699"/>
      <c r="AH3599" s="699"/>
      <c r="AI3599" s="512">
        <f>IF(H3599="credit",0,IF(AE3599="free",0,IF(AE3599="me",0,IF(G3599&gt;0,(VLOOKUP(A3599,'Discount Lookup'!J:K,2)*G3599),0))))</f>
        <v>0</v>
      </c>
      <c r="AJ3599" s="513" t="str">
        <f t="shared" ca="1" si="2779"/>
        <v/>
      </c>
      <c r="AK3599" s="700" t="str">
        <f t="shared" si="2780"/>
        <v/>
      </c>
      <c r="AL3599" s="700"/>
      <c r="AM3599" s="505" t="str">
        <f t="shared" si="2781"/>
        <v/>
      </c>
      <c r="AN3599" s="506"/>
      <c r="AO3599" s="507"/>
      <c r="AP3599" s="507"/>
      <c r="AQ3599" s="507"/>
      <c r="AR3599" s="507"/>
      <c r="AS3599" s="507"/>
      <c r="AT3599" s="507"/>
      <c r="AU3599" s="507"/>
      <c r="AV3599" s="225"/>
      <c r="AW3599" s="508"/>
      <c r="AX3599" s="225"/>
      <c r="AY3599" s="225"/>
      <c r="AZ3599" s="225"/>
      <c r="BA3599" s="225"/>
      <c r="BB3599" s="225"/>
      <c r="BC3599" s="56"/>
      <c r="BD3599" s="56"/>
      <c r="BE3599" s="56"/>
      <c r="BF3599" s="107" t="str">
        <f t="shared" si="2782"/>
        <v>https://www.google.com/search?tbm=isch&amp;q=4%20G2</v>
      </c>
      <c r="BG3599" s="107" t="str">
        <f t="shared" si="2783"/>
        <v>S</v>
      </c>
      <c r="BH3599" s="254"/>
      <c r="BI3599" s="254"/>
    </row>
    <row r="3600" spans="1:61" customFormat="1" ht="17.25" thickBot="1" x14ac:dyDescent="0.3">
      <c r="A3600" s="673" t="s">
        <v>5253</v>
      </c>
      <c r="B3600" s="245"/>
      <c r="C3600" s="677"/>
      <c r="D3600" s="499"/>
      <c r="E3600" s="499"/>
      <c r="F3600" s="500"/>
      <c r="G3600" s="501"/>
      <c r="H3600" s="502"/>
      <c r="I3600" s="246"/>
      <c r="J3600" s="247"/>
      <c r="K3600" s="503"/>
      <c r="L3600" s="544"/>
      <c r="M3600" s="544"/>
      <c r="N3600" s="500"/>
      <c r="O3600" s="500"/>
      <c r="P3600" s="500"/>
      <c r="Q3600" s="500"/>
      <c r="R3600" s="500"/>
      <c r="S3600" s="669" t="s">
        <v>4972</v>
      </c>
      <c r="T3600" s="508">
        <f t="shared" si="2771"/>
        <v>0</v>
      </c>
      <c r="U3600" s="225" t="str">
        <f>IF(NOT(ISNUMBER(G3600)), "", VLOOKUP(A3600,'Discount Lookup'!D:E,2,FALSE)*G3600)</f>
        <v/>
      </c>
      <c r="V3600" s="225" t="str">
        <f>IF(NOT(ISNUMBER(G3600)), "", VLOOKUP(A3600,'Discount Lookup'!G:H,2,FALSE)*G3600)</f>
        <v/>
      </c>
      <c r="W3600" s="508">
        <f t="shared" si="2772"/>
        <v>0</v>
      </c>
      <c r="X3600" s="508">
        <f t="shared" si="2773"/>
        <v>0</v>
      </c>
      <c r="Y3600" s="509" t="b">
        <f t="shared" si="2774"/>
        <v>0</v>
      </c>
      <c r="Z3600" s="510">
        <f t="shared" si="2775"/>
        <v>0</v>
      </c>
      <c r="AA3600" s="511"/>
      <c r="AB3600" s="511" t="str">
        <f t="shared" si="2776"/>
        <v/>
      </c>
      <c r="AC3600" s="698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698"/>
      <c r="AE3600" s="631" t="str">
        <f t="shared" si="2777"/>
        <v/>
      </c>
      <c r="AF3600" s="699" t="str">
        <f t="shared" si="2778"/>
        <v/>
      </c>
      <c r="AG3600" s="699"/>
      <c r="AH3600" s="699"/>
      <c r="AI3600" s="512">
        <f>IF(H3600="credit",0,IF(AE3600="free",0,IF(AE3600="me",0,IF(G3600&gt;0,(VLOOKUP(A3600,'Discount Lookup'!J:K,2)*G3600),0))))</f>
        <v>0</v>
      </c>
      <c r="AJ3600" s="513" t="str">
        <f t="shared" ca="1" si="2779"/>
        <v/>
      </c>
      <c r="AK3600" s="700" t="str">
        <f t="shared" si="2780"/>
        <v/>
      </c>
      <c r="AL3600" s="700"/>
      <c r="AM3600" s="505" t="str">
        <f t="shared" si="2781"/>
        <v/>
      </c>
      <c r="AN3600" s="506"/>
      <c r="AO3600" s="507"/>
      <c r="AP3600" s="507"/>
      <c r="AQ3600" s="507"/>
      <c r="AR3600" s="507"/>
      <c r="AS3600" s="507"/>
      <c r="AT3600" s="507"/>
      <c r="AU3600" s="507"/>
      <c r="AV3600" s="225"/>
      <c r="AW3600" s="508"/>
      <c r="AX3600" s="225"/>
      <c r="AY3600" s="225"/>
      <c r="AZ3600" s="225"/>
      <c r="BA3600" s="225"/>
      <c r="BB3600" s="225"/>
      <c r="BC3600" s="56"/>
      <c r="BD3600" s="56"/>
      <c r="BE3600" s="56"/>
      <c r="BF3600" s="107" t="str">
        <f t="shared" si="2782"/>
        <v>https://www.google.com/search?tbm=isch&amp;q=moist%20sites%F0%9F%92%A7OK%2C%20Sun%20King%20Aralia%20feels%20tropical%2C%20with%20glowing%20Chartreuse%20foliage%2C%20airy%20late-summer%20blooms%20and%20Glossy%20Black%20berries%20</v>
      </c>
      <c r="BG3600" s="107" t="str">
        <f t="shared" si="2783"/>
        <v>m</v>
      </c>
      <c r="BH3600" s="254"/>
      <c r="BI3600" s="254"/>
    </row>
    <row r="3601" spans="1:61" customFormat="1" ht="18" x14ac:dyDescent="0.25">
      <c r="A3601" s="523" t="s">
        <v>1842</v>
      </c>
      <c r="B3601" s="235"/>
      <c r="C3601" s="676"/>
      <c r="D3601" s="255" t="s">
        <v>1843</v>
      </c>
      <c r="E3601" s="236"/>
      <c r="F3601" s="236"/>
      <c r="G3601" s="236"/>
      <c r="H3601" s="582" t="s">
        <v>419</v>
      </c>
      <c r="I3601" s="498" t="s">
        <v>2284</v>
      </c>
      <c r="J3601" s="237"/>
      <c r="K3601" s="237"/>
      <c r="L3601" s="274"/>
      <c r="M3601" s="668" t="s">
        <v>4962</v>
      </c>
      <c r="N3601" s="681" t="str">
        <f>IF(AND(ISTEXT($A3601), ISERROR($A3601+0)), HYPERLINK($BF3601, "Images"), "")</f>
        <v>Images</v>
      </c>
      <c r="O3601" s="663" t="s">
        <v>4967</v>
      </c>
      <c r="P3601" s="253"/>
      <c r="Q3601" s="238"/>
      <c r="R3601" s="239"/>
      <c r="S3601" s="275" t="s">
        <v>305</v>
      </c>
      <c r="T3601" s="508">
        <f t="shared" si="2771"/>
        <v>0</v>
      </c>
      <c r="U3601" s="225" t="str">
        <f>IF(NOT(ISNUMBER(G3601)), "", VLOOKUP(A3601,'Discount Lookup'!D:E,2,FALSE)*G3601)</f>
        <v/>
      </c>
      <c r="V3601" s="225" t="str">
        <f>IF(NOT(ISNUMBER(G3601)), "", VLOOKUP(A3601,'Discount Lookup'!G:H,2,FALSE)*G3601)</f>
        <v/>
      </c>
      <c r="W3601" s="508">
        <f t="shared" si="2772"/>
        <v>0</v>
      </c>
      <c r="X3601" s="508" t="str">
        <f t="shared" si="2773"/>
        <v>Rich Green foliage</v>
      </c>
      <c r="Y3601" s="509" t="b">
        <f t="shared" si="2774"/>
        <v>0</v>
      </c>
      <c r="Z3601" s="510">
        <f t="shared" si="2775"/>
        <v>0</v>
      </c>
      <c r="AA3601" s="511"/>
      <c r="AB3601" s="511" t="str">
        <f t="shared" si="2776"/>
        <v/>
      </c>
      <c r="AC3601" s="698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698"/>
      <c r="AE3601" s="631" t="str">
        <f t="shared" si="2777"/>
        <v/>
      </c>
      <c r="AF3601" s="699" t="str">
        <f t="shared" si="2778"/>
        <v/>
      </c>
      <c r="AG3601" s="699"/>
      <c r="AH3601" s="699"/>
      <c r="AI3601" s="512">
        <f>IF(H3601="credit",0,IF(AE3601="free",0,IF(AE3601="me",0,IF(G3601&gt;0,(VLOOKUP(A3601,'Discount Lookup'!J:K,2)*G3601),0))))</f>
        <v>0</v>
      </c>
      <c r="AJ3601" s="513" t="str">
        <f t="shared" ca="1" si="2779"/>
        <v/>
      </c>
      <c r="AK3601" s="700" t="str">
        <f t="shared" si="2780"/>
        <v/>
      </c>
      <c r="AL3601" s="700"/>
      <c r="AM3601" s="505" t="str">
        <f t="shared" si="2781"/>
        <v/>
      </c>
      <c r="AN3601" s="506"/>
      <c r="AO3601" s="507"/>
      <c r="AP3601" s="507"/>
      <c r="AQ3601" s="507"/>
      <c r="AR3601" s="507"/>
      <c r="AS3601" s="507"/>
      <c r="AT3601" s="507"/>
      <c r="AU3601" s="507"/>
      <c r="AV3601" s="225"/>
      <c r="AW3601" s="508"/>
      <c r="AX3601" s="225"/>
      <c r="AY3601" s="225"/>
      <c r="AZ3601" s="225"/>
      <c r="BA3601" s="225"/>
      <c r="BB3601" s="225"/>
      <c r="BC3601" s="56"/>
      <c r="BD3601" s="56"/>
      <c r="BE3601" s="56"/>
      <c r="BF3601" s="107" t="str">
        <f t="shared" si="2782"/>
        <v>https://www.google.com/search?tbm=isch&amp;q=Sun%20Valley%20Red%20Maple%20Acer%20rubrum%20%27Sun%20Valley%27</v>
      </c>
      <c r="BG3601" s="107" t="str">
        <f t="shared" si="2783"/>
        <v>S</v>
      </c>
      <c r="BH3601" s="254"/>
      <c r="BI3601" s="254"/>
    </row>
    <row r="3602" spans="1:61" customFormat="1" ht="15.75" x14ac:dyDescent="0.25">
      <c r="A3602" s="276">
        <v>7</v>
      </c>
      <c r="B3602" s="240" t="s">
        <v>291</v>
      </c>
      <c r="C3602" s="241" t="s">
        <v>3797</v>
      </c>
      <c r="D3602" s="242" t="s">
        <v>292</v>
      </c>
      <c r="E3602" s="243">
        <v>100.95</v>
      </c>
      <c r="F3602" s="517" t="s">
        <v>293</v>
      </c>
      <c r="G3602" s="232">
        <v>0</v>
      </c>
      <c r="H3602" s="661" t="str">
        <f>IF(G3602=0,"",IF(F3602="Buy",IF(G3602=1,"plant","plants"),IF(F3602&gt;0.01,"warranty","Error")))</f>
        <v/>
      </c>
      <c r="I3602" s="244">
        <f>IF(H3602="free",0,IF(H3602="credit",((E3602*(F3602))*G3602*-1),IF(F3602="Buy",(E3602*G3602),((E3602*(1-F3602))*G3602))))</f>
        <v>0</v>
      </c>
      <c r="J3602" s="244">
        <f>IF(H3602="warranty",0,(I3602*(_xlfn.SINGLE(SalesTaxPercentage))))</f>
        <v>0</v>
      </c>
      <c r="K3602" s="696">
        <f t="shared" ref="K3602" si="2785">I3602+J3602</f>
        <v>0</v>
      </c>
      <c r="L3602" s="696"/>
      <c r="M3602" s="659" t="str">
        <f>IF(AND(G3602&gt;0,E3602=0),"WARNING - no PRICE inserted",IF(H3602="free"," FREE ~ no charge this plant",IF(H3602="credit",CONCATENATE(" -$",ROUND(K3602*(1-T2GDiscount)*-1,2)," CREDIT after discount"),IF(T2GDiscount=0,"",IF(G3602=0,"",IF(F3602="Buy",CONCATENATE(" $",ROUND(K3602*(1-T2GDiscount),2)," with ",(T2GDiscount*100),"% discount"),CONCATENATE(" $",ROUND(K3602*(1-T2GDiscount),2)," with ",((T2GDiscount*100+F3602*100)-(T2GDiscount*100*F3602)),IF(F3602&gt;0,"% discounts",IF(NoWarrantyDiscount&gt;0,"% discounts","% discount")))))))))</f>
        <v/>
      </c>
      <c r="N3602" s="660"/>
      <c r="O3602" s="233"/>
      <c r="P3602" s="233"/>
      <c r="Q3602" s="233"/>
      <c r="R3602" s="233"/>
      <c r="S3602" s="233"/>
      <c r="T3602" s="508">
        <f t="shared" si="2771"/>
        <v>0</v>
      </c>
      <c r="U3602" s="225">
        <f>IF(NOT(ISNUMBER(G3602)), "", VLOOKUP(A3602,'Discount Lookup'!D:E,2,FALSE)*G3602)</f>
        <v>0</v>
      </c>
      <c r="V3602" s="225">
        <f>IF(NOT(ISNUMBER(G3602)), "", VLOOKUP(A3602,'Discount Lookup'!G:H,2,FALSE)*G3602)</f>
        <v>0</v>
      </c>
      <c r="W3602" s="508">
        <f t="shared" si="2772"/>
        <v>0</v>
      </c>
      <c r="X3602" s="508">
        <f t="shared" si="2773"/>
        <v>0</v>
      </c>
      <c r="Y3602" s="509" t="b">
        <f t="shared" si="2774"/>
        <v>0</v>
      </c>
      <c r="Z3602" s="510">
        <f t="shared" si="2775"/>
        <v>0</v>
      </c>
      <c r="AA3602" s="511"/>
      <c r="AB3602" s="511" t="str">
        <f t="shared" si="2776"/>
        <v/>
      </c>
      <c r="AC3602" s="698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698"/>
      <c r="AE3602" s="631" t="str">
        <f t="shared" si="2777"/>
        <v/>
      </c>
      <c r="AF3602" s="699" t="str">
        <f t="shared" si="2778"/>
        <v/>
      </c>
      <c r="AG3602" s="699"/>
      <c r="AH3602" s="699"/>
      <c r="AI3602" s="512">
        <f>IF(H3602="credit",0,IF(AE3602="free",0,IF(AE3602="me",0,IF(G3602&gt;0,(VLOOKUP(A3602,'Discount Lookup'!J:K,2)*G3602),0))))</f>
        <v>0</v>
      </c>
      <c r="AJ3602" s="513" t="str">
        <f t="shared" ca="1" si="2779"/>
        <v/>
      </c>
      <c r="AK3602" s="700" t="str">
        <f t="shared" si="2780"/>
        <v/>
      </c>
      <c r="AL3602" s="700"/>
      <c r="AM3602" s="505" t="str">
        <f t="shared" si="2781"/>
        <v/>
      </c>
      <c r="AN3602" s="506"/>
      <c r="AO3602" s="507"/>
      <c r="AP3602" s="507"/>
      <c r="AQ3602" s="507"/>
      <c r="AR3602" s="507"/>
      <c r="AS3602" s="507"/>
      <c r="AT3602" s="507"/>
      <c r="AU3602" s="507"/>
      <c r="AV3602" s="225"/>
      <c r="AW3602" s="508"/>
      <c r="AX3602" s="225"/>
      <c r="AY3602" s="225"/>
      <c r="AZ3602" s="225"/>
      <c r="BA3602" s="225"/>
      <c r="BB3602" s="225"/>
      <c r="BC3602" s="56"/>
      <c r="BD3602" s="56"/>
      <c r="BE3602" s="56"/>
      <c r="BF3602" s="107" t="str">
        <f t="shared" si="2782"/>
        <v>https://www.google.com/search?tbm=isch&amp;q=7%20G4</v>
      </c>
      <c r="BG3602" s="107" t="str">
        <f t="shared" si="2783"/>
        <v>S</v>
      </c>
      <c r="BH3602" s="254"/>
      <c r="BI3602" s="254"/>
    </row>
    <row r="3603" spans="1:61" customFormat="1" ht="15.75" x14ac:dyDescent="0.25">
      <c r="A3603" s="276">
        <v>15</v>
      </c>
      <c r="B3603" s="240" t="s">
        <v>291</v>
      </c>
      <c r="C3603" s="241" t="s">
        <v>3798</v>
      </c>
      <c r="D3603" s="242" t="s">
        <v>292</v>
      </c>
      <c r="E3603" s="243">
        <v>178.95</v>
      </c>
      <c r="F3603" s="517" t="s">
        <v>293</v>
      </c>
      <c r="G3603" s="232">
        <v>0</v>
      </c>
      <c r="H3603" s="661" t="str">
        <f>IF(G3603=0,"",IF(F3603="Buy",IF(G3603=1,"plant","plants"),IF(F3603&gt;0.01,"warranty","Error")))</f>
        <v/>
      </c>
      <c r="I3603" s="244">
        <f>IF(H3603="free",0,IF(H3603="credit",((E3603*(F3603))*G3603*-1),IF(F3603="Buy",(E3603*G3603),((E3603*(1-F3603))*G3603))))</f>
        <v>0</v>
      </c>
      <c r="J3603" s="244">
        <f>IF(H3603="warranty",0,(I3603*(_xlfn.SINGLE(SalesTaxPercentage))))</f>
        <v>0</v>
      </c>
      <c r="K3603" s="696">
        <f t="shared" ref="K3603" si="2786">I3603+J3603</f>
        <v>0</v>
      </c>
      <c r="L3603" s="696"/>
      <c r="M3603" s="659" t="str">
        <f>IF(AND(G3603&gt;0,E3603=0),"WARNING - no PRICE inserted",IF(H3603="free"," FREE ~ no charge this plant",IF(H3603="credit",CONCATENATE(" -$",ROUND(K3603*(1-T2GDiscount)*-1,2)," CREDIT after discount"),IF(T2GDiscount=0,"",IF(G3603=0,"",IF(F3603="Buy",CONCATENATE(" $",ROUND(K3603*(1-T2GDiscount),2)," with ",(T2GDiscount*100),"% discount"),CONCATENATE(" $",ROUND(K3603*(1-T2GDiscount),2)," with ",((T2GDiscount*100+F3603*100)-(T2GDiscount*100*F3603)),IF(F3603&gt;0,"% discounts",IF(NoWarrantyDiscount&gt;0,"% discounts","% discount")))))))))</f>
        <v/>
      </c>
      <c r="N3603" s="660"/>
      <c r="O3603" s="233"/>
      <c r="P3603" s="233"/>
      <c r="Q3603" s="233"/>
      <c r="R3603" s="233"/>
      <c r="S3603" s="233"/>
      <c r="T3603" s="508">
        <f t="shared" si="2771"/>
        <v>0</v>
      </c>
      <c r="U3603" s="225">
        <f>IF(NOT(ISNUMBER(G3603)), "", VLOOKUP(A3603,'Discount Lookup'!D:E,2,FALSE)*G3603)</f>
        <v>0</v>
      </c>
      <c r="V3603" s="225">
        <f>IF(NOT(ISNUMBER(G3603)), "", VLOOKUP(A3603,'Discount Lookup'!G:H,2,FALSE)*G3603)</f>
        <v>0</v>
      </c>
      <c r="W3603" s="508">
        <f t="shared" si="2772"/>
        <v>0</v>
      </c>
      <c r="X3603" s="508">
        <f t="shared" si="2773"/>
        <v>0</v>
      </c>
      <c r="Y3603" s="509" t="b">
        <f t="shared" si="2774"/>
        <v>0</v>
      </c>
      <c r="Z3603" s="510">
        <f t="shared" si="2775"/>
        <v>0</v>
      </c>
      <c r="AA3603" s="511"/>
      <c r="AB3603" s="511" t="str">
        <f t="shared" si="2776"/>
        <v/>
      </c>
      <c r="AC3603" s="698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698"/>
      <c r="AE3603" s="631" t="str">
        <f t="shared" si="2777"/>
        <v/>
      </c>
      <c r="AF3603" s="699" t="str">
        <f t="shared" si="2778"/>
        <v/>
      </c>
      <c r="AG3603" s="699"/>
      <c r="AH3603" s="699"/>
      <c r="AI3603" s="512">
        <f>IF(H3603="credit",0,IF(AE3603="free",0,IF(AE3603="me",0,IF(G3603&gt;0,(VLOOKUP(A3603,'Discount Lookup'!J:K,2)*G3603),0))))</f>
        <v>0</v>
      </c>
      <c r="AJ3603" s="513" t="str">
        <f t="shared" ca="1" si="2779"/>
        <v/>
      </c>
      <c r="AK3603" s="700" t="str">
        <f t="shared" si="2780"/>
        <v/>
      </c>
      <c r="AL3603" s="700"/>
      <c r="AM3603" s="505" t="str">
        <f t="shared" si="2781"/>
        <v/>
      </c>
      <c r="AN3603" s="506"/>
      <c r="AO3603" s="507"/>
      <c r="AP3603" s="507"/>
      <c r="AQ3603" s="507"/>
      <c r="AR3603" s="507"/>
      <c r="AS3603" s="507"/>
      <c r="AT3603" s="507"/>
      <c r="AU3603" s="507"/>
      <c r="AV3603" s="225"/>
      <c r="AW3603" s="508"/>
      <c r="AX3603" s="225"/>
      <c r="AY3603" s="225"/>
      <c r="AZ3603" s="225"/>
      <c r="BA3603" s="225"/>
      <c r="BB3603" s="225"/>
      <c r="BC3603" s="56"/>
      <c r="BD3603" s="56"/>
      <c r="BE3603" s="56"/>
      <c r="BF3603" s="107" t="str">
        <f t="shared" si="2782"/>
        <v>https://www.google.com/search?tbm=isch&amp;q=15%20G4</v>
      </c>
      <c r="BG3603" s="107" t="str">
        <f t="shared" si="2783"/>
        <v>S</v>
      </c>
      <c r="BH3603" s="254"/>
      <c r="BI3603" s="254"/>
    </row>
    <row r="3604" spans="1:61" customFormat="1" ht="15.75" x14ac:dyDescent="0.25">
      <c r="A3604" s="276">
        <v>25</v>
      </c>
      <c r="B3604" s="240" t="s">
        <v>291</v>
      </c>
      <c r="C3604" s="241" t="s">
        <v>3799</v>
      </c>
      <c r="D3604" s="242" t="s">
        <v>292</v>
      </c>
      <c r="E3604" s="243">
        <v>293.95</v>
      </c>
      <c r="F3604" s="517" t="s">
        <v>293</v>
      </c>
      <c r="G3604" s="232">
        <v>0</v>
      </c>
      <c r="H3604" s="661" t="str">
        <f>IF(G3604=0,"",IF(F3604="Buy",IF(G3604=1,"plant","plants"),IF(F3604&gt;0.01,"warranty","Error")))</f>
        <v/>
      </c>
      <c r="I3604" s="244">
        <f>IF(H3604="free",0,IF(H3604="credit",((E3604*(F3604))*G3604*-1),IF(F3604="Buy",(E3604*G3604),((E3604*(1-F3604))*G3604))))</f>
        <v>0</v>
      </c>
      <c r="J3604" s="244">
        <f>IF(H3604="warranty",0,(I3604*(_xlfn.SINGLE(SalesTaxPercentage))))</f>
        <v>0</v>
      </c>
      <c r="K3604" s="696">
        <f t="shared" ref="K3604" si="2787">I3604+J3604</f>
        <v>0</v>
      </c>
      <c r="L3604" s="696"/>
      <c r="M3604" s="659" t="str">
        <f>IF(AND(G3604&gt;0,E3604=0),"WARNING - no PRICE inserted",IF(H3604="free"," FREE ~ no charge this plant",IF(H3604="credit",CONCATENATE(" -$",ROUND(K3604*(1-T2GDiscount)*-1,2)," CREDIT after discount"),IF(T2GDiscount=0,"",IF(G3604=0,"",IF(F3604="Buy",CONCATENATE(" $",ROUND(K3604*(1-T2GDiscount),2)," with ",(T2GDiscount*100),"% discount"),CONCATENATE(" $",ROUND(K3604*(1-T2GDiscount),2)," with ",((T2GDiscount*100+F3604*100)-(T2GDiscount*100*F3604)),IF(F3604&gt;0,"% discounts",IF(NoWarrantyDiscount&gt;0,"% discounts","% discount")))))))))</f>
        <v/>
      </c>
      <c r="N3604" s="660"/>
      <c r="O3604" s="233"/>
      <c r="P3604" s="233"/>
      <c r="Q3604" s="233"/>
      <c r="R3604" s="233"/>
      <c r="S3604" s="233"/>
      <c r="T3604" s="508">
        <f t="shared" si="2771"/>
        <v>0</v>
      </c>
      <c r="U3604" s="225">
        <f>IF(NOT(ISNUMBER(G3604)), "", VLOOKUP(A3604,'Discount Lookup'!D:E,2,FALSE)*G3604)</f>
        <v>0</v>
      </c>
      <c r="V3604" s="225">
        <f>IF(NOT(ISNUMBER(G3604)), "", VLOOKUP(A3604,'Discount Lookup'!G:H,2,FALSE)*G3604)</f>
        <v>0</v>
      </c>
      <c r="W3604" s="508">
        <f t="shared" si="2772"/>
        <v>0</v>
      </c>
      <c r="X3604" s="508">
        <f t="shared" si="2773"/>
        <v>0</v>
      </c>
      <c r="Y3604" s="509" t="b">
        <f t="shared" si="2774"/>
        <v>0</v>
      </c>
      <c r="Z3604" s="510">
        <f t="shared" si="2775"/>
        <v>0</v>
      </c>
      <c r="AA3604" s="511"/>
      <c r="AB3604" s="511" t="str">
        <f t="shared" si="2776"/>
        <v/>
      </c>
      <c r="AC3604" s="698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698"/>
      <c r="AE3604" s="631" t="str">
        <f t="shared" si="2777"/>
        <v/>
      </c>
      <c r="AF3604" s="699" t="str">
        <f t="shared" si="2778"/>
        <v/>
      </c>
      <c r="AG3604" s="699"/>
      <c r="AH3604" s="699"/>
      <c r="AI3604" s="512">
        <f>IF(H3604="credit",0,IF(AE3604="free",0,IF(AE3604="me",0,IF(G3604&gt;0,(VLOOKUP(A3604,'Discount Lookup'!J:K,2)*G3604),0))))</f>
        <v>0</v>
      </c>
      <c r="AJ3604" s="513" t="str">
        <f t="shared" ca="1" si="2779"/>
        <v/>
      </c>
      <c r="AK3604" s="700" t="str">
        <f t="shared" si="2780"/>
        <v/>
      </c>
      <c r="AL3604" s="700"/>
      <c r="AM3604" s="505" t="str">
        <f t="shared" si="2781"/>
        <v/>
      </c>
      <c r="AN3604" s="506"/>
      <c r="AO3604" s="507"/>
      <c r="AP3604" s="507"/>
      <c r="AQ3604" s="507"/>
      <c r="AR3604" s="507"/>
      <c r="AS3604" s="507"/>
      <c r="AT3604" s="507"/>
      <c r="AU3604" s="507"/>
      <c r="AV3604" s="225"/>
      <c r="AW3604" s="508"/>
      <c r="AX3604" s="225"/>
      <c r="AY3604" s="225"/>
      <c r="AZ3604" s="225"/>
      <c r="BA3604" s="225"/>
      <c r="BB3604" s="225"/>
      <c r="BC3604" s="56"/>
      <c r="BD3604" s="56"/>
      <c r="BE3604" s="56"/>
      <c r="BF3604" s="107" t="str">
        <f t="shared" si="2782"/>
        <v>https://www.google.com/search?tbm=isch&amp;q=25%20G4</v>
      </c>
      <c r="BG3604" s="107" t="str">
        <f t="shared" si="2783"/>
        <v>S</v>
      </c>
      <c r="BH3604" s="254"/>
      <c r="BI3604" s="254"/>
    </row>
    <row r="3605" spans="1:61" customFormat="1" ht="15.75" x14ac:dyDescent="0.25">
      <c r="A3605" s="276">
        <v>25</v>
      </c>
      <c r="B3605" s="240" t="s">
        <v>291</v>
      </c>
      <c r="C3605" s="241" t="s">
        <v>1845</v>
      </c>
      <c r="D3605" s="242" t="s">
        <v>300</v>
      </c>
      <c r="E3605" s="243">
        <v>299.95</v>
      </c>
      <c r="F3605" s="517" t="s">
        <v>293</v>
      </c>
      <c r="G3605" s="232">
        <v>0</v>
      </c>
      <c r="H3605" s="661" t="str">
        <f>IF(G3605=0,"",IF(F3605="Buy",IF(G3605=1,"plant","plants"),IF(F3605&gt;0.01,"warranty","Error")))</f>
        <v/>
      </c>
      <c r="I3605" s="244">
        <f>IF(H3605="free",0,IF(H3605="credit",((E3605*(F3605))*G3605*-1),IF(F3605="Buy",(E3605*G3605),((E3605*(1-F3605))*G3605))))</f>
        <v>0</v>
      </c>
      <c r="J3605" s="244">
        <f>IF(H3605="warranty",0,(I3605*(_xlfn.SINGLE(SalesTaxPercentage))))</f>
        <v>0</v>
      </c>
      <c r="K3605" s="696">
        <f t="shared" ref="K3605" si="2788">I3605+J3605</f>
        <v>0</v>
      </c>
      <c r="L3605" s="696"/>
      <c r="M3605" s="659" t="str">
        <f>IF(AND(G3605&gt;0,E3605=0),"WARNING - no PRICE inserted",IF(H3605="free"," FREE ~ no charge this plant",IF(H3605="credit",CONCATENATE(" -$",ROUND(K3605*(1-T2GDiscount)*-1,2)," CREDIT after discount"),IF(T2GDiscount=0,"",IF(G3605=0,"",IF(F3605="Buy",CONCATENATE(" $",ROUND(K3605*(1-T2GDiscount),2)," with ",(T2GDiscount*100),"% discount"),CONCATENATE(" $",ROUND(K3605*(1-T2GDiscount),2)," with ",((T2GDiscount*100+F3605*100)-(T2GDiscount*100*F3605)),IF(F3605&gt;0,"% discounts",IF(NoWarrantyDiscount&gt;0,"% discounts","% discount")))))))))</f>
        <v/>
      </c>
      <c r="N3605" s="660"/>
      <c r="O3605" s="233"/>
      <c r="P3605" s="233"/>
      <c r="Q3605" s="233"/>
      <c r="R3605" s="233"/>
      <c r="S3605" s="233"/>
      <c r="T3605" s="508">
        <f t="shared" si="2771"/>
        <v>0</v>
      </c>
      <c r="U3605" s="225">
        <f>IF(NOT(ISNUMBER(G3605)), "", VLOOKUP(A3605,'Discount Lookup'!D:E,2,FALSE)*G3605)</f>
        <v>0</v>
      </c>
      <c r="V3605" s="225">
        <f>IF(NOT(ISNUMBER(G3605)), "", VLOOKUP(A3605,'Discount Lookup'!G:H,2,FALSE)*G3605)</f>
        <v>0</v>
      </c>
      <c r="W3605" s="508">
        <f t="shared" si="2772"/>
        <v>0</v>
      </c>
      <c r="X3605" s="508">
        <f t="shared" si="2773"/>
        <v>0</v>
      </c>
      <c r="Y3605" s="509" t="b">
        <f t="shared" si="2774"/>
        <v>0</v>
      </c>
      <c r="Z3605" s="510">
        <f t="shared" si="2775"/>
        <v>0</v>
      </c>
      <c r="AA3605" s="511"/>
      <c r="AB3605" s="511" t="str">
        <f t="shared" si="2776"/>
        <v/>
      </c>
      <c r="AC3605" s="698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698"/>
      <c r="AE3605" s="631" t="str">
        <f t="shared" si="2777"/>
        <v/>
      </c>
      <c r="AF3605" s="699" t="str">
        <f t="shared" si="2778"/>
        <v/>
      </c>
      <c r="AG3605" s="699"/>
      <c r="AH3605" s="699"/>
      <c r="AI3605" s="512">
        <f>IF(H3605="credit",0,IF(AE3605="free",0,IF(AE3605="me",0,IF(G3605&gt;0,(VLOOKUP(A3605,'Discount Lookup'!J:K,2)*G3605),0))))</f>
        <v>0</v>
      </c>
      <c r="AJ3605" s="513" t="str">
        <f t="shared" ca="1" si="2779"/>
        <v/>
      </c>
      <c r="AK3605" s="700" t="str">
        <f t="shared" si="2780"/>
        <v/>
      </c>
      <c r="AL3605" s="700"/>
      <c r="AM3605" s="505" t="str">
        <f t="shared" si="2781"/>
        <v/>
      </c>
      <c r="AN3605" s="506"/>
      <c r="AO3605" s="507"/>
      <c r="AP3605" s="507"/>
      <c r="AQ3605" s="507"/>
      <c r="AR3605" s="507"/>
      <c r="AS3605" s="507"/>
      <c r="AT3605" s="507"/>
      <c r="AU3605" s="507"/>
      <c r="AV3605" s="225"/>
      <c r="AW3605" s="508"/>
      <c r="AX3605" s="225"/>
      <c r="AY3605" s="225"/>
      <c r="AZ3605" s="225"/>
      <c r="BA3605" s="225"/>
      <c r="BB3605" s="225"/>
      <c r="BC3605" s="56"/>
      <c r="BD3605" s="56"/>
      <c r="BE3605" s="56"/>
      <c r="BF3605" s="107" t="str">
        <f t="shared" si="2782"/>
        <v>https://www.google.com/search?tbm=isch&amp;q=25%20G6</v>
      </c>
      <c r="BG3605" s="107" t="str">
        <f t="shared" si="2783"/>
        <v>S</v>
      </c>
      <c r="BH3605" s="254"/>
      <c r="BI3605" s="254"/>
    </row>
    <row r="3606" spans="1:61" customFormat="1" ht="17.25" thickBot="1" x14ac:dyDescent="0.3">
      <c r="A3606" s="673" t="s">
        <v>5254</v>
      </c>
      <c r="B3606" s="245"/>
      <c r="C3606" s="677"/>
      <c r="D3606" s="499"/>
      <c r="E3606" s="499"/>
      <c r="F3606" s="500"/>
      <c r="G3606" s="501"/>
      <c r="H3606" s="502"/>
      <c r="I3606" s="246"/>
      <c r="J3606" s="247"/>
      <c r="K3606" s="503"/>
      <c r="L3606" s="544"/>
      <c r="M3606" s="544"/>
      <c r="N3606" s="500"/>
      <c r="O3606" s="500"/>
      <c r="P3606" s="500"/>
      <c r="Q3606" s="500"/>
      <c r="R3606" s="500"/>
      <c r="S3606" s="669" t="s">
        <v>4972</v>
      </c>
      <c r="T3606" s="508">
        <f t="shared" si="2771"/>
        <v>0</v>
      </c>
      <c r="U3606" s="225" t="str">
        <f>IF(NOT(ISNUMBER(G3606)), "", VLOOKUP(A3606,'Discount Lookup'!D:E,2,FALSE)*G3606)</f>
        <v/>
      </c>
      <c r="V3606" s="225" t="str">
        <f>IF(NOT(ISNUMBER(G3606)), "", VLOOKUP(A3606,'Discount Lookup'!G:H,2,FALSE)*G3606)</f>
        <v/>
      </c>
      <c r="W3606" s="508">
        <f t="shared" si="2772"/>
        <v>0</v>
      </c>
      <c r="X3606" s="508">
        <f t="shared" si="2773"/>
        <v>0</v>
      </c>
      <c r="Y3606" s="509" t="b">
        <f t="shared" si="2774"/>
        <v>0</v>
      </c>
      <c r="Z3606" s="510">
        <f t="shared" si="2775"/>
        <v>0</v>
      </c>
      <c r="AA3606" s="511"/>
      <c r="AB3606" s="511" t="str">
        <f t="shared" si="2776"/>
        <v/>
      </c>
      <c r="AC3606" s="698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698"/>
      <c r="AE3606" s="631" t="str">
        <f t="shared" si="2777"/>
        <v/>
      </c>
      <c r="AF3606" s="699" t="str">
        <f t="shared" si="2778"/>
        <v/>
      </c>
      <c r="AG3606" s="699"/>
      <c r="AH3606" s="699"/>
      <c r="AI3606" s="512">
        <f>IF(H3606="credit",0,IF(AE3606="free",0,IF(AE3606="me",0,IF(G3606&gt;0,(VLOOKUP(A3606,'Discount Lookup'!J:K,2)*G3606),0))))</f>
        <v>0</v>
      </c>
      <c r="AJ3606" s="513" t="str">
        <f t="shared" ca="1" si="2779"/>
        <v/>
      </c>
      <c r="AK3606" s="700" t="str">
        <f t="shared" si="2780"/>
        <v/>
      </c>
      <c r="AL3606" s="700"/>
      <c r="AM3606" s="505" t="str">
        <f t="shared" si="2781"/>
        <v/>
      </c>
      <c r="AN3606" s="506"/>
      <c r="AO3606" s="507"/>
      <c r="AP3606" s="507"/>
      <c r="AQ3606" s="507"/>
      <c r="AR3606" s="507"/>
      <c r="AS3606" s="507"/>
      <c r="AT3606" s="507"/>
      <c r="AU3606" s="507"/>
      <c r="AV3606" s="225"/>
      <c r="AW3606" s="508"/>
      <c r="AX3606" s="225"/>
      <c r="AY3606" s="225"/>
      <c r="AZ3606" s="225"/>
      <c r="BA3606" s="225"/>
      <c r="BB3606" s="225"/>
      <c r="BC3606" s="56"/>
      <c r="BD3606" s="56"/>
      <c r="BE3606" s="56"/>
      <c r="BF3606" s="107" t="str">
        <f t="shared" si="2782"/>
        <v>https://www.google.com/search?tbm=isch&amp;q=moist%20sites%F0%9F%92%A7BEST%2C%20Sun%20Valley%20are%20all%20male%20%28seedless%2C%20less%20messy%29.%20Showy%20Red%20bloom.%20Long-lasting%20Orange-Red%20fall%20colors%20</v>
      </c>
      <c r="BG3606" s="107" t="str">
        <f t="shared" si="2783"/>
        <v>m</v>
      </c>
      <c r="BH3606" s="254"/>
      <c r="BI3606" s="254"/>
    </row>
    <row r="3607" spans="1:61" customFormat="1" ht="18" x14ac:dyDescent="0.25">
      <c r="A3607" s="523" t="s">
        <v>1846</v>
      </c>
      <c r="B3607" s="235"/>
      <c r="C3607" s="676"/>
      <c r="D3607" s="255" t="s">
        <v>1847</v>
      </c>
      <c r="E3607" s="236"/>
      <c r="F3607" s="236"/>
      <c r="G3607" s="236"/>
      <c r="H3607" s="582" t="s">
        <v>441</v>
      </c>
      <c r="I3607" s="498" t="s">
        <v>665</v>
      </c>
      <c r="J3607" s="237"/>
      <c r="K3607" s="237"/>
      <c r="L3607" s="274"/>
      <c r="M3607" s="668" t="s">
        <v>4975</v>
      </c>
      <c r="N3607" s="681" t="str">
        <f>IF(AND(ISTEXT($A3607), ISERROR($A3607+0)), HYPERLINK($BF3607, "Images"), "")</f>
        <v>Images</v>
      </c>
      <c r="O3607" s="663" t="s">
        <v>4967</v>
      </c>
      <c r="P3607" s="253"/>
      <c r="Q3607" s="238"/>
      <c r="R3607" s="239"/>
      <c r="S3607" s="275"/>
      <c r="T3607" s="508">
        <f t="shared" si="2771"/>
        <v>0</v>
      </c>
      <c r="U3607" s="225" t="str">
        <f>IF(NOT(ISNUMBER(G3607)), "", VLOOKUP(A3607,'Discount Lookup'!D:E,2,FALSE)*G3607)</f>
        <v/>
      </c>
      <c r="V3607" s="225" t="str">
        <f>IF(NOT(ISNUMBER(G3607)), "", VLOOKUP(A3607,'Discount Lookup'!G:H,2,FALSE)*G3607)</f>
        <v/>
      </c>
      <c r="W3607" s="508">
        <f t="shared" si="2772"/>
        <v>0</v>
      </c>
      <c r="X3607" s="508" t="str">
        <f t="shared" si="2773"/>
        <v>Yellow bloom</v>
      </c>
      <c r="Y3607" s="509" t="b">
        <f t="shared" si="2774"/>
        <v>0</v>
      </c>
      <c r="Z3607" s="510">
        <f t="shared" si="2775"/>
        <v>0</v>
      </c>
      <c r="AA3607" s="511"/>
      <c r="AB3607" s="511" t="str">
        <f t="shared" si="2776"/>
        <v/>
      </c>
      <c r="AC3607" s="698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698"/>
      <c r="AE3607" s="631" t="str">
        <f t="shared" si="2777"/>
        <v/>
      </c>
      <c r="AF3607" s="699" t="str">
        <f t="shared" si="2778"/>
        <v/>
      </c>
      <c r="AG3607" s="699"/>
      <c r="AH3607" s="699"/>
      <c r="AI3607" s="512">
        <f>IF(H3607="credit",0,IF(AE3607="free",0,IF(AE3607="me",0,IF(G3607&gt;0,(VLOOKUP(A3607,'Discount Lookup'!J:K,2)*G3607),0))))</f>
        <v>0</v>
      </c>
      <c r="AJ3607" s="513" t="str">
        <f t="shared" ca="1" si="2779"/>
        <v/>
      </c>
      <c r="AK3607" s="700" t="str">
        <f t="shared" si="2780"/>
        <v/>
      </c>
      <c r="AL3607" s="700"/>
      <c r="AM3607" s="505" t="str">
        <f t="shared" si="2781"/>
        <v/>
      </c>
      <c r="AN3607" s="506"/>
      <c r="AO3607" s="507"/>
      <c r="AP3607" s="507"/>
      <c r="AQ3607" s="507"/>
      <c r="AR3607" s="507"/>
      <c r="AS3607" s="507"/>
      <c r="AT3607" s="507"/>
      <c r="AU3607" s="507"/>
      <c r="AV3607" s="225"/>
      <c r="AW3607" s="508"/>
      <c r="AX3607" s="225"/>
      <c r="AY3607" s="225"/>
      <c r="AZ3607" s="225"/>
      <c r="BA3607" s="225"/>
      <c r="BB3607" s="225"/>
      <c r="BC3607" s="56"/>
      <c r="BD3607" s="56"/>
      <c r="BE3607" s="56"/>
      <c r="BF3607" s="107" t="str">
        <f t="shared" si="2782"/>
        <v>https://www.google.com/search?tbm=isch&amp;q=Sunburst%20St.%20John%27s%20Wort%20Hypericum%20frondosum%20%27Sunburst%27</v>
      </c>
      <c r="BG3607" s="107" t="str">
        <f t="shared" si="2783"/>
        <v>S</v>
      </c>
      <c r="BH3607" s="254"/>
      <c r="BI3607" s="254"/>
    </row>
    <row r="3608" spans="1:61" customFormat="1" ht="27" x14ac:dyDescent="0.25">
      <c r="A3608" s="276">
        <v>3</v>
      </c>
      <c r="B3608" s="240" t="s">
        <v>291</v>
      </c>
      <c r="C3608" s="241" t="s">
        <v>3280</v>
      </c>
      <c r="D3608" s="242" t="s">
        <v>299</v>
      </c>
      <c r="E3608" s="243">
        <v>36.950000000000003</v>
      </c>
      <c r="F3608" s="517" t="s">
        <v>293</v>
      </c>
      <c r="G3608" s="232">
        <v>0</v>
      </c>
      <c r="H3608" s="661" t="str">
        <f>IF(G3608=0,"",IF(F3608="Buy",IF(G3608=1,"plant","plants"),IF(F3608&gt;0.01,"warranty","Error")))</f>
        <v/>
      </c>
      <c r="I3608" s="244">
        <f>IF(H3608="free",0,IF(H3608="credit",((E3608*(F3608))*G3608*-1),IF(F3608="Buy",(E3608*G3608),((E3608*(1-F3608))*G3608))))</f>
        <v>0</v>
      </c>
      <c r="J3608" s="244">
        <f>IF(H3608="warranty",0,(I3608*(_xlfn.SINGLE(SalesTaxPercentage))))</f>
        <v>0</v>
      </c>
      <c r="K3608" s="696">
        <f t="shared" ref="K3608" si="2789">I3608+J3608</f>
        <v>0</v>
      </c>
      <c r="L3608" s="696"/>
      <c r="M3608" s="659" t="str">
        <f>IF(AND(G3608&gt;0,E3608=0),"WARNING - no PRICE inserted",IF(H3608="free"," FREE ~ no charge this plant",IF(H3608="credit",CONCATENATE(" -$",ROUND(K3608*(1-T2GDiscount)*-1,2)," CREDIT after discount"),IF(T2GDiscount=0,"",IF(G3608=0,"",IF(F3608="Buy",CONCATENATE(" $",ROUND(K3608*(1-T2GDiscount),2)," with ",(T2GDiscount*100),"% discount"),CONCATENATE(" $",ROUND(K3608*(1-T2GDiscount),2)," with ",((T2GDiscount*100+F3608*100)-(T2GDiscount*100*F3608)),IF(F3608&gt;0,"% discounts",IF(NoWarrantyDiscount&gt;0,"% discounts","% discount")))))))))</f>
        <v/>
      </c>
      <c r="N3608" s="660"/>
      <c r="O3608" s="233"/>
      <c r="P3608" s="233"/>
      <c r="Q3608" s="233"/>
      <c r="R3608" s="233"/>
      <c r="S3608" s="233"/>
      <c r="T3608" s="508">
        <f t="shared" si="2771"/>
        <v>0</v>
      </c>
      <c r="U3608" s="225">
        <f>IF(NOT(ISNUMBER(G3608)), "", VLOOKUP(A3608,'Discount Lookup'!D:E,2,FALSE)*G3608)</f>
        <v>0</v>
      </c>
      <c r="V3608" s="225">
        <f>IF(NOT(ISNUMBER(G3608)), "", VLOOKUP(A3608,'Discount Lookup'!G:H,2,FALSE)*G3608)</f>
        <v>0</v>
      </c>
      <c r="W3608" s="508">
        <f t="shared" si="2772"/>
        <v>0</v>
      </c>
      <c r="X3608" s="508">
        <f t="shared" si="2773"/>
        <v>0</v>
      </c>
      <c r="Y3608" s="509" t="b">
        <f t="shared" si="2774"/>
        <v>0</v>
      </c>
      <c r="Z3608" s="510">
        <f t="shared" si="2775"/>
        <v>0</v>
      </c>
      <c r="AA3608" s="511"/>
      <c r="AB3608" s="511" t="str">
        <f t="shared" si="2776"/>
        <v/>
      </c>
      <c r="AC3608" s="698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698"/>
      <c r="AE3608" s="631" t="str">
        <f t="shared" si="2777"/>
        <v/>
      </c>
      <c r="AF3608" s="699" t="str">
        <f t="shared" si="2778"/>
        <v/>
      </c>
      <c r="AG3608" s="699"/>
      <c r="AH3608" s="699"/>
      <c r="AI3608" s="512">
        <f>IF(H3608="credit",0,IF(AE3608="free",0,IF(AE3608="me",0,IF(G3608&gt;0,(VLOOKUP(A3608,'Discount Lookup'!J:K,2)*G3608),0))))</f>
        <v>0</v>
      </c>
      <c r="AJ3608" s="513" t="str">
        <f t="shared" ca="1" si="2779"/>
        <v/>
      </c>
      <c r="AK3608" s="700" t="str">
        <f t="shared" si="2780"/>
        <v/>
      </c>
      <c r="AL3608" s="700"/>
      <c r="AM3608" s="505" t="str">
        <f t="shared" si="2781"/>
        <v/>
      </c>
      <c r="AN3608" s="506"/>
      <c r="AO3608" s="507"/>
      <c r="AP3608" s="507"/>
      <c r="AQ3608" s="507"/>
      <c r="AR3608" s="507"/>
      <c r="AS3608" s="507"/>
      <c r="AT3608" s="507"/>
      <c r="AU3608" s="507"/>
      <c r="AV3608" s="225"/>
      <c r="AW3608" s="508"/>
      <c r="AX3608" s="225"/>
      <c r="AY3608" s="225"/>
      <c r="AZ3608" s="225"/>
      <c r="BA3608" s="225"/>
      <c r="BB3608" s="225"/>
      <c r="BC3608" s="56"/>
      <c r="BD3608" s="56"/>
      <c r="BE3608" s="56"/>
      <c r="BF3608" s="107" t="str">
        <f t="shared" si="2782"/>
        <v>https://www.google.com/search?tbm=isch&amp;q=3%20G5</v>
      </c>
      <c r="BG3608" s="107" t="str">
        <f t="shared" si="2783"/>
        <v>S</v>
      </c>
      <c r="BH3608" s="254"/>
      <c r="BI3608" s="254"/>
    </row>
    <row r="3609" spans="1:61" customFormat="1" ht="17.25" thickBot="1" x14ac:dyDescent="0.3">
      <c r="A3609" s="524" t="s">
        <v>3927</v>
      </c>
      <c r="B3609" s="245"/>
      <c r="C3609" s="677"/>
      <c r="D3609" s="499"/>
      <c r="E3609" s="499"/>
      <c r="F3609" s="500"/>
      <c r="G3609" s="501"/>
      <c r="H3609" s="502"/>
      <c r="I3609" s="246"/>
      <c r="J3609" s="247"/>
      <c r="K3609" s="503"/>
      <c r="L3609" s="544"/>
      <c r="M3609" s="544"/>
      <c r="N3609" s="500"/>
      <c r="O3609" s="500"/>
      <c r="P3609" s="500"/>
      <c r="Q3609" s="500"/>
      <c r="R3609" s="500"/>
      <c r="S3609" s="278"/>
      <c r="T3609" s="508">
        <f t="shared" si="2771"/>
        <v>0</v>
      </c>
      <c r="U3609" s="225" t="str">
        <f>IF(NOT(ISNUMBER(G3609)), "", VLOOKUP(A3609,'Discount Lookup'!D:E,2,FALSE)*G3609)</f>
        <v/>
      </c>
      <c r="V3609" s="225" t="str">
        <f>IF(NOT(ISNUMBER(G3609)), "", VLOOKUP(A3609,'Discount Lookup'!G:H,2,FALSE)*G3609)</f>
        <v/>
      </c>
      <c r="W3609" s="508">
        <f t="shared" si="2772"/>
        <v>0</v>
      </c>
      <c r="X3609" s="508">
        <f t="shared" si="2773"/>
        <v>0</v>
      </c>
      <c r="Y3609" s="509" t="b">
        <f t="shared" si="2774"/>
        <v>0</v>
      </c>
      <c r="Z3609" s="510">
        <f t="shared" si="2775"/>
        <v>0</v>
      </c>
      <c r="AA3609" s="511"/>
      <c r="AB3609" s="511" t="str">
        <f t="shared" si="2776"/>
        <v/>
      </c>
      <c r="AC3609" s="698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698"/>
      <c r="AE3609" s="631" t="str">
        <f t="shared" si="2777"/>
        <v/>
      </c>
      <c r="AF3609" s="699" t="str">
        <f t="shared" si="2778"/>
        <v/>
      </c>
      <c r="AG3609" s="699"/>
      <c r="AH3609" s="699"/>
      <c r="AI3609" s="512">
        <f>IF(H3609="credit",0,IF(AE3609="free",0,IF(AE3609="me",0,IF(G3609&gt;0,(VLOOKUP(A3609,'Discount Lookup'!J:K,2)*G3609),0))))</f>
        <v>0</v>
      </c>
      <c r="AJ3609" s="513" t="str">
        <f t="shared" ca="1" si="2779"/>
        <v/>
      </c>
      <c r="AK3609" s="700" t="str">
        <f t="shared" si="2780"/>
        <v/>
      </c>
      <c r="AL3609" s="700"/>
      <c r="AM3609" s="505" t="str">
        <f t="shared" si="2781"/>
        <v/>
      </c>
      <c r="AN3609" s="506"/>
      <c r="AO3609" s="507"/>
      <c r="AP3609" s="507"/>
      <c r="AQ3609" s="507"/>
      <c r="AR3609" s="507"/>
      <c r="AS3609" s="507"/>
      <c r="AT3609" s="507"/>
      <c r="AU3609" s="507"/>
      <c r="AV3609" s="225"/>
      <c r="AW3609" s="508"/>
      <c r="AX3609" s="225"/>
      <c r="AY3609" s="225"/>
      <c r="AZ3609" s="225"/>
      <c r="BA3609" s="225"/>
      <c r="BB3609" s="225"/>
      <c r="BC3609" s="56"/>
      <c r="BD3609" s="56"/>
      <c r="BE3609" s="56"/>
      <c r="BF3609" s="107" t="str">
        <f t="shared" si="2782"/>
        <v>https://www.google.com/search?tbm=isch&amp;q=Sunburst%27s%20large%20blooms%20look%20great%20against%20Blue-tinged%20Green%20foliage%20%26%20exfoliating%20Cinnamon-Brown%20bark%20</v>
      </c>
      <c r="BG3609" s="107" t="str">
        <f t="shared" si="2783"/>
        <v>S</v>
      </c>
      <c r="BH3609" s="254"/>
      <c r="BI3609" s="254"/>
    </row>
    <row r="3610" spans="1:61" customFormat="1" ht="18" x14ac:dyDescent="0.25">
      <c r="A3610" s="523" t="s">
        <v>3293</v>
      </c>
      <c r="B3610" s="235"/>
      <c r="C3610" s="676"/>
      <c r="D3610" s="255" t="s">
        <v>1848</v>
      </c>
      <c r="E3610" s="236"/>
      <c r="F3610" s="236"/>
      <c r="G3610" s="236"/>
      <c r="H3610" s="582" t="s">
        <v>316</v>
      </c>
      <c r="I3610" s="498" t="s">
        <v>1365</v>
      </c>
      <c r="J3610" s="237"/>
      <c r="K3610" s="237"/>
      <c r="L3610" s="274"/>
      <c r="M3610" s="668" t="s">
        <v>4975</v>
      </c>
      <c r="N3610" s="681" t="str">
        <f>IF(AND(ISTEXT($A3610), ISERROR($A3610+0)), HYPERLINK($BF3610, "Images"), "")</f>
        <v>Images</v>
      </c>
      <c r="O3610" s="663" t="s">
        <v>4967</v>
      </c>
      <c r="P3610" s="253"/>
      <c r="Q3610" s="238"/>
      <c r="R3610" s="239"/>
      <c r="S3610" s="275"/>
      <c r="T3610" s="508">
        <f t="shared" si="2771"/>
        <v>0</v>
      </c>
      <c r="U3610" s="225" t="str">
        <f>IF(NOT(ISNUMBER(G3610)), "", VLOOKUP(A3610,'Discount Lookup'!D:E,2,FALSE)*G3610)</f>
        <v/>
      </c>
      <c r="V3610" s="225" t="str">
        <f>IF(NOT(ISNUMBER(G3610)), "", VLOOKUP(A3610,'Discount Lookup'!G:H,2,FALSE)*G3610)</f>
        <v/>
      </c>
      <c r="W3610" s="508">
        <f t="shared" si="2772"/>
        <v>0</v>
      </c>
      <c r="X3610" s="508" t="str">
        <f t="shared" si="2773"/>
        <v>Lemon-Yellow bloom</v>
      </c>
      <c r="Y3610" s="509" t="b">
        <f t="shared" si="2774"/>
        <v>0</v>
      </c>
      <c r="Z3610" s="510">
        <f t="shared" si="2775"/>
        <v>0</v>
      </c>
      <c r="AA3610" s="511"/>
      <c r="AB3610" s="511" t="str">
        <f t="shared" si="2776"/>
        <v/>
      </c>
      <c r="AC3610" s="698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698"/>
      <c r="AE3610" s="631" t="str">
        <f t="shared" si="2777"/>
        <v/>
      </c>
      <c r="AF3610" s="699" t="str">
        <f t="shared" si="2778"/>
        <v/>
      </c>
      <c r="AG3610" s="699"/>
      <c r="AH3610" s="699"/>
      <c r="AI3610" s="512">
        <f>IF(H3610="credit",0,IF(AE3610="free",0,IF(AE3610="me",0,IF(G3610&gt;0,(VLOOKUP(A3610,'Discount Lookup'!J:K,2)*G3610),0))))</f>
        <v>0</v>
      </c>
      <c r="AJ3610" s="513" t="str">
        <f t="shared" ca="1" si="2779"/>
        <v/>
      </c>
      <c r="AK3610" s="700" t="str">
        <f t="shared" si="2780"/>
        <v/>
      </c>
      <c r="AL3610" s="700"/>
      <c r="AM3610" s="505" t="str">
        <f t="shared" si="2781"/>
        <v/>
      </c>
      <c r="AN3610" s="506"/>
      <c r="AO3610" s="507"/>
      <c r="AP3610" s="507"/>
      <c r="AQ3610" s="507"/>
      <c r="AR3610" s="507"/>
      <c r="AS3610" s="507"/>
      <c r="AT3610" s="507"/>
      <c r="AU3610" s="507"/>
      <c r="AV3610" s="225"/>
      <c r="AW3610" s="508"/>
      <c r="AX3610" s="225"/>
      <c r="AY3610" s="225"/>
      <c r="AZ3610" s="225"/>
      <c r="BA3610" s="225"/>
      <c r="BB3610" s="225"/>
      <c r="BC3610" s="56"/>
      <c r="BD3610" s="56"/>
      <c r="BE3610" s="56"/>
      <c r="BF3610" s="107" t="str">
        <f t="shared" si="2782"/>
        <v>https://www.google.com/search?tbm=isch&amp;q=Sunburst%20Witch%20Hazel%20Hamamelis%20x%20intermedia%20%27Sunburst%27%20PP%2317355</v>
      </c>
      <c r="BG3610" s="107" t="str">
        <f t="shared" si="2783"/>
        <v>S</v>
      </c>
      <c r="BH3610" s="254"/>
      <c r="BI3610" s="254"/>
    </row>
    <row r="3611" spans="1:61" customFormat="1" ht="15.75" x14ac:dyDescent="0.25">
      <c r="A3611" s="276">
        <v>15</v>
      </c>
      <c r="B3611" s="240" t="s">
        <v>291</v>
      </c>
      <c r="C3611" s="241"/>
      <c r="D3611" s="242" t="s">
        <v>300</v>
      </c>
      <c r="E3611" s="243">
        <v>160.94999999999999</v>
      </c>
      <c r="F3611" s="517" t="s">
        <v>293</v>
      </c>
      <c r="G3611" s="232">
        <v>0</v>
      </c>
      <c r="H3611" s="661" t="str">
        <f>IF(G3611=0,"",IF(F3611="Buy",IF(G3611=1,"plant","plants"),IF(F3611&gt;0.01,"warranty","Error")))</f>
        <v/>
      </c>
      <c r="I3611" s="244">
        <f>IF(H3611="free",0,IF(H3611="credit",((E3611*(F3611))*G3611*-1),IF(F3611="Buy",(E3611*G3611),((E3611*(1-F3611))*G3611))))</f>
        <v>0</v>
      </c>
      <c r="J3611" s="244">
        <f>IF(H3611="warranty",0,(I3611*(_xlfn.SINGLE(SalesTaxPercentage))))</f>
        <v>0</v>
      </c>
      <c r="K3611" s="696">
        <f t="shared" ref="K3611" si="2790">I3611+J3611</f>
        <v>0</v>
      </c>
      <c r="L3611" s="696"/>
      <c r="M3611" s="659" t="str">
        <f>IF(AND(G3611&gt;0,E3611=0),"WARNING - no PRICE inserted",IF(H3611="free"," FREE ~ no charge this plant",IF(H3611="credit",CONCATENATE(" -$",ROUND(K3611*(1-T2GDiscount)*-1,2)," CREDIT after discount"),IF(T2GDiscount=0,"",IF(G3611=0,"",IF(F3611="Buy",CONCATENATE(" $",ROUND(K3611*(1-T2GDiscount),2)," with ",(T2GDiscount*100),"% discount"),CONCATENATE(" $",ROUND(K3611*(1-T2GDiscount),2)," with ",((T2GDiscount*100+F3611*100)-(T2GDiscount*100*F3611)),IF(F3611&gt;0,"% discounts",IF(NoWarrantyDiscount&gt;0,"% discounts","% discount")))))))))</f>
        <v/>
      </c>
      <c r="N3611" s="660"/>
      <c r="O3611" s="233"/>
      <c r="P3611" s="233"/>
      <c r="Q3611" s="233"/>
      <c r="R3611" s="233"/>
      <c r="S3611" s="233"/>
      <c r="T3611" s="508">
        <f t="shared" si="2771"/>
        <v>0</v>
      </c>
      <c r="U3611" s="225">
        <f>IF(NOT(ISNUMBER(G3611)), "", VLOOKUP(A3611,'Discount Lookup'!D:E,2,FALSE)*G3611)</f>
        <v>0</v>
      </c>
      <c r="V3611" s="225">
        <f>IF(NOT(ISNUMBER(G3611)), "", VLOOKUP(A3611,'Discount Lookup'!G:H,2,FALSE)*G3611)</f>
        <v>0</v>
      </c>
      <c r="W3611" s="508">
        <f t="shared" si="2772"/>
        <v>0</v>
      </c>
      <c r="X3611" s="508">
        <f t="shared" si="2773"/>
        <v>0</v>
      </c>
      <c r="Y3611" s="509" t="b">
        <f t="shared" si="2774"/>
        <v>0</v>
      </c>
      <c r="Z3611" s="510">
        <f t="shared" si="2775"/>
        <v>0</v>
      </c>
      <c r="AA3611" s="511"/>
      <c r="AB3611" s="511" t="str">
        <f t="shared" si="2776"/>
        <v/>
      </c>
      <c r="AC3611" s="698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698"/>
      <c r="AE3611" s="631" t="str">
        <f t="shared" si="2777"/>
        <v/>
      </c>
      <c r="AF3611" s="699" t="str">
        <f t="shared" si="2778"/>
        <v/>
      </c>
      <c r="AG3611" s="699"/>
      <c r="AH3611" s="699"/>
      <c r="AI3611" s="512">
        <f>IF(H3611="credit",0,IF(AE3611="free",0,IF(AE3611="me",0,IF(G3611&gt;0,(VLOOKUP(A3611,'Discount Lookup'!J:K,2)*G3611),0))))</f>
        <v>0</v>
      </c>
      <c r="AJ3611" s="513" t="str">
        <f t="shared" ca="1" si="2779"/>
        <v/>
      </c>
      <c r="AK3611" s="700" t="str">
        <f t="shared" si="2780"/>
        <v/>
      </c>
      <c r="AL3611" s="700"/>
      <c r="AM3611" s="505" t="str">
        <f t="shared" si="2781"/>
        <v/>
      </c>
      <c r="AN3611" s="506"/>
      <c r="AO3611" s="507"/>
      <c r="AP3611" s="507"/>
      <c r="AQ3611" s="507"/>
      <c r="AR3611" s="507"/>
      <c r="AS3611" s="507"/>
      <c r="AT3611" s="507"/>
      <c r="AU3611" s="507"/>
      <c r="AV3611" s="225"/>
      <c r="AW3611" s="508"/>
      <c r="AX3611" s="225"/>
      <c r="AY3611" s="225"/>
      <c r="AZ3611" s="225"/>
      <c r="BA3611" s="225"/>
      <c r="BB3611" s="225"/>
      <c r="BC3611" s="56"/>
      <c r="BD3611" s="56"/>
      <c r="BE3611" s="56"/>
      <c r="BF3611" s="107" t="str">
        <f t="shared" si="2782"/>
        <v>https://www.google.com/search?tbm=isch&amp;q=15%20G6</v>
      </c>
      <c r="BG3611" s="107" t="str">
        <f t="shared" si="2783"/>
        <v>S</v>
      </c>
      <c r="BH3611" s="254"/>
      <c r="BI3611" s="254"/>
    </row>
    <row r="3612" spans="1:61" customFormat="1" ht="17.25" thickBot="1" x14ac:dyDescent="0.3">
      <c r="A3612" s="673" t="s">
        <v>5255</v>
      </c>
      <c r="B3612" s="245"/>
      <c r="C3612" s="677"/>
      <c r="D3612" s="499"/>
      <c r="E3612" s="499"/>
      <c r="F3612" s="500"/>
      <c r="G3612" s="501"/>
      <c r="H3612" s="502"/>
      <c r="I3612" s="246"/>
      <c r="J3612" s="247"/>
      <c r="K3612" s="503"/>
      <c r="L3612" s="544"/>
      <c r="M3612" s="544"/>
      <c r="N3612" s="500"/>
      <c r="O3612" s="500"/>
      <c r="P3612" s="500"/>
      <c r="Q3612" s="500"/>
      <c r="R3612" s="500"/>
      <c r="S3612" s="278"/>
      <c r="T3612" s="508">
        <f t="shared" si="2771"/>
        <v>0</v>
      </c>
      <c r="U3612" s="225" t="str">
        <f>IF(NOT(ISNUMBER(G3612)), "", VLOOKUP(A3612,'Discount Lookup'!D:E,2,FALSE)*G3612)</f>
        <v/>
      </c>
      <c r="V3612" s="225" t="str">
        <f>IF(NOT(ISNUMBER(G3612)), "", VLOOKUP(A3612,'Discount Lookup'!G:H,2,FALSE)*G3612)</f>
        <v/>
      </c>
      <c r="W3612" s="508">
        <f t="shared" si="2772"/>
        <v>0</v>
      </c>
      <c r="X3612" s="508">
        <f t="shared" si="2773"/>
        <v>0</v>
      </c>
      <c r="Y3612" s="509" t="b">
        <f t="shared" si="2774"/>
        <v>0</v>
      </c>
      <c r="Z3612" s="510">
        <f t="shared" si="2775"/>
        <v>0</v>
      </c>
      <c r="AA3612" s="511"/>
      <c r="AB3612" s="511" t="str">
        <f t="shared" si="2776"/>
        <v/>
      </c>
      <c r="AC3612" s="698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698"/>
      <c r="AE3612" s="631" t="str">
        <f t="shared" si="2777"/>
        <v/>
      </c>
      <c r="AF3612" s="699" t="str">
        <f t="shared" si="2778"/>
        <v/>
      </c>
      <c r="AG3612" s="699"/>
      <c r="AH3612" s="699"/>
      <c r="AI3612" s="512">
        <f>IF(H3612="credit",0,IF(AE3612="free",0,IF(AE3612="me",0,IF(G3612&gt;0,(VLOOKUP(A3612,'Discount Lookup'!J:K,2)*G3612),0))))</f>
        <v>0</v>
      </c>
      <c r="AJ3612" s="513" t="str">
        <f t="shared" ca="1" si="2779"/>
        <v/>
      </c>
      <c r="AK3612" s="700" t="str">
        <f t="shared" si="2780"/>
        <v/>
      </c>
      <c r="AL3612" s="700"/>
      <c r="AM3612" s="505" t="str">
        <f t="shared" si="2781"/>
        <v/>
      </c>
      <c r="AN3612" s="506"/>
      <c r="AO3612" s="507"/>
      <c r="AP3612" s="507"/>
      <c r="AQ3612" s="507"/>
      <c r="AR3612" s="507"/>
      <c r="AS3612" s="507"/>
      <c r="AT3612" s="507"/>
      <c r="AU3612" s="507"/>
      <c r="AV3612" s="225"/>
      <c r="AW3612" s="508"/>
      <c r="AX3612" s="225"/>
      <c r="AY3612" s="225"/>
      <c r="AZ3612" s="225"/>
      <c r="BA3612" s="225"/>
      <c r="BB3612" s="225"/>
      <c r="BC3612" s="56"/>
      <c r="BD3612" s="56"/>
      <c r="BE3612" s="56"/>
      <c r="BF3612" s="107" t="str">
        <f t="shared" si="2782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3612" s="107" t="str">
        <f t="shared" si="2783"/>
        <v>m</v>
      </c>
      <c r="BH3612" s="254"/>
      <c r="BI3612" s="254"/>
    </row>
    <row r="3613" spans="1:61" customFormat="1" ht="18" x14ac:dyDescent="0.25">
      <c r="A3613" s="521" t="s">
        <v>5623</v>
      </c>
      <c r="B3613" s="477"/>
      <c r="C3613" s="674"/>
      <c r="D3613" s="478" t="s">
        <v>1582</v>
      </c>
      <c r="E3613" s="479"/>
      <c r="F3613" s="479"/>
      <c r="G3613" s="479"/>
      <c r="H3613" s="582" t="s">
        <v>474</v>
      </c>
      <c r="I3613" s="480" t="s">
        <v>716</v>
      </c>
      <c r="J3613" s="479"/>
      <c r="K3613" s="479"/>
      <c r="L3613" s="560"/>
      <c r="M3613" s="671" t="s">
        <v>4990</v>
      </c>
      <c r="N3613" s="680" t="str">
        <f>IF(AND(ISTEXT($A3613), ISERROR($A3613+0)), HYPERLINK($BF3613, "Images"), "")</f>
        <v>Images</v>
      </c>
      <c r="O3613" s="662" t="s">
        <v>4974</v>
      </c>
      <c r="P3613" s="482"/>
      <c r="Q3613" s="483"/>
      <c r="R3613" s="483"/>
      <c r="S3613" s="484"/>
      <c r="T3613" s="508">
        <f t="shared" si="2771"/>
        <v>0</v>
      </c>
      <c r="U3613" s="225" t="str">
        <f>IF(NOT(ISNUMBER(G3613)), "", VLOOKUP(A3613,'Discount Lookup'!D:E,2,FALSE)*G3613)</f>
        <v/>
      </c>
      <c r="V3613" s="225" t="str">
        <f>IF(NOT(ISNUMBER(G3613)), "", VLOOKUP(A3613,'Discount Lookup'!G:H,2,FALSE)*G3613)</f>
        <v/>
      </c>
      <c r="W3613" s="508">
        <f t="shared" si="2772"/>
        <v>0</v>
      </c>
      <c r="X3613" s="508" t="str">
        <f t="shared" si="2773"/>
        <v>Reddish-Pink bloom</v>
      </c>
      <c r="Y3613" s="509" t="b">
        <f t="shared" si="2774"/>
        <v>0</v>
      </c>
      <c r="Z3613" s="510">
        <f t="shared" si="2775"/>
        <v>0</v>
      </c>
      <c r="AA3613" s="511"/>
      <c r="AB3613" s="511" t="str">
        <f t="shared" si="2776"/>
        <v/>
      </c>
      <c r="AC3613" s="698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698"/>
      <c r="AE3613" s="631" t="str">
        <f t="shared" si="2777"/>
        <v/>
      </c>
      <c r="AF3613" s="699" t="str">
        <f t="shared" si="2778"/>
        <v/>
      </c>
      <c r="AG3613" s="699"/>
      <c r="AH3613" s="699"/>
      <c r="AI3613" s="512">
        <f>IF(H3613="credit",0,IF(AE3613="free",0,IF(AE3613="me",0,IF(G3613&gt;0,(VLOOKUP(A3613,'Discount Lookup'!J:K,2)*G3613),0))))</f>
        <v>0</v>
      </c>
      <c r="AJ3613" s="513" t="str">
        <f t="shared" ca="1" si="2779"/>
        <v/>
      </c>
      <c r="AK3613" s="700" t="str">
        <f t="shared" si="2780"/>
        <v/>
      </c>
      <c r="AL3613" s="700"/>
      <c r="AM3613" s="505" t="str">
        <f t="shared" si="2781"/>
        <v/>
      </c>
      <c r="AN3613" s="506"/>
      <c r="AO3613" s="507"/>
      <c r="AP3613" s="507"/>
      <c r="AQ3613" s="507"/>
      <c r="AR3613" s="507"/>
      <c r="AS3613" s="507"/>
      <c r="AT3613" s="507"/>
      <c r="AU3613" s="507"/>
      <c r="AV3613" s="225"/>
      <c r="AW3613" s="508"/>
      <c r="AX3613" s="225"/>
      <c r="AY3613" s="225"/>
      <c r="AZ3613" s="225"/>
      <c r="BA3613" s="225"/>
      <c r="BB3613" s="225"/>
      <c r="BC3613" s="56"/>
      <c r="BD3613" s="56"/>
      <c r="BE3613" s="56"/>
      <c r="BF3613" s="107" t="str">
        <f t="shared" si="2782"/>
        <v>https://www.google.com/search?tbm=isch&amp;q=Sunglow%20Azalea%20%28PW%C2%AE%29%20Rhod.%20x%20carla%20%27Sunglow%27</v>
      </c>
      <c r="BG3613" s="107" t="str">
        <f t="shared" si="2783"/>
        <v>S</v>
      </c>
      <c r="BH3613" s="254"/>
      <c r="BI3613" s="254"/>
    </row>
    <row r="3614" spans="1:61" customFormat="1" ht="15.75" x14ac:dyDescent="0.25">
      <c r="A3614" s="485">
        <v>3</v>
      </c>
      <c r="B3614" s="486" t="s">
        <v>291</v>
      </c>
      <c r="C3614" s="487" t="s">
        <v>1583</v>
      </c>
      <c r="D3614" s="488" t="s">
        <v>297</v>
      </c>
      <c r="E3614" s="489">
        <v>22.95</v>
      </c>
      <c r="F3614" s="516" t="s">
        <v>293</v>
      </c>
      <c r="G3614" s="232">
        <v>0</v>
      </c>
      <c r="H3614" s="658" t="str">
        <f>IF(G3614=0,"",IF(F3614="Buy",IF(G3614=1,"plant","plants"),IF(F3614&gt;0.01,"warranty","Error")))</f>
        <v/>
      </c>
      <c r="I3614" s="490">
        <f>IF(H3614="free",0,IF(H3614="credit",((E3614*(F3614))*G3614*-1),IF(F3614="Buy",(E3614*G3614),((E3614*(1-F3614))*G3614))))</f>
        <v>0</v>
      </c>
      <c r="J3614" s="490">
        <f>IF(H3614="warranty",0,(I3614*(_xlfn.SINGLE(SalesTaxPercentage))))</f>
        <v>0</v>
      </c>
      <c r="K3614" s="695">
        <f t="shared" ref="K3614" si="2791">I3614+J3614</f>
        <v>0</v>
      </c>
      <c r="L3614" s="695"/>
      <c r="M3614" s="659" t="str">
        <f>IF(AND(G3614&gt;0,E3614=0),"WARNING - no PRICE inserted",IF(H3614="free"," FREE ~ no charge this plant",IF(H3614="credit",CONCATENATE(" -$",ROUND(K3614*(1-T2GDiscount)*-1,2)," CREDIT after discount"),IF(T2GDiscount=0,"",IF(G3614=0,"",IF(F3614="Buy",CONCATENATE(" $",ROUND(K3614*(1-T2GDiscount),2)," with ",(T2GDiscount*100),"% discount"),CONCATENATE(" $",ROUND(K3614*(1-T2GDiscount),2)," with ",((T2GDiscount*100+F3614*100)-(T2GDiscount*100*F3614)),IF(F3614&gt;0,"% discounts",IF(NoWarrantyDiscount&gt;0,"% discounts","% discount")))))))))</f>
        <v/>
      </c>
      <c r="N3614" s="660"/>
      <c r="O3614" s="233"/>
      <c r="P3614" s="233"/>
      <c r="Q3614" s="233"/>
      <c r="R3614" s="233"/>
      <c r="S3614" s="233"/>
      <c r="T3614" s="508">
        <f t="shared" si="2771"/>
        <v>0</v>
      </c>
      <c r="U3614" s="225">
        <f>IF(NOT(ISNUMBER(G3614)), "", VLOOKUP(A3614,'Discount Lookup'!D:E,2,FALSE)*G3614)</f>
        <v>0</v>
      </c>
      <c r="V3614" s="225">
        <f>IF(NOT(ISNUMBER(G3614)), "", VLOOKUP(A3614,'Discount Lookup'!G:H,2,FALSE)*G3614)</f>
        <v>0</v>
      </c>
      <c r="W3614" s="508">
        <f t="shared" si="2772"/>
        <v>0</v>
      </c>
      <c r="X3614" s="508">
        <f t="shared" si="2773"/>
        <v>0</v>
      </c>
      <c r="Y3614" s="509" t="b">
        <f t="shared" si="2774"/>
        <v>0</v>
      </c>
      <c r="Z3614" s="510">
        <f t="shared" si="2775"/>
        <v>0</v>
      </c>
      <c r="AA3614" s="511"/>
      <c r="AB3614" s="511" t="str">
        <f t="shared" si="2776"/>
        <v/>
      </c>
      <c r="AC3614" s="698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698"/>
      <c r="AE3614" s="631" t="str">
        <f t="shared" si="2777"/>
        <v/>
      </c>
      <c r="AF3614" s="699" t="str">
        <f t="shared" si="2778"/>
        <v/>
      </c>
      <c r="AG3614" s="699"/>
      <c r="AH3614" s="699"/>
      <c r="AI3614" s="512">
        <f>IF(H3614="credit",0,IF(AE3614="free",0,IF(AE3614="me",0,IF(G3614&gt;0,(VLOOKUP(A3614,'Discount Lookup'!J:K,2)*G3614),0))))</f>
        <v>0</v>
      </c>
      <c r="AJ3614" s="513" t="str">
        <f t="shared" ca="1" si="2779"/>
        <v/>
      </c>
      <c r="AK3614" s="700" t="str">
        <f t="shared" si="2780"/>
        <v/>
      </c>
      <c r="AL3614" s="700"/>
      <c r="AM3614" s="505" t="str">
        <f t="shared" si="2781"/>
        <v/>
      </c>
      <c r="AN3614" s="506"/>
      <c r="AO3614" s="507"/>
      <c r="AP3614" s="507"/>
      <c r="AQ3614" s="507"/>
      <c r="AR3614" s="507"/>
      <c r="AS3614" s="507"/>
      <c r="AT3614" s="507"/>
      <c r="AU3614" s="507"/>
      <c r="AV3614" s="225"/>
      <c r="AW3614" s="508"/>
      <c r="AX3614" s="225"/>
      <c r="AY3614" s="225"/>
      <c r="AZ3614" s="225"/>
      <c r="BA3614" s="225"/>
      <c r="BB3614" s="225"/>
      <c r="BC3614" s="56"/>
      <c r="BD3614" s="56"/>
      <c r="BE3614" s="56"/>
      <c r="BF3614" s="107" t="str">
        <f t="shared" si="2782"/>
        <v>https://www.google.com/search?tbm=isch&amp;q=3%20G3</v>
      </c>
      <c r="BG3614" s="107" t="str">
        <f t="shared" si="2783"/>
        <v>S</v>
      </c>
      <c r="BH3614" s="254"/>
      <c r="BI3614" s="254"/>
    </row>
    <row r="3615" spans="1:61" customFormat="1" ht="15.75" x14ac:dyDescent="0.25">
      <c r="A3615" s="485">
        <v>3</v>
      </c>
      <c r="B3615" s="486" t="s">
        <v>291</v>
      </c>
      <c r="C3615" s="487"/>
      <c r="D3615" s="488" t="s">
        <v>298</v>
      </c>
      <c r="E3615" s="489">
        <v>25.95</v>
      </c>
      <c r="F3615" s="516" t="s">
        <v>293</v>
      </c>
      <c r="G3615" s="232">
        <v>0</v>
      </c>
      <c r="H3615" s="658" t="str">
        <f>IF(G3615=0,"",IF(F3615="Buy",IF(G3615=1,"plant","plants"),IF(F3615&gt;0.01,"warranty","Error")))</f>
        <v/>
      </c>
      <c r="I3615" s="490">
        <f>IF(H3615="free",0,IF(H3615="credit",((E3615*(F3615))*G3615*-1),IF(F3615="Buy",(E3615*G3615),((E3615*(1-F3615))*G3615))))</f>
        <v>0</v>
      </c>
      <c r="J3615" s="490">
        <f>IF(H3615="warranty",0,(I3615*(_xlfn.SINGLE(SalesTaxPercentage))))</f>
        <v>0</v>
      </c>
      <c r="K3615" s="695">
        <f t="shared" ref="K3615" si="2792">I3615+J3615</f>
        <v>0</v>
      </c>
      <c r="L3615" s="695"/>
      <c r="M3615" s="659" t="str">
        <f>IF(AND(G3615&gt;0,E3615=0),"WARNING - no PRICE inserted",IF(H3615="free"," FREE ~ no charge this plant",IF(H3615="credit",CONCATENATE(" -$",ROUND(K3615*(1-T2GDiscount)*-1,2)," CREDIT after discount"),IF(T2GDiscount=0,"",IF(G3615=0,"",IF(F3615="Buy",CONCATENATE(" $",ROUND(K3615*(1-T2GDiscount),2)," with ",(T2GDiscount*100),"% discount"),CONCATENATE(" $",ROUND(K3615*(1-T2GDiscount),2)," with ",((T2GDiscount*100+F3615*100)-(T2GDiscount*100*F3615)),IF(F3615&gt;0,"% discounts",IF(NoWarrantyDiscount&gt;0,"% discounts","% discount")))))))))</f>
        <v/>
      </c>
      <c r="N3615" s="660"/>
      <c r="O3615" s="233"/>
      <c r="P3615" s="233"/>
      <c r="Q3615" s="233"/>
      <c r="R3615" s="233"/>
      <c r="S3615" s="233"/>
      <c r="T3615" s="508">
        <f t="shared" si="2771"/>
        <v>0</v>
      </c>
      <c r="U3615" s="225">
        <f>IF(NOT(ISNUMBER(G3615)), "", VLOOKUP(A3615,'Discount Lookup'!D:E,2,FALSE)*G3615)</f>
        <v>0</v>
      </c>
      <c r="V3615" s="225">
        <f>IF(NOT(ISNUMBER(G3615)), "", VLOOKUP(A3615,'Discount Lookup'!G:H,2,FALSE)*G3615)</f>
        <v>0</v>
      </c>
      <c r="W3615" s="508">
        <f t="shared" si="2772"/>
        <v>0</v>
      </c>
      <c r="X3615" s="508">
        <f t="shared" si="2773"/>
        <v>0</v>
      </c>
      <c r="Y3615" s="509" t="b">
        <f t="shared" si="2774"/>
        <v>0</v>
      </c>
      <c r="Z3615" s="510">
        <f t="shared" si="2775"/>
        <v>0</v>
      </c>
      <c r="AA3615" s="511"/>
      <c r="AB3615" s="511" t="str">
        <f t="shared" si="2776"/>
        <v/>
      </c>
      <c r="AC3615" s="698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698"/>
      <c r="AE3615" s="631" t="str">
        <f t="shared" si="2777"/>
        <v/>
      </c>
      <c r="AF3615" s="699" t="str">
        <f t="shared" si="2778"/>
        <v/>
      </c>
      <c r="AG3615" s="699"/>
      <c r="AH3615" s="699"/>
      <c r="AI3615" s="512">
        <f>IF(H3615="credit",0,IF(AE3615="free",0,IF(AE3615="me",0,IF(G3615&gt;0,(VLOOKUP(A3615,'Discount Lookup'!J:K,2)*G3615),0))))</f>
        <v>0</v>
      </c>
      <c r="AJ3615" s="513" t="str">
        <f t="shared" ca="1" si="2779"/>
        <v/>
      </c>
      <c r="AK3615" s="700" t="str">
        <f t="shared" si="2780"/>
        <v/>
      </c>
      <c r="AL3615" s="700"/>
      <c r="AM3615" s="505" t="str">
        <f t="shared" si="2781"/>
        <v/>
      </c>
      <c r="AN3615" s="506"/>
      <c r="AO3615" s="507"/>
      <c r="AP3615" s="507"/>
      <c r="AQ3615" s="507"/>
      <c r="AR3615" s="507"/>
      <c r="AS3615" s="507"/>
      <c r="AT3615" s="507"/>
      <c r="AU3615" s="507"/>
      <c r="AV3615" s="225"/>
      <c r="AW3615" s="508"/>
      <c r="AX3615" s="225"/>
      <c r="AY3615" s="225"/>
      <c r="AZ3615" s="225"/>
      <c r="BA3615" s="225"/>
      <c r="BB3615" s="225"/>
      <c r="BC3615" s="56"/>
      <c r="BD3615" s="56"/>
      <c r="BE3615" s="56"/>
      <c r="BF3615" s="107" t="str">
        <f t="shared" si="2782"/>
        <v>https://www.google.com/search?tbm=isch&amp;q=3%20G1</v>
      </c>
      <c r="BG3615" s="107" t="str">
        <f t="shared" si="2783"/>
        <v>S</v>
      </c>
      <c r="BH3615" s="254"/>
      <c r="BI3615" s="254"/>
    </row>
    <row r="3616" spans="1:61" customFormat="1" ht="15.75" x14ac:dyDescent="0.25">
      <c r="A3616" s="485">
        <v>3</v>
      </c>
      <c r="B3616" s="486" t="s">
        <v>291</v>
      </c>
      <c r="C3616" s="487" t="s">
        <v>2795</v>
      </c>
      <c r="D3616" s="488" t="s">
        <v>299</v>
      </c>
      <c r="E3616" s="489">
        <v>33.950000000000003</v>
      </c>
      <c r="F3616" s="516" t="s">
        <v>293</v>
      </c>
      <c r="G3616" s="232">
        <v>0</v>
      </c>
      <c r="H3616" s="658" t="str">
        <f>IF(G3616=0,"",IF(F3616="Buy",IF(G3616=1,"plant","plants"),IF(F3616&gt;0.01,"warranty","Error")))</f>
        <v/>
      </c>
      <c r="I3616" s="490">
        <f>IF(H3616="free",0,IF(H3616="credit",((E3616*(F3616))*G3616*-1),IF(F3616="Buy",(E3616*G3616),((E3616*(1-F3616))*G3616))))</f>
        <v>0</v>
      </c>
      <c r="J3616" s="490">
        <f>IF(H3616="warranty",0,(I3616*(_xlfn.SINGLE(SalesTaxPercentage))))</f>
        <v>0</v>
      </c>
      <c r="K3616" s="695">
        <f t="shared" ref="K3616" si="2793">I3616+J3616</f>
        <v>0</v>
      </c>
      <c r="L3616" s="695"/>
      <c r="M3616" s="659" t="str">
        <f>IF(AND(G3616&gt;0,E3616=0),"WARNING - no PRICE inserted",IF(H3616="free"," FREE ~ no charge this plant",IF(H3616="credit",CONCATENATE(" -$",ROUND(K3616*(1-T2GDiscount)*-1,2)," CREDIT after discount"),IF(T2GDiscount=0,"",IF(G3616=0,"",IF(F3616="Buy",CONCATENATE(" $",ROUND(K3616*(1-T2GDiscount),2)," with ",(T2GDiscount*100),"% discount"),CONCATENATE(" $",ROUND(K3616*(1-T2GDiscount),2)," with ",((T2GDiscount*100+F3616*100)-(T2GDiscount*100*F3616)),IF(F3616&gt;0,"% discounts",IF(NoWarrantyDiscount&gt;0,"% discounts","% discount")))))))))</f>
        <v/>
      </c>
      <c r="N3616" s="660"/>
      <c r="O3616" s="233"/>
      <c r="P3616" s="233"/>
      <c r="Q3616" s="233"/>
      <c r="R3616" s="233"/>
      <c r="S3616" s="233"/>
      <c r="T3616" s="508">
        <f t="shared" si="2771"/>
        <v>0</v>
      </c>
      <c r="U3616" s="225">
        <f>IF(NOT(ISNUMBER(G3616)), "", VLOOKUP(A3616,'Discount Lookup'!D:E,2,FALSE)*G3616)</f>
        <v>0</v>
      </c>
      <c r="V3616" s="225">
        <f>IF(NOT(ISNUMBER(G3616)), "", VLOOKUP(A3616,'Discount Lookup'!G:H,2,FALSE)*G3616)</f>
        <v>0</v>
      </c>
      <c r="W3616" s="508">
        <f t="shared" si="2772"/>
        <v>0</v>
      </c>
      <c r="X3616" s="508">
        <f t="shared" si="2773"/>
        <v>0</v>
      </c>
      <c r="Y3616" s="509" t="b">
        <f t="shared" si="2774"/>
        <v>0</v>
      </c>
      <c r="Z3616" s="510">
        <f t="shared" si="2775"/>
        <v>0</v>
      </c>
      <c r="AA3616" s="511"/>
      <c r="AB3616" s="511" t="str">
        <f t="shared" si="2776"/>
        <v/>
      </c>
      <c r="AC3616" s="698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698"/>
      <c r="AE3616" s="631" t="str">
        <f t="shared" si="2777"/>
        <v/>
      </c>
      <c r="AF3616" s="699" t="str">
        <f t="shared" si="2778"/>
        <v/>
      </c>
      <c r="AG3616" s="699"/>
      <c r="AH3616" s="699"/>
      <c r="AI3616" s="512">
        <f>IF(H3616="credit",0,IF(AE3616="free",0,IF(AE3616="me",0,IF(G3616&gt;0,(VLOOKUP(A3616,'Discount Lookup'!J:K,2)*G3616),0))))</f>
        <v>0</v>
      </c>
      <c r="AJ3616" s="513" t="str">
        <f t="shared" ca="1" si="2779"/>
        <v/>
      </c>
      <c r="AK3616" s="700" t="str">
        <f t="shared" si="2780"/>
        <v/>
      </c>
      <c r="AL3616" s="700"/>
      <c r="AM3616" s="505" t="str">
        <f t="shared" si="2781"/>
        <v/>
      </c>
      <c r="AN3616" s="506"/>
      <c r="AO3616" s="507"/>
      <c r="AP3616" s="507"/>
      <c r="AQ3616" s="507"/>
      <c r="AR3616" s="507"/>
      <c r="AS3616" s="507"/>
      <c r="AT3616" s="507"/>
      <c r="AU3616" s="507"/>
      <c r="AV3616" s="225"/>
      <c r="AW3616" s="508"/>
      <c r="AX3616" s="225"/>
      <c r="AY3616" s="225"/>
      <c r="AZ3616" s="225"/>
      <c r="BA3616" s="225"/>
      <c r="BB3616" s="225"/>
      <c r="BC3616" s="56"/>
      <c r="BD3616" s="56"/>
      <c r="BE3616" s="56"/>
      <c r="BF3616" s="107" t="str">
        <f t="shared" si="2782"/>
        <v>https://www.google.com/search?tbm=isch&amp;q=3%20G5</v>
      </c>
      <c r="BG3616" s="107" t="str">
        <f t="shared" si="2783"/>
        <v>S</v>
      </c>
      <c r="BH3616" s="254"/>
      <c r="BI3616" s="254"/>
    </row>
    <row r="3617" spans="1:61" customFormat="1" ht="15.75" x14ac:dyDescent="0.25">
      <c r="A3617" s="485">
        <v>5</v>
      </c>
      <c r="B3617" s="486" t="s">
        <v>291</v>
      </c>
      <c r="C3617" s="487" t="s">
        <v>1584</v>
      </c>
      <c r="D3617" s="488" t="s">
        <v>297</v>
      </c>
      <c r="E3617" s="489">
        <v>40.950000000000003</v>
      </c>
      <c r="F3617" s="516" t="s">
        <v>293</v>
      </c>
      <c r="G3617" s="232">
        <v>0</v>
      </c>
      <c r="H3617" s="658" t="str">
        <f>IF(G3617=0,"",IF(F3617="Buy",IF(G3617=1,"plant","plants"),IF(F3617&gt;0.01,"warranty","Error")))</f>
        <v/>
      </c>
      <c r="I3617" s="490">
        <f>IF(H3617="free",0,IF(H3617="credit",((E3617*(F3617))*G3617*-1),IF(F3617="Buy",(E3617*G3617),((E3617*(1-F3617))*G3617))))</f>
        <v>0</v>
      </c>
      <c r="J3617" s="490">
        <f>IF(H3617="warranty",0,(I3617*(_xlfn.SINGLE(SalesTaxPercentage))))</f>
        <v>0</v>
      </c>
      <c r="K3617" s="695">
        <f t="shared" ref="K3617" si="2794">I3617+J3617</f>
        <v>0</v>
      </c>
      <c r="L3617" s="695"/>
      <c r="M3617" s="659" t="str">
        <f>IF(AND(G3617&gt;0,E3617=0),"WARNING - no PRICE inserted",IF(H3617="free"," FREE ~ no charge this plant",IF(H3617="credit",CONCATENATE(" -$",ROUND(K3617*(1-T2GDiscount)*-1,2)," CREDIT after discount"),IF(T2GDiscount=0,"",IF(G3617=0,"",IF(F3617="Buy",CONCATENATE(" $",ROUND(K3617*(1-T2GDiscount),2)," with ",(T2GDiscount*100),"% discount"),CONCATENATE(" $",ROUND(K3617*(1-T2GDiscount),2)," with ",((T2GDiscount*100+F3617*100)-(T2GDiscount*100*F3617)),IF(F3617&gt;0,"% discounts",IF(NoWarrantyDiscount&gt;0,"% discounts","% discount")))))))))</f>
        <v/>
      </c>
      <c r="N3617" s="660"/>
      <c r="O3617" s="233"/>
      <c r="P3617" s="233"/>
      <c r="Q3617" s="233"/>
      <c r="R3617" s="233"/>
      <c r="S3617" s="233"/>
      <c r="T3617" s="508">
        <f t="shared" si="2771"/>
        <v>0</v>
      </c>
      <c r="U3617" s="225">
        <f>IF(NOT(ISNUMBER(G3617)), "", VLOOKUP(A3617,'Discount Lookup'!D:E,2,FALSE)*G3617)</f>
        <v>0</v>
      </c>
      <c r="V3617" s="225">
        <f>IF(NOT(ISNUMBER(G3617)), "", VLOOKUP(A3617,'Discount Lookup'!G:H,2,FALSE)*G3617)</f>
        <v>0</v>
      </c>
      <c r="W3617" s="508">
        <f t="shared" si="2772"/>
        <v>0</v>
      </c>
      <c r="X3617" s="508">
        <f t="shared" si="2773"/>
        <v>0</v>
      </c>
      <c r="Y3617" s="509" t="b">
        <f t="shared" si="2774"/>
        <v>0</v>
      </c>
      <c r="Z3617" s="510">
        <f t="shared" si="2775"/>
        <v>0</v>
      </c>
      <c r="AA3617" s="511"/>
      <c r="AB3617" s="511" t="str">
        <f t="shared" si="2776"/>
        <v/>
      </c>
      <c r="AC3617" s="698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698"/>
      <c r="AE3617" s="631" t="str">
        <f t="shared" si="2777"/>
        <v/>
      </c>
      <c r="AF3617" s="699" t="str">
        <f t="shared" si="2778"/>
        <v/>
      </c>
      <c r="AG3617" s="699"/>
      <c r="AH3617" s="699"/>
      <c r="AI3617" s="512">
        <f>IF(H3617="credit",0,IF(AE3617="free",0,IF(AE3617="me",0,IF(G3617&gt;0,(VLOOKUP(A3617,'Discount Lookup'!J:K,2)*G3617),0))))</f>
        <v>0</v>
      </c>
      <c r="AJ3617" s="513" t="str">
        <f t="shared" ca="1" si="2779"/>
        <v/>
      </c>
      <c r="AK3617" s="700" t="str">
        <f t="shared" si="2780"/>
        <v/>
      </c>
      <c r="AL3617" s="700"/>
      <c r="AM3617" s="505" t="str">
        <f t="shared" si="2781"/>
        <v/>
      </c>
      <c r="AN3617" s="506"/>
      <c r="AO3617" s="507"/>
      <c r="AP3617" s="507"/>
      <c r="AQ3617" s="507"/>
      <c r="AR3617" s="507"/>
      <c r="AS3617" s="507"/>
      <c r="AT3617" s="507"/>
      <c r="AU3617" s="507"/>
      <c r="AV3617" s="225"/>
      <c r="AW3617" s="508"/>
      <c r="AX3617" s="225"/>
      <c r="AY3617" s="225"/>
      <c r="AZ3617" s="225"/>
      <c r="BA3617" s="225"/>
      <c r="BB3617" s="225"/>
      <c r="BC3617" s="56"/>
      <c r="BD3617" s="56"/>
      <c r="BE3617" s="56"/>
      <c r="BF3617" s="107" t="str">
        <f t="shared" si="2782"/>
        <v>https://www.google.com/search?tbm=isch&amp;q=5%20G3</v>
      </c>
      <c r="BG3617" s="107" t="str">
        <f t="shared" si="2783"/>
        <v>S</v>
      </c>
      <c r="BH3617" s="254"/>
      <c r="BI3617" s="254"/>
    </row>
    <row r="3618" spans="1:61" customFormat="1" ht="17.25" thickBot="1" x14ac:dyDescent="0.3">
      <c r="A3618" s="522" t="s">
        <v>2618</v>
      </c>
      <c r="B3618" s="491"/>
      <c r="C3618" s="675"/>
      <c r="D3618" s="491"/>
      <c r="E3618" s="491"/>
      <c r="F3618" s="492"/>
      <c r="G3618" s="493"/>
      <c r="H3618" s="491"/>
      <c r="I3618" s="234"/>
      <c r="J3618" s="234"/>
      <c r="K3618" s="494"/>
      <c r="L3618" s="543"/>
      <c r="M3618" s="561"/>
      <c r="N3618" s="495"/>
      <c r="O3618" s="496"/>
      <c r="P3618" s="497"/>
      <c r="Q3618" s="495"/>
      <c r="R3618" s="495"/>
      <c r="S3618" s="667" t="s">
        <v>4988</v>
      </c>
      <c r="T3618" s="508">
        <f t="shared" si="2771"/>
        <v>0</v>
      </c>
      <c r="U3618" s="225" t="str">
        <f>IF(NOT(ISNUMBER(G3618)), "", VLOOKUP(A3618,'Discount Lookup'!D:E,2,FALSE)*G3618)</f>
        <v/>
      </c>
      <c r="V3618" s="225" t="str">
        <f>IF(NOT(ISNUMBER(G3618)), "", VLOOKUP(A3618,'Discount Lookup'!G:H,2,FALSE)*G3618)</f>
        <v/>
      </c>
      <c r="W3618" s="508">
        <f t="shared" si="2772"/>
        <v>0</v>
      </c>
      <c r="X3618" s="508">
        <f t="shared" si="2773"/>
        <v>0</v>
      </c>
      <c r="Y3618" s="509" t="b">
        <f t="shared" si="2774"/>
        <v>0</v>
      </c>
      <c r="Z3618" s="510">
        <f t="shared" si="2775"/>
        <v>0</v>
      </c>
      <c r="AA3618" s="511"/>
      <c r="AB3618" s="511" t="str">
        <f t="shared" si="2776"/>
        <v/>
      </c>
      <c r="AC3618" s="698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698"/>
      <c r="AE3618" s="631" t="str">
        <f t="shared" si="2777"/>
        <v/>
      </c>
      <c r="AF3618" s="699" t="str">
        <f t="shared" si="2778"/>
        <v/>
      </c>
      <c r="AG3618" s="699"/>
      <c r="AH3618" s="699"/>
      <c r="AI3618" s="512">
        <f>IF(H3618="credit",0,IF(AE3618="free",0,IF(AE3618="me",0,IF(G3618&gt;0,(VLOOKUP(A3618,'Discount Lookup'!J:K,2)*G3618),0))))</f>
        <v>0</v>
      </c>
      <c r="AJ3618" s="513" t="str">
        <f t="shared" ca="1" si="2779"/>
        <v/>
      </c>
      <c r="AK3618" s="700" t="str">
        <f t="shared" si="2780"/>
        <v/>
      </c>
      <c r="AL3618" s="700"/>
      <c r="AM3618" s="505" t="str">
        <f t="shared" si="2781"/>
        <v/>
      </c>
      <c r="AN3618" s="506"/>
      <c r="AO3618" s="507"/>
      <c r="AP3618" s="507"/>
      <c r="AQ3618" s="507"/>
      <c r="AR3618" s="507"/>
      <c r="AS3618" s="507"/>
      <c r="AT3618" s="507"/>
      <c r="AU3618" s="507"/>
      <c r="AV3618" s="225"/>
      <c r="AW3618" s="508"/>
      <c r="AX3618" s="225"/>
      <c r="AY3618" s="225"/>
      <c r="AZ3618" s="225"/>
      <c r="BA3618" s="225"/>
      <c r="BB3618" s="225"/>
      <c r="BC3618" s="56"/>
      <c r="BD3618" s="56"/>
      <c r="BE3618" s="56"/>
      <c r="BF3618" s="107" t="str">
        <f t="shared" si="2782"/>
        <v>https://www.google.com/search?tbm=isch&amp;q=Sunglow%20%20is%20a%20vigorous%20Carla%20that%20flowers%20mid-season%20and%20persists%20into%20early%20summer.%20Upright%20form%20and%20dense%20foliage%20</v>
      </c>
      <c r="BG3618" s="107" t="str">
        <f t="shared" si="2783"/>
        <v>S</v>
      </c>
      <c r="BH3618" s="254"/>
      <c r="BI3618" s="254"/>
    </row>
    <row r="3619" spans="1:61" customFormat="1" ht="18" x14ac:dyDescent="0.25">
      <c r="A3619" s="523" t="s">
        <v>3236</v>
      </c>
      <c r="B3619" s="235"/>
      <c r="C3619" s="676"/>
      <c r="D3619" s="255" t="s">
        <v>3237</v>
      </c>
      <c r="E3619" s="236"/>
      <c r="F3619" s="236"/>
      <c r="G3619" s="236"/>
      <c r="H3619" s="582" t="s">
        <v>720</v>
      </c>
      <c r="I3619" s="498" t="s">
        <v>1776</v>
      </c>
      <c r="J3619" s="237"/>
      <c r="K3619" s="237"/>
      <c r="L3619" s="274"/>
      <c r="M3619" s="668" t="s">
        <v>4975</v>
      </c>
      <c r="N3619" s="681" t="str">
        <f>IF(AND(ISTEXT($A3619), ISERROR($A3619+0)), HYPERLINK($BF3619, "Images"), "")</f>
        <v>Images</v>
      </c>
      <c r="O3619" s="663" t="s">
        <v>4967</v>
      </c>
      <c r="P3619" s="253"/>
      <c r="Q3619" s="238"/>
      <c r="R3619" s="239"/>
      <c r="S3619" s="275"/>
      <c r="T3619" s="508">
        <f t="shared" si="2771"/>
        <v>0</v>
      </c>
      <c r="U3619" s="225" t="str">
        <f>IF(NOT(ISNUMBER(G3619)), "", VLOOKUP(A3619,'Discount Lookup'!D:E,2,FALSE)*G3619)</f>
        <v/>
      </c>
      <c r="V3619" s="225" t="str">
        <f>IF(NOT(ISNUMBER(G3619)), "", VLOOKUP(A3619,'Discount Lookup'!G:H,2,FALSE)*G3619)</f>
        <v/>
      </c>
      <c r="W3619" s="508">
        <f t="shared" si="2772"/>
        <v>0</v>
      </c>
      <c r="X3619" s="508" t="str">
        <f t="shared" si="2773"/>
        <v>Golden-Yellow bloom</v>
      </c>
      <c r="Y3619" s="509" t="b">
        <f t="shared" si="2774"/>
        <v>0</v>
      </c>
      <c r="Z3619" s="510">
        <f t="shared" si="2775"/>
        <v>0</v>
      </c>
      <c r="AA3619" s="511"/>
      <c r="AB3619" s="511" t="str">
        <f t="shared" si="2776"/>
        <v/>
      </c>
      <c r="AC3619" s="698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698"/>
      <c r="AE3619" s="631" t="str">
        <f t="shared" si="2777"/>
        <v/>
      </c>
      <c r="AF3619" s="699" t="str">
        <f t="shared" si="2778"/>
        <v/>
      </c>
      <c r="AG3619" s="699"/>
      <c r="AH3619" s="699"/>
      <c r="AI3619" s="512">
        <f>IF(H3619="credit",0,IF(AE3619="free",0,IF(AE3619="me",0,IF(G3619&gt;0,(VLOOKUP(A3619,'Discount Lookup'!J:K,2)*G3619),0))))</f>
        <v>0</v>
      </c>
      <c r="AJ3619" s="513" t="str">
        <f t="shared" ca="1" si="2779"/>
        <v/>
      </c>
      <c r="AK3619" s="700" t="str">
        <f t="shared" si="2780"/>
        <v/>
      </c>
      <c r="AL3619" s="700"/>
      <c r="AM3619" s="505" t="str">
        <f t="shared" si="2781"/>
        <v/>
      </c>
      <c r="AN3619" s="506"/>
      <c r="AO3619" s="507"/>
      <c r="AP3619" s="507"/>
      <c r="AQ3619" s="507"/>
      <c r="AR3619" s="507"/>
      <c r="AS3619" s="507"/>
      <c r="AT3619" s="507"/>
      <c r="AU3619" s="507"/>
      <c r="AV3619" s="225"/>
      <c r="AW3619" s="508"/>
      <c r="AX3619" s="225"/>
      <c r="AY3619" s="225"/>
      <c r="AZ3619" s="225"/>
      <c r="BA3619" s="225"/>
      <c r="BB3619" s="225"/>
      <c r="BC3619" s="56"/>
      <c r="BD3619" s="56"/>
      <c r="BE3619" s="56"/>
      <c r="BF3619" s="107" t="str">
        <f t="shared" si="2782"/>
        <v>https://www.google.com/search?tbm=isch&amp;q=Sungold%20St.%20John%27s%20Wort%20Hypericum%20patalum%20%27Sungold%27</v>
      </c>
      <c r="BG3619" s="107" t="str">
        <f t="shared" si="2783"/>
        <v>S</v>
      </c>
      <c r="BH3619" s="254"/>
      <c r="BI3619" s="254"/>
    </row>
    <row r="3620" spans="1:61" customFormat="1" ht="15.75" x14ac:dyDescent="0.25">
      <c r="A3620" s="276">
        <v>3</v>
      </c>
      <c r="B3620" s="240" t="s">
        <v>291</v>
      </c>
      <c r="C3620" s="241"/>
      <c r="D3620" s="242" t="s">
        <v>298</v>
      </c>
      <c r="E3620" s="243">
        <v>25.95</v>
      </c>
      <c r="F3620" s="517" t="s">
        <v>293</v>
      </c>
      <c r="G3620" s="232">
        <v>0</v>
      </c>
      <c r="H3620" s="661" t="str">
        <f>IF(G3620=0,"",IF(F3620="Buy",IF(G3620=1,"plant","plants"),IF(F3620&gt;0.01,"warranty","Error")))</f>
        <v/>
      </c>
      <c r="I3620" s="244">
        <f>IF(H3620="free",0,IF(H3620="credit",((E3620*(F3620))*G3620*-1),IF(F3620="Buy",(E3620*G3620),((E3620*(1-F3620))*G3620))))</f>
        <v>0</v>
      </c>
      <c r="J3620" s="244">
        <f>IF(H3620="warranty",0,(I3620*(_xlfn.SINGLE(SalesTaxPercentage))))</f>
        <v>0</v>
      </c>
      <c r="K3620" s="696">
        <f t="shared" ref="K3620" si="2795">I3620+J3620</f>
        <v>0</v>
      </c>
      <c r="L3620" s="696"/>
      <c r="M3620" s="659" t="str">
        <f>IF(AND(G3620&gt;0,E3620=0),"WARNING - no PRICE inserted",IF(H3620="free"," FREE ~ no charge this plant",IF(H3620="credit",CONCATENATE(" -$",ROUND(K3620*(1-T2GDiscount)*-1,2)," CREDIT after discount"),IF(T2GDiscount=0,"",IF(G3620=0,"",IF(F3620="Buy",CONCATENATE(" $",ROUND(K3620*(1-T2GDiscount),2)," with ",(T2GDiscount*100),"% discount"),CONCATENATE(" $",ROUND(K3620*(1-T2GDiscount),2)," with ",((T2GDiscount*100+F3620*100)-(T2GDiscount*100*F3620)),IF(F3620&gt;0,"% discounts",IF(NoWarrantyDiscount&gt;0,"% discounts","% discount")))))))))</f>
        <v/>
      </c>
      <c r="N3620" s="660"/>
      <c r="O3620" s="233"/>
      <c r="P3620" s="233"/>
      <c r="Q3620" s="233"/>
      <c r="R3620" s="233"/>
      <c r="S3620" s="233"/>
      <c r="T3620" s="508">
        <f t="shared" si="2771"/>
        <v>0</v>
      </c>
      <c r="U3620" s="225">
        <f>IF(NOT(ISNUMBER(G3620)), "", VLOOKUP(A3620,'Discount Lookup'!D:E,2,FALSE)*G3620)</f>
        <v>0</v>
      </c>
      <c r="V3620" s="225">
        <f>IF(NOT(ISNUMBER(G3620)), "", VLOOKUP(A3620,'Discount Lookup'!G:H,2,FALSE)*G3620)</f>
        <v>0</v>
      </c>
      <c r="W3620" s="508">
        <f t="shared" si="2772"/>
        <v>0</v>
      </c>
      <c r="X3620" s="508">
        <f t="shared" si="2773"/>
        <v>0</v>
      </c>
      <c r="Y3620" s="509" t="b">
        <f t="shared" si="2774"/>
        <v>0</v>
      </c>
      <c r="Z3620" s="510">
        <f t="shared" si="2775"/>
        <v>0</v>
      </c>
      <c r="AA3620" s="511"/>
      <c r="AB3620" s="511" t="str">
        <f t="shared" si="2776"/>
        <v/>
      </c>
      <c r="AC3620" s="698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698"/>
      <c r="AE3620" s="631" t="str">
        <f t="shared" si="2777"/>
        <v/>
      </c>
      <c r="AF3620" s="699" t="str">
        <f t="shared" si="2778"/>
        <v/>
      </c>
      <c r="AG3620" s="699"/>
      <c r="AH3620" s="699"/>
      <c r="AI3620" s="512">
        <f>IF(H3620="credit",0,IF(AE3620="free",0,IF(AE3620="me",0,IF(G3620&gt;0,(VLOOKUP(A3620,'Discount Lookup'!J:K,2)*G3620),0))))</f>
        <v>0</v>
      </c>
      <c r="AJ3620" s="513" t="str">
        <f t="shared" ca="1" si="2779"/>
        <v/>
      </c>
      <c r="AK3620" s="700" t="str">
        <f t="shared" si="2780"/>
        <v/>
      </c>
      <c r="AL3620" s="700"/>
      <c r="AM3620" s="505" t="str">
        <f t="shared" si="2781"/>
        <v/>
      </c>
      <c r="AN3620" s="506"/>
      <c r="AO3620" s="507"/>
      <c r="AP3620" s="507"/>
      <c r="AQ3620" s="507"/>
      <c r="AR3620" s="507"/>
      <c r="AS3620" s="507"/>
      <c r="AT3620" s="507"/>
      <c r="AU3620" s="507"/>
      <c r="AV3620" s="225"/>
      <c r="AW3620" s="508"/>
      <c r="AX3620" s="225"/>
      <c r="AY3620" s="225"/>
      <c r="AZ3620" s="225"/>
      <c r="BA3620" s="225"/>
      <c r="BB3620" s="225"/>
      <c r="BC3620" s="56"/>
      <c r="BD3620" s="56"/>
      <c r="BE3620" s="56"/>
      <c r="BF3620" s="107" t="str">
        <f t="shared" si="2782"/>
        <v>https://www.google.com/search?tbm=isch&amp;q=3%20G1</v>
      </c>
      <c r="BG3620" s="107" t="str">
        <f t="shared" si="2783"/>
        <v>S</v>
      </c>
      <c r="BH3620" s="254"/>
      <c r="BI3620" s="254"/>
    </row>
    <row r="3621" spans="1:61" customFormat="1" ht="17.25" thickBot="1" x14ac:dyDescent="0.3">
      <c r="A3621" s="524" t="s">
        <v>3928</v>
      </c>
      <c r="B3621" s="245"/>
      <c r="C3621" s="677"/>
      <c r="D3621" s="499"/>
      <c r="E3621" s="499"/>
      <c r="F3621" s="500"/>
      <c r="G3621" s="501"/>
      <c r="H3621" s="502"/>
      <c r="I3621" s="246"/>
      <c r="J3621" s="247"/>
      <c r="K3621" s="503"/>
      <c r="L3621" s="544"/>
      <c r="M3621" s="544"/>
      <c r="N3621" s="500"/>
      <c r="O3621" s="500"/>
      <c r="P3621" s="500"/>
      <c r="Q3621" s="500"/>
      <c r="R3621" s="500"/>
      <c r="S3621" s="278"/>
      <c r="T3621" s="508">
        <f t="shared" si="2771"/>
        <v>0</v>
      </c>
      <c r="U3621" s="225" t="str">
        <f>IF(NOT(ISNUMBER(G3621)), "", VLOOKUP(A3621,'Discount Lookup'!D:E,2,FALSE)*G3621)</f>
        <v/>
      </c>
      <c r="V3621" s="225" t="str">
        <f>IF(NOT(ISNUMBER(G3621)), "", VLOOKUP(A3621,'Discount Lookup'!G:H,2,FALSE)*G3621)</f>
        <v/>
      </c>
      <c r="W3621" s="508">
        <f t="shared" si="2772"/>
        <v>0</v>
      </c>
      <c r="X3621" s="508">
        <f t="shared" si="2773"/>
        <v>0</v>
      </c>
      <c r="Y3621" s="509" t="b">
        <f t="shared" si="2774"/>
        <v>0</v>
      </c>
      <c r="Z3621" s="510">
        <f t="shared" si="2775"/>
        <v>0</v>
      </c>
      <c r="AA3621" s="511"/>
      <c r="AB3621" s="511" t="str">
        <f t="shared" si="2776"/>
        <v/>
      </c>
      <c r="AC3621" s="698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698"/>
      <c r="AE3621" s="631" t="str">
        <f t="shared" si="2777"/>
        <v/>
      </c>
      <c r="AF3621" s="699" t="str">
        <f t="shared" si="2778"/>
        <v/>
      </c>
      <c r="AG3621" s="699"/>
      <c r="AH3621" s="699"/>
      <c r="AI3621" s="512">
        <f>IF(H3621="credit",0,IF(AE3621="free",0,IF(AE3621="me",0,IF(G3621&gt;0,(VLOOKUP(A3621,'Discount Lookup'!J:K,2)*G3621),0))))</f>
        <v>0</v>
      </c>
      <c r="AJ3621" s="513" t="str">
        <f t="shared" ca="1" si="2779"/>
        <v/>
      </c>
      <c r="AK3621" s="700" t="str">
        <f t="shared" si="2780"/>
        <v/>
      </c>
      <c r="AL3621" s="700"/>
      <c r="AM3621" s="505" t="str">
        <f t="shared" si="2781"/>
        <v/>
      </c>
      <c r="AN3621" s="506"/>
      <c r="AO3621" s="507"/>
      <c r="AP3621" s="507"/>
      <c r="AQ3621" s="507"/>
      <c r="AR3621" s="507"/>
      <c r="AS3621" s="507"/>
      <c r="AT3621" s="507"/>
      <c r="AU3621" s="507"/>
      <c r="AV3621" s="225"/>
      <c r="AW3621" s="508"/>
      <c r="AX3621" s="225"/>
      <c r="AY3621" s="225"/>
      <c r="AZ3621" s="225"/>
      <c r="BA3621" s="225"/>
      <c r="BB3621" s="225"/>
      <c r="BC3621" s="56"/>
      <c r="BD3621" s="56"/>
      <c r="BE3621" s="56"/>
      <c r="BF3621" s="107" t="str">
        <f t="shared" si="2782"/>
        <v>https://www.google.com/search?tbm=isch&amp;q=Sungold%20has%20a%20profusion%20of%20flowers%20with%20prominent%20stamens%20that%20bloom%20over%20a%20long%20period%2C%20from%20summer%20into%20fall.%20Green%20foliage%20</v>
      </c>
      <c r="BG3621" s="107" t="str">
        <f t="shared" si="2783"/>
        <v>S</v>
      </c>
      <c r="BH3621" s="254"/>
      <c r="BI3621" s="254"/>
    </row>
    <row r="3622" spans="1:61" customFormat="1" ht="18" x14ac:dyDescent="0.25">
      <c r="A3622" s="521" t="s">
        <v>1849</v>
      </c>
      <c r="B3622" s="477"/>
      <c r="C3622" s="674"/>
      <c r="D3622" s="478" t="s">
        <v>1850</v>
      </c>
      <c r="E3622" s="479"/>
      <c r="F3622" s="479"/>
      <c r="G3622" s="479"/>
      <c r="H3622" s="582" t="s">
        <v>316</v>
      </c>
      <c r="I3622" s="480" t="s">
        <v>2293</v>
      </c>
      <c r="J3622" s="479"/>
      <c r="K3622" s="479"/>
      <c r="L3622" s="560"/>
      <c r="M3622" s="666" t="s">
        <v>4966</v>
      </c>
      <c r="N3622" s="680" t="str">
        <f>IF(AND(ISTEXT($A3622), ISERROR($A3622+0)), HYPERLINK($BF3622, "Images"), "")</f>
        <v>Images</v>
      </c>
      <c r="O3622" s="662" t="s">
        <v>4974</v>
      </c>
      <c r="P3622" s="482"/>
      <c r="Q3622" s="483"/>
      <c r="R3622" s="483"/>
      <c r="S3622" s="484"/>
      <c r="T3622" s="508">
        <f t="shared" si="2771"/>
        <v>0</v>
      </c>
      <c r="U3622" s="225" t="str">
        <f>IF(NOT(ISNUMBER(G3622)), "", VLOOKUP(A3622,'Discount Lookup'!D:E,2,FALSE)*G3622)</f>
        <v/>
      </c>
      <c r="V3622" s="225" t="str">
        <f>IF(NOT(ISNUMBER(G3622)), "", VLOOKUP(A3622,'Discount Lookup'!G:H,2,FALSE)*G3622)</f>
        <v/>
      </c>
      <c r="W3622" s="508">
        <f t="shared" si="2772"/>
        <v>0</v>
      </c>
      <c r="X3622" s="508" t="str">
        <f t="shared" si="2773"/>
        <v>Golden-Yellow foliage</v>
      </c>
      <c r="Y3622" s="509" t="b">
        <f t="shared" si="2774"/>
        <v>0</v>
      </c>
      <c r="Z3622" s="510">
        <f t="shared" si="2775"/>
        <v>0</v>
      </c>
      <c r="AA3622" s="511"/>
      <c r="AB3622" s="511" t="str">
        <f t="shared" si="2776"/>
        <v/>
      </c>
      <c r="AC3622" s="698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698"/>
      <c r="AE3622" s="631" t="str">
        <f t="shared" si="2777"/>
        <v/>
      </c>
      <c r="AF3622" s="699" t="str">
        <f t="shared" si="2778"/>
        <v/>
      </c>
      <c r="AG3622" s="699"/>
      <c r="AH3622" s="699"/>
      <c r="AI3622" s="512">
        <f>IF(H3622="credit",0,IF(AE3622="free",0,IF(AE3622="me",0,IF(G3622&gt;0,(VLOOKUP(A3622,'Discount Lookup'!J:K,2)*G3622),0))))</f>
        <v>0</v>
      </c>
      <c r="AJ3622" s="513" t="str">
        <f t="shared" ca="1" si="2779"/>
        <v/>
      </c>
      <c r="AK3622" s="700" t="str">
        <f t="shared" si="2780"/>
        <v/>
      </c>
      <c r="AL3622" s="700"/>
      <c r="AM3622" s="505" t="str">
        <f t="shared" si="2781"/>
        <v/>
      </c>
      <c r="AN3622" s="506"/>
      <c r="AO3622" s="507"/>
      <c r="AP3622" s="507"/>
      <c r="AQ3622" s="507"/>
      <c r="AR3622" s="507"/>
      <c r="AS3622" s="507"/>
      <c r="AT3622" s="507"/>
      <c r="AU3622" s="507"/>
      <c r="AV3622" s="225"/>
      <c r="AW3622" s="508"/>
      <c r="AX3622" s="225"/>
      <c r="AY3622" s="225"/>
      <c r="AZ3622" s="225"/>
      <c r="BA3622" s="225"/>
      <c r="BB3622" s="225"/>
      <c r="BC3622" s="56"/>
      <c r="BD3622" s="56"/>
      <c r="BE3622" s="56"/>
      <c r="BF3622" s="107" t="str">
        <f t="shared" si="2782"/>
        <v>https://www.google.com/search?tbm=isch&amp;q=Sunkist%20Arborvitae%20Thuja%20occidentalis%20%27Sunkist%27</v>
      </c>
      <c r="BG3622" s="107" t="str">
        <f t="shared" si="2783"/>
        <v>S</v>
      </c>
      <c r="BH3622" s="254"/>
      <c r="BI3622" s="254"/>
    </row>
    <row r="3623" spans="1:61" customFormat="1" ht="15.75" x14ac:dyDescent="0.25">
      <c r="A3623" s="485">
        <v>3</v>
      </c>
      <c r="B3623" s="486" t="s">
        <v>291</v>
      </c>
      <c r="C3623" s="487" t="s">
        <v>1851</v>
      </c>
      <c r="D3623" s="488" t="s">
        <v>297</v>
      </c>
      <c r="E3623" s="489">
        <v>24.95</v>
      </c>
      <c r="F3623" s="516" t="s">
        <v>293</v>
      </c>
      <c r="G3623" s="232">
        <v>0</v>
      </c>
      <c r="H3623" s="658" t="str">
        <f>IF(G3623=0,"",IF(F3623="Buy",IF(G3623=1,"plant","plants"),IF(F3623&gt;0.01,"warranty","Error")))</f>
        <v/>
      </c>
      <c r="I3623" s="490">
        <f>IF(H3623="free",0,IF(H3623="credit",((E3623*(F3623))*G3623*-1),IF(F3623="Buy",(E3623*G3623),((E3623*(1-F3623))*G3623))))</f>
        <v>0</v>
      </c>
      <c r="J3623" s="490">
        <f>IF(H3623="warranty",0,(I3623*(_xlfn.SINGLE(SalesTaxPercentage))))</f>
        <v>0</v>
      </c>
      <c r="K3623" s="695">
        <f t="shared" ref="K3623" si="2796">I3623+J3623</f>
        <v>0</v>
      </c>
      <c r="L3623" s="695"/>
      <c r="M3623" s="659" t="str">
        <f>IF(AND(G3623&gt;0,E3623=0),"WARNING - no PRICE inserted",IF(H3623="free"," FREE ~ no charge this plant",IF(H3623="credit",CONCATENATE(" -$",ROUND(K3623*(1-T2GDiscount)*-1,2)," CREDIT after discount"),IF(T2GDiscount=0,"",IF(G3623=0,"",IF(F3623="Buy",CONCATENATE(" $",ROUND(K3623*(1-T2GDiscount),2)," with ",(T2GDiscount*100),"% discount"),CONCATENATE(" $",ROUND(K3623*(1-T2GDiscount),2)," with ",((T2GDiscount*100+F3623*100)-(T2GDiscount*100*F3623)),IF(F3623&gt;0,"% discounts",IF(NoWarrantyDiscount&gt;0,"% discounts","% discount")))))))))</f>
        <v/>
      </c>
      <c r="N3623" s="660"/>
      <c r="O3623" s="233"/>
      <c r="P3623" s="233"/>
      <c r="Q3623" s="233"/>
      <c r="R3623" s="233"/>
      <c r="S3623" s="233"/>
      <c r="T3623" s="508">
        <f t="shared" si="2771"/>
        <v>0</v>
      </c>
      <c r="U3623" s="225">
        <f>IF(NOT(ISNUMBER(G3623)), "", VLOOKUP(A3623,'Discount Lookup'!D:E,2,FALSE)*G3623)</f>
        <v>0</v>
      </c>
      <c r="V3623" s="225">
        <f>IF(NOT(ISNUMBER(G3623)), "", VLOOKUP(A3623,'Discount Lookup'!G:H,2,FALSE)*G3623)</f>
        <v>0</v>
      </c>
      <c r="W3623" s="508">
        <f t="shared" si="2772"/>
        <v>0</v>
      </c>
      <c r="X3623" s="508">
        <f t="shared" si="2773"/>
        <v>0</v>
      </c>
      <c r="Y3623" s="509" t="b">
        <f t="shared" si="2774"/>
        <v>0</v>
      </c>
      <c r="Z3623" s="510">
        <f t="shared" si="2775"/>
        <v>0</v>
      </c>
      <c r="AA3623" s="511"/>
      <c r="AB3623" s="511" t="str">
        <f t="shared" si="2776"/>
        <v/>
      </c>
      <c r="AC3623" s="698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698"/>
      <c r="AE3623" s="631" t="str">
        <f t="shared" si="2777"/>
        <v/>
      </c>
      <c r="AF3623" s="699" t="str">
        <f t="shared" si="2778"/>
        <v/>
      </c>
      <c r="AG3623" s="699"/>
      <c r="AH3623" s="699"/>
      <c r="AI3623" s="512">
        <f>IF(H3623="credit",0,IF(AE3623="free",0,IF(AE3623="me",0,IF(G3623&gt;0,(VLOOKUP(A3623,'Discount Lookup'!J:K,2)*G3623),0))))</f>
        <v>0</v>
      </c>
      <c r="AJ3623" s="513" t="str">
        <f t="shared" ca="1" si="2779"/>
        <v/>
      </c>
      <c r="AK3623" s="700" t="str">
        <f t="shared" si="2780"/>
        <v/>
      </c>
      <c r="AL3623" s="700"/>
      <c r="AM3623" s="505" t="str">
        <f t="shared" si="2781"/>
        <v/>
      </c>
      <c r="AN3623" s="506"/>
      <c r="AO3623" s="507"/>
      <c r="AP3623" s="507"/>
      <c r="AQ3623" s="507"/>
      <c r="AR3623" s="507"/>
      <c r="AS3623" s="507"/>
      <c r="AT3623" s="507"/>
      <c r="AU3623" s="507"/>
      <c r="AV3623" s="225"/>
      <c r="AW3623" s="508"/>
      <c r="AX3623" s="225"/>
      <c r="AY3623" s="225"/>
      <c r="AZ3623" s="225"/>
      <c r="BA3623" s="225"/>
      <c r="BB3623" s="225"/>
      <c r="BC3623" s="56"/>
      <c r="BD3623" s="56"/>
      <c r="BE3623" s="56"/>
      <c r="BF3623" s="107" t="str">
        <f t="shared" si="2782"/>
        <v>https://www.google.com/search?tbm=isch&amp;q=3%20G3</v>
      </c>
      <c r="BG3623" s="107" t="str">
        <f t="shared" si="2783"/>
        <v>S</v>
      </c>
      <c r="BH3623" s="254"/>
      <c r="BI3623" s="254"/>
    </row>
    <row r="3624" spans="1:61" customFormat="1" ht="27" x14ac:dyDescent="0.25">
      <c r="A3624" s="485">
        <v>5</v>
      </c>
      <c r="B3624" s="486" t="s">
        <v>291</v>
      </c>
      <c r="C3624" s="487" t="s">
        <v>3800</v>
      </c>
      <c r="D3624" s="488" t="s">
        <v>292</v>
      </c>
      <c r="E3624" s="489">
        <v>68.95</v>
      </c>
      <c r="F3624" s="516" t="s">
        <v>293</v>
      </c>
      <c r="G3624" s="232">
        <v>0</v>
      </c>
      <c r="H3624" s="658" t="str">
        <f>IF(G3624=0,"",IF(F3624="Buy",IF(G3624=1,"plant","plants"),IF(F3624&gt;0.01,"warranty","Error")))</f>
        <v/>
      </c>
      <c r="I3624" s="490">
        <f>IF(H3624="free",0,IF(H3624="credit",((E3624*(F3624))*G3624*-1),IF(F3624="Buy",(E3624*G3624),((E3624*(1-F3624))*G3624))))</f>
        <v>0</v>
      </c>
      <c r="J3624" s="490">
        <f>IF(H3624="warranty",0,(I3624*(_xlfn.SINGLE(SalesTaxPercentage))))</f>
        <v>0</v>
      </c>
      <c r="K3624" s="695">
        <f t="shared" ref="K3624" si="2797">I3624+J3624</f>
        <v>0</v>
      </c>
      <c r="L3624" s="695"/>
      <c r="M3624" s="659" t="str">
        <f>IF(AND(G3624&gt;0,E3624=0),"WARNING - no PRICE inserted",IF(H3624="free"," FREE ~ no charge this plant",IF(H3624="credit",CONCATENATE(" -$",ROUND(K3624*(1-T2GDiscount)*-1,2)," CREDIT after discount"),IF(T2GDiscount=0,"",IF(G3624=0,"",IF(F3624="Buy",CONCATENATE(" $",ROUND(K3624*(1-T2GDiscount),2)," with ",(T2GDiscount*100),"% discount"),CONCATENATE(" $",ROUND(K3624*(1-T2GDiscount),2)," with ",((T2GDiscount*100+F3624*100)-(T2GDiscount*100*F3624)),IF(F3624&gt;0,"% discounts",IF(NoWarrantyDiscount&gt;0,"% discounts","% discount")))))))))</f>
        <v/>
      </c>
      <c r="N3624" s="660"/>
      <c r="O3624" s="233"/>
      <c r="P3624" s="233"/>
      <c r="Q3624" s="233"/>
      <c r="R3624" s="233"/>
      <c r="S3624" s="233"/>
      <c r="T3624" s="508">
        <f t="shared" si="2771"/>
        <v>0</v>
      </c>
      <c r="U3624" s="225">
        <f>IF(NOT(ISNUMBER(G3624)), "", VLOOKUP(A3624,'Discount Lookup'!D:E,2,FALSE)*G3624)</f>
        <v>0</v>
      </c>
      <c r="V3624" s="225">
        <f>IF(NOT(ISNUMBER(G3624)), "", VLOOKUP(A3624,'Discount Lookup'!G:H,2,FALSE)*G3624)</f>
        <v>0</v>
      </c>
      <c r="W3624" s="508">
        <f t="shared" si="2772"/>
        <v>0</v>
      </c>
      <c r="X3624" s="508">
        <f t="shared" si="2773"/>
        <v>0</v>
      </c>
      <c r="Y3624" s="509" t="b">
        <f t="shared" si="2774"/>
        <v>0</v>
      </c>
      <c r="Z3624" s="510">
        <f t="shared" si="2775"/>
        <v>0</v>
      </c>
      <c r="AA3624" s="511"/>
      <c r="AB3624" s="511" t="str">
        <f t="shared" si="2776"/>
        <v/>
      </c>
      <c r="AC3624" s="698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698"/>
      <c r="AE3624" s="631" t="str">
        <f t="shared" si="2777"/>
        <v/>
      </c>
      <c r="AF3624" s="699" t="str">
        <f t="shared" si="2778"/>
        <v/>
      </c>
      <c r="AG3624" s="699"/>
      <c r="AH3624" s="699"/>
      <c r="AI3624" s="512">
        <f>IF(H3624="credit",0,IF(AE3624="free",0,IF(AE3624="me",0,IF(G3624&gt;0,(VLOOKUP(A3624,'Discount Lookup'!J:K,2)*G3624),0))))</f>
        <v>0</v>
      </c>
      <c r="AJ3624" s="513" t="str">
        <f t="shared" ca="1" si="2779"/>
        <v/>
      </c>
      <c r="AK3624" s="700" t="str">
        <f t="shared" si="2780"/>
        <v/>
      </c>
      <c r="AL3624" s="700"/>
      <c r="AM3624" s="505" t="str">
        <f t="shared" si="2781"/>
        <v/>
      </c>
      <c r="AN3624" s="506"/>
      <c r="AO3624" s="507"/>
      <c r="AP3624" s="507"/>
      <c r="AQ3624" s="507"/>
      <c r="AR3624" s="507"/>
      <c r="AS3624" s="507"/>
      <c r="AT3624" s="507"/>
      <c r="AU3624" s="507"/>
      <c r="AV3624" s="225"/>
      <c r="AW3624" s="508"/>
      <c r="AX3624" s="225"/>
      <c r="AY3624" s="225"/>
      <c r="AZ3624" s="225"/>
      <c r="BA3624" s="225"/>
      <c r="BB3624" s="225"/>
      <c r="BC3624" s="56"/>
      <c r="BD3624" s="56"/>
      <c r="BE3624" s="56"/>
      <c r="BF3624" s="107" t="str">
        <f t="shared" si="2782"/>
        <v>https://www.google.com/search?tbm=isch&amp;q=5%20G4</v>
      </c>
      <c r="BG3624" s="107" t="str">
        <f t="shared" si="2783"/>
        <v>S</v>
      </c>
      <c r="BH3624" s="254"/>
      <c r="BI3624" s="254"/>
    </row>
    <row r="3625" spans="1:61" customFormat="1" ht="27" x14ac:dyDescent="0.25">
      <c r="A3625" s="485">
        <v>7</v>
      </c>
      <c r="B3625" s="486" t="s">
        <v>291</v>
      </c>
      <c r="C3625" s="487" t="s">
        <v>3801</v>
      </c>
      <c r="D3625" s="488" t="s">
        <v>292</v>
      </c>
      <c r="E3625" s="489">
        <v>91.95</v>
      </c>
      <c r="F3625" s="516" t="s">
        <v>293</v>
      </c>
      <c r="G3625" s="232">
        <v>0</v>
      </c>
      <c r="H3625" s="658" t="str">
        <f>IF(G3625=0,"",IF(F3625="Buy",IF(G3625=1,"plant","plants"),IF(F3625&gt;0.01,"warranty","Error")))</f>
        <v/>
      </c>
      <c r="I3625" s="490">
        <f>IF(H3625="free",0,IF(H3625="credit",((E3625*(F3625))*G3625*-1),IF(F3625="Buy",(E3625*G3625),((E3625*(1-F3625))*G3625))))</f>
        <v>0</v>
      </c>
      <c r="J3625" s="490">
        <f>IF(H3625="warranty",0,(I3625*(_xlfn.SINGLE(SalesTaxPercentage))))</f>
        <v>0</v>
      </c>
      <c r="K3625" s="695">
        <f t="shared" ref="K3625" si="2798">I3625+J3625</f>
        <v>0</v>
      </c>
      <c r="L3625" s="695"/>
      <c r="M3625" s="659" t="str">
        <f>IF(AND(G3625&gt;0,E3625=0),"WARNING - no PRICE inserted",IF(H3625="free"," FREE ~ no charge this plant",IF(H3625="credit",CONCATENATE(" -$",ROUND(K3625*(1-T2GDiscount)*-1,2)," CREDIT after discount"),IF(T2GDiscount=0,"",IF(G3625=0,"",IF(F3625="Buy",CONCATENATE(" $",ROUND(K3625*(1-T2GDiscount),2)," with ",(T2GDiscount*100),"% discount"),CONCATENATE(" $",ROUND(K3625*(1-T2GDiscount),2)," with ",((T2GDiscount*100+F3625*100)-(T2GDiscount*100*F3625)),IF(F3625&gt;0,"% discounts",IF(NoWarrantyDiscount&gt;0,"% discounts","% discount")))))))))</f>
        <v/>
      </c>
      <c r="N3625" s="660"/>
      <c r="O3625" s="233"/>
      <c r="P3625" s="233"/>
      <c r="Q3625" s="233"/>
      <c r="R3625" s="233"/>
      <c r="S3625" s="233"/>
      <c r="T3625" s="508">
        <f t="shared" si="2771"/>
        <v>0</v>
      </c>
      <c r="U3625" s="225">
        <f>IF(NOT(ISNUMBER(G3625)), "", VLOOKUP(A3625,'Discount Lookup'!D:E,2,FALSE)*G3625)</f>
        <v>0</v>
      </c>
      <c r="V3625" s="225">
        <f>IF(NOT(ISNUMBER(G3625)), "", VLOOKUP(A3625,'Discount Lookup'!G:H,2,FALSE)*G3625)</f>
        <v>0</v>
      </c>
      <c r="W3625" s="508">
        <f t="shared" si="2772"/>
        <v>0</v>
      </c>
      <c r="X3625" s="508">
        <f t="shared" si="2773"/>
        <v>0</v>
      </c>
      <c r="Y3625" s="509" t="b">
        <f t="shared" si="2774"/>
        <v>0</v>
      </c>
      <c r="Z3625" s="510">
        <f t="shared" si="2775"/>
        <v>0</v>
      </c>
      <c r="AA3625" s="511"/>
      <c r="AB3625" s="511" t="str">
        <f t="shared" si="2776"/>
        <v/>
      </c>
      <c r="AC3625" s="698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698"/>
      <c r="AE3625" s="631" t="str">
        <f t="shared" si="2777"/>
        <v/>
      </c>
      <c r="AF3625" s="699" t="str">
        <f t="shared" si="2778"/>
        <v/>
      </c>
      <c r="AG3625" s="699"/>
      <c r="AH3625" s="699"/>
      <c r="AI3625" s="512">
        <f>IF(H3625="credit",0,IF(AE3625="free",0,IF(AE3625="me",0,IF(G3625&gt;0,(VLOOKUP(A3625,'Discount Lookup'!J:K,2)*G3625),0))))</f>
        <v>0</v>
      </c>
      <c r="AJ3625" s="513" t="str">
        <f t="shared" ca="1" si="2779"/>
        <v/>
      </c>
      <c r="AK3625" s="700" t="str">
        <f t="shared" si="2780"/>
        <v/>
      </c>
      <c r="AL3625" s="700"/>
      <c r="AM3625" s="505" t="str">
        <f t="shared" si="2781"/>
        <v/>
      </c>
      <c r="AN3625" s="506"/>
      <c r="AO3625" s="507"/>
      <c r="AP3625" s="507"/>
      <c r="AQ3625" s="507"/>
      <c r="AR3625" s="507"/>
      <c r="AS3625" s="507"/>
      <c r="AT3625" s="507"/>
      <c r="AU3625" s="507"/>
      <c r="AV3625" s="225"/>
      <c r="AW3625" s="508"/>
      <c r="AX3625" s="225"/>
      <c r="AY3625" s="225"/>
      <c r="AZ3625" s="225"/>
      <c r="BA3625" s="225"/>
      <c r="BB3625" s="225"/>
      <c r="BC3625" s="56"/>
      <c r="BD3625" s="56"/>
      <c r="BE3625" s="56"/>
      <c r="BF3625" s="107" t="str">
        <f t="shared" si="2782"/>
        <v>https://www.google.com/search?tbm=isch&amp;q=7%20G4</v>
      </c>
      <c r="BG3625" s="107" t="str">
        <f t="shared" si="2783"/>
        <v>S</v>
      </c>
      <c r="BH3625" s="254"/>
      <c r="BI3625" s="254"/>
    </row>
    <row r="3626" spans="1:61" customFormat="1" ht="17.25" thickBot="1" x14ac:dyDescent="0.3">
      <c r="A3626" s="522" t="s">
        <v>2916</v>
      </c>
      <c r="B3626" s="491"/>
      <c r="C3626" s="675"/>
      <c r="D3626" s="491"/>
      <c r="E3626" s="491"/>
      <c r="F3626" s="492"/>
      <c r="G3626" s="493"/>
      <c r="H3626" s="491"/>
      <c r="I3626" s="234"/>
      <c r="J3626" s="234"/>
      <c r="K3626" s="494"/>
      <c r="L3626" s="543"/>
      <c r="M3626" s="561"/>
      <c r="N3626" s="495"/>
      <c r="O3626" s="496"/>
      <c r="P3626" s="497"/>
      <c r="Q3626" s="495"/>
      <c r="R3626" s="495"/>
      <c r="S3626" s="667" t="s">
        <v>4984</v>
      </c>
      <c r="T3626" s="508">
        <f t="shared" si="2771"/>
        <v>0</v>
      </c>
      <c r="U3626" s="225" t="str">
        <f>IF(NOT(ISNUMBER(G3626)), "", VLOOKUP(A3626,'Discount Lookup'!D:E,2,FALSE)*G3626)</f>
        <v/>
      </c>
      <c r="V3626" s="225" t="str">
        <f>IF(NOT(ISNUMBER(G3626)), "", VLOOKUP(A3626,'Discount Lookup'!G:H,2,FALSE)*G3626)</f>
        <v/>
      </c>
      <c r="W3626" s="508">
        <f t="shared" si="2772"/>
        <v>0</v>
      </c>
      <c r="X3626" s="508">
        <f t="shared" si="2773"/>
        <v>0</v>
      </c>
      <c r="Y3626" s="509" t="b">
        <f t="shared" si="2774"/>
        <v>0</v>
      </c>
      <c r="Z3626" s="510">
        <f t="shared" si="2775"/>
        <v>0</v>
      </c>
      <c r="AA3626" s="511"/>
      <c r="AB3626" s="511" t="str">
        <f t="shared" si="2776"/>
        <v/>
      </c>
      <c r="AC3626" s="698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698"/>
      <c r="AE3626" s="631" t="str">
        <f t="shared" si="2777"/>
        <v/>
      </c>
      <c r="AF3626" s="699" t="str">
        <f t="shared" si="2778"/>
        <v/>
      </c>
      <c r="AG3626" s="699"/>
      <c r="AH3626" s="699"/>
      <c r="AI3626" s="512">
        <f>IF(H3626="credit",0,IF(AE3626="free",0,IF(AE3626="me",0,IF(G3626&gt;0,(VLOOKUP(A3626,'Discount Lookup'!J:K,2)*G3626),0))))</f>
        <v>0</v>
      </c>
      <c r="AJ3626" s="513" t="str">
        <f t="shared" ca="1" si="2779"/>
        <v/>
      </c>
      <c r="AK3626" s="700" t="str">
        <f t="shared" si="2780"/>
        <v/>
      </c>
      <c r="AL3626" s="700"/>
      <c r="AM3626" s="505" t="str">
        <f t="shared" si="2781"/>
        <v/>
      </c>
      <c r="AN3626" s="506"/>
      <c r="AO3626" s="507"/>
      <c r="AP3626" s="507"/>
      <c r="AQ3626" s="507"/>
      <c r="AR3626" s="507"/>
      <c r="AS3626" s="507"/>
      <c r="AT3626" s="507"/>
      <c r="AU3626" s="507"/>
      <c r="AV3626" s="225"/>
      <c r="AW3626" s="508"/>
      <c r="AX3626" s="225"/>
      <c r="AY3626" s="225"/>
      <c r="AZ3626" s="225"/>
      <c r="BA3626" s="225"/>
      <c r="BB3626" s="225"/>
      <c r="BC3626" s="56"/>
      <c r="BD3626" s="56"/>
      <c r="BE3626" s="56"/>
      <c r="BF3626" s="107" t="str">
        <f t="shared" si="2782"/>
        <v>https://www.google.com/search?tbm=isch&amp;q=Sunkist%20is%20Green%2FLemon-Yellow%20in%20the%20spring%2C%20turning%20more%20Golden%20for%20fall%2Fwinter%20</v>
      </c>
      <c r="BG3626" s="107" t="str">
        <f t="shared" si="2783"/>
        <v>S</v>
      </c>
      <c r="BH3626" s="254"/>
      <c r="BI3626" s="254"/>
    </row>
    <row r="3627" spans="1:61" customFormat="1" ht="18" x14ac:dyDescent="0.25">
      <c r="A3627" s="523" t="s">
        <v>4352</v>
      </c>
      <c r="B3627" s="235"/>
      <c r="C3627" s="676"/>
      <c r="D3627" s="255" t="s">
        <v>4353</v>
      </c>
      <c r="E3627" s="236"/>
      <c r="F3627" s="236"/>
      <c r="G3627" s="236"/>
      <c r="H3627" s="582" t="s">
        <v>950</v>
      </c>
      <c r="I3627" s="498" t="s">
        <v>2145</v>
      </c>
      <c r="J3627" s="237"/>
      <c r="K3627" s="237"/>
      <c r="L3627" s="274"/>
      <c r="M3627" s="668" t="s">
        <v>4975</v>
      </c>
      <c r="N3627" s="681" t="str">
        <f>IF(AND(ISTEXT($A3627), ISERROR($A3627+0)), HYPERLINK($BF3627, "Images"), "")</f>
        <v>Images</v>
      </c>
      <c r="O3627" s="663" t="s">
        <v>4967</v>
      </c>
      <c r="P3627" s="253"/>
      <c r="Q3627" s="238"/>
      <c r="R3627" s="239"/>
      <c r="S3627" s="275"/>
      <c r="T3627" s="508">
        <f t="shared" si="2771"/>
        <v>0</v>
      </c>
      <c r="U3627" s="225" t="str">
        <f>IF(NOT(ISNUMBER(G3627)), "", VLOOKUP(A3627,'Discount Lookup'!D:E,2,FALSE)*G3627)</f>
        <v/>
      </c>
      <c r="V3627" s="225" t="str">
        <f>IF(NOT(ISNUMBER(G3627)), "", VLOOKUP(A3627,'Discount Lookup'!G:H,2,FALSE)*G3627)</f>
        <v/>
      </c>
      <c r="W3627" s="508">
        <f t="shared" si="2772"/>
        <v>0</v>
      </c>
      <c r="X3627" s="508" t="str">
        <f t="shared" si="2773"/>
        <v>Pale Yellow bloom</v>
      </c>
      <c r="Y3627" s="509" t="b">
        <f t="shared" si="2774"/>
        <v>0</v>
      </c>
      <c r="Z3627" s="510">
        <f t="shared" si="2775"/>
        <v>0</v>
      </c>
      <c r="AA3627" s="511"/>
      <c r="AB3627" s="511" t="str">
        <f t="shared" si="2776"/>
        <v/>
      </c>
      <c r="AC3627" s="698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698"/>
      <c r="AE3627" s="631" t="str">
        <f t="shared" si="2777"/>
        <v/>
      </c>
      <c r="AF3627" s="699" t="str">
        <f t="shared" si="2778"/>
        <v/>
      </c>
      <c r="AG3627" s="699"/>
      <c r="AH3627" s="699"/>
      <c r="AI3627" s="512">
        <f>IF(H3627="credit",0,IF(AE3627="free",0,IF(AE3627="me",0,IF(G3627&gt;0,(VLOOKUP(A3627,'Discount Lookup'!J:K,2)*G3627),0))))</f>
        <v>0</v>
      </c>
      <c r="AJ3627" s="513" t="str">
        <f t="shared" ca="1" si="2779"/>
        <v/>
      </c>
      <c r="AK3627" s="700" t="str">
        <f t="shared" si="2780"/>
        <v/>
      </c>
      <c r="AL3627" s="700"/>
      <c r="AM3627" s="505" t="str">
        <f t="shared" si="2781"/>
        <v/>
      </c>
      <c r="AN3627" s="506"/>
      <c r="AO3627" s="507"/>
      <c r="AP3627" s="507"/>
      <c r="AQ3627" s="507"/>
      <c r="AR3627" s="507"/>
      <c r="AS3627" s="507"/>
      <c r="AT3627" s="507"/>
      <c r="AU3627" s="507"/>
      <c r="AV3627" s="225"/>
      <c r="AW3627" s="508"/>
      <c r="AX3627" s="225"/>
      <c r="AY3627" s="225"/>
      <c r="AZ3627" s="225"/>
      <c r="BA3627" s="225"/>
      <c r="BB3627" s="225"/>
      <c r="BC3627" s="56"/>
      <c r="BD3627" s="56"/>
      <c r="BE3627" s="56"/>
      <c r="BF3627" s="107" t="str">
        <f t="shared" si="2782"/>
        <v>https://www.google.com/search?tbm=isch&amp;q=Sunrise%20Buckeye%20Aesculus%20x%20neglecta%20%27Erythroblastos%27</v>
      </c>
      <c r="BG3627" s="107" t="str">
        <f t="shared" si="2783"/>
        <v>S</v>
      </c>
      <c r="BH3627" s="254"/>
      <c r="BI3627" s="254"/>
    </row>
    <row r="3628" spans="1:61" customFormat="1" ht="15.75" x14ac:dyDescent="0.25">
      <c r="A3628" s="276">
        <v>7</v>
      </c>
      <c r="B3628" s="240" t="s">
        <v>291</v>
      </c>
      <c r="C3628" s="241" t="s">
        <v>4948</v>
      </c>
      <c r="D3628" s="242" t="s">
        <v>292</v>
      </c>
      <c r="E3628" s="243">
        <v>137.94999999999999</v>
      </c>
      <c r="F3628" s="517" t="s">
        <v>293</v>
      </c>
      <c r="G3628" s="232">
        <v>0</v>
      </c>
      <c r="H3628" s="661" t="str">
        <f>IF(G3628=0,"",IF(F3628="Buy",IF(G3628=1,"plant","plants"),IF(F3628&gt;0.01,"warranty","Error")))</f>
        <v/>
      </c>
      <c r="I3628" s="244">
        <f>IF(H3628="free",0,IF(H3628="credit",((E3628*(F3628))*G3628*-1),IF(F3628="Buy",(E3628*G3628),((E3628*(1-F3628))*G3628))))</f>
        <v>0</v>
      </c>
      <c r="J3628" s="244">
        <f>IF(H3628="warranty",0,(I3628*(_xlfn.SINGLE(SalesTaxPercentage))))</f>
        <v>0</v>
      </c>
      <c r="K3628" s="696">
        <f t="shared" ref="K3628" si="2799">I3628+J3628</f>
        <v>0</v>
      </c>
      <c r="L3628" s="696"/>
      <c r="M3628" s="659" t="str">
        <f>IF(AND(G3628&gt;0,E3628=0),"WARNING - no PRICE inserted",IF(H3628="free"," FREE ~ no charge this plant",IF(H3628="credit",CONCATENATE(" -$",ROUND(K3628*(1-T2GDiscount)*-1,2)," CREDIT after discount"),IF(T2GDiscount=0,"",IF(G3628=0,"",IF(F3628="Buy",CONCATENATE(" $",ROUND(K3628*(1-T2GDiscount),2)," with ",(T2GDiscount*100),"% discount"),CONCATENATE(" $",ROUND(K3628*(1-T2GDiscount),2)," with ",((T2GDiscount*100+F3628*100)-(T2GDiscount*100*F3628)),IF(F3628&gt;0,"% discounts",IF(NoWarrantyDiscount&gt;0,"% discounts","% discount")))))))))</f>
        <v/>
      </c>
      <c r="N3628" s="660"/>
      <c r="O3628" s="233"/>
      <c r="P3628" s="233"/>
      <c r="Q3628" s="233"/>
      <c r="R3628" s="233"/>
      <c r="S3628" s="233"/>
      <c r="T3628" s="508">
        <f t="shared" si="2771"/>
        <v>0</v>
      </c>
      <c r="U3628" s="225">
        <f>IF(NOT(ISNUMBER(G3628)), "", VLOOKUP(A3628,'Discount Lookup'!D:E,2,FALSE)*G3628)</f>
        <v>0</v>
      </c>
      <c r="V3628" s="225">
        <f>IF(NOT(ISNUMBER(G3628)), "", VLOOKUP(A3628,'Discount Lookup'!G:H,2,FALSE)*G3628)</f>
        <v>0</v>
      </c>
      <c r="W3628" s="508">
        <f t="shared" si="2772"/>
        <v>0</v>
      </c>
      <c r="X3628" s="508">
        <f t="shared" si="2773"/>
        <v>0</v>
      </c>
      <c r="Y3628" s="509" t="b">
        <f t="shared" si="2774"/>
        <v>0</v>
      </c>
      <c r="Z3628" s="510">
        <f t="shared" si="2775"/>
        <v>0</v>
      </c>
      <c r="AA3628" s="511"/>
      <c r="AB3628" s="511" t="str">
        <f t="shared" si="2776"/>
        <v/>
      </c>
      <c r="AC3628" s="698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698"/>
      <c r="AE3628" s="631" t="str">
        <f t="shared" si="2777"/>
        <v/>
      </c>
      <c r="AF3628" s="699" t="str">
        <f t="shared" si="2778"/>
        <v/>
      </c>
      <c r="AG3628" s="699"/>
      <c r="AH3628" s="699"/>
      <c r="AI3628" s="512">
        <f>IF(H3628="credit",0,IF(AE3628="free",0,IF(AE3628="me",0,IF(G3628&gt;0,(VLOOKUP(A3628,'Discount Lookup'!J:K,2)*G3628),0))))</f>
        <v>0</v>
      </c>
      <c r="AJ3628" s="513" t="str">
        <f t="shared" ca="1" si="2779"/>
        <v/>
      </c>
      <c r="AK3628" s="700" t="str">
        <f t="shared" si="2780"/>
        <v/>
      </c>
      <c r="AL3628" s="700"/>
      <c r="AM3628" s="505" t="str">
        <f t="shared" si="2781"/>
        <v/>
      </c>
      <c r="AN3628" s="506"/>
      <c r="AO3628" s="507"/>
      <c r="AP3628" s="507"/>
      <c r="AQ3628" s="507"/>
      <c r="AR3628" s="507"/>
      <c r="AS3628" s="507"/>
      <c r="AT3628" s="507"/>
      <c r="AU3628" s="507"/>
      <c r="AV3628" s="225"/>
      <c r="AW3628" s="508"/>
      <c r="AX3628" s="225"/>
      <c r="AY3628" s="225"/>
      <c r="AZ3628" s="225"/>
      <c r="BA3628" s="225"/>
      <c r="BB3628" s="225"/>
      <c r="BC3628" s="56"/>
      <c r="BD3628" s="56"/>
      <c r="BE3628" s="56"/>
      <c r="BF3628" s="107" t="str">
        <f t="shared" si="2782"/>
        <v>https://www.google.com/search?tbm=isch&amp;q=7%20G4</v>
      </c>
      <c r="BG3628" s="107" t="str">
        <f t="shared" si="2783"/>
        <v>S</v>
      </c>
      <c r="BH3628" s="254"/>
      <c r="BI3628" s="254"/>
    </row>
    <row r="3629" spans="1:61" customFormat="1" ht="17.25" thickBot="1" x14ac:dyDescent="0.3">
      <c r="A3629" s="673" t="s">
        <v>5256</v>
      </c>
      <c r="B3629" s="245"/>
      <c r="C3629" s="677"/>
      <c r="D3629" s="499"/>
      <c r="E3629" s="499"/>
      <c r="F3629" s="500"/>
      <c r="G3629" s="501"/>
      <c r="H3629" s="502"/>
      <c r="I3629" s="246"/>
      <c r="J3629" s="247"/>
      <c r="K3629" s="503"/>
      <c r="L3629" s="544"/>
      <c r="M3629" s="544"/>
      <c r="N3629" s="500"/>
      <c r="O3629" s="500"/>
      <c r="P3629" s="500"/>
      <c r="Q3629" s="500"/>
      <c r="R3629" s="500"/>
      <c r="S3629" s="278"/>
      <c r="T3629" s="508">
        <f t="shared" si="2771"/>
        <v>0</v>
      </c>
      <c r="U3629" s="225" t="str">
        <f>IF(NOT(ISNUMBER(G3629)), "", VLOOKUP(A3629,'Discount Lookup'!D:E,2,FALSE)*G3629)</f>
        <v/>
      </c>
      <c r="V3629" s="225" t="str">
        <f>IF(NOT(ISNUMBER(G3629)), "", VLOOKUP(A3629,'Discount Lookup'!G:H,2,FALSE)*G3629)</f>
        <v/>
      </c>
      <c r="W3629" s="508">
        <f t="shared" si="2772"/>
        <v>0</v>
      </c>
      <c r="X3629" s="508">
        <f t="shared" si="2773"/>
        <v>0</v>
      </c>
      <c r="Y3629" s="509" t="b">
        <f t="shared" si="2774"/>
        <v>0</v>
      </c>
      <c r="Z3629" s="510">
        <f t="shared" si="2775"/>
        <v>0</v>
      </c>
      <c r="AA3629" s="511"/>
      <c r="AB3629" s="511" t="str">
        <f t="shared" si="2776"/>
        <v/>
      </c>
      <c r="AC3629" s="698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698"/>
      <c r="AE3629" s="631" t="str">
        <f t="shared" si="2777"/>
        <v/>
      </c>
      <c r="AF3629" s="699" t="str">
        <f t="shared" si="2778"/>
        <v/>
      </c>
      <c r="AG3629" s="699"/>
      <c r="AH3629" s="699"/>
      <c r="AI3629" s="512">
        <f>IF(H3629="credit",0,IF(AE3629="free",0,IF(AE3629="me",0,IF(G3629&gt;0,(VLOOKUP(A3629,'Discount Lookup'!J:K,2)*G3629),0))))</f>
        <v>0</v>
      </c>
      <c r="AJ3629" s="513" t="str">
        <f t="shared" ca="1" si="2779"/>
        <v/>
      </c>
      <c r="AK3629" s="700" t="str">
        <f t="shared" si="2780"/>
        <v/>
      </c>
      <c r="AL3629" s="700"/>
      <c r="AM3629" s="505" t="str">
        <f t="shared" si="2781"/>
        <v/>
      </c>
      <c r="AN3629" s="506"/>
      <c r="AO3629" s="507"/>
      <c r="AP3629" s="507"/>
      <c r="AQ3629" s="507"/>
      <c r="AR3629" s="507"/>
      <c r="AS3629" s="507"/>
      <c r="AT3629" s="507"/>
      <c r="AU3629" s="507"/>
      <c r="AV3629" s="225"/>
      <c r="AW3629" s="508"/>
      <c r="AX3629" s="225"/>
      <c r="AY3629" s="225"/>
      <c r="AZ3629" s="225"/>
      <c r="BA3629" s="225"/>
      <c r="BB3629" s="225"/>
      <c r="BC3629" s="56"/>
      <c r="BD3629" s="56"/>
      <c r="BE3629" s="56"/>
      <c r="BF3629" s="107" t="str">
        <f t="shared" si="2782"/>
        <v>https://www.google.com/search?tbm=isch&amp;q=moist%20sites%F0%9F%92%A7OK%2C%20Sunrise%20known%20for%20Flamingo-Pink%20spring%20foliage%20that%20matures%20to%20Green%2C%20then%20ignites%20in%20fall%20with%20Orange%20and%20Yellow%20</v>
      </c>
      <c r="BG3629" s="107" t="str">
        <f t="shared" si="2783"/>
        <v>m</v>
      </c>
      <c r="BH3629" s="254"/>
      <c r="BI3629" s="254"/>
    </row>
    <row r="3630" spans="1:61" customFormat="1" ht="18" x14ac:dyDescent="0.25">
      <c r="A3630" s="523" t="s">
        <v>1852</v>
      </c>
      <c r="B3630" s="235"/>
      <c r="C3630" s="676"/>
      <c r="D3630" s="255" t="s">
        <v>1853</v>
      </c>
      <c r="E3630" s="236"/>
      <c r="F3630" s="236"/>
      <c r="G3630" s="236"/>
      <c r="H3630" s="582" t="s">
        <v>1007</v>
      </c>
      <c r="I3630" s="498" t="s">
        <v>2491</v>
      </c>
      <c r="J3630" s="237"/>
      <c r="K3630" s="237"/>
      <c r="L3630" s="274"/>
      <c r="M3630" s="668" t="s">
        <v>4975</v>
      </c>
      <c r="N3630" s="681" t="str">
        <f>IF(AND(ISTEXT($A3630), ISERROR($A3630+0)), HYPERLINK($BF3630, "Images"), "")</f>
        <v>Images</v>
      </c>
      <c r="O3630" s="663" t="s">
        <v>4967</v>
      </c>
      <c r="P3630" s="253"/>
      <c r="Q3630" s="238"/>
      <c r="R3630" s="239"/>
      <c r="S3630" s="275"/>
      <c r="T3630" s="508">
        <f t="shared" si="2771"/>
        <v>0</v>
      </c>
      <c r="U3630" s="225" t="str">
        <f>IF(NOT(ISNUMBER(G3630)), "", VLOOKUP(A3630,'Discount Lookup'!D:E,2,FALSE)*G3630)</f>
        <v/>
      </c>
      <c r="V3630" s="225" t="str">
        <f>IF(NOT(ISNUMBER(G3630)), "", VLOOKUP(A3630,'Discount Lookup'!G:H,2,FALSE)*G3630)</f>
        <v/>
      </c>
      <c r="W3630" s="508">
        <f t="shared" si="2772"/>
        <v>0</v>
      </c>
      <c r="X3630" s="508" t="str">
        <f t="shared" si="2773"/>
        <v>Yellow, Rosey at base</v>
      </c>
      <c r="Y3630" s="509" t="b">
        <f t="shared" si="2774"/>
        <v>0</v>
      </c>
      <c r="Z3630" s="510">
        <f t="shared" si="2775"/>
        <v>0</v>
      </c>
      <c r="AA3630" s="511"/>
      <c r="AB3630" s="511" t="str">
        <f t="shared" si="2776"/>
        <v/>
      </c>
      <c r="AC3630" s="698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698"/>
      <c r="AE3630" s="631" t="str">
        <f t="shared" si="2777"/>
        <v/>
      </c>
      <c r="AF3630" s="699" t="str">
        <f t="shared" si="2778"/>
        <v/>
      </c>
      <c r="AG3630" s="699"/>
      <c r="AH3630" s="699"/>
      <c r="AI3630" s="512">
        <f>IF(H3630="credit",0,IF(AE3630="free",0,IF(AE3630="me",0,IF(G3630&gt;0,(VLOOKUP(A3630,'Discount Lookup'!J:K,2)*G3630),0))))</f>
        <v>0</v>
      </c>
      <c r="AJ3630" s="513" t="str">
        <f t="shared" ca="1" si="2779"/>
        <v/>
      </c>
      <c r="AK3630" s="700" t="str">
        <f t="shared" si="2780"/>
        <v/>
      </c>
      <c r="AL3630" s="700"/>
      <c r="AM3630" s="505" t="str">
        <f t="shared" si="2781"/>
        <v/>
      </c>
      <c r="AN3630" s="506"/>
      <c r="AO3630" s="507"/>
      <c r="AP3630" s="507"/>
      <c r="AQ3630" s="507"/>
      <c r="AR3630" s="507"/>
      <c r="AS3630" s="507"/>
      <c r="AT3630" s="507"/>
      <c r="AU3630" s="507"/>
      <c r="AV3630" s="225"/>
      <c r="AW3630" s="508"/>
      <c r="AX3630" s="225"/>
      <c r="AY3630" s="225"/>
      <c r="AZ3630" s="225"/>
      <c r="BA3630" s="225"/>
      <c r="BB3630" s="225"/>
      <c r="BC3630" s="56"/>
      <c r="BD3630" s="56"/>
      <c r="BE3630" s="56"/>
      <c r="BF3630" s="107" t="str">
        <f t="shared" si="2782"/>
        <v>https://www.google.com/search?tbm=isch&amp;q=Sunsation%20Magnolia%20Magnolia%20%27Sunsation%27</v>
      </c>
      <c r="BG3630" s="107" t="str">
        <f t="shared" si="2783"/>
        <v>S</v>
      </c>
      <c r="BH3630" s="254"/>
      <c r="BI3630" s="254"/>
    </row>
    <row r="3631" spans="1:61" customFormat="1" ht="15.75" x14ac:dyDescent="0.25">
      <c r="A3631" s="276">
        <v>7</v>
      </c>
      <c r="B3631" s="240" t="s">
        <v>291</v>
      </c>
      <c r="C3631" s="241" t="s">
        <v>3615</v>
      </c>
      <c r="D3631" s="242" t="s">
        <v>292</v>
      </c>
      <c r="E3631" s="243">
        <v>111.95</v>
      </c>
      <c r="F3631" s="517" t="s">
        <v>293</v>
      </c>
      <c r="G3631" s="232">
        <v>0</v>
      </c>
      <c r="H3631" s="661" t="str">
        <f>IF(G3631=0,"",IF(F3631="Buy",IF(G3631=1,"plant","plants"),IF(F3631&gt;0.01,"warranty","Error")))</f>
        <v/>
      </c>
      <c r="I3631" s="244">
        <f>IF(H3631="free",0,IF(H3631="credit",((E3631*(F3631))*G3631*-1),IF(F3631="Buy",(E3631*G3631),((E3631*(1-F3631))*G3631))))</f>
        <v>0</v>
      </c>
      <c r="J3631" s="244">
        <f>IF(H3631="warranty",0,(I3631*(_xlfn.SINGLE(SalesTaxPercentage))))</f>
        <v>0</v>
      </c>
      <c r="K3631" s="696">
        <f t="shared" ref="K3631" si="2800">I3631+J3631</f>
        <v>0</v>
      </c>
      <c r="L3631" s="696"/>
      <c r="M3631" s="659" t="str">
        <f>IF(AND(G3631&gt;0,E3631=0),"WARNING - no PRICE inserted",IF(H3631="free"," FREE ~ no charge this plant",IF(H3631="credit",CONCATENATE(" -$",ROUND(K3631*(1-T2GDiscount)*-1,2)," CREDIT after discount"),IF(T2GDiscount=0,"",IF(G3631=0,"",IF(F3631="Buy",CONCATENATE(" $",ROUND(K3631*(1-T2GDiscount),2)," with ",(T2GDiscount*100),"% discount"),CONCATENATE(" $",ROUND(K3631*(1-T2GDiscount),2)," with ",((T2GDiscount*100+F3631*100)-(T2GDiscount*100*F3631)),IF(F3631&gt;0,"% discounts",IF(NoWarrantyDiscount&gt;0,"% discounts","% discount")))))))))</f>
        <v/>
      </c>
      <c r="N3631" s="660"/>
      <c r="O3631" s="233"/>
      <c r="P3631" s="233"/>
      <c r="Q3631" s="233"/>
      <c r="R3631" s="233"/>
      <c r="S3631" s="233"/>
      <c r="T3631" s="508">
        <f t="shared" si="2771"/>
        <v>0</v>
      </c>
      <c r="U3631" s="225">
        <f>IF(NOT(ISNUMBER(G3631)), "", VLOOKUP(A3631,'Discount Lookup'!D:E,2,FALSE)*G3631)</f>
        <v>0</v>
      </c>
      <c r="V3631" s="225">
        <f>IF(NOT(ISNUMBER(G3631)), "", VLOOKUP(A3631,'Discount Lookup'!G:H,2,FALSE)*G3631)</f>
        <v>0</v>
      </c>
      <c r="W3631" s="508">
        <f t="shared" si="2772"/>
        <v>0</v>
      </c>
      <c r="X3631" s="508">
        <f t="shared" si="2773"/>
        <v>0</v>
      </c>
      <c r="Y3631" s="509" t="b">
        <f t="shared" si="2774"/>
        <v>0</v>
      </c>
      <c r="Z3631" s="510">
        <f t="shared" si="2775"/>
        <v>0</v>
      </c>
      <c r="AA3631" s="511"/>
      <c r="AB3631" s="511" t="str">
        <f t="shared" si="2776"/>
        <v/>
      </c>
      <c r="AC3631" s="698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698"/>
      <c r="AE3631" s="631" t="str">
        <f t="shared" si="2777"/>
        <v/>
      </c>
      <c r="AF3631" s="699" t="str">
        <f t="shared" si="2778"/>
        <v/>
      </c>
      <c r="AG3631" s="699"/>
      <c r="AH3631" s="699"/>
      <c r="AI3631" s="512">
        <f>IF(H3631="credit",0,IF(AE3631="free",0,IF(AE3631="me",0,IF(G3631&gt;0,(VLOOKUP(A3631,'Discount Lookup'!J:K,2)*G3631),0))))</f>
        <v>0</v>
      </c>
      <c r="AJ3631" s="513" t="str">
        <f t="shared" ca="1" si="2779"/>
        <v/>
      </c>
      <c r="AK3631" s="700" t="str">
        <f t="shared" si="2780"/>
        <v/>
      </c>
      <c r="AL3631" s="700"/>
      <c r="AM3631" s="505" t="str">
        <f t="shared" si="2781"/>
        <v/>
      </c>
      <c r="AN3631" s="506"/>
      <c r="AO3631" s="507"/>
      <c r="AP3631" s="507"/>
      <c r="AQ3631" s="507"/>
      <c r="AR3631" s="507"/>
      <c r="AS3631" s="507"/>
      <c r="AT3631" s="507"/>
      <c r="AU3631" s="507"/>
      <c r="AV3631" s="225"/>
      <c r="AW3631" s="508"/>
      <c r="AX3631" s="225"/>
      <c r="AY3631" s="225"/>
      <c r="AZ3631" s="225"/>
      <c r="BA3631" s="225"/>
      <c r="BB3631" s="225"/>
      <c r="BC3631" s="56"/>
      <c r="BD3631" s="56"/>
      <c r="BE3631" s="56"/>
      <c r="BF3631" s="107" t="str">
        <f t="shared" si="2782"/>
        <v>https://www.google.com/search?tbm=isch&amp;q=7%20G4</v>
      </c>
      <c r="BG3631" s="107" t="str">
        <f t="shared" si="2783"/>
        <v>S</v>
      </c>
      <c r="BH3631" s="254"/>
      <c r="BI3631" s="254"/>
    </row>
    <row r="3632" spans="1:61" customFormat="1" ht="15.75" x14ac:dyDescent="0.25">
      <c r="A3632" s="276">
        <v>10</v>
      </c>
      <c r="B3632" s="240" t="s">
        <v>291</v>
      </c>
      <c r="C3632" s="241" t="s">
        <v>3802</v>
      </c>
      <c r="D3632" s="242" t="s">
        <v>292</v>
      </c>
      <c r="E3632" s="243">
        <v>155.94999999999999</v>
      </c>
      <c r="F3632" s="517" t="s">
        <v>293</v>
      </c>
      <c r="G3632" s="232">
        <v>0</v>
      </c>
      <c r="H3632" s="661" t="str">
        <f>IF(G3632=0,"",IF(F3632="Buy",IF(G3632=1,"plant","plants"),IF(F3632&gt;0.01,"warranty","Error")))</f>
        <v/>
      </c>
      <c r="I3632" s="244">
        <f>IF(H3632="free",0,IF(H3632="credit",((E3632*(F3632))*G3632*-1),IF(F3632="Buy",(E3632*G3632),((E3632*(1-F3632))*G3632))))</f>
        <v>0</v>
      </c>
      <c r="J3632" s="244">
        <f>IF(H3632="warranty",0,(I3632*(_xlfn.SINGLE(SalesTaxPercentage))))</f>
        <v>0</v>
      </c>
      <c r="K3632" s="696">
        <f t="shared" ref="K3632" si="2801">I3632+J3632</f>
        <v>0</v>
      </c>
      <c r="L3632" s="696"/>
      <c r="M3632" s="659" t="str">
        <f>IF(AND(G3632&gt;0,E3632=0),"WARNING - no PRICE inserted",IF(H3632="free"," FREE ~ no charge this plant",IF(H3632="credit",CONCATENATE(" -$",ROUND(K3632*(1-T2GDiscount)*-1,2)," CREDIT after discount"),IF(T2GDiscount=0,"",IF(G3632=0,"",IF(F3632="Buy",CONCATENATE(" $",ROUND(K3632*(1-T2GDiscount),2)," with ",(T2GDiscount*100),"% discount"),CONCATENATE(" $",ROUND(K3632*(1-T2GDiscount),2)," with ",((T2GDiscount*100+F3632*100)-(T2GDiscount*100*F3632)),IF(F3632&gt;0,"% discounts",IF(NoWarrantyDiscount&gt;0,"% discounts","% discount")))))))))</f>
        <v/>
      </c>
      <c r="N3632" s="660"/>
      <c r="O3632" s="233"/>
      <c r="P3632" s="233"/>
      <c r="Q3632" s="233"/>
      <c r="R3632" s="233"/>
      <c r="S3632" s="233"/>
      <c r="T3632" s="508">
        <f t="shared" si="2771"/>
        <v>0</v>
      </c>
      <c r="U3632" s="225">
        <f>IF(NOT(ISNUMBER(G3632)), "", VLOOKUP(A3632,'Discount Lookup'!D:E,2,FALSE)*G3632)</f>
        <v>0</v>
      </c>
      <c r="V3632" s="225">
        <f>IF(NOT(ISNUMBER(G3632)), "", VLOOKUP(A3632,'Discount Lookup'!G:H,2,FALSE)*G3632)</f>
        <v>0</v>
      </c>
      <c r="W3632" s="508">
        <f t="shared" si="2772"/>
        <v>0</v>
      </c>
      <c r="X3632" s="508">
        <f t="shared" si="2773"/>
        <v>0</v>
      </c>
      <c r="Y3632" s="509" t="b">
        <f t="shared" si="2774"/>
        <v>0</v>
      </c>
      <c r="Z3632" s="510">
        <f t="shared" si="2775"/>
        <v>0</v>
      </c>
      <c r="AA3632" s="511"/>
      <c r="AB3632" s="511" t="str">
        <f t="shared" si="2776"/>
        <v/>
      </c>
      <c r="AC3632" s="698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698"/>
      <c r="AE3632" s="631" t="str">
        <f t="shared" si="2777"/>
        <v/>
      </c>
      <c r="AF3632" s="699" t="str">
        <f t="shared" si="2778"/>
        <v/>
      </c>
      <c r="AG3632" s="699"/>
      <c r="AH3632" s="699"/>
      <c r="AI3632" s="512">
        <f>IF(H3632="credit",0,IF(AE3632="free",0,IF(AE3632="me",0,IF(G3632&gt;0,(VLOOKUP(A3632,'Discount Lookup'!J:K,2)*G3632),0))))</f>
        <v>0</v>
      </c>
      <c r="AJ3632" s="513" t="str">
        <f t="shared" ca="1" si="2779"/>
        <v/>
      </c>
      <c r="AK3632" s="700" t="str">
        <f t="shared" si="2780"/>
        <v/>
      </c>
      <c r="AL3632" s="700"/>
      <c r="AM3632" s="505" t="str">
        <f t="shared" si="2781"/>
        <v/>
      </c>
      <c r="AN3632" s="506"/>
      <c r="AO3632" s="507"/>
      <c r="AP3632" s="507"/>
      <c r="AQ3632" s="507"/>
      <c r="AR3632" s="507"/>
      <c r="AS3632" s="507"/>
      <c r="AT3632" s="507"/>
      <c r="AU3632" s="507"/>
      <c r="AV3632" s="225"/>
      <c r="AW3632" s="508"/>
      <c r="AX3632" s="225"/>
      <c r="AY3632" s="225"/>
      <c r="AZ3632" s="225"/>
      <c r="BA3632" s="225"/>
      <c r="BB3632" s="225"/>
      <c r="BC3632" s="56"/>
      <c r="BD3632" s="56"/>
      <c r="BE3632" s="56"/>
      <c r="BF3632" s="107" t="str">
        <f t="shared" si="2782"/>
        <v>https://www.google.com/search?tbm=isch&amp;q=10%20G4</v>
      </c>
      <c r="BG3632" s="107" t="str">
        <f t="shared" si="2783"/>
        <v>S</v>
      </c>
      <c r="BH3632" s="254"/>
      <c r="BI3632" s="254"/>
    </row>
    <row r="3633" spans="1:61" customFormat="1" ht="17.25" thickBot="1" x14ac:dyDescent="0.3">
      <c r="A3633" s="524" t="s">
        <v>2255</v>
      </c>
      <c r="B3633" s="245"/>
      <c r="C3633" s="677"/>
      <c r="D3633" s="499"/>
      <c r="E3633" s="499"/>
      <c r="F3633" s="500"/>
      <c r="G3633" s="501"/>
      <c r="H3633" s="502"/>
      <c r="I3633" s="246"/>
      <c r="J3633" s="247"/>
      <c r="K3633" s="503"/>
      <c r="L3633" s="544"/>
      <c r="M3633" s="544"/>
      <c r="N3633" s="500"/>
      <c r="O3633" s="500"/>
      <c r="P3633" s="500"/>
      <c r="Q3633" s="500"/>
      <c r="R3633" s="500"/>
      <c r="S3633" s="278"/>
      <c r="T3633" s="508">
        <f t="shared" si="2771"/>
        <v>0</v>
      </c>
      <c r="U3633" s="225" t="str">
        <f>IF(NOT(ISNUMBER(G3633)), "", VLOOKUP(A3633,'Discount Lookup'!D:E,2,FALSE)*G3633)</f>
        <v/>
      </c>
      <c r="V3633" s="225" t="str">
        <f>IF(NOT(ISNUMBER(G3633)), "", VLOOKUP(A3633,'Discount Lookup'!G:H,2,FALSE)*G3633)</f>
        <v/>
      </c>
      <c r="W3633" s="508">
        <f t="shared" si="2772"/>
        <v>0</v>
      </c>
      <c r="X3633" s="508">
        <f t="shared" si="2773"/>
        <v>0</v>
      </c>
      <c r="Y3633" s="509" t="b">
        <f t="shared" si="2774"/>
        <v>0</v>
      </c>
      <c r="Z3633" s="510">
        <f t="shared" si="2775"/>
        <v>0</v>
      </c>
      <c r="AA3633" s="511"/>
      <c r="AB3633" s="511" t="str">
        <f t="shared" si="2776"/>
        <v/>
      </c>
      <c r="AC3633" s="698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698"/>
      <c r="AE3633" s="631" t="str">
        <f t="shared" si="2777"/>
        <v/>
      </c>
      <c r="AF3633" s="699" t="str">
        <f t="shared" si="2778"/>
        <v/>
      </c>
      <c r="AG3633" s="699"/>
      <c r="AH3633" s="699"/>
      <c r="AI3633" s="512">
        <f>IF(H3633="credit",0,IF(AE3633="free",0,IF(AE3633="me",0,IF(G3633&gt;0,(VLOOKUP(A3633,'Discount Lookup'!J:K,2)*G3633),0))))</f>
        <v>0</v>
      </c>
      <c r="AJ3633" s="513" t="str">
        <f t="shared" ca="1" si="2779"/>
        <v/>
      </c>
      <c r="AK3633" s="700" t="str">
        <f t="shared" si="2780"/>
        <v/>
      </c>
      <c r="AL3633" s="700"/>
      <c r="AM3633" s="505" t="str">
        <f t="shared" si="2781"/>
        <v/>
      </c>
      <c r="AN3633" s="506"/>
      <c r="AO3633" s="507"/>
      <c r="AP3633" s="507"/>
      <c r="AQ3633" s="507"/>
      <c r="AR3633" s="507"/>
      <c r="AS3633" s="507"/>
      <c r="AT3633" s="507"/>
      <c r="AU3633" s="507"/>
      <c r="AV3633" s="225"/>
      <c r="AW3633" s="508"/>
      <c r="AX3633" s="225"/>
      <c r="AY3633" s="225"/>
      <c r="AZ3633" s="225"/>
      <c r="BA3633" s="225"/>
      <c r="BB3633" s="225"/>
      <c r="BC3633" s="56"/>
      <c r="BD3633" s="56"/>
      <c r="BE3633" s="56"/>
      <c r="BF3633" s="107" t="str">
        <f t="shared" si="2782"/>
        <v>https://www.google.com/search?tbm=isch&amp;q=Sunsation%20boasts%20fragrant%2C%20upward-facing%20flowers%2C%20blooming%20reliably%20later%20in%20spring.%20Foliage%20turns%20Yellow%20in%20fall%20</v>
      </c>
      <c r="BG3633" s="107" t="str">
        <f t="shared" si="2783"/>
        <v>S</v>
      </c>
      <c r="BH3633" s="254"/>
      <c r="BI3633" s="254"/>
    </row>
    <row r="3634" spans="1:61" customFormat="1" ht="18" x14ac:dyDescent="0.25">
      <c r="A3634" s="521" t="s">
        <v>1854</v>
      </c>
      <c r="B3634" s="477"/>
      <c r="C3634" s="674"/>
      <c r="D3634" s="478" t="s">
        <v>1855</v>
      </c>
      <c r="E3634" s="479"/>
      <c r="F3634" s="479"/>
      <c r="G3634" s="479"/>
      <c r="H3634" s="582" t="s">
        <v>1521</v>
      </c>
      <c r="I3634" s="480" t="s">
        <v>2994</v>
      </c>
      <c r="J3634" s="479"/>
      <c r="K3634" s="479"/>
      <c r="L3634" s="560"/>
      <c r="M3634" s="671" t="s">
        <v>4990</v>
      </c>
      <c r="N3634" s="680" t="str">
        <f>IF(AND(ISTEXT($A3634), ISERROR($A3634+0)), HYPERLINK($BF3634, "Images"), "")</f>
        <v>Images</v>
      </c>
      <c r="O3634" s="662" t="s">
        <v>4969</v>
      </c>
      <c r="P3634" s="482"/>
      <c r="Q3634" s="483"/>
      <c r="R3634" s="483"/>
      <c r="S3634" s="484"/>
      <c r="T3634" s="508">
        <f t="shared" si="2771"/>
        <v>0</v>
      </c>
      <c r="U3634" s="225" t="str">
        <f>IF(NOT(ISNUMBER(G3634)), "", VLOOKUP(A3634,'Discount Lookup'!D:E,2,FALSE)*G3634)</f>
        <v/>
      </c>
      <c r="V3634" s="225" t="str">
        <f>IF(NOT(ISNUMBER(G3634)), "", VLOOKUP(A3634,'Discount Lookup'!G:H,2,FALSE)*G3634)</f>
        <v/>
      </c>
      <c r="W3634" s="508">
        <f t="shared" si="2772"/>
        <v>0</v>
      </c>
      <c r="X3634" s="508" t="str">
        <f t="shared" si="2773"/>
        <v>Green &amp; Orange-Red</v>
      </c>
      <c r="Y3634" s="509" t="b">
        <f t="shared" si="2774"/>
        <v>0</v>
      </c>
      <c r="Z3634" s="510">
        <f t="shared" si="2775"/>
        <v>0</v>
      </c>
      <c r="AA3634" s="511"/>
      <c r="AB3634" s="511" t="str">
        <f t="shared" si="2776"/>
        <v/>
      </c>
      <c r="AC3634" s="698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698"/>
      <c r="AE3634" s="631" t="str">
        <f t="shared" si="2777"/>
        <v/>
      </c>
      <c r="AF3634" s="699" t="str">
        <f t="shared" si="2778"/>
        <v/>
      </c>
      <c r="AG3634" s="699"/>
      <c r="AH3634" s="699"/>
      <c r="AI3634" s="512">
        <f>IF(H3634="credit",0,IF(AE3634="free",0,IF(AE3634="me",0,IF(G3634&gt;0,(VLOOKUP(A3634,'Discount Lookup'!J:K,2)*G3634),0))))</f>
        <v>0</v>
      </c>
      <c r="AJ3634" s="513" t="str">
        <f t="shared" ca="1" si="2779"/>
        <v/>
      </c>
      <c r="AK3634" s="700" t="str">
        <f t="shared" si="2780"/>
        <v/>
      </c>
      <c r="AL3634" s="700"/>
      <c r="AM3634" s="505" t="str">
        <f t="shared" si="2781"/>
        <v/>
      </c>
      <c r="AN3634" s="506"/>
      <c r="AO3634" s="507"/>
      <c r="AP3634" s="507"/>
      <c r="AQ3634" s="507"/>
      <c r="AR3634" s="507"/>
      <c r="AS3634" s="507"/>
      <c r="AT3634" s="507"/>
      <c r="AU3634" s="507"/>
      <c r="AV3634" s="225"/>
      <c r="AW3634" s="508"/>
      <c r="AX3634" s="225"/>
      <c r="AY3634" s="225"/>
      <c r="AZ3634" s="225"/>
      <c r="BA3634" s="225"/>
      <c r="BB3634" s="225"/>
      <c r="BC3634" s="56"/>
      <c r="BD3634" s="56"/>
      <c r="BE3634" s="56"/>
      <c r="BF3634" s="107" t="str">
        <f t="shared" si="2782"/>
        <v>https://www.google.com/search?tbm=isch&amp;q=Sunset%20Glow%20Clumping%20Bamboo%20Fargesia%20rufa%20%27Sunset%20Glow%27</v>
      </c>
      <c r="BG3634" s="107" t="str">
        <f t="shared" si="2783"/>
        <v>S</v>
      </c>
      <c r="BH3634" s="254"/>
      <c r="BI3634" s="254"/>
    </row>
    <row r="3635" spans="1:61" customFormat="1" ht="15.75" x14ac:dyDescent="0.25">
      <c r="A3635" s="485">
        <v>3</v>
      </c>
      <c r="B3635" s="486" t="s">
        <v>291</v>
      </c>
      <c r="C3635" s="487" t="s">
        <v>3803</v>
      </c>
      <c r="D3635" s="488" t="s">
        <v>292</v>
      </c>
      <c r="E3635" s="489">
        <v>35.950000000000003</v>
      </c>
      <c r="F3635" s="516" t="s">
        <v>293</v>
      </c>
      <c r="G3635" s="232">
        <v>0</v>
      </c>
      <c r="H3635" s="658" t="str">
        <f>IF(G3635=0,"",IF(F3635="Buy",IF(G3635=1,"plant","plants"),IF(F3635&gt;0.01,"warranty","Error")))</f>
        <v/>
      </c>
      <c r="I3635" s="490">
        <f>IF(H3635="free",0,IF(H3635="credit",((E3635*(F3635))*G3635*-1),IF(F3635="Buy",(E3635*G3635),((E3635*(1-F3635))*G3635))))</f>
        <v>0</v>
      </c>
      <c r="J3635" s="490">
        <f>IF(H3635="warranty",0,(I3635*(_xlfn.SINGLE(SalesTaxPercentage))))</f>
        <v>0</v>
      </c>
      <c r="K3635" s="695">
        <f t="shared" ref="K3635" si="2802">I3635+J3635</f>
        <v>0</v>
      </c>
      <c r="L3635" s="695"/>
      <c r="M3635" s="659" t="str">
        <f>IF(AND(G3635&gt;0,E3635=0),"WARNING - no PRICE inserted",IF(H3635="free"," FREE ~ no charge this plant",IF(H3635="credit",CONCATENATE(" -$",ROUND(K3635*(1-T2GDiscount)*-1,2)," CREDIT after discount"),IF(T2GDiscount=0,"",IF(G3635=0,"",IF(F3635="Buy",CONCATENATE(" $",ROUND(K3635*(1-T2GDiscount),2)," with ",(T2GDiscount*100),"% discount"),CONCATENATE(" $",ROUND(K3635*(1-T2GDiscount),2)," with ",((T2GDiscount*100+F3635*100)-(T2GDiscount*100*F3635)),IF(F3635&gt;0,"% discounts",IF(NoWarrantyDiscount&gt;0,"% discounts","% discount")))))))))</f>
        <v/>
      </c>
      <c r="N3635" s="660"/>
      <c r="O3635" s="233"/>
      <c r="P3635" s="233"/>
      <c r="Q3635" s="233"/>
      <c r="R3635" s="233"/>
      <c r="S3635" s="233"/>
      <c r="T3635" s="508">
        <f t="shared" si="2771"/>
        <v>0</v>
      </c>
      <c r="U3635" s="225">
        <f>IF(NOT(ISNUMBER(G3635)), "", VLOOKUP(A3635,'Discount Lookup'!D:E,2,FALSE)*G3635)</f>
        <v>0</v>
      </c>
      <c r="V3635" s="225">
        <f>IF(NOT(ISNUMBER(G3635)), "", VLOOKUP(A3635,'Discount Lookup'!G:H,2,FALSE)*G3635)</f>
        <v>0</v>
      </c>
      <c r="W3635" s="508">
        <f t="shared" si="2772"/>
        <v>0</v>
      </c>
      <c r="X3635" s="508">
        <f t="shared" si="2773"/>
        <v>0</v>
      </c>
      <c r="Y3635" s="509" t="b">
        <f t="shared" si="2774"/>
        <v>0</v>
      </c>
      <c r="Z3635" s="510">
        <f t="shared" si="2775"/>
        <v>0</v>
      </c>
      <c r="AA3635" s="511"/>
      <c r="AB3635" s="511" t="str">
        <f t="shared" si="2776"/>
        <v/>
      </c>
      <c r="AC3635" s="698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698"/>
      <c r="AE3635" s="631" t="str">
        <f t="shared" si="2777"/>
        <v/>
      </c>
      <c r="AF3635" s="699" t="str">
        <f t="shared" si="2778"/>
        <v/>
      </c>
      <c r="AG3635" s="699"/>
      <c r="AH3635" s="699"/>
      <c r="AI3635" s="512">
        <f>IF(H3635="credit",0,IF(AE3635="free",0,IF(AE3635="me",0,IF(G3635&gt;0,(VLOOKUP(A3635,'Discount Lookup'!J:K,2)*G3635),0))))</f>
        <v>0</v>
      </c>
      <c r="AJ3635" s="513" t="str">
        <f t="shared" ca="1" si="2779"/>
        <v/>
      </c>
      <c r="AK3635" s="700" t="str">
        <f t="shared" si="2780"/>
        <v/>
      </c>
      <c r="AL3635" s="700"/>
      <c r="AM3635" s="505" t="str">
        <f t="shared" si="2781"/>
        <v/>
      </c>
      <c r="AN3635" s="506"/>
      <c r="AO3635" s="507"/>
      <c r="AP3635" s="507"/>
      <c r="AQ3635" s="507"/>
      <c r="AR3635" s="507"/>
      <c r="AS3635" s="507"/>
      <c r="AT3635" s="507"/>
      <c r="AU3635" s="507"/>
      <c r="AV3635" s="225"/>
      <c r="AW3635" s="508"/>
      <c r="AX3635" s="225"/>
      <c r="AY3635" s="225"/>
      <c r="AZ3635" s="225"/>
      <c r="BA3635" s="225"/>
      <c r="BB3635" s="225"/>
      <c r="BC3635" s="56"/>
      <c r="BD3635" s="56"/>
      <c r="BE3635" s="56"/>
      <c r="BF3635" s="107" t="str">
        <f t="shared" si="2782"/>
        <v>https://www.google.com/search?tbm=isch&amp;q=3%20G4</v>
      </c>
      <c r="BG3635" s="107" t="str">
        <f t="shared" si="2783"/>
        <v>S</v>
      </c>
      <c r="BH3635" s="254"/>
      <c r="BI3635" s="254"/>
    </row>
    <row r="3636" spans="1:61" customFormat="1" ht="16.5" thickBot="1" x14ac:dyDescent="0.3">
      <c r="A3636" s="522" t="s">
        <v>3036</v>
      </c>
      <c r="B3636" s="491"/>
      <c r="C3636" s="675"/>
      <c r="D3636" s="491"/>
      <c r="E3636" s="491"/>
      <c r="F3636" s="492"/>
      <c r="G3636" s="493"/>
      <c r="H3636" s="491"/>
      <c r="I3636" s="234"/>
      <c r="J3636" s="234"/>
      <c r="K3636" s="494"/>
      <c r="L3636" s="543"/>
      <c r="M3636" s="561"/>
      <c r="N3636" s="495"/>
      <c r="O3636" s="496"/>
      <c r="P3636" s="497"/>
      <c r="Q3636" s="495"/>
      <c r="R3636" s="495"/>
      <c r="S3636" s="667" t="s">
        <v>4968</v>
      </c>
      <c r="T3636" s="508">
        <f t="shared" si="2771"/>
        <v>0</v>
      </c>
      <c r="U3636" s="225" t="str">
        <f>IF(NOT(ISNUMBER(G3636)), "", VLOOKUP(A3636,'Discount Lookup'!D:E,2,FALSE)*G3636)</f>
        <v/>
      </c>
      <c r="V3636" s="225" t="str">
        <f>IF(NOT(ISNUMBER(G3636)), "", VLOOKUP(A3636,'Discount Lookup'!G:H,2,FALSE)*G3636)</f>
        <v/>
      </c>
      <c r="W3636" s="508">
        <f t="shared" si="2772"/>
        <v>0</v>
      </c>
      <c r="X3636" s="508">
        <f t="shared" si="2773"/>
        <v>0</v>
      </c>
      <c r="Y3636" s="509" t="b">
        <f t="shared" si="2774"/>
        <v>0</v>
      </c>
      <c r="Z3636" s="510">
        <f t="shared" si="2775"/>
        <v>0</v>
      </c>
      <c r="AA3636" s="511"/>
      <c r="AB3636" s="511" t="str">
        <f t="shared" si="2776"/>
        <v/>
      </c>
      <c r="AC3636" s="698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698"/>
      <c r="AE3636" s="631" t="str">
        <f t="shared" si="2777"/>
        <v/>
      </c>
      <c r="AF3636" s="699" t="str">
        <f t="shared" si="2778"/>
        <v/>
      </c>
      <c r="AG3636" s="699"/>
      <c r="AH3636" s="699"/>
      <c r="AI3636" s="512">
        <f>IF(H3636="credit",0,IF(AE3636="free",0,IF(AE3636="me",0,IF(G3636&gt;0,(VLOOKUP(A3636,'Discount Lookup'!J:K,2)*G3636),0))))</f>
        <v>0</v>
      </c>
      <c r="AJ3636" s="513" t="str">
        <f t="shared" ca="1" si="2779"/>
        <v/>
      </c>
      <c r="AK3636" s="700" t="str">
        <f t="shared" si="2780"/>
        <v/>
      </c>
      <c r="AL3636" s="700"/>
      <c r="AM3636" s="505" t="str">
        <f t="shared" si="2781"/>
        <v/>
      </c>
      <c r="AN3636" s="506"/>
      <c r="AO3636" s="507"/>
      <c r="AP3636" s="507"/>
      <c r="AQ3636" s="507"/>
      <c r="AR3636" s="507"/>
      <c r="AS3636" s="507"/>
      <c r="AT3636" s="507"/>
      <c r="AU3636" s="507"/>
      <c r="AV3636" s="225"/>
      <c r="AW3636" s="508"/>
      <c r="AX3636" s="225"/>
      <c r="AY3636" s="225"/>
      <c r="AZ3636" s="225"/>
      <c r="BA3636" s="225"/>
      <c r="BB3636" s="225"/>
      <c r="BC3636" s="56"/>
      <c r="BD3636" s="56"/>
      <c r="BE3636" s="56"/>
      <c r="BF3636" s="107" t="str">
        <f t="shared" si="2782"/>
        <v>https://www.google.com/search?tbm=isch&amp;q=Sunset%20Glow%20is%20a%20clumping%20type%2C%20non-invasive.%20Its%20Orange-Red%20cane%20sheaths%20add%20vivid%20contrast%20to%20the%20Green%20culms%2C%20Very%20cold-hardy%20</v>
      </c>
      <c r="BG3636" s="107" t="str">
        <f t="shared" si="2783"/>
        <v>S</v>
      </c>
      <c r="BH3636" s="254"/>
      <c r="BI3636" s="254"/>
    </row>
    <row r="3637" spans="1:61" customFormat="1" ht="18" x14ac:dyDescent="0.25">
      <c r="A3637" s="521" t="s">
        <v>1856</v>
      </c>
      <c r="B3637" s="477"/>
      <c r="C3637" s="674"/>
      <c r="D3637" s="478" t="s">
        <v>1857</v>
      </c>
      <c r="E3637" s="479"/>
      <c r="F3637" s="479"/>
      <c r="G3637" s="479"/>
      <c r="H3637" s="582" t="s">
        <v>1858</v>
      </c>
      <c r="I3637" s="480" t="s">
        <v>654</v>
      </c>
      <c r="J3637" s="479"/>
      <c r="K3637" s="479"/>
      <c r="L3637" s="560"/>
      <c r="M3637" s="666" t="s">
        <v>4966</v>
      </c>
      <c r="N3637" s="680" t="str">
        <f>IF(AND(ISTEXT($A3637), ISERROR($A3637+0)), HYPERLINK($BF3637, "Images"), "")</f>
        <v>Images</v>
      </c>
      <c r="O3637" s="662" t="s">
        <v>4974</v>
      </c>
      <c r="P3637" s="482"/>
      <c r="Q3637" s="483"/>
      <c r="R3637" s="483"/>
      <c r="S3637" s="484"/>
      <c r="T3637" s="508">
        <f t="shared" si="2771"/>
        <v>0</v>
      </c>
      <c r="U3637" s="225" t="str">
        <f>IF(NOT(ISNUMBER(G3637)), "", VLOOKUP(A3637,'Discount Lookup'!D:E,2,FALSE)*G3637)</f>
        <v/>
      </c>
      <c r="V3637" s="225" t="str">
        <f>IF(NOT(ISNUMBER(G3637)), "", VLOOKUP(A3637,'Discount Lookup'!G:H,2,FALSE)*G3637)</f>
        <v/>
      </c>
      <c r="W3637" s="508">
        <f t="shared" si="2772"/>
        <v>0</v>
      </c>
      <c r="X3637" s="508" t="str">
        <f t="shared" si="2773"/>
        <v>White bloom</v>
      </c>
      <c r="Y3637" s="509" t="b">
        <f t="shared" si="2774"/>
        <v>0</v>
      </c>
      <c r="Z3637" s="510">
        <f t="shared" si="2775"/>
        <v>0</v>
      </c>
      <c r="AA3637" s="511"/>
      <c r="AB3637" s="511" t="str">
        <f t="shared" si="2776"/>
        <v/>
      </c>
      <c r="AC3637" s="698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698"/>
      <c r="AE3637" s="631" t="str">
        <f t="shared" si="2777"/>
        <v/>
      </c>
      <c r="AF3637" s="699" t="str">
        <f t="shared" si="2778"/>
        <v/>
      </c>
      <c r="AG3637" s="699"/>
      <c r="AH3637" s="699"/>
      <c r="AI3637" s="512">
        <f>IF(H3637="credit",0,IF(AE3637="free",0,IF(AE3637="me",0,IF(G3637&gt;0,(VLOOKUP(A3637,'Discount Lookup'!J:K,2)*G3637),0))))</f>
        <v>0</v>
      </c>
      <c r="AJ3637" s="513" t="str">
        <f t="shared" ca="1" si="2779"/>
        <v/>
      </c>
      <c r="AK3637" s="700" t="str">
        <f t="shared" si="2780"/>
        <v/>
      </c>
      <c r="AL3637" s="700"/>
      <c r="AM3637" s="505" t="str">
        <f t="shared" si="2781"/>
        <v/>
      </c>
      <c r="AN3637" s="506"/>
      <c r="AO3637" s="507"/>
      <c r="AP3637" s="507"/>
      <c r="AQ3637" s="507"/>
      <c r="AR3637" s="507"/>
      <c r="AS3637" s="507"/>
      <c r="AT3637" s="507"/>
      <c r="AU3637" s="507"/>
      <c r="AV3637" s="225"/>
      <c r="AW3637" s="508"/>
      <c r="AX3637" s="225"/>
      <c r="AY3637" s="225"/>
      <c r="AZ3637" s="225"/>
      <c r="BA3637" s="225"/>
      <c r="BB3637" s="225"/>
      <c r="BC3637" s="56"/>
      <c r="BD3637" s="56"/>
      <c r="BE3637" s="56"/>
      <c r="BF3637" s="107" t="str">
        <f t="shared" si="2782"/>
        <v>https://www.google.com/search?tbm=isch&amp;q=Sunshine%20Privet%20Ligustrum%20sinense%20%27Sunshine%27%20PP%2320379</v>
      </c>
      <c r="BG3637" s="107" t="str">
        <f t="shared" si="2783"/>
        <v>S</v>
      </c>
      <c r="BH3637" s="254"/>
      <c r="BI3637" s="254"/>
    </row>
    <row r="3638" spans="1:61" customFormat="1" ht="15.75" x14ac:dyDescent="0.25">
      <c r="A3638" s="485">
        <v>1</v>
      </c>
      <c r="B3638" s="486" t="s">
        <v>291</v>
      </c>
      <c r="C3638" s="487" t="s">
        <v>3090</v>
      </c>
      <c r="D3638" s="488" t="s">
        <v>312</v>
      </c>
      <c r="E3638" s="489">
        <v>28.95</v>
      </c>
      <c r="F3638" s="516" t="s">
        <v>293</v>
      </c>
      <c r="G3638" s="232">
        <v>0</v>
      </c>
      <c r="H3638" s="658" t="str">
        <f t="shared" ref="H3638:H3644" si="2803">IF(G3638=0,"",IF(F3638="Buy",IF(G3638=1,"plant","plants"),IF(F3638&gt;0.01,"warranty","Error")))</f>
        <v/>
      </c>
      <c r="I3638" s="490">
        <f t="shared" ref="I3638:I3644" si="2804">IF(H3638="free",0,IF(H3638="credit",((E3638*(F3638))*G3638*-1),IF(F3638="Buy",(E3638*G3638),((E3638*(1-F3638))*G3638))))</f>
        <v>0</v>
      </c>
      <c r="J3638" s="490">
        <f t="shared" ref="J3638:J3644" si="2805">IF(H3638="warranty",0,(I3638*(_xlfn.SINGLE(SalesTaxPercentage))))</f>
        <v>0</v>
      </c>
      <c r="K3638" s="695">
        <f t="shared" ref="K3638" si="2806">I3638+J3638</f>
        <v>0</v>
      </c>
      <c r="L3638" s="695"/>
      <c r="M3638" s="659" t="str">
        <f t="shared" ref="M3638:M3644" si="2807">IF(AND(G3638&gt;0,E3638=0),"WARNING - no PRICE inserted",IF(H3638="free"," FREE ~ no charge this plant",IF(H3638="credit",CONCATENATE(" -$",ROUND(K3638*(1-T2GDiscount)*-1,2)," CREDIT after discount"),IF(T2GDiscount=0,"",IF(G3638=0,"",IF(F3638="Buy",CONCATENATE(" $",ROUND(K3638*(1-T2GDiscount),2)," with ",(T2GDiscount*100),"% discount"),CONCATENATE(" $",ROUND(K3638*(1-T2GDiscount),2)," with ",((T2GDiscount*100+F3638*100)-(T2GDiscount*100*F3638)),IF(F3638&gt;0,"% discounts",IF(NoWarrantyDiscount&gt;0,"% discounts","% discount")))))))))</f>
        <v/>
      </c>
      <c r="N3638" s="660"/>
      <c r="O3638" s="233"/>
      <c r="P3638" s="233"/>
      <c r="Q3638" s="233"/>
      <c r="R3638" s="233"/>
      <c r="S3638" s="233"/>
      <c r="T3638" s="508">
        <f t="shared" si="2771"/>
        <v>0</v>
      </c>
      <c r="U3638" s="225">
        <f>IF(NOT(ISNUMBER(G3638)), "", VLOOKUP(A3638,'Discount Lookup'!D:E,2,FALSE)*G3638)</f>
        <v>0</v>
      </c>
      <c r="V3638" s="225">
        <f>IF(NOT(ISNUMBER(G3638)), "", VLOOKUP(A3638,'Discount Lookup'!G:H,2,FALSE)*G3638)</f>
        <v>0</v>
      </c>
      <c r="W3638" s="508">
        <f t="shared" si="2772"/>
        <v>0</v>
      </c>
      <c r="X3638" s="508">
        <f t="shared" si="2773"/>
        <v>0</v>
      </c>
      <c r="Y3638" s="509" t="b">
        <f t="shared" si="2774"/>
        <v>0</v>
      </c>
      <c r="Z3638" s="510">
        <f t="shared" si="2775"/>
        <v>0</v>
      </c>
      <c r="AA3638" s="511"/>
      <c r="AB3638" s="511" t="str">
        <f t="shared" si="2776"/>
        <v/>
      </c>
      <c r="AC3638" s="698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698"/>
      <c r="AE3638" s="631" t="str">
        <f t="shared" si="2777"/>
        <v/>
      </c>
      <c r="AF3638" s="699" t="str">
        <f t="shared" si="2778"/>
        <v/>
      </c>
      <c r="AG3638" s="699"/>
      <c r="AH3638" s="699"/>
      <c r="AI3638" s="512">
        <f>IF(H3638="credit",0,IF(AE3638="free",0,IF(AE3638="me",0,IF(G3638&gt;0,(VLOOKUP(A3638,'Discount Lookup'!J:K,2)*G3638),0))))</f>
        <v>0</v>
      </c>
      <c r="AJ3638" s="513" t="str">
        <f t="shared" ca="1" si="2779"/>
        <v/>
      </c>
      <c r="AK3638" s="700" t="str">
        <f t="shared" si="2780"/>
        <v/>
      </c>
      <c r="AL3638" s="700"/>
      <c r="AM3638" s="505" t="str">
        <f t="shared" si="2781"/>
        <v/>
      </c>
      <c r="AN3638" s="506"/>
      <c r="AO3638" s="507"/>
      <c r="AP3638" s="507"/>
      <c r="AQ3638" s="507"/>
      <c r="AR3638" s="507"/>
      <c r="AS3638" s="507"/>
      <c r="AT3638" s="507"/>
      <c r="AU3638" s="507"/>
      <c r="AV3638" s="225"/>
      <c r="AW3638" s="508"/>
      <c r="AX3638" s="225"/>
      <c r="AY3638" s="225"/>
      <c r="AZ3638" s="225"/>
      <c r="BA3638" s="225"/>
      <c r="BB3638" s="225"/>
      <c r="BC3638" s="56"/>
      <c r="BD3638" s="56"/>
      <c r="BE3638" s="56"/>
      <c r="BF3638" s="107" t="str">
        <f t="shared" si="2782"/>
        <v>https://www.google.com/search?tbm=isch&amp;q=1%20G2</v>
      </c>
      <c r="BG3638" s="107" t="str">
        <f t="shared" si="2783"/>
        <v>S</v>
      </c>
      <c r="BH3638" s="254"/>
      <c r="BI3638" s="254"/>
    </row>
    <row r="3639" spans="1:61" customFormat="1" ht="15.75" x14ac:dyDescent="0.25">
      <c r="A3639" s="485">
        <v>3</v>
      </c>
      <c r="B3639" s="486" t="s">
        <v>291</v>
      </c>
      <c r="C3639" s="487" t="s">
        <v>334</v>
      </c>
      <c r="D3639" s="488" t="s">
        <v>312</v>
      </c>
      <c r="E3639" s="489">
        <v>32.950000000000003</v>
      </c>
      <c r="F3639" s="516" t="s">
        <v>293</v>
      </c>
      <c r="G3639" s="232">
        <v>0</v>
      </c>
      <c r="H3639" s="658" t="str">
        <f t="shared" si="2803"/>
        <v/>
      </c>
      <c r="I3639" s="490">
        <f t="shared" si="2804"/>
        <v>0</v>
      </c>
      <c r="J3639" s="490">
        <f t="shared" si="2805"/>
        <v>0</v>
      </c>
      <c r="K3639" s="695">
        <f t="shared" ref="K3639" si="2808">I3639+J3639</f>
        <v>0</v>
      </c>
      <c r="L3639" s="695"/>
      <c r="M3639" s="659" t="str">
        <f t="shared" si="2807"/>
        <v/>
      </c>
      <c r="N3639" s="660"/>
      <c r="O3639" s="233"/>
      <c r="P3639" s="233"/>
      <c r="Q3639" s="233"/>
      <c r="R3639" s="233"/>
      <c r="S3639" s="233"/>
      <c r="T3639" s="508">
        <f t="shared" si="2771"/>
        <v>0</v>
      </c>
      <c r="U3639" s="225">
        <f>IF(NOT(ISNUMBER(G3639)), "", VLOOKUP(A3639,'Discount Lookup'!D:E,2,FALSE)*G3639)</f>
        <v>0</v>
      </c>
      <c r="V3639" s="225">
        <f>IF(NOT(ISNUMBER(G3639)), "", VLOOKUP(A3639,'Discount Lookup'!G:H,2,FALSE)*G3639)</f>
        <v>0</v>
      </c>
      <c r="W3639" s="508">
        <f t="shared" si="2772"/>
        <v>0</v>
      </c>
      <c r="X3639" s="508">
        <f t="shared" si="2773"/>
        <v>0</v>
      </c>
      <c r="Y3639" s="509" t="b">
        <f t="shared" si="2774"/>
        <v>0</v>
      </c>
      <c r="Z3639" s="510">
        <f t="shared" si="2775"/>
        <v>0</v>
      </c>
      <c r="AA3639" s="511"/>
      <c r="AB3639" s="511" t="str">
        <f t="shared" si="2776"/>
        <v/>
      </c>
      <c r="AC3639" s="698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698"/>
      <c r="AE3639" s="631" t="str">
        <f t="shared" si="2777"/>
        <v/>
      </c>
      <c r="AF3639" s="699" t="str">
        <f t="shared" si="2778"/>
        <v/>
      </c>
      <c r="AG3639" s="699"/>
      <c r="AH3639" s="699"/>
      <c r="AI3639" s="512">
        <f>IF(H3639="credit",0,IF(AE3639="free",0,IF(AE3639="me",0,IF(G3639&gt;0,(VLOOKUP(A3639,'Discount Lookup'!J:K,2)*G3639),0))))</f>
        <v>0</v>
      </c>
      <c r="AJ3639" s="513" t="str">
        <f t="shared" ca="1" si="2779"/>
        <v/>
      </c>
      <c r="AK3639" s="700" t="str">
        <f t="shared" si="2780"/>
        <v/>
      </c>
      <c r="AL3639" s="700"/>
      <c r="AM3639" s="505" t="str">
        <f t="shared" si="2781"/>
        <v/>
      </c>
      <c r="AN3639" s="506"/>
      <c r="AO3639" s="507"/>
      <c r="AP3639" s="507"/>
      <c r="AQ3639" s="507"/>
      <c r="AR3639" s="507"/>
      <c r="AS3639" s="507"/>
      <c r="AT3639" s="507"/>
      <c r="AU3639" s="507"/>
      <c r="AV3639" s="225"/>
      <c r="AW3639" s="508"/>
      <c r="AX3639" s="225"/>
      <c r="AY3639" s="225"/>
      <c r="AZ3639" s="225"/>
      <c r="BA3639" s="225"/>
      <c r="BB3639" s="225"/>
      <c r="BC3639" s="56"/>
      <c r="BD3639" s="56"/>
      <c r="BE3639" s="56"/>
      <c r="BF3639" s="107" t="str">
        <f t="shared" si="2782"/>
        <v>https://www.google.com/search?tbm=isch&amp;q=3%20G2</v>
      </c>
      <c r="BG3639" s="107" t="str">
        <f t="shared" si="2783"/>
        <v>S</v>
      </c>
      <c r="BH3639" s="254"/>
      <c r="BI3639" s="254"/>
    </row>
    <row r="3640" spans="1:61" customFormat="1" ht="15.75" x14ac:dyDescent="0.25">
      <c r="A3640" s="485">
        <v>3</v>
      </c>
      <c r="B3640" s="486" t="s">
        <v>291</v>
      </c>
      <c r="C3640" s="487" t="s">
        <v>445</v>
      </c>
      <c r="D3640" s="488" t="s">
        <v>298</v>
      </c>
      <c r="E3640" s="489">
        <v>33.950000000000003</v>
      </c>
      <c r="F3640" s="516" t="s">
        <v>293</v>
      </c>
      <c r="G3640" s="232">
        <v>0</v>
      </c>
      <c r="H3640" s="658" t="str">
        <f t="shared" si="2803"/>
        <v/>
      </c>
      <c r="I3640" s="490">
        <f t="shared" si="2804"/>
        <v>0</v>
      </c>
      <c r="J3640" s="490">
        <f t="shared" si="2805"/>
        <v>0</v>
      </c>
      <c r="K3640" s="695">
        <f t="shared" ref="K3640" si="2809">I3640+J3640</f>
        <v>0</v>
      </c>
      <c r="L3640" s="695"/>
      <c r="M3640" s="659" t="str">
        <f t="shared" si="2807"/>
        <v/>
      </c>
      <c r="N3640" s="660"/>
      <c r="O3640" s="233"/>
      <c r="P3640" s="233"/>
      <c r="Q3640" s="233"/>
      <c r="R3640" s="233"/>
      <c r="S3640" s="233"/>
      <c r="T3640" s="508">
        <f t="shared" si="2771"/>
        <v>0</v>
      </c>
      <c r="U3640" s="225">
        <f>IF(NOT(ISNUMBER(G3640)), "", VLOOKUP(A3640,'Discount Lookup'!D:E,2,FALSE)*G3640)</f>
        <v>0</v>
      </c>
      <c r="V3640" s="225">
        <f>IF(NOT(ISNUMBER(G3640)), "", VLOOKUP(A3640,'Discount Lookup'!G:H,2,FALSE)*G3640)</f>
        <v>0</v>
      </c>
      <c r="W3640" s="508">
        <f t="shared" si="2772"/>
        <v>0</v>
      </c>
      <c r="X3640" s="508">
        <f t="shared" si="2773"/>
        <v>0</v>
      </c>
      <c r="Y3640" s="509" t="b">
        <f t="shared" si="2774"/>
        <v>0</v>
      </c>
      <c r="Z3640" s="510">
        <f t="shared" si="2775"/>
        <v>0</v>
      </c>
      <c r="AA3640" s="511"/>
      <c r="AB3640" s="511" t="str">
        <f t="shared" si="2776"/>
        <v/>
      </c>
      <c r="AC3640" s="698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698"/>
      <c r="AE3640" s="631" t="str">
        <f t="shared" si="2777"/>
        <v/>
      </c>
      <c r="AF3640" s="699" t="str">
        <f t="shared" si="2778"/>
        <v/>
      </c>
      <c r="AG3640" s="699"/>
      <c r="AH3640" s="699"/>
      <c r="AI3640" s="512">
        <f>IF(H3640="credit",0,IF(AE3640="free",0,IF(AE3640="me",0,IF(G3640&gt;0,(VLOOKUP(A3640,'Discount Lookup'!J:K,2)*G3640),0))))</f>
        <v>0</v>
      </c>
      <c r="AJ3640" s="513" t="str">
        <f t="shared" ca="1" si="2779"/>
        <v/>
      </c>
      <c r="AK3640" s="700" t="str">
        <f t="shared" si="2780"/>
        <v/>
      </c>
      <c r="AL3640" s="700"/>
      <c r="AM3640" s="505" t="str">
        <f t="shared" si="2781"/>
        <v/>
      </c>
      <c r="AN3640" s="506"/>
      <c r="AO3640" s="507"/>
      <c r="AP3640" s="507"/>
      <c r="AQ3640" s="507"/>
      <c r="AR3640" s="507"/>
      <c r="AS3640" s="507"/>
      <c r="AT3640" s="507"/>
      <c r="AU3640" s="507"/>
      <c r="AV3640" s="225"/>
      <c r="AW3640" s="508"/>
      <c r="AX3640" s="225"/>
      <c r="AY3640" s="225"/>
      <c r="AZ3640" s="225"/>
      <c r="BA3640" s="225"/>
      <c r="BB3640" s="225"/>
      <c r="BC3640" s="56"/>
      <c r="BD3640" s="56"/>
      <c r="BE3640" s="56"/>
      <c r="BF3640" s="107" t="str">
        <f t="shared" si="2782"/>
        <v>https://www.google.com/search?tbm=isch&amp;q=3%20G1</v>
      </c>
      <c r="BG3640" s="107" t="str">
        <f t="shared" si="2783"/>
        <v>S</v>
      </c>
      <c r="BH3640" s="254"/>
      <c r="BI3640" s="254"/>
    </row>
    <row r="3641" spans="1:61" customFormat="1" ht="27" x14ac:dyDescent="0.25">
      <c r="A3641" s="485">
        <v>3</v>
      </c>
      <c r="B3641" s="486" t="s">
        <v>291</v>
      </c>
      <c r="C3641" s="487" t="s">
        <v>4687</v>
      </c>
      <c r="D3641" s="488" t="s">
        <v>299</v>
      </c>
      <c r="E3641" s="489">
        <v>35.950000000000003</v>
      </c>
      <c r="F3641" s="516" t="s">
        <v>293</v>
      </c>
      <c r="G3641" s="232">
        <v>0</v>
      </c>
      <c r="H3641" s="658" t="str">
        <f t="shared" si="2803"/>
        <v/>
      </c>
      <c r="I3641" s="490">
        <f t="shared" si="2804"/>
        <v>0</v>
      </c>
      <c r="J3641" s="490">
        <f t="shared" si="2805"/>
        <v>0</v>
      </c>
      <c r="K3641" s="695">
        <f t="shared" ref="K3641" si="2810">I3641+J3641</f>
        <v>0</v>
      </c>
      <c r="L3641" s="695"/>
      <c r="M3641" s="659" t="str">
        <f t="shared" si="2807"/>
        <v/>
      </c>
      <c r="N3641" s="660"/>
      <c r="O3641" s="233"/>
      <c r="P3641" s="233"/>
      <c r="Q3641" s="233"/>
      <c r="R3641" s="233"/>
      <c r="S3641" s="233"/>
      <c r="T3641" s="508">
        <f t="shared" si="2771"/>
        <v>0</v>
      </c>
      <c r="U3641" s="225">
        <f>IF(NOT(ISNUMBER(G3641)), "", VLOOKUP(A3641,'Discount Lookup'!D:E,2,FALSE)*G3641)</f>
        <v>0</v>
      </c>
      <c r="V3641" s="225">
        <f>IF(NOT(ISNUMBER(G3641)), "", VLOOKUP(A3641,'Discount Lookup'!G:H,2,FALSE)*G3641)</f>
        <v>0</v>
      </c>
      <c r="W3641" s="508">
        <f t="shared" si="2772"/>
        <v>0</v>
      </c>
      <c r="X3641" s="508">
        <f t="shared" si="2773"/>
        <v>0</v>
      </c>
      <c r="Y3641" s="509" t="b">
        <f t="shared" si="2774"/>
        <v>0</v>
      </c>
      <c r="Z3641" s="510">
        <f t="shared" si="2775"/>
        <v>0</v>
      </c>
      <c r="AA3641" s="511"/>
      <c r="AB3641" s="511" t="str">
        <f t="shared" si="2776"/>
        <v/>
      </c>
      <c r="AC3641" s="698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698"/>
      <c r="AE3641" s="631" t="str">
        <f t="shared" si="2777"/>
        <v/>
      </c>
      <c r="AF3641" s="699" t="str">
        <f t="shared" si="2778"/>
        <v/>
      </c>
      <c r="AG3641" s="699"/>
      <c r="AH3641" s="699"/>
      <c r="AI3641" s="512">
        <f>IF(H3641="credit",0,IF(AE3641="free",0,IF(AE3641="me",0,IF(G3641&gt;0,(VLOOKUP(A3641,'Discount Lookup'!J:K,2)*G3641),0))))</f>
        <v>0</v>
      </c>
      <c r="AJ3641" s="513" t="str">
        <f t="shared" ca="1" si="2779"/>
        <v/>
      </c>
      <c r="AK3641" s="700" t="str">
        <f t="shared" si="2780"/>
        <v/>
      </c>
      <c r="AL3641" s="700"/>
      <c r="AM3641" s="505" t="str">
        <f t="shared" si="2781"/>
        <v/>
      </c>
      <c r="AN3641" s="506"/>
      <c r="AO3641" s="507"/>
      <c r="AP3641" s="507"/>
      <c r="AQ3641" s="507"/>
      <c r="AR3641" s="507"/>
      <c r="AS3641" s="507"/>
      <c r="AT3641" s="507"/>
      <c r="AU3641" s="507"/>
      <c r="AV3641" s="225"/>
      <c r="AW3641" s="508"/>
      <c r="AX3641" s="225"/>
      <c r="AY3641" s="225"/>
      <c r="AZ3641" s="225"/>
      <c r="BA3641" s="225"/>
      <c r="BB3641" s="225"/>
      <c r="BC3641" s="56"/>
      <c r="BD3641" s="56"/>
      <c r="BE3641" s="56"/>
      <c r="BF3641" s="107" t="str">
        <f t="shared" si="2782"/>
        <v>https://www.google.com/search?tbm=isch&amp;q=3%20G5</v>
      </c>
      <c r="BG3641" s="107" t="str">
        <f t="shared" si="2783"/>
        <v>S</v>
      </c>
      <c r="BH3641" s="254"/>
      <c r="BI3641" s="254"/>
    </row>
    <row r="3642" spans="1:61" customFormat="1" ht="15.75" x14ac:dyDescent="0.25">
      <c r="A3642" s="485">
        <v>3</v>
      </c>
      <c r="B3642" s="486" t="s">
        <v>291</v>
      </c>
      <c r="C3642" s="487" t="s">
        <v>4573</v>
      </c>
      <c r="D3642" s="488" t="s">
        <v>300</v>
      </c>
      <c r="E3642" s="489">
        <v>53.95</v>
      </c>
      <c r="F3642" s="516" t="s">
        <v>293</v>
      </c>
      <c r="G3642" s="232">
        <v>0</v>
      </c>
      <c r="H3642" s="658" t="str">
        <f t="shared" si="2803"/>
        <v/>
      </c>
      <c r="I3642" s="490">
        <f t="shared" si="2804"/>
        <v>0</v>
      </c>
      <c r="J3642" s="490">
        <f t="shared" si="2805"/>
        <v>0</v>
      </c>
      <c r="K3642" s="695">
        <f t="shared" ref="K3642" si="2811">I3642+J3642</f>
        <v>0</v>
      </c>
      <c r="L3642" s="695"/>
      <c r="M3642" s="659" t="str">
        <f t="shared" si="2807"/>
        <v/>
      </c>
      <c r="N3642" s="660"/>
      <c r="O3642" s="233"/>
      <c r="P3642" s="233"/>
      <c r="Q3642" s="233"/>
      <c r="R3642" s="233"/>
      <c r="S3642" s="233"/>
      <c r="T3642" s="508">
        <f t="shared" si="2771"/>
        <v>0</v>
      </c>
      <c r="U3642" s="225">
        <f>IF(NOT(ISNUMBER(G3642)), "", VLOOKUP(A3642,'Discount Lookup'!D:E,2,FALSE)*G3642)</f>
        <v>0</v>
      </c>
      <c r="V3642" s="225">
        <f>IF(NOT(ISNUMBER(G3642)), "", VLOOKUP(A3642,'Discount Lookup'!G:H,2,FALSE)*G3642)</f>
        <v>0</v>
      </c>
      <c r="W3642" s="508">
        <f t="shared" si="2772"/>
        <v>0</v>
      </c>
      <c r="X3642" s="508">
        <f t="shared" si="2773"/>
        <v>0</v>
      </c>
      <c r="Y3642" s="509" t="b">
        <f t="shared" si="2774"/>
        <v>0</v>
      </c>
      <c r="Z3642" s="510">
        <f t="shared" si="2775"/>
        <v>0</v>
      </c>
      <c r="AA3642" s="511"/>
      <c r="AB3642" s="511" t="str">
        <f t="shared" si="2776"/>
        <v/>
      </c>
      <c r="AC3642" s="698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698"/>
      <c r="AE3642" s="631" t="str">
        <f t="shared" si="2777"/>
        <v/>
      </c>
      <c r="AF3642" s="699" t="str">
        <f t="shared" si="2778"/>
        <v/>
      </c>
      <c r="AG3642" s="699"/>
      <c r="AH3642" s="699"/>
      <c r="AI3642" s="512">
        <f>IF(H3642="credit",0,IF(AE3642="free",0,IF(AE3642="me",0,IF(G3642&gt;0,(VLOOKUP(A3642,'Discount Lookup'!J:K,2)*G3642),0))))</f>
        <v>0</v>
      </c>
      <c r="AJ3642" s="513" t="str">
        <f t="shared" ca="1" si="2779"/>
        <v/>
      </c>
      <c r="AK3642" s="700" t="str">
        <f t="shared" si="2780"/>
        <v/>
      </c>
      <c r="AL3642" s="700"/>
      <c r="AM3642" s="505" t="str">
        <f t="shared" si="2781"/>
        <v/>
      </c>
      <c r="AN3642" s="506"/>
      <c r="AO3642" s="507"/>
      <c r="AP3642" s="507"/>
      <c r="AQ3642" s="507"/>
      <c r="AR3642" s="507"/>
      <c r="AS3642" s="507"/>
      <c r="AT3642" s="507"/>
      <c r="AU3642" s="507"/>
      <c r="AV3642" s="225"/>
      <c r="AW3642" s="508"/>
      <c r="AX3642" s="225"/>
      <c r="AY3642" s="225"/>
      <c r="AZ3642" s="225"/>
      <c r="BA3642" s="225"/>
      <c r="BB3642" s="225"/>
      <c r="BC3642" s="56"/>
      <c r="BD3642" s="56"/>
      <c r="BE3642" s="56"/>
      <c r="BF3642" s="107" t="str">
        <f t="shared" si="2782"/>
        <v>https://www.google.com/search?tbm=isch&amp;q=3%20G6</v>
      </c>
      <c r="BG3642" s="107" t="str">
        <f t="shared" si="2783"/>
        <v>S</v>
      </c>
      <c r="BH3642" s="254"/>
      <c r="BI3642" s="254"/>
    </row>
    <row r="3643" spans="1:61" customFormat="1" ht="15.75" x14ac:dyDescent="0.25">
      <c r="A3643" s="485">
        <v>7</v>
      </c>
      <c r="B3643" s="486" t="s">
        <v>291</v>
      </c>
      <c r="C3643" s="487" t="s">
        <v>313</v>
      </c>
      <c r="D3643" s="488" t="s">
        <v>299</v>
      </c>
      <c r="E3643" s="489">
        <v>79.95</v>
      </c>
      <c r="F3643" s="516" t="s">
        <v>293</v>
      </c>
      <c r="G3643" s="232">
        <v>0</v>
      </c>
      <c r="H3643" s="658" t="str">
        <f t="shared" si="2803"/>
        <v/>
      </c>
      <c r="I3643" s="490">
        <f t="shared" si="2804"/>
        <v>0</v>
      </c>
      <c r="J3643" s="490">
        <f t="shared" si="2805"/>
        <v>0</v>
      </c>
      <c r="K3643" s="695">
        <f t="shared" ref="K3643" si="2812">I3643+J3643</f>
        <v>0</v>
      </c>
      <c r="L3643" s="695"/>
      <c r="M3643" s="659" t="str">
        <f t="shared" si="2807"/>
        <v/>
      </c>
      <c r="N3643" s="660"/>
      <c r="O3643" s="233"/>
      <c r="P3643" s="233"/>
      <c r="Q3643" s="233"/>
      <c r="R3643" s="233"/>
      <c r="S3643" s="233"/>
      <c r="T3643" s="508">
        <f t="shared" si="2771"/>
        <v>0</v>
      </c>
      <c r="U3643" s="225">
        <f>IF(NOT(ISNUMBER(G3643)), "", VLOOKUP(A3643,'Discount Lookup'!D:E,2,FALSE)*G3643)</f>
        <v>0</v>
      </c>
      <c r="V3643" s="225">
        <f>IF(NOT(ISNUMBER(G3643)), "", VLOOKUP(A3643,'Discount Lookup'!G:H,2,FALSE)*G3643)</f>
        <v>0</v>
      </c>
      <c r="W3643" s="508">
        <f t="shared" si="2772"/>
        <v>0</v>
      </c>
      <c r="X3643" s="508">
        <f t="shared" si="2773"/>
        <v>0</v>
      </c>
      <c r="Y3643" s="509" t="b">
        <f t="shared" si="2774"/>
        <v>0</v>
      </c>
      <c r="Z3643" s="510">
        <f t="shared" si="2775"/>
        <v>0</v>
      </c>
      <c r="AA3643" s="511"/>
      <c r="AB3643" s="511" t="str">
        <f t="shared" si="2776"/>
        <v/>
      </c>
      <c r="AC3643" s="698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698"/>
      <c r="AE3643" s="631" t="str">
        <f t="shared" si="2777"/>
        <v/>
      </c>
      <c r="AF3643" s="699" t="str">
        <f t="shared" si="2778"/>
        <v/>
      </c>
      <c r="AG3643" s="699"/>
      <c r="AH3643" s="699"/>
      <c r="AI3643" s="512">
        <f>IF(H3643="credit",0,IF(AE3643="free",0,IF(AE3643="me",0,IF(G3643&gt;0,(VLOOKUP(A3643,'Discount Lookup'!J:K,2)*G3643),0))))</f>
        <v>0</v>
      </c>
      <c r="AJ3643" s="513" t="str">
        <f t="shared" ca="1" si="2779"/>
        <v/>
      </c>
      <c r="AK3643" s="700" t="str">
        <f t="shared" si="2780"/>
        <v/>
      </c>
      <c r="AL3643" s="700"/>
      <c r="AM3643" s="505" t="str">
        <f t="shared" si="2781"/>
        <v/>
      </c>
      <c r="AN3643" s="506"/>
      <c r="AO3643" s="507"/>
      <c r="AP3643" s="507"/>
      <c r="AQ3643" s="507"/>
      <c r="AR3643" s="507"/>
      <c r="AS3643" s="507"/>
      <c r="AT3643" s="507"/>
      <c r="AU3643" s="507"/>
      <c r="AV3643" s="225"/>
      <c r="AW3643" s="508"/>
      <c r="AX3643" s="225"/>
      <c r="AY3643" s="225"/>
      <c r="AZ3643" s="225"/>
      <c r="BA3643" s="225"/>
      <c r="BB3643" s="225"/>
      <c r="BC3643" s="56"/>
      <c r="BD3643" s="56"/>
      <c r="BE3643" s="56"/>
      <c r="BF3643" s="107" t="str">
        <f t="shared" si="2782"/>
        <v>https://www.google.com/search?tbm=isch&amp;q=7%20G5</v>
      </c>
      <c r="BG3643" s="107" t="str">
        <f t="shared" si="2783"/>
        <v>S</v>
      </c>
      <c r="BH3643" s="254"/>
      <c r="BI3643" s="254"/>
    </row>
    <row r="3644" spans="1:61" customFormat="1" ht="15.75" x14ac:dyDescent="0.25">
      <c r="A3644" s="485">
        <v>7</v>
      </c>
      <c r="B3644" s="486" t="s">
        <v>291</v>
      </c>
      <c r="C3644" s="487" t="s">
        <v>2814</v>
      </c>
      <c r="D3644" s="488" t="s">
        <v>299</v>
      </c>
      <c r="E3644" s="489">
        <v>125.95</v>
      </c>
      <c r="F3644" s="516" t="s">
        <v>293</v>
      </c>
      <c r="G3644" s="232">
        <v>0</v>
      </c>
      <c r="H3644" s="658" t="str">
        <f t="shared" si="2803"/>
        <v/>
      </c>
      <c r="I3644" s="490">
        <f t="shared" si="2804"/>
        <v>0</v>
      </c>
      <c r="J3644" s="490">
        <f t="shared" si="2805"/>
        <v>0</v>
      </c>
      <c r="K3644" s="695">
        <f t="shared" ref="K3644" si="2813">I3644+J3644</f>
        <v>0</v>
      </c>
      <c r="L3644" s="695"/>
      <c r="M3644" s="659" t="str">
        <f t="shared" si="2807"/>
        <v/>
      </c>
      <c r="N3644" s="660"/>
      <c r="O3644" s="233"/>
      <c r="P3644" s="233"/>
      <c r="Q3644" s="233"/>
      <c r="R3644" s="233"/>
      <c r="S3644" s="233"/>
      <c r="T3644" s="508">
        <f t="shared" si="2771"/>
        <v>0</v>
      </c>
      <c r="U3644" s="225">
        <f>IF(NOT(ISNUMBER(G3644)), "", VLOOKUP(A3644,'Discount Lookup'!D:E,2,FALSE)*G3644)</f>
        <v>0</v>
      </c>
      <c r="V3644" s="225">
        <f>IF(NOT(ISNUMBER(G3644)), "", VLOOKUP(A3644,'Discount Lookup'!G:H,2,FALSE)*G3644)</f>
        <v>0</v>
      </c>
      <c r="W3644" s="508">
        <f t="shared" si="2772"/>
        <v>0</v>
      </c>
      <c r="X3644" s="508">
        <f t="shared" si="2773"/>
        <v>0</v>
      </c>
      <c r="Y3644" s="509" t="b">
        <f t="shared" si="2774"/>
        <v>0</v>
      </c>
      <c r="Z3644" s="510">
        <f t="shared" si="2775"/>
        <v>0</v>
      </c>
      <c r="AA3644" s="511"/>
      <c r="AB3644" s="511" t="str">
        <f t="shared" si="2776"/>
        <v/>
      </c>
      <c r="AC3644" s="698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698"/>
      <c r="AE3644" s="631" t="str">
        <f t="shared" si="2777"/>
        <v/>
      </c>
      <c r="AF3644" s="699" t="str">
        <f t="shared" si="2778"/>
        <v/>
      </c>
      <c r="AG3644" s="699"/>
      <c r="AH3644" s="699"/>
      <c r="AI3644" s="512">
        <f>IF(H3644="credit",0,IF(AE3644="free",0,IF(AE3644="me",0,IF(G3644&gt;0,(VLOOKUP(A3644,'Discount Lookup'!J:K,2)*G3644),0))))</f>
        <v>0</v>
      </c>
      <c r="AJ3644" s="513" t="str">
        <f t="shared" ca="1" si="2779"/>
        <v/>
      </c>
      <c r="AK3644" s="700" t="str">
        <f t="shared" si="2780"/>
        <v/>
      </c>
      <c r="AL3644" s="700"/>
      <c r="AM3644" s="505" t="str">
        <f t="shared" si="2781"/>
        <v/>
      </c>
      <c r="AN3644" s="506"/>
      <c r="AO3644" s="507"/>
      <c r="AP3644" s="507"/>
      <c r="AQ3644" s="507"/>
      <c r="AR3644" s="507"/>
      <c r="AS3644" s="507"/>
      <c r="AT3644" s="507"/>
      <c r="AU3644" s="507"/>
      <c r="AV3644" s="225"/>
      <c r="AW3644" s="508"/>
      <c r="AX3644" s="225"/>
      <c r="AY3644" s="225"/>
      <c r="AZ3644" s="225"/>
      <c r="BA3644" s="225"/>
      <c r="BB3644" s="225"/>
      <c r="BC3644" s="56"/>
      <c r="BD3644" s="56"/>
      <c r="BE3644" s="56"/>
      <c r="BF3644" s="107" t="str">
        <f t="shared" si="2782"/>
        <v>https://www.google.com/search?tbm=isch&amp;q=7%20G5</v>
      </c>
      <c r="BG3644" s="107" t="str">
        <f t="shared" si="2783"/>
        <v>S</v>
      </c>
      <c r="BH3644" s="254"/>
      <c r="BI3644" s="254"/>
    </row>
    <row r="3645" spans="1:61" customFormat="1" ht="16.5" thickBot="1" x14ac:dyDescent="0.3">
      <c r="A3645" s="522" t="s">
        <v>2184</v>
      </c>
      <c r="B3645" s="491"/>
      <c r="C3645" s="675"/>
      <c r="D3645" s="491"/>
      <c r="E3645" s="491"/>
      <c r="F3645" s="492"/>
      <c r="G3645" s="493"/>
      <c r="H3645" s="491"/>
      <c r="I3645" s="234"/>
      <c r="J3645" s="234"/>
      <c r="K3645" s="494"/>
      <c r="L3645" s="543"/>
      <c r="M3645" s="561"/>
      <c r="N3645" s="495"/>
      <c r="O3645" s="496"/>
      <c r="P3645" s="497"/>
      <c r="Q3645" s="495"/>
      <c r="R3645" s="495"/>
      <c r="S3645" s="277"/>
      <c r="T3645" s="508">
        <f t="shared" si="2771"/>
        <v>0</v>
      </c>
      <c r="U3645" s="225" t="str">
        <f>IF(NOT(ISNUMBER(G3645)), "", VLOOKUP(A3645,'Discount Lookup'!D:E,2,FALSE)*G3645)</f>
        <v/>
      </c>
      <c r="V3645" s="225" t="str">
        <f>IF(NOT(ISNUMBER(G3645)), "", VLOOKUP(A3645,'Discount Lookup'!G:H,2,FALSE)*G3645)</f>
        <v/>
      </c>
      <c r="W3645" s="508">
        <f t="shared" si="2772"/>
        <v>0</v>
      </c>
      <c r="X3645" s="508">
        <f t="shared" si="2773"/>
        <v>0</v>
      </c>
      <c r="Y3645" s="509" t="b">
        <f t="shared" si="2774"/>
        <v>0</v>
      </c>
      <c r="Z3645" s="510">
        <f t="shared" si="2775"/>
        <v>0</v>
      </c>
      <c r="AA3645" s="511"/>
      <c r="AB3645" s="511" t="str">
        <f t="shared" si="2776"/>
        <v/>
      </c>
      <c r="AC3645" s="698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698"/>
      <c r="AE3645" s="631" t="str">
        <f t="shared" si="2777"/>
        <v/>
      </c>
      <c r="AF3645" s="699" t="str">
        <f t="shared" si="2778"/>
        <v/>
      </c>
      <c r="AG3645" s="699"/>
      <c r="AH3645" s="699"/>
      <c r="AI3645" s="512">
        <f>IF(H3645="credit",0,IF(AE3645="free",0,IF(AE3645="me",0,IF(G3645&gt;0,(VLOOKUP(A3645,'Discount Lookup'!J:K,2)*G3645),0))))</f>
        <v>0</v>
      </c>
      <c r="AJ3645" s="513" t="str">
        <f t="shared" ca="1" si="2779"/>
        <v/>
      </c>
      <c r="AK3645" s="700" t="str">
        <f t="shared" si="2780"/>
        <v/>
      </c>
      <c r="AL3645" s="700"/>
      <c r="AM3645" s="505" t="str">
        <f t="shared" si="2781"/>
        <v/>
      </c>
      <c r="AN3645" s="506"/>
      <c r="AO3645" s="507"/>
      <c r="AP3645" s="507"/>
      <c r="AQ3645" s="507"/>
      <c r="AR3645" s="507"/>
      <c r="AS3645" s="507"/>
      <c r="AT3645" s="507"/>
      <c r="AU3645" s="507"/>
      <c r="AV3645" s="225"/>
      <c r="AW3645" s="508"/>
      <c r="AX3645" s="225"/>
      <c r="AY3645" s="225"/>
      <c r="AZ3645" s="225"/>
      <c r="BA3645" s="225"/>
      <c r="BB3645" s="225"/>
      <c r="BC3645" s="56"/>
      <c r="BD3645" s="56"/>
      <c r="BE3645" s="56"/>
      <c r="BF3645" s="107" t="str">
        <f t="shared" si="2782"/>
        <v>https://www.google.com/search?tbm=isch&amp;q=Sunshine%20looks%20great%20against%20black%20fences.%20Blue%2Fblack%20berries%20are%20relished%20by%20birds.%20May%20defoliate%20in%20cold%20winters%20</v>
      </c>
      <c r="BG3645" s="107" t="str">
        <f t="shared" si="2783"/>
        <v>S</v>
      </c>
      <c r="BH3645" s="254"/>
      <c r="BI3645" s="254"/>
    </row>
    <row r="3646" spans="1:61" customFormat="1" ht="18" x14ac:dyDescent="0.25">
      <c r="A3646" s="521" t="s">
        <v>5550</v>
      </c>
      <c r="B3646" s="477"/>
      <c r="C3646" s="674"/>
      <c r="D3646" s="478" t="s">
        <v>1859</v>
      </c>
      <c r="E3646" s="479"/>
      <c r="F3646" s="479"/>
      <c r="G3646" s="479"/>
      <c r="H3646" s="582" t="s">
        <v>443</v>
      </c>
      <c r="I3646" s="480" t="s">
        <v>2510</v>
      </c>
      <c r="J3646" s="479"/>
      <c r="K3646" s="479"/>
      <c r="L3646" s="560"/>
      <c r="M3646" s="666" t="s">
        <v>4963</v>
      </c>
      <c r="N3646" s="680" t="str">
        <f>IF(AND(ISTEXT($A3646), ISERROR($A3646+0)), HYPERLINK($BF3646, "Images"), "")</f>
        <v>Images</v>
      </c>
      <c r="O3646" s="662" t="s">
        <v>4969</v>
      </c>
      <c r="P3646" s="482"/>
      <c r="Q3646" s="483"/>
      <c r="R3646" s="483"/>
      <c r="S3646" s="484"/>
      <c r="T3646" s="508">
        <f t="shared" si="2771"/>
        <v>0</v>
      </c>
      <c r="U3646" s="225" t="str">
        <f>IF(NOT(ISNUMBER(G3646)), "", VLOOKUP(A3646,'Discount Lookup'!D:E,2,FALSE)*G3646)</f>
        <v/>
      </c>
      <c r="V3646" s="225" t="str">
        <f>IF(NOT(ISNUMBER(G3646)), "", VLOOKUP(A3646,'Discount Lookup'!G:H,2,FALSE)*G3646)</f>
        <v/>
      </c>
      <c r="W3646" s="508">
        <f t="shared" si="2772"/>
        <v>0</v>
      </c>
      <c r="X3646" s="508" t="str">
        <f t="shared" si="2773"/>
        <v>White bloom, hint of Pink</v>
      </c>
      <c r="Y3646" s="509" t="b">
        <f t="shared" si="2774"/>
        <v>0</v>
      </c>
      <c r="Z3646" s="510">
        <f t="shared" si="2775"/>
        <v>0</v>
      </c>
      <c r="AA3646" s="511"/>
      <c r="AB3646" s="511" t="str">
        <f t="shared" si="2776"/>
        <v/>
      </c>
      <c r="AC3646" s="698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698"/>
      <c r="AE3646" s="631" t="str">
        <f t="shared" si="2777"/>
        <v/>
      </c>
      <c r="AF3646" s="699" t="str">
        <f t="shared" si="2778"/>
        <v/>
      </c>
      <c r="AG3646" s="699"/>
      <c r="AH3646" s="699"/>
      <c r="AI3646" s="512">
        <f>IF(H3646="credit",0,IF(AE3646="free",0,IF(AE3646="me",0,IF(G3646&gt;0,(VLOOKUP(A3646,'Discount Lookup'!J:K,2)*G3646),0))))</f>
        <v>0</v>
      </c>
      <c r="AJ3646" s="513" t="str">
        <f t="shared" ca="1" si="2779"/>
        <v/>
      </c>
      <c r="AK3646" s="700" t="str">
        <f t="shared" si="2780"/>
        <v/>
      </c>
      <c r="AL3646" s="700"/>
      <c r="AM3646" s="505" t="str">
        <f t="shared" si="2781"/>
        <v/>
      </c>
      <c r="AN3646" s="506"/>
      <c r="AO3646" s="507"/>
      <c r="AP3646" s="507"/>
      <c r="AQ3646" s="507"/>
      <c r="AR3646" s="507"/>
      <c r="AS3646" s="507"/>
      <c r="AT3646" s="507"/>
      <c r="AU3646" s="507"/>
      <c r="AV3646" s="225"/>
      <c r="AW3646" s="508"/>
      <c r="AX3646" s="225"/>
      <c r="AY3646" s="225"/>
      <c r="AZ3646" s="225"/>
      <c r="BA3646" s="225"/>
      <c r="BB3646" s="225"/>
      <c r="BC3646" s="56"/>
      <c r="BD3646" s="56"/>
      <c r="BE3646" s="56"/>
      <c r="BF3646" s="107" t="str">
        <f t="shared" si="2782"/>
        <v>https://www.google.com/search?tbm=isch&amp;q=Suntastic%C2%AE%20Peach%20Abelia%20Abelia%20x%20grandiflora%20%27Rhabpe22%27%20PP%2334885</v>
      </c>
      <c r="BG3646" s="107" t="str">
        <f t="shared" si="2783"/>
        <v>S</v>
      </c>
      <c r="BH3646" s="254"/>
      <c r="BI3646" s="254"/>
    </row>
    <row r="3647" spans="1:61" customFormat="1" ht="15.75" x14ac:dyDescent="0.25">
      <c r="A3647" s="485">
        <v>3</v>
      </c>
      <c r="B3647" s="486" t="s">
        <v>291</v>
      </c>
      <c r="C3647" s="487" t="s">
        <v>4821</v>
      </c>
      <c r="D3647" s="488" t="s">
        <v>312</v>
      </c>
      <c r="E3647" s="489">
        <v>30.95</v>
      </c>
      <c r="F3647" s="516" t="s">
        <v>293</v>
      </c>
      <c r="G3647" s="232">
        <v>0</v>
      </c>
      <c r="H3647" s="658" t="str">
        <f>IF(G3647=0,"",IF(F3647="Buy",IF(G3647=1,"plant","plants"),IF(F3647&gt;0.01,"warranty","Error")))</f>
        <v/>
      </c>
      <c r="I3647" s="490">
        <f>IF(H3647="free",0,IF(H3647="credit",((E3647*(F3647))*G3647*-1),IF(F3647="Buy",(E3647*G3647),((E3647*(1-F3647))*G3647))))</f>
        <v>0</v>
      </c>
      <c r="J3647" s="490">
        <f>IF(H3647="warranty",0,(I3647*(_xlfn.SINGLE(SalesTaxPercentage))))</f>
        <v>0</v>
      </c>
      <c r="K3647" s="695">
        <f t="shared" ref="K3647" si="2814">I3647+J3647</f>
        <v>0</v>
      </c>
      <c r="L3647" s="695"/>
      <c r="M3647" s="659" t="str">
        <f>IF(AND(G3647&gt;0,E3647=0),"WARNING - no PRICE inserted",IF(H3647="free"," FREE ~ no charge this plant",IF(H3647="credit",CONCATENATE(" -$",ROUND(K3647*(1-T2GDiscount)*-1,2)," CREDIT after discount"),IF(T2GDiscount=0,"",IF(G3647=0,"",IF(F3647="Buy",CONCATENATE(" $",ROUND(K3647*(1-T2GDiscount),2)," with ",(T2GDiscount*100),"% discount"),CONCATENATE(" $",ROUND(K3647*(1-T2GDiscount),2)," with ",((T2GDiscount*100+F3647*100)-(T2GDiscount*100*F3647)),IF(F3647&gt;0,"% discounts",IF(NoWarrantyDiscount&gt;0,"% discounts","% discount")))))))))</f>
        <v/>
      </c>
      <c r="N3647" s="660"/>
      <c r="O3647" s="233"/>
      <c r="P3647" s="233"/>
      <c r="Q3647" s="233"/>
      <c r="R3647" s="233"/>
      <c r="S3647" s="233"/>
      <c r="T3647" s="508">
        <f t="shared" si="2771"/>
        <v>0</v>
      </c>
      <c r="U3647" s="225">
        <f>IF(NOT(ISNUMBER(G3647)), "", VLOOKUP(A3647,'Discount Lookup'!D:E,2,FALSE)*G3647)</f>
        <v>0</v>
      </c>
      <c r="V3647" s="225">
        <f>IF(NOT(ISNUMBER(G3647)), "", VLOOKUP(A3647,'Discount Lookup'!G:H,2,FALSE)*G3647)</f>
        <v>0</v>
      </c>
      <c r="W3647" s="508">
        <f t="shared" si="2772"/>
        <v>0</v>
      </c>
      <c r="X3647" s="508">
        <f t="shared" si="2773"/>
        <v>0</v>
      </c>
      <c r="Y3647" s="509" t="b">
        <f t="shared" si="2774"/>
        <v>0</v>
      </c>
      <c r="Z3647" s="510">
        <f t="shared" si="2775"/>
        <v>0</v>
      </c>
      <c r="AA3647" s="511"/>
      <c r="AB3647" s="511" t="str">
        <f t="shared" si="2776"/>
        <v/>
      </c>
      <c r="AC3647" s="698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698"/>
      <c r="AE3647" s="631" t="str">
        <f t="shared" si="2777"/>
        <v/>
      </c>
      <c r="AF3647" s="699" t="str">
        <f t="shared" si="2778"/>
        <v/>
      </c>
      <c r="AG3647" s="699"/>
      <c r="AH3647" s="699"/>
      <c r="AI3647" s="512">
        <f>IF(H3647="credit",0,IF(AE3647="free",0,IF(AE3647="me",0,IF(G3647&gt;0,(VLOOKUP(A3647,'Discount Lookup'!J:K,2)*G3647),0))))</f>
        <v>0</v>
      </c>
      <c r="AJ3647" s="513" t="str">
        <f t="shared" ca="1" si="2779"/>
        <v/>
      </c>
      <c r="AK3647" s="700" t="str">
        <f t="shared" si="2780"/>
        <v/>
      </c>
      <c r="AL3647" s="700"/>
      <c r="AM3647" s="505" t="str">
        <f t="shared" si="2781"/>
        <v/>
      </c>
      <c r="AN3647" s="506"/>
      <c r="AO3647" s="507"/>
      <c r="AP3647" s="507"/>
      <c r="AQ3647" s="507"/>
      <c r="AR3647" s="507"/>
      <c r="AS3647" s="507"/>
      <c r="AT3647" s="507"/>
      <c r="AU3647" s="507"/>
      <c r="AV3647" s="225"/>
      <c r="AW3647" s="508"/>
      <c r="AX3647" s="225"/>
      <c r="AY3647" s="225"/>
      <c r="AZ3647" s="225"/>
      <c r="BA3647" s="225"/>
      <c r="BB3647" s="225"/>
      <c r="BC3647" s="56"/>
      <c r="BD3647" s="56"/>
      <c r="BE3647" s="56"/>
      <c r="BF3647" s="107" t="str">
        <f t="shared" si="2782"/>
        <v>https://www.google.com/search?tbm=isch&amp;q=3%20G2</v>
      </c>
      <c r="BG3647" s="107" t="str">
        <f t="shared" si="2783"/>
        <v>S</v>
      </c>
      <c r="BH3647" s="254"/>
      <c r="BI3647" s="254"/>
    </row>
    <row r="3648" spans="1:61" customFormat="1" ht="17.25" thickBot="1" x14ac:dyDescent="0.3">
      <c r="A3648" s="522" t="s">
        <v>4169</v>
      </c>
      <c r="B3648" s="491"/>
      <c r="C3648" s="675"/>
      <c r="D3648" s="491"/>
      <c r="E3648" s="491"/>
      <c r="F3648" s="492"/>
      <c r="G3648" s="493"/>
      <c r="H3648" s="491"/>
      <c r="I3648" s="234"/>
      <c r="J3648" s="234"/>
      <c r="K3648" s="494"/>
      <c r="L3648" s="543"/>
      <c r="M3648" s="561"/>
      <c r="N3648" s="495"/>
      <c r="O3648" s="496"/>
      <c r="P3648" s="497"/>
      <c r="Q3648" s="495"/>
      <c r="R3648" s="495"/>
      <c r="S3648" s="667" t="s">
        <v>4988</v>
      </c>
      <c r="T3648" s="508">
        <f t="shared" si="2771"/>
        <v>0</v>
      </c>
      <c r="U3648" s="225" t="str">
        <f>IF(NOT(ISNUMBER(G3648)), "", VLOOKUP(A3648,'Discount Lookup'!D:E,2,FALSE)*G3648)</f>
        <v/>
      </c>
      <c r="V3648" s="225" t="str">
        <f>IF(NOT(ISNUMBER(G3648)), "", VLOOKUP(A3648,'Discount Lookup'!G:H,2,FALSE)*G3648)</f>
        <v/>
      </c>
      <c r="W3648" s="508">
        <f t="shared" si="2772"/>
        <v>0</v>
      </c>
      <c r="X3648" s="508">
        <f t="shared" si="2773"/>
        <v>0</v>
      </c>
      <c r="Y3648" s="509" t="b">
        <f t="shared" si="2774"/>
        <v>0</v>
      </c>
      <c r="Z3648" s="510">
        <f t="shared" si="2775"/>
        <v>0</v>
      </c>
      <c r="AA3648" s="511"/>
      <c r="AB3648" s="511" t="str">
        <f t="shared" si="2776"/>
        <v/>
      </c>
      <c r="AC3648" s="698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698"/>
      <c r="AE3648" s="631" t="str">
        <f t="shared" si="2777"/>
        <v/>
      </c>
      <c r="AF3648" s="699" t="str">
        <f t="shared" si="2778"/>
        <v/>
      </c>
      <c r="AG3648" s="699"/>
      <c r="AH3648" s="699"/>
      <c r="AI3648" s="512">
        <f>IF(H3648="credit",0,IF(AE3648="free",0,IF(AE3648="me",0,IF(G3648&gt;0,(VLOOKUP(A3648,'Discount Lookup'!J:K,2)*G3648),0))))</f>
        <v>0</v>
      </c>
      <c r="AJ3648" s="513" t="str">
        <f t="shared" ca="1" si="2779"/>
        <v/>
      </c>
      <c r="AK3648" s="700" t="str">
        <f t="shared" si="2780"/>
        <v/>
      </c>
      <c r="AL3648" s="700"/>
      <c r="AM3648" s="505" t="str">
        <f t="shared" si="2781"/>
        <v/>
      </c>
      <c r="AN3648" s="506"/>
      <c r="AO3648" s="507"/>
      <c r="AP3648" s="507"/>
      <c r="AQ3648" s="507"/>
      <c r="AR3648" s="507"/>
      <c r="AS3648" s="507"/>
      <c r="AT3648" s="507"/>
      <c r="AU3648" s="507"/>
      <c r="AV3648" s="225"/>
      <c r="AW3648" s="508"/>
      <c r="AX3648" s="225"/>
      <c r="AY3648" s="225"/>
      <c r="AZ3648" s="225"/>
      <c r="BA3648" s="225"/>
      <c r="BB3648" s="225"/>
      <c r="BC3648" s="56"/>
      <c r="BD3648" s="56"/>
      <c r="BE3648" s="56"/>
      <c r="BF3648" s="107" t="str">
        <f t="shared" si="2782"/>
        <v>https://www.google.com/search?tbm=isch&amp;q=Suntastic%20Peach%20foliage%20emerges%20a%20vibrant%20Peach-Orange-Golden-then%20bright%20Green-Yellow-Gold%20margins.%20Fragrant%20</v>
      </c>
      <c r="BG3648" s="107" t="str">
        <f t="shared" si="2783"/>
        <v>S</v>
      </c>
      <c r="BH3648" s="254"/>
      <c r="BI3648" s="254"/>
    </row>
    <row r="3649" spans="1:61" customFormat="1" ht="18" x14ac:dyDescent="0.25">
      <c r="A3649" s="523" t="s">
        <v>4170</v>
      </c>
      <c r="B3649" s="235"/>
      <c r="C3649" s="676"/>
      <c r="D3649" s="255" t="s">
        <v>4171</v>
      </c>
      <c r="E3649" s="236"/>
      <c r="F3649" s="236"/>
      <c r="G3649" s="236"/>
      <c r="H3649" s="582" t="s">
        <v>357</v>
      </c>
      <c r="I3649" s="498" t="s">
        <v>827</v>
      </c>
      <c r="J3649" s="237"/>
      <c r="K3649" s="237"/>
      <c r="L3649" s="274"/>
      <c r="M3649" s="668" t="s">
        <v>4975</v>
      </c>
      <c r="N3649" s="681" t="str">
        <f>IF(AND(ISTEXT($A3649), ISERROR($A3649+0)), HYPERLINK($BF3649, "Images"), "")</f>
        <v>Images</v>
      </c>
      <c r="O3649" s="663" t="s">
        <v>4967</v>
      </c>
      <c r="P3649" s="253"/>
      <c r="Q3649" s="238"/>
      <c r="R3649" s="239"/>
      <c r="S3649" s="275" t="s">
        <v>305</v>
      </c>
      <c r="T3649" s="508">
        <f t="shared" si="2771"/>
        <v>0</v>
      </c>
      <c r="U3649" s="225" t="str">
        <f>IF(NOT(ISNUMBER(G3649)), "", VLOOKUP(A3649,'Discount Lookup'!D:E,2,FALSE)*G3649)</f>
        <v/>
      </c>
      <c r="V3649" s="225" t="str">
        <f>IF(NOT(ISNUMBER(G3649)), "", VLOOKUP(A3649,'Discount Lookup'!G:H,2,FALSE)*G3649)</f>
        <v/>
      </c>
      <c r="W3649" s="508">
        <f t="shared" si="2772"/>
        <v>0</v>
      </c>
      <c r="X3649" s="508" t="str">
        <f t="shared" si="2773"/>
        <v>Creamy White bloom</v>
      </c>
      <c r="Y3649" s="509" t="b">
        <f t="shared" si="2774"/>
        <v>0</v>
      </c>
      <c r="Z3649" s="510">
        <f t="shared" si="2775"/>
        <v>0</v>
      </c>
      <c r="AA3649" s="511"/>
      <c r="AB3649" s="511" t="str">
        <f t="shared" si="2776"/>
        <v/>
      </c>
      <c r="AC3649" s="698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698"/>
      <c r="AE3649" s="631" t="str">
        <f t="shared" si="2777"/>
        <v/>
      </c>
      <c r="AF3649" s="699" t="str">
        <f t="shared" si="2778"/>
        <v/>
      </c>
      <c r="AG3649" s="699"/>
      <c r="AH3649" s="699"/>
      <c r="AI3649" s="512">
        <f>IF(H3649="credit",0,IF(AE3649="free",0,IF(AE3649="me",0,IF(G3649&gt;0,(VLOOKUP(A3649,'Discount Lookup'!J:K,2)*G3649),0))))</f>
        <v>0</v>
      </c>
      <c r="AJ3649" s="513" t="str">
        <f t="shared" ca="1" si="2779"/>
        <v/>
      </c>
      <c r="AK3649" s="700" t="str">
        <f t="shared" si="2780"/>
        <v/>
      </c>
      <c r="AL3649" s="700"/>
      <c r="AM3649" s="505" t="str">
        <f t="shared" si="2781"/>
        <v/>
      </c>
      <c r="AN3649" s="506"/>
      <c r="AO3649" s="507"/>
      <c r="AP3649" s="507"/>
      <c r="AQ3649" s="507"/>
      <c r="AR3649" s="507"/>
      <c r="AS3649" s="507"/>
      <c r="AT3649" s="507"/>
      <c r="AU3649" s="507"/>
      <c r="AV3649" s="225"/>
      <c r="AW3649" s="508"/>
      <c r="AX3649" s="225"/>
      <c r="AY3649" s="225"/>
      <c r="AZ3649" s="225"/>
      <c r="BA3649" s="225"/>
      <c r="BB3649" s="225"/>
      <c r="BC3649" s="56"/>
      <c r="BD3649" s="56"/>
      <c r="BE3649" s="56"/>
      <c r="BF3649" s="107" t="str">
        <f t="shared" si="2782"/>
        <v>https://www.google.com/search?tbm=isch&amp;q=Super%20Princess%20Dogwood%20Cornus%20florida%20%27Super%20Princess%27</v>
      </c>
      <c r="BG3649" s="107" t="str">
        <f t="shared" si="2783"/>
        <v>S</v>
      </c>
      <c r="BH3649" s="254"/>
      <c r="BI3649" s="254"/>
    </row>
    <row r="3650" spans="1:61" customFormat="1" ht="15.75" x14ac:dyDescent="0.25">
      <c r="A3650" s="276">
        <v>7</v>
      </c>
      <c r="B3650" s="240" t="s">
        <v>291</v>
      </c>
      <c r="C3650" s="241" t="s">
        <v>4454</v>
      </c>
      <c r="D3650" s="242" t="s">
        <v>292</v>
      </c>
      <c r="E3650" s="243">
        <v>104.95</v>
      </c>
      <c r="F3650" s="517" t="s">
        <v>293</v>
      </c>
      <c r="G3650" s="232">
        <v>0</v>
      </c>
      <c r="H3650" s="661" t="str">
        <f>IF(G3650=0,"",IF(F3650="Buy",IF(G3650=1,"plant","plants"),IF(F3650&gt;0.01,"warranty","Error")))</f>
        <v/>
      </c>
      <c r="I3650" s="244">
        <f>IF(H3650="free",0,IF(H3650="credit",((E3650*(F3650))*G3650*-1),IF(F3650="Buy",(E3650*G3650),((E3650*(1-F3650))*G3650))))</f>
        <v>0</v>
      </c>
      <c r="J3650" s="244">
        <f>IF(H3650="warranty",0,(I3650*(_xlfn.SINGLE(SalesTaxPercentage))))</f>
        <v>0</v>
      </c>
      <c r="K3650" s="696">
        <f t="shared" ref="K3650" si="2815">I3650+J3650</f>
        <v>0</v>
      </c>
      <c r="L3650" s="696"/>
      <c r="M3650" s="659" t="str">
        <f>IF(AND(G3650&gt;0,E3650=0),"WARNING - no PRICE inserted",IF(H3650="free"," FREE ~ no charge this plant",IF(H3650="credit",CONCATENATE(" -$",ROUND(K3650*(1-T2GDiscount)*-1,2)," CREDIT after discount"),IF(T2GDiscount=0,"",IF(G3650=0,"",IF(F3650="Buy",CONCATENATE(" $",ROUND(K3650*(1-T2GDiscount),2)," with ",(T2GDiscount*100),"% discount"),CONCATENATE(" $",ROUND(K3650*(1-T2GDiscount),2)," with ",((T2GDiscount*100+F3650*100)-(T2GDiscount*100*F3650)),IF(F3650&gt;0,"% discounts",IF(NoWarrantyDiscount&gt;0,"% discounts","% discount")))))))))</f>
        <v/>
      </c>
      <c r="N3650" s="660"/>
      <c r="O3650" s="233"/>
      <c r="P3650" s="233"/>
      <c r="Q3650" s="233"/>
      <c r="R3650" s="233"/>
      <c r="S3650" s="233"/>
      <c r="T3650" s="508">
        <f t="shared" si="2771"/>
        <v>0</v>
      </c>
      <c r="U3650" s="225">
        <f>IF(NOT(ISNUMBER(G3650)), "", VLOOKUP(A3650,'Discount Lookup'!D:E,2,FALSE)*G3650)</f>
        <v>0</v>
      </c>
      <c r="V3650" s="225">
        <f>IF(NOT(ISNUMBER(G3650)), "", VLOOKUP(A3650,'Discount Lookup'!G:H,2,FALSE)*G3650)</f>
        <v>0</v>
      </c>
      <c r="W3650" s="508">
        <f t="shared" si="2772"/>
        <v>0</v>
      </c>
      <c r="X3650" s="508">
        <f t="shared" si="2773"/>
        <v>0</v>
      </c>
      <c r="Y3650" s="509" t="b">
        <f t="shared" si="2774"/>
        <v>0</v>
      </c>
      <c r="Z3650" s="510">
        <f t="shared" si="2775"/>
        <v>0</v>
      </c>
      <c r="AA3650" s="511"/>
      <c r="AB3650" s="511" t="str">
        <f t="shared" si="2776"/>
        <v/>
      </c>
      <c r="AC3650" s="698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698"/>
      <c r="AE3650" s="631" t="str">
        <f t="shared" si="2777"/>
        <v/>
      </c>
      <c r="AF3650" s="699" t="str">
        <f t="shared" si="2778"/>
        <v/>
      </c>
      <c r="AG3650" s="699"/>
      <c r="AH3650" s="699"/>
      <c r="AI3650" s="512">
        <f>IF(H3650="credit",0,IF(AE3650="free",0,IF(AE3650="me",0,IF(G3650&gt;0,(VLOOKUP(A3650,'Discount Lookup'!J:K,2)*G3650),0))))</f>
        <v>0</v>
      </c>
      <c r="AJ3650" s="513" t="str">
        <f t="shared" ca="1" si="2779"/>
        <v/>
      </c>
      <c r="AK3650" s="700" t="str">
        <f t="shared" si="2780"/>
        <v/>
      </c>
      <c r="AL3650" s="700"/>
      <c r="AM3650" s="505" t="str">
        <f t="shared" si="2781"/>
        <v/>
      </c>
      <c r="AN3650" s="506"/>
      <c r="AO3650" s="507"/>
      <c r="AP3650" s="507"/>
      <c r="AQ3650" s="507"/>
      <c r="AR3650" s="507"/>
      <c r="AS3650" s="507"/>
      <c r="AT3650" s="507"/>
      <c r="AU3650" s="507"/>
      <c r="AV3650" s="225"/>
      <c r="AW3650" s="508"/>
      <c r="AX3650" s="225"/>
      <c r="AY3650" s="225"/>
      <c r="AZ3650" s="225"/>
      <c r="BA3650" s="225"/>
      <c r="BB3650" s="225"/>
      <c r="BC3650" s="56"/>
      <c r="BD3650" s="56"/>
      <c r="BE3650" s="56"/>
      <c r="BF3650" s="107" t="str">
        <f t="shared" si="2782"/>
        <v>https://www.google.com/search?tbm=isch&amp;q=7%20G4</v>
      </c>
      <c r="BG3650" s="107" t="str">
        <f t="shared" si="2783"/>
        <v>S</v>
      </c>
      <c r="BH3650" s="254"/>
      <c r="BI3650" s="254"/>
    </row>
    <row r="3651" spans="1:61" customFormat="1" ht="17.25" thickBot="1" x14ac:dyDescent="0.3">
      <c r="A3651" s="524" t="s">
        <v>4172</v>
      </c>
      <c r="B3651" s="245"/>
      <c r="C3651" s="677"/>
      <c r="D3651" s="499"/>
      <c r="E3651" s="499"/>
      <c r="F3651" s="500"/>
      <c r="G3651" s="501"/>
      <c r="H3651" s="502"/>
      <c r="I3651" s="246"/>
      <c r="J3651" s="247"/>
      <c r="K3651" s="503"/>
      <c r="L3651" s="544"/>
      <c r="M3651" s="544"/>
      <c r="N3651" s="500"/>
      <c r="O3651" s="500"/>
      <c r="P3651" s="500"/>
      <c r="Q3651" s="500"/>
      <c r="R3651" s="500"/>
      <c r="S3651" s="669" t="s">
        <v>4980</v>
      </c>
      <c r="T3651" s="508">
        <f t="shared" si="2771"/>
        <v>0</v>
      </c>
      <c r="U3651" s="225" t="str">
        <f>IF(NOT(ISNUMBER(G3651)), "", VLOOKUP(A3651,'Discount Lookup'!D:E,2,FALSE)*G3651)</f>
        <v/>
      </c>
      <c r="V3651" s="225" t="str">
        <f>IF(NOT(ISNUMBER(G3651)), "", VLOOKUP(A3651,'Discount Lookup'!G:H,2,FALSE)*G3651)</f>
        <v/>
      </c>
      <c r="W3651" s="508">
        <f t="shared" si="2772"/>
        <v>0</v>
      </c>
      <c r="X3651" s="508">
        <f t="shared" si="2773"/>
        <v>0</v>
      </c>
      <c r="Y3651" s="509" t="b">
        <f t="shared" si="2774"/>
        <v>0</v>
      </c>
      <c r="Z3651" s="510">
        <f t="shared" si="2775"/>
        <v>0</v>
      </c>
      <c r="AA3651" s="511"/>
      <c r="AB3651" s="511" t="str">
        <f t="shared" si="2776"/>
        <v/>
      </c>
      <c r="AC3651" s="698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698"/>
      <c r="AE3651" s="631" t="str">
        <f t="shared" si="2777"/>
        <v/>
      </c>
      <c r="AF3651" s="699" t="str">
        <f t="shared" si="2778"/>
        <v/>
      </c>
      <c r="AG3651" s="699"/>
      <c r="AH3651" s="699"/>
      <c r="AI3651" s="512">
        <f>IF(H3651="credit",0,IF(AE3651="free",0,IF(AE3651="me",0,IF(G3651&gt;0,(VLOOKUP(A3651,'Discount Lookup'!J:K,2)*G3651),0))))</f>
        <v>0</v>
      </c>
      <c r="AJ3651" s="513" t="str">
        <f t="shared" ca="1" si="2779"/>
        <v/>
      </c>
      <c r="AK3651" s="700" t="str">
        <f t="shared" si="2780"/>
        <v/>
      </c>
      <c r="AL3651" s="700"/>
      <c r="AM3651" s="505" t="str">
        <f t="shared" si="2781"/>
        <v/>
      </c>
      <c r="AN3651" s="506"/>
      <c r="AO3651" s="507"/>
      <c r="AP3651" s="507"/>
      <c r="AQ3651" s="507"/>
      <c r="AR3651" s="507"/>
      <c r="AS3651" s="507"/>
      <c r="AT3651" s="507"/>
      <c r="AU3651" s="507"/>
      <c r="AV3651" s="225"/>
      <c r="AW3651" s="508"/>
      <c r="AX3651" s="225"/>
      <c r="AY3651" s="225"/>
      <c r="AZ3651" s="225"/>
      <c r="BA3651" s="225"/>
      <c r="BB3651" s="225"/>
      <c r="BC3651" s="56"/>
      <c r="BD3651" s="56"/>
      <c r="BE3651" s="56"/>
      <c r="BF3651" s="107" t="str">
        <f t="shared" si="2782"/>
        <v>https://www.google.com/search?tbm=isch&amp;q=Super%20Princess%20is%20bred%20for%20extra-large%20white%20bracts%2C%20vigorous%20growth%2C%20and%20brilliant%20Red%20to%20Burgundy%20fall%20color%20</v>
      </c>
      <c r="BG3651" s="107" t="str">
        <f t="shared" si="2783"/>
        <v>S</v>
      </c>
      <c r="BH3651" s="254"/>
      <c r="BI3651" s="254"/>
    </row>
    <row r="3652" spans="1:61" customFormat="1" ht="18" x14ac:dyDescent="0.25">
      <c r="A3652" s="521" t="s">
        <v>1860</v>
      </c>
      <c r="B3652" s="477"/>
      <c r="C3652" s="674"/>
      <c r="D3652" s="478" t="s">
        <v>1861</v>
      </c>
      <c r="E3652" s="479"/>
      <c r="F3652" s="479"/>
      <c r="G3652" s="479"/>
      <c r="H3652" s="582" t="s">
        <v>1521</v>
      </c>
      <c r="I3652" s="480" t="s">
        <v>2413</v>
      </c>
      <c r="J3652" s="479"/>
      <c r="K3652" s="479"/>
      <c r="L3652" s="560"/>
      <c r="M3652" s="666" t="s">
        <v>4966</v>
      </c>
      <c r="N3652" s="680" t="str">
        <f>IF(AND(ISTEXT($A3652), ISERROR($A3652+0)), HYPERLINK($BF3652, "Images"), "")</f>
        <v>Images</v>
      </c>
      <c r="O3652" s="662" t="s">
        <v>4967</v>
      </c>
      <c r="P3652" s="482"/>
      <c r="Q3652" s="483"/>
      <c r="R3652" s="483"/>
      <c r="S3652" s="484"/>
      <c r="T3652" s="508">
        <f t="shared" si="2771"/>
        <v>0</v>
      </c>
      <c r="U3652" s="225" t="str">
        <f>IF(NOT(ISNUMBER(G3652)), "", VLOOKUP(A3652,'Discount Lookup'!D:E,2,FALSE)*G3652)</f>
        <v/>
      </c>
      <c r="V3652" s="225" t="str">
        <f>IF(NOT(ISNUMBER(G3652)), "", VLOOKUP(A3652,'Discount Lookup'!G:H,2,FALSE)*G3652)</f>
        <v/>
      </c>
      <c r="W3652" s="508">
        <f t="shared" si="2772"/>
        <v>0</v>
      </c>
      <c r="X3652" s="508" t="str">
        <f t="shared" si="2773"/>
        <v>White bloom, Yellow stamen</v>
      </c>
      <c r="Y3652" s="509" t="b">
        <f t="shared" si="2774"/>
        <v>0</v>
      </c>
      <c r="Z3652" s="510">
        <f t="shared" si="2775"/>
        <v>0</v>
      </c>
      <c r="AA3652" s="511"/>
      <c r="AB3652" s="511" t="str">
        <f t="shared" si="2776"/>
        <v/>
      </c>
      <c r="AC3652" s="698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698"/>
      <c r="AE3652" s="631" t="str">
        <f t="shared" si="2777"/>
        <v/>
      </c>
      <c r="AF3652" s="699" t="str">
        <f t="shared" si="2778"/>
        <v/>
      </c>
      <c r="AG3652" s="699"/>
      <c r="AH3652" s="699"/>
      <c r="AI3652" s="512">
        <f>IF(H3652="credit",0,IF(AE3652="free",0,IF(AE3652="me",0,IF(G3652&gt;0,(VLOOKUP(A3652,'Discount Lookup'!J:K,2)*G3652),0))))</f>
        <v>0</v>
      </c>
      <c r="AJ3652" s="513" t="str">
        <f t="shared" ca="1" si="2779"/>
        <v/>
      </c>
      <c r="AK3652" s="700" t="str">
        <f t="shared" si="2780"/>
        <v/>
      </c>
      <c r="AL3652" s="700"/>
      <c r="AM3652" s="505" t="str">
        <f t="shared" si="2781"/>
        <v/>
      </c>
      <c r="AN3652" s="506"/>
      <c r="AO3652" s="507"/>
      <c r="AP3652" s="507"/>
      <c r="AQ3652" s="507"/>
      <c r="AR3652" s="507"/>
      <c r="AS3652" s="507"/>
      <c r="AT3652" s="507"/>
      <c r="AU3652" s="507"/>
      <c r="AV3652" s="225"/>
      <c r="AW3652" s="508"/>
      <c r="AX3652" s="225"/>
      <c r="AY3652" s="225"/>
      <c r="AZ3652" s="225"/>
      <c r="BA3652" s="225"/>
      <c r="BB3652" s="225"/>
      <c r="BC3652" s="56"/>
      <c r="BD3652" s="56"/>
      <c r="BE3652" s="56"/>
      <c r="BF3652" s="107" t="str">
        <f t="shared" si="2782"/>
        <v>https://www.google.com/search?tbm=isch&amp;q=Survivor%20Camellia%20Camellia%20%27Survivor%27</v>
      </c>
      <c r="BG3652" s="107" t="str">
        <f t="shared" si="2783"/>
        <v>S</v>
      </c>
      <c r="BH3652" s="254"/>
      <c r="BI3652" s="254"/>
    </row>
    <row r="3653" spans="1:61" customFormat="1" ht="15.75" x14ac:dyDescent="0.25">
      <c r="A3653" s="485">
        <v>3</v>
      </c>
      <c r="B3653" s="486" t="s">
        <v>291</v>
      </c>
      <c r="C3653" s="487" t="s">
        <v>4027</v>
      </c>
      <c r="D3653" s="488" t="s">
        <v>299</v>
      </c>
      <c r="E3653" s="489">
        <v>40.950000000000003</v>
      </c>
      <c r="F3653" s="516" t="s">
        <v>293</v>
      </c>
      <c r="G3653" s="232">
        <v>0</v>
      </c>
      <c r="H3653" s="658" t="str">
        <f>IF(G3653=0,"",IF(F3653="Buy",IF(G3653=1,"plant","plants"),IF(F3653&gt;0.01,"warranty","Error")))</f>
        <v/>
      </c>
      <c r="I3653" s="490">
        <f>IF(H3653="free",0,IF(H3653="credit",((E3653*(F3653))*G3653*-1),IF(F3653="Buy",(E3653*G3653),((E3653*(1-F3653))*G3653))))</f>
        <v>0</v>
      </c>
      <c r="J3653" s="490">
        <f>IF(H3653="warranty",0,(I3653*(_xlfn.SINGLE(SalesTaxPercentage))))</f>
        <v>0</v>
      </c>
      <c r="K3653" s="695">
        <f t="shared" ref="K3653" si="2816">I3653+J3653</f>
        <v>0</v>
      </c>
      <c r="L3653" s="695"/>
      <c r="M3653" s="659" t="str">
        <f>IF(AND(G3653&gt;0,E3653=0),"WARNING - no PRICE inserted",IF(H3653="free"," FREE ~ no charge this plant",IF(H3653="credit",CONCATENATE(" -$",ROUND(K3653*(1-T2GDiscount)*-1,2)," CREDIT after discount"),IF(T2GDiscount=0,"",IF(G3653=0,"",IF(F3653="Buy",CONCATENATE(" $",ROUND(K3653*(1-T2GDiscount),2)," with ",(T2GDiscount*100),"% discount"),CONCATENATE(" $",ROUND(K3653*(1-T2GDiscount),2)," with ",((T2GDiscount*100+F3653*100)-(T2GDiscount*100*F3653)),IF(F3653&gt;0,"% discounts",IF(NoWarrantyDiscount&gt;0,"% discounts","% discount")))))))))</f>
        <v/>
      </c>
      <c r="N3653" s="660"/>
      <c r="O3653" s="233"/>
      <c r="P3653" s="233"/>
      <c r="Q3653" s="233"/>
      <c r="R3653" s="233"/>
      <c r="S3653" s="233"/>
      <c r="T3653" s="508">
        <f t="shared" si="2771"/>
        <v>0</v>
      </c>
      <c r="U3653" s="225">
        <f>IF(NOT(ISNUMBER(G3653)), "", VLOOKUP(A3653,'Discount Lookup'!D:E,2,FALSE)*G3653)</f>
        <v>0</v>
      </c>
      <c r="V3653" s="225">
        <f>IF(NOT(ISNUMBER(G3653)), "", VLOOKUP(A3653,'Discount Lookup'!G:H,2,FALSE)*G3653)</f>
        <v>0</v>
      </c>
      <c r="W3653" s="508">
        <f t="shared" si="2772"/>
        <v>0</v>
      </c>
      <c r="X3653" s="508">
        <f t="shared" si="2773"/>
        <v>0</v>
      </c>
      <c r="Y3653" s="509" t="b">
        <f t="shared" si="2774"/>
        <v>0</v>
      </c>
      <c r="Z3653" s="510">
        <f t="shared" si="2775"/>
        <v>0</v>
      </c>
      <c r="AA3653" s="511"/>
      <c r="AB3653" s="511" t="str">
        <f t="shared" si="2776"/>
        <v/>
      </c>
      <c r="AC3653" s="698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698"/>
      <c r="AE3653" s="631" t="str">
        <f t="shared" si="2777"/>
        <v/>
      </c>
      <c r="AF3653" s="699" t="str">
        <f t="shared" si="2778"/>
        <v/>
      </c>
      <c r="AG3653" s="699"/>
      <c r="AH3653" s="699"/>
      <c r="AI3653" s="512">
        <f>IF(H3653="credit",0,IF(AE3653="free",0,IF(AE3653="me",0,IF(G3653&gt;0,(VLOOKUP(A3653,'Discount Lookup'!J:K,2)*G3653),0))))</f>
        <v>0</v>
      </c>
      <c r="AJ3653" s="513" t="str">
        <f t="shared" ca="1" si="2779"/>
        <v/>
      </c>
      <c r="AK3653" s="700" t="str">
        <f t="shared" si="2780"/>
        <v/>
      </c>
      <c r="AL3653" s="700"/>
      <c r="AM3653" s="505" t="str">
        <f t="shared" si="2781"/>
        <v/>
      </c>
      <c r="AN3653" s="506"/>
      <c r="AO3653" s="507"/>
      <c r="AP3653" s="507"/>
      <c r="AQ3653" s="507"/>
      <c r="AR3653" s="507"/>
      <c r="AS3653" s="507"/>
      <c r="AT3653" s="507"/>
      <c r="AU3653" s="507"/>
      <c r="AV3653" s="225"/>
      <c r="AW3653" s="508"/>
      <c r="AX3653" s="225"/>
      <c r="AY3653" s="225"/>
      <c r="AZ3653" s="225"/>
      <c r="BA3653" s="225"/>
      <c r="BB3653" s="225"/>
      <c r="BC3653" s="56"/>
      <c r="BD3653" s="56"/>
      <c r="BE3653" s="56"/>
      <c r="BF3653" s="107" t="str">
        <f t="shared" si="2782"/>
        <v>https://www.google.com/search?tbm=isch&amp;q=3%20G5</v>
      </c>
      <c r="BG3653" s="107" t="str">
        <f t="shared" si="2783"/>
        <v>S</v>
      </c>
      <c r="BH3653" s="254"/>
      <c r="BI3653" s="254"/>
    </row>
    <row r="3654" spans="1:61" customFormat="1" ht="15.75" x14ac:dyDescent="0.25">
      <c r="A3654" s="485">
        <v>7</v>
      </c>
      <c r="B3654" s="486" t="s">
        <v>291</v>
      </c>
      <c r="C3654" s="487" t="s">
        <v>3804</v>
      </c>
      <c r="D3654" s="488" t="s">
        <v>292</v>
      </c>
      <c r="E3654" s="489">
        <v>109.95</v>
      </c>
      <c r="F3654" s="516" t="s">
        <v>293</v>
      </c>
      <c r="G3654" s="232">
        <v>0</v>
      </c>
      <c r="H3654" s="658" t="str">
        <f>IF(G3654=0,"",IF(F3654="Buy",IF(G3654=1,"plant","plants"),IF(F3654&gt;0.01,"warranty","Error")))</f>
        <v/>
      </c>
      <c r="I3654" s="490">
        <f>IF(H3654="free",0,IF(H3654="credit",((E3654*(F3654))*G3654*-1),IF(F3654="Buy",(E3654*G3654),((E3654*(1-F3654))*G3654))))</f>
        <v>0</v>
      </c>
      <c r="J3654" s="490">
        <f>IF(H3654="warranty",0,(I3654*(_xlfn.SINGLE(SalesTaxPercentage))))</f>
        <v>0</v>
      </c>
      <c r="K3654" s="695">
        <f t="shared" ref="K3654" si="2817">I3654+J3654</f>
        <v>0</v>
      </c>
      <c r="L3654" s="695"/>
      <c r="M3654" s="659" t="str">
        <f>IF(AND(G3654&gt;0,E3654=0),"WARNING - no PRICE inserted",IF(H3654="free"," FREE ~ no charge this plant",IF(H3654="credit",CONCATENATE(" -$",ROUND(K3654*(1-T2GDiscount)*-1,2)," CREDIT after discount"),IF(T2GDiscount=0,"",IF(G3654=0,"",IF(F3654="Buy",CONCATENATE(" $",ROUND(K3654*(1-T2GDiscount),2)," with ",(T2GDiscount*100),"% discount"),CONCATENATE(" $",ROUND(K3654*(1-T2GDiscount),2)," with ",((T2GDiscount*100+F3654*100)-(T2GDiscount*100*F3654)),IF(F3654&gt;0,"% discounts",IF(NoWarrantyDiscount&gt;0,"% discounts","% discount")))))))))</f>
        <v/>
      </c>
      <c r="N3654" s="660"/>
      <c r="O3654" s="233"/>
      <c r="P3654" s="233"/>
      <c r="Q3654" s="233"/>
      <c r="R3654" s="233"/>
      <c r="S3654" s="233"/>
      <c r="T3654" s="508">
        <f t="shared" si="2771"/>
        <v>0</v>
      </c>
      <c r="U3654" s="225">
        <f>IF(NOT(ISNUMBER(G3654)), "", VLOOKUP(A3654,'Discount Lookup'!D:E,2,FALSE)*G3654)</f>
        <v>0</v>
      </c>
      <c r="V3654" s="225">
        <f>IF(NOT(ISNUMBER(G3654)), "", VLOOKUP(A3654,'Discount Lookup'!G:H,2,FALSE)*G3654)</f>
        <v>0</v>
      </c>
      <c r="W3654" s="508">
        <f t="shared" si="2772"/>
        <v>0</v>
      </c>
      <c r="X3654" s="508">
        <f t="shared" si="2773"/>
        <v>0</v>
      </c>
      <c r="Y3654" s="509" t="b">
        <f t="shared" si="2774"/>
        <v>0</v>
      </c>
      <c r="Z3654" s="510">
        <f t="shared" si="2775"/>
        <v>0</v>
      </c>
      <c r="AA3654" s="511"/>
      <c r="AB3654" s="511" t="str">
        <f t="shared" si="2776"/>
        <v/>
      </c>
      <c r="AC3654" s="698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698"/>
      <c r="AE3654" s="631" t="str">
        <f t="shared" si="2777"/>
        <v/>
      </c>
      <c r="AF3654" s="699" t="str">
        <f t="shared" si="2778"/>
        <v/>
      </c>
      <c r="AG3654" s="699"/>
      <c r="AH3654" s="699"/>
      <c r="AI3654" s="512">
        <f>IF(H3654="credit",0,IF(AE3654="free",0,IF(AE3654="me",0,IF(G3654&gt;0,(VLOOKUP(A3654,'Discount Lookup'!J:K,2)*G3654),0))))</f>
        <v>0</v>
      </c>
      <c r="AJ3654" s="513" t="str">
        <f t="shared" ca="1" si="2779"/>
        <v/>
      </c>
      <c r="AK3654" s="700" t="str">
        <f t="shared" si="2780"/>
        <v/>
      </c>
      <c r="AL3654" s="700"/>
      <c r="AM3654" s="505" t="str">
        <f t="shared" si="2781"/>
        <v/>
      </c>
      <c r="AN3654" s="506"/>
      <c r="AO3654" s="507"/>
      <c r="AP3654" s="507"/>
      <c r="AQ3654" s="507"/>
      <c r="AR3654" s="507"/>
      <c r="AS3654" s="507"/>
      <c r="AT3654" s="507"/>
      <c r="AU3654" s="507"/>
      <c r="AV3654" s="225"/>
      <c r="AW3654" s="508"/>
      <c r="AX3654" s="225"/>
      <c r="AY3654" s="225"/>
      <c r="AZ3654" s="225"/>
      <c r="BA3654" s="225"/>
      <c r="BB3654" s="225"/>
      <c r="BC3654" s="56"/>
      <c r="BD3654" s="56"/>
      <c r="BE3654" s="56"/>
      <c r="BF3654" s="107" t="str">
        <f t="shared" si="2782"/>
        <v>https://www.google.com/search?tbm=isch&amp;q=7%20G4</v>
      </c>
      <c r="BG3654" s="107" t="str">
        <f t="shared" si="2783"/>
        <v>S</v>
      </c>
      <c r="BH3654" s="254"/>
      <c r="BI3654" s="254"/>
    </row>
    <row r="3655" spans="1:61" customFormat="1" ht="17.25" thickBot="1" x14ac:dyDescent="0.3">
      <c r="A3655" s="672" t="s">
        <v>5257</v>
      </c>
      <c r="B3655" s="491"/>
      <c r="C3655" s="675"/>
      <c r="D3655" s="491"/>
      <c r="E3655" s="491"/>
      <c r="F3655" s="492"/>
      <c r="G3655" s="493"/>
      <c r="H3655" s="491"/>
      <c r="I3655" s="234"/>
      <c r="J3655" s="234"/>
      <c r="K3655" s="494"/>
      <c r="L3655" s="543"/>
      <c r="M3655" s="561"/>
      <c r="N3655" s="495"/>
      <c r="O3655" s="496"/>
      <c r="P3655" s="497"/>
      <c r="Q3655" s="495"/>
      <c r="R3655" s="495"/>
      <c r="S3655" s="667" t="s">
        <v>4986</v>
      </c>
      <c r="T3655" s="508">
        <f t="shared" si="2771"/>
        <v>0</v>
      </c>
      <c r="U3655" s="225" t="str">
        <f>IF(NOT(ISNUMBER(G3655)), "", VLOOKUP(A3655,'Discount Lookup'!D:E,2,FALSE)*G3655)</f>
        <v/>
      </c>
      <c r="V3655" s="225" t="str">
        <f>IF(NOT(ISNUMBER(G3655)), "", VLOOKUP(A3655,'Discount Lookup'!G:H,2,FALSE)*G3655)</f>
        <v/>
      </c>
      <c r="W3655" s="508">
        <f t="shared" si="2772"/>
        <v>0</v>
      </c>
      <c r="X3655" s="508">
        <f t="shared" si="2773"/>
        <v>0</v>
      </c>
      <c r="Y3655" s="509" t="b">
        <f t="shared" si="2774"/>
        <v>0</v>
      </c>
      <c r="Z3655" s="510">
        <f t="shared" si="2775"/>
        <v>0</v>
      </c>
      <c r="AA3655" s="511"/>
      <c r="AB3655" s="511" t="str">
        <f t="shared" si="2776"/>
        <v/>
      </c>
      <c r="AC3655" s="698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698"/>
      <c r="AE3655" s="631" t="str">
        <f t="shared" si="2777"/>
        <v/>
      </c>
      <c r="AF3655" s="699" t="str">
        <f t="shared" si="2778"/>
        <v/>
      </c>
      <c r="AG3655" s="699"/>
      <c r="AH3655" s="699"/>
      <c r="AI3655" s="512">
        <f>IF(H3655="credit",0,IF(AE3655="free",0,IF(AE3655="me",0,IF(G3655&gt;0,(VLOOKUP(A3655,'Discount Lookup'!J:K,2)*G3655),0))))</f>
        <v>0</v>
      </c>
      <c r="AJ3655" s="513" t="str">
        <f t="shared" ca="1" si="2779"/>
        <v/>
      </c>
      <c r="AK3655" s="700" t="str">
        <f t="shared" si="2780"/>
        <v/>
      </c>
      <c r="AL3655" s="700"/>
      <c r="AM3655" s="505" t="str">
        <f t="shared" si="2781"/>
        <v/>
      </c>
      <c r="AN3655" s="506"/>
      <c r="AO3655" s="507"/>
      <c r="AP3655" s="507"/>
      <c r="AQ3655" s="507"/>
      <c r="AR3655" s="507"/>
      <c r="AS3655" s="507"/>
      <c r="AT3655" s="507"/>
      <c r="AU3655" s="507"/>
      <c r="AV3655" s="225"/>
      <c r="AW3655" s="508"/>
      <c r="AX3655" s="225"/>
      <c r="AY3655" s="225"/>
      <c r="AZ3655" s="225"/>
      <c r="BA3655" s="225"/>
      <c r="BB3655" s="225"/>
      <c r="BC3655" s="56"/>
      <c r="BD3655" s="56"/>
      <c r="BE3655" s="56"/>
      <c r="BF3655" s="107" t="str">
        <f t="shared" si="2782"/>
        <v>https://www.google.com/search?tbm=isch&amp;q=moist%20sites%F0%9F%92%A7OK%2C%20Survivor%20is%20named%20for%20its%20extreme%20cold-hardiness%20and%20dependable%20blooming%20even%20after%20harsh%20winters%20</v>
      </c>
      <c r="BG3655" s="107" t="str">
        <f t="shared" si="2783"/>
        <v>m</v>
      </c>
      <c r="BH3655" s="254"/>
      <c r="BI3655" s="254"/>
    </row>
    <row r="3656" spans="1:61" customFormat="1" ht="18" x14ac:dyDescent="0.25">
      <c r="A3656" s="521" t="s">
        <v>5624</v>
      </c>
      <c r="B3656" s="477"/>
      <c r="C3656" s="674"/>
      <c r="D3656" s="478" t="s">
        <v>1862</v>
      </c>
      <c r="E3656" s="479"/>
      <c r="F3656" s="479"/>
      <c r="G3656" s="479"/>
      <c r="H3656" s="582" t="s">
        <v>3249</v>
      </c>
      <c r="I3656" s="480" t="s">
        <v>3959</v>
      </c>
      <c r="J3656" s="479"/>
      <c r="K3656" s="479"/>
      <c r="L3656" s="560"/>
      <c r="M3656" s="671" t="s">
        <v>4985</v>
      </c>
      <c r="N3656" s="680" t="str">
        <f>IF(AND(ISTEXT($A3656), ISERROR($A3656+0)), HYPERLINK($BF3656, "Images"), "")</f>
        <v>Images</v>
      </c>
      <c r="O3656" s="662" t="s">
        <v>4969</v>
      </c>
      <c r="P3656" s="482"/>
      <c r="Q3656" s="483"/>
      <c r="R3656" s="483"/>
      <c r="S3656" s="484"/>
      <c r="T3656" s="508">
        <f t="shared" si="2771"/>
        <v>0</v>
      </c>
      <c r="U3656" s="225" t="str">
        <f>IF(NOT(ISNUMBER(G3656)), "", VLOOKUP(A3656,'Discount Lookup'!D:E,2,FALSE)*G3656)</f>
        <v/>
      </c>
      <c r="V3656" s="225" t="str">
        <f>IF(NOT(ISNUMBER(G3656)), "", VLOOKUP(A3656,'Discount Lookup'!G:H,2,FALSE)*G3656)</f>
        <v/>
      </c>
      <c r="W3656" s="508">
        <f t="shared" si="2772"/>
        <v>0</v>
      </c>
      <c r="X3656" s="508" t="str">
        <f t="shared" si="2773"/>
        <v>Pink &amp; White, Red tips</v>
      </c>
      <c r="Y3656" s="509" t="b">
        <f t="shared" si="2774"/>
        <v>0</v>
      </c>
      <c r="Z3656" s="510">
        <f t="shared" si="2775"/>
        <v>0</v>
      </c>
      <c r="AA3656" s="511"/>
      <c r="AB3656" s="511" t="str">
        <f t="shared" si="2776"/>
        <v/>
      </c>
      <c r="AC3656" s="698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698"/>
      <c r="AE3656" s="631" t="str">
        <f t="shared" si="2777"/>
        <v/>
      </c>
      <c r="AF3656" s="699" t="str">
        <f t="shared" si="2778"/>
        <v/>
      </c>
      <c r="AG3656" s="699"/>
      <c r="AH3656" s="699"/>
      <c r="AI3656" s="512">
        <f>IF(H3656="credit",0,IF(AE3656="free",0,IF(AE3656="me",0,IF(G3656&gt;0,(VLOOKUP(A3656,'Discount Lookup'!J:K,2)*G3656),0))))</f>
        <v>0</v>
      </c>
      <c r="AJ3656" s="513" t="str">
        <f t="shared" ca="1" si="2779"/>
        <v/>
      </c>
      <c r="AK3656" s="700" t="str">
        <f t="shared" si="2780"/>
        <v/>
      </c>
      <c r="AL3656" s="700"/>
      <c r="AM3656" s="505" t="str">
        <f t="shared" si="2781"/>
        <v/>
      </c>
      <c r="AN3656" s="506"/>
      <c r="AO3656" s="507"/>
      <c r="AP3656" s="507"/>
      <c r="AQ3656" s="507"/>
      <c r="AR3656" s="507"/>
      <c r="AS3656" s="507"/>
      <c r="AT3656" s="507"/>
      <c r="AU3656" s="507"/>
      <c r="AV3656" s="225"/>
      <c r="AW3656" s="508"/>
      <c r="AX3656" s="225"/>
      <c r="AY3656" s="225"/>
      <c r="AZ3656" s="225"/>
      <c r="BA3656" s="225"/>
      <c r="BB3656" s="225"/>
      <c r="BC3656" s="56"/>
      <c r="BD3656" s="56"/>
      <c r="BE3656" s="56"/>
      <c r="BF3656" s="107" t="str">
        <f t="shared" si="2782"/>
        <v>https://www.google.com/search?tbm=isch&amp;q=SWEET%20%26%20LO%E2%84%A2%20Sweet%20Box%20%28PW%C2%AE%29%20Sarcococca%20hookeriana%20%27Purplerij1%27</v>
      </c>
      <c r="BG3656" s="107" t="str">
        <f t="shared" si="2783"/>
        <v>S</v>
      </c>
      <c r="BH3656" s="254"/>
      <c r="BI3656" s="254"/>
    </row>
    <row r="3657" spans="1:61" customFormat="1" ht="15.75" x14ac:dyDescent="0.25">
      <c r="A3657" s="485">
        <v>3</v>
      </c>
      <c r="B3657" s="486" t="s">
        <v>291</v>
      </c>
      <c r="C3657" s="487" t="s">
        <v>1863</v>
      </c>
      <c r="D3657" s="488" t="s">
        <v>299</v>
      </c>
      <c r="E3657" s="489">
        <v>42.95</v>
      </c>
      <c r="F3657" s="516" t="s">
        <v>293</v>
      </c>
      <c r="G3657" s="232">
        <v>0</v>
      </c>
      <c r="H3657" s="658" t="str">
        <f>IF(G3657=0,"",IF(F3657="Buy",IF(G3657=1,"plant","plants"),IF(F3657&gt;0.01,"warranty","Error")))</f>
        <v/>
      </c>
      <c r="I3657" s="490">
        <f>IF(H3657="free",0,IF(H3657="credit",((E3657*(F3657))*G3657*-1),IF(F3657="Buy",(E3657*G3657),((E3657*(1-F3657))*G3657))))</f>
        <v>0</v>
      </c>
      <c r="J3657" s="490">
        <f>IF(H3657="warranty",0,(I3657*(_xlfn.SINGLE(SalesTaxPercentage))))</f>
        <v>0</v>
      </c>
      <c r="K3657" s="695">
        <f t="shared" ref="K3657" si="2818">I3657+J3657</f>
        <v>0</v>
      </c>
      <c r="L3657" s="695"/>
      <c r="M3657" s="659" t="str">
        <f>IF(AND(G3657&gt;0,E3657=0),"WARNING - no PRICE inserted",IF(H3657="free"," FREE ~ no charge this plant",IF(H3657="credit",CONCATENATE(" -$",ROUND(K3657*(1-T2GDiscount)*-1,2)," CREDIT after discount"),IF(T2GDiscount=0,"",IF(G3657=0,"",IF(F3657="Buy",CONCATENATE(" $",ROUND(K3657*(1-T2GDiscount),2)," with ",(T2GDiscount*100),"% discount"),CONCATENATE(" $",ROUND(K3657*(1-T2GDiscount),2)," with ",((T2GDiscount*100+F3657*100)-(T2GDiscount*100*F3657)),IF(F3657&gt;0,"% discounts",IF(NoWarrantyDiscount&gt;0,"% discounts","% discount")))))))))</f>
        <v/>
      </c>
      <c r="N3657" s="660"/>
      <c r="O3657" s="233"/>
      <c r="P3657" s="233"/>
      <c r="Q3657" s="233"/>
      <c r="R3657" s="233"/>
      <c r="S3657" s="233"/>
      <c r="T3657" s="508">
        <f t="shared" si="2771"/>
        <v>0</v>
      </c>
      <c r="U3657" s="225">
        <f>IF(NOT(ISNUMBER(G3657)), "", VLOOKUP(A3657,'Discount Lookup'!D:E,2,FALSE)*G3657)</f>
        <v>0</v>
      </c>
      <c r="V3657" s="225">
        <f>IF(NOT(ISNUMBER(G3657)), "", VLOOKUP(A3657,'Discount Lookup'!G:H,2,FALSE)*G3657)</f>
        <v>0</v>
      </c>
      <c r="W3657" s="508">
        <f t="shared" si="2772"/>
        <v>0</v>
      </c>
      <c r="X3657" s="508">
        <f t="shared" si="2773"/>
        <v>0</v>
      </c>
      <c r="Y3657" s="509" t="b">
        <f t="shared" si="2774"/>
        <v>0</v>
      </c>
      <c r="Z3657" s="510">
        <f t="shared" si="2775"/>
        <v>0</v>
      </c>
      <c r="AA3657" s="511"/>
      <c r="AB3657" s="511" t="str">
        <f t="shared" si="2776"/>
        <v/>
      </c>
      <c r="AC3657" s="698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698"/>
      <c r="AE3657" s="631" t="str">
        <f t="shared" si="2777"/>
        <v/>
      </c>
      <c r="AF3657" s="699" t="str">
        <f t="shared" si="2778"/>
        <v/>
      </c>
      <c r="AG3657" s="699"/>
      <c r="AH3657" s="699"/>
      <c r="AI3657" s="512">
        <f>IF(H3657="credit",0,IF(AE3657="free",0,IF(AE3657="me",0,IF(G3657&gt;0,(VLOOKUP(A3657,'Discount Lookup'!J:K,2)*G3657),0))))</f>
        <v>0</v>
      </c>
      <c r="AJ3657" s="513" t="str">
        <f t="shared" ca="1" si="2779"/>
        <v/>
      </c>
      <c r="AK3657" s="700" t="str">
        <f t="shared" si="2780"/>
        <v/>
      </c>
      <c r="AL3657" s="700"/>
      <c r="AM3657" s="505" t="str">
        <f t="shared" si="2781"/>
        <v/>
      </c>
      <c r="AN3657" s="506"/>
      <c r="AO3657" s="507"/>
      <c r="AP3657" s="507"/>
      <c r="AQ3657" s="507"/>
      <c r="AR3657" s="507"/>
      <c r="AS3657" s="507"/>
      <c r="AT3657" s="507"/>
      <c r="AU3657" s="507"/>
      <c r="AV3657" s="225"/>
      <c r="AW3657" s="508"/>
      <c r="AX3657" s="225"/>
      <c r="AY3657" s="225"/>
      <c r="AZ3657" s="225"/>
      <c r="BA3657" s="225"/>
      <c r="BB3657" s="225"/>
      <c r="BC3657" s="56"/>
      <c r="BD3657" s="56"/>
      <c r="BE3657" s="56"/>
      <c r="BF3657" s="107" t="str">
        <f t="shared" si="2782"/>
        <v>https://www.google.com/search?tbm=isch&amp;q=3%20G5</v>
      </c>
      <c r="BG3657" s="107" t="str">
        <f t="shared" si="2783"/>
        <v>S</v>
      </c>
      <c r="BH3657" s="254"/>
      <c r="BI3657" s="254"/>
    </row>
    <row r="3658" spans="1:61" customFormat="1" ht="17.25" thickBot="1" x14ac:dyDescent="0.3">
      <c r="A3658" s="522" t="s">
        <v>4217</v>
      </c>
      <c r="B3658" s="491"/>
      <c r="C3658" s="675"/>
      <c r="D3658" s="491"/>
      <c r="E3658" s="491"/>
      <c r="F3658" s="492"/>
      <c r="G3658" s="493"/>
      <c r="H3658" s="491"/>
      <c r="I3658" s="234"/>
      <c r="J3658" s="234"/>
      <c r="K3658" s="494"/>
      <c r="L3658" s="543"/>
      <c r="M3658" s="561"/>
      <c r="N3658" s="495"/>
      <c r="O3658" s="496"/>
      <c r="P3658" s="497"/>
      <c r="Q3658" s="495"/>
      <c r="R3658" s="495"/>
      <c r="S3658" s="667" t="s">
        <v>4982</v>
      </c>
      <c r="T3658" s="508">
        <f t="shared" si="2771"/>
        <v>0</v>
      </c>
      <c r="U3658" s="225" t="str">
        <f>IF(NOT(ISNUMBER(G3658)), "", VLOOKUP(A3658,'Discount Lookup'!D:E,2,FALSE)*G3658)</f>
        <v/>
      </c>
      <c r="V3658" s="225" t="str">
        <f>IF(NOT(ISNUMBER(G3658)), "", VLOOKUP(A3658,'Discount Lookup'!G:H,2,FALSE)*G3658)</f>
        <v/>
      </c>
      <c r="W3658" s="508">
        <f t="shared" si="2772"/>
        <v>0</v>
      </c>
      <c r="X3658" s="508">
        <f t="shared" si="2773"/>
        <v>0</v>
      </c>
      <c r="Y3658" s="509" t="b">
        <f t="shared" si="2774"/>
        <v>0</v>
      </c>
      <c r="Z3658" s="510">
        <f t="shared" si="2775"/>
        <v>0</v>
      </c>
      <c r="AA3658" s="511"/>
      <c r="AB3658" s="511" t="str">
        <f t="shared" si="2776"/>
        <v/>
      </c>
      <c r="AC3658" s="698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698"/>
      <c r="AE3658" s="631" t="str">
        <f t="shared" si="2777"/>
        <v/>
      </c>
      <c r="AF3658" s="699" t="str">
        <f t="shared" si="2778"/>
        <v/>
      </c>
      <c r="AG3658" s="699"/>
      <c r="AH3658" s="699"/>
      <c r="AI3658" s="512">
        <f>IF(H3658="credit",0,IF(AE3658="free",0,IF(AE3658="me",0,IF(G3658&gt;0,(VLOOKUP(A3658,'Discount Lookup'!J:K,2)*G3658),0))))</f>
        <v>0</v>
      </c>
      <c r="AJ3658" s="513" t="str">
        <f t="shared" ca="1" si="2779"/>
        <v/>
      </c>
      <c r="AK3658" s="700" t="str">
        <f t="shared" si="2780"/>
        <v/>
      </c>
      <c r="AL3658" s="700"/>
      <c r="AM3658" s="505" t="str">
        <f t="shared" si="2781"/>
        <v/>
      </c>
      <c r="AN3658" s="506"/>
      <c r="AO3658" s="507"/>
      <c r="AP3658" s="507"/>
      <c r="AQ3658" s="507"/>
      <c r="AR3658" s="507"/>
      <c r="AS3658" s="507"/>
      <c r="AT3658" s="507"/>
      <c r="AU3658" s="507"/>
      <c r="AV3658" s="225"/>
      <c r="AW3658" s="508"/>
      <c r="AX3658" s="225"/>
      <c r="AY3658" s="225"/>
      <c r="AZ3658" s="225"/>
      <c r="BA3658" s="225"/>
      <c r="BB3658" s="225"/>
      <c r="BC3658" s="56"/>
      <c r="BD3658" s="56"/>
      <c r="BE3658" s="56"/>
      <c r="BF3658" s="107" t="str">
        <f t="shared" si="2782"/>
        <v>https://www.google.com/search?tbm=isch&amp;q=SWEET%20%26%20LO%20has%20jasmine-scented%20late-winter%2Fearly-spring%20blooms%2C%20Purple%20stems%2C%20and%20glossy%20evergreen%20leaves.%20Will%20spread%20</v>
      </c>
      <c r="BG3658" s="107" t="str">
        <f t="shared" si="2783"/>
        <v>S</v>
      </c>
      <c r="BH3658" s="254"/>
      <c r="BI3658" s="254"/>
    </row>
    <row r="3659" spans="1:61" customFormat="1" ht="18" x14ac:dyDescent="0.25">
      <c r="A3659" s="521" t="s">
        <v>1864</v>
      </c>
      <c r="B3659" s="477"/>
      <c r="C3659" s="674"/>
      <c r="D3659" s="478" t="s">
        <v>1865</v>
      </c>
      <c r="E3659" s="479"/>
      <c r="F3659" s="479"/>
      <c r="G3659" s="479"/>
      <c r="H3659" s="582" t="s">
        <v>474</v>
      </c>
      <c r="I3659" s="480" t="s">
        <v>654</v>
      </c>
      <c r="J3659" s="479"/>
      <c r="K3659" s="479"/>
      <c r="L3659" s="560"/>
      <c r="M3659" s="671" t="s">
        <v>4985</v>
      </c>
      <c r="N3659" s="680" t="str">
        <f>IF(AND(ISTEXT($A3659), ISERROR($A3659+0)), HYPERLINK($BF3659, "Images"), "")</f>
        <v>Images</v>
      </c>
      <c r="O3659" s="662" t="s">
        <v>4969</v>
      </c>
      <c r="P3659" s="482"/>
      <c r="Q3659" s="483"/>
      <c r="R3659" s="483"/>
      <c r="S3659" s="484"/>
      <c r="T3659" s="508">
        <f t="shared" si="2771"/>
        <v>0</v>
      </c>
      <c r="U3659" s="225" t="str">
        <f>IF(NOT(ISNUMBER(G3659)), "", VLOOKUP(A3659,'Discount Lookup'!D:E,2,FALSE)*G3659)</f>
        <v/>
      </c>
      <c r="V3659" s="225" t="str">
        <f>IF(NOT(ISNUMBER(G3659)), "", VLOOKUP(A3659,'Discount Lookup'!G:H,2,FALSE)*G3659)</f>
        <v/>
      </c>
      <c r="W3659" s="508">
        <f t="shared" si="2772"/>
        <v>0</v>
      </c>
      <c r="X3659" s="508" t="str">
        <f t="shared" si="2773"/>
        <v>White bloom</v>
      </c>
      <c r="Y3659" s="509" t="b">
        <f t="shared" si="2774"/>
        <v>0</v>
      </c>
      <c r="Z3659" s="510">
        <f t="shared" si="2775"/>
        <v>0</v>
      </c>
      <c r="AA3659" s="511"/>
      <c r="AB3659" s="511" t="str">
        <f t="shared" si="2776"/>
        <v/>
      </c>
      <c r="AC3659" s="698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698"/>
      <c r="AE3659" s="631" t="str">
        <f t="shared" si="2777"/>
        <v/>
      </c>
      <c r="AF3659" s="699" t="str">
        <f t="shared" si="2778"/>
        <v/>
      </c>
      <c r="AG3659" s="699"/>
      <c r="AH3659" s="699"/>
      <c r="AI3659" s="512">
        <f>IF(H3659="credit",0,IF(AE3659="free",0,IF(AE3659="me",0,IF(G3659&gt;0,(VLOOKUP(A3659,'Discount Lookup'!J:K,2)*G3659),0))))</f>
        <v>0</v>
      </c>
      <c r="AJ3659" s="513" t="str">
        <f t="shared" ca="1" si="2779"/>
        <v/>
      </c>
      <c r="AK3659" s="700" t="str">
        <f t="shared" si="2780"/>
        <v/>
      </c>
      <c r="AL3659" s="700"/>
      <c r="AM3659" s="505" t="str">
        <f t="shared" si="2781"/>
        <v/>
      </c>
      <c r="AN3659" s="506"/>
      <c r="AO3659" s="507"/>
      <c r="AP3659" s="507"/>
      <c r="AQ3659" s="507"/>
      <c r="AR3659" s="507"/>
      <c r="AS3659" s="507"/>
      <c r="AT3659" s="507"/>
      <c r="AU3659" s="507"/>
      <c r="AV3659" s="225"/>
      <c r="AW3659" s="508"/>
      <c r="AX3659" s="225"/>
      <c r="AY3659" s="225"/>
      <c r="AZ3659" s="225"/>
      <c r="BA3659" s="225"/>
      <c r="BB3659" s="225"/>
      <c r="BC3659" s="56"/>
      <c r="BD3659" s="56"/>
      <c r="BE3659" s="56"/>
      <c r="BF3659" s="107" t="str">
        <f t="shared" si="2782"/>
        <v>https://www.google.com/search?tbm=isch&amp;q=Sweet%20Box%20Sarcococca%20confusa</v>
      </c>
      <c r="BG3659" s="107" t="str">
        <f t="shared" si="2783"/>
        <v>S</v>
      </c>
      <c r="BH3659" s="254"/>
      <c r="BI3659" s="254"/>
    </row>
    <row r="3660" spans="1:61" customFormat="1" ht="15.75" x14ac:dyDescent="0.25">
      <c r="A3660" s="485">
        <v>3</v>
      </c>
      <c r="B3660" s="486" t="s">
        <v>291</v>
      </c>
      <c r="C3660" s="487" t="s">
        <v>4574</v>
      </c>
      <c r="D3660" s="488" t="s">
        <v>299</v>
      </c>
      <c r="E3660" s="489">
        <v>34.950000000000003</v>
      </c>
      <c r="F3660" s="516" t="s">
        <v>293</v>
      </c>
      <c r="G3660" s="232">
        <v>0</v>
      </c>
      <c r="H3660" s="658" t="str">
        <f>IF(G3660=0,"",IF(F3660="Buy",IF(G3660=1,"plant","plants"),IF(F3660&gt;0.01,"warranty","Error")))</f>
        <v/>
      </c>
      <c r="I3660" s="490">
        <f>IF(H3660="free",0,IF(H3660="credit",((E3660*(F3660))*G3660*-1),IF(F3660="Buy",(E3660*G3660),((E3660*(1-F3660))*G3660))))</f>
        <v>0</v>
      </c>
      <c r="J3660" s="490">
        <f>IF(H3660="warranty",0,(I3660*(_xlfn.SINGLE(SalesTaxPercentage))))</f>
        <v>0</v>
      </c>
      <c r="K3660" s="695">
        <f t="shared" ref="K3660" si="2819">I3660+J3660</f>
        <v>0</v>
      </c>
      <c r="L3660" s="695"/>
      <c r="M3660" s="659" t="str">
        <f>IF(AND(G3660&gt;0,E3660=0),"WARNING - no PRICE inserted",IF(H3660="free"," FREE ~ no charge this plant",IF(H3660="credit",CONCATENATE(" -$",ROUND(K3660*(1-T2GDiscount)*-1,2)," CREDIT after discount"),IF(T2GDiscount=0,"",IF(G3660=0,"",IF(F3660="Buy",CONCATENATE(" $",ROUND(K3660*(1-T2GDiscount),2)," with ",(T2GDiscount*100),"% discount"),CONCATENATE(" $",ROUND(K3660*(1-T2GDiscount),2)," with ",((T2GDiscount*100+F3660*100)-(T2GDiscount*100*F3660)),IF(F3660&gt;0,"% discounts",IF(NoWarrantyDiscount&gt;0,"% discounts","% discount")))))))))</f>
        <v/>
      </c>
      <c r="N3660" s="660"/>
      <c r="O3660" s="233"/>
      <c r="P3660" s="233"/>
      <c r="Q3660" s="233"/>
      <c r="R3660" s="233"/>
      <c r="S3660" s="233"/>
      <c r="T3660" s="508">
        <f t="shared" si="2771"/>
        <v>0</v>
      </c>
      <c r="U3660" s="225">
        <f>IF(NOT(ISNUMBER(G3660)), "", VLOOKUP(A3660,'Discount Lookup'!D:E,2,FALSE)*G3660)</f>
        <v>0</v>
      </c>
      <c r="V3660" s="225">
        <f>IF(NOT(ISNUMBER(G3660)), "", VLOOKUP(A3660,'Discount Lookup'!G:H,2,FALSE)*G3660)</f>
        <v>0</v>
      </c>
      <c r="W3660" s="508">
        <f t="shared" si="2772"/>
        <v>0</v>
      </c>
      <c r="X3660" s="508">
        <f t="shared" si="2773"/>
        <v>0</v>
      </c>
      <c r="Y3660" s="509" t="b">
        <f t="shared" si="2774"/>
        <v>0</v>
      </c>
      <c r="Z3660" s="510">
        <f t="shared" si="2775"/>
        <v>0</v>
      </c>
      <c r="AA3660" s="511"/>
      <c r="AB3660" s="511" t="str">
        <f t="shared" si="2776"/>
        <v/>
      </c>
      <c r="AC3660" s="698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698"/>
      <c r="AE3660" s="631" t="str">
        <f t="shared" si="2777"/>
        <v/>
      </c>
      <c r="AF3660" s="699" t="str">
        <f t="shared" si="2778"/>
        <v/>
      </c>
      <c r="AG3660" s="699"/>
      <c r="AH3660" s="699"/>
      <c r="AI3660" s="512">
        <f>IF(H3660="credit",0,IF(AE3660="free",0,IF(AE3660="me",0,IF(G3660&gt;0,(VLOOKUP(A3660,'Discount Lookup'!J:K,2)*G3660),0))))</f>
        <v>0</v>
      </c>
      <c r="AJ3660" s="513" t="str">
        <f t="shared" ca="1" si="2779"/>
        <v/>
      </c>
      <c r="AK3660" s="700" t="str">
        <f t="shared" si="2780"/>
        <v/>
      </c>
      <c r="AL3660" s="700"/>
      <c r="AM3660" s="505" t="str">
        <f t="shared" si="2781"/>
        <v/>
      </c>
      <c r="AN3660" s="506"/>
      <c r="AO3660" s="507"/>
      <c r="AP3660" s="507"/>
      <c r="AQ3660" s="507"/>
      <c r="AR3660" s="507"/>
      <c r="AS3660" s="507"/>
      <c r="AT3660" s="507"/>
      <c r="AU3660" s="507"/>
      <c r="AV3660" s="225"/>
      <c r="AW3660" s="508"/>
      <c r="AX3660" s="225"/>
      <c r="AY3660" s="225"/>
      <c r="AZ3660" s="225"/>
      <c r="BA3660" s="225"/>
      <c r="BB3660" s="225"/>
      <c r="BC3660" s="56"/>
      <c r="BD3660" s="56"/>
      <c r="BE3660" s="56"/>
      <c r="BF3660" s="107" t="str">
        <f t="shared" si="2782"/>
        <v>https://www.google.com/search?tbm=isch&amp;q=3%20G5</v>
      </c>
      <c r="BG3660" s="107" t="str">
        <f t="shared" si="2783"/>
        <v>S</v>
      </c>
      <c r="BH3660" s="254"/>
      <c r="BI3660" s="254"/>
    </row>
    <row r="3661" spans="1:61" customFormat="1" ht="15.75" x14ac:dyDescent="0.25">
      <c r="A3661" s="485">
        <v>3</v>
      </c>
      <c r="B3661" s="486" t="s">
        <v>291</v>
      </c>
      <c r="C3661" s="487" t="s">
        <v>329</v>
      </c>
      <c r="D3661" s="488" t="s">
        <v>312</v>
      </c>
      <c r="E3661" s="489">
        <v>35.950000000000003</v>
      </c>
      <c r="F3661" s="516" t="s">
        <v>293</v>
      </c>
      <c r="G3661" s="232">
        <v>0</v>
      </c>
      <c r="H3661" s="658" t="str">
        <f>IF(G3661=0,"",IF(F3661="Buy",IF(G3661=1,"plant","plants"),IF(F3661&gt;0.01,"warranty","Error")))</f>
        <v/>
      </c>
      <c r="I3661" s="490">
        <f>IF(H3661="free",0,IF(H3661="credit",((E3661*(F3661))*G3661*-1),IF(F3661="Buy",(E3661*G3661),((E3661*(1-F3661))*G3661))))</f>
        <v>0</v>
      </c>
      <c r="J3661" s="490">
        <f>IF(H3661="warranty",0,(I3661*(_xlfn.SINGLE(SalesTaxPercentage))))</f>
        <v>0</v>
      </c>
      <c r="K3661" s="695">
        <f t="shared" ref="K3661" si="2820">I3661+J3661</f>
        <v>0</v>
      </c>
      <c r="L3661" s="695"/>
      <c r="M3661" s="659" t="str">
        <f>IF(AND(G3661&gt;0,E3661=0),"WARNING - no PRICE inserted",IF(H3661="free"," FREE ~ no charge this plant",IF(H3661="credit",CONCATENATE(" -$",ROUND(K3661*(1-T2GDiscount)*-1,2)," CREDIT after discount"),IF(T2GDiscount=0,"",IF(G3661=0,"",IF(F3661="Buy",CONCATENATE(" $",ROUND(K3661*(1-T2GDiscount),2)," with ",(T2GDiscount*100),"% discount"),CONCATENATE(" $",ROUND(K3661*(1-T2GDiscount),2)," with ",((T2GDiscount*100+F3661*100)-(T2GDiscount*100*F3661)),IF(F3661&gt;0,"% discounts",IF(NoWarrantyDiscount&gt;0,"% discounts","% discount")))))))))</f>
        <v/>
      </c>
      <c r="N3661" s="660"/>
      <c r="O3661" s="233"/>
      <c r="P3661" s="233"/>
      <c r="Q3661" s="233"/>
      <c r="R3661" s="233"/>
      <c r="S3661" s="233"/>
      <c r="T3661" s="508">
        <f t="shared" si="2771"/>
        <v>0</v>
      </c>
      <c r="U3661" s="225">
        <f>IF(NOT(ISNUMBER(G3661)), "", VLOOKUP(A3661,'Discount Lookup'!D:E,2,FALSE)*G3661)</f>
        <v>0</v>
      </c>
      <c r="V3661" s="225">
        <f>IF(NOT(ISNUMBER(G3661)), "", VLOOKUP(A3661,'Discount Lookup'!G:H,2,FALSE)*G3661)</f>
        <v>0</v>
      </c>
      <c r="W3661" s="508">
        <f t="shared" si="2772"/>
        <v>0</v>
      </c>
      <c r="X3661" s="508">
        <f t="shared" si="2773"/>
        <v>0</v>
      </c>
      <c r="Y3661" s="509" t="b">
        <f t="shared" si="2774"/>
        <v>0</v>
      </c>
      <c r="Z3661" s="510">
        <f t="shared" si="2775"/>
        <v>0</v>
      </c>
      <c r="AA3661" s="511"/>
      <c r="AB3661" s="511" t="str">
        <f t="shared" si="2776"/>
        <v/>
      </c>
      <c r="AC3661" s="698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698"/>
      <c r="AE3661" s="631" t="str">
        <f t="shared" si="2777"/>
        <v/>
      </c>
      <c r="AF3661" s="699" t="str">
        <f t="shared" si="2778"/>
        <v/>
      </c>
      <c r="AG3661" s="699"/>
      <c r="AH3661" s="699"/>
      <c r="AI3661" s="512">
        <f>IF(H3661="credit",0,IF(AE3661="free",0,IF(AE3661="me",0,IF(G3661&gt;0,(VLOOKUP(A3661,'Discount Lookup'!J:K,2)*G3661),0))))</f>
        <v>0</v>
      </c>
      <c r="AJ3661" s="513" t="str">
        <f t="shared" ca="1" si="2779"/>
        <v/>
      </c>
      <c r="AK3661" s="700" t="str">
        <f t="shared" si="2780"/>
        <v/>
      </c>
      <c r="AL3661" s="700"/>
      <c r="AM3661" s="505" t="str">
        <f t="shared" si="2781"/>
        <v/>
      </c>
      <c r="AN3661" s="506"/>
      <c r="AO3661" s="507"/>
      <c r="AP3661" s="507"/>
      <c r="AQ3661" s="507"/>
      <c r="AR3661" s="507"/>
      <c r="AS3661" s="507"/>
      <c r="AT3661" s="507"/>
      <c r="AU3661" s="507"/>
      <c r="AV3661" s="225"/>
      <c r="AW3661" s="508"/>
      <c r="AX3661" s="225"/>
      <c r="AY3661" s="225"/>
      <c r="AZ3661" s="225"/>
      <c r="BA3661" s="225"/>
      <c r="BB3661" s="225"/>
      <c r="BC3661" s="56"/>
      <c r="BD3661" s="56"/>
      <c r="BE3661" s="56"/>
      <c r="BF3661" s="107" t="str">
        <f t="shared" si="2782"/>
        <v>https://www.google.com/search?tbm=isch&amp;q=3%20G2</v>
      </c>
      <c r="BG3661" s="107" t="str">
        <f t="shared" si="2783"/>
        <v>S</v>
      </c>
      <c r="BH3661" s="254"/>
      <c r="BI3661" s="254"/>
    </row>
    <row r="3662" spans="1:61" customFormat="1" ht="15.75" x14ac:dyDescent="0.25">
      <c r="A3662" s="485">
        <v>3</v>
      </c>
      <c r="B3662" s="486" t="s">
        <v>291</v>
      </c>
      <c r="C3662" s="487" t="s">
        <v>1866</v>
      </c>
      <c r="D3662" s="488" t="s">
        <v>300</v>
      </c>
      <c r="E3662" s="489">
        <v>52.95</v>
      </c>
      <c r="F3662" s="516" t="s">
        <v>293</v>
      </c>
      <c r="G3662" s="232">
        <v>0</v>
      </c>
      <c r="H3662" s="658" t="str">
        <f>IF(G3662=0,"",IF(F3662="Buy",IF(G3662=1,"plant","plants"),IF(F3662&gt;0.01,"warranty","Error")))</f>
        <v/>
      </c>
      <c r="I3662" s="490">
        <f>IF(H3662="free",0,IF(H3662="credit",((E3662*(F3662))*G3662*-1),IF(F3662="Buy",(E3662*G3662),((E3662*(1-F3662))*G3662))))</f>
        <v>0</v>
      </c>
      <c r="J3662" s="490">
        <f>IF(H3662="warranty",0,(I3662*(_xlfn.SINGLE(SalesTaxPercentage))))</f>
        <v>0</v>
      </c>
      <c r="K3662" s="695">
        <f t="shared" ref="K3662" si="2821">I3662+J3662</f>
        <v>0</v>
      </c>
      <c r="L3662" s="695"/>
      <c r="M3662" s="659" t="str">
        <f>IF(AND(G3662&gt;0,E3662=0),"WARNING - no PRICE inserted",IF(H3662="free"," FREE ~ no charge this plant",IF(H3662="credit",CONCATENATE(" -$",ROUND(K3662*(1-T2GDiscount)*-1,2)," CREDIT after discount"),IF(T2GDiscount=0,"",IF(G3662=0,"",IF(F3662="Buy",CONCATENATE(" $",ROUND(K3662*(1-T2GDiscount),2)," with ",(T2GDiscount*100),"% discount"),CONCATENATE(" $",ROUND(K3662*(1-T2GDiscount),2)," with ",((T2GDiscount*100+F3662*100)-(T2GDiscount*100*F3662)),IF(F3662&gt;0,"% discounts",IF(NoWarrantyDiscount&gt;0,"% discounts","% discount")))))))))</f>
        <v/>
      </c>
      <c r="N3662" s="660"/>
      <c r="O3662" s="233"/>
      <c r="P3662" s="233"/>
      <c r="Q3662" s="233"/>
      <c r="R3662" s="233"/>
      <c r="S3662" s="233"/>
      <c r="T3662" s="508">
        <f t="shared" ref="T3662:T3725" si="2822">E3662*G3662</f>
        <v>0</v>
      </c>
      <c r="U3662" s="225">
        <f>IF(NOT(ISNUMBER(G3662)), "", VLOOKUP(A3662,'Discount Lookup'!D:E,2,FALSE)*G3662)</f>
        <v>0</v>
      </c>
      <c r="V3662" s="225">
        <f>IF(NOT(ISNUMBER(G3662)), "", VLOOKUP(A3662,'Discount Lookup'!G:H,2,FALSE)*G3662)</f>
        <v>0</v>
      </c>
      <c r="W3662" s="508">
        <f t="shared" ref="W3662:W3725" si="2823">IF(H3662="credit",0,E3662*(SalesTaxPercentage)*G3662)</f>
        <v>0</v>
      </c>
      <c r="X3662" s="508">
        <f t="shared" ref="X3662:X3725" si="2824">I3662</f>
        <v>0</v>
      </c>
      <c r="Y3662" s="509" t="b">
        <f t="shared" ref="Y3662:Y3725" si="2825">IF(AE3662="T2G",0,IF(H3662="credit",0,IF(G3662&gt;0,IF(AE3662="me","",G3662))))</f>
        <v>0</v>
      </c>
      <c r="Z3662" s="510">
        <f t="shared" ref="Z3662:Z3725" si="2826">IF(H3662="credit",G3662,0)</f>
        <v>0</v>
      </c>
      <c r="AA3662" s="511"/>
      <c r="AB3662" s="511" t="str">
        <f t="shared" ref="AB3662:AB3725" si="2827">IF(AE3662="T2G","by Trees2Go",IF(H3662="credit","CREDIT only ~",IF(AND(K3662="",AE3662=OR(PlanterYesMe="No",PlanterYesMe="N",PlanterYesMe="me")),"not THIS line⇨",IF(AND(K3662="images",AE3662="me"),"not THIS line⇨",IF(H3662="credit","",IF(G3662=0,"",IF(AE3662="me","",IF(OR(PlanterYesMe="No",PlanterYesMe="N",PlanterYesMe="me"),"",IF(AE3662="free","warranty",IF(OR(PlanterYesMe="yes",PlanterYesMe="y"),"Edison install:","to install:"))))))))))</f>
        <v/>
      </c>
      <c r="AC3662" s="698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698"/>
      <c r="AE3662" s="631" t="str">
        <f t="shared" ref="AE3662:AE3725" si="2828">IF(H3662="credit","",IF(G3662=0,"",IF(OR(PlanterYesMe="No",PlanterYesMe="N",PlanterYesMe="me"),"me",IF(H3662="warranty","free",IF(OR(PlanterYesMe="yes",PlanterYesMe="y"),"ELP","")))))</f>
        <v/>
      </c>
      <c r="AF3662" s="699" t="str">
        <f t="shared" ref="AF3662:AF3725" si="2829">IF(OR(PlanterYesMe="No",PlanterYesMe="N",PlanterYesMe="me"),"",IF(H3662="credit","",IF(G3662&gt;0,(CONCATENATE((G3662)," quantity, ",(A3662)," ",B3662)),"")))</f>
        <v/>
      </c>
      <c r="AG3662" s="699"/>
      <c r="AH3662" s="699"/>
      <c r="AI3662" s="512">
        <f>IF(H3662="credit",0,IF(AE3662="free",0,IF(AE3662="me",0,IF(G3662&gt;0,(VLOOKUP(A3662,'Discount Lookup'!J:K,2)*G3662),0))))</f>
        <v>0</v>
      </c>
      <c r="AJ3662" s="513" t="str">
        <f t="shared" ref="AJ3662:AJ3725" ca="1" si="2830">IF(AND(ISREF(H3662),H3662="credit"),"",IF(AND(AND(OFFSET(G3662,0,0)=0,OFFSET(G3662,1,0)&gt;0,ISNUMBER(OFFSET(AC3662,1,0)),OFFSET(AC3662,1,0)&gt;0),OR(PlanterYesMe="yes",PlanterYesMe="y")),"T2G+ELP=",IF(AND(OFFSET(G3662,0,0)=0,OFFSET(G3662,1,0)&gt;0,ISNUMBER(OFFSET(AC3662,1,0)),OFFSET(AC3662,1,0)&gt;0),"if T2G+ELP=",IF(AND(OFFSET(G3662,0,0)=0,OFFSET(G3662,1,0)&gt;0),"T2G Subtotal",IF(H3662="credit","",IF(G3662=0,"",IF(AE3662="free",(K3662*(1-T2GDiscount)),IF(OR(PlanterYesMe="No",PlanterYesMe="N",PlanterYesMe="me"),(K3662*(1-T2GDiscount)),IF(OR(AE3662="me",AE3662="T2G"),(K3662*(1-T2GDiscount)),(K3662*(1-T2GDiscount))+AC3662)))))))))</f>
        <v/>
      </c>
      <c r="AK3662" s="700" t="str">
        <f t="shared" ref="AK3662:AK3725" si="2831">IF(H3662="credit","",IF(G3662=0,"",IF(OR(AE3662="me",AE3662="T2G"),"  delivery-only",IF(OR(PlanterYesMe="No",PlanterYesMe="N",PlanterYesMe="me"),"  delivery-only",CONCATENATE(" $",ROUND(AJ3662/G3662,2)," each")))))</f>
        <v/>
      </c>
      <c r="AL3662" s="700"/>
      <c r="AM3662" s="505" t="str">
        <f t="shared" ref="AM3662:AM3725" si="2832">IF(H3662="credit","",IF(AE3662="free","      ~ discounts included, no tax or planting fee applies ~",IF(G3662=0,"",IF(OR(PlanterYesMe="No",PlanterYesMe="N",PlanterYesMe="me"),CONCATENATE(" $",ROUND(AJ3662/G3662,2)," per plant, with tax &amp; discount"),IF(OR(AE3662="me",AE3662="T2G"),CONCATENATE(" $",ROUND(AJ3662/G3662,2)," per plant, with tax &amp; discount"),CONCATENATE("= $",ROUND((K3662*(1-T2GDiscount))/G3662,2)," per plant + $",AC3662/G3662,(" per planting      ~ includes tax &amp; discounts ~")))))))</f>
        <v/>
      </c>
      <c r="AN3662" s="506"/>
      <c r="AO3662" s="507"/>
      <c r="AP3662" s="507"/>
      <c r="AQ3662" s="507"/>
      <c r="AR3662" s="507"/>
      <c r="AS3662" s="507"/>
      <c r="AT3662" s="507"/>
      <c r="AU3662" s="507"/>
      <c r="AV3662" s="225"/>
      <c r="AW3662" s="508"/>
      <c r="AX3662" s="225"/>
      <c r="AY3662" s="225"/>
      <c r="AZ3662" s="225"/>
      <c r="BA3662" s="225"/>
      <c r="BB3662" s="225"/>
      <c r="BC3662" s="56"/>
      <c r="BD3662" s="56"/>
      <c r="BE3662" s="56"/>
      <c r="BF3662" s="107" t="str">
        <f t="shared" ref="BF3662:BF3725" si="2833">"https://www.google.com/search?tbm=isch&amp;q=" &amp; _xlfn.ENCODEURL($A3662 &amp; " " &amp; $D3662)</f>
        <v>https://www.google.com/search?tbm=isch&amp;q=3%20G6</v>
      </c>
      <c r="BG3662" s="107" t="str">
        <f t="shared" ref="BG3662:BG3725" si="2834">IF(ISTEXT(A3662),LEFT(A3662,1),BG3661)</f>
        <v>S</v>
      </c>
      <c r="BH3662" s="254"/>
      <c r="BI3662" s="254"/>
    </row>
    <row r="3663" spans="1:61" customFormat="1" ht="15.75" x14ac:dyDescent="0.25">
      <c r="A3663" s="485">
        <v>7</v>
      </c>
      <c r="B3663" s="486" t="s">
        <v>291</v>
      </c>
      <c r="C3663" s="487" t="s">
        <v>2815</v>
      </c>
      <c r="D3663" s="488" t="s">
        <v>299</v>
      </c>
      <c r="E3663" s="489">
        <v>68.95</v>
      </c>
      <c r="F3663" s="516" t="s">
        <v>293</v>
      </c>
      <c r="G3663" s="232">
        <v>0</v>
      </c>
      <c r="H3663" s="658" t="str">
        <f>IF(G3663=0,"",IF(F3663="Buy",IF(G3663=1,"plant","plants"),IF(F3663&gt;0.01,"warranty","Error")))</f>
        <v/>
      </c>
      <c r="I3663" s="490">
        <f>IF(H3663="free",0,IF(H3663="credit",((E3663*(F3663))*G3663*-1),IF(F3663="Buy",(E3663*G3663),((E3663*(1-F3663))*G3663))))</f>
        <v>0</v>
      </c>
      <c r="J3663" s="490">
        <f>IF(H3663="warranty",0,(I3663*(_xlfn.SINGLE(SalesTaxPercentage))))</f>
        <v>0</v>
      </c>
      <c r="K3663" s="695">
        <f t="shared" ref="K3663" si="2835">I3663+J3663</f>
        <v>0</v>
      </c>
      <c r="L3663" s="695"/>
      <c r="M3663" s="659" t="str">
        <f>IF(AND(G3663&gt;0,E3663=0),"WARNING - no PRICE inserted",IF(H3663="free"," FREE ~ no charge this plant",IF(H3663="credit",CONCATENATE(" -$",ROUND(K3663*(1-T2GDiscount)*-1,2)," CREDIT after discount"),IF(T2GDiscount=0,"",IF(G3663=0,"",IF(F3663="Buy",CONCATENATE(" $",ROUND(K3663*(1-T2GDiscount),2)," with ",(T2GDiscount*100),"% discount"),CONCATENATE(" $",ROUND(K3663*(1-T2GDiscount),2)," with ",((T2GDiscount*100+F3663*100)-(T2GDiscount*100*F3663)),IF(F3663&gt;0,"% discounts",IF(NoWarrantyDiscount&gt;0,"% discounts","% discount")))))))))</f>
        <v/>
      </c>
      <c r="N3663" s="660"/>
      <c r="O3663" s="233"/>
      <c r="P3663" s="233"/>
      <c r="Q3663" s="233"/>
      <c r="R3663" s="233"/>
      <c r="S3663" s="233"/>
      <c r="T3663" s="508">
        <f t="shared" si="2822"/>
        <v>0</v>
      </c>
      <c r="U3663" s="225">
        <f>IF(NOT(ISNUMBER(G3663)), "", VLOOKUP(A3663,'Discount Lookup'!D:E,2,FALSE)*G3663)</f>
        <v>0</v>
      </c>
      <c r="V3663" s="225">
        <f>IF(NOT(ISNUMBER(G3663)), "", VLOOKUP(A3663,'Discount Lookup'!G:H,2,FALSE)*G3663)</f>
        <v>0</v>
      </c>
      <c r="W3663" s="508">
        <f t="shared" si="2823"/>
        <v>0</v>
      </c>
      <c r="X3663" s="508">
        <f t="shared" si="2824"/>
        <v>0</v>
      </c>
      <c r="Y3663" s="509" t="b">
        <f t="shared" si="2825"/>
        <v>0</v>
      </c>
      <c r="Z3663" s="510">
        <f t="shared" si="2826"/>
        <v>0</v>
      </c>
      <c r="AA3663" s="511"/>
      <c r="AB3663" s="511" t="str">
        <f t="shared" si="2827"/>
        <v/>
      </c>
      <c r="AC3663" s="698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698"/>
      <c r="AE3663" s="631" t="str">
        <f t="shared" si="2828"/>
        <v/>
      </c>
      <c r="AF3663" s="699" t="str">
        <f t="shared" si="2829"/>
        <v/>
      </c>
      <c r="AG3663" s="699"/>
      <c r="AH3663" s="699"/>
      <c r="AI3663" s="512">
        <f>IF(H3663="credit",0,IF(AE3663="free",0,IF(AE3663="me",0,IF(G3663&gt;0,(VLOOKUP(A3663,'Discount Lookup'!J:K,2)*G3663),0))))</f>
        <v>0</v>
      </c>
      <c r="AJ3663" s="513" t="str">
        <f t="shared" ca="1" si="2830"/>
        <v/>
      </c>
      <c r="AK3663" s="700" t="str">
        <f t="shared" si="2831"/>
        <v/>
      </c>
      <c r="AL3663" s="700"/>
      <c r="AM3663" s="505" t="str">
        <f t="shared" si="2832"/>
        <v/>
      </c>
      <c r="AN3663" s="506"/>
      <c r="AO3663" s="507"/>
      <c r="AP3663" s="507"/>
      <c r="AQ3663" s="507"/>
      <c r="AR3663" s="507"/>
      <c r="AS3663" s="507"/>
      <c r="AT3663" s="507"/>
      <c r="AU3663" s="507"/>
      <c r="AV3663" s="225"/>
      <c r="AW3663" s="508"/>
      <c r="AX3663" s="225"/>
      <c r="AY3663" s="225"/>
      <c r="AZ3663" s="225"/>
      <c r="BA3663" s="225"/>
      <c r="BB3663" s="225"/>
      <c r="BC3663" s="56"/>
      <c r="BD3663" s="56"/>
      <c r="BE3663" s="56"/>
      <c r="BF3663" s="107" t="str">
        <f t="shared" si="2833"/>
        <v>https://www.google.com/search?tbm=isch&amp;q=7%20G5</v>
      </c>
      <c r="BG3663" s="107" t="str">
        <f t="shared" si="2834"/>
        <v>S</v>
      </c>
      <c r="BH3663" s="254"/>
      <c r="BI3663" s="254"/>
    </row>
    <row r="3664" spans="1:61" customFormat="1" ht="17.25" thickBot="1" x14ac:dyDescent="0.3">
      <c r="A3664" s="672" t="s">
        <v>5258</v>
      </c>
      <c r="B3664" s="491"/>
      <c r="C3664" s="675"/>
      <c r="D3664" s="491"/>
      <c r="E3664" s="491"/>
      <c r="F3664" s="492"/>
      <c r="G3664" s="493"/>
      <c r="H3664" s="491"/>
      <c r="I3664" s="234"/>
      <c r="J3664" s="234"/>
      <c r="K3664" s="494"/>
      <c r="L3664" s="543"/>
      <c r="M3664" s="561"/>
      <c r="N3664" s="495"/>
      <c r="O3664" s="496"/>
      <c r="P3664" s="497"/>
      <c r="Q3664" s="495"/>
      <c r="R3664" s="495"/>
      <c r="S3664" s="667" t="s">
        <v>4982</v>
      </c>
      <c r="T3664" s="508">
        <f t="shared" si="2822"/>
        <v>0</v>
      </c>
      <c r="U3664" s="225" t="str">
        <f>IF(NOT(ISNUMBER(G3664)), "", VLOOKUP(A3664,'Discount Lookup'!D:E,2,FALSE)*G3664)</f>
        <v/>
      </c>
      <c r="V3664" s="225" t="str">
        <f>IF(NOT(ISNUMBER(G3664)), "", VLOOKUP(A3664,'Discount Lookup'!G:H,2,FALSE)*G3664)</f>
        <v/>
      </c>
      <c r="W3664" s="508">
        <f t="shared" si="2823"/>
        <v>0</v>
      </c>
      <c r="X3664" s="508">
        <f t="shared" si="2824"/>
        <v>0</v>
      </c>
      <c r="Y3664" s="509" t="b">
        <f t="shared" si="2825"/>
        <v>0</v>
      </c>
      <c r="Z3664" s="510">
        <f t="shared" si="2826"/>
        <v>0</v>
      </c>
      <c r="AA3664" s="511"/>
      <c r="AB3664" s="511" t="str">
        <f t="shared" si="2827"/>
        <v/>
      </c>
      <c r="AC3664" s="698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698"/>
      <c r="AE3664" s="631" t="str">
        <f t="shared" si="2828"/>
        <v/>
      </c>
      <c r="AF3664" s="699" t="str">
        <f t="shared" si="2829"/>
        <v/>
      </c>
      <c r="AG3664" s="699"/>
      <c r="AH3664" s="699"/>
      <c r="AI3664" s="512">
        <f>IF(H3664="credit",0,IF(AE3664="free",0,IF(AE3664="me",0,IF(G3664&gt;0,(VLOOKUP(A3664,'Discount Lookup'!J:K,2)*G3664),0))))</f>
        <v>0</v>
      </c>
      <c r="AJ3664" s="513" t="str">
        <f t="shared" ca="1" si="2830"/>
        <v/>
      </c>
      <c r="AK3664" s="700" t="str">
        <f t="shared" si="2831"/>
        <v/>
      </c>
      <c r="AL3664" s="700"/>
      <c r="AM3664" s="505" t="str">
        <f t="shared" si="2832"/>
        <v/>
      </c>
      <c r="AN3664" s="506"/>
      <c r="AO3664" s="507"/>
      <c r="AP3664" s="507"/>
      <c r="AQ3664" s="507"/>
      <c r="AR3664" s="507"/>
      <c r="AS3664" s="507"/>
      <c r="AT3664" s="507"/>
      <c r="AU3664" s="507"/>
      <c r="AV3664" s="225"/>
      <c r="AW3664" s="508"/>
      <c r="AX3664" s="225"/>
      <c r="AY3664" s="225"/>
      <c r="AZ3664" s="225"/>
      <c r="BA3664" s="225"/>
      <c r="BB3664" s="225"/>
      <c r="BC3664" s="56"/>
      <c r="BD3664" s="56"/>
      <c r="BE3664" s="56"/>
      <c r="BF3664" s="107" t="str">
        <f t="shared" si="2833"/>
        <v>https://www.google.com/search?tbm=isch&amp;q=wet%20sites%F0%9F%92%A7GOOD%2C%20Sweet%20Box%20is%20a%20winter%20bloomer.%20Tiny%20flowers%20have%20a%20great%20sweet%20vanilla%20fragrance%20</v>
      </c>
      <c r="BG3664" s="107" t="str">
        <f t="shared" si="2834"/>
        <v>w</v>
      </c>
      <c r="BH3664" s="254"/>
      <c r="BI3664" s="254"/>
    </row>
    <row r="3665" spans="1:61" customFormat="1" ht="18" x14ac:dyDescent="0.25">
      <c r="A3665" s="523" t="s">
        <v>5551</v>
      </c>
      <c r="B3665" s="235"/>
      <c r="C3665" s="676"/>
      <c r="D3665" s="255" t="s">
        <v>1867</v>
      </c>
      <c r="E3665" s="236"/>
      <c r="F3665" s="236"/>
      <c r="G3665" s="236"/>
      <c r="H3665" s="582" t="s">
        <v>508</v>
      </c>
      <c r="I3665" s="498" t="s">
        <v>1868</v>
      </c>
      <c r="J3665" s="237"/>
      <c r="K3665" s="237"/>
      <c r="L3665" s="274"/>
      <c r="M3665" s="668" t="s">
        <v>4962</v>
      </c>
      <c r="N3665" s="681" t="str">
        <f>IF(AND(ISTEXT($A3665), ISERROR($A3665+0)), HYPERLINK($BF3665, "Images"), "")</f>
        <v>Images</v>
      </c>
      <c r="O3665" s="663" t="s">
        <v>4974</v>
      </c>
      <c r="P3665" s="253"/>
      <c r="Q3665" s="238"/>
      <c r="R3665" s="239"/>
      <c r="S3665" s="275"/>
      <c r="T3665" s="508">
        <f t="shared" si="2822"/>
        <v>0</v>
      </c>
      <c r="U3665" s="225" t="str">
        <f>IF(NOT(ISNUMBER(G3665)), "", VLOOKUP(A3665,'Discount Lookup'!D:E,2,FALSE)*G3665)</f>
        <v/>
      </c>
      <c r="V3665" s="225" t="str">
        <f>IF(NOT(ISNUMBER(G3665)), "", VLOOKUP(A3665,'Discount Lookup'!G:H,2,FALSE)*G3665)</f>
        <v/>
      </c>
      <c r="W3665" s="508">
        <f t="shared" si="2823"/>
        <v>0</v>
      </c>
      <c r="X3665" s="508" t="str">
        <f t="shared" si="2824"/>
        <v>Pastel Pink bloom</v>
      </c>
      <c r="Y3665" s="509" t="b">
        <f t="shared" si="2825"/>
        <v>0</v>
      </c>
      <c r="Z3665" s="510">
        <f t="shared" si="2826"/>
        <v>0</v>
      </c>
      <c r="AA3665" s="511"/>
      <c r="AB3665" s="511" t="str">
        <f t="shared" si="2827"/>
        <v/>
      </c>
      <c r="AC3665" s="698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698"/>
      <c r="AE3665" s="631" t="str">
        <f t="shared" si="2828"/>
        <v/>
      </c>
      <c r="AF3665" s="699" t="str">
        <f t="shared" si="2829"/>
        <v/>
      </c>
      <c r="AG3665" s="699"/>
      <c r="AH3665" s="699"/>
      <c r="AI3665" s="512">
        <f>IF(H3665="credit",0,IF(AE3665="free",0,IF(AE3665="me",0,IF(G3665&gt;0,(VLOOKUP(A3665,'Discount Lookup'!J:K,2)*G3665),0))))</f>
        <v>0</v>
      </c>
      <c r="AJ3665" s="513" t="str">
        <f t="shared" ca="1" si="2830"/>
        <v/>
      </c>
      <c r="AK3665" s="700" t="str">
        <f t="shared" si="2831"/>
        <v/>
      </c>
      <c r="AL3665" s="700"/>
      <c r="AM3665" s="505" t="str">
        <f t="shared" si="2832"/>
        <v/>
      </c>
      <c r="AN3665" s="506"/>
      <c r="AO3665" s="507"/>
      <c r="AP3665" s="507"/>
      <c r="AQ3665" s="507"/>
      <c r="AR3665" s="507"/>
      <c r="AS3665" s="507"/>
      <c r="AT3665" s="507"/>
      <c r="AU3665" s="507"/>
      <c r="AV3665" s="225"/>
      <c r="AW3665" s="508"/>
      <c r="AX3665" s="225"/>
      <c r="AY3665" s="225"/>
      <c r="AZ3665" s="225"/>
      <c r="BA3665" s="225"/>
      <c r="BB3665" s="225"/>
      <c r="BC3665" s="56"/>
      <c r="BD3665" s="56"/>
      <c r="BE3665" s="56"/>
      <c r="BF3665" s="107" t="str">
        <f t="shared" si="2833"/>
        <v>https://www.google.com/search?tbm=isch&amp;q=Sweet%20Drift%C2%AE%20Rose%20Rosa%20%27Meiswetdom%27%20PP%2321612</v>
      </c>
      <c r="BG3665" s="107" t="str">
        <f t="shared" si="2834"/>
        <v>S</v>
      </c>
      <c r="BH3665" s="254"/>
      <c r="BI3665" s="254"/>
    </row>
    <row r="3666" spans="1:61" customFormat="1" ht="15.75" x14ac:dyDescent="0.25">
      <c r="A3666" s="276">
        <v>3</v>
      </c>
      <c r="B3666" s="240" t="s">
        <v>291</v>
      </c>
      <c r="C3666" s="241" t="s">
        <v>4859</v>
      </c>
      <c r="D3666" s="242" t="s">
        <v>312</v>
      </c>
      <c r="E3666" s="243">
        <v>31.95</v>
      </c>
      <c r="F3666" s="517" t="s">
        <v>293</v>
      </c>
      <c r="G3666" s="232">
        <v>0</v>
      </c>
      <c r="H3666" s="661" t="str">
        <f>IF(G3666=0,"",IF(F3666="Buy",IF(G3666=1,"plant","plants"),IF(F3666&gt;0.01,"warranty","Error")))</f>
        <v/>
      </c>
      <c r="I3666" s="244">
        <f>IF(H3666="free",0,IF(H3666="credit",((E3666*(F3666))*G3666*-1),IF(F3666="Buy",(E3666*G3666),((E3666*(1-F3666))*G3666))))</f>
        <v>0</v>
      </c>
      <c r="J3666" s="244">
        <f>IF(H3666="warranty",0,(I3666*(_xlfn.SINGLE(SalesTaxPercentage))))</f>
        <v>0</v>
      </c>
      <c r="K3666" s="696">
        <f t="shared" ref="K3666" si="2836">I3666+J3666</f>
        <v>0</v>
      </c>
      <c r="L3666" s="696"/>
      <c r="M3666" s="659" t="str">
        <f>IF(AND(G3666&gt;0,E3666=0),"WARNING - no PRICE inserted",IF(H3666="free"," FREE ~ no charge this plant",IF(H3666="credit",CONCATENATE(" -$",ROUND(K3666*(1-T2GDiscount)*-1,2)," CREDIT after discount"),IF(T2GDiscount=0,"",IF(G3666=0,"",IF(F3666="Buy",CONCATENATE(" $",ROUND(K3666*(1-T2GDiscount),2)," with ",(T2GDiscount*100),"% discount"),CONCATENATE(" $",ROUND(K3666*(1-T2GDiscount),2)," with ",((T2GDiscount*100+F3666*100)-(T2GDiscount*100*F3666)),IF(F3666&gt;0,"% discounts",IF(NoWarrantyDiscount&gt;0,"% discounts","% discount")))))))))</f>
        <v/>
      </c>
      <c r="N3666" s="660"/>
      <c r="O3666" s="233"/>
      <c r="P3666" s="233"/>
      <c r="Q3666" s="233"/>
      <c r="R3666" s="233"/>
      <c r="S3666" s="233"/>
      <c r="T3666" s="508">
        <f t="shared" si="2822"/>
        <v>0</v>
      </c>
      <c r="U3666" s="225">
        <f>IF(NOT(ISNUMBER(G3666)), "", VLOOKUP(A3666,'Discount Lookup'!D:E,2,FALSE)*G3666)</f>
        <v>0</v>
      </c>
      <c r="V3666" s="225">
        <f>IF(NOT(ISNUMBER(G3666)), "", VLOOKUP(A3666,'Discount Lookup'!G:H,2,FALSE)*G3666)</f>
        <v>0</v>
      </c>
      <c r="W3666" s="508">
        <f t="shared" si="2823"/>
        <v>0</v>
      </c>
      <c r="X3666" s="508">
        <f t="shared" si="2824"/>
        <v>0</v>
      </c>
      <c r="Y3666" s="509" t="b">
        <f t="shared" si="2825"/>
        <v>0</v>
      </c>
      <c r="Z3666" s="510">
        <f t="shared" si="2826"/>
        <v>0</v>
      </c>
      <c r="AA3666" s="511"/>
      <c r="AB3666" s="511" t="str">
        <f t="shared" si="2827"/>
        <v/>
      </c>
      <c r="AC3666" s="698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698"/>
      <c r="AE3666" s="631" t="str">
        <f t="shared" si="2828"/>
        <v/>
      </c>
      <c r="AF3666" s="699" t="str">
        <f t="shared" si="2829"/>
        <v/>
      </c>
      <c r="AG3666" s="699"/>
      <c r="AH3666" s="699"/>
      <c r="AI3666" s="512">
        <f>IF(H3666="credit",0,IF(AE3666="free",0,IF(AE3666="me",0,IF(G3666&gt;0,(VLOOKUP(A3666,'Discount Lookup'!J:K,2)*G3666),0))))</f>
        <v>0</v>
      </c>
      <c r="AJ3666" s="513" t="str">
        <f t="shared" ca="1" si="2830"/>
        <v/>
      </c>
      <c r="AK3666" s="700" t="str">
        <f t="shared" si="2831"/>
        <v/>
      </c>
      <c r="AL3666" s="700"/>
      <c r="AM3666" s="505" t="str">
        <f t="shared" si="2832"/>
        <v/>
      </c>
      <c r="AN3666" s="506"/>
      <c r="AO3666" s="507"/>
      <c r="AP3666" s="507"/>
      <c r="AQ3666" s="507"/>
      <c r="AR3666" s="507"/>
      <c r="AS3666" s="507"/>
      <c r="AT3666" s="507"/>
      <c r="AU3666" s="507"/>
      <c r="AV3666" s="225"/>
      <c r="AW3666" s="508"/>
      <c r="AX3666" s="225"/>
      <c r="AY3666" s="225"/>
      <c r="AZ3666" s="225"/>
      <c r="BA3666" s="225"/>
      <c r="BB3666" s="225"/>
      <c r="BC3666" s="56"/>
      <c r="BD3666" s="56"/>
      <c r="BE3666" s="56"/>
      <c r="BF3666" s="107" t="str">
        <f t="shared" si="2833"/>
        <v>https://www.google.com/search?tbm=isch&amp;q=3%20G2</v>
      </c>
      <c r="BG3666" s="107" t="str">
        <f t="shared" si="2834"/>
        <v>S</v>
      </c>
      <c r="BH3666" s="254"/>
      <c r="BI3666" s="254"/>
    </row>
    <row r="3667" spans="1:61" customFormat="1" ht="17.25" thickBot="1" x14ac:dyDescent="0.3">
      <c r="A3667" s="524" t="s">
        <v>4173</v>
      </c>
      <c r="B3667" s="245"/>
      <c r="C3667" s="677"/>
      <c r="D3667" s="499"/>
      <c r="E3667" s="499"/>
      <c r="F3667" s="500"/>
      <c r="G3667" s="501"/>
      <c r="H3667" s="502"/>
      <c r="I3667" s="246"/>
      <c r="J3667" s="247"/>
      <c r="K3667" s="503"/>
      <c r="L3667" s="544"/>
      <c r="M3667" s="544"/>
      <c r="N3667" s="500"/>
      <c r="O3667" s="500"/>
      <c r="P3667" s="500"/>
      <c r="Q3667" s="500"/>
      <c r="R3667" s="500"/>
      <c r="S3667" s="669" t="s">
        <v>4980</v>
      </c>
      <c r="T3667" s="508">
        <f t="shared" si="2822"/>
        <v>0</v>
      </c>
      <c r="U3667" s="225" t="str">
        <f>IF(NOT(ISNUMBER(G3667)), "", VLOOKUP(A3667,'Discount Lookup'!D:E,2,FALSE)*G3667)</f>
        <v/>
      </c>
      <c r="V3667" s="225" t="str">
        <f>IF(NOT(ISNUMBER(G3667)), "", VLOOKUP(A3667,'Discount Lookup'!G:H,2,FALSE)*G3667)</f>
        <v/>
      </c>
      <c r="W3667" s="508">
        <f t="shared" si="2823"/>
        <v>0</v>
      </c>
      <c r="X3667" s="508">
        <f t="shared" si="2824"/>
        <v>0</v>
      </c>
      <c r="Y3667" s="509" t="b">
        <f t="shared" si="2825"/>
        <v>0</v>
      </c>
      <c r="Z3667" s="510">
        <f t="shared" si="2826"/>
        <v>0</v>
      </c>
      <c r="AA3667" s="511"/>
      <c r="AB3667" s="511" t="str">
        <f t="shared" si="2827"/>
        <v/>
      </c>
      <c r="AC3667" s="698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698"/>
      <c r="AE3667" s="631" t="str">
        <f t="shared" si="2828"/>
        <v/>
      </c>
      <c r="AF3667" s="699" t="str">
        <f t="shared" si="2829"/>
        <v/>
      </c>
      <c r="AG3667" s="699"/>
      <c r="AH3667" s="699"/>
      <c r="AI3667" s="512">
        <f>IF(H3667="credit",0,IF(AE3667="free",0,IF(AE3667="me",0,IF(G3667&gt;0,(VLOOKUP(A3667,'Discount Lookup'!J:K,2)*G3667),0))))</f>
        <v>0</v>
      </c>
      <c r="AJ3667" s="513" t="str">
        <f t="shared" ca="1" si="2830"/>
        <v/>
      </c>
      <c r="AK3667" s="700" t="str">
        <f t="shared" si="2831"/>
        <v/>
      </c>
      <c r="AL3667" s="700"/>
      <c r="AM3667" s="505" t="str">
        <f t="shared" si="2832"/>
        <v/>
      </c>
      <c r="AN3667" s="506"/>
      <c r="AO3667" s="507"/>
      <c r="AP3667" s="507"/>
      <c r="AQ3667" s="507"/>
      <c r="AR3667" s="507"/>
      <c r="AS3667" s="507"/>
      <c r="AT3667" s="507"/>
      <c r="AU3667" s="507"/>
      <c r="AV3667" s="225"/>
      <c r="AW3667" s="508"/>
      <c r="AX3667" s="225"/>
      <c r="AY3667" s="225"/>
      <c r="AZ3667" s="225"/>
      <c r="BA3667" s="225"/>
      <c r="BB3667" s="225"/>
      <c r="BC3667" s="56"/>
      <c r="BD3667" s="56"/>
      <c r="BE3667" s="56"/>
      <c r="BF3667" s="107" t="str">
        <f t="shared" si="2833"/>
        <v>https://www.google.com/search?tbm=isch&amp;q=Sweet%20has%20a%20mild%20fragrance.%20Drift%20Roses%20bloom%20all%20summer%2C%20without%20deadheading%2C%20Glossy%20Green%20foliage%20and%20thorns%20%28rabbits%20may%20still%20nibble%29%20</v>
      </c>
      <c r="BG3667" s="107" t="str">
        <f t="shared" si="2834"/>
        <v>S</v>
      </c>
      <c r="BH3667" s="254"/>
      <c r="BI3667" s="254"/>
    </row>
    <row r="3668" spans="1:61" customFormat="1" ht="18" x14ac:dyDescent="0.25">
      <c r="A3668" s="523" t="s">
        <v>5552</v>
      </c>
      <c r="B3668" s="235"/>
      <c r="C3668" s="676"/>
      <c r="D3668" s="255" t="s">
        <v>1869</v>
      </c>
      <c r="E3668" s="236"/>
      <c r="F3668" s="236"/>
      <c r="G3668" s="236"/>
      <c r="H3668" s="582" t="s">
        <v>810</v>
      </c>
      <c r="I3668" s="498" t="s">
        <v>3014</v>
      </c>
      <c r="J3668" s="237"/>
      <c r="K3668" s="237"/>
      <c r="L3668" s="274"/>
      <c r="M3668" s="668" t="s">
        <v>4962</v>
      </c>
      <c r="N3668" s="681" t="str">
        <f>IF(AND(ISTEXT($A3668), ISERROR($A3668+0)), HYPERLINK($BF3668, "Images"), "")</f>
        <v>Images</v>
      </c>
      <c r="O3668" s="663" t="s">
        <v>4974</v>
      </c>
      <c r="P3668" s="253"/>
      <c r="Q3668" s="238"/>
      <c r="R3668" s="239"/>
      <c r="S3668" s="275"/>
      <c r="T3668" s="508">
        <f t="shared" si="2822"/>
        <v>0</v>
      </c>
      <c r="U3668" s="225" t="str">
        <f>IF(NOT(ISNUMBER(G3668)), "", VLOOKUP(A3668,'Discount Lookup'!D:E,2,FALSE)*G3668)</f>
        <v/>
      </c>
      <c r="V3668" s="225" t="str">
        <f>IF(NOT(ISNUMBER(G3668)), "", VLOOKUP(A3668,'Discount Lookup'!G:H,2,FALSE)*G3668)</f>
        <v/>
      </c>
      <c r="W3668" s="508">
        <f t="shared" si="2823"/>
        <v>0</v>
      </c>
      <c r="X3668" s="508" t="str">
        <f t="shared" si="2824"/>
        <v>Salmon-Pink-Apricot bloom</v>
      </c>
      <c r="Y3668" s="509" t="b">
        <f t="shared" si="2825"/>
        <v>0</v>
      </c>
      <c r="Z3668" s="510">
        <f t="shared" si="2826"/>
        <v>0</v>
      </c>
      <c r="AA3668" s="511"/>
      <c r="AB3668" s="511" t="str">
        <f t="shared" si="2827"/>
        <v/>
      </c>
      <c r="AC3668" s="698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698"/>
      <c r="AE3668" s="631" t="str">
        <f t="shared" si="2828"/>
        <v/>
      </c>
      <c r="AF3668" s="699" t="str">
        <f t="shared" si="2829"/>
        <v/>
      </c>
      <c r="AG3668" s="699"/>
      <c r="AH3668" s="699"/>
      <c r="AI3668" s="512">
        <f>IF(H3668="credit",0,IF(AE3668="free",0,IF(AE3668="me",0,IF(G3668&gt;0,(VLOOKUP(A3668,'Discount Lookup'!J:K,2)*G3668),0))))</f>
        <v>0</v>
      </c>
      <c r="AJ3668" s="513" t="str">
        <f t="shared" ca="1" si="2830"/>
        <v/>
      </c>
      <c r="AK3668" s="700" t="str">
        <f t="shared" si="2831"/>
        <v/>
      </c>
      <c r="AL3668" s="700"/>
      <c r="AM3668" s="505" t="str">
        <f t="shared" si="2832"/>
        <v/>
      </c>
      <c r="AN3668" s="506"/>
      <c r="AO3668" s="507"/>
      <c r="AP3668" s="507"/>
      <c r="AQ3668" s="507"/>
      <c r="AR3668" s="507"/>
      <c r="AS3668" s="507"/>
      <c r="AT3668" s="507"/>
      <c r="AU3668" s="507"/>
      <c r="AV3668" s="225"/>
      <c r="AW3668" s="508"/>
      <c r="AX3668" s="225"/>
      <c r="AY3668" s="225"/>
      <c r="AZ3668" s="225"/>
      <c r="BA3668" s="225"/>
      <c r="BB3668" s="225"/>
      <c r="BC3668" s="56"/>
      <c r="BD3668" s="56"/>
      <c r="BE3668" s="56"/>
      <c r="BF3668" s="107" t="str">
        <f t="shared" si="2833"/>
        <v>https://www.google.com/search?tbm=isch&amp;q=Sweet%20Mademoiselle%E2%84%A2%20Hybrid%20Tea%20Rose%20Rosa%20%27Meinostair%27%20PP%2328659</v>
      </c>
      <c r="BG3668" s="107" t="str">
        <f t="shared" si="2834"/>
        <v>S</v>
      </c>
      <c r="BH3668" s="254"/>
      <c r="BI3668" s="254"/>
    </row>
    <row r="3669" spans="1:61" customFormat="1" ht="15.75" x14ac:dyDescent="0.25">
      <c r="A3669" s="276">
        <v>3</v>
      </c>
      <c r="B3669" s="240" t="s">
        <v>291</v>
      </c>
      <c r="C3669" s="241" t="s">
        <v>329</v>
      </c>
      <c r="D3669" s="242" t="s">
        <v>312</v>
      </c>
      <c r="E3669" s="243">
        <v>43.95</v>
      </c>
      <c r="F3669" s="517" t="s">
        <v>293</v>
      </c>
      <c r="G3669" s="232">
        <v>0</v>
      </c>
      <c r="H3669" s="661" t="str">
        <f>IF(G3669=0,"",IF(F3669="Buy",IF(G3669=1,"plant","plants"),IF(F3669&gt;0.01,"warranty","Error")))</f>
        <v/>
      </c>
      <c r="I3669" s="244">
        <f>IF(H3669="free",0,IF(H3669="credit",((E3669*(F3669))*G3669*-1),IF(F3669="Buy",(E3669*G3669),((E3669*(1-F3669))*G3669))))</f>
        <v>0</v>
      </c>
      <c r="J3669" s="244">
        <f>IF(H3669="warranty",0,(I3669*(_xlfn.SINGLE(SalesTaxPercentage))))</f>
        <v>0</v>
      </c>
      <c r="K3669" s="696">
        <f t="shared" ref="K3669" si="2837">I3669+J3669</f>
        <v>0</v>
      </c>
      <c r="L3669" s="696"/>
      <c r="M3669" s="659" t="str">
        <f>IF(AND(G3669&gt;0,E3669=0),"WARNING - no PRICE inserted",IF(H3669="free"," FREE ~ no charge this plant",IF(H3669="credit",CONCATENATE(" -$",ROUND(K3669*(1-T2GDiscount)*-1,2)," CREDIT after discount"),IF(T2GDiscount=0,"",IF(G3669=0,"",IF(F3669="Buy",CONCATENATE(" $",ROUND(K3669*(1-T2GDiscount),2)," with ",(T2GDiscount*100),"% discount"),CONCATENATE(" $",ROUND(K3669*(1-T2GDiscount),2)," with ",((T2GDiscount*100+F3669*100)-(T2GDiscount*100*F3669)),IF(F3669&gt;0,"% discounts",IF(NoWarrantyDiscount&gt;0,"% discounts","% discount")))))))))</f>
        <v/>
      </c>
      <c r="N3669" s="660"/>
      <c r="O3669" s="233"/>
      <c r="P3669" s="233"/>
      <c r="Q3669" s="233"/>
      <c r="R3669" s="233"/>
      <c r="S3669" s="233"/>
      <c r="T3669" s="508">
        <f t="shared" si="2822"/>
        <v>0</v>
      </c>
      <c r="U3669" s="225">
        <f>IF(NOT(ISNUMBER(G3669)), "", VLOOKUP(A3669,'Discount Lookup'!D:E,2,FALSE)*G3669)</f>
        <v>0</v>
      </c>
      <c r="V3669" s="225">
        <f>IF(NOT(ISNUMBER(G3669)), "", VLOOKUP(A3669,'Discount Lookup'!G:H,2,FALSE)*G3669)</f>
        <v>0</v>
      </c>
      <c r="W3669" s="508">
        <f t="shared" si="2823"/>
        <v>0</v>
      </c>
      <c r="X3669" s="508">
        <f t="shared" si="2824"/>
        <v>0</v>
      </c>
      <c r="Y3669" s="509" t="b">
        <f t="shared" si="2825"/>
        <v>0</v>
      </c>
      <c r="Z3669" s="510">
        <f t="shared" si="2826"/>
        <v>0</v>
      </c>
      <c r="AA3669" s="511"/>
      <c r="AB3669" s="511" t="str">
        <f t="shared" si="2827"/>
        <v/>
      </c>
      <c r="AC3669" s="698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698"/>
      <c r="AE3669" s="631" t="str">
        <f t="shared" si="2828"/>
        <v/>
      </c>
      <c r="AF3669" s="699" t="str">
        <f t="shared" si="2829"/>
        <v/>
      </c>
      <c r="AG3669" s="699"/>
      <c r="AH3669" s="699"/>
      <c r="AI3669" s="512">
        <f>IF(H3669="credit",0,IF(AE3669="free",0,IF(AE3669="me",0,IF(G3669&gt;0,(VLOOKUP(A3669,'Discount Lookup'!J:K,2)*G3669),0))))</f>
        <v>0</v>
      </c>
      <c r="AJ3669" s="513" t="str">
        <f t="shared" ca="1" si="2830"/>
        <v/>
      </c>
      <c r="AK3669" s="700" t="str">
        <f t="shared" si="2831"/>
        <v/>
      </c>
      <c r="AL3669" s="700"/>
      <c r="AM3669" s="505" t="str">
        <f t="shared" si="2832"/>
        <v/>
      </c>
      <c r="AN3669" s="506"/>
      <c r="AO3669" s="507"/>
      <c r="AP3669" s="507"/>
      <c r="AQ3669" s="507"/>
      <c r="AR3669" s="507"/>
      <c r="AS3669" s="507"/>
      <c r="AT3669" s="507"/>
      <c r="AU3669" s="507"/>
      <c r="AV3669" s="225"/>
      <c r="AW3669" s="508"/>
      <c r="AX3669" s="225"/>
      <c r="AY3669" s="225"/>
      <c r="AZ3669" s="225"/>
      <c r="BA3669" s="225"/>
      <c r="BB3669" s="225"/>
      <c r="BC3669" s="56"/>
      <c r="BD3669" s="56"/>
      <c r="BE3669" s="56"/>
      <c r="BF3669" s="107" t="str">
        <f t="shared" si="2833"/>
        <v>https://www.google.com/search?tbm=isch&amp;q=3%20G2</v>
      </c>
      <c r="BG3669" s="107" t="str">
        <f t="shared" si="2834"/>
        <v>S</v>
      </c>
      <c r="BH3669" s="254"/>
      <c r="BI3669" s="254"/>
    </row>
    <row r="3670" spans="1:61" customFormat="1" ht="17.25" thickBot="1" x14ac:dyDescent="0.3">
      <c r="A3670" s="524" t="s">
        <v>4174</v>
      </c>
      <c r="B3670" s="245"/>
      <c r="C3670" s="677"/>
      <c r="D3670" s="499"/>
      <c r="E3670" s="499"/>
      <c r="F3670" s="500"/>
      <c r="G3670" s="501"/>
      <c r="H3670" s="502"/>
      <c r="I3670" s="246"/>
      <c r="J3670" s="247"/>
      <c r="K3670" s="503"/>
      <c r="L3670" s="544"/>
      <c r="M3670" s="544"/>
      <c r="N3670" s="500"/>
      <c r="O3670" s="500"/>
      <c r="P3670" s="500"/>
      <c r="Q3670" s="500"/>
      <c r="R3670" s="500"/>
      <c r="S3670" s="669" t="s">
        <v>4980</v>
      </c>
      <c r="T3670" s="508">
        <f t="shared" si="2822"/>
        <v>0</v>
      </c>
      <c r="U3670" s="225" t="str">
        <f>IF(NOT(ISNUMBER(G3670)), "", VLOOKUP(A3670,'Discount Lookup'!D:E,2,FALSE)*G3670)</f>
        <v/>
      </c>
      <c r="V3670" s="225" t="str">
        <f>IF(NOT(ISNUMBER(G3670)), "", VLOOKUP(A3670,'Discount Lookup'!G:H,2,FALSE)*G3670)</f>
        <v/>
      </c>
      <c r="W3670" s="508">
        <f t="shared" si="2823"/>
        <v>0</v>
      </c>
      <c r="X3670" s="508">
        <f t="shared" si="2824"/>
        <v>0</v>
      </c>
      <c r="Y3670" s="509" t="b">
        <f t="shared" si="2825"/>
        <v>0</v>
      </c>
      <c r="Z3670" s="510">
        <f t="shared" si="2826"/>
        <v>0</v>
      </c>
      <c r="AA3670" s="511"/>
      <c r="AB3670" s="511" t="str">
        <f t="shared" si="2827"/>
        <v/>
      </c>
      <c r="AC3670" s="698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698"/>
      <c r="AE3670" s="631" t="str">
        <f t="shared" si="2828"/>
        <v/>
      </c>
      <c r="AF3670" s="699" t="str">
        <f t="shared" si="2829"/>
        <v/>
      </c>
      <c r="AG3670" s="699"/>
      <c r="AH3670" s="699"/>
      <c r="AI3670" s="512">
        <f>IF(H3670="credit",0,IF(AE3670="free",0,IF(AE3670="me",0,IF(G3670&gt;0,(VLOOKUP(A3670,'Discount Lookup'!J:K,2)*G3670),0))))</f>
        <v>0</v>
      </c>
      <c r="AJ3670" s="513" t="str">
        <f t="shared" ca="1" si="2830"/>
        <v/>
      </c>
      <c r="AK3670" s="700" t="str">
        <f t="shared" si="2831"/>
        <v/>
      </c>
      <c r="AL3670" s="700"/>
      <c r="AM3670" s="505" t="str">
        <f t="shared" si="2832"/>
        <v/>
      </c>
      <c r="AN3670" s="506"/>
      <c r="AO3670" s="507"/>
      <c r="AP3670" s="507"/>
      <c r="AQ3670" s="507"/>
      <c r="AR3670" s="507"/>
      <c r="AS3670" s="507"/>
      <c r="AT3670" s="507"/>
      <c r="AU3670" s="507"/>
      <c r="AV3670" s="225"/>
      <c r="AW3670" s="508"/>
      <c r="AX3670" s="225"/>
      <c r="AY3670" s="225"/>
      <c r="AZ3670" s="225"/>
      <c r="BA3670" s="225"/>
      <c r="BB3670" s="225"/>
      <c r="BC3670" s="56"/>
      <c r="BD3670" s="56"/>
      <c r="BE3670" s="56"/>
      <c r="BF3670" s="107" t="str">
        <f t="shared" si="2833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670" s="107" t="str">
        <f t="shared" si="2834"/>
        <v>S</v>
      </c>
      <c r="BH3670" s="254"/>
      <c r="BI3670" s="254"/>
    </row>
    <row r="3671" spans="1:61" customFormat="1" ht="18" x14ac:dyDescent="0.25">
      <c r="A3671" s="523" t="s">
        <v>5553</v>
      </c>
      <c r="B3671" s="235"/>
      <c r="C3671" s="676"/>
      <c r="D3671" s="255" t="s">
        <v>1870</v>
      </c>
      <c r="E3671" s="236"/>
      <c r="F3671" s="236"/>
      <c r="G3671" s="236"/>
      <c r="H3671" s="582" t="s">
        <v>441</v>
      </c>
      <c r="I3671" s="498" t="s">
        <v>3113</v>
      </c>
      <c r="J3671" s="237"/>
      <c r="K3671" s="237"/>
      <c r="L3671" s="274"/>
      <c r="M3671" s="668" t="s">
        <v>4975</v>
      </c>
      <c r="N3671" s="681" t="str">
        <f>IF(AND(ISTEXT($A3671), ISERROR($A3671+0)), HYPERLINK($BF3671, "Images"), "")</f>
        <v>Images</v>
      </c>
      <c r="O3671" s="663" t="s">
        <v>4967</v>
      </c>
      <c r="P3671" s="253"/>
      <c r="Q3671" s="238"/>
      <c r="R3671" s="239"/>
      <c r="S3671" s="275"/>
      <c r="T3671" s="508">
        <f t="shared" si="2822"/>
        <v>0</v>
      </c>
      <c r="U3671" s="225" t="str">
        <f>IF(NOT(ISNUMBER(G3671)), "", VLOOKUP(A3671,'Discount Lookup'!D:E,2,FALSE)*G3671)</f>
        <v/>
      </c>
      <c r="V3671" s="225" t="str">
        <f>IF(NOT(ISNUMBER(G3671)), "", VLOOKUP(A3671,'Discount Lookup'!G:H,2,FALSE)*G3671)</f>
        <v/>
      </c>
      <c r="W3671" s="508">
        <f t="shared" si="2823"/>
        <v>0</v>
      </c>
      <c r="X3671" s="508" t="str">
        <f t="shared" si="2824"/>
        <v>White bloom ages to Pink</v>
      </c>
      <c r="Y3671" s="509" t="b">
        <f t="shared" si="2825"/>
        <v>0</v>
      </c>
      <c r="Z3671" s="510">
        <f t="shared" si="2826"/>
        <v>0</v>
      </c>
      <c r="AA3671" s="511"/>
      <c r="AB3671" s="511" t="str">
        <f t="shared" si="2827"/>
        <v/>
      </c>
      <c r="AC3671" s="698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698"/>
      <c r="AE3671" s="631" t="str">
        <f t="shared" si="2828"/>
        <v/>
      </c>
      <c r="AF3671" s="699" t="str">
        <f t="shared" si="2829"/>
        <v/>
      </c>
      <c r="AG3671" s="699"/>
      <c r="AH3671" s="699"/>
      <c r="AI3671" s="512">
        <f>IF(H3671="credit",0,IF(AE3671="free",0,IF(AE3671="me",0,IF(G3671&gt;0,(VLOOKUP(A3671,'Discount Lookup'!J:K,2)*G3671),0))))</f>
        <v>0</v>
      </c>
      <c r="AJ3671" s="513" t="str">
        <f t="shared" ca="1" si="2830"/>
        <v/>
      </c>
      <c r="AK3671" s="700" t="str">
        <f t="shared" si="2831"/>
        <v/>
      </c>
      <c r="AL3671" s="700"/>
      <c r="AM3671" s="505" t="str">
        <f t="shared" si="2832"/>
        <v/>
      </c>
      <c r="AN3671" s="506"/>
      <c r="AO3671" s="507"/>
      <c r="AP3671" s="507"/>
      <c r="AQ3671" s="507"/>
      <c r="AR3671" s="507"/>
      <c r="AS3671" s="507"/>
      <c r="AT3671" s="507"/>
      <c r="AU3671" s="507"/>
      <c r="AV3671" s="225"/>
      <c r="AW3671" s="508"/>
      <c r="AX3671" s="225"/>
      <c r="AY3671" s="225"/>
      <c r="AZ3671" s="225"/>
      <c r="BA3671" s="225"/>
      <c r="BB3671" s="225"/>
      <c r="BC3671" s="56"/>
      <c r="BD3671" s="56"/>
      <c r="BE3671" s="56"/>
      <c r="BF3671" s="107" t="str">
        <f t="shared" si="2833"/>
        <v>https://www.google.com/search?tbm=isch&amp;q=Sweet%20Starlight%E2%84%A2%20Hydrangea%20Hyd.%20paniculata%20%27Pan1782hydr%27%20PP%2335658</v>
      </c>
      <c r="BG3671" s="107" t="str">
        <f t="shared" si="2834"/>
        <v>S</v>
      </c>
      <c r="BH3671" s="254"/>
      <c r="BI3671" s="254"/>
    </row>
    <row r="3672" spans="1:61" customFormat="1" ht="15.75" x14ac:dyDescent="0.25">
      <c r="A3672" s="276">
        <v>3</v>
      </c>
      <c r="B3672" s="240" t="s">
        <v>291</v>
      </c>
      <c r="C3672" s="241" t="s">
        <v>4758</v>
      </c>
      <c r="D3672" s="242" t="s">
        <v>312</v>
      </c>
      <c r="E3672" s="243">
        <v>30.95</v>
      </c>
      <c r="F3672" s="517" t="s">
        <v>293</v>
      </c>
      <c r="G3672" s="232">
        <v>0</v>
      </c>
      <c r="H3672" s="661" t="str">
        <f>IF(G3672=0,"",IF(F3672="Buy",IF(G3672=1,"plant","plants"),IF(F3672&gt;0.01,"warranty","Error")))</f>
        <v/>
      </c>
      <c r="I3672" s="244">
        <f>IF(H3672="free",0,IF(H3672="credit",((E3672*(F3672))*G3672*-1),IF(F3672="Buy",(E3672*G3672),((E3672*(1-F3672))*G3672))))</f>
        <v>0</v>
      </c>
      <c r="J3672" s="244">
        <f>IF(H3672="warranty",0,(I3672*(_xlfn.SINGLE(SalesTaxPercentage))))</f>
        <v>0</v>
      </c>
      <c r="K3672" s="696">
        <f t="shared" ref="K3672" si="2838">I3672+J3672</f>
        <v>0</v>
      </c>
      <c r="L3672" s="696"/>
      <c r="M3672" s="659" t="str">
        <f>IF(AND(G3672&gt;0,E3672=0),"WARNING - no PRICE inserted",IF(H3672="free"," FREE ~ no charge this plant",IF(H3672="credit",CONCATENATE(" -$",ROUND(K3672*(1-T2GDiscount)*-1,2)," CREDIT after discount"),IF(T2GDiscount=0,"",IF(G3672=0,"",IF(F3672="Buy",CONCATENATE(" $",ROUND(K3672*(1-T2GDiscount),2)," with ",(T2GDiscount*100),"% discount"),CONCATENATE(" $",ROUND(K3672*(1-T2GDiscount),2)," with ",((T2GDiscount*100+F3672*100)-(T2GDiscount*100*F3672)),IF(F3672&gt;0,"% discounts",IF(NoWarrantyDiscount&gt;0,"% discounts","% discount")))))))))</f>
        <v/>
      </c>
      <c r="N3672" s="660"/>
      <c r="O3672" s="233"/>
      <c r="P3672" s="233"/>
      <c r="Q3672" s="233"/>
      <c r="R3672" s="233"/>
      <c r="S3672" s="233"/>
      <c r="T3672" s="508">
        <f t="shared" si="2822"/>
        <v>0</v>
      </c>
      <c r="U3672" s="225">
        <f>IF(NOT(ISNUMBER(G3672)), "", VLOOKUP(A3672,'Discount Lookup'!D:E,2,FALSE)*G3672)</f>
        <v>0</v>
      </c>
      <c r="V3672" s="225">
        <f>IF(NOT(ISNUMBER(G3672)), "", VLOOKUP(A3672,'Discount Lookup'!G:H,2,FALSE)*G3672)</f>
        <v>0</v>
      </c>
      <c r="W3672" s="508">
        <f t="shared" si="2823"/>
        <v>0</v>
      </c>
      <c r="X3672" s="508">
        <f t="shared" si="2824"/>
        <v>0</v>
      </c>
      <c r="Y3672" s="509" t="b">
        <f t="shared" si="2825"/>
        <v>0</v>
      </c>
      <c r="Z3672" s="510">
        <f t="shared" si="2826"/>
        <v>0</v>
      </c>
      <c r="AA3672" s="511"/>
      <c r="AB3672" s="511" t="str">
        <f t="shared" si="2827"/>
        <v/>
      </c>
      <c r="AC3672" s="698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698"/>
      <c r="AE3672" s="631" t="str">
        <f t="shared" si="2828"/>
        <v/>
      </c>
      <c r="AF3672" s="699" t="str">
        <f t="shared" si="2829"/>
        <v/>
      </c>
      <c r="AG3672" s="699"/>
      <c r="AH3672" s="699"/>
      <c r="AI3672" s="512">
        <f>IF(H3672="credit",0,IF(AE3672="free",0,IF(AE3672="me",0,IF(G3672&gt;0,(VLOOKUP(A3672,'Discount Lookup'!J:K,2)*G3672),0))))</f>
        <v>0</v>
      </c>
      <c r="AJ3672" s="513" t="str">
        <f t="shared" ca="1" si="2830"/>
        <v/>
      </c>
      <c r="AK3672" s="700" t="str">
        <f t="shared" si="2831"/>
        <v/>
      </c>
      <c r="AL3672" s="700"/>
      <c r="AM3672" s="505" t="str">
        <f t="shared" si="2832"/>
        <v/>
      </c>
      <c r="AN3672" s="506"/>
      <c r="AO3672" s="507"/>
      <c r="AP3672" s="507"/>
      <c r="AQ3672" s="507"/>
      <c r="AR3672" s="507"/>
      <c r="AS3672" s="507"/>
      <c r="AT3672" s="507"/>
      <c r="AU3672" s="507"/>
      <c r="AV3672" s="225"/>
      <c r="AW3672" s="508"/>
      <c r="AX3672" s="225"/>
      <c r="AY3672" s="225"/>
      <c r="AZ3672" s="225"/>
      <c r="BA3672" s="225"/>
      <c r="BB3672" s="225"/>
      <c r="BC3672" s="56"/>
      <c r="BD3672" s="56"/>
      <c r="BE3672" s="56"/>
      <c r="BF3672" s="107" t="str">
        <f t="shared" si="2833"/>
        <v>https://www.google.com/search?tbm=isch&amp;q=3%20G2</v>
      </c>
      <c r="BG3672" s="107" t="str">
        <f t="shared" si="2834"/>
        <v>S</v>
      </c>
      <c r="BH3672" s="254"/>
      <c r="BI3672" s="254"/>
    </row>
    <row r="3673" spans="1:61" customFormat="1" ht="15.75" x14ac:dyDescent="0.25">
      <c r="A3673" s="276">
        <v>3</v>
      </c>
      <c r="B3673" s="240" t="s">
        <v>291</v>
      </c>
      <c r="C3673" s="241" t="s">
        <v>1871</v>
      </c>
      <c r="D3673" s="242" t="s">
        <v>297</v>
      </c>
      <c r="E3673" s="243">
        <v>32.950000000000003</v>
      </c>
      <c r="F3673" s="517" t="s">
        <v>293</v>
      </c>
      <c r="G3673" s="232">
        <v>0</v>
      </c>
      <c r="H3673" s="661" t="str">
        <f>IF(G3673=0,"",IF(F3673="Buy",IF(G3673=1,"plant","plants"),IF(F3673&gt;0.01,"warranty","Error")))</f>
        <v/>
      </c>
      <c r="I3673" s="244">
        <f>IF(H3673="free",0,IF(H3673="credit",((E3673*(F3673))*G3673*-1),IF(F3673="Buy",(E3673*G3673),((E3673*(1-F3673))*G3673))))</f>
        <v>0</v>
      </c>
      <c r="J3673" s="244">
        <f>IF(H3673="warranty",0,(I3673*(_xlfn.SINGLE(SalesTaxPercentage))))</f>
        <v>0</v>
      </c>
      <c r="K3673" s="696">
        <f t="shared" ref="K3673" si="2839">I3673+J3673</f>
        <v>0</v>
      </c>
      <c r="L3673" s="696"/>
      <c r="M3673" s="659" t="str">
        <f>IF(AND(G3673&gt;0,E3673=0),"WARNING - no PRICE inserted",IF(H3673="free"," FREE ~ no charge this plant",IF(H3673="credit",CONCATENATE(" -$",ROUND(K3673*(1-T2GDiscount)*-1,2)," CREDIT after discount"),IF(T2GDiscount=0,"",IF(G3673=0,"",IF(F3673="Buy",CONCATENATE(" $",ROUND(K3673*(1-T2GDiscount),2)," with ",(T2GDiscount*100),"% discount"),CONCATENATE(" $",ROUND(K3673*(1-T2GDiscount),2)," with ",((T2GDiscount*100+F3673*100)-(T2GDiscount*100*F3673)),IF(F3673&gt;0,"% discounts",IF(NoWarrantyDiscount&gt;0,"% discounts","% discount")))))))))</f>
        <v/>
      </c>
      <c r="N3673" s="660"/>
      <c r="O3673" s="233"/>
      <c r="P3673" s="233"/>
      <c r="Q3673" s="233"/>
      <c r="R3673" s="233"/>
      <c r="S3673" s="233"/>
      <c r="T3673" s="508">
        <f t="shared" si="2822"/>
        <v>0</v>
      </c>
      <c r="U3673" s="225">
        <f>IF(NOT(ISNUMBER(G3673)), "", VLOOKUP(A3673,'Discount Lookup'!D:E,2,FALSE)*G3673)</f>
        <v>0</v>
      </c>
      <c r="V3673" s="225">
        <f>IF(NOT(ISNUMBER(G3673)), "", VLOOKUP(A3673,'Discount Lookup'!G:H,2,FALSE)*G3673)</f>
        <v>0</v>
      </c>
      <c r="W3673" s="508">
        <f t="shared" si="2823"/>
        <v>0</v>
      </c>
      <c r="X3673" s="508">
        <f t="shared" si="2824"/>
        <v>0</v>
      </c>
      <c r="Y3673" s="509" t="b">
        <f t="shared" si="2825"/>
        <v>0</v>
      </c>
      <c r="Z3673" s="510">
        <f t="shared" si="2826"/>
        <v>0</v>
      </c>
      <c r="AA3673" s="511"/>
      <c r="AB3673" s="511" t="str">
        <f t="shared" si="2827"/>
        <v/>
      </c>
      <c r="AC3673" s="698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698"/>
      <c r="AE3673" s="631" t="str">
        <f t="shared" si="2828"/>
        <v/>
      </c>
      <c r="AF3673" s="699" t="str">
        <f t="shared" si="2829"/>
        <v/>
      </c>
      <c r="AG3673" s="699"/>
      <c r="AH3673" s="699"/>
      <c r="AI3673" s="512">
        <f>IF(H3673="credit",0,IF(AE3673="free",0,IF(AE3673="me",0,IF(G3673&gt;0,(VLOOKUP(A3673,'Discount Lookup'!J:K,2)*G3673),0))))</f>
        <v>0</v>
      </c>
      <c r="AJ3673" s="513" t="str">
        <f t="shared" ca="1" si="2830"/>
        <v/>
      </c>
      <c r="AK3673" s="700" t="str">
        <f t="shared" si="2831"/>
        <v/>
      </c>
      <c r="AL3673" s="700"/>
      <c r="AM3673" s="505" t="str">
        <f t="shared" si="2832"/>
        <v/>
      </c>
      <c r="AN3673" s="506"/>
      <c r="AO3673" s="507"/>
      <c r="AP3673" s="507"/>
      <c r="AQ3673" s="507"/>
      <c r="AR3673" s="507"/>
      <c r="AS3673" s="507"/>
      <c r="AT3673" s="507"/>
      <c r="AU3673" s="507"/>
      <c r="AV3673" s="225"/>
      <c r="AW3673" s="508"/>
      <c r="AX3673" s="225"/>
      <c r="AY3673" s="225"/>
      <c r="AZ3673" s="225"/>
      <c r="BA3673" s="225"/>
      <c r="BB3673" s="225"/>
      <c r="BC3673" s="56"/>
      <c r="BD3673" s="56"/>
      <c r="BE3673" s="56"/>
      <c r="BF3673" s="107" t="str">
        <f t="shared" si="2833"/>
        <v>https://www.google.com/search?tbm=isch&amp;q=3%20G3</v>
      </c>
      <c r="BG3673" s="107" t="str">
        <f t="shared" si="2834"/>
        <v>S</v>
      </c>
      <c r="BH3673" s="254"/>
      <c r="BI3673" s="254"/>
    </row>
    <row r="3674" spans="1:61" customFormat="1" ht="15.75" x14ac:dyDescent="0.25">
      <c r="A3674" s="276">
        <v>3</v>
      </c>
      <c r="B3674" s="240" t="s">
        <v>291</v>
      </c>
      <c r="C3674" s="241" t="s">
        <v>2816</v>
      </c>
      <c r="D3674" s="242" t="s">
        <v>299</v>
      </c>
      <c r="E3674" s="243">
        <v>39.950000000000003</v>
      </c>
      <c r="F3674" s="517" t="s">
        <v>293</v>
      </c>
      <c r="G3674" s="232">
        <v>0</v>
      </c>
      <c r="H3674" s="661" t="str">
        <f>IF(G3674=0,"",IF(F3674="Buy",IF(G3674=1,"plant","plants"),IF(F3674&gt;0.01,"warranty","Error")))</f>
        <v/>
      </c>
      <c r="I3674" s="244">
        <f>IF(H3674="free",0,IF(H3674="credit",((E3674*(F3674))*G3674*-1),IF(F3674="Buy",(E3674*G3674),((E3674*(1-F3674))*G3674))))</f>
        <v>0</v>
      </c>
      <c r="J3674" s="244">
        <f>IF(H3674="warranty",0,(I3674*(_xlfn.SINGLE(SalesTaxPercentage))))</f>
        <v>0</v>
      </c>
      <c r="K3674" s="696">
        <f t="shared" ref="K3674" si="2840">I3674+J3674</f>
        <v>0</v>
      </c>
      <c r="L3674" s="696"/>
      <c r="M3674" s="659" t="str">
        <f>IF(AND(G3674&gt;0,E3674=0),"WARNING - no PRICE inserted",IF(H3674="free"," FREE ~ no charge this plant",IF(H3674="credit",CONCATENATE(" -$",ROUND(K3674*(1-T2GDiscount)*-1,2)," CREDIT after discount"),IF(T2GDiscount=0,"",IF(G3674=0,"",IF(F3674="Buy",CONCATENATE(" $",ROUND(K3674*(1-T2GDiscount),2)," with ",(T2GDiscount*100),"% discount"),CONCATENATE(" $",ROUND(K3674*(1-T2GDiscount),2)," with ",((T2GDiscount*100+F3674*100)-(T2GDiscount*100*F3674)),IF(F3674&gt;0,"% discounts",IF(NoWarrantyDiscount&gt;0,"% discounts","% discount")))))))))</f>
        <v/>
      </c>
      <c r="N3674" s="660"/>
      <c r="O3674" s="233"/>
      <c r="P3674" s="233"/>
      <c r="Q3674" s="233"/>
      <c r="R3674" s="233"/>
      <c r="S3674" s="233"/>
      <c r="T3674" s="508">
        <f t="shared" si="2822"/>
        <v>0</v>
      </c>
      <c r="U3674" s="225">
        <f>IF(NOT(ISNUMBER(G3674)), "", VLOOKUP(A3674,'Discount Lookup'!D:E,2,FALSE)*G3674)</f>
        <v>0</v>
      </c>
      <c r="V3674" s="225">
        <f>IF(NOT(ISNUMBER(G3674)), "", VLOOKUP(A3674,'Discount Lookup'!G:H,2,FALSE)*G3674)</f>
        <v>0</v>
      </c>
      <c r="W3674" s="508">
        <f t="shared" si="2823"/>
        <v>0</v>
      </c>
      <c r="X3674" s="508">
        <f t="shared" si="2824"/>
        <v>0</v>
      </c>
      <c r="Y3674" s="509" t="b">
        <f t="shared" si="2825"/>
        <v>0</v>
      </c>
      <c r="Z3674" s="510">
        <f t="shared" si="2826"/>
        <v>0</v>
      </c>
      <c r="AA3674" s="511"/>
      <c r="AB3674" s="511" t="str">
        <f t="shared" si="2827"/>
        <v/>
      </c>
      <c r="AC3674" s="698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698"/>
      <c r="AE3674" s="631" t="str">
        <f t="shared" si="2828"/>
        <v/>
      </c>
      <c r="AF3674" s="699" t="str">
        <f t="shared" si="2829"/>
        <v/>
      </c>
      <c r="AG3674" s="699"/>
      <c r="AH3674" s="699"/>
      <c r="AI3674" s="512">
        <f>IF(H3674="credit",0,IF(AE3674="free",0,IF(AE3674="me",0,IF(G3674&gt;0,(VLOOKUP(A3674,'Discount Lookup'!J:K,2)*G3674),0))))</f>
        <v>0</v>
      </c>
      <c r="AJ3674" s="513" t="str">
        <f t="shared" ca="1" si="2830"/>
        <v/>
      </c>
      <c r="AK3674" s="700" t="str">
        <f t="shared" si="2831"/>
        <v/>
      </c>
      <c r="AL3674" s="700"/>
      <c r="AM3674" s="505" t="str">
        <f t="shared" si="2832"/>
        <v/>
      </c>
      <c r="AN3674" s="506"/>
      <c r="AO3674" s="507"/>
      <c r="AP3674" s="507"/>
      <c r="AQ3674" s="507"/>
      <c r="AR3674" s="507"/>
      <c r="AS3674" s="507"/>
      <c r="AT3674" s="507"/>
      <c r="AU3674" s="507"/>
      <c r="AV3674" s="225"/>
      <c r="AW3674" s="508"/>
      <c r="AX3674" s="225"/>
      <c r="AY3674" s="225"/>
      <c r="AZ3674" s="225"/>
      <c r="BA3674" s="225"/>
      <c r="BB3674" s="225"/>
      <c r="BC3674" s="56"/>
      <c r="BD3674" s="56"/>
      <c r="BE3674" s="56"/>
      <c r="BF3674" s="107" t="str">
        <f t="shared" si="2833"/>
        <v>https://www.google.com/search?tbm=isch&amp;q=3%20G5</v>
      </c>
      <c r="BG3674" s="107" t="str">
        <f t="shared" si="2834"/>
        <v>S</v>
      </c>
      <c r="BH3674" s="254"/>
      <c r="BI3674" s="254"/>
    </row>
    <row r="3675" spans="1:61" customFormat="1" ht="15.75" x14ac:dyDescent="0.25">
      <c r="A3675" s="276">
        <v>5</v>
      </c>
      <c r="B3675" s="240" t="s">
        <v>291</v>
      </c>
      <c r="C3675" s="241" t="s">
        <v>4028</v>
      </c>
      <c r="D3675" s="242" t="s">
        <v>300</v>
      </c>
      <c r="E3675" s="243">
        <v>47.95</v>
      </c>
      <c r="F3675" s="517" t="s">
        <v>293</v>
      </c>
      <c r="G3675" s="232">
        <v>0</v>
      </c>
      <c r="H3675" s="661" t="str">
        <f>IF(G3675=0,"",IF(F3675="Buy",IF(G3675=1,"plant","plants"),IF(F3675&gt;0.01,"warranty","Error")))</f>
        <v/>
      </c>
      <c r="I3675" s="244">
        <f>IF(H3675="free",0,IF(H3675="credit",((E3675*(F3675))*G3675*-1),IF(F3675="Buy",(E3675*G3675),((E3675*(1-F3675))*G3675))))</f>
        <v>0</v>
      </c>
      <c r="J3675" s="244">
        <f>IF(H3675="warranty",0,(I3675*(_xlfn.SINGLE(SalesTaxPercentage))))</f>
        <v>0</v>
      </c>
      <c r="K3675" s="696">
        <f t="shared" ref="K3675" si="2841">I3675+J3675</f>
        <v>0</v>
      </c>
      <c r="L3675" s="696"/>
      <c r="M3675" s="659" t="str">
        <f>IF(AND(G3675&gt;0,E3675=0),"WARNING - no PRICE inserted",IF(H3675="free"," FREE ~ no charge this plant",IF(H3675="credit",CONCATENATE(" -$",ROUND(K3675*(1-T2GDiscount)*-1,2)," CREDIT after discount"),IF(T2GDiscount=0,"",IF(G3675=0,"",IF(F3675="Buy",CONCATENATE(" $",ROUND(K3675*(1-T2GDiscount),2)," with ",(T2GDiscount*100),"% discount"),CONCATENATE(" $",ROUND(K3675*(1-T2GDiscount),2)," with ",((T2GDiscount*100+F3675*100)-(T2GDiscount*100*F3675)),IF(F3675&gt;0,"% discounts",IF(NoWarrantyDiscount&gt;0,"% discounts","% discount")))))))))</f>
        <v/>
      </c>
      <c r="N3675" s="660"/>
      <c r="O3675" s="233"/>
      <c r="P3675" s="233"/>
      <c r="Q3675" s="233"/>
      <c r="R3675" s="233"/>
      <c r="S3675" s="233"/>
      <c r="T3675" s="508">
        <f t="shared" si="2822"/>
        <v>0</v>
      </c>
      <c r="U3675" s="225">
        <f>IF(NOT(ISNUMBER(G3675)), "", VLOOKUP(A3675,'Discount Lookup'!D:E,2,FALSE)*G3675)</f>
        <v>0</v>
      </c>
      <c r="V3675" s="225">
        <f>IF(NOT(ISNUMBER(G3675)), "", VLOOKUP(A3675,'Discount Lookup'!G:H,2,FALSE)*G3675)</f>
        <v>0</v>
      </c>
      <c r="W3675" s="508">
        <f t="shared" si="2823"/>
        <v>0</v>
      </c>
      <c r="X3675" s="508">
        <f t="shared" si="2824"/>
        <v>0</v>
      </c>
      <c r="Y3675" s="509" t="b">
        <f t="shared" si="2825"/>
        <v>0</v>
      </c>
      <c r="Z3675" s="510">
        <f t="shared" si="2826"/>
        <v>0</v>
      </c>
      <c r="AA3675" s="511"/>
      <c r="AB3675" s="511" t="str">
        <f t="shared" si="2827"/>
        <v/>
      </c>
      <c r="AC3675" s="698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698"/>
      <c r="AE3675" s="631" t="str">
        <f t="shared" si="2828"/>
        <v/>
      </c>
      <c r="AF3675" s="699" t="str">
        <f t="shared" si="2829"/>
        <v/>
      </c>
      <c r="AG3675" s="699"/>
      <c r="AH3675" s="699"/>
      <c r="AI3675" s="512">
        <f>IF(H3675="credit",0,IF(AE3675="free",0,IF(AE3675="me",0,IF(G3675&gt;0,(VLOOKUP(A3675,'Discount Lookup'!J:K,2)*G3675),0))))</f>
        <v>0</v>
      </c>
      <c r="AJ3675" s="513" t="str">
        <f t="shared" ca="1" si="2830"/>
        <v/>
      </c>
      <c r="AK3675" s="700" t="str">
        <f t="shared" si="2831"/>
        <v/>
      </c>
      <c r="AL3675" s="700"/>
      <c r="AM3675" s="505" t="str">
        <f t="shared" si="2832"/>
        <v/>
      </c>
      <c r="AN3675" s="506"/>
      <c r="AO3675" s="507"/>
      <c r="AP3675" s="507"/>
      <c r="AQ3675" s="507"/>
      <c r="AR3675" s="507"/>
      <c r="AS3675" s="507"/>
      <c r="AT3675" s="507"/>
      <c r="AU3675" s="507"/>
      <c r="AV3675" s="225"/>
      <c r="AW3675" s="508"/>
      <c r="AX3675" s="225"/>
      <c r="AY3675" s="225"/>
      <c r="AZ3675" s="225"/>
      <c r="BA3675" s="225"/>
      <c r="BB3675" s="225"/>
      <c r="BC3675" s="56"/>
      <c r="BD3675" s="56"/>
      <c r="BE3675" s="56"/>
      <c r="BF3675" s="107" t="str">
        <f t="shared" si="2833"/>
        <v>https://www.google.com/search?tbm=isch&amp;q=5%20G6</v>
      </c>
      <c r="BG3675" s="107" t="str">
        <f t="shared" si="2834"/>
        <v>S</v>
      </c>
      <c r="BH3675" s="254"/>
      <c r="BI3675" s="254"/>
    </row>
    <row r="3676" spans="1:61" customFormat="1" ht="15.75" x14ac:dyDescent="0.25">
      <c r="A3676" s="276">
        <v>10</v>
      </c>
      <c r="B3676" s="240" t="s">
        <v>291</v>
      </c>
      <c r="C3676" s="241" t="s">
        <v>4029</v>
      </c>
      <c r="D3676" s="242" t="s">
        <v>300</v>
      </c>
      <c r="E3676" s="243">
        <v>169.95</v>
      </c>
      <c r="F3676" s="517" t="s">
        <v>293</v>
      </c>
      <c r="G3676" s="232">
        <v>0</v>
      </c>
      <c r="H3676" s="661" t="str">
        <f>IF(G3676=0,"",IF(F3676="Buy",IF(G3676=1,"plant","plants"),IF(F3676&gt;0.01,"warranty","Error")))</f>
        <v/>
      </c>
      <c r="I3676" s="244">
        <f>IF(H3676="free",0,IF(H3676="credit",((E3676*(F3676))*G3676*-1),IF(F3676="Buy",(E3676*G3676),((E3676*(1-F3676))*G3676))))</f>
        <v>0</v>
      </c>
      <c r="J3676" s="244">
        <f>IF(H3676="warranty",0,(I3676*(_xlfn.SINGLE(SalesTaxPercentage))))</f>
        <v>0</v>
      </c>
      <c r="K3676" s="696">
        <f t="shared" ref="K3676" si="2842">I3676+J3676</f>
        <v>0</v>
      </c>
      <c r="L3676" s="696"/>
      <c r="M3676" s="659" t="str">
        <f>IF(AND(G3676&gt;0,E3676=0),"WARNING - no PRICE inserted",IF(H3676="free"," FREE ~ no charge this plant",IF(H3676="credit",CONCATENATE(" -$",ROUND(K3676*(1-T2GDiscount)*-1,2)," CREDIT after discount"),IF(T2GDiscount=0,"",IF(G3676=0,"",IF(F3676="Buy",CONCATENATE(" $",ROUND(K3676*(1-T2GDiscount),2)," with ",(T2GDiscount*100),"% discount"),CONCATENATE(" $",ROUND(K3676*(1-T2GDiscount),2)," with ",((T2GDiscount*100+F3676*100)-(T2GDiscount*100*F3676)),IF(F3676&gt;0,"% discounts",IF(NoWarrantyDiscount&gt;0,"% discounts","% discount")))))))))</f>
        <v/>
      </c>
      <c r="N3676" s="660"/>
      <c r="O3676" s="233"/>
      <c r="P3676" s="233"/>
      <c r="Q3676" s="233"/>
      <c r="R3676" s="233"/>
      <c r="S3676" s="233"/>
      <c r="T3676" s="508">
        <f t="shared" si="2822"/>
        <v>0</v>
      </c>
      <c r="U3676" s="225">
        <f>IF(NOT(ISNUMBER(G3676)), "", VLOOKUP(A3676,'Discount Lookup'!D:E,2,FALSE)*G3676)</f>
        <v>0</v>
      </c>
      <c r="V3676" s="225">
        <f>IF(NOT(ISNUMBER(G3676)), "", VLOOKUP(A3676,'Discount Lookup'!G:H,2,FALSE)*G3676)</f>
        <v>0</v>
      </c>
      <c r="W3676" s="508">
        <f t="shared" si="2823"/>
        <v>0</v>
      </c>
      <c r="X3676" s="508">
        <f t="shared" si="2824"/>
        <v>0</v>
      </c>
      <c r="Y3676" s="509" t="b">
        <f t="shared" si="2825"/>
        <v>0</v>
      </c>
      <c r="Z3676" s="510">
        <f t="shared" si="2826"/>
        <v>0</v>
      </c>
      <c r="AA3676" s="511"/>
      <c r="AB3676" s="511" t="str">
        <f t="shared" si="2827"/>
        <v/>
      </c>
      <c r="AC3676" s="698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698"/>
      <c r="AE3676" s="631" t="str">
        <f t="shared" si="2828"/>
        <v/>
      </c>
      <c r="AF3676" s="699" t="str">
        <f t="shared" si="2829"/>
        <v/>
      </c>
      <c r="AG3676" s="699"/>
      <c r="AH3676" s="699"/>
      <c r="AI3676" s="512">
        <f>IF(H3676="credit",0,IF(AE3676="free",0,IF(AE3676="me",0,IF(G3676&gt;0,(VLOOKUP(A3676,'Discount Lookup'!J:K,2)*G3676),0))))</f>
        <v>0</v>
      </c>
      <c r="AJ3676" s="513" t="str">
        <f t="shared" ca="1" si="2830"/>
        <v/>
      </c>
      <c r="AK3676" s="700" t="str">
        <f t="shared" si="2831"/>
        <v/>
      </c>
      <c r="AL3676" s="700"/>
      <c r="AM3676" s="505" t="str">
        <f t="shared" si="2832"/>
        <v/>
      </c>
      <c r="AN3676" s="506"/>
      <c r="AO3676" s="507"/>
      <c r="AP3676" s="507"/>
      <c r="AQ3676" s="507"/>
      <c r="AR3676" s="507"/>
      <c r="AS3676" s="507"/>
      <c r="AT3676" s="507"/>
      <c r="AU3676" s="507"/>
      <c r="AV3676" s="225"/>
      <c r="AW3676" s="508"/>
      <c r="AX3676" s="225"/>
      <c r="AY3676" s="225"/>
      <c r="AZ3676" s="225"/>
      <c r="BA3676" s="225"/>
      <c r="BB3676" s="225"/>
      <c r="BC3676" s="56"/>
      <c r="BD3676" s="56"/>
      <c r="BE3676" s="56"/>
      <c r="BF3676" s="107" t="str">
        <f t="shared" si="2833"/>
        <v>https://www.google.com/search?tbm=isch&amp;q=10%20G6</v>
      </c>
      <c r="BG3676" s="107" t="str">
        <f t="shared" si="2834"/>
        <v>S</v>
      </c>
      <c r="BH3676" s="254"/>
      <c r="BI3676" s="254"/>
    </row>
    <row r="3677" spans="1:61" customFormat="1" ht="17.25" thickBot="1" x14ac:dyDescent="0.3">
      <c r="A3677" s="524" t="s">
        <v>4175</v>
      </c>
      <c r="B3677" s="245"/>
      <c r="C3677" s="677"/>
      <c r="D3677" s="499"/>
      <c r="E3677" s="499"/>
      <c r="F3677" s="500"/>
      <c r="G3677" s="501"/>
      <c r="H3677" s="502"/>
      <c r="I3677" s="246"/>
      <c r="J3677" s="247"/>
      <c r="K3677" s="503"/>
      <c r="L3677" s="544"/>
      <c r="M3677" s="544"/>
      <c r="N3677" s="500"/>
      <c r="O3677" s="500"/>
      <c r="P3677" s="500"/>
      <c r="Q3677" s="500"/>
      <c r="R3677" s="500"/>
      <c r="S3677" s="278"/>
      <c r="T3677" s="508">
        <f t="shared" si="2822"/>
        <v>0</v>
      </c>
      <c r="U3677" s="225" t="str">
        <f>IF(NOT(ISNUMBER(G3677)), "", VLOOKUP(A3677,'Discount Lookup'!D:E,2,FALSE)*G3677)</f>
        <v/>
      </c>
      <c r="V3677" s="225" t="str">
        <f>IF(NOT(ISNUMBER(G3677)), "", VLOOKUP(A3677,'Discount Lookup'!G:H,2,FALSE)*G3677)</f>
        <v/>
      </c>
      <c r="W3677" s="508">
        <f t="shared" si="2823"/>
        <v>0</v>
      </c>
      <c r="X3677" s="508">
        <f t="shared" si="2824"/>
        <v>0</v>
      </c>
      <c r="Y3677" s="509" t="b">
        <f t="shared" si="2825"/>
        <v>0</v>
      </c>
      <c r="Z3677" s="510">
        <f t="shared" si="2826"/>
        <v>0</v>
      </c>
      <c r="AA3677" s="511"/>
      <c r="AB3677" s="511" t="str">
        <f t="shared" si="2827"/>
        <v/>
      </c>
      <c r="AC3677" s="698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698"/>
      <c r="AE3677" s="631" t="str">
        <f t="shared" si="2828"/>
        <v/>
      </c>
      <c r="AF3677" s="699" t="str">
        <f t="shared" si="2829"/>
        <v/>
      </c>
      <c r="AG3677" s="699"/>
      <c r="AH3677" s="699"/>
      <c r="AI3677" s="512">
        <f>IF(H3677="credit",0,IF(AE3677="free",0,IF(AE3677="me",0,IF(G3677&gt;0,(VLOOKUP(A3677,'Discount Lookup'!J:K,2)*G3677),0))))</f>
        <v>0</v>
      </c>
      <c r="AJ3677" s="513" t="str">
        <f t="shared" ca="1" si="2830"/>
        <v/>
      </c>
      <c r="AK3677" s="700" t="str">
        <f t="shared" si="2831"/>
        <v/>
      </c>
      <c r="AL3677" s="700"/>
      <c r="AM3677" s="505" t="str">
        <f t="shared" si="2832"/>
        <v/>
      </c>
      <c r="AN3677" s="506"/>
      <c r="AO3677" s="507"/>
      <c r="AP3677" s="507"/>
      <c r="AQ3677" s="507"/>
      <c r="AR3677" s="507"/>
      <c r="AS3677" s="507"/>
      <c r="AT3677" s="507"/>
      <c r="AU3677" s="507"/>
      <c r="AV3677" s="225"/>
      <c r="AW3677" s="508"/>
      <c r="AX3677" s="225"/>
      <c r="AY3677" s="225"/>
      <c r="AZ3677" s="225"/>
      <c r="BA3677" s="225"/>
      <c r="BB3677" s="225"/>
      <c r="BC3677" s="56"/>
      <c r="BD3677" s="56"/>
      <c r="BE3677" s="56"/>
      <c r="BF3677" s="107" t="str">
        <f t="shared" si="2833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677" s="107" t="str">
        <f t="shared" si="2834"/>
        <v>S</v>
      </c>
      <c r="BH3677" s="254"/>
      <c r="BI3677" s="254"/>
    </row>
    <row r="3678" spans="1:61" customFormat="1" ht="18" x14ac:dyDescent="0.25">
      <c r="A3678" s="523" t="s">
        <v>3238</v>
      </c>
      <c r="B3678" s="235"/>
      <c r="C3678" s="676"/>
      <c r="D3678" s="255" t="s">
        <v>3239</v>
      </c>
      <c r="E3678" s="236"/>
      <c r="F3678" s="236"/>
      <c r="G3678" s="236"/>
      <c r="H3678" s="582" t="s">
        <v>715</v>
      </c>
      <c r="I3678" s="498" t="s">
        <v>3113</v>
      </c>
      <c r="J3678" s="237"/>
      <c r="K3678" s="237"/>
      <c r="L3678" s="274"/>
      <c r="M3678" s="668" t="s">
        <v>4975</v>
      </c>
      <c r="N3678" s="681" t="str">
        <f>IF(AND(ISTEXT($A3678), ISERROR($A3678+0)), HYPERLINK($BF3678, "Images"), "")</f>
        <v>Images</v>
      </c>
      <c r="O3678" s="663" t="s">
        <v>4967</v>
      </c>
      <c r="P3678" s="253"/>
      <c r="Q3678" s="238"/>
      <c r="R3678" s="239"/>
      <c r="S3678" s="275"/>
      <c r="T3678" s="508">
        <f t="shared" si="2822"/>
        <v>0</v>
      </c>
      <c r="U3678" s="225" t="str">
        <f>IF(NOT(ISNUMBER(G3678)), "", VLOOKUP(A3678,'Discount Lookup'!D:E,2,FALSE)*G3678)</f>
        <v/>
      </c>
      <c r="V3678" s="225" t="str">
        <f>IF(NOT(ISNUMBER(G3678)), "", VLOOKUP(A3678,'Discount Lookup'!G:H,2,FALSE)*G3678)</f>
        <v/>
      </c>
      <c r="W3678" s="508">
        <f t="shared" si="2823"/>
        <v>0</v>
      </c>
      <c r="X3678" s="508" t="str">
        <f t="shared" si="2824"/>
        <v>White bloom ages to Pink</v>
      </c>
      <c r="Y3678" s="509" t="b">
        <f t="shared" si="2825"/>
        <v>0</v>
      </c>
      <c r="Z3678" s="510">
        <f t="shared" si="2826"/>
        <v>0</v>
      </c>
      <c r="AA3678" s="511"/>
      <c r="AB3678" s="511" t="str">
        <f t="shared" si="2827"/>
        <v/>
      </c>
      <c r="AC3678" s="698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698"/>
      <c r="AE3678" s="631" t="str">
        <f t="shared" si="2828"/>
        <v/>
      </c>
      <c r="AF3678" s="699" t="str">
        <f t="shared" si="2829"/>
        <v/>
      </c>
      <c r="AG3678" s="699"/>
      <c r="AH3678" s="699"/>
      <c r="AI3678" s="512">
        <f>IF(H3678="credit",0,IF(AE3678="free",0,IF(AE3678="me",0,IF(G3678&gt;0,(VLOOKUP(A3678,'Discount Lookup'!J:K,2)*G3678),0))))</f>
        <v>0</v>
      </c>
      <c r="AJ3678" s="513" t="str">
        <f t="shared" ca="1" si="2830"/>
        <v/>
      </c>
      <c r="AK3678" s="700" t="str">
        <f t="shared" si="2831"/>
        <v/>
      </c>
      <c r="AL3678" s="700"/>
      <c r="AM3678" s="505" t="str">
        <f t="shared" si="2832"/>
        <v/>
      </c>
      <c r="AN3678" s="506"/>
      <c r="AO3678" s="507"/>
      <c r="AP3678" s="507"/>
      <c r="AQ3678" s="507"/>
      <c r="AR3678" s="507"/>
      <c r="AS3678" s="507"/>
      <c r="AT3678" s="507"/>
      <c r="AU3678" s="507"/>
      <c r="AV3678" s="225"/>
      <c r="AW3678" s="508"/>
      <c r="AX3678" s="225"/>
      <c r="AY3678" s="225"/>
      <c r="AZ3678" s="225"/>
      <c r="BA3678" s="225"/>
      <c r="BB3678" s="225"/>
      <c r="BC3678" s="56"/>
      <c r="BD3678" s="56"/>
      <c r="BE3678" s="56"/>
      <c r="BF3678" s="107" t="str">
        <f t="shared" si="2833"/>
        <v>https://www.google.com/search?tbm=isch&amp;q=Sweet%20Summer%20Hydrangea%20Hyd.%20paniculata%20%27Bokrathirteen%27%20PP%2321778</v>
      </c>
      <c r="BG3678" s="107" t="str">
        <f t="shared" si="2834"/>
        <v>S</v>
      </c>
      <c r="BH3678" s="254"/>
      <c r="BI3678" s="254"/>
    </row>
    <row r="3679" spans="1:61" customFormat="1" ht="15.75" x14ac:dyDescent="0.25">
      <c r="A3679" s="276">
        <v>5</v>
      </c>
      <c r="B3679" s="240" t="s">
        <v>291</v>
      </c>
      <c r="C3679" s="241" t="s">
        <v>4455</v>
      </c>
      <c r="D3679" s="242" t="s">
        <v>292</v>
      </c>
      <c r="E3679" s="243">
        <v>63.95</v>
      </c>
      <c r="F3679" s="517" t="s">
        <v>293</v>
      </c>
      <c r="G3679" s="232">
        <v>0</v>
      </c>
      <c r="H3679" s="661" t="str">
        <f>IF(G3679=0,"",IF(F3679="Buy",IF(G3679=1,"plant","plants"),IF(F3679&gt;0.01,"warranty","Error")))</f>
        <v/>
      </c>
      <c r="I3679" s="244">
        <f>IF(H3679="free",0,IF(H3679="credit",((E3679*(F3679))*G3679*-1),IF(F3679="Buy",(E3679*G3679),((E3679*(1-F3679))*G3679))))</f>
        <v>0</v>
      </c>
      <c r="J3679" s="244">
        <f>IF(H3679="warranty",0,(I3679*(_xlfn.SINGLE(SalesTaxPercentage))))</f>
        <v>0</v>
      </c>
      <c r="K3679" s="696">
        <f t="shared" ref="K3679" si="2843">I3679+J3679</f>
        <v>0</v>
      </c>
      <c r="L3679" s="696"/>
      <c r="M3679" s="659" t="str">
        <f>IF(AND(G3679&gt;0,E3679=0),"WARNING - no PRICE inserted",IF(H3679="free"," FREE ~ no charge this plant",IF(H3679="credit",CONCATENATE(" -$",ROUND(K3679*(1-T2GDiscount)*-1,2)," CREDIT after discount"),IF(T2GDiscount=0,"",IF(G3679=0,"",IF(F3679="Buy",CONCATENATE(" $",ROUND(K3679*(1-T2GDiscount),2)," with ",(T2GDiscount*100),"% discount"),CONCATENATE(" $",ROUND(K3679*(1-T2GDiscount),2)," with ",((T2GDiscount*100+F3679*100)-(T2GDiscount*100*F3679)),IF(F3679&gt;0,"% discounts",IF(NoWarrantyDiscount&gt;0,"% discounts","% discount")))))))))</f>
        <v/>
      </c>
      <c r="N3679" s="660"/>
      <c r="O3679" s="233"/>
      <c r="P3679" s="233"/>
      <c r="Q3679" s="233"/>
      <c r="R3679" s="233"/>
      <c r="S3679" s="233"/>
      <c r="T3679" s="508">
        <f t="shared" si="2822"/>
        <v>0</v>
      </c>
      <c r="U3679" s="225">
        <f>IF(NOT(ISNUMBER(G3679)), "", VLOOKUP(A3679,'Discount Lookup'!D:E,2,FALSE)*G3679)</f>
        <v>0</v>
      </c>
      <c r="V3679" s="225">
        <f>IF(NOT(ISNUMBER(G3679)), "", VLOOKUP(A3679,'Discount Lookup'!G:H,2,FALSE)*G3679)</f>
        <v>0</v>
      </c>
      <c r="W3679" s="508">
        <f t="shared" si="2823"/>
        <v>0</v>
      </c>
      <c r="X3679" s="508">
        <f t="shared" si="2824"/>
        <v>0</v>
      </c>
      <c r="Y3679" s="509" t="b">
        <f t="shared" si="2825"/>
        <v>0</v>
      </c>
      <c r="Z3679" s="510">
        <f t="shared" si="2826"/>
        <v>0</v>
      </c>
      <c r="AA3679" s="511"/>
      <c r="AB3679" s="511" t="str">
        <f t="shared" si="2827"/>
        <v/>
      </c>
      <c r="AC3679" s="698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698"/>
      <c r="AE3679" s="631" t="str">
        <f t="shared" si="2828"/>
        <v/>
      </c>
      <c r="AF3679" s="699" t="str">
        <f t="shared" si="2829"/>
        <v/>
      </c>
      <c r="AG3679" s="699"/>
      <c r="AH3679" s="699"/>
      <c r="AI3679" s="512">
        <f>IF(H3679="credit",0,IF(AE3679="free",0,IF(AE3679="me",0,IF(G3679&gt;0,(VLOOKUP(A3679,'Discount Lookup'!J:K,2)*G3679),0))))</f>
        <v>0</v>
      </c>
      <c r="AJ3679" s="513" t="str">
        <f t="shared" ca="1" si="2830"/>
        <v/>
      </c>
      <c r="AK3679" s="700" t="str">
        <f t="shared" si="2831"/>
        <v/>
      </c>
      <c r="AL3679" s="700"/>
      <c r="AM3679" s="505" t="str">
        <f t="shared" si="2832"/>
        <v/>
      </c>
      <c r="AN3679" s="506"/>
      <c r="AO3679" s="507"/>
      <c r="AP3679" s="507"/>
      <c r="AQ3679" s="507"/>
      <c r="AR3679" s="507"/>
      <c r="AS3679" s="507"/>
      <c r="AT3679" s="507"/>
      <c r="AU3679" s="507"/>
      <c r="AV3679" s="225"/>
      <c r="AW3679" s="508"/>
      <c r="AX3679" s="225"/>
      <c r="AY3679" s="225"/>
      <c r="AZ3679" s="225"/>
      <c r="BA3679" s="225"/>
      <c r="BB3679" s="225"/>
      <c r="BC3679" s="56"/>
      <c r="BD3679" s="56"/>
      <c r="BE3679" s="56"/>
      <c r="BF3679" s="107" t="str">
        <f t="shared" si="2833"/>
        <v>https://www.google.com/search?tbm=isch&amp;q=5%20G4</v>
      </c>
      <c r="BG3679" s="107" t="str">
        <f t="shared" si="2834"/>
        <v>S</v>
      </c>
      <c r="BH3679" s="254"/>
      <c r="BI3679" s="254"/>
    </row>
    <row r="3680" spans="1:61" customFormat="1" ht="17.25" thickBot="1" x14ac:dyDescent="0.3">
      <c r="A3680" s="524" t="s">
        <v>3929</v>
      </c>
      <c r="B3680" s="245"/>
      <c r="C3680" s="677"/>
      <c r="D3680" s="499"/>
      <c r="E3680" s="499"/>
      <c r="F3680" s="500"/>
      <c r="G3680" s="501"/>
      <c r="H3680" s="502"/>
      <c r="I3680" s="246"/>
      <c r="J3680" s="247"/>
      <c r="K3680" s="503"/>
      <c r="L3680" s="544"/>
      <c r="M3680" s="544"/>
      <c r="N3680" s="500"/>
      <c r="O3680" s="500"/>
      <c r="P3680" s="500"/>
      <c r="Q3680" s="500"/>
      <c r="R3680" s="500"/>
      <c r="S3680" s="278"/>
      <c r="T3680" s="508">
        <f t="shared" si="2822"/>
        <v>0</v>
      </c>
      <c r="U3680" s="225" t="str">
        <f>IF(NOT(ISNUMBER(G3680)), "", VLOOKUP(A3680,'Discount Lookup'!D:E,2,FALSE)*G3680)</f>
        <v/>
      </c>
      <c r="V3680" s="225" t="str">
        <f>IF(NOT(ISNUMBER(G3680)), "", VLOOKUP(A3680,'Discount Lookup'!G:H,2,FALSE)*G3680)</f>
        <v/>
      </c>
      <c r="W3680" s="508">
        <f t="shared" si="2823"/>
        <v>0</v>
      </c>
      <c r="X3680" s="508">
        <f t="shared" si="2824"/>
        <v>0</v>
      </c>
      <c r="Y3680" s="509" t="b">
        <f t="shared" si="2825"/>
        <v>0</v>
      </c>
      <c r="Z3680" s="510">
        <f t="shared" si="2826"/>
        <v>0</v>
      </c>
      <c r="AA3680" s="511"/>
      <c r="AB3680" s="511" t="str">
        <f t="shared" si="2827"/>
        <v/>
      </c>
      <c r="AC3680" s="698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698"/>
      <c r="AE3680" s="631" t="str">
        <f t="shared" si="2828"/>
        <v/>
      </c>
      <c r="AF3680" s="699" t="str">
        <f t="shared" si="2829"/>
        <v/>
      </c>
      <c r="AG3680" s="699"/>
      <c r="AH3680" s="699"/>
      <c r="AI3680" s="512">
        <f>IF(H3680="credit",0,IF(AE3680="free",0,IF(AE3680="me",0,IF(G3680&gt;0,(VLOOKUP(A3680,'Discount Lookup'!J:K,2)*G3680),0))))</f>
        <v>0</v>
      </c>
      <c r="AJ3680" s="513" t="str">
        <f t="shared" ca="1" si="2830"/>
        <v/>
      </c>
      <c r="AK3680" s="700" t="str">
        <f t="shared" si="2831"/>
        <v/>
      </c>
      <c r="AL3680" s="700"/>
      <c r="AM3680" s="505" t="str">
        <f t="shared" si="2832"/>
        <v/>
      </c>
      <c r="AN3680" s="506"/>
      <c r="AO3680" s="507"/>
      <c r="AP3680" s="507"/>
      <c r="AQ3680" s="507"/>
      <c r="AR3680" s="507"/>
      <c r="AS3680" s="507"/>
      <c r="AT3680" s="507"/>
      <c r="AU3680" s="507"/>
      <c r="AV3680" s="225"/>
      <c r="AW3680" s="508"/>
      <c r="AX3680" s="225"/>
      <c r="AY3680" s="225"/>
      <c r="AZ3680" s="225"/>
      <c r="BA3680" s="225"/>
      <c r="BB3680" s="225"/>
      <c r="BC3680" s="56"/>
      <c r="BD3680" s="56"/>
      <c r="BE3680" s="56"/>
      <c r="BF3680" s="107" t="str">
        <f t="shared" si="2833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3680" s="107" t="str">
        <f t="shared" si="2834"/>
        <v>S</v>
      </c>
      <c r="BH3680" s="254"/>
      <c r="BI3680" s="254"/>
    </row>
    <row r="3681" spans="1:61" customFormat="1" ht="18" x14ac:dyDescent="0.25">
      <c r="A3681" s="523" t="s">
        <v>1872</v>
      </c>
      <c r="B3681" s="235"/>
      <c r="C3681" s="676"/>
      <c r="D3681" s="255" t="s">
        <v>1873</v>
      </c>
      <c r="E3681" s="236"/>
      <c r="F3681" s="236"/>
      <c r="G3681" s="236"/>
      <c r="H3681" s="582" t="s">
        <v>308</v>
      </c>
      <c r="I3681" s="498" t="s">
        <v>654</v>
      </c>
      <c r="J3681" s="237"/>
      <c r="K3681" s="237"/>
      <c r="L3681" s="274"/>
      <c r="M3681" s="668" t="s">
        <v>4962</v>
      </c>
      <c r="N3681" s="681" t="str">
        <f>IF(AND(ISTEXT($A3681), ISERROR($A3681+0)), HYPERLINK($BF3681, "Images"), "")</f>
        <v>Images</v>
      </c>
      <c r="O3681" s="663" t="s">
        <v>4967</v>
      </c>
      <c r="P3681" s="253"/>
      <c r="Q3681" s="238"/>
      <c r="R3681" s="239"/>
      <c r="S3681" s="275" t="s">
        <v>305</v>
      </c>
      <c r="T3681" s="508">
        <f t="shared" si="2822"/>
        <v>0</v>
      </c>
      <c r="U3681" s="225" t="str">
        <f>IF(NOT(ISNUMBER(G3681)), "", VLOOKUP(A3681,'Discount Lookup'!D:E,2,FALSE)*G3681)</f>
        <v/>
      </c>
      <c r="V3681" s="225" t="str">
        <f>IF(NOT(ISNUMBER(G3681)), "", VLOOKUP(A3681,'Discount Lookup'!G:H,2,FALSE)*G3681)</f>
        <v/>
      </c>
      <c r="W3681" s="508">
        <f t="shared" si="2823"/>
        <v>0</v>
      </c>
      <c r="X3681" s="508" t="str">
        <f t="shared" si="2824"/>
        <v>White bloom</v>
      </c>
      <c r="Y3681" s="509" t="b">
        <f t="shared" si="2825"/>
        <v>0</v>
      </c>
      <c r="Z3681" s="510">
        <f t="shared" si="2826"/>
        <v>0</v>
      </c>
      <c r="AA3681" s="511"/>
      <c r="AB3681" s="511" t="str">
        <f t="shared" si="2827"/>
        <v/>
      </c>
      <c r="AC3681" s="698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698"/>
      <c r="AE3681" s="631" t="str">
        <f t="shared" si="2828"/>
        <v/>
      </c>
      <c r="AF3681" s="699" t="str">
        <f t="shared" si="2829"/>
        <v/>
      </c>
      <c r="AG3681" s="699"/>
      <c r="AH3681" s="699"/>
      <c r="AI3681" s="512">
        <f>IF(H3681="credit",0,IF(AE3681="free",0,IF(AE3681="me",0,IF(G3681&gt;0,(VLOOKUP(A3681,'Discount Lookup'!J:K,2)*G3681),0))))</f>
        <v>0</v>
      </c>
      <c r="AJ3681" s="513" t="str">
        <f t="shared" ca="1" si="2830"/>
        <v/>
      </c>
      <c r="AK3681" s="700" t="str">
        <f t="shared" si="2831"/>
        <v/>
      </c>
      <c r="AL3681" s="700"/>
      <c r="AM3681" s="505" t="str">
        <f t="shared" si="2832"/>
        <v/>
      </c>
      <c r="AN3681" s="506"/>
      <c r="AO3681" s="507"/>
      <c r="AP3681" s="507"/>
      <c r="AQ3681" s="507"/>
      <c r="AR3681" s="507"/>
      <c r="AS3681" s="507"/>
      <c r="AT3681" s="507"/>
      <c r="AU3681" s="507"/>
      <c r="AV3681" s="225"/>
      <c r="AW3681" s="508"/>
      <c r="AX3681" s="225"/>
      <c r="AY3681" s="225"/>
      <c r="AZ3681" s="225"/>
      <c r="BA3681" s="225"/>
      <c r="BB3681" s="225"/>
      <c r="BC3681" s="56"/>
      <c r="BD3681" s="56"/>
      <c r="BE3681" s="56"/>
      <c r="BF3681" s="107" t="str">
        <f t="shared" si="2833"/>
        <v>https://www.google.com/search?tbm=isch&amp;q=Sweetbay%20Magnolia%20Magnolia%20virginiana</v>
      </c>
      <c r="BG3681" s="107" t="str">
        <f t="shared" si="2834"/>
        <v>S</v>
      </c>
      <c r="BH3681" s="254"/>
      <c r="BI3681" s="254"/>
    </row>
    <row r="3682" spans="1:61" customFormat="1" ht="15.75" x14ac:dyDescent="0.25">
      <c r="A3682" s="276">
        <v>25</v>
      </c>
      <c r="B3682" s="240" t="s">
        <v>291</v>
      </c>
      <c r="C3682" s="241" t="s">
        <v>1874</v>
      </c>
      <c r="D3682" s="242" t="s">
        <v>300</v>
      </c>
      <c r="E3682" s="243">
        <v>257.95</v>
      </c>
      <c r="F3682" s="517" t="s">
        <v>293</v>
      </c>
      <c r="G3682" s="232">
        <v>0</v>
      </c>
      <c r="H3682" s="661" t="str">
        <f>IF(G3682=0,"",IF(F3682="Buy",IF(G3682=1,"plant","plants"),IF(F3682&gt;0.01,"warranty","Error")))</f>
        <v/>
      </c>
      <c r="I3682" s="244">
        <f>IF(H3682="free",0,IF(H3682="credit",((E3682*(F3682))*G3682*-1),IF(F3682="Buy",(E3682*G3682),((E3682*(1-F3682))*G3682))))</f>
        <v>0</v>
      </c>
      <c r="J3682" s="244">
        <f>IF(H3682="warranty",0,(I3682*(_xlfn.SINGLE(SalesTaxPercentage))))</f>
        <v>0</v>
      </c>
      <c r="K3682" s="696">
        <f t="shared" ref="K3682" si="2844">I3682+J3682</f>
        <v>0</v>
      </c>
      <c r="L3682" s="696"/>
      <c r="M3682" s="659" t="str">
        <f>IF(AND(G3682&gt;0,E3682=0),"WARNING - no PRICE inserted",IF(H3682="free"," FREE ~ no charge this plant",IF(H3682="credit",CONCATENATE(" -$",ROUND(K3682*(1-T2GDiscount)*-1,2)," CREDIT after discount"),IF(T2GDiscount=0,"",IF(G3682=0,"",IF(F3682="Buy",CONCATENATE(" $",ROUND(K3682*(1-T2GDiscount),2)," with ",(T2GDiscount*100),"% discount"),CONCATENATE(" $",ROUND(K3682*(1-T2GDiscount),2)," with ",((T2GDiscount*100+F3682*100)-(T2GDiscount*100*F3682)),IF(F3682&gt;0,"% discounts",IF(NoWarrantyDiscount&gt;0,"% discounts","% discount")))))))))</f>
        <v/>
      </c>
      <c r="N3682" s="660"/>
      <c r="O3682" s="233"/>
      <c r="P3682" s="233"/>
      <c r="Q3682" s="233"/>
      <c r="R3682" s="233"/>
      <c r="S3682" s="233"/>
      <c r="T3682" s="508">
        <f t="shared" si="2822"/>
        <v>0</v>
      </c>
      <c r="U3682" s="225">
        <f>IF(NOT(ISNUMBER(G3682)), "", VLOOKUP(A3682,'Discount Lookup'!D:E,2,FALSE)*G3682)</f>
        <v>0</v>
      </c>
      <c r="V3682" s="225">
        <f>IF(NOT(ISNUMBER(G3682)), "", VLOOKUP(A3682,'Discount Lookup'!G:H,2,FALSE)*G3682)</f>
        <v>0</v>
      </c>
      <c r="W3682" s="508">
        <f t="shared" si="2823"/>
        <v>0</v>
      </c>
      <c r="X3682" s="508">
        <f t="shared" si="2824"/>
        <v>0</v>
      </c>
      <c r="Y3682" s="509" t="b">
        <f t="shared" si="2825"/>
        <v>0</v>
      </c>
      <c r="Z3682" s="510">
        <f t="shared" si="2826"/>
        <v>0</v>
      </c>
      <c r="AA3682" s="511"/>
      <c r="AB3682" s="511" t="str">
        <f t="shared" si="2827"/>
        <v/>
      </c>
      <c r="AC3682" s="698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698"/>
      <c r="AE3682" s="631" t="str">
        <f t="shared" si="2828"/>
        <v/>
      </c>
      <c r="AF3682" s="699" t="str">
        <f t="shared" si="2829"/>
        <v/>
      </c>
      <c r="AG3682" s="699"/>
      <c r="AH3682" s="699"/>
      <c r="AI3682" s="512">
        <f>IF(H3682="credit",0,IF(AE3682="free",0,IF(AE3682="me",0,IF(G3682&gt;0,(VLOOKUP(A3682,'Discount Lookup'!J:K,2)*G3682),0))))</f>
        <v>0</v>
      </c>
      <c r="AJ3682" s="513" t="str">
        <f t="shared" ca="1" si="2830"/>
        <v/>
      </c>
      <c r="AK3682" s="700" t="str">
        <f t="shared" si="2831"/>
        <v/>
      </c>
      <c r="AL3682" s="700"/>
      <c r="AM3682" s="505" t="str">
        <f t="shared" si="2832"/>
        <v/>
      </c>
      <c r="AN3682" s="506"/>
      <c r="AO3682" s="507"/>
      <c r="AP3682" s="507"/>
      <c r="AQ3682" s="507"/>
      <c r="AR3682" s="507"/>
      <c r="AS3682" s="507"/>
      <c r="AT3682" s="507"/>
      <c r="AU3682" s="507"/>
      <c r="AV3682" s="225"/>
      <c r="AW3682" s="508"/>
      <c r="AX3682" s="225"/>
      <c r="AY3682" s="225"/>
      <c r="AZ3682" s="225"/>
      <c r="BA3682" s="225"/>
      <c r="BB3682" s="225"/>
      <c r="BC3682" s="56"/>
      <c r="BD3682" s="56"/>
      <c r="BE3682" s="56"/>
      <c r="BF3682" s="107" t="str">
        <f t="shared" si="2833"/>
        <v>https://www.google.com/search?tbm=isch&amp;q=25%20G6</v>
      </c>
      <c r="BG3682" s="107" t="str">
        <f t="shared" si="2834"/>
        <v>S</v>
      </c>
      <c r="BH3682" s="254"/>
      <c r="BI3682" s="254"/>
    </row>
    <row r="3683" spans="1:61" customFormat="1" ht="17.25" thickBot="1" x14ac:dyDescent="0.3">
      <c r="A3683" s="673" t="s">
        <v>5259</v>
      </c>
      <c r="B3683" s="245"/>
      <c r="C3683" s="677"/>
      <c r="D3683" s="499"/>
      <c r="E3683" s="499"/>
      <c r="F3683" s="500"/>
      <c r="G3683" s="501"/>
      <c r="H3683" s="502"/>
      <c r="I3683" s="246"/>
      <c r="J3683" s="247"/>
      <c r="K3683" s="503"/>
      <c r="L3683" s="544"/>
      <c r="M3683" s="544"/>
      <c r="N3683" s="500"/>
      <c r="O3683" s="500"/>
      <c r="P3683" s="500"/>
      <c r="Q3683" s="500"/>
      <c r="R3683" s="500"/>
      <c r="S3683" s="278"/>
      <c r="T3683" s="508">
        <f t="shared" si="2822"/>
        <v>0</v>
      </c>
      <c r="U3683" s="225" t="str">
        <f>IF(NOT(ISNUMBER(G3683)), "", VLOOKUP(A3683,'Discount Lookup'!D:E,2,FALSE)*G3683)</f>
        <v/>
      </c>
      <c r="V3683" s="225" t="str">
        <f>IF(NOT(ISNUMBER(G3683)), "", VLOOKUP(A3683,'Discount Lookup'!G:H,2,FALSE)*G3683)</f>
        <v/>
      </c>
      <c r="W3683" s="508">
        <f t="shared" si="2823"/>
        <v>0</v>
      </c>
      <c r="X3683" s="508">
        <f t="shared" si="2824"/>
        <v>0</v>
      </c>
      <c r="Y3683" s="509" t="b">
        <f t="shared" si="2825"/>
        <v>0</v>
      </c>
      <c r="Z3683" s="510">
        <f t="shared" si="2826"/>
        <v>0</v>
      </c>
      <c r="AA3683" s="511"/>
      <c r="AB3683" s="511" t="str">
        <f t="shared" si="2827"/>
        <v/>
      </c>
      <c r="AC3683" s="698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698"/>
      <c r="AE3683" s="631" t="str">
        <f t="shared" si="2828"/>
        <v/>
      </c>
      <c r="AF3683" s="699" t="str">
        <f t="shared" si="2829"/>
        <v/>
      </c>
      <c r="AG3683" s="699"/>
      <c r="AH3683" s="699"/>
      <c r="AI3683" s="512">
        <f>IF(H3683="credit",0,IF(AE3683="free",0,IF(AE3683="me",0,IF(G3683&gt;0,(VLOOKUP(A3683,'Discount Lookup'!J:K,2)*G3683),0))))</f>
        <v>0</v>
      </c>
      <c r="AJ3683" s="513" t="str">
        <f t="shared" ca="1" si="2830"/>
        <v/>
      </c>
      <c r="AK3683" s="700" t="str">
        <f t="shared" si="2831"/>
        <v/>
      </c>
      <c r="AL3683" s="700"/>
      <c r="AM3683" s="505" t="str">
        <f t="shared" si="2832"/>
        <v/>
      </c>
      <c r="AN3683" s="506"/>
      <c r="AO3683" s="507"/>
      <c r="AP3683" s="507"/>
      <c r="AQ3683" s="507"/>
      <c r="AR3683" s="507"/>
      <c r="AS3683" s="507"/>
      <c r="AT3683" s="507"/>
      <c r="AU3683" s="507"/>
      <c r="AV3683" s="225"/>
      <c r="AW3683" s="508"/>
      <c r="AX3683" s="225"/>
      <c r="AY3683" s="225"/>
      <c r="AZ3683" s="225"/>
      <c r="BA3683" s="225"/>
      <c r="BB3683" s="225"/>
      <c r="BC3683" s="56"/>
      <c r="BD3683" s="56"/>
      <c r="BE3683" s="56"/>
      <c r="BF3683" s="107" t="str">
        <f t="shared" si="2833"/>
        <v>https://www.google.com/search?tbm=isch&amp;q=wet%20sites%F0%9F%92%A7GOOD%2C%20Sweetbay%27s%20lemon-scented%20blooms%20appear%20sporadically%20through%20summer%20</v>
      </c>
      <c r="BG3683" s="107" t="str">
        <f t="shared" si="2834"/>
        <v>w</v>
      </c>
      <c r="BH3683" s="254"/>
      <c r="BI3683" s="254"/>
    </row>
    <row r="3684" spans="1:61" customFormat="1" ht="18" x14ac:dyDescent="0.25">
      <c r="A3684" s="521" t="s">
        <v>5625</v>
      </c>
      <c r="B3684" s="477"/>
      <c r="C3684" s="674"/>
      <c r="D3684" s="478" t="s">
        <v>878</v>
      </c>
      <c r="E3684" s="479"/>
      <c r="F3684" s="479"/>
      <c r="G3684" s="479"/>
      <c r="H3684" s="582" t="s">
        <v>873</v>
      </c>
      <c r="I3684" s="480" t="s">
        <v>2092</v>
      </c>
      <c r="J3684" s="479"/>
      <c r="K3684" s="479"/>
      <c r="L3684" s="560"/>
      <c r="M3684" s="666" t="s">
        <v>4966</v>
      </c>
      <c r="N3684" s="680" t="str">
        <f>IF(AND(ISTEXT($A3684), ISERROR($A3684+0)), HYPERLINK($BF3684, "Images"), "")</f>
        <v>Images</v>
      </c>
      <c r="O3684" s="662" t="s">
        <v>4969</v>
      </c>
      <c r="P3684" s="482"/>
      <c r="Q3684" s="483"/>
      <c r="R3684" s="483"/>
      <c r="S3684" s="484"/>
      <c r="T3684" s="508">
        <f t="shared" si="2822"/>
        <v>0</v>
      </c>
      <c r="U3684" s="225" t="str">
        <f>IF(NOT(ISNUMBER(G3684)), "", VLOOKUP(A3684,'Discount Lookup'!D:E,2,FALSE)*G3684)</f>
        <v/>
      </c>
      <c r="V3684" s="225" t="str">
        <f>IF(NOT(ISNUMBER(G3684)), "", VLOOKUP(A3684,'Discount Lookup'!G:H,2,FALSE)*G3684)</f>
        <v/>
      </c>
      <c r="W3684" s="508">
        <f t="shared" si="2823"/>
        <v>0</v>
      </c>
      <c r="X3684" s="508" t="str">
        <f t="shared" si="2824"/>
        <v>Blue-Green foliage</v>
      </c>
      <c r="Y3684" s="509" t="b">
        <f t="shared" si="2825"/>
        <v>0</v>
      </c>
      <c r="Z3684" s="510">
        <f t="shared" si="2826"/>
        <v>0</v>
      </c>
      <c r="AA3684" s="511"/>
      <c r="AB3684" s="511" t="str">
        <f t="shared" si="2827"/>
        <v/>
      </c>
      <c r="AC3684" s="698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698"/>
      <c r="AE3684" s="631" t="str">
        <f t="shared" si="2828"/>
        <v/>
      </c>
      <c r="AF3684" s="699" t="str">
        <f t="shared" si="2829"/>
        <v/>
      </c>
      <c r="AG3684" s="699"/>
      <c r="AH3684" s="699"/>
      <c r="AI3684" s="512">
        <f>IF(H3684="credit",0,IF(AE3684="free",0,IF(AE3684="me",0,IF(G3684&gt;0,(VLOOKUP(A3684,'Discount Lookup'!J:K,2)*G3684),0))))</f>
        <v>0</v>
      </c>
      <c r="AJ3684" s="513" t="str">
        <f t="shared" ca="1" si="2830"/>
        <v/>
      </c>
      <c r="AK3684" s="700" t="str">
        <f t="shared" si="2831"/>
        <v/>
      </c>
      <c r="AL3684" s="700"/>
      <c r="AM3684" s="505" t="str">
        <f t="shared" si="2832"/>
        <v/>
      </c>
      <c r="AN3684" s="506"/>
      <c r="AO3684" s="507"/>
      <c r="AP3684" s="507"/>
      <c r="AQ3684" s="507"/>
      <c r="AR3684" s="507"/>
      <c r="AS3684" s="507"/>
      <c r="AT3684" s="507"/>
      <c r="AU3684" s="507"/>
      <c r="AV3684" s="225"/>
      <c r="AW3684" s="508"/>
      <c r="AX3684" s="225"/>
      <c r="AY3684" s="225"/>
      <c r="AZ3684" s="225"/>
      <c r="BA3684" s="225"/>
      <c r="BB3684" s="225"/>
      <c r="BC3684" s="56"/>
      <c r="BD3684" s="56"/>
      <c r="BE3684" s="56"/>
      <c r="BF3684" s="107" t="str">
        <f t="shared" si="2833"/>
        <v>https://www.google.com/search?tbm=isch&amp;q=Swing%20Low%C2%AE%20Distylium%20%28FE%C2%AE%29%20Distylium%20%27PIIDIST-VI%27%20PP%2329779</v>
      </c>
      <c r="BG3684" s="107" t="str">
        <f t="shared" si="2834"/>
        <v>S</v>
      </c>
      <c r="BH3684" s="254"/>
      <c r="BI3684" s="254"/>
    </row>
    <row r="3685" spans="1:61" customFormat="1" ht="15.75" x14ac:dyDescent="0.25">
      <c r="A3685" s="485">
        <v>3</v>
      </c>
      <c r="B3685" s="486" t="s">
        <v>291</v>
      </c>
      <c r="C3685" s="487" t="s">
        <v>4822</v>
      </c>
      <c r="D3685" s="488" t="s">
        <v>312</v>
      </c>
      <c r="E3685" s="489">
        <v>33.950000000000003</v>
      </c>
      <c r="F3685" s="516" t="s">
        <v>293</v>
      </c>
      <c r="G3685" s="232">
        <v>0</v>
      </c>
      <c r="H3685" s="658" t="str">
        <f>IF(G3685=0,"",IF(F3685="Buy",IF(G3685=1,"plant","plants"),IF(F3685&gt;0.01,"warranty","Error")))</f>
        <v/>
      </c>
      <c r="I3685" s="490">
        <f>IF(H3685="free",0,IF(H3685="credit",((E3685*(F3685))*G3685*-1),IF(F3685="Buy",(E3685*G3685),((E3685*(1-F3685))*G3685))))</f>
        <v>0</v>
      </c>
      <c r="J3685" s="490">
        <f>IF(H3685="warranty",0,(I3685*(_xlfn.SINGLE(SalesTaxPercentage))))</f>
        <v>0</v>
      </c>
      <c r="K3685" s="695">
        <f t="shared" ref="K3685" si="2845">I3685+J3685</f>
        <v>0</v>
      </c>
      <c r="L3685" s="695"/>
      <c r="M3685" s="659" t="str">
        <f>IF(AND(G3685&gt;0,E3685=0),"WARNING - no PRICE inserted",IF(H3685="free"," FREE ~ no charge this plant",IF(H3685="credit",CONCATENATE(" -$",ROUND(K3685*(1-T2GDiscount)*-1,2)," CREDIT after discount"),IF(T2GDiscount=0,"",IF(G3685=0,"",IF(F3685="Buy",CONCATENATE(" $",ROUND(K3685*(1-T2GDiscount),2)," with ",(T2GDiscount*100),"% discount"),CONCATENATE(" $",ROUND(K3685*(1-T2GDiscount),2)," with ",((T2GDiscount*100+F3685*100)-(T2GDiscount*100*F3685)),IF(F3685&gt;0,"% discounts",IF(NoWarrantyDiscount&gt;0,"% discounts","% discount")))))))))</f>
        <v/>
      </c>
      <c r="N3685" s="660"/>
      <c r="O3685" s="233"/>
      <c r="P3685" s="233"/>
      <c r="Q3685" s="233"/>
      <c r="R3685" s="233"/>
      <c r="S3685" s="233"/>
      <c r="T3685" s="508">
        <f t="shared" si="2822"/>
        <v>0</v>
      </c>
      <c r="U3685" s="225">
        <f>IF(NOT(ISNUMBER(G3685)), "", VLOOKUP(A3685,'Discount Lookup'!D:E,2,FALSE)*G3685)</f>
        <v>0</v>
      </c>
      <c r="V3685" s="225">
        <f>IF(NOT(ISNUMBER(G3685)), "", VLOOKUP(A3685,'Discount Lookup'!G:H,2,FALSE)*G3685)</f>
        <v>0</v>
      </c>
      <c r="W3685" s="508">
        <f t="shared" si="2823"/>
        <v>0</v>
      </c>
      <c r="X3685" s="508">
        <f t="shared" si="2824"/>
        <v>0</v>
      </c>
      <c r="Y3685" s="509" t="b">
        <f t="shared" si="2825"/>
        <v>0</v>
      </c>
      <c r="Z3685" s="510">
        <f t="shared" si="2826"/>
        <v>0</v>
      </c>
      <c r="AA3685" s="511"/>
      <c r="AB3685" s="511" t="str">
        <f t="shared" si="2827"/>
        <v/>
      </c>
      <c r="AC3685" s="698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698"/>
      <c r="AE3685" s="631" t="str">
        <f t="shared" si="2828"/>
        <v/>
      </c>
      <c r="AF3685" s="699" t="str">
        <f t="shared" si="2829"/>
        <v/>
      </c>
      <c r="AG3685" s="699"/>
      <c r="AH3685" s="699"/>
      <c r="AI3685" s="512">
        <f>IF(H3685="credit",0,IF(AE3685="free",0,IF(AE3685="me",0,IF(G3685&gt;0,(VLOOKUP(A3685,'Discount Lookup'!J:K,2)*G3685),0))))</f>
        <v>0</v>
      </c>
      <c r="AJ3685" s="513" t="str">
        <f t="shared" ca="1" si="2830"/>
        <v/>
      </c>
      <c r="AK3685" s="700" t="str">
        <f t="shared" si="2831"/>
        <v/>
      </c>
      <c r="AL3685" s="700"/>
      <c r="AM3685" s="505" t="str">
        <f t="shared" si="2832"/>
        <v/>
      </c>
      <c r="AN3685" s="506"/>
      <c r="AO3685" s="507"/>
      <c r="AP3685" s="507"/>
      <c r="AQ3685" s="507"/>
      <c r="AR3685" s="507"/>
      <c r="AS3685" s="507"/>
      <c r="AT3685" s="507"/>
      <c r="AU3685" s="507"/>
      <c r="AV3685" s="225"/>
      <c r="AW3685" s="508"/>
      <c r="AX3685" s="225"/>
      <c r="AY3685" s="225"/>
      <c r="AZ3685" s="225"/>
      <c r="BA3685" s="225"/>
      <c r="BB3685" s="225"/>
      <c r="BC3685" s="56"/>
      <c r="BD3685" s="56"/>
      <c r="BE3685" s="56"/>
      <c r="BF3685" s="107" t="str">
        <f t="shared" si="2833"/>
        <v>https://www.google.com/search?tbm=isch&amp;q=3%20G2</v>
      </c>
      <c r="BG3685" s="107" t="str">
        <f t="shared" si="2834"/>
        <v>S</v>
      </c>
      <c r="BH3685" s="254"/>
      <c r="BI3685" s="254"/>
    </row>
    <row r="3686" spans="1:61" customFormat="1" ht="15.75" x14ac:dyDescent="0.25">
      <c r="A3686" s="485">
        <v>3</v>
      </c>
      <c r="B3686" s="486" t="s">
        <v>291</v>
      </c>
      <c r="C3686" s="487" t="s">
        <v>4688</v>
      </c>
      <c r="D3686" s="488" t="s">
        <v>299</v>
      </c>
      <c r="E3686" s="489">
        <v>36.950000000000003</v>
      </c>
      <c r="F3686" s="516" t="s">
        <v>293</v>
      </c>
      <c r="G3686" s="232">
        <v>0</v>
      </c>
      <c r="H3686" s="658" t="str">
        <f>IF(G3686=0,"",IF(F3686="Buy",IF(G3686=1,"plant","plants"),IF(F3686&gt;0.01,"warranty","Error")))</f>
        <v/>
      </c>
      <c r="I3686" s="490">
        <f>IF(H3686="free",0,IF(H3686="credit",((E3686*(F3686))*G3686*-1),IF(F3686="Buy",(E3686*G3686),((E3686*(1-F3686))*G3686))))</f>
        <v>0</v>
      </c>
      <c r="J3686" s="490">
        <f>IF(H3686="warranty",0,(I3686*(_xlfn.SINGLE(SalesTaxPercentage))))</f>
        <v>0</v>
      </c>
      <c r="K3686" s="695">
        <f t="shared" ref="K3686" si="2846">I3686+J3686</f>
        <v>0</v>
      </c>
      <c r="L3686" s="695"/>
      <c r="M3686" s="659" t="str">
        <f>IF(AND(G3686&gt;0,E3686=0),"WARNING - no PRICE inserted",IF(H3686="free"," FREE ~ no charge this plant",IF(H3686="credit",CONCATENATE(" -$",ROUND(K3686*(1-T2GDiscount)*-1,2)," CREDIT after discount"),IF(T2GDiscount=0,"",IF(G3686=0,"",IF(F3686="Buy",CONCATENATE(" $",ROUND(K3686*(1-T2GDiscount),2)," with ",(T2GDiscount*100),"% discount"),CONCATENATE(" $",ROUND(K3686*(1-T2GDiscount),2)," with ",((T2GDiscount*100+F3686*100)-(T2GDiscount*100*F3686)),IF(F3686&gt;0,"% discounts",IF(NoWarrantyDiscount&gt;0,"% discounts","% discount")))))))))</f>
        <v/>
      </c>
      <c r="N3686" s="660"/>
      <c r="O3686" s="233"/>
      <c r="P3686" s="233"/>
      <c r="Q3686" s="233"/>
      <c r="R3686" s="233"/>
      <c r="S3686" s="233"/>
      <c r="T3686" s="508">
        <f t="shared" si="2822"/>
        <v>0</v>
      </c>
      <c r="U3686" s="225">
        <f>IF(NOT(ISNUMBER(G3686)), "", VLOOKUP(A3686,'Discount Lookup'!D:E,2,FALSE)*G3686)</f>
        <v>0</v>
      </c>
      <c r="V3686" s="225">
        <f>IF(NOT(ISNUMBER(G3686)), "", VLOOKUP(A3686,'Discount Lookup'!G:H,2,FALSE)*G3686)</f>
        <v>0</v>
      </c>
      <c r="W3686" s="508">
        <f t="shared" si="2823"/>
        <v>0</v>
      </c>
      <c r="X3686" s="508">
        <f t="shared" si="2824"/>
        <v>0</v>
      </c>
      <c r="Y3686" s="509" t="b">
        <f t="shared" si="2825"/>
        <v>0</v>
      </c>
      <c r="Z3686" s="510">
        <f t="shared" si="2826"/>
        <v>0</v>
      </c>
      <c r="AA3686" s="511"/>
      <c r="AB3686" s="511" t="str">
        <f t="shared" si="2827"/>
        <v/>
      </c>
      <c r="AC3686" s="698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698"/>
      <c r="AE3686" s="631" t="str">
        <f t="shared" si="2828"/>
        <v/>
      </c>
      <c r="AF3686" s="699" t="str">
        <f t="shared" si="2829"/>
        <v/>
      </c>
      <c r="AG3686" s="699"/>
      <c r="AH3686" s="699"/>
      <c r="AI3686" s="512">
        <f>IF(H3686="credit",0,IF(AE3686="free",0,IF(AE3686="me",0,IF(G3686&gt;0,(VLOOKUP(A3686,'Discount Lookup'!J:K,2)*G3686),0))))</f>
        <v>0</v>
      </c>
      <c r="AJ3686" s="513" t="str">
        <f t="shared" ca="1" si="2830"/>
        <v/>
      </c>
      <c r="AK3686" s="700" t="str">
        <f t="shared" si="2831"/>
        <v/>
      </c>
      <c r="AL3686" s="700"/>
      <c r="AM3686" s="505" t="str">
        <f t="shared" si="2832"/>
        <v/>
      </c>
      <c r="AN3686" s="506"/>
      <c r="AO3686" s="507"/>
      <c r="AP3686" s="507"/>
      <c r="AQ3686" s="507"/>
      <c r="AR3686" s="507"/>
      <c r="AS3686" s="507"/>
      <c r="AT3686" s="507"/>
      <c r="AU3686" s="507"/>
      <c r="AV3686" s="225"/>
      <c r="AW3686" s="508"/>
      <c r="AX3686" s="225"/>
      <c r="AY3686" s="225"/>
      <c r="AZ3686" s="225"/>
      <c r="BA3686" s="225"/>
      <c r="BB3686" s="225"/>
      <c r="BC3686" s="56"/>
      <c r="BD3686" s="56"/>
      <c r="BE3686" s="56"/>
      <c r="BF3686" s="107" t="str">
        <f t="shared" si="2833"/>
        <v>https://www.google.com/search?tbm=isch&amp;q=3%20G5</v>
      </c>
      <c r="BG3686" s="107" t="str">
        <f t="shared" si="2834"/>
        <v>S</v>
      </c>
      <c r="BH3686" s="254"/>
      <c r="BI3686" s="254"/>
    </row>
    <row r="3687" spans="1:61" customFormat="1" ht="15.75" x14ac:dyDescent="0.25">
      <c r="A3687" s="485">
        <v>7</v>
      </c>
      <c r="B3687" s="486" t="s">
        <v>291</v>
      </c>
      <c r="C3687" s="487" t="s">
        <v>2207</v>
      </c>
      <c r="D3687" s="488" t="s">
        <v>300</v>
      </c>
      <c r="E3687" s="489">
        <v>80.95</v>
      </c>
      <c r="F3687" s="516" t="s">
        <v>293</v>
      </c>
      <c r="G3687" s="232">
        <v>0</v>
      </c>
      <c r="H3687" s="658" t="str">
        <f>IF(G3687=0,"",IF(F3687="Buy",IF(G3687=1,"plant","plants"),IF(F3687&gt;0.01,"warranty","Error")))</f>
        <v/>
      </c>
      <c r="I3687" s="490">
        <f>IF(H3687="free",0,IF(H3687="credit",((E3687*(F3687))*G3687*-1),IF(F3687="Buy",(E3687*G3687),((E3687*(1-F3687))*G3687))))</f>
        <v>0</v>
      </c>
      <c r="J3687" s="490">
        <f>IF(H3687="warranty",0,(I3687*(_xlfn.SINGLE(SalesTaxPercentage))))</f>
        <v>0</v>
      </c>
      <c r="K3687" s="695">
        <f t="shared" ref="K3687" si="2847">I3687+J3687</f>
        <v>0</v>
      </c>
      <c r="L3687" s="695"/>
      <c r="M3687" s="659" t="str">
        <f>IF(AND(G3687&gt;0,E3687=0),"WARNING - no PRICE inserted",IF(H3687="free"," FREE ~ no charge this plant",IF(H3687="credit",CONCATENATE(" -$",ROUND(K3687*(1-T2GDiscount)*-1,2)," CREDIT after discount"),IF(T2GDiscount=0,"",IF(G3687=0,"",IF(F3687="Buy",CONCATENATE(" $",ROUND(K3687*(1-T2GDiscount),2)," with ",(T2GDiscount*100),"% discount"),CONCATENATE(" $",ROUND(K3687*(1-T2GDiscount),2)," with ",((T2GDiscount*100+F3687*100)-(T2GDiscount*100*F3687)),IF(F3687&gt;0,"% discounts",IF(NoWarrantyDiscount&gt;0,"% discounts","% discount")))))))))</f>
        <v/>
      </c>
      <c r="N3687" s="660"/>
      <c r="O3687" s="233"/>
      <c r="P3687" s="233"/>
      <c r="Q3687" s="233"/>
      <c r="R3687" s="233"/>
      <c r="S3687" s="233"/>
      <c r="T3687" s="508">
        <f t="shared" si="2822"/>
        <v>0</v>
      </c>
      <c r="U3687" s="225">
        <f>IF(NOT(ISNUMBER(G3687)), "", VLOOKUP(A3687,'Discount Lookup'!D:E,2,FALSE)*G3687)</f>
        <v>0</v>
      </c>
      <c r="V3687" s="225">
        <f>IF(NOT(ISNUMBER(G3687)), "", VLOOKUP(A3687,'Discount Lookup'!G:H,2,FALSE)*G3687)</f>
        <v>0</v>
      </c>
      <c r="W3687" s="508">
        <f t="shared" si="2823"/>
        <v>0</v>
      </c>
      <c r="X3687" s="508">
        <f t="shared" si="2824"/>
        <v>0</v>
      </c>
      <c r="Y3687" s="509" t="b">
        <f t="shared" si="2825"/>
        <v>0</v>
      </c>
      <c r="Z3687" s="510">
        <f t="shared" si="2826"/>
        <v>0</v>
      </c>
      <c r="AA3687" s="511"/>
      <c r="AB3687" s="511" t="str">
        <f t="shared" si="2827"/>
        <v/>
      </c>
      <c r="AC3687" s="698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698"/>
      <c r="AE3687" s="631" t="str">
        <f t="shared" si="2828"/>
        <v/>
      </c>
      <c r="AF3687" s="699" t="str">
        <f t="shared" si="2829"/>
        <v/>
      </c>
      <c r="AG3687" s="699"/>
      <c r="AH3687" s="699"/>
      <c r="AI3687" s="512">
        <f>IF(H3687="credit",0,IF(AE3687="free",0,IF(AE3687="me",0,IF(G3687&gt;0,(VLOOKUP(A3687,'Discount Lookup'!J:K,2)*G3687),0))))</f>
        <v>0</v>
      </c>
      <c r="AJ3687" s="513" t="str">
        <f t="shared" ca="1" si="2830"/>
        <v/>
      </c>
      <c r="AK3687" s="700" t="str">
        <f t="shared" si="2831"/>
        <v/>
      </c>
      <c r="AL3687" s="700"/>
      <c r="AM3687" s="505" t="str">
        <f t="shared" si="2832"/>
        <v/>
      </c>
      <c r="AN3687" s="506"/>
      <c r="AO3687" s="507"/>
      <c r="AP3687" s="507"/>
      <c r="AQ3687" s="507"/>
      <c r="AR3687" s="507"/>
      <c r="AS3687" s="507"/>
      <c r="AT3687" s="507"/>
      <c r="AU3687" s="507"/>
      <c r="AV3687" s="225"/>
      <c r="AW3687" s="508"/>
      <c r="AX3687" s="225"/>
      <c r="AY3687" s="225"/>
      <c r="AZ3687" s="225"/>
      <c r="BA3687" s="225"/>
      <c r="BB3687" s="225"/>
      <c r="BC3687" s="56"/>
      <c r="BD3687" s="56"/>
      <c r="BE3687" s="56"/>
      <c r="BF3687" s="107" t="str">
        <f t="shared" si="2833"/>
        <v>https://www.google.com/search?tbm=isch&amp;q=7%20G6</v>
      </c>
      <c r="BG3687" s="107" t="str">
        <f t="shared" si="2834"/>
        <v>S</v>
      </c>
      <c r="BH3687" s="254"/>
      <c r="BI3687" s="254"/>
    </row>
    <row r="3688" spans="1:61" customFormat="1" ht="15.75" x14ac:dyDescent="0.25">
      <c r="A3688" s="522" t="s">
        <v>4176</v>
      </c>
      <c r="B3688" s="491"/>
      <c r="C3688" s="675"/>
      <c r="D3688" s="491"/>
      <c r="E3688" s="491"/>
      <c r="F3688" s="492"/>
      <c r="G3688" s="493"/>
      <c r="H3688" s="491"/>
      <c r="I3688" s="234"/>
      <c r="J3688" s="234"/>
      <c r="K3688" s="494"/>
      <c r="L3688" s="543"/>
      <c r="M3688" s="561"/>
      <c r="N3688" s="495"/>
      <c r="O3688" s="496"/>
      <c r="P3688" s="497"/>
      <c r="Q3688" s="495"/>
      <c r="R3688" s="495"/>
      <c r="S3688" s="667" t="s">
        <v>4968</v>
      </c>
      <c r="T3688" s="508">
        <f t="shared" si="2822"/>
        <v>0</v>
      </c>
      <c r="U3688" s="225" t="str">
        <f>IF(NOT(ISNUMBER(G3688)), "", VLOOKUP(A3688,'Discount Lookup'!D:E,2,FALSE)*G3688)</f>
        <v/>
      </c>
      <c r="V3688" s="225" t="str">
        <f>IF(NOT(ISNUMBER(G3688)), "", VLOOKUP(A3688,'Discount Lookup'!G:H,2,FALSE)*G3688)</f>
        <v/>
      </c>
      <c r="W3688" s="508">
        <f t="shared" si="2823"/>
        <v>0</v>
      </c>
      <c r="X3688" s="508">
        <f t="shared" si="2824"/>
        <v>0</v>
      </c>
      <c r="Y3688" s="509" t="b">
        <f t="shared" si="2825"/>
        <v>0</v>
      </c>
      <c r="Z3688" s="510">
        <f t="shared" si="2826"/>
        <v>0</v>
      </c>
      <c r="AA3688" s="511"/>
      <c r="AB3688" s="511" t="str">
        <f t="shared" si="2827"/>
        <v/>
      </c>
      <c r="AC3688" s="698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698"/>
      <c r="AE3688" s="631" t="str">
        <f t="shared" si="2828"/>
        <v/>
      </c>
      <c r="AF3688" s="699" t="str">
        <f t="shared" si="2829"/>
        <v/>
      </c>
      <c r="AG3688" s="699"/>
      <c r="AH3688" s="699"/>
      <c r="AI3688" s="512">
        <f>IF(H3688="credit",0,IF(AE3688="free",0,IF(AE3688="me",0,IF(G3688&gt;0,(VLOOKUP(A3688,'Discount Lookup'!J:K,2)*G3688),0))))</f>
        <v>0</v>
      </c>
      <c r="AJ3688" s="513" t="str">
        <f t="shared" ca="1" si="2830"/>
        <v/>
      </c>
      <c r="AK3688" s="700" t="str">
        <f t="shared" si="2831"/>
        <v/>
      </c>
      <c r="AL3688" s="700"/>
      <c r="AM3688" s="505" t="str">
        <f t="shared" si="2832"/>
        <v/>
      </c>
      <c r="AN3688" s="506"/>
      <c r="AO3688" s="507"/>
      <c r="AP3688" s="507"/>
      <c r="AQ3688" s="507"/>
      <c r="AR3688" s="507"/>
      <c r="AS3688" s="507"/>
      <c r="AT3688" s="507"/>
      <c r="AU3688" s="507"/>
      <c r="AV3688" s="225"/>
      <c r="AW3688" s="508"/>
      <c r="AX3688" s="225"/>
      <c r="AY3688" s="225"/>
      <c r="AZ3688" s="225"/>
      <c r="BA3688" s="225"/>
      <c r="BB3688" s="225"/>
      <c r="BC3688" s="56"/>
      <c r="BD3688" s="56"/>
      <c r="BE3688" s="56"/>
      <c r="BF3688" s="107" t="str">
        <f t="shared" si="2833"/>
        <v>https://www.google.com/search?tbm=isch&amp;q=Swing%20Low%20jbiwb%20for%20low-growing%2C%20cascading%20habit.%20Small%20Reddish-Maroon%20flowers%20late%20winter%20to%20early%20spring.%20Heat%2Fdrought%20tolerant%20</v>
      </c>
      <c r="BG3688" s="107" t="str">
        <f t="shared" si="2834"/>
        <v>S</v>
      </c>
      <c r="BH3688" s="254"/>
      <c r="BI3688" s="254"/>
    </row>
    <row r="3689" spans="1:61" customFormat="1" ht="45.75" thickBot="1" x14ac:dyDescent="0.35">
      <c r="A3689" s="525" t="s">
        <v>1875</v>
      </c>
      <c r="B3689" s="248"/>
      <c r="C3689" s="678" t="s">
        <v>673</v>
      </c>
      <c r="D3689" s="249"/>
      <c r="E3689" s="249"/>
      <c r="F3689" s="249"/>
      <c r="G3689" s="249"/>
      <c r="H3689" s="250"/>
      <c r="I3689" s="249"/>
      <c r="J3689" s="249"/>
      <c r="K3689" s="526" t="s">
        <v>2840</v>
      </c>
      <c r="L3689" s="279"/>
      <c r="M3689" s="251"/>
      <c r="S3689" s="504" t="s">
        <v>2841</v>
      </c>
      <c r="T3689" s="508">
        <f t="shared" si="2822"/>
        <v>0</v>
      </c>
      <c r="U3689" s="225" t="str">
        <f>IF(NOT(ISNUMBER(G3689)), "", VLOOKUP(A3689,'Discount Lookup'!D:E,2,FALSE)*G3689)</f>
        <v/>
      </c>
      <c r="V3689" s="225" t="str">
        <f>IF(NOT(ISNUMBER(G3689)), "", VLOOKUP(A3689,'Discount Lookup'!G:H,2,FALSE)*G3689)</f>
        <v/>
      </c>
      <c r="W3689" s="508">
        <f t="shared" si="2823"/>
        <v>0</v>
      </c>
      <c r="X3689" s="508">
        <f t="shared" si="2824"/>
        <v>0</v>
      </c>
      <c r="Y3689" s="509" t="b">
        <f t="shared" si="2825"/>
        <v>0</v>
      </c>
      <c r="Z3689" s="510">
        <f t="shared" si="2826"/>
        <v>0</v>
      </c>
      <c r="AA3689" s="511"/>
      <c r="AB3689" s="511" t="str">
        <f t="shared" si="2827"/>
        <v/>
      </c>
      <c r="AC3689" s="698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698"/>
      <c r="AE3689" s="631" t="str">
        <f t="shared" si="2828"/>
        <v/>
      </c>
      <c r="AF3689" s="699" t="str">
        <f t="shared" si="2829"/>
        <v/>
      </c>
      <c r="AG3689" s="699"/>
      <c r="AH3689" s="699"/>
      <c r="AI3689" s="512">
        <f>IF(H3689="credit",0,IF(AE3689="free",0,IF(AE3689="me",0,IF(G3689&gt;0,(VLOOKUP(A3689,'Discount Lookup'!J:K,2)*G3689),0))))</f>
        <v>0</v>
      </c>
      <c r="AJ3689" s="513" t="str">
        <f t="shared" ca="1" si="2830"/>
        <v/>
      </c>
      <c r="AK3689" s="700" t="str">
        <f t="shared" si="2831"/>
        <v/>
      </c>
      <c r="AL3689" s="700"/>
      <c r="AM3689" s="505" t="str">
        <f t="shared" si="2832"/>
        <v/>
      </c>
      <c r="AN3689" s="506"/>
      <c r="AO3689" s="507"/>
      <c r="AP3689" s="507"/>
      <c r="AQ3689" s="507"/>
      <c r="AR3689" s="507"/>
      <c r="AS3689" s="507"/>
      <c r="AT3689" s="507"/>
      <c r="AU3689" s="507"/>
      <c r="AV3689" s="225"/>
      <c r="AW3689" s="508"/>
      <c r="AX3689" s="225"/>
      <c r="AY3689" s="225"/>
      <c r="AZ3689" s="225"/>
      <c r="BA3689" s="225"/>
      <c r="BB3689" s="225"/>
      <c r="BC3689" s="56"/>
      <c r="BD3689" s="56"/>
      <c r="BE3689" s="56"/>
      <c r="BF3689" s="107" t="str">
        <f t="shared" si="2833"/>
        <v>https://www.google.com/search?tbm=isch&amp;q=T%20</v>
      </c>
      <c r="BG3689" s="107" t="str">
        <f t="shared" si="2834"/>
        <v>T</v>
      </c>
      <c r="BH3689" s="254"/>
      <c r="BI3689" s="254"/>
    </row>
    <row r="3690" spans="1:61" customFormat="1" ht="18" x14ac:dyDescent="0.25">
      <c r="A3690" s="521" t="s">
        <v>5554</v>
      </c>
      <c r="B3690" s="477"/>
      <c r="C3690" s="674"/>
      <c r="D3690" s="478" t="s">
        <v>1876</v>
      </c>
      <c r="E3690" s="479"/>
      <c r="F3690" s="479"/>
      <c r="G3690" s="479"/>
      <c r="H3690" s="582" t="s">
        <v>337</v>
      </c>
      <c r="I3690" s="480" t="s">
        <v>2109</v>
      </c>
      <c r="J3690" s="479"/>
      <c r="K3690" s="479"/>
      <c r="L3690" s="560"/>
      <c r="M3690" s="666" t="s">
        <v>4963</v>
      </c>
      <c r="N3690" s="680" t="str">
        <f>IF(AND(ISTEXT($A3690), ISERROR($A3690+0)), HYPERLINK($BF3690, "Images"), "")</f>
        <v>Images</v>
      </c>
      <c r="O3690" s="662" t="s">
        <v>4974</v>
      </c>
      <c r="P3690" s="482"/>
      <c r="Q3690" s="483"/>
      <c r="R3690" s="483"/>
      <c r="S3690" s="484"/>
      <c r="T3690" s="508">
        <f t="shared" si="2822"/>
        <v>0</v>
      </c>
      <c r="U3690" s="225" t="str">
        <f>IF(NOT(ISNUMBER(G3690)), "", VLOOKUP(A3690,'Discount Lookup'!D:E,2,FALSE)*G3690)</f>
        <v/>
      </c>
      <c r="V3690" s="225" t="str">
        <f>IF(NOT(ISNUMBER(G3690)), "", VLOOKUP(A3690,'Discount Lookup'!G:H,2,FALSE)*G3690)</f>
        <v/>
      </c>
      <c r="W3690" s="508">
        <f t="shared" si="2823"/>
        <v>0</v>
      </c>
      <c r="X3690" s="508" t="str">
        <f t="shared" si="2824"/>
        <v>Green foliage</v>
      </c>
      <c r="Y3690" s="509" t="b">
        <f t="shared" si="2825"/>
        <v>0</v>
      </c>
      <c r="Z3690" s="510">
        <f t="shared" si="2826"/>
        <v>0</v>
      </c>
      <c r="AA3690" s="511"/>
      <c r="AB3690" s="511" t="str">
        <f t="shared" si="2827"/>
        <v/>
      </c>
      <c r="AC3690" s="698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698"/>
      <c r="AE3690" s="631" t="str">
        <f t="shared" si="2828"/>
        <v/>
      </c>
      <c r="AF3690" s="699" t="str">
        <f t="shared" si="2829"/>
        <v/>
      </c>
      <c r="AG3690" s="699"/>
      <c r="AH3690" s="699"/>
      <c r="AI3690" s="512">
        <f>IF(H3690="credit",0,IF(AE3690="free",0,IF(AE3690="me",0,IF(G3690&gt;0,(VLOOKUP(A3690,'Discount Lookup'!J:K,2)*G3690),0))))</f>
        <v>0</v>
      </c>
      <c r="AJ3690" s="513" t="str">
        <f t="shared" ca="1" si="2830"/>
        <v/>
      </c>
      <c r="AK3690" s="700" t="str">
        <f t="shared" si="2831"/>
        <v/>
      </c>
      <c r="AL3690" s="700"/>
      <c r="AM3690" s="505" t="str">
        <f t="shared" si="2832"/>
        <v/>
      </c>
      <c r="AN3690" s="506"/>
      <c r="AO3690" s="507"/>
      <c r="AP3690" s="507"/>
      <c r="AQ3690" s="507"/>
      <c r="AR3690" s="507"/>
      <c r="AS3690" s="507"/>
      <c r="AT3690" s="507"/>
      <c r="AU3690" s="507"/>
      <c r="AV3690" s="225"/>
      <c r="AW3690" s="508"/>
      <c r="AX3690" s="225"/>
      <c r="AY3690" s="225"/>
      <c r="AZ3690" s="225"/>
      <c r="BA3690" s="225"/>
      <c r="BB3690" s="225"/>
      <c r="BC3690" s="56"/>
      <c r="BD3690" s="56"/>
      <c r="BE3690" s="56"/>
      <c r="BF3690" s="107" t="str">
        <f t="shared" si="2833"/>
        <v>https://www.google.com/search?tbm=isch&amp;q=Tall%20Guy%C2%AE%20Arborvitae%20Thuja%20occidentalis%20%27RutThu5%27%20PP%2335180</v>
      </c>
      <c r="BG3690" s="107" t="str">
        <f t="shared" si="2834"/>
        <v>T</v>
      </c>
      <c r="BH3690" s="254"/>
      <c r="BI3690" s="254"/>
    </row>
    <row r="3691" spans="1:61" customFormat="1" ht="15.75" x14ac:dyDescent="0.25">
      <c r="A3691" s="485">
        <v>15</v>
      </c>
      <c r="B3691" s="486" t="s">
        <v>291</v>
      </c>
      <c r="C3691" s="487" t="s">
        <v>4689</v>
      </c>
      <c r="D3691" s="488" t="s">
        <v>300</v>
      </c>
      <c r="E3691" s="489">
        <v>93.95</v>
      </c>
      <c r="F3691" s="516" t="s">
        <v>293</v>
      </c>
      <c r="G3691" s="232">
        <v>0</v>
      </c>
      <c r="H3691" s="658" t="str">
        <f>IF(G3691=0,"",IF(F3691="Buy",IF(G3691=1,"plant","plants"),IF(F3691&gt;0.01,"warranty","Error")))</f>
        <v/>
      </c>
      <c r="I3691" s="490">
        <f>IF(H3691="free",0,IF(H3691="credit",((E3691*(F3691))*G3691*-1),IF(F3691="Buy",(E3691*G3691),((E3691*(1-F3691))*G3691))))</f>
        <v>0</v>
      </c>
      <c r="J3691" s="490">
        <f>IF(H3691="warranty",0,(I3691*(_xlfn.SINGLE(SalesTaxPercentage))))</f>
        <v>0</v>
      </c>
      <c r="K3691" s="695">
        <f t="shared" ref="K3691" si="2848">I3691+J3691</f>
        <v>0</v>
      </c>
      <c r="L3691" s="695"/>
      <c r="M3691" s="659" t="str">
        <f>IF(AND(G3691&gt;0,E3691=0),"WARNING - no PRICE inserted",IF(H3691="free"," FREE ~ no charge this plant",IF(H3691="credit",CONCATENATE(" -$",ROUND(K3691*(1-T2GDiscount)*-1,2)," CREDIT after discount"),IF(T2GDiscount=0,"",IF(G3691=0,"",IF(F3691="Buy",CONCATENATE(" $",ROUND(K3691*(1-T2GDiscount),2)," with ",(T2GDiscount*100),"% discount"),CONCATENATE(" $",ROUND(K3691*(1-T2GDiscount),2)," with ",((T2GDiscount*100+F3691*100)-(T2GDiscount*100*F3691)),IF(F3691&gt;0,"% discounts",IF(NoWarrantyDiscount&gt;0,"% discounts","% discount")))))))))</f>
        <v/>
      </c>
      <c r="N3691" s="660"/>
      <c r="O3691" s="233"/>
      <c r="P3691" s="233"/>
      <c r="Q3691" s="233"/>
      <c r="R3691" s="233"/>
      <c r="S3691" s="233"/>
      <c r="T3691" s="508">
        <f t="shared" si="2822"/>
        <v>0</v>
      </c>
      <c r="U3691" s="225">
        <f>IF(NOT(ISNUMBER(G3691)), "", VLOOKUP(A3691,'Discount Lookup'!D:E,2,FALSE)*G3691)</f>
        <v>0</v>
      </c>
      <c r="V3691" s="225">
        <f>IF(NOT(ISNUMBER(G3691)), "", VLOOKUP(A3691,'Discount Lookup'!G:H,2,FALSE)*G3691)</f>
        <v>0</v>
      </c>
      <c r="W3691" s="508">
        <f t="shared" si="2823"/>
        <v>0</v>
      </c>
      <c r="X3691" s="508">
        <f t="shared" si="2824"/>
        <v>0</v>
      </c>
      <c r="Y3691" s="509" t="b">
        <f t="shared" si="2825"/>
        <v>0</v>
      </c>
      <c r="Z3691" s="510">
        <f t="shared" si="2826"/>
        <v>0</v>
      </c>
      <c r="AA3691" s="511"/>
      <c r="AB3691" s="511" t="str">
        <f t="shared" si="2827"/>
        <v/>
      </c>
      <c r="AC3691" s="698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698"/>
      <c r="AE3691" s="631" t="str">
        <f t="shared" si="2828"/>
        <v/>
      </c>
      <c r="AF3691" s="699" t="str">
        <f t="shared" si="2829"/>
        <v/>
      </c>
      <c r="AG3691" s="699"/>
      <c r="AH3691" s="699"/>
      <c r="AI3691" s="512">
        <f>IF(H3691="credit",0,IF(AE3691="free",0,IF(AE3691="me",0,IF(G3691&gt;0,(VLOOKUP(A3691,'Discount Lookup'!J:K,2)*G3691),0))))</f>
        <v>0</v>
      </c>
      <c r="AJ3691" s="513" t="str">
        <f t="shared" ca="1" si="2830"/>
        <v/>
      </c>
      <c r="AK3691" s="700" t="str">
        <f t="shared" si="2831"/>
        <v/>
      </c>
      <c r="AL3691" s="700"/>
      <c r="AM3691" s="505" t="str">
        <f t="shared" si="2832"/>
        <v/>
      </c>
      <c r="AN3691" s="506"/>
      <c r="AO3691" s="507"/>
      <c r="AP3691" s="507"/>
      <c r="AQ3691" s="507"/>
      <c r="AR3691" s="507"/>
      <c r="AS3691" s="507"/>
      <c r="AT3691" s="507"/>
      <c r="AU3691" s="507"/>
      <c r="AV3691" s="225"/>
      <c r="AW3691" s="508"/>
      <c r="AX3691" s="225"/>
      <c r="AY3691" s="225"/>
      <c r="AZ3691" s="225"/>
      <c r="BA3691" s="225"/>
      <c r="BB3691" s="225"/>
      <c r="BC3691" s="56"/>
      <c r="BD3691" s="56"/>
      <c r="BE3691" s="56"/>
      <c r="BF3691" s="107" t="str">
        <f t="shared" si="2833"/>
        <v>https://www.google.com/search?tbm=isch&amp;q=15%20G6</v>
      </c>
      <c r="BG3691" s="107" t="str">
        <f t="shared" si="2834"/>
        <v>T</v>
      </c>
      <c r="BH3691" s="254"/>
      <c r="BI3691" s="254"/>
    </row>
    <row r="3692" spans="1:61" customFormat="1" ht="17.25" thickBot="1" x14ac:dyDescent="0.3">
      <c r="A3692" s="522" t="s">
        <v>4177</v>
      </c>
      <c r="B3692" s="491"/>
      <c r="C3692" s="675"/>
      <c r="D3692" s="491"/>
      <c r="E3692" s="491"/>
      <c r="F3692" s="492"/>
      <c r="G3692" s="493"/>
      <c r="H3692" s="491"/>
      <c r="I3692" s="234"/>
      <c r="J3692" s="234"/>
      <c r="K3692" s="494"/>
      <c r="L3692" s="543"/>
      <c r="M3692" s="561"/>
      <c r="N3692" s="495"/>
      <c r="O3692" s="496"/>
      <c r="P3692" s="497"/>
      <c r="Q3692" s="495"/>
      <c r="R3692" s="495"/>
      <c r="S3692" s="667" t="s">
        <v>4984</v>
      </c>
      <c r="T3692" s="508">
        <f t="shared" si="2822"/>
        <v>0</v>
      </c>
      <c r="U3692" s="225" t="str">
        <f>IF(NOT(ISNUMBER(G3692)), "", VLOOKUP(A3692,'Discount Lookup'!D:E,2,FALSE)*G3692)</f>
        <v/>
      </c>
      <c r="V3692" s="225" t="str">
        <f>IF(NOT(ISNUMBER(G3692)), "", VLOOKUP(A3692,'Discount Lookup'!G:H,2,FALSE)*G3692)</f>
        <v/>
      </c>
      <c r="W3692" s="508">
        <f t="shared" si="2823"/>
        <v>0</v>
      </c>
      <c r="X3692" s="508">
        <f t="shared" si="2824"/>
        <v>0</v>
      </c>
      <c r="Y3692" s="509" t="b">
        <f t="shared" si="2825"/>
        <v>0</v>
      </c>
      <c r="Z3692" s="510">
        <f t="shared" si="2826"/>
        <v>0</v>
      </c>
      <c r="AA3692" s="511"/>
      <c r="AB3692" s="511" t="str">
        <f t="shared" si="2827"/>
        <v/>
      </c>
      <c r="AC3692" s="698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698"/>
      <c r="AE3692" s="631" t="str">
        <f t="shared" si="2828"/>
        <v/>
      </c>
      <c r="AF3692" s="699" t="str">
        <f t="shared" si="2829"/>
        <v/>
      </c>
      <c r="AG3692" s="699"/>
      <c r="AH3692" s="699"/>
      <c r="AI3692" s="512">
        <f>IF(H3692="credit",0,IF(AE3692="free",0,IF(AE3692="me",0,IF(G3692&gt;0,(VLOOKUP(A3692,'Discount Lookup'!J:K,2)*G3692),0))))</f>
        <v>0</v>
      </c>
      <c r="AJ3692" s="513" t="str">
        <f t="shared" ca="1" si="2830"/>
        <v/>
      </c>
      <c r="AK3692" s="700" t="str">
        <f t="shared" si="2831"/>
        <v/>
      </c>
      <c r="AL3692" s="700"/>
      <c r="AM3692" s="505" t="str">
        <f t="shared" si="2832"/>
        <v/>
      </c>
      <c r="AN3692" s="506"/>
      <c r="AO3692" s="507"/>
      <c r="AP3692" s="507"/>
      <c r="AQ3692" s="507"/>
      <c r="AR3692" s="507"/>
      <c r="AS3692" s="507"/>
      <c r="AT3692" s="507"/>
      <c r="AU3692" s="507"/>
      <c r="AV3692" s="225"/>
      <c r="AW3692" s="508"/>
      <c r="AX3692" s="225"/>
      <c r="AY3692" s="225"/>
      <c r="AZ3692" s="225"/>
      <c r="BA3692" s="225"/>
      <c r="BB3692" s="225"/>
      <c r="BC3692" s="56"/>
      <c r="BD3692" s="56"/>
      <c r="BE3692" s="56"/>
      <c r="BF3692" s="107" t="str">
        <f t="shared" si="2833"/>
        <v>https://www.google.com/search?tbm=isch&amp;q=Tall%20Guy%20has%20fragrant%2C%20fan-like%20foliage%20offer%20year-round%20structure%20with%20minimal%20maintenance%20</v>
      </c>
      <c r="BG3692" s="107" t="str">
        <f t="shared" si="2834"/>
        <v>T</v>
      </c>
      <c r="BH3692" s="254"/>
      <c r="BI3692" s="254"/>
    </row>
    <row r="3693" spans="1:61" customFormat="1" ht="18" x14ac:dyDescent="0.25">
      <c r="A3693" s="523" t="s">
        <v>1877</v>
      </c>
      <c r="B3693" s="235"/>
      <c r="C3693" s="676"/>
      <c r="D3693" s="255" t="s">
        <v>1878</v>
      </c>
      <c r="E3693" s="236"/>
      <c r="F3693" s="236"/>
      <c r="G3693" s="236"/>
      <c r="H3693" s="582" t="s">
        <v>1713</v>
      </c>
      <c r="I3693" s="498" t="s">
        <v>2307</v>
      </c>
      <c r="J3693" s="237"/>
      <c r="K3693" s="237"/>
      <c r="L3693" s="274"/>
      <c r="M3693" s="668" t="s">
        <v>4975</v>
      </c>
      <c r="N3693" s="681" t="str">
        <f>IF(AND(ISTEXT($A3693), ISERROR($A3693+0)), HYPERLINK($BF3693, "Images"), "")</f>
        <v>Images</v>
      </c>
      <c r="O3693" s="663" t="s">
        <v>4967</v>
      </c>
      <c r="P3693" s="253"/>
      <c r="Q3693" s="238"/>
      <c r="R3693" s="239"/>
      <c r="S3693" s="275"/>
      <c r="T3693" s="508">
        <f t="shared" si="2822"/>
        <v>0</v>
      </c>
      <c r="U3693" s="225" t="str">
        <f>IF(NOT(ISNUMBER(G3693)), "", VLOOKUP(A3693,'Discount Lookup'!D:E,2,FALSE)*G3693)</f>
        <v/>
      </c>
      <c r="V3693" s="225" t="str">
        <f>IF(NOT(ISNUMBER(G3693)), "", VLOOKUP(A3693,'Discount Lookup'!G:H,2,FALSE)*G3693)</f>
        <v/>
      </c>
      <c r="W3693" s="508">
        <f t="shared" si="2823"/>
        <v>0</v>
      </c>
      <c r="X3693" s="508" t="str">
        <f t="shared" si="2824"/>
        <v>Dark Burgundy foliage</v>
      </c>
      <c r="Y3693" s="509" t="b">
        <f t="shared" si="2825"/>
        <v>0</v>
      </c>
      <c r="Z3693" s="510">
        <f t="shared" si="2826"/>
        <v>0</v>
      </c>
      <c r="AA3693" s="511"/>
      <c r="AB3693" s="511" t="str">
        <f t="shared" si="2827"/>
        <v/>
      </c>
      <c r="AC3693" s="698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698"/>
      <c r="AE3693" s="631" t="str">
        <f t="shared" si="2828"/>
        <v/>
      </c>
      <c r="AF3693" s="699" t="str">
        <f t="shared" si="2829"/>
        <v/>
      </c>
      <c r="AG3693" s="699"/>
      <c r="AH3693" s="699"/>
      <c r="AI3693" s="512">
        <f>IF(H3693="credit",0,IF(AE3693="free",0,IF(AE3693="me",0,IF(G3693&gt;0,(VLOOKUP(A3693,'Discount Lookup'!J:K,2)*G3693),0))))</f>
        <v>0</v>
      </c>
      <c r="AJ3693" s="513" t="str">
        <f t="shared" ca="1" si="2830"/>
        <v/>
      </c>
      <c r="AK3693" s="700" t="str">
        <f t="shared" si="2831"/>
        <v/>
      </c>
      <c r="AL3693" s="700"/>
      <c r="AM3693" s="505" t="str">
        <f t="shared" si="2832"/>
        <v/>
      </c>
      <c r="AN3693" s="506"/>
      <c r="AO3693" s="507"/>
      <c r="AP3693" s="507"/>
      <c r="AQ3693" s="507"/>
      <c r="AR3693" s="507"/>
      <c r="AS3693" s="507"/>
      <c r="AT3693" s="507"/>
      <c r="AU3693" s="507"/>
      <c r="AV3693" s="225"/>
      <c r="AW3693" s="508"/>
      <c r="AX3693" s="225"/>
      <c r="AY3693" s="225"/>
      <c r="AZ3693" s="225"/>
      <c r="BA3693" s="225"/>
      <c r="BB3693" s="225"/>
      <c r="BC3693" s="56"/>
      <c r="BD3693" s="56"/>
      <c r="BE3693" s="56"/>
      <c r="BF3693" s="107" t="str">
        <f t="shared" si="2833"/>
        <v>https://www.google.com/search?tbm=isch&amp;q=Tamukeyama%20Cutleaf%20Japanese%20Maple%20Acer%20palmatum%20var.%20dis.%20%27Tamukeyama%27</v>
      </c>
      <c r="BG3693" s="107" t="str">
        <f t="shared" si="2834"/>
        <v>T</v>
      </c>
      <c r="BH3693" s="254"/>
      <c r="BI3693" s="254"/>
    </row>
    <row r="3694" spans="1:61" customFormat="1" ht="15.75" x14ac:dyDescent="0.25">
      <c r="A3694" s="276">
        <v>7</v>
      </c>
      <c r="B3694" s="240" t="s">
        <v>291</v>
      </c>
      <c r="C3694" s="241" t="s">
        <v>4030</v>
      </c>
      <c r="D3694" s="242" t="s">
        <v>299</v>
      </c>
      <c r="E3694" s="243">
        <v>217.95</v>
      </c>
      <c r="F3694" s="517" t="s">
        <v>293</v>
      </c>
      <c r="G3694" s="232">
        <v>0</v>
      </c>
      <c r="H3694" s="661" t="str">
        <f t="shared" ref="H3694:H3701" si="2849">IF(G3694=0,"",IF(F3694="Buy",IF(G3694=1,"plant","plants"),IF(F3694&gt;0.01,"warranty","Error")))</f>
        <v/>
      </c>
      <c r="I3694" s="244">
        <f t="shared" ref="I3694:I3701" si="2850">IF(H3694="free",0,IF(H3694="credit",((E3694*(F3694))*G3694*-1),IF(F3694="Buy",(E3694*G3694),((E3694*(1-F3694))*G3694))))</f>
        <v>0</v>
      </c>
      <c r="J3694" s="244">
        <f t="shared" ref="J3694:J3701" si="2851">IF(H3694="warranty",0,(I3694*(_xlfn.SINGLE(SalesTaxPercentage))))</f>
        <v>0</v>
      </c>
      <c r="K3694" s="696">
        <f t="shared" ref="K3694" si="2852">I3694+J3694</f>
        <v>0</v>
      </c>
      <c r="L3694" s="696"/>
      <c r="M3694" s="659" t="str">
        <f t="shared" ref="M3694:M3701" si="2853">IF(AND(G3694&gt;0,E3694=0),"WARNING - no PRICE inserted",IF(H3694="free"," FREE ~ no charge this plant",IF(H3694="credit",CONCATENATE(" -$",ROUND(K3694*(1-T2GDiscount)*-1,2)," CREDIT after discount"),IF(T2GDiscount=0,"",IF(G3694=0,"",IF(F3694="Buy",CONCATENATE(" $",ROUND(K3694*(1-T2GDiscount),2)," with ",(T2GDiscount*100),"% discount"),CONCATENATE(" $",ROUND(K3694*(1-T2GDiscount),2)," with ",((T2GDiscount*100+F3694*100)-(T2GDiscount*100*F3694)),IF(F3694&gt;0,"% discounts",IF(NoWarrantyDiscount&gt;0,"% discounts","% discount")))))))))</f>
        <v/>
      </c>
      <c r="N3694" s="660"/>
      <c r="O3694" s="233"/>
      <c r="P3694" s="233"/>
      <c r="Q3694" s="233"/>
      <c r="R3694" s="233"/>
      <c r="S3694" s="233"/>
      <c r="T3694" s="508">
        <f t="shared" si="2822"/>
        <v>0</v>
      </c>
      <c r="U3694" s="225">
        <f>IF(NOT(ISNUMBER(G3694)), "", VLOOKUP(A3694,'Discount Lookup'!D:E,2,FALSE)*G3694)</f>
        <v>0</v>
      </c>
      <c r="V3694" s="225">
        <f>IF(NOT(ISNUMBER(G3694)), "", VLOOKUP(A3694,'Discount Lookup'!G:H,2,FALSE)*G3694)</f>
        <v>0</v>
      </c>
      <c r="W3694" s="508">
        <f t="shared" si="2823"/>
        <v>0</v>
      </c>
      <c r="X3694" s="508">
        <f t="shared" si="2824"/>
        <v>0</v>
      </c>
      <c r="Y3694" s="509" t="b">
        <f t="shared" si="2825"/>
        <v>0</v>
      </c>
      <c r="Z3694" s="510">
        <f t="shared" si="2826"/>
        <v>0</v>
      </c>
      <c r="AA3694" s="511"/>
      <c r="AB3694" s="511" t="str">
        <f t="shared" si="2827"/>
        <v/>
      </c>
      <c r="AC3694" s="698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698"/>
      <c r="AE3694" s="631" t="str">
        <f t="shared" si="2828"/>
        <v/>
      </c>
      <c r="AF3694" s="699" t="str">
        <f t="shared" si="2829"/>
        <v/>
      </c>
      <c r="AG3694" s="699"/>
      <c r="AH3694" s="699"/>
      <c r="AI3694" s="512">
        <f>IF(H3694="credit",0,IF(AE3694="free",0,IF(AE3694="me",0,IF(G3694&gt;0,(VLOOKUP(A3694,'Discount Lookup'!J:K,2)*G3694),0))))</f>
        <v>0</v>
      </c>
      <c r="AJ3694" s="513" t="str">
        <f t="shared" ca="1" si="2830"/>
        <v/>
      </c>
      <c r="AK3694" s="700" t="str">
        <f t="shared" si="2831"/>
        <v/>
      </c>
      <c r="AL3694" s="700"/>
      <c r="AM3694" s="505" t="str">
        <f t="shared" si="2832"/>
        <v/>
      </c>
      <c r="AN3694" s="506"/>
      <c r="AO3694" s="507"/>
      <c r="AP3694" s="507"/>
      <c r="AQ3694" s="507"/>
      <c r="AR3694" s="507"/>
      <c r="AS3694" s="507"/>
      <c r="AT3694" s="507"/>
      <c r="AU3694" s="507"/>
      <c r="AV3694" s="225"/>
      <c r="AW3694" s="508"/>
      <c r="AX3694" s="225"/>
      <c r="AY3694" s="225"/>
      <c r="AZ3694" s="225"/>
      <c r="BA3694" s="225"/>
      <c r="BB3694" s="225"/>
      <c r="BC3694" s="56"/>
      <c r="BD3694" s="56"/>
      <c r="BE3694" s="56"/>
      <c r="BF3694" s="107" t="str">
        <f t="shared" si="2833"/>
        <v>https://www.google.com/search?tbm=isch&amp;q=7%20G5</v>
      </c>
      <c r="BG3694" s="107" t="str">
        <f t="shared" si="2834"/>
        <v>T</v>
      </c>
      <c r="BH3694" s="254"/>
      <c r="BI3694" s="254"/>
    </row>
    <row r="3695" spans="1:61" customFormat="1" ht="15.75" x14ac:dyDescent="0.25">
      <c r="A3695" s="276">
        <v>7</v>
      </c>
      <c r="B3695" s="240" t="s">
        <v>291</v>
      </c>
      <c r="C3695" s="241" t="s">
        <v>3806</v>
      </c>
      <c r="D3695" s="242" t="s">
        <v>292</v>
      </c>
      <c r="E3695" s="243">
        <v>219.95</v>
      </c>
      <c r="F3695" s="517" t="s">
        <v>293</v>
      </c>
      <c r="G3695" s="232">
        <v>0</v>
      </c>
      <c r="H3695" s="661" t="str">
        <f t="shared" si="2849"/>
        <v/>
      </c>
      <c r="I3695" s="244">
        <f t="shared" si="2850"/>
        <v>0</v>
      </c>
      <c r="J3695" s="244">
        <f t="shared" si="2851"/>
        <v>0</v>
      </c>
      <c r="K3695" s="696">
        <f t="shared" ref="K3695" si="2854">I3695+J3695</f>
        <v>0</v>
      </c>
      <c r="L3695" s="696"/>
      <c r="M3695" s="659" t="str">
        <f t="shared" si="2853"/>
        <v/>
      </c>
      <c r="N3695" s="660"/>
      <c r="O3695" s="233"/>
      <c r="P3695" s="233"/>
      <c r="Q3695" s="233"/>
      <c r="R3695" s="233"/>
      <c r="S3695" s="233"/>
      <c r="T3695" s="508">
        <f t="shared" si="2822"/>
        <v>0</v>
      </c>
      <c r="U3695" s="225">
        <f>IF(NOT(ISNUMBER(G3695)), "", VLOOKUP(A3695,'Discount Lookup'!D:E,2,FALSE)*G3695)</f>
        <v>0</v>
      </c>
      <c r="V3695" s="225">
        <f>IF(NOT(ISNUMBER(G3695)), "", VLOOKUP(A3695,'Discount Lookup'!G:H,2,FALSE)*G3695)</f>
        <v>0</v>
      </c>
      <c r="W3695" s="508">
        <f t="shared" si="2823"/>
        <v>0</v>
      </c>
      <c r="X3695" s="508">
        <f t="shared" si="2824"/>
        <v>0</v>
      </c>
      <c r="Y3695" s="509" t="b">
        <f t="shared" si="2825"/>
        <v>0</v>
      </c>
      <c r="Z3695" s="510">
        <f t="shared" si="2826"/>
        <v>0</v>
      </c>
      <c r="AA3695" s="511"/>
      <c r="AB3695" s="511" t="str">
        <f t="shared" si="2827"/>
        <v/>
      </c>
      <c r="AC3695" s="698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698"/>
      <c r="AE3695" s="631" t="str">
        <f t="shared" si="2828"/>
        <v/>
      </c>
      <c r="AF3695" s="699" t="str">
        <f t="shared" si="2829"/>
        <v/>
      </c>
      <c r="AG3695" s="699"/>
      <c r="AH3695" s="699"/>
      <c r="AI3695" s="512">
        <f>IF(H3695="credit",0,IF(AE3695="free",0,IF(AE3695="me",0,IF(G3695&gt;0,(VLOOKUP(A3695,'Discount Lookup'!J:K,2)*G3695),0))))</f>
        <v>0</v>
      </c>
      <c r="AJ3695" s="513" t="str">
        <f t="shared" ca="1" si="2830"/>
        <v/>
      </c>
      <c r="AK3695" s="700" t="str">
        <f t="shared" si="2831"/>
        <v/>
      </c>
      <c r="AL3695" s="700"/>
      <c r="AM3695" s="505" t="str">
        <f t="shared" si="2832"/>
        <v/>
      </c>
      <c r="AN3695" s="506"/>
      <c r="AO3695" s="507"/>
      <c r="AP3695" s="507"/>
      <c r="AQ3695" s="507"/>
      <c r="AR3695" s="507"/>
      <c r="AS3695" s="507"/>
      <c r="AT3695" s="507"/>
      <c r="AU3695" s="507"/>
      <c r="AV3695" s="225"/>
      <c r="AW3695" s="508"/>
      <c r="AX3695" s="225"/>
      <c r="AY3695" s="225"/>
      <c r="AZ3695" s="225"/>
      <c r="BA3695" s="225"/>
      <c r="BB3695" s="225"/>
      <c r="BC3695" s="56"/>
      <c r="BD3695" s="56"/>
      <c r="BE3695" s="56"/>
      <c r="BF3695" s="107" t="str">
        <f t="shared" si="2833"/>
        <v>https://www.google.com/search?tbm=isch&amp;q=7%20G4</v>
      </c>
      <c r="BG3695" s="107" t="str">
        <f t="shared" si="2834"/>
        <v>T</v>
      </c>
      <c r="BH3695" s="254"/>
      <c r="BI3695" s="254"/>
    </row>
    <row r="3696" spans="1:61" customFormat="1" ht="27" x14ac:dyDescent="0.25">
      <c r="A3696" s="276">
        <v>10</v>
      </c>
      <c r="B3696" s="240" t="s">
        <v>291</v>
      </c>
      <c r="C3696" s="241" t="s">
        <v>3807</v>
      </c>
      <c r="D3696" s="242" t="s">
        <v>292</v>
      </c>
      <c r="E3696" s="243">
        <v>339.95</v>
      </c>
      <c r="F3696" s="517" t="s">
        <v>293</v>
      </c>
      <c r="G3696" s="232">
        <v>0</v>
      </c>
      <c r="H3696" s="661" t="str">
        <f t="shared" si="2849"/>
        <v/>
      </c>
      <c r="I3696" s="244">
        <f t="shared" si="2850"/>
        <v>0</v>
      </c>
      <c r="J3696" s="244">
        <f t="shared" si="2851"/>
        <v>0</v>
      </c>
      <c r="K3696" s="696">
        <f t="shared" ref="K3696" si="2855">I3696+J3696</f>
        <v>0</v>
      </c>
      <c r="L3696" s="696"/>
      <c r="M3696" s="659" t="str">
        <f t="shared" si="2853"/>
        <v/>
      </c>
      <c r="N3696" s="660"/>
      <c r="O3696" s="233"/>
      <c r="P3696" s="233"/>
      <c r="Q3696" s="233"/>
      <c r="R3696" s="233"/>
      <c r="S3696" s="233"/>
      <c r="T3696" s="508">
        <f t="shared" si="2822"/>
        <v>0</v>
      </c>
      <c r="U3696" s="225">
        <f>IF(NOT(ISNUMBER(G3696)), "", VLOOKUP(A3696,'Discount Lookup'!D:E,2,FALSE)*G3696)</f>
        <v>0</v>
      </c>
      <c r="V3696" s="225">
        <f>IF(NOT(ISNUMBER(G3696)), "", VLOOKUP(A3696,'Discount Lookup'!G:H,2,FALSE)*G3696)</f>
        <v>0</v>
      </c>
      <c r="W3696" s="508">
        <f t="shared" si="2823"/>
        <v>0</v>
      </c>
      <c r="X3696" s="508">
        <f t="shared" si="2824"/>
        <v>0</v>
      </c>
      <c r="Y3696" s="509" t="b">
        <f t="shared" si="2825"/>
        <v>0</v>
      </c>
      <c r="Z3696" s="510">
        <f t="shared" si="2826"/>
        <v>0</v>
      </c>
      <c r="AA3696" s="511"/>
      <c r="AB3696" s="511" t="str">
        <f t="shared" si="2827"/>
        <v/>
      </c>
      <c r="AC3696" s="698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698"/>
      <c r="AE3696" s="631" t="str">
        <f t="shared" si="2828"/>
        <v/>
      </c>
      <c r="AF3696" s="699" t="str">
        <f t="shared" si="2829"/>
        <v/>
      </c>
      <c r="AG3696" s="699"/>
      <c r="AH3696" s="699"/>
      <c r="AI3696" s="512">
        <f>IF(H3696="credit",0,IF(AE3696="free",0,IF(AE3696="me",0,IF(G3696&gt;0,(VLOOKUP(A3696,'Discount Lookup'!J:K,2)*G3696),0))))</f>
        <v>0</v>
      </c>
      <c r="AJ3696" s="513" t="str">
        <f t="shared" ca="1" si="2830"/>
        <v/>
      </c>
      <c r="AK3696" s="700" t="str">
        <f t="shared" si="2831"/>
        <v/>
      </c>
      <c r="AL3696" s="700"/>
      <c r="AM3696" s="505" t="str">
        <f t="shared" si="2832"/>
        <v/>
      </c>
      <c r="AN3696" s="506"/>
      <c r="AO3696" s="507"/>
      <c r="AP3696" s="507"/>
      <c r="AQ3696" s="507"/>
      <c r="AR3696" s="507"/>
      <c r="AS3696" s="507"/>
      <c r="AT3696" s="507"/>
      <c r="AU3696" s="507"/>
      <c r="AV3696" s="225"/>
      <c r="AW3696" s="508"/>
      <c r="AX3696" s="225"/>
      <c r="AY3696" s="225"/>
      <c r="AZ3696" s="225"/>
      <c r="BA3696" s="225"/>
      <c r="BB3696" s="225"/>
      <c r="BC3696" s="56"/>
      <c r="BD3696" s="56"/>
      <c r="BE3696" s="56"/>
      <c r="BF3696" s="107" t="str">
        <f t="shared" si="2833"/>
        <v>https://www.google.com/search?tbm=isch&amp;q=10%20G4</v>
      </c>
      <c r="BG3696" s="107" t="str">
        <f t="shared" si="2834"/>
        <v>T</v>
      </c>
      <c r="BH3696" s="254"/>
      <c r="BI3696" s="254"/>
    </row>
    <row r="3697" spans="1:61" customFormat="1" ht="15.75" x14ac:dyDescent="0.25">
      <c r="A3697" s="276">
        <v>15</v>
      </c>
      <c r="B3697" s="240" t="s">
        <v>291</v>
      </c>
      <c r="C3697" s="241" t="s">
        <v>3808</v>
      </c>
      <c r="D3697" s="242" t="s">
        <v>292</v>
      </c>
      <c r="E3697" s="243">
        <v>399.95</v>
      </c>
      <c r="F3697" s="517" t="s">
        <v>293</v>
      </c>
      <c r="G3697" s="232">
        <v>0</v>
      </c>
      <c r="H3697" s="661" t="str">
        <f t="shared" si="2849"/>
        <v/>
      </c>
      <c r="I3697" s="244">
        <f t="shared" si="2850"/>
        <v>0</v>
      </c>
      <c r="J3697" s="244">
        <f t="shared" si="2851"/>
        <v>0</v>
      </c>
      <c r="K3697" s="696">
        <f t="shared" ref="K3697" si="2856">I3697+J3697</f>
        <v>0</v>
      </c>
      <c r="L3697" s="696"/>
      <c r="M3697" s="659" t="str">
        <f t="shared" si="2853"/>
        <v/>
      </c>
      <c r="N3697" s="660"/>
      <c r="O3697" s="233"/>
      <c r="P3697" s="233"/>
      <c r="Q3697" s="233"/>
      <c r="R3697" s="233"/>
      <c r="S3697" s="233"/>
      <c r="T3697" s="508">
        <f t="shared" si="2822"/>
        <v>0</v>
      </c>
      <c r="U3697" s="225">
        <f>IF(NOT(ISNUMBER(G3697)), "", VLOOKUP(A3697,'Discount Lookup'!D:E,2,FALSE)*G3697)</f>
        <v>0</v>
      </c>
      <c r="V3697" s="225">
        <f>IF(NOT(ISNUMBER(G3697)), "", VLOOKUP(A3697,'Discount Lookup'!G:H,2,FALSE)*G3697)</f>
        <v>0</v>
      </c>
      <c r="W3697" s="508">
        <f t="shared" si="2823"/>
        <v>0</v>
      </c>
      <c r="X3697" s="508">
        <f t="shared" si="2824"/>
        <v>0</v>
      </c>
      <c r="Y3697" s="509" t="b">
        <f t="shared" si="2825"/>
        <v>0</v>
      </c>
      <c r="Z3697" s="510">
        <f t="shared" si="2826"/>
        <v>0</v>
      </c>
      <c r="AA3697" s="511"/>
      <c r="AB3697" s="511" t="str">
        <f t="shared" si="2827"/>
        <v/>
      </c>
      <c r="AC3697" s="698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698"/>
      <c r="AE3697" s="631" t="str">
        <f t="shared" si="2828"/>
        <v/>
      </c>
      <c r="AF3697" s="699" t="str">
        <f t="shared" si="2829"/>
        <v/>
      </c>
      <c r="AG3697" s="699"/>
      <c r="AH3697" s="699"/>
      <c r="AI3697" s="512">
        <f>IF(H3697="credit",0,IF(AE3697="free",0,IF(AE3697="me",0,IF(G3697&gt;0,(VLOOKUP(A3697,'Discount Lookup'!J:K,2)*G3697),0))))</f>
        <v>0</v>
      </c>
      <c r="AJ3697" s="513" t="str">
        <f t="shared" ca="1" si="2830"/>
        <v/>
      </c>
      <c r="AK3697" s="700" t="str">
        <f t="shared" si="2831"/>
        <v/>
      </c>
      <c r="AL3697" s="700"/>
      <c r="AM3697" s="505" t="str">
        <f t="shared" si="2832"/>
        <v/>
      </c>
      <c r="AN3697" s="506"/>
      <c r="AO3697" s="507"/>
      <c r="AP3697" s="507"/>
      <c r="AQ3697" s="507"/>
      <c r="AR3697" s="507"/>
      <c r="AS3697" s="507"/>
      <c r="AT3697" s="507"/>
      <c r="AU3697" s="507"/>
      <c r="AV3697" s="225"/>
      <c r="AW3697" s="508"/>
      <c r="AX3697" s="225"/>
      <c r="AY3697" s="225"/>
      <c r="AZ3697" s="225"/>
      <c r="BA3697" s="225"/>
      <c r="BB3697" s="225"/>
      <c r="BC3697" s="56"/>
      <c r="BD3697" s="56"/>
      <c r="BE3697" s="56"/>
      <c r="BF3697" s="107" t="str">
        <f t="shared" si="2833"/>
        <v>https://www.google.com/search?tbm=isch&amp;q=15%20G4</v>
      </c>
      <c r="BG3697" s="107" t="str">
        <f t="shared" si="2834"/>
        <v>T</v>
      </c>
      <c r="BH3697" s="254"/>
      <c r="BI3697" s="254"/>
    </row>
    <row r="3698" spans="1:61" customFormat="1" ht="15.75" x14ac:dyDescent="0.25">
      <c r="A3698" s="276">
        <v>15</v>
      </c>
      <c r="B3698" s="240" t="s">
        <v>291</v>
      </c>
      <c r="C3698" s="241" t="s">
        <v>4031</v>
      </c>
      <c r="D3698" s="242" t="s">
        <v>292</v>
      </c>
      <c r="E3698" s="243">
        <v>399.95</v>
      </c>
      <c r="F3698" s="517" t="s">
        <v>293</v>
      </c>
      <c r="G3698" s="232">
        <v>0</v>
      </c>
      <c r="H3698" s="661" t="str">
        <f t="shared" si="2849"/>
        <v/>
      </c>
      <c r="I3698" s="244">
        <f t="shared" si="2850"/>
        <v>0</v>
      </c>
      <c r="J3698" s="244">
        <f t="shared" si="2851"/>
        <v>0</v>
      </c>
      <c r="K3698" s="696">
        <f t="shared" ref="K3698" si="2857">I3698+J3698</f>
        <v>0</v>
      </c>
      <c r="L3698" s="696"/>
      <c r="M3698" s="659" t="str">
        <f t="shared" si="2853"/>
        <v/>
      </c>
      <c r="N3698" s="660"/>
      <c r="O3698" s="233"/>
      <c r="P3698" s="233"/>
      <c r="Q3698" s="233"/>
      <c r="R3698" s="233"/>
      <c r="S3698" s="233"/>
      <c r="T3698" s="508">
        <f t="shared" si="2822"/>
        <v>0</v>
      </c>
      <c r="U3698" s="225">
        <f>IF(NOT(ISNUMBER(G3698)), "", VLOOKUP(A3698,'Discount Lookup'!D:E,2,FALSE)*G3698)</f>
        <v>0</v>
      </c>
      <c r="V3698" s="225">
        <f>IF(NOT(ISNUMBER(G3698)), "", VLOOKUP(A3698,'Discount Lookup'!G:H,2,FALSE)*G3698)</f>
        <v>0</v>
      </c>
      <c r="W3698" s="508">
        <f t="shared" si="2823"/>
        <v>0</v>
      </c>
      <c r="X3698" s="508">
        <f t="shared" si="2824"/>
        <v>0</v>
      </c>
      <c r="Y3698" s="509" t="b">
        <f t="shared" si="2825"/>
        <v>0</v>
      </c>
      <c r="Z3698" s="510">
        <f t="shared" si="2826"/>
        <v>0</v>
      </c>
      <c r="AA3698" s="511"/>
      <c r="AB3698" s="511" t="str">
        <f t="shared" si="2827"/>
        <v/>
      </c>
      <c r="AC3698" s="698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698"/>
      <c r="AE3698" s="631" t="str">
        <f t="shared" si="2828"/>
        <v/>
      </c>
      <c r="AF3698" s="699" t="str">
        <f t="shared" si="2829"/>
        <v/>
      </c>
      <c r="AG3698" s="699"/>
      <c r="AH3698" s="699"/>
      <c r="AI3698" s="512">
        <f>IF(H3698="credit",0,IF(AE3698="free",0,IF(AE3698="me",0,IF(G3698&gt;0,(VLOOKUP(A3698,'Discount Lookup'!J:K,2)*G3698),0))))</f>
        <v>0</v>
      </c>
      <c r="AJ3698" s="513" t="str">
        <f t="shared" ca="1" si="2830"/>
        <v/>
      </c>
      <c r="AK3698" s="700" t="str">
        <f t="shared" si="2831"/>
        <v/>
      </c>
      <c r="AL3698" s="700"/>
      <c r="AM3698" s="505" t="str">
        <f t="shared" si="2832"/>
        <v/>
      </c>
      <c r="AN3698" s="506"/>
      <c r="AO3698" s="507"/>
      <c r="AP3698" s="507"/>
      <c r="AQ3698" s="507"/>
      <c r="AR3698" s="507"/>
      <c r="AS3698" s="507"/>
      <c r="AT3698" s="507"/>
      <c r="AU3698" s="507"/>
      <c r="AV3698" s="225"/>
      <c r="AW3698" s="508"/>
      <c r="AX3698" s="225"/>
      <c r="AY3698" s="225"/>
      <c r="AZ3698" s="225"/>
      <c r="BA3698" s="225"/>
      <c r="BB3698" s="225"/>
      <c r="BC3698" s="56"/>
      <c r="BD3698" s="56"/>
      <c r="BE3698" s="56"/>
      <c r="BF3698" s="107" t="str">
        <f t="shared" si="2833"/>
        <v>https://www.google.com/search?tbm=isch&amp;q=15%20G4</v>
      </c>
      <c r="BG3698" s="107" t="str">
        <f t="shared" si="2834"/>
        <v>T</v>
      </c>
      <c r="BH3698" s="254"/>
      <c r="BI3698" s="254"/>
    </row>
    <row r="3699" spans="1:61" customFormat="1" ht="15.75" x14ac:dyDescent="0.25">
      <c r="A3699" s="276">
        <v>15</v>
      </c>
      <c r="B3699" s="240" t="s">
        <v>291</v>
      </c>
      <c r="C3699" s="241" t="s">
        <v>4949</v>
      </c>
      <c r="D3699" s="242" t="s">
        <v>299</v>
      </c>
      <c r="E3699" s="243">
        <v>443.95</v>
      </c>
      <c r="F3699" s="517" t="s">
        <v>293</v>
      </c>
      <c r="G3699" s="232">
        <v>0</v>
      </c>
      <c r="H3699" s="661" t="str">
        <f t="shared" si="2849"/>
        <v/>
      </c>
      <c r="I3699" s="244">
        <f t="shared" si="2850"/>
        <v>0</v>
      </c>
      <c r="J3699" s="244">
        <f t="shared" si="2851"/>
        <v>0</v>
      </c>
      <c r="K3699" s="696">
        <f t="shared" ref="K3699" si="2858">I3699+J3699</f>
        <v>0</v>
      </c>
      <c r="L3699" s="696"/>
      <c r="M3699" s="659" t="str">
        <f t="shared" si="2853"/>
        <v/>
      </c>
      <c r="N3699" s="660"/>
      <c r="O3699" s="233"/>
      <c r="P3699" s="233"/>
      <c r="Q3699" s="233"/>
      <c r="R3699" s="233"/>
      <c r="S3699" s="233"/>
      <c r="T3699" s="508">
        <f t="shared" si="2822"/>
        <v>0</v>
      </c>
      <c r="U3699" s="225">
        <f>IF(NOT(ISNUMBER(G3699)), "", VLOOKUP(A3699,'Discount Lookup'!D:E,2,FALSE)*G3699)</f>
        <v>0</v>
      </c>
      <c r="V3699" s="225">
        <f>IF(NOT(ISNUMBER(G3699)), "", VLOOKUP(A3699,'Discount Lookup'!G:H,2,FALSE)*G3699)</f>
        <v>0</v>
      </c>
      <c r="W3699" s="508">
        <f t="shared" si="2823"/>
        <v>0</v>
      </c>
      <c r="X3699" s="508">
        <f t="shared" si="2824"/>
        <v>0</v>
      </c>
      <c r="Y3699" s="509" t="b">
        <f t="shared" si="2825"/>
        <v>0</v>
      </c>
      <c r="Z3699" s="510">
        <f t="shared" si="2826"/>
        <v>0</v>
      </c>
      <c r="AA3699" s="511"/>
      <c r="AB3699" s="511" t="str">
        <f t="shared" si="2827"/>
        <v/>
      </c>
      <c r="AC3699" s="698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698"/>
      <c r="AE3699" s="631" t="str">
        <f t="shared" si="2828"/>
        <v/>
      </c>
      <c r="AF3699" s="699" t="str">
        <f t="shared" si="2829"/>
        <v/>
      </c>
      <c r="AG3699" s="699"/>
      <c r="AH3699" s="699"/>
      <c r="AI3699" s="512">
        <f>IF(H3699="credit",0,IF(AE3699="free",0,IF(AE3699="me",0,IF(G3699&gt;0,(VLOOKUP(A3699,'Discount Lookup'!J:K,2)*G3699),0))))</f>
        <v>0</v>
      </c>
      <c r="AJ3699" s="513" t="str">
        <f t="shared" ca="1" si="2830"/>
        <v/>
      </c>
      <c r="AK3699" s="700" t="str">
        <f t="shared" si="2831"/>
        <v/>
      </c>
      <c r="AL3699" s="700"/>
      <c r="AM3699" s="505" t="str">
        <f t="shared" si="2832"/>
        <v/>
      </c>
      <c r="AN3699" s="506"/>
      <c r="AO3699" s="507"/>
      <c r="AP3699" s="507"/>
      <c r="AQ3699" s="507"/>
      <c r="AR3699" s="507"/>
      <c r="AS3699" s="507"/>
      <c r="AT3699" s="507"/>
      <c r="AU3699" s="507"/>
      <c r="AV3699" s="225"/>
      <c r="AW3699" s="508"/>
      <c r="AX3699" s="225"/>
      <c r="AY3699" s="225"/>
      <c r="AZ3699" s="225"/>
      <c r="BA3699" s="225"/>
      <c r="BB3699" s="225"/>
      <c r="BC3699" s="56"/>
      <c r="BD3699" s="56"/>
      <c r="BE3699" s="56"/>
      <c r="BF3699" s="107" t="str">
        <f t="shared" si="2833"/>
        <v>https://www.google.com/search?tbm=isch&amp;q=15%20G5</v>
      </c>
      <c r="BG3699" s="107" t="str">
        <f t="shared" si="2834"/>
        <v>T</v>
      </c>
      <c r="BH3699" s="254"/>
      <c r="BI3699" s="254"/>
    </row>
    <row r="3700" spans="1:61" customFormat="1" ht="15.75" x14ac:dyDescent="0.25">
      <c r="A3700" s="276">
        <v>25</v>
      </c>
      <c r="B3700" s="240" t="s">
        <v>291</v>
      </c>
      <c r="C3700" s="241" t="s">
        <v>3809</v>
      </c>
      <c r="D3700" s="242" t="s">
        <v>292</v>
      </c>
      <c r="E3700" s="243">
        <v>790.95</v>
      </c>
      <c r="F3700" s="517" t="s">
        <v>293</v>
      </c>
      <c r="G3700" s="232">
        <v>0</v>
      </c>
      <c r="H3700" s="661" t="str">
        <f t="shared" si="2849"/>
        <v/>
      </c>
      <c r="I3700" s="244">
        <f t="shared" si="2850"/>
        <v>0</v>
      </c>
      <c r="J3700" s="244">
        <f t="shared" si="2851"/>
        <v>0</v>
      </c>
      <c r="K3700" s="696">
        <f t="shared" ref="K3700" si="2859">I3700+J3700</f>
        <v>0</v>
      </c>
      <c r="L3700" s="696"/>
      <c r="M3700" s="659" t="str">
        <f t="shared" si="2853"/>
        <v/>
      </c>
      <c r="N3700" s="660"/>
      <c r="O3700" s="233"/>
      <c r="P3700" s="233"/>
      <c r="Q3700" s="233"/>
      <c r="R3700" s="233"/>
      <c r="S3700" s="233"/>
      <c r="T3700" s="508">
        <f t="shared" si="2822"/>
        <v>0</v>
      </c>
      <c r="U3700" s="225">
        <f>IF(NOT(ISNUMBER(G3700)), "", VLOOKUP(A3700,'Discount Lookup'!D:E,2,FALSE)*G3700)</f>
        <v>0</v>
      </c>
      <c r="V3700" s="225">
        <f>IF(NOT(ISNUMBER(G3700)), "", VLOOKUP(A3700,'Discount Lookup'!G:H,2,FALSE)*G3700)</f>
        <v>0</v>
      </c>
      <c r="W3700" s="508">
        <f t="shared" si="2823"/>
        <v>0</v>
      </c>
      <c r="X3700" s="508">
        <f t="shared" si="2824"/>
        <v>0</v>
      </c>
      <c r="Y3700" s="509" t="b">
        <f t="shared" si="2825"/>
        <v>0</v>
      </c>
      <c r="Z3700" s="510">
        <f t="shared" si="2826"/>
        <v>0</v>
      </c>
      <c r="AA3700" s="511"/>
      <c r="AB3700" s="511" t="str">
        <f t="shared" si="2827"/>
        <v/>
      </c>
      <c r="AC3700" s="698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698"/>
      <c r="AE3700" s="631" t="str">
        <f t="shared" si="2828"/>
        <v/>
      </c>
      <c r="AF3700" s="699" t="str">
        <f t="shared" si="2829"/>
        <v/>
      </c>
      <c r="AG3700" s="699"/>
      <c r="AH3700" s="699"/>
      <c r="AI3700" s="512">
        <f>IF(H3700="credit",0,IF(AE3700="free",0,IF(AE3700="me",0,IF(G3700&gt;0,(VLOOKUP(A3700,'Discount Lookup'!J:K,2)*G3700),0))))</f>
        <v>0</v>
      </c>
      <c r="AJ3700" s="513" t="str">
        <f t="shared" ca="1" si="2830"/>
        <v/>
      </c>
      <c r="AK3700" s="700" t="str">
        <f t="shared" si="2831"/>
        <v/>
      </c>
      <c r="AL3700" s="700"/>
      <c r="AM3700" s="505" t="str">
        <f t="shared" si="2832"/>
        <v/>
      </c>
      <c r="AN3700" s="506"/>
      <c r="AO3700" s="507"/>
      <c r="AP3700" s="507"/>
      <c r="AQ3700" s="507"/>
      <c r="AR3700" s="507"/>
      <c r="AS3700" s="507"/>
      <c r="AT3700" s="507"/>
      <c r="AU3700" s="507"/>
      <c r="AV3700" s="225"/>
      <c r="AW3700" s="508"/>
      <c r="AX3700" s="225"/>
      <c r="AY3700" s="225"/>
      <c r="AZ3700" s="225"/>
      <c r="BA3700" s="225"/>
      <c r="BB3700" s="225"/>
      <c r="BC3700" s="56"/>
      <c r="BD3700" s="56"/>
      <c r="BE3700" s="56"/>
      <c r="BF3700" s="107" t="str">
        <f t="shared" si="2833"/>
        <v>https://www.google.com/search?tbm=isch&amp;q=25%20G4</v>
      </c>
      <c r="BG3700" s="107" t="str">
        <f t="shared" si="2834"/>
        <v>T</v>
      </c>
      <c r="BH3700" s="254"/>
      <c r="BI3700" s="254"/>
    </row>
    <row r="3701" spans="1:61" customFormat="1" ht="27" x14ac:dyDescent="0.25">
      <c r="A3701" s="276">
        <v>25</v>
      </c>
      <c r="B3701" s="240" t="s">
        <v>291</v>
      </c>
      <c r="C3701" s="241" t="s">
        <v>3810</v>
      </c>
      <c r="D3701" s="242" t="s">
        <v>292</v>
      </c>
      <c r="E3701" s="243">
        <v>846.95</v>
      </c>
      <c r="F3701" s="517" t="s">
        <v>293</v>
      </c>
      <c r="G3701" s="232">
        <v>0</v>
      </c>
      <c r="H3701" s="661" t="str">
        <f t="shared" si="2849"/>
        <v/>
      </c>
      <c r="I3701" s="244">
        <f t="shared" si="2850"/>
        <v>0</v>
      </c>
      <c r="J3701" s="244">
        <f t="shared" si="2851"/>
        <v>0</v>
      </c>
      <c r="K3701" s="696">
        <f t="shared" ref="K3701" si="2860">I3701+J3701</f>
        <v>0</v>
      </c>
      <c r="L3701" s="696"/>
      <c r="M3701" s="659" t="str">
        <f t="shared" si="2853"/>
        <v/>
      </c>
      <c r="N3701" s="660"/>
      <c r="O3701" s="233"/>
      <c r="P3701" s="233"/>
      <c r="Q3701" s="233"/>
      <c r="R3701" s="233"/>
      <c r="S3701" s="233"/>
      <c r="T3701" s="508">
        <f t="shared" si="2822"/>
        <v>0</v>
      </c>
      <c r="U3701" s="225">
        <f>IF(NOT(ISNUMBER(G3701)), "", VLOOKUP(A3701,'Discount Lookup'!D:E,2,FALSE)*G3701)</f>
        <v>0</v>
      </c>
      <c r="V3701" s="225">
        <f>IF(NOT(ISNUMBER(G3701)), "", VLOOKUP(A3701,'Discount Lookup'!G:H,2,FALSE)*G3701)</f>
        <v>0</v>
      </c>
      <c r="W3701" s="508">
        <f t="shared" si="2823"/>
        <v>0</v>
      </c>
      <c r="X3701" s="508">
        <f t="shared" si="2824"/>
        <v>0</v>
      </c>
      <c r="Y3701" s="509" t="b">
        <f t="shared" si="2825"/>
        <v>0</v>
      </c>
      <c r="Z3701" s="510">
        <f t="shared" si="2826"/>
        <v>0</v>
      </c>
      <c r="AA3701" s="511"/>
      <c r="AB3701" s="511" t="str">
        <f t="shared" si="2827"/>
        <v/>
      </c>
      <c r="AC3701" s="698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698"/>
      <c r="AE3701" s="631" t="str">
        <f t="shared" si="2828"/>
        <v/>
      </c>
      <c r="AF3701" s="699" t="str">
        <f t="shared" si="2829"/>
        <v/>
      </c>
      <c r="AG3701" s="699"/>
      <c r="AH3701" s="699"/>
      <c r="AI3701" s="512">
        <f>IF(H3701="credit",0,IF(AE3701="free",0,IF(AE3701="me",0,IF(G3701&gt;0,(VLOOKUP(A3701,'Discount Lookup'!J:K,2)*G3701),0))))</f>
        <v>0</v>
      </c>
      <c r="AJ3701" s="513" t="str">
        <f t="shared" ca="1" si="2830"/>
        <v/>
      </c>
      <c r="AK3701" s="700" t="str">
        <f t="shared" si="2831"/>
        <v/>
      </c>
      <c r="AL3701" s="700"/>
      <c r="AM3701" s="505" t="str">
        <f t="shared" si="2832"/>
        <v/>
      </c>
      <c r="AN3701" s="506"/>
      <c r="AO3701" s="507"/>
      <c r="AP3701" s="507"/>
      <c r="AQ3701" s="507"/>
      <c r="AR3701" s="507"/>
      <c r="AS3701" s="507"/>
      <c r="AT3701" s="507"/>
      <c r="AU3701" s="507"/>
      <c r="AV3701" s="225"/>
      <c r="AW3701" s="508"/>
      <c r="AX3701" s="225"/>
      <c r="AY3701" s="225"/>
      <c r="AZ3701" s="225"/>
      <c r="BA3701" s="225"/>
      <c r="BB3701" s="225"/>
      <c r="BC3701" s="56"/>
      <c r="BD3701" s="56"/>
      <c r="BE3701" s="56"/>
      <c r="BF3701" s="107" t="str">
        <f t="shared" si="2833"/>
        <v>https://www.google.com/search?tbm=isch&amp;q=25%20G4</v>
      </c>
      <c r="BG3701" s="107" t="str">
        <f t="shared" si="2834"/>
        <v>T</v>
      </c>
      <c r="BH3701" s="254"/>
      <c r="BI3701" s="254"/>
    </row>
    <row r="3702" spans="1:61" customFormat="1" ht="17.25" thickBot="1" x14ac:dyDescent="0.3">
      <c r="A3702" s="524" t="s">
        <v>2308</v>
      </c>
      <c r="B3702" s="245"/>
      <c r="C3702" s="677"/>
      <c r="D3702" s="499"/>
      <c r="E3702" s="499"/>
      <c r="F3702" s="500"/>
      <c r="G3702" s="501"/>
      <c r="H3702" s="502"/>
      <c r="I3702" s="246"/>
      <c r="J3702" s="247"/>
      <c r="K3702" s="503"/>
      <c r="L3702" s="544"/>
      <c r="M3702" s="544"/>
      <c r="N3702" s="500"/>
      <c r="O3702" s="500"/>
      <c r="P3702" s="500"/>
      <c r="Q3702" s="500"/>
      <c r="R3702" s="500"/>
      <c r="S3702" s="278"/>
      <c r="T3702" s="508">
        <f t="shared" si="2822"/>
        <v>0</v>
      </c>
      <c r="U3702" s="225" t="str">
        <f>IF(NOT(ISNUMBER(G3702)), "", VLOOKUP(A3702,'Discount Lookup'!D:E,2,FALSE)*G3702)</f>
        <v/>
      </c>
      <c r="V3702" s="225" t="str">
        <f>IF(NOT(ISNUMBER(G3702)), "", VLOOKUP(A3702,'Discount Lookup'!G:H,2,FALSE)*G3702)</f>
        <v/>
      </c>
      <c r="W3702" s="508">
        <f t="shared" si="2823"/>
        <v>0</v>
      </c>
      <c r="X3702" s="508">
        <f t="shared" si="2824"/>
        <v>0</v>
      </c>
      <c r="Y3702" s="509" t="b">
        <f t="shared" si="2825"/>
        <v>0</v>
      </c>
      <c r="Z3702" s="510">
        <f t="shared" si="2826"/>
        <v>0</v>
      </c>
      <c r="AA3702" s="511"/>
      <c r="AB3702" s="511" t="str">
        <f t="shared" si="2827"/>
        <v/>
      </c>
      <c r="AC3702" s="698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698"/>
      <c r="AE3702" s="631" t="str">
        <f t="shared" si="2828"/>
        <v/>
      </c>
      <c r="AF3702" s="699" t="str">
        <f t="shared" si="2829"/>
        <v/>
      </c>
      <c r="AG3702" s="699"/>
      <c r="AH3702" s="699"/>
      <c r="AI3702" s="512">
        <f>IF(H3702="credit",0,IF(AE3702="free",0,IF(AE3702="me",0,IF(G3702&gt;0,(VLOOKUP(A3702,'Discount Lookup'!J:K,2)*G3702),0))))</f>
        <v>0</v>
      </c>
      <c r="AJ3702" s="513" t="str">
        <f t="shared" ca="1" si="2830"/>
        <v/>
      </c>
      <c r="AK3702" s="700" t="str">
        <f t="shared" si="2831"/>
        <v/>
      </c>
      <c r="AL3702" s="700"/>
      <c r="AM3702" s="505" t="str">
        <f t="shared" si="2832"/>
        <v/>
      </c>
      <c r="AN3702" s="506"/>
      <c r="AO3702" s="507"/>
      <c r="AP3702" s="507"/>
      <c r="AQ3702" s="507"/>
      <c r="AR3702" s="507"/>
      <c r="AS3702" s="507"/>
      <c r="AT3702" s="507"/>
      <c r="AU3702" s="507"/>
      <c r="AV3702" s="225"/>
      <c r="AW3702" s="508"/>
      <c r="AX3702" s="225"/>
      <c r="AY3702" s="225"/>
      <c r="AZ3702" s="225"/>
      <c r="BA3702" s="225"/>
      <c r="BB3702" s="225"/>
      <c r="BC3702" s="56"/>
      <c r="BD3702" s="56"/>
      <c r="BE3702" s="56"/>
      <c r="BF3702" s="107" t="str">
        <f t="shared" si="2833"/>
        <v>https://www.google.com/search?tbm=isch&amp;q=Tamukeyama%20foliage%20emerges%20Crimson-Red%2C%20holds%20color%20through%20summer%2C%20turning%20bright%20Scarlet%20in%20fall.%20Deep%20red%20bark.%20Very%20heat-tolerant%20</v>
      </c>
      <c r="BG3702" s="107" t="str">
        <f t="shared" si="2834"/>
        <v>T</v>
      </c>
      <c r="BH3702" s="254"/>
      <c r="BI3702" s="254"/>
    </row>
    <row r="3703" spans="1:61" customFormat="1" ht="18" x14ac:dyDescent="0.25">
      <c r="A3703" s="521" t="s">
        <v>1880</v>
      </c>
      <c r="B3703" s="477"/>
      <c r="C3703" s="674"/>
      <c r="D3703" s="478" t="s">
        <v>1881</v>
      </c>
      <c r="E3703" s="479"/>
      <c r="F3703" s="479"/>
      <c r="G3703" s="479"/>
      <c r="H3703" s="582" t="s">
        <v>1882</v>
      </c>
      <c r="I3703" s="480" t="s">
        <v>1883</v>
      </c>
      <c r="J3703" s="479"/>
      <c r="K3703" s="479"/>
      <c r="L3703" s="560"/>
      <c r="M3703" s="666" t="s">
        <v>4966</v>
      </c>
      <c r="N3703" s="680" t="str">
        <f>IF(AND(ISTEXT($A3703), ISERROR($A3703+0)), HYPERLINK($BF3703, "Images"), "")</f>
        <v>Images</v>
      </c>
      <c r="O3703" s="662" t="s">
        <v>4967</v>
      </c>
      <c r="P3703" s="482"/>
      <c r="Q3703" s="483"/>
      <c r="R3703" s="483"/>
      <c r="S3703" s="484" t="s">
        <v>305</v>
      </c>
      <c r="T3703" s="508">
        <f t="shared" si="2822"/>
        <v>0</v>
      </c>
      <c r="U3703" s="225" t="str">
        <f>IF(NOT(ISNUMBER(G3703)), "", VLOOKUP(A3703,'Discount Lookup'!D:E,2,FALSE)*G3703)</f>
        <v/>
      </c>
      <c r="V3703" s="225" t="str">
        <f>IF(NOT(ISNUMBER(G3703)), "", VLOOKUP(A3703,'Discount Lookup'!G:H,2,FALSE)*G3703)</f>
        <v/>
      </c>
      <c r="W3703" s="508">
        <f t="shared" si="2823"/>
        <v>0</v>
      </c>
      <c r="X3703" s="508" t="str">
        <f t="shared" si="2824"/>
        <v>Tangerine bloom</v>
      </c>
      <c r="Y3703" s="509" t="b">
        <f t="shared" si="2825"/>
        <v>0</v>
      </c>
      <c r="Z3703" s="510">
        <f t="shared" si="2826"/>
        <v>0</v>
      </c>
      <c r="AA3703" s="511"/>
      <c r="AB3703" s="511" t="str">
        <f t="shared" si="2827"/>
        <v/>
      </c>
      <c r="AC3703" s="698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698"/>
      <c r="AE3703" s="631" t="str">
        <f t="shared" si="2828"/>
        <v/>
      </c>
      <c r="AF3703" s="699" t="str">
        <f t="shared" si="2829"/>
        <v/>
      </c>
      <c r="AG3703" s="699"/>
      <c r="AH3703" s="699"/>
      <c r="AI3703" s="512">
        <f>IF(H3703="credit",0,IF(AE3703="free",0,IF(AE3703="me",0,IF(G3703&gt;0,(VLOOKUP(A3703,'Discount Lookup'!J:K,2)*G3703),0))))</f>
        <v>0</v>
      </c>
      <c r="AJ3703" s="513" t="str">
        <f t="shared" ca="1" si="2830"/>
        <v/>
      </c>
      <c r="AK3703" s="700" t="str">
        <f t="shared" si="2831"/>
        <v/>
      </c>
      <c r="AL3703" s="700"/>
      <c r="AM3703" s="505" t="str">
        <f t="shared" si="2832"/>
        <v/>
      </c>
      <c r="AN3703" s="506"/>
      <c r="AO3703" s="507"/>
      <c r="AP3703" s="507"/>
      <c r="AQ3703" s="507"/>
      <c r="AR3703" s="507"/>
      <c r="AS3703" s="507"/>
      <c r="AT3703" s="507"/>
      <c r="AU3703" s="507"/>
      <c r="AV3703" s="225"/>
      <c r="AW3703" s="508"/>
      <c r="AX3703" s="225"/>
      <c r="AY3703" s="225"/>
      <c r="AZ3703" s="225"/>
      <c r="BA3703" s="225"/>
      <c r="BB3703" s="225"/>
      <c r="BC3703" s="56"/>
      <c r="BD3703" s="56"/>
      <c r="BE3703" s="56"/>
      <c r="BF3703" s="107" t="str">
        <f t="shared" si="2833"/>
        <v>https://www.google.com/search?tbm=isch&amp;q=Tangerine%20Beauty%20Cross-Vine%20Bignonia%20%27Tangerine%20Beauty%27%20PP%233262Exp.</v>
      </c>
      <c r="BG3703" s="107" t="str">
        <f t="shared" si="2834"/>
        <v>T</v>
      </c>
      <c r="BH3703" s="254"/>
      <c r="BI3703" s="254"/>
    </row>
    <row r="3704" spans="1:61" customFormat="1" ht="15.75" x14ac:dyDescent="0.25">
      <c r="A3704" s="485">
        <v>3</v>
      </c>
      <c r="B3704" s="486" t="s">
        <v>291</v>
      </c>
      <c r="C3704" s="487"/>
      <c r="D3704" s="488" t="s">
        <v>298</v>
      </c>
      <c r="E3704" s="489">
        <v>30.95</v>
      </c>
      <c r="F3704" s="516" t="s">
        <v>293</v>
      </c>
      <c r="G3704" s="232">
        <v>0</v>
      </c>
      <c r="H3704" s="658" t="str">
        <f>IF(G3704=0,"",IF(F3704="Buy",IF(G3704=1,"plant","plants"),IF(F3704&gt;0.01,"warranty","Error")))</f>
        <v/>
      </c>
      <c r="I3704" s="490">
        <f>IF(H3704="free",0,IF(H3704="credit",((E3704*(F3704))*G3704*-1),IF(F3704="Buy",(E3704*G3704),((E3704*(1-F3704))*G3704))))</f>
        <v>0</v>
      </c>
      <c r="J3704" s="490">
        <f>IF(H3704="warranty",0,(I3704*(_xlfn.SINGLE(SalesTaxPercentage))))</f>
        <v>0</v>
      </c>
      <c r="K3704" s="695">
        <f t="shared" ref="K3704" si="2861">I3704+J3704</f>
        <v>0</v>
      </c>
      <c r="L3704" s="695"/>
      <c r="M3704" s="659" t="str">
        <f>IF(AND(G3704&gt;0,E3704=0),"WARNING - no PRICE inserted",IF(H3704="free"," FREE ~ no charge this plant",IF(H3704="credit",CONCATENATE(" -$",ROUND(K3704*(1-T2GDiscount)*-1,2)," CREDIT after discount"),IF(T2GDiscount=0,"",IF(G3704=0,"",IF(F3704="Buy",CONCATENATE(" $",ROUND(K3704*(1-T2GDiscount),2)," with ",(T2GDiscount*100),"% discount"),CONCATENATE(" $",ROUND(K3704*(1-T2GDiscount),2)," with ",((T2GDiscount*100+F3704*100)-(T2GDiscount*100*F3704)),IF(F3704&gt;0,"% discounts",IF(NoWarrantyDiscount&gt;0,"% discounts","% discount")))))))))</f>
        <v/>
      </c>
      <c r="N3704" s="660"/>
      <c r="O3704" s="233"/>
      <c r="P3704" s="233"/>
      <c r="Q3704" s="233"/>
      <c r="R3704" s="233"/>
      <c r="S3704" s="233"/>
      <c r="T3704" s="508">
        <f t="shared" si="2822"/>
        <v>0</v>
      </c>
      <c r="U3704" s="225">
        <f>IF(NOT(ISNUMBER(G3704)), "", VLOOKUP(A3704,'Discount Lookup'!D:E,2,FALSE)*G3704)</f>
        <v>0</v>
      </c>
      <c r="V3704" s="225">
        <f>IF(NOT(ISNUMBER(G3704)), "", VLOOKUP(A3704,'Discount Lookup'!G:H,2,FALSE)*G3704)</f>
        <v>0</v>
      </c>
      <c r="W3704" s="508">
        <f t="shared" si="2823"/>
        <v>0</v>
      </c>
      <c r="X3704" s="508">
        <f t="shared" si="2824"/>
        <v>0</v>
      </c>
      <c r="Y3704" s="509" t="b">
        <f t="shared" si="2825"/>
        <v>0</v>
      </c>
      <c r="Z3704" s="510">
        <f t="shared" si="2826"/>
        <v>0</v>
      </c>
      <c r="AA3704" s="511"/>
      <c r="AB3704" s="511" t="str">
        <f t="shared" si="2827"/>
        <v/>
      </c>
      <c r="AC3704" s="698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698"/>
      <c r="AE3704" s="631" t="str">
        <f t="shared" si="2828"/>
        <v/>
      </c>
      <c r="AF3704" s="699" t="str">
        <f t="shared" si="2829"/>
        <v/>
      </c>
      <c r="AG3704" s="699"/>
      <c r="AH3704" s="699"/>
      <c r="AI3704" s="512">
        <f>IF(H3704="credit",0,IF(AE3704="free",0,IF(AE3704="me",0,IF(G3704&gt;0,(VLOOKUP(A3704,'Discount Lookup'!J:K,2)*G3704),0))))</f>
        <v>0</v>
      </c>
      <c r="AJ3704" s="513" t="str">
        <f t="shared" ca="1" si="2830"/>
        <v/>
      </c>
      <c r="AK3704" s="700" t="str">
        <f t="shared" si="2831"/>
        <v/>
      </c>
      <c r="AL3704" s="700"/>
      <c r="AM3704" s="505" t="str">
        <f t="shared" si="2832"/>
        <v/>
      </c>
      <c r="AN3704" s="506"/>
      <c r="AO3704" s="507"/>
      <c r="AP3704" s="507"/>
      <c r="AQ3704" s="507"/>
      <c r="AR3704" s="507"/>
      <c r="AS3704" s="507"/>
      <c r="AT3704" s="507"/>
      <c r="AU3704" s="507"/>
      <c r="AV3704" s="225"/>
      <c r="AW3704" s="508"/>
      <c r="AX3704" s="225"/>
      <c r="AY3704" s="225"/>
      <c r="AZ3704" s="225"/>
      <c r="BA3704" s="225"/>
      <c r="BB3704" s="225"/>
      <c r="BC3704" s="56"/>
      <c r="BD3704" s="56"/>
      <c r="BE3704" s="56"/>
      <c r="BF3704" s="107" t="str">
        <f t="shared" si="2833"/>
        <v>https://www.google.com/search?tbm=isch&amp;q=3%20G1</v>
      </c>
      <c r="BG3704" s="107" t="str">
        <f t="shared" si="2834"/>
        <v>T</v>
      </c>
      <c r="BH3704" s="254"/>
      <c r="BI3704" s="254"/>
    </row>
    <row r="3705" spans="1:61" customFormat="1" ht="15.75" x14ac:dyDescent="0.25">
      <c r="A3705" s="485">
        <v>3</v>
      </c>
      <c r="B3705" s="486" t="s">
        <v>291</v>
      </c>
      <c r="C3705" s="487"/>
      <c r="D3705" s="488" t="s">
        <v>312</v>
      </c>
      <c r="E3705" s="489">
        <v>33.950000000000003</v>
      </c>
      <c r="F3705" s="516" t="s">
        <v>293</v>
      </c>
      <c r="G3705" s="232">
        <v>0</v>
      </c>
      <c r="H3705" s="658" t="str">
        <f>IF(G3705=0,"",IF(F3705="Buy",IF(G3705=1,"plant","plants"),IF(F3705&gt;0.01,"warranty","Error")))</f>
        <v/>
      </c>
      <c r="I3705" s="490">
        <f>IF(H3705="free",0,IF(H3705="credit",((E3705*(F3705))*G3705*-1),IF(F3705="Buy",(E3705*G3705),((E3705*(1-F3705))*G3705))))</f>
        <v>0</v>
      </c>
      <c r="J3705" s="490">
        <f>IF(H3705="warranty",0,(I3705*(_xlfn.SINGLE(SalesTaxPercentage))))</f>
        <v>0</v>
      </c>
      <c r="K3705" s="695">
        <f t="shared" ref="K3705" si="2862">I3705+J3705</f>
        <v>0</v>
      </c>
      <c r="L3705" s="695"/>
      <c r="M3705" s="659" t="str">
        <f>IF(AND(G3705&gt;0,E3705=0),"WARNING - no PRICE inserted",IF(H3705="free"," FREE ~ no charge this plant",IF(H3705="credit",CONCATENATE(" -$",ROUND(K3705*(1-T2GDiscount)*-1,2)," CREDIT after discount"),IF(T2GDiscount=0,"",IF(G3705=0,"",IF(F3705="Buy",CONCATENATE(" $",ROUND(K3705*(1-T2GDiscount),2)," with ",(T2GDiscount*100),"% discount"),CONCATENATE(" $",ROUND(K3705*(1-T2GDiscount),2)," with ",((T2GDiscount*100+F3705*100)-(T2GDiscount*100*F3705)),IF(F3705&gt;0,"% discounts",IF(NoWarrantyDiscount&gt;0,"% discounts","% discount")))))))))</f>
        <v/>
      </c>
      <c r="N3705" s="660"/>
      <c r="O3705" s="233"/>
      <c r="P3705" s="233"/>
      <c r="Q3705" s="233"/>
      <c r="R3705" s="233"/>
      <c r="S3705" s="233"/>
      <c r="T3705" s="508">
        <f t="shared" si="2822"/>
        <v>0</v>
      </c>
      <c r="U3705" s="225">
        <f>IF(NOT(ISNUMBER(G3705)), "", VLOOKUP(A3705,'Discount Lookup'!D:E,2,FALSE)*G3705)</f>
        <v>0</v>
      </c>
      <c r="V3705" s="225">
        <f>IF(NOT(ISNUMBER(G3705)), "", VLOOKUP(A3705,'Discount Lookup'!G:H,2,FALSE)*G3705)</f>
        <v>0</v>
      </c>
      <c r="W3705" s="508">
        <f t="shared" si="2823"/>
        <v>0</v>
      </c>
      <c r="X3705" s="508">
        <f t="shared" si="2824"/>
        <v>0</v>
      </c>
      <c r="Y3705" s="509" t="b">
        <f t="shared" si="2825"/>
        <v>0</v>
      </c>
      <c r="Z3705" s="510">
        <f t="shared" si="2826"/>
        <v>0</v>
      </c>
      <c r="AA3705" s="511"/>
      <c r="AB3705" s="511" t="str">
        <f t="shared" si="2827"/>
        <v/>
      </c>
      <c r="AC3705" s="698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698"/>
      <c r="AE3705" s="631" t="str">
        <f t="shared" si="2828"/>
        <v/>
      </c>
      <c r="AF3705" s="699" t="str">
        <f t="shared" si="2829"/>
        <v/>
      </c>
      <c r="AG3705" s="699"/>
      <c r="AH3705" s="699"/>
      <c r="AI3705" s="512">
        <f>IF(H3705="credit",0,IF(AE3705="free",0,IF(AE3705="me",0,IF(G3705&gt;0,(VLOOKUP(A3705,'Discount Lookup'!J:K,2)*G3705),0))))</f>
        <v>0</v>
      </c>
      <c r="AJ3705" s="513" t="str">
        <f t="shared" ca="1" si="2830"/>
        <v/>
      </c>
      <c r="AK3705" s="700" t="str">
        <f t="shared" si="2831"/>
        <v/>
      </c>
      <c r="AL3705" s="700"/>
      <c r="AM3705" s="505" t="str">
        <f t="shared" si="2832"/>
        <v/>
      </c>
      <c r="AN3705" s="506"/>
      <c r="AO3705" s="507"/>
      <c r="AP3705" s="507"/>
      <c r="AQ3705" s="507"/>
      <c r="AR3705" s="507"/>
      <c r="AS3705" s="507"/>
      <c r="AT3705" s="507"/>
      <c r="AU3705" s="507"/>
      <c r="AV3705" s="225"/>
      <c r="AW3705" s="508"/>
      <c r="AX3705" s="225"/>
      <c r="AY3705" s="225"/>
      <c r="AZ3705" s="225"/>
      <c r="BA3705" s="225"/>
      <c r="BB3705" s="225"/>
      <c r="BC3705" s="56"/>
      <c r="BD3705" s="56"/>
      <c r="BE3705" s="56"/>
      <c r="BF3705" s="107" t="str">
        <f t="shared" si="2833"/>
        <v>https://www.google.com/search?tbm=isch&amp;q=3%20G2</v>
      </c>
      <c r="BG3705" s="107" t="str">
        <f t="shared" si="2834"/>
        <v>T</v>
      </c>
      <c r="BH3705" s="254"/>
      <c r="BI3705" s="254"/>
    </row>
    <row r="3706" spans="1:61" customFormat="1" ht="16.5" thickBot="1" x14ac:dyDescent="0.3">
      <c r="A3706" s="522" t="s">
        <v>2546</v>
      </c>
      <c r="B3706" s="491"/>
      <c r="C3706" s="675"/>
      <c r="D3706" s="491"/>
      <c r="E3706" s="491"/>
      <c r="F3706" s="492"/>
      <c r="G3706" s="493"/>
      <c r="H3706" s="491"/>
      <c r="I3706" s="234"/>
      <c r="J3706" s="234"/>
      <c r="K3706" s="494"/>
      <c r="L3706" s="543"/>
      <c r="M3706" s="561"/>
      <c r="N3706" s="495"/>
      <c r="O3706" s="496"/>
      <c r="P3706" s="497"/>
      <c r="Q3706" s="495"/>
      <c r="R3706" s="495"/>
      <c r="S3706" s="277"/>
      <c r="T3706" s="508">
        <f t="shared" si="2822"/>
        <v>0</v>
      </c>
      <c r="U3706" s="225" t="str">
        <f>IF(NOT(ISNUMBER(G3706)), "", VLOOKUP(A3706,'Discount Lookup'!D:E,2,FALSE)*G3706)</f>
        <v/>
      </c>
      <c r="V3706" s="225" t="str">
        <f>IF(NOT(ISNUMBER(G3706)), "", VLOOKUP(A3706,'Discount Lookup'!G:H,2,FALSE)*G3706)</f>
        <v/>
      </c>
      <c r="W3706" s="508">
        <f t="shared" si="2823"/>
        <v>0</v>
      </c>
      <c r="X3706" s="508">
        <f t="shared" si="2824"/>
        <v>0</v>
      </c>
      <c r="Y3706" s="509" t="b">
        <f t="shared" si="2825"/>
        <v>0</v>
      </c>
      <c r="Z3706" s="510">
        <f t="shared" si="2826"/>
        <v>0</v>
      </c>
      <c r="AA3706" s="511"/>
      <c r="AB3706" s="511" t="str">
        <f t="shared" si="2827"/>
        <v/>
      </c>
      <c r="AC3706" s="698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698"/>
      <c r="AE3706" s="631" t="str">
        <f t="shared" si="2828"/>
        <v/>
      </c>
      <c r="AF3706" s="699" t="str">
        <f t="shared" si="2829"/>
        <v/>
      </c>
      <c r="AG3706" s="699"/>
      <c r="AH3706" s="699"/>
      <c r="AI3706" s="512">
        <f>IF(H3706="credit",0,IF(AE3706="free",0,IF(AE3706="me",0,IF(G3706&gt;0,(VLOOKUP(A3706,'Discount Lookup'!J:K,2)*G3706),0))))</f>
        <v>0</v>
      </c>
      <c r="AJ3706" s="513" t="str">
        <f t="shared" ca="1" si="2830"/>
        <v/>
      </c>
      <c r="AK3706" s="700" t="str">
        <f t="shared" si="2831"/>
        <v/>
      </c>
      <c r="AL3706" s="700"/>
      <c r="AM3706" s="505" t="str">
        <f t="shared" si="2832"/>
        <v/>
      </c>
      <c r="AN3706" s="506"/>
      <c r="AO3706" s="507"/>
      <c r="AP3706" s="507"/>
      <c r="AQ3706" s="507"/>
      <c r="AR3706" s="507"/>
      <c r="AS3706" s="507"/>
      <c r="AT3706" s="507"/>
      <c r="AU3706" s="507"/>
      <c r="AV3706" s="225"/>
      <c r="AW3706" s="508"/>
      <c r="AX3706" s="225"/>
      <c r="AY3706" s="225"/>
      <c r="AZ3706" s="225"/>
      <c r="BA3706" s="225"/>
      <c r="BB3706" s="225"/>
      <c r="BC3706" s="56"/>
      <c r="BD3706" s="56"/>
      <c r="BE3706" s="56"/>
      <c r="BF3706" s="107" t="str">
        <f t="shared" si="2833"/>
        <v>https://www.google.com/search?tbm=isch&amp;q=Tangerine%20Beauty%27%20trumpet-shaped%20flowers%20are%20fragrant%20and%20very%20showy%20%28finest%20in%20full%20sun%29.%20May%20defoliate%20in%20freeze%20</v>
      </c>
      <c r="BG3706" s="107" t="str">
        <f t="shared" si="2834"/>
        <v>T</v>
      </c>
      <c r="BH3706" s="254"/>
      <c r="BI3706" s="254"/>
    </row>
    <row r="3707" spans="1:61" customFormat="1" ht="18" x14ac:dyDescent="0.25">
      <c r="A3707" s="523" t="s">
        <v>5555</v>
      </c>
      <c r="B3707" s="235"/>
      <c r="C3707" s="676"/>
      <c r="D3707" s="255" t="s">
        <v>1884</v>
      </c>
      <c r="E3707" s="236"/>
      <c r="F3707" s="236"/>
      <c r="G3707" s="236"/>
      <c r="H3707" s="582" t="s">
        <v>810</v>
      </c>
      <c r="I3707" s="498" t="s">
        <v>654</v>
      </c>
      <c r="J3707" s="237"/>
      <c r="K3707" s="237"/>
      <c r="L3707" s="274"/>
      <c r="M3707" s="668" t="s">
        <v>4962</v>
      </c>
      <c r="N3707" s="681" t="str">
        <f>IF(AND(ISTEXT($A3707), ISERROR($A3707+0)), HYPERLINK($BF3707, "Images"), "")</f>
        <v>Images</v>
      </c>
      <c r="O3707" s="663" t="s">
        <v>4967</v>
      </c>
      <c r="P3707" s="253"/>
      <c r="Q3707" s="238"/>
      <c r="R3707" s="239"/>
      <c r="S3707" s="275"/>
      <c r="T3707" s="508">
        <f t="shared" si="2822"/>
        <v>0</v>
      </c>
      <c r="U3707" s="225" t="str">
        <f>IF(NOT(ISNUMBER(G3707)), "", VLOOKUP(A3707,'Discount Lookup'!D:E,2,FALSE)*G3707)</f>
        <v/>
      </c>
      <c r="V3707" s="225" t="str">
        <f>IF(NOT(ISNUMBER(G3707)), "", VLOOKUP(A3707,'Discount Lookup'!G:H,2,FALSE)*G3707)</f>
        <v/>
      </c>
      <c r="W3707" s="508">
        <f t="shared" si="2823"/>
        <v>0</v>
      </c>
      <c r="X3707" s="508" t="str">
        <f t="shared" si="2824"/>
        <v>White bloom</v>
      </c>
      <c r="Y3707" s="509" t="b">
        <f t="shared" si="2825"/>
        <v>0</v>
      </c>
      <c r="Z3707" s="510">
        <f t="shared" si="2826"/>
        <v>0</v>
      </c>
      <c r="AA3707" s="511"/>
      <c r="AB3707" s="511" t="str">
        <f t="shared" si="2827"/>
        <v/>
      </c>
      <c r="AC3707" s="698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698"/>
      <c r="AE3707" s="631" t="str">
        <f t="shared" si="2828"/>
        <v/>
      </c>
      <c r="AF3707" s="699" t="str">
        <f t="shared" si="2829"/>
        <v/>
      </c>
      <c r="AG3707" s="699"/>
      <c r="AH3707" s="699"/>
      <c r="AI3707" s="512">
        <f>IF(H3707="credit",0,IF(AE3707="free",0,IF(AE3707="me",0,IF(G3707&gt;0,(VLOOKUP(A3707,'Discount Lookup'!J:K,2)*G3707),0))))</f>
        <v>0</v>
      </c>
      <c r="AJ3707" s="513" t="str">
        <f t="shared" ca="1" si="2830"/>
        <v/>
      </c>
      <c r="AK3707" s="700" t="str">
        <f t="shared" si="2831"/>
        <v/>
      </c>
      <c r="AL3707" s="700"/>
      <c r="AM3707" s="505" t="str">
        <f t="shared" si="2832"/>
        <v/>
      </c>
      <c r="AN3707" s="506"/>
      <c r="AO3707" s="507"/>
      <c r="AP3707" s="507"/>
      <c r="AQ3707" s="507"/>
      <c r="AR3707" s="507"/>
      <c r="AS3707" s="507"/>
      <c r="AT3707" s="507"/>
      <c r="AU3707" s="507"/>
      <c r="AV3707" s="225"/>
      <c r="AW3707" s="508"/>
      <c r="AX3707" s="225"/>
      <c r="AY3707" s="225"/>
      <c r="AZ3707" s="225"/>
      <c r="BA3707" s="225"/>
      <c r="BB3707" s="225"/>
      <c r="BC3707" s="56"/>
      <c r="BD3707" s="56"/>
      <c r="BE3707" s="56"/>
      <c r="BF3707" s="107" t="str">
        <f t="shared" si="2833"/>
        <v>https://www.google.com/search?tbm=isch&amp;q=Taste%20of%20Heaven%E2%84%A2%20Blackberry%20Rubus%20%27Ponca%27%20PP%2333330</v>
      </c>
      <c r="BG3707" s="107" t="str">
        <f t="shared" si="2834"/>
        <v>T</v>
      </c>
      <c r="BH3707" s="254"/>
      <c r="BI3707" s="254"/>
    </row>
    <row r="3708" spans="1:61" customFormat="1" ht="27" x14ac:dyDescent="0.25">
      <c r="A3708" s="276">
        <v>3</v>
      </c>
      <c r="B3708" s="240" t="s">
        <v>291</v>
      </c>
      <c r="C3708" s="241" t="s">
        <v>1885</v>
      </c>
      <c r="D3708" s="242" t="s">
        <v>299</v>
      </c>
      <c r="E3708" s="243">
        <v>42.95</v>
      </c>
      <c r="F3708" s="517" t="s">
        <v>293</v>
      </c>
      <c r="G3708" s="232">
        <v>0</v>
      </c>
      <c r="H3708" s="661" t="str">
        <f>IF(G3708=0,"",IF(F3708="Buy",IF(G3708=1,"plant","plants"),IF(F3708&gt;0.01,"warranty","Error")))</f>
        <v/>
      </c>
      <c r="I3708" s="244">
        <f>IF(H3708="free",0,IF(H3708="credit",((E3708*(F3708))*G3708*-1),IF(F3708="Buy",(E3708*G3708),((E3708*(1-F3708))*G3708))))</f>
        <v>0</v>
      </c>
      <c r="J3708" s="244">
        <f>IF(H3708="warranty",0,(I3708*(_xlfn.SINGLE(SalesTaxPercentage))))</f>
        <v>0</v>
      </c>
      <c r="K3708" s="696">
        <f t="shared" ref="K3708" si="2863">I3708+J3708</f>
        <v>0</v>
      </c>
      <c r="L3708" s="696"/>
      <c r="M3708" s="659" t="str">
        <f>IF(AND(G3708&gt;0,E3708=0),"WARNING - no PRICE inserted",IF(H3708="free"," FREE ~ no charge this plant",IF(H3708="credit",CONCATENATE(" -$",ROUND(K3708*(1-T2GDiscount)*-1,2)," CREDIT after discount"),IF(T2GDiscount=0,"",IF(G3708=0,"",IF(F3708="Buy",CONCATENATE(" $",ROUND(K3708*(1-T2GDiscount),2)," with ",(T2GDiscount*100),"% discount"),CONCATENATE(" $",ROUND(K3708*(1-T2GDiscount),2)," with ",((T2GDiscount*100+F3708*100)-(T2GDiscount*100*F3708)),IF(F3708&gt;0,"% discounts",IF(NoWarrantyDiscount&gt;0,"% discounts","% discount")))))))))</f>
        <v/>
      </c>
      <c r="N3708" s="660"/>
      <c r="O3708" s="233"/>
      <c r="P3708" s="233"/>
      <c r="Q3708" s="233"/>
      <c r="R3708" s="233"/>
      <c r="S3708" s="233"/>
      <c r="T3708" s="508">
        <f t="shared" si="2822"/>
        <v>0</v>
      </c>
      <c r="U3708" s="225">
        <f>IF(NOT(ISNUMBER(G3708)), "", VLOOKUP(A3708,'Discount Lookup'!D:E,2,FALSE)*G3708)</f>
        <v>0</v>
      </c>
      <c r="V3708" s="225">
        <f>IF(NOT(ISNUMBER(G3708)), "", VLOOKUP(A3708,'Discount Lookup'!G:H,2,FALSE)*G3708)</f>
        <v>0</v>
      </c>
      <c r="W3708" s="508">
        <f t="shared" si="2823"/>
        <v>0</v>
      </c>
      <c r="X3708" s="508">
        <f t="shared" si="2824"/>
        <v>0</v>
      </c>
      <c r="Y3708" s="509" t="b">
        <f t="shared" si="2825"/>
        <v>0</v>
      </c>
      <c r="Z3708" s="510">
        <f t="shared" si="2826"/>
        <v>0</v>
      </c>
      <c r="AA3708" s="511"/>
      <c r="AB3708" s="511" t="str">
        <f t="shared" si="2827"/>
        <v/>
      </c>
      <c r="AC3708" s="698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698"/>
      <c r="AE3708" s="631" t="str">
        <f t="shared" si="2828"/>
        <v/>
      </c>
      <c r="AF3708" s="699" t="str">
        <f t="shared" si="2829"/>
        <v/>
      </c>
      <c r="AG3708" s="699"/>
      <c r="AH3708" s="699"/>
      <c r="AI3708" s="512">
        <f>IF(H3708="credit",0,IF(AE3708="free",0,IF(AE3708="me",0,IF(G3708&gt;0,(VLOOKUP(A3708,'Discount Lookup'!J:K,2)*G3708),0))))</f>
        <v>0</v>
      </c>
      <c r="AJ3708" s="513" t="str">
        <f t="shared" ca="1" si="2830"/>
        <v/>
      </c>
      <c r="AK3708" s="700" t="str">
        <f t="shared" si="2831"/>
        <v/>
      </c>
      <c r="AL3708" s="700"/>
      <c r="AM3708" s="505" t="str">
        <f t="shared" si="2832"/>
        <v/>
      </c>
      <c r="AN3708" s="506"/>
      <c r="AO3708" s="507"/>
      <c r="AP3708" s="507"/>
      <c r="AQ3708" s="507"/>
      <c r="AR3708" s="507"/>
      <c r="AS3708" s="507"/>
      <c r="AT3708" s="507"/>
      <c r="AU3708" s="507"/>
      <c r="AV3708" s="225"/>
      <c r="AW3708" s="508"/>
      <c r="AX3708" s="225"/>
      <c r="AY3708" s="225"/>
      <c r="AZ3708" s="225"/>
      <c r="BA3708" s="225"/>
      <c r="BB3708" s="225"/>
      <c r="BC3708" s="56"/>
      <c r="BD3708" s="56"/>
      <c r="BE3708" s="56"/>
      <c r="BF3708" s="107" t="str">
        <f t="shared" si="2833"/>
        <v>https://www.google.com/search?tbm=isch&amp;q=3%20G5</v>
      </c>
      <c r="BG3708" s="107" t="str">
        <f t="shared" si="2834"/>
        <v>T</v>
      </c>
      <c r="BH3708" s="254"/>
      <c r="BI3708" s="254"/>
    </row>
    <row r="3709" spans="1:61" customFormat="1" ht="17.25" thickBot="1" x14ac:dyDescent="0.3">
      <c r="A3709" s="524" t="s">
        <v>4178</v>
      </c>
      <c r="B3709" s="245"/>
      <c r="C3709" s="677"/>
      <c r="D3709" s="499"/>
      <c r="E3709" s="499"/>
      <c r="F3709" s="500"/>
      <c r="G3709" s="501"/>
      <c r="H3709" s="502"/>
      <c r="I3709" s="246"/>
      <c r="J3709" s="247"/>
      <c r="K3709" s="503"/>
      <c r="L3709" s="544"/>
      <c r="M3709" s="544"/>
      <c r="N3709" s="500"/>
      <c r="O3709" s="500"/>
      <c r="P3709" s="500"/>
      <c r="Q3709" s="500"/>
      <c r="R3709" s="500"/>
      <c r="S3709" s="669" t="s">
        <v>4972</v>
      </c>
      <c r="T3709" s="508">
        <f t="shared" si="2822"/>
        <v>0</v>
      </c>
      <c r="U3709" s="225" t="str">
        <f>IF(NOT(ISNUMBER(G3709)), "", VLOOKUP(A3709,'Discount Lookup'!D:E,2,FALSE)*G3709)</f>
        <v/>
      </c>
      <c r="V3709" s="225" t="str">
        <f>IF(NOT(ISNUMBER(G3709)), "", VLOOKUP(A3709,'Discount Lookup'!G:H,2,FALSE)*G3709)</f>
        <v/>
      </c>
      <c r="W3709" s="508">
        <f t="shared" si="2823"/>
        <v>0</v>
      </c>
      <c r="X3709" s="508">
        <f t="shared" si="2824"/>
        <v>0</v>
      </c>
      <c r="Y3709" s="509" t="b">
        <f t="shared" si="2825"/>
        <v>0</v>
      </c>
      <c r="Z3709" s="510">
        <f t="shared" si="2826"/>
        <v>0</v>
      </c>
      <c r="AA3709" s="511"/>
      <c r="AB3709" s="511" t="str">
        <f t="shared" si="2827"/>
        <v/>
      </c>
      <c r="AC3709" s="698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698"/>
      <c r="AE3709" s="631" t="str">
        <f t="shared" si="2828"/>
        <v/>
      </c>
      <c r="AF3709" s="699" t="str">
        <f t="shared" si="2829"/>
        <v/>
      </c>
      <c r="AG3709" s="699"/>
      <c r="AH3709" s="699"/>
      <c r="AI3709" s="512">
        <f>IF(H3709="credit",0,IF(AE3709="free",0,IF(AE3709="me",0,IF(G3709&gt;0,(VLOOKUP(A3709,'Discount Lookup'!J:K,2)*G3709),0))))</f>
        <v>0</v>
      </c>
      <c r="AJ3709" s="513" t="str">
        <f t="shared" ca="1" si="2830"/>
        <v/>
      </c>
      <c r="AK3709" s="700" t="str">
        <f t="shared" si="2831"/>
        <v/>
      </c>
      <c r="AL3709" s="700"/>
      <c r="AM3709" s="505" t="str">
        <f t="shared" si="2832"/>
        <v/>
      </c>
      <c r="AN3709" s="506"/>
      <c r="AO3709" s="507"/>
      <c r="AP3709" s="507"/>
      <c r="AQ3709" s="507"/>
      <c r="AR3709" s="507"/>
      <c r="AS3709" s="507"/>
      <c r="AT3709" s="507"/>
      <c r="AU3709" s="507"/>
      <c r="AV3709" s="225"/>
      <c r="AW3709" s="508"/>
      <c r="AX3709" s="225"/>
      <c r="AY3709" s="225"/>
      <c r="AZ3709" s="225"/>
      <c r="BA3709" s="225"/>
      <c r="BB3709" s="225"/>
      <c r="BC3709" s="56"/>
      <c r="BD3709" s="56"/>
      <c r="BE3709" s="56"/>
      <c r="BF3709" s="107" t="str">
        <f t="shared" si="2833"/>
        <v>https://www.google.com/search?tbm=isch&amp;q=Taste%20of%20Heaven%20delivers%20exceptionally%20sweet%2C%20early%20fruit%20on%20thornless%20upright%20canes.%20Self-pollinating%20</v>
      </c>
      <c r="BG3709" s="107" t="str">
        <f t="shared" si="2834"/>
        <v>T</v>
      </c>
      <c r="BH3709" s="254"/>
      <c r="BI3709" s="254"/>
    </row>
    <row r="3710" spans="1:61" customFormat="1" ht="18" x14ac:dyDescent="0.25">
      <c r="A3710" s="521" t="s">
        <v>5626</v>
      </c>
      <c r="B3710" s="477"/>
      <c r="C3710" s="674"/>
      <c r="D3710" s="478" t="s">
        <v>1886</v>
      </c>
      <c r="E3710" s="479"/>
      <c r="F3710" s="479"/>
      <c r="G3710" s="479"/>
      <c r="H3710" s="582" t="s">
        <v>720</v>
      </c>
      <c r="I3710" s="480" t="s">
        <v>2097</v>
      </c>
      <c r="J3710" s="479"/>
      <c r="K3710" s="479"/>
      <c r="L3710" s="560"/>
      <c r="M3710" s="666" t="s">
        <v>4966</v>
      </c>
      <c r="N3710" s="680" t="str">
        <f>IF(AND(ISTEXT($A3710), ISERROR($A3710+0)), HYPERLINK($BF3710, "Images"), "")</f>
        <v>Images</v>
      </c>
      <c r="O3710" s="662" t="s">
        <v>4971</v>
      </c>
      <c r="P3710" s="482"/>
      <c r="Q3710" s="483"/>
      <c r="R3710" s="483"/>
      <c r="S3710" s="484" t="s">
        <v>305</v>
      </c>
      <c r="T3710" s="508">
        <f t="shared" si="2822"/>
        <v>0</v>
      </c>
      <c r="U3710" s="225" t="str">
        <f>IF(NOT(ISNUMBER(G3710)), "", VLOOKUP(A3710,'Discount Lookup'!D:E,2,FALSE)*G3710)</f>
        <v/>
      </c>
      <c r="V3710" s="225" t="str">
        <f>IF(NOT(ISNUMBER(G3710)), "", VLOOKUP(A3710,'Discount Lookup'!G:H,2,FALSE)*G3710)</f>
        <v/>
      </c>
      <c r="W3710" s="508">
        <f t="shared" si="2823"/>
        <v>0</v>
      </c>
      <c r="X3710" s="508" t="str">
        <f t="shared" si="2824"/>
        <v>Deep Green foliage</v>
      </c>
      <c r="Y3710" s="509" t="b">
        <f t="shared" si="2825"/>
        <v>0</v>
      </c>
      <c r="Z3710" s="510">
        <f t="shared" si="2826"/>
        <v>0</v>
      </c>
      <c r="AA3710" s="511"/>
      <c r="AB3710" s="511" t="str">
        <f t="shared" si="2827"/>
        <v/>
      </c>
      <c r="AC3710" s="698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698"/>
      <c r="AE3710" s="631" t="str">
        <f t="shared" si="2828"/>
        <v/>
      </c>
      <c r="AF3710" s="699" t="str">
        <f t="shared" si="2829"/>
        <v/>
      </c>
      <c r="AG3710" s="699"/>
      <c r="AH3710" s="699"/>
      <c r="AI3710" s="512">
        <f>IF(H3710="credit",0,IF(AE3710="free",0,IF(AE3710="me",0,IF(G3710&gt;0,(VLOOKUP(A3710,'Discount Lookup'!J:K,2)*G3710),0))))</f>
        <v>0</v>
      </c>
      <c r="AJ3710" s="513" t="str">
        <f t="shared" ca="1" si="2830"/>
        <v/>
      </c>
      <c r="AK3710" s="700" t="str">
        <f t="shared" si="2831"/>
        <v/>
      </c>
      <c r="AL3710" s="700"/>
      <c r="AM3710" s="505" t="str">
        <f t="shared" si="2832"/>
        <v/>
      </c>
      <c r="AN3710" s="506"/>
      <c r="AO3710" s="507"/>
      <c r="AP3710" s="507"/>
      <c r="AQ3710" s="507"/>
      <c r="AR3710" s="507"/>
      <c r="AS3710" s="507"/>
      <c r="AT3710" s="507"/>
      <c r="AU3710" s="507"/>
      <c r="AV3710" s="225"/>
      <c r="AW3710" s="508"/>
      <c r="AX3710" s="225"/>
      <c r="AY3710" s="225"/>
      <c r="AZ3710" s="225"/>
      <c r="BA3710" s="225"/>
      <c r="BB3710" s="225"/>
      <c r="BC3710" s="56"/>
      <c r="BD3710" s="56"/>
      <c r="BE3710" s="56"/>
      <c r="BF3710" s="107" t="str">
        <f t="shared" si="2833"/>
        <v>https://www.google.com/search?tbm=isch&amp;q=Tater%20Tot%C2%AE%20Arborvitae%20%28PW%C2%AE%29%20Thuja%20occidentalis%20%27SMNTOBAB%27%20PP%2330761</v>
      </c>
      <c r="BG3710" s="107" t="str">
        <f t="shared" si="2834"/>
        <v>T</v>
      </c>
      <c r="BH3710" s="254"/>
      <c r="BI3710" s="254"/>
    </row>
    <row r="3711" spans="1:61" customFormat="1" ht="15.75" x14ac:dyDescent="0.25">
      <c r="A3711" s="485">
        <v>3</v>
      </c>
      <c r="B3711" s="486" t="s">
        <v>291</v>
      </c>
      <c r="C3711" s="487" t="s">
        <v>4823</v>
      </c>
      <c r="D3711" s="488" t="s">
        <v>292</v>
      </c>
      <c r="E3711" s="489">
        <v>41.95</v>
      </c>
      <c r="F3711" s="516" t="s">
        <v>293</v>
      </c>
      <c r="G3711" s="232">
        <v>0</v>
      </c>
      <c r="H3711" s="658" t="str">
        <f>IF(G3711=0,"",IF(F3711="Buy",IF(G3711=1,"plant","plants"),IF(F3711&gt;0.01,"warranty","Error")))</f>
        <v/>
      </c>
      <c r="I3711" s="490">
        <f>IF(H3711="free",0,IF(H3711="credit",((E3711*(F3711))*G3711*-1),IF(F3711="Buy",(E3711*G3711),((E3711*(1-F3711))*G3711))))</f>
        <v>0</v>
      </c>
      <c r="J3711" s="490">
        <f>IF(H3711="warranty",0,(I3711*(_xlfn.SINGLE(SalesTaxPercentage))))</f>
        <v>0</v>
      </c>
      <c r="K3711" s="695">
        <f t="shared" ref="K3711" si="2864">I3711+J3711</f>
        <v>0</v>
      </c>
      <c r="L3711" s="695"/>
      <c r="M3711" s="659" t="str">
        <f>IF(AND(G3711&gt;0,E3711=0),"WARNING - no PRICE inserted",IF(H3711="free"," FREE ~ no charge this plant",IF(H3711="credit",CONCATENATE(" -$",ROUND(K3711*(1-T2GDiscount)*-1,2)," CREDIT after discount"),IF(T2GDiscount=0,"",IF(G3711=0,"",IF(F3711="Buy",CONCATENATE(" $",ROUND(K3711*(1-T2GDiscount),2)," with ",(T2GDiscount*100),"% discount"),CONCATENATE(" $",ROUND(K3711*(1-T2GDiscount),2)," with ",((T2GDiscount*100+F3711*100)-(T2GDiscount*100*F3711)),IF(F3711&gt;0,"% discounts",IF(NoWarrantyDiscount&gt;0,"% discounts","% discount")))))))))</f>
        <v/>
      </c>
      <c r="N3711" s="660"/>
      <c r="O3711" s="233"/>
      <c r="P3711" s="233"/>
      <c r="Q3711" s="233"/>
      <c r="R3711" s="233"/>
      <c r="S3711" s="233"/>
      <c r="T3711" s="508">
        <f t="shared" si="2822"/>
        <v>0</v>
      </c>
      <c r="U3711" s="225">
        <f>IF(NOT(ISNUMBER(G3711)), "", VLOOKUP(A3711,'Discount Lookup'!D:E,2,FALSE)*G3711)</f>
        <v>0</v>
      </c>
      <c r="V3711" s="225">
        <f>IF(NOT(ISNUMBER(G3711)), "", VLOOKUP(A3711,'Discount Lookup'!G:H,2,FALSE)*G3711)</f>
        <v>0</v>
      </c>
      <c r="W3711" s="508">
        <f t="shared" si="2823"/>
        <v>0</v>
      </c>
      <c r="X3711" s="508">
        <f t="shared" si="2824"/>
        <v>0</v>
      </c>
      <c r="Y3711" s="509" t="b">
        <f t="shared" si="2825"/>
        <v>0</v>
      </c>
      <c r="Z3711" s="510">
        <f t="shared" si="2826"/>
        <v>0</v>
      </c>
      <c r="AA3711" s="511"/>
      <c r="AB3711" s="511" t="str">
        <f t="shared" si="2827"/>
        <v/>
      </c>
      <c r="AC3711" s="698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698"/>
      <c r="AE3711" s="631" t="str">
        <f t="shared" si="2828"/>
        <v/>
      </c>
      <c r="AF3711" s="699" t="str">
        <f t="shared" si="2829"/>
        <v/>
      </c>
      <c r="AG3711" s="699"/>
      <c r="AH3711" s="699"/>
      <c r="AI3711" s="512">
        <f>IF(H3711="credit",0,IF(AE3711="free",0,IF(AE3711="me",0,IF(G3711&gt;0,(VLOOKUP(A3711,'Discount Lookup'!J:K,2)*G3711),0))))</f>
        <v>0</v>
      </c>
      <c r="AJ3711" s="513" t="str">
        <f t="shared" ca="1" si="2830"/>
        <v/>
      </c>
      <c r="AK3711" s="700" t="str">
        <f t="shared" si="2831"/>
        <v/>
      </c>
      <c r="AL3711" s="700"/>
      <c r="AM3711" s="505" t="str">
        <f t="shared" si="2832"/>
        <v/>
      </c>
      <c r="AN3711" s="506"/>
      <c r="AO3711" s="507"/>
      <c r="AP3711" s="507"/>
      <c r="AQ3711" s="507"/>
      <c r="AR3711" s="507"/>
      <c r="AS3711" s="507"/>
      <c r="AT3711" s="507"/>
      <c r="AU3711" s="507"/>
      <c r="AV3711" s="225"/>
      <c r="AW3711" s="508"/>
      <c r="AX3711" s="225"/>
      <c r="AY3711" s="225"/>
      <c r="AZ3711" s="225"/>
      <c r="BA3711" s="225"/>
      <c r="BB3711" s="225"/>
      <c r="BC3711" s="56"/>
      <c r="BD3711" s="56"/>
      <c r="BE3711" s="56"/>
      <c r="BF3711" s="107" t="str">
        <f t="shared" si="2833"/>
        <v>https://www.google.com/search?tbm=isch&amp;q=3%20G4</v>
      </c>
      <c r="BG3711" s="107" t="str">
        <f t="shared" si="2834"/>
        <v>T</v>
      </c>
      <c r="BH3711" s="254"/>
      <c r="BI3711" s="254"/>
    </row>
    <row r="3712" spans="1:61" customFormat="1" ht="15.75" x14ac:dyDescent="0.25">
      <c r="A3712" s="485">
        <v>10</v>
      </c>
      <c r="B3712" s="486" t="s">
        <v>291</v>
      </c>
      <c r="C3712" s="487" t="s">
        <v>3716</v>
      </c>
      <c r="D3712" s="488" t="s">
        <v>292</v>
      </c>
      <c r="E3712" s="489">
        <v>183.95</v>
      </c>
      <c r="F3712" s="516" t="s">
        <v>293</v>
      </c>
      <c r="G3712" s="232">
        <v>0</v>
      </c>
      <c r="H3712" s="658" t="str">
        <f>IF(G3712=0,"",IF(F3712="Buy",IF(G3712=1,"plant","plants"),IF(F3712&gt;0.01,"warranty","Error")))</f>
        <v/>
      </c>
      <c r="I3712" s="490">
        <f>IF(H3712="free",0,IF(H3712="credit",((E3712*(F3712))*G3712*-1),IF(F3712="Buy",(E3712*G3712),((E3712*(1-F3712))*G3712))))</f>
        <v>0</v>
      </c>
      <c r="J3712" s="490">
        <f>IF(H3712="warranty",0,(I3712*(_xlfn.SINGLE(SalesTaxPercentage))))</f>
        <v>0</v>
      </c>
      <c r="K3712" s="695">
        <f t="shared" ref="K3712" si="2865">I3712+J3712</f>
        <v>0</v>
      </c>
      <c r="L3712" s="695"/>
      <c r="M3712" s="659" t="str">
        <f>IF(AND(G3712&gt;0,E3712=0),"WARNING - no PRICE inserted",IF(H3712="free"," FREE ~ no charge this plant",IF(H3712="credit",CONCATENATE(" -$",ROUND(K3712*(1-T2GDiscount)*-1,2)," CREDIT after discount"),IF(T2GDiscount=0,"",IF(G3712=0,"",IF(F3712="Buy",CONCATENATE(" $",ROUND(K3712*(1-T2GDiscount),2)," with ",(T2GDiscount*100),"% discount"),CONCATENATE(" $",ROUND(K3712*(1-T2GDiscount),2)," with ",((T2GDiscount*100+F3712*100)-(T2GDiscount*100*F3712)),IF(F3712&gt;0,"% discounts",IF(NoWarrantyDiscount&gt;0,"% discounts","% discount")))))))))</f>
        <v/>
      </c>
      <c r="N3712" s="660"/>
      <c r="O3712" s="233"/>
      <c r="P3712" s="233"/>
      <c r="Q3712" s="233"/>
      <c r="R3712" s="233"/>
      <c r="S3712" s="233"/>
      <c r="T3712" s="508">
        <f t="shared" si="2822"/>
        <v>0</v>
      </c>
      <c r="U3712" s="225">
        <f>IF(NOT(ISNUMBER(G3712)), "", VLOOKUP(A3712,'Discount Lookup'!D:E,2,FALSE)*G3712)</f>
        <v>0</v>
      </c>
      <c r="V3712" s="225">
        <f>IF(NOT(ISNUMBER(G3712)), "", VLOOKUP(A3712,'Discount Lookup'!G:H,2,FALSE)*G3712)</f>
        <v>0</v>
      </c>
      <c r="W3712" s="508">
        <f t="shared" si="2823"/>
        <v>0</v>
      </c>
      <c r="X3712" s="508">
        <f t="shared" si="2824"/>
        <v>0</v>
      </c>
      <c r="Y3712" s="509" t="b">
        <f t="shared" si="2825"/>
        <v>0</v>
      </c>
      <c r="Z3712" s="510">
        <f t="shared" si="2826"/>
        <v>0</v>
      </c>
      <c r="AA3712" s="511"/>
      <c r="AB3712" s="511" t="str">
        <f t="shared" si="2827"/>
        <v/>
      </c>
      <c r="AC3712" s="698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698"/>
      <c r="AE3712" s="631" t="str">
        <f t="shared" si="2828"/>
        <v/>
      </c>
      <c r="AF3712" s="699" t="str">
        <f t="shared" si="2829"/>
        <v/>
      </c>
      <c r="AG3712" s="699"/>
      <c r="AH3712" s="699"/>
      <c r="AI3712" s="512">
        <f>IF(H3712="credit",0,IF(AE3712="free",0,IF(AE3712="me",0,IF(G3712&gt;0,(VLOOKUP(A3712,'Discount Lookup'!J:K,2)*G3712),0))))</f>
        <v>0</v>
      </c>
      <c r="AJ3712" s="513" t="str">
        <f t="shared" ca="1" si="2830"/>
        <v/>
      </c>
      <c r="AK3712" s="700" t="str">
        <f t="shared" si="2831"/>
        <v/>
      </c>
      <c r="AL3712" s="700"/>
      <c r="AM3712" s="505" t="str">
        <f t="shared" si="2832"/>
        <v/>
      </c>
      <c r="AN3712" s="506"/>
      <c r="AO3712" s="507"/>
      <c r="AP3712" s="507"/>
      <c r="AQ3712" s="507"/>
      <c r="AR3712" s="507"/>
      <c r="AS3712" s="507"/>
      <c r="AT3712" s="507"/>
      <c r="AU3712" s="507"/>
      <c r="AV3712" s="225"/>
      <c r="AW3712" s="508"/>
      <c r="AX3712" s="225"/>
      <c r="AY3712" s="225"/>
      <c r="AZ3712" s="225"/>
      <c r="BA3712" s="225"/>
      <c r="BB3712" s="225"/>
      <c r="BC3712" s="56"/>
      <c r="BD3712" s="56"/>
      <c r="BE3712" s="56"/>
      <c r="BF3712" s="107" t="str">
        <f t="shared" si="2833"/>
        <v>https://www.google.com/search?tbm=isch&amp;q=10%20G4</v>
      </c>
      <c r="BG3712" s="107" t="str">
        <f t="shared" si="2834"/>
        <v>T</v>
      </c>
      <c r="BH3712" s="254"/>
      <c r="BI3712" s="254"/>
    </row>
    <row r="3713" spans="1:61" customFormat="1" ht="16.5" thickBot="1" x14ac:dyDescent="0.3">
      <c r="A3713" s="522" t="s">
        <v>4179</v>
      </c>
      <c r="B3713" s="491"/>
      <c r="C3713" s="675"/>
      <c r="D3713" s="491"/>
      <c r="E3713" s="491"/>
      <c r="F3713" s="492"/>
      <c r="G3713" s="493"/>
      <c r="H3713" s="491"/>
      <c r="I3713" s="234"/>
      <c r="J3713" s="234"/>
      <c r="K3713" s="494"/>
      <c r="L3713" s="543"/>
      <c r="M3713" s="561"/>
      <c r="N3713" s="495"/>
      <c r="O3713" s="496"/>
      <c r="P3713" s="497"/>
      <c r="Q3713" s="495"/>
      <c r="R3713" s="495"/>
      <c r="S3713" s="277"/>
      <c r="T3713" s="508">
        <f t="shared" si="2822"/>
        <v>0</v>
      </c>
      <c r="U3713" s="225" t="str">
        <f>IF(NOT(ISNUMBER(G3713)), "", VLOOKUP(A3713,'Discount Lookup'!D:E,2,FALSE)*G3713)</f>
        <v/>
      </c>
      <c r="V3713" s="225" t="str">
        <f>IF(NOT(ISNUMBER(G3713)), "", VLOOKUP(A3713,'Discount Lookup'!G:H,2,FALSE)*G3713)</f>
        <v/>
      </c>
      <c r="W3713" s="508">
        <f t="shared" si="2823"/>
        <v>0</v>
      </c>
      <c r="X3713" s="508">
        <f t="shared" si="2824"/>
        <v>0</v>
      </c>
      <c r="Y3713" s="509" t="b">
        <f t="shared" si="2825"/>
        <v>0</v>
      </c>
      <c r="Z3713" s="510">
        <f t="shared" si="2826"/>
        <v>0</v>
      </c>
      <c r="AA3713" s="511"/>
      <c r="AB3713" s="511" t="str">
        <f t="shared" si="2827"/>
        <v/>
      </c>
      <c r="AC3713" s="698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698"/>
      <c r="AE3713" s="631" t="str">
        <f t="shared" si="2828"/>
        <v/>
      </c>
      <c r="AF3713" s="699" t="str">
        <f t="shared" si="2829"/>
        <v/>
      </c>
      <c r="AG3713" s="699"/>
      <c r="AH3713" s="699"/>
      <c r="AI3713" s="512">
        <f>IF(H3713="credit",0,IF(AE3713="free",0,IF(AE3713="me",0,IF(G3713&gt;0,(VLOOKUP(A3713,'Discount Lookup'!J:K,2)*G3713),0))))</f>
        <v>0</v>
      </c>
      <c r="AJ3713" s="513" t="str">
        <f t="shared" ca="1" si="2830"/>
        <v/>
      </c>
      <c r="AK3713" s="700" t="str">
        <f t="shared" si="2831"/>
        <v/>
      </c>
      <c r="AL3713" s="700"/>
      <c r="AM3713" s="505" t="str">
        <f t="shared" si="2832"/>
        <v/>
      </c>
      <c r="AN3713" s="506"/>
      <c r="AO3713" s="507"/>
      <c r="AP3713" s="507"/>
      <c r="AQ3713" s="507"/>
      <c r="AR3713" s="507"/>
      <c r="AS3713" s="507"/>
      <c r="AT3713" s="507"/>
      <c r="AU3713" s="507"/>
      <c r="AV3713" s="225"/>
      <c r="AW3713" s="508"/>
      <c r="AX3713" s="225"/>
      <c r="AY3713" s="225"/>
      <c r="AZ3713" s="225"/>
      <c r="BA3713" s="225"/>
      <c r="BB3713" s="225"/>
      <c r="BC3713" s="56"/>
      <c r="BD3713" s="56"/>
      <c r="BE3713" s="56"/>
      <c r="BF3713" s="107" t="str">
        <f t="shared" si="2833"/>
        <v>https://www.google.com/search?tbm=isch&amp;q=Tator%20Tot%20has%20fragrant%2C%20fan-like%20foliage%20</v>
      </c>
      <c r="BG3713" s="107" t="str">
        <f t="shared" si="2834"/>
        <v>T</v>
      </c>
      <c r="BH3713" s="254"/>
      <c r="BI3713" s="254"/>
    </row>
    <row r="3714" spans="1:61" customFormat="1" ht="18" x14ac:dyDescent="0.25">
      <c r="A3714" s="521" t="s">
        <v>1887</v>
      </c>
      <c r="B3714" s="477"/>
      <c r="C3714" s="674"/>
      <c r="D3714" s="478" t="s">
        <v>1888</v>
      </c>
      <c r="E3714" s="479"/>
      <c r="F3714" s="479"/>
      <c r="G3714" s="479"/>
      <c r="H3714" s="582" t="s">
        <v>2309</v>
      </c>
      <c r="I3714" s="480" t="s">
        <v>2310</v>
      </c>
      <c r="J3714" s="479"/>
      <c r="K3714" s="479"/>
      <c r="L3714" s="560"/>
      <c r="M3714" s="666" t="s">
        <v>4963</v>
      </c>
      <c r="N3714" s="680" t="str">
        <f>IF(AND(ISTEXT($A3714), ISERROR($A3714+0)), HYPERLINK($BF3714, "Images"), "")</f>
        <v>Images</v>
      </c>
      <c r="O3714" s="662" t="s">
        <v>4969</v>
      </c>
      <c r="P3714" s="482"/>
      <c r="Q3714" s="483"/>
      <c r="R3714" s="483"/>
      <c r="S3714" s="484" t="s">
        <v>305</v>
      </c>
      <c r="T3714" s="508">
        <f t="shared" si="2822"/>
        <v>0</v>
      </c>
      <c r="U3714" s="225" t="str">
        <f>IF(NOT(ISNUMBER(G3714)), "", VLOOKUP(A3714,'Discount Lookup'!D:E,2,FALSE)*G3714)</f>
        <v/>
      </c>
      <c r="V3714" s="225" t="str">
        <f>IF(NOT(ISNUMBER(G3714)), "", VLOOKUP(A3714,'Discount Lookup'!G:H,2,FALSE)*G3714)</f>
        <v/>
      </c>
      <c r="W3714" s="508">
        <f t="shared" si="2823"/>
        <v>0</v>
      </c>
      <c r="X3714" s="508" t="str">
        <f t="shared" si="2824"/>
        <v>Silver-Blue-Green foliage</v>
      </c>
      <c r="Y3714" s="509" t="b">
        <f t="shared" si="2825"/>
        <v>0</v>
      </c>
      <c r="Z3714" s="510">
        <f t="shared" si="2826"/>
        <v>0</v>
      </c>
      <c r="AA3714" s="511"/>
      <c r="AB3714" s="511" t="str">
        <f t="shared" si="2827"/>
        <v/>
      </c>
      <c r="AC3714" s="698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698"/>
      <c r="AE3714" s="631" t="str">
        <f t="shared" si="2828"/>
        <v/>
      </c>
      <c r="AF3714" s="699" t="str">
        <f t="shared" si="2829"/>
        <v/>
      </c>
      <c r="AG3714" s="699"/>
      <c r="AH3714" s="699"/>
      <c r="AI3714" s="512">
        <f>IF(H3714="credit",0,IF(AE3714="free",0,IF(AE3714="me",0,IF(G3714&gt;0,(VLOOKUP(A3714,'Discount Lookup'!J:K,2)*G3714),0))))</f>
        <v>0</v>
      </c>
      <c r="AJ3714" s="513" t="str">
        <f t="shared" ca="1" si="2830"/>
        <v/>
      </c>
      <c r="AK3714" s="700" t="str">
        <f t="shared" si="2831"/>
        <v/>
      </c>
      <c r="AL3714" s="700"/>
      <c r="AM3714" s="505" t="str">
        <f t="shared" si="2832"/>
        <v/>
      </c>
      <c r="AN3714" s="506"/>
      <c r="AO3714" s="507"/>
      <c r="AP3714" s="507"/>
      <c r="AQ3714" s="507"/>
      <c r="AR3714" s="507"/>
      <c r="AS3714" s="507"/>
      <c r="AT3714" s="507"/>
      <c r="AU3714" s="507"/>
      <c r="AV3714" s="225"/>
      <c r="AW3714" s="508"/>
      <c r="AX3714" s="225"/>
      <c r="AY3714" s="225"/>
      <c r="AZ3714" s="225"/>
      <c r="BA3714" s="225"/>
      <c r="BB3714" s="225"/>
      <c r="BC3714" s="56"/>
      <c r="BD3714" s="56"/>
      <c r="BE3714" s="56"/>
      <c r="BF3714" s="107" t="str">
        <f t="shared" si="2833"/>
        <v>https://www.google.com/search?tbm=isch&amp;q=Taylor%20Juniper%20Juniperus%20virginiana%20%27Taylor%27</v>
      </c>
      <c r="BG3714" s="107" t="str">
        <f t="shared" si="2834"/>
        <v>T</v>
      </c>
      <c r="BH3714" s="254"/>
      <c r="BI3714" s="254"/>
    </row>
    <row r="3715" spans="1:61" customFormat="1" ht="27" x14ac:dyDescent="0.25">
      <c r="A3715" s="485">
        <v>15</v>
      </c>
      <c r="B3715" s="486" t="s">
        <v>291</v>
      </c>
      <c r="C3715" s="487" t="s">
        <v>3811</v>
      </c>
      <c r="D3715" s="488" t="s">
        <v>292</v>
      </c>
      <c r="E3715" s="489">
        <v>201.95</v>
      </c>
      <c r="F3715" s="516" t="s">
        <v>293</v>
      </c>
      <c r="G3715" s="232">
        <v>0</v>
      </c>
      <c r="H3715" s="658" t="str">
        <f>IF(G3715=0,"",IF(F3715="Buy",IF(G3715=1,"plant","plants"),IF(F3715&gt;0.01,"warranty","Error")))</f>
        <v/>
      </c>
      <c r="I3715" s="490">
        <f>IF(H3715="free",0,IF(H3715="credit",((E3715*(F3715))*G3715*-1),IF(F3715="Buy",(E3715*G3715),((E3715*(1-F3715))*G3715))))</f>
        <v>0</v>
      </c>
      <c r="J3715" s="490">
        <f>IF(H3715="warranty",0,(I3715*(_xlfn.SINGLE(SalesTaxPercentage))))</f>
        <v>0</v>
      </c>
      <c r="K3715" s="695">
        <f t="shared" ref="K3715" si="2866">I3715+J3715</f>
        <v>0</v>
      </c>
      <c r="L3715" s="695"/>
      <c r="M3715" s="659" t="str">
        <f>IF(AND(G3715&gt;0,E3715=0),"WARNING - no PRICE inserted",IF(H3715="free"," FREE ~ no charge this plant",IF(H3715="credit",CONCATENATE(" -$",ROUND(K3715*(1-T2GDiscount)*-1,2)," CREDIT after discount"),IF(T2GDiscount=0,"",IF(G3715=0,"",IF(F3715="Buy",CONCATENATE(" $",ROUND(K3715*(1-T2GDiscount),2)," with ",(T2GDiscount*100),"% discount"),CONCATENATE(" $",ROUND(K3715*(1-T2GDiscount),2)," with ",((T2GDiscount*100+F3715*100)-(T2GDiscount*100*F3715)),IF(F3715&gt;0,"% discounts",IF(NoWarrantyDiscount&gt;0,"% discounts","% discount")))))))))</f>
        <v/>
      </c>
      <c r="N3715" s="660"/>
      <c r="O3715" s="233"/>
      <c r="P3715" s="233"/>
      <c r="Q3715" s="233"/>
      <c r="R3715" s="233"/>
      <c r="S3715" s="233"/>
      <c r="T3715" s="508">
        <f t="shared" si="2822"/>
        <v>0</v>
      </c>
      <c r="U3715" s="225">
        <f>IF(NOT(ISNUMBER(G3715)), "", VLOOKUP(A3715,'Discount Lookup'!D:E,2,FALSE)*G3715)</f>
        <v>0</v>
      </c>
      <c r="V3715" s="225">
        <f>IF(NOT(ISNUMBER(G3715)), "", VLOOKUP(A3715,'Discount Lookup'!G:H,2,FALSE)*G3715)</f>
        <v>0</v>
      </c>
      <c r="W3715" s="508">
        <f t="shared" si="2823"/>
        <v>0</v>
      </c>
      <c r="X3715" s="508">
        <f t="shared" si="2824"/>
        <v>0</v>
      </c>
      <c r="Y3715" s="509" t="b">
        <f t="shared" si="2825"/>
        <v>0</v>
      </c>
      <c r="Z3715" s="510">
        <f t="shared" si="2826"/>
        <v>0</v>
      </c>
      <c r="AA3715" s="511"/>
      <c r="AB3715" s="511" t="str">
        <f t="shared" si="2827"/>
        <v/>
      </c>
      <c r="AC3715" s="698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698"/>
      <c r="AE3715" s="631" t="str">
        <f t="shared" si="2828"/>
        <v/>
      </c>
      <c r="AF3715" s="699" t="str">
        <f t="shared" si="2829"/>
        <v/>
      </c>
      <c r="AG3715" s="699"/>
      <c r="AH3715" s="699"/>
      <c r="AI3715" s="512">
        <f>IF(H3715="credit",0,IF(AE3715="free",0,IF(AE3715="me",0,IF(G3715&gt;0,(VLOOKUP(A3715,'Discount Lookup'!J:K,2)*G3715),0))))</f>
        <v>0</v>
      </c>
      <c r="AJ3715" s="513" t="str">
        <f t="shared" ca="1" si="2830"/>
        <v/>
      </c>
      <c r="AK3715" s="700" t="str">
        <f t="shared" si="2831"/>
        <v/>
      </c>
      <c r="AL3715" s="700"/>
      <c r="AM3715" s="505" t="str">
        <f t="shared" si="2832"/>
        <v/>
      </c>
      <c r="AN3715" s="506"/>
      <c r="AO3715" s="507"/>
      <c r="AP3715" s="507"/>
      <c r="AQ3715" s="507"/>
      <c r="AR3715" s="507"/>
      <c r="AS3715" s="507"/>
      <c r="AT3715" s="507"/>
      <c r="AU3715" s="507"/>
      <c r="AV3715" s="225"/>
      <c r="AW3715" s="508"/>
      <c r="AX3715" s="225"/>
      <c r="AY3715" s="225"/>
      <c r="AZ3715" s="225"/>
      <c r="BA3715" s="225"/>
      <c r="BB3715" s="225"/>
      <c r="BC3715" s="56"/>
      <c r="BD3715" s="56"/>
      <c r="BE3715" s="56"/>
      <c r="BF3715" s="107" t="str">
        <f t="shared" si="2833"/>
        <v>https://www.google.com/search?tbm=isch&amp;q=15%20G4</v>
      </c>
      <c r="BG3715" s="107" t="str">
        <f t="shared" si="2834"/>
        <v>T</v>
      </c>
      <c r="BH3715" s="254"/>
      <c r="BI3715" s="254"/>
    </row>
    <row r="3716" spans="1:61" customFormat="1" ht="15.75" x14ac:dyDescent="0.25">
      <c r="A3716" s="485">
        <v>15</v>
      </c>
      <c r="B3716" s="486" t="s">
        <v>291</v>
      </c>
      <c r="C3716" s="487" t="s">
        <v>4690</v>
      </c>
      <c r="D3716" s="488" t="s">
        <v>300</v>
      </c>
      <c r="E3716" s="489">
        <v>284.95</v>
      </c>
      <c r="F3716" s="516" t="s">
        <v>293</v>
      </c>
      <c r="G3716" s="232">
        <v>0</v>
      </c>
      <c r="H3716" s="658" t="str">
        <f>IF(G3716=0,"",IF(F3716="Buy",IF(G3716=1,"plant","plants"),IF(F3716&gt;0.01,"warranty","Error")))</f>
        <v/>
      </c>
      <c r="I3716" s="490">
        <f>IF(H3716="free",0,IF(H3716="credit",((E3716*(F3716))*G3716*-1),IF(F3716="Buy",(E3716*G3716),((E3716*(1-F3716))*G3716))))</f>
        <v>0</v>
      </c>
      <c r="J3716" s="490">
        <f>IF(H3716="warranty",0,(I3716*(_xlfn.SINGLE(SalesTaxPercentage))))</f>
        <v>0</v>
      </c>
      <c r="K3716" s="695">
        <f t="shared" ref="K3716" si="2867">I3716+J3716</f>
        <v>0</v>
      </c>
      <c r="L3716" s="695"/>
      <c r="M3716" s="659" t="str">
        <f>IF(AND(G3716&gt;0,E3716=0),"WARNING - no PRICE inserted",IF(H3716="free"," FREE ~ no charge this plant",IF(H3716="credit",CONCATENATE(" -$",ROUND(K3716*(1-T2GDiscount)*-1,2)," CREDIT after discount"),IF(T2GDiscount=0,"",IF(G3716=0,"",IF(F3716="Buy",CONCATENATE(" $",ROUND(K3716*(1-T2GDiscount),2)," with ",(T2GDiscount*100),"% discount"),CONCATENATE(" $",ROUND(K3716*(1-T2GDiscount),2)," with ",((T2GDiscount*100+F3716*100)-(T2GDiscount*100*F3716)),IF(F3716&gt;0,"% discounts",IF(NoWarrantyDiscount&gt;0,"% discounts","% discount")))))))))</f>
        <v/>
      </c>
      <c r="N3716" s="660"/>
      <c r="O3716" s="233"/>
      <c r="P3716" s="233"/>
      <c r="Q3716" s="233"/>
      <c r="R3716" s="233"/>
      <c r="S3716" s="233"/>
      <c r="T3716" s="508">
        <f t="shared" si="2822"/>
        <v>0</v>
      </c>
      <c r="U3716" s="225">
        <f>IF(NOT(ISNUMBER(G3716)), "", VLOOKUP(A3716,'Discount Lookup'!D:E,2,FALSE)*G3716)</f>
        <v>0</v>
      </c>
      <c r="V3716" s="225">
        <f>IF(NOT(ISNUMBER(G3716)), "", VLOOKUP(A3716,'Discount Lookup'!G:H,2,FALSE)*G3716)</f>
        <v>0</v>
      </c>
      <c r="W3716" s="508">
        <f t="shared" si="2823"/>
        <v>0</v>
      </c>
      <c r="X3716" s="508">
        <f t="shared" si="2824"/>
        <v>0</v>
      </c>
      <c r="Y3716" s="509" t="b">
        <f t="shared" si="2825"/>
        <v>0</v>
      </c>
      <c r="Z3716" s="510">
        <f t="shared" si="2826"/>
        <v>0</v>
      </c>
      <c r="AA3716" s="511"/>
      <c r="AB3716" s="511" t="str">
        <f t="shared" si="2827"/>
        <v/>
      </c>
      <c r="AC3716" s="698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698"/>
      <c r="AE3716" s="631" t="str">
        <f t="shared" si="2828"/>
        <v/>
      </c>
      <c r="AF3716" s="699" t="str">
        <f t="shared" si="2829"/>
        <v/>
      </c>
      <c r="AG3716" s="699"/>
      <c r="AH3716" s="699"/>
      <c r="AI3716" s="512">
        <f>IF(H3716="credit",0,IF(AE3716="free",0,IF(AE3716="me",0,IF(G3716&gt;0,(VLOOKUP(A3716,'Discount Lookup'!J:K,2)*G3716),0))))</f>
        <v>0</v>
      </c>
      <c r="AJ3716" s="513" t="str">
        <f t="shared" ca="1" si="2830"/>
        <v/>
      </c>
      <c r="AK3716" s="700" t="str">
        <f t="shared" si="2831"/>
        <v/>
      </c>
      <c r="AL3716" s="700"/>
      <c r="AM3716" s="505" t="str">
        <f t="shared" si="2832"/>
        <v/>
      </c>
      <c r="AN3716" s="506"/>
      <c r="AO3716" s="507"/>
      <c r="AP3716" s="507"/>
      <c r="AQ3716" s="507"/>
      <c r="AR3716" s="507"/>
      <c r="AS3716" s="507"/>
      <c r="AT3716" s="507"/>
      <c r="AU3716" s="507"/>
      <c r="AV3716" s="225"/>
      <c r="AW3716" s="508"/>
      <c r="AX3716" s="225"/>
      <c r="AY3716" s="225"/>
      <c r="AZ3716" s="225"/>
      <c r="BA3716" s="225"/>
      <c r="BB3716" s="225"/>
      <c r="BC3716" s="56"/>
      <c r="BD3716" s="56"/>
      <c r="BE3716" s="56"/>
      <c r="BF3716" s="107" t="str">
        <f t="shared" si="2833"/>
        <v>https://www.google.com/search?tbm=isch&amp;q=15%20G6</v>
      </c>
      <c r="BG3716" s="107" t="str">
        <f t="shared" si="2834"/>
        <v>T</v>
      </c>
      <c r="BH3716" s="254"/>
      <c r="BI3716" s="254"/>
    </row>
    <row r="3717" spans="1:61" customFormat="1" ht="15.75" x14ac:dyDescent="0.25">
      <c r="A3717" s="485">
        <v>25</v>
      </c>
      <c r="B3717" s="486" t="s">
        <v>291</v>
      </c>
      <c r="C3717" s="487" t="s">
        <v>1889</v>
      </c>
      <c r="D3717" s="488" t="s">
        <v>300</v>
      </c>
      <c r="E3717" s="489">
        <v>513.95000000000005</v>
      </c>
      <c r="F3717" s="516" t="s">
        <v>293</v>
      </c>
      <c r="G3717" s="232">
        <v>0</v>
      </c>
      <c r="H3717" s="658" t="str">
        <f>IF(G3717=0,"",IF(F3717="Buy",IF(G3717=1,"plant","plants"),IF(F3717&gt;0.01,"warranty","Error")))</f>
        <v/>
      </c>
      <c r="I3717" s="490">
        <f>IF(H3717="free",0,IF(H3717="credit",((E3717*(F3717))*G3717*-1),IF(F3717="Buy",(E3717*G3717),((E3717*(1-F3717))*G3717))))</f>
        <v>0</v>
      </c>
      <c r="J3717" s="490">
        <f>IF(H3717="warranty",0,(I3717*(_xlfn.SINGLE(SalesTaxPercentage))))</f>
        <v>0</v>
      </c>
      <c r="K3717" s="695">
        <f t="shared" ref="K3717" si="2868">I3717+J3717</f>
        <v>0</v>
      </c>
      <c r="L3717" s="695"/>
      <c r="M3717" s="659" t="str">
        <f>IF(AND(G3717&gt;0,E3717=0),"WARNING - no PRICE inserted",IF(H3717="free"," FREE ~ no charge this plant",IF(H3717="credit",CONCATENATE(" -$",ROUND(K3717*(1-T2GDiscount)*-1,2)," CREDIT after discount"),IF(T2GDiscount=0,"",IF(G3717=0,"",IF(F3717="Buy",CONCATENATE(" $",ROUND(K3717*(1-T2GDiscount),2)," with ",(T2GDiscount*100),"% discount"),CONCATENATE(" $",ROUND(K3717*(1-T2GDiscount),2)," with ",((T2GDiscount*100+F3717*100)-(T2GDiscount*100*F3717)),IF(F3717&gt;0,"% discounts",IF(NoWarrantyDiscount&gt;0,"% discounts","% discount")))))))))</f>
        <v/>
      </c>
      <c r="N3717" s="660"/>
      <c r="O3717" s="233"/>
      <c r="P3717" s="233"/>
      <c r="Q3717" s="233"/>
      <c r="R3717" s="233"/>
      <c r="S3717" s="233"/>
      <c r="T3717" s="508">
        <f t="shared" si="2822"/>
        <v>0</v>
      </c>
      <c r="U3717" s="225">
        <f>IF(NOT(ISNUMBER(G3717)), "", VLOOKUP(A3717,'Discount Lookup'!D:E,2,FALSE)*G3717)</f>
        <v>0</v>
      </c>
      <c r="V3717" s="225">
        <f>IF(NOT(ISNUMBER(G3717)), "", VLOOKUP(A3717,'Discount Lookup'!G:H,2,FALSE)*G3717)</f>
        <v>0</v>
      </c>
      <c r="W3717" s="508">
        <f t="shared" si="2823"/>
        <v>0</v>
      </c>
      <c r="X3717" s="508">
        <f t="shared" si="2824"/>
        <v>0</v>
      </c>
      <c r="Y3717" s="509" t="b">
        <f t="shared" si="2825"/>
        <v>0</v>
      </c>
      <c r="Z3717" s="510">
        <f t="shared" si="2826"/>
        <v>0</v>
      </c>
      <c r="AA3717" s="511"/>
      <c r="AB3717" s="511" t="str">
        <f t="shared" si="2827"/>
        <v/>
      </c>
      <c r="AC3717" s="698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698"/>
      <c r="AE3717" s="631" t="str">
        <f t="shared" si="2828"/>
        <v/>
      </c>
      <c r="AF3717" s="699" t="str">
        <f t="shared" si="2829"/>
        <v/>
      </c>
      <c r="AG3717" s="699"/>
      <c r="AH3717" s="699"/>
      <c r="AI3717" s="512">
        <f>IF(H3717="credit",0,IF(AE3717="free",0,IF(AE3717="me",0,IF(G3717&gt;0,(VLOOKUP(A3717,'Discount Lookup'!J:K,2)*G3717),0))))</f>
        <v>0</v>
      </c>
      <c r="AJ3717" s="513" t="str">
        <f t="shared" ca="1" si="2830"/>
        <v/>
      </c>
      <c r="AK3717" s="700" t="str">
        <f t="shared" si="2831"/>
        <v/>
      </c>
      <c r="AL3717" s="700"/>
      <c r="AM3717" s="505" t="str">
        <f t="shared" si="2832"/>
        <v/>
      </c>
      <c r="AN3717" s="506"/>
      <c r="AO3717" s="507"/>
      <c r="AP3717" s="507"/>
      <c r="AQ3717" s="507"/>
      <c r="AR3717" s="507"/>
      <c r="AS3717" s="507"/>
      <c r="AT3717" s="507"/>
      <c r="AU3717" s="507"/>
      <c r="AV3717" s="225"/>
      <c r="AW3717" s="508"/>
      <c r="AX3717" s="225"/>
      <c r="AY3717" s="225"/>
      <c r="AZ3717" s="225"/>
      <c r="BA3717" s="225"/>
      <c r="BB3717" s="225"/>
      <c r="BC3717" s="56"/>
      <c r="BD3717" s="56"/>
      <c r="BE3717" s="56"/>
      <c r="BF3717" s="107" t="str">
        <f t="shared" si="2833"/>
        <v>https://www.google.com/search?tbm=isch&amp;q=25%20G6</v>
      </c>
      <c r="BG3717" s="107" t="str">
        <f t="shared" si="2834"/>
        <v>T</v>
      </c>
      <c r="BH3717" s="254"/>
      <c r="BI3717" s="254"/>
    </row>
    <row r="3718" spans="1:61" customFormat="1" ht="15.75" x14ac:dyDescent="0.25">
      <c r="A3718" s="485">
        <v>45</v>
      </c>
      <c r="B3718" s="486" t="s">
        <v>291</v>
      </c>
      <c r="C3718" s="487" t="s">
        <v>4691</v>
      </c>
      <c r="D3718" s="488" t="s">
        <v>300</v>
      </c>
      <c r="E3718" s="489">
        <v>879.95</v>
      </c>
      <c r="F3718" s="516" t="s">
        <v>293</v>
      </c>
      <c r="G3718" s="232">
        <v>0</v>
      </c>
      <c r="H3718" s="658" t="str">
        <f>IF(G3718=0,"",IF(F3718="Buy",IF(G3718=1,"plant","plants"),IF(F3718&gt;0.01,"warranty","Error")))</f>
        <v/>
      </c>
      <c r="I3718" s="490">
        <f>IF(H3718="free",0,IF(H3718="credit",((E3718*(F3718))*G3718*-1),IF(F3718="Buy",(E3718*G3718),((E3718*(1-F3718))*G3718))))</f>
        <v>0</v>
      </c>
      <c r="J3718" s="490">
        <f>IF(H3718="warranty",0,(I3718*(_xlfn.SINGLE(SalesTaxPercentage))))</f>
        <v>0</v>
      </c>
      <c r="K3718" s="695">
        <f t="shared" ref="K3718" si="2869">I3718+J3718</f>
        <v>0</v>
      </c>
      <c r="L3718" s="695"/>
      <c r="M3718" s="659" t="str">
        <f>IF(AND(G3718&gt;0,E3718=0),"WARNING - no PRICE inserted",IF(H3718="free"," FREE ~ no charge this plant",IF(H3718="credit",CONCATENATE(" -$",ROUND(K3718*(1-T2GDiscount)*-1,2)," CREDIT after discount"),IF(T2GDiscount=0,"",IF(G3718=0,"",IF(F3718="Buy",CONCATENATE(" $",ROUND(K3718*(1-T2GDiscount),2)," with ",(T2GDiscount*100),"% discount"),CONCATENATE(" $",ROUND(K3718*(1-T2GDiscount),2)," with ",((T2GDiscount*100+F3718*100)-(T2GDiscount*100*F3718)),IF(F3718&gt;0,"% discounts",IF(NoWarrantyDiscount&gt;0,"% discounts","% discount")))))))))</f>
        <v/>
      </c>
      <c r="N3718" s="660"/>
      <c r="O3718" s="233"/>
      <c r="P3718" s="233"/>
      <c r="Q3718" s="233"/>
      <c r="R3718" s="233"/>
      <c r="S3718" s="233"/>
      <c r="T3718" s="508">
        <f t="shared" si="2822"/>
        <v>0</v>
      </c>
      <c r="U3718" s="225">
        <f>IF(NOT(ISNUMBER(G3718)), "", VLOOKUP(A3718,'Discount Lookup'!D:E,2,FALSE)*G3718)</f>
        <v>0</v>
      </c>
      <c r="V3718" s="225">
        <f>IF(NOT(ISNUMBER(G3718)), "", VLOOKUP(A3718,'Discount Lookup'!G:H,2,FALSE)*G3718)</f>
        <v>0</v>
      </c>
      <c r="W3718" s="508">
        <f t="shared" si="2823"/>
        <v>0</v>
      </c>
      <c r="X3718" s="508">
        <f t="shared" si="2824"/>
        <v>0</v>
      </c>
      <c r="Y3718" s="509" t="b">
        <f t="shared" si="2825"/>
        <v>0</v>
      </c>
      <c r="Z3718" s="510">
        <f t="shared" si="2826"/>
        <v>0</v>
      </c>
      <c r="AA3718" s="511"/>
      <c r="AB3718" s="511" t="str">
        <f t="shared" si="2827"/>
        <v/>
      </c>
      <c r="AC3718" s="698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698"/>
      <c r="AE3718" s="631" t="str">
        <f t="shared" si="2828"/>
        <v/>
      </c>
      <c r="AF3718" s="699" t="str">
        <f t="shared" si="2829"/>
        <v/>
      </c>
      <c r="AG3718" s="699"/>
      <c r="AH3718" s="699"/>
      <c r="AI3718" s="512">
        <f>IF(H3718="credit",0,IF(AE3718="free",0,IF(AE3718="me",0,IF(G3718&gt;0,(VLOOKUP(A3718,'Discount Lookup'!J:K,2)*G3718),0))))</f>
        <v>0</v>
      </c>
      <c r="AJ3718" s="513" t="str">
        <f t="shared" ca="1" si="2830"/>
        <v/>
      </c>
      <c r="AK3718" s="700" t="str">
        <f t="shared" si="2831"/>
        <v/>
      </c>
      <c r="AL3718" s="700"/>
      <c r="AM3718" s="505" t="str">
        <f t="shared" si="2832"/>
        <v/>
      </c>
      <c r="AN3718" s="506"/>
      <c r="AO3718" s="507"/>
      <c r="AP3718" s="507"/>
      <c r="AQ3718" s="507"/>
      <c r="AR3718" s="507"/>
      <c r="AS3718" s="507"/>
      <c r="AT3718" s="507"/>
      <c r="AU3718" s="507"/>
      <c r="AV3718" s="225"/>
      <c r="AW3718" s="508"/>
      <c r="AX3718" s="225"/>
      <c r="AY3718" s="225"/>
      <c r="AZ3718" s="225"/>
      <c r="BA3718" s="225"/>
      <c r="BB3718" s="225"/>
      <c r="BC3718" s="56"/>
      <c r="BD3718" s="56"/>
      <c r="BE3718" s="56"/>
      <c r="BF3718" s="107" t="str">
        <f t="shared" si="2833"/>
        <v>https://www.google.com/search?tbm=isch&amp;q=45%20G6</v>
      </c>
      <c r="BG3718" s="107" t="str">
        <f t="shared" si="2834"/>
        <v>T</v>
      </c>
      <c r="BH3718" s="254"/>
      <c r="BI3718" s="254"/>
    </row>
    <row r="3719" spans="1:61" customFormat="1" ht="17.25" thickBot="1" x14ac:dyDescent="0.3">
      <c r="A3719" s="522" t="s">
        <v>2698</v>
      </c>
      <c r="B3719" s="491"/>
      <c r="C3719" s="675"/>
      <c r="D3719" s="491"/>
      <c r="E3719" s="491"/>
      <c r="F3719" s="492"/>
      <c r="G3719" s="493"/>
      <c r="H3719" s="491"/>
      <c r="I3719" s="234"/>
      <c r="J3719" s="234"/>
      <c r="K3719" s="494"/>
      <c r="L3719" s="543"/>
      <c r="M3719" s="561"/>
      <c r="N3719" s="495"/>
      <c r="O3719" s="496"/>
      <c r="P3719" s="497"/>
      <c r="Q3719" s="495"/>
      <c r="R3719" s="495"/>
      <c r="S3719" s="667" t="s">
        <v>4982</v>
      </c>
      <c r="T3719" s="508">
        <f t="shared" si="2822"/>
        <v>0</v>
      </c>
      <c r="U3719" s="225" t="str">
        <f>IF(NOT(ISNUMBER(G3719)), "", VLOOKUP(A3719,'Discount Lookup'!D:E,2,FALSE)*G3719)</f>
        <v/>
      </c>
      <c r="V3719" s="225" t="str">
        <f>IF(NOT(ISNUMBER(G3719)), "", VLOOKUP(A3719,'Discount Lookup'!G:H,2,FALSE)*G3719)</f>
        <v/>
      </c>
      <c r="W3719" s="508">
        <f t="shared" si="2823"/>
        <v>0</v>
      </c>
      <c r="X3719" s="508">
        <f t="shared" si="2824"/>
        <v>0</v>
      </c>
      <c r="Y3719" s="509" t="b">
        <f t="shared" si="2825"/>
        <v>0</v>
      </c>
      <c r="Z3719" s="510">
        <f t="shared" si="2826"/>
        <v>0</v>
      </c>
      <c r="AA3719" s="511"/>
      <c r="AB3719" s="511" t="str">
        <f t="shared" si="2827"/>
        <v/>
      </c>
      <c r="AC3719" s="698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698"/>
      <c r="AE3719" s="631" t="str">
        <f t="shared" si="2828"/>
        <v/>
      </c>
      <c r="AF3719" s="699" t="str">
        <f t="shared" si="2829"/>
        <v/>
      </c>
      <c r="AG3719" s="699"/>
      <c r="AH3719" s="699"/>
      <c r="AI3719" s="512">
        <f>IF(H3719="credit",0,IF(AE3719="free",0,IF(AE3719="me",0,IF(G3719&gt;0,(VLOOKUP(A3719,'Discount Lookup'!J:K,2)*G3719),0))))</f>
        <v>0</v>
      </c>
      <c r="AJ3719" s="513" t="str">
        <f t="shared" ca="1" si="2830"/>
        <v/>
      </c>
      <c r="AK3719" s="700" t="str">
        <f t="shared" si="2831"/>
        <v/>
      </c>
      <c r="AL3719" s="700"/>
      <c r="AM3719" s="505" t="str">
        <f t="shared" si="2832"/>
        <v/>
      </c>
      <c r="AN3719" s="506"/>
      <c r="AO3719" s="507"/>
      <c r="AP3719" s="507"/>
      <c r="AQ3719" s="507"/>
      <c r="AR3719" s="507"/>
      <c r="AS3719" s="507"/>
      <c r="AT3719" s="507"/>
      <c r="AU3719" s="507"/>
      <c r="AV3719" s="225"/>
      <c r="AW3719" s="508"/>
      <c r="AX3719" s="225"/>
      <c r="AY3719" s="225"/>
      <c r="AZ3719" s="225"/>
      <c r="BA3719" s="225"/>
      <c r="BB3719" s="225"/>
      <c r="BC3719" s="56"/>
      <c r="BD3719" s="56"/>
      <c r="BE3719" s="56"/>
      <c r="BF3719" s="107" t="str">
        <f t="shared" si="2833"/>
        <v>https://www.google.com/search?tbm=isch&amp;q=Taylor%20is%20a%20great%20sub%20for%20Italian%20Cypress%2C%20with%20stronger%20roots.%20Aromatic%20foliage.%20Mild%20winter%20Bronzing.%20Sun%2Fheat%2Fdrought%20tolerant%20</v>
      </c>
      <c r="BG3719" s="107" t="str">
        <f t="shared" si="2834"/>
        <v>T</v>
      </c>
      <c r="BH3719" s="254"/>
      <c r="BI3719" s="254"/>
    </row>
    <row r="3720" spans="1:61" customFormat="1" ht="18" x14ac:dyDescent="0.25">
      <c r="A3720" s="521" t="s">
        <v>5556</v>
      </c>
      <c r="B3720" s="477"/>
      <c r="C3720" s="674"/>
      <c r="D3720" s="478" t="s">
        <v>1890</v>
      </c>
      <c r="E3720" s="479"/>
      <c r="F3720" s="479"/>
      <c r="G3720" s="479"/>
      <c r="H3720" s="582" t="s">
        <v>325</v>
      </c>
      <c r="I3720" s="480" t="s">
        <v>654</v>
      </c>
      <c r="J3720" s="479"/>
      <c r="K3720" s="479"/>
      <c r="L3720" s="560"/>
      <c r="M3720" s="666" t="s">
        <v>4963</v>
      </c>
      <c r="N3720" s="680" t="str">
        <f>IF(AND(ISTEXT($A3720), ISERROR($A3720+0)), HYPERLINK($BF3720, "Images"), "")</f>
        <v>Images</v>
      </c>
      <c r="O3720" s="662" t="s">
        <v>4967</v>
      </c>
      <c r="P3720" s="482"/>
      <c r="Q3720" s="483"/>
      <c r="R3720" s="483"/>
      <c r="S3720" s="484" t="s">
        <v>305</v>
      </c>
      <c r="T3720" s="508">
        <f t="shared" si="2822"/>
        <v>0</v>
      </c>
      <c r="U3720" s="225" t="str">
        <f>IF(NOT(ISNUMBER(G3720)), "", VLOOKUP(A3720,'Discount Lookup'!D:E,2,FALSE)*G3720)</f>
        <v/>
      </c>
      <c r="V3720" s="225" t="str">
        <f>IF(NOT(ISNUMBER(G3720)), "", VLOOKUP(A3720,'Discount Lookup'!G:H,2,FALSE)*G3720)</f>
        <v/>
      </c>
      <c r="W3720" s="508">
        <f t="shared" si="2823"/>
        <v>0</v>
      </c>
      <c r="X3720" s="508" t="str">
        <f t="shared" si="2824"/>
        <v>White bloom</v>
      </c>
      <c r="Y3720" s="509" t="b">
        <f t="shared" si="2825"/>
        <v>0</v>
      </c>
      <c r="Z3720" s="510">
        <f t="shared" si="2826"/>
        <v>0</v>
      </c>
      <c r="AA3720" s="511"/>
      <c r="AB3720" s="511" t="str">
        <f t="shared" si="2827"/>
        <v/>
      </c>
      <c r="AC3720" s="698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698"/>
      <c r="AE3720" s="631" t="str">
        <f t="shared" si="2828"/>
        <v/>
      </c>
      <c r="AF3720" s="699" t="str">
        <f t="shared" si="2829"/>
        <v/>
      </c>
      <c r="AG3720" s="699"/>
      <c r="AH3720" s="699"/>
      <c r="AI3720" s="512">
        <f>IF(H3720="credit",0,IF(AE3720="free",0,IF(AE3720="me",0,IF(G3720&gt;0,(VLOOKUP(A3720,'Discount Lookup'!J:K,2)*G3720),0))))</f>
        <v>0</v>
      </c>
      <c r="AJ3720" s="513" t="str">
        <f t="shared" ca="1" si="2830"/>
        <v/>
      </c>
      <c r="AK3720" s="700" t="str">
        <f t="shared" si="2831"/>
        <v/>
      </c>
      <c r="AL3720" s="700"/>
      <c r="AM3720" s="505" t="str">
        <f t="shared" si="2832"/>
        <v/>
      </c>
      <c r="AN3720" s="506"/>
      <c r="AO3720" s="507"/>
      <c r="AP3720" s="507"/>
      <c r="AQ3720" s="507"/>
      <c r="AR3720" s="507"/>
      <c r="AS3720" s="507"/>
      <c r="AT3720" s="507"/>
      <c r="AU3720" s="507"/>
      <c r="AV3720" s="225"/>
      <c r="AW3720" s="508"/>
      <c r="AX3720" s="225"/>
      <c r="AY3720" s="225"/>
      <c r="AZ3720" s="225"/>
      <c r="BA3720" s="225"/>
      <c r="BB3720" s="225"/>
      <c r="BC3720" s="56"/>
      <c r="BD3720" s="56"/>
      <c r="BE3720" s="56"/>
      <c r="BF3720" s="107" t="str">
        <f t="shared" si="2833"/>
        <v>https://www.google.com/search?tbm=isch&amp;q=Teddy%20Bear%C2%AE%20Magnolia%20Magnolia%20grandiflora%20%27Southern%20Charm%27%20PP%2313049</v>
      </c>
      <c r="BG3720" s="107" t="str">
        <f t="shared" si="2834"/>
        <v>T</v>
      </c>
      <c r="BH3720" s="254"/>
      <c r="BI3720" s="254"/>
    </row>
    <row r="3721" spans="1:61" customFormat="1" ht="15.75" x14ac:dyDescent="0.25">
      <c r="A3721" s="485">
        <v>7</v>
      </c>
      <c r="B3721" s="486" t="s">
        <v>291</v>
      </c>
      <c r="C3721" s="487" t="s">
        <v>2185</v>
      </c>
      <c r="D3721" s="488" t="s">
        <v>299</v>
      </c>
      <c r="E3721" s="489">
        <v>102.95</v>
      </c>
      <c r="F3721" s="516" t="s">
        <v>293</v>
      </c>
      <c r="G3721" s="232">
        <v>0</v>
      </c>
      <c r="H3721" s="658" t="str">
        <f t="shared" ref="H3721:H3727" si="2870">IF(G3721=0,"",IF(F3721="Buy",IF(G3721=1,"plant","plants"),IF(F3721&gt;0.01,"warranty","Error")))</f>
        <v/>
      </c>
      <c r="I3721" s="490">
        <f t="shared" ref="I3721:I3727" si="2871">IF(H3721="free",0,IF(H3721="credit",((E3721*(F3721))*G3721*-1),IF(F3721="Buy",(E3721*G3721),((E3721*(1-F3721))*G3721))))</f>
        <v>0</v>
      </c>
      <c r="J3721" s="490">
        <f t="shared" ref="J3721:J3727" si="2872">IF(H3721="warranty",0,(I3721*(_xlfn.SINGLE(SalesTaxPercentage))))</f>
        <v>0</v>
      </c>
      <c r="K3721" s="695">
        <f t="shared" ref="K3721" si="2873">I3721+J3721</f>
        <v>0</v>
      </c>
      <c r="L3721" s="695"/>
      <c r="M3721" s="659" t="str">
        <f t="shared" ref="M3721:M3727" si="2874">IF(AND(G3721&gt;0,E3721=0),"WARNING - no PRICE inserted",IF(H3721="free"," FREE ~ no charge this plant",IF(H3721="credit",CONCATENATE(" -$",ROUND(K3721*(1-T2GDiscount)*-1,2)," CREDIT after discount"),IF(T2GDiscount=0,"",IF(G3721=0,"",IF(F3721="Buy",CONCATENATE(" $",ROUND(K3721*(1-T2GDiscount),2)," with ",(T2GDiscount*100),"% discount"),CONCATENATE(" $",ROUND(K3721*(1-T2GDiscount),2)," with ",((T2GDiscount*100+F3721*100)-(T2GDiscount*100*F3721)),IF(F3721&gt;0,"% discounts",IF(NoWarrantyDiscount&gt;0,"% discounts","% discount")))))))))</f>
        <v/>
      </c>
      <c r="N3721" s="660"/>
      <c r="O3721" s="233"/>
      <c r="P3721" s="233"/>
      <c r="Q3721" s="233"/>
      <c r="R3721" s="233"/>
      <c r="S3721" s="233"/>
      <c r="T3721" s="508">
        <f t="shared" si="2822"/>
        <v>0</v>
      </c>
      <c r="U3721" s="225">
        <f>IF(NOT(ISNUMBER(G3721)), "", VLOOKUP(A3721,'Discount Lookup'!D:E,2,FALSE)*G3721)</f>
        <v>0</v>
      </c>
      <c r="V3721" s="225">
        <f>IF(NOT(ISNUMBER(G3721)), "", VLOOKUP(A3721,'Discount Lookup'!G:H,2,FALSE)*G3721)</f>
        <v>0</v>
      </c>
      <c r="W3721" s="508">
        <f t="shared" si="2823"/>
        <v>0</v>
      </c>
      <c r="X3721" s="508">
        <f t="shared" si="2824"/>
        <v>0</v>
      </c>
      <c r="Y3721" s="509" t="b">
        <f t="shared" si="2825"/>
        <v>0</v>
      </c>
      <c r="Z3721" s="510">
        <f t="shared" si="2826"/>
        <v>0</v>
      </c>
      <c r="AA3721" s="511"/>
      <c r="AB3721" s="511" t="str">
        <f t="shared" si="2827"/>
        <v/>
      </c>
      <c r="AC3721" s="698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698"/>
      <c r="AE3721" s="631" t="str">
        <f t="shared" si="2828"/>
        <v/>
      </c>
      <c r="AF3721" s="699" t="str">
        <f t="shared" si="2829"/>
        <v/>
      </c>
      <c r="AG3721" s="699"/>
      <c r="AH3721" s="699"/>
      <c r="AI3721" s="512">
        <f>IF(H3721="credit",0,IF(AE3721="free",0,IF(AE3721="me",0,IF(G3721&gt;0,(VLOOKUP(A3721,'Discount Lookup'!J:K,2)*G3721),0))))</f>
        <v>0</v>
      </c>
      <c r="AJ3721" s="513" t="str">
        <f t="shared" ca="1" si="2830"/>
        <v/>
      </c>
      <c r="AK3721" s="700" t="str">
        <f t="shared" si="2831"/>
        <v/>
      </c>
      <c r="AL3721" s="700"/>
      <c r="AM3721" s="505" t="str">
        <f t="shared" si="2832"/>
        <v/>
      </c>
      <c r="AN3721" s="506"/>
      <c r="AO3721" s="507"/>
      <c r="AP3721" s="507"/>
      <c r="AQ3721" s="507"/>
      <c r="AR3721" s="507"/>
      <c r="AS3721" s="507"/>
      <c r="AT3721" s="507"/>
      <c r="AU3721" s="507"/>
      <c r="AV3721" s="225"/>
      <c r="AW3721" s="508"/>
      <c r="AX3721" s="225"/>
      <c r="AY3721" s="225"/>
      <c r="AZ3721" s="225"/>
      <c r="BA3721" s="225"/>
      <c r="BB3721" s="225"/>
      <c r="BC3721" s="56"/>
      <c r="BD3721" s="56"/>
      <c r="BE3721" s="56"/>
      <c r="BF3721" s="107" t="str">
        <f t="shared" si="2833"/>
        <v>https://www.google.com/search?tbm=isch&amp;q=7%20G5</v>
      </c>
      <c r="BG3721" s="107" t="str">
        <f t="shared" si="2834"/>
        <v>T</v>
      </c>
      <c r="BH3721" s="254"/>
      <c r="BI3721" s="254"/>
    </row>
    <row r="3722" spans="1:61" customFormat="1" ht="15.75" x14ac:dyDescent="0.25">
      <c r="A3722" s="485">
        <v>7</v>
      </c>
      <c r="B3722" s="486" t="s">
        <v>291</v>
      </c>
      <c r="C3722" s="487" t="s">
        <v>3383</v>
      </c>
      <c r="D3722" s="488" t="s">
        <v>292</v>
      </c>
      <c r="E3722" s="489">
        <v>125.95</v>
      </c>
      <c r="F3722" s="516" t="s">
        <v>293</v>
      </c>
      <c r="G3722" s="232">
        <v>0</v>
      </c>
      <c r="H3722" s="658" t="str">
        <f t="shared" si="2870"/>
        <v/>
      </c>
      <c r="I3722" s="490">
        <f t="shared" si="2871"/>
        <v>0</v>
      </c>
      <c r="J3722" s="490">
        <f t="shared" si="2872"/>
        <v>0</v>
      </c>
      <c r="K3722" s="695">
        <f t="shared" ref="K3722" si="2875">I3722+J3722</f>
        <v>0</v>
      </c>
      <c r="L3722" s="695"/>
      <c r="M3722" s="659" t="str">
        <f t="shared" si="2874"/>
        <v/>
      </c>
      <c r="N3722" s="660"/>
      <c r="O3722" s="233"/>
      <c r="P3722" s="233"/>
      <c r="Q3722" s="233"/>
      <c r="R3722" s="233"/>
      <c r="S3722" s="233"/>
      <c r="T3722" s="508">
        <f t="shared" si="2822"/>
        <v>0</v>
      </c>
      <c r="U3722" s="225">
        <f>IF(NOT(ISNUMBER(G3722)), "", VLOOKUP(A3722,'Discount Lookup'!D:E,2,FALSE)*G3722)</f>
        <v>0</v>
      </c>
      <c r="V3722" s="225">
        <f>IF(NOT(ISNUMBER(G3722)), "", VLOOKUP(A3722,'Discount Lookup'!G:H,2,FALSE)*G3722)</f>
        <v>0</v>
      </c>
      <c r="W3722" s="508">
        <f t="shared" si="2823"/>
        <v>0</v>
      </c>
      <c r="X3722" s="508">
        <f t="shared" si="2824"/>
        <v>0</v>
      </c>
      <c r="Y3722" s="509" t="b">
        <f t="shared" si="2825"/>
        <v>0</v>
      </c>
      <c r="Z3722" s="510">
        <f t="shared" si="2826"/>
        <v>0</v>
      </c>
      <c r="AA3722" s="511"/>
      <c r="AB3722" s="511" t="str">
        <f t="shared" si="2827"/>
        <v/>
      </c>
      <c r="AC3722" s="698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698"/>
      <c r="AE3722" s="631" t="str">
        <f t="shared" si="2828"/>
        <v/>
      </c>
      <c r="AF3722" s="699" t="str">
        <f t="shared" si="2829"/>
        <v/>
      </c>
      <c r="AG3722" s="699"/>
      <c r="AH3722" s="699"/>
      <c r="AI3722" s="512">
        <f>IF(H3722="credit",0,IF(AE3722="free",0,IF(AE3722="me",0,IF(G3722&gt;0,(VLOOKUP(A3722,'Discount Lookup'!J:K,2)*G3722),0))))</f>
        <v>0</v>
      </c>
      <c r="AJ3722" s="513" t="str">
        <f t="shared" ca="1" si="2830"/>
        <v/>
      </c>
      <c r="AK3722" s="700" t="str">
        <f t="shared" si="2831"/>
        <v/>
      </c>
      <c r="AL3722" s="700"/>
      <c r="AM3722" s="505" t="str">
        <f t="shared" si="2832"/>
        <v/>
      </c>
      <c r="AN3722" s="506"/>
      <c r="AO3722" s="507"/>
      <c r="AP3722" s="507"/>
      <c r="AQ3722" s="507"/>
      <c r="AR3722" s="507"/>
      <c r="AS3722" s="507"/>
      <c r="AT3722" s="507"/>
      <c r="AU3722" s="507"/>
      <c r="AV3722" s="225"/>
      <c r="AW3722" s="508"/>
      <c r="AX3722" s="225"/>
      <c r="AY3722" s="225"/>
      <c r="AZ3722" s="225"/>
      <c r="BA3722" s="225"/>
      <c r="BB3722" s="225"/>
      <c r="BC3722" s="56"/>
      <c r="BD3722" s="56"/>
      <c r="BE3722" s="56"/>
      <c r="BF3722" s="107" t="str">
        <f t="shared" si="2833"/>
        <v>https://www.google.com/search?tbm=isch&amp;q=7%20G4</v>
      </c>
      <c r="BG3722" s="107" t="str">
        <f t="shared" si="2834"/>
        <v>T</v>
      </c>
      <c r="BH3722" s="254"/>
      <c r="BI3722" s="254"/>
    </row>
    <row r="3723" spans="1:61" customFormat="1" ht="15.75" x14ac:dyDescent="0.25">
      <c r="A3723" s="485">
        <v>15</v>
      </c>
      <c r="B3723" s="486" t="s">
        <v>291</v>
      </c>
      <c r="C3723" s="487" t="s">
        <v>4575</v>
      </c>
      <c r="D3723" s="488" t="s">
        <v>299</v>
      </c>
      <c r="E3723" s="489">
        <v>194.95</v>
      </c>
      <c r="F3723" s="516" t="s">
        <v>293</v>
      </c>
      <c r="G3723" s="232">
        <v>0</v>
      </c>
      <c r="H3723" s="658" t="str">
        <f t="shared" si="2870"/>
        <v/>
      </c>
      <c r="I3723" s="490">
        <f t="shared" si="2871"/>
        <v>0</v>
      </c>
      <c r="J3723" s="490">
        <f t="shared" si="2872"/>
        <v>0</v>
      </c>
      <c r="K3723" s="695">
        <f t="shared" ref="K3723" si="2876">I3723+J3723</f>
        <v>0</v>
      </c>
      <c r="L3723" s="695"/>
      <c r="M3723" s="659" t="str">
        <f t="shared" si="2874"/>
        <v/>
      </c>
      <c r="N3723" s="660"/>
      <c r="O3723" s="233"/>
      <c r="P3723" s="233"/>
      <c r="Q3723" s="233"/>
      <c r="R3723" s="233"/>
      <c r="S3723" s="233"/>
      <c r="T3723" s="508">
        <f t="shared" si="2822"/>
        <v>0</v>
      </c>
      <c r="U3723" s="225">
        <f>IF(NOT(ISNUMBER(G3723)), "", VLOOKUP(A3723,'Discount Lookup'!D:E,2,FALSE)*G3723)</f>
        <v>0</v>
      </c>
      <c r="V3723" s="225">
        <f>IF(NOT(ISNUMBER(G3723)), "", VLOOKUP(A3723,'Discount Lookup'!G:H,2,FALSE)*G3723)</f>
        <v>0</v>
      </c>
      <c r="W3723" s="508">
        <f t="shared" si="2823"/>
        <v>0</v>
      </c>
      <c r="X3723" s="508">
        <f t="shared" si="2824"/>
        <v>0</v>
      </c>
      <c r="Y3723" s="509" t="b">
        <f t="shared" si="2825"/>
        <v>0</v>
      </c>
      <c r="Z3723" s="510">
        <f t="shared" si="2826"/>
        <v>0</v>
      </c>
      <c r="AA3723" s="511"/>
      <c r="AB3723" s="511" t="str">
        <f t="shared" si="2827"/>
        <v/>
      </c>
      <c r="AC3723" s="698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698"/>
      <c r="AE3723" s="631" t="str">
        <f t="shared" si="2828"/>
        <v/>
      </c>
      <c r="AF3723" s="699" t="str">
        <f t="shared" si="2829"/>
        <v/>
      </c>
      <c r="AG3723" s="699"/>
      <c r="AH3723" s="699"/>
      <c r="AI3723" s="512">
        <f>IF(H3723="credit",0,IF(AE3723="free",0,IF(AE3723="me",0,IF(G3723&gt;0,(VLOOKUP(A3723,'Discount Lookup'!J:K,2)*G3723),0))))</f>
        <v>0</v>
      </c>
      <c r="AJ3723" s="513" t="str">
        <f t="shared" ca="1" si="2830"/>
        <v/>
      </c>
      <c r="AK3723" s="700" t="str">
        <f t="shared" si="2831"/>
        <v/>
      </c>
      <c r="AL3723" s="700"/>
      <c r="AM3723" s="505" t="str">
        <f t="shared" si="2832"/>
        <v/>
      </c>
      <c r="AN3723" s="506"/>
      <c r="AO3723" s="507"/>
      <c r="AP3723" s="507"/>
      <c r="AQ3723" s="507"/>
      <c r="AR3723" s="507"/>
      <c r="AS3723" s="507"/>
      <c r="AT3723" s="507"/>
      <c r="AU3723" s="507"/>
      <c r="AV3723" s="225"/>
      <c r="AW3723" s="508"/>
      <c r="AX3723" s="225"/>
      <c r="AY3723" s="225"/>
      <c r="AZ3723" s="225"/>
      <c r="BA3723" s="225"/>
      <c r="BB3723" s="225"/>
      <c r="BC3723" s="56"/>
      <c r="BD3723" s="56"/>
      <c r="BE3723" s="56"/>
      <c r="BF3723" s="107" t="str">
        <f t="shared" si="2833"/>
        <v>https://www.google.com/search?tbm=isch&amp;q=15%20G5</v>
      </c>
      <c r="BG3723" s="107" t="str">
        <f t="shared" si="2834"/>
        <v>T</v>
      </c>
      <c r="BH3723" s="254"/>
      <c r="BI3723" s="254"/>
    </row>
    <row r="3724" spans="1:61" customFormat="1" ht="15.75" x14ac:dyDescent="0.25">
      <c r="A3724" s="485">
        <v>15</v>
      </c>
      <c r="B3724" s="486" t="s">
        <v>291</v>
      </c>
      <c r="C3724" s="487" t="s">
        <v>3812</v>
      </c>
      <c r="D3724" s="488" t="s">
        <v>292</v>
      </c>
      <c r="E3724" s="489">
        <v>215.95</v>
      </c>
      <c r="F3724" s="516" t="s">
        <v>293</v>
      </c>
      <c r="G3724" s="232">
        <v>0</v>
      </c>
      <c r="H3724" s="658" t="str">
        <f t="shared" si="2870"/>
        <v/>
      </c>
      <c r="I3724" s="490">
        <f t="shared" si="2871"/>
        <v>0</v>
      </c>
      <c r="J3724" s="490">
        <f t="shared" si="2872"/>
        <v>0</v>
      </c>
      <c r="K3724" s="695">
        <f t="shared" ref="K3724" si="2877">I3724+J3724</f>
        <v>0</v>
      </c>
      <c r="L3724" s="695"/>
      <c r="M3724" s="659" t="str">
        <f t="shared" si="2874"/>
        <v/>
      </c>
      <c r="N3724" s="660"/>
      <c r="O3724" s="233"/>
      <c r="P3724" s="233"/>
      <c r="Q3724" s="233"/>
      <c r="R3724" s="233"/>
      <c r="S3724" s="233"/>
      <c r="T3724" s="508">
        <f t="shared" si="2822"/>
        <v>0</v>
      </c>
      <c r="U3724" s="225">
        <f>IF(NOT(ISNUMBER(G3724)), "", VLOOKUP(A3724,'Discount Lookup'!D:E,2,FALSE)*G3724)</f>
        <v>0</v>
      </c>
      <c r="V3724" s="225">
        <f>IF(NOT(ISNUMBER(G3724)), "", VLOOKUP(A3724,'Discount Lookup'!G:H,2,FALSE)*G3724)</f>
        <v>0</v>
      </c>
      <c r="W3724" s="508">
        <f t="shared" si="2823"/>
        <v>0</v>
      </c>
      <c r="X3724" s="508">
        <f t="shared" si="2824"/>
        <v>0</v>
      </c>
      <c r="Y3724" s="509" t="b">
        <f t="shared" si="2825"/>
        <v>0</v>
      </c>
      <c r="Z3724" s="510">
        <f t="shared" si="2826"/>
        <v>0</v>
      </c>
      <c r="AA3724" s="511"/>
      <c r="AB3724" s="511" t="str">
        <f t="shared" si="2827"/>
        <v/>
      </c>
      <c r="AC3724" s="698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698"/>
      <c r="AE3724" s="631" t="str">
        <f t="shared" si="2828"/>
        <v/>
      </c>
      <c r="AF3724" s="699" t="str">
        <f t="shared" si="2829"/>
        <v/>
      </c>
      <c r="AG3724" s="699"/>
      <c r="AH3724" s="699"/>
      <c r="AI3724" s="512">
        <f>IF(H3724="credit",0,IF(AE3724="free",0,IF(AE3724="me",0,IF(G3724&gt;0,(VLOOKUP(A3724,'Discount Lookup'!J:K,2)*G3724),0))))</f>
        <v>0</v>
      </c>
      <c r="AJ3724" s="513" t="str">
        <f t="shared" ca="1" si="2830"/>
        <v/>
      </c>
      <c r="AK3724" s="700" t="str">
        <f t="shared" si="2831"/>
        <v/>
      </c>
      <c r="AL3724" s="700"/>
      <c r="AM3724" s="505" t="str">
        <f t="shared" si="2832"/>
        <v/>
      </c>
      <c r="AN3724" s="506"/>
      <c r="AO3724" s="507"/>
      <c r="AP3724" s="507"/>
      <c r="AQ3724" s="507"/>
      <c r="AR3724" s="507"/>
      <c r="AS3724" s="507"/>
      <c r="AT3724" s="507"/>
      <c r="AU3724" s="507"/>
      <c r="AV3724" s="225"/>
      <c r="AW3724" s="508"/>
      <c r="AX3724" s="225"/>
      <c r="AY3724" s="225"/>
      <c r="AZ3724" s="225"/>
      <c r="BA3724" s="225"/>
      <c r="BB3724" s="225"/>
      <c r="BC3724" s="56"/>
      <c r="BD3724" s="56"/>
      <c r="BE3724" s="56"/>
      <c r="BF3724" s="107" t="str">
        <f t="shared" si="2833"/>
        <v>https://www.google.com/search?tbm=isch&amp;q=15%20G4</v>
      </c>
      <c r="BG3724" s="107" t="str">
        <f t="shared" si="2834"/>
        <v>T</v>
      </c>
      <c r="BH3724" s="254"/>
      <c r="BI3724" s="254"/>
    </row>
    <row r="3725" spans="1:61" customFormat="1" ht="27" x14ac:dyDescent="0.25">
      <c r="A3725" s="485">
        <v>15</v>
      </c>
      <c r="B3725" s="486" t="s">
        <v>291</v>
      </c>
      <c r="C3725" s="487" t="s">
        <v>3813</v>
      </c>
      <c r="D3725" s="488" t="s">
        <v>292</v>
      </c>
      <c r="E3725" s="489">
        <v>390.95</v>
      </c>
      <c r="F3725" s="516" t="s">
        <v>293</v>
      </c>
      <c r="G3725" s="232">
        <v>0</v>
      </c>
      <c r="H3725" s="658" t="str">
        <f t="shared" si="2870"/>
        <v/>
      </c>
      <c r="I3725" s="490">
        <f t="shared" si="2871"/>
        <v>0</v>
      </c>
      <c r="J3725" s="490">
        <f t="shared" si="2872"/>
        <v>0</v>
      </c>
      <c r="K3725" s="695">
        <f t="shared" ref="K3725" si="2878">I3725+J3725</f>
        <v>0</v>
      </c>
      <c r="L3725" s="695"/>
      <c r="M3725" s="659" t="str">
        <f t="shared" si="2874"/>
        <v/>
      </c>
      <c r="N3725" s="660"/>
      <c r="O3725" s="233"/>
      <c r="P3725" s="233"/>
      <c r="Q3725" s="233"/>
      <c r="R3725" s="233"/>
      <c r="S3725" s="233"/>
      <c r="T3725" s="508">
        <f t="shared" si="2822"/>
        <v>0</v>
      </c>
      <c r="U3725" s="225">
        <f>IF(NOT(ISNUMBER(G3725)), "", VLOOKUP(A3725,'Discount Lookup'!D:E,2,FALSE)*G3725)</f>
        <v>0</v>
      </c>
      <c r="V3725" s="225">
        <f>IF(NOT(ISNUMBER(G3725)), "", VLOOKUP(A3725,'Discount Lookup'!G:H,2,FALSE)*G3725)</f>
        <v>0</v>
      </c>
      <c r="W3725" s="508">
        <f t="shared" si="2823"/>
        <v>0</v>
      </c>
      <c r="X3725" s="508">
        <f t="shared" si="2824"/>
        <v>0</v>
      </c>
      <c r="Y3725" s="509" t="b">
        <f t="shared" si="2825"/>
        <v>0</v>
      </c>
      <c r="Z3725" s="510">
        <f t="shared" si="2826"/>
        <v>0</v>
      </c>
      <c r="AA3725" s="511"/>
      <c r="AB3725" s="511" t="str">
        <f t="shared" si="2827"/>
        <v/>
      </c>
      <c r="AC3725" s="698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698"/>
      <c r="AE3725" s="631" t="str">
        <f t="shared" si="2828"/>
        <v/>
      </c>
      <c r="AF3725" s="699" t="str">
        <f t="shared" si="2829"/>
        <v/>
      </c>
      <c r="AG3725" s="699"/>
      <c r="AH3725" s="699"/>
      <c r="AI3725" s="512">
        <f>IF(H3725="credit",0,IF(AE3725="free",0,IF(AE3725="me",0,IF(G3725&gt;0,(VLOOKUP(A3725,'Discount Lookup'!J:K,2)*G3725),0))))</f>
        <v>0</v>
      </c>
      <c r="AJ3725" s="513" t="str">
        <f t="shared" ca="1" si="2830"/>
        <v/>
      </c>
      <c r="AK3725" s="700" t="str">
        <f t="shared" si="2831"/>
        <v/>
      </c>
      <c r="AL3725" s="700"/>
      <c r="AM3725" s="505" t="str">
        <f t="shared" si="2832"/>
        <v/>
      </c>
      <c r="AN3725" s="506"/>
      <c r="AO3725" s="507"/>
      <c r="AP3725" s="507"/>
      <c r="AQ3725" s="507"/>
      <c r="AR3725" s="507"/>
      <c r="AS3725" s="507"/>
      <c r="AT3725" s="507"/>
      <c r="AU3725" s="507"/>
      <c r="AV3725" s="225"/>
      <c r="AW3725" s="508"/>
      <c r="AX3725" s="225"/>
      <c r="AY3725" s="225"/>
      <c r="AZ3725" s="225"/>
      <c r="BA3725" s="225"/>
      <c r="BB3725" s="225"/>
      <c r="BC3725" s="56"/>
      <c r="BD3725" s="56"/>
      <c r="BE3725" s="56"/>
      <c r="BF3725" s="107" t="str">
        <f t="shared" si="2833"/>
        <v>https://www.google.com/search?tbm=isch&amp;q=15%20G4</v>
      </c>
      <c r="BG3725" s="107" t="str">
        <f t="shared" si="2834"/>
        <v>T</v>
      </c>
      <c r="BH3725" s="254"/>
      <c r="BI3725" s="254"/>
    </row>
    <row r="3726" spans="1:61" customFormat="1" ht="15.75" x14ac:dyDescent="0.25">
      <c r="A3726" s="485">
        <v>25</v>
      </c>
      <c r="B3726" s="486" t="s">
        <v>291</v>
      </c>
      <c r="C3726" s="487" t="s">
        <v>3312</v>
      </c>
      <c r="D3726" s="488" t="s">
        <v>292</v>
      </c>
      <c r="E3726" s="489">
        <v>399.95</v>
      </c>
      <c r="F3726" s="516" t="s">
        <v>293</v>
      </c>
      <c r="G3726" s="232">
        <v>0</v>
      </c>
      <c r="H3726" s="658" t="str">
        <f t="shared" si="2870"/>
        <v/>
      </c>
      <c r="I3726" s="490">
        <f t="shared" si="2871"/>
        <v>0</v>
      </c>
      <c r="J3726" s="490">
        <f t="shared" si="2872"/>
        <v>0</v>
      </c>
      <c r="K3726" s="695">
        <f t="shared" ref="K3726" si="2879">I3726+J3726</f>
        <v>0</v>
      </c>
      <c r="L3726" s="695"/>
      <c r="M3726" s="659" t="str">
        <f t="shared" si="2874"/>
        <v/>
      </c>
      <c r="N3726" s="660"/>
      <c r="O3726" s="233"/>
      <c r="P3726" s="233"/>
      <c r="Q3726" s="233"/>
      <c r="R3726" s="233"/>
      <c r="S3726" s="233"/>
      <c r="T3726" s="508">
        <f t="shared" ref="T3726:T3789" si="2880">E3726*G3726</f>
        <v>0</v>
      </c>
      <c r="U3726" s="225">
        <f>IF(NOT(ISNUMBER(G3726)), "", VLOOKUP(A3726,'Discount Lookup'!D:E,2,FALSE)*G3726)</f>
        <v>0</v>
      </c>
      <c r="V3726" s="225">
        <f>IF(NOT(ISNUMBER(G3726)), "", VLOOKUP(A3726,'Discount Lookup'!G:H,2,FALSE)*G3726)</f>
        <v>0</v>
      </c>
      <c r="W3726" s="508">
        <f t="shared" ref="W3726:W3789" si="2881">IF(H3726="credit",0,E3726*(SalesTaxPercentage)*G3726)</f>
        <v>0</v>
      </c>
      <c r="X3726" s="508">
        <f t="shared" ref="X3726:X3789" si="2882">I3726</f>
        <v>0</v>
      </c>
      <c r="Y3726" s="509" t="b">
        <f t="shared" ref="Y3726:Y3789" si="2883">IF(AE3726="T2G",0,IF(H3726="credit",0,IF(G3726&gt;0,IF(AE3726="me","",G3726))))</f>
        <v>0</v>
      </c>
      <c r="Z3726" s="510">
        <f t="shared" ref="Z3726:Z3789" si="2884">IF(H3726="credit",G3726,0)</f>
        <v>0</v>
      </c>
      <c r="AA3726" s="511"/>
      <c r="AB3726" s="511" t="str">
        <f t="shared" ref="AB3726:AB3789" si="2885">IF(AE3726="T2G","by Trees2Go",IF(H3726="credit","CREDIT only ~",IF(AND(K3726="",AE3726=OR(PlanterYesMe="No",PlanterYesMe="N",PlanterYesMe="me")),"not THIS line⇨",IF(AND(K3726="images",AE3726="me"),"not THIS line⇨",IF(H3726="credit","",IF(G3726=0,"",IF(AE3726="me","",IF(OR(PlanterYesMe="No",PlanterYesMe="N",PlanterYesMe="me"),"",IF(AE3726="free","warranty",IF(OR(PlanterYesMe="yes",PlanterYesMe="y"),"Edison install:","to install:"))))))))))</f>
        <v/>
      </c>
      <c r="AC3726" s="698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698"/>
      <c r="AE3726" s="631" t="str">
        <f t="shared" ref="AE3726:AE3789" si="2886">IF(H3726="credit","",IF(G3726=0,"",IF(OR(PlanterYesMe="No",PlanterYesMe="N",PlanterYesMe="me"),"me",IF(H3726="warranty","free",IF(OR(PlanterYesMe="yes",PlanterYesMe="y"),"ELP","")))))</f>
        <v/>
      </c>
      <c r="AF3726" s="699" t="str">
        <f t="shared" ref="AF3726:AF3789" si="2887">IF(OR(PlanterYesMe="No",PlanterYesMe="N",PlanterYesMe="me"),"",IF(H3726="credit","",IF(G3726&gt;0,(CONCATENATE((G3726)," quantity, ",(A3726)," ",B3726)),"")))</f>
        <v/>
      </c>
      <c r="AG3726" s="699"/>
      <c r="AH3726" s="699"/>
      <c r="AI3726" s="512">
        <f>IF(H3726="credit",0,IF(AE3726="free",0,IF(AE3726="me",0,IF(G3726&gt;0,(VLOOKUP(A3726,'Discount Lookup'!J:K,2)*G3726),0))))</f>
        <v>0</v>
      </c>
      <c r="AJ3726" s="513" t="str">
        <f t="shared" ref="AJ3726:AJ3789" ca="1" si="2888">IF(AND(ISREF(H3726),H3726="credit"),"",IF(AND(AND(OFFSET(G3726,0,0)=0,OFFSET(G3726,1,0)&gt;0,ISNUMBER(OFFSET(AC3726,1,0)),OFFSET(AC3726,1,0)&gt;0),OR(PlanterYesMe="yes",PlanterYesMe="y")),"T2G+ELP=",IF(AND(OFFSET(G3726,0,0)=0,OFFSET(G3726,1,0)&gt;0,ISNUMBER(OFFSET(AC3726,1,0)),OFFSET(AC3726,1,0)&gt;0),"if T2G+ELP=",IF(AND(OFFSET(G3726,0,0)=0,OFFSET(G3726,1,0)&gt;0),"T2G Subtotal",IF(H3726="credit","",IF(G3726=0,"",IF(AE3726="free",(K3726*(1-T2GDiscount)),IF(OR(PlanterYesMe="No",PlanterYesMe="N",PlanterYesMe="me"),(K3726*(1-T2GDiscount)),IF(OR(AE3726="me",AE3726="T2G"),(K3726*(1-T2GDiscount)),(K3726*(1-T2GDiscount))+AC3726)))))))))</f>
        <v/>
      </c>
      <c r="AK3726" s="700" t="str">
        <f t="shared" ref="AK3726:AK3789" si="2889">IF(H3726="credit","",IF(G3726=0,"",IF(OR(AE3726="me",AE3726="T2G"),"  delivery-only",IF(OR(PlanterYesMe="No",PlanterYesMe="N",PlanterYesMe="me"),"  delivery-only",CONCATENATE(" $",ROUND(AJ3726/G3726,2)," each")))))</f>
        <v/>
      </c>
      <c r="AL3726" s="700"/>
      <c r="AM3726" s="505" t="str">
        <f t="shared" ref="AM3726:AM3789" si="2890">IF(H3726="credit","",IF(AE3726="free","      ~ discounts included, no tax or planting fee applies ~",IF(G3726=0,"",IF(OR(PlanterYesMe="No",PlanterYesMe="N",PlanterYesMe="me"),CONCATENATE(" $",ROUND(AJ3726/G3726,2)," per plant, with tax &amp; discount"),IF(OR(AE3726="me",AE3726="T2G"),CONCATENATE(" $",ROUND(AJ3726/G3726,2)," per plant, with tax &amp; discount"),CONCATENATE("= $",ROUND((K3726*(1-T2GDiscount))/G3726,2)," per plant + $",AC3726/G3726,(" per planting      ~ includes tax &amp; discounts ~")))))))</f>
        <v/>
      </c>
      <c r="AN3726" s="506"/>
      <c r="AO3726" s="507"/>
      <c r="AP3726" s="507"/>
      <c r="AQ3726" s="507"/>
      <c r="AR3726" s="507"/>
      <c r="AS3726" s="507"/>
      <c r="AT3726" s="507"/>
      <c r="AU3726" s="507"/>
      <c r="AV3726" s="225"/>
      <c r="AW3726" s="508"/>
      <c r="AX3726" s="225"/>
      <c r="AY3726" s="225"/>
      <c r="AZ3726" s="225"/>
      <c r="BA3726" s="225"/>
      <c r="BB3726" s="225"/>
      <c r="BC3726" s="56"/>
      <c r="BD3726" s="56"/>
      <c r="BE3726" s="56"/>
      <c r="BF3726" s="107" t="str">
        <f t="shared" ref="BF3726:BF3789" si="2891">"https://www.google.com/search?tbm=isch&amp;q=" &amp; _xlfn.ENCODEURL($A3726 &amp; " " &amp; $D3726)</f>
        <v>https://www.google.com/search?tbm=isch&amp;q=25%20G4</v>
      </c>
      <c r="BG3726" s="107" t="str">
        <f t="shared" ref="BG3726:BG3789" si="2892">IF(ISTEXT(A3726),LEFT(A3726,1),BG3725)</f>
        <v>T</v>
      </c>
      <c r="BH3726" s="254"/>
      <c r="BI3726" s="254"/>
    </row>
    <row r="3727" spans="1:61" customFormat="1" ht="15.75" x14ac:dyDescent="0.25">
      <c r="A3727" s="485">
        <v>30</v>
      </c>
      <c r="B3727" s="486" t="s">
        <v>291</v>
      </c>
      <c r="C3727" s="487" t="s">
        <v>1891</v>
      </c>
      <c r="D3727" s="488" t="s">
        <v>299</v>
      </c>
      <c r="E3727" s="489">
        <v>425.95</v>
      </c>
      <c r="F3727" s="516" t="s">
        <v>293</v>
      </c>
      <c r="G3727" s="232">
        <v>0</v>
      </c>
      <c r="H3727" s="658" t="str">
        <f t="shared" si="2870"/>
        <v/>
      </c>
      <c r="I3727" s="490">
        <f t="shared" si="2871"/>
        <v>0</v>
      </c>
      <c r="J3727" s="490">
        <f t="shared" si="2872"/>
        <v>0</v>
      </c>
      <c r="K3727" s="695">
        <f t="shared" ref="K3727" si="2893">I3727+J3727</f>
        <v>0</v>
      </c>
      <c r="L3727" s="695"/>
      <c r="M3727" s="659" t="str">
        <f t="shared" si="2874"/>
        <v/>
      </c>
      <c r="N3727" s="660"/>
      <c r="O3727" s="233"/>
      <c r="P3727" s="233"/>
      <c r="Q3727" s="233"/>
      <c r="R3727" s="233"/>
      <c r="S3727" s="233"/>
      <c r="T3727" s="508">
        <f t="shared" si="2880"/>
        <v>0</v>
      </c>
      <c r="U3727" s="225">
        <f>IF(NOT(ISNUMBER(G3727)), "", VLOOKUP(A3727,'Discount Lookup'!D:E,2,FALSE)*G3727)</f>
        <v>0</v>
      </c>
      <c r="V3727" s="225">
        <f>IF(NOT(ISNUMBER(G3727)), "", VLOOKUP(A3727,'Discount Lookup'!G:H,2,FALSE)*G3727)</f>
        <v>0</v>
      </c>
      <c r="W3727" s="508">
        <f t="shared" si="2881"/>
        <v>0</v>
      </c>
      <c r="X3727" s="508">
        <f t="shared" si="2882"/>
        <v>0</v>
      </c>
      <c r="Y3727" s="509" t="b">
        <f t="shared" si="2883"/>
        <v>0</v>
      </c>
      <c r="Z3727" s="510">
        <f t="shared" si="2884"/>
        <v>0</v>
      </c>
      <c r="AA3727" s="511"/>
      <c r="AB3727" s="511" t="str">
        <f t="shared" si="2885"/>
        <v/>
      </c>
      <c r="AC3727" s="698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698"/>
      <c r="AE3727" s="631" t="str">
        <f t="shared" si="2886"/>
        <v/>
      </c>
      <c r="AF3727" s="699" t="str">
        <f t="shared" si="2887"/>
        <v/>
      </c>
      <c r="AG3727" s="699"/>
      <c r="AH3727" s="699"/>
      <c r="AI3727" s="512">
        <f>IF(H3727="credit",0,IF(AE3727="free",0,IF(AE3727="me",0,IF(G3727&gt;0,(VLOOKUP(A3727,'Discount Lookup'!J:K,2)*G3727),0))))</f>
        <v>0</v>
      </c>
      <c r="AJ3727" s="513" t="str">
        <f t="shared" ca="1" si="2888"/>
        <v/>
      </c>
      <c r="AK3727" s="700" t="str">
        <f t="shared" si="2889"/>
        <v/>
      </c>
      <c r="AL3727" s="700"/>
      <c r="AM3727" s="505" t="str">
        <f t="shared" si="2890"/>
        <v/>
      </c>
      <c r="AN3727" s="506"/>
      <c r="AO3727" s="507"/>
      <c r="AP3727" s="507"/>
      <c r="AQ3727" s="507"/>
      <c r="AR3727" s="507"/>
      <c r="AS3727" s="507"/>
      <c r="AT3727" s="507"/>
      <c r="AU3727" s="507"/>
      <c r="AV3727" s="225"/>
      <c r="AW3727" s="508"/>
      <c r="AX3727" s="225"/>
      <c r="AY3727" s="225"/>
      <c r="AZ3727" s="225"/>
      <c r="BA3727" s="225"/>
      <c r="BB3727" s="225"/>
      <c r="BC3727" s="56"/>
      <c r="BD3727" s="56"/>
      <c r="BE3727" s="56"/>
      <c r="BF3727" s="107" t="str">
        <f t="shared" si="2891"/>
        <v>https://www.google.com/search?tbm=isch&amp;q=30%20G5</v>
      </c>
      <c r="BG3727" s="107" t="str">
        <f t="shared" si="2892"/>
        <v>T</v>
      </c>
      <c r="BH3727" s="254"/>
      <c r="BI3727" s="254"/>
    </row>
    <row r="3728" spans="1:61" customFormat="1" ht="17.25" thickBot="1" x14ac:dyDescent="0.3">
      <c r="A3728" s="672" t="s">
        <v>5260</v>
      </c>
      <c r="B3728" s="491"/>
      <c r="C3728" s="675"/>
      <c r="D3728" s="491"/>
      <c r="E3728" s="491"/>
      <c r="F3728" s="492"/>
      <c r="G3728" s="493"/>
      <c r="H3728" s="491"/>
      <c r="I3728" s="234"/>
      <c r="J3728" s="234"/>
      <c r="K3728" s="494"/>
      <c r="L3728" s="543"/>
      <c r="M3728" s="561"/>
      <c r="N3728" s="495"/>
      <c r="O3728" s="496"/>
      <c r="P3728" s="497"/>
      <c r="Q3728" s="495"/>
      <c r="R3728" s="495"/>
      <c r="S3728" s="667" t="s">
        <v>4984</v>
      </c>
      <c r="T3728" s="508">
        <f t="shared" si="2880"/>
        <v>0</v>
      </c>
      <c r="U3728" s="225" t="str">
        <f>IF(NOT(ISNUMBER(G3728)), "", VLOOKUP(A3728,'Discount Lookup'!D:E,2,FALSE)*G3728)</f>
        <v/>
      </c>
      <c r="V3728" s="225" t="str">
        <f>IF(NOT(ISNUMBER(G3728)), "", VLOOKUP(A3728,'Discount Lookup'!G:H,2,FALSE)*G3728)</f>
        <v/>
      </c>
      <c r="W3728" s="508">
        <f t="shared" si="2881"/>
        <v>0</v>
      </c>
      <c r="X3728" s="508">
        <f t="shared" si="2882"/>
        <v>0</v>
      </c>
      <c r="Y3728" s="509" t="b">
        <f t="shared" si="2883"/>
        <v>0</v>
      </c>
      <c r="Z3728" s="510">
        <f t="shared" si="2884"/>
        <v>0</v>
      </c>
      <c r="AA3728" s="511"/>
      <c r="AB3728" s="511" t="str">
        <f t="shared" si="2885"/>
        <v/>
      </c>
      <c r="AC3728" s="698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698"/>
      <c r="AE3728" s="631" t="str">
        <f t="shared" si="2886"/>
        <v/>
      </c>
      <c r="AF3728" s="699" t="str">
        <f t="shared" si="2887"/>
        <v/>
      </c>
      <c r="AG3728" s="699"/>
      <c r="AH3728" s="699"/>
      <c r="AI3728" s="512">
        <f>IF(H3728="credit",0,IF(AE3728="free",0,IF(AE3728="me",0,IF(G3728&gt;0,(VLOOKUP(A3728,'Discount Lookup'!J:K,2)*G3728),0))))</f>
        <v>0</v>
      </c>
      <c r="AJ3728" s="513" t="str">
        <f t="shared" ca="1" si="2888"/>
        <v/>
      </c>
      <c r="AK3728" s="700" t="str">
        <f t="shared" si="2889"/>
        <v/>
      </c>
      <c r="AL3728" s="700"/>
      <c r="AM3728" s="505" t="str">
        <f t="shared" si="2890"/>
        <v/>
      </c>
      <c r="AN3728" s="506"/>
      <c r="AO3728" s="507"/>
      <c r="AP3728" s="507"/>
      <c r="AQ3728" s="507"/>
      <c r="AR3728" s="507"/>
      <c r="AS3728" s="507"/>
      <c r="AT3728" s="507"/>
      <c r="AU3728" s="507"/>
      <c r="AV3728" s="225"/>
      <c r="AW3728" s="508"/>
      <c r="AX3728" s="225"/>
      <c r="AY3728" s="225"/>
      <c r="AZ3728" s="225"/>
      <c r="BA3728" s="225"/>
      <c r="BB3728" s="225"/>
      <c r="BC3728" s="56"/>
      <c r="BD3728" s="56"/>
      <c r="BE3728" s="56"/>
      <c r="BF3728" s="107" t="str">
        <f t="shared" si="2891"/>
        <v>https://www.google.com/search?tbm=isch&amp;q=moist%20sites%F0%9F%92%A7OK%2C%20Teddy%20Bear%20is%20named%20for%20it%27s%20larger%2C%20rounder%20foliage%2C%20like%20a%20big%20soft%20Teddy%20Bear.%20Fragrant%20</v>
      </c>
      <c r="BG3728" s="107" t="str">
        <f t="shared" si="2892"/>
        <v>m</v>
      </c>
      <c r="BH3728" s="254"/>
      <c r="BI3728" s="254"/>
    </row>
    <row r="3729" spans="1:61" customFormat="1" ht="18" x14ac:dyDescent="0.25">
      <c r="A3729" s="521" t="s">
        <v>2817</v>
      </c>
      <c r="B3729" s="477"/>
      <c r="C3729" s="674"/>
      <c r="D3729" s="478" t="s">
        <v>2818</v>
      </c>
      <c r="E3729" s="479"/>
      <c r="F3729" s="479"/>
      <c r="G3729" s="479"/>
      <c r="H3729" s="582" t="s">
        <v>810</v>
      </c>
      <c r="I3729" s="480" t="s">
        <v>827</v>
      </c>
      <c r="J3729" s="479"/>
      <c r="K3729" s="479"/>
      <c r="L3729" s="560"/>
      <c r="M3729" s="671" t="s">
        <v>4985</v>
      </c>
      <c r="N3729" s="680" t="str">
        <f>IF(AND(ISTEXT($A3729), ISERROR($A3729+0)), HYPERLINK($BF3729, "Images"), "")</f>
        <v>Images</v>
      </c>
      <c r="O3729" s="662" t="s">
        <v>4969</v>
      </c>
      <c r="P3729" s="482"/>
      <c r="Q3729" s="483"/>
      <c r="R3729" s="483"/>
      <c r="S3729" s="484"/>
      <c r="T3729" s="508">
        <f t="shared" si="2880"/>
        <v>0</v>
      </c>
      <c r="U3729" s="225" t="str">
        <f>IF(NOT(ISNUMBER(G3729)), "", VLOOKUP(A3729,'Discount Lookup'!D:E,2,FALSE)*G3729)</f>
        <v/>
      </c>
      <c r="V3729" s="225" t="str">
        <f>IF(NOT(ISNUMBER(G3729)), "", VLOOKUP(A3729,'Discount Lookup'!G:H,2,FALSE)*G3729)</f>
        <v/>
      </c>
      <c r="W3729" s="508">
        <f t="shared" si="2881"/>
        <v>0</v>
      </c>
      <c r="X3729" s="508" t="str">
        <f t="shared" si="2882"/>
        <v>Creamy White bloom</v>
      </c>
      <c r="Y3729" s="509" t="b">
        <f t="shared" si="2883"/>
        <v>0</v>
      </c>
      <c r="Z3729" s="510">
        <f t="shared" si="2884"/>
        <v>0</v>
      </c>
      <c r="AA3729" s="511"/>
      <c r="AB3729" s="511" t="str">
        <f t="shared" si="2885"/>
        <v/>
      </c>
      <c r="AC3729" s="698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698"/>
      <c r="AE3729" s="631" t="str">
        <f t="shared" si="2886"/>
        <v/>
      </c>
      <c r="AF3729" s="699" t="str">
        <f t="shared" si="2887"/>
        <v/>
      </c>
      <c r="AG3729" s="699"/>
      <c r="AH3729" s="699"/>
      <c r="AI3729" s="512">
        <f>IF(H3729="credit",0,IF(AE3729="free",0,IF(AE3729="me",0,IF(G3729&gt;0,(VLOOKUP(A3729,'Discount Lookup'!J:K,2)*G3729),0))))</f>
        <v>0</v>
      </c>
      <c r="AJ3729" s="513" t="str">
        <f t="shared" ca="1" si="2888"/>
        <v/>
      </c>
      <c r="AK3729" s="700" t="str">
        <f t="shared" si="2889"/>
        <v/>
      </c>
      <c r="AL3729" s="700"/>
      <c r="AM3729" s="505" t="str">
        <f t="shared" si="2890"/>
        <v/>
      </c>
      <c r="AN3729" s="506"/>
      <c r="AO3729" s="507"/>
      <c r="AP3729" s="507"/>
      <c r="AQ3729" s="507"/>
      <c r="AR3729" s="507"/>
      <c r="AS3729" s="507"/>
      <c r="AT3729" s="507"/>
      <c r="AU3729" s="507"/>
      <c r="AV3729" s="225"/>
      <c r="AW3729" s="508"/>
      <c r="AX3729" s="225"/>
      <c r="AY3729" s="225"/>
      <c r="AZ3729" s="225"/>
      <c r="BA3729" s="225"/>
      <c r="BB3729" s="225"/>
      <c r="BC3729" s="56"/>
      <c r="BD3729" s="56"/>
      <c r="BE3729" s="56"/>
      <c r="BF3729" s="107" t="str">
        <f t="shared" si="2891"/>
        <v>https://www.google.com/search?tbm=isch&amp;q=Temple%20Bells%20Pieris%20Pieris%20japonica%20%27Temple%20Bells%27</v>
      </c>
      <c r="BG3729" s="107" t="str">
        <f t="shared" si="2892"/>
        <v>T</v>
      </c>
      <c r="BH3729" s="254"/>
      <c r="BI3729" s="254"/>
    </row>
    <row r="3730" spans="1:61" customFormat="1" ht="27" x14ac:dyDescent="0.25">
      <c r="A3730" s="485">
        <v>7</v>
      </c>
      <c r="B3730" s="486" t="s">
        <v>291</v>
      </c>
      <c r="C3730" s="487" t="s">
        <v>4824</v>
      </c>
      <c r="D3730" s="488" t="s">
        <v>292</v>
      </c>
      <c r="E3730" s="489">
        <v>91.95</v>
      </c>
      <c r="F3730" s="516" t="s">
        <v>293</v>
      </c>
      <c r="G3730" s="232">
        <v>0</v>
      </c>
      <c r="H3730" s="658" t="str">
        <f>IF(G3730=0,"",IF(F3730="Buy",IF(G3730=1,"plant","plants"),IF(F3730&gt;0.01,"warranty","Error")))</f>
        <v/>
      </c>
      <c r="I3730" s="490">
        <f>IF(H3730="free",0,IF(H3730="credit",((E3730*(F3730))*G3730*-1),IF(F3730="Buy",(E3730*G3730),((E3730*(1-F3730))*G3730))))</f>
        <v>0</v>
      </c>
      <c r="J3730" s="490">
        <f>IF(H3730="warranty",0,(I3730*(_xlfn.SINGLE(SalesTaxPercentage))))</f>
        <v>0</v>
      </c>
      <c r="K3730" s="695">
        <f t="shared" ref="K3730" si="2894">I3730+J3730</f>
        <v>0</v>
      </c>
      <c r="L3730" s="695"/>
      <c r="M3730" s="659" t="str">
        <f>IF(AND(G3730&gt;0,E3730=0),"WARNING - no PRICE inserted",IF(H3730="free"," FREE ~ no charge this plant",IF(H3730="credit",CONCATENATE(" -$",ROUND(K3730*(1-T2GDiscount)*-1,2)," CREDIT after discount"),IF(T2GDiscount=0,"",IF(G3730=0,"",IF(F3730="Buy",CONCATENATE(" $",ROUND(K3730*(1-T2GDiscount),2)," with ",(T2GDiscount*100),"% discount"),CONCATENATE(" $",ROUND(K3730*(1-T2GDiscount),2)," with ",((T2GDiscount*100+F3730*100)-(T2GDiscount*100*F3730)),IF(F3730&gt;0,"% discounts",IF(NoWarrantyDiscount&gt;0,"% discounts","% discount")))))))))</f>
        <v/>
      </c>
      <c r="N3730" s="660"/>
      <c r="O3730" s="233"/>
      <c r="P3730" s="233"/>
      <c r="Q3730" s="233"/>
      <c r="R3730" s="233"/>
      <c r="S3730" s="233"/>
      <c r="T3730" s="508">
        <f t="shared" si="2880"/>
        <v>0</v>
      </c>
      <c r="U3730" s="225">
        <f>IF(NOT(ISNUMBER(G3730)), "", VLOOKUP(A3730,'Discount Lookup'!D:E,2,FALSE)*G3730)</f>
        <v>0</v>
      </c>
      <c r="V3730" s="225">
        <f>IF(NOT(ISNUMBER(G3730)), "", VLOOKUP(A3730,'Discount Lookup'!G:H,2,FALSE)*G3730)</f>
        <v>0</v>
      </c>
      <c r="W3730" s="508">
        <f t="shared" si="2881"/>
        <v>0</v>
      </c>
      <c r="X3730" s="508">
        <f t="shared" si="2882"/>
        <v>0</v>
      </c>
      <c r="Y3730" s="509" t="b">
        <f t="shared" si="2883"/>
        <v>0</v>
      </c>
      <c r="Z3730" s="510">
        <f t="shared" si="2884"/>
        <v>0</v>
      </c>
      <c r="AA3730" s="511"/>
      <c r="AB3730" s="511" t="str">
        <f t="shared" si="2885"/>
        <v/>
      </c>
      <c r="AC3730" s="698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698"/>
      <c r="AE3730" s="631" t="str">
        <f t="shared" si="2886"/>
        <v/>
      </c>
      <c r="AF3730" s="699" t="str">
        <f t="shared" si="2887"/>
        <v/>
      </c>
      <c r="AG3730" s="699"/>
      <c r="AH3730" s="699"/>
      <c r="AI3730" s="512">
        <f>IF(H3730="credit",0,IF(AE3730="free",0,IF(AE3730="me",0,IF(G3730&gt;0,(VLOOKUP(A3730,'Discount Lookup'!J:K,2)*G3730),0))))</f>
        <v>0</v>
      </c>
      <c r="AJ3730" s="513" t="str">
        <f t="shared" ca="1" si="2888"/>
        <v/>
      </c>
      <c r="AK3730" s="700" t="str">
        <f t="shared" si="2889"/>
        <v/>
      </c>
      <c r="AL3730" s="700"/>
      <c r="AM3730" s="505" t="str">
        <f t="shared" si="2890"/>
        <v/>
      </c>
      <c r="AN3730" s="506"/>
      <c r="AO3730" s="507"/>
      <c r="AP3730" s="507"/>
      <c r="AQ3730" s="507"/>
      <c r="AR3730" s="507"/>
      <c r="AS3730" s="507"/>
      <c r="AT3730" s="507"/>
      <c r="AU3730" s="507"/>
      <c r="AV3730" s="225"/>
      <c r="AW3730" s="508"/>
      <c r="AX3730" s="225"/>
      <c r="AY3730" s="225"/>
      <c r="AZ3730" s="225"/>
      <c r="BA3730" s="225"/>
      <c r="BB3730" s="225"/>
      <c r="BC3730" s="56"/>
      <c r="BD3730" s="56"/>
      <c r="BE3730" s="56"/>
      <c r="BF3730" s="107" t="str">
        <f t="shared" si="2891"/>
        <v>https://www.google.com/search?tbm=isch&amp;q=7%20G4</v>
      </c>
      <c r="BG3730" s="107" t="str">
        <f t="shared" si="2892"/>
        <v>T</v>
      </c>
      <c r="BH3730" s="254"/>
      <c r="BI3730" s="254"/>
    </row>
    <row r="3731" spans="1:61" customFormat="1" ht="17.25" thickBot="1" x14ac:dyDescent="0.3">
      <c r="A3731" s="672" t="s">
        <v>5261</v>
      </c>
      <c r="B3731" s="491"/>
      <c r="C3731" s="675"/>
      <c r="D3731" s="491"/>
      <c r="E3731" s="491"/>
      <c r="F3731" s="492"/>
      <c r="G3731" s="493"/>
      <c r="H3731" s="491"/>
      <c r="I3731" s="234"/>
      <c r="J3731" s="234"/>
      <c r="K3731" s="494"/>
      <c r="L3731" s="543"/>
      <c r="M3731" s="561"/>
      <c r="N3731" s="495"/>
      <c r="O3731" s="496"/>
      <c r="P3731" s="497"/>
      <c r="Q3731" s="495"/>
      <c r="R3731" s="495"/>
      <c r="S3731" s="667" t="s">
        <v>4984</v>
      </c>
      <c r="T3731" s="508">
        <f t="shared" si="2880"/>
        <v>0</v>
      </c>
      <c r="U3731" s="225" t="str">
        <f>IF(NOT(ISNUMBER(G3731)), "", VLOOKUP(A3731,'Discount Lookup'!D:E,2,FALSE)*G3731)</f>
        <v/>
      </c>
      <c r="V3731" s="225" t="str">
        <f>IF(NOT(ISNUMBER(G3731)), "", VLOOKUP(A3731,'Discount Lookup'!G:H,2,FALSE)*G3731)</f>
        <v/>
      </c>
      <c r="W3731" s="508">
        <f t="shared" si="2881"/>
        <v>0</v>
      </c>
      <c r="X3731" s="508">
        <f t="shared" si="2882"/>
        <v>0</v>
      </c>
      <c r="Y3731" s="509" t="b">
        <f t="shared" si="2883"/>
        <v>0</v>
      </c>
      <c r="Z3731" s="510">
        <f t="shared" si="2884"/>
        <v>0</v>
      </c>
      <c r="AA3731" s="511"/>
      <c r="AB3731" s="511" t="str">
        <f t="shared" si="2885"/>
        <v/>
      </c>
      <c r="AC3731" s="698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698"/>
      <c r="AE3731" s="631" t="str">
        <f t="shared" si="2886"/>
        <v/>
      </c>
      <c r="AF3731" s="699" t="str">
        <f t="shared" si="2887"/>
        <v/>
      </c>
      <c r="AG3731" s="699"/>
      <c r="AH3731" s="699"/>
      <c r="AI3731" s="512">
        <f>IF(H3731="credit",0,IF(AE3731="free",0,IF(AE3731="me",0,IF(G3731&gt;0,(VLOOKUP(A3731,'Discount Lookup'!J:K,2)*G3731),0))))</f>
        <v>0</v>
      </c>
      <c r="AJ3731" s="513" t="str">
        <f t="shared" ca="1" si="2888"/>
        <v/>
      </c>
      <c r="AK3731" s="700" t="str">
        <f t="shared" si="2889"/>
        <v/>
      </c>
      <c r="AL3731" s="700"/>
      <c r="AM3731" s="505" t="str">
        <f t="shared" si="2890"/>
        <v/>
      </c>
      <c r="AN3731" s="506"/>
      <c r="AO3731" s="507"/>
      <c r="AP3731" s="507"/>
      <c r="AQ3731" s="507"/>
      <c r="AR3731" s="507"/>
      <c r="AS3731" s="507"/>
      <c r="AT3731" s="507"/>
      <c r="AU3731" s="507"/>
      <c r="AV3731" s="225"/>
      <c r="AW3731" s="508"/>
      <c r="AX3731" s="225"/>
      <c r="AY3731" s="225"/>
      <c r="AZ3731" s="225"/>
      <c r="BA3731" s="225"/>
      <c r="BB3731" s="225"/>
      <c r="BC3731" s="56"/>
      <c r="BD3731" s="56"/>
      <c r="BE3731" s="56"/>
      <c r="BF3731" s="107" t="str">
        <f t="shared" si="2891"/>
        <v>https://www.google.com/search?tbm=isch&amp;q=moist%20sites%F0%9F%92%A7GOOD%2C%20Temple%20Bells%27%20fragrant%20flowers%20emerge%20late%20winter%20to%20early%20spring%20</v>
      </c>
      <c r="BG3731" s="107" t="str">
        <f t="shared" si="2892"/>
        <v>m</v>
      </c>
      <c r="BH3731" s="254"/>
      <c r="BI3731" s="254"/>
    </row>
    <row r="3732" spans="1:61" customFormat="1" ht="18" x14ac:dyDescent="0.25">
      <c r="A3732" s="523" t="s">
        <v>5557</v>
      </c>
      <c r="B3732" s="235"/>
      <c r="C3732" s="676"/>
      <c r="D3732" s="255" t="s">
        <v>1892</v>
      </c>
      <c r="E3732" s="236"/>
      <c r="F3732" s="236"/>
      <c r="G3732" s="236"/>
      <c r="H3732" s="582" t="s">
        <v>316</v>
      </c>
      <c r="I3732" s="498" t="s">
        <v>654</v>
      </c>
      <c r="J3732" s="237"/>
      <c r="K3732" s="237"/>
      <c r="L3732" s="274"/>
      <c r="M3732" s="668" t="s">
        <v>4975</v>
      </c>
      <c r="N3732" s="681" t="str">
        <f>IF(AND(ISTEXT($A3732), ISERROR($A3732+0)), HYPERLINK($BF3732, "Images"), "")</f>
        <v>Images</v>
      </c>
      <c r="O3732" s="663" t="s">
        <v>4967</v>
      </c>
      <c r="P3732" s="253"/>
      <c r="Q3732" s="238"/>
      <c r="R3732" s="239"/>
      <c r="S3732" s="275"/>
      <c r="T3732" s="508">
        <f t="shared" si="2880"/>
        <v>0</v>
      </c>
      <c r="U3732" s="225" t="str">
        <f>IF(NOT(ISNUMBER(G3732)), "", VLOOKUP(A3732,'Discount Lookup'!D:E,2,FALSE)*G3732)</f>
        <v/>
      </c>
      <c r="V3732" s="225" t="str">
        <f>IF(NOT(ISNUMBER(G3732)), "", VLOOKUP(A3732,'Discount Lookup'!G:H,2,FALSE)*G3732)</f>
        <v/>
      </c>
      <c r="W3732" s="508">
        <f t="shared" si="2881"/>
        <v>0</v>
      </c>
      <c r="X3732" s="508" t="str">
        <f t="shared" si="2882"/>
        <v>White bloom</v>
      </c>
      <c r="Y3732" s="509" t="b">
        <f t="shared" si="2883"/>
        <v>0</v>
      </c>
      <c r="Z3732" s="510">
        <f t="shared" si="2884"/>
        <v>0</v>
      </c>
      <c r="AA3732" s="511"/>
      <c r="AB3732" s="511" t="str">
        <f t="shared" si="2885"/>
        <v/>
      </c>
      <c r="AC3732" s="698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698"/>
      <c r="AE3732" s="631" t="str">
        <f t="shared" si="2886"/>
        <v/>
      </c>
      <c r="AF3732" s="699" t="str">
        <f t="shared" si="2887"/>
        <v/>
      </c>
      <c r="AG3732" s="699"/>
      <c r="AH3732" s="699"/>
      <c r="AI3732" s="512">
        <f>IF(H3732="credit",0,IF(AE3732="free",0,IF(AE3732="me",0,IF(G3732&gt;0,(VLOOKUP(A3732,'Discount Lookup'!J:K,2)*G3732),0))))</f>
        <v>0</v>
      </c>
      <c r="AJ3732" s="513" t="str">
        <f t="shared" ca="1" si="2888"/>
        <v/>
      </c>
      <c r="AK3732" s="700" t="str">
        <f t="shared" si="2889"/>
        <v/>
      </c>
      <c r="AL3732" s="700"/>
      <c r="AM3732" s="505" t="str">
        <f t="shared" si="2890"/>
        <v/>
      </c>
      <c r="AN3732" s="506"/>
      <c r="AO3732" s="507"/>
      <c r="AP3732" s="507"/>
      <c r="AQ3732" s="507"/>
      <c r="AR3732" s="507"/>
      <c r="AS3732" s="507"/>
      <c r="AT3732" s="507"/>
      <c r="AU3732" s="507"/>
      <c r="AV3732" s="225"/>
      <c r="AW3732" s="508"/>
      <c r="AX3732" s="225"/>
      <c r="AY3732" s="225"/>
      <c r="AZ3732" s="225"/>
      <c r="BA3732" s="225"/>
      <c r="BB3732" s="225"/>
      <c r="BC3732" s="56"/>
      <c r="BD3732" s="56"/>
      <c r="BE3732" s="56"/>
      <c r="BF3732" s="107" t="str">
        <f t="shared" si="2891"/>
        <v>https://www.google.com/search?tbm=isch&amp;q=Temple%20of%20Bloom%C2%AE%20Seven-Son%20Flower%20Tree%20Heptacodium%20miconioides%20%27SMNHMRF%27%20PP%2330763</v>
      </c>
      <c r="BG3732" s="107" t="str">
        <f t="shared" si="2892"/>
        <v>T</v>
      </c>
      <c r="BH3732" s="254"/>
      <c r="BI3732" s="254"/>
    </row>
    <row r="3733" spans="1:61" customFormat="1" ht="15.75" x14ac:dyDescent="0.25">
      <c r="A3733" s="276">
        <v>7</v>
      </c>
      <c r="B3733" s="240" t="s">
        <v>291</v>
      </c>
      <c r="C3733" s="241" t="s">
        <v>4825</v>
      </c>
      <c r="D3733" s="242" t="s">
        <v>292</v>
      </c>
      <c r="E3733" s="243">
        <v>171.95</v>
      </c>
      <c r="F3733" s="517" t="s">
        <v>293</v>
      </c>
      <c r="G3733" s="232">
        <v>0</v>
      </c>
      <c r="H3733" s="661" t="str">
        <f>IF(G3733=0,"",IF(F3733="Buy",IF(G3733=1,"plant","plants"),IF(F3733&gt;0.01,"warranty","Error")))</f>
        <v/>
      </c>
      <c r="I3733" s="244">
        <f>IF(H3733="free",0,IF(H3733="credit",((E3733*(F3733))*G3733*-1),IF(F3733="Buy",(E3733*G3733),((E3733*(1-F3733))*G3733))))</f>
        <v>0</v>
      </c>
      <c r="J3733" s="244">
        <f>IF(H3733="warranty",0,(I3733*(_xlfn.SINGLE(SalesTaxPercentage))))</f>
        <v>0</v>
      </c>
      <c r="K3733" s="696">
        <f t="shared" ref="K3733" si="2895">I3733+J3733</f>
        <v>0</v>
      </c>
      <c r="L3733" s="696"/>
      <c r="M3733" s="659" t="str">
        <f>IF(AND(G3733&gt;0,E3733=0),"WARNING - no PRICE inserted",IF(H3733="free"," FREE ~ no charge this plant",IF(H3733="credit",CONCATENATE(" -$",ROUND(K3733*(1-T2GDiscount)*-1,2)," CREDIT after discount"),IF(T2GDiscount=0,"",IF(G3733=0,"",IF(F3733="Buy",CONCATENATE(" $",ROUND(K3733*(1-T2GDiscount),2)," with ",(T2GDiscount*100),"% discount"),CONCATENATE(" $",ROUND(K3733*(1-T2GDiscount),2)," with ",((T2GDiscount*100+F3733*100)-(T2GDiscount*100*F3733)),IF(F3733&gt;0,"% discounts",IF(NoWarrantyDiscount&gt;0,"% discounts","% discount")))))))))</f>
        <v/>
      </c>
      <c r="N3733" s="660"/>
      <c r="O3733" s="233"/>
      <c r="P3733" s="233"/>
      <c r="Q3733" s="233"/>
      <c r="R3733" s="233"/>
      <c r="S3733" s="233"/>
      <c r="T3733" s="508">
        <f t="shared" si="2880"/>
        <v>0</v>
      </c>
      <c r="U3733" s="225">
        <f>IF(NOT(ISNUMBER(G3733)), "", VLOOKUP(A3733,'Discount Lookup'!D:E,2,FALSE)*G3733)</f>
        <v>0</v>
      </c>
      <c r="V3733" s="225">
        <f>IF(NOT(ISNUMBER(G3733)), "", VLOOKUP(A3733,'Discount Lookup'!G:H,2,FALSE)*G3733)</f>
        <v>0</v>
      </c>
      <c r="W3733" s="508">
        <f t="shared" si="2881"/>
        <v>0</v>
      </c>
      <c r="X3733" s="508">
        <f t="shared" si="2882"/>
        <v>0</v>
      </c>
      <c r="Y3733" s="509" t="b">
        <f t="shared" si="2883"/>
        <v>0</v>
      </c>
      <c r="Z3733" s="510">
        <f t="shared" si="2884"/>
        <v>0</v>
      </c>
      <c r="AA3733" s="511"/>
      <c r="AB3733" s="511" t="str">
        <f t="shared" si="2885"/>
        <v/>
      </c>
      <c r="AC3733" s="698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698"/>
      <c r="AE3733" s="631" t="str">
        <f t="shared" si="2886"/>
        <v/>
      </c>
      <c r="AF3733" s="699" t="str">
        <f t="shared" si="2887"/>
        <v/>
      </c>
      <c r="AG3733" s="699"/>
      <c r="AH3733" s="699"/>
      <c r="AI3733" s="512">
        <f>IF(H3733="credit",0,IF(AE3733="free",0,IF(AE3733="me",0,IF(G3733&gt;0,(VLOOKUP(A3733,'Discount Lookup'!J:K,2)*G3733),0))))</f>
        <v>0</v>
      </c>
      <c r="AJ3733" s="513" t="str">
        <f t="shared" ca="1" si="2888"/>
        <v/>
      </c>
      <c r="AK3733" s="700" t="str">
        <f t="shared" si="2889"/>
        <v/>
      </c>
      <c r="AL3733" s="700"/>
      <c r="AM3733" s="505" t="str">
        <f t="shared" si="2890"/>
        <v/>
      </c>
      <c r="AN3733" s="506"/>
      <c r="AO3733" s="507"/>
      <c r="AP3733" s="507"/>
      <c r="AQ3733" s="507"/>
      <c r="AR3733" s="507"/>
      <c r="AS3733" s="507"/>
      <c r="AT3733" s="507"/>
      <c r="AU3733" s="507"/>
      <c r="AV3733" s="225"/>
      <c r="AW3733" s="508"/>
      <c r="AX3733" s="225"/>
      <c r="AY3733" s="225"/>
      <c r="AZ3733" s="225"/>
      <c r="BA3733" s="225"/>
      <c r="BB3733" s="225"/>
      <c r="BC3733" s="56"/>
      <c r="BD3733" s="56"/>
      <c r="BE3733" s="56"/>
      <c r="BF3733" s="107" t="str">
        <f t="shared" si="2891"/>
        <v>https://www.google.com/search?tbm=isch&amp;q=7%20G4</v>
      </c>
      <c r="BG3733" s="107" t="str">
        <f t="shared" si="2892"/>
        <v>T</v>
      </c>
      <c r="BH3733" s="254"/>
      <c r="BI3733" s="254"/>
    </row>
    <row r="3734" spans="1:61" customFormat="1" ht="17.25" thickBot="1" x14ac:dyDescent="0.3">
      <c r="A3734" s="524" t="s">
        <v>4180</v>
      </c>
      <c r="B3734" s="245"/>
      <c r="C3734" s="677"/>
      <c r="D3734" s="499"/>
      <c r="E3734" s="499"/>
      <c r="F3734" s="500"/>
      <c r="G3734" s="501"/>
      <c r="H3734" s="502"/>
      <c r="I3734" s="246"/>
      <c r="J3734" s="247"/>
      <c r="K3734" s="503"/>
      <c r="L3734" s="544"/>
      <c r="M3734" s="544"/>
      <c r="N3734" s="500"/>
      <c r="O3734" s="500"/>
      <c r="P3734" s="500"/>
      <c r="Q3734" s="500"/>
      <c r="R3734" s="500"/>
      <c r="S3734" s="669" t="s">
        <v>4976</v>
      </c>
      <c r="T3734" s="508">
        <f t="shared" si="2880"/>
        <v>0</v>
      </c>
      <c r="U3734" s="225" t="str">
        <f>IF(NOT(ISNUMBER(G3734)), "", VLOOKUP(A3734,'Discount Lookup'!D:E,2,FALSE)*G3734)</f>
        <v/>
      </c>
      <c r="V3734" s="225" t="str">
        <f>IF(NOT(ISNUMBER(G3734)), "", VLOOKUP(A3734,'Discount Lookup'!G:H,2,FALSE)*G3734)</f>
        <v/>
      </c>
      <c r="W3734" s="508">
        <f t="shared" si="2881"/>
        <v>0</v>
      </c>
      <c r="X3734" s="508">
        <f t="shared" si="2882"/>
        <v>0</v>
      </c>
      <c r="Y3734" s="509" t="b">
        <f t="shared" si="2883"/>
        <v>0</v>
      </c>
      <c r="Z3734" s="510">
        <f t="shared" si="2884"/>
        <v>0</v>
      </c>
      <c r="AA3734" s="511"/>
      <c r="AB3734" s="511" t="str">
        <f t="shared" si="2885"/>
        <v/>
      </c>
      <c r="AC3734" s="698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698"/>
      <c r="AE3734" s="631" t="str">
        <f t="shared" si="2886"/>
        <v/>
      </c>
      <c r="AF3734" s="699" t="str">
        <f t="shared" si="2887"/>
        <v/>
      </c>
      <c r="AG3734" s="699"/>
      <c r="AH3734" s="699"/>
      <c r="AI3734" s="512">
        <f>IF(H3734="credit",0,IF(AE3734="free",0,IF(AE3734="me",0,IF(G3734&gt;0,(VLOOKUP(A3734,'Discount Lookup'!J:K,2)*G3734),0))))</f>
        <v>0</v>
      </c>
      <c r="AJ3734" s="513" t="str">
        <f t="shared" ca="1" si="2888"/>
        <v/>
      </c>
      <c r="AK3734" s="700" t="str">
        <f t="shared" si="2889"/>
        <v/>
      </c>
      <c r="AL3734" s="700"/>
      <c r="AM3734" s="505" t="str">
        <f t="shared" si="2890"/>
        <v/>
      </c>
      <c r="AN3734" s="506"/>
      <c r="AO3734" s="507"/>
      <c r="AP3734" s="507"/>
      <c r="AQ3734" s="507"/>
      <c r="AR3734" s="507"/>
      <c r="AS3734" s="507"/>
      <c r="AT3734" s="507"/>
      <c r="AU3734" s="507"/>
      <c r="AV3734" s="225"/>
      <c r="AW3734" s="508"/>
      <c r="AX3734" s="225"/>
      <c r="AY3734" s="225"/>
      <c r="AZ3734" s="225"/>
      <c r="BA3734" s="225"/>
      <c r="BB3734" s="225"/>
      <c r="BC3734" s="56"/>
      <c r="BD3734" s="56"/>
      <c r="BE3734" s="56"/>
      <c r="BF3734" s="107" t="str">
        <f t="shared" si="2891"/>
        <v>https://www.google.com/search?tbm=isch&amp;q=Temple%20of%20Bloom%20offers%20fragrant%20blooms%2C%20vivid%20red%20sepals%2C%20and%20exfoliating%20bark%20for%20striking%20multi-season%20interest%20</v>
      </c>
      <c r="BG3734" s="107" t="str">
        <f t="shared" si="2892"/>
        <v>T</v>
      </c>
      <c r="BH3734" s="254"/>
      <c r="BI3734" s="254"/>
    </row>
    <row r="3735" spans="1:61" customFormat="1" ht="18" x14ac:dyDescent="0.25">
      <c r="A3735" s="523" t="s">
        <v>1893</v>
      </c>
      <c r="B3735" s="235"/>
      <c r="C3735" s="676"/>
      <c r="D3735" s="255" t="s">
        <v>1894</v>
      </c>
      <c r="E3735" s="236"/>
      <c r="F3735" s="236"/>
      <c r="G3735" s="236"/>
      <c r="H3735" s="582" t="s">
        <v>765</v>
      </c>
      <c r="I3735" s="498" t="s">
        <v>3037</v>
      </c>
      <c r="J3735" s="237"/>
      <c r="K3735" s="237"/>
      <c r="L3735" s="274"/>
      <c r="M3735" s="668" t="s">
        <v>4962</v>
      </c>
      <c r="N3735" s="681" t="str">
        <f>IF(AND(ISTEXT($A3735), ISERROR($A3735+0)), HYPERLINK($BF3735, "Images"), "")</f>
        <v>Images</v>
      </c>
      <c r="O3735" s="663" t="s">
        <v>4969</v>
      </c>
      <c r="P3735" s="253"/>
      <c r="Q3735" s="238"/>
      <c r="R3735" s="239"/>
      <c r="S3735" s="275" t="s">
        <v>305</v>
      </c>
      <c r="T3735" s="508">
        <f t="shared" si="2880"/>
        <v>0</v>
      </c>
      <c r="U3735" s="225" t="str">
        <f>IF(NOT(ISNUMBER(G3735)), "", VLOOKUP(A3735,'Discount Lookup'!D:E,2,FALSE)*G3735)</f>
        <v/>
      </c>
      <c r="V3735" s="225" t="str">
        <f>IF(NOT(ISNUMBER(G3735)), "", VLOOKUP(A3735,'Discount Lookup'!G:H,2,FALSE)*G3735)</f>
        <v/>
      </c>
      <c r="W3735" s="508">
        <f t="shared" si="2881"/>
        <v>0</v>
      </c>
      <c r="X3735" s="508" t="str">
        <f t="shared" si="2882"/>
        <v>Blue-Green blades, Silvery hue</v>
      </c>
      <c r="Y3735" s="509" t="b">
        <f t="shared" si="2883"/>
        <v>0</v>
      </c>
      <c r="Z3735" s="510">
        <f t="shared" si="2884"/>
        <v>0</v>
      </c>
      <c r="AA3735" s="511"/>
      <c r="AB3735" s="511" t="str">
        <f t="shared" si="2885"/>
        <v/>
      </c>
      <c r="AC3735" s="698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698"/>
      <c r="AE3735" s="631" t="str">
        <f t="shared" si="2886"/>
        <v/>
      </c>
      <c r="AF3735" s="699" t="str">
        <f t="shared" si="2887"/>
        <v/>
      </c>
      <c r="AG3735" s="699"/>
      <c r="AH3735" s="699"/>
      <c r="AI3735" s="512">
        <f>IF(H3735="credit",0,IF(AE3735="free",0,IF(AE3735="me",0,IF(G3735&gt;0,(VLOOKUP(A3735,'Discount Lookup'!J:K,2)*G3735),0))))</f>
        <v>0</v>
      </c>
      <c r="AJ3735" s="513" t="str">
        <f t="shared" ca="1" si="2888"/>
        <v/>
      </c>
      <c r="AK3735" s="700" t="str">
        <f t="shared" si="2889"/>
        <v/>
      </c>
      <c r="AL3735" s="700"/>
      <c r="AM3735" s="505" t="str">
        <f t="shared" si="2890"/>
        <v/>
      </c>
      <c r="AN3735" s="506"/>
      <c r="AO3735" s="507"/>
      <c r="AP3735" s="507"/>
      <c r="AQ3735" s="507"/>
      <c r="AR3735" s="507"/>
      <c r="AS3735" s="507"/>
      <c r="AT3735" s="507"/>
      <c r="AU3735" s="507"/>
      <c r="AV3735" s="225"/>
      <c r="AW3735" s="508"/>
      <c r="AX3735" s="225"/>
      <c r="AY3735" s="225"/>
      <c r="AZ3735" s="225"/>
      <c r="BA3735" s="225"/>
      <c r="BB3735" s="225"/>
      <c r="BC3735" s="56"/>
      <c r="BD3735" s="56"/>
      <c r="BE3735" s="56"/>
      <c r="BF3735" s="107" t="str">
        <f t="shared" si="2891"/>
        <v>https://www.google.com/search?tbm=isch&amp;q=The%20Blues%20Little%20Bluestem%20Grass%20Schizachyrium%20scoparium%20%27The%20Blues%27</v>
      </c>
      <c r="BG3735" s="107" t="str">
        <f t="shared" si="2892"/>
        <v>T</v>
      </c>
      <c r="BH3735" s="254"/>
      <c r="BI3735" s="254"/>
    </row>
    <row r="3736" spans="1:61" customFormat="1" ht="15.75" x14ac:dyDescent="0.25">
      <c r="A3736" s="276">
        <v>3</v>
      </c>
      <c r="B3736" s="240" t="s">
        <v>291</v>
      </c>
      <c r="C3736" s="241"/>
      <c r="D3736" s="242" t="s">
        <v>298</v>
      </c>
      <c r="E3736" s="243">
        <v>25.95</v>
      </c>
      <c r="F3736" s="517" t="s">
        <v>293</v>
      </c>
      <c r="G3736" s="232">
        <v>0</v>
      </c>
      <c r="H3736" s="661" t="str">
        <f>IF(G3736=0,"",IF(F3736="Buy",IF(G3736=1,"plant","plants"),IF(F3736&gt;0.01,"warranty","Error")))</f>
        <v/>
      </c>
      <c r="I3736" s="244">
        <f>IF(H3736="free",0,IF(H3736="credit",((E3736*(F3736))*G3736*-1),IF(F3736="Buy",(E3736*G3736),((E3736*(1-F3736))*G3736))))</f>
        <v>0</v>
      </c>
      <c r="J3736" s="244">
        <f>IF(H3736="warranty",0,(I3736*(_xlfn.SINGLE(SalesTaxPercentage))))</f>
        <v>0</v>
      </c>
      <c r="K3736" s="696">
        <f t="shared" ref="K3736" si="2896">I3736+J3736</f>
        <v>0</v>
      </c>
      <c r="L3736" s="696"/>
      <c r="M3736" s="659" t="str">
        <f>IF(AND(G3736&gt;0,E3736=0),"WARNING - no PRICE inserted",IF(H3736="free"," FREE ~ no charge this plant",IF(H3736="credit",CONCATENATE(" -$",ROUND(K3736*(1-T2GDiscount)*-1,2)," CREDIT after discount"),IF(T2GDiscount=0,"",IF(G3736=0,"",IF(F3736="Buy",CONCATENATE(" $",ROUND(K3736*(1-T2GDiscount),2)," with ",(T2GDiscount*100),"% discount"),CONCATENATE(" $",ROUND(K3736*(1-T2GDiscount),2)," with ",((T2GDiscount*100+F3736*100)-(T2GDiscount*100*F3736)),IF(F3736&gt;0,"% discounts",IF(NoWarrantyDiscount&gt;0,"% discounts","% discount")))))))))</f>
        <v/>
      </c>
      <c r="N3736" s="660"/>
      <c r="O3736" s="233"/>
      <c r="P3736" s="233"/>
      <c r="Q3736" s="233"/>
      <c r="R3736" s="233"/>
      <c r="S3736" s="233"/>
      <c r="T3736" s="508">
        <f t="shared" si="2880"/>
        <v>0</v>
      </c>
      <c r="U3736" s="225">
        <f>IF(NOT(ISNUMBER(G3736)), "", VLOOKUP(A3736,'Discount Lookup'!D:E,2,FALSE)*G3736)</f>
        <v>0</v>
      </c>
      <c r="V3736" s="225">
        <f>IF(NOT(ISNUMBER(G3736)), "", VLOOKUP(A3736,'Discount Lookup'!G:H,2,FALSE)*G3736)</f>
        <v>0</v>
      </c>
      <c r="W3736" s="508">
        <f t="shared" si="2881"/>
        <v>0</v>
      </c>
      <c r="X3736" s="508">
        <f t="shared" si="2882"/>
        <v>0</v>
      </c>
      <c r="Y3736" s="509" t="b">
        <f t="shared" si="2883"/>
        <v>0</v>
      </c>
      <c r="Z3736" s="510">
        <f t="shared" si="2884"/>
        <v>0</v>
      </c>
      <c r="AA3736" s="511"/>
      <c r="AB3736" s="511" t="str">
        <f t="shared" si="2885"/>
        <v/>
      </c>
      <c r="AC3736" s="698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698"/>
      <c r="AE3736" s="631" t="str">
        <f t="shared" si="2886"/>
        <v/>
      </c>
      <c r="AF3736" s="699" t="str">
        <f t="shared" si="2887"/>
        <v/>
      </c>
      <c r="AG3736" s="699"/>
      <c r="AH3736" s="699"/>
      <c r="AI3736" s="512">
        <f>IF(H3736="credit",0,IF(AE3736="free",0,IF(AE3736="me",0,IF(G3736&gt;0,(VLOOKUP(A3736,'Discount Lookup'!J:K,2)*G3736),0))))</f>
        <v>0</v>
      </c>
      <c r="AJ3736" s="513" t="str">
        <f t="shared" ca="1" si="2888"/>
        <v/>
      </c>
      <c r="AK3736" s="700" t="str">
        <f t="shared" si="2889"/>
        <v/>
      </c>
      <c r="AL3736" s="700"/>
      <c r="AM3736" s="505" t="str">
        <f t="shared" si="2890"/>
        <v/>
      </c>
      <c r="AN3736" s="506"/>
      <c r="AO3736" s="507"/>
      <c r="AP3736" s="507"/>
      <c r="AQ3736" s="507"/>
      <c r="AR3736" s="507"/>
      <c r="AS3736" s="507"/>
      <c r="AT3736" s="507"/>
      <c r="AU3736" s="507"/>
      <c r="AV3736" s="225"/>
      <c r="AW3736" s="508"/>
      <c r="AX3736" s="225"/>
      <c r="AY3736" s="225"/>
      <c r="AZ3736" s="225"/>
      <c r="BA3736" s="225"/>
      <c r="BB3736" s="225"/>
      <c r="BC3736" s="56"/>
      <c r="BD3736" s="56"/>
      <c r="BE3736" s="56"/>
      <c r="BF3736" s="107" t="str">
        <f t="shared" si="2891"/>
        <v>https://www.google.com/search?tbm=isch&amp;q=3%20G1</v>
      </c>
      <c r="BG3736" s="107" t="str">
        <f t="shared" si="2892"/>
        <v>T</v>
      </c>
      <c r="BH3736" s="254"/>
      <c r="BI3736" s="254"/>
    </row>
    <row r="3737" spans="1:61" customFormat="1" ht="17.25" thickBot="1" x14ac:dyDescent="0.3">
      <c r="A3737" s="524" t="s">
        <v>3091</v>
      </c>
      <c r="B3737" s="245"/>
      <c r="C3737" s="677"/>
      <c r="D3737" s="499"/>
      <c r="E3737" s="499"/>
      <c r="F3737" s="500"/>
      <c r="G3737" s="501"/>
      <c r="H3737" s="502"/>
      <c r="I3737" s="246"/>
      <c r="J3737" s="247"/>
      <c r="K3737" s="503"/>
      <c r="L3737" s="544"/>
      <c r="M3737" s="544"/>
      <c r="N3737" s="500"/>
      <c r="O3737" s="500"/>
      <c r="P3737" s="500"/>
      <c r="Q3737" s="500"/>
      <c r="R3737" s="500"/>
      <c r="S3737" s="669" t="s">
        <v>5008</v>
      </c>
      <c r="T3737" s="508">
        <f t="shared" si="2880"/>
        <v>0</v>
      </c>
      <c r="U3737" s="225" t="str">
        <f>IF(NOT(ISNUMBER(G3737)), "", VLOOKUP(A3737,'Discount Lookup'!D:E,2,FALSE)*G3737)</f>
        <v/>
      </c>
      <c r="V3737" s="225" t="str">
        <f>IF(NOT(ISNUMBER(G3737)), "", VLOOKUP(A3737,'Discount Lookup'!G:H,2,FALSE)*G3737)</f>
        <v/>
      </c>
      <c r="W3737" s="508">
        <f t="shared" si="2881"/>
        <v>0</v>
      </c>
      <c r="X3737" s="508">
        <f t="shared" si="2882"/>
        <v>0</v>
      </c>
      <c r="Y3737" s="509" t="b">
        <f t="shared" si="2883"/>
        <v>0</v>
      </c>
      <c r="Z3737" s="510">
        <f t="shared" si="2884"/>
        <v>0</v>
      </c>
      <c r="AA3737" s="511"/>
      <c r="AB3737" s="511" t="str">
        <f t="shared" si="2885"/>
        <v/>
      </c>
      <c r="AC3737" s="698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698"/>
      <c r="AE3737" s="631" t="str">
        <f t="shared" si="2886"/>
        <v/>
      </c>
      <c r="AF3737" s="699" t="str">
        <f t="shared" si="2887"/>
        <v/>
      </c>
      <c r="AG3737" s="699"/>
      <c r="AH3737" s="699"/>
      <c r="AI3737" s="512">
        <f>IF(H3737="credit",0,IF(AE3737="free",0,IF(AE3737="me",0,IF(G3737&gt;0,(VLOOKUP(A3737,'Discount Lookup'!J:K,2)*G3737),0))))</f>
        <v>0</v>
      </c>
      <c r="AJ3737" s="513" t="str">
        <f t="shared" ca="1" si="2888"/>
        <v/>
      </c>
      <c r="AK3737" s="700" t="str">
        <f t="shared" si="2889"/>
        <v/>
      </c>
      <c r="AL3737" s="700"/>
      <c r="AM3737" s="505" t="str">
        <f t="shared" si="2890"/>
        <v/>
      </c>
      <c r="AN3737" s="506"/>
      <c r="AO3737" s="507"/>
      <c r="AP3737" s="507"/>
      <c r="AQ3737" s="507"/>
      <c r="AR3737" s="507"/>
      <c r="AS3737" s="507"/>
      <c r="AT3737" s="507"/>
      <c r="AU3737" s="507"/>
      <c r="AV3737" s="225"/>
      <c r="AW3737" s="508"/>
      <c r="AX3737" s="225"/>
      <c r="AY3737" s="225"/>
      <c r="AZ3737" s="225"/>
      <c r="BA3737" s="225"/>
      <c r="BB3737" s="225"/>
      <c r="BC3737" s="56"/>
      <c r="BD3737" s="56"/>
      <c r="BE3737" s="56"/>
      <c r="BF3737" s="107" t="str">
        <f t="shared" si="2891"/>
        <v>https://www.google.com/search?tbm=isch&amp;q=The%20Blues%20has%20Silvery-White%20fluffy%20seedheads.%20Blades%20turn%20fiery%20Purple-Orange%20in%20fall%2C%20then%20Burgundy-Purple%20</v>
      </c>
      <c r="BG3737" s="107" t="str">
        <f t="shared" si="2892"/>
        <v>T</v>
      </c>
      <c r="BH3737" s="254"/>
      <c r="BI3737" s="254"/>
    </row>
    <row r="3738" spans="1:61" customFormat="1" ht="18" x14ac:dyDescent="0.25">
      <c r="A3738" s="523" t="s">
        <v>4950</v>
      </c>
      <c r="B3738" s="235"/>
      <c r="C3738" s="676"/>
      <c r="D3738" s="255" t="s">
        <v>4951</v>
      </c>
      <c r="E3738" s="236"/>
      <c r="F3738" s="236"/>
      <c r="G3738" s="236"/>
      <c r="H3738" s="582" t="s">
        <v>810</v>
      </c>
      <c r="I3738" s="498"/>
      <c r="J3738" s="237"/>
      <c r="K3738" s="237"/>
      <c r="L3738" s="274"/>
      <c r="M3738" s="668" t="s">
        <v>4975</v>
      </c>
      <c r="N3738" s="681" t="str">
        <f>IF(AND(ISTEXT($A3738), ISERROR($A3738+0)), HYPERLINK($BF3738, "Images"), "")</f>
        <v>Images</v>
      </c>
      <c r="O3738" s="663" t="s">
        <v>4969</v>
      </c>
      <c r="P3738" s="253"/>
      <c r="Q3738" s="238"/>
      <c r="R3738" s="239"/>
      <c r="S3738" s="275"/>
      <c r="T3738" s="508">
        <f t="shared" si="2880"/>
        <v>0</v>
      </c>
      <c r="U3738" s="225" t="str">
        <f>IF(NOT(ISNUMBER(G3738)), "", VLOOKUP(A3738,'Discount Lookup'!D:E,2,FALSE)*G3738)</f>
        <v/>
      </c>
      <c r="V3738" s="225" t="str">
        <f>IF(NOT(ISNUMBER(G3738)), "", VLOOKUP(A3738,'Discount Lookup'!G:H,2,FALSE)*G3738)</f>
        <v/>
      </c>
      <c r="W3738" s="508">
        <f t="shared" si="2881"/>
        <v>0</v>
      </c>
      <c r="X3738" s="508">
        <f t="shared" si="2882"/>
        <v>0</v>
      </c>
      <c r="Y3738" s="509" t="b">
        <f t="shared" si="2883"/>
        <v>0</v>
      </c>
      <c r="Z3738" s="510">
        <f t="shared" si="2884"/>
        <v>0</v>
      </c>
      <c r="AA3738" s="511"/>
      <c r="AB3738" s="511" t="str">
        <f t="shared" si="2885"/>
        <v/>
      </c>
      <c r="AC3738" s="698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698"/>
      <c r="AE3738" s="631" t="str">
        <f t="shared" si="2886"/>
        <v/>
      </c>
      <c r="AF3738" s="699" t="str">
        <f t="shared" si="2887"/>
        <v/>
      </c>
      <c r="AG3738" s="699"/>
      <c r="AH3738" s="699"/>
      <c r="AI3738" s="512">
        <f>IF(H3738="credit",0,IF(AE3738="free",0,IF(AE3738="me",0,IF(G3738&gt;0,(VLOOKUP(A3738,'Discount Lookup'!J:K,2)*G3738),0))))</f>
        <v>0</v>
      </c>
      <c r="AJ3738" s="513" t="str">
        <f t="shared" ca="1" si="2888"/>
        <v/>
      </c>
      <c r="AK3738" s="700" t="str">
        <f t="shared" si="2889"/>
        <v/>
      </c>
      <c r="AL3738" s="700"/>
      <c r="AM3738" s="505" t="str">
        <f t="shared" si="2890"/>
        <v/>
      </c>
      <c r="AN3738" s="506"/>
      <c r="AO3738" s="507"/>
      <c r="AP3738" s="507"/>
      <c r="AQ3738" s="507"/>
      <c r="AR3738" s="507"/>
      <c r="AS3738" s="507"/>
      <c r="AT3738" s="507"/>
      <c r="AU3738" s="507"/>
      <c r="AV3738" s="225"/>
      <c r="AW3738" s="508"/>
      <c r="AX3738" s="225"/>
      <c r="AY3738" s="225"/>
      <c r="AZ3738" s="225"/>
      <c r="BA3738" s="225"/>
      <c r="BB3738" s="225"/>
      <c r="BC3738" s="56"/>
      <c r="BD3738" s="56"/>
      <c r="BE3738" s="56"/>
      <c r="BF3738" s="107" t="str">
        <f t="shared" si="2891"/>
        <v>https://www.google.com/search?tbm=isch&amp;q=The%20King%20Ostrich%20Fern%20Matteuccia%20struthiopteris%20%27The%20King%27</v>
      </c>
      <c r="BG3738" s="107" t="str">
        <f t="shared" si="2892"/>
        <v>T</v>
      </c>
      <c r="BH3738" s="254"/>
      <c r="BI3738" s="254"/>
    </row>
    <row r="3739" spans="1:61" customFormat="1" ht="15.75" x14ac:dyDescent="0.25">
      <c r="A3739" s="276">
        <v>1</v>
      </c>
      <c r="B3739" s="240" t="s">
        <v>291</v>
      </c>
      <c r="C3739" s="241"/>
      <c r="D3739" s="242" t="s">
        <v>312</v>
      </c>
      <c r="E3739" s="243">
        <v>11.95</v>
      </c>
      <c r="F3739" s="517" t="s">
        <v>293</v>
      </c>
      <c r="G3739" s="232">
        <v>0</v>
      </c>
      <c r="H3739" s="661" t="str">
        <f>IF(G3739=0,"",IF(F3739="Buy",IF(G3739=1,"plant","plants"),IF(F3739&gt;0.01,"warranty","Error")))</f>
        <v/>
      </c>
      <c r="I3739" s="244">
        <f>IF(H3739="free",0,IF(H3739="credit",((E3739*(F3739))*G3739*-1),IF(F3739="Buy",(E3739*G3739),((E3739*(1-F3739))*G3739))))</f>
        <v>0</v>
      </c>
      <c r="J3739" s="244">
        <f>IF(H3739="warranty",0,(I3739*(_xlfn.SINGLE(SalesTaxPercentage))))</f>
        <v>0</v>
      </c>
      <c r="K3739" s="696">
        <f t="shared" ref="K3739" si="2897">I3739+J3739</f>
        <v>0</v>
      </c>
      <c r="L3739" s="696"/>
      <c r="M3739" s="659" t="str">
        <f>IF(AND(G3739&gt;0,E3739=0),"WARNING - no PRICE inserted",IF(H3739="free"," FREE ~ no charge this plant",IF(H3739="credit",CONCATENATE(" -$",ROUND(K3739*(1-T2GDiscount)*-1,2)," CREDIT after discount"),IF(T2GDiscount=0,"",IF(G3739=0,"",IF(F3739="Buy",CONCATENATE(" $",ROUND(K3739*(1-T2GDiscount),2)," with ",(T2GDiscount*100),"% discount"),CONCATENATE(" $",ROUND(K3739*(1-T2GDiscount),2)," with ",((T2GDiscount*100+F3739*100)-(T2GDiscount*100*F3739)),IF(F3739&gt;0,"% discounts",IF(NoWarrantyDiscount&gt;0,"% discounts","% discount")))))))))</f>
        <v/>
      </c>
      <c r="N3739" s="660"/>
      <c r="O3739" s="233"/>
      <c r="P3739" s="233"/>
      <c r="Q3739" s="233"/>
      <c r="R3739" s="233"/>
      <c r="S3739" s="233"/>
      <c r="T3739" s="508">
        <f t="shared" si="2880"/>
        <v>0</v>
      </c>
      <c r="U3739" s="225">
        <f>IF(NOT(ISNUMBER(G3739)), "", VLOOKUP(A3739,'Discount Lookup'!D:E,2,FALSE)*G3739)</f>
        <v>0</v>
      </c>
      <c r="V3739" s="225">
        <f>IF(NOT(ISNUMBER(G3739)), "", VLOOKUP(A3739,'Discount Lookup'!G:H,2,FALSE)*G3739)</f>
        <v>0</v>
      </c>
      <c r="W3739" s="508">
        <f t="shared" si="2881"/>
        <v>0</v>
      </c>
      <c r="X3739" s="508">
        <f t="shared" si="2882"/>
        <v>0</v>
      </c>
      <c r="Y3739" s="509" t="b">
        <f t="shared" si="2883"/>
        <v>0</v>
      </c>
      <c r="Z3739" s="510">
        <f t="shared" si="2884"/>
        <v>0</v>
      </c>
      <c r="AA3739" s="511"/>
      <c r="AB3739" s="511" t="str">
        <f t="shared" si="2885"/>
        <v/>
      </c>
      <c r="AC3739" s="698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698"/>
      <c r="AE3739" s="631" t="str">
        <f t="shared" si="2886"/>
        <v/>
      </c>
      <c r="AF3739" s="699" t="str">
        <f t="shared" si="2887"/>
        <v/>
      </c>
      <c r="AG3739" s="699"/>
      <c r="AH3739" s="699"/>
      <c r="AI3739" s="512">
        <f>IF(H3739="credit",0,IF(AE3739="free",0,IF(AE3739="me",0,IF(G3739&gt;0,(VLOOKUP(A3739,'Discount Lookup'!J:K,2)*G3739),0))))</f>
        <v>0</v>
      </c>
      <c r="AJ3739" s="513" t="str">
        <f t="shared" ca="1" si="2888"/>
        <v/>
      </c>
      <c r="AK3739" s="700" t="str">
        <f t="shared" si="2889"/>
        <v/>
      </c>
      <c r="AL3739" s="700"/>
      <c r="AM3739" s="505" t="str">
        <f t="shared" si="2890"/>
        <v/>
      </c>
      <c r="AN3739" s="506"/>
      <c r="AO3739" s="507"/>
      <c r="AP3739" s="507"/>
      <c r="AQ3739" s="507"/>
      <c r="AR3739" s="507"/>
      <c r="AS3739" s="507"/>
      <c r="AT3739" s="507"/>
      <c r="AU3739" s="507"/>
      <c r="AV3739" s="225"/>
      <c r="AW3739" s="508"/>
      <c r="AX3739" s="225"/>
      <c r="AY3739" s="225"/>
      <c r="AZ3739" s="225"/>
      <c r="BA3739" s="225"/>
      <c r="BB3739" s="225"/>
      <c r="BC3739" s="56"/>
      <c r="BD3739" s="56"/>
      <c r="BE3739" s="56"/>
      <c r="BF3739" s="107" t="str">
        <f t="shared" si="2891"/>
        <v>https://www.google.com/search?tbm=isch&amp;q=1%20G2</v>
      </c>
      <c r="BG3739" s="107" t="str">
        <f t="shared" si="2892"/>
        <v>T</v>
      </c>
      <c r="BH3739" s="254"/>
      <c r="BI3739" s="254"/>
    </row>
    <row r="3740" spans="1:61" customFormat="1" ht="17.25" thickBot="1" x14ac:dyDescent="0.3">
      <c r="A3740" s="673" t="s">
        <v>5262</v>
      </c>
      <c r="B3740" s="245"/>
      <c r="C3740" s="677"/>
      <c r="D3740" s="499"/>
      <c r="E3740" s="499"/>
      <c r="F3740" s="500"/>
      <c r="G3740" s="501"/>
      <c r="H3740" s="502"/>
      <c r="I3740" s="246"/>
      <c r="J3740" s="247"/>
      <c r="K3740" s="503"/>
      <c r="L3740" s="544"/>
      <c r="M3740" s="544"/>
      <c r="N3740" s="500"/>
      <c r="O3740" s="500"/>
      <c r="P3740" s="500"/>
      <c r="Q3740" s="500"/>
      <c r="R3740" s="500"/>
      <c r="S3740" s="278"/>
      <c r="T3740" s="508">
        <f t="shared" si="2880"/>
        <v>0</v>
      </c>
      <c r="U3740" s="225" t="str">
        <f>IF(NOT(ISNUMBER(G3740)), "", VLOOKUP(A3740,'Discount Lookup'!D:E,2,FALSE)*G3740)</f>
        <v/>
      </c>
      <c r="V3740" s="225" t="str">
        <f>IF(NOT(ISNUMBER(G3740)), "", VLOOKUP(A3740,'Discount Lookup'!G:H,2,FALSE)*G3740)</f>
        <v/>
      </c>
      <c r="W3740" s="508">
        <f t="shared" si="2881"/>
        <v>0</v>
      </c>
      <c r="X3740" s="508">
        <f t="shared" si="2882"/>
        <v>0</v>
      </c>
      <c r="Y3740" s="509" t="b">
        <f t="shared" si="2883"/>
        <v>0</v>
      </c>
      <c r="Z3740" s="510">
        <f t="shared" si="2884"/>
        <v>0</v>
      </c>
      <c r="AA3740" s="511"/>
      <c r="AB3740" s="511" t="str">
        <f t="shared" si="2885"/>
        <v/>
      </c>
      <c r="AC3740" s="698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698"/>
      <c r="AE3740" s="631" t="str">
        <f t="shared" si="2886"/>
        <v/>
      </c>
      <c r="AF3740" s="699" t="str">
        <f t="shared" si="2887"/>
        <v/>
      </c>
      <c r="AG3740" s="699"/>
      <c r="AH3740" s="699"/>
      <c r="AI3740" s="512">
        <f>IF(H3740="credit",0,IF(AE3740="free",0,IF(AE3740="me",0,IF(G3740&gt;0,(VLOOKUP(A3740,'Discount Lookup'!J:K,2)*G3740),0))))</f>
        <v>0</v>
      </c>
      <c r="AJ3740" s="513" t="str">
        <f t="shared" ca="1" si="2888"/>
        <v/>
      </c>
      <c r="AK3740" s="700" t="str">
        <f t="shared" si="2889"/>
        <v/>
      </c>
      <c r="AL3740" s="700"/>
      <c r="AM3740" s="505" t="str">
        <f t="shared" si="2890"/>
        <v/>
      </c>
      <c r="AN3740" s="506"/>
      <c r="AO3740" s="507"/>
      <c r="AP3740" s="507"/>
      <c r="AQ3740" s="507"/>
      <c r="AR3740" s="507"/>
      <c r="AS3740" s="507"/>
      <c r="AT3740" s="507"/>
      <c r="AU3740" s="507"/>
      <c r="AV3740" s="225"/>
      <c r="AW3740" s="508"/>
      <c r="AX3740" s="225"/>
      <c r="AY3740" s="225"/>
      <c r="AZ3740" s="225"/>
      <c r="BA3740" s="225"/>
      <c r="BB3740" s="225"/>
      <c r="BC3740" s="56"/>
      <c r="BD3740" s="56"/>
      <c r="BE3740" s="56"/>
      <c r="BF3740" s="107" t="str">
        <f t="shared" si="2891"/>
        <v>https://www.google.com/search?tbm=isch&amp;q=moist%20sites%F0%9F%92%A7BEST%2C%20King%20Ostrich%20named%20for%20fronds%20that%20resemble%20ostrich%20plumes.%20Will%20spread%20aggressively%20by%20underground%20runner%20</v>
      </c>
      <c r="BG3740" s="107" t="str">
        <f t="shared" si="2892"/>
        <v>m</v>
      </c>
      <c r="BH3740" s="254"/>
      <c r="BI3740" s="254"/>
    </row>
    <row r="3741" spans="1:61" customFormat="1" ht="18" x14ac:dyDescent="0.25">
      <c r="A3741" s="523" t="s">
        <v>5558</v>
      </c>
      <c r="B3741" s="235"/>
      <c r="C3741" s="676"/>
      <c r="D3741" s="255" t="s">
        <v>4181</v>
      </c>
      <c r="E3741" s="236"/>
      <c r="F3741" s="236"/>
      <c r="G3741" s="236"/>
      <c r="H3741" s="582" t="s">
        <v>316</v>
      </c>
      <c r="I3741" s="498" t="s">
        <v>4182</v>
      </c>
      <c r="J3741" s="237"/>
      <c r="K3741" s="237"/>
      <c r="L3741" s="274"/>
      <c r="M3741" s="668" t="s">
        <v>4975</v>
      </c>
      <c r="N3741" s="681" t="str">
        <f>IF(AND(ISTEXT($A3741), ISERROR($A3741+0)), HYPERLINK($BF3741, "Images"), "")</f>
        <v>Images</v>
      </c>
      <c r="O3741" s="663" t="s">
        <v>4974</v>
      </c>
      <c r="P3741" s="253"/>
      <c r="Q3741" s="238"/>
      <c r="R3741" s="239"/>
      <c r="S3741" s="275" t="s">
        <v>305</v>
      </c>
      <c r="T3741" s="508">
        <f t="shared" si="2880"/>
        <v>0</v>
      </c>
      <c r="U3741" s="225" t="str">
        <f>IF(NOT(ISNUMBER(G3741)), "", VLOOKUP(A3741,'Discount Lookup'!D:E,2,FALSE)*G3741)</f>
        <v/>
      </c>
      <c r="V3741" s="225" t="str">
        <f>IF(NOT(ISNUMBER(G3741)), "", VLOOKUP(A3741,'Discount Lookup'!G:H,2,FALSE)*G3741)</f>
        <v/>
      </c>
      <c r="W3741" s="508">
        <f t="shared" si="2881"/>
        <v>0</v>
      </c>
      <c r="X3741" s="508" t="str">
        <f t="shared" si="2882"/>
        <v>Rosy-Purple bloom</v>
      </c>
      <c r="Y3741" s="509" t="b">
        <f t="shared" si="2883"/>
        <v>0</v>
      </c>
      <c r="Z3741" s="510">
        <f t="shared" si="2884"/>
        <v>0</v>
      </c>
      <c r="AA3741" s="511"/>
      <c r="AB3741" s="511" t="str">
        <f t="shared" si="2885"/>
        <v/>
      </c>
      <c r="AC3741" s="698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698"/>
      <c r="AE3741" s="631" t="str">
        <f t="shared" si="2886"/>
        <v/>
      </c>
      <c r="AF3741" s="699" t="str">
        <f t="shared" si="2887"/>
        <v/>
      </c>
      <c r="AG3741" s="699"/>
      <c r="AH3741" s="699"/>
      <c r="AI3741" s="512">
        <f>IF(H3741="credit",0,IF(AE3741="free",0,IF(AE3741="me",0,IF(G3741&gt;0,(VLOOKUP(A3741,'Discount Lookup'!J:K,2)*G3741),0))))</f>
        <v>0</v>
      </c>
      <c r="AJ3741" s="513" t="str">
        <f t="shared" ca="1" si="2888"/>
        <v/>
      </c>
      <c r="AK3741" s="700" t="str">
        <f t="shared" si="2889"/>
        <v/>
      </c>
      <c r="AL3741" s="700"/>
      <c r="AM3741" s="505" t="str">
        <f t="shared" si="2890"/>
        <v/>
      </c>
      <c r="AN3741" s="506"/>
      <c r="AO3741" s="507"/>
      <c r="AP3741" s="507"/>
      <c r="AQ3741" s="507"/>
      <c r="AR3741" s="507"/>
      <c r="AS3741" s="507"/>
      <c r="AT3741" s="507"/>
      <c r="AU3741" s="507"/>
      <c r="AV3741" s="225"/>
      <c r="AW3741" s="508"/>
      <c r="AX3741" s="225"/>
      <c r="AY3741" s="225"/>
      <c r="AZ3741" s="225"/>
      <c r="BA3741" s="225"/>
      <c r="BB3741" s="225"/>
      <c r="BC3741" s="56"/>
      <c r="BD3741" s="56"/>
      <c r="BE3741" s="56"/>
      <c r="BF3741" s="107" t="str">
        <f t="shared" si="2891"/>
        <v>https://www.google.com/search?tbm=isch&amp;q=The%20Rising%20Sun%E2%84%A2%20Redbud%20Cercis%20canadensis%20%27JN2%27%20PP%2321451</v>
      </c>
      <c r="BG3741" s="107" t="str">
        <f t="shared" si="2892"/>
        <v>T</v>
      </c>
      <c r="BH3741" s="254"/>
      <c r="BI3741" s="254"/>
    </row>
    <row r="3742" spans="1:61" customFormat="1" ht="15.75" x14ac:dyDescent="0.25">
      <c r="A3742" s="276">
        <v>10</v>
      </c>
      <c r="B3742" s="240" t="s">
        <v>291</v>
      </c>
      <c r="C3742" s="241" t="s">
        <v>4183</v>
      </c>
      <c r="D3742" s="242" t="s">
        <v>292</v>
      </c>
      <c r="E3742" s="243">
        <v>169.95</v>
      </c>
      <c r="F3742" s="517" t="s">
        <v>293</v>
      </c>
      <c r="G3742" s="232">
        <v>0</v>
      </c>
      <c r="H3742" s="661" t="str">
        <f>IF(G3742=0,"",IF(F3742="Buy",IF(G3742=1,"plant","plants"),IF(F3742&gt;0.01,"warranty","Error")))</f>
        <v/>
      </c>
      <c r="I3742" s="244">
        <f>IF(H3742="free",0,IF(H3742="credit",((E3742*(F3742))*G3742*-1),IF(F3742="Buy",(E3742*G3742),((E3742*(1-F3742))*G3742))))</f>
        <v>0</v>
      </c>
      <c r="J3742" s="244">
        <f>IF(H3742="warranty",0,(I3742*(_xlfn.SINGLE(SalesTaxPercentage))))</f>
        <v>0</v>
      </c>
      <c r="K3742" s="696">
        <f t="shared" ref="K3742" si="2898">I3742+J3742</f>
        <v>0</v>
      </c>
      <c r="L3742" s="696"/>
      <c r="M3742" s="659" t="str">
        <f>IF(AND(G3742&gt;0,E3742=0),"WARNING - no PRICE inserted",IF(H3742="free"," FREE ~ no charge this plant",IF(H3742="credit",CONCATENATE(" -$",ROUND(K3742*(1-T2GDiscount)*-1,2)," CREDIT after discount"),IF(T2GDiscount=0,"",IF(G3742=0,"",IF(F3742="Buy",CONCATENATE(" $",ROUND(K3742*(1-T2GDiscount),2)," with ",(T2GDiscount*100),"% discount"),CONCATENATE(" $",ROUND(K3742*(1-T2GDiscount),2)," with ",((T2GDiscount*100+F3742*100)-(T2GDiscount*100*F3742)),IF(F3742&gt;0,"% discounts",IF(NoWarrantyDiscount&gt;0,"% discounts","% discount")))))))))</f>
        <v/>
      </c>
      <c r="N3742" s="660"/>
      <c r="O3742" s="233"/>
      <c r="P3742" s="233"/>
      <c r="Q3742" s="233"/>
      <c r="R3742" s="233"/>
      <c r="S3742" s="233"/>
      <c r="T3742" s="508">
        <f t="shared" si="2880"/>
        <v>0</v>
      </c>
      <c r="U3742" s="225">
        <f>IF(NOT(ISNUMBER(G3742)), "", VLOOKUP(A3742,'Discount Lookup'!D:E,2,FALSE)*G3742)</f>
        <v>0</v>
      </c>
      <c r="V3742" s="225">
        <f>IF(NOT(ISNUMBER(G3742)), "", VLOOKUP(A3742,'Discount Lookup'!G:H,2,FALSE)*G3742)</f>
        <v>0</v>
      </c>
      <c r="W3742" s="508">
        <f t="shared" si="2881"/>
        <v>0</v>
      </c>
      <c r="X3742" s="508">
        <f t="shared" si="2882"/>
        <v>0</v>
      </c>
      <c r="Y3742" s="509" t="b">
        <f t="shared" si="2883"/>
        <v>0</v>
      </c>
      <c r="Z3742" s="510">
        <f t="shared" si="2884"/>
        <v>0</v>
      </c>
      <c r="AA3742" s="511"/>
      <c r="AB3742" s="511" t="str">
        <f t="shared" si="2885"/>
        <v/>
      </c>
      <c r="AC3742" s="698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698"/>
      <c r="AE3742" s="631" t="str">
        <f t="shared" si="2886"/>
        <v/>
      </c>
      <c r="AF3742" s="699" t="str">
        <f t="shared" si="2887"/>
        <v/>
      </c>
      <c r="AG3742" s="699"/>
      <c r="AH3742" s="699"/>
      <c r="AI3742" s="512">
        <f>IF(H3742="credit",0,IF(AE3742="free",0,IF(AE3742="me",0,IF(G3742&gt;0,(VLOOKUP(A3742,'Discount Lookup'!J:K,2)*G3742),0))))</f>
        <v>0</v>
      </c>
      <c r="AJ3742" s="513" t="str">
        <f t="shared" ca="1" si="2888"/>
        <v/>
      </c>
      <c r="AK3742" s="700" t="str">
        <f t="shared" si="2889"/>
        <v/>
      </c>
      <c r="AL3742" s="700"/>
      <c r="AM3742" s="505" t="str">
        <f t="shared" si="2890"/>
        <v/>
      </c>
      <c r="AN3742" s="506"/>
      <c r="AO3742" s="507"/>
      <c r="AP3742" s="507"/>
      <c r="AQ3742" s="507"/>
      <c r="AR3742" s="507"/>
      <c r="AS3742" s="507"/>
      <c r="AT3742" s="507"/>
      <c r="AU3742" s="507"/>
      <c r="AV3742" s="225"/>
      <c r="AW3742" s="508"/>
      <c r="AX3742" s="225"/>
      <c r="AY3742" s="225"/>
      <c r="AZ3742" s="225"/>
      <c r="BA3742" s="225"/>
      <c r="BB3742" s="225"/>
      <c r="BC3742" s="56"/>
      <c r="BD3742" s="56"/>
      <c r="BE3742" s="56"/>
      <c r="BF3742" s="107" t="str">
        <f t="shared" si="2891"/>
        <v>https://www.google.com/search?tbm=isch&amp;q=10%20G4</v>
      </c>
      <c r="BG3742" s="107" t="str">
        <f t="shared" si="2892"/>
        <v>T</v>
      </c>
      <c r="BH3742" s="254"/>
      <c r="BI3742" s="254"/>
    </row>
    <row r="3743" spans="1:61" customFormat="1" ht="17.25" thickBot="1" x14ac:dyDescent="0.3">
      <c r="A3743" s="524" t="s">
        <v>4184</v>
      </c>
      <c r="B3743" s="245"/>
      <c r="C3743" s="677"/>
      <c r="D3743" s="499"/>
      <c r="E3743" s="499"/>
      <c r="F3743" s="500"/>
      <c r="G3743" s="501"/>
      <c r="H3743" s="502"/>
      <c r="I3743" s="246"/>
      <c r="J3743" s="247"/>
      <c r="K3743" s="503"/>
      <c r="L3743" s="544"/>
      <c r="M3743" s="544"/>
      <c r="N3743" s="500"/>
      <c r="O3743" s="500"/>
      <c r="P3743" s="500"/>
      <c r="Q3743" s="500"/>
      <c r="R3743" s="500"/>
      <c r="S3743" s="669" t="s">
        <v>4976</v>
      </c>
      <c r="T3743" s="508">
        <f t="shared" si="2880"/>
        <v>0</v>
      </c>
      <c r="U3743" s="225" t="str">
        <f>IF(NOT(ISNUMBER(G3743)), "", VLOOKUP(A3743,'Discount Lookup'!D:E,2,FALSE)*G3743)</f>
        <v/>
      </c>
      <c r="V3743" s="225" t="str">
        <f>IF(NOT(ISNUMBER(G3743)), "", VLOOKUP(A3743,'Discount Lookup'!G:H,2,FALSE)*G3743)</f>
        <v/>
      </c>
      <c r="W3743" s="508">
        <f t="shared" si="2881"/>
        <v>0</v>
      </c>
      <c r="X3743" s="508">
        <f t="shared" si="2882"/>
        <v>0</v>
      </c>
      <c r="Y3743" s="509" t="b">
        <f t="shared" si="2883"/>
        <v>0</v>
      </c>
      <c r="Z3743" s="510">
        <f t="shared" si="2884"/>
        <v>0</v>
      </c>
      <c r="AA3743" s="511"/>
      <c r="AB3743" s="511" t="str">
        <f t="shared" si="2885"/>
        <v/>
      </c>
      <c r="AC3743" s="698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698"/>
      <c r="AE3743" s="631" t="str">
        <f t="shared" si="2886"/>
        <v/>
      </c>
      <c r="AF3743" s="699" t="str">
        <f t="shared" si="2887"/>
        <v/>
      </c>
      <c r="AG3743" s="699"/>
      <c r="AH3743" s="699"/>
      <c r="AI3743" s="512">
        <f>IF(H3743="credit",0,IF(AE3743="free",0,IF(AE3743="me",0,IF(G3743&gt;0,(VLOOKUP(A3743,'Discount Lookup'!J:K,2)*G3743),0))))</f>
        <v>0</v>
      </c>
      <c r="AJ3743" s="513" t="str">
        <f t="shared" ca="1" si="2888"/>
        <v/>
      </c>
      <c r="AK3743" s="700" t="str">
        <f t="shared" si="2889"/>
        <v/>
      </c>
      <c r="AL3743" s="700"/>
      <c r="AM3743" s="505" t="str">
        <f t="shared" si="2890"/>
        <v/>
      </c>
      <c r="AN3743" s="506"/>
      <c r="AO3743" s="507"/>
      <c r="AP3743" s="507"/>
      <c r="AQ3743" s="507"/>
      <c r="AR3743" s="507"/>
      <c r="AS3743" s="507"/>
      <c r="AT3743" s="507"/>
      <c r="AU3743" s="507"/>
      <c r="AV3743" s="225"/>
      <c r="AW3743" s="508"/>
      <c r="AX3743" s="225"/>
      <c r="AY3743" s="225"/>
      <c r="AZ3743" s="225"/>
      <c r="BA3743" s="225"/>
      <c r="BB3743" s="225"/>
      <c r="BC3743" s="56"/>
      <c r="BD3743" s="56"/>
      <c r="BE3743" s="56"/>
      <c r="BF3743" s="107" t="str">
        <f t="shared" si="2891"/>
        <v>https://www.google.com/search?tbm=isch&amp;q=Rising%20Sun%20foliage%20is%20gold%20and%20yellow%2C%20then%20lime-green%2C%20looking%20like%20a%20sun%20on%20it%27s%20path%20across%20the%20sky%20</v>
      </c>
      <c r="BG3743" s="107" t="str">
        <f t="shared" si="2892"/>
        <v>R</v>
      </c>
      <c r="BH3743" s="254"/>
      <c r="BI3743" s="254"/>
    </row>
    <row r="3744" spans="1:61" customFormat="1" ht="18" x14ac:dyDescent="0.25">
      <c r="A3744" s="521" t="s">
        <v>5559</v>
      </c>
      <c r="B3744" s="477"/>
      <c r="C3744" s="674"/>
      <c r="D3744" s="478" t="s">
        <v>1895</v>
      </c>
      <c r="E3744" s="479"/>
      <c r="F3744" s="479"/>
      <c r="G3744" s="479"/>
      <c r="H3744" s="582" t="s">
        <v>441</v>
      </c>
      <c r="I3744" s="480" t="s">
        <v>2293</v>
      </c>
      <c r="J3744" s="479"/>
      <c r="K3744" s="479"/>
      <c r="L3744" s="560"/>
      <c r="M3744" s="666" t="s">
        <v>4966</v>
      </c>
      <c r="N3744" s="680" t="str">
        <f>IF(AND(ISTEXT($A3744), ISERROR($A3744+0)), HYPERLINK($BF3744, "Images"), "")</f>
        <v>Images</v>
      </c>
      <c r="O3744" s="662" t="s">
        <v>4967</v>
      </c>
      <c r="P3744" s="482"/>
      <c r="Q3744" s="483"/>
      <c r="R3744" s="483"/>
      <c r="S3744" s="484"/>
      <c r="T3744" s="508">
        <f t="shared" si="2880"/>
        <v>0</v>
      </c>
      <c r="U3744" s="225" t="str">
        <f>IF(NOT(ISNUMBER(G3744)), "", VLOOKUP(A3744,'Discount Lookup'!D:E,2,FALSE)*G3744)</f>
        <v/>
      </c>
      <c r="V3744" s="225" t="str">
        <f>IF(NOT(ISNUMBER(G3744)), "", VLOOKUP(A3744,'Discount Lookup'!G:H,2,FALSE)*G3744)</f>
        <v/>
      </c>
      <c r="W3744" s="508">
        <f t="shared" si="2881"/>
        <v>0</v>
      </c>
      <c r="X3744" s="508" t="str">
        <f t="shared" si="2882"/>
        <v>Golden-Yellow foliage</v>
      </c>
      <c r="Y3744" s="509" t="b">
        <f t="shared" si="2883"/>
        <v>0</v>
      </c>
      <c r="Z3744" s="510">
        <f t="shared" si="2884"/>
        <v>0</v>
      </c>
      <c r="AA3744" s="511"/>
      <c r="AB3744" s="511" t="str">
        <f t="shared" si="2885"/>
        <v/>
      </c>
      <c r="AC3744" s="698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698"/>
      <c r="AE3744" s="631" t="str">
        <f t="shared" si="2886"/>
        <v/>
      </c>
      <c r="AF3744" s="699" t="str">
        <f t="shared" si="2887"/>
        <v/>
      </c>
      <c r="AG3744" s="699"/>
      <c r="AH3744" s="699"/>
      <c r="AI3744" s="512">
        <f>IF(H3744="credit",0,IF(AE3744="free",0,IF(AE3744="me",0,IF(G3744&gt;0,(VLOOKUP(A3744,'Discount Lookup'!J:K,2)*G3744),0))))</f>
        <v>0</v>
      </c>
      <c r="AJ3744" s="513" t="str">
        <f t="shared" ca="1" si="2888"/>
        <v/>
      </c>
      <c r="AK3744" s="700" t="str">
        <f t="shared" si="2889"/>
        <v/>
      </c>
      <c r="AL3744" s="700"/>
      <c r="AM3744" s="505" t="str">
        <f t="shared" si="2890"/>
        <v/>
      </c>
      <c r="AN3744" s="506"/>
      <c r="AO3744" s="507"/>
      <c r="AP3744" s="507"/>
      <c r="AQ3744" s="507"/>
      <c r="AR3744" s="507"/>
      <c r="AS3744" s="507"/>
      <c r="AT3744" s="507"/>
      <c r="AU3744" s="507"/>
      <c r="AV3744" s="225"/>
      <c r="AW3744" s="508"/>
      <c r="AX3744" s="225"/>
      <c r="AY3744" s="225"/>
      <c r="AZ3744" s="225"/>
      <c r="BA3744" s="225"/>
      <c r="BB3744" s="225"/>
      <c r="BC3744" s="56"/>
      <c r="BD3744" s="56"/>
      <c r="BE3744" s="56"/>
      <c r="BF3744" s="107" t="str">
        <f t="shared" si="2891"/>
        <v>https://www.google.com/search?tbm=isch&amp;q=Thunderbolt%C2%AE%20Box%20Honeysuckle%20Lonicera%20nitida%20%27Golden%20Glow%27%20PP%2326598</v>
      </c>
      <c r="BG3744" s="107" t="str">
        <f t="shared" si="2892"/>
        <v>T</v>
      </c>
      <c r="BH3744" s="254"/>
      <c r="BI3744" s="254"/>
    </row>
    <row r="3745" spans="1:61" customFormat="1" ht="15.75" x14ac:dyDescent="0.25">
      <c r="A3745" s="485">
        <v>1</v>
      </c>
      <c r="B3745" s="486" t="s">
        <v>291</v>
      </c>
      <c r="C3745" s="487" t="s">
        <v>1896</v>
      </c>
      <c r="D3745" s="488" t="s">
        <v>312</v>
      </c>
      <c r="E3745" s="489">
        <v>29.95</v>
      </c>
      <c r="F3745" s="516" t="s">
        <v>293</v>
      </c>
      <c r="G3745" s="232">
        <v>0</v>
      </c>
      <c r="H3745" s="658" t="str">
        <f>IF(G3745=0,"",IF(F3745="Buy",IF(G3745=1,"plant","plants"),IF(F3745&gt;0.01,"warranty","Error")))</f>
        <v/>
      </c>
      <c r="I3745" s="490">
        <f>IF(H3745="free",0,IF(H3745="credit",((E3745*(F3745))*G3745*-1),IF(F3745="Buy",(E3745*G3745),((E3745*(1-F3745))*G3745))))</f>
        <v>0</v>
      </c>
      <c r="J3745" s="490">
        <f>IF(H3745="warranty",0,(I3745*(_xlfn.SINGLE(SalesTaxPercentage))))</f>
        <v>0</v>
      </c>
      <c r="K3745" s="695">
        <f t="shared" ref="K3745" si="2899">I3745+J3745</f>
        <v>0</v>
      </c>
      <c r="L3745" s="695"/>
      <c r="M3745" s="659" t="str">
        <f>IF(AND(G3745&gt;0,E3745=0),"WARNING - no PRICE inserted",IF(H3745="free"," FREE ~ no charge this plant",IF(H3745="credit",CONCATENATE(" -$",ROUND(K3745*(1-T2GDiscount)*-1,2)," CREDIT after discount"),IF(T2GDiscount=0,"",IF(G3745=0,"",IF(F3745="Buy",CONCATENATE(" $",ROUND(K3745*(1-T2GDiscount),2)," with ",(T2GDiscount*100),"% discount"),CONCATENATE(" $",ROUND(K3745*(1-T2GDiscount),2)," with ",((T2GDiscount*100+F3745*100)-(T2GDiscount*100*F3745)),IF(F3745&gt;0,"% discounts",IF(NoWarrantyDiscount&gt;0,"% discounts","% discount")))))))))</f>
        <v/>
      </c>
      <c r="N3745" s="660"/>
      <c r="O3745" s="233"/>
      <c r="P3745" s="233"/>
      <c r="Q3745" s="233"/>
      <c r="R3745" s="233"/>
      <c r="S3745" s="233"/>
      <c r="T3745" s="508">
        <f t="shared" si="2880"/>
        <v>0</v>
      </c>
      <c r="U3745" s="225">
        <f>IF(NOT(ISNUMBER(G3745)), "", VLOOKUP(A3745,'Discount Lookup'!D:E,2,FALSE)*G3745)</f>
        <v>0</v>
      </c>
      <c r="V3745" s="225">
        <f>IF(NOT(ISNUMBER(G3745)), "", VLOOKUP(A3745,'Discount Lookup'!G:H,2,FALSE)*G3745)</f>
        <v>0</v>
      </c>
      <c r="W3745" s="508">
        <f t="shared" si="2881"/>
        <v>0</v>
      </c>
      <c r="X3745" s="508">
        <f t="shared" si="2882"/>
        <v>0</v>
      </c>
      <c r="Y3745" s="509" t="b">
        <f t="shared" si="2883"/>
        <v>0</v>
      </c>
      <c r="Z3745" s="510">
        <f t="shared" si="2884"/>
        <v>0</v>
      </c>
      <c r="AA3745" s="511"/>
      <c r="AB3745" s="511" t="str">
        <f t="shared" si="2885"/>
        <v/>
      </c>
      <c r="AC3745" s="698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698"/>
      <c r="AE3745" s="631" t="str">
        <f t="shared" si="2886"/>
        <v/>
      </c>
      <c r="AF3745" s="699" t="str">
        <f t="shared" si="2887"/>
        <v/>
      </c>
      <c r="AG3745" s="699"/>
      <c r="AH3745" s="699"/>
      <c r="AI3745" s="512">
        <f>IF(H3745="credit",0,IF(AE3745="free",0,IF(AE3745="me",0,IF(G3745&gt;0,(VLOOKUP(A3745,'Discount Lookup'!J:K,2)*G3745),0))))</f>
        <v>0</v>
      </c>
      <c r="AJ3745" s="513" t="str">
        <f t="shared" ca="1" si="2888"/>
        <v/>
      </c>
      <c r="AK3745" s="700" t="str">
        <f t="shared" si="2889"/>
        <v/>
      </c>
      <c r="AL3745" s="700"/>
      <c r="AM3745" s="505" t="str">
        <f t="shared" si="2890"/>
        <v/>
      </c>
      <c r="AN3745" s="506"/>
      <c r="AO3745" s="507"/>
      <c r="AP3745" s="507"/>
      <c r="AQ3745" s="507"/>
      <c r="AR3745" s="507"/>
      <c r="AS3745" s="507"/>
      <c r="AT3745" s="507"/>
      <c r="AU3745" s="507"/>
      <c r="AV3745" s="225"/>
      <c r="AW3745" s="508"/>
      <c r="AX3745" s="225"/>
      <c r="AY3745" s="225"/>
      <c r="AZ3745" s="225"/>
      <c r="BA3745" s="225"/>
      <c r="BB3745" s="225"/>
      <c r="BC3745" s="56"/>
      <c r="BD3745" s="56"/>
      <c r="BE3745" s="56"/>
      <c r="BF3745" s="107" t="str">
        <f t="shared" si="2891"/>
        <v>https://www.google.com/search?tbm=isch&amp;q=1%20G2</v>
      </c>
      <c r="BG3745" s="107" t="str">
        <f t="shared" si="2892"/>
        <v>T</v>
      </c>
      <c r="BH3745" s="254"/>
      <c r="BI3745" s="254"/>
    </row>
    <row r="3746" spans="1:61" customFormat="1" ht="15.75" x14ac:dyDescent="0.25">
      <c r="A3746" s="485">
        <v>1</v>
      </c>
      <c r="B3746" s="486" t="s">
        <v>291</v>
      </c>
      <c r="C3746" s="487" t="s">
        <v>4952</v>
      </c>
      <c r="D3746" s="488" t="s">
        <v>312</v>
      </c>
      <c r="E3746" s="489">
        <v>29.95</v>
      </c>
      <c r="F3746" s="516" t="s">
        <v>293</v>
      </c>
      <c r="G3746" s="232">
        <v>0</v>
      </c>
      <c r="H3746" s="658" t="str">
        <f>IF(G3746=0,"",IF(F3746="Buy",IF(G3746=1,"plant","plants"),IF(F3746&gt;0.01,"warranty","Error")))</f>
        <v/>
      </c>
      <c r="I3746" s="490">
        <f>IF(H3746="free",0,IF(H3746="credit",((E3746*(F3746))*G3746*-1),IF(F3746="Buy",(E3746*G3746),((E3746*(1-F3746))*G3746))))</f>
        <v>0</v>
      </c>
      <c r="J3746" s="490">
        <f>IF(H3746="warranty",0,(I3746*(_xlfn.SINGLE(SalesTaxPercentage))))</f>
        <v>0</v>
      </c>
      <c r="K3746" s="695">
        <f t="shared" ref="K3746" si="2900">I3746+J3746</f>
        <v>0</v>
      </c>
      <c r="L3746" s="695"/>
      <c r="M3746" s="659" t="str">
        <f>IF(AND(G3746&gt;0,E3746=0),"WARNING - no PRICE inserted",IF(H3746="free"," FREE ~ no charge this plant",IF(H3746="credit",CONCATENATE(" -$",ROUND(K3746*(1-T2GDiscount)*-1,2)," CREDIT after discount"),IF(T2GDiscount=0,"",IF(G3746=0,"",IF(F3746="Buy",CONCATENATE(" $",ROUND(K3746*(1-T2GDiscount),2)," with ",(T2GDiscount*100),"% discount"),CONCATENATE(" $",ROUND(K3746*(1-T2GDiscount),2)," with ",((T2GDiscount*100+F3746*100)-(T2GDiscount*100*F3746)),IF(F3746&gt;0,"% discounts",IF(NoWarrantyDiscount&gt;0,"% discounts","% discount")))))))))</f>
        <v/>
      </c>
      <c r="N3746" s="660"/>
      <c r="O3746" s="233"/>
      <c r="P3746" s="233"/>
      <c r="Q3746" s="233"/>
      <c r="R3746" s="233"/>
      <c r="S3746" s="233"/>
      <c r="T3746" s="508">
        <f t="shared" si="2880"/>
        <v>0</v>
      </c>
      <c r="U3746" s="225">
        <f>IF(NOT(ISNUMBER(G3746)), "", VLOOKUP(A3746,'Discount Lookup'!D:E,2,FALSE)*G3746)</f>
        <v>0</v>
      </c>
      <c r="V3746" s="225">
        <f>IF(NOT(ISNUMBER(G3746)), "", VLOOKUP(A3746,'Discount Lookup'!G:H,2,FALSE)*G3746)</f>
        <v>0</v>
      </c>
      <c r="W3746" s="508">
        <f t="shared" si="2881"/>
        <v>0</v>
      </c>
      <c r="X3746" s="508">
        <f t="shared" si="2882"/>
        <v>0</v>
      </c>
      <c r="Y3746" s="509" t="b">
        <f t="shared" si="2883"/>
        <v>0</v>
      </c>
      <c r="Z3746" s="510">
        <f t="shared" si="2884"/>
        <v>0</v>
      </c>
      <c r="AA3746" s="511"/>
      <c r="AB3746" s="511" t="str">
        <f t="shared" si="2885"/>
        <v/>
      </c>
      <c r="AC3746" s="698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698"/>
      <c r="AE3746" s="631" t="str">
        <f t="shared" si="2886"/>
        <v/>
      </c>
      <c r="AF3746" s="699" t="str">
        <f t="shared" si="2887"/>
        <v/>
      </c>
      <c r="AG3746" s="699"/>
      <c r="AH3746" s="699"/>
      <c r="AI3746" s="512">
        <f>IF(H3746="credit",0,IF(AE3746="free",0,IF(AE3746="me",0,IF(G3746&gt;0,(VLOOKUP(A3746,'Discount Lookup'!J:K,2)*G3746),0))))</f>
        <v>0</v>
      </c>
      <c r="AJ3746" s="513" t="str">
        <f t="shared" ca="1" si="2888"/>
        <v/>
      </c>
      <c r="AK3746" s="700" t="str">
        <f t="shared" si="2889"/>
        <v/>
      </c>
      <c r="AL3746" s="700"/>
      <c r="AM3746" s="505" t="str">
        <f t="shared" si="2890"/>
        <v/>
      </c>
      <c r="AN3746" s="506"/>
      <c r="AO3746" s="507"/>
      <c r="AP3746" s="507"/>
      <c r="AQ3746" s="507"/>
      <c r="AR3746" s="507"/>
      <c r="AS3746" s="507"/>
      <c r="AT3746" s="507"/>
      <c r="AU3746" s="507"/>
      <c r="AV3746" s="225"/>
      <c r="AW3746" s="508"/>
      <c r="AX3746" s="225"/>
      <c r="AY3746" s="225"/>
      <c r="AZ3746" s="225"/>
      <c r="BA3746" s="225"/>
      <c r="BB3746" s="225"/>
      <c r="BC3746" s="56"/>
      <c r="BD3746" s="56"/>
      <c r="BE3746" s="56"/>
      <c r="BF3746" s="107" t="str">
        <f t="shared" si="2891"/>
        <v>https://www.google.com/search?tbm=isch&amp;q=1%20G2</v>
      </c>
      <c r="BG3746" s="107" t="str">
        <f t="shared" si="2892"/>
        <v>T</v>
      </c>
      <c r="BH3746" s="254"/>
      <c r="BI3746" s="254"/>
    </row>
    <row r="3747" spans="1:61" customFormat="1" ht="16.5" thickBot="1" x14ac:dyDescent="0.3">
      <c r="A3747" s="522" t="s">
        <v>4185</v>
      </c>
      <c r="B3747" s="491"/>
      <c r="C3747" s="675"/>
      <c r="D3747" s="491"/>
      <c r="E3747" s="491"/>
      <c r="F3747" s="492"/>
      <c r="G3747" s="493"/>
      <c r="H3747" s="491"/>
      <c r="I3747" s="234"/>
      <c r="J3747" s="234"/>
      <c r="K3747" s="494"/>
      <c r="L3747" s="543"/>
      <c r="M3747" s="561"/>
      <c r="N3747" s="495"/>
      <c r="O3747" s="496"/>
      <c r="P3747" s="497"/>
      <c r="Q3747" s="495"/>
      <c r="R3747" s="495"/>
      <c r="S3747" s="277"/>
      <c r="T3747" s="508">
        <f t="shared" si="2880"/>
        <v>0</v>
      </c>
      <c r="U3747" s="225" t="str">
        <f>IF(NOT(ISNUMBER(G3747)), "", VLOOKUP(A3747,'Discount Lookup'!D:E,2,FALSE)*G3747)</f>
        <v/>
      </c>
      <c r="V3747" s="225" t="str">
        <f>IF(NOT(ISNUMBER(G3747)), "", VLOOKUP(A3747,'Discount Lookup'!G:H,2,FALSE)*G3747)</f>
        <v/>
      </c>
      <c r="W3747" s="508">
        <f t="shared" si="2881"/>
        <v>0</v>
      </c>
      <c r="X3747" s="508">
        <f t="shared" si="2882"/>
        <v>0</v>
      </c>
      <c r="Y3747" s="509" t="b">
        <f t="shared" si="2883"/>
        <v>0</v>
      </c>
      <c r="Z3747" s="510">
        <f t="shared" si="2884"/>
        <v>0</v>
      </c>
      <c r="AA3747" s="511"/>
      <c r="AB3747" s="511" t="str">
        <f t="shared" si="2885"/>
        <v/>
      </c>
      <c r="AC3747" s="698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698"/>
      <c r="AE3747" s="631" t="str">
        <f t="shared" si="2886"/>
        <v/>
      </c>
      <c r="AF3747" s="699" t="str">
        <f t="shared" si="2887"/>
        <v/>
      </c>
      <c r="AG3747" s="699"/>
      <c r="AH3747" s="699"/>
      <c r="AI3747" s="512">
        <f>IF(H3747="credit",0,IF(AE3747="free",0,IF(AE3747="me",0,IF(G3747&gt;0,(VLOOKUP(A3747,'Discount Lookup'!J:K,2)*G3747),0))))</f>
        <v>0</v>
      </c>
      <c r="AJ3747" s="513" t="str">
        <f t="shared" ca="1" si="2888"/>
        <v/>
      </c>
      <c r="AK3747" s="700" t="str">
        <f t="shared" si="2889"/>
        <v/>
      </c>
      <c r="AL3747" s="700"/>
      <c r="AM3747" s="505" t="str">
        <f t="shared" si="2890"/>
        <v/>
      </c>
      <c r="AN3747" s="506"/>
      <c r="AO3747" s="507"/>
      <c r="AP3747" s="507"/>
      <c r="AQ3747" s="507"/>
      <c r="AR3747" s="507"/>
      <c r="AS3747" s="507"/>
      <c r="AT3747" s="507"/>
      <c r="AU3747" s="507"/>
      <c r="AV3747" s="225"/>
      <c r="AW3747" s="508"/>
      <c r="AX3747" s="225"/>
      <c r="AY3747" s="225"/>
      <c r="AZ3747" s="225"/>
      <c r="BA3747" s="225"/>
      <c r="BB3747" s="225"/>
      <c r="BC3747" s="56"/>
      <c r="BD3747" s="56"/>
      <c r="BE3747" s="56"/>
      <c r="BF3747" s="107" t="str">
        <f t="shared" si="2891"/>
        <v>https://www.google.com/search?tbm=isch&amp;q=Thunderbolt%20Box%20has%20glowing%20Golden%20foliage%20and%20a%20dense%2C%20mounding%20habit.%20It%20tolerates%20pruning%2C%20serving%20as%20a%20vibrant%20alternative%20to%20boxwood%20</v>
      </c>
      <c r="BG3747" s="107" t="str">
        <f t="shared" si="2892"/>
        <v>T</v>
      </c>
      <c r="BH3747" s="254"/>
      <c r="BI3747" s="254"/>
    </row>
    <row r="3748" spans="1:61" customFormat="1" ht="18" x14ac:dyDescent="0.25">
      <c r="A3748" s="521" t="s">
        <v>1897</v>
      </c>
      <c r="B3748" s="477"/>
      <c r="C3748" s="674"/>
      <c r="D3748" s="478" t="s">
        <v>1898</v>
      </c>
      <c r="E3748" s="479"/>
      <c r="F3748" s="479"/>
      <c r="G3748" s="479"/>
      <c r="H3748" s="582" t="s">
        <v>321</v>
      </c>
      <c r="I3748" s="480" t="s">
        <v>2110</v>
      </c>
      <c r="J3748" s="479"/>
      <c r="K3748" s="479"/>
      <c r="L3748" s="560"/>
      <c r="M3748" s="666" t="s">
        <v>4963</v>
      </c>
      <c r="N3748" s="680" t="str">
        <f>IF(AND(ISTEXT($A3748), ISERROR($A3748+0)), HYPERLINK($BF3748, "Images"), "")</f>
        <v>Images</v>
      </c>
      <c r="O3748" s="662" t="s">
        <v>4969</v>
      </c>
      <c r="P3748" s="482"/>
      <c r="Q3748" s="483"/>
      <c r="R3748" s="483"/>
      <c r="S3748" s="484"/>
      <c r="T3748" s="508">
        <f t="shared" si="2880"/>
        <v>0</v>
      </c>
      <c r="U3748" s="225" t="str">
        <f>IF(NOT(ISNUMBER(G3748)), "", VLOOKUP(A3748,'Discount Lookup'!D:E,2,FALSE)*G3748)</f>
        <v/>
      </c>
      <c r="V3748" s="225" t="str">
        <f>IF(NOT(ISNUMBER(G3748)), "", VLOOKUP(A3748,'Discount Lookup'!G:H,2,FALSE)*G3748)</f>
        <v/>
      </c>
      <c r="W3748" s="508">
        <f t="shared" si="2881"/>
        <v>0</v>
      </c>
      <c r="X3748" s="508" t="str">
        <f t="shared" si="2882"/>
        <v>Deep Green needles</v>
      </c>
      <c r="Y3748" s="509" t="b">
        <f t="shared" si="2883"/>
        <v>0</v>
      </c>
      <c r="Z3748" s="510">
        <f t="shared" si="2884"/>
        <v>0</v>
      </c>
      <c r="AA3748" s="511"/>
      <c r="AB3748" s="511" t="str">
        <f t="shared" si="2885"/>
        <v/>
      </c>
      <c r="AC3748" s="698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698"/>
      <c r="AE3748" s="631" t="str">
        <f t="shared" si="2886"/>
        <v/>
      </c>
      <c r="AF3748" s="699" t="str">
        <f t="shared" si="2887"/>
        <v/>
      </c>
      <c r="AG3748" s="699"/>
      <c r="AH3748" s="699"/>
      <c r="AI3748" s="512">
        <f>IF(H3748="credit",0,IF(AE3748="free",0,IF(AE3748="me",0,IF(G3748&gt;0,(VLOOKUP(A3748,'Discount Lookup'!J:K,2)*G3748),0))))</f>
        <v>0</v>
      </c>
      <c r="AJ3748" s="513" t="str">
        <f t="shared" ca="1" si="2888"/>
        <v/>
      </c>
      <c r="AK3748" s="700" t="str">
        <f t="shared" si="2889"/>
        <v/>
      </c>
      <c r="AL3748" s="700"/>
      <c r="AM3748" s="505" t="str">
        <f t="shared" si="2890"/>
        <v/>
      </c>
      <c r="AN3748" s="506"/>
      <c r="AO3748" s="507"/>
      <c r="AP3748" s="507"/>
      <c r="AQ3748" s="507"/>
      <c r="AR3748" s="507"/>
      <c r="AS3748" s="507"/>
      <c r="AT3748" s="507"/>
      <c r="AU3748" s="507"/>
      <c r="AV3748" s="225"/>
      <c r="AW3748" s="508"/>
      <c r="AX3748" s="225"/>
      <c r="AY3748" s="225"/>
      <c r="AZ3748" s="225"/>
      <c r="BA3748" s="225"/>
      <c r="BB3748" s="225"/>
      <c r="BC3748" s="56"/>
      <c r="BD3748" s="56"/>
      <c r="BE3748" s="56"/>
      <c r="BF3748" s="107" t="str">
        <f t="shared" si="2891"/>
        <v>https://www.google.com/search?tbm=isch&amp;q=Thunderhead%20Japanese%20Black%20Pine%20Pinus%20thunbergii%20%27Thunderhead%27</v>
      </c>
      <c r="BG3748" s="107" t="str">
        <f t="shared" si="2892"/>
        <v>T</v>
      </c>
      <c r="BH3748" s="254"/>
      <c r="BI3748" s="254"/>
    </row>
    <row r="3749" spans="1:61" customFormat="1" ht="27" x14ac:dyDescent="0.25">
      <c r="A3749" s="485">
        <v>10</v>
      </c>
      <c r="B3749" s="486" t="s">
        <v>291</v>
      </c>
      <c r="C3749" s="487" t="s">
        <v>3814</v>
      </c>
      <c r="D3749" s="488" t="s">
        <v>292</v>
      </c>
      <c r="E3749" s="489">
        <v>256.95</v>
      </c>
      <c r="F3749" s="516" t="s">
        <v>293</v>
      </c>
      <c r="G3749" s="232">
        <v>0</v>
      </c>
      <c r="H3749" s="658" t="str">
        <f>IF(G3749=0,"",IF(F3749="Buy",IF(G3749=1,"plant","plants"),IF(F3749&gt;0.01,"warranty","Error")))</f>
        <v/>
      </c>
      <c r="I3749" s="490">
        <f>IF(H3749="free",0,IF(H3749="credit",((E3749*(F3749))*G3749*-1),IF(F3749="Buy",(E3749*G3749),((E3749*(1-F3749))*G3749))))</f>
        <v>0</v>
      </c>
      <c r="J3749" s="490">
        <f>IF(H3749="warranty",0,(I3749*(_xlfn.SINGLE(SalesTaxPercentage))))</f>
        <v>0</v>
      </c>
      <c r="K3749" s="695">
        <f t="shared" ref="K3749" si="2901">I3749+J3749</f>
        <v>0</v>
      </c>
      <c r="L3749" s="695"/>
      <c r="M3749" s="659" t="str">
        <f>IF(AND(G3749&gt;0,E3749=0),"WARNING - no PRICE inserted",IF(H3749="free"," FREE ~ no charge this plant",IF(H3749="credit",CONCATENATE(" -$",ROUND(K3749*(1-T2GDiscount)*-1,2)," CREDIT after discount"),IF(T2GDiscount=0,"",IF(G3749=0,"",IF(F3749="Buy",CONCATENATE(" $",ROUND(K3749*(1-T2GDiscount),2)," with ",(T2GDiscount*100),"% discount"),CONCATENATE(" $",ROUND(K3749*(1-T2GDiscount),2)," with ",((T2GDiscount*100+F3749*100)-(T2GDiscount*100*F3749)),IF(F3749&gt;0,"% discounts",IF(NoWarrantyDiscount&gt;0,"% discounts","% discount")))))))))</f>
        <v/>
      </c>
      <c r="N3749" s="660"/>
      <c r="O3749" s="233"/>
      <c r="P3749" s="233"/>
      <c r="Q3749" s="233"/>
      <c r="R3749" s="233"/>
      <c r="S3749" s="233"/>
      <c r="T3749" s="508">
        <f t="shared" si="2880"/>
        <v>0</v>
      </c>
      <c r="U3749" s="225">
        <f>IF(NOT(ISNUMBER(G3749)), "", VLOOKUP(A3749,'Discount Lookup'!D:E,2,FALSE)*G3749)</f>
        <v>0</v>
      </c>
      <c r="V3749" s="225">
        <f>IF(NOT(ISNUMBER(G3749)), "", VLOOKUP(A3749,'Discount Lookup'!G:H,2,FALSE)*G3749)</f>
        <v>0</v>
      </c>
      <c r="W3749" s="508">
        <f t="shared" si="2881"/>
        <v>0</v>
      </c>
      <c r="X3749" s="508">
        <f t="shared" si="2882"/>
        <v>0</v>
      </c>
      <c r="Y3749" s="509" t="b">
        <f t="shared" si="2883"/>
        <v>0</v>
      </c>
      <c r="Z3749" s="510">
        <f t="shared" si="2884"/>
        <v>0</v>
      </c>
      <c r="AA3749" s="511"/>
      <c r="AB3749" s="511" t="str">
        <f t="shared" si="2885"/>
        <v/>
      </c>
      <c r="AC3749" s="698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698"/>
      <c r="AE3749" s="631" t="str">
        <f t="shared" si="2886"/>
        <v/>
      </c>
      <c r="AF3749" s="699" t="str">
        <f t="shared" si="2887"/>
        <v/>
      </c>
      <c r="AG3749" s="699"/>
      <c r="AH3749" s="699"/>
      <c r="AI3749" s="512">
        <f>IF(H3749="credit",0,IF(AE3749="free",0,IF(AE3749="me",0,IF(G3749&gt;0,(VLOOKUP(A3749,'Discount Lookup'!J:K,2)*G3749),0))))</f>
        <v>0</v>
      </c>
      <c r="AJ3749" s="513" t="str">
        <f t="shared" ca="1" si="2888"/>
        <v/>
      </c>
      <c r="AK3749" s="700" t="str">
        <f t="shared" si="2889"/>
        <v/>
      </c>
      <c r="AL3749" s="700"/>
      <c r="AM3749" s="505" t="str">
        <f t="shared" si="2890"/>
        <v/>
      </c>
      <c r="AN3749" s="506"/>
      <c r="AO3749" s="507"/>
      <c r="AP3749" s="507"/>
      <c r="AQ3749" s="507"/>
      <c r="AR3749" s="507"/>
      <c r="AS3749" s="507"/>
      <c r="AT3749" s="507"/>
      <c r="AU3749" s="507"/>
      <c r="AV3749" s="225"/>
      <c r="AW3749" s="508"/>
      <c r="AX3749" s="225"/>
      <c r="AY3749" s="225"/>
      <c r="AZ3749" s="225"/>
      <c r="BA3749" s="225"/>
      <c r="BB3749" s="225"/>
      <c r="BC3749" s="56"/>
      <c r="BD3749" s="56"/>
      <c r="BE3749" s="56"/>
      <c r="BF3749" s="107" t="str">
        <f t="shared" si="2891"/>
        <v>https://www.google.com/search?tbm=isch&amp;q=10%20G4</v>
      </c>
      <c r="BG3749" s="107" t="str">
        <f t="shared" si="2892"/>
        <v>T</v>
      </c>
      <c r="BH3749" s="254"/>
      <c r="BI3749" s="254"/>
    </row>
    <row r="3750" spans="1:61" customFormat="1" ht="15.75" x14ac:dyDescent="0.25">
      <c r="A3750" s="485">
        <v>25</v>
      </c>
      <c r="B3750" s="486" t="s">
        <v>291</v>
      </c>
      <c r="C3750" s="487" t="s">
        <v>3815</v>
      </c>
      <c r="D3750" s="488" t="s">
        <v>292</v>
      </c>
      <c r="E3750" s="489">
        <v>665.95</v>
      </c>
      <c r="F3750" s="516" t="s">
        <v>293</v>
      </c>
      <c r="G3750" s="232">
        <v>0</v>
      </c>
      <c r="H3750" s="658" t="str">
        <f>IF(G3750=0,"",IF(F3750="Buy",IF(G3750=1,"plant","plants"),IF(F3750&gt;0.01,"warranty","Error")))</f>
        <v/>
      </c>
      <c r="I3750" s="490">
        <f>IF(H3750="free",0,IF(H3750="credit",((E3750*(F3750))*G3750*-1),IF(F3750="Buy",(E3750*G3750),((E3750*(1-F3750))*G3750))))</f>
        <v>0</v>
      </c>
      <c r="J3750" s="490">
        <f>IF(H3750="warranty",0,(I3750*(_xlfn.SINGLE(SalesTaxPercentage))))</f>
        <v>0</v>
      </c>
      <c r="K3750" s="695">
        <f t="shared" ref="K3750" si="2902">I3750+J3750</f>
        <v>0</v>
      </c>
      <c r="L3750" s="695"/>
      <c r="M3750" s="659" t="str">
        <f>IF(AND(G3750&gt;0,E3750=0),"WARNING - no PRICE inserted",IF(H3750="free"," FREE ~ no charge this plant",IF(H3750="credit",CONCATENATE(" -$",ROUND(K3750*(1-T2GDiscount)*-1,2)," CREDIT after discount"),IF(T2GDiscount=0,"",IF(G3750=0,"",IF(F3750="Buy",CONCATENATE(" $",ROUND(K3750*(1-T2GDiscount),2)," with ",(T2GDiscount*100),"% discount"),CONCATENATE(" $",ROUND(K3750*(1-T2GDiscount),2)," with ",((T2GDiscount*100+F3750*100)-(T2GDiscount*100*F3750)),IF(F3750&gt;0,"% discounts",IF(NoWarrantyDiscount&gt;0,"% discounts","% discount")))))))))</f>
        <v/>
      </c>
      <c r="N3750" s="660"/>
      <c r="O3750" s="233"/>
      <c r="P3750" s="233"/>
      <c r="Q3750" s="233"/>
      <c r="R3750" s="233"/>
      <c r="S3750" s="233"/>
      <c r="T3750" s="508">
        <f t="shared" si="2880"/>
        <v>0</v>
      </c>
      <c r="U3750" s="225">
        <f>IF(NOT(ISNUMBER(G3750)), "", VLOOKUP(A3750,'Discount Lookup'!D:E,2,FALSE)*G3750)</f>
        <v>0</v>
      </c>
      <c r="V3750" s="225">
        <f>IF(NOT(ISNUMBER(G3750)), "", VLOOKUP(A3750,'Discount Lookup'!G:H,2,FALSE)*G3750)</f>
        <v>0</v>
      </c>
      <c r="W3750" s="508">
        <f t="shared" si="2881"/>
        <v>0</v>
      </c>
      <c r="X3750" s="508">
        <f t="shared" si="2882"/>
        <v>0</v>
      </c>
      <c r="Y3750" s="509" t="b">
        <f t="shared" si="2883"/>
        <v>0</v>
      </c>
      <c r="Z3750" s="510">
        <f t="shared" si="2884"/>
        <v>0</v>
      </c>
      <c r="AA3750" s="511"/>
      <c r="AB3750" s="511" t="str">
        <f t="shared" si="2885"/>
        <v/>
      </c>
      <c r="AC3750" s="698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698"/>
      <c r="AE3750" s="631" t="str">
        <f t="shared" si="2886"/>
        <v/>
      </c>
      <c r="AF3750" s="699" t="str">
        <f t="shared" si="2887"/>
        <v/>
      </c>
      <c r="AG3750" s="699"/>
      <c r="AH3750" s="699"/>
      <c r="AI3750" s="512">
        <f>IF(H3750="credit",0,IF(AE3750="free",0,IF(AE3750="me",0,IF(G3750&gt;0,(VLOOKUP(A3750,'Discount Lookup'!J:K,2)*G3750),0))))</f>
        <v>0</v>
      </c>
      <c r="AJ3750" s="513" t="str">
        <f t="shared" ca="1" si="2888"/>
        <v/>
      </c>
      <c r="AK3750" s="700" t="str">
        <f t="shared" si="2889"/>
        <v/>
      </c>
      <c r="AL3750" s="700"/>
      <c r="AM3750" s="505" t="str">
        <f t="shared" si="2890"/>
        <v/>
      </c>
      <c r="AN3750" s="506"/>
      <c r="AO3750" s="507"/>
      <c r="AP3750" s="507"/>
      <c r="AQ3750" s="507"/>
      <c r="AR3750" s="507"/>
      <c r="AS3750" s="507"/>
      <c r="AT3750" s="507"/>
      <c r="AU3750" s="507"/>
      <c r="AV3750" s="225"/>
      <c r="AW3750" s="508"/>
      <c r="AX3750" s="225"/>
      <c r="AY3750" s="225"/>
      <c r="AZ3750" s="225"/>
      <c r="BA3750" s="225"/>
      <c r="BB3750" s="225"/>
      <c r="BC3750" s="56"/>
      <c r="BD3750" s="56"/>
      <c r="BE3750" s="56"/>
      <c r="BF3750" s="107" t="str">
        <f t="shared" si="2891"/>
        <v>https://www.google.com/search?tbm=isch&amp;q=25%20G4</v>
      </c>
      <c r="BG3750" s="107" t="str">
        <f t="shared" si="2892"/>
        <v>T</v>
      </c>
      <c r="BH3750" s="254"/>
      <c r="BI3750" s="254"/>
    </row>
    <row r="3751" spans="1:61" customFormat="1" ht="17.25" thickBot="1" x14ac:dyDescent="0.3">
      <c r="A3751" s="522" t="s">
        <v>2186</v>
      </c>
      <c r="B3751" s="491"/>
      <c r="C3751" s="675"/>
      <c r="D3751" s="491"/>
      <c r="E3751" s="491"/>
      <c r="F3751" s="492"/>
      <c r="G3751" s="493"/>
      <c r="H3751" s="491"/>
      <c r="I3751" s="234"/>
      <c r="J3751" s="234"/>
      <c r="K3751" s="494"/>
      <c r="L3751" s="543"/>
      <c r="M3751" s="561"/>
      <c r="N3751" s="495"/>
      <c r="O3751" s="496"/>
      <c r="P3751" s="497"/>
      <c r="Q3751" s="495"/>
      <c r="R3751" s="495"/>
      <c r="S3751" s="667" t="s">
        <v>5004</v>
      </c>
      <c r="T3751" s="508">
        <f t="shared" si="2880"/>
        <v>0</v>
      </c>
      <c r="U3751" s="225" t="str">
        <f>IF(NOT(ISNUMBER(G3751)), "", VLOOKUP(A3751,'Discount Lookup'!D:E,2,FALSE)*G3751)</f>
        <v/>
      </c>
      <c r="V3751" s="225" t="str">
        <f>IF(NOT(ISNUMBER(G3751)), "", VLOOKUP(A3751,'Discount Lookup'!G:H,2,FALSE)*G3751)</f>
        <v/>
      </c>
      <c r="W3751" s="508">
        <f t="shared" si="2881"/>
        <v>0</v>
      </c>
      <c r="X3751" s="508">
        <f t="shared" si="2882"/>
        <v>0</v>
      </c>
      <c r="Y3751" s="509" t="b">
        <f t="shared" si="2883"/>
        <v>0</v>
      </c>
      <c r="Z3751" s="510">
        <f t="shared" si="2884"/>
        <v>0</v>
      </c>
      <c r="AA3751" s="511"/>
      <c r="AB3751" s="511" t="str">
        <f t="shared" si="2885"/>
        <v/>
      </c>
      <c r="AC3751" s="698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698"/>
      <c r="AE3751" s="631" t="str">
        <f t="shared" si="2886"/>
        <v/>
      </c>
      <c r="AF3751" s="699" t="str">
        <f t="shared" si="2887"/>
        <v/>
      </c>
      <c r="AG3751" s="699"/>
      <c r="AH3751" s="699"/>
      <c r="AI3751" s="512">
        <f>IF(H3751="credit",0,IF(AE3751="free",0,IF(AE3751="me",0,IF(G3751&gt;0,(VLOOKUP(A3751,'Discount Lookup'!J:K,2)*G3751),0))))</f>
        <v>0</v>
      </c>
      <c r="AJ3751" s="513" t="str">
        <f t="shared" ca="1" si="2888"/>
        <v/>
      </c>
      <c r="AK3751" s="700" t="str">
        <f t="shared" si="2889"/>
        <v/>
      </c>
      <c r="AL3751" s="700"/>
      <c r="AM3751" s="505" t="str">
        <f t="shared" si="2890"/>
        <v/>
      </c>
      <c r="AN3751" s="506"/>
      <c r="AO3751" s="507"/>
      <c r="AP3751" s="507"/>
      <c r="AQ3751" s="507"/>
      <c r="AR3751" s="507"/>
      <c r="AS3751" s="507"/>
      <c r="AT3751" s="507"/>
      <c r="AU3751" s="507"/>
      <c r="AV3751" s="225"/>
      <c r="AW3751" s="508"/>
      <c r="AX3751" s="225"/>
      <c r="AY3751" s="225"/>
      <c r="AZ3751" s="225"/>
      <c r="BA3751" s="225"/>
      <c r="BB3751" s="225"/>
      <c r="BC3751" s="56"/>
      <c r="BD3751" s="56"/>
      <c r="BE3751" s="56"/>
      <c r="BF3751" s="107" t="str">
        <f t="shared" si="2891"/>
        <v>https://www.google.com/search?tbm=isch&amp;q=Thunderhead%20is%20grown%20for%20it%27s%20dramatic%20appearance%2C%20looking%20%27windswept%27%20even%20in%20non-windy%20areas%20</v>
      </c>
      <c r="BG3751" s="107" t="str">
        <f t="shared" si="2892"/>
        <v>T</v>
      </c>
      <c r="BH3751" s="254"/>
      <c r="BI3751" s="254"/>
    </row>
    <row r="3752" spans="1:61" customFormat="1" ht="18" x14ac:dyDescent="0.25">
      <c r="A3752" s="523" t="s">
        <v>5560</v>
      </c>
      <c r="B3752" s="235"/>
      <c r="C3752" s="676"/>
      <c r="D3752" s="255" t="s">
        <v>1899</v>
      </c>
      <c r="E3752" s="236"/>
      <c r="F3752" s="236"/>
      <c r="G3752" s="236"/>
      <c r="H3752" s="582" t="s">
        <v>304</v>
      </c>
      <c r="I3752" s="498" t="s">
        <v>654</v>
      </c>
      <c r="J3752" s="237"/>
      <c r="K3752" s="237"/>
      <c r="L3752" s="274"/>
      <c r="M3752" s="668" t="s">
        <v>4962</v>
      </c>
      <c r="N3752" s="681" t="str">
        <f>IF(AND(ISTEXT($A3752), ISERROR($A3752+0)), HYPERLINK($BF3752, "Images"), "")</f>
        <v>Images</v>
      </c>
      <c r="O3752" s="663" t="s">
        <v>4969</v>
      </c>
      <c r="P3752" s="253"/>
      <c r="Q3752" s="238"/>
      <c r="R3752" s="239"/>
      <c r="S3752" s="275"/>
      <c r="T3752" s="508">
        <f t="shared" si="2880"/>
        <v>0</v>
      </c>
      <c r="U3752" s="225" t="str">
        <f>IF(NOT(ISNUMBER(G3752)), "", VLOOKUP(A3752,'Discount Lookup'!D:E,2,FALSE)*G3752)</f>
        <v/>
      </c>
      <c r="V3752" s="225" t="str">
        <f>IF(NOT(ISNUMBER(G3752)), "", VLOOKUP(A3752,'Discount Lookup'!G:H,2,FALSE)*G3752)</f>
        <v/>
      </c>
      <c r="W3752" s="508">
        <f t="shared" si="2881"/>
        <v>0</v>
      </c>
      <c r="X3752" s="508" t="str">
        <f t="shared" si="2882"/>
        <v>White bloom</v>
      </c>
      <c r="Y3752" s="509" t="b">
        <f t="shared" si="2883"/>
        <v>0</v>
      </c>
      <c r="Z3752" s="510">
        <f t="shared" si="2884"/>
        <v>0</v>
      </c>
      <c r="AA3752" s="511"/>
      <c r="AB3752" s="511" t="str">
        <f t="shared" si="2885"/>
        <v/>
      </c>
      <c r="AC3752" s="698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698"/>
      <c r="AE3752" s="631" t="str">
        <f t="shared" si="2886"/>
        <v/>
      </c>
      <c r="AF3752" s="699" t="str">
        <f t="shared" si="2887"/>
        <v/>
      </c>
      <c r="AG3752" s="699"/>
      <c r="AH3752" s="699"/>
      <c r="AI3752" s="512">
        <f>IF(H3752="credit",0,IF(AE3752="free",0,IF(AE3752="me",0,IF(G3752&gt;0,(VLOOKUP(A3752,'Discount Lookup'!J:K,2)*G3752),0))))</f>
        <v>0</v>
      </c>
      <c r="AJ3752" s="513" t="str">
        <f t="shared" ca="1" si="2888"/>
        <v/>
      </c>
      <c r="AK3752" s="700" t="str">
        <f t="shared" si="2889"/>
        <v/>
      </c>
      <c r="AL3752" s="700"/>
      <c r="AM3752" s="505" t="str">
        <f t="shared" si="2890"/>
        <v/>
      </c>
      <c r="AN3752" s="506"/>
      <c r="AO3752" s="507"/>
      <c r="AP3752" s="507"/>
      <c r="AQ3752" s="507"/>
      <c r="AR3752" s="507"/>
      <c r="AS3752" s="507"/>
      <c r="AT3752" s="507"/>
      <c r="AU3752" s="507"/>
      <c r="AV3752" s="225"/>
      <c r="AW3752" s="508"/>
      <c r="AX3752" s="225"/>
      <c r="AY3752" s="225"/>
      <c r="AZ3752" s="225"/>
      <c r="BA3752" s="225"/>
      <c r="BB3752" s="225"/>
      <c r="BC3752" s="56"/>
      <c r="BD3752" s="56"/>
      <c r="BE3752" s="56"/>
      <c r="BF3752" s="107" t="str">
        <f t="shared" si="2891"/>
        <v>https://www.google.com/search?tbm=isch&amp;q=Thunderstruck%E2%84%A2%20%27White%20Lightning%E2%84%A2%27%20Crape%20Myrtle%20Lagerstroemia%20%27JM4%27%20PP%2331534</v>
      </c>
      <c r="BG3752" s="107" t="str">
        <f t="shared" si="2892"/>
        <v>T</v>
      </c>
      <c r="BH3752" s="254"/>
      <c r="BI3752" s="254"/>
    </row>
    <row r="3753" spans="1:61" customFormat="1" ht="15.75" x14ac:dyDescent="0.25">
      <c r="A3753" s="276">
        <v>7</v>
      </c>
      <c r="B3753" s="240" t="s">
        <v>291</v>
      </c>
      <c r="C3753" s="241" t="s">
        <v>4304</v>
      </c>
      <c r="D3753" s="242" t="s">
        <v>292</v>
      </c>
      <c r="E3753" s="243">
        <v>100.95</v>
      </c>
      <c r="F3753" s="517" t="s">
        <v>293</v>
      </c>
      <c r="G3753" s="232">
        <v>0</v>
      </c>
      <c r="H3753" s="661" t="str">
        <f>IF(G3753=0,"",IF(F3753="Buy",IF(G3753=1,"plant","plants"),IF(F3753&gt;0.01,"warranty","Error")))</f>
        <v/>
      </c>
      <c r="I3753" s="244">
        <f>IF(H3753="free",0,IF(H3753="credit",((E3753*(F3753))*G3753*-1),IF(F3753="Buy",(E3753*G3753),((E3753*(1-F3753))*G3753))))</f>
        <v>0</v>
      </c>
      <c r="J3753" s="244">
        <f>IF(H3753="warranty",0,(I3753*(_xlfn.SINGLE(SalesTaxPercentage))))</f>
        <v>0</v>
      </c>
      <c r="K3753" s="696">
        <f t="shared" ref="K3753" si="2903">I3753+J3753</f>
        <v>0</v>
      </c>
      <c r="L3753" s="696"/>
      <c r="M3753" s="659" t="str">
        <f>IF(AND(G3753&gt;0,E3753=0),"WARNING - no PRICE inserted",IF(H3753="free"," FREE ~ no charge this plant",IF(H3753="credit",CONCATENATE(" -$",ROUND(K3753*(1-T2GDiscount)*-1,2)," CREDIT after discount"),IF(T2GDiscount=0,"",IF(G3753=0,"",IF(F3753="Buy",CONCATENATE(" $",ROUND(K3753*(1-T2GDiscount),2)," with ",(T2GDiscount*100),"% discount"),CONCATENATE(" $",ROUND(K3753*(1-T2GDiscount),2)," with ",((T2GDiscount*100+F3753*100)-(T2GDiscount*100*F3753)),IF(F3753&gt;0,"% discounts",IF(NoWarrantyDiscount&gt;0,"% discounts","% discount")))))))))</f>
        <v/>
      </c>
      <c r="N3753" s="660"/>
      <c r="O3753" s="233"/>
      <c r="P3753" s="233"/>
      <c r="Q3753" s="233"/>
      <c r="R3753" s="233"/>
      <c r="S3753" s="233"/>
      <c r="T3753" s="508">
        <f t="shared" si="2880"/>
        <v>0</v>
      </c>
      <c r="U3753" s="225">
        <f>IF(NOT(ISNUMBER(G3753)), "", VLOOKUP(A3753,'Discount Lookup'!D:E,2,FALSE)*G3753)</f>
        <v>0</v>
      </c>
      <c r="V3753" s="225">
        <f>IF(NOT(ISNUMBER(G3753)), "", VLOOKUP(A3753,'Discount Lookup'!G:H,2,FALSE)*G3753)</f>
        <v>0</v>
      </c>
      <c r="W3753" s="508">
        <f t="shared" si="2881"/>
        <v>0</v>
      </c>
      <c r="X3753" s="508">
        <f t="shared" si="2882"/>
        <v>0</v>
      </c>
      <c r="Y3753" s="509" t="b">
        <f t="shared" si="2883"/>
        <v>0</v>
      </c>
      <c r="Z3753" s="510">
        <f t="shared" si="2884"/>
        <v>0</v>
      </c>
      <c r="AA3753" s="511"/>
      <c r="AB3753" s="511" t="str">
        <f t="shared" si="2885"/>
        <v/>
      </c>
      <c r="AC3753" s="698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698"/>
      <c r="AE3753" s="631" t="str">
        <f t="shared" si="2886"/>
        <v/>
      </c>
      <c r="AF3753" s="699" t="str">
        <f t="shared" si="2887"/>
        <v/>
      </c>
      <c r="AG3753" s="699"/>
      <c r="AH3753" s="699"/>
      <c r="AI3753" s="512">
        <f>IF(H3753="credit",0,IF(AE3753="free",0,IF(AE3753="me",0,IF(G3753&gt;0,(VLOOKUP(A3753,'Discount Lookup'!J:K,2)*G3753),0))))</f>
        <v>0</v>
      </c>
      <c r="AJ3753" s="513" t="str">
        <f t="shared" ca="1" si="2888"/>
        <v/>
      </c>
      <c r="AK3753" s="700" t="str">
        <f t="shared" si="2889"/>
        <v/>
      </c>
      <c r="AL3753" s="700"/>
      <c r="AM3753" s="505" t="str">
        <f t="shared" si="2890"/>
        <v/>
      </c>
      <c r="AN3753" s="506"/>
      <c r="AO3753" s="507"/>
      <c r="AP3753" s="507"/>
      <c r="AQ3753" s="507"/>
      <c r="AR3753" s="507"/>
      <c r="AS3753" s="507"/>
      <c r="AT3753" s="507"/>
      <c r="AU3753" s="507"/>
      <c r="AV3753" s="225"/>
      <c r="AW3753" s="508"/>
      <c r="AX3753" s="225"/>
      <c r="AY3753" s="225"/>
      <c r="AZ3753" s="225"/>
      <c r="BA3753" s="225"/>
      <c r="BB3753" s="225"/>
      <c r="BC3753" s="56"/>
      <c r="BD3753" s="56"/>
      <c r="BE3753" s="56"/>
      <c r="BF3753" s="107" t="str">
        <f t="shared" si="2891"/>
        <v>https://www.google.com/search?tbm=isch&amp;q=7%20G4</v>
      </c>
      <c r="BG3753" s="107" t="str">
        <f t="shared" si="2892"/>
        <v>T</v>
      </c>
      <c r="BH3753" s="254"/>
      <c r="BI3753" s="254"/>
    </row>
    <row r="3754" spans="1:61" customFormat="1" ht="15.75" x14ac:dyDescent="0.25">
      <c r="A3754" s="276">
        <v>7</v>
      </c>
      <c r="B3754" s="240" t="s">
        <v>291</v>
      </c>
      <c r="C3754" s="241" t="s">
        <v>3816</v>
      </c>
      <c r="D3754" s="242" t="s">
        <v>292</v>
      </c>
      <c r="E3754" s="243">
        <v>107.95</v>
      </c>
      <c r="F3754" s="517" t="s">
        <v>293</v>
      </c>
      <c r="G3754" s="232">
        <v>0</v>
      </c>
      <c r="H3754" s="661" t="str">
        <f>IF(G3754=0,"",IF(F3754="Buy",IF(G3754=1,"plant","plants"),IF(F3754&gt;0.01,"warranty","Error")))</f>
        <v/>
      </c>
      <c r="I3754" s="244">
        <f>IF(H3754="free",0,IF(H3754="credit",((E3754*(F3754))*G3754*-1),IF(F3754="Buy",(E3754*G3754),((E3754*(1-F3754))*G3754))))</f>
        <v>0</v>
      </c>
      <c r="J3754" s="244">
        <f>IF(H3754="warranty",0,(I3754*(_xlfn.SINGLE(SalesTaxPercentage))))</f>
        <v>0</v>
      </c>
      <c r="K3754" s="696">
        <f t="shared" ref="K3754" si="2904">I3754+J3754</f>
        <v>0</v>
      </c>
      <c r="L3754" s="696"/>
      <c r="M3754" s="659" t="str">
        <f>IF(AND(G3754&gt;0,E3754=0),"WARNING - no PRICE inserted",IF(H3754="free"," FREE ~ no charge this plant",IF(H3754="credit",CONCATENATE(" -$",ROUND(K3754*(1-T2GDiscount)*-1,2)," CREDIT after discount"),IF(T2GDiscount=0,"",IF(G3754=0,"",IF(F3754="Buy",CONCATENATE(" $",ROUND(K3754*(1-T2GDiscount),2)," with ",(T2GDiscount*100),"% discount"),CONCATENATE(" $",ROUND(K3754*(1-T2GDiscount),2)," with ",((T2GDiscount*100+F3754*100)-(T2GDiscount*100*F3754)),IF(F3754&gt;0,"% discounts",IF(NoWarrantyDiscount&gt;0,"% discounts","% discount")))))))))</f>
        <v/>
      </c>
      <c r="N3754" s="660"/>
      <c r="O3754" s="233"/>
      <c r="P3754" s="233"/>
      <c r="Q3754" s="233"/>
      <c r="R3754" s="233"/>
      <c r="S3754" s="233"/>
      <c r="T3754" s="508">
        <f t="shared" si="2880"/>
        <v>0</v>
      </c>
      <c r="U3754" s="225">
        <f>IF(NOT(ISNUMBER(G3754)), "", VLOOKUP(A3754,'Discount Lookup'!D:E,2,FALSE)*G3754)</f>
        <v>0</v>
      </c>
      <c r="V3754" s="225">
        <f>IF(NOT(ISNUMBER(G3754)), "", VLOOKUP(A3754,'Discount Lookup'!G:H,2,FALSE)*G3754)</f>
        <v>0</v>
      </c>
      <c r="W3754" s="508">
        <f t="shared" si="2881"/>
        <v>0</v>
      </c>
      <c r="X3754" s="508">
        <f t="shared" si="2882"/>
        <v>0</v>
      </c>
      <c r="Y3754" s="509" t="b">
        <f t="shared" si="2883"/>
        <v>0</v>
      </c>
      <c r="Z3754" s="510">
        <f t="shared" si="2884"/>
        <v>0</v>
      </c>
      <c r="AA3754" s="511"/>
      <c r="AB3754" s="511" t="str">
        <f t="shared" si="2885"/>
        <v/>
      </c>
      <c r="AC3754" s="698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698"/>
      <c r="AE3754" s="631" t="str">
        <f t="shared" si="2886"/>
        <v/>
      </c>
      <c r="AF3754" s="699" t="str">
        <f t="shared" si="2887"/>
        <v/>
      </c>
      <c r="AG3754" s="699"/>
      <c r="AH3754" s="699"/>
      <c r="AI3754" s="512">
        <f>IF(H3754="credit",0,IF(AE3754="free",0,IF(AE3754="me",0,IF(G3754&gt;0,(VLOOKUP(A3754,'Discount Lookup'!J:K,2)*G3754),0))))</f>
        <v>0</v>
      </c>
      <c r="AJ3754" s="513" t="str">
        <f t="shared" ca="1" si="2888"/>
        <v/>
      </c>
      <c r="AK3754" s="700" t="str">
        <f t="shared" si="2889"/>
        <v/>
      </c>
      <c r="AL3754" s="700"/>
      <c r="AM3754" s="505" t="str">
        <f t="shared" si="2890"/>
        <v/>
      </c>
      <c r="AN3754" s="506"/>
      <c r="AO3754" s="507"/>
      <c r="AP3754" s="507"/>
      <c r="AQ3754" s="507"/>
      <c r="AR3754" s="507"/>
      <c r="AS3754" s="507"/>
      <c r="AT3754" s="507"/>
      <c r="AU3754" s="507"/>
      <c r="AV3754" s="225"/>
      <c r="AW3754" s="508"/>
      <c r="AX3754" s="225"/>
      <c r="AY3754" s="225"/>
      <c r="AZ3754" s="225"/>
      <c r="BA3754" s="225"/>
      <c r="BB3754" s="225"/>
      <c r="BC3754" s="56"/>
      <c r="BD3754" s="56"/>
      <c r="BE3754" s="56"/>
      <c r="BF3754" s="107" t="str">
        <f t="shared" si="2891"/>
        <v>https://www.google.com/search?tbm=isch&amp;q=7%20G4</v>
      </c>
      <c r="BG3754" s="107" t="str">
        <f t="shared" si="2892"/>
        <v>T</v>
      </c>
      <c r="BH3754" s="254"/>
      <c r="BI3754" s="254"/>
    </row>
    <row r="3755" spans="1:61" customFormat="1" ht="17.25" thickBot="1" x14ac:dyDescent="0.3">
      <c r="A3755" s="524" t="s">
        <v>4186</v>
      </c>
      <c r="B3755" s="245"/>
      <c r="C3755" s="677"/>
      <c r="D3755" s="499"/>
      <c r="E3755" s="499"/>
      <c r="F3755" s="500"/>
      <c r="G3755" s="501"/>
      <c r="H3755" s="502"/>
      <c r="I3755" s="246"/>
      <c r="J3755" s="247"/>
      <c r="K3755" s="503"/>
      <c r="L3755" s="544"/>
      <c r="M3755" s="544"/>
      <c r="N3755" s="500"/>
      <c r="O3755" s="500"/>
      <c r="P3755" s="500"/>
      <c r="Q3755" s="500"/>
      <c r="R3755" s="500"/>
      <c r="S3755" s="278"/>
      <c r="T3755" s="508">
        <f t="shared" si="2880"/>
        <v>0</v>
      </c>
      <c r="U3755" s="225" t="str">
        <f>IF(NOT(ISNUMBER(G3755)), "", VLOOKUP(A3755,'Discount Lookup'!D:E,2,FALSE)*G3755)</f>
        <v/>
      </c>
      <c r="V3755" s="225" t="str">
        <f>IF(NOT(ISNUMBER(G3755)), "", VLOOKUP(A3755,'Discount Lookup'!G:H,2,FALSE)*G3755)</f>
        <v/>
      </c>
      <c r="W3755" s="508">
        <f t="shared" si="2881"/>
        <v>0</v>
      </c>
      <c r="X3755" s="508">
        <f t="shared" si="2882"/>
        <v>0</v>
      </c>
      <c r="Y3755" s="509" t="b">
        <f t="shared" si="2883"/>
        <v>0</v>
      </c>
      <c r="Z3755" s="510">
        <f t="shared" si="2884"/>
        <v>0</v>
      </c>
      <c r="AA3755" s="511"/>
      <c r="AB3755" s="511" t="str">
        <f t="shared" si="2885"/>
        <v/>
      </c>
      <c r="AC3755" s="698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698"/>
      <c r="AE3755" s="631" t="str">
        <f t="shared" si="2886"/>
        <v/>
      </c>
      <c r="AF3755" s="699" t="str">
        <f t="shared" si="2887"/>
        <v/>
      </c>
      <c r="AG3755" s="699"/>
      <c r="AH3755" s="699"/>
      <c r="AI3755" s="512">
        <f>IF(H3755="credit",0,IF(AE3755="free",0,IF(AE3755="me",0,IF(G3755&gt;0,(VLOOKUP(A3755,'Discount Lookup'!J:K,2)*G3755),0))))</f>
        <v>0</v>
      </c>
      <c r="AJ3755" s="513" t="str">
        <f t="shared" ca="1" si="2888"/>
        <v/>
      </c>
      <c r="AK3755" s="700" t="str">
        <f t="shared" si="2889"/>
        <v/>
      </c>
      <c r="AL3755" s="700"/>
      <c r="AM3755" s="505" t="str">
        <f t="shared" si="2890"/>
        <v/>
      </c>
      <c r="AN3755" s="506"/>
      <c r="AO3755" s="507"/>
      <c r="AP3755" s="507"/>
      <c r="AQ3755" s="507"/>
      <c r="AR3755" s="507"/>
      <c r="AS3755" s="507"/>
      <c r="AT3755" s="507"/>
      <c r="AU3755" s="507"/>
      <c r="AV3755" s="225"/>
      <c r="AW3755" s="508"/>
      <c r="AX3755" s="225"/>
      <c r="AY3755" s="225"/>
      <c r="AZ3755" s="225"/>
      <c r="BA3755" s="225"/>
      <c r="BB3755" s="225"/>
      <c r="BC3755" s="56"/>
      <c r="BD3755" s="56"/>
      <c r="BE3755" s="56"/>
      <c r="BF3755" s="107" t="str">
        <f t="shared" si="2891"/>
        <v>https://www.google.com/search?tbm=isch&amp;q=Thunderstruck%20%27White%20Lightning%27%20named%20for%20foliage%20that%20turns%20from%20Green%20to%20dark%20Burgundy-Black%20by%20fall.%20</v>
      </c>
      <c r="BG3755" s="107" t="str">
        <f t="shared" si="2892"/>
        <v>T</v>
      </c>
      <c r="BH3755" s="254"/>
      <c r="BI3755" s="254"/>
    </row>
    <row r="3756" spans="1:61" customFormat="1" ht="18" x14ac:dyDescent="0.25">
      <c r="A3756" s="523" t="s">
        <v>1900</v>
      </c>
      <c r="B3756" s="235"/>
      <c r="C3756" s="676"/>
      <c r="D3756" s="255" t="s">
        <v>1901</v>
      </c>
      <c r="E3756" s="236"/>
      <c r="F3756" s="236"/>
      <c r="G3756" s="236"/>
      <c r="H3756" s="582" t="s">
        <v>463</v>
      </c>
      <c r="I3756" s="498" t="s">
        <v>2362</v>
      </c>
      <c r="J3756" s="237"/>
      <c r="K3756" s="237"/>
      <c r="L3756" s="274"/>
      <c r="M3756" s="668" t="s">
        <v>4962</v>
      </c>
      <c r="N3756" s="681" t="str">
        <f>IF(AND(ISTEXT($A3756), ISERROR($A3756+0)), HYPERLINK($BF3756, "Images"), "")</f>
        <v>Images</v>
      </c>
      <c r="O3756" s="663" t="s">
        <v>4971</v>
      </c>
      <c r="P3756" s="253"/>
      <c r="Q3756" s="238"/>
      <c r="R3756" s="239"/>
      <c r="S3756" s="275" t="s">
        <v>305</v>
      </c>
      <c r="T3756" s="508">
        <f t="shared" si="2880"/>
        <v>0</v>
      </c>
      <c r="U3756" s="225" t="str">
        <f>IF(NOT(ISNUMBER(G3756)), "", VLOOKUP(A3756,'Discount Lookup'!D:E,2,FALSE)*G3756)</f>
        <v/>
      </c>
      <c r="V3756" s="225" t="str">
        <f>IF(NOT(ISNUMBER(G3756)), "", VLOOKUP(A3756,'Discount Lookup'!G:H,2,FALSE)*G3756)</f>
        <v/>
      </c>
      <c r="W3756" s="508">
        <f t="shared" si="2881"/>
        <v>0</v>
      </c>
      <c r="X3756" s="508" t="str">
        <f t="shared" si="2882"/>
        <v>White to pale Pink bloom</v>
      </c>
      <c r="Y3756" s="509" t="b">
        <f t="shared" si="2883"/>
        <v>0</v>
      </c>
      <c r="Z3756" s="510">
        <f t="shared" si="2884"/>
        <v>0</v>
      </c>
      <c r="AA3756" s="511"/>
      <c r="AB3756" s="511" t="str">
        <f t="shared" si="2885"/>
        <v/>
      </c>
      <c r="AC3756" s="698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698"/>
      <c r="AE3756" s="631" t="str">
        <f t="shared" si="2886"/>
        <v/>
      </c>
      <c r="AF3756" s="699" t="str">
        <f t="shared" si="2887"/>
        <v/>
      </c>
      <c r="AG3756" s="699"/>
      <c r="AH3756" s="699"/>
      <c r="AI3756" s="512">
        <f>IF(H3756="credit",0,IF(AE3756="free",0,IF(AE3756="me",0,IF(G3756&gt;0,(VLOOKUP(A3756,'Discount Lookup'!J:K,2)*G3756),0))))</f>
        <v>0</v>
      </c>
      <c r="AJ3756" s="513" t="str">
        <f t="shared" ca="1" si="2888"/>
        <v/>
      </c>
      <c r="AK3756" s="700" t="str">
        <f t="shared" si="2889"/>
        <v/>
      </c>
      <c r="AL3756" s="700"/>
      <c r="AM3756" s="505" t="str">
        <f t="shared" si="2890"/>
        <v/>
      </c>
      <c r="AN3756" s="506"/>
      <c r="AO3756" s="507"/>
      <c r="AP3756" s="507"/>
      <c r="AQ3756" s="507"/>
      <c r="AR3756" s="507"/>
      <c r="AS3756" s="507"/>
      <c r="AT3756" s="507"/>
      <c r="AU3756" s="507"/>
      <c r="AV3756" s="225"/>
      <c r="AW3756" s="508"/>
      <c r="AX3756" s="225"/>
      <c r="AY3756" s="225"/>
      <c r="AZ3756" s="225"/>
      <c r="BA3756" s="225"/>
      <c r="BB3756" s="225"/>
      <c r="BC3756" s="56"/>
      <c r="BD3756" s="56"/>
      <c r="BE3756" s="56"/>
      <c r="BF3756" s="107" t="str">
        <f t="shared" si="2891"/>
        <v>https://www.google.com/search?tbm=isch&amp;q=Tifblue%20Blueberry%20Vac.%20ashei%20%27Tifblue%27</v>
      </c>
      <c r="BG3756" s="107" t="str">
        <f t="shared" si="2892"/>
        <v>T</v>
      </c>
      <c r="BH3756" s="254"/>
      <c r="BI3756" s="254"/>
    </row>
    <row r="3757" spans="1:61" customFormat="1" ht="15.75" x14ac:dyDescent="0.25">
      <c r="A3757" s="276">
        <v>3</v>
      </c>
      <c r="B3757" s="240" t="s">
        <v>291</v>
      </c>
      <c r="C3757" s="241"/>
      <c r="D3757" s="242" t="s">
        <v>298</v>
      </c>
      <c r="E3757" s="243">
        <v>25.95</v>
      </c>
      <c r="F3757" s="517" t="s">
        <v>293</v>
      </c>
      <c r="G3757" s="232">
        <v>0</v>
      </c>
      <c r="H3757" s="661" t="str">
        <f>IF(G3757=0,"",IF(F3757="Buy",IF(G3757=1,"plant","plants"),IF(F3757&gt;0.01,"warranty","Error")))</f>
        <v/>
      </c>
      <c r="I3757" s="244">
        <f>IF(H3757="free",0,IF(H3757="credit",((E3757*(F3757))*G3757*-1),IF(F3757="Buy",(E3757*G3757),((E3757*(1-F3757))*G3757))))</f>
        <v>0</v>
      </c>
      <c r="J3757" s="244">
        <f>IF(H3757="warranty",0,(I3757*(_xlfn.SINGLE(SalesTaxPercentage))))</f>
        <v>0</v>
      </c>
      <c r="K3757" s="696">
        <f t="shared" ref="K3757" si="2905">I3757+J3757</f>
        <v>0</v>
      </c>
      <c r="L3757" s="696"/>
      <c r="M3757" s="659" t="str">
        <f>IF(AND(G3757&gt;0,E3757=0),"WARNING - no PRICE inserted",IF(H3757="free"," FREE ~ no charge this plant",IF(H3757="credit",CONCATENATE(" -$",ROUND(K3757*(1-T2GDiscount)*-1,2)," CREDIT after discount"),IF(T2GDiscount=0,"",IF(G3757=0,"",IF(F3757="Buy",CONCATENATE(" $",ROUND(K3757*(1-T2GDiscount),2)," with ",(T2GDiscount*100),"% discount"),CONCATENATE(" $",ROUND(K3757*(1-T2GDiscount),2)," with ",((T2GDiscount*100+F3757*100)-(T2GDiscount*100*F3757)),IF(F3757&gt;0,"% discounts",IF(NoWarrantyDiscount&gt;0,"% discounts","% discount")))))))))</f>
        <v/>
      </c>
      <c r="N3757" s="660"/>
      <c r="O3757" s="233"/>
      <c r="P3757" s="233"/>
      <c r="Q3757" s="233"/>
      <c r="R3757" s="233"/>
      <c r="S3757" s="233"/>
      <c r="T3757" s="508">
        <f t="shared" si="2880"/>
        <v>0</v>
      </c>
      <c r="U3757" s="225">
        <f>IF(NOT(ISNUMBER(G3757)), "", VLOOKUP(A3757,'Discount Lookup'!D:E,2,FALSE)*G3757)</f>
        <v>0</v>
      </c>
      <c r="V3757" s="225">
        <f>IF(NOT(ISNUMBER(G3757)), "", VLOOKUP(A3757,'Discount Lookup'!G:H,2,FALSE)*G3757)</f>
        <v>0</v>
      </c>
      <c r="W3757" s="508">
        <f t="shared" si="2881"/>
        <v>0</v>
      </c>
      <c r="X3757" s="508">
        <f t="shared" si="2882"/>
        <v>0</v>
      </c>
      <c r="Y3757" s="509" t="b">
        <f t="shared" si="2883"/>
        <v>0</v>
      </c>
      <c r="Z3757" s="510">
        <f t="shared" si="2884"/>
        <v>0</v>
      </c>
      <c r="AA3757" s="511"/>
      <c r="AB3757" s="511" t="str">
        <f t="shared" si="2885"/>
        <v/>
      </c>
      <c r="AC3757" s="698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698"/>
      <c r="AE3757" s="631" t="str">
        <f t="shared" si="2886"/>
        <v/>
      </c>
      <c r="AF3757" s="699" t="str">
        <f t="shared" si="2887"/>
        <v/>
      </c>
      <c r="AG3757" s="699"/>
      <c r="AH3757" s="699"/>
      <c r="AI3757" s="512">
        <f>IF(H3757="credit",0,IF(AE3757="free",0,IF(AE3757="me",0,IF(G3757&gt;0,(VLOOKUP(A3757,'Discount Lookup'!J:K,2)*G3757),0))))</f>
        <v>0</v>
      </c>
      <c r="AJ3757" s="513" t="str">
        <f t="shared" ca="1" si="2888"/>
        <v/>
      </c>
      <c r="AK3757" s="700" t="str">
        <f t="shared" si="2889"/>
        <v/>
      </c>
      <c r="AL3757" s="700"/>
      <c r="AM3757" s="505" t="str">
        <f t="shared" si="2890"/>
        <v/>
      </c>
      <c r="AN3757" s="506"/>
      <c r="AO3757" s="507"/>
      <c r="AP3757" s="507"/>
      <c r="AQ3757" s="507"/>
      <c r="AR3757" s="507"/>
      <c r="AS3757" s="507"/>
      <c r="AT3757" s="507"/>
      <c r="AU3757" s="507"/>
      <c r="AV3757" s="225"/>
      <c r="AW3757" s="508"/>
      <c r="AX3757" s="225"/>
      <c r="AY3757" s="225"/>
      <c r="AZ3757" s="225"/>
      <c r="BA3757" s="225"/>
      <c r="BB3757" s="225"/>
      <c r="BC3757" s="56"/>
      <c r="BD3757" s="56"/>
      <c r="BE3757" s="56"/>
      <c r="BF3757" s="107" t="str">
        <f t="shared" si="2891"/>
        <v>https://www.google.com/search?tbm=isch&amp;q=3%20G1</v>
      </c>
      <c r="BG3757" s="107" t="str">
        <f t="shared" si="2892"/>
        <v>T</v>
      </c>
      <c r="BH3757" s="254"/>
      <c r="BI3757" s="254"/>
    </row>
    <row r="3758" spans="1:61" customFormat="1" ht="15.75" x14ac:dyDescent="0.25">
      <c r="A3758" s="276">
        <v>3</v>
      </c>
      <c r="B3758" s="240" t="s">
        <v>291</v>
      </c>
      <c r="C3758" s="241" t="s">
        <v>2819</v>
      </c>
      <c r="D3758" s="242" t="s">
        <v>299</v>
      </c>
      <c r="E3758" s="243">
        <v>32.950000000000003</v>
      </c>
      <c r="F3758" s="517" t="s">
        <v>293</v>
      </c>
      <c r="G3758" s="232">
        <v>0</v>
      </c>
      <c r="H3758" s="661" t="str">
        <f>IF(G3758=0,"",IF(F3758="Buy",IF(G3758=1,"plant","plants"),IF(F3758&gt;0.01,"warranty","Error")))</f>
        <v/>
      </c>
      <c r="I3758" s="244">
        <f>IF(H3758="free",0,IF(H3758="credit",((E3758*(F3758))*G3758*-1),IF(F3758="Buy",(E3758*G3758),((E3758*(1-F3758))*G3758))))</f>
        <v>0</v>
      </c>
      <c r="J3758" s="244">
        <f>IF(H3758="warranty",0,(I3758*(_xlfn.SINGLE(SalesTaxPercentage))))</f>
        <v>0</v>
      </c>
      <c r="K3758" s="696">
        <f t="shared" ref="K3758" si="2906">I3758+J3758</f>
        <v>0</v>
      </c>
      <c r="L3758" s="696"/>
      <c r="M3758" s="659" t="str">
        <f>IF(AND(G3758&gt;0,E3758=0),"WARNING - no PRICE inserted",IF(H3758="free"," FREE ~ no charge this plant",IF(H3758="credit",CONCATENATE(" -$",ROUND(K3758*(1-T2GDiscount)*-1,2)," CREDIT after discount"),IF(T2GDiscount=0,"",IF(G3758=0,"",IF(F3758="Buy",CONCATENATE(" $",ROUND(K3758*(1-T2GDiscount),2)," with ",(T2GDiscount*100),"% discount"),CONCATENATE(" $",ROUND(K3758*(1-T2GDiscount),2)," with ",((T2GDiscount*100+F3758*100)-(T2GDiscount*100*F3758)),IF(F3758&gt;0,"% discounts",IF(NoWarrantyDiscount&gt;0,"% discounts","% discount")))))))))</f>
        <v/>
      </c>
      <c r="N3758" s="660"/>
      <c r="O3758" s="233"/>
      <c r="P3758" s="233"/>
      <c r="Q3758" s="233"/>
      <c r="R3758" s="233"/>
      <c r="S3758" s="233"/>
      <c r="T3758" s="508">
        <f t="shared" si="2880"/>
        <v>0</v>
      </c>
      <c r="U3758" s="225">
        <f>IF(NOT(ISNUMBER(G3758)), "", VLOOKUP(A3758,'Discount Lookup'!D:E,2,FALSE)*G3758)</f>
        <v>0</v>
      </c>
      <c r="V3758" s="225">
        <f>IF(NOT(ISNUMBER(G3758)), "", VLOOKUP(A3758,'Discount Lookup'!G:H,2,FALSE)*G3758)</f>
        <v>0</v>
      </c>
      <c r="W3758" s="508">
        <f t="shared" si="2881"/>
        <v>0</v>
      </c>
      <c r="X3758" s="508">
        <f t="shared" si="2882"/>
        <v>0</v>
      </c>
      <c r="Y3758" s="509" t="b">
        <f t="shared" si="2883"/>
        <v>0</v>
      </c>
      <c r="Z3758" s="510">
        <f t="shared" si="2884"/>
        <v>0</v>
      </c>
      <c r="AA3758" s="511"/>
      <c r="AB3758" s="511" t="str">
        <f t="shared" si="2885"/>
        <v/>
      </c>
      <c r="AC3758" s="698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698"/>
      <c r="AE3758" s="631" t="str">
        <f t="shared" si="2886"/>
        <v/>
      </c>
      <c r="AF3758" s="699" t="str">
        <f t="shared" si="2887"/>
        <v/>
      </c>
      <c r="AG3758" s="699"/>
      <c r="AH3758" s="699"/>
      <c r="AI3758" s="512">
        <f>IF(H3758="credit",0,IF(AE3758="free",0,IF(AE3758="me",0,IF(G3758&gt;0,(VLOOKUP(A3758,'Discount Lookup'!J:K,2)*G3758),0))))</f>
        <v>0</v>
      </c>
      <c r="AJ3758" s="513" t="str">
        <f t="shared" ca="1" si="2888"/>
        <v/>
      </c>
      <c r="AK3758" s="700" t="str">
        <f t="shared" si="2889"/>
        <v/>
      </c>
      <c r="AL3758" s="700"/>
      <c r="AM3758" s="505" t="str">
        <f t="shared" si="2890"/>
        <v/>
      </c>
      <c r="AN3758" s="506"/>
      <c r="AO3758" s="507"/>
      <c r="AP3758" s="507"/>
      <c r="AQ3758" s="507"/>
      <c r="AR3758" s="507"/>
      <c r="AS3758" s="507"/>
      <c r="AT3758" s="507"/>
      <c r="AU3758" s="507"/>
      <c r="AV3758" s="225"/>
      <c r="AW3758" s="508"/>
      <c r="AX3758" s="225"/>
      <c r="AY3758" s="225"/>
      <c r="AZ3758" s="225"/>
      <c r="BA3758" s="225"/>
      <c r="BB3758" s="225"/>
      <c r="BC3758" s="56"/>
      <c r="BD3758" s="56"/>
      <c r="BE3758" s="56"/>
      <c r="BF3758" s="107" t="str">
        <f t="shared" si="2891"/>
        <v>https://www.google.com/search?tbm=isch&amp;q=3%20G5</v>
      </c>
      <c r="BG3758" s="107" t="str">
        <f t="shared" si="2892"/>
        <v>T</v>
      </c>
      <c r="BH3758" s="254"/>
      <c r="BI3758" s="254"/>
    </row>
    <row r="3759" spans="1:61" customFormat="1" ht="17.25" thickBot="1" x14ac:dyDescent="0.3">
      <c r="A3759" s="673" t="s">
        <v>5263</v>
      </c>
      <c r="B3759" s="245"/>
      <c r="C3759" s="677"/>
      <c r="D3759" s="499"/>
      <c r="E3759" s="499"/>
      <c r="F3759" s="500"/>
      <c r="G3759" s="501"/>
      <c r="H3759" s="502"/>
      <c r="I3759" s="246"/>
      <c r="J3759" s="247"/>
      <c r="K3759" s="503"/>
      <c r="L3759" s="544"/>
      <c r="M3759" s="544"/>
      <c r="N3759" s="500"/>
      <c r="O3759" s="500"/>
      <c r="P3759" s="500"/>
      <c r="Q3759" s="500"/>
      <c r="R3759" s="500"/>
      <c r="S3759" s="669" t="s">
        <v>5005</v>
      </c>
      <c r="T3759" s="508">
        <f t="shared" si="2880"/>
        <v>0</v>
      </c>
      <c r="U3759" s="225" t="str">
        <f>IF(NOT(ISNUMBER(G3759)), "", VLOOKUP(A3759,'Discount Lookup'!D:E,2,FALSE)*G3759)</f>
        <v/>
      </c>
      <c r="V3759" s="225" t="str">
        <f>IF(NOT(ISNUMBER(G3759)), "", VLOOKUP(A3759,'Discount Lookup'!G:H,2,FALSE)*G3759)</f>
        <v/>
      </c>
      <c r="W3759" s="508">
        <f t="shared" si="2881"/>
        <v>0</v>
      </c>
      <c r="X3759" s="508">
        <f t="shared" si="2882"/>
        <v>0</v>
      </c>
      <c r="Y3759" s="509" t="b">
        <f t="shared" si="2883"/>
        <v>0</v>
      </c>
      <c r="Z3759" s="510">
        <f t="shared" si="2884"/>
        <v>0</v>
      </c>
      <c r="AA3759" s="511"/>
      <c r="AB3759" s="511" t="str">
        <f t="shared" si="2885"/>
        <v/>
      </c>
      <c r="AC3759" s="698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698"/>
      <c r="AE3759" s="631" t="str">
        <f t="shared" si="2886"/>
        <v/>
      </c>
      <c r="AF3759" s="699" t="str">
        <f t="shared" si="2887"/>
        <v/>
      </c>
      <c r="AG3759" s="699"/>
      <c r="AH3759" s="699"/>
      <c r="AI3759" s="512">
        <f>IF(H3759="credit",0,IF(AE3759="free",0,IF(AE3759="me",0,IF(G3759&gt;0,(VLOOKUP(A3759,'Discount Lookup'!J:K,2)*G3759),0))))</f>
        <v>0</v>
      </c>
      <c r="AJ3759" s="513" t="str">
        <f t="shared" ca="1" si="2888"/>
        <v/>
      </c>
      <c r="AK3759" s="700" t="str">
        <f t="shared" si="2889"/>
        <v/>
      </c>
      <c r="AL3759" s="700"/>
      <c r="AM3759" s="505" t="str">
        <f t="shared" si="2890"/>
        <v/>
      </c>
      <c r="AN3759" s="506"/>
      <c r="AO3759" s="507"/>
      <c r="AP3759" s="507"/>
      <c r="AQ3759" s="507"/>
      <c r="AR3759" s="507"/>
      <c r="AS3759" s="507"/>
      <c r="AT3759" s="507"/>
      <c r="AU3759" s="507"/>
      <c r="AV3759" s="225"/>
      <c r="AW3759" s="508"/>
      <c r="AX3759" s="225"/>
      <c r="AY3759" s="225"/>
      <c r="AZ3759" s="225"/>
      <c r="BA3759" s="225"/>
      <c r="BB3759" s="225"/>
      <c r="BC3759" s="56"/>
      <c r="BD3759" s="56"/>
      <c r="BE3759" s="56"/>
      <c r="BF3759" s="107" t="str">
        <f t="shared" si="2891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759" s="107" t="str">
        <f t="shared" si="2892"/>
        <v>m</v>
      </c>
      <c r="BH3759" s="254"/>
      <c r="BI3759" s="254"/>
    </row>
    <row r="3760" spans="1:61" customFormat="1" ht="18" x14ac:dyDescent="0.25">
      <c r="A3760" s="523" t="s">
        <v>1902</v>
      </c>
      <c r="B3760" s="235"/>
      <c r="C3760" s="676"/>
      <c r="D3760" s="255" t="s">
        <v>1903</v>
      </c>
      <c r="E3760" s="236"/>
      <c r="F3760" s="236"/>
      <c r="G3760" s="236"/>
      <c r="H3760" s="582" t="s">
        <v>1521</v>
      </c>
      <c r="I3760" s="498" t="s">
        <v>2520</v>
      </c>
      <c r="J3760" s="237"/>
      <c r="K3760" s="237"/>
      <c r="L3760" s="274"/>
      <c r="M3760" s="670" t="s">
        <v>4973</v>
      </c>
      <c r="N3760" s="681" t="str">
        <f>IF(AND(ISTEXT($A3760), ISERROR($A3760+0)), HYPERLINK($BF3760, "Images"), "")</f>
        <v>Images</v>
      </c>
      <c r="O3760" s="663" t="s">
        <v>4967</v>
      </c>
      <c r="P3760" s="253"/>
      <c r="Q3760" s="238"/>
      <c r="R3760" s="239"/>
      <c r="S3760" s="275"/>
      <c r="T3760" s="508">
        <f t="shared" si="2880"/>
        <v>0</v>
      </c>
      <c r="U3760" s="225" t="str">
        <f>IF(NOT(ISNUMBER(G3760)), "", VLOOKUP(A3760,'Discount Lookup'!D:E,2,FALSE)*G3760)</f>
        <v/>
      </c>
      <c r="V3760" s="225" t="str">
        <f>IF(NOT(ISNUMBER(G3760)), "", VLOOKUP(A3760,'Discount Lookup'!G:H,2,FALSE)*G3760)</f>
        <v/>
      </c>
      <c r="W3760" s="508">
        <f t="shared" si="2881"/>
        <v>0</v>
      </c>
      <c r="X3760" s="508" t="str">
        <f t="shared" si="2882"/>
        <v>Variegated Pink-Chartreuse</v>
      </c>
      <c r="Y3760" s="509" t="b">
        <f t="shared" si="2883"/>
        <v>0</v>
      </c>
      <c r="Z3760" s="510">
        <f t="shared" si="2884"/>
        <v>0</v>
      </c>
      <c r="AA3760" s="511"/>
      <c r="AB3760" s="511" t="str">
        <f t="shared" si="2885"/>
        <v/>
      </c>
      <c r="AC3760" s="698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698"/>
      <c r="AE3760" s="631" t="str">
        <f t="shared" si="2886"/>
        <v/>
      </c>
      <c r="AF3760" s="699" t="str">
        <f t="shared" si="2887"/>
        <v/>
      </c>
      <c r="AG3760" s="699"/>
      <c r="AH3760" s="699"/>
      <c r="AI3760" s="512">
        <f>IF(H3760="credit",0,IF(AE3760="free",0,IF(AE3760="me",0,IF(G3760&gt;0,(VLOOKUP(A3760,'Discount Lookup'!J:K,2)*G3760),0))))</f>
        <v>0</v>
      </c>
      <c r="AJ3760" s="513" t="str">
        <f t="shared" ca="1" si="2888"/>
        <v/>
      </c>
      <c r="AK3760" s="700" t="str">
        <f t="shared" si="2889"/>
        <v/>
      </c>
      <c r="AL3760" s="700"/>
      <c r="AM3760" s="505" t="str">
        <f t="shared" si="2890"/>
        <v/>
      </c>
      <c r="AN3760" s="506"/>
      <c r="AO3760" s="507"/>
      <c r="AP3760" s="507"/>
      <c r="AQ3760" s="507"/>
      <c r="AR3760" s="507"/>
      <c r="AS3760" s="507"/>
      <c r="AT3760" s="507"/>
      <c r="AU3760" s="507"/>
      <c r="AV3760" s="225"/>
      <c r="AW3760" s="508"/>
      <c r="AX3760" s="225"/>
      <c r="AY3760" s="225"/>
      <c r="AZ3760" s="225"/>
      <c r="BA3760" s="225"/>
      <c r="BB3760" s="225"/>
      <c r="BC3760" s="56"/>
      <c r="BD3760" s="56"/>
      <c r="BE3760" s="56"/>
      <c r="BF3760" s="107" t="str">
        <f t="shared" si="2891"/>
        <v>https://www.google.com/search?tbm=isch&amp;q=Tiger%20Rose%20Japanese%20Maple%20Acer%20palmatum%20%27Tiger%20Rose%27</v>
      </c>
      <c r="BG3760" s="107" t="str">
        <f t="shared" si="2892"/>
        <v>T</v>
      </c>
      <c r="BH3760" s="254"/>
      <c r="BI3760" s="254"/>
    </row>
    <row r="3761" spans="1:61" customFormat="1" ht="15.75" x14ac:dyDescent="0.25">
      <c r="A3761" s="276">
        <v>25</v>
      </c>
      <c r="B3761" s="240" t="s">
        <v>291</v>
      </c>
      <c r="C3761" s="241" t="s">
        <v>3817</v>
      </c>
      <c r="D3761" s="242" t="s">
        <v>292</v>
      </c>
      <c r="E3761" s="243">
        <v>665.95</v>
      </c>
      <c r="F3761" s="517" t="s">
        <v>293</v>
      </c>
      <c r="G3761" s="232">
        <v>0</v>
      </c>
      <c r="H3761" s="661" t="str">
        <f>IF(G3761=0,"",IF(F3761="Buy",IF(G3761=1,"plant","plants"),IF(F3761&gt;0.01,"warranty","Error")))</f>
        <v/>
      </c>
      <c r="I3761" s="244">
        <f>IF(H3761="free",0,IF(H3761="credit",((E3761*(F3761))*G3761*-1),IF(F3761="Buy",(E3761*G3761),((E3761*(1-F3761))*G3761))))</f>
        <v>0</v>
      </c>
      <c r="J3761" s="244">
        <f>IF(H3761="warranty",0,(I3761*(_xlfn.SINGLE(SalesTaxPercentage))))</f>
        <v>0</v>
      </c>
      <c r="K3761" s="696">
        <f t="shared" ref="K3761" si="2907">I3761+J3761</f>
        <v>0</v>
      </c>
      <c r="L3761" s="696"/>
      <c r="M3761" s="659" t="str">
        <f>IF(AND(G3761&gt;0,E3761=0),"WARNING - no PRICE inserted",IF(H3761="free"," FREE ~ no charge this plant",IF(H3761="credit",CONCATENATE(" -$",ROUND(K3761*(1-T2GDiscount)*-1,2)," CREDIT after discount"),IF(T2GDiscount=0,"",IF(G3761=0,"",IF(F3761="Buy",CONCATENATE(" $",ROUND(K3761*(1-T2GDiscount),2)," with ",(T2GDiscount*100),"% discount"),CONCATENATE(" $",ROUND(K3761*(1-T2GDiscount),2)," with ",((T2GDiscount*100+F3761*100)-(T2GDiscount*100*F3761)),IF(F3761&gt;0,"% discounts",IF(NoWarrantyDiscount&gt;0,"% discounts","% discount")))))))))</f>
        <v/>
      </c>
      <c r="N3761" s="660"/>
      <c r="O3761" s="233"/>
      <c r="P3761" s="233"/>
      <c r="Q3761" s="233"/>
      <c r="R3761" s="233"/>
      <c r="S3761" s="233"/>
      <c r="T3761" s="508">
        <f t="shared" si="2880"/>
        <v>0</v>
      </c>
      <c r="U3761" s="225">
        <f>IF(NOT(ISNUMBER(G3761)), "", VLOOKUP(A3761,'Discount Lookup'!D:E,2,FALSE)*G3761)</f>
        <v>0</v>
      </c>
      <c r="V3761" s="225">
        <f>IF(NOT(ISNUMBER(G3761)), "", VLOOKUP(A3761,'Discount Lookup'!G:H,2,FALSE)*G3761)</f>
        <v>0</v>
      </c>
      <c r="W3761" s="508">
        <f t="shared" si="2881"/>
        <v>0</v>
      </c>
      <c r="X3761" s="508">
        <f t="shared" si="2882"/>
        <v>0</v>
      </c>
      <c r="Y3761" s="509" t="b">
        <f t="shared" si="2883"/>
        <v>0</v>
      </c>
      <c r="Z3761" s="510">
        <f t="shared" si="2884"/>
        <v>0</v>
      </c>
      <c r="AA3761" s="511"/>
      <c r="AB3761" s="511" t="str">
        <f t="shared" si="2885"/>
        <v/>
      </c>
      <c r="AC3761" s="698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698"/>
      <c r="AE3761" s="631" t="str">
        <f t="shared" si="2886"/>
        <v/>
      </c>
      <c r="AF3761" s="699" t="str">
        <f t="shared" si="2887"/>
        <v/>
      </c>
      <c r="AG3761" s="699"/>
      <c r="AH3761" s="699"/>
      <c r="AI3761" s="512">
        <f>IF(H3761="credit",0,IF(AE3761="free",0,IF(AE3761="me",0,IF(G3761&gt;0,(VLOOKUP(A3761,'Discount Lookup'!J:K,2)*G3761),0))))</f>
        <v>0</v>
      </c>
      <c r="AJ3761" s="513" t="str">
        <f t="shared" ca="1" si="2888"/>
        <v/>
      </c>
      <c r="AK3761" s="700" t="str">
        <f t="shared" si="2889"/>
        <v/>
      </c>
      <c r="AL3761" s="700"/>
      <c r="AM3761" s="505" t="str">
        <f t="shared" si="2890"/>
        <v/>
      </c>
      <c r="AN3761" s="506"/>
      <c r="AO3761" s="507"/>
      <c r="AP3761" s="507"/>
      <c r="AQ3761" s="507"/>
      <c r="AR3761" s="507"/>
      <c r="AS3761" s="507"/>
      <c r="AT3761" s="507"/>
      <c r="AU3761" s="507"/>
      <c r="AV3761" s="225"/>
      <c r="AW3761" s="508"/>
      <c r="AX3761" s="225"/>
      <c r="AY3761" s="225"/>
      <c r="AZ3761" s="225"/>
      <c r="BA3761" s="225"/>
      <c r="BB3761" s="225"/>
      <c r="BC3761" s="56"/>
      <c r="BD3761" s="56"/>
      <c r="BE3761" s="56"/>
      <c r="BF3761" s="107" t="str">
        <f t="shared" si="2891"/>
        <v>https://www.google.com/search?tbm=isch&amp;q=25%20G4</v>
      </c>
      <c r="BG3761" s="107" t="str">
        <f t="shared" si="2892"/>
        <v>T</v>
      </c>
      <c r="BH3761" s="254"/>
      <c r="BI3761" s="254"/>
    </row>
    <row r="3762" spans="1:61" customFormat="1" ht="17.25" thickBot="1" x14ac:dyDescent="0.3">
      <c r="A3762" s="524" t="s">
        <v>2699</v>
      </c>
      <c r="B3762" s="245"/>
      <c r="C3762" s="677"/>
      <c r="D3762" s="499"/>
      <c r="E3762" s="499"/>
      <c r="F3762" s="500"/>
      <c r="G3762" s="501"/>
      <c r="H3762" s="502"/>
      <c r="I3762" s="246"/>
      <c r="J3762" s="247"/>
      <c r="K3762" s="503"/>
      <c r="L3762" s="544"/>
      <c r="M3762" s="544"/>
      <c r="N3762" s="500"/>
      <c r="O3762" s="500"/>
      <c r="P3762" s="500"/>
      <c r="Q3762" s="500"/>
      <c r="R3762" s="500"/>
      <c r="S3762" s="278"/>
      <c r="T3762" s="508">
        <f t="shared" si="2880"/>
        <v>0</v>
      </c>
      <c r="U3762" s="225" t="str">
        <f>IF(NOT(ISNUMBER(G3762)), "", VLOOKUP(A3762,'Discount Lookup'!D:E,2,FALSE)*G3762)</f>
        <v/>
      </c>
      <c r="V3762" s="225" t="str">
        <f>IF(NOT(ISNUMBER(G3762)), "", VLOOKUP(A3762,'Discount Lookup'!G:H,2,FALSE)*G3762)</f>
        <v/>
      </c>
      <c r="W3762" s="508">
        <f t="shared" si="2881"/>
        <v>0</v>
      </c>
      <c r="X3762" s="508">
        <f t="shared" si="2882"/>
        <v>0</v>
      </c>
      <c r="Y3762" s="509" t="b">
        <f t="shared" si="2883"/>
        <v>0</v>
      </c>
      <c r="Z3762" s="510">
        <f t="shared" si="2884"/>
        <v>0</v>
      </c>
      <c r="AA3762" s="511"/>
      <c r="AB3762" s="511" t="str">
        <f t="shared" si="2885"/>
        <v/>
      </c>
      <c r="AC3762" s="698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698"/>
      <c r="AE3762" s="631" t="str">
        <f t="shared" si="2886"/>
        <v/>
      </c>
      <c r="AF3762" s="699" t="str">
        <f t="shared" si="2887"/>
        <v/>
      </c>
      <c r="AG3762" s="699"/>
      <c r="AH3762" s="699"/>
      <c r="AI3762" s="512">
        <f>IF(H3762="credit",0,IF(AE3762="free",0,IF(AE3762="me",0,IF(G3762&gt;0,(VLOOKUP(A3762,'Discount Lookup'!J:K,2)*G3762),0))))</f>
        <v>0</v>
      </c>
      <c r="AJ3762" s="513" t="str">
        <f t="shared" ca="1" si="2888"/>
        <v/>
      </c>
      <c r="AK3762" s="700" t="str">
        <f t="shared" si="2889"/>
        <v/>
      </c>
      <c r="AL3762" s="700"/>
      <c r="AM3762" s="505" t="str">
        <f t="shared" si="2890"/>
        <v/>
      </c>
      <c r="AN3762" s="506"/>
      <c r="AO3762" s="507"/>
      <c r="AP3762" s="507"/>
      <c r="AQ3762" s="507"/>
      <c r="AR3762" s="507"/>
      <c r="AS3762" s="507"/>
      <c r="AT3762" s="507"/>
      <c r="AU3762" s="507"/>
      <c r="AV3762" s="225"/>
      <c r="AW3762" s="508"/>
      <c r="AX3762" s="225"/>
      <c r="AY3762" s="225"/>
      <c r="AZ3762" s="225"/>
      <c r="BA3762" s="225"/>
      <c r="BB3762" s="225"/>
      <c r="BC3762" s="56"/>
      <c r="BD3762" s="56"/>
      <c r="BE3762" s="56"/>
      <c r="BF3762" s="107" t="str">
        <f t="shared" si="2891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3762" s="107" t="str">
        <f t="shared" si="2892"/>
        <v>T</v>
      </c>
      <c r="BH3762" s="254"/>
      <c r="BI3762" s="254"/>
    </row>
    <row r="3763" spans="1:61" customFormat="1" ht="18" x14ac:dyDescent="0.25">
      <c r="A3763" s="521" t="s">
        <v>1904</v>
      </c>
      <c r="B3763" s="477"/>
      <c r="C3763" s="674"/>
      <c r="D3763" s="478" t="s">
        <v>1905</v>
      </c>
      <c r="E3763" s="479"/>
      <c r="F3763" s="479"/>
      <c r="G3763" s="479"/>
      <c r="H3763" s="582" t="s">
        <v>720</v>
      </c>
      <c r="I3763" s="480" t="s">
        <v>2093</v>
      </c>
      <c r="J3763" s="479"/>
      <c r="K3763" s="479"/>
      <c r="L3763" s="560"/>
      <c r="M3763" s="671" t="s">
        <v>4985</v>
      </c>
      <c r="N3763" s="680" t="str">
        <f>IF(AND(ISTEXT($A3763), ISERROR($A3763+0)), HYPERLINK($BF3763, "Images"), "")</f>
        <v>Images</v>
      </c>
      <c r="O3763" s="662" t="s">
        <v>4969</v>
      </c>
      <c r="P3763" s="482"/>
      <c r="Q3763" s="483"/>
      <c r="R3763" s="483"/>
      <c r="S3763" s="484"/>
      <c r="T3763" s="508">
        <f t="shared" si="2880"/>
        <v>0</v>
      </c>
      <c r="U3763" s="225" t="str">
        <f>IF(NOT(ISNUMBER(G3763)), "", VLOOKUP(A3763,'Discount Lookup'!D:E,2,FALSE)*G3763)</f>
        <v/>
      </c>
      <c r="V3763" s="225" t="str">
        <f>IF(NOT(ISNUMBER(G3763)), "", VLOOKUP(A3763,'Discount Lookup'!G:H,2,FALSE)*G3763)</f>
        <v/>
      </c>
      <c r="W3763" s="508">
        <f t="shared" si="2881"/>
        <v>0</v>
      </c>
      <c r="X3763" s="508" t="str">
        <f t="shared" si="2882"/>
        <v>Dark Green foliage</v>
      </c>
      <c r="Y3763" s="509" t="b">
        <f t="shared" si="2883"/>
        <v>0</v>
      </c>
      <c r="Z3763" s="510">
        <f t="shared" si="2884"/>
        <v>0</v>
      </c>
      <c r="AA3763" s="511"/>
      <c r="AB3763" s="511" t="str">
        <f t="shared" si="2885"/>
        <v/>
      </c>
      <c r="AC3763" s="698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698"/>
      <c r="AE3763" s="631" t="str">
        <f t="shared" si="2886"/>
        <v/>
      </c>
      <c r="AF3763" s="699" t="str">
        <f t="shared" si="2887"/>
        <v/>
      </c>
      <c r="AG3763" s="699"/>
      <c r="AH3763" s="699"/>
      <c r="AI3763" s="512">
        <f>IF(H3763="credit",0,IF(AE3763="free",0,IF(AE3763="me",0,IF(G3763&gt;0,(VLOOKUP(A3763,'Discount Lookup'!J:K,2)*G3763),0))))</f>
        <v>0</v>
      </c>
      <c r="AJ3763" s="513" t="str">
        <f t="shared" ca="1" si="2888"/>
        <v/>
      </c>
      <c r="AK3763" s="700" t="str">
        <f t="shared" si="2889"/>
        <v/>
      </c>
      <c r="AL3763" s="700"/>
      <c r="AM3763" s="505" t="str">
        <f t="shared" si="2890"/>
        <v/>
      </c>
      <c r="AN3763" s="506"/>
      <c r="AO3763" s="507"/>
      <c r="AP3763" s="507"/>
      <c r="AQ3763" s="507"/>
      <c r="AR3763" s="507"/>
      <c r="AS3763" s="507"/>
      <c r="AT3763" s="507"/>
      <c r="AU3763" s="507"/>
      <c r="AV3763" s="225"/>
      <c r="AW3763" s="508"/>
      <c r="AX3763" s="225"/>
      <c r="AY3763" s="225"/>
      <c r="AZ3763" s="225"/>
      <c r="BA3763" s="225"/>
      <c r="BB3763" s="225"/>
      <c r="BC3763" s="56"/>
      <c r="BD3763" s="56"/>
      <c r="BE3763" s="56"/>
      <c r="BF3763" s="107" t="str">
        <f t="shared" si="2891"/>
        <v>https://www.google.com/search?tbm=isch&amp;q=Tightwad%20Japanese%20Plum%20Yew%20Cephalotaxus%20harringtonia%20%27Tightwad%27</v>
      </c>
      <c r="BG3763" s="107" t="str">
        <f t="shared" si="2892"/>
        <v>T</v>
      </c>
      <c r="BH3763" s="254"/>
      <c r="BI3763" s="254"/>
    </row>
    <row r="3764" spans="1:61" customFormat="1" ht="40.5" x14ac:dyDescent="0.25">
      <c r="A3764" s="485">
        <v>5</v>
      </c>
      <c r="B3764" s="486" t="s">
        <v>291</v>
      </c>
      <c r="C3764" s="487" t="s">
        <v>3818</v>
      </c>
      <c r="D3764" s="488" t="s">
        <v>292</v>
      </c>
      <c r="E3764" s="489">
        <v>123.95</v>
      </c>
      <c r="F3764" s="516" t="s">
        <v>293</v>
      </c>
      <c r="G3764" s="232">
        <v>0</v>
      </c>
      <c r="H3764" s="658" t="str">
        <f>IF(G3764=0,"",IF(F3764="Buy",IF(G3764=1,"plant","plants"),IF(F3764&gt;0.01,"warranty","Error")))</f>
        <v/>
      </c>
      <c r="I3764" s="490">
        <f>IF(H3764="free",0,IF(H3764="credit",((E3764*(F3764))*G3764*-1),IF(F3764="Buy",(E3764*G3764),((E3764*(1-F3764))*G3764))))</f>
        <v>0</v>
      </c>
      <c r="J3764" s="490">
        <f>IF(H3764="warranty",0,(I3764*(_xlfn.SINGLE(SalesTaxPercentage))))</f>
        <v>0</v>
      </c>
      <c r="K3764" s="695">
        <f t="shared" ref="K3764" si="2908">I3764+J3764</f>
        <v>0</v>
      </c>
      <c r="L3764" s="695"/>
      <c r="M3764" s="659" t="str">
        <f>IF(AND(G3764&gt;0,E3764=0),"WARNING - no PRICE inserted",IF(H3764="free"," FREE ~ no charge this plant",IF(H3764="credit",CONCATENATE(" -$",ROUND(K3764*(1-T2GDiscount)*-1,2)," CREDIT after discount"),IF(T2GDiscount=0,"",IF(G3764=0,"",IF(F3764="Buy",CONCATENATE(" $",ROUND(K3764*(1-T2GDiscount),2)," with ",(T2GDiscount*100),"% discount"),CONCATENATE(" $",ROUND(K3764*(1-T2GDiscount),2)," with ",((T2GDiscount*100+F3764*100)-(T2GDiscount*100*F3764)),IF(F3764&gt;0,"% discounts",IF(NoWarrantyDiscount&gt;0,"% discounts","% discount")))))))))</f>
        <v/>
      </c>
      <c r="N3764" s="660"/>
      <c r="O3764" s="233"/>
      <c r="P3764" s="233"/>
      <c r="Q3764" s="233"/>
      <c r="R3764" s="233"/>
      <c r="S3764" s="233"/>
      <c r="T3764" s="508">
        <f t="shared" si="2880"/>
        <v>0</v>
      </c>
      <c r="U3764" s="225">
        <f>IF(NOT(ISNUMBER(G3764)), "", VLOOKUP(A3764,'Discount Lookup'!D:E,2,FALSE)*G3764)</f>
        <v>0</v>
      </c>
      <c r="V3764" s="225">
        <f>IF(NOT(ISNUMBER(G3764)), "", VLOOKUP(A3764,'Discount Lookup'!G:H,2,FALSE)*G3764)</f>
        <v>0</v>
      </c>
      <c r="W3764" s="508">
        <f t="shared" si="2881"/>
        <v>0</v>
      </c>
      <c r="X3764" s="508">
        <f t="shared" si="2882"/>
        <v>0</v>
      </c>
      <c r="Y3764" s="509" t="b">
        <f t="shared" si="2883"/>
        <v>0</v>
      </c>
      <c r="Z3764" s="510">
        <f t="shared" si="2884"/>
        <v>0</v>
      </c>
      <c r="AA3764" s="511"/>
      <c r="AB3764" s="511" t="str">
        <f t="shared" si="2885"/>
        <v/>
      </c>
      <c r="AC3764" s="698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698"/>
      <c r="AE3764" s="631" t="str">
        <f t="shared" si="2886"/>
        <v/>
      </c>
      <c r="AF3764" s="699" t="str">
        <f t="shared" si="2887"/>
        <v/>
      </c>
      <c r="AG3764" s="699"/>
      <c r="AH3764" s="699"/>
      <c r="AI3764" s="512">
        <f>IF(H3764="credit",0,IF(AE3764="free",0,IF(AE3764="me",0,IF(G3764&gt;0,(VLOOKUP(A3764,'Discount Lookup'!J:K,2)*G3764),0))))</f>
        <v>0</v>
      </c>
      <c r="AJ3764" s="513" t="str">
        <f t="shared" ca="1" si="2888"/>
        <v/>
      </c>
      <c r="AK3764" s="700" t="str">
        <f t="shared" si="2889"/>
        <v/>
      </c>
      <c r="AL3764" s="700"/>
      <c r="AM3764" s="505" t="str">
        <f t="shared" si="2890"/>
        <v/>
      </c>
      <c r="AN3764" s="506"/>
      <c r="AO3764" s="507"/>
      <c r="AP3764" s="507"/>
      <c r="AQ3764" s="507"/>
      <c r="AR3764" s="507"/>
      <c r="AS3764" s="507"/>
      <c r="AT3764" s="507"/>
      <c r="AU3764" s="507"/>
      <c r="AV3764" s="225"/>
      <c r="AW3764" s="508"/>
      <c r="AX3764" s="225"/>
      <c r="AY3764" s="225"/>
      <c r="AZ3764" s="225"/>
      <c r="BA3764" s="225"/>
      <c r="BB3764" s="225"/>
      <c r="BC3764" s="56"/>
      <c r="BD3764" s="56"/>
      <c r="BE3764" s="56"/>
      <c r="BF3764" s="107" t="str">
        <f t="shared" si="2891"/>
        <v>https://www.google.com/search?tbm=isch&amp;q=5%20G4</v>
      </c>
      <c r="BG3764" s="107" t="str">
        <f t="shared" si="2892"/>
        <v>T</v>
      </c>
      <c r="BH3764" s="254"/>
      <c r="BI3764" s="254"/>
    </row>
    <row r="3765" spans="1:61" customFormat="1" ht="17.25" thickBot="1" x14ac:dyDescent="0.3">
      <c r="A3765" s="522" t="s">
        <v>2876</v>
      </c>
      <c r="B3765" s="491"/>
      <c r="C3765" s="675"/>
      <c r="D3765" s="491"/>
      <c r="E3765" s="491"/>
      <c r="F3765" s="492"/>
      <c r="G3765" s="493"/>
      <c r="H3765" s="491"/>
      <c r="I3765" s="234"/>
      <c r="J3765" s="234"/>
      <c r="K3765" s="494"/>
      <c r="L3765" s="543"/>
      <c r="M3765" s="561"/>
      <c r="N3765" s="495"/>
      <c r="O3765" s="496"/>
      <c r="P3765" s="497"/>
      <c r="Q3765" s="495"/>
      <c r="R3765" s="495"/>
      <c r="S3765" s="667" t="s">
        <v>5009</v>
      </c>
      <c r="T3765" s="508">
        <f t="shared" si="2880"/>
        <v>0</v>
      </c>
      <c r="U3765" s="225" t="str">
        <f>IF(NOT(ISNUMBER(G3765)), "", VLOOKUP(A3765,'Discount Lookup'!D:E,2,FALSE)*G3765)</f>
        <v/>
      </c>
      <c r="V3765" s="225" t="str">
        <f>IF(NOT(ISNUMBER(G3765)), "", VLOOKUP(A3765,'Discount Lookup'!G:H,2,FALSE)*G3765)</f>
        <v/>
      </c>
      <c r="W3765" s="508">
        <f t="shared" si="2881"/>
        <v>0</v>
      </c>
      <c r="X3765" s="508">
        <f t="shared" si="2882"/>
        <v>0</v>
      </c>
      <c r="Y3765" s="509" t="b">
        <f t="shared" si="2883"/>
        <v>0</v>
      </c>
      <c r="Z3765" s="510">
        <f t="shared" si="2884"/>
        <v>0</v>
      </c>
      <c r="AA3765" s="511"/>
      <c r="AB3765" s="511" t="str">
        <f t="shared" si="2885"/>
        <v/>
      </c>
      <c r="AC3765" s="698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698"/>
      <c r="AE3765" s="631" t="str">
        <f t="shared" si="2886"/>
        <v/>
      </c>
      <c r="AF3765" s="699" t="str">
        <f t="shared" si="2887"/>
        <v/>
      </c>
      <c r="AG3765" s="699"/>
      <c r="AH3765" s="699"/>
      <c r="AI3765" s="512">
        <f>IF(H3765="credit",0,IF(AE3765="free",0,IF(AE3765="me",0,IF(G3765&gt;0,(VLOOKUP(A3765,'Discount Lookup'!J:K,2)*G3765),0))))</f>
        <v>0</v>
      </c>
      <c r="AJ3765" s="513" t="str">
        <f t="shared" ca="1" si="2888"/>
        <v/>
      </c>
      <c r="AK3765" s="700" t="str">
        <f t="shared" si="2889"/>
        <v/>
      </c>
      <c r="AL3765" s="700"/>
      <c r="AM3765" s="505" t="str">
        <f t="shared" si="2890"/>
        <v/>
      </c>
      <c r="AN3765" s="506"/>
      <c r="AO3765" s="507"/>
      <c r="AP3765" s="507"/>
      <c r="AQ3765" s="507"/>
      <c r="AR3765" s="507"/>
      <c r="AS3765" s="507"/>
      <c r="AT3765" s="507"/>
      <c r="AU3765" s="507"/>
      <c r="AV3765" s="225"/>
      <c r="AW3765" s="508"/>
      <c r="AX3765" s="225"/>
      <c r="AY3765" s="225"/>
      <c r="AZ3765" s="225"/>
      <c r="BA3765" s="225"/>
      <c r="BB3765" s="225"/>
      <c r="BC3765" s="56"/>
      <c r="BD3765" s="56"/>
      <c r="BE3765" s="56"/>
      <c r="BF3765" s="107" t="str">
        <f t="shared" si="2891"/>
        <v>https://www.google.com/search?tbm=isch&amp;q=All%20Plum%20Yews%20have%20fine-textured%20foliage%20with%20brown%2C%20scaly%20bark.%20Slow%20growing%2C%20heat%20and%20shade%20tolerant%20</v>
      </c>
      <c r="BG3765" s="107" t="str">
        <f t="shared" si="2892"/>
        <v>A</v>
      </c>
      <c r="BH3765" s="254"/>
      <c r="BI3765" s="254"/>
    </row>
    <row r="3766" spans="1:61" customFormat="1" ht="18" x14ac:dyDescent="0.25">
      <c r="A3766" s="523" t="s">
        <v>5627</v>
      </c>
      <c r="B3766" s="235"/>
      <c r="C3766" s="676"/>
      <c r="D3766" s="255" t="s">
        <v>850</v>
      </c>
      <c r="E3766" s="236"/>
      <c r="F3766" s="236"/>
      <c r="G3766" s="236"/>
      <c r="H3766" s="582" t="s">
        <v>441</v>
      </c>
      <c r="I3766" s="498" t="s">
        <v>3104</v>
      </c>
      <c r="J3766" s="237"/>
      <c r="K3766" s="237"/>
      <c r="L3766" s="274"/>
      <c r="M3766" s="670" t="s">
        <v>4973</v>
      </c>
      <c r="N3766" s="681" t="str">
        <f>IF(AND(ISTEXT($A3766), ISERROR($A3766+0)), HYPERLINK($BF3766, "Images"), "")</f>
        <v>Images</v>
      </c>
      <c r="O3766" s="663" t="s">
        <v>4974</v>
      </c>
      <c r="P3766" s="253"/>
      <c r="Q3766" s="238"/>
      <c r="R3766" s="239"/>
      <c r="S3766" s="275"/>
      <c r="T3766" s="508">
        <f t="shared" si="2880"/>
        <v>0</v>
      </c>
      <c r="U3766" s="225" t="str">
        <f>IF(NOT(ISNUMBER(G3766)), "", VLOOKUP(A3766,'Discount Lookup'!D:E,2,FALSE)*G3766)</f>
        <v/>
      </c>
      <c r="V3766" s="225" t="str">
        <f>IF(NOT(ISNUMBER(G3766)), "", VLOOKUP(A3766,'Discount Lookup'!G:H,2,FALSE)*G3766)</f>
        <v/>
      </c>
      <c r="W3766" s="508">
        <f t="shared" si="2881"/>
        <v>0</v>
      </c>
      <c r="X3766" s="508" t="str">
        <f t="shared" si="2882"/>
        <v>Bicolor Pink &amp; Green bloom</v>
      </c>
      <c r="Y3766" s="509" t="b">
        <f t="shared" si="2883"/>
        <v>0</v>
      </c>
      <c r="Z3766" s="510">
        <f t="shared" si="2884"/>
        <v>0</v>
      </c>
      <c r="AA3766" s="511"/>
      <c r="AB3766" s="511" t="str">
        <f t="shared" si="2885"/>
        <v/>
      </c>
      <c r="AC3766" s="698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698"/>
      <c r="AE3766" s="631" t="str">
        <f t="shared" si="2886"/>
        <v/>
      </c>
      <c r="AF3766" s="699" t="str">
        <f t="shared" si="2887"/>
        <v/>
      </c>
      <c r="AG3766" s="699"/>
      <c r="AH3766" s="699"/>
      <c r="AI3766" s="512">
        <f>IF(H3766="credit",0,IF(AE3766="free",0,IF(AE3766="me",0,IF(G3766&gt;0,(VLOOKUP(A3766,'Discount Lookup'!J:K,2)*G3766),0))))</f>
        <v>0</v>
      </c>
      <c r="AJ3766" s="513" t="str">
        <f t="shared" ca="1" si="2888"/>
        <v/>
      </c>
      <c r="AK3766" s="700" t="str">
        <f t="shared" si="2889"/>
        <v/>
      </c>
      <c r="AL3766" s="700"/>
      <c r="AM3766" s="505" t="str">
        <f t="shared" si="2890"/>
        <v/>
      </c>
      <c r="AN3766" s="506"/>
      <c r="AO3766" s="507"/>
      <c r="AP3766" s="507"/>
      <c r="AQ3766" s="507"/>
      <c r="AR3766" s="507"/>
      <c r="AS3766" s="507"/>
      <c r="AT3766" s="507"/>
      <c r="AU3766" s="507"/>
      <c r="AV3766" s="225"/>
      <c r="AW3766" s="508"/>
      <c r="AX3766" s="225"/>
      <c r="AY3766" s="225"/>
      <c r="AZ3766" s="225"/>
      <c r="BA3766" s="225"/>
      <c r="BB3766" s="225"/>
      <c r="BC3766" s="56"/>
      <c r="BD3766" s="56"/>
      <c r="BE3766" s="56"/>
      <c r="BF3766" s="107" t="str">
        <f t="shared" si="2891"/>
        <v>https://www.google.com/search?tbm=isch&amp;q=Tilt-A-Swirl%C2%AE%20Bigleaf%20Hydrangea%20%28ES%C2%AE%29%20Hyd.%20macrophylla%20%27QUFU%27%20PP%2326426</v>
      </c>
      <c r="BG3766" s="107" t="str">
        <f t="shared" si="2892"/>
        <v>T</v>
      </c>
      <c r="BH3766" s="254"/>
      <c r="BI3766" s="254"/>
    </row>
    <row r="3767" spans="1:61" customFormat="1" ht="15.75" x14ac:dyDescent="0.25">
      <c r="A3767" s="276">
        <v>1</v>
      </c>
      <c r="B3767" s="240" t="s">
        <v>291</v>
      </c>
      <c r="C3767" s="241" t="s">
        <v>4758</v>
      </c>
      <c r="D3767" s="242" t="s">
        <v>312</v>
      </c>
      <c r="E3767" s="243">
        <v>30.95</v>
      </c>
      <c r="F3767" s="517" t="s">
        <v>293</v>
      </c>
      <c r="G3767" s="232">
        <v>0</v>
      </c>
      <c r="H3767" s="661" t="str">
        <f>IF(G3767=0,"",IF(F3767="Buy",IF(G3767=1,"plant","plants"),IF(F3767&gt;0.01,"warranty","Error")))</f>
        <v/>
      </c>
      <c r="I3767" s="244">
        <f>IF(H3767="free",0,IF(H3767="credit",((E3767*(F3767))*G3767*-1),IF(F3767="Buy",(E3767*G3767),((E3767*(1-F3767))*G3767))))</f>
        <v>0</v>
      </c>
      <c r="J3767" s="244">
        <f>IF(H3767="warranty",0,(I3767*(_xlfn.SINGLE(SalesTaxPercentage))))</f>
        <v>0</v>
      </c>
      <c r="K3767" s="696">
        <f t="shared" ref="K3767" si="2909">I3767+J3767</f>
        <v>0</v>
      </c>
      <c r="L3767" s="696"/>
      <c r="M3767" s="659" t="str">
        <f>IF(AND(G3767&gt;0,E3767=0),"WARNING - no PRICE inserted",IF(H3767="free"," FREE ~ no charge this plant",IF(H3767="credit",CONCATENATE(" -$",ROUND(K3767*(1-T2GDiscount)*-1,2)," CREDIT after discount"),IF(T2GDiscount=0,"",IF(G3767=0,"",IF(F3767="Buy",CONCATENATE(" $",ROUND(K3767*(1-T2GDiscount),2)," with ",(T2GDiscount*100),"% discount"),CONCATENATE(" $",ROUND(K3767*(1-T2GDiscount),2)," with ",((T2GDiscount*100+F3767*100)-(T2GDiscount*100*F3767)),IF(F3767&gt;0,"% discounts",IF(NoWarrantyDiscount&gt;0,"% discounts","% discount")))))))))</f>
        <v/>
      </c>
      <c r="N3767" s="660"/>
      <c r="O3767" s="233"/>
      <c r="P3767" s="233"/>
      <c r="Q3767" s="233"/>
      <c r="R3767" s="233"/>
      <c r="S3767" s="233"/>
      <c r="T3767" s="508">
        <f t="shared" si="2880"/>
        <v>0</v>
      </c>
      <c r="U3767" s="225">
        <f>IF(NOT(ISNUMBER(G3767)), "", VLOOKUP(A3767,'Discount Lookup'!D:E,2,FALSE)*G3767)</f>
        <v>0</v>
      </c>
      <c r="V3767" s="225">
        <f>IF(NOT(ISNUMBER(G3767)), "", VLOOKUP(A3767,'Discount Lookup'!G:H,2,FALSE)*G3767)</f>
        <v>0</v>
      </c>
      <c r="W3767" s="508">
        <f t="shared" si="2881"/>
        <v>0</v>
      </c>
      <c r="X3767" s="508">
        <f t="shared" si="2882"/>
        <v>0</v>
      </c>
      <c r="Y3767" s="509" t="b">
        <f t="shared" si="2883"/>
        <v>0</v>
      </c>
      <c r="Z3767" s="510">
        <f t="shared" si="2884"/>
        <v>0</v>
      </c>
      <c r="AA3767" s="511"/>
      <c r="AB3767" s="511" t="str">
        <f t="shared" si="2885"/>
        <v/>
      </c>
      <c r="AC3767" s="698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698"/>
      <c r="AE3767" s="631" t="str">
        <f t="shared" si="2886"/>
        <v/>
      </c>
      <c r="AF3767" s="699" t="str">
        <f t="shared" si="2887"/>
        <v/>
      </c>
      <c r="AG3767" s="699"/>
      <c r="AH3767" s="699"/>
      <c r="AI3767" s="512">
        <f>IF(H3767="credit",0,IF(AE3767="free",0,IF(AE3767="me",0,IF(G3767&gt;0,(VLOOKUP(A3767,'Discount Lookup'!J:K,2)*G3767),0))))</f>
        <v>0</v>
      </c>
      <c r="AJ3767" s="513" t="str">
        <f t="shared" ca="1" si="2888"/>
        <v/>
      </c>
      <c r="AK3767" s="700" t="str">
        <f t="shared" si="2889"/>
        <v/>
      </c>
      <c r="AL3767" s="700"/>
      <c r="AM3767" s="505" t="str">
        <f t="shared" si="2890"/>
        <v/>
      </c>
      <c r="AN3767" s="506"/>
      <c r="AO3767" s="507"/>
      <c r="AP3767" s="507"/>
      <c r="AQ3767" s="507"/>
      <c r="AR3767" s="507"/>
      <c r="AS3767" s="507"/>
      <c r="AT3767" s="507"/>
      <c r="AU3767" s="507"/>
      <c r="AV3767" s="225"/>
      <c r="AW3767" s="508"/>
      <c r="AX3767" s="225"/>
      <c r="AY3767" s="225"/>
      <c r="AZ3767" s="225"/>
      <c r="BA3767" s="225"/>
      <c r="BB3767" s="225"/>
      <c r="BC3767" s="56"/>
      <c r="BD3767" s="56"/>
      <c r="BE3767" s="56"/>
      <c r="BF3767" s="107" t="str">
        <f t="shared" si="2891"/>
        <v>https://www.google.com/search?tbm=isch&amp;q=1%20G2</v>
      </c>
      <c r="BG3767" s="107" t="str">
        <f t="shared" si="2892"/>
        <v>T</v>
      </c>
      <c r="BH3767" s="254"/>
      <c r="BI3767" s="254"/>
    </row>
    <row r="3768" spans="1:61" customFormat="1" ht="17.25" thickBot="1" x14ac:dyDescent="0.3">
      <c r="A3768" s="673" t="s">
        <v>5264</v>
      </c>
      <c r="B3768" s="245"/>
      <c r="C3768" s="677"/>
      <c r="D3768" s="499"/>
      <c r="E3768" s="499"/>
      <c r="F3768" s="500"/>
      <c r="G3768" s="501"/>
      <c r="H3768" s="502"/>
      <c r="I3768" s="246"/>
      <c r="J3768" s="247"/>
      <c r="K3768" s="503"/>
      <c r="L3768" s="544"/>
      <c r="M3768" s="544"/>
      <c r="N3768" s="500"/>
      <c r="O3768" s="500"/>
      <c r="P3768" s="500"/>
      <c r="Q3768" s="500"/>
      <c r="R3768" s="500"/>
      <c r="S3768" s="278"/>
      <c r="T3768" s="508">
        <f t="shared" si="2880"/>
        <v>0</v>
      </c>
      <c r="U3768" s="225" t="str">
        <f>IF(NOT(ISNUMBER(G3768)), "", VLOOKUP(A3768,'Discount Lookup'!D:E,2,FALSE)*G3768)</f>
        <v/>
      </c>
      <c r="V3768" s="225" t="str">
        <f>IF(NOT(ISNUMBER(G3768)), "", VLOOKUP(A3768,'Discount Lookup'!G:H,2,FALSE)*G3768)</f>
        <v/>
      </c>
      <c r="W3768" s="508">
        <f t="shared" si="2881"/>
        <v>0</v>
      </c>
      <c r="X3768" s="508">
        <f t="shared" si="2882"/>
        <v>0</v>
      </c>
      <c r="Y3768" s="509" t="b">
        <f t="shared" si="2883"/>
        <v>0</v>
      </c>
      <c r="Z3768" s="510">
        <f t="shared" si="2884"/>
        <v>0</v>
      </c>
      <c r="AA3768" s="511"/>
      <c r="AB3768" s="511" t="str">
        <f t="shared" si="2885"/>
        <v/>
      </c>
      <c r="AC3768" s="698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698"/>
      <c r="AE3768" s="631" t="str">
        <f t="shared" si="2886"/>
        <v/>
      </c>
      <c r="AF3768" s="699" t="str">
        <f t="shared" si="2887"/>
        <v/>
      </c>
      <c r="AG3768" s="699"/>
      <c r="AH3768" s="699"/>
      <c r="AI3768" s="512">
        <f>IF(H3768="credit",0,IF(AE3768="free",0,IF(AE3768="me",0,IF(G3768&gt;0,(VLOOKUP(A3768,'Discount Lookup'!J:K,2)*G3768),0))))</f>
        <v>0</v>
      </c>
      <c r="AJ3768" s="513" t="str">
        <f t="shared" ca="1" si="2888"/>
        <v/>
      </c>
      <c r="AK3768" s="700" t="str">
        <f t="shared" si="2889"/>
        <v/>
      </c>
      <c r="AL3768" s="700"/>
      <c r="AM3768" s="505" t="str">
        <f t="shared" si="2890"/>
        <v/>
      </c>
      <c r="AN3768" s="506"/>
      <c r="AO3768" s="507"/>
      <c r="AP3768" s="507"/>
      <c r="AQ3768" s="507"/>
      <c r="AR3768" s="507"/>
      <c r="AS3768" s="507"/>
      <c r="AT3768" s="507"/>
      <c r="AU3768" s="507"/>
      <c r="AV3768" s="225"/>
      <c r="AW3768" s="508"/>
      <c r="AX3768" s="225"/>
      <c r="AY3768" s="225"/>
      <c r="AZ3768" s="225"/>
      <c r="BA3768" s="225"/>
      <c r="BB3768" s="225"/>
      <c r="BC3768" s="56"/>
      <c r="BD3768" s="56"/>
      <c r="BE3768" s="56"/>
      <c r="BF3768" s="107" t="str">
        <f t="shared" si="2891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768" s="107" t="str">
        <f t="shared" si="2892"/>
        <v>m</v>
      </c>
      <c r="BH3768" s="254"/>
      <c r="BI3768" s="254"/>
    </row>
    <row r="3769" spans="1:61" customFormat="1" ht="18" x14ac:dyDescent="0.25">
      <c r="A3769" s="523" t="s">
        <v>2820</v>
      </c>
      <c r="B3769" s="235"/>
      <c r="C3769" s="676"/>
      <c r="D3769" s="255" t="s">
        <v>2821</v>
      </c>
      <c r="E3769" s="236"/>
      <c r="F3769" s="236"/>
      <c r="G3769" s="236"/>
      <c r="H3769" s="582" t="s">
        <v>1698</v>
      </c>
      <c r="I3769" s="498" t="s">
        <v>2995</v>
      </c>
      <c r="J3769" s="237"/>
      <c r="K3769" s="237"/>
      <c r="L3769" s="274"/>
      <c r="M3769" s="668" t="s">
        <v>4975</v>
      </c>
      <c r="N3769" s="681" t="str">
        <f>IF(AND(ISTEXT($A3769), ISERROR($A3769+0)), HYPERLINK($BF3769, "Images"), "")</f>
        <v>Images</v>
      </c>
      <c r="O3769" s="663" t="s">
        <v>4967</v>
      </c>
      <c r="P3769" s="253"/>
      <c r="Q3769" s="238"/>
      <c r="R3769" s="239"/>
      <c r="S3769" s="275"/>
      <c r="T3769" s="508">
        <f t="shared" si="2880"/>
        <v>0</v>
      </c>
      <c r="U3769" s="225" t="str">
        <f>IF(NOT(ISNUMBER(G3769)), "", VLOOKUP(A3769,'Discount Lookup'!D:E,2,FALSE)*G3769)</f>
        <v/>
      </c>
      <c r="V3769" s="225" t="str">
        <f>IF(NOT(ISNUMBER(G3769)), "", VLOOKUP(A3769,'Discount Lookup'!G:H,2,FALSE)*G3769)</f>
        <v/>
      </c>
      <c r="W3769" s="508">
        <f t="shared" si="2881"/>
        <v>0</v>
      </c>
      <c r="X3769" s="508" t="str">
        <f t="shared" si="2882"/>
        <v>Dark Magenta bloom</v>
      </c>
      <c r="Y3769" s="509" t="b">
        <f t="shared" si="2883"/>
        <v>0</v>
      </c>
      <c r="Z3769" s="510">
        <f t="shared" si="2884"/>
        <v>0</v>
      </c>
      <c r="AA3769" s="511"/>
      <c r="AB3769" s="511" t="str">
        <f t="shared" si="2885"/>
        <v/>
      </c>
      <c r="AC3769" s="698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698"/>
      <c r="AE3769" s="631" t="str">
        <f t="shared" si="2886"/>
        <v/>
      </c>
      <c r="AF3769" s="699" t="str">
        <f t="shared" si="2887"/>
        <v/>
      </c>
      <c r="AG3769" s="699"/>
      <c r="AH3769" s="699"/>
      <c r="AI3769" s="512">
        <f>IF(H3769="credit",0,IF(AE3769="free",0,IF(AE3769="me",0,IF(G3769&gt;0,(VLOOKUP(A3769,'Discount Lookup'!J:K,2)*G3769),0))))</f>
        <v>0</v>
      </c>
      <c r="AJ3769" s="513" t="str">
        <f t="shared" ca="1" si="2888"/>
        <v/>
      </c>
      <c r="AK3769" s="700" t="str">
        <f t="shared" si="2889"/>
        <v/>
      </c>
      <c r="AL3769" s="700"/>
      <c r="AM3769" s="505" t="str">
        <f t="shared" si="2890"/>
        <v/>
      </c>
      <c r="AN3769" s="506"/>
      <c r="AO3769" s="507"/>
      <c r="AP3769" s="507"/>
      <c r="AQ3769" s="507"/>
      <c r="AR3769" s="507"/>
      <c r="AS3769" s="507"/>
      <c r="AT3769" s="507"/>
      <c r="AU3769" s="507"/>
      <c r="AV3769" s="225"/>
      <c r="AW3769" s="508"/>
      <c r="AX3769" s="225"/>
      <c r="AY3769" s="225"/>
      <c r="AZ3769" s="225"/>
      <c r="BA3769" s="225"/>
      <c r="BB3769" s="225"/>
      <c r="BC3769" s="56"/>
      <c r="BD3769" s="56"/>
      <c r="BE3769" s="56"/>
      <c r="BF3769" s="107" t="str">
        <f t="shared" si="2891"/>
        <v>https://www.google.com/search?tbm=isch&amp;q=Tinkerbell%20Magnolia%20Magnolia%20%27Tinkerbell%27</v>
      </c>
      <c r="BG3769" s="107" t="str">
        <f t="shared" si="2892"/>
        <v>T</v>
      </c>
      <c r="BH3769" s="254"/>
      <c r="BI3769" s="254"/>
    </row>
    <row r="3770" spans="1:61" customFormat="1" ht="15.75" x14ac:dyDescent="0.25">
      <c r="A3770" s="276">
        <v>7</v>
      </c>
      <c r="B3770" s="240" t="s">
        <v>291</v>
      </c>
      <c r="C3770" s="241" t="s">
        <v>3819</v>
      </c>
      <c r="D3770" s="242" t="s">
        <v>292</v>
      </c>
      <c r="E3770" s="243">
        <v>123.95</v>
      </c>
      <c r="F3770" s="517" t="s">
        <v>293</v>
      </c>
      <c r="G3770" s="232">
        <v>0</v>
      </c>
      <c r="H3770" s="661" t="str">
        <f>IF(G3770=0,"",IF(F3770="Buy",IF(G3770=1,"plant","plants"),IF(F3770&gt;0.01,"warranty","Error")))</f>
        <v/>
      </c>
      <c r="I3770" s="244">
        <f>IF(H3770="free",0,IF(H3770="credit",((E3770*(F3770))*G3770*-1),IF(F3770="Buy",(E3770*G3770),((E3770*(1-F3770))*G3770))))</f>
        <v>0</v>
      </c>
      <c r="J3770" s="244">
        <f>IF(H3770="warranty",0,(I3770*(_xlfn.SINGLE(SalesTaxPercentage))))</f>
        <v>0</v>
      </c>
      <c r="K3770" s="696">
        <f t="shared" ref="K3770" si="2910">I3770+J3770</f>
        <v>0</v>
      </c>
      <c r="L3770" s="696"/>
      <c r="M3770" s="659" t="str">
        <f>IF(AND(G3770&gt;0,E3770=0),"WARNING - no PRICE inserted",IF(H3770="free"," FREE ~ no charge this plant",IF(H3770="credit",CONCATENATE(" -$",ROUND(K3770*(1-T2GDiscount)*-1,2)," CREDIT after discount"),IF(T2GDiscount=0,"",IF(G3770=0,"",IF(F3770="Buy",CONCATENATE(" $",ROUND(K3770*(1-T2GDiscount),2)," with ",(T2GDiscount*100),"% discount"),CONCATENATE(" $",ROUND(K3770*(1-T2GDiscount),2)," with ",((T2GDiscount*100+F3770*100)-(T2GDiscount*100*F3770)),IF(F3770&gt;0,"% discounts",IF(NoWarrantyDiscount&gt;0,"% discounts","% discount")))))))))</f>
        <v/>
      </c>
      <c r="N3770" s="660"/>
      <c r="O3770" s="233"/>
      <c r="P3770" s="233"/>
      <c r="Q3770" s="233"/>
      <c r="R3770" s="233"/>
      <c r="S3770" s="233"/>
      <c r="T3770" s="508">
        <f t="shared" si="2880"/>
        <v>0</v>
      </c>
      <c r="U3770" s="225">
        <f>IF(NOT(ISNUMBER(G3770)), "", VLOOKUP(A3770,'Discount Lookup'!D:E,2,FALSE)*G3770)</f>
        <v>0</v>
      </c>
      <c r="V3770" s="225">
        <f>IF(NOT(ISNUMBER(G3770)), "", VLOOKUP(A3770,'Discount Lookup'!G:H,2,FALSE)*G3770)</f>
        <v>0</v>
      </c>
      <c r="W3770" s="508">
        <f t="shared" si="2881"/>
        <v>0</v>
      </c>
      <c r="X3770" s="508">
        <f t="shared" si="2882"/>
        <v>0</v>
      </c>
      <c r="Y3770" s="509" t="b">
        <f t="shared" si="2883"/>
        <v>0</v>
      </c>
      <c r="Z3770" s="510">
        <f t="shared" si="2884"/>
        <v>0</v>
      </c>
      <c r="AA3770" s="511"/>
      <c r="AB3770" s="511" t="str">
        <f t="shared" si="2885"/>
        <v/>
      </c>
      <c r="AC3770" s="698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698"/>
      <c r="AE3770" s="631" t="str">
        <f t="shared" si="2886"/>
        <v/>
      </c>
      <c r="AF3770" s="699" t="str">
        <f t="shared" si="2887"/>
        <v/>
      </c>
      <c r="AG3770" s="699"/>
      <c r="AH3770" s="699"/>
      <c r="AI3770" s="512">
        <f>IF(H3770="credit",0,IF(AE3770="free",0,IF(AE3770="me",0,IF(G3770&gt;0,(VLOOKUP(A3770,'Discount Lookup'!J:K,2)*G3770),0))))</f>
        <v>0</v>
      </c>
      <c r="AJ3770" s="513" t="str">
        <f t="shared" ca="1" si="2888"/>
        <v/>
      </c>
      <c r="AK3770" s="700" t="str">
        <f t="shared" si="2889"/>
        <v/>
      </c>
      <c r="AL3770" s="700"/>
      <c r="AM3770" s="505" t="str">
        <f t="shared" si="2890"/>
        <v/>
      </c>
      <c r="AN3770" s="506"/>
      <c r="AO3770" s="507"/>
      <c r="AP3770" s="507"/>
      <c r="AQ3770" s="507"/>
      <c r="AR3770" s="507"/>
      <c r="AS3770" s="507"/>
      <c r="AT3770" s="507"/>
      <c r="AU3770" s="507"/>
      <c r="AV3770" s="225"/>
      <c r="AW3770" s="508"/>
      <c r="AX3770" s="225"/>
      <c r="AY3770" s="225"/>
      <c r="AZ3770" s="225"/>
      <c r="BA3770" s="225"/>
      <c r="BB3770" s="225"/>
      <c r="BC3770" s="56"/>
      <c r="BD3770" s="56"/>
      <c r="BE3770" s="56"/>
      <c r="BF3770" s="107" t="str">
        <f t="shared" si="2891"/>
        <v>https://www.google.com/search?tbm=isch&amp;q=7%20G4</v>
      </c>
      <c r="BG3770" s="107" t="str">
        <f t="shared" si="2892"/>
        <v>T</v>
      </c>
      <c r="BH3770" s="254"/>
      <c r="BI3770" s="254"/>
    </row>
    <row r="3771" spans="1:61" customFormat="1" ht="17.25" thickBot="1" x14ac:dyDescent="0.3">
      <c r="A3771" s="524" t="s">
        <v>2996</v>
      </c>
      <c r="B3771" s="245"/>
      <c r="C3771" s="677"/>
      <c r="D3771" s="499"/>
      <c r="E3771" s="499"/>
      <c r="F3771" s="500"/>
      <c r="G3771" s="501"/>
      <c r="H3771" s="502"/>
      <c r="I3771" s="246"/>
      <c r="J3771" s="247"/>
      <c r="K3771" s="503"/>
      <c r="L3771" s="544"/>
      <c r="M3771" s="544"/>
      <c r="N3771" s="500"/>
      <c r="O3771" s="500"/>
      <c r="P3771" s="500"/>
      <c r="Q3771" s="500"/>
      <c r="R3771" s="500"/>
      <c r="S3771" s="278"/>
      <c r="T3771" s="508">
        <f t="shared" si="2880"/>
        <v>0</v>
      </c>
      <c r="U3771" s="225" t="str">
        <f>IF(NOT(ISNUMBER(G3771)), "", VLOOKUP(A3771,'Discount Lookup'!D:E,2,FALSE)*G3771)</f>
        <v/>
      </c>
      <c r="V3771" s="225" t="str">
        <f>IF(NOT(ISNUMBER(G3771)), "", VLOOKUP(A3771,'Discount Lookup'!G:H,2,FALSE)*G3771)</f>
        <v/>
      </c>
      <c r="W3771" s="508">
        <f t="shared" si="2881"/>
        <v>0</v>
      </c>
      <c r="X3771" s="508">
        <f t="shared" si="2882"/>
        <v>0</v>
      </c>
      <c r="Y3771" s="509" t="b">
        <f t="shared" si="2883"/>
        <v>0</v>
      </c>
      <c r="Z3771" s="510">
        <f t="shared" si="2884"/>
        <v>0</v>
      </c>
      <c r="AA3771" s="511"/>
      <c r="AB3771" s="511" t="str">
        <f t="shared" si="2885"/>
        <v/>
      </c>
      <c r="AC3771" s="698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698"/>
      <c r="AE3771" s="631" t="str">
        <f t="shared" si="2886"/>
        <v/>
      </c>
      <c r="AF3771" s="699" t="str">
        <f t="shared" si="2887"/>
        <v/>
      </c>
      <c r="AG3771" s="699"/>
      <c r="AH3771" s="699"/>
      <c r="AI3771" s="512">
        <f>IF(H3771="credit",0,IF(AE3771="free",0,IF(AE3771="me",0,IF(G3771&gt;0,(VLOOKUP(A3771,'Discount Lookup'!J:K,2)*G3771),0))))</f>
        <v>0</v>
      </c>
      <c r="AJ3771" s="513" t="str">
        <f t="shared" ca="1" si="2888"/>
        <v/>
      </c>
      <c r="AK3771" s="700" t="str">
        <f t="shared" si="2889"/>
        <v/>
      </c>
      <c r="AL3771" s="700"/>
      <c r="AM3771" s="505" t="str">
        <f t="shared" si="2890"/>
        <v/>
      </c>
      <c r="AN3771" s="506"/>
      <c r="AO3771" s="507"/>
      <c r="AP3771" s="507"/>
      <c r="AQ3771" s="507"/>
      <c r="AR3771" s="507"/>
      <c r="AS3771" s="507"/>
      <c r="AT3771" s="507"/>
      <c r="AU3771" s="507"/>
      <c r="AV3771" s="225"/>
      <c r="AW3771" s="508"/>
      <c r="AX3771" s="225"/>
      <c r="AY3771" s="225"/>
      <c r="AZ3771" s="225"/>
      <c r="BA3771" s="225"/>
      <c r="BB3771" s="225"/>
      <c r="BC3771" s="56"/>
      <c r="BD3771" s="56"/>
      <c r="BE3771" s="56"/>
      <c r="BF3771" s="107" t="str">
        <f t="shared" si="2891"/>
        <v>https://www.google.com/search?tbm=isch&amp;q=Tinkerbell%20features%20tulip-shaped%2C%20fragrant%20Magenta%20blooms%20with%20Pale%20Pink%20centers%20in%20early%20spring%2C%20then%20reblooms%20sporadically%20</v>
      </c>
      <c r="BG3771" s="107" t="str">
        <f t="shared" si="2892"/>
        <v>T</v>
      </c>
      <c r="BH3771" s="254"/>
      <c r="BI3771" s="254"/>
    </row>
    <row r="3772" spans="1:61" customFormat="1" ht="18" x14ac:dyDescent="0.25">
      <c r="A3772" s="521" t="s">
        <v>5561</v>
      </c>
      <c r="B3772" s="477"/>
      <c r="C3772" s="674"/>
      <c r="D3772" s="478" t="s">
        <v>1906</v>
      </c>
      <c r="E3772" s="479"/>
      <c r="F3772" s="479"/>
      <c r="G3772" s="479"/>
      <c r="H3772" s="582" t="s">
        <v>1139</v>
      </c>
      <c r="I3772" s="480" t="s">
        <v>2093</v>
      </c>
      <c r="J3772" s="479"/>
      <c r="K3772" s="479"/>
      <c r="L3772" s="560"/>
      <c r="M3772" s="671" t="s">
        <v>4985</v>
      </c>
      <c r="N3772" s="680" t="str">
        <f>IF(AND(ISTEXT($A3772), ISERROR($A3772+0)), HYPERLINK($BF3772, "Images"), "")</f>
        <v>Images</v>
      </c>
      <c r="O3772" s="662" t="s">
        <v>4969</v>
      </c>
      <c r="P3772" s="482"/>
      <c r="Q3772" s="483"/>
      <c r="R3772" s="483"/>
      <c r="S3772" s="484"/>
      <c r="T3772" s="508">
        <f t="shared" si="2880"/>
        <v>0</v>
      </c>
      <c r="U3772" s="225" t="str">
        <f>IF(NOT(ISNUMBER(G3772)), "", VLOOKUP(A3772,'Discount Lookup'!D:E,2,FALSE)*G3772)</f>
        <v/>
      </c>
      <c r="V3772" s="225" t="str">
        <f>IF(NOT(ISNUMBER(G3772)), "", VLOOKUP(A3772,'Discount Lookup'!G:H,2,FALSE)*G3772)</f>
        <v/>
      </c>
      <c r="W3772" s="508">
        <f t="shared" si="2881"/>
        <v>0</v>
      </c>
      <c r="X3772" s="508" t="str">
        <f t="shared" si="2882"/>
        <v>Dark Green foliage</v>
      </c>
      <c r="Y3772" s="509" t="b">
        <f t="shared" si="2883"/>
        <v>0</v>
      </c>
      <c r="Z3772" s="510">
        <f t="shared" si="2884"/>
        <v>0</v>
      </c>
      <c r="AA3772" s="511"/>
      <c r="AB3772" s="511" t="str">
        <f t="shared" si="2885"/>
        <v/>
      </c>
      <c r="AC3772" s="698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698"/>
      <c r="AE3772" s="631" t="str">
        <f t="shared" si="2886"/>
        <v/>
      </c>
      <c r="AF3772" s="699" t="str">
        <f t="shared" si="2887"/>
        <v/>
      </c>
      <c r="AG3772" s="699"/>
      <c r="AH3772" s="699"/>
      <c r="AI3772" s="512">
        <f>IF(H3772="credit",0,IF(AE3772="free",0,IF(AE3772="me",0,IF(G3772&gt;0,(VLOOKUP(A3772,'Discount Lookup'!J:K,2)*G3772),0))))</f>
        <v>0</v>
      </c>
      <c r="AJ3772" s="513" t="str">
        <f t="shared" ca="1" si="2888"/>
        <v/>
      </c>
      <c r="AK3772" s="700" t="str">
        <f t="shared" si="2889"/>
        <v/>
      </c>
      <c r="AL3772" s="700"/>
      <c r="AM3772" s="505" t="str">
        <f t="shared" si="2890"/>
        <v/>
      </c>
      <c r="AN3772" s="506"/>
      <c r="AO3772" s="507"/>
      <c r="AP3772" s="507"/>
      <c r="AQ3772" s="507"/>
      <c r="AR3772" s="507"/>
      <c r="AS3772" s="507"/>
      <c r="AT3772" s="507"/>
      <c r="AU3772" s="507"/>
      <c r="AV3772" s="225"/>
      <c r="AW3772" s="508"/>
      <c r="AX3772" s="225"/>
      <c r="AY3772" s="225"/>
      <c r="AZ3772" s="225"/>
      <c r="BA3772" s="225"/>
      <c r="BB3772" s="225"/>
      <c r="BC3772" s="56"/>
      <c r="BD3772" s="56"/>
      <c r="BE3772" s="56"/>
      <c r="BF3772" s="107" t="str">
        <f t="shared" si="2891"/>
        <v>https://www.google.com/search?tbm=isch&amp;q=Tiny%20Tank%E2%84%A2%20Dwarf%20Cast%20Iron%20Plant%20Aspidistra%20elatior%20%27Tiny%20Tank%27</v>
      </c>
      <c r="BG3772" s="107" t="str">
        <f t="shared" si="2892"/>
        <v>T</v>
      </c>
      <c r="BH3772" s="254"/>
      <c r="BI3772" s="254"/>
    </row>
    <row r="3773" spans="1:61" customFormat="1" ht="15.75" x14ac:dyDescent="0.25">
      <c r="A3773" s="485">
        <v>3</v>
      </c>
      <c r="B3773" s="486" t="s">
        <v>291</v>
      </c>
      <c r="C3773" s="487" t="s">
        <v>4826</v>
      </c>
      <c r="D3773" s="488" t="s">
        <v>292</v>
      </c>
      <c r="E3773" s="489">
        <v>42.95</v>
      </c>
      <c r="F3773" s="516" t="s">
        <v>293</v>
      </c>
      <c r="G3773" s="232">
        <v>0</v>
      </c>
      <c r="H3773" s="658" t="str">
        <f>IF(G3773=0,"",IF(F3773="Buy",IF(G3773=1,"plant","plants"),IF(F3773&gt;0.01,"warranty","Error")))</f>
        <v/>
      </c>
      <c r="I3773" s="490">
        <f>IF(H3773="free",0,IF(H3773="credit",((E3773*(F3773))*G3773*-1),IF(F3773="Buy",(E3773*G3773),((E3773*(1-F3773))*G3773))))</f>
        <v>0</v>
      </c>
      <c r="J3773" s="490">
        <f>IF(H3773="warranty",0,(I3773*(_xlfn.SINGLE(SalesTaxPercentage))))</f>
        <v>0</v>
      </c>
      <c r="K3773" s="695">
        <f t="shared" ref="K3773" si="2911">I3773+J3773</f>
        <v>0</v>
      </c>
      <c r="L3773" s="695"/>
      <c r="M3773" s="659" t="str">
        <f>IF(AND(G3773&gt;0,E3773=0),"WARNING - no PRICE inserted",IF(H3773="free"," FREE ~ no charge this plant",IF(H3773="credit",CONCATENATE(" -$",ROUND(K3773*(1-T2GDiscount)*-1,2)," CREDIT after discount"),IF(T2GDiscount=0,"",IF(G3773=0,"",IF(F3773="Buy",CONCATENATE(" $",ROUND(K3773*(1-T2GDiscount),2)," with ",(T2GDiscount*100),"% discount"),CONCATENATE(" $",ROUND(K3773*(1-T2GDiscount),2)," with ",((T2GDiscount*100+F3773*100)-(T2GDiscount*100*F3773)),IF(F3773&gt;0,"% discounts",IF(NoWarrantyDiscount&gt;0,"% discounts","% discount")))))))))</f>
        <v/>
      </c>
      <c r="N3773" s="660"/>
      <c r="O3773" s="233"/>
      <c r="P3773" s="233"/>
      <c r="Q3773" s="233"/>
      <c r="R3773" s="233"/>
      <c r="S3773" s="233"/>
      <c r="T3773" s="508">
        <f t="shared" si="2880"/>
        <v>0</v>
      </c>
      <c r="U3773" s="225">
        <f>IF(NOT(ISNUMBER(G3773)), "", VLOOKUP(A3773,'Discount Lookup'!D:E,2,FALSE)*G3773)</f>
        <v>0</v>
      </c>
      <c r="V3773" s="225">
        <f>IF(NOT(ISNUMBER(G3773)), "", VLOOKUP(A3773,'Discount Lookup'!G:H,2,FALSE)*G3773)</f>
        <v>0</v>
      </c>
      <c r="W3773" s="508">
        <f t="shared" si="2881"/>
        <v>0</v>
      </c>
      <c r="X3773" s="508">
        <f t="shared" si="2882"/>
        <v>0</v>
      </c>
      <c r="Y3773" s="509" t="b">
        <f t="shared" si="2883"/>
        <v>0</v>
      </c>
      <c r="Z3773" s="510">
        <f t="shared" si="2884"/>
        <v>0</v>
      </c>
      <c r="AA3773" s="511"/>
      <c r="AB3773" s="511" t="str">
        <f t="shared" si="2885"/>
        <v/>
      </c>
      <c r="AC3773" s="698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698"/>
      <c r="AE3773" s="631" t="str">
        <f t="shared" si="2886"/>
        <v/>
      </c>
      <c r="AF3773" s="699" t="str">
        <f t="shared" si="2887"/>
        <v/>
      </c>
      <c r="AG3773" s="699"/>
      <c r="AH3773" s="699"/>
      <c r="AI3773" s="512">
        <f>IF(H3773="credit",0,IF(AE3773="free",0,IF(AE3773="me",0,IF(G3773&gt;0,(VLOOKUP(A3773,'Discount Lookup'!J:K,2)*G3773),0))))</f>
        <v>0</v>
      </c>
      <c r="AJ3773" s="513" t="str">
        <f t="shared" ca="1" si="2888"/>
        <v/>
      </c>
      <c r="AK3773" s="700" t="str">
        <f t="shared" si="2889"/>
        <v/>
      </c>
      <c r="AL3773" s="700"/>
      <c r="AM3773" s="505" t="str">
        <f t="shared" si="2890"/>
        <v/>
      </c>
      <c r="AN3773" s="506"/>
      <c r="AO3773" s="507"/>
      <c r="AP3773" s="507"/>
      <c r="AQ3773" s="507"/>
      <c r="AR3773" s="507"/>
      <c r="AS3773" s="507"/>
      <c r="AT3773" s="507"/>
      <c r="AU3773" s="507"/>
      <c r="AV3773" s="225"/>
      <c r="AW3773" s="508"/>
      <c r="AX3773" s="225"/>
      <c r="AY3773" s="225"/>
      <c r="AZ3773" s="225"/>
      <c r="BA3773" s="225"/>
      <c r="BB3773" s="225"/>
      <c r="BC3773" s="56"/>
      <c r="BD3773" s="56"/>
      <c r="BE3773" s="56"/>
      <c r="BF3773" s="107" t="str">
        <f t="shared" si="2891"/>
        <v>https://www.google.com/search?tbm=isch&amp;q=3%20G4</v>
      </c>
      <c r="BG3773" s="107" t="str">
        <f t="shared" si="2892"/>
        <v>T</v>
      </c>
      <c r="BH3773" s="254"/>
      <c r="BI3773" s="254"/>
    </row>
    <row r="3774" spans="1:61" customFormat="1" ht="16.5" thickBot="1" x14ac:dyDescent="0.3">
      <c r="A3774" s="522" t="s">
        <v>4187</v>
      </c>
      <c r="B3774" s="491"/>
      <c r="C3774" s="675"/>
      <c r="D3774" s="491"/>
      <c r="E3774" s="491"/>
      <c r="F3774" s="492"/>
      <c r="G3774" s="493"/>
      <c r="H3774" s="491"/>
      <c r="I3774" s="234"/>
      <c r="J3774" s="234"/>
      <c r="K3774" s="494"/>
      <c r="L3774" s="543"/>
      <c r="M3774" s="561"/>
      <c r="N3774" s="495"/>
      <c r="O3774" s="496"/>
      <c r="P3774" s="497"/>
      <c r="Q3774" s="495"/>
      <c r="R3774" s="495"/>
      <c r="S3774" s="667" t="s">
        <v>4968</v>
      </c>
      <c r="T3774" s="508">
        <f t="shared" si="2880"/>
        <v>0</v>
      </c>
      <c r="U3774" s="225" t="str">
        <f>IF(NOT(ISNUMBER(G3774)), "", VLOOKUP(A3774,'Discount Lookup'!D:E,2,FALSE)*G3774)</f>
        <v/>
      </c>
      <c r="V3774" s="225" t="str">
        <f>IF(NOT(ISNUMBER(G3774)), "", VLOOKUP(A3774,'Discount Lookup'!G:H,2,FALSE)*G3774)</f>
        <v/>
      </c>
      <c r="W3774" s="508">
        <f t="shared" si="2881"/>
        <v>0</v>
      </c>
      <c r="X3774" s="508">
        <f t="shared" si="2882"/>
        <v>0</v>
      </c>
      <c r="Y3774" s="509" t="b">
        <f t="shared" si="2883"/>
        <v>0</v>
      </c>
      <c r="Z3774" s="510">
        <f t="shared" si="2884"/>
        <v>0</v>
      </c>
      <c r="AA3774" s="511"/>
      <c r="AB3774" s="511" t="str">
        <f t="shared" si="2885"/>
        <v/>
      </c>
      <c r="AC3774" s="698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698"/>
      <c r="AE3774" s="631" t="str">
        <f t="shared" si="2886"/>
        <v/>
      </c>
      <c r="AF3774" s="699" t="str">
        <f t="shared" si="2887"/>
        <v/>
      </c>
      <c r="AG3774" s="699"/>
      <c r="AH3774" s="699"/>
      <c r="AI3774" s="512">
        <f>IF(H3774="credit",0,IF(AE3774="free",0,IF(AE3774="me",0,IF(G3774&gt;0,(VLOOKUP(A3774,'Discount Lookup'!J:K,2)*G3774),0))))</f>
        <v>0</v>
      </c>
      <c r="AJ3774" s="513" t="str">
        <f t="shared" ca="1" si="2888"/>
        <v/>
      </c>
      <c r="AK3774" s="700" t="str">
        <f t="shared" si="2889"/>
        <v/>
      </c>
      <c r="AL3774" s="700"/>
      <c r="AM3774" s="505" t="str">
        <f t="shared" si="2890"/>
        <v/>
      </c>
      <c r="AN3774" s="506"/>
      <c r="AO3774" s="507"/>
      <c r="AP3774" s="507"/>
      <c r="AQ3774" s="507"/>
      <c r="AR3774" s="507"/>
      <c r="AS3774" s="507"/>
      <c r="AT3774" s="507"/>
      <c r="AU3774" s="507"/>
      <c r="AV3774" s="225"/>
      <c r="AW3774" s="508"/>
      <c r="AX3774" s="225"/>
      <c r="AY3774" s="225"/>
      <c r="AZ3774" s="225"/>
      <c r="BA3774" s="225"/>
      <c r="BB3774" s="225"/>
      <c r="BC3774" s="56"/>
      <c r="BD3774" s="56"/>
      <c r="BE3774" s="56"/>
      <c r="BF3774" s="107" t="str">
        <f t="shared" si="2891"/>
        <v>https://www.google.com/search?tbm=isch&amp;q=Tiny%20Tank%20forms%20dense%2C%20dwarf%20clumps%20of%20dark%2C%20subtly%20speckled%20leaves%E2%80%94an%20almost%20indestructible%20plant.%20Sparse%20Creamy-Purple%20flowers%20</v>
      </c>
      <c r="BG3774" s="107" t="str">
        <f t="shared" si="2892"/>
        <v>T</v>
      </c>
      <c r="BH3774" s="254"/>
      <c r="BI3774" s="254"/>
    </row>
    <row r="3775" spans="1:61" customFormat="1" ht="18" x14ac:dyDescent="0.25">
      <c r="A3775" s="523" t="s">
        <v>5562</v>
      </c>
      <c r="B3775" s="235"/>
      <c r="C3775" s="676"/>
      <c r="D3775" s="255" t="s">
        <v>1907</v>
      </c>
      <c r="E3775" s="236"/>
      <c r="F3775" s="236"/>
      <c r="G3775" s="236"/>
      <c r="H3775" s="582" t="s">
        <v>506</v>
      </c>
      <c r="I3775" s="498" t="s">
        <v>847</v>
      </c>
      <c r="J3775" s="237"/>
      <c r="K3775" s="237"/>
      <c r="L3775" s="274"/>
      <c r="M3775" s="670" t="s">
        <v>4973</v>
      </c>
      <c r="N3775" s="681" t="str">
        <f>IF(AND(ISTEXT($A3775), ISERROR($A3775+0)), HYPERLINK($BF3775, "Images"), "")</f>
        <v>Images</v>
      </c>
      <c r="O3775" s="663" t="s">
        <v>4974</v>
      </c>
      <c r="P3775" s="253"/>
      <c r="Q3775" s="238"/>
      <c r="R3775" s="239"/>
      <c r="S3775" s="275"/>
      <c r="T3775" s="508">
        <f t="shared" si="2880"/>
        <v>0</v>
      </c>
      <c r="U3775" s="225" t="str">
        <f>IF(NOT(ISNUMBER(G3775)), "", VLOOKUP(A3775,'Discount Lookup'!D:E,2,FALSE)*G3775)</f>
        <v/>
      </c>
      <c r="V3775" s="225" t="str">
        <f>IF(NOT(ISNUMBER(G3775)), "", VLOOKUP(A3775,'Discount Lookup'!G:H,2,FALSE)*G3775)</f>
        <v/>
      </c>
      <c r="W3775" s="508">
        <f t="shared" si="2881"/>
        <v>0</v>
      </c>
      <c r="X3775" s="508" t="str">
        <f t="shared" si="2882"/>
        <v>Blue to Pink bloom</v>
      </c>
      <c r="Y3775" s="509" t="b">
        <f t="shared" si="2883"/>
        <v>0</v>
      </c>
      <c r="Z3775" s="510">
        <f t="shared" si="2884"/>
        <v>0</v>
      </c>
      <c r="AA3775" s="511"/>
      <c r="AB3775" s="511" t="str">
        <f t="shared" si="2885"/>
        <v/>
      </c>
      <c r="AC3775" s="698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698"/>
      <c r="AE3775" s="631" t="str">
        <f t="shared" si="2886"/>
        <v/>
      </c>
      <c r="AF3775" s="699" t="str">
        <f t="shared" si="2887"/>
        <v/>
      </c>
      <c r="AG3775" s="699"/>
      <c r="AH3775" s="699"/>
      <c r="AI3775" s="512">
        <f>IF(H3775="credit",0,IF(AE3775="free",0,IF(AE3775="me",0,IF(G3775&gt;0,(VLOOKUP(A3775,'Discount Lookup'!J:K,2)*G3775),0))))</f>
        <v>0</v>
      </c>
      <c r="AJ3775" s="513" t="str">
        <f t="shared" ca="1" si="2888"/>
        <v/>
      </c>
      <c r="AK3775" s="700" t="str">
        <f t="shared" si="2889"/>
        <v/>
      </c>
      <c r="AL3775" s="700"/>
      <c r="AM3775" s="505" t="str">
        <f t="shared" si="2890"/>
        <v/>
      </c>
      <c r="AN3775" s="506"/>
      <c r="AO3775" s="507"/>
      <c r="AP3775" s="507"/>
      <c r="AQ3775" s="507"/>
      <c r="AR3775" s="507"/>
      <c r="AS3775" s="507"/>
      <c r="AT3775" s="507"/>
      <c r="AU3775" s="507"/>
      <c r="AV3775" s="225"/>
      <c r="AW3775" s="508"/>
      <c r="AX3775" s="225"/>
      <c r="AY3775" s="225"/>
      <c r="AZ3775" s="225"/>
      <c r="BA3775" s="225"/>
      <c r="BB3775" s="225"/>
      <c r="BC3775" s="56"/>
      <c r="BD3775" s="56"/>
      <c r="BE3775" s="56"/>
      <c r="BF3775" s="107" t="str">
        <f t="shared" si="2891"/>
        <v>https://www.google.com/search?tbm=isch&amp;q=Tiny%20Tuff%20Stuff%E2%84%A2%20Mountain%20Hydrangea%20Hyd.%20serrata%20%27MAKD%27%20PP%2324842</v>
      </c>
      <c r="BG3775" s="107" t="str">
        <f t="shared" si="2892"/>
        <v>T</v>
      </c>
      <c r="BH3775" s="254"/>
      <c r="BI3775" s="254"/>
    </row>
    <row r="3776" spans="1:61" customFormat="1" ht="15.75" x14ac:dyDescent="0.25">
      <c r="A3776" s="276">
        <v>3</v>
      </c>
      <c r="B3776" s="240" t="s">
        <v>291</v>
      </c>
      <c r="C3776" s="241" t="s">
        <v>2822</v>
      </c>
      <c r="D3776" s="242" t="s">
        <v>299</v>
      </c>
      <c r="E3776" s="243">
        <v>42.95</v>
      </c>
      <c r="F3776" s="517" t="s">
        <v>293</v>
      </c>
      <c r="G3776" s="232">
        <v>0</v>
      </c>
      <c r="H3776" s="661" t="str">
        <f>IF(G3776=0,"",IF(F3776="Buy",IF(G3776=1,"plant","plants"),IF(F3776&gt;0.01,"warranty","Error")))</f>
        <v/>
      </c>
      <c r="I3776" s="244">
        <f>IF(H3776="free",0,IF(H3776="credit",((E3776*(F3776))*G3776*-1),IF(F3776="Buy",(E3776*G3776),((E3776*(1-F3776))*G3776))))</f>
        <v>0</v>
      </c>
      <c r="J3776" s="244">
        <f>IF(H3776="warranty",0,(I3776*(_xlfn.SINGLE(SalesTaxPercentage))))</f>
        <v>0</v>
      </c>
      <c r="K3776" s="696">
        <f t="shared" ref="K3776" si="2912">I3776+J3776</f>
        <v>0</v>
      </c>
      <c r="L3776" s="696"/>
      <c r="M3776" s="659" t="str">
        <f>IF(AND(G3776&gt;0,E3776=0),"WARNING - no PRICE inserted",IF(H3776="free"," FREE ~ no charge this plant",IF(H3776="credit",CONCATENATE(" -$",ROUND(K3776*(1-T2GDiscount)*-1,2)," CREDIT after discount"),IF(T2GDiscount=0,"",IF(G3776=0,"",IF(F3776="Buy",CONCATENATE(" $",ROUND(K3776*(1-T2GDiscount),2)," with ",(T2GDiscount*100),"% discount"),CONCATENATE(" $",ROUND(K3776*(1-T2GDiscount),2)," with ",((T2GDiscount*100+F3776*100)-(T2GDiscount*100*F3776)),IF(F3776&gt;0,"% discounts",IF(NoWarrantyDiscount&gt;0,"% discounts","% discount")))))))))</f>
        <v/>
      </c>
      <c r="N3776" s="660"/>
      <c r="O3776" s="233"/>
      <c r="P3776" s="233"/>
      <c r="Q3776" s="233"/>
      <c r="R3776" s="233"/>
      <c r="S3776" s="233"/>
      <c r="T3776" s="508">
        <f t="shared" si="2880"/>
        <v>0</v>
      </c>
      <c r="U3776" s="225">
        <f>IF(NOT(ISNUMBER(G3776)), "", VLOOKUP(A3776,'Discount Lookup'!D:E,2,FALSE)*G3776)</f>
        <v>0</v>
      </c>
      <c r="V3776" s="225">
        <f>IF(NOT(ISNUMBER(G3776)), "", VLOOKUP(A3776,'Discount Lookup'!G:H,2,FALSE)*G3776)</f>
        <v>0</v>
      </c>
      <c r="W3776" s="508">
        <f t="shared" si="2881"/>
        <v>0</v>
      </c>
      <c r="X3776" s="508">
        <f t="shared" si="2882"/>
        <v>0</v>
      </c>
      <c r="Y3776" s="509" t="b">
        <f t="shared" si="2883"/>
        <v>0</v>
      </c>
      <c r="Z3776" s="510">
        <f t="shared" si="2884"/>
        <v>0</v>
      </c>
      <c r="AA3776" s="511"/>
      <c r="AB3776" s="511" t="str">
        <f t="shared" si="2885"/>
        <v/>
      </c>
      <c r="AC3776" s="698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698"/>
      <c r="AE3776" s="631" t="str">
        <f t="shared" si="2886"/>
        <v/>
      </c>
      <c r="AF3776" s="699" t="str">
        <f t="shared" si="2887"/>
        <v/>
      </c>
      <c r="AG3776" s="699"/>
      <c r="AH3776" s="699"/>
      <c r="AI3776" s="512">
        <f>IF(H3776="credit",0,IF(AE3776="free",0,IF(AE3776="me",0,IF(G3776&gt;0,(VLOOKUP(A3776,'Discount Lookup'!J:K,2)*G3776),0))))</f>
        <v>0</v>
      </c>
      <c r="AJ3776" s="513" t="str">
        <f t="shared" ca="1" si="2888"/>
        <v/>
      </c>
      <c r="AK3776" s="700" t="str">
        <f t="shared" si="2889"/>
        <v/>
      </c>
      <c r="AL3776" s="700"/>
      <c r="AM3776" s="505" t="str">
        <f t="shared" si="2890"/>
        <v/>
      </c>
      <c r="AN3776" s="506"/>
      <c r="AO3776" s="507"/>
      <c r="AP3776" s="507"/>
      <c r="AQ3776" s="507"/>
      <c r="AR3776" s="507"/>
      <c r="AS3776" s="507"/>
      <c r="AT3776" s="507"/>
      <c r="AU3776" s="507"/>
      <c r="AV3776" s="225"/>
      <c r="AW3776" s="508"/>
      <c r="AX3776" s="225"/>
      <c r="AY3776" s="225"/>
      <c r="AZ3776" s="225"/>
      <c r="BA3776" s="225"/>
      <c r="BB3776" s="225"/>
      <c r="BC3776" s="56"/>
      <c r="BD3776" s="56"/>
      <c r="BE3776" s="56"/>
      <c r="BF3776" s="107" t="str">
        <f t="shared" si="2891"/>
        <v>https://www.google.com/search?tbm=isch&amp;q=3%20G5</v>
      </c>
      <c r="BG3776" s="107" t="str">
        <f t="shared" si="2892"/>
        <v>T</v>
      </c>
      <c r="BH3776" s="254"/>
      <c r="BI3776" s="254"/>
    </row>
    <row r="3777" spans="1:61" customFormat="1" ht="17.25" thickBot="1" x14ac:dyDescent="0.3">
      <c r="A3777" s="673" t="s">
        <v>5265</v>
      </c>
      <c r="B3777" s="245"/>
      <c r="C3777" s="677"/>
      <c r="D3777" s="499"/>
      <c r="E3777" s="499"/>
      <c r="F3777" s="500"/>
      <c r="G3777" s="501"/>
      <c r="H3777" s="502"/>
      <c r="I3777" s="246"/>
      <c r="J3777" s="247"/>
      <c r="K3777" s="503"/>
      <c r="L3777" s="544"/>
      <c r="M3777" s="544"/>
      <c r="N3777" s="500"/>
      <c r="O3777" s="500"/>
      <c r="P3777" s="500"/>
      <c r="Q3777" s="500"/>
      <c r="R3777" s="500"/>
      <c r="S3777" s="278"/>
      <c r="T3777" s="508">
        <f t="shared" si="2880"/>
        <v>0</v>
      </c>
      <c r="U3777" s="225" t="str">
        <f>IF(NOT(ISNUMBER(G3777)), "", VLOOKUP(A3777,'Discount Lookup'!D:E,2,FALSE)*G3777)</f>
        <v/>
      </c>
      <c r="V3777" s="225" t="str">
        <f>IF(NOT(ISNUMBER(G3777)), "", VLOOKUP(A3777,'Discount Lookup'!G:H,2,FALSE)*G3777)</f>
        <v/>
      </c>
      <c r="W3777" s="508">
        <f t="shared" si="2881"/>
        <v>0</v>
      </c>
      <c r="X3777" s="508">
        <f t="shared" si="2882"/>
        <v>0</v>
      </c>
      <c r="Y3777" s="509" t="b">
        <f t="shared" si="2883"/>
        <v>0</v>
      </c>
      <c r="Z3777" s="510">
        <f t="shared" si="2884"/>
        <v>0</v>
      </c>
      <c r="AA3777" s="511"/>
      <c r="AB3777" s="511" t="str">
        <f t="shared" si="2885"/>
        <v/>
      </c>
      <c r="AC3777" s="698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698"/>
      <c r="AE3777" s="631" t="str">
        <f t="shared" si="2886"/>
        <v/>
      </c>
      <c r="AF3777" s="699" t="str">
        <f t="shared" si="2887"/>
        <v/>
      </c>
      <c r="AG3777" s="699"/>
      <c r="AH3777" s="699"/>
      <c r="AI3777" s="512">
        <f>IF(H3777="credit",0,IF(AE3777="free",0,IF(AE3777="me",0,IF(G3777&gt;0,(VLOOKUP(A3777,'Discount Lookup'!J:K,2)*G3777),0))))</f>
        <v>0</v>
      </c>
      <c r="AJ3777" s="513" t="str">
        <f t="shared" ca="1" si="2888"/>
        <v/>
      </c>
      <c r="AK3777" s="700" t="str">
        <f t="shared" si="2889"/>
        <v/>
      </c>
      <c r="AL3777" s="700"/>
      <c r="AM3777" s="505" t="str">
        <f t="shared" si="2890"/>
        <v/>
      </c>
      <c r="AN3777" s="506"/>
      <c r="AO3777" s="507"/>
      <c r="AP3777" s="507"/>
      <c r="AQ3777" s="507"/>
      <c r="AR3777" s="507"/>
      <c r="AS3777" s="507"/>
      <c r="AT3777" s="507"/>
      <c r="AU3777" s="507"/>
      <c r="AV3777" s="225"/>
      <c r="AW3777" s="508"/>
      <c r="AX3777" s="225"/>
      <c r="AY3777" s="225"/>
      <c r="AZ3777" s="225"/>
      <c r="BA3777" s="225"/>
      <c r="BB3777" s="225"/>
      <c r="BC3777" s="56"/>
      <c r="BD3777" s="56"/>
      <c r="BE3777" s="56"/>
      <c r="BF3777" s="107" t="str">
        <f t="shared" si="2891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777" s="107" t="str">
        <f t="shared" si="2892"/>
        <v>m</v>
      </c>
      <c r="BH3777" s="254"/>
      <c r="BI3777" s="254"/>
    </row>
    <row r="3778" spans="1:61" customFormat="1" ht="18" x14ac:dyDescent="0.25">
      <c r="A3778" s="523" t="s">
        <v>1908</v>
      </c>
      <c r="B3778" s="235"/>
      <c r="C3778" s="676"/>
      <c r="D3778" s="255" t="s">
        <v>1909</v>
      </c>
      <c r="E3778" s="236"/>
      <c r="F3778" s="236"/>
      <c r="G3778" s="236"/>
      <c r="H3778" s="582" t="s">
        <v>2008</v>
      </c>
      <c r="I3778" s="498" t="s">
        <v>4276</v>
      </c>
      <c r="J3778" s="237"/>
      <c r="K3778" s="237"/>
      <c r="L3778" s="274"/>
      <c r="M3778" s="668" t="s">
        <v>4975</v>
      </c>
      <c r="N3778" s="681" t="str">
        <f>IF(AND(ISTEXT($A3778), ISERROR($A3778+0)), HYPERLINK($BF3778, "Images"), "")</f>
        <v>Images</v>
      </c>
      <c r="O3778" s="663" t="s">
        <v>4967</v>
      </c>
      <c r="P3778" s="253"/>
      <c r="Q3778" s="238"/>
      <c r="R3778" s="239"/>
      <c r="S3778" s="275"/>
      <c r="T3778" s="508">
        <f t="shared" si="2880"/>
        <v>0</v>
      </c>
      <c r="U3778" s="225" t="str">
        <f>IF(NOT(ISNUMBER(G3778)), "", VLOOKUP(A3778,'Discount Lookup'!D:E,2,FALSE)*G3778)</f>
        <v/>
      </c>
      <c r="V3778" s="225" t="str">
        <f>IF(NOT(ISNUMBER(G3778)), "", VLOOKUP(A3778,'Discount Lookup'!G:H,2,FALSE)*G3778)</f>
        <v/>
      </c>
      <c r="W3778" s="508">
        <f t="shared" si="2881"/>
        <v>0</v>
      </c>
      <c r="X3778" s="508" t="str">
        <f t="shared" si="2882"/>
        <v>Green foliage, Red petioles</v>
      </c>
      <c r="Y3778" s="509" t="b">
        <f t="shared" si="2883"/>
        <v>0</v>
      </c>
      <c r="Z3778" s="510">
        <f t="shared" si="2884"/>
        <v>0</v>
      </c>
      <c r="AA3778" s="511"/>
      <c r="AB3778" s="511" t="str">
        <f t="shared" si="2885"/>
        <v/>
      </c>
      <c r="AC3778" s="698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698"/>
      <c r="AE3778" s="631" t="str">
        <f t="shared" si="2886"/>
        <v/>
      </c>
      <c r="AF3778" s="699" t="str">
        <f t="shared" si="2887"/>
        <v/>
      </c>
      <c r="AG3778" s="699"/>
      <c r="AH3778" s="699"/>
      <c r="AI3778" s="512">
        <f>IF(H3778="credit",0,IF(AE3778="free",0,IF(AE3778="me",0,IF(G3778&gt;0,(VLOOKUP(A3778,'Discount Lookup'!J:K,2)*G3778),0))))</f>
        <v>0</v>
      </c>
      <c r="AJ3778" s="513" t="str">
        <f t="shared" ca="1" si="2888"/>
        <v/>
      </c>
      <c r="AK3778" s="700" t="str">
        <f t="shared" si="2889"/>
        <v/>
      </c>
      <c r="AL3778" s="700"/>
      <c r="AM3778" s="505" t="str">
        <f t="shared" si="2890"/>
        <v/>
      </c>
      <c r="AN3778" s="506"/>
      <c r="AO3778" s="507"/>
      <c r="AP3778" s="507"/>
      <c r="AQ3778" s="507"/>
      <c r="AR3778" s="507"/>
      <c r="AS3778" s="507"/>
      <c r="AT3778" s="507"/>
      <c r="AU3778" s="507"/>
      <c r="AV3778" s="225"/>
      <c r="AW3778" s="508"/>
      <c r="AX3778" s="225"/>
      <c r="AY3778" s="225"/>
      <c r="AZ3778" s="225"/>
      <c r="BA3778" s="225"/>
      <c r="BB3778" s="225"/>
      <c r="BC3778" s="56"/>
      <c r="BD3778" s="56"/>
      <c r="BE3778" s="56"/>
      <c r="BF3778" s="107" t="str">
        <f t="shared" si="2891"/>
        <v>https://www.google.com/search?tbm=isch&amp;q=Tobiosho%20Japanese%20Maple%20Acer%20palmatum%20%27Tobiosho%27</v>
      </c>
      <c r="BG3778" s="107" t="str">
        <f t="shared" si="2892"/>
        <v>T</v>
      </c>
      <c r="BH3778" s="254"/>
      <c r="BI3778" s="254"/>
    </row>
    <row r="3779" spans="1:61" customFormat="1" ht="15.75" x14ac:dyDescent="0.25">
      <c r="A3779" s="276">
        <v>7</v>
      </c>
      <c r="B3779" s="240" t="s">
        <v>291</v>
      </c>
      <c r="C3779" s="241" t="s">
        <v>3307</v>
      </c>
      <c r="D3779" s="242" t="s">
        <v>292</v>
      </c>
      <c r="E3779" s="243">
        <v>240.95</v>
      </c>
      <c r="F3779" s="517" t="s">
        <v>293</v>
      </c>
      <c r="G3779" s="232">
        <v>0</v>
      </c>
      <c r="H3779" s="661" t="str">
        <f>IF(G3779=0,"",IF(F3779="Buy",IF(G3779=1,"plant","plants"),IF(F3779&gt;0.01,"warranty","Error")))</f>
        <v/>
      </c>
      <c r="I3779" s="244">
        <f>IF(H3779="free",0,IF(H3779="credit",((E3779*(F3779))*G3779*-1),IF(F3779="Buy",(E3779*G3779),((E3779*(1-F3779))*G3779))))</f>
        <v>0</v>
      </c>
      <c r="J3779" s="244">
        <f>IF(H3779="warranty",0,(I3779*(_xlfn.SINGLE(SalesTaxPercentage))))</f>
        <v>0</v>
      </c>
      <c r="K3779" s="696">
        <f t="shared" ref="K3779" si="2913">I3779+J3779</f>
        <v>0</v>
      </c>
      <c r="L3779" s="696"/>
      <c r="M3779" s="659" t="str">
        <f>IF(AND(G3779&gt;0,E3779=0),"WARNING - no PRICE inserted",IF(H3779="free"," FREE ~ no charge this plant",IF(H3779="credit",CONCATENATE(" -$",ROUND(K3779*(1-T2GDiscount)*-1,2)," CREDIT after discount"),IF(T2GDiscount=0,"",IF(G3779=0,"",IF(F3779="Buy",CONCATENATE(" $",ROUND(K3779*(1-T2GDiscount),2)," with ",(T2GDiscount*100),"% discount"),CONCATENATE(" $",ROUND(K3779*(1-T2GDiscount),2)," with ",((T2GDiscount*100+F3779*100)-(T2GDiscount*100*F3779)),IF(F3779&gt;0,"% discounts",IF(NoWarrantyDiscount&gt;0,"% discounts","% discount")))))))))</f>
        <v/>
      </c>
      <c r="N3779" s="660"/>
      <c r="O3779" s="233"/>
      <c r="P3779" s="233"/>
      <c r="Q3779" s="233"/>
      <c r="R3779" s="233"/>
      <c r="S3779" s="233"/>
      <c r="T3779" s="508">
        <f t="shared" si="2880"/>
        <v>0</v>
      </c>
      <c r="U3779" s="225">
        <f>IF(NOT(ISNUMBER(G3779)), "", VLOOKUP(A3779,'Discount Lookup'!D:E,2,FALSE)*G3779)</f>
        <v>0</v>
      </c>
      <c r="V3779" s="225">
        <f>IF(NOT(ISNUMBER(G3779)), "", VLOOKUP(A3779,'Discount Lookup'!G:H,2,FALSE)*G3779)</f>
        <v>0</v>
      </c>
      <c r="W3779" s="508">
        <f t="shared" si="2881"/>
        <v>0</v>
      </c>
      <c r="X3779" s="508">
        <f t="shared" si="2882"/>
        <v>0</v>
      </c>
      <c r="Y3779" s="509" t="b">
        <f t="shared" si="2883"/>
        <v>0</v>
      </c>
      <c r="Z3779" s="510">
        <f t="shared" si="2884"/>
        <v>0</v>
      </c>
      <c r="AA3779" s="511"/>
      <c r="AB3779" s="511" t="str">
        <f t="shared" si="2885"/>
        <v/>
      </c>
      <c r="AC3779" s="698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698"/>
      <c r="AE3779" s="631" t="str">
        <f t="shared" si="2886"/>
        <v/>
      </c>
      <c r="AF3779" s="699" t="str">
        <f t="shared" si="2887"/>
        <v/>
      </c>
      <c r="AG3779" s="699"/>
      <c r="AH3779" s="699"/>
      <c r="AI3779" s="512">
        <f>IF(H3779="credit",0,IF(AE3779="free",0,IF(AE3779="me",0,IF(G3779&gt;0,(VLOOKUP(A3779,'Discount Lookup'!J:K,2)*G3779),0))))</f>
        <v>0</v>
      </c>
      <c r="AJ3779" s="513" t="str">
        <f t="shared" ca="1" si="2888"/>
        <v/>
      </c>
      <c r="AK3779" s="700" t="str">
        <f t="shared" si="2889"/>
        <v/>
      </c>
      <c r="AL3779" s="700"/>
      <c r="AM3779" s="505" t="str">
        <f t="shared" si="2890"/>
        <v/>
      </c>
      <c r="AN3779" s="506"/>
      <c r="AO3779" s="507"/>
      <c r="AP3779" s="507"/>
      <c r="AQ3779" s="507"/>
      <c r="AR3779" s="507"/>
      <c r="AS3779" s="507"/>
      <c r="AT3779" s="507"/>
      <c r="AU3779" s="507"/>
      <c r="AV3779" s="225"/>
      <c r="AW3779" s="508"/>
      <c r="AX3779" s="225"/>
      <c r="AY3779" s="225"/>
      <c r="AZ3779" s="225"/>
      <c r="BA3779" s="225"/>
      <c r="BB3779" s="225"/>
      <c r="BC3779" s="56"/>
      <c r="BD3779" s="56"/>
      <c r="BE3779" s="56"/>
      <c r="BF3779" s="107" t="str">
        <f t="shared" si="2891"/>
        <v>https://www.google.com/search?tbm=isch&amp;q=7%20G4</v>
      </c>
      <c r="BG3779" s="107" t="str">
        <f t="shared" si="2892"/>
        <v>T</v>
      </c>
      <c r="BH3779" s="254"/>
      <c r="BI3779" s="254"/>
    </row>
    <row r="3780" spans="1:61" customFormat="1" ht="15.75" x14ac:dyDescent="0.25">
      <c r="A3780" s="276">
        <v>15</v>
      </c>
      <c r="B3780" s="240" t="s">
        <v>291</v>
      </c>
      <c r="C3780" s="241" t="s">
        <v>3368</v>
      </c>
      <c r="D3780" s="242" t="s">
        <v>292</v>
      </c>
      <c r="E3780" s="243">
        <v>408.95</v>
      </c>
      <c r="F3780" s="517" t="s">
        <v>293</v>
      </c>
      <c r="G3780" s="232">
        <v>0</v>
      </c>
      <c r="H3780" s="661" t="str">
        <f>IF(G3780=0,"",IF(F3780="Buy",IF(G3780=1,"plant","plants"),IF(F3780&gt;0.01,"warranty","Error")))</f>
        <v/>
      </c>
      <c r="I3780" s="244">
        <f>IF(H3780="free",0,IF(H3780="credit",((E3780*(F3780))*G3780*-1),IF(F3780="Buy",(E3780*G3780),((E3780*(1-F3780))*G3780))))</f>
        <v>0</v>
      </c>
      <c r="J3780" s="244">
        <f>IF(H3780="warranty",0,(I3780*(_xlfn.SINGLE(SalesTaxPercentage))))</f>
        <v>0</v>
      </c>
      <c r="K3780" s="696">
        <f t="shared" ref="K3780" si="2914">I3780+J3780</f>
        <v>0</v>
      </c>
      <c r="L3780" s="696"/>
      <c r="M3780" s="659" t="str">
        <f>IF(AND(G3780&gt;0,E3780=0),"WARNING - no PRICE inserted",IF(H3780="free"," FREE ~ no charge this plant",IF(H3780="credit",CONCATENATE(" -$",ROUND(K3780*(1-T2GDiscount)*-1,2)," CREDIT after discount"),IF(T2GDiscount=0,"",IF(G3780=0,"",IF(F3780="Buy",CONCATENATE(" $",ROUND(K3780*(1-T2GDiscount),2)," with ",(T2GDiscount*100),"% discount"),CONCATENATE(" $",ROUND(K3780*(1-T2GDiscount),2)," with ",((T2GDiscount*100+F3780*100)-(T2GDiscount*100*F3780)),IF(F3780&gt;0,"% discounts",IF(NoWarrantyDiscount&gt;0,"% discounts","% discount")))))))))</f>
        <v/>
      </c>
      <c r="N3780" s="660"/>
      <c r="O3780" s="233"/>
      <c r="P3780" s="233"/>
      <c r="Q3780" s="233"/>
      <c r="R3780" s="233"/>
      <c r="S3780" s="233"/>
      <c r="T3780" s="508">
        <f t="shared" si="2880"/>
        <v>0</v>
      </c>
      <c r="U3780" s="225">
        <f>IF(NOT(ISNUMBER(G3780)), "", VLOOKUP(A3780,'Discount Lookup'!D:E,2,FALSE)*G3780)</f>
        <v>0</v>
      </c>
      <c r="V3780" s="225">
        <f>IF(NOT(ISNUMBER(G3780)), "", VLOOKUP(A3780,'Discount Lookup'!G:H,2,FALSE)*G3780)</f>
        <v>0</v>
      </c>
      <c r="W3780" s="508">
        <f t="shared" si="2881"/>
        <v>0</v>
      </c>
      <c r="X3780" s="508">
        <f t="shared" si="2882"/>
        <v>0</v>
      </c>
      <c r="Y3780" s="509" t="b">
        <f t="shared" si="2883"/>
        <v>0</v>
      </c>
      <c r="Z3780" s="510">
        <f t="shared" si="2884"/>
        <v>0</v>
      </c>
      <c r="AA3780" s="511"/>
      <c r="AB3780" s="511" t="str">
        <f t="shared" si="2885"/>
        <v/>
      </c>
      <c r="AC3780" s="698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698"/>
      <c r="AE3780" s="631" t="str">
        <f t="shared" si="2886"/>
        <v/>
      </c>
      <c r="AF3780" s="699" t="str">
        <f t="shared" si="2887"/>
        <v/>
      </c>
      <c r="AG3780" s="699"/>
      <c r="AH3780" s="699"/>
      <c r="AI3780" s="512">
        <f>IF(H3780="credit",0,IF(AE3780="free",0,IF(AE3780="me",0,IF(G3780&gt;0,(VLOOKUP(A3780,'Discount Lookup'!J:K,2)*G3780),0))))</f>
        <v>0</v>
      </c>
      <c r="AJ3780" s="513" t="str">
        <f t="shared" ca="1" si="2888"/>
        <v/>
      </c>
      <c r="AK3780" s="700" t="str">
        <f t="shared" si="2889"/>
        <v/>
      </c>
      <c r="AL3780" s="700"/>
      <c r="AM3780" s="505" t="str">
        <f t="shared" si="2890"/>
        <v/>
      </c>
      <c r="AN3780" s="506"/>
      <c r="AO3780" s="507"/>
      <c r="AP3780" s="507"/>
      <c r="AQ3780" s="507"/>
      <c r="AR3780" s="507"/>
      <c r="AS3780" s="507"/>
      <c r="AT3780" s="507"/>
      <c r="AU3780" s="507"/>
      <c r="AV3780" s="225"/>
      <c r="AW3780" s="508"/>
      <c r="AX3780" s="225"/>
      <c r="AY3780" s="225"/>
      <c r="AZ3780" s="225"/>
      <c r="BA3780" s="225"/>
      <c r="BB3780" s="225"/>
      <c r="BC3780" s="56"/>
      <c r="BD3780" s="56"/>
      <c r="BE3780" s="56"/>
      <c r="BF3780" s="107" t="str">
        <f t="shared" si="2891"/>
        <v>https://www.google.com/search?tbm=isch&amp;q=15%20G4</v>
      </c>
      <c r="BG3780" s="107" t="str">
        <f t="shared" si="2892"/>
        <v>T</v>
      </c>
      <c r="BH3780" s="254"/>
      <c r="BI3780" s="254"/>
    </row>
    <row r="3781" spans="1:61" customFormat="1" ht="17.25" thickBot="1" x14ac:dyDescent="0.3">
      <c r="A3781" s="524" t="s">
        <v>2256</v>
      </c>
      <c r="B3781" s="245"/>
      <c r="C3781" s="677"/>
      <c r="D3781" s="499"/>
      <c r="E3781" s="499"/>
      <c r="F3781" s="500"/>
      <c r="G3781" s="501"/>
      <c r="H3781" s="502"/>
      <c r="I3781" s="246"/>
      <c r="J3781" s="247"/>
      <c r="K3781" s="503"/>
      <c r="L3781" s="544"/>
      <c r="M3781" s="544"/>
      <c r="N3781" s="500"/>
      <c r="O3781" s="500"/>
      <c r="P3781" s="500"/>
      <c r="Q3781" s="500"/>
      <c r="R3781" s="500"/>
      <c r="S3781" s="278"/>
      <c r="T3781" s="508">
        <f t="shared" si="2880"/>
        <v>0</v>
      </c>
      <c r="U3781" s="225" t="str">
        <f>IF(NOT(ISNUMBER(G3781)), "", VLOOKUP(A3781,'Discount Lookup'!D:E,2,FALSE)*G3781)</f>
        <v/>
      </c>
      <c r="V3781" s="225" t="str">
        <f>IF(NOT(ISNUMBER(G3781)), "", VLOOKUP(A3781,'Discount Lookup'!G:H,2,FALSE)*G3781)</f>
        <v/>
      </c>
      <c r="W3781" s="508">
        <f t="shared" si="2881"/>
        <v>0</v>
      </c>
      <c r="X3781" s="508">
        <f t="shared" si="2882"/>
        <v>0</v>
      </c>
      <c r="Y3781" s="509" t="b">
        <f t="shared" si="2883"/>
        <v>0</v>
      </c>
      <c r="Z3781" s="510">
        <f t="shared" si="2884"/>
        <v>0</v>
      </c>
      <c r="AA3781" s="511"/>
      <c r="AB3781" s="511" t="str">
        <f t="shared" si="2885"/>
        <v/>
      </c>
      <c r="AC3781" s="698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698"/>
      <c r="AE3781" s="631" t="str">
        <f t="shared" si="2886"/>
        <v/>
      </c>
      <c r="AF3781" s="699" t="str">
        <f t="shared" si="2887"/>
        <v/>
      </c>
      <c r="AG3781" s="699"/>
      <c r="AH3781" s="699"/>
      <c r="AI3781" s="512">
        <f>IF(H3781="credit",0,IF(AE3781="free",0,IF(AE3781="me",0,IF(G3781&gt;0,(VLOOKUP(A3781,'Discount Lookup'!J:K,2)*G3781),0))))</f>
        <v>0</v>
      </c>
      <c r="AJ3781" s="513" t="str">
        <f t="shared" ca="1" si="2888"/>
        <v/>
      </c>
      <c r="AK3781" s="700" t="str">
        <f t="shared" si="2889"/>
        <v/>
      </c>
      <c r="AL3781" s="700"/>
      <c r="AM3781" s="505" t="str">
        <f t="shared" si="2890"/>
        <v/>
      </c>
      <c r="AN3781" s="506"/>
      <c r="AO3781" s="507"/>
      <c r="AP3781" s="507"/>
      <c r="AQ3781" s="507"/>
      <c r="AR3781" s="507"/>
      <c r="AS3781" s="507"/>
      <c r="AT3781" s="507"/>
      <c r="AU3781" s="507"/>
      <c r="AV3781" s="225"/>
      <c r="AW3781" s="508"/>
      <c r="AX3781" s="225"/>
      <c r="AY3781" s="225"/>
      <c r="AZ3781" s="225"/>
      <c r="BA3781" s="225"/>
      <c r="BB3781" s="225"/>
      <c r="BC3781" s="56"/>
      <c r="BD3781" s="56"/>
      <c r="BE3781" s="56"/>
      <c r="BF3781" s="107" t="str">
        <f t="shared" si="2891"/>
        <v>https://www.google.com/search?tbm=isch&amp;q=Tobiosho%20is%20a%20fast%20grower%20with%20vibrant%20green%20foliage%20that%20transforms%20into%20brilliant%20gold%20and%20orange%20in%20the%20fall%20</v>
      </c>
      <c r="BG3781" s="107" t="str">
        <f t="shared" si="2892"/>
        <v>T</v>
      </c>
      <c r="BH3781" s="254"/>
      <c r="BI3781" s="254"/>
    </row>
    <row r="3782" spans="1:61" customFormat="1" ht="18" x14ac:dyDescent="0.25">
      <c r="A3782" s="523" t="s">
        <v>1910</v>
      </c>
      <c r="B3782" s="235"/>
      <c r="C3782" s="676"/>
      <c r="D3782" s="255" t="s">
        <v>1911</v>
      </c>
      <c r="E3782" s="236"/>
      <c r="F3782" s="236"/>
      <c r="G3782" s="236"/>
      <c r="H3782" s="582" t="s">
        <v>833</v>
      </c>
      <c r="I3782" s="498" t="s">
        <v>654</v>
      </c>
      <c r="J3782" s="237"/>
      <c r="K3782" s="237"/>
      <c r="L3782" s="274"/>
      <c r="M3782" s="668" t="s">
        <v>4975</v>
      </c>
      <c r="N3782" s="681" t="str">
        <f>IF(AND(ISTEXT($A3782), ISERROR($A3782+0)), HYPERLINK($BF3782, "Images"), "")</f>
        <v>Images</v>
      </c>
      <c r="O3782" s="663" t="s">
        <v>4967</v>
      </c>
      <c r="P3782" s="253"/>
      <c r="Q3782" s="238"/>
      <c r="R3782" s="239"/>
      <c r="S3782" s="275"/>
      <c r="T3782" s="508">
        <f t="shared" si="2880"/>
        <v>0</v>
      </c>
      <c r="U3782" s="225" t="str">
        <f>IF(NOT(ISNUMBER(G3782)), "", VLOOKUP(A3782,'Discount Lookup'!D:E,2,FALSE)*G3782)</f>
        <v/>
      </c>
      <c r="V3782" s="225" t="str">
        <f>IF(NOT(ISNUMBER(G3782)), "", VLOOKUP(A3782,'Discount Lookup'!G:H,2,FALSE)*G3782)</f>
        <v/>
      </c>
      <c r="W3782" s="508">
        <f t="shared" si="2881"/>
        <v>0</v>
      </c>
      <c r="X3782" s="508" t="str">
        <f t="shared" si="2882"/>
        <v>White bloom</v>
      </c>
      <c r="Y3782" s="509" t="b">
        <f t="shared" si="2883"/>
        <v>0</v>
      </c>
      <c r="Z3782" s="510">
        <f t="shared" si="2884"/>
        <v>0</v>
      </c>
      <c r="AA3782" s="511"/>
      <c r="AB3782" s="511" t="str">
        <f t="shared" si="2885"/>
        <v/>
      </c>
      <c r="AC3782" s="698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698"/>
      <c r="AE3782" s="631" t="str">
        <f t="shared" si="2886"/>
        <v/>
      </c>
      <c r="AF3782" s="699" t="str">
        <f t="shared" si="2887"/>
        <v/>
      </c>
      <c r="AG3782" s="699"/>
      <c r="AH3782" s="699"/>
      <c r="AI3782" s="512">
        <f>IF(H3782="credit",0,IF(AE3782="free",0,IF(AE3782="me",0,IF(G3782&gt;0,(VLOOKUP(A3782,'Discount Lookup'!J:K,2)*G3782),0))))</f>
        <v>0</v>
      </c>
      <c r="AJ3782" s="513" t="str">
        <f t="shared" ca="1" si="2888"/>
        <v/>
      </c>
      <c r="AK3782" s="700" t="str">
        <f t="shared" si="2889"/>
        <v/>
      </c>
      <c r="AL3782" s="700"/>
      <c r="AM3782" s="505" t="str">
        <f t="shared" si="2890"/>
        <v/>
      </c>
      <c r="AN3782" s="506"/>
      <c r="AO3782" s="507"/>
      <c r="AP3782" s="507"/>
      <c r="AQ3782" s="507"/>
      <c r="AR3782" s="507"/>
      <c r="AS3782" s="507"/>
      <c r="AT3782" s="507"/>
      <c r="AU3782" s="507"/>
      <c r="AV3782" s="225"/>
      <c r="AW3782" s="508"/>
      <c r="AX3782" s="225"/>
      <c r="AY3782" s="225"/>
      <c r="AZ3782" s="225"/>
      <c r="BA3782" s="225"/>
      <c r="BB3782" s="225"/>
      <c r="BC3782" s="56"/>
      <c r="BD3782" s="56"/>
      <c r="BE3782" s="56"/>
      <c r="BF3782" s="107" t="str">
        <f t="shared" si="2891"/>
        <v>https://www.google.com/search?tbm=isch&amp;q=Tokyo%20Tower%20Fringetree%20Chionanthus%20retusus%20%27Tokyo%20Tower%27</v>
      </c>
      <c r="BG3782" s="107" t="str">
        <f t="shared" si="2892"/>
        <v>T</v>
      </c>
      <c r="BH3782" s="254"/>
      <c r="BI3782" s="254"/>
    </row>
    <row r="3783" spans="1:61" customFormat="1" ht="15.75" x14ac:dyDescent="0.25">
      <c r="A3783" s="276">
        <v>7</v>
      </c>
      <c r="B3783" s="240" t="s">
        <v>291</v>
      </c>
      <c r="C3783" s="241" t="s">
        <v>3542</v>
      </c>
      <c r="D3783" s="242" t="s">
        <v>292</v>
      </c>
      <c r="E3783" s="243">
        <v>109.95</v>
      </c>
      <c r="F3783" s="517" t="s">
        <v>293</v>
      </c>
      <c r="G3783" s="232">
        <v>0</v>
      </c>
      <c r="H3783" s="661" t="str">
        <f>IF(G3783=0,"",IF(F3783="Buy",IF(G3783=1,"plant","plants"),IF(F3783&gt;0.01,"warranty","Error")))</f>
        <v/>
      </c>
      <c r="I3783" s="244">
        <f>IF(H3783="free",0,IF(H3783="credit",((E3783*(F3783))*G3783*-1),IF(F3783="Buy",(E3783*G3783),((E3783*(1-F3783))*G3783))))</f>
        <v>0</v>
      </c>
      <c r="J3783" s="244">
        <f>IF(H3783="warranty",0,(I3783*(_xlfn.SINGLE(SalesTaxPercentage))))</f>
        <v>0</v>
      </c>
      <c r="K3783" s="696">
        <f t="shared" ref="K3783" si="2915">I3783+J3783</f>
        <v>0</v>
      </c>
      <c r="L3783" s="696"/>
      <c r="M3783" s="659" t="str">
        <f>IF(AND(G3783&gt;0,E3783=0),"WARNING - no PRICE inserted",IF(H3783="free"," FREE ~ no charge this plant",IF(H3783="credit",CONCATENATE(" -$",ROUND(K3783*(1-T2GDiscount)*-1,2)," CREDIT after discount"),IF(T2GDiscount=0,"",IF(G3783=0,"",IF(F3783="Buy",CONCATENATE(" $",ROUND(K3783*(1-T2GDiscount),2)," with ",(T2GDiscount*100),"% discount"),CONCATENATE(" $",ROUND(K3783*(1-T2GDiscount),2)," with ",((T2GDiscount*100+F3783*100)-(T2GDiscount*100*F3783)),IF(F3783&gt;0,"% discounts",IF(NoWarrantyDiscount&gt;0,"% discounts","% discount")))))))))</f>
        <v/>
      </c>
      <c r="N3783" s="660"/>
      <c r="O3783" s="233"/>
      <c r="P3783" s="233"/>
      <c r="Q3783" s="233"/>
      <c r="R3783" s="233"/>
      <c r="S3783" s="233"/>
      <c r="T3783" s="508">
        <f t="shared" si="2880"/>
        <v>0</v>
      </c>
      <c r="U3783" s="225">
        <f>IF(NOT(ISNUMBER(G3783)), "", VLOOKUP(A3783,'Discount Lookup'!D:E,2,FALSE)*G3783)</f>
        <v>0</v>
      </c>
      <c r="V3783" s="225">
        <f>IF(NOT(ISNUMBER(G3783)), "", VLOOKUP(A3783,'Discount Lookup'!G:H,2,FALSE)*G3783)</f>
        <v>0</v>
      </c>
      <c r="W3783" s="508">
        <f t="shared" si="2881"/>
        <v>0</v>
      </c>
      <c r="X3783" s="508">
        <f t="shared" si="2882"/>
        <v>0</v>
      </c>
      <c r="Y3783" s="509" t="b">
        <f t="shared" si="2883"/>
        <v>0</v>
      </c>
      <c r="Z3783" s="510">
        <f t="shared" si="2884"/>
        <v>0</v>
      </c>
      <c r="AA3783" s="511"/>
      <c r="AB3783" s="511" t="str">
        <f t="shared" si="2885"/>
        <v/>
      </c>
      <c r="AC3783" s="698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698"/>
      <c r="AE3783" s="631" t="str">
        <f t="shared" si="2886"/>
        <v/>
      </c>
      <c r="AF3783" s="699" t="str">
        <f t="shared" si="2887"/>
        <v/>
      </c>
      <c r="AG3783" s="699"/>
      <c r="AH3783" s="699"/>
      <c r="AI3783" s="512">
        <f>IF(H3783="credit",0,IF(AE3783="free",0,IF(AE3783="me",0,IF(G3783&gt;0,(VLOOKUP(A3783,'Discount Lookup'!J:K,2)*G3783),0))))</f>
        <v>0</v>
      </c>
      <c r="AJ3783" s="513" t="str">
        <f t="shared" ca="1" si="2888"/>
        <v/>
      </c>
      <c r="AK3783" s="700" t="str">
        <f t="shared" si="2889"/>
        <v/>
      </c>
      <c r="AL3783" s="700"/>
      <c r="AM3783" s="505" t="str">
        <f t="shared" si="2890"/>
        <v/>
      </c>
      <c r="AN3783" s="506"/>
      <c r="AO3783" s="507"/>
      <c r="AP3783" s="507"/>
      <c r="AQ3783" s="507"/>
      <c r="AR3783" s="507"/>
      <c r="AS3783" s="507"/>
      <c r="AT3783" s="507"/>
      <c r="AU3783" s="507"/>
      <c r="AV3783" s="225"/>
      <c r="AW3783" s="508"/>
      <c r="AX3783" s="225"/>
      <c r="AY3783" s="225"/>
      <c r="AZ3783" s="225"/>
      <c r="BA3783" s="225"/>
      <c r="BB3783" s="225"/>
      <c r="BC3783" s="56"/>
      <c r="BD3783" s="56"/>
      <c r="BE3783" s="56"/>
      <c r="BF3783" s="107" t="str">
        <f t="shared" si="2891"/>
        <v>https://www.google.com/search?tbm=isch&amp;q=7%20G4</v>
      </c>
      <c r="BG3783" s="107" t="str">
        <f t="shared" si="2892"/>
        <v>T</v>
      </c>
      <c r="BH3783" s="254"/>
      <c r="BI3783" s="254"/>
    </row>
    <row r="3784" spans="1:61" customFormat="1" ht="15.75" x14ac:dyDescent="0.25">
      <c r="A3784" s="276">
        <v>7</v>
      </c>
      <c r="B3784" s="240" t="s">
        <v>291</v>
      </c>
      <c r="C3784" s="241" t="s">
        <v>1912</v>
      </c>
      <c r="D3784" s="242" t="s">
        <v>299</v>
      </c>
      <c r="E3784" s="243">
        <v>109.95</v>
      </c>
      <c r="F3784" s="517" t="s">
        <v>293</v>
      </c>
      <c r="G3784" s="232">
        <v>0</v>
      </c>
      <c r="H3784" s="661" t="str">
        <f>IF(G3784=0,"",IF(F3784="Buy",IF(G3784=1,"plant","plants"),IF(F3784&gt;0.01,"warranty","Error")))</f>
        <v/>
      </c>
      <c r="I3784" s="244">
        <f>IF(H3784="free",0,IF(H3784="credit",((E3784*(F3784))*G3784*-1),IF(F3784="Buy",(E3784*G3784),((E3784*(1-F3784))*G3784))))</f>
        <v>0</v>
      </c>
      <c r="J3784" s="244">
        <f>IF(H3784="warranty",0,(I3784*(_xlfn.SINGLE(SalesTaxPercentage))))</f>
        <v>0</v>
      </c>
      <c r="K3784" s="696">
        <f t="shared" ref="K3784" si="2916">I3784+J3784</f>
        <v>0</v>
      </c>
      <c r="L3784" s="696"/>
      <c r="M3784" s="659" t="str">
        <f>IF(AND(G3784&gt;0,E3784=0),"WARNING - no PRICE inserted",IF(H3784="free"," FREE ~ no charge this plant",IF(H3784="credit",CONCATENATE(" -$",ROUND(K3784*(1-T2GDiscount)*-1,2)," CREDIT after discount"),IF(T2GDiscount=0,"",IF(G3784=0,"",IF(F3784="Buy",CONCATENATE(" $",ROUND(K3784*(1-T2GDiscount),2)," with ",(T2GDiscount*100),"% discount"),CONCATENATE(" $",ROUND(K3784*(1-T2GDiscount),2)," with ",((T2GDiscount*100+F3784*100)-(T2GDiscount*100*F3784)),IF(F3784&gt;0,"% discounts",IF(NoWarrantyDiscount&gt;0,"% discounts","% discount")))))))))</f>
        <v/>
      </c>
      <c r="N3784" s="660"/>
      <c r="O3784" s="233"/>
      <c r="P3784" s="233"/>
      <c r="Q3784" s="233"/>
      <c r="R3784" s="233"/>
      <c r="S3784" s="233"/>
      <c r="T3784" s="508">
        <f t="shared" si="2880"/>
        <v>0</v>
      </c>
      <c r="U3784" s="225">
        <f>IF(NOT(ISNUMBER(G3784)), "", VLOOKUP(A3784,'Discount Lookup'!D:E,2,FALSE)*G3784)</f>
        <v>0</v>
      </c>
      <c r="V3784" s="225">
        <f>IF(NOT(ISNUMBER(G3784)), "", VLOOKUP(A3784,'Discount Lookup'!G:H,2,FALSE)*G3784)</f>
        <v>0</v>
      </c>
      <c r="W3784" s="508">
        <f t="shared" si="2881"/>
        <v>0</v>
      </c>
      <c r="X3784" s="508">
        <f t="shared" si="2882"/>
        <v>0</v>
      </c>
      <c r="Y3784" s="509" t="b">
        <f t="shared" si="2883"/>
        <v>0</v>
      </c>
      <c r="Z3784" s="510">
        <f t="shared" si="2884"/>
        <v>0</v>
      </c>
      <c r="AA3784" s="511"/>
      <c r="AB3784" s="511" t="str">
        <f t="shared" si="2885"/>
        <v/>
      </c>
      <c r="AC3784" s="698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698"/>
      <c r="AE3784" s="631" t="str">
        <f t="shared" si="2886"/>
        <v/>
      </c>
      <c r="AF3784" s="699" t="str">
        <f t="shared" si="2887"/>
        <v/>
      </c>
      <c r="AG3784" s="699"/>
      <c r="AH3784" s="699"/>
      <c r="AI3784" s="512">
        <f>IF(H3784="credit",0,IF(AE3784="free",0,IF(AE3784="me",0,IF(G3784&gt;0,(VLOOKUP(A3784,'Discount Lookup'!J:K,2)*G3784),0))))</f>
        <v>0</v>
      </c>
      <c r="AJ3784" s="513" t="str">
        <f t="shared" ca="1" si="2888"/>
        <v/>
      </c>
      <c r="AK3784" s="700" t="str">
        <f t="shared" si="2889"/>
        <v/>
      </c>
      <c r="AL3784" s="700"/>
      <c r="AM3784" s="505" t="str">
        <f t="shared" si="2890"/>
        <v/>
      </c>
      <c r="AN3784" s="506"/>
      <c r="AO3784" s="507"/>
      <c r="AP3784" s="507"/>
      <c r="AQ3784" s="507"/>
      <c r="AR3784" s="507"/>
      <c r="AS3784" s="507"/>
      <c r="AT3784" s="507"/>
      <c r="AU3784" s="507"/>
      <c r="AV3784" s="225"/>
      <c r="AW3784" s="508"/>
      <c r="AX3784" s="225"/>
      <c r="AY3784" s="225"/>
      <c r="AZ3784" s="225"/>
      <c r="BA3784" s="225"/>
      <c r="BB3784" s="225"/>
      <c r="BC3784" s="56"/>
      <c r="BD3784" s="56"/>
      <c r="BE3784" s="56"/>
      <c r="BF3784" s="107" t="str">
        <f t="shared" si="2891"/>
        <v>https://www.google.com/search?tbm=isch&amp;q=7%20G5</v>
      </c>
      <c r="BG3784" s="107" t="str">
        <f t="shared" si="2892"/>
        <v>T</v>
      </c>
      <c r="BH3784" s="254"/>
      <c r="BI3784" s="254"/>
    </row>
    <row r="3785" spans="1:61" customFormat="1" ht="15.75" x14ac:dyDescent="0.25">
      <c r="A3785" s="276">
        <v>15</v>
      </c>
      <c r="B3785" s="240" t="s">
        <v>291</v>
      </c>
      <c r="C3785" s="241" t="s">
        <v>1913</v>
      </c>
      <c r="D3785" s="242" t="s">
        <v>299</v>
      </c>
      <c r="E3785" s="243">
        <v>194.95</v>
      </c>
      <c r="F3785" s="517" t="s">
        <v>293</v>
      </c>
      <c r="G3785" s="232">
        <v>0</v>
      </c>
      <c r="H3785" s="661" t="str">
        <f>IF(G3785=0,"",IF(F3785="Buy",IF(G3785=1,"plant","plants"),IF(F3785&gt;0.01,"warranty","Error")))</f>
        <v/>
      </c>
      <c r="I3785" s="244">
        <f>IF(H3785="free",0,IF(H3785="credit",((E3785*(F3785))*G3785*-1),IF(F3785="Buy",(E3785*G3785),((E3785*(1-F3785))*G3785))))</f>
        <v>0</v>
      </c>
      <c r="J3785" s="244">
        <f>IF(H3785="warranty",0,(I3785*(_xlfn.SINGLE(SalesTaxPercentage))))</f>
        <v>0</v>
      </c>
      <c r="K3785" s="696">
        <f t="shared" ref="K3785" si="2917">I3785+J3785</f>
        <v>0</v>
      </c>
      <c r="L3785" s="696"/>
      <c r="M3785" s="659" t="str">
        <f>IF(AND(G3785&gt;0,E3785=0),"WARNING - no PRICE inserted",IF(H3785="free"," FREE ~ no charge this plant",IF(H3785="credit",CONCATENATE(" -$",ROUND(K3785*(1-T2GDiscount)*-1,2)," CREDIT after discount"),IF(T2GDiscount=0,"",IF(G3785=0,"",IF(F3785="Buy",CONCATENATE(" $",ROUND(K3785*(1-T2GDiscount),2)," with ",(T2GDiscount*100),"% discount"),CONCATENATE(" $",ROUND(K3785*(1-T2GDiscount),2)," with ",((T2GDiscount*100+F3785*100)-(T2GDiscount*100*F3785)),IF(F3785&gt;0,"% discounts",IF(NoWarrantyDiscount&gt;0,"% discounts","% discount")))))))))</f>
        <v/>
      </c>
      <c r="N3785" s="660"/>
      <c r="O3785" s="233"/>
      <c r="P3785" s="233"/>
      <c r="Q3785" s="233"/>
      <c r="R3785" s="233"/>
      <c r="S3785" s="233"/>
      <c r="T3785" s="508">
        <f t="shared" si="2880"/>
        <v>0</v>
      </c>
      <c r="U3785" s="225">
        <f>IF(NOT(ISNUMBER(G3785)), "", VLOOKUP(A3785,'Discount Lookup'!D:E,2,FALSE)*G3785)</f>
        <v>0</v>
      </c>
      <c r="V3785" s="225">
        <f>IF(NOT(ISNUMBER(G3785)), "", VLOOKUP(A3785,'Discount Lookup'!G:H,2,FALSE)*G3785)</f>
        <v>0</v>
      </c>
      <c r="W3785" s="508">
        <f t="shared" si="2881"/>
        <v>0</v>
      </c>
      <c r="X3785" s="508">
        <f t="shared" si="2882"/>
        <v>0</v>
      </c>
      <c r="Y3785" s="509" t="b">
        <f t="shared" si="2883"/>
        <v>0</v>
      </c>
      <c r="Z3785" s="510">
        <f t="shared" si="2884"/>
        <v>0</v>
      </c>
      <c r="AA3785" s="511"/>
      <c r="AB3785" s="511" t="str">
        <f t="shared" si="2885"/>
        <v/>
      </c>
      <c r="AC3785" s="698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698"/>
      <c r="AE3785" s="631" t="str">
        <f t="shared" si="2886"/>
        <v/>
      </c>
      <c r="AF3785" s="699" t="str">
        <f t="shared" si="2887"/>
        <v/>
      </c>
      <c r="AG3785" s="699"/>
      <c r="AH3785" s="699"/>
      <c r="AI3785" s="512">
        <f>IF(H3785="credit",0,IF(AE3785="free",0,IF(AE3785="me",0,IF(G3785&gt;0,(VLOOKUP(A3785,'Discount Lookup'!J:K,2)*G3785),0))))</f>
        <v>0</v>
      </c>
      <c r="AJ3785" s="513" t="str">
        <f t="shared" ca="1" si="2888"/>
        <v/>
      </c>
      <c r="AK3785" s="700" t="str">
        <f t="shared" si="2889"/>
        <v/>
      </c>
      <c r="AL3785" s="700"/>
      <c r="AM3785" s="505" t="str">
        <f t="shared" si="2890"/>
        <v/>
      </c>
      <c r="AN3785" s="506"/>
      <c r="AO3785" s="507"/>
      <c r="AP3785" s="507"/>
      <c r="AQ3785" s="507"/>
      <c r="AR3785" s="507"/>
      <c r="AS3785" s="507"/>
      <c r="AT3785" s="507"/>
      <c r="AU3785" s="507"/>
      <c r="AV3785" s="225"/>
      <c r="AW3785" s="508"/>
      <c r="AX3785" s="225"/>
      <c r="AY3785" s="225"/>
      <c r="AZ3785" s="225"/>
      <c r="BA3785" s="225"/>
      <c r="BB3785" s="225"/>
      <c r="BC3785" s="56"/>
      <c r="BD3785" s="56"/>
      <c r="BE3785" s="56"/>
      <c r="BF3785" s="107" t="str">
        <f t="shared" si="2891"/>
        <v>https://www.google.com/search?tbm=isch&amp;q=15%20G5</v>
      </c>
      <c r="BG3785" s="107" t="str">
        <f t="shared" si="2892"/>
        <v>T</v>
      </c>
      <c r="BH3785" s="254"/>
      <c r="BI3785" s="254"/>
    </row>
    <row r="3786" spans="1:61" customFormat="1" ht="15.75" x14ac:dyDescent="0.25">
      <c r="A3786" s="276">
        <v>15</v>
      </c>
      <c r="B3786" s="240" t="s">
        <v>291</v>
      </c>
      <c r="C3786" s="241" t="s">
        <v>1889</v>
      </c>
      <c r="D3786" s="242" t="s">
        <v>300</v>
      </c>
      <c r="E3786" s="243">
        <v>299.95</v>
      </c>
      <c r="F3786" s="517" t="s">
        <v>293</v>
      </c>
      <c r="G3786" s="232">
        <v>0</v>
      </c>
      <c r="H3786" s="661" t="str">
        <f>IF(G3786=0,"",IF(F3786="Buy",IF(G3786=1,"plant","plants"),IF(F3786&gt;0.01,"warranty","Error")))</f>
        <v/>
      </c>
      <c r="I3786" s="244">
        <f>IF(H3786="free",0,IF(H3786="credit",((E3786*(F3786))*G3786*-1),IF(F3786="Buy",(E3786*G3786),((E3786*(1-F3786))*G3786))))</f>
        <v>0</v>
      </c>
      <c r="J3786" s="244">
        <f>IF(H3786="warranty",0,(I3786*(_xlfn.SINGLE(SalesTaxPercentage))))</f>
        <v>0</v>
      </c>
      <c r="K3786" s="696">
        <f t="shared" ref="K3786" si="2918">I3786+J3786</f>
        <v>0</v>
      </c>
      <c r="L3786" s="696"/>
      <c r="M3786" s="659" t="str">
        <f>IF(AND(G3786&gt;0,E3786=0),"WARNING - no PRICE inserted",IF(H3786="free"," FREE ~ no charge this plant",IF(H3786="credit",CONCATENATE(" -$",ROUND(K3786*(1-T2GDiscount)*-1,2)," CREDIT after discount"),IF(T2GDiscount=0,"",IF(G3786=0,"",IF(F3786="Buy",CONCATENATE(" $",ROUND(K3786*(1-T2GDiscount),2)," with ",(T2GDiscount*100),"% discount"),CONCATENATE(" $",ROUND(K3786*(1-T2GDiscount),2)," with ",((T2GDiscount*100+F3786*100)-(T2GDiscount*100*F3786)),IF(F3786&gt;0,"% discounts",IF(NoWarrantyDiscount&gt;0,"% discounts","% discount")))))))))</f>
        <v/>
      </c>
      <c r="N3786" s="660"/>
      <c r="O3786" s="233"/>
      <c r="P3786" s="233"/>
      <c r="Q3786" s="233"/>
      <c r="R3786" s="233"/>
      <c r="S3786" s="233"/>
      <c r="T3786" s="508">
        <f t="shared" si="2880"/>
        <v>0</v>
      </c>
      <c r="U3786" s="225">
        <f>IF(NOT(ISNUMBER(G3786)), "", VLOOKUP(A3786,'Discount Lookup'!D:E,2,FALSE)*G3786)</f>
        <v>0</v>
      </c>
      <c r="V3786" s="225">
        <f>IF(NOT(ISNUMBER(G3786)), "", VLOOKUP(A3786,'Discount Lookup'!G:H,2,FALSE)*G3786)</f>
        <v>0</v>
      </c>
      <c r="W3786" s="508">
        <f t="shared" si="2881"/>
        <v>0</v>
      </c>
      <c r="X3786" s="508">
        <f t="shared" si="2882"/>
        <v>0</v>
      </c>
      <c r="Y3786" s="509" t="b">
        <f t="shared" si="2883"/>
        <v>0</v>
      </c>
      <c r="Z3786" s="510">
        <f t="shared" si="2884"/>
        <v>0</v>
      </c>
      <c r="AA3786" s="511"/>
      <c r="AB3786" s="511" t="str">
        <f t="shared" si="2885"/>
        <v/>
      </c>
      <c r="AC3786" s="698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698"/>
      <c r="AE3786" s="631" t="str">
        <f t="shared" si="2886"/>
        <v/>
      </c>
      <c r="AF3786" s="699" t="str">
        <f t="shared" si="2887"/>
        <v/>
      </c>
      <c r="AG3786" s="699"/>
      <c r="AH3786" s="699"/>
      <c r="AI3786" s="512">
        <f>IF(H3786="credit",0,IF(AE3786="free",0,IF(AE3786="me",0,IF(G3786&gt;0,(VLOOKUP(A3786,'Discount Lookup'!J:K,2)*G3786),0))))</f>
        <v>0</v>
      </c>
      <c r="AJ3786" s="513" t="str">
        <f t="shared" ca="1" si="2888"/>
        <v/>
      </c>
      <c r="AK3786" s="700" t="str">
        <f t="shared" si="2889"/>
        <v/>
      </c>
      <c r="AL3786" s="700"/>
      <c r="AM3786" s="505" t="str">
        <f t="shared" si="2890"/>
        <v/>
      </c>
      <c r="AN3786" s="506"/>
      <c r="AO3786" s="507"/>
      <c r="AP3786" s="507"/>
      <c r="AQ3786" s="507"/>
      <c r="AR3786" s="507"/>
      <c r="AS3786" s="507"/>
      <c r="AT3786" s="507"/>
      <c r="AU3786" s="507"/>
      <c r="AV3786" s="225"/>
      <c r="AW3786" s="508"/>
      <c r="AX3786" s="225"/>
      <c r="AY3786" s="225"/>
      <c r="AZ3786" s="225"/>
      <c r="BA3786" s="225"/>
      <c r="BB3786" s="225"/>
      <c r="BC3786" s="56"/>
      <c r="BD3786" s="56"/>
      <c r="BE3786" s="56"/>
      <c r="BF3786" s="107" t="str">
        <f t="shared" si="2891"/>
        <v>https://www.google.com/search?tbm=isch&amp;q=15%20G6</v>
      </c>
      <c r="BG3786" s="107" t="str">
        <f t="shared" si="2892"/>
        <v>T</v>
      </c>
      <c r="BH3786" s="254"/>
      <c r="BI3786" s="254"/>
    </row>
    <row r="3787" spans="1:61" customFormat="1" ht="15.75" x14ac:dyDescent="0.25">
      <c r="A3787" s="276">
        <v>25</v>
      </c>
      <c r="B3787" s="240" t="s">
        <v>291</v>
      </c>
      <c r="C3787" s="241"/>
      <c r="D3787" s="242" t="s">
        <v>300</v>
      </c>
      <c r="E3787" s="243">
        <v>407.95</v>
      </c>
      <c r="F3787" s="517" t="s">
        <v>293</v>
      </c>
      <c r="G3787" s="232">
        <v>0</v>
      </c>
      <c r="H3787" s="661" t="str">
        <f>IF(G3787=0,"",IF(F3787="Buy",IF(G3787=1,"plant","plants"),IF(F3787&gt;0.01,"warranty","Error")))</f>
        <v/>
      </c>
      <c r="I3787" s="244">
        <f>IF(H3787="free",0,IF(H3787="credit",((E3787*(F3787))*G3787*-1),IF(F3787="Buy",(E3787*G3787),((E3787*(1-F3787))*G3787))))</f>
        <v>0</v>
      </c>
      <c r="J3787" s="244">
        <f>IF(H3787="warranty",0,(I3787*(_xlfn.SINGLE(SalesTaxPercentage))))</f>
        <v>0</v>
      </c>
      <c r="K3787" s="696">
        <f t="shared" ref="K3787" si="2919">I3787+J3787</f>
        <v>0</v>
      </c>
      <c r="L3787" s="696"/>
      <c r="M3787" s="659" t="str">
        <f>IF(AND(G3787&gt;0,E3787=0),"WARNING - no PRICE inserted",IF(H3787="free"," FREE ~ no charge this plant",IF(H3787="credit",CONCATENATE(" -$",ROUND(K3787*(1-T2GDiscount)*-1,2)," CREDIT after discount"),IF(T2GDiscount=0,"",IF(G3787=0,"",IF(F3787="Buy",CONCATENATE(" $",ROUND(K3787*(1-T2GDiscount),2)," with ",(T2GDiscount*100),"% discount"),CONCATENATE(" $",ROUND(K3787*(1-T2GDiscount),2)," with ",((T2GDiscount*100+F3787*100)-(T2GDiscount*100*F3787)),IF(F3787&gt;0,"% discounts",IF(NoWarrantyDiscount&gt;0,"% discounts","% discount")))))))))</f>
        <v/>
      </c>
      <c r="N3787" s="660"/>
      <c r="O3787" s="233"/>
      <c r="P3787" s="233"/>
      <c r="Q3787" s="233"/>
      <c r="R3787" s="233"/>
      <c r="S3787" s="233"/>
      <c r="T3787" s="508">
        <f t="shared" si="2880"/>
        <v>0</v>
      </c>
      <c r="U3787" s="225">
        <f>IF(NOT(ISNUMBER(G3787)), "", VLOOKUP(A3787,'Discount Lookup'!D:E,2,FALSE)*G3787)</f>
        <v>0</v>
      </c>
      <c r="V3787" s="225">
        <f>IF(NOT(ISNUMBER(G3787)), "", VLOOKUP(A3787,'Discount Lookup'!G:H,2,FALSE)*G3787)</f>
        <v>0</v>
      </c>
      <c r="W3787" s="508">
        <f t="shared" si="2881"/>
        <v>0</v>
      </c>
      <c r="X3787" s="508">
        <f t="shared" si="2882"/>
        <v>0</v>
      </c>
      <c r="Y3787" s="509" t="b">
        <f t="shared" si="2883"/>
        <v>0</v>
      </c>
      <c r="Z3787" s="510">
        <f t="shared" si="2884"/>
        <v>0</v>
      </c>
      <c r="AA3787" s="511"/>
      <c r="AB3787" s="511" t="str">
        <f t="shared" si="2885"/>
        <v/>
      </c>
      <c r="AC3787" s="698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698"/>
      <c r="AE3787" s="631" t="str">
        <f t="shared" si="2886"/>
        <v/>
      </c>
      <c r="AF3787" s="699" t="str">
        <f t="shared" si="2887"/>
        <v/>
      </c>
      <c r="AG3787" s="699"/>
      <c r="AH3787" s="699"/>
      <c r="AI3787" s="512">
        <f>IF(H3787="credit",0,IF(AE3787="free",0,IF(AE3787="me",0,IF(G3787&gt;0,(VLOOKUP(A3787,'Discount Lookup'!J:K,2)*G3787),0))))</f>
        <v>0</v>
      </c>
      <c r="AJ3787" s="513" t="str">
        <f t="shared" ca="1" si="2888"/>
        <v/>
      </c>
      <c r="AK3787" s="700" t="str">
        <f t="shared" si="2889"/>
        <v/>
      </c>
      <c r="AL3787" s="700"/>
      <c r="AM3787" s="505" t="str">
        <f t="shared" si="2890"/>
        <v/>
      </c>
      <c r="AN3787" s="506"/>
      <c r="AO3787" s="507"/>
      <c r="AP3787" s="507"/>
      <c r="AQ3787" s="507"/>
      <c r="AR3787" s="507"/>
      <c r="AS3787" s="507"/>
      <c r="AT3787" s="507"/>
      <c r="AU3787" s="507"/>
      <c r="AV3787" s="225"/>
      <c r="AW3787" s="508"/>
      <c r="AX3787" s="225"/>
      <c r="AY3787" s="225"/>
      <c r="AZ3787" s="225"/>
      <c r="BA3787" s="225"/>
      <c r="BB3787" s="225"/>
      <c r="BC3787" s="56"/>
      <c r="BD3787" s="56"/>
      <c r="BE3787" s="56"/>
      <c r="BF3787" s="107" t="str">
        <f t="shared" si="2891"/>
        <v>https://www.google.com/search?tbm=isch&amp;q=25%20G6</v>
      </c>
      <c r="BG3787" s="107" t="str">
        <f t="shared" si="2892"/>
        <v>T</v>
      </c>
      <c r="BH3787" s="254"/>
      <c r="BI3787" s="254"/>
    </row>
    <row r="3788" spans="1:61" customFormat="1" ht="17.25" thickBot="1" x14ac:dyDescent="0.3">
      <c r="A3788" s="524" t="s">
        <v>2187</v>
      </c>
      <c r="B3788" s="245"/>
      <c r="C3788" s="677"/>
      <c r="D3788" s="499"/>
      <c r="E3788" s="499"/>
      <c r="F3788" s="500"/>
      <c r="G3788" s="501"/>
      <c r="H3788" s="502"/>
      <c r="I3788" s="246"/>
      <c r="J3788" s="247"/>
      <c r="K3788" s="503"/>
      <c r="L3788" s="544"/>
      <c r="M3788" s="544"/>
      <c r="N3788" s="500"/>
      <c r="O3788" s="500"/>
      <c r="P3788" s="500"/>
      <c r="Q3788" s="500"/>
      <c r="R3788" s="500"/>
      <c r="S3788" s="669" t="s">
        <v>4978</v>
      </c>
      <c r="T3788" s="508">
        <f t="shared" si="2880"/>
        <v>0</v>
      </c>
      <c r="U3788" s="225" t="str">
        <f>IF(NOT(ISNUMBER(G3788)), "", VLOOKUP(A3788,'Discount Lookup'!D:E,2,FALSE)*G3788)</f>
        <v/>
      </c>
      <c r="V3788" s="225" t="str">
        <f>IF(NOT(ISNUMBER(G3788)), "", VLOOKUP(A3788,'Discount Lookup'!G:H,2,FALSE)*G3788)</f>
        <v/>
      </c>
      <c r="W3788" s="508">
        <f t="shared" si="2881"/>
        <v>0</v>
      </c>
      <c r="X3788" s="508">
        <f t="shared" si="2882"/>
        <v>0</v>
      </c>
      <c r="Y3788" s="509" t="b">
        <f t="shared" si="2883"/>
        <v>0</v>
      </c>
      <c r="Z3788" s="510">
        <f t="shared" si="2884"/>
        <v>0</v>
      </c>
      <c r="AA3788" s="511"/>
      <c r="AB3788" s="511" t="str">
        <f t="shared" si="2885"/>
        <v/>
      </c>
      <c r="AC3788" s="698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698"/>
      <c r="AE3788" s="631" t="str">
        <f t="shared" si="2886"/>
        <v/>
      </c>
      <c r="AF3788" s="699" t="str">
        <f t="shared" si="2887"/>
        <v/>
      </c>
      <c r="AG3788" s="699"/>
      <c r="AH3788" s="699"/>
      <c r="AI3788" s="512">
        <f>IF(H3788="credit",0,IF(AE3788="free",0,IF(AE3788="me",0,IF(G3788&gt;0,(VLOOKUP(A3788,'Discount Lookup'!J:K,2)*G3788),0))))</f>
        <v>0</v>
      </c>
      <c r="AJ3788" s="513" t="str">
        <f t="shared" ca="1" si="2888"/>
        <v/>
      </c>
      <c r="AK3788" s="700" t="str">
        <f t="shared" si="2889"/>
        <v/>
      </c>
      <c r="AL3788" s="700"/>
      <c r="AM3788" s="505" t="str">
        <f t="shared" si="2890"/>
        <v/>
      </c>
      <c r="AN3788" s="506"/>
      <c r="AO3788" s="507"/>
      <c r="AP3788" s="507"/>
      <c r="AQ3788" s="507"/>
      <c r="AR3788" s="507"/>
      <c r="AS3788" s="507"/>
      <c r="AT3788" s="507"/>
      <c r="AU3788" s="507"/>
      <c r="AV3788" s="225"/>
      <c r="AW3788" s="508"/>
      <c r="AX3788" s="225"/>
      <c r="AY3788" s="225"/>
      <c r="AZ3788" s="225"/>
      <c r="BA3788" s="225"/>
      <c r="BB3788" s="225"/>
      <c r="BC3788" s="56"/>
      <c r="BD3788" s="56"/>
      <c r="BE3788" s="56"/>
      <c r="BF3788" s="107" t="str">
        <f t="shared" si="2891"/>
        <v>https://www.google.com/search?tbm=isch&amp;q=Tokyo%20Tower%20has%20abundant%20fluffy%20flowers.%20Blueberry-like%20fruit.%20Foliage%20turns%20bright%20yellow%20in%20fall.%20Exfoliating%20bark%20</v>
      </c>
      <c r="BG3788" s="107" t="str">
        <f t="shared" si="2892"/>
        <v>T</v>
      </c>
      <c r="BH3788" s="254"/>
      <c r="BI3788" s="254"/>
    </row>
    <row r="3789" spans="1:61" customFormat="1" ht="18" x14ac:dyDescent="0.25">
      <c r="A3789" s="523" t="s">
        <v>1914</v>
      </c>
      <c r="B3789" s="235"/>
      <c r="C3789" s="676"/>
      <c r="D3789" s="255" t="s">
        <v>1915</v>
      </c>
      <c r="E3789" s="236"/>
      <c r="F3789" s="236"/>
      <c r="G3789" s="236"/>
      <c r="H3789" s="582" t="s">
        <v>317</v>
      </c>
      <c r="I3789" s="498" t="s">
        <v>4354</v>
      </c>
      <c r="J3789" s="237"/>
      <c r="K3789" s="237"/>
      <c r="L3789" s="274"/>
      <c r="M3789" s="668" t="s">
        <v>4962</v>
      </c>
      <c r="N3789" s="681" t="str">
        <f>IF(AND(ISTEXT($A3789), ISERROR($A3789+0)), HYPERLINK($BF3789, "Images"), "")</f>
        <v>Images</v>
      </c>
      <c r="O3789" s="663" t="s">
        <v>4967</v>
      </c>
      <c r="P3789" s="253"/>
      <c r="Q3789" s="238"/>
      <c r="R3789" s="239"/>
      <c r="S3789" s="275"/>
      <c r="T3789" s="508">
        <f t="shared" si="2880"/>
        <v>0</v>
      </c>
      <c r="U3789" s="225" t="str">
        <f>IF(NOT(ISNUMBER(G3789)), "", VLOOKUP(A3789,'Discount Lookup'!D:E,2,FALSE)*G3789)</f>
        <v/>
      </c>
      <c r="V3789" s="225" t="str">
        <f>IF(NOT(ISNUMBER(G3789)), "", VLOOKUP(A3789,'Discount Lookup'!G:H,2,FALSE)*G3789)</f>
        <v/>
      </c>
      <c r="W3789" s="508">
        <f t="shared" si="2881"/>
        <v>0</v>
      </c>
      <c r="X3789" s="508" t="str">
        <f t="shared" si="2882"/>
        <v>Fuchsia-Red to Magenta bloom</v>
      </c>
      <c r="Y3789" s="509" t="b">
        <f t="shared" si="2883"/>
        <v>0</v>
      </c>
      <c r="Z3789" s="510">
        <f t="shared" si="2884"/>
        <v>0</v>
      </c>
      <c r="AA3789" s="511"/>
      <c r="AB3789" s="511" t="str">
        <f t="shared" si="2885"/>
        <v/>
      </c>
      <c r="AC3789" s="698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698"/>
      <c r="AE3789" s="631" t="str">
        <f t="shared" si="2886"/>
        <v/>
      </c>
      <c r="AF3789" s="699" t="str">
        <f t="shared" si="2887"/>
        <v/>
      </c>
      <c r="AG3789" s="699"/>
      <c r="AH3789" s="699"/>
      <c r="AI3789" s="512">
        <f>IF(H3789="credit",0,IF(AE3789="free",0,IF(AE3789="me",0,IF(G3789&gt;0,(VLOOKUP(A3789,'Discount Lookup'!J:K,2)*G3789),0))))</f>
        <v>0</v>
      </c>
      <c r="AJ3789" s="513" t="str">
        <f t="shared" ca="1" si="2888"/>
        <v/>
      </c>
      <c r="AK3789" s="700" t="str">
        <f t="shared" si="2889"/>
        <v/>
      </c>
      <c r="AL3789" s="700"/>
      <c r="AM3789" s="505" t="str">
        <f t="shared" si="2890"/>
        <v/>
      </c>
      <c r="AN3789" s="506"/>
      <c r="AO3789" s="507"/>
      <c r="AP3789" s="507"/>
      <c r="AQ3789" s="507"/>
      <c r="AR3789" s="507"/>
      <c r="AS3789" s="507"/>
      <c r="AT3789" s="507"/>
      <c r="AU3789" s="507"/>
      <c r="AV3789" s="225"/>
      <c r="AW3789" s="508"/>
      <c r="AX3789" s="225"/>
      <c r="AY3789" s="225"/>
      <c r="AZ3789" s="225"/>
      <c r="BA3789" s="225"/>
      <c r="BB3789" s="225"/>
      <c r="BC3789" s="56"/>
      <c r="BD3789" s="56"/>
      <c r="BE3789" s="56"/>
      <c r="BF3789" s="107" t="str">
        <f t="shared" si="2891"/>
        <v>https://www.google.com/search?tbm=isch&amp;q=Tonto%20Crape%20Myrtle%20Lagerstroemia%20indica%20x%20fauriei%20%27Tonto%27</v>
      </c>
      <c r="BG3789" s="107" t="str">
        <f t="shared" si="2892"/>
        <v>T</v>
      </c>
      <c r="BH3789" s="254"/>
      <c r="BI3789" s="254"/>
    </row>
    <row r="3790" spans="1:61" customFormat="1" ht="15.75" x14ac:dyDescent="0.25">
      <c r="A3790" s="276">
        <v>10</v>
      </c>
      <c r="B3790" s="240" t="s">
        <v>291</v>
      </c>
      <c r="C3790" s="241" t="s">
        <v>4692</v>
      </c>
      <c r="D3790" s="242" t="s">
        <v>297</v>
      </c>
      <c r="E3790" s="243">
        <v>83.95</v>
      </c>
      <c r="F3790" s="517" t="s">
        <v>293</v>
      </c>
      <c r="G3790" s="232">
        <v>0</v>
      </c>
      <c r="H3790" s="661" t="str">
        <f>IF(G3790=0,"",IF(F3790="Buy",IF(G3790=1,"plant","plants"),IF(F3790&gt;0.01,"warranty","Error")))</f>
        <v/>
      </c>
      <c r="I3790" s="244">
        <f>IF(H3790="free",0,IF(H3790="credit",((E3790*(F3790))*G3790*-1),IF(F3790="Buy",(E3790*G3790),((E3790*(1-F3790))*G3790))))</f>
        <v>0</v>
      </c>
      <c r="J3790" s="244">
        <f>IF(H3790="warranty",0,(I3790*(_xlfn.SINGLE(SalesTaxPercentage))))</f>
        <v>0</v>
      </c>
      <c r="K3790" s="696">
        <f t="shared" ref="K3790" si="2920">I3790+J3790</f>
        <v>0</v>
      </c>
      <c r="L3790" s="696"/>
      <c r="M3790" s="659" t="str">
        <f>IF(AND(G3790&gt;0,E3790=0),"WARNING - no PRICE inserted",IF(H3790="free"," FREE ~ no charge this plant",IF(H3790="credit",CONCATENATE(" -$",ROUND(K3790*(1-T2GDiscount)*-1,2)," CREDIT after discount"),IF(T2GDiscount=0,"",IF(G3790=0,"",IF(F3790="Buy",CONCATENATE(" $",ROUND(K3790*(1-T2GDiscount),2)," with ",(T2GDiscount*100),"% discount"),CONCATENATE(" $",ROUND(K3790*(1-T2GDiscount),2)," with ",((T2GDiscount*100+F3790*100)-(T2GDiscount*100*F3790)),IF(F3790&gt;0,"% discounts",IF(NoWarrantyDiscount&gt;0,"% discounts","% discount")))))))))</f>
        <v/>
      </c>
      <c r="N3790" s="660"/>
      <c r="O3790" s="233"/>
      <c r="P3790" s="233"/>
      <c r="Q3790" s="233"/>
      <c r="R3790" s="233"/>
      <c r="S3790" s="233"/>
      <c r="T3790" s="508">
        <f t="shared" ref="T3790:T3853" si="2921">E3790*G3790</f>
        <v>0</v>
      </c>
      <c r="U3790" s="225">
        <f>IF(NOT(ISNUMBER(G3790)), "", VLOOKUP(A3790,'Discount Lookup'!D:E,2,FALSE)*G3790)</f>
        <v>0</v>
      </c>
      <c r="V3790" s="225">
        <f>IF(NOT(ISNUMBER(G3790)), "", VLOOKUP(A3790,'Discount Lookup'!G:H,2,FALSE)*G3790)</f>
        <v>0</v>
      </c>
      <c r="W3790" s="508">
        <f t="shared" ref="W3790:W3853" si="2922">IF(H3790="credit",0,E3790*(SalesTaxPercentage)*G3790)</f>
        <v>0</v>
      </c>
      <c r="X3790" s="508">
        <f t="shared" ref="X3790:X3853" si="2923">I3790</f>
        <v>0</v>
      </c>
      <c r="Y3790" s="509" t="b">
        <f t="shared" ref="Y3790:Y3853" si="2924">IF(AE3790="T2G",0,IF(H3790="credit",0,IF(G3790&gt;0,IF(AE3790="me","",G3790))))</f>
        <v>0</v>
      </c>
      <c r="Z3790" s="510">
        <f t="shared" ref="Z3790:Z3853" si="2925">IF(H3790="credit",G3790,0)</f>
        <v>0</v>
      </c>
      <c r="AA3790" s="511"/>
      <c r="AB3790" s="511" t="str">
        <f t="shared" ref="AB3790:AB3853" si="2926">IF(AE3790="T2G","by Trees2Go",IF(H3790="credit","CREDIT only ~",IF(AND(K3790="",AE3790=OR(PlanterYesMe="No",PlanterYesMe="N",PlanterYesMe="me")),"not THIS line⇨",IF(AND(K3790="images",AE3790="me"),"not THIS line⇨",IF(H3790="credit","",IF(G3790=0,"",IF(AE3790="me","",IF(OR(PlanterYesMe="No",PlanterYesMe="N",PlanterYesMe="me"),"",IF(AE3790="free","warranty",IF(OR(PlanterYesMe="yes",PlanterYesMe="y"),"Edison install:","to install:"))))))))))</f>
        <v/>
      </c>
      <c r="AC3790" s="698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698"/>
      <c r="AE3790" s="631" t="str">
        <f t="shared" ref="AE3790:AE3853" si="2927">IF(H3790="credit","",IF(G3790=0,"",IF(OR(PlanterYesMe="No",PlanterYesMe="N",PlanterYesMe="me"),"me",IF(H3790="warranty","free",IF(OR(PlanterYesMe="yes",PlanterYesMe="y"),"ELP","")))))</f>
        <v/>
      </c>
      <c r="AF3790" s="699" t="str">
        <f t="shared" ref="AF3790:AF3853" si="2928">IF(OR(PlanterYesMe="No",PlanterYesMe="N",PlanterYesMe="me"),"",IF(H3790="credit","",IF(G3790&gt;0,(CONCATENATE((G3790)," quantity, ",(A3790)," ",B3790)),"")))</f>
        <v/>
      </c>
      <c r="AG3790" s="699"/>
      <c r="AH3790" s="699"/>
      <c r="AI3790" s="512">
        <f>IF(H3790="credit",0,IF(AE3790="free",0,IF(AE3790="me",0,IF(G3790&gt;0,(VLOOKUP(A3790,'Discount Lookup'!J:K,2)*G3790),0))))</f>
        <v>0</v>
      </c>
      <c r="AJ3790" s="513" t="str">
        <f t="shared" ref="AJ3790:AJ3853" ca="1" si="2929">IF(AND(ISREF(H3790),H3790="credit"),"",IF(AND(AND(OFFSET(G3790,0,0)=0,OFFSET(G3790,1,0)&gt;0,ISNUMBER(OFFSET(AC3790,1,0)),OFFSET(AC3790,1,0)&gt;0),OR(PlanterYesMe="yes",PlanterYesMe="y")),"T2G+ELP=",IF(AND(OFFSET(G3790,0,0)=0,OFFSET(G3790,1,0)&gt;0,ISNUMBER(OFFSET(AC3790,1,0)),OFFSET(AC3790,1,0)&gt;0),"if T2G+ELP=",IF(AND(OFFSET(G3790,0,0)=0,OFFSET(G3790,1,0)&gt;0),"T2G Subtotal",IF(H3790="credit","",IF(G3790=0,"",IF(AE3790="free",(K3790*(1-T2GDiscount)),IF(OR(PlanterYesMe="No",PlanterYesMe="N",PlanterYesMe="me"),(K3790*(1-T2GDiscount)),IF(OR(AE3790="me",AE3790="T2G"),(K3790*(1-T2GDiscount)),(K3790*(1-T2GDiscount))+AC3790)))))))))</f>
        <v/>
      </c>
      <c r="AK3790" s="700" t="str">
        <f t="shared" ref="AK3790:AK3853" si="2930">IF(H3790="credit","",IF(G3790=0,"",IF(OR(AE3790="me",AE3790="T2G"),"  delivery-only",IF(OR(PlanterYesMe="No",PlanterYesMe="N",PlanterYesMe="me"),"  delivery-only",CONCATENATE(" $",ROUND(AJ3790/G3790,2)," each")))))</f>
        <v/>
      </c>
      <c r="AL3790" s="700"/>
      <c r="AM3790" s="505" t="str">
        <f t="shared" ref="AM3790:AM3853" si="2931">IF(H3790="credit","",IF(AE3790="free","      ~ discounts included, no tax or planting fee applies ~",IF(G3790=0,"",IF(OR(PlanterYesMe="No",PlanterYesMe="N",PlanterYesMe="me"),CONCATENATE(" $",ROUND(AJ3790/G3790,2)," per plant, with tax &amp; discount"),IF(OR(AE3790="me",AE3790="T2G"),CONCATENATE(" $",ROUND(AJ3790/G3790,2)," per plant, with tax &amp; discount"),CONCATENATE("= $",ROUND((K3790*(1-T2GDiscount))/G3790,2)," per plant + $",AC3790/G3790,(" per planting      ~ includes tax &amp; discounts ~")))))))</f>
        <v/>
      </c>
      <c r="AN3790" s="506"/>
      <c r="AO3790" s="507"/>
      <c r="AP3790" s="507"/>
      <c r="AQ3790" s="507"/>
      <c r="AR3790" s="507"/>
      <c r="AS3790" s="507"/>
      <c r="AT3790" s="507"/>
      <c r="AU3790" s="507"/>
      <c r="AV3790" s="225"/>
      <c r="AW3790" s="508"/>
      <c r="AX3790" s="225"/>
      <c r="AY3790" s="225"/>
      <c r="AZ3790" s="225"/>
      <c r="BA3790" s="225"/>
      <c r="BB3790" s="225"/>
      <c r="BC3790" s="56"/>
      <c r="BD3790" s="56"/>
      <c r="BE3790" s="56"/>
      <c r="BF3790" s="107" t="str">
        <f t="shared" ref="BF3790:BF3853" si="2932">"https://www.google.com/search?tbm=isch&amp;q=" &amp; _xlfn.ENCODEURL($A3790 &amp; " " &amp; $D3790)</f>
        <v>https://www.google.com/search?tbm=isch&amp;q=10%20G3</v>
      </c>
      <c r="BG3790" s="107" t="str">
        <f t="shared" ref="BG3790:BG3853" si="2933">IF(ISTEXT(A3790),LEFT(A3790,1),BG3789)</f>
        <v>T</v>
      </c>
      <c r="BH3790" s="254"/>
      <c r="BI3790" s="254"/>
    </row>
    <row r="3791" spans="1:61" customFormat="1" ht="15.75" x14ac:dyDescent="0.25">
      <c r="A3791" s="276">
        <v>15</v>
      </c>
      <c r="B3791" s="240" t="s">
        <v>291</v>
      </c>
      <c r="C3791" s="241" t="s">
        <v>4693</v>
      </c>
      <c r="D3791" s="242" t="s">
        <v>299</v>
      </c>
      <c r="E3791" s="243">
        <v>164.95</v>
      </c>
      <c r="F3791" s="517" t="s">
        <v>293</v>
      </c>
      <c r="G3791" s="232">
        <v>0</v>
      </c>
      <c r="H3791" s="661" t="str">
        <f>IF(G3791=0,"",IF(F3791="Buy",IF(G3791=1,"plant","plants"),IF(F3791&gt;0.01,"warranty","Error")))</f>
        <v/>
      </c>
      <c r="I3791" s="244">
        <f>IF(H3791="free",0,IF(H3791="credit",((E3791*(F3791))*G3791*-1),IF(F3791="Buy",(E3791*G3791),((E3791*(1-F3791))*G3791))))</f>
        <v>0</v>
      </c>
      <c r="J3791" s="244">
        <f>IF(H3791="warranty",0,(I3791*(_xlfn.SINGLE(SalesTaxPercentage))))</f>
        <v>0</v>
      </c>
      <c r="K3791" s="696">
        <f t="shared" ref="K3791" si="2934">I3791+J3791</f>
        <v>0</v>
      </c>
      <c r="L3791" s="696"/>
      <c r="M3791" s="659" t="str">
        <f>IF(AND(G3791&gt;0,E3791=0),"WARNING - no PRICE inserted",IF(H3791="free"," FREE ~ no charge this plant",IF(H3791="credit",CONCATENATE(" -$",ROUND(K3791*(1-T2GDiscount)*-1,2)," CREDIT after discount"),IF(T2GDiscount=0,"",IF(G3791=0,"",IF(F3791="Buy",CONCATENATE(" $",ROUND(K3791*(1-T2GDiscount),2)," with ",(T2GDiscount*100),"% discount"),CONCATENATE(" $",ROUND(K3791*(1-T2GDiscount),2)," with ",((T2GDiscount*100+F3791*100)-(T2GDiscount*100*F3791)),IF(F3791&gt;0,"% discounts",IF(NoWarrantyDiscount&gt;0,"% discounts","% discount")))))))))</f>
        <v/>
      </c>
      <c r="N3791" s="660"/>
      <c r="O3791" s="233"/>
      <c r="P3791" s="233"/>
      <c r="Q3791" s="233"/>
      <c r="R3791" s="233"/>
      <c r="S3791" s="233"/>
      <c r="T3791" s="508">
        <f t="shared" si="2921"/>
        <v>0</v>
      </c>
      <c r="U3791" s="225">
        <f>IF(NOT(ISNUMBER(G3791)), "", VLOOKUP(A3791,'Discount Lookup'!D:E,2,FALSE)*G3791)</f>
        <v>0</v>
      </c>
      <c r="V3791" s="225">
        <f>IF(NOT(ISNUMBER(G3791)), "", VLOOKUP(A3791,'Discount Lookup'!G:H,2,FALSE)*G3791)</f>
        <v>0</v>
      </c>
      <c r="W3791" s="508">
        <f t="shared" si="2922"/>
        <v>0</v>
      </c>
      <c r="X3791" s="508">
        <f t="shared" si="2923"/>
        <v>0</v>
      </c>
      <c r="Y3791" s="509" t="b">
        <f t="shared" si="2924"/>
        <v>0</v>
      </c>
      <c r="Z3791" s="510">
        <f t="shared" si="2925"/>
        <v>0</v>
      </c>
      <c r="AA3791" s="511"/>
      <c r="AB3791" s="511" t="str">
        <f t="shared" si="2926"/>
        <v/>
      </c>
      <c r="AC3791" s="698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698"/>
      <c r="AE3791" s="631" t="str">
        <f t="shared" si="2927"/>
        <v/>
      </c>
      <c r="AF3791" s="699" t="str">
        <f t="shared" si="2928"/>
        <v/>
      </c>
      <c r="AG3791" s="699"/>
      <c r="AH3791" s="699"/>
      <c r="AI3791" s="512">
        <f>IF(H3791="credit",0,IF(AE3791="free",0,IF(AE3791="me",0,IF(G3791&gt;0,(VLOOKUP(A3791,'Discount Lookup'!J:K,2)*G3791),0))))</f>
        <v>0</v>
      </c>
      <c r="AJ3791" s="513" t="str">
        <f t="shared" ca="1" si="2929"/>
        <v/>
      </c>
      <c r="AK3791" s="700" t="str">
        <f t="shared" si="2930"/>
        <v/>
      </c>
      <c r="AL3791" s="700"/>
      <c r="AM3791" s="505" t="str">
        <f t="shared" si="2931"/>
        <v/>
      </c>
      <c r="AN3791" s="506"/>
      <c r="AO3791" s="507"/>
      <c r="AP3791" s="507"/>
      <c r="AQ3791" s="507"/>
      <c r="AR3791" s="507"/>
      <c r="AS3791" s="507"/>
      <c r="AT3791" s="507"/>
      <c r="AU3791" s="507"/>
      <c r="AV3791" s="225"/>
      <c r="AW3791" s="508"/>
      <c r="AX3791" s="225"/>
      <c r="AY3791" s="225"/>
      <c r="AZ3791" s="225"/>
      <c r="BA3791" s="225"/>
      <c r="BB3791" s="225"/>
      <c r="BC3791" s="56"/>
      <c r="BD3791" s="56"/>
      <c r="BE3791" s="56"/>
      <c r="BF3791" s="107" t="str">
        <f t="shared" si="2932"/>
        <v>https://www.google.com/search?tbm=isch&amp;q=15%20G5</v>
      </c>
      <c r="BG3791" s="107" t="str">
        <f t="shared" si="2933"/>
        <v>T</v>
      </c>
      <c r="BH3791" s="254"/>
      <c r="BI3791" s="254"/>
    </row>
    <row r="3792" spans="1:61" customFormat="1" ht="15.75" x14ac:dyDescent="0.25">
      <c r="A3792" s="276">
        <v>15</v>
      </c>
      <c r="B3792" s="240" t="s">
        <v>291</v>
      </c>
      <c r="C3792" s="241" t="s">
        <v>3820</v>
      </c>
      <c r="D3792" s="242" t="s">
        <v>292</v>
      </c>
      <c r="E3792" s="243">
        <v>169.95</v>
      </c>
      <c r="F3792" s="517" t="s">
        <v>293</v>
      </c>
      <c r="G3792" s="232">
        <v>0</v>
      </c>
      <c r="H3792" s="661" t="str">
        <f>IF(G3792=0,"",IF(F3792="Buy",IF(G3792=1,"plant","plants"),IF(F3792&gt;0.01,"warranty","Error")))</f>
        <v/>
      </c>
      <c r="I3792" s="244">
        <f>IF(H3792="free",0,IF(H3792="credit",((E3792*(F3792))*G3792*-1),IF(F3792="Buy",(E3792*G3792),((E3792*(1-F3792))*G3792))))</f>
        <v>0</v>
      </c>
      <c r="J3792" s="244">
        <f>IF(H3792="warranty",0,(I3792*(_xlfn.SINGLE(SalesTaxPercentage))))</f>
        <v>0</v>
      </c>
      <c r="K3792" s="696">
        <f t="shared" ref="K3792" si="2935">I3792+J3792</f>
        <v>0</v>
      </c>
      <c r="L3792" s="696"/>
      <c r="M3792" s="659" t="str">
        <f>IF(AND(G3792&gt;0,E3792=0),"WARNING - no PRICE inserted",IF(H3792="free"," FREE ~ no charge this plant",IF(H3792="credit",CONCATENATE(" -$",ROUND(K3792*(1-T2GDiscount)*-1,2)," CREDIT after discount"),IF(T2GDiscount=0,"",IF(G3792=0,"",IF(F3792="Buy",CONCATENATE(" $",ROUND(K3792*(1-T2GDiscount),2)," with ",(T2GDiscount*100),"% discount"),CONCATENATE(" $",ROUND(K3792*(1-T2GDiscount),2)," with ",((T2GDiscount*100+F3792*100)-(T2GDiscount*100*F3792)),IF(F3792&gt;0,"% discounts",IF(NoWarrantyDiscount&gt;0,"% discounts","% discount")))))))))</f>
        <v/>
      </c>
      <c r="N3792" s="660"/>
      <c r="O3792" s="233"/>
      <c r="P3792" s="233"/>
      <c r="Q3792" s="233"/>
      <c r="R3792" s="233"/>
      <c r="S3792" s="233"/>
      <c r="T3792" s="508">
        <f t="shared" si="2921"/>
        <v>0</v>
      </c>
      <c r="U3792" s="225">
        <f>IF(NOT(ISNUMBER(G3792)), "", VLOOKUP(A3792,'Discount Lookup'!D:E,2,FALSE)*G3792)</f>
        <v>0</v>
      </c>
      <c r="V3792" s="225">
        <f>IF(NOT(ISNUMBER(G3792)), "", VLOOKUP(A3792,'Discount Lookup'!G:H,2,FALSE)*G3792)</f>
        <v>0</v>
      </c>
      <c r="W3792" s="508">
        <f t="shared" si="2922"/>
        <v>0</v>
      </c>
      <c r="X3792" s="508">
        <f t="shared" si="2923"/>
        <v>0</v>
      </c>
      <c r="Y3792" s="509" t="b">
        <f t="shared" si="2924"/>
        <v>0</v>
      </c>
      <c r="Z3792" s="510">
        <f t="shared" si="2925"/>
        <v>0</v>
      </c>
      <c r="AA3792" s="511"/>
      <c r="AB3792" s="511" t="str">
        <f t="shared" si="2926"/>
        <v/>
      </c>
      <c r="AC3792" s="698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698"/>
      <c r="AE3792" s="631" t="str">
        <f t="shared" si="2927"/>
        <v/>
      </c>
      <c r="AF3792" s="699" t="str">
        <f t="shared" si="2928"/>
        <v/>
      </c>
      <c r="AG3792" s="699"/>
      <c r="AH3792" s="699"/>
      <c r="AI3792" s="512">
        <f>IF(H3792="credit",0,IF(AE3792="free",0,IF(AE3792="me",0,IF(G3792&gt;0,(VLOOKUP(A3792,'Discount Lookup'!J:K,2)*G3792),0))))</f>
        <v>0</v>
      </c>
      <c r="AJ3792" s="513" t="str">
        <f t="shared" ca="1" si="2929"/>
        <v/>
      </c>
      <c r="AK3792" s="700" t="str">
        <f t="shared" si="2930"/>
        <v/>
      </c>
      <c r="AL3792" s="700"/>
      <c r="AM3792" s="505" t="str">
        <f t="shared" si="2931"/>
        <v/>
      </c>
      <c r="AN3792" s="506"/>
      <c r="AO3792" s="507"/>
      <c r="AP3792" s="507"/>
      <c r="AQ3792" s="507"/>
      <c r="AR3792" s="507"/>
      <c r="AS3792" s="507"/>
      <c r="AT3792" s="507"/>
      <c r="AU3792" s="507"/>
      <c r="AV3792" s="225"/>
      <c r="AW3792" s="508"/>
      <c r="AX3792" s="225"/>
      <c r="AY3792" s="225"/>
      <c r="AZ3792" s="225"/>
      <c r="BA3792" s="225"/>
      <c r="BB3792" s="225"/>
      <c r="BC3792" s="56"/>
      <c r="BD3792" s="56"/>
      <c r="BE3792" s="56"/>
      <c r="BF3792" s="107" t="str">
        <f t="shared" si="2932"/>
        <v>https://www.google.com/search?tbm=isch&amp;q=15%20G4</v>
      </c>
      <c r="BG3792" s="107" t="str">
        <f t="shared" si="2933"/>
        <v>T</v>
      </c>
      <c r="BH3792" s="254"/>
      <c r="BI3792" s="254"/>
    </row>
    <row r="3793" spans="1:61" customFormat="1" ht="27" x14ac:dyDescent="0.25">
      <c r="A3793" s="276">
        <v>15</v>
      </c>
      <c r="B3793" s="240" t="s">
        <v>291</v>
      </c>
      <c r="C3793" s="241" t="s">
        <v>3821</v>
      </c>
      <c r="D3793" s="242" t="s">
        <v>292</v>
      </c>
      <c r="E3793" s="243">
        <v>178.95</v>
      </c>
      <c r="F3793" s="517" t="s">
        <v>293</v>
      </c>
      <c r="G3793" s="232">
        <v>0</v>
      </c>
      <c r="H3793" s="661" t="str">
        <f>IF(G3793=0,"",IF(F3793="Buy",IF(G3793=1,"plant","plants"),IF(F3793&gt;0.01,"warranty","Error")))</f>
        <v/>
      </c>
      <c r="I3793" s="244">
        <f>IF(H3793="free",0,IF(H3793="credit",((E3793*(F3793))*G3793*-1),IF(F3793="Buy",(E3793*G3793),((E3793*(1-F3793))*G3793))))</f>
        <v>0</v>
      </c>
      <c r="J3793" s="244">
        <f>IF(H3793="warranty",0,(I3793*(_xlfn.SINGLE(SalesTaxPercentage))))</f>
        <v>0</v>
      </c>
      <c r="K3793" s="696">
        <f t="shared" ref="K3793" si="2936">I3793+J3793</f>
        <v>0</v>
      </c>
      <c r="L3793" s="696"/>
      <c r="M3793" s="659" t="str">
        <f>IF(AND(G3793&gt;0,E3793=0),"WARNING - no PRICE inserted",IF(H3793="free"," FREE ~ no charge this plant",IF(H3793="credit",CONCATENATE(" -$",ROUND(K3793*(1-T2GDiscount)*-1,2)," CREDIT after discount"),IF(T2GDiscount=0,"",IF(G3793=0,"",IF(F3793="Buy",CONCATENATE(" $",ROUND(K3793*(1-T2GDiscount),2)," with ",(T2GDiscount*100),"% discount"),CONCATENATE(" $",ROUND(K3793*(1-T2GDiscount),2)," with ",((T2GDiscount*100+F3793*100)-(T2GDiscount*100*F3793)),IF(F3793&gt;0,"% discounts",IF(NoWarrantyDiscount&gt;0,"% discounts","% discount")))))))))</f>
        <v/>
      </c>
      <c r="N3793" s="660"/>
      <c r="O3793" s="233"/>
      <c r="P3793" s="233"/>
      <c r="Q3793" s="233"/>
      <c r="R3793" s="233"/>
      <c r="S3793" s="233"/>
      <c r="T3793" s="508">
        <f t="shared" si="2921"/>
        <v>0</v>
      </c>
      <c r="U3793" s="225">
        <f>IF(NOT(ISNUMBER(G3793)), "", VLOOKUP(A3793,'Discount Lookup'!D:E,2,FALSE)*G3793)</f>
        <v>0</v>
      </c>
      <c r="V3793" s="225">
        <f>IF(NOT(ISNUMBER(G3793)), "", VLOOKUP(A3793,'Discount Lookup'!G:H,2,FALSE)*G3793)</f>
        <v>0</v>
      </c>
      <c r="W3793" s="508">
        <f t="shared" si="2922"/>
        <v>0</v>
      </c>
      <c r="X3793" s="508">
        <f t="shared" si="2923"/>
        <v>0</v>
      </c>
      <c r="Y3793" s="509" t="b">
        <f t="shared" si="2924"/>
        <v>0</v>
      </c>
      <c r="Z3793" s="510">
        <f t="shared" si="2925"/>
        <v>0</v>
      </c>
      <c r="AA3793" s="511"/>
      <c r="AB3793" s="511" t="str">
        <f t="shared" si="2926"/>
        <v/>
      </c>
      <c r="AC3793" s="698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698"/>
      <c r="AE3793" s="631" t="str">
        <f t="shared" si="2927"/>
        <v/>
      </c>
      <c r="AF3793" s="699" t="str">
        <f t="shared" si="2928"/>
        <v/>
      </c>
      <c r="AG3793" s="699"/>
      <c r="AH3793" s="699"/>
      <c r="AI3793" s="512">
        <f>IF(H3793="credit",0,IF(AE3793="free",0,IF(AE3793="me",0,IF(G3793&gt;0,(VLOOKUP(A3793,'Discount Lookup'!J:K,2)*G3793),0))))</f>
        <v>0</v>
      </c>
      <c r="AJ3793" s="513" t="str">
        <f t="shared" ca="1" si="2929"/>
        <v/>
      </c>
      <c r="AK3793" s="700" t="str">
        <f t="shared" si="2930"/>
        <v/>
      </c>
      <c r="AL3793" s="700"/>
      <c r="AM3793" s="505" t="str">
        <f t="shared" si="2931"/>
        <v/>
      </c>
      <c r="AN3793" s="506"/>
      <c r="AO3793" s="507"/>
      <c r="AP3793" s="507"/>
      <c r="AQ3793" s="507"/>
      <c r="AR3793" s="507"/>
      <c r="AS3793" s="507"/>
      <c r="AT3793" s="507"/>
      <c r="AU3793" s="507"/>
      <c r="AV3793" s="225"/>
      <c r="AW3793" s="508"/>
      <c r="AX3793" s="225"/>
      <c r="AY3793" s="225"/>
      <c r="AZ3793" s="225"/>
      <c r="BA3793" s="225"/>
      <c r="BB3793" s="225"/>
      <c r="BC3793" s="56"/>
      <c r="BD3793" s="56"/>
      <c r="BE3793" s="56"/>
      <c r="BF3793" s="107" t="str">
        <f t="shared" si="2932"/>
        <v>https://www.google.com/search?tbm=isch&amp;q=15%20G4</v>
      </c>
      <c r="BG3793" s="107" t="str">
        <f t="shared" si="2933"/>
        <v>T</v>
      </c>
      <c r="BH3793" s="254"/>
      <c r="BI3793" s="254"/>
    </row>
    <row r="3794" spans="1:61" customFormat="1" ht="15.75" x14ac:dyDescent="0.25">
      <c r="A3794" s="276">
        <v>20</v>
      </c>
      <c r="B3794" s="240" t="s">
        <v>291</v>
      </c>
      <c r="C3794" s="241" t="s">
        <v>2823</v>
      </c>
      <c r="D3794" s="242" t="s">
        <v>297</v>
      </c>
      <c r="E3794" s="243">
        <v>224.95</v>
      </c>
      <c r="F3794" s="517" t="s">
        <v>293</v>
      </c>
      <c r="G3794" s="232">
        <v>0</v>
      </c>
      <c r="H3794" s="661" t="str">
        <f>IF(G3794=0,"",IF(F3794="Buy",IF(G3794=1,"plant","plants"),IF(F3794&gt;0.01,"warranty","Error")))</f>
        <v/>
      </c>
      <c r="I3794" s="244">
        <f>IF(H3794="free",0,IF(H3794="credit",((E3794*(F3794))*G3794*-1),IF(F3794="Buy",(E3794*G3794),((E3794*(1-F3794))*G3794))))</f>
        <v>0</v>
      </c>
      <c r="J3794" s="244">
        <f>IF(H3794="warranty",0,(I3794*(_xlfn.SINGLE(SalesTaxPercentage))))</f>
        <v>0</v>
      </c>
      <c r="K3794" s="696">
        <f t="shared" ref="K3794" si="2937">I3794+J3794</f>
        <v>0</v>
      </c>
      <c r="L3794" s="696"/>
      <c r="M3794" s="659" t="str">
        <f>IF(AND(G3794&gt;0,E3794=0),"WARNING - no PRICE inserted",IF(H3794="free"," FREE ~ no charge this plant",IF(H3794="credit",CONCATENATE(" -$",ROUND(K3794*(1-T2GDiscount)*-1,2)," CREDIT after discount"),IF(T2GDiscount=0,"",IF(G3794=0,"",IF(F3794="Buy",CONCATENATE(" $",ROUND(K3794*(1-T2GDiscount),2)," with ",(T2GDiscount*100),"% discount"),CONCATENATE(" $",ROUND(K3794*(1-T2GDiscount),2)," with ",((T2GDiscount*100+F3794*100)-(T2GDiscount*100*F3794)),IF(F3794&gt;0,"% discounts",IF(NoWarrantyDiscount&gt;0,"% discounts","% discount")))))))))</f>
        <v/>
      </c>
      <c r="N3794" s="660"/>
      <c r="O3794" s="233"/>
      <c r="P3794" s="233"/>
      <c r="Q3794" s="233"/>
      <c r="R3794" s="233"/>
      <c r="S3794" s="233"/>
      <c r="T3794" s="508">
        <f t="shared" si="2921"/>
        <v>0</v>
      </c>
      <c r="U3794" s="225">
        <f>IF(NOT(ISNUMBER(G3794)), "", VLOOKUP(A3794,'Discount Lookup'!D:E,2,FALSE)*G3794)</f>
        <v>0</v>
      </c>
      <c r="V3794" s="225">
        <f>IF(NOT(ISNUMBER(G3794)), "", VLOOKUP(A3794,'Discount Lookup'!G:H,2,FALSE)*G3794)</f>
        <v>0</v>
      </c>
      <c r="W3794" s="508">
        <f t="shared" si="2922"/>
        <v>0</v>
      </c>
      <c r="X3794" s="508">
        <f t="shared" si="2923"/>
        <v>0</v>
      </c>
      <c r="Y3794" s="509" t="b">
        <f t="shared" si="2924"/>
        <v>0</v>
      </c>
      <c r="Z3794" s="510">
        <f t="shared" si="2925"/>
        <v>0</v>
      </c>
      <c r="AA3794" s="511"/>
      <c r="AB3794" s="511" t="str">
        <f t="shared" si="2926"/>
        <v/>
      </c>
      <c r="AC3794" s="698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698"/>
      <c r="AE3794" s="631" t="str">
        <f t="shared" si="2927"/>
        <v/>
      </c>
      <c r="AF3794" s="699" t="str">
        <f t="shared" si="2928"/>
        <v/>
      </c>
      <c r="AG3794" s="699"/>
      <c r="AH3794" s="699"/>
      <c r="AI3794" s="512">
        <f>IF(H3794="credit",0,IF(AE3794="free",0,IF(AE3794="me",0,IF(G3794&gt;0,(VLOOKUP(A3794,'Discount Lookup'!J:K,2)*G3794),0))))</f>
        <v>0</v>
      </c>
      <c r="AJ3794" s="513" t="str">
        <f t="shared" ca="1" si="2929"/>
        <v/>
      </c>
      <c r="AK3794" s="700" t="str">
        <f t="shared" si="2930"/>
        <v/>
      </c>
      <c r="AL3794" s="700"/>
      <c r="AM3794" s="505" t="str">
        <f t="shared" si="2931"/>
        <v/>
      </c>
      <c r="AN3794" s="506"/>
      <c r="AO3794" s="507"/>
      <c r="AP3794" s="507"/>
      <c r="AQ3794" s="507"/>
      <c r="AR3794" s="507"/>
      <c r="AS3794" s="507"/>
      <c r="AT3794" s="507"/>
      <c r="AU3794" s="507"/>
      <c r="AV3794" s="225"/>
      <c r="AW3794" s="508"/>
      <c r="AX3794" s="225"/>
      <c r="AY3794" s="225"/>
      <c r="AZ3794" s="225"/>
      <c r="BA3794" s="225"/>
      <c r="BB3794" s="225"/>
      <c r="BC3794" s="56"/>
      <c r="BD3794" s="56"/>
      <c r="BE3794" s="56"/>
      <c r="BF3794" s="107" t="str">
        <f t="shared" si="2932"/>
        <v>https://www.google.com/search?tbm=isch&amp;q=20%20G3</v>
      </c>
      <c r="BG3794" s="107" t="str">
        <f t="shared" si="2933"/>
        <v>T</v>
      </c>
      <c r="BH3794" s="254"/>
      <c r="BI3794" s="254"/>
    </row>
    <row r="3795" spans="1:61" customFormat="1" ht="17.25" thickBot="1" x14ac:dyDescent="0.3">
      <c r="A3795" s="524" t="s">
        <v>2188</v>
      </c>
      <c r="B3795" s="245"/>
      <c r="C3795" s="677"/>
      <c r="D3795" s="499"/>
      <c r="E3795" s="499"/>
      <c r="F3795" s="500"/>
      <c r="G3795" s="501"/>
      <c r="H3795" s="502"/>
      <c r="I3795" s="246"/>
      <c r="J3795" s="247"/>
      <c r="K3795" s="503"/>
      <c r="L3795" s="544"/>
      <c r="M3795" s="544"/>
      <c r="N3795" s="500"/>
      <c r="O3795" s="500"/>
      <c r="P3795" s="500"/>
      <c r="Q3795" s="500"/>
      <c r="R3795" s="500"/>
      <c r="S3795" s="278"/>
      <c r="T3795" s="508">
        <f t="shared" si="2921"/>
        <v>0</v>
      </c>
      <c r="U3795" s="225" t="str">
        <f>IF(NOT(ISNUMBER(G3795)), "", VLOOKUP(A3795,'Discount Lookup'!D:E,2,FALSE)*G3795)</f>
        <v/>
      </c>
      <c r="V3795" s="225" t="str">
        <f>IF(NOT(ISNUMBER(G3795)), "", VLOOKUP(A3795,'Discount Lookup'!G:H,2,FALSE)*G3795)</f>
        <v/>
      </c>
      <c r="W3795" s="508">
        <f t="shared" si="2922"/>
        <v>0</v>
      </c>
      <c r="X3795" s="508">
        <f t="shared" si="2923"/>
        <v>0</v>
      </c>
      <c r="Y3795" s="509" t="b">
        <f t="shared" si="2924"/>
        <v>0</v>
      </c>
      <c r="Z3795" s="510">
        <f t="shared" si="2925"/>
        <v>0</v>
      </c>
      <c r="AA3795" s="511"/>
      <c r="AB3795" s="511" t="str">
        <f t="shared" si="2926"/>
        <v/>
      </c>
      <c r="AC3795" s="698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698"/>
      <c r="AE3795" s="631" t="str">
        <f t="shared" si="2927"/>
        <v/>
      </c>
      <c r="AF3795" s="699" t="str">
        <f t="shared" si="2928"/>
        <v/>
      </c>
      <c r="AG3795" s="699"/>
      <c r="AH3795" s="699"/>
      <c r="AI3795" s="512">
        <f>IF(H3795="credit",0,IF(AE3795="free",0,IF(AE3795="me",0,IF(G3795&gt;0,(VLOOKUP(A3795,'Discount Lookup'!J:K,2)*G3795),0))))</f>
        <v>0</v>
      </c>
      <c r="AJ3795" s="513" t="str">
        <f t="shared" ca="1" si="2929"/>
        <v/>
      </c>
      <c r="AK3795" s="700" t="str">
        <f t="shared" si="2930"/>
        <v/>
      </c>
      <c r="AL3795" s="700"/>
      <c r="AM3795" s="505" t="str">
        <f t="shared" si="2931"/>
        <v/>
      </c>
      <c r="AN3795" s="506"/>
      <c r="AO3795" s="507"/>
      <c r="AP3795" s="507"/>
      <c r="AQ3795" s="507"/>
      <c r="AR3795" s="507"/>
      <c r="AS3795" s="507"/>
      <c r="AT3795" s="507"/>
      <c r="AU3795" s="507"/>
      <c r="AV3795" s="225"/>
      <c r="AW3795" s="508"/>
      <c r="AX3795" s="225"/>
      <c r="AY3795" s="225"/>
      <c r="AZ3795" s="225"/>
      <c r="BA3795" s="225"/>
      <c r="BB3795" s="225"/>
      <c r="BC3795" s="56"/>
      <c r="BD3795" s="56"/>
      <c r="BE3795" s="56"/>
      <c r="BF3795" s="107" t="str">
        <f t="shared" si="2932"/>
        <v>https://www.google.com/search?tbm=isch&amp;q=Tonto%20foliage%20is%20dark%20green%2C%20dull%20red%20to%20purple%20in%20fall.%20Beige%20bark%20exfoliates%20</v>
      </c>
      <c r="BG3795" s="107" t="str">
        <f t="shared" si="2933"/>
        <v>T</v>
      </c>
      <c r="BH3795" s="254"/>
      <c r="BI3795" s="254"/>
    </row>
    <row r="3796" spans="1:61" customFormat="1" ht="18" x14ac:dyDescent="0.25">
      <c r="A3796" s="521" t="s">
        <v>1916</v>
      </c>
      <c r="B3796" s="477"/>
      <c r="C3796" s="674"/>
      <c r="D3796" s="478" t="s">
        <v>1917</v>
      </c>
      <c r="E3796" s="479"/>
      <c r="F3796" s="479"/>
      <c r="G3796" s="479"/>
      <c r="H3796" s="582" t="s">
        <v>475</v>
      </c>
      <c r="I3796" s="480" t="s">
        <v>654</v>
      </c>
      <c r="J3796" s="479"/>
      <c r="K3796" s="479"/>
      <c r="L3796" s="560"/>
      <c r="M3796" s="666" t="s">
        <v>4966</v>
      </c>
      <c r="N3796" s="680" t="str">
        <f>IF(AND(ISTEXT($A3796), ISERROR($A3796+0)), HYPERLINK($BF3796, "Images"), "")</f>
        <v>Images</v>
      </c>
      <c r="O3796" s="662" t="s">
        <v>4974</v>
      </c>
      <c r="P3796" s="482"/>
      <c r="Q3796" s="483"/>
      <c r="R3796" s="483"/>
      <c r="S3796" s="484"/>
      <c r="T3796" s="508">
        <f t="shared" si="2921"/>
        <v>0</v>
      </c>
      <c r="U3796" s="225" t="str">
        <f>IF(NOT(ISNUMBER(G3796)), "", VLOOKUP(A3796,'Discount Lookup'!D:E,2,FALSE)*G3796)</f>
        <v/>
      </c>
      <c r="V3796" s="225" t="str">
        <f>IF(NOT(ISNUMBER(G3796)), "", VLOOKUP(A3796,'Discount Lookup'!G:H,2,FALSE)*G3796)</f>
        <v/>
      </c>
      <c r="W3796" s="508">
        <f t="shared" si="2922"/>
        <v>0</v>
      </c>
      <c r="X3796" s="508" t="str">
        <f t="shared" si="2923"/>
        <v>White bloom</v>
      </c>
      <c r="Y3796" s="509" t="b">
        <f t="shared" si="2924"/>
        <v>0</v>
      </c>
      <c r="Z3796" s="510">
        <f t="shared" si="2925"/>
        <v>0</v>
      </c>
      <c r="AA3796" s="511"/>
      <c r="AB3796" s="511" t="str">
        <f t="shared" si="2926"/>
        <v/>
      </c>
      <c r="AC3796" s="698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698"/>
      <c r="AE3796" s="631" t="str">
        <f t="shared" si="2927"/>
        <v/>
      </c>
      <c r="AF3796" s="699" t="str">
        <f t="shared" si="2928"/>
        <v/>
      </c>
      <c r="AG3796" s="699"/>
      <c r="AH3796" s="699"/>
      <c r="AI3796" s="512">
        <f>IF(H3796="credit",0,IF(AE3796="free",0,IF(AE3796="me",0,IF(G3796&gt;0,(VLOOKUP(A3796,'Discount Lookup'!J:K,2)*G3796),0))))</f>
        <v>0</v>
      </c>
      <c r="AJ3796" s="513" t="str">
        <f t="shared" ca="1" si="2929"/>
        <v/>
      </c>
      <c r="AK3796" s="700" t="str">
        <f t="shared" si="2930"/>
        <v/>
      </c>
      <c r="AL3796" s="700"/>
      <c r="AM3796" s="505" t="str">
        <f t="shared" si="2931"/>
        <v/>
      </c>
      <c r="AN3796" s="506"/>
      <c r="AO3796" s="507"/>
      <c r="AP3796" s="507"/>
      <c r="AQ3796" s="507"/>
      <c r="AR3796" s="507"/>
      <c r="AS3796" s="507"/>
      <c r="AT3796" s="507"/>
      <c r="AU3796" s="507"/>
      <c r="AV3796" s="225"/>
      <c r="AW3796" s="508"/>
      <c r="AX3796" s="225"/>
      <c r="AY3796" s="225"/>
      <c r="AZ3796" s="225"/>
      <c r="BA3796" s="225"/>
      <c r="BB3796" s="225"/>
      <c r="BC3796" s="56"/>
      <c r="BD3796" s="56"/>
      <c r="BE3796" s="56"/>
      <c r="BF3796" s="107" t="str">
        <f t="shared" si="2932"/>
        <v>https://www.google.com/search?tbm=isch&amp;q=Trailing%20Dwarf%20Gardenia%20Gardenia%20jasminoides%20%27Radicans%27</v>
      </c>
      <c r="BG3796" s="107" t="str">
        <f t="shared" si="2933"/>
        <v>T</v>
      </c>
      <c r="BH3796" s="254"/>
      <c r="BI3796" s="254"/>
    </row>
    <row r="3797" spans="1:61" customFormat="1" ht="15.75" x14ac:dyDescent="0.25">
      <c r="A3797" s="485">
        <v>1</v>
      </c>
      <c r="B3797" s="486" t="s">
        <v>291</v>
      </c>
      <c r="C3797" s="487"/>
      <c r="D3797" s="488" t="s">
        <v>298</v>
      </c>
      <c r="E3797" s="489">
        <v>7.95</v>
      </c>
      <c r="F3797" s="516" t="s">
        <v>293</v>
      </c>
      <c r="G3797" s="232">
        <v>0</v>
      </c>
      <c r="H3797" s="658" t="str">
        <f>IF(G3797=0,"",IF(F3797="Buy",IF(G3797=1,"plant","plants"),IF(F3797&gt;0.01,"warranty","Error")))</f>
        <v/>
      </c>
      <c r="I3797" s="490">
        <f>IF(H3797="free",0,IF(H3797="credit",((E3797*(F3797))*G3797*-1),IF(F3797="Buy",(E3797*G3797),((E3797*(1-F3797))*G3797))))</f>
        <v>0</v>
      </c>
      <c r="J3797" s="490">
        <f>IF(H3797="warranty",0,(I3797*(_xlfn.SINGLE(SalesTaxPercentage))))</f>
        <v>0</v>
      </c>
      <c r="K3797" s="695">
        <f t="shared" ref="K3797" si="2938">I3797+J3797</f>
        <v>0</v>
      </c>
      <c r="L3797" s="695"/>
      <c r="M3797" s="659" t="str">
        <f>IF(AND(G3797&gt;0,E3797=0),"WARNING - no PRICE inserted",IF(H3797="free"," FREE ~ no charge this plant",IF(H3797="credit",CONCATENATE(" -$",ROUND(K3797*(1-T2GDiscount)*-1,2)," CREDIT after discount"),IF(T2GDiscount=0,"",IF(G3797=0,"",IF(F3797="Buy",CONCATENATE(" $",ROUND(K3797*(1-T2GDiscount),2)," with ",(T2GDiscount*100),"% discount"),CONCATENATE(" $",ROUND(K3797*(1-T2GDiscount),2)," with ",((T2GDiscount*100+F3797*100)-(T2GDiscount*100*F3797)),IF(F3797&gt;0,"% discounts",IF(NoWarrantyDiscount&gt;0,"% discounts","% discount")))))))))</f>
        <v/>
      </c>
      <c r="N3797" s="660"/>
      <c r="O3797" s="233"/>
      <c r="P3797" s="233"/>
      <c r="Q3797" s="233"/>
      <c r="R3797" s="233"/>
      <c r="S3797" s="233"/>
      <c r="T3797" s="508">
        <f t="shared" si="2921"/>
        <v>0</v>
      </c>
      <c r="U3797" s="225">
        <f>IF(NOT(ISNUMBER(G3797)), "", VLOOKUP(A3797,'Discount Lookup'!D:E,2,FALSE)*G3797)</f>
        <v>0</v>
      </c>
      <c r="V3797" s="225">
        <f>IF(NOT(ISNUMBER(G3797)), "", VLOOKUP(A3797,'Discount Lookup'!G:H,2,FALSE)*G3797)</f>
        <v>0</v>
      </c>
      <c r="W3797" s="508">
        <f t="shared" si="2922"/>
        <v>0</v>
      </c>
      <c r="X3797" s="508">
        <f t="shared" si="2923"/>
        <v>0</v>
      </c>
      <c r="Y3797" s="509" t="b">
        <f t="shared" si="2924"/>
        <v>0</v>
      </c>
      <c r="Z3797" s="510">
        <f t="shared" si="2925"/>
        <v>0</v>
      </c>
      <c r="AA3797" s="511"/>
      <c r="AB3797" s="511" t="str">
        <f t="shared" si="2926"/>
        <v/>
      </c>
      <c r="AC3797" s="698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698"/>
      <c r="AE3797" s="631" t="str">
        <f t="shared" si="2927"/>
        <v/>
      </c>
      <c r="AF3797" s="699" t="str">
        <f t="shared" si="2928"/>
        <v/>
      </c>
      <c r="AG3797" s="699"/>
      <c r="AH3797" s="699"/>
      <c r="AI3797" s="512">
        <f>IF(H3797="credit",0,IF(AE3797="free",0,IF(AE3797="me",0,IF(G3797&gt;0,(VLOOKUP(A3797,'Discount Lookup'!J:K,2)*G3797),0))))</f>
        <v>0</v>
      </c>
      <c r="AJ3797" s="513" t="str">
        <f t="shared" ca="1" si="2929"/>
        <v/>
      </c>
      <c r="AK3797" s="700" t="str">
        <f t="shared" si="2930"/>
        <v/>
      </c>
      <c r="AL3797" s="700"/>
      <c r="AM3797" s="505" t="str">
        <f t="shared" si="2931"/>
        <v/>
      </c>
      <c r="AN3797" s="506"/>
      <c r="AO3797" s="507"/>
      <c r="AP3797" s="507"/>
      <c r="AQ3797" s="507"/>
      <c r="AR3797" s="507"/>
      <c r="AS3797" s="507"/>
      <c r="AT3797" s="507"/>
      <c r="AU3797" s="507"/>
      <c r="AV3797" s="225"/>
      <c r="AW3797" s="508"/>
      <c r="AX3797" s="225"/>
      <c r="AY3797" s="225"/>
      <c r="AZ3797" s="225"/>
      <c r="BA3797" s="225"/>
      <c r="BB3797" s="225"/>
      <c r="BC3797" s="56"/>
      <c r="BD3797" s="56"/>
      <c r="BE3797" s="56"/>
      <c r="BF3797" s="107" t="str">
        <f t="shared" si="2932"/>
        <v>https://www.google.com/search?tbm=isch&amp;q=1%20G1</v>
      </c>
      <c r="BG3797" s="107" t="str">
        <f t="shared" si="2933"/>
        <v>T</v>
      </c>
      <c r="BH3797" s="254"/>
      <c r="BI3797" s="254"/>
    </row>
    <row r="3798" spans="1:61" customFormat="1" ht="15.75" x14ac:dyDescent="0.25">
      <c r="A3798" s="485">
        <v>3</v>
      </c>
      <c r="B3798" s="486" t="s">
        <v>291</v>
      </c>
      <c r="C3798" s="487"/>
      <c r="D3798" s="488" t="s">
        <v>298</v>
      </c>
      <c r="E3798" s="489">
        <v>26.95</v>
      </c>
      <c r="F3798" s="516" t="s">
        <v>293</v>
      </c>
      <c r="G3798" s="232">
        <v>0</v>
      </c>
      <c r="H3798" s="658" t="str">
        <f>IF(G3798=0,"",IF(F3798="Buy",IF(G3798=1,"plant","plants"),IF(F3798&gt;0.01,"warranty","Error")))</f>
        <v/>
      </c>
      <c r="I3798" s="490">
        <f>IF(H3798="free",0,IF(H3798="credit",((E3798*(F3798))*G3798*-1),IF(F3798="Buy",(E3798*G3798),((E3798*(1-F3798))*G3798))))</f>
        <v>0</v>
      </c>
      <c r="J3798" s="490">
        <f>IF(H3798="warranty",0,(I3798*(_xlfn.SINGLE(SalesTaxPercentage))))</f>
        <v>0</v>
      </c>
      <c r="K3798" s="695">
        <f t="shared" ref="K3798" si="2939">I3798+J3798</f>
        <v>0</v>
      </c>
      <c r="L3798" s="695"/>
      <c r="M3798" s="659" t="str">
        <f>IF(AND(G3798&gt;0,E3798=0),"WARNING - no PRICE inserted",IF(H3798="free"," FREE ~ no charge this plant",IF(H3798="credit",CONCATENATE(" -$",ROUND(K3798*(1-T2GDiscount)*-1,2)," CREDIT after discount"),IF(T2GDiscount=0,"",IF(G3798=0,"",IF(F3798="Buy",CONCATENATE(" $",ROUND(K3798*(1-T2GDiscount),2)," with ",(T2GDiscount*100),"% discount"),CONCATENATE(" $",ROUND(K3798*(1-T2GDiscount),2)," with ",((T2GDiscount*100+F3798*100)-(T2GDiscount*100*F3798)),IF(F3798&gt;0,"% discounts",IF(NoWarrantyDiscount&gt;0,"% discounts","% discount")))))))))</f>
        <v/>
      </c>
      <c r="N3798" s="660"/>
      <c r="O3798" s="233"/>
      <c r="P3798" s="233"/>
      <c r="Q3798" s="233"/>
      <c r="R3798" s="233"/>
      <c r="S3798" s="233"/>
      <c r="T3798" s="508">
        <f t="shared" si="2921"/>
        <v>0</v>
      </c>
      <c r="U3798" s="225">
        <f>IF(NOT(ISNUMBER(G3798)), "", VLOOKUP(A3798,'Discount Lookup'!D:E,2,FALSE)*G3798)</f>
        <v>0</v>
      </c>
      <c r="V3798" s="225">
        <f>IF(NOT(ISNUMBER(G3798)), "", VLOOKUP(A3798,'Discount Lookup'!G:H,2,FALSE)*G3798)</f>
        <v>0</v>
      </c>
      <c r="W3798" s="508">
        <f t="shared" si="2922"/>
        <v>0</v>
      </c>
      <c r="X3798" s="508">
        <f t="shared" si="2923"/>
        <v>0</v>
      </c>
      <c r="Y3798" s="509" t="b">
        <f t="shared" si="2924"/>
        <v>0</v>
      </c>
      <c r="Z3798" s="510">
        <f t="shared" si="2925"/>
        <v>0</v>
      </c>
      <c r="AA3798" s="511"/>
      <c r="AB3798" s="511" t="str">
        <f t="shared" si="2926"/>
        <v/>
      </c>
      <c r="AC3798" s="698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698"/>
      <c r="AE3798" s="631" t="str">
        <f t="shared" si="2927"/>
        <v/>
      </c>
      <c r="AF3798" s="699" t="str">
        <f t="shared" si="2928"/>
        <v/>
      </c>
      <c r="AG3798" s="699"/>
      <c r="AH3798" s="699"/>
      <c r="AI3798" s="512">
        <f>IF(H3798="credit",0,IF(AE3798="free",0,IF(AE3798="me",0,IF(G3798&gt;0,(VLOOKUP(A3798,'Discount Lookup'!J:K,2)*G3798),0))))</f>
        <v>0</v>
      </c>
      <c r="AJ3798" s="513" t="str">
        <f t="shared" ca="1" si="2929"/>
        <v/>
      </c>
      <c r="AK3798" s="700" t="str">
        <f t="shared" si="2930"/>
        <v/>
      </c>
      <c r="AL3798" s="700"/>
      <c r="AM3798" s="505" t="str">
        <f t="shared" si="2931"/>
        <v/>
      </c>
      <c r="AN3798" s="506"/>
      <c r="AO3798" s="507"/>
      <c r="AP3798" s="507"/>
      <c r="AQ3798" s="507"/>
      <c r="AR3798" s="507"/>
      <c r="AS3798" s="507"/>
      <c r="AT3798" s="507"/>
      <c r="AU3798" s="507"/>
      <c r="AV3798" s="225"/>
      <c r="AW3798" s="508"/>
      <c r="AX3798" s="225"/>
      <c r="AY3798" s="225"/>
      <c r="AZ3798" s="225"/>
      <c r="BA3798" s="225"/>
      <c r="BB3798" s="225"/>
      <c r="BC3798" s="56"/>
      <c r="BD3798" s="56"/>
      <c r="BE3798" s="56"/>
      <c r="BF3798" s="107" t="str">
        <f t="shared" si="2932"/>
        <v>https://www.google.com/search?tbm=isch&amp;q=3%20G1</v>
      </c>
      <c r="BG3798" s="107" t="str">
        <f t="shared" si="2933"/>
        <v>T</v>
      </c>
      <c r="BH3798" s="254"/>
      <c r="BI3798" s="254"/>
    </row>
    <row r="3799" spans="1:61" customFormat="1" ht="15.75" x14ac:dyDescent="0.25">
      <c r="A3799" s="485">
        <v>3</v>
      </c>
      <c r="B3799" s="486" t="s">
        <v>291</v>
      </c>
      <c r="C3799" s="487" t="s">
        <v>4032</v>
      </c>
      <c r="D3799" s="488" t="s">
        <v>300</v>
      </c>
      <c r="E3799" s="489">
        <v>40.950000000000003</v>
      </c>
      <c r="F3799" s="516" t="s">
        <v>293</v>
      </c>
      <c r="G3799" s="232">
        <v>0</v>
      </c>
      <c r="H3799" s="658" t="str">
        <f>IF(G3799=0,"",IF(F3799="Buy",IF(G3799=1,"plant","plants"),IF(F3799&gt;0.01,"warranty","Error")))</f>
        <v/>
      </c>
      <c r="I3799" s="490">
        <f>IF(H3799="free",0,IF(H3799="credit",((E3799*(F3799))*G3799*-1),IF(F3799="Buy",(E3799*G3799),((E3799*(1-F3799))*G3799))))</f>
        <v>0</v>
      </c>
      <c r="J3799" s="490">
        <f>IF(H3799="warranty",0,(I3799*(_xlfn.SINGLE(SalesTaxPercentage))))</f>
        <v>0</v>
      </c>
      <c r="K3799" s="695">
        <f t="shared" ref="K3799" si="2940">I3799+J3799</f>
        <v>0</v>
      </c>
      <c r="L3799" s="695"/>
      <c r="M3799" s="659" t="str">
        <f>IF(AND(G3799&gt;0,E3799=0),"WARNING - no PRICE inserted",IF(H3799="free"," FREE ~ no charge this plant",IF(H3799="credit",CONCATENATE(" -$",ROUND(K3799*(1-T2GDiscount)*-1,2)," CREDIT after discount"),IF(T2GDiscount=0,"",IF(G3799=0,"",IF(F3799="Buy",CONCATENATE(" $",ROUND(K3799*(1-T2GDiscount),2)," with ",(T2GDiscount*100),"% discount"),CONCATENATE(" $",ROUND(K3799*(1-T2GDiscount),2)," with ",((T2GDiscount*100+F3799*100)-(T2GDiscount*100*F3799)),IF(F3799&gt;0,"% discounts",IF(NoWarrantyDiscount&gt;0,"% discounts","% discount")))))))))</f>
        <v/>
      </c>
      <c r="N3799" s="660"/>
      <c r="O3799" s="233"/>
      <c r="P3799" s="233"/>
      <c r="Q3799" s="233"/>
      <c r="R3799" s="233"/>
      <c r="S3799" s="233"/>
      <c r="T3799" s="508">
        <f t="shared" si="2921"/>
        <v>0</v>
      </c>
      <c r="U3799" s="225">
        <f>IF(NOT(ISNUMBER(G3799)), "", VLOOKUP(A3799,'Discount Lookup'!D:E,2,FALSE)*G3799)</f>
        <v>0</v>
      </c>
      <c r="V3799" s="225">
        <f>IF(NOT(ISNUMBER(G3799)), "", VLOOKUP(A3799,'Discount Lookup'!G:H,2,FALSE)*G3799)</f>
        <v>0</v>
      </c>
      <c r="W3799" s="508">
        <f t="shared" si="2922"/>
        <v>0</v>
      </c>
      <c r="X3799" s="508">
        <f t="shared" si="2923"/>
        <v>0</v>
      </c>
      <c r="Y3799" s="509" t="b">
        <f t="shared" si="2924"/>
        <v>0</v>
      </c>
      <c r="Z3799" s="510">
        <f t="shared" si="2925"/>
        <v>0</v>
      </c>
      <c r="AA3799" s="511"/>
      <c r="AB3799" s="511" t="str">
        <f t="shared" si="2926"/>
        <v/>
      </c>
      <c r="AC3799" s="698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698"/>
      <c r="AE3799" s="631" t="str">
        <f t="shared" si="2927"/>
        <v/>
      </c>
      <c r="AF3799" s="699" t="str">
        <f t="shared" si="2928"/>
        <v/>
      </c>
      <c r="AG3799" s="699"/>
      <c r="AH3799" s="699"/>
      <c r="AI3799" s="512">
        <f>IF(H3799="credit",0,IF(AE3799="free",0,IF(AE3799="me",0,IF(G3799&gt;0,(VLOOKUP(A3799,'Discount Lookup'!J:K,2)*G3799),0))))</f>
        <v>0</v>
      </c>
      <c r="AJ3799" s="513" t="str">
        <f t="shared" ca="1" si="2929"/>
        <v/>
      </c>
      <c r="AK3799" s="700" t="str">
        <f t="shared" si="2930"/>
        <v/>
      </c>
      <c r="AL3799" s="700"/>
      <c r="AM3799" s="505" t="str">
        <f t="shared" si="2931"/>
        <v/>
      </c>
      <c r="AN3799" s="506"/>
      <c r="AO3799" s="507"/>
      <c r="AP3799" s="507"/>
      <c r="AQ3799" s="507"/>
      <c r="AR3799" s="507"/>
      <c r="AS3799" s="507"/>
      <c r="AT3799" s="507"/>
      <c r="AU3799" s="507"/>
      <c r="AV3799" s="225"/>
      <c r="AW3799" s="508"/>
      <c r="AX3799" s="225"/>
      <c r="AY3799" s="225"/>
      <c r="AZ3799" s="225"/>
      <c r="BA3799" s="225"/>
      <c r="BB3799" s="225"/>
      <c r="BC3799" s="56"/>
      <c r="BD3799" s="56"/>
      <c r="BE3799" s="56"/>
      <c r="BF3799" s="107" t="str">
        <f t="shared" si="2932"/>
        <v>https://www.google.com/search?tbm=isch&amp;q=3%20G6</v>
      </c>
      <c r="BG3799" s="107" t="str">
        <f t="shared" si="2933"/>
        <v>T</v>
      </c>
      <c r="BH3799" s="254"/>
      <c r="BI3799" s="254"/>
    </row>
    <row r="3800" spans="1:61" customFormat="1" ht="17.25" thickBot="1" x14ac:dyDescent="0.3">
      <c r="A3800" s="522" t="s">
        <v>2189</v>
      </c>
      <c r="B3800" s="491"/>
      <c r="C3800" s="675"/>
      <c r="D3800" s="491"/>
      <c r="E3800" s="491"/>
      <c r="F3800" s="492"/>
      <c r="G3800" s="493"/>
      <c r="H3800" s="491"/>
      <c r="I3800" s="234"/>
      <c r="J3800" s="234"/>
      <c r="K3800" s="494"/>
      <c r="L3800" s="543"/>
      <c r="M3800" s="561"/>
      <c r="N3800" s="495"/>
      <c r="O3800" s="496"/>
      <c r="P3800" s="497"/>
      <c r="Q3800" s="495"/>
      <c r="R3800" s="495"/>
      <c r="S3800" s="667" t="s">
        <v>4986</v>
      </c>
      <c r="T3800" s="508">
        <f t="shared" si="2921"/>
        <v>0</v>
      </c>
      <c r="U3800" s="225" t="str">
        <f>IF(NOT(ISNUMBER(G3800)), "", VLOOKUP(A3800,'Discount Lookup'!D:E,2,FALSE)*G3800)</f>
        <v/>
      </c>
      <c r="V3800" s="225" t="str">
        <f>IF(NOT(ISNUMBER(G3800)), "", VLOOKUP(A3800,'Discount Lookup'!G:H,2,FALSE)*G3800)</f>
        <v/>
      </c>
      <c r="W3800" s="508">
        <f t="shared" si="2922"/>
        <v>0</v>
      </c>
      <c r="X3800" s="508">
        <f t="shared" si="2923"/>
        <v>0</v>
      </c>
      <c r="Y3800" s="509" t="b">
        <f t="shared" si="2924"/>
        <v>0</v>
      </c>
      <c r="Z3800" s="510">
        <f t="shared" si="2925"/>
        <v>0</v>
      </c>
      <c r="AA3800" s="511"/>
      <c r="AB3800" s="511" t="str">
        <f t="shared" si="2926"/>
        <v/>
      </c>
      <c r="AC3800" s="698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698"/>
      <c r="AE3800" s="631" t="str">
        <f t="shared" si="2927"/>
        <v/>
      </c>
      <c r="AF3800" s="699" t="str">
        <f t="shared" si="2928"/>
        <v/>
      </c>
      <c r="AG3800" s="699"/>
      <c r="AH3800" s="699"/>
      <c r="AI3800" s="512">
        <f>IF(H3800="credit",0,IF(AE3800="free",0,IF(AE3800="me",0,IF(G3800&gt;0,(VLOOKUP(A3800,'Discount Lookup'!J:K,2)*G3800),0))))</f>
        <v>0</v>
      </c>
      <c r="AJ3800" s="513" t="str">
        <f t="shared" ca="1" si="2929"/>
        <v/>
      </c>
      <c r="AK3800" s="700" t="str">
        <f t="shared" si="2930"/>
        <v/>
      </c>
      <c r="AL3800" s="700"/>
      <c r="AM3800" s="505" t="str">
        <f t="shared" si="2931"/>
        <v/>
      </c>
      <c r="AN3800" s="506"/>
      <c r="AO3800" s="507"/>
      <c r="AP3800" s="507"/>
      <c r="AQ3800" s="507"/>
      <c r="AR3800" s="507"/>
      <c r="AS3800" s="507"/>
      <c r="AT3800" s="507"/>
      <c r="AU3800" s="507"/>
      <c r="AV3800" s="225"/>
      <c r="AW3800" s="508"/>
      <c r="AX3800" s="225"/>
      <c r="AY3800" s="225"/>
      <c r="AZ3800" s="225"/>
      <c r="BA3800" s="225"/>
      <c r="BB3800" s="225"/>
      <c r="BC3800" s="56"/>
      <c r="BD3800" s="56"/>
      <c r="BE3800" s="56"/>
      <c r="BF3800" s="107" t="str">
        <f t="shared" si="2932"/>
        <v>https://www.google.com/search?tbm=isch&amp;q=Trailing%20Dwarf%20blooms%20in%20spring%2C%20then%20sporadically%20in%20summer%2C%20with%20fragrant%2C%20double%20flowers.%20Orange%20fall%20fruit%20</v>
      </c>
      <c r="BG3800" s="107" t="str">
        <f t="shared" si="2933"/>
        <v>T</v>
      </c>
      <c r="BH3800" s="254"/>
      <c r="BI3800" s="254"/>
    </row>
    <row r="3801" spans="1:61" customFormat="1" ht="18" x14ac:dyDescent="0.25">
      <c r="A3801" s="521" t="s">
        <v>1918</v>
      </c>
      <c r="B3801" s="477"/>
      <c r="C3801" s="674"/>
      <c r="D3801" s="478" t="s">
        <v>1919</v>
      </c>
      <c r="E3801" s="479"/>
      <c r="F3801" s="479"/>
      <c r="G3801" s="479"/>
      <c r="H3801" s="582" t="s">
        <v>2099</v>
      </c>
      <c r="I3801" s="480" t="s">
        <v>2092</v>
      </c>
      <c r="J3801" s="479"/>
      <c r="K3801" s="479"/>
      <c r="L3801" s="560"/>
      <c r="M3801" s="666" t="s">
        <v>4963</v>
      </c>
      <c r="N3801" s="680" t="str">
        <f>IF(AND(ISTEXT($A3801), ISERROR($A3801+0)), HYPERLINK($BF3801, "Images"), "")</f>
        <v>Images</v>
      </c>
      <c r="O3801" s="662" t="s">
        <v>4969</v>
      </c>
      <c r="P3801" s="482"/>
      <c r="Q3801" s="483"/>
      <c r="R3801" s="483"/>
      <c r="S3801" s="484"/>
      <c r="T3801" s="508">
        <f t="shared" si="2921"/>
        <v>0</v>
      </c>
      <c r="U3801" s="225" t="str">
        <f>IF(NOT(ISNUMBER(G3801)), "", VLOOKUP(A3801,'Discount Lookup'!D:E,2,FALSE)*G3801)</f>
        <v/>
      </c>
      <c r="V3801" s="225" t="str">
        <f>IF(NOT(ISNUMBER(G3801)), "", VLOOKUP(A3801,'Discount Lookup'!G:H,2,FALSE)*G3801)</f>
        <v/>
      </c>
      <c r="W3801" s="508">
        <f t="shared" si="2922"/>
        <v>0</v>
      </c>
      <c r="X3801" s="508" t="str">
        <f t="shared" si="2923"/>
        <v>Blue-Green foliage</v>
      </c>
      <c r="Y3801" s="509" t="b">
        <f t="shared" si="2924"/>
        <v>0</v>
      </c>
      <c r="Z3801" s="510">
        <f t="shared" si="2925"/>
        <v>0</v>
      </c>
      <c r="AA3801" s="511"/>
      <c r="AB3801" s="511" t="str">
        <f t="shared" si="2926"/>
        <v/>
      </c>
      <c r="AC3801" s="698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698"/>
      <c r="AE3801" s="631" t="str">
        <f t="shared" si="2927"/>
        <v/>
      </c>
      <c r="AF3801" s="699" t="str">
        <f t="shared" si="2928"/>
        <v/>
      </c>
      <c r="AG3801" s="699"/>
      <c r="AH3801" s="699"/>
      <c r="AI3801" s="512">
        <f>IF(H3801="credit",0,IF(AE3801="free",0,IF(AE3801="me",0,IF(G3801&gt;0,(VLOOKUP(A3801,'Discount Lookup'!J:K,2)*G3801),0))))</f>
        <v>0</v>
      </c>
      <c r="AJ3801" s="513" t="str">
        <f t="shared" ca="1" si="2929"/>
        <v/>
      </c>
      <c r="AK3801" s="700" t="str">
        <f t="shared" si="2930"/>
        <v/>
      </c>
      <c r="AL3801" s="700"/>
      <c r="AM3801" s="505" t="str">
        <f t="shared" si="2931"/>
        <v/>
      </c>
      <c r="AN3801" s="506"/>
      <c r="AO3801" s="507"/>
      <c r="AP3801" s="507"/>
      <c r="AQ3801" s="507"/>
      <c r="AR3801" s="507"/>
      <c r="AS3801" s="507"/>
      <c r="AT3801" s="507"/>
      <c r="AU3801" s="507"/>
      <c r="AV3801" s="225"/>
      <c r="AW3801" s="508"/>
      <c r="AX3801" s="225"/>
      <c r="AY3801" s="225"/>
      <c r="AZ3801" s="225"/>
      <c r="BA3801" s="225"/>
      <c r="BB3801" s="225"/>
      <c r="BC3801" s="56"/>
      <c r="BD3801" s="56"/>
      <c r="BE3801" s="56"/>
      <c r="BF3801" s="107" t="str">
        <f t="shared" si="2932"/>
        <v>https://www.google.com/search?tbm=isch&amp;q=Trautman%20Juniper%20Juniperus%20chinensis%20%27Trautman%27</v>
      </c>
      <c r="BG3801" s="107" t="str">
        <f t="shared" si="2933"/>
        <v>T</v>
      </c>
      <c r="BH3801" s="254"/>
      <c r="BI3801" s="254"/>
    </row>
    <row r="3802" spans="1:61" customFormat="1" ht="27" x14ac:dyDescent="0.25">
      <c r="A3802" s="485">
        <v>15</v>
      </c>
      <c r="B3802" s="486" t="s">
        <v>291</v>
      </c>
      <c r="C3802" s="487" t="s">
        <v>3822</v>
      </c>
      <c r="D3802" s="488" t="s">
        <v>292</v>
      </c>
      <c r="E3802" s="489">
        <v>252.95</v>
      </c>
      <c r="F3802" s="516" t="s">
        <v>293</v>
      </c>
      <c r="G3802" s="232">
        <v>0</v>
      </c>
      <c r="H3802" s="658" t="str">
        <f>IF(G3802=0,"",IF(F3802="Buy",IF(G3802=1,"plant","plants"),IF(F3802&gt;0.01,"warranty","Error")))</f>
        <v/>
      </c>
      <c r="I3802" s="490">
        <f>IF(H3802="free",0,IF(H3802="credit",((E3802*(F3802))*G3802*-1),IF(F3802="Buy",(E3802*G3802),((E3802*(1-F3802))*G3802))))</f>
        <v>0</v>
      </c>
      <c r="J3802" s="490">
        <f>IF(H3802="warranty",0,(I3802*(_xlfn.SINGLE(SalesTaxPercentage))))</f>
        <v>0</v>
      </c>
      <c r="K3802" s="695">
        <f t="shared" ref="K3802" si="2941">I3802+J3802</f>
        <v>0</v>
      </c>
      <c r="L3802" s="695"/>
      <c r="M3802" s="659" t="str">
        <f>IF(AND(G3802&gt;0,E3802=0),"WARNING - no PRICE inserted",IF(H3802="free"," FREE ~ no charge this plant",IF(H3802="credit",CONCATENATE(" -$",ROUND(K3802*(1-T2GDiscount)*-1,2)," CREDIT after discount"),IF(T2GDiscount=0,"",IF(G3802=0,"",IF(F3802="Buy",CONCATENATE(" $",ROUND(K3802*(1-T2GDiscount),2)," with ",(T2GDiscount*100),"% discount"),CONCATENATE(" $",ROUND(K3802*(1-T2GDiscount),2)," with ",((T2GDiscount*100+F3802*100)-(T2GDiscount*100*F3802)),IF(F3802&gt;0,"% discounts",IF(NoWarrantyDiscount&gt;0,"% discounts","% discount")))))))))</f>
        <v/>
      </c>
      <c r="N3802" s="660"/>
      <c r="O3802" s="233"/>
      <c r="P3802" s="233"/>
      <c r="Q3802" s="233"/>
      <c r="R3802" s="233"/>
      <c r="S3802" s="233"/>
      <c r="T3802" s="508">
        <f t="shared" si="2921"/>
        <v>0</v>
      </c>
      <c r="U3802" s="225">
        <f>IF(NOT(ISNUMBER(G3802)), "", VLOOKUP(A3802,'Discount Lookup'!D:E,2,FALSE)*G3802)</f>
        <v>0</v>
      </c>
      <c r="V3802" s="225">
        <f>IF(NOT(ISNUMBER(G3802)), "", VLOOKUP(A3802,'Discount Lookup'!G:H,2,FALSE)*G3802)</f>
        <v>0</v>
      </c>
      <c r="W3802" s="508">
        <f t="shared" si="2922"/>
        <v>0</v>
      </c>
      <c r="X3802" s="508">
        <f t="shared" si="2923"/>
        <v>0</v>
      </c>
      <c r="Y3802" s="509" t="b">
        <f t="shared" si="2924"/>
        <v>0</v>
      </c>
      <c r="Z3802" s="510">
        <f t="shared" si="2925"/>
        <v>0</v>
      </c>
      <c r="AA3802" s="511"/>
      <c r="AB3802" s="511" t="str">
        <f t="shared" si="2926"/>
        <v/>
      </c>
      <c r="AC3802" s="698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698"/>
      <c r="AE3802" s="631" t="str">
        <f t="shared" si="2927"/>
        <v/>
      </c>
      <c r="AF3802" s="699" t="str">
        <f t="shared" si="2928"/>
        <v/>
      </c>
      <c r="AG3802" s="699"/>
      <c r="AH3802" s="699"/>
      <c r="AI3802" s="512">
        <f>IF(H3802="credit",0,IF(AE3802="free",0,IF(AE3802="me",0,IF(G3802&gt;0,(VLOOKUP(A3802,'Discount Lookup'!J:K,2)*G3802),0))))</f>
        <v>0</v>
      </c>
      <c r="AJ3802" s="513" t="str">
        <f t="shared" ca="1" si="2929"/>
        <v/>
      </c>
      <c r="AK3802" s="700" t="str">
        <f t="shared" si="2930"/>
        <v/>
      </c>
      <c r="AL3802" s="700"/>
      <c r="AM3802" s="505" t="str">
        <f t="shared" si="2931"/>
        <v/>
      </c>
      <c r="AN3802" s="506"/>
      <c r="AO3802" s="507"/>
      <c r="AP3802" s="507"/>
      <c r="AQ3802" s="507"/>
      <c r="AR3802" s="507"/>
      <c r="AS3802" s="507"/>
      <c r="AT3802" s="507"/>
      <c r="AU3802" s="507"/>
      <c r="AV3802" s="225"/>
      <c r="AW3802" s="508"/>
      <c r="AX3802" s="225"/>
      <c r="AY3802" s="225"/>
      <c r="AZ3802" s="225"/>
      <c r="BA3802" s="225"/>
      <c r="BB3802" s="225"/>
      <c r="BC3802" s="56"/>
      <c r="BD3802" s="56"/>
      <c r="BE3802" s="56"/>
      <c r="BF3802" s="107" t="str">
        <f t="shared" si="2932"/>
        <v>https://www.google.com/search?tbm=isch&amp;q=15%20G4</v>
      </c>
      <c r="BG3802" s="107" t="str">
        <f t="shared" si="2933"/>
        <v>T</v>
      </c>
      <c r="BH3802" s="254"/>
      <c r="BI3802" s="254"/>
    </row>
    <row r="3803" spans="1:61" customFormat="1" ht="16.5" thickBot="1" x14ac:dyDescent="0.3">
      <c r="A3803" s="522" t="s">
        <v>2658</v>
      </c>
      <c r="B3803" s="491"/>
      <c r="C3803" s="675"/>
      <c r="D3803" s="491"/>
      <c r="E3803" s="491"/>
      <c r="F3803" s="492"/>
      <c r="G3803" s="493"/>
      <c r="H3803" s="491"/>
      <c r="I3803" s="234"/>
      <c r="J3803" s="234"/>
      <c r="K3803" s="494"/>
      <c r="L3803" s="543"/>
      <c r="M3803" s="561"/>
      <c r="N3803" s="495"/>
      <c r="O3803" s="496"/>
      <c r="P3803" s="497"/>
      <c r="Q3803" s="495"/>
      <c r="R3803" s="495"/>
      <c r="S3803" s="667" t="s">
        <v>4968</v>
      </c>
      <c r="T3803" s="508">
        <f t="shared" si="2921"/>
        <v>0</v>
      </c>
      <c r="U3803" s="225" t="str">
        <f>IF(NOT(ISNUMBER(G3803)), "", VLOOKUP(A3803,'Discount Lookup'!D:E,2,FALSE)*G3803)</f>
        <v/>
      </c>
      <c r="V3803" s="225" t="str">
        <f>IF(NOT(ISNUMBER(G3803)), "", VLOOKUP(A3803,'Discount Lookup'!G:H,2,FALSE)*G3803)</f>
        <v/>
      </c>
      <c r="W3803" s="508">
        <f t="shared" si="2922"/>
        <v>0</v>
      </c>
      <c r="X3803" s="508">
        <f t="shared" si="2923"/>
        <v>0</v>
      </c>
      <c r="Y3803" s="509" t="b">
        <f t="shared" si="2924"/>
        <v>0</v>
      </c>
      <c r="Z3803" s="510">
        <f t="shared" si="2925"/>
        <v>0</v>
      </c>
      <c r="AA3803" s="511"/>
      <c r="AB3803" s="511" t="str">
        <f t="shared" si="2926"/>
        <v/>
      </c>
      <c r="AC3803" s="698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698"/>
      <c r="AE3803" s="631" t="str">
        <f t="shared" si="2927"/>
        <v/>
      </c>
      <c r="AF3803" s="699" t="str">
        <f t="shared" si="2928"/>
        <v/>
      </c>
      <c r="AG3803" s="699"/>
      <c r="AH3803" s="699"/>
      <c r="AI3803" s="512">
        <f>IF(H3803="credit",0,IF(AE3803="free",0,IF(AE3803="me",0,IF(G3803&gt;0,(VLOOKUP(A3803,'Discount Lookup'!J:K,2)*G3803),0))))</f>
        <v>0</v>
      </c>
      <c r="AJ3803" s="513" t="str">
        <f t="shared" ca="1" si="2929"/>
        <v/>
      </c>
      <c r="AK3803" s="700" t="str">
        <f t="shared" si="2930"/>
        <v/>
      </c>
      <c r="AL3803" s="700"/>
      <c r="AM3803" s="505" t="str">
        <f t="shared" si="2931"/>
        <v/>
      </c>
      <c r="AN3803" s="506"/>
      <c r="AO3803" s="507"/>
      <c r="AP3803" s="507"/>
      <c r="AQ3803" s="507"/>
      <c r="AR3803" s="507"/>
      <c r="AS3803" s="507"/>
      <c r="AT3803" s="507"/>
      <c r="AU3803" s="507"/>
      <c r="AV3803" s="225"/>
      <c r="AW3803" s="508"/>
      <c r="AX3803" s="225"/>
      <c r="AY3803" s="225"/>
      <c r="AZ3803" s="225"/>
      <c r="BA3803" s="225"/>
      <c r="BB3803" s="225"/>
      <c r="BC3803" s="56"/>
      <c r="BD3803" s="56"/>
      <c r="BE3803" s="56"/>
      <c r="BF3803" s="107" t="str">
        <f t="shared" si="2932"/>
        <v>https://www.google.com/search?tbm=isch&amp;q=Trautman%20coloration%20holds%20fast%20though%20extreme%20heat%20or%20cold.%20Excellent%20substitute%20for%20Italian%20Cypress.%20Sun%2Fheat%2Fdrought%20tolerant%20</v>
      </c>
      <c r="BG3803" s="107" t="str">
        <f t="shared" si="2933"/>
        <v>T</v>
      </c>
      <c r="BH3803" s="254"/>
      <c r="BI3803" s="254"/>
    </row>
    <row r="3804" spans="1:61" customFormat="1" ht="18" x14ac:dyDescent="0.25">
      <c r="A3804" s="523" t="s">
        <v>4355</v>
      </c>
      <c r="B3804" s="235"/>
      <c r="C3804" s="676"/>
      <c r="D3804" s="255" t="s">
        <v>4356</v>
      </c>
      <c r="E3804" s="236"/>
      <c r="F3804" s="236"/>
      <c r="G3804" s="236"/>
      <c r="H3804" s="582" t="s">
        <v>4357</v>
      </c>
      <c r="I3804" s="498" t="s">
        <v>2594</v>
      </c>
      <c r="J3804" s="237"/>
      <c r="K3804" s="237"/>
      <c r="L3804" s="274"/>
      <c r="M3804" s="668" t="s">
        <v>4975</v>
      </c>
      <c r="N3804" s="681" t="str">
        <f>IF(AND(ISTEXT($A3804), ISERROR($A3804+0)), HYPERLINK($BF3804, "Images"), "")</f>
        <v>Images</v>
      </c>
      <c r="O3804" s="663" t="s">
        <v>4967</v>
      </c>
      <c r="P3804" s="253"/>
      <c r="Q3804" s="238"/>
      <c r="R3804" s="239"/>
      <c r="S3804" s="275" t="s">
        <v>305</v>
      </c>
      <c r="T3804" s="508">
        <f t="shared" si="2921"/>
        <v>0</v>
      </c>
      <c r="U3804" s="225" t="str">
        <f>IF(NOT(ISNUMBER(G3804)), "", VLOOKUP(A3804,'Discount Lookup'!D:E,2,FALSE)*G3804)</f>
        <v/>
      </c>
      <c r="V3804" s="225" t="str">
        <f>IF(NOT(ISNUMBER(G3804)), "", VLOOKUP(A3804,'Discount Lookup'!G:H,2,FALSE)*G3804)</f>
        <v/>
      </c>
      <c r="W3804" s="508">
        <f t="shared" si="2922"/>
        <v>0</v>
      </c>
      <c r="X3804" s="508" t="str">
        <f t="shared" si="2923"/>
        <v>Fuchsia-Pink bloom</v>
      </c>
      <c r="Y3804" s="509" t="b">
        <f t="shared" si="2924"/>
        <v>0</v>
      </c>
      <c r="Z3804" s="510">
        <f t="shared" si="2925"/>
        <v>0</v>
      </c>
      <c r="AA3804" s="511"/>
      <c r="AB3804" s="511" t="str">
        <f t="shared" si="2926"/>
        <v/>
      </c>
      <c r="AC3804" s="698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698"/>
      <c r="AE3804" s="631" t="str">
        <f t="shared" si="2927"/>
        <v/>
      </c>
      <c r="AF3804" s="699" t="str">
        <f t="shared" si="2928"/>
        <v/>
      </c>
      <c r="AG3804" s="699"/>
      <c r="AH3804" s="699"/>
      <c r="AI3804" s="512">
        <f>IF(H3804="credit",0,IF(AE3804="free",0,IF(AE3804="me",0,IF(G3804&gt;0,(VLOOKUP(A3804,'Discount Lookup'!J:K,2)*G3804),0))))</f>
        <v>0</v>
      </c>
      <c r="AJ3804" s="513" t="str">
        <f t="shared" ca="1" si="2929"/>
        <v/>
      </c>
      <c r="AK3804" s="700" t="str">
        <f t="shared" si="2930"/>
        <v/>
      </c>
      <c r="AL3804" s="700"/>
      <c r="AM3804" s="505" t="str">
        <f t="shared" si="2931"/>
        <v/>
      </c>
      <c r="AN3804" s="506"/>
      <c r="AO3804" s="507"/>
      <c r="AP3804" s="507"/>
      <c r="AQ3804" s="507"/>
      <c r="AR3804" s="507"/>
      <c r="AS3804" s="507"/>
      <c r="AT3804" s="507"/>
      <c r="AU3804" s="507"/>
      <c r="AV3804" s="225"/>
      <c r="AW3804" s="508"/>
      <c r="AX3804" s="225"/>
      <c r="AY3804" s="225"/>
      <c r="AZ3804" s="225"/>
      <c r="BA3804" s="225"/>
      <c r="BB3804" s="225"/>
      <c r="BC3804" s="56"/>
      <c r="BD3804" s="56"/>
      <c r="BE3804" s="56"/>
      <c r="BF3804" s="107" t="str">
        <f t="shared" si="2932"/>
        <v>https://www.google.com/search?tbm=isch&amp;q=Traveller%20Weeping%20Redbud%20Cercis%20canadensis%20%27Traveller%27</v>
      </c>
      <c r="BG3804" s="107" t="str">
        <f t="shared" si="2933"/>
        <v>T</v>
      </c>
      <c r="BH3804" s="254"/>
      <c r="BI3804" s="254"/>
    </row>
    <row r="3805" spans="1:61" customFormat="1" ht="15.75" x14ac:dyDescent="0.25">
      <c r="A3805" s="276">
        <v>7</v>
      </c>
      <c r="B3805" s="240" t="s">
        <v>291</v>
      </c>
      <c r="C3805" s="241" t="s">
        <v>4358</v>
      </c>
      <c r="D3805" s="242" t="s">
        <v>292</v>
      </c>
      <c r="E3805" s="243">
        <v>137.94999999999999</v>
      </c>
      <c r="F3805" s="517" t="s">
        <v>293</v>
      </c>
      <c r="G3805" s="232">
        <v>0</v>
      </c>
      <c r="H3805" s="661" t="str">
        <f>IF(G3805=0,"",IF(F3805="Buy",IF(G3805=1,"plant","plants"),IF(F3805&gt;0.01,"warranty","Error")))</f>
        <v/>
      </c>
      <c r="I3805" s="244">
        <f>IF(H3805="free",0,IF(H3805="credit",((E3805*(F3805))*G3805*-1),IF(F3805="Buy",(E3805*G3805),((E3805*(1-F3805))*G3805))))</f>
        <v>0</v>
      </c>
      <c r="J3805" s="244">
        <f>IF(H3805="warranty",0,(I3805*(_xlfn.SINGLE(SalesTaxPercentage))))</f>
        <v>0</v>
      </c>
      <c r="K3805" s="696">
        <f t="shared" ref="K3805" si="2942">I3805+J3805</f>
        <v>0</v>
      </c>
      <c r="L3805" s="696"/>
      <c r="M3805" s="659" t="str">
        <f>IF(AND(G3805&gt;0,E3805=0),"WARNING - no PRICE inserted",IF(H3805="free"," FREE ~ no charge this plant",IF(H3805="credit",CONCATENATE(" -$",ROUND(K3805*(1-T2GDiscount)*-1,2)," CREDIT after discount"),IF(T2GDiscount=0,"",IF(G3805=0,"",IF(F3805="Buy",CONCATENATE(" $",ROUND(K3805*(1-T2GDiscount),2)," with ",(T2GDiscount*100),"% discount"),CONCATENATE(" $",ROUND(K3805*(1-T2GDiscount),2)," with ",((T2GDiscount*100+F3805*100)-(T2GDiscount*100*F3805)),IF(F3805&gt;0,"% discounts",IF(NoWarrantyDiscount&gt;0,"% discounts","% discount")))))))))</f>
        <v/>
      </c>
      <c r="N3805" s="660"/>
      <c r="O3805" s="233"/>
      <c r="P3805" s="233"/>
      <c r="Q3805" s="233"/>
      <c r="R3805" s="233"/>
      <c r="S3805" s="233"/>
      <c r="T3805" s="508">
        <f t="shared" si="2921"/>
        <v>0</v>
      </c>
      <c r="U3805" s="225">
        <f>IF(NOT(ISNUMBER(G3805)), "", VLOOKUP(A3805,'Discount Lookup'!D:E,2,FALSE)*G3805)</f>
        <v>0</v>
      </c>
      <c r="V3805" s="225">
        <f>IF(NOT(ISNUMBER(G3805)), "", VLOOKUP(A3805,'Discount Lookup'!G:H,2,FALSE)*G3805)</f>
        <v>0</v>
      </c>
      <c r="W3805" s="508">
        <f t="shared" si="2922"/>
        <v>0</v>
      </c>
      <c r="X3805" s="508">
        <f t="shared" si="2923"/>
        <v>0</v>
      </c>
      <c r="Y3805" s="509" t="b">
        <f t="shared" si="2924"/>
        <v>0</v>
      </c>
      <c r="Z3805" s="510">
        <f t="shared" si="2925"/>
        <v>0</v>
      </c>
      <c r="AA3805" s="511"/>
      <c r="AB3805" s="511" t="str">
        <f t="shared" si="2926"/>
        <v/>
      </c>
      <c r="AC3805" s="698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698"/>
      <c r="AE3805" s="631" t="str">
        <f t="shared" si="2927"/>
        <v/>
      </c>
      <c r="AF3805" s="699" t="str">
        <f t="shared" si="2928"/>
        <v/>
      </c>
      <c r="AG3805" s="699"/>
      <c r="AH3805" s="699"/>
      <c r="AI3805" s="512">
        <f>IF(H3805="credit",0,IF(AE3805="free",0,IF(AE3805="me",0,IF(G3805&gt;0,(VLOOKUP(A3805,'Discount Lookup'!J:K,2)*G3805),0))))</f>
        <v>0</v>
      </c>
      <c r="AJ3805" s="513" t="str">
        <f t="shared" ca="1" si="2929"/>
        <v/>
      </c>
      <c r="AK3805" s="700" t="str">
        <f t="shared" si="2930"/>
        <v/>
      </c>
      <c r="AL3805" s="700"/>
      <c r="AM3805" s="505" t="str">
        <f t="shared" si="2931"/>
        <v/>
      </c>
      <c r="AN3805" s="506"/>
      <c r="AO3805" s="507"/>
      <c r="AP3805" s="507"/>
      <c r="AQ3805" s="507"/>
      <c r="AR3805" s="507"/>
      <c r="AS3805" s="507"/>
      <c r="AT3805" s="507"/>
      <c r="AU3805" s="507"/>
      <c r="AV3805" s="225"/>
      <c r="AW3805" s="508"/>
      <c r="AX3805" s="225"/>
      <c r="AY3805" s="225"/>
      <c r="AZ3805" s="225"/>
      <c r="BA3805" s="225"/>
      <c r="BB3805" s="225"/>
      <c r="BC3805" s="56"/>
      <c r="BD3805" s="56"/>
      <c r="BE3805" s="56"/>
      <c r="BF3805" s="107" t="str">
        <f t="shared" si="2932"/>
        <v>https://www.google.com/search?tbm=isch&amp;q=7%20G4</v>
      </c>
      <c r="BG3805" s="107" t="str">
        <f t="shared" si="2933"/>
        <v>T</v>
      </c>
      <c r="BH3805" s="254"/>
      <c r="BI3805" s="254"/>
    </row>
    <row r="3806" spans="1:61" customFormat="1" ht="15.75" x14ac:dyDescent="0.25">
      <c r="A3806" s="276">
        <v>10</v>
      </c>
      <c r="B3806" s="240" t="s">
        <v>291</v>
      </c>
      <c r="C3806" s="241" t="s">
        <v>4359</v>
      </c>
      <c r="D3806" s="242" t="s">
        <v>292</v>
      </c>
      <c r="E3806" s="243">
        <v>169.95</v>
      </c>
      <c r="F3806" s="517" t="s">
        <v>293</v>
      </c>
      <c r="G3806" s="232">
        <v>0</v>
      </c>
      <c r="H3806" s="661" t="str">
        <f>IF(G3806=0,"",IF(F3806="Buy",IF(G3806=1,"plant","plants"),IF(F3806&gt;0.01,"warranty","Error")))</f>
        <v/>
      </c>
      <c r="I3806" s="244">
        <f>IF(H3806="free",0,IF(H3806="credit",((E3806*(F3806))*G3806*-1),IF(F3806="Buy",(E3806*G3806),((E3806*(1-F3806))*G3806))))</f>
        <v>0</v>
      </c>
      <c r="J3806" s="244">
        <f>IF(H3806="warranty",0,(I3806*(_xlfn.SINGLE(SalesTaxPercentage))))</f>
        <v>0</v>
      </c>
      <c r="K3806" s="696">
        <f t="shared" ref="K3806" si="2943">I3806+J3806</f>
        <v>0</v>
      </c>
      <c r="L3806" s="696"/>
      <c r="M3806" s="659" t="str">
        <f>IF(AND(G3806&gt;0,E3806=0),"WARNING - no PRICE inserted",IF(H3806="free"," FREE ~ no charge this plant",IF(H3806="credit",CONCATENATE(" -$",ROUND(K3806*(1-T2GDiscount)*-1,2)," CREDIT after discount"),IF(T2GDiscount=0,"",IF(G3806=0,"",IF(F3806="Buy",CONCATENATE(" $",ROUND(K3806*(1-T2GDiscount),2)," with ",(T2GDiscount*100),"% discount"),CONCATENATE(" $",ROUND(K3806*(1-T2GDiscount),2)," with ",((T2GDiscount*100+F3806*100)-(T2GDiscount*100*F3806)),IF(F3806&gt;0,"% discounts",IF(NoWarrantyDiscount&gt;0,"% discounts","% discount")))))))))</f>
        <v/>
      </c>
      <c r="N3806" s="660"/>
      <c r="O3806" s="233"/>
      <c r="P3806" s="233"/>
      <c r="Q3806" s="233"/>
      <c r="R3806" s="233"/>
      <c r="S3806" s="233"/>
      <c r="T3806" s="508">
        <f t="shared" si="2921"/>
        <v>0</v>
      </c>
      <c r="U3806" s="225">
        <f>IF(NOT(ISNUMBER(G3806)), "", VLOOKUP(A3806,'Discount Lookup'!D:E,2,FALSE)*G3806)</f>
        <v>0</v>
      </c>
      <c r="V3806" s="225">
        <f>IF(NOT(ISNUMBER(G3806)), "", VLOOKUP(A3806,'Discount Lookup'!G:H,2,FALSE)*G3806)</f>
        <v>0</v>
      </c>
      <c r="W3806" s="508">
        <f t="shared" si="2922"/>
        <v>0</v>
      </c>
      <c r="X3806" s="508">
        <f t="shared" si="2923"/>
        <v>0</v>
      </c>
      <c r="Y3806" s="509" t="b">
        <f t="shared" si="2924"/>
        <v>0</v>
      </c>
      <c r="Z3806" s="510">
        <f t="shared" si="2925"/>
        <v>0</v>
      </c>
      <c r="AA3806" s="511"/>
      <c r="AB3806" s="511" t="str">
        <f t="shared" si="2926"/>
        <v/>
      </c>
      <c r="AC3806" s="698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698"/>
      <c r="AE3806" s="631" t="str">
        <f t="shared" si="2927"/>
        <v/>
      </c>
      <c r="AF3806" s="699" t="str">
        <f t="shared" si="2928"/>
        <v/>
      </c>
      <c r="AG3806" s="699"/>
      <c r="AH3806" s="699"/>
      <c r="AI3806" s="512">
        <f>IF(H3806="credit",0,IF(AE3806="free",0,IF(AE3806="me",0,IF(G3806&gt;0,(VLOOKUP(A3806,'Discount Lookup'!J:K,2)*G3806),0))))</f>
        <v>0</v>
      </c>
      <c r="AJ3806" s="513" t="str">
        <f t="shared" ca="1" si="2929"/>
        <v/>
      </c>
      <c r="AK3806" s="700" t="str">
        <f t="shared" si="2930"/>
        <v/>
      </c>
      <c r="AL3806" s="700"/>
      <c r="AM3806" s="505" t="str">
        <f t="shared" si="2931"/>
        <v/>
      </c>
      <c r="AN3806" s="506"/>
      <c r="AO3806" s="507"/>
      <c r="AP3806" s="507"/>
      <c r="AQ3806" s="507"/>
      <c r="AR3806" s="507"/>
      <c r="AS3806" s="507"/>
      <c r="AT3806" s="507"/>
      <c r="AU3806" s="507"/>
      <c r="AV3806" s="225"/>
      <c r="AW3806" s="508"/>
      <c r="AX3806" s="225"/>
      <c r="AY3806" s="225"/>
      <c r="AZ3806" s="225"/>
      <c r="BA3806" s="225"/>
      <c r="BB3806" s="225"/>
      <c r="BC3806" s="56"/>
      <c r="BD3806" s="56"/>
      <c r="BE3806" s="56"/>
      <c r="BF3806" s="107" t="str">
        <f t="shared" si="2932"/>
        <v>https://www.google.com/search?tbm=isch&amp;q=10%20G4</v>
      </c>
      <c r="BG3806" s="107" t="str">
        <f t="shared" si="2933"/>
        <v>T</v>
      </c>
      <c r="BH3806" s="254"/>
      <c r="BI3806" s="254"/>
    </row>
    <row r="3807" spans="1:61" customFormat="1" ht="17.25" thickBot="1" x14ac:dyDescent="0.3">
      <c r="A3807" s="524" t="s">
        <v>4456</v>
      </c>
      <c r="B3807" s="245"/>
      <c r="C3807" s="677"/>
      <c r="D3807" s="499"/>
      <c r="E3807" s="499"/>
      <c r="F3807" s="500"/>
      <c r="G3807" s="501"/>
      <c r="H3807" s="502"/>
      <c r="I3807" s="246"/>
      <c r="J3807" s="247"/>
      <c r="K3807" s="503"/>
      <c r="L3807" s="544"/>
      <c r="M3807" s="544"/>
      <c r="N3807" s="500"/>
      <c r="O3807" s="500"/>
      <c r="P3807" s="500"/>
      <c r="Q3807" s="500"/>
      <c r="R3807" s="500"/>
      <c r="S3807" s="669" t="s">
        <v>4996</v>
      </c>
      <c r="T3807" s="508">
        <f t="shared" si="2921"/>
        <v>0</v>
      </c>
      <c r="U3807" s="225" t="str">
        <f>IF(NOT(ISNUMBER(G3807)), "", VLOOKUP(A3807,'Discount Lookup'!D:E,2,FALSE)*G3807)</f>
        <v/>
      </c>
      <c r="V3807" s="225" t="str">
        <f>IF(NOT(ISNUMBER(G3807)), "", VLOOKUP(A3807,'Discount Lookup'!G:H,2,FALSE)*G3807)</f>
        <v/>
      </c>
      <c r="W3807" s="508">
        <f t="shared" si="2922"/>
        <v>0</v>
      </c>
      <c r="X3807" s="508">
        <f t="shared" si="2923"/>
        <v>0</v>
      </c>
      <c r="Y3807" s="509" t="b">
        <f t="shared" si="2924"/>
        <v>0</v>
      </c>
      <c r="Z3807" s="510">
        <f t="shared" si="2925"/>
        <v>0</v>
      </c>
      <c r="AA3807" s="511"/>
      <c r="AB3807" s="511" t="str">
        <f t="shared" si="2926"/>
        <v/>
      </c>
      <c r="AC3807" s="698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698"/>
      <c r="AE3807" s="631" t="str">
        <f t="shared" si="2927"/>
        <v/>
      </c>
      <c r="AF3807" s="699" t="str">
        <f t="shared" si="2928"/>
        <v/>
      </c>
      <c r="AG3807" s="699"/>
      <c r="AH3807" s="699"/>
      <c r="AI3807" s="512">
        <f>IF(H3807="credit",0,IF(AE3807="free",0,IF(AE3807="me",0,IF(G3807&gt;0,(VLOOKUP(A3807,'Discount Lookup'!J:K,2)*G3807),0))))</f>
        <v>0</v>
      </c>
      <c r="AJ3807" s="513" t="str">
        <f t="shared" ca="1" si="2929"/>
        <v/>
      </c>
      <c r="AK3807" s="700" t="str">
        <f t="shared" si="2930"/>
        <v/>
      </c>
      <c r="AL3807" s="700"/>
      <c r="AM3807" s="505" t="str">
        <f t="shared" si="2931"/>
        <v/>
      </c>
      <c r="AN3807" s="506"/>
      <c r="AO3807" s="507"/>
      <c r="AP3807" s="507"/>
      <c r="AQ3807" s="507"/>
      <c r="AR3807" s="507"/>
      <c r="AS3807" s="507"/>
      <c r="AT3807" s="507"/>
      <c r="AU3807" s="507"/>
      <c r="AV3807" s="225"/>
      <c r="AW3807" s="508"/>
      <c r="AX3807" s="225"/>
      <c r="AY3807" s="225"/>
      <c r="AZ3807" s="225"/>
      <c r="BA3807" s="225"/>
      <c r="BB3807" s="225"/>
      <c r="BC3807" s="56"/>
      <c r="BD3807" s="56"/>
      <c r="BE3807" s="56"/>
      <c r="BF3807" s="107" t="str">
        <f t="shared" si="2932"/>
        <v>https://www.google.com/search?tbm=isch&amp;q=Traveller%20has%20zig-zag%20branches%20and%20heart-shaped%20leaves%20that%20emerge%20Coppery%20and%20finish%20with%20Yellow%20to%20Copppery-Orange%20Fall%20color%20</v>
      </c>
      <c r="BG3807" s="107" t="str">
        <f t="shared" si="2933"/>
        <v>T</v>
      </c>
      <c r="BH3807" s="254"/>
      <c r="BI3807" s="254"/>
    </row>
    <row r="3808" spans="1:61" customFormat="1" ht="18" x14ac:dyDescent="0.25">
      <c r="A3808" s="523" t="s">
        <v>1921</v>
      </c>
      <c r="B3808" s="235"/>
      <c r="C3808" s="676"/>
      <c r="D3808" s="255" t="s">
        <v>1922</v>
      </c>
      <c r="E3808" s="236"/>
      <c r="F3808" s="236"/>
      <c r="G3808" s="236"/>
      <c r="H3808" s="582" t="s">
        <v>2230</v>
      </c>
      <c r="I3808" s="498" t="s">
        <v>2257</v>
      </c>
      <c r="J3808" s="237"/>
      <c r="K3808" s="237"/>
      <c r="L3808" s="274"/>
      <c r="M3808" s="668" t="s">
        <v>4975</v>
      </c>
      <c r="N3808" s="681" t="str">
        <f>IF(AND(ISTEXT($A3808), ISERROR($A3808+0)), HYPERLINK($BF3808, "Images"), "")</f>
        <v>Images</v>
      </c>
      <c r="O3808" s="663" t="s">
        <v>4967</v>
      </c>
      <c r="P3808" s="253"/>
      <c r="Q3808" s="238"/>
      <c r="R3808" s="239"/>
      <c r="S3808" s="275"/>
      <c r="T3808" s="508">
        <f t="shared" si="2921"/>
        <v>0</v>
      </c>
      <c r="U3808" s="225" t="str">
        <f>IF(NOT(ISNUMBER(G3808)), "", VLOOKUP(A3808,'Discount Lookup'!D:E,2,FALSE)*G3808)</f>
        <v/>
      </c>
      <c r="V3808" s="225" t="str">
        <f>IF(NOT(ISNUMBER(G3808)), "", VLOOKUP(A3808,'Discount Lookup'!G:H,2,FALSE)*G3808)</f>
        <v/>
      </c>
      <c r="W3808" s="508">
        <f t="shared" si="2922"/>
        <v>0</v>
      </c>
      <c r="X3808" s="508" t="str">
        <f t="shared" si="2923"/>
        <v>Glossy Green foliage</v>
      </c>
      <c r="Y3808" s="509" t="b">
        <f t="shared" si="2924"/>
        <v>0</v>
      </c>
      <c r="Z3808" s="510">
        <f t="shared" si="2925"/>
        <v>0</v>
      </c>
      <c r="AA3808" s="511"/>
      <c r="AB3808" s="511" t="str">
        <f t="shared" si="2926"/>
        <v/>
      </c>
      <c r="AC3808" s="698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698"/>
      <c r="AE3808" s="631" t="str">
        <f t="shared" si="2927"/>
        <v/>
      </c>
      <c r="AF3808" s="699" t="str">
        <f t="shared" si="2928"/>
        <v/>
      </c>
      <c r="AG3808" s="699"/>
      <c r="AH3808" s="699"/>
      <c r="AI3808" s="512">
        <f>IF(H3808="credit",0,IF(AE3808="free",0,IF(AE3808="me",0,IF(G3808&gt;0,(VLOOKUP(A3808,'Discount Lookup'!J:K,2)*G3808),0))))</f>
        <v>0</v>
      </c>
      <c r="AJ3808" s="513" t="str">
        <f t="shared" ca="1" si="2929"/>
        <v/>
      </c>
      <c r="AK3808" s="700" t="str">
        <f t="shared" si="2930"/>
        <v/>
      </c>
      <c r="AL3808" s="700"/>
      <c r="AM3808" s="505" t="str">
        <f t="shared" si="2931"/>
        <v/>
      </c>
      <c r="AN3808" s="506"/>
      <c r="AO3808" s="507"/>
      <c r="AP3808" s="507"/>
      <c r="AQ3808" s="507"/>
      <c r="AR3808" s="507"/>
      <c r="AS3808" s="507"/>
      <c r="AT3808" s="507"/>
      <c r="AU3808" s="507"/>
      <c r="AV3808" s="225"/>
      <c r="AW3808" s="508"/>
      <c r="AX3808" s="225"/>
      <c r="AY3808" s="225"/>
      <c r="AZ3808" s="225"/>
      <c r="BA3808" s="225"/>
      <c r="BB3808" s="225"/>
      <c r="BC3808" s="56"/>
      <c r="BD3808" s="56"/>
      <c r="BE3808" s="56"/>
      <c r="BF3808" s="107" t="str">
        <f t="shared" si="2932"/>
        <v>https://www.google.com/search?tbm=isch&amp;q=Trident%20Red%20Maple%20Acer%20buergerianum</v>
      </c>
      <c r="BG3808" s="107" t="str">
        <f t="shared" si="2933"/>
        <v>T</v>
      </c>
      <c r="BH3808" s="254"/>
      <c r="BI3808" s="254"/>
    </row>
    <row r="3809" spans="1:61" customFormat="1" ht="15.75" x14ac:dyDescent="0.25">
      <c r="A3809" s="276">
        <v>15</v>
      </c>
      <c r="B3809" s="240" t="s">
        <v>291</v>
      </c>
      <c r="C3809" s="241" t="s">
        <v>3823</v>
      </c>
      <c r="D3809" s="242" t="s">
        <v>292</v>
      </c>
      <c r="E3809" s="243">
        <v>192.95</v>
      </c>
      <c r="F3809" s="517" t="s">
        <v>293</v>
      </c>
      <c r="G3809" s="232">
        <v>0</v>
      </c>
      <c r="H3809" s="661" t="str">
        <f>IF(G3809=0,"",IF(F3809="Buy",IF(G3809=1,"plant","plants"),IF(F3809&gt;0.01,"warranty","Error")))</f>
        <v/>
      </c>
      <c r="I3809" s="244">
        <f>IF(H3809="free",0,IF(H3809="credit",((E3809*(F3809))*G3809*-1),IF(F3809="Buy",(E3809*G3809),((E3809*(1-F3809))*G3809))))</f>
        <v>0</v>
      </c>
      <c r="J3809" s="244">
        <f>IF(H3809="warranty",0,(I3809*(_xlfn.SINGLE(SalesTaxPercentage))))</f>
        <v>0</v>
      </c>
      <c r="K3809" s="696">
        <f t="shared" ref="K3809" si="2944">I3809+J3809</f>
        <v>0</v>
      </c>
      <c r="L3809" s="696"/>
      <c r="M3809" s="659" t="str">
        <f>IF(AND(G3809&gt;0,E3809=0),"WARNING - no PRICE inserted",IF(H3809="free"," FREE ~ no charge this plant",IF(H3809="credit",CONCATENATE(" -$",ROUND(K3809*(1-T2GDiscount)*-1,2)," CREDIT after discount"),IF(T2GDiscount=0,"",IF(G3809=0,"",IF(F3809="Buy",CONCATENATE(" $",ROUND(K3809*(1-T2GDiscount),2)," with ",(T2GDiscount*100),"% discount"),CONCATENATE(" $",ROUND(K3809*(1-T2GDiscount),2)," with ",((T2GDiscount*100+F3809*100)-(T2GDiscount*100*F3809)),IF(F3809&gt;0,"% discounts",IF(NoWarrantyDiscount&gt;0,"% discounts","% discount")))))))))</f>
        <v/>
      </c>
      <c r="N3809" s="660"/>
      <c r="O3809" s="233"/>
      <c r="P3809" s="233"/>
      <c r="Q3809" s="233"/>
      <c r="R3809" s="233"/>
      <c r="S3809" s="233"/>
      <c r="T3809" s="508">
        <f t="shared" si="2921"/>
        <v>0</v>
      </c>
      <c r="U3809" s="225">
        <f>IF(NOT(ISNUMBER(G3809)), "", VLOOKUP(A3809,'Discount Lookup'!D:E,2,FALSE)*G3809)</f>
        <v>0</v>
      </c>
      <c r="V3809" s="225">
        <f>IF(NOT(ISNUMBER(G3809)), "", VLOOKUP(A3809,'Discount Lookup'!G:H,2,FALSE)*G3809)</f>
        <v>0</v>
      </c>
      <c r="W3809" s="508">
        <f t="shared" si="2922"/>
        <v>0</v>
      </c>
      <c r="X3809" s="508">
        <f t="shared" si="2923"/>
        <v>0</v>
      </c>
      <c r="Y3809" s="509" t="b">
        <f t="shared" si="2924"/>
        <v>0</v>
      </c>
      <c r="Z3809" s="510">
        <f t="shared" si="2925"/>
        <v>0</v>
      </c>
      <c r="AA3809" s="511"/>
      <c r="AB3809" s="511" t="str">
        <f t="shared" si="2926"/>
        <v/>
      </c>
      <c r="AC3809" s="698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698"/>
      <c r="AE3809" s="631" t="str">
        <f t="shared" si="2927"/>
        <v/>
      </c>
      <c r="AF3809" s="699" t="str">
        <f t="shared" si="2928"/>
        <v/>
      </c>
      <c r="AG3809" s="699"/>
      <c r="AH3809" s="699"/>
      <c r="AI3809" s="512">
        <f>IF(H3809="credit",0,IF(AE3809="free",0,IF(AE3809="me",0,IF(G3809&gt;0,(VLOOKUP(A3809,'Discount Lookup'!J:K,2)*G3809),0))))</f>
        <v>0</v>
      </c>
      <c r="AJ3809" s="513" t="str">
        <f t="shared" ca="1" si="2929"/>
        <v/>
      </c>
      <c r="AK3809" s="700" t="str">
        <f t="shared" si="2930"/>
        <v/>
      </c>
      <c r="AL3809" s="700"/>
      <c r="AM3809" s="505" t="str">
        <f t="shared" si="2931"/>
        <v/>
      </c>
      <c r="AN3809" s="506"/>
      <c r="AO3809" s="507"/>
      <c r="AP3809" s="507"/>
      <c r="AQ3809" s="507"/>
      <c r="AR3809" s="507"/>
      <c r="AS3809" s="507"/>
      <c r="AT3809" s="507"/>
      <c r="AU3809" s="507"/>
      <c r="AV3809" s="225"/>
      <c r="AW3809" s="508"/>
      <c r="AX3809" s="225"/>
      <c r="AY3809" s="225"/>
      <c r="AZ3809" s="225"/>
      <c r="BA3809" s="225"/>
      <c r="BB3809" s="225"/>
      <c r="BC3809" s="56"/>
      <c r="BD3809" s="56"/>
      <c r="BE3809" s="56"/>
      <c r="BF3809" s="107" t="str">
        <f t="shared" si="2932"/>
        <v>https://www.google.com/search?tbm=isch&amp;q=15%20G4</v>
      </c>
      <c r="BG3809" s="107" t="str">
        <f t="shared" si="2933"/>
        <v>T</v>
      </c>
      <c r="BH3809" s="254"/>
      <c r="BI3809" s="254"/>
    </row>
    <row r="3810" spans="1:61" customFormat="1" ht="17.25" thickBot="1" x14ac:dyDescent="0.3">
      <c r="A3810" s="524" t="s">
        <v>2258</v>
      </c>
      <c r="B3810" s="245"/>
      <c r="C3810" s="677"/>
      <c r="D3810" s="499"/>
      <c r="E3810" s="499"/>
      <c r="F3810" s="500"/>
      <c r="G3810" s="501"/>
      <c r="H3810" s="502"/>
      <c r="I3810" s="246"/>
      <c r="J3810" s="247"/>
      <c r="K3810" s="503"/>
      <c r="L3810" s="544"/>
      <c r="M3810" s="544"/>
      <c r="N3810" s="500"/>
      <c r="O3810" s="500"/>
      <c r="P3810" s="500"/>
      <c r="Q3810" s="500"/>
      <c r="R3810" s="500"/>
      <c r="S3810" s="278"/>
      <c r="T3810" s="508">
        <f t="shared" si="2921"/>
        <v>0</v>
      </c>
      <c r="U3810" s="225" t="str">
        <f>IF(NOT(ISNUMBER(G3810)), "", VLOOKUP(A3810,'Discount Lookup'!D:E,2,FALSE)*G3810)</f>
        <v/>
      </c>
      <c r="V3810" s="225" t="str">
        <f>IF(NOT(ISNUMBER(G3810)), "", VLOOKUP(A3810,'Discount Lookup'!G:H,2,FALSE)*G3810)</f>
        <v/>
      </c>
      <c r="W3810" s="508">
        <f t="shared" si="2922"/>
        <v>0</v>
      </c>
      <c r="X3810" s="508">
        <f t="shared" si="2923"/>
        <v>0</v>
      </c>
      <c r="Y3810" s="509" t="b">
        <f t="shared" si="2924"/>
        <v>0</v>
      </c>
      <c r="Z3810" s="510">
        <f t="shared" si="2925"/>
        <v>0</v>
      </c>
      <c r="AA3810" s="511"/>
      <c r="AB3810" s="511" t="str">
        <f t="shared" si="2926"/>
        <v/>
      </c>
      <c r="AC3810" s="698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698"/>
      <c r="AE3810" s="631" t="str">
        <f t="shared" si="2927"/>
        <v/>
      </c>
      <c r="AF3810" s="699" t="str">
        <f t="shared" si="2928"/>
        <v/>
      </c>
      <c r="AG3810" s="699"/>
      <c r="AH3810" s="699"/>
      <c r="AI3810" s="512">
        <f>IF(H3810="credit",0,IF(AE3810="free",0,IF(AE3810="me",0,IF(G3810&gt;0,(VLOOKUP(A3810,'Discount Lookup'!J:K,2)*G3810),0))))</f>
        <v>0</v>
      </c>
      <c r="AJ3810" s="513" t="str">
        <f t="shared" ca="1" si="2929"/>
        <v/>
      </c>
      <c r="AK3810" s="700" t="str">
        <f t="shared" si="2930"/>
        <v/>
      </c>
      <c r="AL3810" s="700"/>
      <c r="AM3810" s="505" t="str">
        <f t="shared" si="2931"/>
        <v/>
      </c>
      <c r="AN3810" s="506"/>
      <c r="AO3810" s="507"/>
      <c r="AP3810" s="507"/>
      <c r="AQ3810" s="507"/>
      <c r="AR3810" s="507"/>
      <c r="AS3810" s="507"/>
      <c r="AT3810" s="507"/>
      <c r="AU3810" s="507"/>
      <c r="AV3810" s="225"/>
      <c r="AW3810" s="508"/>
      <c r="AX3810" s="225"/>
      <c r="AY3810" s="225"/>
      <c r="AZ3810" s="225"/>
      <c r="BA3810" s="225"/>
      <c r="BB3810" s="225"/>
      <c r="BC3810" s="56"/>
      <c r="BD3810" s="56"/>
      <c r="BE3810" s="56"/>
      <c r="BF3810" s="107" t="str">
        <f t="shared" si="2932"/>
        <v>https://www.google.com/search?tbm=isch&amp;q=Trident%20named%20for%20the%20shape%20of%20it%27s%20leaves%2C%20with%203%20forward-facing%20lobes.%20Exfoliating%20bark.%20Vibrant%20Red-Orange-Yellow%20fall%20foliage%20</v>
      </c>
      <c r="BG3810" s="107" t="str">
        <f t="shared" si="2933"/>
        <v>T</v>
      </c>
      <c r="BH3810" s="254"/>
      <c r="BI3810" s="254"/>
    </row>
    <row r="3811" spans="1:61" customFormat="1" ht="18" x14ac:dyDescent="0.25">
      <c r="A3811" s="523" t="s">
        <v>1923</v>
      </c>
      <c r="B3811" s="235"/>
      <c r="C3811" s="676"/>
      <c r="D3811" s="255" t="s">
        <v>1924</v>
      </c>
      <c r="E3811" s="236"/>
      <c r="F3811" s="236"/>
      <c r="G3811" s="236"/>
      <c r="H3811" s="582" t="s">
        <v>394</v>
      </c>
      <c r="I3811" s="498" t="s">
        <v>2109</v>
      </c>
      <c r="J3811" s="237"/>
      <c r="K3811" s="237"/>
      <c r="L3811" s="274"/>
      <c r="M3811" s="668" t="s">
        <v>4962</v>
      </c>
      <c r="N3811" s="681" t="str">
        <f>IF(AND(ISTEXT($A3811), ISERROR($A3811+0)), HYPERLINK($BF3811, "Images"), "")</f>
        <v>Images</v>
      </c>
      <c r="O3811" s="663" t="s">
        <v>4967</v>
      </c>
      <c r="P3811" s="253"/>
      <c r="Q3811" s="238"/>
      <c r="R3811" s="239"/>
      <c r="S3811" s="275"/>
      <c r="T3811" s="508">
        <f t="shared" si="2921"/>
        <v>0</v>
      </c>
      <c r="U3811" s="225" t="str">
        <f>IF(NOT(ISNUMBER(G3811)), "", VLOOKUP(A3811,'Discount Lookup'!D:E,2,FALSE)*G3811)</f>
        <v/>
      </c>
      <c r="V3811" s="225" t="str">
        <f>IF(NOT(ISNUMBER(G3811)), "", VLOOKUP(A3811,'Discount Lookup'!G:H,2,FALSE)*G3811)</f>
        <v/>
      </c>
      <c r="W3811" s="508">
        <f t="shared" si="2922"/>
        <v>0</v>
      </c>
      <c r="X3811" s="508" t="str">
        <f t="shared" si="2923"/>
        <v>Green foliage</v>
      </c>
      <c r="Y3811" s="509" t="b">
        <f t="shared" si="2924"/>
        <v>0</v>
      </c>
      <c r="Z3811" s="510">
        <f t="shared" si="2925"/>
        <v>0</v>
      </c>
      <c r="AA3811" s="511"/>
      <c r="AB3811" s="511" t="str">
        <f t="shared" si="2926"/>
        <v/>
      </c>
      <c r="AC3811" s="698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698"/>
      <c r="AE3811" s="631" t="str">
        <f t="shared" si="2927"/>
        <v/>
      </c>
      <c r="AF3811" s="699" t="str">
        <f t="shared" si="2928"/>
        <v/>
      </c>
      <c r="AG3811" s="699"/>
      <c r="AH3811" s="699"/>
      <c r="AI3811" s="512">
        <f>IF(H3811="credit",0,IF(AE3811="free",0,IF(AE3811="me",0,IF(G3811&gt;0,(VLOOKUP(A3811,'Discount Lookup'!J:K,2)*G3811),0))))</f>
        <v>0</v>
      </c>
      <c r="AJ3811" s="513" t="str">
        <f t="shared" ca="1" si="2929"/>
        <v/>
      </c>
      <c r="AK3811" s="700" t="str">
        <f t="shared" si="2930"/>
        <v/>
      </c>
      <c r="AL3811" s="700"/>
      <c r="AM3811" s="505" t="str">
        <f t="shared" si="2931"/>
        <v/>
      </c>
      <c r="AN3811" s="506"/>
      <c r="AO3811" s="507"/>
      <c r="AP3811" s="507"/>
      <c r="AQ3811" s="507"/>
      <c r="AR3811" s="507"/>
      <c r="AS3811" s="507"/>
      <c r="AT3811" s="507"/>
      <c r="AU3811" s="507"/>
      <c r="AV3811" s="225"/>
      <c r="AW3811" s="508"/>
      <c r="AX3811" s="225"/>
      <c r="AY3811" s="225"/>
      <c r="AZ3811" s="225"/>
      <c r="BA3811" s="225"/>
      <c r="BB3811" s="225"/>
      <c r="BC3811" s="56"/>
      <c r="BD3811" s="56"/>
      <c r="BE3811" s="56"/>
      <c r="BF3811" s="107" t="str">
        <f t="shared" si="2932"/>
        <v>https://www.google.com/search?tbm=isch&amp;q=Troll%20Ginkgo%20Ginkgo%20biloba%20%27Troll%27</v>
      </c>
      <c r="BG3811" s="107" t="str">
        <f t="shared" si="2933"/>
        <v>T</v>
      </c>
      <c r="BH3811" s="254"/>
      <c r="BI3811" s="254"/>
    </row>
    <row r="3812" spans="1:61" customFormat="1" ht="15.75" x14ac:dyDescent="0.25">
      <c r="A3812" s="276">
        <v>7</v>
      </c>
      <c r="B3812" s="240" t="s">
        <v>291</v>
      </c>
      <c r="C3812" s="241" t="s">
        <v>3303</v>
      </c>
      <c r="D3812" s="242" t="s">
        <v>292</v>
      </c>
      <c r="E3812" s="243">
        <v>169.95</v>
      </c>
      <c r="F3812" s="517" t="s">
        <v>293</v>
      </c>
      <c r="G3812" s="232">
        <v>0</v>
      </c>
      <c r="H3812" s="661" t="str">
        <f>IF(G3812=0,"",IF(F3812="Buy",IF(G3812=1,"plant","plants"),IF(F3812&gt;0.01,"warranty","Error")))</f>
        <v/>
      </c>
      <c r="I3812" s="244">
        <f>IF(H3812="free",0,IF(H3812="credit",((E3812*(F3812))*G3812*-1),IF(F3812="Buy",(E3812*G3812),((E3812*(1-F3812))*G3812))))</f>
        <v>0</v>
      </c>
      <c r="J3812" s="244">
        <f>IF(H3812="warranty",0,(I3812*(_xlfn.SINGLE(SalesTaxPercentage))))</f>
        <v>0</v>
      </c>
      <c r="K3812" s="696">
        <f t="shared" ref="K3812" si="2945">I3812+J3812</f>
        <v>0</v>
      </c>
      <c r="L3812" s="696"/>
      <c r="M3812" s="659" t="str">
        <f>IF(AND(G3812&gt;0,E3812=0),"WARNING - no PRICE inserted",IF(H3812="free"," FREE ~ no charge this plant",IF(H3812="credit",CONCATENATE(" -$",ROUND(K3812*(1-T2GDiscount)*-1,2)," CREDIT after discount"),IF(T2GDiscount=0,"",IF(G3812=0,"",IF(F3812="Buy",CONCATENATE(" $",ROUND(K3812*(1-T2GDiscount),2)," with ",(T2GDiscount*100),"% discount"),CONCATENATE(" $",ROUND(K3812*(1-T2GDiscount),2)," with ",((T2GDiscount*100+F3812*100)-(T2GDiscount*100*F3812)),IF(F3812&gt;0,"% discounts",IF(NoWarrantyDiscount&gt;0,"% discounts","% discount")))))))))</f>
        <v/>
      </c>
      <c r="N3812" s="660"/>
      <c r="O3812" s="233"/>
      <c r="P3812" s="233"/>
      <c r="Q3812" s="233"/>
      <c r="R3812" s="233"/>
      <c r="S3812" s="233"/>
      <c r="T3812" s="508">
        <f t="shared" si="2921"/>
        <v>0</v>
      </c>
      <c r="U3812" s="225">
        <f>IF(NOT(ISNUMBER(G3812)), "", VLOOKUP(A3812,'Discount Lookup'!D:E,2,FALSE)*G3812)</f>
        <v>0</v>
      </c>
      <c r="V3812" s="225">
        <f>IF(NOT(ISNUMBER(G3812)), "", VLOOKUP(A3812,'Discount Lookup'!G:H,2,FALSE)*G3812)</f>
        <v>0</v>
      </c>
      <c r="W3812" s="508">
        <f t="shared" si="2922"/>
        <v>0</v>
      </c>
      <c r="X3812" s="508">
        <f t="shared" si="2923"/>
        <v>0</v>
      </c>
      <c r="Y3812" s="509" t="b">
        <f t="shared" si="2924"/>
        <v>0</v>
      </c>
      <c r="Z3812" s="510">
        <f t="shared" si="2925"/>
        <v>0</v>
      </c>
      <c r="AA3812" s="511"/>
      <c r="AB3812" s="511" t="str">
        <f t="shared" si="2926"/>
        <v/>
      </c>
      <c r="AC3812" s="698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698"/>
      <c r="AE3812" s="631" t="str">
        <f t="shared" si="2927"/>
        <v/>
      </c>
      <c r="AF3812" s="699" t="str">
        <f t="shared" si="2928"/>
        <v/>
      </c>
      <c r="AG3812" s="699"/>
      <c r="AH3812" s="699"/>
      <c r="AI3812" s="512">
        <f>IF(H3812="credit",0,IF(AE3812="free",0,IF(AE3812="me",0,IF(G3812&gt;0,(VLOOKUP(A3812,'Discount Lookup'!J:K,2)*G3812),0))))</f>
        <v>0</v>
      </c>
      <c r="AJ3812" s="513" t="str">
        <f t="shared" ca="1" si="2929"/>
        <v/>
      </c>
      <c r="AK3812" s="700" t="str">
        <f t="shared" si="2930"/>
        <v/>
      </c>
      <c r="AL3812" s="700"/>
      <c r="AM3812" s="505" t="str">
        <f t="shared" si="2931"/>
        <v/>
      </c>
      <c r="AN3812" s="506"/>
      <c r="AO3812" s="507"/>
      <c r="AP3812" s="507"/>
      <c r="AQ3812" s="507"/>
      <c r="AR3812" s="507"/>
      <c r="AS3812" s="507"/>
      <c r="AT3812" s="507"/>
      <c r="AU3812" s="507"/>
      <c r="AV3812" s="225"/>
      <c r="AW3812" s="508"/>
      <c r="AX3812" s="225"/>
      <c r="AY3812" s="225"/>
      <c r="AZ3812" s="225"/>
      <c r="BA3812" s="225"/>
      <c r="BB3812" s="225"/>
      <c r="BC3812" s="56"/>
      <c r="BD3812" s="56"/>
      <c r="BE3812" s="56"/>
      <c r="BF3812" s="107" t="str">
        <f t="shared" si="2932"/>
        <v>https://www.google.com/search?tbm=isch&amp;q=7%20G4</v>
      </c>
      <c r="BG3812" s="107" t="str">
        <f t="shared" si="2933"/>
        <v>T</v>
      </c>
      <c r="BH3812" s="254"/>
      <c r="BI3812" s="254"/>
    </row>
    <row r="3813" spans="1:61" customFormat="1" ht="17.25" thickBot="1" x14ac:dyDescent="0.3">
      <c r="A3813" s="524" t="s">
        <v>2311</v>
      </c>
      <c r="B3813" s="245"/>
      <c r="C3813" s="677"/>
      <c r="D3813" s="499"/>
      <c r="E3813" s="499"/>
      <c r="F3813" s="500"/>
      <c r="G3813" s="501"/>
      <c r="H3813" s="502"/>
      <c r="I3813" s="246"/>
      <c r="J3813" s="247"/>
      <c r="K3813" s="503"/>
      <c r="L3813" s="544"/>
      <c r="M3813" s="544"/>
      <c r="N3813" s="500"/>
      <c r="O3813" s="500"/>
      <c r="P3813" s="500"/>
      <c r="Q3813" s="500"/>
      <c r="R3813" s="500"/>
      <c r="S3813" s="278"/>
      <c r="T3813" s="508">
        <f t="shared" si="2921"/>
        <v>0</v>
      </c>
      <c r="U3813" s="225" t="str">
        <f>IF(NOT(ISNUMBER(G3813)), "", VLOOKUP(A3813,'Discount Lookup'!D:E,2,FALSE)*G3813)</f>
        <v/>
      </c>
      <c r="V3813" s="225" t="str">
        <f>IF(NOT(ISNUMBER(G3813)), "", VLOOKUP(A3813,'Discount Lookup'!G:H,2,FALSE)*G3813)</f>
        <v/>
      </c>
      <c r="W3813" s="508">
        <f t="shared" si="2922"/>
        <v>0</v>
      </c>
      <c r="X3813" s="508">
        <f t="shared" si="2923"/>
        <v>0</v>
      </c>
      <c r="Y3813" s="509" t="b">
        <f t="shared" si="2924"/>
        <v>0</v>
      </c>
      <c r="Z3813" s="510">
        <f t="shared" si="2925"/>
        <v>0</v>
      </c>
      <c r="AA3813" s="511"/>
      <c r="AB3813" s="511" t="str">
        <f t="shared" si="2926"/>
        <v/>
      </c>
      <c r="AC3813" s="698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698"/>
      <c r="AE3813" s="631" t="str">
        <f t="shared" si="2927"/>
        <v/>
      </c>
      <c r="AF3813" s="699" t="str">
        <f t="shared" si="2928"/>
        <v/>
      </c>
      <c r="AG3813" s="699"/>
      <c r="AH3813" s="699"/>
      <c r="AI3813" s="512">
        <f>IF(H3813="credit",0,IF(AE3813="free",0,IF(AE3813="me",0,IF(G3813&gt;0,(VLOOKUP(A3813,'Discount Lookup'!J:K,2)*G3813),0))))</f>
        <v>0</v>
      </c>
      <c r="AJ3813" s="513" t="str">
        <f t="shared" ca="1" si="2929"/>
        <v/>
      </c>
      <c r="AK3813" s="700" t="str">
        <f t="shared" si="2930"/>
        <v/>
      </c>
      <c r="AL3813" s="700"/>
      <c r="AM3813" s="505" t="str">
        <f t="shared" si="2931"/>
        <v/>
      </c>
      <c r="AN3813" s="506"/>
      <c r="AO3813" s="507"/>
      <c r="AP3813" s="507"/>
      <c r="AQ3813" s="507"/>
      <c r="AR3813" s="507"/>
      <c r="AS3813" s="507"/>
      <c r="AT3813" s="507"/>
      <c r="AU3813" s="507"/>
      <c r="AV3813" s="225"/>
      <c r="AW3813" s="508"/>
      <c r="AX3813" s="225"/>
      <c r="AY3813" s="225"/>
      <c r="AZ3813" s="225"/>
      <c r="BA3813" s="225"/>
      <c r="BB3813" s="225"/>
      <c r="BC3813" s="56"/>
      <c r="BD3813" s="56"/>
      <c r="BE3813" s="56"/>
      <c r="BF3813" s="107" t="str">
        <f t="shared" si="2932"/>
        <v>https://www.google.com/search?tbm=isch&amp;q=Troll%20foliage%20emerges%20light%20Green.%20Yellow-Gold%20in%20fall.%20All%20male%2C%20so%20no%20stinky%20fruit%20</v>
      </c>
      <c r="BG3813" s="107" t="str">
        <f t="shared" si="2933"/>
        <v>T</v>
      </c>
      <c r="BH3813" s="254"/>
      <c r="BI3813" s="254"/>
    </row>
    <row r="3814" spans="1:61" customFormat="1" ht="18" x14ac:dyDescent="0.25">
      <c r="A3814" s="523" t="s">
        <v>1925</v>
      </c>
      <c r="B3814" s="235"/>
      <c r="C3814" s="676"/>
      <c r="D3814" s="255" t="s">
        <v>1926</v>
      </c>
      <c r="E3814" s="236"/>
      <c r="F3814" s="236"/>
      <c r="G3814" s="236"/>
      <c r="H3814" s="582" t="s">
        <v>2259</v>
      </c>
      <c r="I3814" s="498" t="s">
        <v>2254</v>
      </c>
      <c r="J3814" s="237"/>
      <c r="K3814" s="237"/>
      <c r="L3814" s="274"/>
      <c r="M3814" s="668" t="s">
        <v>4962</v>
      </c>
      <c r="N3814" s="681" t="str">
        <f>IF(AND(ISTEXT($A3814), ISERROR($A3814+0)), HYPERLINK($BF3814, "Images"), "")</f>
        <v>Images</v>
      </c>
      <c r="O3814" s="663" t="s">
        <v>4969</v>
      </c>
      <c r="P3814" s="253"/>
      <c r="Q3814" s="238"/>
      <c r="R3814" s="239"/>
      <c r="S3814" s="275"/>
      <c r="T3814" s="508">
        <f t="shared" si="2921"/>
        <v>0</v>
      </c>
      <c r="U3814" s="225" t="str">
        <f>IF(NOT(ISNUMBER(G3814)), "", VLOOKUP(A3814,'Discount Lookup'!D:E,2,FALSE)*G3814)</f>
        <v/>
      </c>
      <c r="V3814" s="225" t="str">
        <f>IF(NOT(ISNUMBER(G3814)), "", VLOOKUP(A3814,'Discount Lookup'!G:H,2,FALSE)*G3814)</f>
        <v/>
      </c>
      <c r="W3814" s="508">
        <f t="shared" si="2922"/>
        <v>0</v>
      </c>
      <c r="X3814" s="508" t="str">
        <f t="shared" si="2923"/>
        <v>Pink fluffy bloom</v>
      </c>
      <c r="Y3814" s="509" t="b">
        <f t="shared" si="2924"/>
        <v>0</v>
      </c>
      <c r="Z3814" s="510">
        <f t="shared" si="2925"/>
        <v>0</v>
      </c>
      <c r="AA3814" s="511"/>
      <c r="AB3814" s="511" t="str">
        <f t="shared" si="2926"/>
        <v/>
      </c>
      <c r="AC3814" s="698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698"/>
      <c r="AE3814" s="631" t="str">
        <f t="shared" si="2927"/>
        <v/>
      </c>
      <c r="AF3814" s="699" t="str">
        <f t="shared" si="2928"/>
        <v/>
      </c>
      <c r="AG3814" s="699"/>
      <c r="AH3814" s="699"/>
      <c r="AI3814" s="512">
        <f>IF(H3814="credit",0,IF(AE3814="free",0,IF(AE3814="me",0,IF(G3814&gt;0,(VLOOKUP(A3814,'Discount Lookup'!J:K,2)*G3814),0))))</f>
        <v>0</v>
      </c>
      <c r="AJ3814" s="513" t="str">
        <f t="shared" ca="1" si="2929"/>
        <v/>
      </c>
      <c r="AK3814" s="700" t="str">
        <f t="shared" si="2930"/>
        <v/>
      </c>
      <c r="AL3814" s="700"/>
      <c r="AM3814" s="505" t="str">
        <f t="shared" si="2931"/>
        <v/>
      </c>
      <c r="AN3814" s="506"/>
      <c r="AO3814" s="507"/>
      <c r="AP3814" s="507"/>
      <c r="AQ3814" s="507"/>
      <c r="AR3814" s="507"/>
      <c r="AS3814" s="507"/>
      <c r="AT3814" s="507"/>
      <c r="AU3814" s="507"/>
      <c r="AV3814" s="225"/>
      <c r="AW3814" s="508"/>
      <c r="AX3814" s="225"/>
      <c r="AY3814" s="225"/>
      <c r="AZ3814" s="225"/>
      <c r="BA3814" s="225"/>
      <c r="BB3814" s="225"/>
      <c r="BC3814" s="56"/>
      <c r="BD3814" s="56"/>
      <c r="BE3814" s="56"/>
      <c r="BF3814" s="107" t="str">
        <f t="shared" si="2932"/>
        <v>https://www.google.com/search?tbm=isch&amp;q=Tropical%20Dream%20Mimosa%20Tree%20Albizia%20julibrissin%20%27Pos1%27</v>
      </c>
      <c r="BG3814" s="107" t="str">
        <f t="shared" si="2933"/>
        <v>T</v>
      </c>
      <c r="BH3814" s="254"/>
      <c r="BI3814" s="254"/>
    </row>
    <row r="3815" spans="1:61" customFormat="1" ht="15.75" x14ac:dyDescent="0.25">
      <c r="A3815" s="276">
        <v>7</v>
      </c>
      <c r="B3815" s="240" t="s">
        <v>291</v>
      </c>
      <c r="C3815" s="241" t="s">
        <v>3629</v>
      </c>
      <c r="D3815" s="242" t="s">
        <v>292</v>
      </c>
      <c r="E3815" s="243">
        <v>125.95</v>
      </c>
      <c r="F3815" s="517" t="s">
        <v>293</v>
      </c>
      <c r="G3815" s="232">
        <v>0</v>
      </c>
      <c r="H3815" s="661" t="str">
        <f>IF(G3815=0,"",IF(F3815="Buy",IF(G3815=1,"plant","plants"),IF(F3815&gt;0.01,"warranty","Error")))</f>
        <v/>
      </c>
      <c r="I3815" s="244">
        <f>IF(H3815="free",0,IF(H3815="credit",((E3815*(F3815))*G3815*-1),IF(F3815="Buy",(E3815*G3815),((E3815*(1-F3815))*G3815))))</f>
        <v>0</v>
      </c>
      <c r="J3815" s="244">
        <f>IF(H3815="warranty",0,(I3815*(_xlfn.SINGLE(SalesTaxPercentage))))</f>
        <v>0</v>
      </c>
      <c r="K3815" s="696">
        <f t="shared" ref="K3815" si="2946">I3815+J3815</f>
        <v>0</v>
      </c>
      <c r="L3815" s="696"/>
      <c r="M3815" s="659" t="str">
        <f>IF(AND(G3815&gt;0,E3815=0),"WARNING - no PRICE inserted",IF(H3815="free"," FREE ~ no charge this plant",IF(H3815="credit",CONCATENATE(" -$",ROUND(K3815*(1-T2GDiscount)*-1,2)," CREDIT after discount"),IF(T2GDiscount=0,"",IF(G3815=0,"",IF(F3815="Buy",CONCATENATE(" $",ROUND(K3815*(1-T2GDiscount),2)," with ",(T2GDiscount*100),"% discount"),CONCATENATE(" $",ROUND(K3815*(1-T2GDiscount),2)," with ",((T2GDiscount*100+F3815*100)-(T2GDiscount*100*F3815)),IF(F3815&gt;0,"% discounts",IF(NoWarrantyDiscount&gt;0,"% discounts","% discount")))))))))</f>
        <v/>
      </c>
      <c r="N3815" s="660"/>
      <c r="O3815" s="233"/>
      <c r="P3815" s="233"/>
      <c r="Q3815" s="233"/>
      <c r="R3815" s="233"/>
      <c r="S3815" s="233"/>
      <c r="T3815" s="508">
        <f t="shared" si="2921"/>
        <v>0</v>
      </c>
      <c r="U3815" s="225">
        <f>IF(NOT(ISNUMBER(G3815)), "", VLOOKUP(A3815,'Discount Lookup'!D:E,2,FALSE)*G3815)</f>
        <v>0</v>
      </c>
      <c r="V3815" s="225">
        <f>IF(NOT(ISNUMBER(G3815)), "", VLOOKUP(A3815,'Discount Lookup'!G:H,2,FALSE)*G3815)</f>
        <v>0</v>
      </c>
      <c r="W3815" s="508">
        <f t="shared" si="2922"/>
        <v>0</v>
      </c>
      <c r="X3815" s="508">
        <f t="shared" si="2923"/>
        <v>0</v>
      </c>
      <c r="Y3815" s="509" t="b">
        <f t="shared" si="2924"/>
        <v>0</v>
      </c>
      <c r="Z3815" s="510">
        <f t="shared" si="2925"/>
        <v>0</v>
      </c>
      <c r="AA3815" s="511"/>
      <c r="AB3815" s="511" t="str">
        <f t="shared" si="2926"/>
        <v/>
      </c>
      <c r="AC3815" s="698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698"/>
      <c r="AE3815" s="631" t="str">
        <f t="shared" si="2927"/>
        <v/>
      </c>
      <c r="AF3815" s="699" t="str">
        <f t="shared" si="2928"/>
        <v/>
      </c>
      <c r="AG3815" s="699"/>
      <c r="AH3815" s="699"/>
      <c r="AI3815" s="512">
        <f>IF(H3815="credit",0,IF(AE3815="free",0,IF(AE3815="me",0,IF(G3815&gt;0,(VLOOKUP(A3815,'Discount Lookup'!J:K,2)*G3815),0))))</f>
        <v>0</v>
      </c>
      <c r="AJ3815" s="513" t="str">
        <f t="shared" ca="1" si="2929"/>
        <v/>
      </c>
      <c r="AK3815" s="700" t="str">
        <f t="shared" si="2930"/>
        <v/>
      </c>
      <c r="AL3815" s="700"/>
      <c r="AM3815" s="505" t="str">
        <f t="shared" si="2931"/>
        <v/>
      </c>
      <c r="AN3815" s="506"/>
      <c r="AO3815" s="507"/>
      <c r="AP3815" s="507"/>
      <c r="AQ3815" s="507"/>
      <c r="AR3815" s="507"/>
      <c r="AS3815" s="507"/>
      <c r="AT3815" s="507"/>
      <c r="AU3815" s="507"/>
      <c r="AV3815" s="225"/>
      <c r="AW3815" s="508"/>
      <c r="AX3815" s="225"/>
      <c r="AY3815" s="225"/>
      <c r="AZ3815" s="225"/>
      <c r="BA3815" s="225"/>
      <c r="BB3815" s="225"/>
      <c r="BC3815" s="56"/>
      <c r="BD3815" s="56"/>
      <c r="BE3815" s="56"/>
      <c r="BF3815" s="107" t="str">
        <f t="shared" si="2932"/>
        <v>https://www.google.com/search?tbm=isch&amp;q=7%20G4</v>
      </c>
      <c r="BG3815" s="107" t="str">
        <f t="shared" si="2933"/>
        <v>T</v>
      </c>
      <c r="BH3815" s="254"/>
      <c r="BI3815" s="254"/>
    </row>
    <row r="3816" spans="1:61" customFormat="1" ht="17.25" thickBot="1" x14ac:dyDescent="0.3">
      <c r="A3816" s="524" t="s">
        <v>2700</v>
      </c>
      <c r="B3816" s="245"/>
      <c r="C3816" s="677"/>
      <c r="D3816" s="499"/>
      <c r="E3816" s="499"/>
      <c r="F3816" s="500"/>
      <c r="G3816" s="501"/>
      <c r="H3816" s="502"/>
      <c r="I3816" s="246"/>
      <c r="J3816" s="247"/>
      <c r="K3816" s="503"/>
      <c r="L3816" s="544"/>
      <c r="M3816" s="544"/>
      <c r="N3816" s="500"/>
      <c r="O3816" s="500"/>
      <c r="P3816" s="500"/>
      <c r="Q3816" s="500"/>
      <c r="R3816" s="500"/>
      <c r="S3816" s="669" t="s">
        <v>4994</v>
      </c>
      <c r="T3816" s="508">
        <f t="shared" si="2921"/>
        <v>0</v>
      </c>
      <c r="U3816" s="225" t="str">
        <f>IF(NOT(ISNUMBER(G3816)), "", VLOOKUP(A3816,'Discount Lookup'!D:E,2,FALSE)*G3816)</f>
        <v/>
      </c>
      <c r="V3816" s="225" t="str">
        <f>IF(NOT(ISNUMBER(G3816)), "", VLOOKUP(A3816,'Discount Lookup'!G:H,2,FALSE)*G3816)</f>
        <v/>
      </c>
      <c r="W3816" s="508">
        <f t="shared" si="2922"/>
        <v>0</v>
      </c>
      <c r="X3816" s="508">
        <f t="shared" si="2923"/>
        <v>0</v>
      </c>
      <c r="Y3816" s="509" t="b">
        <f t="shared" si="2924"/>
        <v>0</v>
      </c>
      <c r="Z3816" s="510">
        <f t="shared" si="2925"/>
        <v>0</v>
      </c>
      <c r="AA3816" s="511"/>
      <c r="AB3816" s="511" t="str">
        <f t="shared" si="2926"/>
        <v/>
      </c>
      <c r="AC3816" s="698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698"/>
      <c r="AE3816" s="631" t="str">
        <f t="shared" si="2927"/>
        <v/>
      </c>
      <c r="AF3816" s="699" t="str">
        <f t="shared" si="2928"/>
        <v/>
      </c>
      <c r="AG3816" s="699"/>
      <c r="AH3816" s="699"/>
      <c r="AI3816" s="512">
        <f>IF(H3816="credit",0,IF(AE3816="free",0,IF(AE3816="me",0,IF(G3816&gt;0,(VLOOKUP(A3816,'Discount Lookup'!J:K,2)*G3816),0))))</f>
        <v>0</v>
      </c>
      <c r="AJ3816" s="513" t="str">
        <f t="shared" ca="1" si="2929"/>
        <v/>
      </c>
      <c r="AK3816" s="700" t="str">
        <f t="shared" si="2930"/>
        <v/>
      </c>
      <c r="AL3816" s="700"/>
      <c r="AM3816" s="505" t="str">
        <f t="shared" si="2931"/>
        <v/>
      </c>
      <c r="AN3816" s="506"/>
      <c r="AO3816" s="507"/>
      <c r="AP3816" s="507"/>
      <c r="AQ3816" s="507"/>
      <c r="AR3816" s="507"/>
      <c r="AS3816" s="507"/>
      <c r="AT3816" s="507"/>
      <c r="AU3816" s="507"/>
      <c r="AV3816" s="225"/>
      <c r="AW3816" s="508"/>
      <c r="AX3816" s="225"/>
      <c r="AY3816" s="225"/>
      <c r="AZ3816" s="225"/>
      <c r="BA3816" s="225"/>
      <c r="BB3816" s="225"/>
      <c r="BC3816" s="56"/>
      <c r="BD3816" s="56"/>
      <c r="BE3816" s="56"/>
      <c r="BF3816" s="107" t="str">
        <f t="shared" si="2932"/>
        <v>https://www.google.com/search?tbm=isch&amp;q=Tropical%20Dream%20blooms%20all%20through%20summer.%20Feathery%20fern%E2%80%91like%20foliage%20turns%20vibrant%20Yellow%20in%20fall%20</v>
      </c>
      <c r="BG3816" s="107" t="str">
        <f t="shared" si="2933"/>
        <v>T</v>
      </c>
      <c r="BH3816" s="254"/>
      <c r="BI3816" s="254"/>
    </row>
    <row r="3817" spans="1:61" customFormat="1" ht="18" x14ac:dyDescent="0.25">
      <c r="A3817" s="523" t="s">
        <v>5563</v>
      </c>
      <c r="B3817" s="235"/>
      <c r="C3817" s="676"/>
      <c r="D3817" s="255" t="s">
        <v>1927</v>
      </c>
      <c r="E3817" s="236"/>
      <c r="F3817" s="236"/>
      <c r="G3817" s="236"/>
      <c r="H3817" s="582" t="s">
        <v>4238</v>
      </c>
      <c r="I3817" s="498" t="s">
        <v>669</v>
      </c>
      <c r="J3817" s="237"/>
      <c r="K3817" s="237"/>
      <c r="L3817" s="274"/>
      <c r="M3817" s="668" t="s">
        <v>4962</v>
      </c>
      <c r="N3817" s="681" t="str">
        <f>IF(AND(ISTEXT($A3817), ISERROR($A3817+0)), HYPERLINK($BF3817, "Images"), "")</f>
        <v>Images</v>
      </c>
      <c r="O3817" s="663" t="s">
        <v>4967</v>
      </c>
      <c r="P3817" s="253"/>
      <c r="Q3817" s="238"/>
      <c r="R3817" s="239"/>
      <c r="S3817" s="275"/>
      <c r="T3817" s="508">
        <f t="shared" si="2921"/>
        <v>0</v>
      </c>
      <c r="U3817" s="225" t="str">
        <f>IF(NOT(ISNUMBER(G3817)), "", VLOOKUP(A3817,'Discount Lookup'!D:E,2,FALSE)*G3817)</f>
        <v/>
      </c>
      <c r="V3817" s="225" t="str">
        <f>IF(NOT(ISNUMBER(G3817)), "", VLOOKUP(A3817,'Discount Lookup'!G:H,2,FALSE)*G3817)</f>
        <v/>
      </c>
      <c r="W3817" s="508">
        <f t="shared" si="2922"/>
        <v>0</v>
      </c>
      <c r="X3817" s="508" t="str">
        <f t="shared" si="2923"/>
        <v>Orange bloom</v>
      </c>
      <c r="Y3817" s="509" t="b">
        <f t="shared" si="2924"/>
        <v>0</v>
      </c>
      <c r="Z3817" s="510">
        <f t="shared" si="2925"/>
        <v>0</v>
      </c>
      <c r="AA3817" s="511"/>
      <c r="AB3817" s="511" t="str">
        <f t="shared" si="2926"/>
        <v/>
      </c>
      <c r="AC3817" s="698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698"/>
      <c r="AE3817" s="631" t="str">
        <f t="shared" si="2927"/>
        <v/>
      </c>
      <c r="AF3817" s="699" t="str">
        <f t="shared" si="2928"/>
        <v/>
      </c>
      <c r="AG3817" s="699"/>
      <c r="AH3817" s="699"/>
      <c r="AI3817" s="512">
        <f>IF(H3817="credit",0,IF(AE3817="free",0,IF(AE3817="me",0,IF(G3817&gt;0,(VLOOKUP(A3817,'Discount Lookup'!J:K,2)*G3817),0))))</f>
        <v>0</v>
      </c>
      <c r="AJ3817" s="513" t="str">
        <f t="shared" ca="1" si="2929"/>
        <v/>
      </c>
      <c r="AK3817" s="700" t="str">
        <f t="shared" si="2930"/>
        <v/>
      </c>
      <c r="AL3817" s="700"/>
      <c r="AM3817" s="505" t="str">
        <f t="shared" si="2931"/>
        <v/>
      </c>
      <c r="AN3817" s="506"/>
      <c r="AO3817" s="507"/>
      <c r="AP3817" s="507"/>
      <c r="AQ3817" s="507"/>
      <c r="AR3817" s="507"/>
      <c r="AS3817" s="507"/>
      <c r="AT3817" s="507"/>
      <c r="AU3817" s="507"/>
      <c r="AV3817" s="225"/>
      <c r="AW3817" s="508"/>
      <c r="AX3817" s="225"/>
      <c r="AY3817" s="225"/>
      <c r="AZ3817" s="225"/>
      <c r="BA3817" s="225"/>
      <c r="BB3817" s="225"/>
      <c r="BC3817" s="56"/>
      <c r="BD3817" s="56"/>
      <c r="BE3817" s="56"/>
      <c r="BF3817" s="107" t="str">
        <f t="shared" si="2932"/>
        <v>https://www.google.com/search?tbm=isch&amp;q=TropiCanna%20Lily%C2%AE%20Phasion%20Canna%20Lily%20Canna%20x%20generalis%20%27Phasion%27%20PP%2310569</v>
      </c>
      <c r="BG3817" s="107" t="str">
        <f t="shared" si="2933"/>
        <v>T</v>
      </c>
      <c r="BH3817" s="254"/>
      <c r="BI3817" s="254"/>
    </row>
    <row r="3818" spans="1:61" customFormat="1" ht="15.75" x14ac:dyDescent="0.25">
      <c r="A3818" s="276">
        <v>3</v>
      </c>
      <c r="B3818" s="240" t="s">
        <v>291</v>
      </c>
      <c r="C3818" s="241" t="s">
        <v>4730</v>
      </c>
      <c r="D3818" s="242" t="s">
        <v>292</v>
      </c>
      <c r="E3818" s="243">
        <v>33.950000000000003</v>
      </c>
      <c r="F3818" s="517" t="s">
        <v>293</v>
      </c>
      <c r="G3818" s="232">
        <v>0</v>
      </c>
      <c r="H3818" s="661" t="str">
        <f>IF(G3818=0,"",IF(F3818="Buy",IF(G3818=1,"plant","plants"),IF(F3818&gt;0.01,"warranty","Error")))</f>
        <v/>
      </c>
      <c r="I3818" s="244">
        <f>IF(H3818="free",0,IF(H3818="credit",((E3818*(F3818))*G3818*-1),IF(F3818="Buy",(E3818*G3818),((E3818*(1-F3818))*G3818))))</f>
        <v>0</v>
      </c>
      <c r="J3818" s="244">
        <f>IF(H3818="warranty",0,(I3818*(_xlfn.SINGLE(SalesTaxPercentage))))</f>
        <v>0</v>
      </c>
      <c r="K3818" s="696">
        <f t="shared" ref="K3818" si="2947">I3818+J3818</f>
        <v>0</v>
      </c>
      <c r="L3818" s="696"/>
      <c r="M3818" s="659" t="str">
        <f>IF(AND(G3818&gt;0,E3818=0),"WARNING - no PRICE inserted",IF(H3818="free"," FREE ~ no charge this plant",IF(H3818="credit",CONCATENATE(" -$",ROUND(K3818*(1-T2GDiscount)*-1,2)," CREDIT after discount"),IF(T2GDiscount=0,"",IF(G3818=0,"",IF(F3818="Buy",CONCATENATE(" $",ROUND(K3818*(1-T2GDiscount),2)," with ",(T2GDiscount*100),"% discount"),CONCATENATE(" $",ROUND(K3818*(1-T2GDiscount),2)," with ",((T2GDiscount*100+F3818*100)-(T2GDiscount*100*F3818)),IF(F3818&gt;0,"% discounts",IF(NoWarrantyDiscount&gt;0,"% discounts","% discount")))))))))</f>
        <v/>
      </c>
      <c r="N3818" s="660"/>
      <c r="O3818" s="233"/>
      <c r="P3818" s="233"/>
      <c r="Q3818" s="233"/>
      <c r="R3818" s="233"/>
      <c r="S3818" s="233"/>
      <c r="T3818" s="508">
        <f t="shared" si="2921"/>
        <v>0</v>
      </c>
      <c r="U3818" s="225">
        <f>IF(NOT(ISNUMBER(G3818)), "", VLOOKUP(A3818,'Discount Lookup'!D:E,2,FALSE)*G3818)</f>
        <v>0</v>
      </c>
      <c r="V3818" s="225">
        <f>IF(NOT(ISNUMBER(G3818)), "", VLOOKUP(A3818,'Discount Lookup'!G:H,2,FALSE)*G3818)</f>
        <v>0</v>
      </c>
      <c r="W3818" s="508">
        <f t="shared" si="2922"/>
        <v>0</v>
      </c>
      <c r="X3818" s="508">
        <f t="shared" si="2923"/>
        <v>0</v>
      </c>
      <c r="Y3818" s="509" t="b">
        <f t="shared" si="2924"/>
        <v>0</v>
      </c>
      <c r="Z3818" s="510">
        <f t="shared" si="2925"/>
        <v>0</v>
      </c>
      <c r="AA3818" s="511"/>
      <c r="AB3818" s="511" t="str">
        <f t="shared" si="2926"/>
        <v/>
      </c>
      <c r="AC3818" s="698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698"/>
      <c r="AE3818" s="631" t="str">
        <f t="shared" si="2927"/>
        <v/>
      </c>
      <c r="AF3818" s="699" t="str">
        <f t="shared" si="2928"/>
        <v/>
      </c>
      <c r="AG3818" s="699"/>
      <c r="AH3818" s="699"/>
      <c r="AI3818" s="512">
        <f>IF(H3818="credit",0,IF(AE3818="free",0,IF(AE3818="me",0,IF(G3818&gt;0,(VLOOKUP(A3818,'Discount Lookup'!J:K,2)*G3818),0))))</f>
        <v>0</v>
      </c>
      <c r="AJ3818" s="513" t="str">
        <f t="shared" ca="1" si="2929"/>
        <v/>
      </c>
      <c r="AK3818" s="700" t="str">
        <f t="shared" si="2930"/>
        <v/>
      </c>
      <c r="AL3818" s="700"/>
      <c r="AM3818" s="505" t="str">
        <f t="shared" si="2931"/>
        <v/>
      </c>
      <c r="AN3818" s="506"/>
      <c r="AO3818" s="507"/>
      <c r="AP3818" s="507"/>
      <c r="AQ3818" s="507"/>
      <c r="AR3818" s="507"/>
      <c r="AS3818" s="507"/>
      <c r="AT3818" s="507"/>
      <c r="AU3818" s="507"/>
      <c r="AV3818" s="225"/>
      <c r="AW3818" s="508"/>
      <c r="AX3818" s="225"/>
      <c r="AY3818" s="225"/>
      <c r="AZ3818" s="225"/>
      <c r="BA3818" s="225"/>
      <c r="BB3818" s="225"/>
      <c r="BC3818" s="56"/>
      <c r="BD3818" s="56"/>
      <c r="BE3818" s="56"/>
      <c r="BF3818" s="107" t="str">
        <f t="shared" si="2932"/>
        <v>https://www.google.com/search?tbm=isch&amp;q=3%20G4</v>
      </c>
      <c r="BG3818" s="107" t="str">
        <f t="shared" si="2933"/>
        <v>T</v>
      </c>
      <c r="BH3818" s="254"/>
      <c r="BI3818" s="254"/>
    </row>
    <row r="3819" spans="1:61" customFormat="1" ht="17.25" thickBot="1" x14ac:dyDescent="0.3">
      <c r="A3819" s="673" t="s">
        <v>5266</v>
      </c>
      <c r="B3819" s="245"/>
      <c r="C3819" s="677"/>
      <c r="D3819" s="499"/>
      <c r="E3819" s="499"/>
      <c r="F3819" s="500"/>
      <c r="G3819" s="501"/>
      <c r="H3819" s="502"/>
      <c r="I3819" s="246"/>
      <c r="J3819" s="247"/>
      <c r="K3819" s="503"/>
      <c r="L3819" s="544"/>
      <c r="M3819" s="544"/>
      <c r="N3819" s="500"/>
      <c r="O3819" s="500"/>
      <c r="P3819" s="500"/>
      <c r="Q3819" s="500"/>
      <c r="R3819" s="500"/>
      <c r="S3819" s="669" t="s">
        <v>4994</v>
      </c>
      <c r="T3819" s="508">
        <f t="shared" si="2921"/>
        <v>0</v>
      </c>
      <c r="U3819" s="225" t="str">
        <f>IF(NOT(ISNUMBER(G3819)), "", VLOOKUP(A3819,'Discount Lookup'!D:E,2,FALSE)*G3819)</f>
        <v/>
      </c>
      <c r="V3819" s="225" t="str">
        <f>IF(NOT(ISNUMBER(G3819)), "", VLOOKUP(A3819,'Discount Lookup'!G:H,2,FALSE)*G3819)</f>
        <v/>
      </c>
      <c r="W3819" s="508">
        <f t="shared" si="2922"/>
        <v>0</v>
      </c>
      <c r="X3819" s="508">
        <f t="shared" si="2923"/>
        <v>0</v>
      </c>
      <c r="Y3819" s="509" t="b">
        <f t="shared" si="2924"/>
        <v>0</v>
      </c>
      <c r="Z3819" s="510">
        <f t="shared" si="2925"/>
        <v>0</v>
      </c>
      <c r="AA3819" s="511"/>
      <c r="AB3819" s="511" t="str">
        <f t="shared" si="2926"/>
        <v/>
      </c>
      <c r="AC3819" s="698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698"/>
      <c r="AE3819" s="631" t="str">
        <f t="shared" si="2927"/>
        <v/>
      </c>
      <c r="AF3819" s="699" t="str">
        <f t="shared" si="2928"/>
        <v/>
      </c>
      <c r="AG3819" s="699"/>
      <c r="AH3819" s="699"/>
      <c r="AI3819" s="512">
        <f>IF(H3819="credit",0,IF(AE3819="free",0,IF(AE3819="me",0,IF(G3819&gt;0,(VLOOKUP(A3819,'Discount Lookup'!J:K,2)*G3819),0))))</f>
        <v>0</v>
      </c>
      <c r="AJ3819" s="513" t="str">
        <f t="shared" ca="1" si="2929"/>
        <v/>
      </c>
      <c r="AK3819" s="700" t="str">
        <f t="shared" si="2930"/>
        <v/>
      </c>
      <c r="AL3819" s="700"/>
      <c r="AM3819" s="505" t="str">
        <f t="shared" si="2931"/>
        <v/>
      </c>
      <c r="AN3819" s="506"/>
      <c r="AO3819" s="507"/>
      <c r="AP3819" s="507"/>
      <c r="AQ3819" s="507"/>
      <c r="AR3819" s="507"/>
      <c r="AS3819" s="507"/>
      <c r="AT3819" s="507"/>
      <c r="AU3819" s="507"/>
      <c r="AV3819" s="225"/>
      <c r="AW3819" s="508"/>
      <c r="AX3819" s="225"/>
      <c r="AY3819" s="225"/>
      <c r="AZ3819" s="225"/>
      <c r="BA3819" s="225"/>
      <c r="BB3819" s="225"/>
      <c r="BC3819" s="56"/>
      <c r="BD3819" s="56"/>
      <c r="BE3819" s="56"/>
      <c r="BF3819" s="107" t="str">
        <f t="shared" si="2932"/>
        <v>https://www.google.com/search?tbm=isch&amp;q=moist%20sites%F0%9F%92%A7GOOD%2C%20Tropicanna%20Phasion%20sports%20Red%2C%20Pink%2C%20Yellow%20%26%20Green%20stripes%20on%20Burgundy%20foliage%20</v>
      </c>
      <c r="BG3819" s="107" t="str">
        <f t="shared" si="2933"/>
        <v>m</v>
      </c>
      <c r="BH3819" s="254"/>
      <c r="BI3819" s="254"/>
    </row>
    <row r="3820" spans="1:61" customFormat="1" ht="18" x14ac:dyDescent="0.25">
      <c r="A3820" s="521" t="s">
        <v>5628</v>
      </c>
      <c r="B3820" s="477"/>
      <c r="C3820" s="674"/>
      <c r="D3820" s="478" t="s">
        <v>2067</v>
      </c>
      <c r="E3820" s="479"/>
      <c r="F3820" s="479"/>
      <c r="G3820" s="479"/>
      <c r="H3820" s="582" t="s">
        <v>2947</v>
      </c>
      <c r="I3820" s="480" t="s">
        <v>2770</v>
      </c>
      <c r="J3820" s="479"/>
      <c r="K3820" s="479"/>
      <c r="L3820" s="560"/>
      <c r="M3820" s="671" t="s">
        <v>4985</v>
      </c>
      <c r="N3820" s="680" t="str">
        <f>IF(AND(ISTEXT($A3820), ISERROR($A3820+0)), HYPERLINK($BF3820, "Images"), "")</f>
        <v>Images</v>
      </c>
      <c r="O3820" s="662" t="s">
        <v>4969</v>
      </c>
      <c r="P3820" s="482"/>
      <c r="Q3820" s="483"/>
      <c r="R3820" s="483"/>
      <c r="S3820" s="484"/>
      <c r="T3820" s="508">
        <f t="shared" si="2921"/>
        <v>0</v>
      </c>
      <c r="U3820" s="225" t="str">
        <f>IF(NOT(ISNUMBER(G3820)), "", VLOOKUP(A3820,'Discount Lookup'!D:E,2,FALSE)*G3820)</f>
        <v/>
      </c>
      <c r="V3820" s="225" t="str">
        <f>IF(NOT(ISNUMBER(G3820)), "", VLOOKUP(A3820,'Discount Lookup'!G:H,2,FALSE)*G3820)</f>
        <v/>
      </c>
      <c r="W3820" s="508">
        <f t="shared" si="2922"/>
        <v>0</v>
      </c>
      <c r="X3820" s="508" t="str">
        <f t="shared" si="2923"/>
        <v>Maroon-Red bloom</v>
      </c>
      <c r="Y3820" s="509" t="b">
        <f t="shared" si="2924"/>
        <v>0</v>
      </c>
      <c r="Z3820" s="510">
        <f t="shared" si="2925"/>
        <v>0</v>
      </c>
      <c r="AA3820" s="511"/>
      <c r="AB3820" s="511" t="str">
        <f t="shared" si="2926"/>
        <v/>
      </c>
      <c r="AC3820" s="698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698"/>
      <c r="AE3820" s="631" t="str">
        <f t="shared" si="2927"/>
        <v/>
      </c>
      <c r="AF3820" s="699" t="str">
        <f t="shared" si="2928"/>
        <v/>
      </c>
      <c r="AG3820" s="699"/>
      <c r="AH3820" s="699"/>
      <c r="AI3820" s="512">
        <f>IF(H3820="credit",0,IF(AE3820="free",0,IF(AE3820="me",0,IF(G3820&gt;0,(VLOOKUP(A3820,'Discount Lookup'!J:K,2)*G3820),0))))</f>
        <v>0</v>
      </c>
      <c r="AJ3820" s="513" t="str">
        <f t="shared" ca="1" si="2929"/>
        <v/>
      </c>
      <c r="AK3820" s="700" t="str">
        <f t="shared" si="2930"/>
        <v/>
      </c>
      <c r="AL3820" s="700"/>
      <c r="AM3820" s="505" t="str">
        <f t="shared" si="2931"/>
        <v/>
      </c>
      <c r="AN3820" s="506"/>
      <c r="AO3820" s="507"/>
      <c r="AP3820" s="507"/>
      <c r="AQ3820" s="507"/>
      <c r="AR3820" s="507"/>
      <c r="AS3820" s="507"/>
      <c r="AT3820" s="507"/>
      <c r="AU3820" s="507"/>
      <c r="AV3820" s="225"/>
      <c r="AW3820" s="508"/>
      <c r="AX3820" s="225"/>
      <c r="AY3820" s="225"/>
      <c r="AZ3820" s="225"/>
      <c r="BA3820" s="225"/>
      <c r="BB3820" s="225"/>
      <c r="BC3820" s="56"/>
      <c r="BD3820" s="56"/>
      <c r="BE3820" s="56"/>
      <c r="BF3820" s="107" t="str">
        <f t="shared" si="2932"/>
        <v>https://www.google.com/search?tbm=isch&amp;q=True%20Love%20Lenten%20Rose%20%28WP%C2%AE%29%20Helleborus%20%27True%20Love%27</v>
      </c>
      <c r="BG3820" s="107" t="str">
        <f t="shared" si="2933"/>
        <v>T</v>
      </c>
      <c r="BH3820" s="254"/>
      <c r="BI3820" s="254"/>
    </row>
    <row r="3821" spans="1:61" customFormat="1" ht="15.75" x14ac:dyDescent="0.25">
      <c r="A3821" s="485">
        <v>2</v>
      </c>
      <c r="B3821" s="486" t="s">
        <v>291</v>
      </c>
      <c r="C3821" s="487"/>
      <c r="D3821" s="488" t="s">
        <v>300</v>
      </c>
      <c r="E3821" s="489">
        <v>65.95</v>
      </c>
      <c r="F3821" s="516" t="s">
        <v>293</v>
      </c>
      <c r="G3821" s="232">
        <v>0</v>
      </c>
      <c r="H3821" s="658" t="str">
        <f>IF(G3821=0,"",IF(F3821="Buy",IF(G3821=1,"plant","plants"),IF(F3821&gt;0.01,"warranty","Error")))</f>
        <v/>
      </c>
      <c r="I3821" s="490">
        <f>IF(H3821="free",0,IF(H3821="credit",((E3821*(F3821))*G3821*-1),IF(F3821="Buy",(E3821*G3821),((E3821*(1-F3821))*G3821))))</f>
        <v>0</v>
      </c>
      <c r="J3821" s="490">
        <f>IF(H3821="warranty",0,(I3821*(_xlfn.SINGLE(SalesTaxPercentage))))</f>
        <v>0</v>
      </c>
      <c r="K3821" s="695">
        <f t="shared" ref="K3821" si="2948">I3821+J3821</f>
        <v>0</v>
      </c>
      <c r="L3821" s="695"/>
      <c r="M3821" s="659" t="str">
        <f>IF(AND(G3821&gt;0,E3821=0),"WARNING - no PRICE inserted",IF(H3821="free"," FREE ~ no charge this plant",IF(H3821="credit",CONCATENATE(" -$",ROUND(K3821*(1-T2GDiscount)*-1,2)," CREDIT after discount"),IF(T2GDiscount=0,"",IF(G3821=0,"",IF(F3821="Buy",CONCATENATE(" $",ROUND(K3821*(1-T2GDiscount),2)," with ",(T2GDiscount*100),"% discount"),CONCATENATE(" $",ROUND(K3821*(1-T2GDiscount),2)," with ",((T2GDiscount*100+F3821*100)-(T2GDiscount*100*F3821)),IF(F3821&gt;0,"% discounts",IF(NoWarrantyDiscount&gt;0,"% discounts","% discount")))))))))</f>
        <v/>
      </c>
      <c r="N3821" s="660"/>
      <c r="O3821" s="233"/>
      <c r="P3821" s="233"/>
      <c r="Q3821" s="233"/>
      <c r="R3821" s="233"/>
      <c r="S3821" s="233"/>
      <c r="T3821" s="508">
        <f t="shared" si="2921"/>
        <v>0</v>
      </c>
      <c r="U3821" s="225">
        <f>IF(NOT(ISNUMBER(G3821)), "", VLOOKUP(A3821,'Discount Lookup'!D:E,2,FALSE)*G3821)</f>
        <v>0</v>
      </c>
      <c r="V3821" s="225">
        <f>IF(NOT(ISNUMBER(G3821)), "", VLOOKUP(A3821,'Discount Lookup'!G:H,2,FALSE)*G3821)</f>
        <v>0</v>
      </c>
      <c r="W3821" s="508">
        <f t="shared" si="2922"/>
        <v>0</v>
      </c>
      <c r="X3821" s="508">
        <f t="shared" si="2923"/>
        <v>0</v>
      </c>
      <c r="Y3821" s="509" t="b">
        <f t="shared" si="2924"/>
        <v>0</v>
      </c>
      <c r="Z3821" s="510">
        <f t="shared" si="2925"/>
        <v>0</v>
      </c>
      <c r="AA3821" s="511"/>
      <c r="AB3821" s="511" t="str">
        <f t="shared" si="2926"/>
        <v/>
      </c>
      <c r="AC3821" s="698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698"/>
      <c r="AE3821" s="631" t="str">
        <f t="shared" si="2927"/>
        <v/>
      </c>
      <c r="AF3821" s="699" t="str">
        <f t="shared" si="2928"/>
        <v/>
      </c>
      <c r="AG3821" s="699"/>
      <c r="AH3821" s="699"/>
      <c r="AI3821" s="512">
        <f>IF(H3821="credit",0,IF(AE3821="free",0,IF(AE3821="me",0,IF(G3821&gt;0,(VLOOKUP(A3821,'Discount Lookup'!J:K,2)*G3821),0))))</f>
        <v>0</v>
      </c>
      <c r="AJ3821" s="513" t="str">
        <f t="shared" ca="1" si="2929"/>
        <v/>
      </c>
      <c r="AK3821" s="700" t="str">
        <f t="shared" si="2930"/>
        <v/>
      </c>
      <c r="AL3821" s="700"/>
      <c r="AM3821" s="505" t="str">
        <f t="shared" si="2931"/>
        <v/>
      </c>
      <c r="AN3821" s="506"/>
      <c r="AO3821" s="507"/>
      <c r="AP3821" s="507"/>
      <c r="AQ3821" s="507"/>
      <c r="AR3821" s="507"/>
      <c r="AS3821" s="507"/>
      <c r="AT3821" s="507"/>
      <c r="AU3821" s="507"/>
      <c r="AV3821" s="225"/>
      <c r="AW3821" s="508"/>
      <c r="AX3821" s="225"/>
      <c r="AY3821" s="225"/>
      <c r="AZ3821" s="225"/>
      <c r="BA3821" s="225"/>
      <c r="BB3821" s="225"/>
      <c r="BC3821" s="56"/>
      <c r="BD3821" s="56"/>
      <c r="BE3821" s="56"/>
      <c r="BF3821" s="107" t="str">
        <f t="shared" si="2932"/>
        <v>https://www.google.com/search?tbm=isch&amp;q=2%20G6</v>
      </c>
      <c r="BG3821" s="107" t="str">
        <f t="shared" si="2933"/>
        <v>T</v>
      </c>
      <c r="BH3821" s="254"/>
      <c r="BI3821" s="254"/>
    </row>
    <row r="3822" spans="1:61" customFormat="1" ht="16.5" thickBot="1" x14ac:dyDescent="0.3">
      <c r="A3822" s="522" t="s">
        <v>2945</v>
      </c>
      <c r="B3822" s="491"/>
      <c r="C3822" s="675"/>
      <c r="D3822" s="491"/>
      <c r="E3822" s="491"/>
      <c r="F3822" s="492"/>
      <c r="G3822" s="493"/>
      <c r="H3822" s="491"/>
      <c r="I3822" s="234"/>
      <c r="J3822" s="234"/>
      <c r="K3822" s="494"/>
      <c r="L3822" s="543"/>
      <c r="M3822" s="561"/>
      <c r="N3822" s="495"/>
      <c r="O3822" s="496"/>
      <c r="P3822" s="497"/>
      <c r="Q3822" s="495"/>
      <c r="R3822" s="495"/>
      <c r="S3822" s="667" t="s">
        <v>4968</v>
      </c>
      <c r="T3822" s="508">
        <f t="shared" si="2921"/>
        <v>0</v>
      </c>
      <c r="U3822" s="225" t="str">
        <f>IF(NOT(ISNUMBER(G3822)), "", VLOOKUP(A3822,'Discount Lookup'!D:E,2,FALSE)*G3822)</f>
        <v/>
      </c>
      <c r="V3822" s="225" t="str">
        <f>IF(NOT(ISNUMBER(G3822)), "", VLOOKUP(A3822,'Discount Lookup'!G:H,2,FALSE)*G3822)</f>
        <v/>
      </c>
      <c r="W3822" s="508">
        <f t="shared" si="2922"/>
        <v>0</v>
      </c>
      <c r="X3822" s="508">
        <f t="shared" si="2923"/>
        <v>0</v>
      </c>
      <c r="Y3822" s="509" t="b">
        <f t="shared" si="2924"/>
        <v>0</v>
      </c>
      <c r="Z3822" s="510">
        <f t="shared" si="2925"/>
        <v>0</v>
      </c>
      <c r="AA3822" s="511"/>
      <c r="AB3822" s="511" t="str">
        <f t="shared" si="2926"/>
        <v/>
      </c>
      <c r="AC3822" s="698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698"/>
      <c r="AE3822" s="631" t="str">
        <f t="shared" si="2927"/>
        <v/>
      </c>
      <c r="AF3822" s="699" t="str">
        <f t="shared" si="2928"/>
        <v/>
      </c>
      <c r="AG3822" s="699"/>
      <c r="AH3822" s="699"/>
      <c r="AI3822" s="512">
        <f>IF(H3822="credit",0,IF(AE3822="free",0,IF(AE3822="me",0,IF(G3822&gt;0,(VLOOKUP(A3822,'Discount Lookup'!J:K,2)*G3822),0))))</f>
        <v>0</v>
      </c>
      <c r="AJ3822" s="513" t="str">
        <f t="shared" ca="1" si="2929"/>
        <v/>
      </c>
      <c r="AK3822" s="700" t="str">
        <f t="shared" si="2930"/>
        <v/>
      </c>
      <c r="AL3822" s="700"/>
      <c r="AM3822" s="505" t="str">
        <f t="shared" si="2931"/>
        <v/>
      </c>
      <c r="AN3822" s="506"/>
      <c r="AO3822" s="507"/>
      <c r="AP3822" s="507"/>
      <c r="AQ3822" s="507"/>
      <c r="AR3822" s="507"/>
      <c r="AS3822" s="507"/>
      <c r="AT3822" s="507"/>
      <c r="AU3822" s="507"/>
      <c r="AV3822" s="225"/>
      <c r="AW3822" s="508"/>
      <c r="AX3822" s="225"/>
      <c r="AY3822" s="225"/>
      <c r="AZ3822" s="225"/>
      <c r="BA3822" s="225"/>
      <c r="BB3822" s="225"/>
      <c r="BC3822" s="56"/>
      <c r="BD3822" s="56"/>
      <c r="BE3822" s="56"/>
      <c r="BF3822" s="107" t="str">
        <f t="shared" si="2932"/>
        <v>https://www.google.com/search?tbm=isch&amp;q=All%20Hellebores%20are%20clump-forming%20perennials%20with%20leathery%20foliage.%20They%20are%20long-lived%2C%20cold%2Fshade%20tolerant%2C%20and%20bloom%20late%20winter%20to%20spring%20</v>
      </c>
      <c r="BG3822" s="107" t="str">
        <f t="shared" si="2933"/>
        <v>A</v>
      </c>
      <c r="BH3822" s="254"/>
      <c r="BI3822" s="254"/>
    </row>
    <row r="3823" spans="1:61" customFormat="1" ht="18" x14ac:dyDescent="0.25">
      <c r="A3823" s="523" t="s">
        <v>1928</v>
      </c>
      <c r="B3823" s="235"/>
      <c r="C3823" s="676"/>
      <c r="D3823" s="255" t="s">
        <v>1929</v>
      </c>
      <c r="E3823" s="236"/>
      <c r="F3823" s="236"/>
      <c r="G3823" s="236"/>
      <c r="H3823" s="582" t="s">
        <v>686</v>
      </c>
      <c r="I3823" s="498" t="s">
        <v>2284</v>
      </c>
      <c r="J3823" s="237"/>
      <c r="K3823" s="237"/>
      <c r="L3823" s="274"/>
      <c r="M3823" s="668" t="s">
        <v>4975</v>
      </c>
      <c r="N3823" s="681" t="str">
        <f>IF(AND(ISTEXT($A3823), ISERROR($A3823+0)), HYPERLINK($BF3823, "Images"), "")</f>
        <v>Images</v>
      </c>
      <c r="O3823" s="663" t="s">
        <v>4967</v>
      </c>
      <c r="P3823" s="253"/>
      <c r="Q3823" s="238"/>
      <c r="R3823" s="239"/>
      <c r="S3823" s="275"/>
      <c r="T3823" s="508">
        <f t="shared" si="2921"/>
        <v>0</v>
      </c>
      <c r="U3823" s="225" t="str">
        <f>IF(NOT(ISNUMBER(G3823)), "", VLOOKUP(A3823,'Discount Lookup'!D:E,2,FALSE)*G3823)</f>
        <v/>
      </c>
      <c r="V3823" s="225" t="str">
        <f>IF(NOT(ISNUMBER(G3823)), "", VLOOKUP(A3823,'Discount Lookup'!G:H,2,FALSE)*G3823)</f>
        <v/>
      </c>
      <c r="W3823" s="508">
        <f t="shared" si="2922"/>
        <v>0</v>
      </c>
      <c r="X3823" s="508" t="str">
        <f t="shared" si="2923"/>
        <v>Rich Green foliage</v>
      </c>
      <c r="Y3823" s="509" t="b">
        <f t="shared" si="2924"/>
        <v>0</v>
      </c>
      <c r="Z3823" s="510">
        <f t="shared" si="2925"/>
        <v>0</v>
      </c>
      <c r="AA3823" s="511"/>
      <c r="AB3823" s="511" t="str">
        <f t="shared" si="2926"/>
        <v/>
      </c>
      <c r="AC3823" s="698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698"/>
      <c r="AE3823" s="631" t="str">
        <f t="shared" si="2927"/>
        <v/>
      </c>
      <c r="AF3823" s="699" t="str">
        <f t="shared" si="2928"/>
        <v/>
      </c>
      <c r="AG3823" s="699"/>
      <c r="AH3823" s="699"/>
      <c r="AI3823" s="512">
        <f>IF(H3823="credit",0,IF(AE3823="free",0,IF(AE3823="me",0,IF(G3823&gt;0,(VLOOKUP(A3823,'Discount Lookup'!J:K,2)*G3823),0))))</f>
        <v>0</v>
      </c>
      <c r="AJ3823" s="513" t="str">
        <f t="shared" ca="1" si="2929"/>
        <v/>
      </c>
      <c r="AK3823" s="700" t="str">
        <f t="shared" si="2930"/>
        <v/>
      </c>
      <c r="AL3823" s="700"/>
      <c r="AM3823" s="505" t="str">
        <f t="shared" si="2931"/>
        <v/>
      </c>
      <c r="AN3823" s="506"/>
      <c r="AO3823" s="507"/>
      <c r="AP3823" s="507"/>
      <c r="AQ3823" s="507"/>
      <c r="AR3823" s="507"/>
      <c r="AS3823" s="507"/>
      <c r="AT3823" s="507"/>
      <c r="AU3823" s="507"/>
      <c r="AV3823" s="225"/>
      <c r="AW3823" s="508"/>
      <c r="AX3823" s="225"/>
      <c r="AY3823" s="225"/>
      <c r="AZ3823" s="225"/>
      <c r="BA3823" s="225"/>
      <c r="BB3823" s="225"/>
      <c r="BC3823" s="56"/>
      <c r="BD3823" s="56"/>
      <c r="BE3823" s="56"/>
      <c r="BF3823" s="107" t="str">
        <f t="shared" si="2932"/>
        <v>https://www.google.com/search?tbm=isch&amp;q=Tsukasa%20Silhouette%20Japanese%20Maple%20Acer%20palmatum%20%27Tsukasa%20Silhouette%27</v>
      </c>
      <c r="BG3823" s="107" t="str">
        <f t="shared" si="2933"/>
        <v>T</v>
      </c>
      <c r="BH3823" s="254"/>
      <c r="BI3823" s="254"/>
    </row>
    <row r="3824" spans="1:61" customFormat="1" ht="27" x14ac:dyDescent="0.25">
      <c r="A3824" s="276">
        <v>7</v>
      </c>
      <c r="B3824" s="240" t="s">
        <v>291</v>
      </c>
      <c r="C3824" s="241" t="s">
        <v>3824</v>
      </c>
      <c r="D3824" s="242" t="s">
        <v>292</v>
      </c>
      <c r="E3824" s="243">
        <v>215.95</v>
      </c>
      <c r="F3824" s="517" t="s">
        <v>293</v>
      </c>
      <c r="G3824" s="232">
        <v>0</v>
      </c>
      <c r="H3824" s="661" t="str">
        <f>IF(G3824=0,"",IF(F3824="Buy",IF(G3824=1,"plant","plants"),IF(F3824&gt;0.01,"warranty","Error")))</f>
        <v/>
      </c>
      <c r="I3824" s="244">
        <f>IF(H3824="free",0,IF(H3824="credit",((E3824*(F3824))*G3824*-1),IF(F3824="Buy",(E3824*G3824),((E3824*(1-F3824))*G3824))))</f>
        <v>0</v>
      </c>
      <c r="J3824" s="244">
        <f>IF(H3824="warranty",0,(I3824*(_xlfn.SINGLE(SalesTaxPercentage))))</f>
        <v>0</v>
      </c>
      <c r="K3824" s="696">
        <f t="shared" ref="K3824" si="2949">I3824+J3824</f>
        <v>0</v>
      </c>
      <c r="L3824" s="696"/>
      <c r="M3824" s="659" t="str">
        <f>IF(AND(G3824&gt;0,E3824=0),"WARNING - no PRICE inserted",IF(H3824="free"," FREE ~ no charge this plant",IF(H3824="credit",CONCATENATE(" -$",ROUND(K3824*(1-T2GDiscount)*-1,2)," CREDIT after discount"),IF(T2GDiscount=0,"",IF(G3824=0,"",IF(F3824="Buy",CONCATENATE(" $",ROUND(K3824*(1-T2GDiscount),2)," with ",(T2GDiscount*100),"% discount"),CONCATENATE(" $",ROUND(K3824*(1-T2GDiscount),2)," with ",((T2GDiscount*100+F3824*100)-(T2GDiscount*100*F3824)),IF(F3824&gt;0,"% discounts",IF(NoWarrantyDiscount&gt;0,"% discounts","% discount")))))))))</f>
        <v/>
      </c>
      <c r="N3824" s="660"/>
      <c r="O3824" s="233"/>
      <c r="P3824" s="233"/>
      <c r="Q3824" s="233"/>
      <c r="R3824" s="233"/>
      <c r="S3824" s="233"/>
      <c r="T3824" s="508">
        <f t="shared" si="2921"/>
        <v>0</v>
      </c>
      <c r="U3824" s="225">
        <f>IF(NOT(ISNUMBER(G3824)), "", VLOOKUP(A3824,'Discount Lookup'!D:E,2,FALSE)*G3824)</f>
        <v>0</v>
      </c>
      <c r="V3824" s="225">
        <f>IF(NOT(ISNUMBER(G3824)), "", VLOOKUP(A3824,'Discount Lookup'!G:H,2,FALSE)*G3824)</f>
        <v>0</v>
      </c>
      <c r="W3824" s="508">
        <f t="shared" si="2922"/>
        <v>0</v>
      </c>
      <c r="X3824" s="508">
        <f t="shared" si="2923"/>
        <v>0</v>
      </c>
      <c r="Y3824" s="509" t="b">
        <f t="shared" si="2924"/>
        <v>0</v>
      </c>
      <c r="Z3824" s="510">
        <f t="shared" si="2925"/>
        <v>0</v>
      </c>
      <c r="AA3824" s="511"/>
      <c r="AB3824" s="511" t="str">
        <f t="shared" si="2926"/>
        <v/>
      </c>
      <c r="AC3824" s="698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698"/>
      <c r="AE3824" s="631" t="str">
        <f t="shared" si="2927"/>
        <v/>
      </c>
      <c r="AF3824" s="699" t="str">
        <f t="shared" si="2928"/>
        <v/>
      </c>
      <c r="AG3824" s="699"/>
      <c r="AH3824" s="699"/>
      <c r="AI3824" s="512">
        <f>IF(H3824="credit",0,IF(AE3824="free",0,IF(AE3824="me",0,IF(G3824&gt;0,(VLOOKUP(A3824,'Discount Lookup'!J:K,2)*G3824),0))))</f>
        <v>0</v>
      </c>
      <c r="AJ3824" s="513" t="str">
        <f t="shared" ca="1" si="2929"/>
        <v/>
      </c>
      <c r="AK3824" s="700" t="str">
        <f t="shared" si="2930"/>
        <v/>
      </c>
      <c r="AL3824" s="700"/>
      <c r="AM3824" s="505" t="str">
        <f t="shared" si="2931"/>
        <v/>
      </c>
      <c r="AN3824" s="506"/>
      <c r="AO3824" s="507"/>
      <c r="AP3824" s="507"/>
      <c r="AQ3824" s="507"/>
      <c r="AR3824" s="507"/>
      <c r="AS3824" s="507"/>
      <c r="AT3824" s="507"/>
      <c r="AU3824" s="507"/>
      <c r="AV3824" s="225"/>
      <c r="AW3824" s="508"/>
      <c r="AX3824" s="225"/>
      <c r="AY3824" s="225"/>
      <c r="AZ3824" s="225"/>
      <c r="BA3824" s="225"/>
      <c r="BB3824" s="225"/>
      <c r="BC3824" s="56"/>
      <c r="BD3824" s="56"/>
      <c r="BE3824" s="56"/>
      <c r="BF3824" s="107" t="str">
        <f t="shared" si="2932"/>
        <v>https://www.google.com/search?tbm=isch&amp;q=7%20G4</v>
      </c>
      <c r="BG3824" s="107" t="str">
        <f t="shared" si="2933"/>
        <v>T</v>
      </c>
      <c r="BH3824" s="254"/>
      <c r="BI3824" s="254"/>
    </row>
    <row r="3825" spans="1:61" customFormat="1" ht="15.75" x14ac:dyDescent="0.25">
      <c r="A3825" s="276">
        <v>25</v>
      </c>
      <c r="B3825" s="240" t="s">
        <v>291</v>
      </c>
      <c r="C3825" s="241" t="s">
        <v>3825</v>
      </c>
      <c r="D3825" s="242" t="s">
        <v>292</v>
      </c>
      <c r="E3825" s="243">
        <v>790.95</v>
      </c>
      <c r="F3825" s="517" t="s">
        <v>293</v>
      </c>
      <c r="G3825" s="232">
        <v>0</v>
      </c>
      <c r="H3825" s="661" t="str">
        <f>IF(G3825=0,"",IF(F3825="Buy",IF(G3825=1,"plant","plants"),IF(F3825&gt;0.01,"warranty","Error")))</f>
        <v/>
      </c>
      <c r="I3825" s="244">
        <f>IF(H3825="free",0,IF(H3825="credit",((E3825*(F3825))*G3825*-1),IF(F3825="Buy",(E3825*G3825),((E3825*(1-F3825))*G3825))))</f>
        <v>0</v>
      </c>
      <c r="J3825" s="244">
        <f>IF(H3825="warranty",0,(I3825*(_xlfn.SINGLE(SalesTaxPercentage))))</f>
        <v>0</v>
      </c>
      <c r="K3825" s="696">
        <f t="shared" ref="K3825" si="2950">I3825+J3825</f>
        <v>0</v>
      </c>
      <c r="L3825" s="696"/>
      <c r="M3825" s="659" t="str">
        <f>IF(AND(G3825&gt;0,E3825=0),"WARNING - no PRICE inserted",IF(H3825="free"," FREE ~ no charge this plant",IF(H3825="credit",CONCATENATE(" -$",ROUND(K3825*(1-T2GDiscount)*-1,2)," CREDIT after discount"),IF(T2GDiscount=0,"",IF(G3825=0,"",IF(F3825="Buy",CONCATENATE(" $",ROUND(K3825*(1-T2GDiscount),2)," with ",(T2GDiscount*100),"% discount"),CONCATENATE(" $",ROUND(K3825*(1-T2GDiscount),2)," with ",((T2GDiscount*100+F3825*100)-(T2GDiscount*100*F3825)),IF(F3825&gt;0,"% discounts",IF(NoWarrantyDiscount&gt;0,"% discounts","% discount")))))))))</f>
        <v/>
      </c>
      <c r="N3825" s="660"/>
      <c r="O3825" s="233"/>
      <c r="P3825" s="233"/>
      <c r="Q3825" s="233"/>
      <c r="R3825" s="233"/>
      <c r="S3825" s="233"/>
      <c r="T3825" s="508">
        <f t="shared" si="2921"/>
        <v>0</v>
      </c>
      <c r="U3825" s="225">
        <f>IF(NOT(ISNUMBER(G3825)), "", VLOOKUP(A3825,'Discount Lookup'!D:E,2,FALSE)*G3825)</f>
        <v>0</v>
      </c>
      <c r="V3825" s="225">
        <f>IF(NOT(ISNUMBER(G3825)), "", VLOOKUP(A3825,'Discount Lookup'!G:H,2,FALSE)*G3825)</f>
        <v>0</v>
      </c>
      <c r="W3825" s="508">
        <f t="shared" si="2922"/>
        <v>0</v>
      </c>
      <c r="X3825" s="508">
        <f t="shared" si="2923"/>
        <v>0</v>
      </c>
      <c r="Y3825" s="509" t="b">
        <f t="shared" si="2924"/>
        <v>0</v>
      </c>
      <c r="Z3825" s="510">
        <f t="shared" si="2925"/>
        <v>0</v>
      </c>
      <c r="AA3825" s="511"/>
      <c r="AB3825" s="511" t="str">
        <f t="shared" si="2926"/>
        <v/>
      </c>
      <c r="AC3825" s="698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698"/>
      <c r="AE3825" s="631" t="str">
        <f t="shared" si="2927"/>
        <v/>
      </c>
      <c r="AF3825" s="699" t="str">
        <f t="shared" si="2928"/>
        <v/>
      </c>
      <c r="AG3825" s="699"/>
      <c r="AH3825" s="699"/>
      <c r="AI3825" s="512">
        <f>IF(H3825="credit",0,IF(AE3825="free",0,IF(AE3825="me",0,IF(G3825&gt;0,(VLOOKUP(A3825,'Discount Lookup'!J:K,2)*G3825),0))))</f>
        <v>0</v>
      </c>
      <c r="AJ3825" s="513" t="str">
        <f t="shared" ca="1" si="2929"/>
        <v/>
      </c>
      <c r="AK3825" s="700" t="str">
        <f t="shared" si="2930"/>
        <v/>
      </c>
      <c r="AL3825" s="700"/>
      <c r="AM3825" s="505" t="str">
        <f t="shared" si="2931"/>
        <v/>
      </c>
      <c r="AN3825" s="506"/>
      <c r="AO3825" s="507"/>
      <c r="AP3825" s="507"/>
      <c r="AQ3825" s="507"/>
      <c r="AR3825" s="507"/>
      <c r="AS3825" s="507"/>
      <c r="AT3825" s="507"/>
      <c r="AU3825" s="507"/>
      <c r="AV3825" s="225"/>
      <c r="AW3825" s="508"/>
      <c r="AX3825" s="225"/>
      <c r="AY3825" s="225"/>
      <c r="AZ3825" s="225"/>
      <c r="BA3825" s="225"/>
      <c r="BB3825" s="225"/>
      <c r="BC3825" s="56"/>
      <c r="BD3825" s="56"/>
      <c r="BE3825" s="56"/>
      <c r="BF3825" s="107" t="str">
        <f t="shared" si="2932"/>
        <v>https://www.google.com/search?tbm=isch&amp;q=25%20G4</v>
      </c>
      <c r="BG3825" s="107" t="str">
        <f t="shared" si="2933"/>
        <v>T</v>
      </c>
      <c r="BH3825" s="254"/>
      <c r="BI3825" s="254"/>
    </row>
    <row r="3826" spans="1:61" customFormat="1" ht="17.25" thickBot="1" x14ac:dyDescent="0.3">
      <c r="A3826" s="524" t="s">
        <v>2312</v>
      </c>
      <c r="B3826" s="245"/>
      <c r="C3826" s="677"/>
      <c r="D3826" s="499"/>
      <c r="E3826" s="499"/>
      <c r="F3826" s="500"/>
      <c r="G3826" s="501"/>
      <c r="H3826" s="502"/>
      <c r="I3826" s="246"/>
      <c r="J3826" s="247"/>
      <c r="K3826" s="503"/>
      <c r="L3826" s="544"/>
      <c r="M3826" s="544"/>
      <c r="N3826" s="500"/>
      <c r="O3826" s="500"/>
      <c r="P3826" s="500"/>
      <c r="Q3826" s="500"/>
      <c r="R3826" s="500"/>
      <c r="S3826" s="278"/>
      <c r="T3826" s="508">
        <f t="shared" si="2921"/>
        <v>0</v>
      </c>
      <c r="U3826" s="225" t="str">
        <f>IF(NOT(ISNUMBER(G3826)), "", VLOOKUP(A3826,'Discount Lookup'!D:E,2,FALSE)*G3826)</f>
        <v/>
      </c>
      <c r="V3826" s="225" t="str">
        <f>IF(NOT(ISNUMBER(G3826)), "", VLOOKUP(A3826,'Discount Lookup'!G:H,2,FALSE)*G3826)</f>
        <v/>
      </c>
      <c r="W3826" s="508">
        <f t="shared" si="2922"/>
        <v>0</v>
      </c>
      <c r="X3826" s="508">
        <f t="shared" si="2923"/>
        <v>0</v>
      </c>
      <c r="Y3826" s="509" t="b">
        <f t="shared" si="2924"/>
        <v>0</v>
      </c>
      <c r="Z3826" s="510">
        <f t="shared" si="2925"/>
        <v>0</v>
      </c>
      <c r="AA3826" s="511"/>
      <c r="AB3826" s="511" t="str">
        <f t="shared" si="2926"/>
        <v/>
      </c>
      <c r="AC3826" s="698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698"/>
      <c r="AE3826" s="631" t="str">
        <f t="shared" si="2927"/>
        <v/>
      </c>
      <c r="AF3826" s="699" t="str">
        <f t="shared" si="2928"/>
        <v/>
      </c>
      <c r="AG3826" s="699"/>
      <c r="AH3826" s="699"/>
      <c r="AI3826" s="512">
        <f>IF(H3826="credit",0,IF(AE3826="free",0,IF(AE3826="me",0,IF(G3826&gt;0,(VLOOKUP(A3826,'Discount Lookup'!J:K,2)*G3826),0))))</f>
        <v>0</v>
      </c>
      <c r="AJ3826" s="513" t="str">
        <f t="shared" ca="1" si="2929"/>
        <v/>
      </c>
      <c r="AK3826" s="700" t="str">
        <f t="shared" si="2930"/>
        <v/>
      </c>
      <c r="AL3826" s="700"/>
      <c r="AM3826" s="505" t="str">
        <f t="shared" si="2931"/>
        <v/>
      </c>
      <c r="AN3826" s="506"/>
      <c r="AO3826" s="507"/>
      <c r="AP3826" s="507"/>
      <c r="AQ3826" s="507"/>
      <c r="AR3826" s="507"/>
      <c r="AS3826" s="507"/>
      <c r="AT3826" s="507"/>
      <c r="AU3826" s="507"/>
      <c r="AV3826" s="225"/>
      <c r="AW3826" s="508"/>
      <c r="AX3826" s="225"/>
      <c r="AY3826" s="225"/>
      <c r="AZ3826" s="225"/>
      <c r="BA3826" s="225"/>
      <c r="BB3826" s="225"/>
      <c r="BC3826" s="56"/>
      <c r="BD3826" s="56"/>
      <c r="BE3826" s="56"/>
      <c r="BF3826" s="107" t="str">
        <f t="shared" si="2932"/>
        <v>https://www.google.com/search?tbm=isch&amp;q=Tsukasa%20foliage%20emerges%20bright%20Chartreuse%20with%20Pink%20edges.%20Good%20resistance%20to%20leaf%20scorch.%20Turns%20Crimson%20to%20Orange-Red%20in%20fall%20</v>
      </c>
      <c r="BG3826" s="107" t="str">
        <f t="shared" si="2933"/>
        <v>T</v>
      </c>
      <c r="BH3826" s="254"/>
      <c r="BI3826" s="254"/>
    </row>
    <row r="3827" spans="1:61" customFormat="1" ht="18" x14ac:dyDescent="0.25">
      <c r="A3827" s="523" t="s">
        <v>1930</v>
      </c>
      <c r="B3827" s="235"/>
      <c r="C3827" s="676"/>
      <c r="D3827" s="255" t="s">
        <v>1931</v>
      </c>
      <c r="E3827" s="236"/>
      <c r="F3827" s="236"/>
      <c r="G3827" s="236"/>
      <c r="H3827" s="582" t="s">
        <v>1932</v>
      </c>
      <c r="I3827" s="498" t="s">
        <v>1933</v>
      </c>
      <c r="J3827" s="237"/>
      <c r="K3827" s="237"/>
      <c r="L3827" s="274"/>
      <c r="M3827" s="668" t="s">
        <v>4962</v>
      </c>
      <c r="N3827" s="681" t="str">
        <f>IF(AND(ISTEXT($A3827), ISERROR($A3827+0)), HYPERLINK($BF3827, "Images"), "")</f>
        <v>Images</v>
      </c>
      <c r="O3827" s="663" t="s">
        <v>4967</v>
      </c>
      <c r="P3827" s="253"/>
      <c r="Q3827" s="238"/>
      <c r="R3827" s="239"/>
      <c r="S3827" s="275" t="s">
        <v>305</v>
      </c>
      <c r="T3827" s="508">
        <f t="shared" si="2921"/>
        <v>0</v>
      </c>
      <c r="U3827" s="225" t="str">
        <f>IF(NOT(ISNUMBER(G3827)), "", VLOOKUP(A3827,'Discount Lookup'!D:E,2,FALSE)*G3827)</f>
        <v/>
      </c>
      <c r="V3827" s="225" t="str">
        <f>IF(NOT(ISNUMBER(G3827)), "", VLOOKUP(A3827,'Discount Lookup'!G:H,2,FALSE)*G3827)</f>
        <v/>
      </c>
      <c r="W3827" s="508">
        <f t="shared" si="2922"/>
        <v>0</v>
      </c>
      <c r="X3827" s="508" t="str">
        <f t="shared" si="2923"/>
        <v>Yellow bloom with Orange band</v>
      </c>
      <c r="Y3827" s="509" t="b">
        <f t="shared" si="2924"/>
        <v>0</v>
      </c>
      <c r="Z3827" s="510">
        <f t="shared" si="2925"/>
        <v>0</v>
      </c>
      <c r="AA3827" s="511"/>
      <c r="AB3827" s="511" t="str">
        <f t="shared" si="2926"/>
        <v/>
      </c>
      <c r="AC3827" s="698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698"/>
      <c r="AE3827" s="631" t="str">
        <f t="shared" si="2927"/>
        <v/>
      </c>
      <c r="AF3827" s="699" t="str">
        <f t="shared" si="2928"/>
        <v/>
      </c>
      <c r="AG3827" s="699"/>
      <c r="AH3827" s="699"/>
      <c r="AI3827" s="512">
        <f>IF(H3827="credit",0,IF(AE3827="free",0,IF(AE3827="me",0,IF(G3827&gt;0,(VLOOKUP(A3827,'Discount Lookup'!J:K,2)*G3827),0))))</f>
        <v>0</v>
      </c>
      <c r="AJ3827" s="513" t="str">
        <f t="shared" ca="1" si="2929"/>
        <v/>
      </c>
      <c r="AK3827" s="700" t="str">
        <f t="shared" si="2930"/>
        <v/>
      </c>
      <c r="AL3827" s="700"/>
      <c r="AM3827" s="505" t="str">
        <f t="shared" si="2931"/>
        <v/>
      </c>
      <c r="AN3827" s="506"/>
      <c r="AO3827" s="507"/>
      <c r="AP3827" s="507"/>
      <c r="AQ3827" s="507"/>
      <c r="AR3827" s="507"/>
      <c r="AS3827" s="507"/>
      <c r="AT3827" s="507"/>
      <c r="AU3827" s="507"/>
      <c r="AV3827" s="225"/>
      <c r="AW3827" s="508"/>
      <c r="AX3827" s="225"/>
      <c r="AY3827" s="225"/>
      <c r="AZ3827" s="225"/>
      <c r="BA3827" s="225"/>
      <c r="BB3827" s="225"/>
      <c r="BC3827" s="56"/>
      <c r="BD3827" s="56"/>
      <c r="BE3827" s="56"/>
      <c r="BF3827" s="107" t="str">
        <f t="shared" si="2932"/>
        <v>https://www.google.com/search?tbm=isch&amp;q=Tulip%20Poplar%20Liriodendron%20tulipifera</v>
      </c>
      <c r="BG3827" s="107" t="str">
        <f t="shared" si="2933"/>
        <v>T</v>
      </c>
      <c r="BH3827" s="254"/>
      <c r="BI3827" s="254"/>
    </row>
    <row r="3828" spans="1:61" customFormat="1" ht="15.75" x14ac:dyDescent="0.25">
      <c r="A3828" s="276">
        <v>15</v>
      </c>
      <c r="B3828" s="240" t="s">
        <v>291</v>
      </c>
      <c r="C3828" s="241" t="s">
        <v>2824</v>
      </c>
      <c r="D3828" s="242" t="s">
        <v>299</v>
      </c>
      <c r="E3828" s="243">
        <v>171.95</v>
      </c>
      <c r="F3828" s="517" t="s">
        <v>293</v>
      </c>
      <c r="G3828" s="232">
        <v>0</v>
      </c>
      <c r="H3828" s="661" t="str">
        <f>IF(G3828=0,"",IF(F3828="Buy",IF(G3828=1,"plant","plants"),IF(F3828&gt;0.01,"warranty","Error")))</f>
        <v/>
      </c>
      <c r="I3828" s="244">
        <f>IF(H3828="free",0,IF(H3828="credit",((E3828*(F3828))*G3828*-1),IF(F3828="Buy",(E3828*G3828),((E3828*(1-F3828))*G3828))))</f>
        <v>0</v>
      </c>
      <c r="J3828" s="244">
        <f>IF(H3828="warranty",0,(I3828*(_xlfn.SINGLE(SalesTaxPercentage))))</f>
        <v>0</v>
      </c>
      <c r="K3828" s="696">
        <f t="shared" ref="K3828" si="2951">I3828+J3828</f>
        <v>0</v>
      </c>
      <c r="L3828" s="696"/>
      <c r="M3828" s="659" t="str">
        <f>IF(AND(G3828&gt;0,E3828=0),"WARNING - no PRICE inserted",IF(H3828="free"," FREE ~ no charge this plant",IF(H3828="credit",CONCATENATE(" -$",ROUND(K3828*(1-T2GDiscount)*-1,2)," CREDIT after discount"),IF(T2GDiscount=0,"",IF(G3828=0,"",IF(F3828="Buy",CONCATENATE(" $",ROUND(K3828*(1-T2GDiscount),2)," with ",(T2GDiscount*100),"% discount"),CONCATENATE(" $",ROUND(K3828*(1-T2GDiscount),2)," with ",((T2GDiscount*100+F3828*100)-(T2GDiscount*100*F3828)),IF(F3828&gt;0,"% discounts",IF(NoWarrantyDiscount&gt;0,"% discounts","% discount")))))))))</f>
        <v/>
      </c>
      <c r="N3828" s="660"/>
      <c r="O3828" s="233"/>
      <c r="P3828" s="233"/>
      <c r="Q3828" s="233"/>
      <c r="R3828" s="233"/>
      <c r="S3828" s="233"/>
      <c r="T3828" s="508">
        <f t="shared" si="2921"/>
        <v>0</v>
      </c>
      <c r="U3828" s="225">
        <f>IF(NOT(ISNUMBER(G3828)), "", VLOOKUP(A3828,'Discount Lookup'!D:E,2,FALSE)*G3828)</f>
        <v>0</v>
      </c>
      <c r="V3828" s="225">
        <f>IF(NOT(ISNUMBER(G3828)), "", VLOOKUP(A3828,'Discount Lookup'!G:H,2,FALSE)*G3828)</f>
        <v>0</v>
      </c>
      <c r="W3828" s="508">
        <f t="shared" si="2922"/>
        <v>0</v>
      </c>
      <c r="X3828" s="508">
        <f t="shared" si="2923"/>
        <v>0</v>
      </c>
      <c r="Y3828" s="509" t="b">
        <f t="shared" si="2924"/>
        <v>0</v>
      </c>
      <c r="Z3828" s="510">
        <f t="shared" si="2925"/>
        <v>0</v>
      </c>
      <c r="AA3828" s="511"/>
      <c r="AB3828" s="511" t="str">
        <f t="shared" si="2926"/>
        <v/>
      </c>
      <c r="AC3828" s="698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698"/>
      <c r="AE3828" s="631" t="str">
        <f t="shared" si="2927"/>
        <v/>
      </c>
      <c r="AF3828" s="699" t="str">
        <f t="shared" si="2928"/>
        <v/>
      </c>
      <c r="AG3828" s="699"/>
      <c r="AH3828" s="699"/>
      <c r="AI3828" s="512">
        <f>IF(H3828="credit",0,IF(AE3828="free",0,IF(AE3828="me",0,IF(G3828&gt;0,(VLOOKUP(A3828,'Discount Lookup'!J:K,2)*G3828),0))))</f>
        <v>0</v>
      </c>
      <c r="AJ3828" s="513" t="str">
        <f t="shared" ca="1" si="2929"/>
        <v/>
      </c>
      <c r="AK3828" s="700" t="str">
        <f t="shared" si="2930"/>
        <v/>
      </c>
      <c r="AL3828" s="700"/>
      <c r="AM3828" s="505" t="str">
        <f t="shared" si="2931"/>
        <v/>
      </c>
      <c r="AN3828" s="506"/>
      <c r="AO3828" s="507"/>
      <c r="AP3828" s="507"/>
      <c r="AQ3828" s="507"/>
      <c r="AR3828" s="507"/>
      <c r="AS3828" s="507"/>
      <c r="AT3828" s="507"/>
      <c r="AU3828" s="507"/>
      <c r="AV3828" s="225"/>
      <c r="AW3828" s="508"/>
      <c r="AX3828" s="225"/>
      <c r="AY3828" s="225"/>
      <c r="AZ3828" s="225"/>
      <c r="BA3828" s="225"/>
      <c r="BB3828" s="225"/>
      <c r="BC3828" s="56"/>
      <c r="BD3828" s="56"/>
      <c r="BE3828" s="56"/>
      <c r="BF3828" s="107" t="str">
        <f t="shared" si="2932"/>
        <v>https://www.google.com/search?tbm=isch&amp;q=15%20G5</v>
      </c>
      <c r="BG3828" s="107" t="str">
        <f t="shared" si="2933"/>
        <v>T</v>
      </c>
      <c r="BH3828" s="254"/>
      <c r="BI3828" s="254"/>
    </row>
    <row r="3829" spans="1:61" customFormat="1" ht="17.25" thickBot="1" x14ac:dyDescent="0.3">
      <c r="A3829" s="673" t="s">
        <v>5267</v>
      </c>
      <c r="B3829" s="245"/>
      <c r="C3829" s="677"/>
      <c r="D3829" s="499"/>
      <c r="E3829" s="499"/>
      <c r="F3829" s="500"/>
      <c r="G3829" s="501"/>
      <c r="H3829" s="502"/>
      <c r="I3829" s="246"/>
      <c r="J3829" s="247"/>
      <c r="K3829" s="503"/>
      <c r="L3829" s="544"/>
      <c r="M3829" s="544"/>
      <c r="N3829" s="500"/>
      <c r="O3829" s="500"/>
      <c r="P3829" s="500"/>
      <c r="Q3829" s="500"/>
      <c r="R3829" s="500"/>
      <c r="S3829" s="669" t="s">
        <v>5019</v>
      </c>
      <c r="T3829" s="508">
        <f t="shared" si="2921"/>
        <v>0</v>
      </c>
      <c r="U3829" s="225" t="str">
        <f>IF(NOT(ISNUMBER(G3829)), "", VLOOKUP(A3829,'Discount Lookup'!D:E,2,FALSE)*G3829)</f>
        <v/>
      </c>
      <c r="V3829" s="225" t="str">
        <f>IF(NOT(ISNUMBER(G3829)), "", VLOOKUP(A3829,'Discount Lookup'!G:H,2,FALSE)*G3829)</f>
        <v/>
      </c>
      <c r="W3829" s="508">
        <f t="shared" si="2922"/>
        <v>0</v>
      </c>
      <c r="X3829" s="508">
        <f t="shared" si="2923"/>
        <v>0</v>
      </c>
      <c r="Y3829" s="509" t="b">
        <f t="shared" si="2924"/>
        <v>0</v>
      </c>
      <c r="Z3829" s="510">
        <f t="shared" si="2925"/>
        <v>0</v>
      </c>
      <c r="AA3829" s="511"/>
      <c r="AB3829" s="511" t="str">
        <f t="shared" si="2926"/>
        <v/>
      </c>
      <c r="AC3829" s="698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698"/>
      <c r="AE3829" s="631" t="str">
        <f t="shared" si="2927"/>
        <v/>
      </c>
      <c r="AF3829" s="699" t="str">
        <f t="shared" si="2928"/>
        <v/>
      </c>
      <c r="AG3829" s="699"/>
      <c r="AH3829" s="699"/>
      <c r="AI3829" s="512">
        <f>IF(H3829="credit",0,IF(AE3829="free",0,IF(AE3829="me",0,IF(G3829&gt;0,(VLOOKUP(A3829,'Discount Lookup'!J:K,2)*G3829),0))))</f>
        <v>0</v>
      </c>
      <c r="AJ3829" s="513" t="str">
        <f t="shared" ca="1" si="2929"/>
        <v/>
      </c>
      <c r="AK3829" s="700" t="str">
        <f t="shared" si="2930"/>
        <v/>
      </c>
      <c r="AL3829" s="700"/>
      <c r="AM3829" s="505" t="str">
        <f t="shared" si="2931"/>
        <v/>
      </c>
      <c r="AN3829" s="506"/>
      <c r="AO3829" s="507"/>
      <c r="AP3829" s="507"/>
      <c r="AQ3829" s="507"/>
      <c r="AR3829" s="507"/>
      <c r="AS3829" s="507"/>
      <c r="AT3829" s="507"/>
      <c r="AU3829" s="507"/>
      <c r="AV3829" s="225"/>
      <c r="AW3829" s="508"/>
      <c r="AX3829" s="225"/>
      <c r="AY3829" s="225"/>
      <c r="AZ3829" s="225"/>
      <c r="BA3829" s="225"/>
      <c r="BB3829" s="225"/>
      <c r="BC3829" s="56"/>
      <c r="BD3829" s="56"/>
      <c r="BE3829" s="56"/>
      <c r="BF3829" s="107" t="str">
        <f t="shared" si="2932"/>
        <v>https://www.google.com/search?tbm=isch&amp;q=moist%20sites%F0%9F%92%A7GOOD%2C%20Tulip%20Poplar%20is%20named%20for%20both%20the%20tulip-like%20flower%20and%20the%20tulip-shaped%20leaf.%20Fast%20grower%20</v>
      </c>
      <c r="BG3829" s="107" t="str">
        <f t="shared" si="2933"/>
        <v>m</v>
      </c>
      <c r="BH3829" s="254"/>
      <c r="BI3829" s="254"/>
    </row>
    <row r="3830" spans="1:61" customFormat="1" ht="18" x14ac:dyDescent="0.25">
      <c r="A3830" s="523" t="s">
        <v>1934</v>
      </c>
      <c r="B3830" s="235"/>
      <c r="C3830" s="676"/>
      <c r="D3830" s="255" t="s">
        <v>1935</v>
      </c>
      <c r="E3830" s="236"/>
      <c r="F3830" s="236"/>
      <c r="G3830" s="236"/>
      <c r="H3830" s="582" t="s">
        <v>924</v>
      </c>
      <c r="I3830" s="498" t="s">
        <v>1936</v>
      </c>
      <c r="J3830" s="237"/>
      <c r="K3830" s="237"/>
      <c r="L3830" s="274"/>
      <c r="M3830" s="668" t="s">
        <v>4962</v>
      </c>
      <c r="N3830" s="681" t="str">
        <f>IF(AND(ISTEXT($A3830), ISERROR($A3830+0)), HYPERLINK($BF3830, "Images"), "")</f>
        <v>Images</v>
      </c>
      <c r="O3830" s="663" t="s">
        <v>4967</v>
      </c>
      <c r="P3830" s="253"/>
      <c r="Q3830" s="238"/>
      <c r="R3830" s="239"/>
      <c r="S3830" s="275"/>
      <c r="T3830" s="508">
        <f t="shared" si="2921"/>
        <v>0</v>
      </c>
      <c r="U3830" s="225" t="str">
        <f>IF(NOT(ISNUMBER(G3830)), "", VLOOKUP(A3830,'Discount Lookup'!D:E,2,FALSE)*G3830)</f>
        <v/>
      </c>
      <c r="V3830" s="225" t="str">
        <f>IF(NOT(ISNUMBER(G3830)), "", VLOOKUP(A3830,'Discount Lookup'!G:H,2,FALSE)*G3830)</f>
        <v/>
      </c>
      <c r="W3830" s="508">
        <f t="shared" si="2922"/>
        <v>0</v>
      </c>
      <c r="X3830" s="508" t="str">
        <f t="shared" si="2923"/>
        <v>Watermelon Red bloom</v>
      </c>
      <c r="Y3830" s="509" t="b">
        <f t="shared" si="2924"/>
        <v>0</v>
      </c>
      <c r="Z3830" s="510">
        <f t="shared" si="2925"/>
        <v>0</v>
      </c>
      <c r="AA3830" s="511"/>
      <c r="AB3830" s="511" t="str">
        <f t="shared" si="2926"/>
        <v/>
      </c>
      <c r="AC3830" s="698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698"/>
      <c r="AE3830" s="631" t="str">
        <f t="shared" si="2927"/>
        <v/>
      </c>
      <c r="AF3830" s="699" t="str">
        <f t="shared" si="2928"/>
        <v/>
      </c>
      <c r="AG3830" s="699"/>
      <c r="AH3830" s="699"/>
      <c r="AI3830" s="512">
        <f>IF(H3830="credit",0,IF(AE3830="free",0,IF(AE3830="me",0,IF(G3830&gt;0,(VLOOKUP(A3830,'Discount Lookup'!J:K,2)*G3830),0))))</f>
        <v>0</v>
      </c>
      <c r="AJ3830" s="513" t="str">
        <f t="shared" ca="1" si="2929"/>
        <v/>
      </c>
      <c r="AK3830" s="700" t="str">
        <f t="shared" si="2930"/>
        <v/>
      </c>
      <c r="AL3830" s="700"/>
      <c r="AM3830" s="505" t="str">
        <f t="shared" si="2931"/>
        <v/>
      </c>
      <c r="AN3830" s="506"/>
      <c r="AO3830" s="507"/>
      <c r="AP3830" s="507"/>
      <c r="AQ3830" s="507"/>
      <c r="AR3830" s="507"/>
      <c r="AS3830" s="507"/>
      <c r="AT3830" s="507"/>
      <c r="AU3830" s="507"/>
      <c r="AV3830" s="225"/>
      <c r="AW3830" s="508"/>
      <c r="AX3830" s="225"/>
      <c r="AY3830" s="225"/>
      <c r="AZ3830" s="225"/>
      <c r="BA3830" s="225"/>
      <c r="BB3830" s="225"/>
      <c r="BC3830" s="56"/>
      <c r="BD3830" s="56"/>
      <c r="BE3830" s="56"/>
      <c r="BF3830" s="107" t="str">
        <f t="shared" si="2932"/>
        <v>https://www.google.com/search?tbm=isch&amp;q=Tuscarora%20Crape%20Myrtle%20Lagerstroemia%20indica%20x%20fauriei%20%27Tuscarora%27</v>
      </c>
      <c r="BG3830" s="107" t="str">
        <f t="shared" si="2933"/>
        <v>T</v>
      </c>
      <c r="BH3830" s="254"/>
      <c r="BI3830" s="254"/>
    </row>
    <row r="3831" spans="1:61" customFormat="1" ht="15.75" x14ac:dyDescent="0.25">
      <c r="A3831" s="276">
        <v>15</v>
      </c>
      <c r="B3831" s="240" t="s">
        <v>291</v>
      </c>
      <c r="C3831" s="241" t="s">
        <v>4694</v>
      </c>
      <c r="D3831" s="242" t="s">
        <v>297</v>
      </c>
      <c r="E3831" s="243">
        <v>155.94999999999999</v>
      </c>
      <c r="F3831" s="517" t="s">
        <v>293</v>
      </c>
      <c r="G3831" s="232">
        <v>0</v>
      </c>
      <c r="H3831" s="661" t="str">
        <f>IF(G3831=0,"",IF(F3831="Buy",IF(G3831=1,"plant","plants"),IF(F3831&gt;0.01,"warranty","Error")))</f>
        <v/>
      </c>
      <c r="I3831" s="244">
        <f>IF(H3831="free",0,IF(H3831="credit",((E3831*(F3831))*G3831*-1),IF(F3831="Buy",(E3831*G3831),((E3831*(1-F3831))*G3831))))</f>
        <v>0</v>
      </c>
      <c r="J3831" s="244">
        <f>IF(H3831="warranty",0,(I3831*(_xlfn.SINGLE(SalesTaxPercentage))))</f>
        <v>0</v>
      </c>
      <c r="K3831" s="696">
        <f t="shared" ref="K3831" si="2952">I3831+J3831</f>
        <v>0</v>
      </c>
      <c r="L3831" s="696"/>
      <c r="M3831" s="659" t="str">
        <f>IF(AND(G3831&gt;0,E3831=0),"WARNING - no PRICE inserted",IF(H3831="free"," FREE ~ no charge this plant",IF(H3831="credit",CONCATENATE(" -$",ROUND(K3831*(1-T2GDiscount)*-1,2)," CREDIT after discount"),IF(T2GDiscount=0,"",IF(G3831=0,"",IF(F3831="Buy",CONCATENATE(" $",ROUND(K3831*(1-T2GDiscount),2)," with ",(T2GDiscount*100),"% discount"),CONCATENATE(" $",ROUND(K3831*(1-T2GDiscount),2)," with ",((T2GDiscount*100+F3831*100)-(T2GDiscount*100*F3831)),IF(F3831&gt;0,"% discounts",IF(NoWarrantyDiscount&gt;0,"% discounts","% discount")))))))))</f>
        <v/>
      </c>
      <c r="N3831" s="660"/>
      <c r="O3831" s="233"/>
      <c r="P3831" s="233"/>
      <c r="Q3831" s="233"/>
      <c r="R3831" s="233"/>
      <c r="S3831" s="233"/>
      <c r="T3831" s="508">
        <f t="shared" si="2921"/>
        <v>0</v>
      </c>
      <c r="U3831" s="225">
        <f>IF(NOT(ISNUMBER(G3831)), "", VLOOKUP(A3831,'Discount Lookup'!D:E,2,FALSE)*G3831)</f>
        <v>0</v>
      </c>
      <c r="V3831" s="225">
        <f>IF(NOT(ISNUMBER(G3831)), "", VLOOKUP(A3831,'Discount Lookup'!G:H,2,FALSE)*G3831)</f>
        <v>0</v>
      </c>
      <c r="W3831" s="508">
        <f t="shared" si="2922"/>
        <v>0</v>
      </c>
      <c r="X3831" s="508">
        <f t="shared" si="2923"/>
        <v>0</v>
      </c>
      <c r="Y3831" s="509" t="b">
        <f t="shared" si="2924"/>
        <v>0</v>
      </c>
      <c r="Z3831" s="510">
        <f t="shared" si="2925"/>
        <v>0</v>
      </c>
      <c r="AA3831" s="511"/>
      <c r="AB3831" s="511" t="str">
        <f t="shared" si="2926"/>
        <v/>
      </c>
      <c r="AC3831" s="698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698"/>
      <c r="AE3831" s="631" t="str">
        <f t="shared" si="2927"/>
        <v/>
      </c>
      <c r="AF3831" s="699" t="str">
        <f t="shared" si="2928"/>
        <v/>
      </c>
      <c r="AG3831" s="699"/>
      <c r="AH3831" s="699"/>
      <c r="AI3831" s="512">
        <f>IF(H3831="credit",0,IF(AE3831="free",0,IF(AE3831="me",0,IF(G3831&gt;0,(VLOOKUP(A3831,'Discount Lookup'!J:K,2)*G3831),0))))</f>
        <v>0</v>
      </c>
      <c r="AJ3831" s="513" t="str">
        <f t="shared" ca="1" si="2929"/>
        <v/>
      </c>
      <c r="AK3831" s="700" t="str">
        <f t="shared" si="2930"/>
        <v/>
      </c>
      <c r="AL3831" s="700"/>
      <c r="AM3831" s="505" t="str">
        <f t="shared" si="2931"/>
        <v/>
      </c>
      <c r="AN3831" s="506"/>
      <c r="AO3831" s="507"/>
      <c r="AP3831" s="507"/>
      <c r="AQ3831" s="507"/>
      <c r="AR3831" s="507"/>
      <c r="AS3831" s="507"/>
      <c r="AT3831" s="507"/>
      <c r="AU3831" s="507"/>
      <c r="AV3831" s="225"/>
      <c r="AW3831" s="508"/>
      <c r="AX3831" s="225"/>
      <c r="AY3831" s="225"/>
      <c r="AZ3831" s="225"/>
      <c r="BA3831" s="225"/>
      <c r="BB3831" s="225"/>
      <c r="BC3831" s="56"/>
      <c r="BD3831" s="56"/>
      <c r="BE3831" s="56"/>
      <c r="BF3831" s="107" t="str">
        <f t="shared" si="2932"/>
        <v>https://www.google.com/search?tbm=isch&amp;q=15%20G3</v>
      </c>
      <c r="BG3831" s="107" t="str">
        <f t="shared" si="2933"/>
        <v>T</v>
      </c>
      <c r="BH3831" s="254"/>
      <c r="BI3831" s="254"/>
    </row>
    <row r="3832" spans="1:61" customFormat="1" ht="15.75" x14ac:dyDescent="0.25">
      <c r="A3832" s="276">
        <v>20</v>
      </c>
      <c r="B3832" s="240" t="s">
        <v>291</v>
      </c>
      <c r="C3832" s="241" t="s">
        <v>1937</v>
      </c>
      <c r="D3832" s="242" t="s">
        <v>297</v>
      </c>
      <c r="E3832" s="243">
        <v>224.95</v>
      </c>
      <c r="F3832" s="517" t="s">
        <v>293</v>
      </c>
      <c r="G3832" s="232">
        <v>0</v>
      </c>
      <c r="H3832" s="661" t="str">
        <f>IF(G3832=0,"",IF(F3832="Buy",IF(G3832=1,"plant","plants"),IF(F3832&gt;0.01,"warranty","Error")))</f>
        <v/>
      </c>
      <c r="I3832" s="244">
        <f>IF(H3832="free",0,IF(H3832="credit",((E3832*(F3832))*G3832*-1),IF(F3832="Buy",(E3832*G3832),((E3832*(1-F3832))*G3832))))</f>
        <v>0</v>
      </c>
      <c r="J3832" s="244">
        <f>IF(H3832="warranty",0,(I3832*(_xlfn.SINGLE(SalesTaxPercentage))))</f>
        <v>0</v>
      </c>
      <c r="K3832" s="696">
        <f t="shared" ref="K3832" si="2953">I3832+J3832</f>
        <v>0</v>
      </c>
      <c r="L3832" s="696"/>
      <c r="M3832" s="659" t="str">
        <f>IF(AND(G3832&gt;0,E3832=0),"WARNING - no PRICE inserted",IF(H3832="free"," FREE ~ no charge this plant",IF(H3832="credit",CONCATENATE(" -$",ROUND(K3832*(1-T2GDiscount)*-1,2)," CREDIT after discount"),IF(T2GDiscount=0,"",IF(G3832=0,"",IF(F3832="Buy",CONCATENATE(" $",ROUND(K3832*(1-T2GDiscount),2)," with ",(T2GDiscount*100),"% discount"),CONCATENATE(" $",ROUND(K3832*(1-T2GDiscount),2)," with ",((T2GDiscount*100+F3832*100)-(T2GDiscount*100*F3832)),IF(F3832&gt;0,"% discounts",IF(NoWarrantyDiscount&gt;0,"% discounts","% discount")))))))))</f>
        <v/>
      </c>
      <c r="N3832" s="660"/>
      <c r="O3832" s="233"/>
      <c r="P3832" s="233"/>
      <c r="Q3832" s="233"/>
      <c r="R3832" s="233"/>
      <c r="S3832" s="233"/>
      <c r="T3832" s="508">
        <f t="shared" si="2921"/>
        <v>0</v>
      </c>
      <c r="U3832" s="225">
        <f>IF(NOT(ISNUMBER(G3832)), "", VLOOKUP(A3832,'Discount Lookup'!D:E,2,FALSE)*G3832)</f>
        <v>0</v>
      </c>
      <c r="V3832" s="225">
        <f>IF(NOT(ISNUMBER(G3832)), "", VLOOKUP(A3832,'Discount Lookup'!G:H,2,FALSE)*G3832)</f>
        <v>0</v>
      </c>
      <c r="W3832" s="508">
        <f t="shared" si="2922"/>
        <v>0</v>
      </c>
      <c r="X3832" s="508">
        <f t="shared" si="2923"/>
        <v>0</v>
      </c>
      <c r="Y3832" s="509" t="b">
        <f t="shared" si="2924"/>
        <v>0</v>
      </c>
      <c r="Z3832" s="510">
        <f t="shared" si="2925"/>
        <v>0</v>
      </c>
      <c r="AA3832" s="511"/>
      <c r="AB3832" s="511" t="str">
        <f t="shared" si="2926"/>
        <v/>
      </c>
      <c r="AC3832" s="698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698"/>
      <c r="AE3832" s="631" t="str">
        <f t="shared" si="2927"/>
        <v/>
      </c>
      <c r="AF3832" s="699" t="str">
        <f t="shared" si="2928"/>
        <v/>
      </c>
      <c r="AG3832" s="699"/>
      <c r="AH3832" s="699"/>
      <c r="AI3832" s="512">
        <f>IF(H3832="credit",0,IF(AE3832="free",0,IF(AE3832="me",0,IF(G3832&gt;0,(VLOOKUP(A3832,'Discount Lookup'!J:K,2)*G3832),0))))</f>
        <v>0</v>
      </c>
      <c r="AJ3832" s="513" t="str">
        <f t="shared" ca="1" si="2929"/>
        <v/>
      </c>
      <c r="AK3832" s="700" t="str">
        <f t="shared" si="2930"/>
        <v/>
      </c>
      <c r="AL3832" s="700"/>
      <c r="AM3832" s="505" t="str">
        <f t="shared" si="2931"/>
        <v/>
      </c>
      <c r="AN3832" s="506"/>
      <c r="AO3832" s="507"/>
      <c r="AP3832" s="507"/>
      <c r="AQ3832" s="507"/>
      <c r="AR3832" s="507"/>
      <c r="AS3832" s="507"/>
      <c r="AT3832" s="507"/>
      <c r="AU3832" s="507"/>
      <c r="AV3832" s="225"/>
      <c r="AW3832" s="508"/>
      <c r="AX3832" s="225"/>
      <c r="AY3832" s="225"/>
      <c r="AZ3832" s="225"/>
      <c r="BA3832" s="225"/>
      <c r="BB3832" s="225"/>
      <c r="BC3832" s="56"/>
      <c r="BD3832" s="56"/>
      <c r="BE3832" s="56"/>
      <c r="BF3832" s="107" t="str">
        <f t="shared" si="2932"/>
        <v>https://www.google.com/search?tbm=isch&amp;q=20%20G3</v>
      </c>
      <c r="BG3832" s="107" t="str">
        <f t="shared" si="2933"/>
        <v>T</v>
      </c>
      <c r="BH3832" s="254"/>
      <c r="BI3832" s="254"/>
    </row>
    <row r="3833" spans="1:61" customFormat="1" ht="15.75" x14ac:dyDescent="0.25">
      <c r="A3833" s="276">
        <v>25</v>
      </c>
      <c r="B3833" s="240" t="s">
        <v>291</v>
      </c>
      <c r="C3833" s="241" t="s">
        <v>1938</v>
      </c>
      <c r="D3833" s="242" t="s">
        <v>300</v>
      </c>
      <c r="E3833" s="243">
        <v>314.95</v>
      </c>
      <c r="F3833" s="517" t="s">
        <v>293</v>
      </c>
      <c r="G3833" s="232">
        <v>0</v>
      </c>
      <c r="H3833" s="661" t="str">
        <f>IF(G3833=0,"",IF(F3833="Buy",IF(G3833=1,"plant","plants"),IF(F3833&gt;0.01,"warranty","Error")))</f>
        <v/>
      </c>
      <c r="I3833" s="244">
        <f>IF(H3833="free",0,IF(H3833="credit",((E3833*(F3833))*G3833*-1),IF(F3833="Buy",(E3833*G3833),((E3833*(1-F3833))*G3833))))</f>
        <v>0</v>
      </c>
      <c r="J3833" s="244">
        <f>IF(H3833="warranty",0,(I3833*(_xlfn.SINGLE(SalesTaxPercentage))))</f>
        <v>0</v>
      </c>
      <c r="K3833" s="696">
        <f t="shared" ref="K3833" si="2954">I3833+J3833</f>
        <v>0</v>
      </c>
      <c r="L3833" s="696"/>
      <c r="M3833" s="659" t="str">
        <f>IF(AND(G3833&gt;0,E3833=0),"WARNING - no PRICE inserted",IF(H3833="free"," FREE ~ no charge this plant",IF(H3833="credit",CONCATENATE(" -$",ROUND(K3833*(1-T2GDiscount)*-1,2)," CREDIT after discount"),IF(T2GDiscount=0,"",IF(G3833=0,"",IF(F3833="Buy",CONCATENATE(" $",ROUND(K3833*(1-T2GDiscount),2)," with ",(T2GDiscount*100),"% discount"),CONCATENATE(" $",ROUND(K3833*(1-T2GDiscount),2)," with ",((T2GDiscount*100+F3833*100)-(T2GDiscount*100*F3833)),IF(F3833&gt;0,"% discounts",IF(NoWarrantyDiscount&gt;0,"% discounts","% discount")))))))))</f>
        <v/>
      </c>
      <c r="N3833" s="660"/>
      <c r="O3833" s="233"/>
      <c r="P3833" s="233"/>
      <c r="Q3833" s="233"/>
      <c r="R3833" s="233"/>
      <c r="S3833" s="233"/>
      <c r="T3833" s="508">
        <f t="shared" si="2921"/>
        <v>0</v>
      </c>
      <c r="U3833" s="225">
        <f>IF(NOT(ISNUMBER(G3833)), "", VLOOKUP(A3833,'Discount Lookup'!D:E,2,FALSE)*G3833)</f>
        <v>0</v>
      </c>
      <c r="V3833" s="225">
        <f>IF(NOT(ISNUMBER(G3833)), "", VLOOKUP(A3833,'Discount Lookup'!G:H,2,FALSE)*G3833)</f>
        <v>0</v>
      </c>
      <c r="W3833" s="508">
        <f t="shared" si="2922"/>
        <v>0</v>
      </c>
      <c r="X3833" s="508">
        <f t="shared" si="2923"/>
        <v>0</v>
      </c>
      <c r="Y3833" s="509" t="b">
        <f t="shared" si="2924"/>
        <v>0</v>
      </c>
      <c r="Z3833" s="510">
        <f t="shared" si="2925"/>
        <v>0</v>
      </c>
      <c r="AA3833" s="511"/>
      <c r="AB3833" s="511" t="str">
        <f t="shared" si="2926"/>
        <v/>
      </c>
      <c r="AC3833" s="698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698"/>
      <c r="AE3833" s="631" t="str">
        <f t="shared" si="2927"/>
        <v/>
      </c>
      <c r="AF3833" s="699" t="str">
        <f t="shared" si="2928"/>
        <v/>
      </c>
      <c r="AG3833" s="699"/>
      <c r="AH3833" s="699"/>
      <c r="AI3833" s="512">
        <f>IF(H3833="credit",0,IF(AE3833="free",0,IF(AE3833="me",0,IF(G3833&gt;0,(VLOOKUP(A3833,'Discount Lookup'!J:K,2)*G3833),0))))</f>
        <v>0</v>
      </c>
      <c r="AJ3833" s="513" t="str">
        <f t="shared" ca="1" si="2929"/>
        <v/>
      </c>
      <c r="AK3833" s="700" t="str">
        <f t="shared" si="2930"/>
        <v/>
      </c>
      <c r="AL3833" s="700"/>
      <c r="AM3833" s="505" t="str">
        <f t="shared" si="2931"/>
        <v/>
      </c>
      <c r="AN3833" s="506"/>
      <c r="AO3833" s="507"/>
      <c r="AP3833" s="507"/>
      <c r="AQ3833" s="507"/>
      <c r="AR3833" s="507"/>
      <c r="AS3833" s="507"/>
      <c r="AT3833" s="507"/>
      <c r="AU3833" s="507"/>
      <c r="AV3833" s="225"/>
      <c r="AW3833" s="508"/>
      <c r="AX3833" s="225"/>
      <c r="AY3833" s="225"/>
      <c r="AZ3833" s="225"/>
      <c r="BA3833" s="225"/>
      <c r="BB3833" s="225"/>
      <c r="BC3833" s="56"/>
      <c r="BD3833" s="56"/>
      <c r="BE3833" s="56"/>
      <c r="BF3833" s="107" t="str">
        <f t="shared" si="2932"/>
        <v>https://www.google.com/search?tbm=isch&amp;q=25%20G6</v>
      </c>
      <c r="BG3833" s="107" t="str">
        <f t="shared" si="2933"/>
        <v>T</v>
      </c>
      <c r="BH3833" s="254"/>
      <c r="BI3833" s="254"/>
    </row>
    <row r="3834" spans="1:61" customFormat="1" ht="17.25" thickBot="1" x14ac:dyDescent="0.3">
      <c r="A3834" s="524" t="s">
        <v>2190</v>
      </c>
      <c r="B3834" s="245"/>
      <c r="C3834" s="677"/>
      <c r="D3834" s="499"/>
      <c r="E3834" s="499"/>
      <c r="F3834" s="500"/>
      <c r="G3834" s="501"/>
      <c r="H3834" s="502"/>
      <c r="I3834" s="246"/>
      <c r="J3834" s="247"/>
      <c r="K3834" s="503"/>
      <c r="L3834" s="544"/>
      <c r="M3834" s="544"/>
      <c r="N3834" s="500"/>
      <c r="O3834" s="500"/>
      <c r="P3834" s="500"/>
      <c r="Q3834" s="500"/>
      <c r="R3834" s="500"/>
      <c r="S3834" s="278"/>
      <c r="T3834" s="508">
        <f t="shared" si="2921"/>
        <v>0</v>
      </c>
      <c r="U3834" s="225" t="str">
        <f>IF(NOT(ISNUMBER(G3834)), "", VLOOKUP(A3834,'Discount Lookup'!D:E,2,FALSE)*G3834)</f>
        <v/>
      </c>
      <c r="V3834" s="225" t="str">
        <f>IF(NOT(ISNUMBER(G3834)), "", VLOOKUP(A3834,'Discount Lookup'!G:H,2,FALSE)*G3834)</f>
        <v/>
      </c>
      <c r="W3834" s="508">
        <f t="shared" si="2922"/>
        <v>0</v>
      </c>
      <c r="X3834" s="508">
        <f t="shared" si="2923"/>
        <v>0</v>
      </c>
      <c r="Y3834" s="509" t="b">
        <f t="shared" si="2924"/>
        <v>0</v>
      </c>
      <c r="Z3834" s="510">
        <f t="shared" si="2925"/>
        <v>0</v>
      </c>
      <c r="AA3834" s="511"/>
      <c r="AB3834" s="511" t="str">
        <f t="shared" si="2926"/>
        <v/>
      </c>
      <c r="AC3834" s="698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698"/>
      <c r="AE3834" s="631" t="str">
        <f t="shared" si="2927"/>
        <v/>
      </c>
      <c r="AF3834" s="699" t="str">
        <f t="shared" si="2928"/>
        <v/>
      </c>
      <c r="AG3834" s="699"/>
      <c r="AH3834" s="699"/>
      <c r="AI3834" s="512">
        <f>IF(H3834="credit",0,IF(AE3834="free",0,IF(AE3834="me",0,IF(G3834&gt;0,(VLOOKUP(A3834,'Discount Lookup'!J:K,2)*G3834),0))))</f>
        <v>0</v>
      </c>
      <c r="AJ3834" s="513" t="str">
        <f t="shared" ca="1" si="2929"/>
        <v/>
      </c>
      <c r="AK3834" s="700" t="str">
        <f t="shared" si="2930"/>
        <v/>
      </c>
      <c r="AL3834" s="700"/>
      <c r="AM3834" s="505" t="str">
        <f t="shared" si="2931"/>
        <v/>
      </c>
      <c r="AN3834" s="506"/>
      <c r="AO3834" s="507"/>
      <c r="AP3834" s="507"/>
      <c r="AQ3834" s="507"/>
      <c r="AR3834" s="507"/>
      <c r="AS3834" s="507"/>
      <c r="AT3834" s="507"/>
      <c r="AU3834" s="507"/>
      <c r="AV3834" s="225"/>
      <c r="AW3834" s="508"/>
      <c r="AX3834" s="225"/>
      <c r="AY3834" s="225"/>
      <c r="AZ3834" s="225"/>
      <c r="BA3834" s="225"/>
      <c r="BB3834" s="225"/>
      <c r="BC3834" s="56"/>
      <c r="BD3834" s="56"/>
      <c r="BE3834" s="56"/>
      <c r="BF3834" s="107" t="str">
        <f t="shared" si="2932"/>
        <v>https://www.google.com/search?tbm=isch&amp;q=Tuscarora%20has%20one%20of%20the%20longest%20blooming%20seasons%20of%20any%20crape%20myrtle.%20Grey%20bark%20</v>
      </c>
      <c r="BG3834" s="107" t="str">
        <f t="shared" si="2933"/>
        <v>T</v>
      </c>
      <c r="BH3834" s="254"/>
      <c r="BI3834" s="254"/>
    </row>
    <row r="3835" spans="1:61" customFormat="1" ht="18" x14ac:dyDescent="0.25">
      <c r="A3835" s="523" t="s">
        <v>2492</v>
      </c>
      <c r="B3835" s="235"/>
      <c r="C3835" s="676"/>
      <c r="D3835" s="255" t="s">
        <v>2493</v>
      </c>
      <c r="E3835" s="236"/>
      <c r="F3835" s="236"/>
      <c r="G3835" s="236"/>
      <c r="H3835" s="582" t="s">
        <v>311</v>
      </c>
      <c r="I3835" s="498" t="s">
        <v>2494</v>
      </c>
      <c r="J3835" s="237"/>
      <c r="K3835" s="237"/>
      <c r="L3835" s="274"/>
      <c r="M3835" s="668" t="s">
        <v>4962</v>
      </c>
      <c r="N3835" s="681" t="str">
        <f>IF(AND(ISTEXT($A3835), ISERROR($A3835+0)), HYPERLINK($BF3835, "Images"), "")</f>
        <v>Images</v>
      </c>
      <c r="O3835" s="663" t="s">
        <v>4969</v>
      </c>
      <c r="P3835" s="253"/>
      <c r="Q3835" s="238"/>
      <c r="R3835" s="239"/>
      <c r="S3835" s="275"/>
      <c r="T3835" s="508">
        <f t="shared" si="2921"/>
        <v>0</v>
      </c>
      <c r="U3835" s="225" t="str">
        <f>IF(NOT(ISNUMBER(G3835)), "", VLOOKUP(A3835,'Discount Lookup'!D:E,2,FALSE)*G3835)</f>
        <v/>
      </c>
      <c r="V3835" s="225" t="str">
        <f>IF(NOT(ISNUMBER(G3835)), "", VLOOKUP(A3835,'Discount Lookup'!G:H,2,FALSE)*G3835)</f>
        <v/>
      </c>
      <c r="W3835" s="508">
        <f t="shared" si="2922"/>
        <v>0</v>
      </c>
      <c r="X3835" s="508" t="str">
        <f t="shared" si="2923"/>
        <v>Deep Purple bloom</v>
      </c>
      <c r="Y3835" s="509" t="b">
        <f t="shared" si="2924"/>
        <v>0</v>
      </c>
      <c r="Z3835" s="510">
        <f t="shared" si="2925"/>
        <v>0</v>
      </c>
      <c r="AA3835" s="511"/>
      <c r="AB3835" s="511" t="str">
        <f t="shared" si="2926"/>
        <v/>
      </c>
      <c r="AC3835" s="698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698"/>
      <c r="AE3835" s="631" t="str">
        <f t="shared" si="2927"/>
        <v/>
      </c>
      <c r="AF3835" s="699" t="str">
        <f t="shared" si="2928"/>
        <v/>
      </c>
      <c r="AG3835" s="699"/>
      <c r="AH3835" s="699"/>
      <c r="AI3835" s="512">
        <f>IF(H3835="credit",0,IF(AE3835="free",0,IF(AE3835="me",0,IF(G3835&gt;0,(VLOOKUP(A3835,'Discount Lookup'!J:K,2)*G3835),0))))</f>
        <v>0</v>
      </c>
      <c r="AJ3835" s="513" t="str">
        <f t="shared" ca="1" si="2929"/>
        <v/>
      </c>
      <c r="AK3835" s="700" t="str">
        <f t="shared" si="2930"/>
        <v/>
      </c>
      <c r="AL3835" s="700"/>
      <c r="AM3835" s="505" t="str">
        <f t="shared" si="2931"/>
        <v/>
      </c>
      <c r="AN3835" s="506"/>
      <c r="AO3835" s="507"/>
      <c r="AP3835" s="507"/>
      <c r="AQ3835" s="507"/>
      <c r="AR3835" s="507"/>
      <c r="AS3835" s="507"/>
      <c r="AT3835" s="507"/>
      <c r="AU3835" s="507"/>
      <c r="AV3835" s="225"/>
      <c r="AW3835" s="508"/>
      <c r="AX3835" s="225"/>
      <c r="AY3835" s="225"/>
      <c r="AZ3835" s="225"/>
      <c r="BA3835" s="225"/>
      <c r="BB3835" s="225"/>
      <c r="BC3835" s="56"/>
      <c r="BD3835" s="56"/>
      <c r="BE3835" s="56"/>
      <c r="BF3835" s="107" t="str">
        <f t="shared" si="2932"/>
        <v>https://www.google.com/search?tbm=isch&amp;q=Twilight%20Crape%20Myrtle%20Lagerstroemia%20indica%20%27Twilight%27</v>
      </c>
      <c r="BG3835" s="107" t="str">
        <f t="shared" si="2933"/>
        <v>T</v>
      </c>
      <c r="BH3835" s="254"/>
      <c r="BI3835" s="254"/>
    </row>
    <row r="3836" spans="1:61" customFormat="1" ht="15.75" x14ac:dyDescent="0.25">
      <c r="A3836" s="276">
        <v>10</v>
      </c>
      <c r="B3836" s="240" t="s">
        <v>291</v>
      </c>
      <c r="C3836" s="241" t="s">
        <v>4953</v>
      </c>
      <c r="D3836" s="242" t="s">
        <v>297</v>
      </c>
      <c r="E3836" s="243">
        <v>83.95</v>
      </c>
      <c r="F3836" s="517" t="s">
        <v>293</v>
      </c>
      <c r="G3836" s="232">
        <v>0</v>
      </c>
      <c r="H3836" s="661" t="str">
        <f>IF(G3836=0,"",IF(F3836="Buy",IF(G3836=1,"plant","plants"),IF(F3836&gt;0.01,"warranty","Error")))</f>
        <v/>
      </c>
      <c r="I3836" s="244">
        <f>IF(H3836="free",0,IF(H3836="credit",((E3836*(F3836))*G3836*-1),IF(F3836="Buy",(E3836*G3836),((E3836*(1-F3836))*G3836))))</f>
        <v>0</v>
      </c>
      <c r="J3836" s="244">
        <f>IF(H3836="warranty",0,(I3836*(_xlfn.SINGLE(SalesTaxPercentage))))</f>
        <v>0</v>
      </c>
      <c r="K3836" s="696">
        <f t="shared" ref="K3836" si="2955">I3836+J3836</f>
        <v>0</v>
      </c>
      <c r="L3836" s="696"/>
      <c r="M3836" s="659" t="str">
        <f>IF(AND(G3836&gt;0,E3836=0),"WARNING - no PRICE inserted",IF(H3836="free"," FREE ~ no charge this plant",IF(H3836="credit",CONCATENATE(" -$",ROUND(K3836*(1-T2GDiscount)*-1,2)," CREDIT after discount"),IF(T2GDiscount=0,"",IF(G3836=0,"",IF(F3836="Buy",CONCATENATE(" $",ROUND(K3836*(1-T2GDiscount),2)," with ",(T2GDiscount*100),"% discount"),CONCATENATE(" $",ROUND(K3836*(1-T2GDiscount),2)," with ",((T2GDiscount*100+F3836*100)-(T2GDiscount*100*F3836)),IF(F3836&gt;0,"% discounts",IF(NoWarrantyDiscount&gt;0,"% discounts","% discount")))))))))</f>
        <v/>
      </c>
      <c r="N3836" s="660"/>
      <c r="O3836" s="233"/>
      <c r="P3836" s="233"/>
      <c r="Q3836" s="233"/>
      <c r="R3836" s="233"/>
      <c r="S3836" s="233"/>
      <c r="T3836" s="508">
        <f t="shared" si="2921"/>
        <v>0</v>
      </c>
      <c r="U3836" s="225">
        <f>IF(NOT(ISNUMBER(G3836)), "", VLOOKUP(A3836,'Discount Lookup'!D:E,2,FALSE)*G3836)</f>
        <v>0</v>
      </c>
      <c r="V3836" s="225">
        <f>IF(NOT(ISNUMBER(G3836)), "", VLOOKUP(A3836,'Discount Lookup'!G:H,2,FALSE)*G3836)</f>
        <v>0</v>
      </c>
      <c r="W3836" s="508">
        <f t="shared" si="2922"/>
        <v>0</v>
      </c>
      <c r="X3836" s="508">
        <f t="shared" si="2923"/>
        <v>0</v>
      </c>
      <c r="Y3836" s="509" t="b">
        <f t="shared" si="2924"/>
        <v>0</v>
      </c>
      <c r="Z3836" s="510">
        <f t="shared" si="2925"/>
        <v>0</v>
      </c>
      <c r="AA3836" s="511"/>
      <c r="AB3836" s="511" t="str">
        <f t="shared" si="2926"/>
        <v/>
      </c>
      <c r="AC3836" s="698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698"/>
      <c r="AE3836" s="631" t="str">
        <f t="shared" si="2927"/>
        <v/>
      </c>
      <c r="AF3836" s="699" t="str">
        <f t="shared" si="2928"/>
        <v/>
      </c>
      <c r="AG3836" s="699"/>
      <c r="AH3836" s="699"/>
      <c r="AI3836" s="512">
        <f>IF(H3836="credit",0,IF(AE3836="free",0,IF(AE3836="me",0,IF(G3836&gt;0,(VLOOKUP(A3836,'Discount Lookup'!J:K,2)*G3836),0))))</f>
        <v>0</v>
      </c>
      <c r="AJ3836" s="513" t="str">
        <f t="shared" ca="1" si="2929"/>
        <v/>
      </c>
      <c r="AK3836" s="700" t="str">
        <f t="shared" si="2930"/>
        <v/>
      </c>
      <c r="AL3836" s="700"/>
      <c r="AM3836" s="505" t="str">
        <f t="shared" si="2931"/>
        <v/>
      </c>
      <c r="AN3836" s="506"/>
      <c r="AO3836" s="507"/>
      <c r="AP3836" s="507"/>
      <c r="AQ3836" s="507"/>
      <c r="AR3836" s="507"/>
      <c r="AS3836" s="507"/>
      <c r="AT3836" s="507"/>
      <c r="AU3836" s="507"/>
      <c r="AV3836" s="225"/>
      <c r="AW3836" s="508"/>
      <c r="AX3836" s="225"/>
      <c r="AY3836" s="225"/>
      <c r="AZ3836" s="225"/>
      <c r="BA3836" s="225"/>
      <c r="BB3836" s="225"/>
      <c r="BC3836" s="56"/>
      <c r="BD3836" s="56"/>
      <c r="BE3836" s="56"/>
      <c r="BF3836" s="107" t="str">
        <f t="shared" si="2932"/>
        <v>https://www.google.com/search?tbm=isch&amp;q=10%20G3</v>
      </c>
      <c r="BG3836" s="107" t="str">
        <f t="shared" si="2933"/>
        <v>T</v>
      </c>
      <c r="BH3836" s="254"/>
      <c r="BI3836" s="254"/>
    </row>
    <row r="3837" spans="1:61" customFormat="1" ht="15.75" x14ac:dyDescent="0.25">
      <c r="A3837" s="276">
        <v>20</v>
      </c>
      <c r="B3837" s="240" t="s">
        <v>291</v>
      </c>
      <c r="C3837" s="241" t="s">
        <v>4954</v>
      </c>
      <c r="D3837" s="242" t="s">
        <v>297</v>
      </c>
      <c r="E3837" s="243">
        <v>224.95</v>
      </c>
      <c r="F3837" s="517" t="s">
        <v>293</v>
      </c>
      <c r="G3837" s="232">
        <v>0</v>
      </c>
      <c r="H3837" s="661" t="str">
        <f>IF(G3837=0,"",IF(F3837="Buy",IF(G3837=1,"plant","plants"),IF(F3837&gt;0.01,"warranty","Error")))</f>
        <v/>
      </c>
      <c r="I3837" s="244">
        <f>IF(H3837="free",0,IF(H3837="credit",((E3837*(F3837))*G3837*-1),IF(F3837="Buy",(E3837*G3837),((E3837*(1-F3837))*G3837))))</f>
        <v>0</v>
      </c>
      <c r="J3837" s="244">
        <f>IF(H3837="warranty",0,(I3837*(_xlfn.SINGLE(SalesTaxPercentage))))</f>
        <v>0</v>
      </c>
      <c r="K3837" s="696">
        <f t="shared" ref="K3837" si="2956">I3837+J3837</f>
        <v>0</v>
      </c>
      <c r="L3837" s="696"/>
      <c r="M3837" s="659" t="str">
        <f>IF(AND(G3837&gt;0,E3837=0),"WARNING - no PRICE inserted",IF(H3837="free"," FREE ~ no charge this plant",IF(H3837="credit",CONCATENATE(" -$",ROUND(K3837*(1-T2GDiscount)*-1,2)," CREDIT after discount"),IF(T2GDiscount=0,"",IF(G3837=0,"",IF(F3837="Buy",CONCATENATE(" $",ROUND(K3837*(1-T2GDiscount),2)," with ",(T2GDiscount*100),"% discount"),CONCATENATE(" $",ROUND(K3837*(1-T2GDiscount),2)," with ",((T2GDiscount*100+F3837*100)-(T2GDiscount*100*F3837)),IF(F3837&gt;0,"% discounts",IF(NoWarrantyDiscount&gt;0,"% discounts","% discount")))))))))</f>
        <v/>
      </c>
      <c r="N3837" s="660"/>
      <c r="O3837" s="233"/>
      <c r="P3837" s="233"/>
      <c r="Q3837" s="233"/>
      <c r="R3837" s="233"/>
      <c r="S3837" s="233"/>
      <c r="T3837" s="508">
        <f t="shared" si="2921"/>
        <v>0</v>
      </c>
      <c r="U3837" s="225">
        <f>IF(NOT(ISNUMBER(G3837)), "", VLOOKUP(A3837,'Discount Lookup'!D:E,2,FALSE)*G3837)</f>
        <v>0</v>
      </c>
      <c r="V3837" s="225">
        <f>IF(NOT(ISNUMBER(G3837)), "", VLOOKUP(A3837,'Discount Lookup'!G:H,2,FALSE)*G3837)</f>
        <v>0</v>
      </c>
      <c r="W3837" s="508">
        <f t="shared" si="2922"/>
        <v>0</v>
      </c>
      <c r="X3837" s="508">
        <f t="shared" si="2923"/>
        <v>0</v>
      </c>
      <c r="Y3837" s="509" t="b">
        <f t="shared" si="2924"/>
        <v>0</v>
      </c>
      <c r="Z3837" s="510">
        <f t="shared" si="2925"/>
        <v>0</v>
      </c>
      <c r="AA3837" s="511"/>
      <c r="AB3837" s="511" t="str">
        <f t="shared" si="2926"/>
        <v/>
      </c>
      <c r="AC3837" s="698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698"/>
      <c r="AE3837" s="631" t="str">
        <f t="shared" si="2927"/>
        <v/>
      </c>
      <c r="AF3837" s="699" t="str">
        <f t="shared" si="2928"/>
        <v/>
      </c>
      <c r="AG3837" s="699"/>
      <c r="AH3837" s="699"/>
      <c r="AI3837" s="512">
        <f>IF(H3837="credit",0,IF(AE3837="free",0,IF(AE3837="me",0,IF(G3837&gt;0,(VLOOKUP(A3837,'Discount Lookup'!J:K,2)*G3837),0))))</f>
        <v>0</v>
      </c>
      <c r="AJ3837" s="513" t="str">
        <f t="shared" ca="1" si="2929"/>
        <v/>
      </c>
      <c r="AK3837" s="700" t="str">
        <f t="shared" si="2930"/>
        <v/>
      </c>
      <c r="AL3837" s="700"/>
      <c r="AM3837" s="505" t="str">
        <f t="shared" si="2931"/>
        <v/>
      </c>
      <c r="AN3837" s="506"/>
      <c r="AO3837" s="507"/>
      <c r="AP3837" s="507"/>
      <c r="AQ3837" s="507"/>
      <c r="AR3837" s="507"/>
      <c r="AS3837" s="507"/>
      <c r="AT3837" s="507"/>
      <c r="AU3837" s="507"/>
      <c r="AV3837" s="225"/>
      <c r="AW3837" s="508"/>
      <c r="AX3837" s="225"/>
      <c r="AY3837" s="225"/>
      <c r="AZ3837" s="225"/>
      <c r="BA3837" s="225"/>
      <c r="BB3837" s="225"/>
      <c r="BC3837" s="56"/>
      <c r="BD3837" s="56"/>
      <c r="BE3837" s="56"/>
      <c r="BF3837" s="107" t="str">
        <f t="shared" si="2932"/>
        <v>https://www.google.com/search?tbm=isch&amp;q=20%20G3</v>
      </c>
      <c r="BG3837" s="107" t="str">
        <f t="shared" si="2933"/>
        <v>T</v>
      </c>
      <c r="BH3837" s="254"/>
      <c r="BI3837" s="254"/>
    </row>
    <row r="3838" spans="1:61" customFormat="1" ht="17.25" thickBot="1" x14ac:dyDescent="0.3">
      <c r="A3838" s="524" t="s">
        <v>2495</v>
      </c>
      <c r="B3838" s="245"/>
      <c r="C3838" s="677"/>
      <c r="D3838" s="499"/>
      <c r="E3838" s="499"/>
      <c r="F3838" s="500"/>
      <c r="G3838" s="501"/>
      <c r="H3838" s="502"/>
      <c r="I3838" s="246"/>
      <c r="J3838" s="247"/>
      <c r="K3838" s="503"/>
      <c r="L3838" s="544"/>
      <c r="M3838" s="544"/>
      <c r="N3838" s="500"/>
      <c r="O3838" s="500"/>
      <c r="P3838" s="500"/>
      <c r="Q3838" s="500"/>
      <c r="R3838" s="500"/>
      <c r="S3838" s="278"/>
      <c r="T3838" s="508">
        <f t="shared" si="2921"/>
        <v>0</v>
      </c>
      <c r="U3838" s="225" t="str">
        <f>IF(NOT(ISNUMBER(G3838)), "", VLOOKUP(A3838,'Discount Lookup'!D:E,2,FALSE)*G3838)</f>
        <v/>
      </c>
      <c r="V3838" s="225" t="str">
        <f>IF(NOT(ISNUMBER(G3838)), "", VLOOKUP(A3838,'Discount Lookup'!G:H,2,FALSE)*G3838)</f>
        <v/>
      </c>
      <c r="W3838" s="508">
        <f t="shared" si="2922"/>
        <v>0</v>
      </c>
      <c r="X3838" s="508">
        <f t="shared" si="2923"/>
        <v>0</v>
      </c>
      <c r="Y3838" s="509" t="b">
        <f t="shared" si="2924"/>
        <v>0</v>
      </c>
      <c r="Z3838" s="510">
        <f t="shared" si="2925"/>
        <v>0</v>
      </c>
      <c r="AA3838" s="511"/>
      <c r="AB3838" s="511" t="str">
        <f t="shared" si="2926"/>
        <v/>
      </c>
      <c r="AC3838" s="698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698"/>
      <c r="AE3838" s="631" t="str">
        <f t="shared" si="2927"/>
        <v/>
      </c>
      <c r="AF3838" s="699" t="str">
        <f t="shared" si="2928"/>
        <v/>
      </c>
      <c r="AG3838" s="699"/>
      <c r="AH3838" s="699"/>
      <c r="AI3838" s="512">
        <f>IF(H3838="credit",0,IF(AE3838="free",0,IF(AE3838="me",0,IF(G3838&gt;0,(VLOOKUP(A3838,'Discount Lookup'!J:K,2)*G3838),0))))</f>
        <v>0</v>
      </c>
      <c r="AJ3838" s="513" t="str">
        <f t="shared" ca="1" si="2929"/>
        <v/>
      </c>
      <c r="AK3838" s="700" t="str">
        <f t="shared" si="2930"/>
        <v/>
      </c>
      <c r="AL3838" s="700"/>
      <c r="AM3838" s="505" t="str">
        <f t="shared" si="2931"/>
        <v/>
      </c>
      <c r="AN3838" s="506"/>
      <c r="AO3838" s="507"/>
      <c r="AP3838" s="507"/>
      <c r="AQ3838" s="507"/>
      <c r="AR3838" s="507"/>
      <c r="AS3838" s="507"/>
      <c r="AT3838" s="507"/>
      <c r="AU3838" s="507"/>
      <c r="AV3838" s="225"/>
      <c r="AW3838" s="508"/>
      <c r="AX3838" s="225"/>
      <c r="AY3838" s="225"/>
      <c r="AZ3838" s="225"/>
      <c r="BA3838" s="225"/>
      <c r="BB3838" s="225"/>
      <c r="BC3838" s="56"/>
      <c r="BD3838" s="56"/>
      <c r="BE3838" s="56"/>
      <c r="BF3838" s="107" t="str">
        <f t="shared" si="2932"/>
        <v>https://www.google.com/search?tbm=isch&amp;q=Twilight%20has%20the%20deepest%20purple%20bloom%20displays%20among%20crape%20myrtles.%20Exfoliating%20bark%20has%20patches%20of%20Cinnamon-Pink%20tones%20</v>
      </c>
      <c r="BG3838" s="107" t="str">
        <f t="shared" si="2933"/>
        <v>T</v>
      </c>
      <c r="BH3838" s="254"/>
      <c r="BI3838" s="254"/>
    </row>
    <row r="3839" spans="1:61" customFormat="1" ht="18" x14ac:dyDescent="0.25">
      <c r="A3839" s="523" t="s">
        <v>5629</v>
      </c>
      <c r="B3839" s="235"/>
      <c r="C3839" s="676"/>
      <c r="D3839" s="255" t="s">
        <v>851</v>
      </c>
      <c r="E3839" s="236"/>
      <c r="F3839" s="236"/>
      <c r="G3839" s="236"/>
      <c r="H3839" s="582" t="s">
        <v>810</v>
      </c>
      <c r="I3839" s="498" t="s">
        <v>1496</v>
      </c>
      <c r="J3839" s="237"/>
      <c r="K3839" s="237"/>
      <c r="L3839" s="274"/>
      <c r="M3839" s="670" t="s">
        <v>4973</v>
      </c>
      <c r="N3839" s="681" t="str">
        <f>IF(AND(ISTEXT($A3839), ISERROR($A3839+0)), HYPERLINK($BF3839, "Images"), "")</f>
        <v>Images</v>
      </c>
      <c r="O3839" s="663" t="s">
        <v>4974</v>
      </c>
      <c r="P3839" s="253"/>
      <c r="Q3839" s="238"/>
      <c r="R3839" s="239"/>
      <c r="S3839" s="275"/>
      <c r="T3839" s="508">
        <f t="shared" si="2921"/>
        <v>0</v>
      </c>
      <c r="U3839" s="225" t="str">
        <f>IF(NOT(ISNUMBER(G3839)), "", VLOOKUP(A3839,'Discount Lookup'!D:E,2,FALSE)*G3839)</f>
        <v/>
      </c>
      <c r="V3839" s="225" t="str">
        <f>IF(NOT(ISNUMBER(G3839)), "", VLOOKUP(A3839,'Discount Lookup'!G:H,2,FALSE)*G3839)</f>
        <v/>
      </c>
      <c r="W3839" s="508">
        <f t="shared" si="2922"/>
        <v>0</v>
      </c>
      <c r="X3839" s="508" t="str">
        <f t="shared" si="2923"/>
        <v>Pink to Blue bloom</v>
      </c>
      <c r="Y3839" s="509" t="b">
        <f t="shared" si="2924"/>
        <v>0</v>
      </c>
      <c r="Z3839" s="510">
        <f t="shared" si="2925"/>
        <v>0</v>
      </c>
      <c r="AA3839" s="511"/>
      <c r="AB3839" s="511" t="str">
        <f t="shared" si="2926"/>
        <v/>
      </c>
      <c r="AC3839" s="698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698"/>
      <c r="AE3839" s="631" t="str">
        <f t="shared" si="2927"/>
        <v/>
      </c>
      <c r="AF3839" s="699" t="str">
        <f t="shared" si="2928"/>
        <v/>
      </c>
      <c r="AG3839" s="699"/>
      <c r="AH3839" s="699"/>
      <c r="AI3839" s="512">
        <f>IF(H3839="credit",0,IF(AE3839="free",0,IF(AE3839="me",0,IF(G3839&gt;0,(VLOOKUP(A3839,'Discount Lookup'!J:K,2)*G3839),0))))</f>
        <v>0</v>
      </c>
      <c r="AJ3839" s="513" t="str">
        <f t="shared" ca="1" si="2929"/>
        <v/>
      </c>
      <c r="AK3839" s="700" t="str">
        <f t="shared" si="2930"/>
        <v/>
      </c>
      <c r="AL3839" s="700"/>
      <c r="AM3839" s="505" t="str">
        <f t="shared" si="2931"/>
        <v/>
      </c>
      <c r="AN3839" s="506"/>
      <c r="AO3839" s="507"/>
      <c r="AP3839" s="507"/>
      <c r="AQ3839" s="507"/>
      <c r="AR3839" s="507"/>
      <c r="AS3839" s="507"/>
      <c r="AT3839" s="507"/>
      <c r="AU3839" s="507"/>
      <c r="AV3839" s="225"/>
      <c r="AW3839" s="508"/>
      <c r="AX3839" s="225"/>
      <c r="AY3839" s="225"/>
      <c r="AZ3839" s="225"/>
      <c r="BA3839" s="225"/>
      <c r="BB3839" s="225"/>
      <c r="BC3839" s="56"/>
      <c r="BD3839" s="56"/>
      <c r="BE3839" s="56"/>
      <c r="BF3839" s="107" t="str">
        <f t="shared" si="2932"/>
        <v>https://www.google.com/search?tbm=isch&amp;q=Twist-N-Shout%C2%AE%20Bigleaf%20Hydrangea%20%28ES%C2%AE%29%20Hyd.%20macrophylla%20%27PIIHM-1%27%20PP%2320176</v>
      </c>
      <c r="BG3839" s="107" t="str">
        <f t="shared" si="2933"/>
        <v>T</v>
      </c>
      <c r="BH3839" s="254"/>
      <c r="BI3839" s="254"/>
    </row>
    <row r="3840" spans="1:61" customFormat="1" ht="15.75" x14ac:dyDescent="0.25">
      <c r="A3840" s="276">
        <v>3</v>
      </c>
      <c r="B3840" s="240" t="s">
        <v>291</v>
      </c>
      <c r="C3840" s="241" t="s">
        <v>4758</v>
      </c>
      <c r="D3840" s="242" t="s">
        <v>312</v>
      </c>
      <c r="E3840" s="243">
        <v>38.950000000000003</v>
      </c>
      <c r="F3840" s="517" t="s">
        <v>293</v>
      </c>
      <c r="G3840" s="232">
        <v>0</v>
      </c>
      <c r="H3840" s="661" t="str">
        <f>IF(G3840=0,"",IF(F3840="Buy",IF(G3840=1,"plant","plants"),IF(F3840&gt;0.01,"warranty","Error")))</f>
        <v/>
      </c>
      <c r="I3840" s="244">
        <f>IF(H3840="free",0,IF(H3840="credit",((E3840*(F3840))*G3840*-1),IF(F3840="Buy",(E3840*G3840),((E3840*(1-F3840))*G3840))))</f>
        <v>0</v>
      </c>
      <c r="J3840" s="244">
        <f>IF(H3840="warranty",0,(I3840*(_xlfn.SINGLE(SalesTaxPercentage))))</f>
        <v>0</v>
      </c>
      <c r="K3840" s="696">
        <f t="shared" ref="K3840" si="2957">I3840+J3840</f>
        <v>0</v>
      </c>
      <c r="L3840" s="696"/>
      <c r="M3840" s="659" t="str">
        <f>IF(AND(G3840&gt;0,E3840=0),"WARNING - no PRICE inserted",IF(H3840="free"," FREE ~ no charge this plant",IF(H3840="credit",CONCATENATE(" -$",ROUND(K3840*(1-T2GDiscount)*-1,2)," CREDIT after discount"),IF(T2GDiscount=0,"",IF(G3840=0,"",IF(F3840="Buy",CONCATENATE(" $",ROUND(K3840*(1-T2GDiscount),2)," with ",(T2GDiscount*100),"% discount"),CONCATENATE(" $",ROUND(K3840*(1-T2GDiscount),2)," with ",((T2GDiscount*100+F3840*100)-(T2GDiscount*100*F3840)),IF(F3840&gt;0,"% discounts",IF(NoWarrantyDiscount&gt;0,"% discounts","% discount")))))))))</f>
        <v/>
      </c>
      <c r="N3840" s="660"/>
      <c r="O3840" s="233"/>
      <c r="P3840" s="233"/>
      <c r="Q3840" s="233"/>
      <c r="R3840" s="233"/>
      <c r="S3840" s="233"/>
      <c r="T3840" s="508">
        <f t="shared" si="2921"/>
        <v>0</v>
      </c>
      <c r="U3840" s="225">
        <f>IF(NOT(ISNUMBER(G3840)), "", VLOOKUP(A3840,'Discount Lookup'!D:E,2,FALSE)*G3840)</f>
        <v>0</v>
      </c>
      <c r="V3840" s="225">
        <f>IF(NOT(ISNUMBER(G3840)), "", VLOOKUP(A3840,'Discount Lookup'!G:H,2,FALSE)*G3840)</f>
        <v>0</v>
      </c>
      <c r="W3840" s="508">
        <f t="shared" si="2922"/>
        <v>0</v>
      </c>
      <c r="X3840" s="508">
        <f t="shared" si="2923"/>
        <v>0</v>
      </c>
      <c r="Y3840" s="509" t="b">
        <f t="shared" si="2924"/>
        <v>0</v>
      </c>
      <c r="Z3840" s="510">
        <f t="shared" si="2925"/>
        <v>0</v>
      </c>
      <c r="AA3840" s="511"/>
      <c r="AB3840" s="511" t="str">
        <f t="shared" si="2926"/>
        <v/>
      </c>
      <c r="AC3840" s="698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698"/>
      <c r="AE3840" s="631" t="str">
        <f t="shared" si="2927"/>
        <v/>
      </c>
      <c r="AF3840" s="699" t="str">
        <f t="shared" si="2928"/>
        <v/>
      </c>
      <c r="AG3840" s="699"/>
      <c r="AH3840" s="699"/>
      <c r="AI3840" s="512">
        <f>IF(H3840="credit",0,IF(AE3840="free",0,IF(AE3840="me",0,IF(G3840&gt;0,(VLOOKUP(A3840,'Discount Lookup'!J:K,2)*G3840),0))))</f>
        <v>0</v>
      </c>
      <c r="AJ3840" s="513" t="str">
        <f t="shared" ca="1" si="2929"/>
        <v/>
      </c>
      <c r="AK3840" s="700" t="str">
        <f t="shared" si="2930"/>
        <v/>
      </c>
      <c r="AL3840" s="700"/>
      <c r="AM3840" s="505" t="str">
        <f t="shared" si="2931"/>
        <v/>
      </c>
      <c r="AN3840" s="506"/>
      <c r="AO3840" s="507"/>
      <c r="AP3840" s="507"/>
      <c r="AQ3840" s="507"/>
      <c r="AR3840" s="507"/>
      <c r="AS3840" s="507"/>
      <c r="AT3840" s="507"/>
      <c r="AU3840" s="507"/>
      <c r="AV3840" s="225"/>
      <c r="AW3840" s="508"/>
      <c r="AX3840" s="225"/>
      <c r="AY3840" s="225"/>
      <c r="AZ3840" s="225"/>
      <c r="BA3840" s="225"/>
      <c r="BB3840" s="225"/>
      <c r="BC3840" s="56"/>
      <c r="BD3840" s="56"/>
      <c r="BE3840" s="56"/>
      <c r="BF3840" s="107" t="str">
        <f t="shared" si="2932"/>
        <v>https://www.google.com/search?tbm=isch&amp;q=3%20G2</v>
      </c>
      <c r="BG3840" s="107" t="str">
        <f t="shared" si="2933"/>
        <v>T</v>
      </c>
      <c r="BH3840" s="254"/>
      <c r="BI3840" s="254"/>
    </row>
    <row r="3841" spans="1:61" customFormat="1" ht="17.25" thickBot="1" x14ac:dyDescent="0.3">
      <c r="A3841" s="673" t="s">
        <v>5268</v>
      </c>
      <c r="B3841" s="245"/>
      <c r="C3841" s="677"/>
      <c r="D3841" s="499"/>
      <c r="E3841" s="499"/>
      <c r="F3841" s="500"/>
      <c r="G3841" s="501"/>
      <c r="H3841" s="502"/>
      <c r="I3841" s="246"/>
      <c r="J3841" s="247"/>
      <c r="K3841" s="503"/>
      <c r="L3841" s="544"/>
      <c r="M3841" s="544"/>
      <c r="N3841" s="500"/>
      <c r="O3841" s="500"/>
      <c r="P3841" s="500"/>
      <c r="Q3841" s="500"/>
      <c r="R3841" s="500"/>
      <c r="S3841" s="278"/>
      <c r="T3841" s="508">
        <f t="shared" si="2921"/>
        <v>0</v>
      </c>
      <c r="U3841" s="225" t="str">
        <f>IF(NOT(ISNUMBER(G3841)), "", VLOOKUP(A3841,'Discount Lookup'!D:E,2,FALSE)*G3841)</f>
        <v/>
      </c>
      <c r="V3841" s="225" t="str">
        <f>IF(NOT(ISNUMBER(G3841)), "", VLOOKUP(A3841,'Discount Lookup'!G:H,2,FALSE)*G3841)</f>
        <v/>
      </c>
      <c r="W3841" s="508">
        <f t="shared" si="2922"/>
        <v>0</v>
      </c>
      <c r="X3841" s="508">
        <f t="shared" si="2923"/>
        <v>0</v>
      </c>
      <c r="Y3841" s="509" t="b">
        <f t="shared" si="2924"/>
        <v>0</v>
      </c>
      <c r="Z3841" s="510">
        <f t="shared" si="2925"/>
        <v>0</v>
      </c>
      <c r="AA3841" s="511"/>
      <c r="AB3841" s="511" t="str">
        <f t="shared" si="2926"/>
        <v/>
      </c>
      <c r="AC3841" s="698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698"/>
      <c r="AE3841" s="631" t="str">
        <f t="shared" si="2927"/>
        <v/>
      </c>
      <c r="AF3841" s="699" t="str">
        <f t="shared" si="2928"/>
        <v/>
      </c>
      <c r="AG3841" s="699"/>
      <c r="AH3841" s="699"/>
      <c r="AI3841" s="512">
        <f>IF(H3841="credit",0,IF(AE3841="free",0,IF(AE3841="me",0,IF(G3841&gt;0,(VLOOKUP(A3841,'Discount Lookup'!J:K,2)*G3841),0))))</f>
        <v>0</v>
      </c>
      <c r="AJ3841" s="513" t="str">
        <f t="shared" ca="1" si="2929"/>
        <v/>
      </c>
      <c r="AK3841" s="700" t="str">
        <f t="shared" si="2930"/>
        <v/>
      </c>
      <c r="AL3841" s="700"/>
      <c r="AM3841" s="505" t="str">
        <f t="shared" si="2931"/>
        <v/>
      </c>
      <c r="AN3841" s="506"/>
      <c r="AO3841" s="507"/>
      <c r="AP3841" s="507"/>
      <c r="AQ3841" s="507"/>
      <c r="AR3841" s="507"/>
      <c r="AS3841" s="507"/>
      <c r="AT3841" s="507"/>
      <c r="AU3841" s="507"/>
      <c r="AV3841" s="225"/>
      <c r="AW3841" s="508"/>
      <c r="AX3841" s="225"/>
      <c r="AY3841" s="225"/>
      <c r="AZ3841" s="225"/>
      <c r="BA3841" s="225"/>
      <c r="BB3841" s="225"/>
      <c r="BC3841" s="56"/>
      <c r="BD3841" s="56"/>
      <c r="BE3841" s="56"/>
      <c r="BF3841" s="107" t="str">
        <f t="shared" si="2932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3841" s="107" t="str">
        <f t="shared" si="2933"/>
        <v>m</v>
      </c>
      <c r="BH3841" s="254"/>
      <c r="BI3841" s="254"/>
    </row>
    <row r="3842" spans="1:61" customFormat="1" ht="18" x14ac:dyDescent="0.25">
      <c r="A3842" s="523" t="s">
        <v>5564</v>
      </c>
      <c r="B3842" s="235"/>
      <c r="C3842" s="676"/>
      <c r="D3842" s="255" t="s">
        <v>1939</v>
      </c>
      <c r="E3842" s="236"/>
      <c r="F3842" s="236"/>
      <c r="G3842" s="236"/>
      <c r="H3842" s="582" t="s">
        <v>355</v>
      </c>
      <c r="I3842" s="498" t="s">
        <v>654</v>
      </c>
      <c r="J3842" s="237"/>
      <c r="K3842" s="237"/>
      <c r="L3842" s="274"/>
      <c r="M3842" s="668" t="s">
        <v>4962</v>
      </c>
      <c r="N3842" s="681" t="str">
        <f>IF(AND(ISTEXT($A3842), ISERROR($A3842+0)), HYPERLINK($BF3842, "Images"), "")</f>
        <v>Images</v>
      </c>
      <c r="O3842" s="663" t="s">
        <v>4974</v>
      </c>
      <c r="P3842" s="253"/>
      <c r="Q3842" s="238"/>
      <c r="R3842" s="239"/>
      <c r="S3842" s="275"/>
      <c r="T3842" s="508">
        <f t="shared" si="2921"/>
        <v>0</v>
      </c>
      <c r="U3842" s="225" t="str">
        <f>IF(NOT(ISNUMBER(G3842)), "", VLOOKUP(A3842,'Discount Lookup'!D:E,2,FALSE)*G3842)</f>
        <v/>
      </c>
      <c r="V3842" s="225" t="str">
        <f>IF(NOT(ISNUMBER(G3842)), "", VLOOKUP(A3842,'Discount Lookup'!G:H,2,FALSE)*G3842)</f>
        <v/>
      </c>
      <c r="W3842" s="508">
        <f t="shared" si="2922"/>
        <v>0</v>
      </c>
      <c r="X3842" s="508" t="str">
        <f t="shared" si="2923"/>
        <v>White bloom</v>
      </c>
      <c r="Y3842" s="509" t="b">
        <f t="shared" si="2924"/>
        <v>0</v>
      </c>
      <c r="Z3842" s="510">
        <f t="shared" si="2925"/>
        <v>0</v>
      </c>
      <c r="AA3842" s="511"/>
      <c r="AB3842" s="511" t="str">
        <f t="shared" si="2926"/>
        <v/>
      </c>
      <c r="AC3842" s="698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698"/>
      <c r="AE3842" s="631" t="str">
        <f t="shared" si="2927"/>
        <v/>
      </c>
      <c r="AF3842" s="699" t="str">
        <f t="shared" si="2928"/>
        <v/>
      </c>
      <c r="AG3842" s="699"/>
      <c r="AH3842" s="699"/>
      <c r="AI3842" s="512">
        <f>IF(H3842="credit",0,IF(AE3842="free",0,IF(AE3842="me",0,IF(G3842&gt;0,(VLOOKUP(A3842,'Discount Lookup'!J:K,2)*G3842),0))))</f>
        <v>0</v>
      </c>
      <c r="AJ3842" s="513" t="str">
        <f t="shared" ca="1" si="2929"/>
        <v/>
      </c>
      <c r="AK3842" s="700" t="str">
        <f t="shared" si="2930"/>
        <v/>
      </c>
      <c r="AL3842" s="700"/>
      <c r="AM3842" s="505" t="str">
        <f t="shared" si="2931"/>
        <v/>
      </c>
      <c r="AN3842" s="506"/>
      <c r="AO3842" s="507"/>
      <c r="AP3842" s="507"/>
      <c r="AQ3842" s="507"/>
      <c r="AR3842" s="507"/>
      <c r="AS3842" s="507"/>
      <c r="AT3842" s="507"/>
      <c r="AU3842" s="507"/>
      <c r="AV3842" s="225"/>
      <c r="AW3842" s="508"/>
      <c r="AX3842" s="225"/>
      <c r="AY3842" s="225"/>
      <c r="AZ3842" s="225"/>
      <c r="BA3842" s="225"/>
      <c r="BB3842" s="225"/>
      <c r="BC3842" s="56"/>
      <c r="BD3842" s="56"/>
      <c r="BE3842" s="56"/>
      <c r="BF3842" s="107" t="str">
        <f t="shared" si="2932"/>
        <v>https://www.google.com/search?tbm=isch&amp;q=Twisty%20Baby%C2%AE%20Black%20Locust%20Robinia%20pseudoacacia%20%27Lace%20Lady%27%20PP%239771Exp.</v>
      </c>
      <c r="BG3842" s="107" t="str">
        <f t="shared" si="2933"/>
        <v>T</v>
      </c>
      <c r="BH3842" s="254"/>
      <c r="BI3842" s="254"/>
    </row>
    <row r="3843" spans="1:61" customFormat="1" ht="27" x14ac:dyDescent="0.25">
      <c r="A3843" s="276">
        <v>7</v>
      </c>
      <c r="B3843" s="240" t="s">
        <v>291</v>
      </c>
      <c r="C3843" s="241" t="s">
        <v>3826</v>
      </c>
      <c r="D3843" s="242" t="s">
        <v>292</v>
      </c>
      <c r="E3843" s="243">
        <v>137.94999999999999</v>
      </c>
      <c r="F3843" s="517" t="s">
        <v>293</v>
      </c>
      <c r="G3843" s="232">
        <v>0</v>
      </c>
      <c r="H3843" s="661" t="str">
        <f>IF(G3843=0,"",IF(F3843="Buy",IF(G3843=1,"plant","plants"),IF(F3843&gt;0.01,"warranty","Error")))</f>
        <v/>
      </c>
      <c r="I3843" s="244">
        <f>IF(H3843="free",0,IF(H3843="credit",((E3843*(F3843))*G3843*-1),IF(F3843="Buy",(E3843*G3843),((E3843*(1-F3843))*G3843))))</f>
        <v>0</v>
      </c>
      <c r="J3843" s="244">
        <f>IF(H3843="warranty",0,(I3843*(_xlfn.SINGLE(SalesTaxPercentage))))</f>
        <v>0</v>
      </c>
      <c r="K3843" s="696">
        <f t="shared" ref="K3843" si="2958">I3843+J3843</f>
        <v>0</v>
      </c>
      <c r="L3843" s="696"/>
      <c r="M3843" s="659" t="str">
        <f>IF(AND(G3843&gt;0,E3843=0),"WARNING - no PRICE inserted",IF(H3843="free"," FREE ~ no charge this plant",IF(H3843="credit",CONCATENATE(" -$",ROUND(K3843*(1-T2GDiscount)*-1,2)," CREDIT after discount"),IF(T2GDiscount=0,"",IF(G3843=0,"",IF(F3843="Buy",CONCATENATE(" $",ROUND(K3843*(1-T2GDiscount),2)," with ",(T2GDiscount*100),"% discount"),CONCATENATE(" $",ROUND(K3843*(1-T2GDiscount),2)," with ",((T2GDiscount*100+F3843*100)-(T2GDiscount*100*F3843)),IF(F3843&gt;0,"% discounts",IF(NoWarrantyDiscount&gt;0,"% discounts","% discount")))))))))</f>
        <v/>
      </c>
      <c r="N3843" s="660"/>
      <c r="O3843" s="233"/>
      <c r="P3843" s="233"/>
      <c r="Q3843" s="233"/>
      <c r="R3843" s="233"/>
      <c r="S3843" s="233"/>
      <c r="T3843" s="508">
        <f t="shared" si="2921"/>
        <v>0</v>
      </c>
      <c r="U3843" s="225">
        <f>IF(NOT(ISNUMBER(G3843)), "", VLOOKUP(A3843,'Discount Lookup'!D:E,2,FALSE)*G3843)</f>
        <v>0</v>
      </c>
      <c r="V3843" s="225">
        <f>IF(NOT(ISNUMBER(G3843)), "", VLOOKUP(A3843,'Discount Lookup'!G:H,2,FALSE)*G3843)</f>
        <v>0</v>
      </c>
      <c r="W3843" s="508">
        <f t="shared" si="2922"/>
        <v>0</v>
      </c>
      <c r="X3843" s="508">
        <f t="shared" si="2923"/>
        <v>0</v>
      </c>
      <c r="Y3843" s="509" t="b">
        <f t="shared" si="2924"/>
        <v>0</v>
      </c>
      <c r="Z3843" s="510">
        <f t="shared" si="2925"/>
        <v>0</v>
      </c>
      <c r="AA3843" s="511"/>
      <c r="AB3843" s="511" t="str">
        <f t="shared" si="2926"/>
        <v/>
      </c>
      <c r="AC3843" s="698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698"/>
      <c r="AE3843" s="631" t="str">
        <f t="shared" si="2927"/>
        <v/>
      </c>
      <c r="AF3843" s="699" t="str">
        <f t="shared" si="2928"/>
        <v/>
      </c>
      <c r="AG3843" s="699"/>
      <c r="AH3843" s="699"/>
      <c r="AI3843" s="512">
        <f>IF(H3843="credit",0,IF(AE3843="free",0,IF(AE3843="me",0,IF(G3843&gt;0,(VLOOKUP(A3843,'Discount Lookup'!J:K,2)*G3843),0))))</f>
        <v>0</v>
      </c>
      <c r="AJ3843" s="513" t="str">
        <f t="shared" ca="1" si="2929"/>
        <v/>
      </c>
      <c r="AK3843" s="700" t="str">
        <f t="shared" si="2930"/>
        <v/>
      </c>
      <c r="AL3843" s="700"/>
      <c r="AM3843" s="505" t="str">
        <f t="shared" si="2931"/>
        <v/>
      </c>
      <c r="AN3843" s="506"/>
      <c r="AO3843" s="507"/>
      <c r="AP3843" s="507"/>
      <c r="AQ3843" s="507"/>
      <c r="AR3843" s="507"/>
      <c r="AS3843" s="507"/>
      <c r="AT3843" s="507"/>
      <c r="AU3843" s="507"/>
      <c r="AV3843" s="225"/>
      <c r="AW3843" s="508"/>
      <c r="AX3843" s="225"/>
      <c r="AY3843" s="225"/>
      <c r="AZ3843" s="225"/>
      <c r="BA3843" s="225"/>
      <c r="BB3843" s="225"/>
      <c r="BC3843" s="56"/>
      <c r="BD3843" s="56"/>
      <c r="BE3843" s="56"/>
      <c r="BF3843" s="107" t="str">
        <f t="shared" si="2932"/>
        <v>https://www.google.com/search?tbm=isch&amp;q=7%20G4</v>
      </c>
      <c r="BG3843" s="107" t="str">
        <f t="shared" si="2933"/>
        <v>T</v>
      </c>
      <c r="BH3843" s="254"/>
      <c r="BI3843" s="254"/>
    </row>
    <row r="3844" spans="1:61" customFormat="1" ht="15.75" x14ac:dyDescent="0.25">
      <c r="A3844" s="276">
        <v>15</v>
      </c>
      <c r="B3844" s="240" t="s">
        <v>291</v>
      </c>
      <c r="C3844" s="241" t="s">
        <v>3827</v>
      </c>
      <c r="D3844" s="242" t="s">
        <v>292</v>
      </c>
      <c r="E3844" s="243">
        <v>187.95</v>
      </c>
      <c r="F3844" s="517" t="s">
        <v>293</v>
      </c>
      <c r="G3844" s="232">
        <v>0</v>
      </c>
      <c r="H3844" s="661" t="str">
        <f>IF(G3844=0,"",IF(F3844="Buy",IF(G3844=1,"plant","plants"),IF(F3844&gt;0.01,"warranty","Error")))</f>
        <v/>
      </c>
      <c r="I3844" s="244">
        <f>IF(H3844="free",0,IF(H3844="credit",((E3844*(F3844))*G3844*-1),IF(F3844="Buy",(E3844*G3844),((E3844*(1-F3844))*G3844))))</f>
        <v>0</v>
      </c>
      <c r="J3844" s="244">
        <f>IF(H3844="warranty",0,(I3844*(_xlfn.SINGLE(SalesTaxPercentage))))</f>
        <v>0</v>
      </c>
      <c r="K3844" s="696">
        <f t="shared" ref="K3844" si="2959">I3844+J3844</f>
        <v>0</v>
      </c>
      <c r="L3844" s="696"/>
      <c r="M3844" s="659" t="str">
        <f>IF(AND(G3844&gt;0,E3844=0),"WARNING - no PRICE inserted",IF(H3844="free"," FREE ~ no charge this plant",IF(H3844="credit",CONCATENATE(" -$",ROUND(K3844*(1-T2GDiscount)*-1,2)," CREDIT after discount"),IF(T2GDiscount=0,"",IF(G3844=0,"",IF(F3844="Buy",CONCATENATE(" $",ROUND(K3844*(1-T2GDiscount),2)," with ",(T2GDiscount*100),"% discount"),CONCATENATE(" $",ROUND(K3844*(1-T2GDiscount),2)," with ",((T2GDiscount*100+F3844*100)-(T2GDiscount*100*F3844)),IF(F3844&gt;0,"% discounts",IF(NoWarrantyDiscount&gt;0,"% discounts","% discount")))))))))</f>
        <v/>
      </c>
      <c r="N3844" s="660"/>
      <c r="O3844" s="233"/>
      <c r="P3844" s="233"/>
      <c r="Q3844" s="233"/>
      <c r="R3844" s="233"/>
      <c r="S3844" s="233"/>
      <c r="T3844" s="508">
        <f t="shared" si="2921"/>
        <v>0</v>
      </c>
      <c r="U3844" s="225">
        <f>IF(NOT(ISNUMBER(G3844)), "", VLOOKUP(A3844,'Discount Lookup'!D:E,2,FALSE)*G3844)</f>
        <v>0</v>
      </c>
      <c r="V3844" s="225">
        <f>IF(NOT(ISNUMBER(G3844)), "", VLOOKUP(A3844,'Discount Lookup'!G:H,2,FALSE)*G3844)</f>
        <v>0</v>
      </c>
      <c r="W3844" s="508">
        <f t="shared" si="2922"/>
        <v>0</v>
      </c>
      <c r="X3844" s="508">
        <f t="shared" si="2923"/>
        <v>0</v>
      </c>
      <c r="Y3844" s="509" t="b">
        <f t="shared" si="2924"/>
        <v>0</v>
      </c>
      <c r="Z3844" s="510">
        <f t="shared" si="2925"/>
        <v>0</v>
      </c>
      <c r="AA3844" s="511"/>
      <c r="AB3844" s="511" t="str">
        <f t="shared" si="2926"/>
        <v/>
      </c>
      <c r="AC3844" s="698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698"/>
      <c r="AE3844" s="631" t="str">
        <f t="shared" si="2927"/>
        <v/>
      </c>
      <c r="AF3844" s="699" t="str">
        <f t="shared" si="2928"/>
        <v/>
      </c>
      <c r="AG3844" s="699"/>
      <c r="AH3844" s="699"/>
      <c r="AI3844" s="512">
        <f>IF(H3844="credit",0,IF(AE3844="free",0,IF(AE3844="me",0,IF(G3844&gt;0,(VLOOKUP(A3844,'Discount Lookup'!J:K,2)*G3844),0))))</f>
        <v>0</v>
      </c>
      <c r="AJ3844" s="513" t="str">
        <f t="shared" ca="1" si="2929"/>
        <v/>
      </c>
      <c r="AK3844" s="700" t="str">
        <f t="shared" si="2930"/>
        <v/>
      </c>
      <c r="AL3844" s="700"/>
      <c r="AM3844" s="505" t="str">
        <f t="shared" si="2931"/>
        <v/>
      </c>
      <c r="AN3844" s="506"/>
      <c r="AO3844" s="507"/>
      <c r="AP3844" s="507"/>
      <c r="AQ3844" s="507"/>
      <c r="AR3844" s="507"/>
      <c r="AS3844" s="507"/>
      <c r="AT3844" s="507"/>
      <c r="AU3844" s="507"/>
      <c r="AV3844" s="225"/>
      <c r="AW3844" s="508"/>
      <c r="AX3844" s="225"/>
      <c r="AY3844" s="225"/>
      <c r="AZ3844" s="225"/>
      <c r="BA3844" s="225"/>
      <c r="BB3844" s="225"/>
      <c r="BC3844" s="56"/>
      <c r="BD3844" s="56"/>
      <c r="BE3844" s="56"/>
      <c r="BF3844" s="107" t="str">
        <f t="shared" si="2932"/>
        <v>https://www.google.com/search?tbm=isch&amp;q=15%20G4</v>
      </c>
      <c r="BG3844" s="107" t="str">
        <f t="shared" si="2933"/>
        <v>T</v>
      </c>
      <c r="BH3844" s="254"/>
      <c r="BI3844" s="254"/>
    </row>
    <row r="3845" spans="1:61" customFormat="1" ht="17.25" thickBot="1" x14ac:dyDescent="0.3">
      <c r="A3845" s="524" t="s">
        <v>2191</v>
      </c>
      <c r="B3845" s="245"/>
      <c r="C3845" s="677"/>
      <c r="D3845" s="499"/>
      <c r="E3845" s="499"/>
      <c r="F3845" s="500"/>
      <c r="G3845" s="501"/>
      <c r="H3845" s="502"/>
      <c r="I3845" s="246"/>
      <c r="J3845" s="247"/>
      <c r="K3845" s="503"/>
      <c r="L3845" s="544"/>
      <c r="M3845" s="544"/>
      <c r="N3845" s="500"/>
      <c r="O3845" s="500"/>
      <c r="P3845" s="500"/>
      <c r="Q3845" s="500"/>
      <c r="R3845" s="500"/>
      <c r="S3845" s="669" t="s">
        <v>4972</v>
      </c>
      <c r="T3845" s="508">
        <f t="shared" si="2921"/>
        <v>0</v>
      </c>
      <c r="U3845" s="225" t="str">
        <f>IF(NOT(ISNUMBER(G3845)), "", VLOOKUP(A3845,'Discount Lookup'!D:E,2,FALSE)*G3845)</f>
        <v/>
      </c>
      <c r="V3845" s="225" t="str">
        <f>IF(NOT(ISNUMBER(G3845)), "", VLOOKUP(A3845,'Discount Lookup'!G:H,2,FALSE)*G3845)</f>
        <v/>
      </c>
      <c r="W3845" s="508">
        <f t="shared" si="2922"/>
        <v>0</v>
      </c>
      <c r="X3845" s="508">
        <f t="shared" si="2923"/>
        <v>0</v>
      </c>
      <c r="Y3845" s="509" t="b">
        <f t="shared" si="2924"/>
        <v>0</v>
      </c>
      <c r="Z3845" s="510">
        <f t="shared" si="2925"/>
        <v>0</v>
      </c>
      <c r="AA3845" s="511"/>
      <c r="AB3845" s="511" t="str">
        <f t="shared" si="2926"/>
        <v/>
      </c>
      <c r="AC3845" s="698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698"/>
      <c r="AE3845" s="631" t="str">
        <f t="shared" si="2927"/>
        <v/>
      </c>
      <c r="AF3845" s="699" t="str">
        <f t="shared" si="2928"/>
        <v/>
      </c>
      <c r="AG3845" s="699"/>
      <c r="AH3845" s="699"/>
      <c r="AI3845" s="512">
        <f>IF(H3845="credit",0,IF(AE3845="free",0,IF(AE3845="me",0,IF(G3845&gt;0,(VLOOKUP(A3845,'Discount Lookup'!J:K,2)*G3845),0))))</f>
        <v>0</v>
      </c>
      <c r="AJ3845" s="513" t="str">
        <f t="shared" ca="1" si="2929"/>
        <v/>
      </c>
      <c r="AK3845" s="700" t="str">
        <f t="shared" si="2930"/>
        <v/>
      </c>
      <c r="AL3845" s="700"/>
      <c r="AM3845" s="505" t="str">
        <f t="shared" si="2931"/>
        <v/>
      </c>
      <c r="AN3845" s="506"/>
      <c r="AO3845" s="507"/>
      <c r="AP3845" s="507"/>
      <c r="AQ3845" s="507"/>
      <c r="AR3845" s="507"/>
      <c r="AS3845" s="507"/>
      <c r="AT3845" s="507"/>
      <c r="AU3845" s="507"/>
      <c r="AV3845" s="225"/>
      <c r="AW3845" s="508"/>
      <c r="AX3845" s="225"/>
      <c r="AY3845" s="225"/>
      <c r="AZ3845" s="225"/>
      <c r="BA3845" s="225"/>
      <c r="BB3845" s="225"/>
      <c r="BC3845" s="56"/>
      <c r="BD3845" s="56"/>
      <c r="BE3845" s="56"/>
      <c r="BF3845" s="107" t="str">
        <f t="shared" si="2932"/>
        <v>https://www.google.com/search?tbm=isch&amp;q=Twisty%20Baby%20is%20a%20contortionist%2C%20with%20crooked%20stems%20and%20curled%20foliage.%20Fragrant%20blooms%20</v>
      </c>
      <c r="BG3845" s="107" t="str">
        <f t="shared" si="2933"/>
        <v>T</v>
      </c>
      <c r="BH3845" s="254"/>
      <c r="BI3845" s="254"/>
    </row>
    <row r="3846" spans="1:61" customFormat="1" ht="18" x14ac:dyDescent="0.25">
      <c r="A3846" s="523" t="s">
        <v>1940</v>
      </c>
      <c r="B3846" s="235"/>
      <c r="C3846" s="676"/>
      <c r="D3846" s="255" t="s">
        <v>1941</v>
      </c>
      <c r="E3846" s="236"/>
      <c r="F3846" s="236"/>
      <c r="G3846" s="236"/>
      <c r="H3846" s="582" t="s">
        <v>833</v>
      </c>
      <c r="I3846" s="498" t="s">
        <v>2260</v>
      </c>
      <c r="J3846" s="237"/>
      <c r="K3846" s="237"/>
      <c r="L3846" s="274"/>
      <c r="M3846" s="668" t="s">
        <v>4975</v>
      </c>
      <c r="N3846" s="681" t="str">
        <f>IF(AND(ISTEXT($A3846), ISERROR($A3846+0)), HYPERLINK($BF3846, "Images"), "")</f>
        <v>Images</v>
      </c>
      <c r="O3846" s="663" t="s">
        <v>4967</v>
      </c>
      <c r="P3846" s="253"/>
      <c r="Q3846" s="238"/>
      <c r="R3846" s="239"/>
      <c r="S3846" s="275"/>
      <c r="T3846" s="508">
        <f t="shared" si="2921"/>
        <v>0</v>
      </c>
      <c r="U3846" s="225" t="str">
        <f>IF(NOT(ISNUMBER(G3846)), "", VLOOKUP(A3846,'Discount Lookup'!D:E,2,FALSE)*G3846)</f>
        <v/>
      </c>
      <c r="V3846" s="225" t="str">
        <f>IF(NOT(ISNUMBER(G3846)), "", VLOOKUP(A3846,'Discount Lookup'!G:H,2,FALSE)*G3846)</f>
        <v/>
      </c>
      <c r="W3846" s="508">
        <f t="shared" si="2922"/>
        <v>0</v>
      </c>
      <c r="X3846" s="508" t="str">
        <f t="shared" si="2923"/>
        <v>Deep Burgundy foliage</v>
      </c>
      <c r="Y3846" s="509" t="b">
        <f t="shared" si="2924"/>
        <v>0</v>
      </c>
      <c r="Z3846" s="510">
        <f t="shared" si="2925"/>
        <v>0</v>
      </c>
      <c r="AA3846" s="511"/>
      <c r="AB3846" s="511" t="str">
        <f t="shared" si="2926"/>
        <v/>
      </c>
      <c r="AC3846" s="698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698"/>
      <c r="AE3846" s="631" t="str">
        <f t="shared" si="2927"/>
        <v/>
      </c>
      <c r="AF3846" s="699" t="str">
        <f t="shared" si="2928"/>
        <v/>
      </c>
      <c r="AG3846" s="699"/>
      <c r="AH3846" s="699"/>
      <c r="AI3846" s="512">
        <f>IF(H3846="credit",0,IF(AE3846="free",0,IF(AE3846="me",0,IF(G3846&gt;0,(VLOOKUP(A3846,'Discount Lookup'!J:K,2)*G3846),0))))</f>
        <v>0</v>
      </c>
      <c r="AJ3846" s="513" t="str">
        <f t="shared" ca="1" si="2929"/>
        <v/>
      </c>
      <c r="AK3846" s="700" t="str">
        <f t="shared" si="2930"/>
        <v/>
      </c>
      <c r="AL3846" s="700"/>
      <c r="AM3846" s="505" t="str">
        <f t="shared" si="2931"/>
        <v/>
      </c>
      <c r="AN3846" s="506"/>
      <c r="AO3846" s="507"/>
      <c r="AP3846" s="507"/>
      <c r="AQ3846" s="507"/>
      <c r="AR3846" s="507"/>
      <c r="AS3846" s="507"/>
      <c r="AT3846" s="507"/>
      <c r="AU3846" s="507"/>
      <c r="AV3846" s="225"/>
      <c r="AW3846" s="508"/>
      <c r="AX3846" s="225"/>
      <c r="AY3846" s="225"/>
      <c r="AZ3846" s="225"/>
      <c r="BA3846" s="225"/>
      <c r="BB3846" s="225"/>
      <c r="BC3846" s="56"/>
      <c r="BD3846" s="56"/>
      <c r="BE3846" s="56"/>
      <c r="BF3846" s="107" t="str">
        <f t="shared" si="2932"/>
        <v>https://www.google.com/search?tbm=isch&amp;q=Twombly%27s%20Red%20Sentinel%20Japanese%20Maple%20Acer%20palmatum%20%27Twombly%27s%20Red%20Sentinel%27</v>
      </c>
      <c r="BG3846" s="107" t="str">
        <f t="shared" si="2933"/>
        <v>T</v>
      </c>
      <c r="BH3846" s="254"/>
      <c r="BI3846" s="254"/>
    </row>
    <row r="3847" spans="1:61" customFormat="1" ht="15.75" x14ac:dyDescent="0.25">
      <c r="A3847" s="276">
        <v>7</v>
      </c>
      <c r="B3847" s="240" t="s">
        <v>291</v>
      </c>
      <c r="C3847" s="241" t="s">
        <v>3603</v>
      </c>
      <c r="D3847" s="242" t="s">
        <v>292</v>
      </c>
      <c r="E3847" s="243">
        <v>215.95</v>
      </c>
      <c r="F3847" s="517" t="s">
        <v>293</v>
      </c>
      <c r="G3847" s="232">
        <v>0</v>
      </c>
      <c r="H3847" s="661" t="str">
        <f>IF(G3847=0,"",IF(F3847="Buy",IF(G3847=1,"plant","plants"),IF(F3847&gt;0.01,"warranty","Error")))</f>
        <v/>
      </c>
      <c r="I3847" s="244">
        <f>IF(H3847="free",0,IF(H3847="credit",((E3847*(F3847))*G3847*-1),IF(F3847="Buy",(E3847*G3847),((E3847*(1-F3847))*G3847))))</f>
        <v>0</v>
      </c>
      <c r="J3847" s="244">
        <f>IF(H3847="warranty",0,(I3847*(_xlfn.SINGLE(SalesTaxPercentage))))</f>
        <v>0</v>
      </c>
      <c r="K3847" s="696">
        <f t="shared" ref="K3847" si="2960">I3847+J3847</f>
        <v>0</v>
      </c>
      <c r="L3847" s="696"/>
      <c r="M3847" s="659" t="str">
        <f>IF(AND(G3847&gt;0,E3847=0),"WARNING - no PRICE inserted",IF(H3847="free"," FREE ~ no charge this plant",IF(H3847="credit",CONCATENATE(" -$",ROUND(K3847*(1-T2GDiscount)*-1,2)," CREDIT after discount"),IF(T2GDiscount=0,"",IF(G3847=0,"",IF(F3847="Buy",CONCATENATE(" $",ROUND(K3847*(1-T2GDiscount),2)," with ",(T2GDiscount*100),"% discount"),CONCATENATE(" $",ROUND(K3847*(1-T2GDiscount),2)," with ",((T2GDiscount*100+F3847*100)-(T2GDiscount*100*F3847)),IF(F3847&gt;0,"% discounts",IF(NoWarrantyDiscount&gt;0,"% discounts","% discount")))))))))</f>
        <v/>
      </c>
      <c r="N3847" s="660"/>
      <c r="O3847" s="233"/>
      <c r="P3847" s="233"/>
      <c r="Q3847" s="233"/>
      <c r="R3847" s="233"/>
      <c r="S3847" s="233"/>
      <c r="T3847" s="508">
        <f t="shared" si="2921"/>
        <v>0</v>
      </c>
      <c r="U3847" s="225">
        <f>IF(NOT(ISNUMBER(G3847)), "", VLOOKUP(A3847,'Discount Lookup'!D:E,2,FALSE)*G3847)</f>
        <v>0</v>
      </c>
      <c r="V3847" s="225">
        <f>IF(NOT(ISNUMBER(G3847)), "", VLOOKUP(A3847,'Discount Lookup'!G:H,2,FALSE)*G3847)</f>
        <v>0</v>
      </c>
      <c r="W3847" s="508">
        <f t="shared" si="2922"/>
        <v>0</v>
      </c>
      <c r="X3847" s="508">
        <f t="shared" si="2923"/>
        <v>0</v>
      </c>
      <c r="Y3847" s="509" t="b">
        <f t="shared" si="2924"/>
        <v>0</v>
      </c>
      <c r="Z3847" s="510">
        <f t="shared" si="2925"/>
        <v>0</v>
      </c>
      <c r="AA3847" s="511"/>
      <c r="AB3847" s="511" t="str">
        <f t="shared" si="2926"/>
        <v/>
      </c>
      <c r="AC3847" s="698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698"/>
      <c r="AE3847" s="631" t="str">
        <f t="shared" si="2927"/>
        <v/>
      </c>
      <c r="AF3847" s="699" t="str">
        <f t="shared" si="2928"/>
        <v/>
      </c>
      <c r="AG3847" s="699"/>
      <c r="AH3847" s="699"/>
      <c r="AI3847" s="512">
        <f>IF(H3847="credit",0,IF(AE3847="free",0,IF(AE3847="me",0,IF(G3847&gt;0,(VLOOKUP(A3847,'Discount Lookup'!J:K,2)*G3847),0))))</f>
        <v>0</v>
      </c>
      <c r="AJ3847" s="513" t="str">
        <f t="shared" ca="1" si="2929"/>
        <v/>
      </c>
      <c r="AK3847" s="700" t="str">
        <f t="shared" si="2930"/>
        <v/>
      </c>
      <c r="AL3847" s="700"/>
      <c r="AM3847" s="505" t="str">
        <f t="shared" si="2931"/>
        <v/>
      </c>
      <c r="AN3847" s="506"/>
      <c r="AO3847" s="507"/>
      <c r="AP3847" s="507"/>
      <c r="AQ3847" s="507"/>
      <c r="AR3847" s="507"/>
      <c r="AS3847" s="507"/>
      <c r="AT3847" s="507"/>
      <c r="AU3847" s="507"/>
      <c r="AV3847" s="225"/>
      <c r="AW3847" s="508"/>
      <c r="AX3847" s="225"/>
      <c r="AY3847" s="225"/>
      <c r="AZ3847" s="225"/>
      <c r="BA3847" s="225"/>
      <c r="BB3847" s="225"/>
      <c r="BC3847" s="56"/>
      <c r="BD3847" s="56"/>
      <c r="BE3847" s="56"/>
      <c r="BF3847" s="107" t="str">
        <f t="shared" si="2932"/>
        <v>https://www.google.com/search?tbm=isch&amp;q=7%20G4</v>
      </c>
      <c r="BG3847" s="107" t="str">
        <f t="shared" si="2933"/>
        <v>T</v>
      </c>
      <c r="BH3847" s="254"/>
      <c r="BI3847" s="254"/>
    </row>
    <row r="3848" spans="1:61" customFormat="1" ht="15.75" x14ac:dyDescent="0.25">
      <c r="A3848" s="276">
        <v>15</v>
      </c>
      <c r="B3848" s="240" t="s">
        <v>291</v>
      </c>
      <c r="C3848" s="241" t="s">
        <v>3828</v>
      </c>
      <c r="D3848" s="242" t="s">
        <v>292</v>
      </c>
      <c r="E3848" s="243">
        <v>422.95</v>
      </c>
      <c r="F3848" s="517" t="s">
        <v>293</v>
      </c>
      <c r="G3848" s="232">
        <v>0</v>
      </c>
      <c r="H3848" s="661" t="str">
        <f>IF(G3848=0,"",IF(F3848="Buy",IF(G3848=1,"plant","plants"),IF(F3848&gt;0.01,"warranty","Error")))</f>
        <v/>
      </c>
      <c r="I3848" s="244">
        <f>IF(H3848="free",0,IF(H3848="credit",((E3848*(F3848))*G3848*-1),IF(F3848="Buy",(E3848*G3848),((E3848*(1-F3848))*G3848))))</f>
        <v>0</v>
      </c>
      <c r="J3848" s="244">
        <f>IF(H3848="warranty",0,(I3848*(_xlfn.SINGLE(SalesTaxPercentage))))</f>
        <v>0</v>
      </c>
      <c r="K3848" s="696">
        <f t="shared" ref="K3848" si="2961">I3848+J3848</f>
        <v>0</v>
      </c>
      <c r="L3848" s="696"/>
      <c r="M3848" s="659" t="str">
        <f>IF(AND(G3848&gt;0,E3848=0),"WARNING - no PRICE inserted",IF(H3848="free"," FREE ~ no charge this plant",IF(H3848="credit",CONCATENATE(" -$",ROUND(K3848*(1-T2GDiscount)*-1,2)," CREDIT after discount"),IF(T2GDiscount=0,"",IF(G3848=0,"",IF(F3848="Buy",CONCATENATE(" $",ROUND(K3848*(1-T2GDiscount),2)," with ",(T2GDiscount*100),"% discount"),CONCATENATE(" $",ROUND(K3848*(1-T2GDiscount),2)," with ",((T2GDiscount*100+F3848*100)-(T2GDiscount*100*F3848)),IF(F3848&gt;0,"% discounts",IF(NoWarrantyDiscount&gt;0,"% discounts","% discount")))))))))</f>
        <v/>
      </c>
      <c r="N3848" s="660"/>
      <c r="O3848" s="233"/>
      <c r="P3848" s="233"/>
      <c r="Q3848" s="233"/>
      <c r="R3848" s="233"/>
      <c r="S3848" s="233"/>
      <c r="T3848" s="508">
        <f t="shared" si="2921"/>
        <v>0</v>
      </c>
      <c r="U3848" s="225">
        <f>IF(NOT(ISNUMBER(G3848)), "", VLOOKUP(A3848,'Discount Lookup'!D:E,2,FALSE)*G3848)</f>
        <v>0</v>
      </c>
      <c r="V3848" s="225">
        <f>IF(NOT(ISNUMBER(G3848)), "", VLOOKUP(A3848,'Discount Lookup'!G:H,2,FALSE)*G3848)</f>
        <v>0</v>
      </c>
      <c r="W3848" s="508">
        <f t="shared" si="2922"/>
        <v>0</v>
      </c>
      <c r="X3848" s="508">
        <f t="shared" si="2923"/>
        <v>0</v>
      </c>
      <c r="Y3848" s="509" t="b">
        <f t="shared" si="2924"/>
        <v>0</v>
      </c>
      <c r="Z3848" s="510">
        <f t="shared" si="2925"/>
        <v>0</v>
      </c>
      <c r="AA3848" s="511"/>
      <c r="AB3848" s="511" t="str">
        <f t="shared" si="2926"/>
        <v/>
      </c>
      <c r="AC3848" s="698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698"/>
      <c r="AE3848" s="631" t="str">
        <f t="shared" si="2927"/>
        <v/>
      </c>
      <c r="AF3848" s="699" t="str">
        <f t="shared" si="2928"/>
        <v/>
      </c>
      <c r="AG3848" s="699"/>
      <c r="AH3848" s="699"/>
      <c r="AI3848" s="512">
        <f>IF(H3848="credit",0,IF(AE3848="free",0,IF(AE3848="me",0,IF(G3848&gt;0,(VLOOKUP(A3848,'Discount Lookup'!J:K,2)*G3848),0))))</f>
        <v>0</v>
      </c>
      <c r="AJ3848" s="513" t="str">
        <f t="shared" ca="1" si="2929"/>
        <v/>
      </c>
      <c r="AK3848" s="700" t="str">
        <f t="shared" si="2930"/>
        <v/>
      </c>
      <c r="AL3848" s="700"/>
      <c r="AM3848" s="505" t="str">
        <f t="shared" si="2931"/>
        <v/>
      </c>
      <c r="AN3848" s="506"/>
      <c r="AO3848" s="507"/>
      <c r="AP3848" s="507"/>
      <c r="AQ3848" s="507"/>
      <c r="AR3848" s="507"/>
      <c r="AS3848" s="507"/>
      <c r="AT3848" s="507"/>
      <c r="AU3848" s="507"/>
      <c r="AV3848" s="225"/>
      <c r="AW3848" s="508"/>
      <c r="AX3848" s="225"/>
      <c r="AY3848" s="225"/>
      <c r="AZ3848" s="225"/>
      <c r="BA3848" s="225"/>
      <c r="BB3848" s="225"/>
      <c r="BC3848" s="56"/>
      <c r="BD3848" s="56"/>
      <c r="BE3848" s="56"/>
      <c r="BF3848" s="107" t="str">
        <f t="shared" si="2932"/>
        <v>https://www.google.com/search?tbm=isch&amp;q=15%20G4</v>
      </c>
      <c r="BG3848" s="107" t="str">
        <f t="shared" si="2933"/>
        <v>T</v>
      </c>
      <c r="BH3848" s="254"/>
      <c r="BI3848" s="254"/>
    </row>
    <row r="3849" spans="1:61" customFormat="1" ht="27" x14ac:dyDescent="0.25">
      <c r="A3849" s="276">
        <v>25</v>
      </c>
      <c r="B3849" s="240" t="s">
        <v>291</v>
      </c>
      <c r="C3849" s="241" t="s">
        <v>3829</v>
      </c>
      <c r="D3849" s="242" t="s">
        <v>292</v>
      </c>
      <c r="E3849" s="243">
        <v>962.95</v>
      </c>
      <c r="F3849" s="517" t="s">
        <v>293</v>
      </c>
      <c r="G3849" s="232">
        <v>0</v>
      </c>
      <c r="H3849" s="661" t="str">
        <f>IF(G3849=0,"",IF(F3849="Buy",IF(G3849=1,"plant","plants"),IF(F3849&gt;0.01,"warranty","Error")))</f>
        <v/>
      </c>
      <c r="I3849" s="244">
        <f>IF(H3849="free",0,IF(H3849="credit",((E3849*(F3849))*G3849*-1),IF(F3849="Buy",(E3849*G3849),((E3849*(1-F3849))*G3849))))</f>
        <v>0</v>
      </c>
      <c r="J3849" s="244">
        <f>IF(H3849="warranty",0,(I3849*(_xlfn.SINGLE(SalesTaxPercentage))))</f>
        <v>0</v>
      </c>
      <c r="K3849" s="696">
        <f t="shared" ref="K3849" si="2962">I3849+J3849</f>
        <v>0</v>
      </c>
      <c r="L3849" s="696"/>
      <c r="M3849" s="659" t="str">
        <f>IF(AND(G3849&gt;0,E3849=0),"WARNING - no PRICE inserted",IF(H3849="free"," FREE ~ no charge this plant",IF(H3849="credit",CONCATENATE(" -$",ROUND(K3849*(1-T2GDiscount)*-1,2)," CREDIT after discount"),IF(T2GDiscount=0,"",IF(G3849=0,"",IF(F3849="Buy",CONCATENATE(" $",ROUND(K3849*(1-T2GDiscount),2)," with ",(T2GDiscount*100),"% discount"),CONCATENATE(" $",ROUND(K3849*(1-T2GDiscount),2)," with ",((T2GDiscount*100+F3849*100)-(T2GDiscount*100*F3849)),IF(F3849&gt;0,"% discounts",IF(NoWarrantyDiscount&gt;0,"% discounts","% discount")))))))))</f>
        <v/>
      </c>
      <c r="N3849" s="660"/>
      <c r="O3849" s="233"/>
      <c r="P3849" s="233"/>
      <c r="Q3849" s="233"/>
      <c r="R3849" s="233"/>
      <c r="S3849" s="233"/>
      <c r="T3849" s="508">
        <f t="shared" si="2921"/>
        <v>0</v>
      </c>
      <c r="U3849" s="225">
        <f>IF(NOT(ISNUMBER(G3849)), "", VLOOKUP(A3849,'Discount Lookup'!D:E,2,FALSE)*G3849)</f>
        <v>0</v>
      </c>
      <c r="V3849" s="225">
        <f>IF(NOT(ISNUMBER(G3849)), "", VLOOKUP(A3849,'Discount Lookup'!G:H,2,FALSE)*G3849)</f>
        <v>0</v>
      </c>
      <c r="W3849" s="508">
        <f t="shared" si="2922"/>
        <v>0</v>
      </c>
      <c r="X3849" s="508">
        <f t="shared" si="2923"/>
        <v>0</v>
      </c>
      <c r="Y3849" s="509" t="b">
        <f t="shared" si="2924"/>
        <v>0</v>
      </c>
      <c r="Z3849" s="510">
        <f t="shared" si="2925"/>
        <v>0</v>
      </c>
      <c r="AA3849" s="511"/>
      <c r="AB3849" s="511" t="str">
        <f t="shared" si="2926"/>
        <v/>
      </c>
      <c r="AC3849" s="698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698"/>
      <c r="AE3849" s="631" t="str">
        <f t="shared" si="2927"/>
        <v/>
      </c>
      <c r="AF3849" s="699" t="str">
        <f t="shared" si="2928"/>
        <v/>
      </c>
      <c r="AG3849" s="699"/>
      <c r="AH3849" s="699"/>
      <c r="AI3849" s="512">
        <f>IF(H3849="credit",0,IF(AE3849="free",0,IF(AE3849="me",0,IF(G3849&gt;0,(VLOOKUP(A3849,'Discount Lookup'!J:K,2)*G3849),0))))</f>
        <v>0</v>
      </c>
      <c r="AJ3849" s="513" t="str">
        <f t="shared" ca="1" si="2929"/>
        <v/>
      </c>
      <c r="AK3849" s="700" t="str">
        <f t="shared" si="2930"/>
        <v/>
      </c>
      <c r="AL3849" s="700"/>
      <c r="AM3849" s="505" t="str">
        <f t="shared" si="2931"/>
        <v/>
      </c>
      <c r="AN3849" s="506"/>
      <c r="AO3849" s="507"/>
      <c r="AP3849" s="507"/>
      <c r="AQ3849" s="507"/>
      <c r="AR3849" s="507"/>
      <c r="AS3849" s="507"/>
      <c r="AT3849" s="507"/>
      <c r="AU3849" s="507"/>
      <c r="AV3849" s="225"/>
      <c r="AW3849" s="508"/>
      <c r="AX3849" s="225"/>
      <c r="AY3849" s="225"/>
      <c r="AZ3849" s="225"/>
      <c r="BA3849" s="225"/>
      <c r="BB3849" s="225"/>
      <c r="BC3849" s="56"/>
      <c r="BD3849" s="56"/>
      <c r="BE3849" s="56"/>
      <c r="BF3849" s="107" t="str">
        <f t="shared" si="2932"/>
        <v>https://www.google.com/search?tbm=isch&amp;q=25%20G4</v>
      </c>
      <c r="BG3849" s="107" t="str">
        <f t="shared" si="2933"/>
        <v>T</v>
      </c>
      <c r="BH3849" s="254"/>
      <c r="BI3849" s="254"/>
    </row>
    <row r="3850" spans="1:61" customFormat="1" ht="16.5" x14ac:dyDescent="0.25">
      <c r="A3850" s="524" t="s">
        <v>2261</v>
      </c>
      <c r="B3850" s="245"/>
      <c r="C3850" s="677"/>
      <c r="D3850" s="499"/>
      <c r="E3850" s="499"/>
      <c r="F3850" s="500"/>
      <c r="G3850" s="501"/>
      <c r="H3850" s="502"/>
      <c r="I3850" s="246"/>
      <c r="J3850" s="247"/>
      <c r="K3850" s="503"/>
      <c r="L3850" s="544"/>
      <c r="M3850" s="544"/>
      <c r="N3850" s="500"/>
      <c r="O3850" s="500"/>
      <c r="P3850" s="500"/>
      <c r="Q3850" s="500"/>
      <c r="R3850" s="500"/>
      <c r="S3850" s="278"/>
      <c r="T3850" s="508">
        <f t="shared" si="2921"/>
        <v>0</v>
      </c>
      <c r="U3850" s="225" t="str">
        <f>IF(NOT(ISNUMBER(G3850)), "", VLOOKUP(A3850,'Discount Lookup'!D:E,2,FALSE)*G3850)</f>
        <v/>
      </c>
      <c r="V3850" s="225" t="str">
        <f>IF(NOT(ISNUMBER(G3850)), "", VLOOKUP(A3850,'Discount Lookup'!G:H,2,FALSE)*G3850)</f>
        <v/>
      </c>
      <c r="W3850" s="508">
        <f t="shared" si="2922"/>
        <v>0</v>
      </c>
      <c r="X3850" s="508">
        <f t="shared" si="2923"/>
        <v>0</v>
      </c>
      <c r="Y3850" s="509" t="b">
        <f t="shared" si="2924"/>
        <v>0</v>
      </c>
      <c r="Z3850" s="510">
        <f t="shared" si="2925"/>
        <v>0</v>
      </c>
      <c r="AA3850" s="511"/>
      <c r="AB3850" s="511" t="str">
        <f t="shared" si="2926"/>
        <v/>
      </c>
      <c r="AC3850" s="698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698"/>
      <c r="AE3850" s="631" t="str">
        <f t="shared" si="2927"/>
        <v/>
      </c>
      <c r="AF3850" s="699" t="str">
        <f t="shared" si="2928"/>
        <v/>
      </c>
      <c r="AG3850" s="699"/>
      <c r="AH3850" s="699"/>
      <c r="AI3850" s="512">
        <f>IF(H3850="credit",0,IF(AE3850="free",0,IF(AE3850="me",0,IF(G3850&gt;0,(VLOOKUP(A3850,'Discount Lookup'!J:K,2)*G3850),0))))</f>
        <v>0</v>
      </c>
      <c r="AJ3850" s="513" t="str">
        <f t="shared" ca="1" si="2929"/>
        <v/>
      </c>
      <c r="AK3850" s="700" t="str">
        <f t="shared" si="2930"/>
        <v/>
      </c>
      <c r="AL3850" s="700"/>
      <c r="AM3850" s="505" t="str">
        <f t="shared" si="2931"/>
        <v/>
      </c>
      <c r="AN3850" s="506"/>
      <c r="AO3850" s="507"/>
      <c r="AP3850" s="507"/>
      <c r="AQ3850" s="507"/>
      <c r="AR3850" s="507"/>
      <c r="AS3850" s="507"/>
      <c r="AT3850" s="507"/>
      <c r="AU3850" s="507"/>
      <c r="AV3850" s="225"/>
      <c r="AW3850" s="508"/>
      <c r="AX3850" s="225"/>
      <c r="AY3850" s="225"/>
      <c r="AZ3850" s="225"/>
      <c r="BA3850" s="225"/>
      <c r="BB3850" s="225"/>
      <c r="BC3850" s="56"/>
      <c r="BD3850" s="56"/>
      <c r="BE3850" s="56"/>
      <c r="BF3850" s="107" t="str">
        <f t="shared" si="2932"/>
        <v>https://www.google.com/search?tbm=isch&amp;q=Twombly%27s%20Red%20Sentinel%20named%20for%20distinct%20narrow%2C%20upright%20form%20and%20brilliant%20foliage%2C%20turning%20fiery%20Scarlet%20in%20fall%20</v>
      </c>
      <c r="BG3850" s="107" t="str">
        <f t="shared" si="2933"/>
        <v>T</v>
      </c>
      <c r="BH3850" s="254"/>
      <c r="BI3850" s="254"/>
    </row>
    <row r="3851" spans="1:61" customFormat="1" ht="45.75" thickBot="1" x14ac:dyDescent="0.35">
      <c r="A3851" s="525" t="s">
        <v>1942</v>
      </c>
      <c r="B3851" s="248"/>
      <c r="C3851" s="678" t="s">
        <v>673</v>
      </c>
      <c r="D3851" s="249"/>
      <c r="E3851" s="249"/>
      <c r="F3851" s="249"/>
      <c r="G3851" s="249"/>
      <c r="H3851" s="250"/>
      <c r="I3851" s="249"/>
      <c r="J3851" s="249"/>
      <c r="K3851" s="526" t="s">
        <v>2840</v>
      </c>
      <c r="L3851" s="279"/>
      <c r="M3851" s="251"/>
      <c r="S3851" s="504" t="s">
        <v>2841</v>
      </c>
      <c r="T3851" s="508">
        <f t="shared" si="2921"/>
        <v>0</v>
      </c>
      <c r="U3851" s="225" t="str">
        <f>IF(NOT(ISNUMBER(G3851)), "", VLOOKUP(A3851,'Discount Lookup'!D:E,2,FALSE)*G3851)</f>
        <v/>
      </c>
      <c r="V3851" s="225" t="str">
        <f>IF(NOT(ISNUMBER(G3851)), "", VLOOKUP(A3851,'Discount Lookup'!G:H,2,FALSE)*G3851)</f>
        <v/>
      </c>
      <c r="W3851" s="508">
        <f t="shared" si="2922"/>
        <v>0</v>
      </c>
      <c r="X3851" s="508">
        <f t="shared" si="2923"/>
        <v>0</v>
      </c>
      <c r="Y3851" s="509" t="b">
        <f t="shared" si="2924"/>
        <v>0</v>
      </c>
      <c r="Z3851" s="510">
        <f t="shared" si="2925"/>
        <v>0</v>
      </c>
      <c r="AA3851" s="511"/>
      <c r="AB3851" s="511" t="str">
        <f t="shared" si="2926"/>
        <v/>
      </c>
      <c r="AC3851" s="698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698"/>
      <c r="AE3851" s="631" t="str">
        <f t="shared" si="2927"/>
        <v/>
      </c>
      <c r="AF3851" s="699" t="str">
        <f t="shared" si="2928"/>
        <v/>
      </c>
      <c r="AG3851" s="699"/>
      <c r="AH3851" s="699"/>
      <c r="AI3851" s="512">
        <f>IF(H3851="credit",0,IF(AE3851="free",0,IF(AE3851="me",0,IF(G3851&gt;0,(VLOOKUP(A3851,'Discount Lookup'!J:K,2)*G3851),0))))</f>
        <v>0</v>
      </c>
      <c r="AJ3851" s="513" t="str">
        <f t="shared" ca="1" si="2929"/>
        <v/>
      </c>
      <c r="AK3851" s="700" t="str">
        <f t="shared" si="2930"/>
        <v/>
      </c>
      <c r="AL3851" s="700"/>
      <c r="AM3851" s="505" t="str">
        <f t="shared" si="2931"/>
        <v/>
      </c>
      <c r="AN3851" s="506"/>
      <c r="AO3851" s="507"/>
      <c r="AP3851" s="507"/>
      <c r="AQ3851" s="507"/>
      <c r="AR3851" s="507"/>
      <c r="AS3851" s="507"/>
      <c r="AT3851" s="507"/>
      <c r="AU3851" s="507"/>
      <c r="AV3851" s="225"/>
      <c r="AW3851" s="508"/>
      <c r="AX3851" s="225"/>
      <c r="AY3851" s="225"/>
      <c r="AZ3851" s="225"/>
      <c r="BA3851" s="225"/>
      <c r="BB3851" s="225"/>
      <c r="BC3851" s="56"/>
      <c r="BD3851" s="56"/>
      <c r="BE3851" s="56"/>
      <c r="BF3851" s="107" t="str">
        <f t="shared" si="2932"/>
        <v>https://www.google.com/search?tbm=isch&amp;q=U%20</v>
      </c>
      <c r="BG3851" s="107" t="str">
        <f t="shared" si="2933"/>
        <v>U</v>
      </c>
      <c r="BH3851" s="254"/>
      <c r="BI3851" s="254"/>
    </row>
    <row r="3852" spans="1:61" customFormat="1" ht="18" x14ac:dyDescent="0.25">
      <c r="A3852" s="521" t="s">
        <v>1943</v>
      </c>
      <c r="B3852" s="477"/>
      <c r="C3852" s="674"/>
      <c r="D3852" s="478" t="s">
        <v>1944</v>
      </c>
      <c r="E3852" s="479"/>
      <c r="F3852" s="479"/>
      <c r="G3852" s="479"/>
      <c r="H3852" s="582" t="s">
        <v>2975</v>
      </c>
      <c r="I3852" s="480" t="s">
        <v>2109</v>
      </c>
      <c r="J3852" s="479"/>
      <c r="K3852" s="479"/>
      <c r="L3852" s="560"/>
      <c r="M3852" s="666" t="s">
        <v>4966</v>
      </c>
      <c r="N3852" s="680" t="str">
        <f>IF(AND(ISTEXT($A3852), ISERROR($A3852+0)), HYPERLINK($BF3852, "Images"), "")</f>
        <v>Images</v>
      </c>
      <c r="O3852" s="662" t="s">
        <v>4969</v>
      </c>
      <c r="P3852" s="482"/>
      <c r="Q3852" s="483"/>
      <c r="R3852" s="483"/>
      <c r="S3852" s="484"/>
      <c r="T3852" s="508">
        <f t="shared" si="2921"/>
        <v>0</v>
      </c>
      <c r="U3852" s="225" t="str">
        <f>IF(NOT(ISNUMBER(G3852)), "", VLOOKUP(A3852,'Discount Lookup'!D:E,2,FALSE)*G3852)</f>
        <v/>
      </c>
      <c r="V3852" s="225" t="str">
        <f>IF(NOT(ISNUMBER(G3852)), "", VLOOKUP(A3852,'Discount Lookup'!G:H,2,FALSE)*G3852)</f>
        <v/>
      </c>
      <c r="W3852" s="508">
        <f t="shared" si="2922"/>
        <v>0</v>
      </c>
      <c r="X3852" s="508" t="str">
        <f t="shared" si="2923"/>
        <v>Green foliage</v>
      </c>
      <c r="Y3852" s="509" t="b">
        <f t="shared" si="2924"/>
        <v>0</v>
      </c>
      <c r="Z3852" s="510">
        <f t="shared" si="2925"/>
        <v>0</v>
      </c>
      <c r="AA3852" s="511"/>
      <c r="AB3852" s="511" t="str">
        <f t="shared" si="2926"/>
        <v/>
      </c>
      <c r="AC3852" s="698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698"/>
      <c r="AE3852" s="631" t="str">
        <f t="shared" si="2927"/>
        <v/>
      </c>
      <c r="AF3852" s="699" t="str">
        <f t="shared" si="2928"/>
        <v/>
      </c>
      <c r="AG3852" s="699"/>
      <c r="AH3852" s="699"/>
      <c r="AI3852" s="512">
        <f>IF(H3852="credit",0,IF(AE3852="free",0,IF(AE3852="me",0,IF(G3852&gt;0,(VLOOKUP(A3852,'Discount Lookup'!J:K,2)*G3852),0))))</f>
        <v>0</v>
      </c>
      <c r="AJ3852" s="513" t="str">
        <f t="shared" ca="1" si="2929"/>
        <v/>
      </c>
      <c r="AK3852" s="700" t="str">
        <f t="shared" si="2930"/>
        <v/>
      </c>
      <c r="AL3852" s="700"/>
      <c r="AM3852" s="505" t="str">
        <f t="shared" si="2931"/>
        <v/>
      </c>
      <c r="AN3852" s="506"/>
      <c r="AO3852" s="507"/>
      <c r="AP3852" s="507"/>
      <c r="AQ3852" s="507"/>
      <c r="AR3852" s="507"/>
      <c r="AS3852" s="507"/>
      <c r="AT3852" s="507"/>
      <c r="AU3852" s="507"/>
      <c r="AV3852" s="225"/>
      <c r="AW3852" s="508"/>
      <c r="AX3852" s="225"/>
      <c r="AY3852" s="225"/>
      <c r="AZ3852" s="225"/>
      <c r="BA3852" s="225"/>
      <c r="BB3852" s="225"/>
      <c r="BC3852" s="56"/>
      <c r="BD3852" s="56"/>
      <c r="BE3852" s="56"/>
      <c r="BF3852" s="107" t="str">
        <f t="shared" si="2932"/>
        <v>https://www.google.com/search?tbm=isch&amp;q=Unraveled%20Boxwood%20Buxus%20microphylla%20var.%20japonica%20%27Unraveled%27</v>
      </c>
      <c r="BG3852" s="107" t="str">
        <f t="shared" si="2933"/>
        <v>U</v>
      </c>
      <c r="BH3852" s="254"/>
      <c r="BI3852" s="254"/>
    </row>
    <row r="3853" spans="1:61" customFormat="1" ht="15.75" x14ac:dyDescent="0.25">
      <c r="A3853" s="485">
        <v>3</v>
      </c>
      <c r="B3853" s="486" t="s">
        <v>291</v>
      </c>
      <c r="C3853" s="487" t="s">
        <v>4643</v>
      </c>
      <c r="D3853" s="488" t="s">
        <v>312</v>
      </c>
      <c r="E3853" s="489">
        <v>30.95</v>
      </c>
      <c r="F3853" s="516" t="s">
        <v>293</v>
      </c>
      <c r="G3853" s="232">
        <v>0</v>
      </c>
      <c r="H3853" s="658" t="str">
        <f>IF(G3853=0,"",IF(F3853="Buy",IF(G3853=1,"plant","plants"),IF(F3853&gt;0.01,"warranty","Error")))</f>
        <v/>
      </c>
      <c r="I3853" s="490">
        <f>IF(H3853="free",0,IF(H3853="credit",((E3853*(F3853))*G3853*-1),IF(F3853="Buy",(E3853*G3853),((E3853*(1-F3853))*G3853))))</f>
        <v>0</v>
      </c>
      <c r="J3853" s="490">
        <f>IF(H3853="warranty",0,(I3853*(_xlfn.SINGLE(SalesTaxPercentage))))</f>
        <v>0</v>
      </c>
      <c r="K3853" s="695">
        <f t="shared" ref="K3853" si="2963">I3853+J3853</f>
        <v>0</v>
      </c>
      <c r="L3853" s="695"/>
      <c r="M3853" s="659" t="str">
        <f>IF(AND(G3853&gt;0,E3853=0),"WARNING - no PRICE inserted",IF(H3853="free"," FREE ~ no charge this plant",IF(H3853="credit",CONCATENATE(" -$",ROUND(K3853*(1-T2GDiscount)*-1,2)," CREDIT after discount"),IF(T2GDiscount=0,"",IF(G3853=0,"",IF(F3853="Buy",CONCATENATE(" $",ROUND(K3853*(1-T2GDiscount),2)," with ",(T2GDiscount*100),"% discount"),CONCATENATE(" $",ROUND(K3853*(1-T2GDiscount),2)," with ",((T2GDiscount*100+F3853*100)-(T2GDiscount*100*F3853)),IF(F3853&gt;0,"% discounts",IF(NoWarrantyDiscount&gt;0,"% discounts","% discount")))))))))</f>
        <v/>
      </c>
      <c r="N3853" s="660"/>
      <c r="O3853" s="233"/>
      <c r="P3853" s="233"/>
      <c r="Q3853" s="233"/>
      <c r="R3853" s="233"/>
      <c r="S3853" s="233"/>
      <c r="T3853" s="508">
        <f t="shared" si="2921"/>
        <v>0</v>
      </c>
      <c r="U3853" s="225">
        <f>IF(NOT(ISNUMBER(G3853)), "", VLOOKUP(A3853,'Discount Lookup'!D:E,2,FALSE)*G3853)</f>
        <v>0</v>
      </c>
      <c r="V3853" s="225">
        <f>IF(NOT(ISNUMBER(G3853)), "", VLOOKUP(A3853,'Discount Lookup'!G:H,2,FALSE)*G3853)</f>
        <v>0</v>
      </c>
      <c r="W3853" s="508">
        <f t="shared" si="2922"/>
        <v>0</v>
      </c>
      <c r="X3853" s="508">
        <f t="shared" si="2923"/>
        <v>0</v>
      </c>
      <c r="Y3853" s="509" t="b">
        <f t="shared" si="2924"/>
        <v>0</v>
      </c>
      <c r="Z3853" s="510">
        <f t="shared" si="2925"/>
        <v>0</v>
      </c>
      <c r="AA3853" s="511"/>
      <c r="AB3853" s="511" t="str">
        <f t="shared" si="2926"/>
        <v/>
      </c>
      <c r="AC3853" s="698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698"/>
      <c r="AE3853" s="631" t="str">
        <f t="shared" si="2927"/>
        <v/>
      </c>
      <c r="AF3853" s="699" t="str">
        <f t="shared" si="2928"/>
        <v/>
      </c>
      <c r="AG3853" s="699"/>
      <c r="AH3853" s="699"/>
      <c r="AI3853" s="512">
        <f>IF(H3853="credit",0,IF(AE3853="free",0,IF(AE3853="me",0,IF(G3853&gt;0,(VLOOKUP(A3853,'Discount Lookup'!J:K,2)*G3853),0))))</f>
        <v>0</v>
      </c>
      <c r="AJ3853" s="513" t="str">
        <f t="shared" ca="1" si="2929"/>
        <v/>
      </c>
      <c r="AK3853" s="700" t="str">
        <f t="shared" si="2930"/>
        <v/>
      </c>
      <c r="AL3853" s="700"/>
      <c r="AM3853" s="505" t="str">
        <f t="shared" si="2931"/>
        <v/>
      </c>
      <c r="AN3853" s="506"/>
      <c r="AO3853" s="507"/>
      <c r="AP3853" s="507"/>
      <c r="AQ3853" s="507"/>
      <c r="AR3853" s="507"/>
      <c r="AS3853" s="507"/>
      <c r="AT3853" s="507"/>
      <c r="AU3853" s="507"/>
      <c r="AV3853" s="225"/>
      <c r="AW3853" s="508"/>
      <c r="AX3853" s="225"/>
      <c r="AY3853" s="225"/>
      <c r="AZ3853" s="225"/>
      <c r="BA3853" s="225"/>
      <c r="BB3853" s="225"/>
      <c r="BC3853" s="56"/>
      <c r="BD3853" s="56"/>
      <c r="BE3853" s="56"/>
      <c r="BF3853" s="107" t="str">
        <f t="shared" si="2932"/>
        <v>https://www.google.com/search?tbm=isch&amp;q=3%20G2</v>
      </c>
      <c r="BG3853" s="107" t="str">
        <f t="shared" si="2933"/>
        <v>U</v>
      </c>
      <c r="BH3853" s="254"/>
      <c r="BI3853" s="254"/>
    </row>
    <row r="3854" spans="1:61" customFormat="1" ht="15.75" x14ac:dyDescent="0.25">
      <c r="A3854" s="485">
        <v>3</v>
      </c>
      <c r="B3854" s="486" t="s">
        <v>291</v>
      </c>
      <c r="C3854" s="487"/>
      <c r="D3854" s="488" t="s">
        <v>298</v>
      </c>
      <c r="E3854" s="489">
        <v>31.95</v>
      </c>
      <c r="F3854" s="516" t="s">
        <v>293</v>
      </c>
      <c r="G3854" s="232">
        <v>0</v>
      </c>
      <c r="H3854" s="658" t="str">
        <f>IF(G3854=0,"",IF(F3854="Buy",IF(G3854=1,"plant","plants"),IF(F3854&gt;0.01,"warranty","Error")))</f>
        <v/>
      </c>
      <c r="I3854" s="490">
        <f>IF(H3854="free",0,IF(H3854="credit",((E3854*(F3854))*G3854*-1),IF(F3854="Buy",(E3854*G3854),((E3854*(1-F3854))*G3854))))</f>
        <v>0</v>
      </c>
      <c r="J3854" s="490">
        <f>IF(H3854="warranty",0,(I3854*(_xlfn.SINGLE(SalesTaxPercentage))))</f>
        <v>0</v>
      </c>
      <c r="K3854" s="695">
        <f t="shared" ref="K3854" si="2964">I3854+J3854</f>
        <v>0</v>
      </c>
      <c r="L3854" s="695"/>
      <c r="M3854" s="659" t="str">
        <f>IF(AND(G3854&gt;0,E3854=0),"WARNING - no PRICE inserted",IF(H3854="free"," FREE ~ no charge this plant",IF(H3854="credit",CONCATENATE(" -$",ROUND(K3854*(1-T2GDiscount)*-1,2)," CREDIT after discount"),IF(T2GDiscount=0,"",IF(G3854=0,"",IF(F3854="Buy",CONCATENATE(" $",ROUND(K3854*(1-T2GDiscount),2)," with ",(T2GDiscount*100),"% discount"),CONCATENATE(" $",ROUND(K3854*(1-T2GDiscount),2)," with ",((T2GDiscount*100+F3854*100)-(T2GDiscount*100*F3854)),IF(F3854&gt;0,"% discounts",IF(NoWarrantyDiscount&gt;0,"% discounts","% discount")))))))))</f>
        <v/>
      </c>
      <c r="N3854" s="660"/>
      <c r="O3854" s="233"/>
      <c r="P3854" s="233"/>
      <c r="Q3854" s="233"/>
      <c r="R3854" s="233"/>
      <c r="S3854" s="233"/>
      <c r="T3854" s="508">
        <f t="shared" ref="T3854:T3917" si="2965">E3854*G3854</f>
        <v>0</v>
      </c>
      <c r="U3854" s="225">
        <f>IF(NOT(ISNUMBER(G3854)), "", VLOOKUP(A3854,'Discount Lookup'!D:E,2,FALSE)*G3854)</f>
        <v>0</v>
      </c>
      <c r="V3854" s="225">
        <f>IF(NOT(ISNUMBER(G3854)), "", VLOOKUP(A3854,'Discount Lookup'!G:H,2,FALSE)*G3854)</f>
        <v>0</v>
      </c>
      <c r="W3854" s="508">
        <f t="shared" ref="W3854:W3917" si="2966">IF(H3854="credit",0,E3854*(SalesTaxPercentage)*G3854)</f>
        <v>0</v>
      </c>
      <c r="X3854" s="508">
        <f t="shared" ref="X3854:X3917" si="2967">I3854</f>
        <v>0</v>
      </c>
      <c r="Y3854" s="509" t="b">
        <f t="shared" ref="Y3854:Y3917" si="2968">IF(AE3854="T2G",0,IF(H3854="credit",0,IF(G3854&gt;0,IF(AE3854="me","",G3854))))</f>
        <v>0</v>
      </c>
      <c r="Z3854" s="510">
        <f t="shared" ref="Z3854:Z3917" si="2969">IF(H3854="credit",G3854,0)</f>
        <v>0</v>
      </c>
      <c r="AA3854" s="511"/>
      <c r="AB3854" s="511" t="str">
        <f t="shared" ref="AB3854:AB3917" si="2970">IF(AE3854="T2G","by Trees2Go",IF(H3854="credit","CREDIT only ~",IF(AND(K3854="",AE3854=OR(PlanterYesMe="No",PlanterYesMe="N",PlanterYesMe="me")),"not THIS line⇨",IF(AND(K3854="images",AE3854="me"),"not THIS line⇨",IF(H3854="credit","",IF(G3854=0,"",IF(AE3854="me","",IF(OR(PlanterYesMe="No",PlanterYesMe="N",PlanterYesMe="me"),"",IF(AE3854="free","warranty",IF(OR(PlanterYesMe="yes",PlanterYesMe="y"),"Edison install:","to install:"))))))))))</f>
        <v/>
      </c>
      <c r="AC3854" s="698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698"/>
      <c r="AE3854" s="631" t="str">
        <f t="shared" ref="AE3854:AE3917" si="2971">IF(H3854="credit","",IF(G3854=0,"",IF(OR(PlanterYesMe="No",PlanterYesMe="N",PlanterYesMe="me"),"me",IF(H3854="warranty","free",IF(OR(PlanterYesMe="yes",PlanterYesMe="y"),"ELP","")))))</f>
        <v/>
      </c>
      <c r="AF3854" s="699" t="str">
        <f t="shared" ref="AF3854:AF3917" si="2972">IF(OR(PlanterYesMe="No",PlanterYesMe="N",PlanterYesMe="me"),"",IF(H3854="credit","",IF(G3854&gt;0,(CONCATENATE((G3854)," quantity, ",(A3854)," ",B3854)),"")))</f>
        <v/>
      </c>
      <c r="AG3854" s="699"/>
      <c r="AH3854" s="699"/>
      <c r="AI3854" s="512">
        <f>IF(H3854="credit",0,IF(AE3854="free",0,IF(AE3854="me",0,IF(G3854&gt;0,(VLOOKUP(A3854,'Discount Lookup'!J:K,2)*G3854),0))))</f>
        <v>0</v>
      </c>
      <c r="AJ3854" s="513" t="str">
        <f t="shared" ref="AJ3854:AJ3917" ca="1" si="2973">IF(AND(ISREF(H3854),H3854="credit"),"",IF(AND(AND(OFFSET(G3854,0,0)=0,OFFSET(G3854,1,0)&gt;0,ISNUMBER(OFFSET(AC3854,1,0)),OFFSET(AC3854,1,0)&gt;0),OR(PlanterYesMe="yes",PlanterYesMe="y")),"T2G+ELP=",IF(AND(OFFSET(G3854,0,0)=0,OFFSET(G3854,1,0)&gt;0,ISNUMBER(OFFSET(AC3854,1,0)),OFFSET(AC3854,1,0)&gt;0),"if T2G+ELP=",IF(AND(OFFSET(G3854,0,0)=0,OFFSET(G3854,1,0)&gt;0),"T2G Subtotal",IF(H3854="credit","",IF(G3854=0,"",IF(AE3854="free",(K3854*(1-T2GDiscount)),IF(OR(PlanterYesMe="No",PlanterYesMe="N",PlanterYesMe="me"),(K3854*(1-T2GDiscount)),IF(OR(AE3854="me",AE3854="T2G"),(K3854*(1-T2GDiscount)),(K3854*(1-T2GDiscount))+AC3854)))))))))</f>
        <v/>
      </c>
      <c r="AK3854" s="700" t="str">
        <f t="shared" ref="AK3854:AK3917" si="2974">IF(H3854="credit","",IF(G3854=0,"",IF(OR(AE3854="me",AE3854="T2G"),"  delivery-only",IF(OR(PlanterYesMe="No",PlanterYesMe="N",PlanterYesMe="me"),"  delivery-only",CONCATENATE(" $",ROUND(AJ3854/G3854,2)," each")))))</f>
        <v/>
      </c>
      <c r="AL3854" s="700"/>
      <c r="AM3854" s="505" t="str">
        <f t="shared" ref="AM3854:AM3917" si="2975">IF(H3854="credit","",IF(AE3854="free","      ~ discounts included, no tax or planting fee applies ~",IF(G3854=0,"",IF(OR(PlanterYesMe="No",PlanterYesMe="N",PlanterYesMe="me"),CONCATENATE(" $",ROUND(AJ3854/G3854,2)," per plant, with tax &amp; discount"),IF(OR(AE3854="me",AE3854="T2G"),CONCATENATE(" $",ROUND(AJ3854/G3854,2)," per plant, with tax &amp; discount"),CONCATENATE("= $",ROUND((K3854*(1-T2GDiscount))/G3854,2)," per plant + $",AC3854/G3854,(" per planting      ~ includes tax &amp; discounts ~")))))))</f>
        <v/>
      </c>
      <c r="AN3854" s="506"/>
      <c r="AO3854" s="507"/>
      <c r="AP3854" s="507"/>
      <c r="AQ3854" s="507"/>
      <c r="AR3854" s="507"/>
      <c r="AS3854" s="507"/>
      <c r="AT3854" s="507"/>
      <c r="AU3854" s="507"/>
      <c r="AV3854" s="225"/>
      <c r="AW3854" s="508"/>
      <c r="AX3854" s="225"/>
      <c r="AY3854" s="225"/>
      <c r="AZ3854" s="225"/>
      <c r="BA3854" s="225"/>
      <c r="BB3854" s="225"/>
      <c r="BC3854" s="56"/>
      <c r="BD3854" s="56"/>
      <c r="BE3854" s="56"/>
      <c r="BF3854" s="107" t="str">
        <f t="shared" ref="BF3854:BF3917" si="2976">"https://www.google.com/search?tbm=isch&amp;q=" &amp; _xlfn.ENCODEURL($A3854 &amp; " " &amp; $D3854)</f>
        <v>https://www.google.com/search?tbm=isch&amp;q=3%20G1</v>
      </c>
      <c r="BG3854" s="107" t="str">
        <f t="shared" ref="BG3854:BG3917" si="2977">IF(ISTEXT(A3854),LEFT(A3854,1),BG3853)</f>
        <v>U</v>
      </c>
      <c r="BH3854" s="254"/>
      <c r="BI3854" s="254"/>
    </row>
    <row r="3855" spans="1:61" customFormat="1" ht="15.75" x14ac:dyDescent="0.25">
      <c r="A3855" s="485">
        <v>3</v>
      </c>
      <c r="B3855" s="486" t="s">
        <v>291</v>
      </c>
      <c r="C3855" s="487" t="s">
        <v>2825</v>
      </c>
      <c r="D3855" s="488" t="s">
        <v>299</v>
      </c>
      <c r="E3855" s="489">
        <v>33.950000000000003</v>
      </c>
      <c r="F3855" s="516" t="s">
        <v>293</v>
      </c>
      <c r="G3855" s="232">
        <v>0</v>
      </c>
      <c r="H3855" s="658" t="str">
        <f>IF(G3855=0,"",IF(F3855="Buy",IF(G3855=1,"plant","plants"),IF(F3855&gt;0.01,"warranty","Error")))</f>
        <v/>
      </c>
      <c r="I3855" s="490">
        <f>IF(H3855="free",0,IF(H3855="credit",((E3855*(F3855))*G3855*-1),IF(F3855="Buy",(E3855*G3855),((E3855*(1-F3855))*G3855))))</f>
        <v>0</v>
      </c>
      <c r="J3855" s="490">
        <f>IF(H3855="warranty",0,(I3855*(_xlfn.SINGLE(SalesTaxPercentage))))</f>
        <v>0</v>
      </c>
      <c r="K3855" s="695">
        <f t="shared" ref="K3855" si="2978">I3855+J3855</f>
        <v>0</v>
      </c>
      <c r="L3855" s="695"/>
      <c r="M3855" s="659" t="str">
        <f>IF(AND(G3855&gt;0,E3855=0),"WARNING - no PRICE inserted",IF(H3855="free"," FREE ~ no charge this plant",IF(H3855="credit",CONCATENATE(" -$",ROUND(K3855*(1-T2GDiscount)*-1,2)," CREDIT after discount"),IF(T2GDiscount=0,"",IF(G3855=0,"",IF(F3855="Buy",CONCATENATE(" $",ROUND(K3855*(1-T2GDiscount),2)," with ",(T2GDiscount*100),"% discount"),CONCATENATE(" $",ROUND(K3855*(1-T2GDiscount),2)," with ",((T2GDiscount*100+F3855*100)-(T2GDiscount*100*F3855)),IF(F3855&gt;0,"% discounts",IF(NoWarrantyDiscount&gt;0,"% discounts","% discount")))))))))</f>
        <v/>
      </c>
      <c r="N3855" s="660"/>
      <c r="O3855" s="233"/>
      <c r="P3855" s="233"/>
      <c r="Q3855" s="233"/>
      <c r="R3855" s="233"/>
      <c r="S3855" s="233"/>
      <c r="T3855" s="508">
        <f t="shared" si="2965"/>
        <v>0</v>
      </c>
      <c r="U3855" s="225">
        <f>IF(NOT(ISNUMBER(G3855)), "", VLOOKUP(A3855,'Discount Lookup'!D:E,2,FALSE)*G3855)</f>
        <v>0</v>
      </c>
      <c r="V3855" s="225">
        <f>IF(NOT(ISNUMBER(G3855)), "", VLOOKUP(A3855,'Discount Lookup'!G:H,2,FALSE)*G3855)</f>
        <v>0</v>
      </c>
      <c r="W3855" s="508">
        <f t="shared" si="2966"/>
        <v>0</v>
      </c>
      <c r="X3855" s="508">
        <f t="shared" si="2967"/>
        <v>0</v>
      </c>
      <c r="Y3855" s="509" t="b">
        <f t="shared" si="2968"/>
        <v>0</v>
      </c>
      <c r="Z3855" s="510">
        <f t="shared" si="2969"/>
        <v>0</v>
      </c>
      <c r="AA3855" s="511"/>
      <c r="AB3855" s="511" t="str">
        <f t="shared" si="2970"/>
        <v/>
      </c>
      <c r="AC3855" s="698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698"/>
      <c r="AE3855" s="631" t="str">
        <f t="shared" si="2971"/>
        <v/>
      </c>
      <c r="AF3855" s="699" t="str">
        <f t="shared" si="2972"/>
        <v/>
      </c>
      <c r="AG3855" s="699"/>
      <c r="AH3855" s="699"/>
      <c r="AI3855" s="512">
        <f>IF(H3855="credit",0,IF(AE3855="free",0,IF(AE3855="me",0,IF(G3855&gt;0,(VLOOKUP(A3855,'Discount Lookup'!J:K,2)*G3855),0))))</f>
        <v>0</v>
      </c>
      <c r="AJ3855" s="513" t="str">
        <f t="shared" ca="1" si="2973"/>
        <v/>
      </c>
      <c r="AK3855" s="700" t="str">
        <f t="shared" si="2974"/>
        <v/>
      </c>
      <c r="AL3855" s="700"/>
      <c r="AM3855" s="505" t="str">
        <f t="shared" si="2975"/>
        <v/>
      </c>
      <c r="AN3855" s="506"/>
      <c r="AO3855" s="507"/>
      <c r="AP3855" s="507"/>
      <c r="AQ3855" s="507"/>
      <c r="AR3855" s="507"/>
      <c r="AS3855" s="507"/>
      <c r="AT3855" s="507"/>
      <c r="AU3855" s="507"/>
      <c r="AV3855" s="225"/>
      <c r="AW3855" s="508"/>
      <c r="AX3855" s="225"/>
      <c r="AY3855" s="225"/>
      <c r="AZ3855" s="225"/>
      <c r="BA3855" s="225"/>
      <c r="BB3855" s="225"/>
      <c r="BC3855" s="56"/>
      <c r="BD3855" s="56"/>
      <c r="BE3855" s="56"/>
      <c r="BF3855" s="107" t="str">
        <f t="shared" si="2976"/>
        <v>https://www.google.com/search?tbm=isch&amp;q=3%20G5</v>
      </c>
      <c r="BG3855" s="107" t="str">
        <f t="shared" si="2977"/>
        <v>U</v>
      </c>
      <c r="BH3855" s="254"/>
      <c r="BI3855" s="254"/>
    </row>
    <row r="3856" spans="1:61" customFormat="1" ht="27" x14ac:dyDescent="0.25">
      <c r="A3856" s="485">
        <v>15</v>
      </c>
      <c r="B3856" s="486" t="s">
        <v>291</v>
      </c>
      <c r="C3856" s="487" t="s">
        <v>3830</v>
      </c>
      <c r="D3856" s="488" t="s">
        <v>292</v>
      </c>
      <c r="E3856" s="489">
        <v>183.95</v>
      </c>
      <c r="F3856" s="516" t="s">
        <v>293</v>
      </c>
      <c r="G3856" s="232">
        <v>0</v>
      </c>
      <c r="H3856" s="658" t="str">
        <f>IF(G3856=0,"",IF(F3856="Buy",IF(G3856=1,"plant","plants"),IF(F3856&gt;0.01,"warranty","Error")))</f>
        <v/>
      </c>
      <c r="I3856" s="490">
        <f>IF(H3856="free",0,IF(H3856="credit",((E3856*(F3856))*G3856*-1),IF(F3856="Buy",(E3856*G3856),((E3856*(1-F3856))*G3856))))</f>
        <v>0</v>
      </c>
      <c r="J3856" s="490">
        <f>IF(H3856="warranty",0,(I3856*(_xlfn.SINGLE(SalesTaxPercentage))))</f>
        <v>0</v>
      </c>
      <c r="K3856" s="695">
        <f t="shared" ref="K3856" si="2979">I3856+J3856</f>
        <v>0</v>
      </c>
      <c r="L3856" s="695"/>
      <c r="M3856" s="659" t="str">
        <f>IF(AND(G3856&gt;0,E3856=0),"WARNING - no PRICE inserted",IF(H3856="free"," FREE ~ no charge this plant",IF(H3856="credit",CONCATENATE(" -$",ROUND(K3856*(1-T2GDiscount)*-1,2)," CREDIT after discount"),IF(T2GDiscount=0,"",IF(G3856=0,"",IF(F3856="Buy",CONCATENATE(" $",ROUND(K3856*(1-T2GDiscount),2)," with ",(T2GDiscount*100),"% discount"),CONCATENATE(" $",ROUND(K3856*(1-T2GDiscount),2)," with ",((T2GDiscount*100+F3856*100)-(T2GDiscount*100*F3856)),IF(F3856&gt;0,"% discounts",IF(NoWarrantyDiscount&gt;0,"% discounts","% discount")))))))))</f>
        <v/>
      </c>
      <c r="N3856" s="660"/>
      <c r="O3856" s="233"/>
      <c r="P3856" s="233"/>
      <c r="Q3856" s="233"/>
      <c r="R3856" s="233"/>
      <c r="S3856" s="233"/>
      <c r="T3856" s="508">
        <f t="shared" si="2965"/>
        <v>0</v>
      </c>
      <c r="U3856" s="225">
        <f>IF(NOT(ISNUMBER(G3856)), "", VLOOKUP(A3856,'Discount Lookup'!D:E,2,FALSE)*G3856)</f>
        <v>0</v>
      </c>
      <c r="V3856" s="225">
        <f>IF(NOT(ISNUMBER(G3856)), "", VLOOKUP(A3856,'Discount Lookup'!G:H,2,FALSE)*G3856)</f>
        <v>0</v>
      </c>
      <c r="W3856" s="508">
        <f t="shared" si="2966"/>
        <v>0</v>
      </c>
      <c r="X3856" s="508">
        <f t="shared" si="2967"/>
        <v>0</v>
      </c>
      <c r="Y3856" s="509" t="b">
        <f t="shared" si="2968"/>
        <v>0</v>
      </c>
      <c r="Z3856" s="510">
        <f t="shared" si="2969"/>
        <v>0</v>
      </c>
      <c r="AA3856" s="511"/>
      <c r="AB3856" s="511" t="str">
        <f t="shared" si="2970"/>
        <v/>
      </c>
      <c r="AC3856" s="698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698"/>
      <c r="AE3856" s="631" t="str">
        <f t="shared" si="2971"/>
        <v/>
      </c>
      <c r="AF3856" s="699" t="str">
        <f t="shared" si="2972"/>
        <v/>
      </c>
      <c r="AG3856" s="699"/>
      <c r="AH3856" s="699"/>
      <c r="AI3856" s="512">
        <f>IF(H3856="credit",0,IF(AE3856="free",0,IF(AE3856="me",0,IF(G3856&gt;0,(VLOOKUP(A3856,'Discount Lookup'!J:K,2)*G3856),0))))</f>
        <v>0</v>
      </c>
      <c r="AJ3856" s="513" t="str">
        <f t="shared" ca="1" si="2973"/>
        <v/>
      </c>
      <c r="AK3856" s="700" t="str">
        <f t="shared" si="2974"/>
        <v/>
      </c>
      <c r="AL3856" s="700"/>
      <c r="AM3856" s="505" t="str">
        <f t="shared" si="2975"/>
        <v/>
      </c>
      <c r="AN3856" s="506"/>
      <c r="AO3856" s="507"/>
      <c r="AP3856" s="507"/>
      <c r="AQ3856" s="507"/>
      <c r="AR3856" s="507"/>
      <c r="AS3856" s="507"/>
      <c r="AT3856" s="507"/>
      <c r="AU3856" s="507"/>
      <c r="AV3856" s="225"/>
      <c r="AW3856" s="508"/>
      <c r="AX3856" s="225"/>
      <c r="AY3856" s="225"/>
      <c r="AZ3856" s="225"/>
      <c r="BA3856" s="225"/>
      <c r="BB3856" s="225"/>
      <c r="BC3856" s="56"/>
      <c r="BD3856" s="56"/>
      <c r="BE3856" s="56"/>
      <c r="BF3856" s="107" t="str">
        <f t="shared" si="2976"/>
        <v>https://www.google.com/search?tbm=isch&amp;q=15%20G4</v>
      </c>
      <c r="BG3856" s="107" t="str">
        <f t="shared" si="2977"/>
        <v>U</v>
      </c>
      <c r="BH3856" s="254"/>
      <c r="BI3856" s="254"/>
    </row>
    <row r="3857" spans="1:61" customFormat="1" ht="16.5" thickBot="1" x14ac:dyDescent="0.3">
      <c r="A3857" s="522" t="s">
        <v>2262</v>
      </c>
      <c r="B3857" s="491"/>
      <c r="C3857" s="675"/>
      <c r="D3857" s="491"/>
      <c r="E3857" s="491"/>
      <c r="F3857" s="492"/>
      <c r="G3857" s="493"/>
      <c r="H3857" s="491"/>
      <c r="I3857" s="234"/>
      <c r="J3857" s="234"/>
      <c r="K3857" s="494"/>
      <c r="L3857" s="543"/>
      <c r="M3857" s="561"/>
      <c r="N3857" s="495"/>
      <c r="O3857" s="496"/>
      <c r="P3857" s="497"/>
      <c r="Q3857" s="495"/>
      <c r="R3857" s="495"/>
      <c r="S3857" s="667" t="s">
        <v>4968</v>
      </c>
      <c r="T3857" s="508">
        <f t="shared" si="2965"/>
        <v>0</v>
      </c>
      <c r="U3857" s="225" t="str">
        <f>IF(NOT(ISNUMBER(G3857)), "", VLOOKUP(A3857,'Discount Lookup'!D:E,2,FALSE)*G3857)</f>
        <v/>
      </c>
      <c r="V3857" s="225" t="str">
        <f>IF(NOT(ISNUMBER(G3857)), "", VLOOKUP(A3857,'Discount Lookup'!G:H,2,FALSE)*G3857)</f>
        <v/>
      </c>
      <c r="W3857" s="508">
        <f t="shared" si="2966"/>
        <v>0</v>
      </c>
      <c r="X3857" s="508">
        <f t="shared" si="2967"/>
        <v>0</v>
      </c>
      <c r="Y3857" s="509" t="b">
        <f t="shared" si="2968"/>
        <v>0</v>
      </c>
      <c r="Z3857" s="510">
        <f t="shared" si="2969"/>
        <v>0</v>
      </c>
      <c r="AA3857" s="511"/>
      <c r="AB3857" s="511" t="str">
        <f t="shared" si="2970"/>
        <v/>
      </c>
      <c r="AC3857" s="698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698"/>
      <c r="AE3857" s="631" t="str">
        <f t="shared" si="2971"/>
        <v/>
      </c>
      <c r="AF3857" s="699" t="str">
        <f t="shared" si="2972"/>
        <v/>
      </c>
      <c r="AG3857" s="699"/>
      <c r="AH3857" s="699"/>
      <c r="AI3857" s="512">
        <f>IF(H3857="credit",0,IF(AE3857="free",0,IF(AE3857="me",0,IF(G3857&gt;0,(VLOOKUP(A3857,'Discount Lookup'!J:K,2)*G3857),0))))</f>
        <v>0</v>
      </c>
      <c r="AJ3857" s="513" t="str">
        <f t="shared" ca="1" si="2973"/>
        <v/>
      </c>
      <c r="AK3857" s="700" t="str">
        <f t="shared" si="2974"/>
        <v/>
      </c>
      <c r="AL3857" s="700"/>
      <c r="AM3857" s="505" t="str">
        <f t="shared" si="2975"/>
        <v/>
      </c>
      <c r="AN3857" s="506"/>
      <c r="AO3857" s="507"/>
      <c r="AP3857" s="507"/>
      <c r="AQ3857" s="507"/>
      <c r="AR3857" s="507"/>
      <c r="AS3857" s="507"/>
      <c r="AT3857" s="507"/>
      <c r="AU3857" s="507"/>
      <c r="AV3857" s="225"/>
      <c r="AW3857" s="508"/>
      <c r="AX3857" s="225"/>
      <c r="AY3857" s="225"/>
      <c r="AZ3857" s="225"/>
      <c r="BA3857" s="225"/>
      <c r="BB3857" s="225"/>
      <c r="BC3857" s="56"/>
      <c r="BD3857" s="56"/>
      <c r="BE3857" s="56"/>
      <c r="BF3857" s="107" t="str">
        <f t="shared" si="2976"/>
        <v>https://www.google.com/search?tbm=isch&amp;q=Unraveled%20stands%20out%20as%20a%20Boxwood%20with%20its%20rare%20weeping%20form.%2C%20Very%20versatile%2C%20for%20containers%2C%20bonsai%2C%20or%20cascading%20garden%20edges%20</v>
      </c>
      <c r="BG3857" s="107" t="str">
        <f t="shared" si="2977"/>
        <v>U</v>
      </c>
      <c r="BH3857" s="254"/>
      <c r="BI3857" s="254"/>
    </row>
    <row r="3858" spans="1:61" customFormat="1" ht="18" x14ac:dyDescent="0.25">
      <c r="A3858" s="523" t="s">
        <v>1945</v>
      </c>
      <c r="B3858" s="235"/>
      <c r="C3858" s="676"/>
      <c r="D3858" s="255" t="s">
        <v>1946</v>
      </c>
      <c r="E3858" s="236"/>
      <c r="F3858" s="236"/>
      <c r="G3858" s="236"/>
      <c r="H3858" s="582" t="s">
        <v>1173</v>
      </c>
      <c r="I3858" s="498" t="s">
        <v>2093</v>
      </c>
      <c r="J3858" s="237"/>
      <c r="K3858" s="237"/>
      <c r="L3858" s="274"/>
      <c r="M3858" s="668" t="s">
        <v>4975</v>
      </c>
      <c r="N3858" s="681" t="str">
        <f>IF(AND(ISTEXT($A3858), ISERROR($A3858+0)), HYPERLINK($BF3858, "Images"), "")</f>
        <v>Images</v>
      </c>
      <c r="O3858" s="663" t="s">
        <v>4967</v>
      </c>
      <c r="P3858" s="253"/>
      <c r="Q3858" s="238"/>
      <c r="R3858" s="239"/>
      <c r="S3858" s="275"/>
      <c r="T3858" s="508">
        <f t="shared" si="2965"/>
        <v>0</v>
      </c>
      <c r="U3858" s="225" t="str">
        <f>IF(NOT(ISNUMBER(G3858)), "", VLOOKUP(A3858,'Discount Lookup'!D:E,2,FALSE)*G3858)</f>
        <v/>
      </c>
      <c r="V3858" s="225" t="str">
        <f>IF(NOT(ISNUMBER(G3858)), "", VLOOKUP(A3858,'Discount Lookup'!G:H,2,FALSE)*G3858)</f>
        <v/>
      </c>
      <c r="W3858" s="508">
        <f t="shared" si="2966"/>
        <v>0</v>
      </c>
      <c r="X3858" s="508" t="str">
        <f t="shared" si="2967"/>
        <v>Dark Green foliage</v>
      </c>
      <c r="Y3858" s="509" t="b">
        <f t="shared" si="2968"/>
        <v>0</v>
      </c>
      <c r="Z3858" s="510">
        <f t="shared" si="2969"/>
        <v>0</v>
      </c>
      <c r="AA3858" s="511"/>
      <c r="AB3858" s="511" t="str">
        <f t="shared" si="2970"/>
        <v/>
      </c>
      <c r="AC3858" s="698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698"/>
      <c r="AE3858" s="631" t="str">
        <f t="shared" si="2971"/>
        <v/>
      </c>
      <c r="AF3858" s="699" t="str">
        <f t="shared" si="2972"/>
        <v/>
      </c>
      <c r="AG3858" s="699"/>
      <c r="AH3858" s="699"/>
      <c r="AI3858" s="512">
        <f>IF(H3858="credit",0,IF(AE3858="free",0,IF(AE3858="me",0,IF(G3858&gt;0,(VLOOKUP(A3858,'Discount Lookup'!J:K,2)*G3858),0))))</f>
        <v>0</v>
      </c>
      <c r="AJ3858" s="513" t="str">
        <f t="shared" ca="1" si="2973"/>
        <v/>
      </c>
      <c r="AK3858" s="700" t="str">
        <f t="shared" si="2974"/>
        <v/>
      </c>
      <c r="AL3858" s="700"/>
      <c r="AM3858" s="505" t="str">
        <f t="shared" si="2975"/>
        <v/>
      </c>
      <c r="AN3858" s="506"/>
      <c r="AO3858" s="507"/>
      <c r="AP3858" s="507"/>
      <c r="AQ3858" s="507"/>
      <c r="AR3858" s="507"/>
      <c r="AS3858" s="507"/>
      <c r="AT3858" s="507"/>
      <c r="AU3858" s="507"/>
      <c r="AV3858" s="225"/>
      <c r="AW3858" s="508"/>
      <c r="AX3858" s="225"/>
      <c r="AY3858" s="225"/>
      <c r="AZ3858" s="225"/>
      <c r="BA3858" s="225"/>
      <c r="BB3858" s="225"/>
      <c r="BC3858" s="56"/>
      <c r="BD3858" s="56"/>
      <c r="BE3858" s="56"/>
      <c r="BF3858" s="107" t="str">
        <f t="shared" si="2976"/>
        <v>https://www.google.com/search?tbm=isch&amp;q=Upright%20Hornbeam%20Carpinus%20betulus%20%27Fastigiata%27</v>
      </c>
      <c r="BG3858" s="107" t="str">
        <f t="shared" si="2977"/>
        <v>U</v>
      </c>
      <c r="BH3858" s="254"/>
      <c r="BI3858" s="254"/>
    </row>
    <row r="3859" spans="1:61" customFormat="1" ht="15.75" x14ac:dyDescent="0.25">
      <c r="A3859" s="276">
        <v>7</v>
      </c>
      <c r="B3859" s="240" t="s">
        <v>291</v>
      </c>
      <c r="C3859" s="241" t="s">
        <v>3831</v>
      </c>
      <c r="D3859" s="242" t="s">
        <v>292</v>
      </c>
      <c r="E3859" s="243">
        <v>123.95</v>
      </c>
      <c r="F3859" s="517" t="s">
        <v>293</v>
      </c>
      <c r="G3859" s="232">
        <v>0</v>
      </c>
      <c r="H3859" s="661" t="str">
        <f>IF(G3859=0,"",IF(F3859="Buy",IF(G3859=1,"plant","plants"),IF(F3859&gt;0.01,"warranty","Error")))</f>
        <v/>
      </c>
      <c r="I3859" s="244">
        <f>IF(H3859="free",0,IF(H3859="credit",((E3859*(F3859))*G3859*-1),IF(F3859="Buy",(E3859*G3859),((E3859*(1-F3859))*G3859))))</f>
        <v>0</v>
      </c>
      <c r="J3859" s="244">
        <f>IF(H3859="warranty",0,(I3859*(_xlfn.SINGLE(SalesTaxPercentage))))</f>
        <v>0</v>
      </c>
      <c r="K3859" s="696">
        <f t="shared" ref="K3859" si="2980">I3859+J3859</f>
        <v>0</v>
      </c>
      <c r="L3859" s="696"/>
      <c r="M3859" s="659" t="str">
        <f>IF(AND(G3859&gt;0,E3859=0),"WARNING - no PRICE inserted",IF(H3859="free"," FREE ~ no charge this plant",IF(H3859="credit",CONCATENATE(" -$",ROUND(K3859*(1-T2GDiscount)*-1,2)," CREDIT after discount"),IF(T2GDiscount=0,"",IF(G3859=0,"",IF(F3859="Buy",CONCATENATE(" $",ROUND(K3859*(1-T2GDiscount),2)," with ",(T2GDiscount*100),"% discount"),CONCATENATE(" $",ROUND(K3859*(1-T2GDiscount),2)," with ",((T2GDiscount*100+F3859*100)-(T2GDiscount*100*F3859)),IF(F3859&gt;0,"% discounts",IF(NoWarrantyDiscount&gt;0,"% discounts","% discount")))))))))</f>
        <v/>
      </c>
      <c r="N3859" s="660"/>
      <c r="O3859" s="233"/>
      <c r="P3859" s="233"/>
      <c r="Q3859" s="233"/>
      <c r="R3859" s="233"/>
      <c r="S3859" s="233"/>
      <c r="T3859" s="508">
        <f t="shared" si="2965"/>
        <v>0</v>
      </c>
      <c r="U3859" s="225">
        <f>IF(NOT(ISNUMBER(G3859)), "", VLOOKUP(A3859,'Discount Lookup'!D:E,2,FALSE)*G3859)</f>
        <v>0</v>
      </c>
      <c r="V3859" s="225">
        <f>IF(NOT(ISNUMBER(G3859)), "", VLOOKUP(A3859,'Discount Lookup'!G:H,2,FALSE)*G3859)</f>
        <v>0</v>
      </c>
      <c r="W3859" s="508">
        <f t="shared" si="2966"/>
        <v>0</v>
      </c>
      <c r="X3859" s="508">
        <f t="shared" si="2967"/>
        <v>0</v>
      </c>
      <c r="Y3859" s="509" t="b">
        <f t="shared" si="2968"/>
        <v>0</v>
      </c>
      <c r="Z3859" s="510">
        <f t="shared" si="2969"/>
        <v>0</v>
      </c>
      <c r="AA3859" s="511"/>
      <c r="AB3859" s="511" t="str">
        <f t="shared" si="2970"/>
        <v/>
      </c>
      <c r="AC3859" s="698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698"/>
      <c r="AE3859" s="631" t="str">
        <f t="shared" si="2971"/>
        <v/>
      </c>
      <c r="AF3859" s="699" t="str">
        <f t="shared" si="2972"/>
        <v/>
      </c>
      <c r="AG3859" s="699"/>
      <c r="AH3859" s="699"/>
      <c r="AI3859" s="512">
        <f>IF(H3859="credit",0,IF(AE3859="free",0,IF(AE3859="me",0,IF(G3859&gt;0,(VLOOKUP(A3859,'Discount Lookup'!J:K,2)*G3859),0))))</f>
        <v>0</v>
      </c>
      <c r="AJ3859" s="513" t="str">
        <f t="shared" ca="1" si="2973"/>
        <v/>
      </c>
      <c r="AK3859" s="700" t="str">
        <f t="shared" si="2974"/>
        <v/>
      </c>
      <c r="AL3859" s="700"/>
      <c r="AM3859" s="505" t="str">
        <f t="shared" si="2975"/>
        <v/>
      </c>
      <c r="AN3859" s="506"/>
      <c r="AO3859" s="507"/>
      <c r="AP3859" s="507"/>
      <c r="AQ3859" s="507"/>
      <c r="AR3859" s="507"/>
      <c r="AS3859" s="507"/>
      <c r="AT3859" s="507"/>
      <c r="AU3859" s="507"/>
      <c r="AV3859" s="225"/>
      <c r="AW3859" s="508"/>
      <c r="AX3859" s="225"/>
      <c r="AY3859" s="225"/>
      <c r="AZ3859" s="225"/>
      <c r="BA3859" s="225"/>
      <c r="BB3859" s="225"/>
      <c r="BC3859" s="56"/>
      <c r="BD3859" s="56"/>
      <c r="BE3859" s="56"/>
      <c r="BF3859" s="107" t="str">
        <f t="shared" si="2976"/>
        <v>https://www.google.com/search?tbm=isch&amp;q=7%20G4</v>
      </c>
      <c r="BG3859" s="107" t="str">
        <f t="shared" si="2977"/>
        <v>U</v>
      </c>
      <c r="BH3859" s="254"/>
      <c r="BI3859" s="254"/>
    </row>
    <row r="3860" spans="1:61" customFormat="1" ht="27" x14ac:dyDescent="0.25">
      <c r="A3860" s="276">
        <v>15</v>
      </c>
      <c r="B3860" s="240" t="s">
        <v>291</v>
      </c>
      <c r="C3860" s="241" t="s">
        <v>3832</v>
      </c>
      <c r="D3860" s="242" t="s">
        <v>292</v>
      </c>
      <c r="E3860" s="243">
        <v>192.95</v>
      </c>
      <c r="F3860" s="517" t="s">
        <v>293</v>
      </c>
      <c r="G3860" s="232">
        <v>0</v>
      </c>
      <c r="H3860" s="661" t="str">
        <f>IF(G3860=0,"",IF(F3860="Buy",IF(G3860=1,"plant","plants"),IF(F3860&gt;0.01,"warranty","Error")))</f>
        <v/>
      </c>
      <c r="I3860" s="244">
        <f>IF(H3860="free",0,IF(H3860="credit",((E3860*(F3860))*G3860*-1),IF(F3860="Buy",(E3860*G3860),((E3860*(1-F3860))*G3860))))</f>
        <v>0</v>
      </c>
      <c r="J3860" s="244">
        <f>IF(H3860="warranty",0,(I3860*(_xlfn.SINGLE(SalesTaxPercentage))))</f>
        <v>0</v>
      </c>
      <c r="K3860" s="696">
        <f t="shared" ref="K3860" si="2981">I3860+J3860</f>
        <v>0</v>
      </c>
      <c r="L3860" s="696"/>
      <c r="M3860" s="659" t="str">
        <f>IF(AND(G3860&gt;0,E3860=0),"WARNING - no PRICE inserted",IF(H3860="free"," FREE ~ no charge this plant",IF(H3860="credit",CONCATENATE(" -$",ROUND(K3860*(1-T2GDiscount)*-1,2)," CREDIT after discount"),IF(T2GDiscount=0,"",IF(G3860=0,"",IF(F3860="Buy",CONCATENATE(" $",ROUND(K3860*(1-T2GDiscount),2)," with ",(T2GDiscount*100),"% discount"),CONCATENATE(" $",ROUND(K3860*(1-T2GDiscount),2)," with ",((T2GDiscount*100+F3860*100)-(T2GDiscount*100*F3860)),IF(F3860&gt;0,"% discounts",IF(NoWarrantyDiscount&gt;0,"% discounts","% discount")))))))))</f>
        <v/>
      </c>
      <c r="N3860" s="660"/>
      <c r="O3860" s="233"/>
      <c r="P3860" s="233"/>
      <c r="Q3860" s="233"/>
      <c r="R3860" s="233"/>
      <c r="S3860" s="233"/>
      <c r="T3860" s="508">
        <f t="shared" si="2965"/>
        <v>0</v>
      </c>
      <c r="U3860" s="225">
        <f>IF(NOT(ISNUMBER(G3860)), "", VLOOKUP(A3860,'Discount Lookup'!D:E,2,FALSE)*G3860)</f>
        <v>0</v>
      </c>
      <c r="V3860" s="225">
        <f>IF(NOT(ISNUMBER(G3860)), "", VLOOKUP(A3860,'Discount Lookup'!G:H,2,FALSE)*G3860)</f>
        <v>0</v>
      </c>
      <c r="W3860" s="508">
        <f t="shared" si="2966"/>
        <v>0</v>
      </c>
      <c r="X3860" s="508">
        <f t="shared" si="2967"/>
        <v>0</v>
      </c>
      <c r="Y3860" s="509" t="b">
        <f t="shared" si="2968"/>
        <v>0</v>
      </c>
      <c r="Z3860" s="510">
        <f t="shared" si="2969"/>
        <v>0</v>
      </c>
      <c r="AA3860" s="511"/>
      <c r="AB3860" s="511" t="str">
        <f t="shared" si="2970"/>
        <v/>
      </c>
      <c r="AC3860" s="698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698"/>
      <c r="AE3860" s="631" t="str">
        <f t="shared" si="2971"/>
        <v/>
      </c>
      <c r="AF3860" s="699" t="str">
        <f t="shared" si="2972"/>
        <v/>
      </c>
      <c r="AG3860" s="699"/>
      <c r="AH3860" s="699"/>
      <c r="AI3860" s="512">
        <f>IF(H3860="credit",0,IF(AE3860="free",0,IF(AE3860="me",0,IF(G3860&gt;0,(VLOOKUP(A3860,'Discount Lookup'!J:K,2)*G3860),0))))</f>
        <v>0</v>
      </c>
      <c r="AJ3860" s="513" t="str">
        <f t="shared" ca="1" si="2973"/>
        <v/>
      </c>
      <c r="AK3860" s="700" t="str">
        <f t="shared" si="2974"/>
        <v/>
      </c>
      <c r="AL3860" s="700"/>
      <c r="AM3860" s="505" t="str">
        <f t="shared" si="2975"/>
        <v/>
      </c>
      <c r="AN3860" s="506"/>
      <c r="AO3860" s="507"/>
      <c r="AP3860" s="507"/>
      <c r="AQ3860" s="507"/>
      <c r="AR3860" s="507"/>
      <c r="AS3860" s="507"/>
      <c r="AT3860" s="507"/>
      <c r="AU3860" s="507"/>
      <c r="AV3860" s="225"/>
      <c r="AW3860" s="508"/>
      <c r="AX3860" s="225"/>
      <c r="AY3860" s="225"/>
      <c r="AZ3860" s="225"/>
      <c r="BA3860" s="225"/>
      <c r="BB3860" s="225"/>
      <c r="BC3860" s="56"/>
      <c r="BD3860" s="56"/>
      <c r="BE3860" s="56"/>
      <c r="BF3860" s="107" t="str">
        <f t="shared" si="2976"/>
        <v>https://www.google.com/search?tbm=isch&amp;q=15%20G4</v>
      </c>
      <c r="BG3860" s="107" t="str">
        <f t="shared" si="2977"/>
        <v>U</v>
      </c>
      <c r="BH3860" s="254"/>
      <c r="BI3860" s="254"/>
    </row>
    <row r="3861" spans="1:61" customFormat="1" ht="27" x14ac:dyDescent="0.25">
      <c r="A3861" s="276">
        <v>25</v>
      </c>
      <c r="B3861" s="240" t="s">
        <v>291</v>
      </c>
      <c r="C3861" s="241" t="s">
        <v>4827</v>
      </c>
      <c r="D3861" s="242" t="s">
        <v>292</v>
      </c>
      <c r="E3861" s="243">
        <v>408.95</v>
      </c>
      <c r="F3861" s="517" t="s">
        <v>293</v>
      </c>
      <c r="G3861" s="232">
        <v>0</v>
      </c>
      <c r="H3861" s="661" t="str">
        <f>IF(G3861=0,"",IF(F3861="Buy",IF(G3861=1,"plant","plants"),IF(F3861&gt;0.01,"warranty","Error")))</f>
        <v/>
      </c>
      <c r="I3861" s="244">
        <f>IF(H3861="free",0,IF(H3861="credit",((E3861*(F3861))*G3861*-1),IF(F3861="Buy",(E3861*G3861),((E3861*(1-F3861))*G3861))))</f>
        <v>0</v>
      </c>
      <c r="J3861" s="244">
        <f>IF(H3861="warranty",0,(I3861*(_xlfn.SINGLE(SalesTaxPercentage))))</f>
        <v>0</v>
      </c>
      <c r="K3861" s="696">
        <f t="shared" ref="K3861" si="2982">I3861+J3861</f>
        <v>0</v>
      </c>
      <c r="L3861" s="696"/>
      <c r="M3861" s="659" t="str">
        <f>IF(AND(G3861&gt;0,E3861=0),"WARNING - no PRICE inserted",IF(H3861="free"," FREE ~ no charge this plant",IF(H3861="credit",CONCATENATE(" -$",ROUND(K3861*(1-T2GDiscount)*-1,2)," CREDIT after discount"),IF(T2GDiscount=0,"",IF(G3861=0,"",IF(F3861="Buy",CONCATENATE(" $",ROUND(K3861*(1-T2GDiscount),2)," with ",(T2GDiscount*100),"% discount"),CONCATENATE(" $",ROUND(K3861*(1-T2GDiscount),2)," with ",((T2GDiscount*100+F3861*100)-(T2GDiscount*100*F3861)),IF(F3861&gt;0,"% discounts",IF(NoWarrantyDiscount&gt;0,"% discounts","% discount")))))))))</f>
        <v/>
      </c>
      <c r="N3861" s="660"/>
      <c r="O3861" s="233"/>
      <c r="P3861" s="233"/>
      <c r="Q3861" s="233"/>
      <c r="R3861" s="233"/>
      <c r="S3861" s="233"/>
      <c r="T3861" s="508">
        <f t="shared" si="2965"/>
        <v>0</v>
      </c>
      <c r="U3861" s="225">
        <f>IF(NOT(ISNUMBER(G3861)), "", VLOOKUP(A3861,'Discount Lookup'!D:E,2,FALSE)*G3861)</f>
        <v>0</v>
      </c>
      <c r="V3861" s="225">
        <f>IF(NOT(ISNUMBER(G3861)), "", VLOOKUP(A3861,'Discount Lookup'!G:H,2,FALSE)*G3861)</f>
        <v>0</v>
      </c>
      <c r="W3861" s="508">
        <f t="shared" si="2966"/>
        <v>0</v>
      </c>
      <c r="X3861" s="508">
        <f t="shared" si="2967"/>
        <v>0</v>
      </c>
      <c r="Y3861" s="509" t="b">
        <f t="shared" si="2968"/>
        <v>0</v>
      </c>
      <c r="Z3861" s="510">
        <f t="shared" si="2969"/>
        <v>0</v>
      </c>
      <c r="AA3861" s="511"/>
      <c r="AB3861" s="511" t="str">
        <f t="shared" si="2970"/>
        <v/>
      </c>
      <c r="AC3861" s="698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698"/>
      <c r="AE3861" s="631" t="str">
        <f t="shared" si="2971"/>
        <v/>
      </c>
      <c r="AF3861" s="699" t="str">
        <f t="shared" si="2972"/>
        <v/>
      </c>
      <c r="AG3861" s="699"/>
      <c r="AH3861" s="699"/>
      <c r="AI3861" s="512">
        <f>IF(H3861="credit",0,IF(AE3861="free",0,IF(AE3861="me",0,IF(G3861&gt;0,(VLOOKUP(A3861,'Discount Lookup'!J:K,2)*G3861),0))))</f>
        <v>0</v>
      </c>
      <c r="AJ3861" s="513" t="str">
        <f t="shared" ca="1" si="2973"/>
        <v/>
      </c>
      <c r="AK3861" s="700" t="str">
        <f t="shared" si="2974"/>
        <v/>
      </c>
      <c r="AL3861" s="700"/>
      <c r="AM3861" s="505" t="str">
        <f t="shared" si="2975"/>
        <v/>
      </c>
      <c r="AN3861" s="506"/>
      <c r="AO3861" s="507"/>
      <c r="AP3861" s="507"/>
      <c r="AQ3861" s="507"/>
      <c r="AR3861" s="507"/>
      <c r="AS3861" s="507"/>
      <c r="AT3861" s="507"/>
      <c r="AU3861" s="507"/>
      <c r="AV3861" s="225"/>
      <c r="AW3861" s="508"/>
      <c r="AX3861" s="225"/>
      <c r="AY3861" s="225"/>
      <c r="AZ3861" s="225"/>
      <c r="BA3861" s="225"/>
      <c r="BB3861" s="225"/>
      <c r="BC3861" s="56"/>
      <c r="BD3861" s="56"/>
      <c r="BE3861" s="56"/>
      <c r="BF3861" s="107" t="str">
        <f t="shared" si="2976"/>
        <v>https://www.google.com/search?tbm=isch&amp;q=25%20G4</v>
      </c>
      <c r="BG3861" s="107" t="str">
        <f t="shared" si="2977"/>
        <v>U</v>
      </c>
      <c r="BH3861" s="254"/>
      <c r="BI3861" s="254"/>
    </row>
    <row r="3862" spans="1:61" customFormat="1" ht="17.25" thickBot="1" x14ac:dyDescent="0.3">
      <c r="A3862" s="673" t="s">
        <v>5269</v>
      </c>
      <c r="B3862" s="245"/>
      <c r="C3862" s="677"/>
      <c r="D3862" s="499"/>
      <c r="E3862" s="499"/>
      <c r="F3862" s="500"/>
      <c r="G3862" s="501"/>
      <c r="H3862" s="502"/>
      <c r="I3862" s="246"/>
      <c r="J3862" s="247"/>
      <c r="K3862" s="503"/>
      <c r="L3862" s="544"/>
      <c r="M3862" s="544"/>
      <c r="N3862" s="500"/>
      <c r="O3862" s="500"/>
      <c r="P3862" s="500"/>
      <c r="Q3862" s="500"/>
      <c r="R3862" s="500"/>
      <c r="S3862" s="278"/>
      <c r="T3862" s="508">
        <f t="shared" si="2965"/>
        <v>0</v>
      </c>
      <c r="U3862" s="225" t="str">
        <f>IF(NOT(ISNUMBER(G3862)), "", VLOOKUP(A3862,'Discount Lookup'!D:E,2,FALSE)*G3862)</f>
        <v/>
      </c>
      <c r="V3862" s="225" t="str">
        <f>IF(NOT(ISNUMBER(G3862)), "", VLOOKUP(A3862,'Discount Lookup'!G:H,2,FALSE)*G3862)</f>
        <v/>
      </c>
      <c r="W3862" s="508">
        <f t="shared" si="2966"/>
        <v>0</v>
      </c>
      <c r="X3862" s="508">
        <f t="shared" si="2967"/>
        <v>0</v>
      </c>
      <c r="Y3862" s="509" t="b">
        <f t="shared" si="2968"/>
        <v>0</v>
      </c>
      <c r="Z3862" s="510">
        <f t="shared" si="2969"/>
        <v>0</v>
      </c>
      <c r="AA3862" s="511"/>
      <c r="AB3862" s="511" t="str">
        <f t="shared" si="2970"/>
        <v/>
      </c>
      <c r="AC3862" s="698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698"/>
      <c r="AE3862" s="631" t="str">
        <f t="shared" si="2971"/>
        <v/>
      </c>
      <c r="AF3862" s="699" t="str">
        <f t="shared" si="2972"/>
        <v/>
      </c>
      <c r="AG3862" s="699"/>
      <c r="AH3862" s="699"/>
      <c r="AI3862" s="512">
        <f>IF(H3862="credit",0,IF(AE3862="free",0,IF(AE3862="me",0,IF(G3862&gt;0,(VLOOKUP(A3862,'Discount Lookup'!J:K,2)*G3862),0))))</f>
        <v>0</v>
      </c>
      <c r="AJ3862" s="513" t="str">
        <f t="shared" ca="1" si="2973"/>
        <v/>
      </c>
      <c r="AK3862" s="700" t="str">
        <f t="shared" si="2974"/>
        <v/>
      </c>
      <c r="AL3862" s="700"/>
      <c r="AM3862" s="505" t="str">
        <f t="shared" si="2975"/>
        <v/>
      </c>
      <c r="AN3862" s="506"/>
      <c r="AO3862" s="507"/>
      <c r="AP3862" s="507"/>
      <c r="AQ3862" s="507"/>
      <c r="AR3862" s="507"/>
      <c r="AS3862" s="507"/>
      <c r="AT3862" s="507"/>
      <c r="AU3862" s="507"/>
      <c r="AV3862" s="225"/>
      <c r="AW3862" s="508"/>
      <c r="AX3862" s="225"/>
      <c r="AY3862" s="225"/>
      <c r="AZ3862" s="225"/>
      <c r="BA3862" s="225"/>
      <c r="BB3862" s="225"/>
      <c r="BC3862" s="56"/>
      <c r="BD3862" s="56"/>
      <c r="BE3862" s="56"/>
      <c r="BF3862" s="107" t="str">
        <f t="shared" si="2976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3862" s="107" t="str">
        <f t="shared" si="2977"/>
        <v>m</v>
      </c>
      <c r="BH3862" s="254"/>
      <c r="BI3862" s="254"/>
    </row>
    <row r="3863" spans="1:61" customFormat="1" ht="18" x14ac:dyDescent="0.25">
      <c r="A3863" s="521" t="s">
        <v>1947</v>
      </c>
      <c r="B3863" s="477"/>
      <c r="C3863" s="674"/>
      <c r="D3863" s="478" t="s">
        <v>1948</v>
      </c>
      <c r="E3863" s="479"/>
      <c r="F3863" s="479"/>
      <c r="G3863" s="479"/>
      <c r="H3863" s="582" t="s">
        <v>1305</v>
      </c>
      <c r="I3863" s="480" t="s">
        <v>2093</v>
      </c>
      <c r="J3863" s="479"/>
      <c r="K3863" s="479"/>
      <c r="L3863" s="560"/>
      <c r="M3863" s="671" t="s">
        <v>4985</v>
      </c>
      <c r="N3863" s="680" t="str">
        <f>IF(AND(ISTEXT($A3863), ISERROR($A3863+0)), HYPERLINK($BF3863, "Images"), "")</f>
        <v>Images</v>
      </c>
      <c r="O3863" s="662" t="s">
        <v>4969</v>
      </c>
      <c r="P3863" s="482"/>
      <c r="Q3863" s="483"/>
      <c r="R3863" s="483"/>
      <c r="S3863" s="484"/>
      <c r="T3863" s="508">
        <f t="shared" si="2965"/>
        <v>0</v>
      </c>
      <c r="U3863" s="225" t="str">
        <f>IF(NOT(ISNUMBER(G3863)), "", VLOOKUP(A3863,'Discount Lookup'!D:E,2,FALSE)*G3863)</f>
        <v/>
      </c>
      <c r="V3863" s="225" t="str">
        <f>IF(NOT(ISNUMBER(G3863)), "", VLOOKUP(A3863,'Discount Lookup'!G:H,2,FALSE)*G3863)</f>
        <v/>
      </c>
      <c r="W3863" s="508">
        <f t="shared" si="2966"/>
        <v>0</v>
      </c>
      <c r="X3863" s="508" t="str">
        <f t="shared" si="2967"/>
        <v>Dark Green foliage</v>
      </c>
      <c r="Y3863" s="509" t="b">
        <f t="shared" si="2968"/>
        <v>0</v>
      </c>
      <c r="Z3863" s="510">
        <f t="shared" si="2969"/>
        <v>0</v>
      </c>
      <c r="AA3863" s="511"/>
      <c r="AB3863" s="511" t="str">
        <f t="shared" si="2970"/>
        <v/>
      </c>
      <c r="AC3863" s="698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698"/>
      <c r="AE3863" s="631" t="str">
        <f t="shared" si="2971"/>
        <v/>
      </c>
      <c r="AF3863" s="699" t="str">
        <f t="shared" si="2972"/>
        <v/>
      </c>
      <c r="AG3863" s="699"/>
      <c r="AH3863" s="699"/>
      <c r="AI3863" s="512">
        <f>IF(H3863="credit",0,IF(AE3863="free",0,IF(AE3863="me",0,IF(G3863&gt;0,(VLOOKUP(A3863,'Discount Lookup'!J:K,2)*G3863),0))))</f>
        <v>0</v>
      </c>
      <c r="AJ3863" s="513" t="str">
        <f t="shared" ca="1" si="2973"/>
        <v/>
      </c>
      <c r="AK3863" s="700" t="str">
        <f t="shared" si="2974"/>
        <v/>
      </c>
      <c r="AL3863" s="700"/>
      <c r="AM3863" s="505" t="str">
        <f t="shared" si="2975"/>
        <v/>
      </c>
      <c r="AN3863" s="506"/>
      <c r="AO3863" s="507"/>
      <c r="AP3863" s="507"/>
      <c r="AQ3863" s="507"/>
      <c r="AR3863" s="507"/>
      <c r="AS3863" s="507"/>
      <c r="AT3863" s="507"/>
      <c r="AU3863" s="507"/>
      <c r="AV3863" s="225"/>
      <c r="AW3863" s="508"/>
      <c r="AX3863" s="225"/>
      <c r="AY3863" s="225"/>
      <c r="AZ3863" s="225"/>
      <c r="BA3863" s="225"/>
      <c r="BB3863" s="225"/>
      <c r="BC3863" s="56"/>
      <c r="BD3863" s="56"/>
      <c r="BE3863" s="56"/>
      <c r="BF3863" s="107" t="str">
        <f t="shared" si="2976"/>
        <v>https://www.google.com/search?tbm=isch&amp;q=Upright%20Japanese%20Plum%20Yew%20Cephalotaxus%20harringtonia%20%27Fastigiata%27</v>
      </c>
      <c r="BG3863" s="107" t="str">
        <f t="shared" si="2977"/>
        <v>U</v>
      </c>
      <c r="BH3863" s="254"/>
      <c r="BI3863" s="254"/>
    </row>
    <row r="3864" spans="1:61" customFormat="1" ht="15.75" x14ac:dyDescent="0.25">
      <c r="A3864" s="485">
        <v>3</v>
      </c>
      <c r="B3864" s="486" t="s">
        <v>291</v>
      </c>
      <c r="C3864" s="487" t="s">
        <v>334</v>
      </c>
      <c r="D3864" s="488" t="s">
        <v>312</v>
      </c>
      <c r="E3864" s="489">
        <v>37.950000000000003</v>
      </c>
      <c r="F3864" s="516" t="s">
        <v>293</v>
      </c>
      <c r="G3864" s="232">
        <v>0</v>
      </c>
      <c r="H3864" s="658" t="str">
        <f>IF(G3864=0,"",IF(F3864="Buy",IF(G3864=1,"plant","plants"),IF(F3864&gt;0.01,"warranty","Error")))</f>
        <v/>
      </c>
      <c r="I3864" s="490">
        <f>IF(H3864="free",0,IF(H3864="credit",((E3864*(F3864))*G3864*-1),IF(F3864="Buy",(E3864*G3864),((E3864*(1-F3864))*G3864))))</f>
        <v>0</v>
      </c>
      <c r="J3864" s="490">
        <f>IF(H3864="warranty",0,(I3864*(_xlfn.SINGLE(SalesTaxPercentage))))</f>
        <v>0</v>
      </c>
      <c r="K3864" s="695">
        <f t="shared" ref="K3864" si="2983">I3864+J3864</f>
        <v>0</v>
      </c>
      <c r="L3864" s="695"/>
      <c r="M3864" s="659" t="str">
        <f>IF(AND(G3864&gt;0,E3864=0),"WARNING - no PRICE inserted",IF(H3864="free"," FREE ~ no charge this plant",IF(H3864="credit",CONCATENATE(" -$",ROUND(K3864*(1-T2GDiscount)*-1,2)," CREDIT after discount"),IF(T2GDiscount=0,"",IF(G3864=0,"",IF(F3864="Buy",CONCATENATE(" $",ROUND(K3864*(1-T2GDiscount),2)," with ",(T2GDiscount*100),"% discount"),CONCATENATE(" $",ROUND(K3864*(1-T2GDiscount),2)," with ",((T2GDiscount*100+F3864*100)-(T2GDiscount*100*F3864)),IF(F3864&gt;0,"% discounts",IF(NoWarrantyDiscount&gt;0,"% discounts","% discount")))))))))</f>
        <v/>
      </c>
      <c r="N3864" s="660"/>
      <c r="O3864" s="233"/>
      <c r="P3864" s="233"/>
      <c r="Q3864" s="233"/>
      <c r="R3864" s="233"/>
      <c r="S3864" s="233"/>
      <c r="T3864" s="508">
        <f t="shared" si="2965"/>
        <v>0</v>
      </c>
      <c r="U3864" s="225">
        <f>IF(NOT(ISNUMBER(G3864)), "", VLOOKUP(A3864,'Discount Lookup'!D:E,2,FALSE)*G3864)</f>
        <v>0</v>
      </c>
      <c r="V3864" s="225">
        <f>IF(NOT(ISNUMBER(G3864)), "", VLOOKUP(A3864,'Discount Lookup'!G:H,2,FALSE)*G3864)</f>
        <v>0</v>
      </c>
      <c r="W3864" s="508">
        <f t="shared" si="2966"/>
        <v>0</v>
      </c>
      <c r="X3864" s="508">
        <f t="shared" si="2967"/>
        <v>0</v>
      </c>
      <c r="Y3864" s="509" t="b">
        <f t="shared" si="2968"/>
        <v>0</v>
      </c>
      <c r="Z3864" s="510">
        <f t="shared" si="2969"/>
        <v>0</v>
      </c>
      <c r="AA3864" s="511"/>
      <c r="AB3864" s="511" t="str">
        <f t="shared" si="2970"/>
        <v/>
      </c>
      <c r="AC3864" s="698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698"/>
      <c r="AE3864" s="631" t="str">
        <f t="shared" si="2971"/>
        <v/>
      </c>
      <c r="AF3864" s="699" t="str">
        <f t="shared" si="2972"/>
        <v/>
      </c>
      <c r="AG3864" s="699"/>
      <c r="AH3864" s="699"/>
      <c r="AI3864" s="512">
        <f>IF(H3864="credit",0,IF(AE3864="free",0,IF(AE3864="me",0,IF(G3864&gt;0,(VLOOKUP(A3864,'Discount Lookup'!J:K,2)*G3864),0))))</f>
        <v>0</v>
      </c>
      <c r="AJ3864" s="513" t="str">
        <f t="shared" ca="1" si="2973"/>
        <v/>
      </c>
      <c r="AK3864" s="700" t="str">
        <f t="shared" si="2974"/>
        <v/>
      </c>
      <c r="AL3864" s="700"/>
      <c r="AM3864" s="505" t="str">
        <f t="shared" si="2975"/>
        <v/>
      </c>
      <c r="AN3864" s="506"/>
      <c r="AO3864" s="507"/>
      <c r="AP3864" s="507"/>
      <c r="AQ3864" s="507"/>
      <c r="AR3864" s="507"/>
      <c r="AS3864" s="507"/>
      <c r="AT3864" s="507"/>
      <c r="AU3864" s="507"/>
      <c r="AV3864" s="225"/>
      <c r="AW3864" s="508"/>
      <c r="AX3864" s="225"/>
      <c r="AY3864" s="225"/>
      <c r="AZ3864" s="225"/>
      <c r="BA3864" s="225"/>
      <c r="BB3864" s="225"/>
      <c r="BC3864" s="56"/>
      <c r="BD3864" s="56"/>
      <c r="BE3864" s="56"/>
      <c r="BF3864" s="107" t="str">
        <f t="shared" si="2976"/>
        <v>https://www.google.com/search?tbm=isch&amp;q=3%20G2</v>
      </c>
      <c r="BG3864" s="107" t="str">
        <f t="shared" si="2977"/>
        <v>U</v>
      </c>
      <c r="BH3864" s="254"/>
      <c r="BI3864" s="254"/>
    </row>
    <row r="3865" spans="1:61" customFormat="1" ht="27" x14ac:dyDescent="0.25">
      <c r="A3865" s="485">
        <v>7</v>
      </c>
      <c r="B3865" s="486" t="s">
        <v>291</v>
      </c>
      <c r="C3865" s="487" t="s">
        <v>3833</v>
      </c>
      <c r="D3865" s="488" t="s">
        <v>292</v>
      </c>
      <c r="E3865" s="489">
        <v>111.95</v>
      </c>
      <c r="F3865" s="516" t="s">
        <v>293</v>
      </c>
      <c r="G3865" s="232">
        <v>0</v>
      </c>
      <c r="H3865" s="658" t="str">
        <f>IF(G3865=0,"",IF(F3865="Buy",IF(G3865=1,"plant","plants"),IF(F3865&gt;0.01,"warranty","Error")))</f>
        <v/>
      </c>
      <c r="I3865" s="490">
        <f>IF(H3865="free",0,IF(H3865="credit",((E3865*(F3865))*G3865*-1),IF(F3865="Buy",(E3865*G3865),((E3865*(1-F3865))*G3865))))</f>
        <v>0</v>
      </c>
      <c r="J3865" s="490">
        <f>IF(H3865="warranty",0,(I3865*(_xlfn.SINGLE(SalesTaxPercentage))))</f>
        <v>0</v>
      </c>
      <c r="K3865" s="695">
        <f t="shared" ref="K3865" si="2984">I3865+J3865</f>
        <v>0</v>
      </c>
      <c r="L3865" s="695"/>
      <c r="M3865" s="659" t="str">
        <f>IF(AND(G3865&gt;0,E3865=0),"WARNING - no PRICE inserted",IF(H3865="free"," FREE ~ no charge this plant",IF(H3865="credit",CONCATENATE(" -$",ROUND(K3865*(1-T2GDiscount)*-1,2)," CREDIT after discount"),IF(T2GDiscount=0,"",IF(G3865=0,"",IF(F3865="Buy",CONCATENATE(" $",ROUND(K3865*(1-T2GDiscount),2)," with ",(T2GDiscount*100),"% discount"),CONCATENATE(" $",ROUND(K3865*(1-T2GDiscount),2)," with ",((T2GDiscount*100+F3865*100)-(T2GDiscount*100*F3865)),IF(F3865&gt;0,"% discounts",IF(NoWarrantyDiscount&gt;0,"% discounts","% discount")))))))))</f>
        <v/>
      </c>
      <c r="N3865" s="660"/>
      <c r="O3865" s="233"/>
      <c r="P3865" s="233"/>
      <c r="Q3865" s="233"/>
      <c r="R3865" s="233"/>
      <c r="S3865" s="233"/>
      <c r="T3865" s="508">
        <f t="shared" si="2965"/>
        <v>0</v>
      </c>
      <c r="U3865" s="225">
        <f>IF(NOT(ISNUMBER(G3865)), "", VLOOKUP(A3865,'Discount Lookup'!D:E,2,FALSE)*G3865)</f>
        <v>0</v>
      </c>
      <c r="V3865" s="225">
        <f>IF(NOT(ISNUMBER(G3865)), "", VLOOKUP(A3865,'Discount Lookup'!G:H,2,FALSE)*G3865)</f>
        <v>0</v>
      </c>
      <c r="W3865" s="508">
        <f t="shared" si="2966"/>
        <v>0</v>
      </c>
      <c r="X3865" s="508">
        <f t="shared" si="2967"/>
        <v>0</v>
      </c>
      <c r="Y3865" s="509" t="b">
        <f t="shared" si="2968"/>
        <v>0</v>
      </c>
      <c r="Z3865" s="510">
        <f t="shared" si="2969"/>
        <v>0</v>
      </c>
      <c r="AA3865" s="511"/>
      <c r="AB3865" s="511" t="str">
        <f t="shared" si="2970"/>
        <v/>
      </c>
      <c r="AC3865" s="698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698"/>
      <c r="AE3865" s="631" t="str">
        <f t="shared" si="2971"/>
        <v/>
      </c>
      <c r="AF3865" s="699" t="str">
        <f t="shared" si="2972"/>
        <v/>
      </c>
      <c r="AG3865" s="699"/>
      <c r="AH3865" s="699"/>
      <c r="AI3865" s="512">
        <f>IF(H3865="credit",0,IF(AE3865="free",0,IF(AE3865="me",0,IF(G3865&gt;0,(VLOOKUP(A3865,'Discount Lookup'!J:K,2)*G3865),0))))</f>
        <v>0</v>
      </c>
      <c r="AJ3865" s="513" t="str">
        <f t="shared" ca="1" si="2973"/>
        <v/>
      </c>
      <c r="AK3865" s="700" t="str">
        <f t="shared" si="2974"/>
        <v/>
      </c>
      <c r="AL3865" s="700"/>
      <c r="AM3865" s="505" t="str">
        <f t="shared" si="2975"/>
        <v/>
      </c>
      <c r="AN3865" s="506"/>
      <c r="AO3865" s="507"/>
      <c r="AP3865" s="507"/>
      <c r="AQ3865" s="507"/>
      <c r="AR3865" s="507"/>
      <c r="AS3865" s="507"/>
      <c r="AT3865" s="507"/>
      <c r="AU3865" s="507"/>
      <c r="AV3865" s="225"/>
      <c r="AW3865" s="508"/>
      <c r="AX3865" s="225"/>
      <c r="AY3865" s="225"/>
      <c r="AZ3865" s="225"/>
      <c r="BA3865" s="225"/>
      <c r="BB3865" s="225"/>
      <c r="BC3865" s="56"/>
      <c r="BD3865" s="56"/>
      <c r="BE3865" s="56"/>
      <c r="BF3865" s="107" t="str">
        <f t="shared" si="2976"/>
        <v>https://www.google.com/search?tbm=isch&amp;q=7%20G4</v>
      </c>
      <c r="BG3865" s="107" t="str">
        <f t="shared" si="2977"/>
        <v>U</v>
      </c>
      <c r="BH3865" s="254"/>
      <c r="BI3865" s="254"/>
    </row>
    <row r="3866" spans="1:61" customFormat="1" ht="15.75" x14ac:dyDescent="0.25">
      <c r="A3866" s="485">
        <v>7</v>
      </c>
      <c r="B3866" s="486" t="s">
        <v>291</v>
      </c>
      <c r="C3866" s="487" t="s">
        <v>2263</v>
      </c>
      <c r="D3866" s="488" t="s">
        <v>300</v>
      </c>
      <c r="E3866" s="489">
        <v>127.95</v>
      </c>
      <c r="F3866" s="516" t="s">
        <v>293</v>
      </c>
      <c r="G3866" s="232">
        <v>0</v>
      </c>
      <c r="H3866" s="658" t="str">
        <f>IF(G3866=0,"",IF(F3866="Buy",IF(G3866=1,"plant","plants"),IF(F3866&gt;0.01,"warranty","Error")))</f>
        <v/>
      </c>
      <c r="I3866" s="490">
        <f>IF(H3866="free",0,IF(H3866="credit",((E3866*(F3866))*G3866*-1),IF(F3866="Buy",(E3866*G3866),((E3866*(1-F3866))*G3866))))</f>
        <v>0</v>
      </c>
      <c r="J3866" s="490">
        <f>IF(H3866="warranty",0,(I3866*(_xlfn.SINGLE(SalesTaxPercentage))))</f>
        <v>0</v>
      </c>
      <c r="K3866" s="695">
        <f t="shared" ref="K3866" si="2985">I3866+J3866</f>
        <v>0</v>
      </c>
      <c r="L3866" s="695"/>
      <c r="M3866" s="659" t="str">
        <f>IF(AND(G3866&gt;0,E3866=0),"WARNING - no PRICE inserted",IF(H3866="free"," FREE ~ no charge this plant",IF(H3866="credit",CONCATENATE(" -$",ROUND(K3866*(1-T2GDiscount)*-1,2)," CREDIT after discount"),IF(T2GDiscount=0,"",IF(G3866=0,"",IF(F3866="Buy",CONCATENATE(" $",ROUND(K3866*(1-T2GDiscount),2)," with ",(T2GDiscount*100),"% discount"),CONCATENATE(" $",ROUND(K3866*(1-T2GDiscount),2)," with ",((T2GDiscount*100+F3866*100)-(T2GDiscount*100*F3866)),IF(F3866&gt;0,"% discounts",IF(NoWarrantyDiscount&gt;0,"% discounts","% discount")))))))))</f>
        <v/>
      </c>
      <c r="N3866" s="660"/>
      <c r="O3866" s="233"/>
      <c r="P3866" s="233"/>
      <c r="Q3866" s="233"/>
      <c r="R3866" s="233"/>
      <c r="S3866" s="233"/>
      <c r="T3866" s="508">
        <f t="shared" si="2965"/>
        <v>0</v>
      </c>
      <c r="U3866" s="225">
        <f>IF(NOT(ISNUMBER(G3866)), "", VLOOKUP(A3866,'Discount Lookup'!D:E,2,FALSE)*G3866)</f>
        <v>0</v>
      </c>
      <c r="V3866" s="225">
        <f>IF(NOT(ISNUMBER(G3866)), "", VLOOKUP(A3866,'Discount Lookup'!G:H,2,FALSE)*G3866)</f>
        <v>0</v>
      </c>
      <c r="W3866" s="508">
        <f t="shared" si="2966"/>
        <v>0</v>
      </c>
      <c r="X3866" s="508">
        <f t="shared" si="2967"/>
        <v>0</v>
      </c>
      <c r="Y3866" s="509" t="b">
        <f t="shared" si="2968"/>
        <v>0</v>
      </c>
      <c r="Z3866" s="510">
        <f t="shared" si="2969"/>
        <v>0</v>
      </c>
      <c r="AA3866" s="511"/>
      <c r="AB3866" s="511" t="str">
        <f t="shared" si="2970"/>
        <v/>
      </c>
      <c r="AC3866" s="698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698"/>
      <c r="AE3866" s="631" t="str">
        <f t="shared" si="2971"/>
        <v/>
      </c>
      <c r="AF3866" s="699" t="str">
        <f t="shared" si="2972"/>
        <v/>
      </c>
      <c r="AG3866" s="699"/>
      <c r="AH3866" s="699"/>
      <c r="AI3866" s="512">
        <f>IF(H3866="credit",0,IF(AE3866="free",0,IF(AE3866="me",0,IF(G3866&gt;0,(VLOOKUP(A3866,'Discount Lookup'!J:K,2)*G3866),0))))</f>
        <v>0</v>
      </c>
      <c r="AJ3866" s="513" t="str">
        <f t="shared" ca="1" si="2973"/>
        <v/>
      </c>
      <c r="AK3866" s="700" t="str">
        <f t="shared" si="2974"/>
        <v/>
      </c>
      <c r="AL3866" s="700"/>
      <c r="AM3866" s="505" t="str">
        <f t="shared" si="2975"/>
        <v/>
      </c>
      <c r="AN3866" s="506"/>
      <c r="AO3866" s="507"/>
      <c r="AP3866" s="507"/>
      <c r="AQ3866" s="507"/>
      <c r="AR3866" s="507"/>
      <c r="AS3866" s="507"/>
      <c r="AT3866" s="507"/>
      <c r="AU3866" s="507"/>
      <c r="AV3866" s="225"/>
      <c r="AW3866" s="508"/>
      <c r="AX3866" s="225"/>
      <c r="AY3866" s="225"/>
      <c r="AZ3866" s="225"/>
      <c r="BA3866" s="225"/>
      <c r="BB3866" s="225"/>
      <c r="BC3866" s="56"/>
      <c r="BD3866" s="56"/>
      <c r="BE3866" s="56"/>
      <c r="BF3866" s="107" t="str">
        <f t="shared" si="2976"/>
        <v>https://www.google.com/search?tbm=isch&amp;q=7%20G6</v>
      </c>
      <c r="BG3866" s="107" t="str">
        <f t="shared" si="2977"/>
        <v>U</v>
      </c>
      <c r="BH3866" s="254"/>
      <c r="BI3866" s="254"/>
    </row>
    <row r="3867" spans="1:61" customFormat="1" ht="15.75" x14ac:dyDescent="0.25">
      <c r="A3867" s="485">
        <v>15</v>
      </c>
      <c r="B3867" s="486" t="s">
        <v>291</v>
      </c>
      <c r="C3867" s="487" t="s">
        <v>2264</v>
      </c>
      <c r="D3867" s="488" t="s">
        <v>300</v>
      </c>
      <c r="E3867" s="489">
        <v>272.95</v>
      </c>
      <c r="F3867" s="516" t="s">
        <v>293</v>
      </c>
      <c r="G3867" s="232">
        <v>0</v>
      </c>
      <c r="H3867" s="658" t="str">
        <f>IF(G3867=0,"",IF(F3867="Buy",IF(G3867=1,"plant","plants"),IF(F3867&gt;0.01,"warranty","Error")))</f>
        <v/>
      </c>
      <c r="I3867" s="490">
        <f>IF(H3867="free",0,IF(H3867="credit",((E3867*(F3867))*G3867*-1),IF(F3867="Buy",(E3867*G3867),((E3867*(1-F3867))*G3867))))</f>
        <v>0</v>
      </c>
      <c r="J3867" s="490">
        <f>IF(H3867="warranty",0,(I3867*(_xlfn.SINGLE(SalesTaxPercentage))))</f>
        <v>0</v>
      </c>
      <c r="K3867" s="695">
        <f t="shared" ref="K3867" si="2986">I3867+J3867</f>
        <v>0</v>
      </c>
      <c r="L3867" s="695"/>
      <c r="M3867" s="659" t="str">
        <f>IF(AND(G3867&gt;0,E3867=0),"WARNING - no PRICE inserted",IF(H3867="free"," FREE ~ no charge this plant",IF(H3867="credit",CONCATENATE(" -$",ROUND(K3867*(1-T2GDiscount)*-1,2)," CREDIT after discount"),IF(T2GDiscount=0,"",IF(G3867=0,"",IF(F3867="Buy",CONCATENATE(" $",ROUND(K3867*(1-T2GDiscount),2)," with ",(T2GDiscount*100),"% discount"),CONCATENATE(" $",ROUND(K3867*(1-T2GDiscount),2)," with ",((T2GDiscount*100+F3867*100)-(T2GDiscount*100*F3867)),IF(F3867&gt;0,"% discounts",IF(NoWarrantyDiscount&gt;0,"% discounts","% discount")))))))))</f>
        <v/>
      </c>
      <c r="N3867" s="660"/>
      <c r="O3867" s="233"/>
      <c r="P3867" s="233"/>
      <c r="Q3867" s="233"/>
      <c r="R3867" s="233"/>
      <c r="S3867" s="233"/>
      <c r="T3867" s="508">
        <f t="shared" si="2965"/>
        <v>0</v>
      </c>
      <c r="U3867" s="225">
        <f>IF(NOT(ISNUMBER(G3867)), "", VLOOKUP(A3867,'Discount Lookup'!D:E,2,FALSE)*G3867)</f>
        <v>0</v>
      </c>
      <c r="V3867" s="225">
        <f>IF(NOT(ISNUMBER(G3867)), "", VLOOKUP(A3867,'Discount Lookup'!G:H,2,FALSE)*G3867)</f>
        <v>0</v>
      </c>
      <c r="W3867" s="508">
        <f t="shared" si="2966"/>
        <v>0</v>
      </c>
      <c r="X3867" s="508">
        <f t="shared" si="2967"/>
        <v>0</v>
      </c>
      <c r="Y3867" s="509" t="b">
        <f t="shared" si="2968"/>
        <v>0</v>
      </c>
      <c r="Z3867" s="510">
        <f t="shared" si="2969"/>
        <v>0</v>
      </c>
      <c r="AA3867" s="511"/>
      <c r="AB3867" s="511" t="str">
        <f t="shared" si="2970"/>
        <v/>
      </c>
      <c r="AC3867" s="698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698"/>
      <c r="AE3867" s="631" t="str">
        <f t="shared" si="2971"/>
        <v/>
      </c>
      <c r="AF3867" s="699" t="str">
        <f t="shared" si="2972"/>
        <v/>
      </c>
      <c r="AG3867" s="699"/>
      <c r="AH3867" s="699"/>
      <c r="AI3867" s="512">
        <f>IF(H3867="credit",0,IF(AE3867="free",0,IF(AE3867="me",0,IF(G3867&gt;0,(VLOOKUP(A3867,'Discount Lookup'!J:K,2)*G3867),0))))</f>
        <v>0</v>
      </c>
      <c r="AJ3867" s="513" t="str">
        <f t="shared" ca="1" si="2973"/>
        <v/>
      </c>
      <c r="AK3867" s="700" t="str">
        <f t="shared" si="2974"/>
        <v/>
      </c>
      <c r="AL3867" s="700"/>
      <c r="AM3867" s="505" t="str">
        <f t="shared" si="2975"/>
        <v/>
      </c>
      <c r="AN3867" s="506"/>
      <c r="AO3867" s="507"/>
      <c r="AP3867" s="507"/>
      <c r="AQ3867" s="507"/>
      <c r="AR3867" s="507"/>
      <c r="AS3867" s="507"/>
      <c r="AT3867" s="507"/>
      <c r="AU3867" s="507"/>
      <c r="AV3867" s="225"/>
      <c r="AW3867" s="508"/>
      <c r="AX3867" s="225"/>
      <c r="AY3867" s="225"/>
      <c r="AZ3867" s="225"/>
      <c r="BA3867" s="225"/>
      <c r="BB3867" s="225"/>
      <c r="BC3867" s="56"/>
      <c r="BD3867" s="56"/>
      <c r="BE3867" s="56"/>
      <c r="BF3867" s="107" t="str">
        <f t="shared" si="2976"/>
        <v>https://www.google.com/search?tbm=isch&amp;q=15%20G6</v>
      </c>
      <c r="BG3867" s="107" t="str">
        <f t="shared" si="2977"/>
        <v>U</v>
      </c>
      <c r="BH3867" s="254"/>
      <c r="BI3867" s="254"/>
    </row>
    <row r="3868" spans="1:61" customFormat="1" ht="17.25" thickBot="1" x14ac:dyDescent="0.3">
      <c r="A3868" s="522" t="s">
        <v>2876</v>
      </c>
      <c r="B3868" s="491"/>
      <c r="C3868" s="675"/>
      <c r="D3868" s="491"/>
      <c r="E3868" s="491"/>
      <c r="F3868" s="492"/>
      <c r="G3868" s="493"/>
      <c r="H3868" s="491"/>
      <c r="I3868" s="234"/>
      <c r="J3868" s="234"/>
      <c r="K3868" s="494"/>
      <c r="L3868" s="543"/>
      <c r="M3868" s="561"/>
      <c r="N3868" s="495"/>
      <c r="O3868" s="496"/>
      <c r="P3868" s="497"/>
      <c r="Q3868" s="495"/>
      <c r="R3868" s="495"/>
      <c r="S3868" s="667" t="s">
        <v>5009</v>
      </c>
      <c r="T3868" s="508">
        <f t="shared" si="2965"/>
        <v>0</v>
      </c>
      <c r="U3868" s="225" t="str">
        <f>IF(NOT(ISNUMBER(G3868)), "", VLOOKUP(A3868,'Discount Lookup'!D:E,2,FALSE)*G3868)</f>
        <v/>
      </c>
      <c r="V3868" s="225" t="str">
        <f>IF(NOT(ISNUMBER(G3868)), "", VLOOKUP(A3868,'Discount Lookup'!G:H,2,FALSE)*G3868)</f>
        <v/>
      </c>
      <c r="W3868" s="508">
        <f t="shared" si="2966"/>
        <v>0</v>
      </c>
      <c r="X3868" s="508">
        <f t="shared" si="2967"/>
        <v>0</v>
      </c>
      <c r="Y3868" s="509" t="b">
        <f t="shared" si="2968"/>
        <v>0</v>
      </c>
      <c r="Z3868" s="510">
        <f t="shared" si="2969"/>
        <v>0</v>
      </c>
      <c r="AA3868" s="511"/>
      <c r="AB3868" s="511" t="str">
        <f t="shared" si="2970"/>
        <v/>
      </c>
      <c r="AC3868" s="698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698"/>
      <c r="AE3868" s="631" t="str">
        <f t="shared" si="2971"/>
        <v/>
      </c>
      <c r="AF3868" s="699" t="str">
        <f t="shared" si="2972"/>
        <v/>
      </c>
      <c r="AG3868" s="699"/>
      <c r="AH3868" s="699"/>
      <c r="AI3868" s="512">
        <f>IF(H3868="credit",0,IF(AE3868="free",0,IF(AE3868="me",0,IF(G3868&gt;0,(VLOOKUP(A3868,'Discount Lookup'!J:K,2)*G3868),0))))</f>
        <v>0</v>
      </c>
      <c r="AJ3868" s="513" t="str">
        <f t="shared" ca="1" si="2973"/>
        <v/>
      </c>
      <c r="AK3868" s="700" t="str">
        <f t="shared" si="2974"/>
        <v/>
      </c>
      <c r="AL3868" s="700"/>
      <c r="AM3868" s="505" t="str">
        <f t="shared" si="2975"/>
        <v/>
      </c>
      <c r="AN3868" s="506"/>
      <c r="AO3868" s="507"/>
      <c r="AP3868" s="507"/>
      <c r="AQ3868" s="507"/>
      <c r="AR3868" s="507"/>
      <c r="AS3868" s="507"/>
      <c r="AT3868" s="507"/>
      <c r="AU3868" s="507"/>
      <c r="AV3868" s="225"/>
      <c r="AW3868" s="508"/>
      <c r="AX3868" s="225"/>
      <c r="AY3868" s="225"/>
      <c r="AZ3868" s="225"/>
      <c r="BA3868" s="225"/>
      <c r="BB3868" s="225"/>
      <c r="BC3868" s="56"/>
      <c r="BD3868" s="56"/>
      <c r="BE3868" s="56"/>
      <c r="BF3868" s="107" t="str">
        <f t="shared" si="2976"/>
        <v>https://www.google.com/search?tbm=isch&amp;q=All%20Plum%20Yews%20have%20fine-textured%20foliage%20with%20brown%2C%20scaly%20bark.%20Slow%20growing%2C%20heat%20and%20shade%20tolerant%20</v>
      </c>
      <c r="BG3868" s="107" t="str">
        <f t="shared" si="2977"/>
        <v>A</v>
      </c>
      <c r="BH3868" s="254"/>
      <c r="BI3868" s="254"/>
    </row>
    <row r="3869" spans="1:61" customFormat="1" ht="18" x14ac:dyDescent="0.25">
      <c r="A3869" s="523" t="s">
        <v>5565</v>
      </c>
      <c r="B3869" s="235"/>
      <c r="C3869" s="676"/>
      <c r="D3869" s="255" t="s">
        <v>1949</v>
      </c>
      <c r="E3869" s="236"/>
      <c r="F3869" s="236"/>
      <c r="G3869" s="236"/>
      <c r="H3869" s="582" t="s">
        <v>4233</v>
      </c>
      <c r="I3869" s="498" t="s">
        <v>4227</v>
      </c>
      <c r="J3869" s="237"/>
      <c r="K3869" s="237"/>
      <c r="L3869" s="274"/>
      <c r="M3869" s="668" t="s">
        <v>4962</v>
      </c>
      <c r="N3869" s="681" t="str">
        <f>IF(AND(ISTEXT($A3869), ISERROR($A3869+0)), HYPERLINK($BF3869, "Images"), "")</f>
        <v>Images</v>
      </c>
      <c r="O3869" s="663" t="s">
        <v>4969</v>
      </c>
      <c r="P3869" s="253"/>
      <c r="Q3869" s="238"/>
      <c r="R3869" s="239"/>
      <c r="S3869" s="275"/>
      <c r="T3869" s="508">
        <f t="shared" si="2965"/>
        <v>0</v>
      </c>
      <c r="U3869" s="225" t="str">
        <f>IF(NOT(ISNUMBER(G3869)), "", VLOOKUP(A3869,'Discount Lookup'!D:E,2,FALSE)*G3869)</f>
        <v/>
      </c>
      <c r="V3869" s="225" t="str">
        <f>IF(NOT(ISNUMBER(G3869)), "", VLOOKUP(A3869,'Discount Lookup'!G:H,2,FALSE)*G3869)</f>
        <v/>
      </c>
      <c r="W3869" s="508">
        <f t="shared" si="2966"/>
        <v>0</v>
      </c>
      <c r="X3869" s="508" t="str">
        <f t="shared" si="2967"/>
        <v>Bright Yellow rays, Red eye</v>
      </c>
      <c r="Y3869" s="509" t="b">
        <f t="shared" si="2968"/>
        <v>0</v>
      </c>
      <c r="Z3869" s="510">
        <f t="shared" si="2969"/>
        <v>0</v>
      </c>
      <c r="AA3869" s="511"/>
      <c r="AB3869" s="511" t="str">
        <f t="shared" si="2970"/>
        <v/>
      </c>
      <c r="AC3869" s="698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698"/>
      <c r="AE3869" s="631" t="str">
        <f t="shared" si="2971"/>
        <v/>
      </c>
      <c r="AF3869" s="699" t="str">
        <f t="shared" si="2972"/>
        <v/>
      </c>
      <c r="AG3869" s="699"/>
      <c r="AH3869" s="699"/>
      <c r="AI3869" s="512">
        <f>IF(H3869="credit",0,IF(AE3869="free",0,IF(AE3869="me",0,IF(G3869&gt;0,(VLOOKUP(A3869,'Discount Lookup'!J:K,2)*G3869),0))))</f>
        <v>0</v>
      </c>
      <c r="AJ3869" s="513" t="str">
        <f t="shared" ca="1" si="2973"/>
        <v/>
      </c>
      <c r="AK3869" s="700" t="str">
        <f t="shared" si="2974"/>
        <v/>
      </c>
      <c r="AL3869" s="700"/>
      <c r="AM3869" s="505" t="str">
        <f t="shared" si="2975"/>
        <v/>
      </c>
      <c r="AN3869" s="506"/>
      <c r="AO3869" s="507"/>
      <c r="AP3869" s="507"/>
      <c r="AQ3869" s="507"/>
      <c r="AR3869" s="507"/>
      <c r="AS3869" s="507"/>
      <c r="AT3869" s="507"/>
      <c r="AU3869" s="507"/>
      <c r="AV3869" s="225"/>
      <c r="AW3869" s="508"/>
      <c r="AX3869" s="225"/>
      <c r="AY3869" s="225"/>
      <c r="AZ3869" s="225"/>
      <c r="BA3869" s="225"/>
      <c r="BB3869" s="225"/>
      <c r="BC3869" s="56"/>
      <c r="BD3869" s="56"/>
      <c r="BE3869" s="56"/>
      <c r="BF3869" s="107" t="str">
        <f t="shared" si="2976"/>
        <v>https://www.google.com/search?tbm=isch&amp;q=UPTICK%E2%84%A2%20Yellow%20%26%20Red%20Tickseed%20Coreopsis%20%27Baluptowed%27%20PP%2328865</v>
      </c>
      <c r="BG3869" s="107" t="str">
        <f t="shared" si="2977"/>
        <v>U</v>
      </c>
      <c r="BH3869" s="254"/>
      <c r="BI3869" s="254"/>
    </row>
    <row r="3870" spans="1:61" customFormat="1" ht="15.75" x14ac:dyDescent="0.25">
      <c r="A3870" s="276">
        <v>2</v>
      </c>
      <c r="B3870" s="240" t="s">
        <v>291</v>
      </c>
      <c r="C3870" s="241"/>
      <c r="D3870" s="242" t="s">
        <v>300</v>
      </c>
      <c r="E3870" s="243">
        <v>28.95</v>
      </c>
      <c r="F3870" s="517" t="s">
        <v>293</v>
      </c>
      <c r="G3870" s="232">
        <v>0</v>
      </c>
      <c r="H3870" s="661" t="str">
        <f>IF(G3870=0,"",IF(F3870="Buy",IF(G3870=1,"plant","plants"),IF(F3870&gt;0.01,"warranty","Error")))</f>
        <v/>
      </c>
      <c r="I3870" s="244">
        <f>IF(H3870="free",0,IF(H3870="credit",((E3870*(F3870))*G3870*-1),IF(F3870="Buy",(E3870*G3870),((E3870*(1-F3870))*G3870))))</f>
        <v>0</v>
      </c>
      <c r="J3870" s="244">
        <f>IF(H3870="warranty",0,(I3870*(_xlfn.SINGLE(SalesTaxPercentage))))</f>
        <v>0</v>
      </c>
      <c r="K3870" s="696">
        <f t="shared" ref="K3870" si="2987">I3870+J3870</f>
        <v>0</v>
      </c>
      <c r="L3870" s="696"/>
      <c r="M3870" s="659" t="str">
        <f>IF(AND(G3870&gt;0,E3870=0),"WARNING - no PRICE inserted",IF(H3870="free"," FREE ~ no charge this plant",IF(H3870="credit",CONCATENATE(" -$",ROUND(K3870*(1-T2GDiscount)*-1,2)," CREDIT after discount"),IF(T2GDiscount=0,"",IF(G3870=0,"",IF(F3870="Buy",CONCATENATE(" $",ROUND(K3870*(1-T2GDiscount),2)," with ",(T2GDiscount*100),"% discount"),CONCATENATE(" $",ROUND(K3870*(1-T2GDiscount),2)," with ",((T2GDiscount*100+F3870*100)-(T2GDiscount*100*F3870)),IF(F3870&gt;0,"% discounts",IF(NoWarrantyDiscount&gt;0,"% discounts","% discount")))))))))</f>
        <v/>
      </c>
      <c r="N3870" s="660"/>
      <c r="O3870" s="233"/>
      <c r="P3870" s="233"/>
      <c r="Q3870" s="233"/>
      <c r="R3870" s="233"/>
      <c r="S3870" s="233"/>
      <c r="T3870" s="508">
        <f t="shared" si="2965"/>
        <v>0</v>
      </c>
      <c r="U3870" s="225">
        <f>IF(NOT(ISNUMBER(G3870)), "", VLOOKUP(A3870,'Discount Lookup'!D:E,2,FALSE)*G3870)</f>
        <v>0</v>
      </c>
      <c r="V3870" s="225">
        <f>IF(NOT(ISNUMBER(G3870)), "", VLOOKUP(A3870,'Discount Lookup'!G:H,2,FALSE)*G3870)</f>
        <v>0</v>
      </c>
      <c r="W3870" s="508">
        <f t="shared" si="2966"/>
        <v>0</v>
      </c>
      <c r="X3870" s="508">
        <f t="shared" si="2967"/>
        <v>0</v>
      </c>
      <c r="Y3870" s="509" t="b">
        <f t="shared" si="2968"/>
        <v>0</v>
      </c>
      <c r="Z3870" s="510">
        <f t="shared" si="2969"/>
        <v>0</v>
      </c>
      <c r="AA3870" s="511"/>
      <c r="AB3870" s="511" t="str">
        <f t="shared" si="2970"/>
        <v/>
      </c>
      <c r="AC3870" s="698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698"/>
      <c r="AE3870" s="631" t="str">
        <f t="shared" si="2971"/>
        <v/>
      </c>
      <c r="AF3870" s="699" t="str">
        <f t="shared" si="2972"/>
        <v/>
      </c>
      <c r="AG3870" s="699"/>
      <c r="AH3870" s="699"/>
      <c r="AI3870" s="512">
        <f>IF(H3870="credit",0,IF(AE3870="free",0,IF(AE3870="me",0,IF(G3870&gt;0,(VLOOKUP(A3870,'Discount Lookup'!J:K,2)*G3870),0))))</f>
        <v>0</v>
      </c>
      <c r="AJ3870" s="513" t="str">
        <f t="shared" ca="1" si="2973"/>
        <v/>
      </c>
      <c r="AK3870" s="700" t="str">
        <f t="shared" si="2974"/>
        <v/>
      </c>
      <c r="AL3870" s="700"/>
      <c r="AM3870" s="505" t="str">
        <f t="shared" si="2975"/>
        <v/>
      </c>
      <c r="AN3870" s="506"/>
      <c r="AO3870" s="507"/>
      <c r="AP3870" s="507"/>
      <c r="AQ3870" s="507"/>
      <c r="AR3870" s="507"/>
      <c r="AS3870" s="507"/>
      <c r="AT3870" s="507"/>
      <c r="AU3870" s="507"/>
      <c r="AV3870" s="225"/>
      <c r="AW3870" s="508"/>
      <c r="AX3870" s="225"/>
      <c r="AY3870" s="225"/>
      <c r="AZ3870" s="225"/>
      <c r="BA3870" s="225"/>
      <c r="BB3870" s="225"/>
      <c r="BC3870" s="56"/>
      <c r="BD3870" s="56"/>
      <c r="BE3870" s="56"/>
      <c r="BF3870" s="107" t="str">
        <f t="shared" si="2976"/>
        <v>https://www.google.com/search?tbm=isch&amp;q=2%20G6</v>
      </c>
      <c r="BG3870" s="107" t="str">
        <f t="shared" si="2977"/>
        <v>U</v>
      </c>
      <c r="BH3870" s="254"/>
      <c r="BI3870" s="254"/>
    </row>
    <row r="3871" spans="1:61" customFormat="1" ht="16.5" x14ac:dyDescent="0.25">
      <c r="A3871" s="524" t="s">
        <v>4234</v>
      </c>
      <c r="B3871" s="245"/>
      <c r="C3871" s="677"/>
      <c r="D3871" s="499"/>
      <c r="E3871" s="499"/>
      <c r="F3871" s="500"/>
      <c r="G3871" s="501"/>
      <c r="H3871" s="502"/>
      <c r="I3871" s="246"/>
      <c r="J3871" s="247"/>
      <c r="K3871" s="503"/>
      <c r="L3871" s="544"/>
      <c r="M3871" s="544"/>
      <c r="N3871" s="500"/>
      <c r="O3871" s="500"/>
      <c r="P3871" s="500"/>
      <c r="Q3871" s="500"/>
      <c r="R3871" s="500"/>
      <c r="S3871" s="669" t="s">
        <v>4980</v>
      </c>
      <c r="T3871" s="508">
        <f t="shared" si="2965"/>
        <v>0</v>
      </c>
      <c r="U3871" s="225" t="str">
        <f>IF(NOT(ISNUMBER(G3871)), "", VLOOKUP(A3871,'Discount Lookup'!D:E,2,FALSE)*G3871)</f>
        <v/>
      </c>
      <c r="V3871" s="225" t="str">
        <f>IF(NOT(ISNUMBER(G3871)), "", VLOOKUP(A3871,'Discount Lookup'!G:H,2,FALSE)*G3871)</f>
        <v/>
      </c>
      <c r="W3871" s="508">
        <f t="shared" si="2966"/>
        <v>0</v>
      </c>
      <c r="X3871" s="508">
        <f t="shared" si="2967"/>
        <v>0</v>
      </c>
      <c r="Y3871" s="509" t="b">
        <f t="shared" si="2968"/>
        <v>0</v>
      </c>
      <c r="Z3871" s="510">
        <f t="shared" si="2969"/>
        <v>0</v>
      </c>
      <c r="AA3871" s="511"/>
      <c r="AB3871" s="511" t="str">
        <f t="shared" si="2970"/>
        <v/>
      </c>
      <c r="AC3871" s="698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698"/>
      <c r="AE3871" s="631" t="str">
        <f t="shared" si="2971"/>
        <v/>
      </c>
      <c r="AF3871" s="699" t="str">
        <f t="shared" si="2972"/>
        <v/>
      </c>
      <c r="AG3871" s="699"/>
      <c r="AH3871" s="699"/>
      <c r="AI3871" s="512">
        <f>IF(H3871="credit",0,IF(AE3871="free",0,IF(AE3871="me",0,IF(G3871&gt;0,(VLOOKUP(A3871,'Discount Lookup'!J:K,2)*G3871),0))))</f>
        <v>0</v>
      </c>
      <c r="AJ3871" s="513" t="str">
        <f t="shared" ca="1" si="2973"/>
        <v/>
      </c>
      <c r="AK3871" s="700" t="str">
        <f t="shared" si="2974"/>
        <v/>
      </c>
      <c r="AL3871" s="700"/>
      <c r="AM3871" s="505" t="str">
        <f t="shared" si="2975"/>
        <v/>
      </c>
      <c r="AN3871" s="506"/>
      <c r="AO3871" s="507"/>
      <c r="AP3871" s="507"/>
      <c r="AQ3871" s="507"/>
      <c r="AR3871" s="507"/>
      <c r="AS3871" s="507"/>
      <c r="AT3871" s="507"/>
      <c r="AU3871" s="507"/>
      <c r="AV3871" s="225"/>
      <c r="AW3871" s="508"/>
      <c r="AX3871" s="225"/>
      <c r="AY3871" s="225"/>
      <c r="AZ3871" s="225"/>
      <c r="BA3871" s="225"/>
      <c r="BB3871" s="225"/>
      <c r="BC3871" s="56"/>
      <c r="BD3871" s="56"/>
      <c r="BE3871" s="56"/>
      <c r="BF3871" s="107" t="str">
        <f t="shared" si="2976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3871" s="107" t="str">
        <f t="shared" si="2977"/>
        <v>U</v>
      </c>
      <c r="BH3871" s="254"/>
      <c r="BI3871" s="254"/>
    </row>
    <row r="3872" spans="1:61" customFormat="1" ht="45.75" thickBot="1" x14ac:dyDescent="0.35">
      <c r="A3872" s="525" t="s">
        <v>1950</v>
      </c>
      <c r="B3872" s="248"/>
      <c r="C3872" s="678" t="s">
        <v>673</v>
      </c>
      <c r="D3872" s="249"/>
      <c r="E3872" s="249"/>
      <c r="F3872" s="249"/>
      <c r="G3872" s="249"/>
      <c r="H3872" s="250"/>
      <c r="I3872" s="249"/>
      <c r="J3872" s="249"/>
      <c r="K3872" s="526" t="s">
        <v>2840</v>
      </c>
      <c r="L3872" s="279"/>
      <c r="M3872" s="251"/>
      <c r="S3872" s="504" t="s">
        <v>2841</v>
      </c>
      <c r="T3872" s="508">
        <f t="shared" si="2965"/>
        <v>0</v>
      </c>
      <c r="U3872" s="225" t="str">
        <f>IF(NOT(ISNUMBER(G3872)), "", VLOOKUP(A3872,'Discount Lookup'!D:E,2,FALSE)*G3872)</f>
        <v/>
      </c>
      <c r="V3872" s="225" t="str">
        <f>IF(NOT(ISNUMBER(G3872)), "", VLOOKUP(A3872,'Discount Lookup'!G:H,2,FALSE)*G3872)</f>
        <v/>
      </c>
      <c r="W3872" s="508">
        <f t="shared" si="2966"/>
        <v>0</v>
      </c>
      <c r="X3872" s="508">
        <f t="shared" si="2967"/>
        <v>0</v>
      </c>
      <c r="Y3872" s="509" t="b">
        <f t="shared" si="2968"/>
        <v>0</v>
      </c>
      <c r="Z3872" s="510">
        <f t="shared" si="2969"/>
        <v>0</v>
      </c>
      <c r="AA3872" s="511"/>
      <c r="AB3872" s="511" t="str">
        <f t="shared" si="2970"/>
        <v/>
      </c>
      <c r="AC3872" s="698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698"/>
      <c r="AE3872" s="631" t="str">
        <f t="shared" si="2971"/>
        <v/>
      </c>
      <c r="AF3872" s="699" t="str">
        <f t="shared" si="2972"/>
        <v/>
      </c>
      <c r="AG3872" s="699"/>
      <c r="AH3872" s="699"/>
      <c r="AI3872" s="512">
        <f>IF(H3872="credit",0,IF(AE3872="free",0,IF(AE3872="me",0,IF(G3872&gt;0,(VLOOKUP(A3872,'Discount Lookup'!J:K,2)*G3872),0))))</f>
        <v>0</v>
      </c>
      <c r="AJ3872" s="513" t="str">
        <f t="shared" ca="1" si="2973"/>
        <v/>
      </c>
      <c r="AK3872" s="700" t="str">
        <f t="shared" si="2974"/>
        <v/>
      </c>
      <c r="AL3872" s="700"/>
      <c r="AM3872" s="505" t="str">
        <f t="shared" si="2975"/>
        <v/>
      </c>
      <c r="AN3872" s="506"/>
      <c r="AO3872" s="507"/>
      <c r="AP3872" s="507"/>
      <c r="AQ3872" s="507"/>
      <c r="AR3872" s="507"/>
      <c r="AS3872" s="507"/>
      <c r="AT3872" s="507"/>
      <c r="AU3872" s="507"/>
      <c r="AV3872" s="225"/>
      <c r="AW3872" s="508"/>
      <c r="AX3872" s="225"/>
      <c r="AY3872" s="225"/>
      <c r="AZ3872" s="225"/>
      <c r="BA3872" s="225"/>
      <c r="BB3872" s="225"/>
      <c r="BC3872" s="56"/>
      <c r="BD3872" s="56"/>
      <c r="BE3872" s="56"/>
      <c r="BF3872" s="107" t="str">
        <f t="shared" si="2976"/>
        <v>https://www.google.com/search?tbm=isch&amp;q=V%20</v>
      </c>
      <c r="BG3872" s="107" t="str">
        <f t="shared" si="2977"/>
        <v>V</v>
      </c>
      <c r="BH3872" s="254"/>
      <c r="BI3872" s="254"/>
    </row>
    <row r="3873" spans="1:61" customFormat="1" ht="18" x14ac:dyDescent="0.25">
      <c r="A3873" s="523" t="s">
        <v>1951</v>
      </c>
      <c r="B3873" s="235"/>
      <c r="C3873" s="676"/>
      <c r="D3873" s="255" t="s">
        <v>1952</v>
      </c>
      <c r="E3873" s="236"/>
      <c r="F3873" s="236"/>
      <c r="G3873" s="236"/>
      <c r="H3873" s="582" t="s">
        <v>2265</v>
      </c>
      <c r="I3873" s="498" t="s">
        <v>2266</v>
      </c>
      <c r="J3873" s="237"/>
      <c r="K3873" s="237"/>
      <c r="L3873" s="274"/>
      <c r="M3873" s="668" t="s">
        <v>4975</v>
      </c>
      <c r="N3873" s="681" t="str">
        <f>IF(AND(ISTEXT($A3873), ISERROR($A3873+0)), HYPERLINK($BF3873, "Images"), "")</f>
        <v>Images</v>
      </c>
      <c r="O3873" s="663" t="s">
        <v>4969</v>
      </c>
      <c r="P3873" s="253"/>
      <c r="Q3873" s="238"/>
      <c r="R3873" s="239"/>
      <c r="S3873" s="275"/>
      <c r="T3873" s="508">
        <f t="shared" si="2965"/>
        <v>0</v>
      </c>
      <c r="U3873" s="225" t="str">
        <f>IF(NOT(ISNUMBER(G3873)), "", VLOOKUP(A3873,'Discount Lookup'!D:E,2,FALSE)*G3873)</f>
        <v/>
      </c>
      <c r="V3873" s="225" t="str">
        <f>IF(NOT(ISNUMBER(G3873)), "", VLOOKUP(A3873,'Discount Lookup'!G:H,2,FALSE)*G3873)</f>
        <v/>
      </c>
      <c r="W3873" s="508">
        <f t="shared" si="2966"/>
        <v>0</v>
      </c>
      <c r="X3873" s="508" t="str">
        <f t="shared" si="2967"/>
        <v>Small Red blooms</v>
      </c>
      <c r="Y3873" s="509" t="b">
        <f t="shared" si="2968"/>
        <v>0</v>
      </c>
      <c r="Z3873" s="510">
        <f t="shared" si="2969"/>
        <v>0</v>
      </c>
      <c r="AA3873" s="511"/>
      <c r="AB3873" s="511" t="str">
        <f t="shared" si="2970"/>
        <v/>
      </c>
      <c r="AC3873" s="698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698"/>
      <c r="AE3873" s="631" t="str">
        <f t="shared" si="2971"/>
        <v/>
      </c>
      <c r="AF3873" s="699" t="str">
        <f t="shared" si="2972"/>
        <v/>
      </c>
      <c r="AG3873" s="699"/>
      <c r="AH3873" s="699"/>
      <c r="AI3873" s="512">
        <f>IF(H3873="credit",0,IF(AE3873="free",0,IF(AE3873="me",0,IF(G3873&gt;0,(VLOOKUP(A3873,'Discount Lookup'!J:K,2)*G3873),0))))</f>
        <v>0</v>
      </c>
      <c r="AJ3873" s="513" t="str">
        <f t="shared" ca="1" si="2973"/>
        <v/>
      </c>
      <c r="AK3873" s="700" t="str">
        <f t="shared" si="2974"/>
        <v/>
      </c>
      <c r="AL3873" s="700"/>
      <c r="AM3873" s="505" t="str">
        <f t="shared" si="2975"/>
        <v/>
      </c>
      <c r="AN3873" s="506"/>
      <c r="AO3873" s="507"/>
      <c r="AP3873" s="507"/>
      <c r="AQ3873" s="507"/>
      <c r="AR3873" s="507"/>
      <c r="AS3873" s="507"/>
      <c r="AT3873" s="507"/>
      <c r="AU3873" s="507"/>
      <c r="AV3873" s="225"/>
      <c r="AW3873" s="508"/>
      <c r="AX3873" s="225"/>
      <c r="AY3873" s="225"/>
      <c r="AZ3873" s="225"/>
      <c r="BA3873" s="225"/>
      <c r="BB3873" s="225"/>
      <c r="BC3873" s="56"/>
      <c r="BD3873" s="56"/>
      <c r="BE3873" s="56"/>
      <c r="BF3873" s="107" t="str">
        <f t="shared" si="2976"/>
        <v>https://www.google.com/search?tbm=isch&amp;q=Vanessa%20Persian%20Parrotia%20Parrotia%20persica%20%27Vanessa%27</v>
      </c>
      <c r="BG3873" s="107" t="str">
        <f t="shared" si="2977"/>
        <v>V</v>
      </c>
      <c r="BH3873" s="254"/>
      <c r="BI3873" s="254"/>
    </row>
    <row r="3874" spans="1:61" customFormat="1" ht="15.75" x14ac:dyDescent="0.25">
      <c r="A3874" s="276">
        <v>7</v>
      </c>
      <c r="B3874" s="240" t="s">
        <v>291</v>
      </c>
      <c r="C3874" s="241" t="s">
        <v>4033</v>
      </c>
      <c r="D3874" s="242" t="s">
        <v>292</v>
      </c>
      <c r="E3874" s="243">
        <v>146.94999999999999</v>
      </c>
      <c r="F3874" s="517" t="s">
        <v>293</v>
      </c>
      <c r="G3874" s="232">
        <v>0</v>
      </c>
      <c r="H3874" s="661" t="str">
        <f>IF(G3874=0,"",IF(F3874="Buy",IF(G3874=1,"plant","plants"),IF(F3874&gt;0.01,"warranty","Error")))</f>
        <v/>
      </c>
      <c r="I3874" s="244">
        <f>IF(H3874="free",0,IF(H3874="credit",((E3874*(F3874))*G3874*-1),IF(F3874="Buy",(E3874*G3874),((E3874*(1-F3874))*G3874))))</f>
        <v>0</v>
      </c>
      <c r="J3874" s="244">
        <f>IF(H3874="warranty",0,(I3874*(_xlfn.SINGLE(SalesTaxPercentage))))</f>
        <v>0</v>
      </c>
      <c r="K3874" s="696">
        <f t="shared" ref="K3874" si="2988">I3874+J3874</f>
        <v>0</v>
      </c>
      <c r="L3874" s="696"/>
      <c r="M3874" s="659" t="str">
        <f>IF(AND(G3874&gt;0,E3874=0),"WARNING - no PRICE inserted",IF(H3874="free"," FREE ~ no charge this plant",IF(H3874="credit",CONCATENATE(" -$",ROUND(K3874*(1-T2GDiscount)*-1,2)," CREDIT after discount"),IF(T2GDiscount=0,"",IF(G3874=0,"",IF(F3874="Buy",CONCATENATE(" $",ROUND(K3874*(1-T2GDiscount),2)," with ",(T2GDiscount*100),"% discount"),CONCATENATE(" $",ROUND(K3874*(1-T2GDiscount),2)," with ",((T2GDiscount*100+F3874*100)-(T2GDiscount*100*F3874)),IF(F3874&gt;0,"% discounts",IF(NoWarrantyDiscount&gt;0,"% discounts","% discount")))))))))</f>
        <v/>
      </c>
      <c r="N3874" s="660"/>
      <c r="O3874" s="233"/>
      <c r="P3874" s="233"/>
      <c r="Q3874" s="233"/>
      <c r="R3874" s="233"/>
      <c r="S3874" s="233"/>
      <c r="T3874" s="508">
        <f t="shared" si="2965"/>
        <v>0</v>
      </c>
      <c r="U3874" s="225">
        <f>IF(NOT(ISNUMBER(G3874)), "", VLOOKUP(A3874,'Discount Lookup'!D:E,2,FALSE)*G3874)</f>
        <v>0</v>
      </c>
      <c r="V3874" s="225">
        <f>IF(NOT(ISNUMBER(G3874)), "", VLOOKUP(A3874,'Discount Lookup'!G:H,2,FALSE)*G3874)</f>
        <v>0</v>
      </c>
      <c r="W3874" s="508">
        <f t="shared" si="2966"/>
        <v>0</v>
      </c>
      <c r="X3874" s="508">
        <f t="shared" si="2967"/>
        <v>0</v>
      </c>
      <c r="Y3874" s="509" t="b">
        <f t="shared" si="2968"/>
        <v>0</v>
      </c>
      <c r="Z3874" s="510">
        <f t="shared" si="2969"/>
        <v>0</v>
      </c>
      <c r="AA3874" s="511"/>
      <c r="AB3874" s="511" t="str">
        <f t="shared" si="2970"/>
        <v/>
      </c>
      <c r="AC3874" s="698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698"/>
      <c r="AE3874" s="631" t="str">
        <f t="shared" si="2971"/>
        <v/>
      </c>
      <c r="AF3874" s="699" t="str">
        <f t="shared" si="2972"/>
        <v/>
      </c>
      <c r="AG3874" s="699"/>
      <c r="AH3874" s="699"/>
      <c r="AI3874" s="512">
        <f>IF(H3874="credit",0,IF(AE3874="free",0,IF(AE3874="me",0,IF(G3874&gt;0,(VLOOKUP(A3874,'Discount Lookup'!J:K,2)*G3874),0))))</f>
        <v>0</v>
      </c>
      <c r="AJ3874" s="513" t="str">
        <f t="shared" ca="1" si="2973"/>
        <v/>
      </c>
      <c r="AK3874" s="700" t="str">
        <f t="shared" si="2974"/>
        <v/>
      </c>
      <c r="AL3874" s="700"/>
      <c r="AM3874" s="505" t="str">
        <f t="shared" si="2975"/>
        <v/>
      </c>
      <c r="AN3874" s="506"/>
      <c r="AO3874" s="507"/>
      <c r="AP3874" s="507"/>
      <c r="AQ3874" s="507"/>
      <c r="AR3874" s="507"/>
      <c r="AS3874" s="507"/>
      <c r="AT3874" s="507"/>
      <c r="AU3874" s="507"/>
      <c r="AV3874" s="225"/>
      <c r="AW3874" s="508"/>
      <c r="AX3874" s="225"/>
      <c r="AY3874" s="225"/>
      <c r="AZ3874" s="225"/>
      <c r="BA3874" s="225"/>
      <c r="BB3874" s="225"/>
      <c r="BC3874" s="56"/>
      <c r="BD3874" s="56"/>
      <c r="BE3874" s="56"/>
      <c r="BF3874" s="107" t="str">
        <f t="shared" si="2976"/>
        <v>https://www.google.com/search?tbm=isch&amp;q=7%20G4</v>
      </c>
      <c r="BG3874" s="107" t="str">
        <f t="shared" si="2977"/>
        <v>V</v>
      </c>
      <c r="BH3874" s="254"/>
      <c r="BI3874" s="254"/>
    </row>
    <row r="3875" spans="1:61" customFormat="1" ht="27" x14ac:dyDescent="0.25">
      <c r="A3875" s="276">
        <v>15</v>
      </c>
      <c r="B3875" s="240" t="s">
        <v>291</v>
      </c>
      <c r="C3875" s="241" t="s">
        <v>3834</v>
      </c>
      <c r="D3875" s="242" t="s">
        <v>292</v>
      </c>
      <c r="E3875" s="243">
        <v>252.95</v>
      </c>
      <c r="F3875" s="517" t="s">
        <v>293</v>
      </c>
      <c r="G3875" s="232">
        <v>0</v>
      </c>
      <c r="H3875" s="661" t="str">
        <f>IF(G3875=0,"",IF(F3875="Buy",IF(G3875=1,"plant","plants"),IF(F3875&gt;0.01,"warranty","Error")))</f>
        <v/>
      </c>
      <c r="I3875" s="244">
        <f>IF(H3875="free",0,IF(H3875="credit",((E3875*(F3875))*G3875*-1),IF(F3875="Buy",(E3875*G3875),((E3875*(1-F3875))*G3875))))</f>
        <v>0</v>
      </c>
      <c r="J3875" s="244">
        <f>IF(H3875="warranty",0,(I3875*(_xlfn.SINGLE(SalesTaxPercentage))))</f>
        <v>0</v>
      </c>
      <c r="K3875" s="696">
        <f t="shared" ref="K3875" si="2989">I3875+J3875</f>
        <v>0</v>
      </c>
      <c r="L3875" s="696"/>
      <c r="M3875" s="659" t="str">
        <f>IF(AND(G3875&gt;0,E3875=0),"WARNING - no PRICE inserted",IF(H3875="free"," FREE ~ no charge this plant",IF(H3875="credit",CONCATENATE(" -$",ROUND(K3875*(1-T2GDiscount)*-1,2)," CREDIT after discount"),IF(T2GDiscount=0,"",IF(G3875=0,"",IF(F3875="Buy",CONCATENATE(" $",ROUND(K3875*(1-T2GDiscount),2)," with ",(T2GDiscount*100),"% discount"),CONCATENATE(" $",ROUND(K3875*(1-T2GDiscount),2)," with ",((T2GDiscount*100+F3875*100)-(T2GDiscount*100*F3875)),IF(F3875&gt;0,"% discounts",IF(NoWarrantyDiscount&gt;0,"% discounts","% discount")))))))))</f>
        <v/>
      </c>
      <c r="N3875" s="660"/>
      <c r="O3875" s="233"/>
      <c r="P3875" s="233"/>
      <c r="Q3875" s="233"/>
      <c r="R3875" s="233"/>
      <c r="S3875" s="233"/>
      <c r="T3875" s="508">
        <f t="shared" si="2965"/>
        <v>0</v>
      </c>
      <c r="U3875" s="225">
        <f>IF(NOT(ISNUMBER(G3875)), "", VLOOKUP(A3875,'Discount Lookup'!D:E,2,FALSE)*G3875)</f>
        <v>0</v>
      </c>
      <c r="V3875" s="225">
        <f>IF(NOT(ISNUMBER(G3875)), "", VLOOKUP(A3875,'Discount Lookup'!G:H,2,FALSE)*G3875)</f>
        <v>0</v>
      </c>
      <c r="W3875" s="508">
        <f t="shared" si="2966"/>
        <v>0</v>
      </c>
      <c r="X3875" s="508">
        <f t="shared" si="2967"/>
        <v>0</v>
      </c>
      <c r="Y3875" s="509" t="b">
        <f t="shared" si="2968"/>
        <v>0</v>
      </c>
      <c r="Z3875" s="510">
        <f t="shared" si="2969"/>
        <v>0</v>
      </c>
      <c r="AA3875" s="511"/>
      <c r="AB3875" s="511" t="str">
        <f t="shared" si="2970"/>
        <v/>
      </c>
      <c r="AC3875" s="698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698"/>
      <c r="AE3875" s="631" t="str">
        <f t="shared" si="2971"/>
        <v/>
      </c>
      <c r="AF3875" s="699" t="str">
        <f t="shared" si="2972"/>
        <v/>
      </c>
      <c r="AG3875" s="699"/>
      <c r="AH3875" s="699"/>
      <c r="AI3875" s="512">
        <f>IF(H3875="credit",0,IF(AE3875="free",0,IF(AE3875="me",0,IF(G3875&gt;0,(VLOOKUP(A3875,'Discount Lookup'!J:K,2)*G3875),0))))</f>
        <v>0</v>
      </c>
      <c r="AJ3875" s="513" t="str">
        <f t="shared" ca="1" si="2973"/>
        <v/>
      </c>
      <c r="AK3875" s="700" t="str">
        <f t="shared" si="2974"/>
        <v/>
      </c>
      <c r="AL3875" s="700"/>
      <c r="AM3875" s="505" t="str">
        <f t="shared" si="2975"/>
        <v/>
      </c>
      <c r="AN3875" s="506"/>
      <c r="AO3875" s="507"/>
      <c r="AP3875" s="507"/>
      <c r="AQ3875" s="507"/>
      <c r="AR3875" s="507"/>
      <c r="AS3875" s="507"/>
      <c r="AT3875" s="507"/>
      <c r="AU3875" s="507"/>
      <c r="AV3875" s="225"/>
      <c r="AW3875" s="508"/>
      <c r="AX3875" s="225"/>
      <c r="AY3875" s="225"/>
      <c r="AZ3875" s="225"/>
      <c r="BA3875" s="225"/>
      <c r="BB3875" s="225"/>
      <c r="BC3875" s="56"/>
      <c r="BD3875" s="56"/>
      <c r="BE3875" s="56"/>
      <c r="BF3875" s="107" t="str">
        <f t="shared" si="2976"/>
        <v>https://www.google.com/search?tbm=isch&amp;q=15%20G4</v>
      </c>
      <c r="BG3875" s="107" t="str">
        <f t="shared" si="2977"/>
        <v>V</v>
      </c>
      <c r="BH3875" s="254"/>
      <c r="BI3875" s="254"/>
    </row>
    <row r="3876" spans="1:61" customFormat="1" ht="17.25" thickBot="1" x14ac:dyDescent="0.3">
      <c r="A3876" s="524" t="s">
        <v>2267</v>
      </c>
      <c r="B3876" s="245"/>
      <c r="C3876" s="677"/>
      <c r="D3876" s="499"/>
      <c r="E3876" s="499"/>
      <c r="F3876" s="500"/>
      <c r="G3876" s="501"/>
      <c r="H3876" s="502"/>
      <c r="I3876" s="246"/>
      <c r="J3876" s="247"/>
      <c r="K3876" s="503"/>
      <c r="L3876" s="544"/>
      <c r="M3876" s="544"/>
      <c r="N3876" s="500"/>
      <c r="O3876" s="500"/>
      <c r="P3876" s="500"/>
      <c r="Q3876" s="500"/>
      <c r="R3876" s="500"/>
      <c r="S3876" s="669" t="s">
        <v>4993</v>
      </c>
      <c r="T3876" s="508">
        <f t="shared" si="2965"/>
        <v>0</v>
      </c>
      <c r="U3876" s="225" t="str">
        <f>IF(NOT(ISNUMBER(G3876)), "", VLOOKUP(A3876,'Discount Lookup'!D:E,2,FALSE)*G3876)</f>
        <v/>
      </c>
      <c r="V3876" s="225" t="str">
        <f>IF(NOT(ISNUMBER(G3876)), "", VLOOKUP(A3876,'Discount Lookup'!G:H,2,FALSE)*G3876)</f>
        <v/>
      </c>
      <c r="W3876" s="508">
        <f t="shared" si="2966"/>
        <v>0</v>
      </c>
      <c r="X3876" s="508">
        <f t="shared" si="2967"/>
        <v>0</v>
      </c>
      <c r="Y3876" s="509" t="b">
        <f t="shared" si="2968"/>
        <v>0</v>
      </c>
      <c r="Z3876" s="510">
        <f t="shared" si="2969"/>
        <v>0</v>
      </c>
      <c r="AA3876" s="511"/>
      <c r="AB3876" s="511" t="str">
        <f t="shared" si="2970"/>
        <v/>
      </c>
      <c r="AC3876" s="698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698"/>
      <c r="AE3876" s="631" t="str">
        <f t="shared" si="2971"/>
        <v/>
      </c>
      <c r="AF3876" s="699" t="str">
        <f t="shared" si="2972"/>
        <v/>
      </c>
      <c r="AG3876" s="699"/>
      <c r="AH3876" s="699"/>
      <c r="AI3876" s="512">
        <f>IF(H3876="credit",0,IF(AE3876="free",0,IF(AE3876="me",0,IF(G3876&gt;0,(VLOOKUP(A3876,'Discount Lookup'!J:K,2)*G3876),0))))</f>
        <v>0</v>
      </c>
      <c r="AJ3876" s="513" t="str">
        <f t="shared" ca="1" si="2973"/>
        <v/>
      </c>
      <c r="AK3876" s="700" t="str">
        <f t="shared" si="2974"/>
        <v/>
      </c>
      <c r="AL3876" s="700"/>
      <c r="AM3876" s="505" t="str">
        <f t="shared" si="2975"/>
        <v/>
      </c>
      <c r="AN3876" s="506"/>
      <c r="AO3876" s="507"/>
      <c r="AP3876" s="507"/>
      <c r="AQ3876" s="507"/>
      <c r="AR3876" s="507"/>
      <c r="AS3876" s="507"/>
      <c r="AT3876" s="507"/>
      <c r="AU3876" s="507"/>
      <c r="AV3876" s="225"/>
      <c r="AW3876" s="508"/>
      <c r="AX3876" s="225"/>
      <c r="AY3876" s="225"/>
      <c r="AZ3876" s="225"/>
      <c r="BA3876" s="225"/>
      <c r="BB3876" s="225"/>
      <c r="BC3876" s="56"/>
      <c r="BD3876" s="56"/>
      <c r="BE3876" s="56"/>
      <c r="BF3876" s="107" t="str">
        <f t="shared" si="2976"/>
        <v>https://www.google.com/search?tbm=isch&amp;q=Vanessa%20foliage%20emerges%20Reddish-Purple%2C%20then%20Green%20summer%2C%20then%20brilliant%20Yelow-Orange-Red%20in%20fall.%20Bark%20exfoliates%20Gray-Tan-Green%20</v>
      </c>
      <c r="BG3876" s="107" t="str">
        <f t="shared" si="2977"/>
        <v>V</v>
      </c>
      <c r="BH3876" s="254"/>
      <c r="BI3876" s="254"/>
    </row>
    <row r="3877" spans="1:61" customFormat="1" ht="18" x14ac:dyDescent="0.25">
      <c r="A3877" s="523" t="s">
        <v>5566</v>
      </c>
      <c r="B3877" s="235"/>
      <c r="C3877" s="676"/>
      <c r="D3877" s="255" t="s">
        <v>1953</v>
      </c>
      <c r="E3877" s="236"/>
      <c r="F3877" s="236"/>
      <c r="G3877" s="236"/>
      <c r="H3877" s="582" t="s">
        <v>1656</v>
      </c>
      <c r="I3877" s="498" t="s">
        <v>3116</v>
      </c>
      <c r="J3877" s="237"/>
      <c r="K3877" s="237"/>
      <c r="L3877" s="274"/>
      <c r="M3877" s="668" t="s">
        <v>4975</v>
      </c>
      <c r="N3877" s="681" t="str">
        <f>IF(AND(ISTEXT($A3877), ISERROR($A3877+0)), HYPERLINK($BF3877, "Images"), "")</f>
        <v>Images</v>
      </c>
      <c r="O3877" s="663" t="s">
        <v>4967</v>
      </c>
      <c r="P3877" s="253"/>
      <c r="Q3877" s="238"/>
      <c r="R3877" s="239"/>
      <c r="S3877" s="275"/>
      <c r="T3877" s="508">
        <f t="shared" si="2965"/>
        <v>0</v>
      </c>
      <c r="U3877" s="225" t="str">
        <f>IF(NOT(ISNUMBER(G3877)), "", VLOOKUP(A3877,'Discount Lookup'!D:E,2,FALSE)*G3877)</f>
        <v/>
      </c>
      <c r="V3877" s="225" t="str">
        <f>IF(NOT(ISNUMBER(G3877)), "", VLOOKUP(A3877,'Discount Lookup'!G:H,2,FALSE)*G3877)</f>
        <v/>
      </c>
      <c r="W3877" s="508">
        <f t="shared" si="2966"/>
        <v>0</v>
      </c>
      <c r="X3877" s="508" t="str">
        <f t="shared" si="2967"/>
        <v>White ages to Pink-Red</v>
      </c>
      <c r="Y3877" s="509" t="b">
        <f t="shared" si="2968"/>
        <v>0</v>
      </c>
      <c r="Z3877" s="510">
        <f t="shared" si="2969"/>
        <v>0</v>
      </c>
      <c r="AA3877" s="511"/>
      <c r="AB3877" s="511" t="str">
        <f t="shared" si="2970"/>
        <v/>
      </c>
      <c r="AC3877" s="698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698"/>
      <c r="AE3877" s="631" t="str">
        <f t="shared" si="2971"/>
        <v/>
      </c>
      <c r="AF3877" s="699" t="str">
        <f t="shared" si="2972"/>
        <v/>
      </c>
      <c r="AG3877" s="699"/>
      <c r="AH3877" s="699"/>
      <c r="AI3877" s="512">
        <f>IF(H3877="credit",0,IF(AE3877="free",0,IF(AE3877="me",0,IF(G3877&gt;0,(VLOOKUP(A3877,'Discount Lookup'!J:K,2)*G3877),0))))</f>
        <v>0</v>
      </c>
      <c r="AJ3877" s="513" t="str">
        <f t="shared" ca="1" si="2973"/>
        <v/>
      </c>
      <c r="AK3877" s="700" t="str">
        <f t="shared" si="2974"/>
        <v/>
      </c>
      <c r="AL3877" s="700"/>
      <c r="AM3877" s="505" t="str">
        <f t="shared" si="2975"/>
        <v/>
      </c>
      <c r="AN3877" s="506"/>
      <c r="AO3877" s="507"/>
      <c r="AP3877" s="507"/>
      <c r="AQ3877" s="507"/>
      <c r="AR3877" s="507"/>
      <c r="AS3877" s="507"/>
      <c r="AT3877" s="507"/>
      <c r="AU3877" s="507"/>
      <c r="AV3877" s="225"/>
      <c r="AW3877" s="508"/>
      <c r="AX3877" s="225"/>
      <c r="AY3877" s="225"/>
      <c r="AZ3877" s="225"/>
      <c r="BA3877" s="225"/>
      <c r="BB3877" s="225"/>
      <c r="BC3877" s="56"/>
      <c r="BD3877" s="56"/>
      <c r="BE3877" s="56"/>
      <c r="BF3877" s="107" t="str">
        <f t="shared" si="2976"/>
        <v>https://www.google.com/search?tbm=isch&amp;q=Vanilla%20Strawberry%E2%84%A2%20Hydrangea%20Hyd.%20paniculata%20%27Renhy%27%20PP%2320670</v>
      </c>
      <c r="BG3877" s="107" t="str">
        <f t="shared" si="2977"/>
        <v>V</v>
      </c>
      <c r="BH3877" s="254"/>
      <c r="BI3877" s="254"/>
    </row>
    <row r="3878" spans="1:61" customFormat="1" ht="15.75" x14ac:dyDescent="0.25">
      <c r="A3878" s="276">
        <v>3</v>
      </c>
      <c r="B3878" s="240" t="s">
        <v>291</v>
      </c>
      <c r="C3878" s="241" t="s">
        <v>4576</v>
      </c>
      <c r="D3878" s="242" t="s">
        <v>312</v>
      </c>
      <c r="E3878" s="243">
        <v>34.950000000000003</v>
      </c>
      <c r="F3878" s="517" t="s">
        <v>293</v>
      </c>
      <c r="G3878" s="232">
        <v>0</v>
      </c>
      <c r="H3878" s="661" t="str">
        <f>IF(G3878=0,"",IF(F3878="Buy",IF(G3878=1,"plant","plants"),IF(F3878&gt;0.01,"warranty","Error")))</f>
        <v/>
      </c>
      <c r="I3878" s="244">
        <f>IF(H3878="free",0,IF(H3878="credit",((E3878*(F3878))*G3878*-1),IF(F3878="Buy",(E3878*G3878),((E3878*(1-F3878))*G3878))))</f>
        <v>0</v>
      </c>
      <c r="J3878" s="244">
        <f>IF(H3878="warranty",0,(I3878*(_xlfn.SINGLE(SalesTaxPercentage))))</f>
        <v>0</v>
      </c>
      <c r="K3878" s="696">
        <f t="shared" ref="K3878" si="2990">I3878+J3878</f>
        <v>0</v>
      </c>
      <c r="L3878" s="696"/>
      <c r="M3878" s="659" t="str">
        <f>IF(AND(G3878&gt;0,E3878=0),"WARNING - no PRICE inserted",IF(H3878="free"," FREE ~ no charge this plant",IF(H3878="credit",CONCATENATE(" -$",ROUND(K3878*(1-T2GDiscount)*-1,2)," CREDIT after discount"),IF(T2GDiscount=0,"",IF(G3878=0,"",IF(F3878="Buy",CONCATENATE(" $",ROUND(K3878*(1-T2GDiscount),2)," with ",(T2GDiscount*100),"% discount"),CONCATENATE(" $",ROUND(K3878*(1-T2GDiscount),2)," with ",((T2GDiscount*100+F3878*100)-(T2GDiscount*100*F3878)),IF(F3878&gt;0,"% discounts",IF(NoWarrantyDiscount&gt;0,"% discounts","% discount")))))))))</f>
        <v/>
      </c>
      <c r="N3878" s="660"/>
      <c r="O3878" s="233"/>
      <c r="P3878" s="233"/>
      <c r="Q3878" s="233"/>
      <c r="R3878" s="233"/>
      <c r="S3878" s="233"/>
      <c r="T3878" s="508">
        <f t="shared" si="2965"/>
        <v>0</v>
      </c>
      <c r="U3878" s="225">
        <f>IF(NOT(ISNUMBER(G3878)), "", VLOOKUP(A3878,'Discount Lookup'!D:E,2,FALSE)*G3878)</f>
        <v>0</v>
      </c>
      <c r="V3878" s="225">
        <f>IF(NOT(ISNUMBER(G3878)), "", VLOOKUP(A3878,'Discount Lookup'!G:H,2,FALSE)*G3878)</f>
        <v>0</v>
      </c>
      <c r="W3878" s="508">
        <f t="shared" si="2966"/>
        <v>0</v>
      </c>
      <c r="X3878" s="508">
        <f t="shared" si="2967"/>
        <v>0</v>
      </c>
      <c r="Y3878" s="509" t="b">
        <f t="shared" si="2968"/>
        <v>0</v>
      </c>
      <c r="Z3878" s="510">
        <f t="shared" si="2969"/>
        <v>0</v>
      </c>
      <c r="AA3878" s="511"/>
      <c r="AB3878" s="511" t="str">
        <f t="shared" si="2970"/>
        <v/>
      </c>
      <c r="AC3878" s="698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698"/>
      <c r="AE3878" s="631" t="str">
        <f t="shared" si="2971"/>
        <v/>
      </c>
      <c r="AF3878" s="699" t="str">
        <f t="shared" si="2972"/>
        <v/>
      </c>
      <c r="AG3878" s="699"/>
      <c r="AH3878" s="699"/>
      <c r="AI3878" s="512">
        <f>IF(H3878="credit",0,IF(AE3878="free",0,IF(AE3878="me",0,IF(G3878&gt;0,(VLOOKUP(A3878,'Discount Lookup'!J:K,2)*G3878),0))))</f>
        <v>0</v>
      </c>
      <c r="AJ3878" s="513" t="str">
        <f t="shared" ca="1" si="2973"/>
        <v/>
      </c>
      <c r="AK3878" s="700" t="str">
        <f t="shared" si="2974"/>
        <v/>
      </c>
      <c r="AL3878" s="700"/>
      <c r="AM3878" s="505" t="str">
        <f t="shared" si="2975"/>
        <v/>
      </c>
      <c r="AN3878" s="506"/>
      <c r="AO3878" s="507"/>
      <c r="AP3878" s="507"/>
      <c r="AQ3878" s="507"/>
      <c r="AR3878" s="507"/>
      <c r="AS3878" s="507"/>
      <c r="AT3878" s="507"/>
      <c r="AU3878" s="507"/>
      <c r="AV3878" s="225"/>
      <c r="AW3878" s="508"/>
      <c r="AX3878" s="225"/>
      <c r="AY3878" s="225"/>
      <c r="AZ3878" s="225"/>
      <c r="BA3878" s="225"/>
      <c r="BB3878" s="225"/>
      <c r="BC3878" s="56"/>
      <c r="BD3878" s="56"/>
      <c r="BE3878" s="56"/>
      <c r="BF3878" s="107" t="str">
        <f t="shared" si="2976"/>
        <v>https://www.google.com/search?tbm=isch&amp;q=3%20G2</v>
      </c>
      <c r="BG3878" s="107" t="str">
        <f t="shared" si="2977"/>
        <v>V</v>
      </c>
      <c r="BH3878" s="254"/>
      <c r="BI3878" s="254"/>
    </row>
    <row r="3879" spans="1:61" customFormat="1" ht="15.75" x14ac:dyDescent="0.25">
      <c r="A3879" s="276">
        <v>7</v>
      </c>
      <c r="B3879" s="240" t="s">
        <v>291</v>
      </c>
      <c r="C3879" s="241" t="s">
        <v>2826</v>
      </c>
      <c r="D3879" s="242" t="s">
        <v>297</v>
      </c>
      <c r="E3879" s="243">
        <v>56.95</v>
      </c>
      <c r="F3879" s="517" t="s">
        <v>293</v>
      </c>
      <c r="G3879" s="232">
        <v>0</v>
      </c>
      <c r="H3879" s="661" t="str">
        <f>IF(G3879=0,"",IF(F3879="Buy",IF(G3879=1,"plant","plants"),IF(F3879&gt;0.01,"warranty","Error")))</f>
        <v/>
      </c>
      <c r="I3879" s="244">
        <f>IF(H3879="free",0,IF(H3879="credit",((E3879*(F3879))*G3879*-1),IF(F3879="Buy",(E3879*G3879),((E3879*(1-F3879))*G3879))))</f>
        <v>0</v>
      </c>
      <c r="J3879" s="244">
        <f>IF(H3879="warranty",0,(I3879*(_xlfn.SINGLE(SalesTaxPercentage))))</f>
        <v>0</v>
      </c>
      <c r="K3879" s="696">
        <f t="shared" ref="K3879" si="2991">I3879+J3879</f>
        <v>0</v>
      </c>
      <c r="L3879" s="696"/>
      <c r="M3879" s="659" t="str">
        <f>IF(AND(G3879&gt;0,E3879=0),"WARNING - no PRICE inserted",IF(H3879="free"," FREE ~ no charge this plant",IF(H3879="credit",CONCATENATE(" -$",ROUND(K3879*(1-T2GDiscount)*-1,2)," CREDIT after discount"),IF(T2GDiscount=0,"",IF(G3879=0,"",IF(F3879="Buy",CONCATENATE(" $",ROUND(K3879*(1-T2GDiscount),2)," with ",(T2GDiscount*100),"% discount"),CONCATENATE(" $",ROUND(K3879*(1-T2GDiscount),2)," with ",((T2GDiscount*100+F3879*100)-(T2GDiscount*100*F3879)),IF(F3879&gt;0,"% discounts",IF(NoWarrantyDiscount&gt;0,"% discounts","% discount")))))))))</f>
        <v/>
      </c>
      <c r="N3879" s="660"/>
      <c r="O3879" s="233"/>
      <c r="P3879" s="233"/>
      <c r="Q3879" s="233"/>
      <c r="R3879" s="233"/>
      <c r="S3879" s="233"/>
      <c r="T3879" s="508">
        <f t="shared" si="2965"/>
        <v>0</v>
      </c>
      <c r="U3879" s="225">
        <f>IF(NOT(ISNUMBER(G3879)), "", VLOOKUP(A3879,'Discount Lookup'!D:E,2,FALSE)*G3879)</f>
        <v>0</v>
      </c>
      <c r="V3879" s="225">
        <f>IF(NOT(ISNUMBER(G3879)), "", VLOOKUP(A3879,'Discount Lookup'!G:H,2,FALSE)*G3879)</f>
        <v>0</v>
      </c>
      <c r="W3879" s="508">
        <f t="shared" si="2966"/>
        <v>0</v>
      </c>
      <c r="X3879" s="508">
        <f t="shared" si="2967"/>
        <v>0</v>
      </c>
      <c r="Y3879" s="509" t="b">
        <f t="shared" si="2968"/>
        <v>0</v>
      </c>
      <c r="Z3879" s="510">
        <f t="shared" si="2969"/>
        <v>0</v>
      </c>
      <c r="AA3879" s="511"/>
      <c r="AB3879" s="511" t="str">
        <f t="shared" si="2970"/>
        <v/>
      </c>
      <c r="AC3879" s="698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698"/>
      <c r="AE3879" s="631" t="str">
        <f t="shared" si="2971"/>
        <v/>
      </c>
      <c r="AF3879" s="699" t="str">
        <f t="shared" si="2972"/>
        <v/>
      </c>
      <c r="AG3879" s="699"/>
      <c r="AH3879" s="699"/>
      <c r="AI3879" s="512">
        <f>IF(H3879="credit",0,IF(AE3879="free",0,IF(AE3879="me",0,IF(G3879&gt;0,(VLOOKUP(A3879,'Discount Lookup'!J:K,2)*G3879),0))))</f>
        <v>0</v>
      </c>
      <c r="AJ3879" s="513" t="str">
        <f t="shared" ca="1" si="2973"/>
        <v/>
      </c>
      <c r="AK3879" s="700" t="str">
        <f t="shared" si="2974"/>
        <v/>
      </c>
      <c r="AL3879" s="700"/>
      <c r="AM3879" s="505" t="str">
        <f t="shared" si="2975"/>
        <v/>
      </c>
      <c r="AN3879" s="506"/>
      <c r="AO3879" s="507"/>
      <c r="AP3879" s="507"/>
      <c r="AQ3879" s="507"/>
      <c r="AR3879" s="507"/>
      <c r="AS3879" s="507"/>
      <c r="AT3879" s="507"/>
      <c r="AU3879" s="507"/>
      <c r="AV3879" s="225"/>
      <c r="AW3879" s="508"/>
      <c r="AX3879" s="225"/>
      <c r="AY3879" s="225"/>
      <c r="AZ3879" s="225"/>
      <c r="BA3879" s="225"/>
      <c r="BB3879" s="225"/>
      <c r="BC3879" s="56"/>
      <c r="BD3879" s="56"/>
      <c r="BE3879" s="56"/>
      <c r="BF3879" s="107" t="str">
        <f t="shared" si="2976"/>
        <v>https://www.google.com/search?tbm=isch&amp;q=7%20G3</v>
      </c>
      <c r="BG3879" s="107" t="str">
        <f t="shared" si="2977"/>
        <v>V</v>
      </c>
      <c r="BH3879" s="254"/>
      <c r="BI3879" s="254"/>
    </row>
    <row r="3880" spans="1:61" customFormat="1" ht="15.75" x14ac:dyDescent="0.25">
      <c r="A3880" s="276">
        <v>7</v>
      </c>
      <c r="B3880" s="240" t="s">
        <v>291</v>
      </c>
      <c r="C3880" s="241" t="s">
        <v>3835</v>
      </c>
      <c r="D3880" s="242" t="s">
        <v>292</v>
      </c>
      <c r="E3880" s="243">
        <v>95.95</v>
      </c>
      <c r="F3880" s="517" t="s">
        <v>293</v>
      </c>
      <c r="G3880" s="232">
        <v>0</v>
      </c>
      <c r="H3880" s="661" t="str">
        <f>IF(G3880=0,"",IF(F3880="Buy",IF(G3880=1,"plant","plants"),IF(F3880&gt;0.01,"warranty","Error")))</f>
        <v/>
      </c>
      <c r="I3880" s="244">
        <f>IF(H3880="free",0,IF(H3880="credit",((E3880*(F3880))*G3880*-1),IF(F3880="Buy",(E3880*G3880),((E3880*(1-F3880))*G3880))))</f>
        <v>0</v>
      </c>
      <c r="J3880" s="244">
        <f>IF(H3880="warranty",0,(I3880*(_xlfn.SINGLE(SalesTaxPercentage))))</f>
        <v>0</v>
      </c>
      <c r="K3880" s="696">
        <f t="shared" ref="K3880" si="2992">I3880+J3880</f>
        <v>0</v>
      </c>
      <c r="L3880" s="696"/>
      <c r="M3880" s="659" t="str">
        <f>IF(AND(G3880&gt;0,E3880=0),"WARNING - no PRICE inserted",IF(H3880="free"," FREE ~ no charge this plant",IF(H3880="credit",CONCATENATE(" -$",ROUND(K3880*(1-T2GDiscount)*-1,2)," CREDIT after discount"),IF(T2GDiscount=0,"",IF(G3880=0,"",IF(F3880="Buy",CONCATENATE(" $",ROUND(K3880*(1-T2GDiscount),2)," with ",(T2GDiscount*100),"% discount"),CONCATENATE(" $",ROUND(K3880*(1-T2GDiscount),2)," with ",((T2GDiscount*100+F3880*100)-(T2GDiscount*100*F3880)),IF(F3880&gt;0,"% discounts",IF(NoWarrantyDiscount&gt;0,"% discounts","% discount")))))))))</f>
        <v/>
      </c>
      <c r="N3880" s="660"/>
      <c r="O3880" s="233"/>
      <c r="P3880" s="233"/>
      <c r="Q3880" s="233"/>
      <c r="R3880" s="233"/>
      <c r="S3880" s="233"/>
      <c r="T3880" s="508">
        <f t="shared" si="2965"/>
        <v>0</v>
      </c>
      <c r="U3880" s="225">
        <f>IF(NOT(ISNUMBER(G3880)), "", VLOOKUP(A3880,'Discount Lookup'!D:E,2,FALSE)*G3880)</f>
        <v>0</v>
      </c>
      <c r="V3880" s="225">
        <f>IF(NOT(ISNUMBER(G3880)), "", VLOOKUP(A3880,'Discount Lookup'!G:H,2,FALSE)*G3880)</f>
        <v>0</v>
      </c>
      <c r="W3880" s="508">
        <f t="shared" si="2966"/>
        <v>0</v>
      </c>
      <c r="X3880" s="508">
        <f t="shared" si="2967"/>
        <v>0</v>
      </c>
      <c r="Y3880" s="509" t="b">
        <f t="shared" si="2968"/>
        <v>0</v>
      </c>
      <c r="Z3880" s="510">
        <f t="shared" si="2969"/>
        <v>0</v>
      </c>
      <c r="AA3880" s="511"/>
      <c r="AB3880" s="511" t="str">
        <f t="shared" si="2970"/>
        <v/>
      </c>
      <c r="AC3880" s="698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698"/>
      <c r="AE3880" s="631" t="str">
        <f t="shared" si="2971"/>
        <v/>
      </c>
      <c r="AF3880" s="699" t="str">
        <f t="shared" si="2972"/>
        <v/>
      </c>
      <c r="AG3880" s="699"/>
      <c r="AH3880" s="699"/>
      <c r="AI3880" s="512">
        <f>IF(H3880="credit",0,IF(AE3880="free",0,IF(AE3880="me",0,IF(G3880&gt;0,(VLOOKUP(A3880,'Discount Lookup'!J:K,2)*G3880),0))))</f>
        <v>0</v>
      </c>
      <c r="AJ3880" s="513" t="str">
        <f t="shared" ca="1" si="2973"/>
        <v/>
      </c>
      <c r="AK3880" s="700" t="str">
        <f t="shared" si="2974"/>
        <v/>
      </c>
      <c r="AL3880" s="700"/>
      <c r="AM3880" s="505" t="str">
        <f t="shared" si="2975"/>
        <v/>
      </c>
      <c r="AN3880" s="506"/>
      <c r="AO3880" s="507"/>
      <c r="AP3880" s="507"/>
      <c r="AQ3880" s="507"/>
      <c r="AR3880" s="507"/>
      <c r="AS3880" s="507"/>
      <c r="AT3880" s="507"/>
      <c r="AU3880" s="507"/>
      <c r="AV3880" s="225"/>
      <c r="AW3880" s="508"/>
      <c r="AX3880" s="225"/>
      <c r="AY3880" s="225"/>
      <c r="AZ3880" s="225"/>
      <c r="BA3880" s="225"/>
      <c r="BB3880" s="225"/>
      <c r="BC3880" s="56"/>
      <c r="BD3880" s="56"/>
      <c r="BE3880" s="56"/>
      <c r="BF3880" s="107" t="str">
        <f t="shared" si="2976"/>
        <v>https://www.google.com/search?tbm=isch&amp;q=7%20G4</v>
      </c>
      <c r="BG3880" s="107" t="str">
        <f t="shared" si="2977"/>
        <v>V</v>
      </c>
      <c r="BH3880" s="254"/>
      <c r="BI3880" s="254"/>
    </row>
    <row r="3881" spans="1:61" customFormat="1" ht="15.75" x14ac:dyDescent="0.25">
      <c r="A3881" s="276">
        <v>7</v>
      </c>
      <c r="B3881" s="240" t="s">
        <v>291</v>
      </c>
      <c r="C3881" s="241" t="s">
        <v>2827</v>
      </c>
      <c r="D3881" s="242" t="s">
        <v>297</v>
      </c>
      <c r="E3881" s="243">
        <v>119.95</v>
      </c>
      <c r="F3881" s="517" t="s">
        <v>293</v>
      </c>
      <c r="G3881" s="232">
        <v>0</v>
      </c>
      <c r="H3881" s="661" t="str">
        <f>IF(G3881=0,"",IF(F3881="Buy",IF(G3881=1,"plant","plants"),IF(F3881&gt;0.01,"warranty","Error")))</f>
        <v/>
      </c>
      <c r="I3881" s="244">
        <f>IF(H3881="free",0,IF(H3881="credit",((E3881*(F3881))*G3881*-1),IF(F3881="Buy",(E3881*G3881),((E3881*(1-F3881))*G3881))))</f>
        <v>0</v>
      </c>
      <c r="J3881" s="244">
        <f>IF(H3881="warranty",0,(I3881*(_xlfn.SINGLE(SalesTaxPercentage))))</f>
        <v>0</v>
      </c>
      <c r="K3881" s="696">
        <f t="shared" ref="K3881" si="2993">I3881+J3881</f>
        <v>0</v>
      </c>
      <c r="L3881" s="696"/>
      <c r="M3881" s="659" t="str">
        <f>IF(AND(G3881&gt;0,E3881=0),"WARNING - no PRICE inserted",IF(H3881="free"," FREE ~ no charge this plant",IF(H3881="credit",CONCATENATE(" -$",ROUND(K3881*(1-T2GDiscount)*-1,2)," CREDIT after discount"),IF(T2GDiscount=0,"",IF(G3881=0,"",IF(F3881="Buy",CONCATENATE(" $",ROUND(K3881*(1-T2GDiscount),2)," with ",(T2GDiscount*100),"% discount"),CONCATENATE(" $",ROUND(K3881*(1-T2GDiscount),2)," with ",((T2GDiscount*100+F3881*100)-(T2GDiscount*100*F3881)),IF(F3881&gt;0,"% discounts",IF(NoWarrantyDiscount&gt;0,"% discounts","% discount")))))))))</f>
        <v/>
      </c>
      <c r="N3881" s="660"/>
      <c r="O3881" s="233"/>
      <c r="P3881" s="233"/>
      <c r="Q3881" s="233"/>
      <c r="R3881" s="233"/>
      <c r="S3881" s="233"/>
      <c r="T3881" s="508">
        <f t="shared" si="2965"/>
        <v>0</v>
      </c>
      <c r="U3881" s="225">
        <f>IF(NOT(ISNUMBER(G3881)), "", VLOOKUP(A3881,'Discount Lookup'!D:E,2,FALSE)*G3881)</f>
        <v>0</v>
      </c>
      <c r="V3881" s="225">
        <f>IF(NOT(ISNUMBER(G3881)), "", VLOOKUP(A3881,'Discount Lookup'!G:H,2,FALSE)*G3881)</f>
        <v>0</v>
      </c>
      <c r="W3881" s="508">
        <f t="shared" si="2966"/>
        <v>0</v>
      </c>
      <c r="X3881" s="508">
        <f t="shared" si="2967"/>
        <v>0</v>
      </c>
      <c r="Y3881" s="509" t="b">
        <f t="shared" si="2968"/>
        <v>0</v>
      </c>
      <c r="Z3881" s="510">
        <f t="shared" si="2969"/>
        <v>0</v>
      </c>
      <c r="AA3881" s="511"/>
      <c r="AB3881" s="511" t="str">
        <f t="shared" si="2970"/>
        <v/>
      </c>
      <c r="AC3881" s="698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698"/>
      <c r="AE3881" s="631" t="str">
        <f t="shared" si="2971"/>
        <v/>
      </c>
      <c r="AF3881" s="699" t="str">
        <f t="shared" si="2972"/>
        <v/>
      </c>
      <c r="AG3881" s="699"/>
      <c r="AH3881" s="699"/>
      <c r="AI3881" s="512">
        <f>IF(H3881="credit",0,IF(AE3881="free",0,IF(AE3881="me",0,IF(G3881&gt;0,(VLOOKUP(A3881,'Discount Lookup'!J:K,2)*G3881),0))))</f>
        <v>0</v>
      </c>
      <c r="AJ3881" s="513" t="str">
        <f t="shared" ca="1" si="2973"/>
        <v/>
      </c>
      <c r="AK3881" s="700" t="str">
        <f t="shared" si="2974"/>
        <v/>
      </c>
      <c r="AL3881" s="700"/>
      <c r="AM3881" s="505" t="str">
        <f t="shared" si="2975"/>
        <v/>
      </c>
      <c r="AN3881" s="506"/>
      <c r="AO3881" s="507"/>
      <c r="AP3881" s="507"/>
      <c r="AQ3881" s="507"/>
      <c r="AR3881" s="507"/>
      <c r="AS3881" s="507"/>
      <c r="AT3881" s="507"/>
      <c r="AU3881" s="507"/>
      <c r="AV3881" s="225"/>
      <c r="AW3881" s="508"/>
      <c r="AX3881" s="225"/>
      <c r="AY3881" s="225"/>
      <c r="AZ3881" s="225"/>
      <c r="BA3881" s="225"/>
      <c r="BB3881" s="225"/>
      <c r="BC3881" s="56"/>
      <c r="BD3881" s="56"/>
      <c r="BE3881" s="56"/>
      <c r="BF3881" s="107" t="str">
        <f t="shared" si="2976"/>
        <v>https://www.google.com/search?tbm=isch&amp;q=7%20G3</v>
      </c>
      <c r="BG3881" s="107" t="str">
        <f t="shared" si="2977"/>
        <v>V</v>
      </c>
      <c r="BH3881" s="254"/>
      <c r="BI3881" s="254"/>
    </row>
    <row r="3882" spans="1:61" customFormat="1" ht="17.25" thickBot="1" x14ac:dyDescent="0.3">
      <c r="A3882" s="524" t="s">
        <v>4188</v>
      </c>
      <c r="B3882" s="245"/>
      <c r="C3882" s="677"/>
      <c r="D3882" s="499"/>
      <c r="E3882" s="499"/>
      <c r="F3882" s="500"/>
      <c r="G3882" s="501"/>
      <c r="H3882" s="502"/>
      <c r="I3882" s="246"/>
      <c r="J3882" s="247"/>
      <c r="K3882" s="503"/>
      <c r="L3882" s="544"/>
      <c r="M3882" s="544"/>
      <c r="N3882" s="500"/>
      <c r="O3882" s="500"/>
      <c r="P3882" s="500"/>
      <c r="Q3882" s="500"/>
      <c r="R3882" s="500"/>
      <c r="S3882" s="278"/>
      <c r="T3882" s="508">
        <f t="shared" si="2965"/>
        <v>0</v>
      </c>
      <c r="U3882" s="225" t="str">
        <f>IF(NOT(ISNUMBER(G3882)), "", VLOOKUP(A3882,'Discount Lookup'!D:E,2,FALSE)*G3882)</f>
        <v/>
      </c>
      <c r="V3882" s="225" t="str">
        <f>IF(NOT(ISNUMBER(G3882)), "", VLOOKUP(A3882,'Discount Lookup'!G:H,2,FALSE)*G3882)</f>
        <v/>
      </c>
      <c r="W3882" s="508">
        <f t="shared" si="2966"/>
        <v>0</v>
      </c>
      <c r="X3882" s="508">
        <f t="shared" si="2967"/>
        <v>0</v>
      </c>
      <c r="Y3882" s="509" t="b">
        <f t="shared" si="2968"/>
        <v>0</v>
      </c>
      <c r="Z3882" s="510">
        <f t="shared" si="2969"/>
        <v>0</v>
      </c>
      <c r="AA3882" s="511"/>
      <c r="AB3882" s="511" t="str">
        <f t="shared" si="2970"/>
        <v/>
      </c>
      <c r="AC3882" s="698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698"/>
      <c r="AE3882" s="631" t="str">
        <f t="shared" si="2971"/>
        <v/>
      </c>
      <c r="AF3882" s="699" t="str">
        <f t="shared" si="2972"/>
        <v/>
      </c>
      <c r="AG3882" s="699"/>
      <c r="AH3882" s="699"/>
      <c r="AI3882" s="512">
        <f>IF(H3882="credit",0,IF(AE3882="free",0,IF(AE3882="me",0,IF(G3882&gt;0,(VLOOKUP(A3882,'Discount Lookup'!J:K,2)*G3882),0))))</f>
        <v>0</v>
      </c>
      <c r="AJ3882" s="513" t="str">
        <f t="shared" ca="1" si="2973"/>
        <v/>
      </c>
      <c r="AK3882" s="700" t="str">
        <f t="shared" si="2974"/>
        <v/>
      </c>
      <c r="AL3882" s="700"/>
      <c r="AM3882" s="505" t="str">
        <f t="shared" si="2975"/>
        <v/>
      </c>
      <c r="AN3882" s="506"/>
      <c r="AO3882" s="507"/>
      <c r="AP3882" s="507"/>
      <c r="AQ3882" s="507"/>
      <c r="AR3882" s="507"/>
      <c r="AS3882" s="507"/>
      <c r="AT3882" s="507"/>
      <c r="AU3882" s="507"/>
      <c r="AV3882" s="225"/>
      <c r="AW3882" s="508"/>
      <c r="AX3882" s="225"/>
      <c r="AY3882" s="225"/>
      <c r="AZ3882" s="225"/>
      <c r="BA3882" s="225"/>
      <c r="BB3882" s="225"/>
      <c r="BC3882" s="56"/>
      <c r="BD3882" s="56"/>
      <c r="BE3882" s="56"/>
      <c r="BF3882" s="107" t="str">
        <f t="shared" si="2976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3882" s="107" t="str">
        <f t="shared" si="2977"/>
        <v>V</v>
      </c>
      <c r="BH3882" s="254"/>
      <c r="BI3882" s="254"/>
    </row>
    <row r="3883" spans="1:61" customFormat="1" ht="18" x14ac:dyDescent="0.25">
      <c r="A3883" s="523" t="s">
        <v>2268</v>
      </c>
      <c r="B3883" s="235"/>
      <c r="C3883" s="676"/>
      <c r="D3883" s="255" t="s">
        <v>1954</v>
      </c>
      <c r="E3883" s="236"/>
      <c r="F3883" s="236"/>
      <c r="G3883" s="236"/>
      <c r="H3883" s="582" t="s">
        <v>316</v>
      </c>
      <c r="I3883" s="498" t="s">
        <v>654</v>
      </c>
      <c r="J3883" s="237"/>
      <c r="K3883" s="237"/>
      <c r="L3883" s="274"/>
      <c r="M3883" s="668" t="s">
        <v>4975</v>
      </c>
      <c r="N3883" s="681" t="str">
        <f>IF(AND(ISTEXT($A3883), ISERROR($A3883+0)), HYPERLINK($BF3883, "Images"), "")</f>
        <v>Images</v>
      </c>
      <c r="O3883" s="663" t="s">
        <v>4967</v>
      </c>
      <c r="P3883" s="253"/>
      <c r="Q3883" s="238"/>
      <c r="R3883" s="239"/>
      <c r="S3883" s="275" t="s">
        <v>305</v>
      </c>
      <c r="T3883" s="508">
        <f t="shared" si="2965"/>
        <v>0</v>
      </c>
      <c r="U3883" s="225" t="str">
        <f>IF(NOT(ISNUMBER(G3883)), "", VLOOKUP(A3883,'Discount Lookup'!D:E,2,FALSE)*G3883)</f>
        <v/>
      </c>
      <c r="V3883" s="225" t="str">
        <f>IF(NOT(ISNUMBER(G3883)), "", VLOOKUP(A3883,'Discount Lookup'!G:H,2,FALSE)*G3883)</f>
        <v/>
      </c>
      <c r="W3883" s="508">
        <f t="shared" si="2966"/>
        <v>0</v>
      </c>
      <c r="X3883" s="508" t="str">
        <f t="shared" si="2967"/>
        <v>White bloom</v>
      </c>
      <c r="Y3883" s="509" t="b">
        <f t="shared" si="2968"/>
        <v>0</v>
      </c>
      <c r="Z3883" s="510">
        <f t="shared" si="2969"/>
        <v>0</v>
      </c>
      <c r="AA3883" s="511"/>
      <c r="AB3883" s="511" t="str">
        <f t="shared" si="2970"/>
        <v/>
      </c>
      <c r="AC3883" s="698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698"/>
      <c r="AE3883" s="631" t="str">
        <f t="shared" si="2971"/>
        <v/>
      </c>
      <c r="AF3883" s="699" t="str">
        <f t="shared" si="2972"/>
        <v/>
      </c>
      <c r="AG3883" s="699"/>
      <c r="AH3883" s="699"/>
      <c r="AI3883" s="512">
        <f>IF(H3883="credit",0,IF(AE3883="free",0,IF(AE3883="me",0,IF(G3883&gt;0,(VLOOKUP(A3883,'Discount Lookup'!J:K,2)*G3883),0))))</f>
        <v>0</v>
      </c>
      <c r="AJ3883" s="513" t="str">
        <f t="shared" ca="1" si="2973"/>
        <v/>
      </c>
      <c r="AK3883" s="700" t="str">
        <f t="shared" si="2974"/>
        <v/>
      </c>
      <c r="AL3883" s="700"/>
      <c r="AM3883" s="505" t="str">
        <f t="shared" si="2975"/>
        <v/>
      </c>
      <c r="AN3883" s="506"/>
      <c r="AO3883" s="507"/>
      <c r="AP3883" s="507"/>
      <c r="AQ3883" s="507"/>
      <c r="AR3883" s="507"/>
      <c r="AS3883" s="507"/>
      <c r="AT3883" s="507"/>
      <c r="AU3883" s="507"/>
      <c r="AV3883" s="225"/>
      <c r="AW3883" s="508"/>
      <c r="AX3883" s="225"/>
      <c r="AY3883" s="225"/>
      <c r="AZ3883" s="225"/>
      <c r="BA3883" s="225"/>
      <c r="BB3883" s="225"/>
      <c r="BC3883" s="56"/>
      <c r="BD3883" s="56"/>
      <c r="BE3883" s="56"/>
      <c r="BF3883" s="107" t="str">
        <f t="shared" si="2976"/>
        <v>https://www.google.com/search?tbm=isch&amp;q=Vanilla%20Twist%20Weeping%20Redbud%20Cercis%20canadensis%20%27Vanilla%20Twist%27%20PP%2322744</v>
      </c>
      <c r="BG3883" s="107" t="str">
        <f t="shared" si="2977"/>
        <v>V</v>
      </c>
      <c r="BH3883" s="254"/>
      <c r="BI3883" s="254"/>
    </row>
    <row r="3884" spans="1:61" customFormat="1" ht="15.75" x14ac:dyDescent="0.25">
      <c r="A3884" s="276">
        <v>7</v>
      </c>
      <c r="B3884" s="240" t="s">
        <v>291</v>
      </c>
      <c r="C3884" s="241" t="s">
        <v>3836</v>
      </c>
      <c r="D3884" s="242" t="s">
        <v>292</v>
      </c>
      <c r="E3884" s="243">
        <v>132.94999999999999</v>
      </c>
      <c r="F3884" s="517" t="s">
        <v>293</v>
      </c>
      <c r="G3884" s="232">
        <v>0</v>
      </c>
      <c r="H3884" s="661" t="str">
        <f>IF(G3884=0,"",IF(F3884="Buy",IF(G3884=1,"plant","plants"),IF(F3884&gt;0.01,"warranty","Error")))</f>
        <v/>
      </c>
      <c r="I3884" s="244">
        <f>IF(H3884="free",0,IF(H3884="credit",((E3884*(F3884))*G3884*-1),IF(F3884="Buy",(E3884*G3884),((E3884*(1-F3884))*G3884))))</f>
        <v>0</v>
      </c>
      <c r="J3884" s="244">
        <f>IF(H3884="warranty",0,(I3884*(_xlfn.SINGLE(SalesTaxPercentage))))</f>
        <v>0</v>
      </c>
      <c r="K3884" s="696">
        <f t="shared" ref="K3884" si="2994">I3884+J3884</f>
        <v>0</v>
      </c>
      <c r="L3884" s="696"/>
      <c r="M3884" s="659" t="str">
        <f>IF(AND(G3884&gt;0,E3884=0),"WARNING - no PRICE inserted",IF(H3884="free"," FREE ~ no charge this plant",IF(H3884="credit",CONCATENATE(" -$",ROUND(K3884*(1-T2GDiscount)*-1,2)," CREDIT after discount"),IF(T2GDiscount=0,"",IF(G3884=0,"",IF(F3884="Buy",CONCATENATE(" $",ROUND(K3884*(1-T2GDiscount),2)," with ",(T2GDiscount*100),"% discount"),CONCATENATE(" $",ROUND(K3884*(1-T2GDiscount),2)," with ",((T2GDiscount*100+F3884*100)-(T2GDiscount*100*F3884)),IF(F3884&gt;0,"% discounts",IF(NoWarrantyDiscount&gt;0,"% discounts","% discount")))))))))</f>
        <v/>
      </c>
      <c r="N3884" s="660"/>
      <c r="O3884" s="233"/>
      <c r="P3884" s="233"/>
      <c r="Q3884" s="233"/>
      <c r="R3884" s="233"/>
      <c r="S3884" s="233"/>
      <c r="T3884" s="508">
        <f t="shared" si="2965"/>
        <v>0</v>
      </c>
      <c r="U3884" s="225">
        <f>IF(NOT(ISNUMBER(G3884)), "", VLOOKUP(A3884,'Discount Lookup'!D:E,2,FALSE)*G3884)</f>
        <v>0</v>
      </c>
      <c r="V3884" s="225">
        <f>IF(NOT(ISNUMBER(G3884)), "", VLOOKUP(A3884,'Discount Lookup'!G:H,2,FALSE)*G3884)</f>
        <v>0</v>
      </c>
      <c r="W3884" s="508">
        <f t="shared" si="2966"/>
        <v>0</v>
      </c>
      <c r="X3884" s="508">
        <f t="shared" si="2967"/>
        <v>0</v>
      </c>
      <c r="Y3884" s="509" t="b">
        <f t="shared" si="2968"/>
        <v>0</v>
      </c>
      <c r="Z3884" s="510">
        <f t="shared" si="2969"/>
        <v>0</v>
      </c>
      <c r="AA3884" s="511"/>
      <c r="AB3884" s="511" t="str">
        <f t="shared" si="2970"/>
        <v/>
      </c>
      <c r="AC3884" s="698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698"/>
      <c r="AE3884" s="631" t="str">
        <f t="shared" si="2971"/>
        <v/>
      </c>
      <c r="AF3884" s="699" t="str">
        <f t="shared" si="2972"/>
        <v/>
      </c>
      <c r="AG3884" s="699"/>
      <c r="AH3884" s="699"/>
      <c r="AI3884" s="512">
        <f>IF(H3884="credit",0,IF(AE3884="free",0,IF(AE3884="me",0,IF(G3884&gt;0,(VLOOKUP(A3884,'Discount Lookup'!J:K,2)*G3884),0))))</f>
        <v>0</v>
      </c>
      <c r="AJ3884" s="513" t="str">
        <f t="shared" ca="1" si="2973"/>
        <v/>
      </c>
      <c r="AK3884" s="700" t="str">
        <f t="shared" si="2974"/>
        <v/>
      </c>
      <c r="AL3884" s="700"/>
      <c r="AM3884" s="505" t="str">
        <f t="shared" si="2975"/>
        <v/>
      </c>
      <c r="AN3884" s="506"/>
      <c r="AO3884" s="507"/>
      <c r="AP3884" s="507"/>
      <c r="AQ3884" s="507"/>
      <c r="AR3884" s="507"/>
      <c r="AS3884" s="507"/>
      <c r="AT3884" s="507"/>
      <c r="AU3884" s="507"/>
      <c r="AV3884" s="225"/>
      <c r="AW3884" s="508"/>
      <c r="AX3884" s="225"/>
      <c r="AY3884" s="225"/>
      <c r="AZ3884" s="225"/>
      <c r="BA3884" s="225"/>
      <c r="BB3884" s="225"/>
      <c r="BC3884" s="56"/>
      <c r="BD3884" s="56"/>
      <c r="BE3884" s="56"/>
      <c r="BF3884" s="107" t="str">
        <f t="shared" si="2976"/>
        <v>https://www.google.com/search?tbm=isch&amp;q=7%20G4</v>
      </c>
      <c r="BG3884" s="107" t="str">
        <f t="shared" si="2977"/>
        <v>V</v>
      </c>
      <c r="BH3884" s="254"/>
      <c r="BI3884" s="254"/>
    </row>
    <row r="3885" spans="1:61" customFormat="1" ht="15.75" x14ac:dyDescent="0.25">
      <c r="A3885" s="276">
        <v>10</v>
      </c>
      <c r="B3885" s="240" t="s">
        <v>291</v>
      </c>
      <c r="C3885" s="241" t="s">
        <v>821</v>
      </c>
      <c r="D3885" s="242" t="s">
        <v>312</v>
      </c>
      <c r="E3885" s="243">
        <v>146.94999999999999</v>
      </c>
      <c r="F3885" s="517" t="s">
        <v>293</v>
      </c>
      <c r="G3885" s="232">
        <v>0</v>
      </c>
      <c r="H3885" s="661" t="str">
        <f>IF(G3885=0,"",IF(F3885="Buy",IF(G3885=1,"plant","plants"),IF(F3885&gt;0.01,"warranty","Error")))</f>
        <v/>
      </c>
      <c r="I3885" s="244">
        <f>IF(H3885="free",0,IF(H3885="credit",((E3885*(F3885))*G3885*-1),IF(F3885="Buy",(E3885*G3885),((E3885*(1-F3885))*G3885))))</f>
        <v>0</v>
      </c>
      <c r="J3885" s="244">
        <f>IF(H3885="warranty",0,(I3885*(_xlfn.SINGLE(SalesTaxPercentage))))</f>
        <v>0</v>
      </c>
      <c r="K3885" s="696">
        <f t="shared" ref="K3885" si="2995">I3885+J3885</f>
        <v>0</v>
      </c>
      <c r="L3885" s="696"/>
      <c r="M3885" s="659" t="str">
        <f>IF(AND(G3885&gt;0,E3885=0),"WARNING - no PRICE inserted",IF(H3885="free"," FREE ~ no charge this plant",IF(H3885="credit",CONCATENATE(" -$",ROUND(K3885*(1-T2GDiscount)*-1,2)," CREDIT after discount"),IF(T2GDiscount=0,"",IF(G3885=0,"",IF(F3885="Buy",CONCATENATE(" $",ROUND(K3885*(1-T2GDiscount),2)," with ",(T2GDiscount*100),"% discount"),CONCATENATE(" $",ROUND(K3885*(1-T2GDiscount),2)," with ",((T2GDiscount*100+F3885*100)-(T2GDiscount*100*F3885)),IF(F3885&gt;0,"% discounts",IF(NoWarrantyDiscount&gt;0,"% discounts","% discount")))))))))</f>
        <v/>
      </c>
      <c r="N3885" s="660"/>
      <c r="O3885" s="233"/>
      <c r="P3885" s="233"/>
      <c r="Q3885" s="233"/>
      <c r="R3885" s="233"/>
      <c r="S3885" s="233"/>
      <c r="T3885" s="508">
        <f t="shared" si="2965"/>
        <v>0</v>
      </c>
      <c r="U3885" s="225">
        <f>IF(NOT(ISNUMBER(G3885)), "", VLOOKUP(A3885,'Discount Lookup'!D:E,2,FALSE)*G3885)</f>
        <v>0</v>
      </c>
      <c r="V3885" s="225">
        <f>IF(NOT(ISNUMBER(G3885)), "", VLOOKUP(A3885,'Discount Lookup'!G:H,2,FALSE)*G3885)</f>
        <v>0</v>
      </c>
      <c r="W3885" s="508">
        <f t="shared" si="2966"/>
        <v>0</v>
      </c>
      <c r="X3885" s="508">
        <f t="shared" si="2967"/>
        <v>0</v>
      </c>
      <c r="Y3885" s="509" t="b">
        <f t="shared" si="2968"/>
        <v>0</v>
      </c>
      <c r="Z3885" s="510">
        <f t="shared" si="2969"/>
        <v>0</v>
      </c>
      <c r="AA3885" s="511"/>
      <c r="AB3885" s="511" t="str">
        <f t="shared" si="2970"/>
        <v/>
      </c>
      <c r="AC3885" s="698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698"/>
      <c r="AE3885" s="631" t="str">
        <f t="shared" si="2971"/>
        <v/>
      </c>
      <c r="AF3885" s="699" t="str">
        <f t="shared" si="2972"/>
        <v/>
      </c>
      <c r="AG3885" s="699"/>
      <c r="AH3885" s="699"/>
      <c r="AI3885" s="512">
        <f>IF(H3885="credit",0,IF(AE3885="free",0,IF(AE3885="me",0,IF(G3885&gt;0,(VLOOKUP(A3885,'Discount Lookup'!J:K,2)*G3885),0))))</f>
        <v>0</v>
      </c>
      <c r="AJ3885" s="513" t="str">
        <f t="shared" ca="1" si="2973"/>
        <v/>
      </c>
      <c r="AK3885" s="700" t="str">
        <f t="shared" si="2974"/>
        <v/>
      </c>
      <c r="AL3885" s="700"/>
      <c r="AM3885" s="505" t="str">
        <f t="shared" si="2975"/>
        <v/>
      </c>
      <c r="AN3885" s="506"/>
      <c r="AO3885" s="507"/>
      <c r="AP3885" s="507"/>
      <c r="AQ3885" s="507"/>
      <c r="AR3885" s="507"/>
      <c r="AS3885" s="507"/>
      <c r="AT3885" s="507"/>
      <c r="AU3885" s="507"/>
      <c r="AV3885" s="225"/>
      <c r="AW3885" s="508"/>
      <c r="AX3885" s="225"/>
      <c r="AY3885" s="225"/>
      <c r="AZ3885" s="225"/>
      <c r="BA3885" s="225"/>
      <c r="BB3885" s="225"/>
      <c r="BC3885" s="56"/>
      <c r="BD3885" s="56"/>
      <c r="BE3885" s="56"/>
      <c r="BF3885" s="107" t="str">
        <f t="shared" si="2976"/>
        <v>https://www.google.com/search?tbm=isch&amp;q=10%20G2</v>
      </c>
      <c r="BG3885" s="107" t="str">
        <f t="shared" si="2977"/>
        <v>V</v>
      </c>
      <c r="BH3885" s="254"/>
      <c r="BI3885" s="254"/>
    </row>
    <row r="3886" spans="1:61" customFormat="1" ht="17.25" thickBot="1" x14ac:dyDescent="0.3">
      <c r="A3886" s="524" t="s">
        <v>2313</v>
      </c>
      <c r="B3886" s="245"/>
      <c r="C3886" s="677"/>
      <c r="D3886" s="499"/>
      <c r="E3886" s="499"/>
      <c r="F3886" s="500"/>
      <c r="G3886" s="501"/>
      <c r="H3886" s="502"/>
      <c r="I3886" s="246"/>
      <c r="J3886" s="247"/>
      <c r="K3886" s="503"/>
      <c r="L3886" s="544"/>
      <c r="M3886" s="544"/>
      <c r="N3886" s="500"/>
      <c r="O3886" s="500"/>
      <c r="P3886" s="500"/>
      <c r="Q3886" s="500"/>
      <c r="R3886" s="500"/>
      <c r="S3886" s="669" t="s">
        <v>4996</v>
      </c>
      <c r="T3886" s="508">
        <f t="shared" si="2965"/>
        <v>0</v>
      </c>
      <c r="U3886" s="225" t="str">
        <f>IF(NOT(ISNUMBER(G3886)), "", VLOOKUP(A3886,'Discount Lookup'!D:E,2,FALSE)*G3886)</f>
        <v/>
      </c>
      <c r="V3886" s="225" t="str">
        <f>IF(NOT(ISNUMBER(G3886)), "", VLOOKUP(A3886,'Discount Lookup'!G:H,2,FALSE)*G3886)</f>
        <v/>
      </c>
      <c r="W3886" s="508">
        <f t="shared" si="2966"/>
        <v>0</v>
      </c>
      <c r="X3886" s="508">
        <f t="shared" si="2967"/>
        <v>0</v>
      </c>
      <c r="Y3886" s="509" t="b">
        <f t="shared" si="2968"/>
        <v>0</v>
      </c>
      <c r="Z3886" s="510">
        <f t="shared" si="2969"/>
        <v>0</v>
      </c>
      <c r="AA3886" s="511"/>
      <c r="AB3886" s="511" t="str">
        <f t="shared" si="2970"/>
        <v/>
      </c>
      <c r="AC3886" s="698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698"/>
      <c r="AE3886" s="631" t="str">
        <f t="shared" si="2971"/>
        <v/>
      </c>
      <c r="AF3886" s="699" t="str">
        <f t="shared" si="2972"/>
        <v/>
      </c>
      <c r="AG3886" s="699"/>
      <c r="AH3886" s="699"/>
      <c r="AI3886" s="512">
        <f>IF(H3886="credit",0,IF(AE3886="free",0,IF(AE3886="me",0,IF(G3886&gt;0,(VLOOKUP(A3886,'Discount Lookup'!J:K,2)*G3886),0))))</f>
        <v>0</v>
      </c>
      <c r="AJ3886" s="513" t="str">
        <f t="shared" ca="1" si="2973"/>
        <v/>
      </c>
      <c r="AK3886" s="700" t="str">
        <f t="shared" si="2974"/>
        <v/>
      </c>
      <c r="AL3886" s="700"/>
      <c r="AM3886" s="505" t="str">
        <f t="shared" si="2975"/>
        <v/>
      </c>
      <c r="AN3886" s="506"/>
      <c r="AO3886" s="507"/>
      <c r="AP3886" s="507"/>
      <c r="AQ3886" s="507"/>
      <c r="AR3886" s="507"/>
      <c r="AS3886" s="507"/>
      <c r="AT3886" s="507"/>
      <c r="AU3886" s="507"/>
      <c r="AV3886" s="225"/>
      <c r="AW3886" s="508"/>
      <c r="AX3886" s="225"/>
      <c r="AY3886" s="225"/>
      <c r="AZ3886" s="225"/>
      <c r="BA3886" s="225"/>
      <c r="BB3886" s="225"/>
      <c r="BC3886" s="56"/>
      <c r="BD3886" s="56"/>
      <c r="BE3886" s="56"/>
      <c r="BF3886" s="107" t="str">
        <f t="shared" si="2976"/>
        <v>https://www.google.com/search?tbm=isch&amp;q=Vanilla%20Twist%20named%20for%20being%20only%20Redbud%20with%20White%20bloom%2C%20not%20for%20any%20fragrance.%20Dramatic%20look.%20Zigzagging%20branches%20</v>
      </c>
      <c r="BG3886" s="107" t="str">
        <f t="shared" si="2977"/>
        <v>V</v>
      </c>
      <c r="BH3886" s="254"/>
      <c r="BI3886" s="254"/>
    </row>
    <row r="3887" spans="1:61" customFormat="1" ht="18" x14ac:dyDescent="0.25">
      <c r="A3887" s="521" t="s">
        <v>1955</v>
      </c>
      <c r="B3887" s="477"/>
      <c r="C3887" s="674"/>
      <c r="D3887" s="478" t="s">
        <v>1956</v>
      </c>
      <c r="E3887" s="479"/>
      <c r="F3887" s="479"/>
      <c r="G3887" s="479"/>
      <c r="H3887" s="582" t="s">
        <v>1858</v>
      </c>
      <c r="I3887" s="480" t="s">
        <v>2976</v>
      </c>
      <c r="J3887" s="479"/>
      <c r="K3887" s="479"/>
      <c r="L3887" s="560"/>
      <c r="M3887" s="666" t="s">
        <v>4966</v>
      </c>
      <c r="N3887" s="680" t="str">
        <f>IF(AND(ISTEXT($A3887), ISERROR($A3887+0)), HYPERLINK($BF3887, "Images"), "")</f>
        <v>Images</v>
      </c>
      <c r="O3887" s="662" t="s">
        <v>4969</v>
      </c>
      <c r="P3887" s="482"/>
      <c r="Q3887" s="483"/>
      <c r="R3887" s="483"/>
      <c r="S3887" s="484"/>
      <c r="T3887" s="508">
        <f t="shared" si="2965"/>
        <v>0</v>
      </c>
      <c r="U3887" s="225" t="str">
        <f>IF(NOT(ISNUMBER(G3887)), "", VLOOKUP(A3887,'Discount Lookup'!D:E,2,FALSE)*G3887)</f>
        <v/>
      </c>
      <c r="V3887" s="225" t="str">
        <f>IF(NOT(ISNUMBER(G3887)), "", VLOOKUP(A3887,'Discount Lookup'!G:H,2,FALSE)*G3887)</f>
        <v/>
      </c>
      <c r="W3887" s="508">
        <f t="shared" si="2966"/>
        <v>0</v>
      </c>
      <c r="X3887" s="508" t="str">
        <f t="shared" si="2967"/>
        <v>Dark Green &amp; White</v>
      </c>
      <c r="Y3887" s="509" t="b">
        <f t="shared" si="2968"/>
        <v>0</v>
      </c>
      <c r="Z3887" s="510">
        <f t="shared" si="2969"/>
        <v>0</v>
      </c>
      <c r="AA3887" s="511"/>
      <c r="AB3887" s="511" t="str">
        <f t="shared" si="2970"/>
        <v/>
      </c>
      <c r="AC3887" s="698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698"/>
      <c r="AE3887" s="631" t="str">
        <f t="shared" si="2971"/>
        <v/>
      </c>
      <c r="AF3887" s="699" t="str">
        <f t="shared" si="2972"/>
        <v/>
      </c>
      <c r="AG3887" s="699"/>
      <c r="AH3887" s="699"/>
      <c r="AI3887" s="512">
        <f>IF(H3887="credit",0,IF(AE3887="free",0,IF(AE3887="me",0,IF(G3887&gt;0,(VLOOKUP(A3887,'Discount Lookup'!J:K,2)*G3887),0))))</f>
        <v>0</v>
      </c>
      <c r="AJ3887" s="513" t="str">
        <f t="shared" ca="1" si="2973"/>
        <v/>
      </c>
      <c r="AK3887" s="700" t="str">
        <f t="shared" si="2974"/>
        <v/>
      </c>
      <c r="AL3887" s="700"/>
      <c r="AM3887" s="505" t="str">
        <f t="shared" si="2975"/>
        <v/>
      </c>
      <c r="AN3887" s="506"/>
      <c r="AO3887" s="507"/>
      <c r="AP3887" s="507"/>
      <c r="AQ3887" s="507"/>
      <c r="AR3887" s="507"/>
      <c r="AS3887" s="507"/>
      <c r="AT3887" s="507"/>
      <c r="AU3887" s="507"/>
      <c r="AV3887" s="225"/>
      <c r="AW3887" s="508"/>
      <c r="AX3887" s="225"/>
      <c r="AY3887" s="225"/>
      <c r="AZ3887" s="225"/>
      <c r="BA3887" s="225"/>
      <c r="BB3887" s="225"/>
      <c r="BC3887" s="56"/>
      <c r="BD3887" s="56"/>
      <c r="BE3887" s="56"/>
      <c r="BF3887" s="107" t="str">
        <f t="shared" si="2976"/>
        <v>https://www.google.com/search?tbm=isch&amp;q=Variegated%20English%20Boxwood%20Buxus%20sempervirens%20%27Variegata%27</v>
      </c>
      <c r="BG3887" s="107" t="str">
        <f t="shared" si="2977"/>
        <v>V</v>
      </c>
      <c r="BH3887" s="254"/>
      <c r="BI3887" s="254"/>
    </row>
    <row r="3888" spans="1:61" customFormat="1" ht="15.75" x14ac:dyDescent="0.25">
      <c r="A3888" s="485">
        <v>5</v>
      </c>
      <c r="B3888" s="486" t="s">
        <v>291</v>
      </c>
      <c r="C3888" s="487" t="s">
        <v>3837</v>
      </c>
      <c r="D3888" s="488" t="s">
        <v>292</v>
      </c>
      <c r="E3888" s="489">
        <v>91.95</v>
      </c>
      <c r="F3888" s="516" t="s">
        <v>293</v>
      </c>
      <c r="G3888" s="232">
        <v>0</v>
      </c>
      <c r="H3888" s="658" t="str">
        <f>IF(G3888=0,"",IF(F3888="Buy",IF(G3888=1,"plant","plants"),IF(F3888&gt;0.01,"warranty","Error")))</f>
        <v/>
      </c>
      <c r="I3888" s="490">
        <f>IF(H3888="free",0,IF(H3888="credit",((E3888*(F3888))*G3888*-1),IF(F3888="Buy",(E3888*G3888),((E3888*(1-F3888))*G3888))))</f>
        <v>0</v>
      </c>
      <c r="J3888" s="490">
        <f>IF(H3888="warranty",0,(I3888*(_xlfn.SINGLE(SalesTaxPercentage))))</f>
        <v>0</v>
      </c>
      <c r="K3888" s="695">
        <f t="shared" ref="K3888" si="2996">I3888+J3888</f>
        <v>0</v>
      </c>
      <c r="L3888" s="695"/>
      <c r="M3888" s="659" t="str">
        <f>IF(AND(G3888&gt;0,E3888=0),"WARNING - no PRICE inserted",IF(H3888="free"," FREE ~ no charge this plant",IF(H3888="credit",CONCATENATE(" -$",ROUND(K3888*(1-T2GDiscount)*-1,2)," CREDIT after discount"),IF(T2GDiscount=0,"",IF(G3888=0,"",IF(F3888="Buy",CONCATENATE(" $",ROUND(K3888*(1-T2GDiscount),2)," with ",(T2GDiscount*100),"% discount"),CONCATENATE(" $",ROUND(K3888*(1-T2GDiscount),2)," with ",((T2GDiscount*100+F3888*100)-(T2GDiscount*100*F3888)),IF(F3888&gt;0,"% discounts",IF(NoWarrantyDiscount&gt;0,"% discounts","% discount")))))))))</f>
        <v/>
      </c>
      <c r="N3888" s="660"/>
      <c r="O3888" s="233"/>
      <c r="P3888" s="233"/>
      <c r="Q3888" s="233"/>
      <c r="R3888" s="233"/>
      <c r="S3888" s="233"/>
      <c r="T3888" s="508">
        <f t="shared" si="2965"/>
        <v>0</v>
      </c>
      <c r="U3888" s="225">
        <f>IF(NOT(ISNUMBER(G3888)), "", VLOOKUP(A3888,'Discount Lookup'!D:E,2,FALSE)*G3888)</f>
        <v>0</v>
      </c>
      <c r="V3888" s="225">
        <f>IF(NOT(ISNUMBER(G3888)), "", VLOOKUP(A3888,'Discount Lookup'!G:H,2,FALSE)*G3888)</f>
        <v>0</v>
      </c>
      <c r="W3888" s="508">
        <f t="shared" si="2966"/>
        <v>0</v>
      </c>
      <c r="X3888" s="508">
        <f t="shared" si="2967"/>
        <v>0</v>
      </c>
      <c r="Y3888" s="509" t="b">
        <f t="shared" si="2968"/>
        <v>0</v>
      </c>
      <c r="Z3888" s="510">
        <f t="shared" si="2969"/>
        <v>0</v>
      </c>
      <c r="AA3888" s="511"/>
      <c r="AB3888" s="511" t="str">
        <f t="shared" si="2970"/>
        <v/>
      </c>
      <c r="AC3888" s="698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698"/>
      <c r="AE3888" s="631" t="str">
        <f t="shared" si="2971"/>
        <v/>
      </c>
      <c r="AF3888" s="699" t="str">
        <f t="shared" si="2972"/>
        <v/>
      </c>
      <c r="AG3888" s="699"/>
      <c r="AH3888" s="699"/>
      <c r="AI3888" s="512">
        <f>IF(H3888="credit",0,IF(AE3888="free",0,IF(AE3888="me",0,IF(G3888&gt;0,(VLOOKUP(A3888,'Discount Lookup'!J:K,2)*G3888),0))))</f>
        <v>0</v>
      </c>
      <c r="AJ3888" s="513" t="str">
        <f t="shared" ca="1" si="2973"/>
        <v/>
      </c>
      <c r="AK3888" s="700" t="str">
        <f t="shared" si="2974"/>
        <v/>
      </c>
      <c r="AL3888" s="700"/>
      <c r="AM3888" s="505" t="str">
        <f t="shared" si="2975"/>
        <v/>
      </c>
      <c r="AN3888" s="506"/>
      <c r="AO3888" s="507"/>
      <c r="AP3888" s="507"/>
      <c r="AQ3888" s="507"/>
      <c r="AR3888" s="507"/>
      <c r="AS3888" s="507"/>
      <c r="AT3888" s="507"/>
      <c r="AU3888" s="507"/>
      <c r="AV3888" s="225"/>
      <c r="AW3888" s="508"/>
      <c r="AX3888" s="225"/>
      <c r="AY3888" s="225"/>
      <c r="AZ3888" s="225"/>
      <c r="BA3888" s="225"/>
      <c r="BB3888" s="225"/>
      <c r="BC3888" s="56"/>
      <c r="BD3888" s="56"/>
      <c r="BE3888" s="56"/>
      <c r="BF3888" s="107" t="str">
        <f t="shared" si="2976"/>
        <v>https://www.google.com/search?tbm=isch&amp;q=5%20G4</v>
      </c>
      <c r="BG3888" s="107" t="str">
        <f t="shared" si="2977"/>
        <v>V</v>
      </c>
      <c r="BH3888" s="254"/>
      <c r="BI3888" s="254"/>
    </row>
    <row r="3889" spans="1:61" customFormat="1" ht="16.5" thickBot="1" x14ac:dyDescent="0.3">
      <c r="A3889" s="522" t="s">
        <v>2997</v>
      </c>
      <c r="B3889" s="491"/>
      <c r="C3889" s="675"/>
      <c r="D3889" s="491"/>
      <c r="E3889" s="491"/>
      <c r="F3889" s="492"/>
      <c r="G3889" s="493"/>
      <c r="H3889" s="491"/>
      <c r="I3889" s="234"/>
      <c r="J3889" s="234"/>
      <c r="K3889" s="494"/>
      <c r="L3889" s="543"/>
      <c r="M3889" s="561"/>
      <c r="N3889" s="495"/>
      <c r="O3889" s="496"/>
      <c r="P3889" s="497"/>
      <c r="Q3889" s="495"/>
      <c r="R3889" s="495"/>
      <c r="S3889" s="667" t="s">
        <v>4968</v>
      </c>
      <c r="T3889" s="508">
        <f t="shared" si="2965"/>
        <v>0</v>
      </c>
      <c r="U3889" s="225" t="str">
        <f>IF(NOT(ISNUMBER(G3889)), "", VLOOKUP(A3889,'Discount Lookup'!D:E,2,FALSE)*G3889)</f>
        <v/>
      </c>
      <c r="V3889" s="225" t="str">
        <f>IF(NOT(ISNUMBER(G3889)), "", VLOOKUP(A3889,'Discount Lookup'!G:H,2,FALSE)*G3889)</f>
        <v/>
      </c>
      <c r="W3889" s="508">
        <f t="shared" si="2966"/>
        <v>0</v>
      </c>
      <c r="X3889" s="508">
        <f t="shared" si="2967"/>
        <v>0</v>
      </c>
      <c r="Y3889" s="509" t="b">
        <f t="shared" si="2968"/>
        <v>0</v>
      </c>
      <c r="Z3889" s="510">
        <f t="shared" si="2969"/>
        <v>0</v>
      </c>
      <c r="AA3889" s="511"/>
      <c r="AB3889" s="511" t="str">
        <f t="shared" si="2970"/>
        <v/>
      </c>
      <c r="AC3889" s="698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698"/>
      <c r="AE3889" s="631" t="str">
        <f t="shared" si="2971"/>
        <v/>
      </c>
      <c r="AF3889" s="699" t="str">
        <f t="shared" si="2972"/>
        <v/>
      </c>
      <c r="AG3889" s="699"/>
      <c r="AH3889" s="699"/>
      <c r="AI3889" s="512">
        <f>IF(H3889="credit",0,IF(AE3889="free",0,IF(AE3889="me",0,IF(G3889&gt;0,(VLOOKUP(A3889,'Discount Lookup'!J:K,2)*G3889),0))))</f>
        <v>0</v>
      </c>
      <c r="AJ3889" s="513" t="str">
        <f t="shared" ca="1" si="2973"/>
        <v/>
      </c>
      <c r="AK3889" s="700" t="str">
        <f t="shared" si="2974"/>
        <v/>
      </c>
      <c r="AL3889" s="700"/>
      <c r="AM3889" s="505" t="str">
        <f t="shared" si="2975"/>
        <v/>
      </c>
      <c r="AN3889" s="506"/>
      <c r="AO3889" s="507"/>
      <c r="AP3889" s="507"/>
      <c r="AQ3889" s="507"/>
      <c r="AR3889" s="507"/>
      <c r="AS3889" s="507"/>
      <c r="AT3889" s="507"/>
      <c r="AU3889" s="507"/>
      <c r="AV3889" s="225"/>
      <c r="AW3889" s="508"/>
      <c r="AX3889" s="225"/>
      <c r="AY3889" s="225"/>
      <c r="AZ3889" s="225"/>
      <c r="BA3889" s="225"/>
      <c r="BB3889" s="225"/>
      <c r="BC3889" s="56"/>
      <c r="BD3889" s="56"/>
      <c r="BE3889" s="56"/>
      <c r="BF3889" s="107" t="str">
        <f t="shared" si="2976"/>
        <v>https://www.google.com/search?tbm=isch&amp;q=Variegated%20English%20has%20Creamy-White%20margins%20on%20leaves.%20Mild%20winter%20bronzing.%20Slow-growing%2C%20dense%2C%20and%20ideal%20for%20hedges%20and%20borders%20</v>
      </c>
      <c r="BG3889" s="107" t="str">
        <f t="shared" si="2977"/>
        <v>V</v>
      </c>
      <c r="BH3889" s="254"/>
      <c r="BI3889" s="254"/>
    </row>
    <row r="3890" spans="1:61" customFormat="1" ht="18" x14ac:dyDescent="0.25">
      <c r="A3890" s="521" t="s">
        <v>1957</v>
      </c>
      <c r="B3890" s="477"/>
      <c r="C3890" s="674"/>
      <c r="D3890" s="478" t="s">
        <v>1958</v>
      </c>
      <c r="E3890" s="479"/>
      <c r="F3890" s="479"/>
      <c r="G3890" s="479"/>
      <c r="H3890" s="582" t="s">
        <v>463</v>
      </c>
      <c r="I3890" s="480" t="s">
        <v>654</v>
      </c>
      <c r="J3890" s="479"/>
      <c r="K3890" s="479"/>
      <c r="L3890" s="560"/>
      <c r="M3890" s="666" t="s">
        <v>4966</v>
      </c>
      <c r="N3890" s="680" t="str">
        <f>IF(AND(ISTEXT($A3890), ISERROR($A3890+0)), HYPERLINK($BF3890, "Images"), "")</f>
        <v>Images</v>
      </c>
      <c r="O3890" s="662" t="s">
        <v>4969</v>
      </c>
      <c r="P3890" s="482"/>
      <c r="Q3890" s="483"/>
      <c r="R3890" s="483"/>
      <c r="S3890" s="484"/>
      <c r="T3890" s="508">
        <f t="shared" si="2965"/>
        <v>0</v>
      </c>
      <c r="U3890" s="225" t="str">
        <f>IF(NOT(ISNUMBER(G3890)), "", VLOOKUP(A3890,'Discount Lookup'!D:E,2,FALSE)*G3890)</f>
        <v/>
      </c>
      <c r="V3890" s="225" t="str">
        <f>IF(NOT(ISNUMBER(G3890)), "", VLOOKUP(A3890,'Discount Lookup'!G:H,2,FALSE)*G3890)</f>
        <v/>
      </c>
      <c r="W3890" s="508">
        <f t="shared" si="2966"/>
        <v>0</v>
      </c>
      <c r="X3890" s="508" t="str">
        <f t="shared" si="2967"/>
        <v>White bloom</v>
      </c>
      <c r="Y3890" s="509" t="b">
        <f t="shared" si="2968"/>
        <v>0</v>
      </c>
      <c r="Z3890" s="510">
        <f t="shared" si="2969"/>
        <v>0</v>
      </c>
      <c r="AA3890" s="511"/>
      <c r="AB3890" s="511" t="str">
        <f t="shared" si="2970"/>
        <v/>
      </c>
      <c r="AC3890" s="698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698"/>
      <c r="AE3890" s="631" t="str">
        <f t="shared" si="2971"/>
        <v/>
      </c>
      <c r="AF3890" s="699" t="str">
        <f t="shared" si="2972"/>
        <v/>
      </c>
      <c r="AG3890" s="699"/>
      <c r="AH3890" s="699"/>
      <c r="AI3890" s="512">
        <f>IF(H3890="credit",0,IF(AE3890="free",0,IF(AE3890="me",0,IF(G3890&gt;0,(VLOOKUP(A3890,'Discount Lookup'!J:K,2)*G3890),0))))</f>
        <v>0</v>
      </c>
      <c r="AJ3890" s="513" t="str">
        <f t="shared" ca="1" si="2973"/>
        <v/>
      </c>
      <c r="AK3890" s="700" t="str">
        <f t="shared" si="2974"/>
        <v/>
      </c>
      <c r="AL3890" s="700"/>
      <c r="AM3890" s="505" t="str">
        <f t="shared" si="2975"/>
        <v/>
      </c>
      <c r="AN3890" s="506"/>
      <c r="AO3890" s="507"/>
      <c r="AP3890" s="507"/>
      <c r="AQ3890" s="507"/>
      <c r="AR3890" s="507"/>
      <c r="AS3890" s="507"/>
      <c r="AT3890" s="507"/>
      <c r="AU3890" s="507"/>
      <c r="AV3890" s="225"/>
      <c r="AW3890" s="508"/>
      <c r="AX3890" s="225"/>
      <c r="AY3890" s="225"/>
      <c r="AZ3890" s="225"/>
      <c r="BA3890" s="225"/>
      <c r="BB3890" s="225"/>
      <c r="BC3890" s="56"/>
      <c r="BD3890" s="56"/>
      <c r="BE3890" s="56"/>
      <c r="BF3890" s="107" t="str">
        <f t="shared" si="2976"/>
        <v>https://www.google.com/search?tbm=isch&amp;q=Variegated%20False%20Holly%20Osmanthus%20heterophyllus%20%27Variegatus%27</v>
      </c>
      <c r="BG3890" s="107" t="str">
        <f t="shared" si="2977"/>
        <v>V</v>
      </c>
      <c r="BH3890" s="254"/>
      <c r="BI3890" s="254"/>
    </row>
    <row r="3891" spans="1:61" customFormat="1" ht="15.75" x14ac:dyDescent="0.25">
      <c r="A3891" s="485">
        <v>3</v>
      </c>
      <c r="B3891" s="486" t="s">
        <v>291</v>
      </c>
      <c r="C3891" s="487" t="s">
        <v>4644</v>
      </c>
      <c r="D3891" s="488" t="s">
        <v>297</v>
      </c>
      <c r="E3891" s="489">
        <v>26.95</v>
      </c>
      <c r="F3891" s="516" t="s">
        <v>293</v>
      </c>
      <c r="G3891" s="232">
        <v>0</v>
      </c>
      <c r="H3891" s="658" t="str">
        <f>IF(G3891=0,"",IF(F3891="Buy",IF(G3891=1,"plant","plants"),IF(F3891&gt;0.01,"warranty","Error")))</f>
        <v/>
      </c>
      <c r="I3891" s="490">
        <f>IF(H3891="free",0,IF(H3891="credit",((E3891*(F3891))*G3891*-1),IF(F3891="Buy",(E3891*G3891),((E3891*(1-F3891))*G3891))))</f>
        <v>0</v>
      </c>
      <c r="J3891" s="490">
        <f>IF(H3891="warranty",0,(I3891*(_xlfn.SINGLE(SalesTaxPercentage))))</f>
        <v>0</v>
      </c>
      <c r="K3891" s="695">
        <f t="shared" ref="K3891" si="2997">I3891+J3891</f>
        <v>0</v>
      </c>
      <c r="L3891" s="695"/>
      <c r="M3891" s="659" t="str">
        <f>IF(AND(G3891&gt;0,E3891=0),"WARNING - no PRICE inserted",IF(H3891="free"," FREE ~ no charge this plant",IF(H3891="credit",CONCATENATE(" -$",ROUND(K3891*(1-T2GDiscount)*-1,2)," CREDIT after discount"),IF(T2GDiscount=0,"",IF(G3891=0,"",IF(F3891="Buy",CONCATENATE(" $",ROUND(K3891*(1-T2GDiscount),2)," with ",(T2GDiscount*100),"% discount"),CONCATENATE(" $",ROUND(K3891*(1-T2GDiscount),2)," with ",((T2GDiscount*100+F3891*100)-(T2GDiscount*100*F3891)),IF(F3891&gt;0,"% discounts",IF(NoWarrantyDiscount&gt;0,"% discounts","% discount")))))))))</f>
        <v/>
      </c>
      <c r="N3891" s="660"/>
      <c r="O3891" s="233"/>
      <c r="P3891" s="233"/>
      <c r="Q3891" s="233"/>
      <c r="R3891" s="233"/>
      <c r="S3891" s="233"/>
      <c r="T3891" s="508">
        <f t="shared" si="2965"/>
        <v>0</v>
      </c>
      <c r="U3891" s="225">
        <f>IF(NOT(ISNUMBER(G3891)), "", VLOOKUP(A3891,'Discount Lookup'!D:E,2,FALSE)*G3891)</f>
        <v>0</v>
      </c>
      <c r="V3891" s="225">
        <f>IF(NOT(ISNUMBER(G3891)), "", VLOOKUP(A3891,'Discount Lookup'!G:H,2,FALSE)*G3891)</f>
        <v>0</v>
      </c>
      <c r="W3891" s="508">
        <f t="shared" si="2966"/>
        <v>0</v>
      </c>
      <c r="X3891" s="508">
        <f t="shared" si="2967"/>
        <v>0</v>
      </c>
      <c r="Y3891" s="509" t="b">
        <f t="shared" si="2968"/>
        <v>0</v>
      </c>
      <c r="Z3891" s="510">
        <f t="shared" si="2969"/>
        <v>0</v>
      </c>
      <c r="AA3891" s="511"/>
      <c r="AB3891" s="511" t="str">
        <f t="shared" si="2970"/>
        <v/>
      </c>
      <c r="AC3891" s="698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698"/>
      <c r="AE3891" s="631" t="str">
        <f t="shared" si="2971"/>
        <v/>
      </c>
      <c r="AF3891" s="699" t="str">
        <f t="shared" si="2972"/>
        <v/>
      </c>
      <c r="AG3891" s="699"/>
      <c r="AH3891" s="699"/>
      <c r="AI3891" s="512">
        <f>IF(H3891="credit",0,IF(AE3891="free",0,IF(AE3891="me",0,IF(G3891&gt;0,(VLOOKUP(A3891,'Discount Lookup'!J:K,2)*G3891),0))))</f>
        <v>0</v>
      </c>
      <c r="AJ3891" s="513" t="str">
        <f t="shared" ca="1" si="2973"/>
        <v/>
      </c>
      <c r="AK3891" s="700" t="str">
        <f t="shared" si="2974"/>
        <v/>
      </c>
      <c r="AL3891" s="700"/>
      <c r="AM3891" s="505" t="str">
        <f t="shared" si="2975"/>
        <v/>
      </c>
      <c r="AN3891" s="506"/>
      <c r="AO3891" s="507"/>
      <c r="AP3891" s="507"/>
      <c r="AQ3891" s="507"/>
      <c r="AR3891" s="507"/>
      <c r="AS3891" s="507"/>
      <c r="AT3891" s="507"/>
      <c r="AU3891" s="507"/>
      <c r="AV3891" s="225"/>
      <c r="AW3891" s="508"/>
      <c r="AX3891" s="225"/>
      <c r="AY3891" s="225"/>
      <c r="AZ3891" s="225"/>
      <c r="BA3891" s="225"/>
      <c r="BB3891" s="225"/>
      <c r="BC3891" s="56"/>
      <c r="BD3891" s="56"/>
      <c r="BE3891" s="56"/>
      <c r="BF3891" s="107" t="str">
        <f t="shared" si="2976"/>
        <v>https://www.google.com/search?tbm=isch&amp;q=3%20G3</v>
      </c>
      <c r="BG3891" s="107" t="str">
        <f t="shared" si="2977"/>
        <v>V</v>
      </c>
      <c r="BH3891" s="254"/>
      <c r="BI3891" s="254"/>
    </row>
    <row r="3892" spans="1:61" customFormat="1" ht="16.5" thickBot="1" x14ac:dyDescent="0.3">
      <c r="A3892" s="522" t="s">
        <v>2998</v>
      </c>
      <c r="B3892" s="491"/>
      <c r="C3892" s="675"/>
      <c r="D3892" s="491"/>
      <c r="E3892" s="491"/>
      <c r="F3892" s="492"/>
      <c r="G3892" s="493"/>
      <c r="H3892" s="491"/>
      <c r="I3892" s="234"/>
      <c r="J3892" s="234"/>
      <c r="K3892" s="494"/>
      <c r="L3892" s="543"/>
      <c r="M3892" s="561"/>
      <c r="N3892" s="495"/>
      <c r="O3892" s="496"/>
      <c r="P3892" s="497"/>
      <c r="Q3892" s="495"/>
      <c r="R3892" s="495"/>
      <c r="S3892" s="667" t="s">
        <v>4968</v>
      </c>
      <c r="T3892" s="508">
        <f t="shared" si="2965"/>
        <v>0</v>
      </c>
      <c r="U3892" s="225" t="str">
        <f>IF(NOT(ISNUMBER(G3892)), "", VLOOKUP(A3892,'Discount Lookup'!D:E,2,FALSE)*G3892)</f>
        <v/>
      </c>
      <c r="V3892" s="225" t="str">
        <f>IF(NOT(ISNUMBER(G3892)), "", VLOOKUP(A3892,'Discount Lookup'!G:H,2,FALSE)*G3892)</f>
        <v/>
      </c>
      <c r="W3892" s="508">
        <f t="shared" si="2966"/>
        <v>0</v>
      </c>
      <c r="X3892" s="508">
        <f t="shared" si="2967"/>
        <v>0</v>
      </c>
      <c r="Y3892" s="509" t="b">
        <f t="shared" si="2968"/>
        <v>0</v>
      </c>
      <c r="Z3892" s="510">
        <f t="shared" si="2969"/>
        <v>0</v>
      </c>
      <c r="AA3892" s="511"/>
      <c r="AB3892" s="511" t="str">
        <f t="shared" si="2970"/>
        <v/>
      </c>
      <c r="AC3892" s="698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698"/>
      <c r="AE3892" s="631" t="str">
        <f t="shared" si="2971"/>
        <v/>
      </c>
      <c r="AF3892" s="699" t="str">
        <f t="shared" si="2972"/>
        <v/>
      </c>
      <c r="AG3892" s="699"/>
      <c r="AH3892" s="699"/>
      <c r="AI3892" s="512">
        <f>IF(H3892="credit",0,IF(AE3892="free",0,IF(AE3892="me",0,IF(G3892&gt;0,(VLOOKUP(A3892,'Discount Lookup'!J:K,2)*G3892),0))))</f>
        <v>0</v>
      </c>
      <c r="AJ3892" s="513" t="str">
        <f t="shared" ca="1" si="2973"/>
        <v/>
      </c>
      <c r="AK3892" s="700" t="str">
        <f t="shared" si="2974"/>
        <v/>
      </c>
      <c r="AL3892" s="700"/>
      <c r="AM3892" s="505" t="str">
        <f t="shared" si="2975"/>
        <v/>
      </c>
      <c r="AN3892" s="506"/>
      <c r="AO3892" s="507"/>
      <c r="AP3892" s="507"/>
      <c r="AQ3892" s="507"/>
      <c r="AR3892" s="507"/>
      <c r="AS3892" s="507"/>
      <c r="AT3892" s="507"/>
      <c r="AU3892" s="507"/>
      <c r="AV3892" s="225"/>
      <c r="AW3892" s="508"/>
      <c r="AX3892" s="225"/>
      <c r="AY3892" s="225"/>
      <c r="AZ3892" s="225"/>
      <c r="BA3892" s="225"/>
      <c r="BB3892" s="225"/>
      <c r="BC3892" s="56"/>
      <c r="BD3892" s="56"/>
      <c r="BE3892" s="56"/>
      <c r="BF3892" s="107" t="str">
        <f t="shared" si="2976"/>
        <v>https://www.google.com/search?tbm=isch&amp;q=Variegated%20False%20Holly%20features%20holly-like%20evergreen%20foliage%20edged%20in%20Creamy%20White%20and%20intensely%20fragrant%20flowers%20in%20fall%20</v>
      </c>
      <c r="BG3892" s="107" t="str">
        <f t="shared" si="2977"/>
        <v>V</v>
      </c>
      <c r="BH3892" s="254"/>
      <c r="BI3892" s="254"/>
    </row>
    <row r="3893" spans="1:61" customFormat="1" ht="18" x14ac:dyDescent="0.25">
      <c r="A3893" s="523" t="s">
        <v>3092</v>
      </c>
      <c r="B3893" s="235"/>
      <c r="C3893" s="676"/>
      <c r="D3893" s="255" t="s">
        <v>1959</v>
      </c>
      <c r="E3893" s="236"/>
      <c r="F3893" s="236"/>
      <c r="G3893" s="236"/>
      <c r="H3893" s="582" t="s">
        <v>4258</v>
      </c>
      <c r="I3893" s="498" t="s">
        <v>657</v>
      </c>
      <c r="J3893" s="237"/>
      <c r="K3893" s="237"/>
      <c r="L3893" s="274"/>
      <c r="M3893" s="668" t="s">
        <v>4975</v>
      </c>
      <c r="N3893" s="681" t="str">
        <f>IF(AND(ISTEXT($A3893), ISERROR($A3893+0)), HYPERLINK($BF3893, "Images"), "")</f>
        <v>Images</v>
      </c>
      <c r="O3893" s="663" t="s">
        <v>4969</v>
      </c>
      <c r="P3893" s="253"/>
      <c r="Q3893" s="238"/>
      <c r="R3893" s="239"/>
      <c r="S3893" s="275"/>
      <c r="T3893" s="508">
        <f t="shared" si="2965"/>
        <v>0</v>
      </c>
      <c r="U3893" s="225" t="str">
        <f>IF(NOT(ISNUMBER(G3893)), "", VLOOKUP(A3893,'Discount Lookup'!D:E,2,FALSE)*G3893)</f>
        <v/>
      </c>
      <c r="V3893" s="225" t="str">
        <f>IF(NOT(ISNUMBER(G3893)), "", VLOOKUP(A3893,'Discount Lookup'!G:H,2,FALSE)*G3893)</f>
        <v/>
      </c>
      <c r="W3893" s="508">
        <f t="shared" si="2966"/>
        <v>0</v>
      </c>
      <c r="X3893" s="508" t="str">
        <f t="shared" si="2967"/>
        <v>Purple bloom</v>
      </c>
      <c r="Y3893" s="509" t="b">
        <f t="shared" si="2968"/>
        <v>0</v>
      </c>
      <c r="Z3893" s="510">
        <f t="shared" si="2969"/>
        <v>0</v>
      </c>
      <c r="AA3893" s="511"/>
      <c r="AB3893" s="511" t="str">
        <f t="shared" si="2970"/>
        <v/>
      </c>
      <c r="AC3893" s="698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698"/>
      <c r="AE3893" s="631" t="str">
        <f t="shared" si="2971"/>
        <v/>
      </c>
      <c r="AF3893" s="699" t="str">
        <f t="shared" si="2972"/>
        <v/>
      </c>
      <c r="AG3893" s="699"/>
      <c r="AH3893" s="699"/>
      <c r="AI3893" s="512">
        <f>IF(H3893="credit",0,IF(AE3893="free",0,IF(AE3893="me",0,IF(G3893&gt;0,(VLOOKUP(A3893,'Discount Lookup'!J:K,2)*G3893),0))))</f>
        <v>0</v>
      </c>
      <c r="AJ3893" s="513" t="str">
        <f t="shared" ca="1" si="2973"/>
        <v/>
      </c>
      <c r="AK3893" s="700" t="str">
        <f t="shared" si="2974"/>
        <v/>
      </c>
      <c r="AL3893" s="700"/>
      <c r="AM3893" s="505" t="str">
        <f t="shared" si="2975"/>
        <v/>
      </c>
      <c r="AN3893" s="506"/>
      <c r="AO3893" s="507"/>
      <c r="AP3893" s="507"/>
      <c r="AQ3893" s="507"/>
      <c r="AR3893" s="507"/>
      <c r="AS3893" s="507"/>
      <c r="AT3893" s="507"/>
      <c r="AU3893" s="507"/>
      <c r="AV3893" s="225"/>
      <c r="AW3893" s="508"/>
      <c r="AX3893" s="225"/>
      <c r="AY3893" s="225"/>
      <c r="AZ3893" s="225"/>
      <c r="BA3893" s="225"/>
      <c r="BB3893" s="225"/>
      <c r="BC3893" s="56"/>
      <c r="BD3893" s="56"/>
      <c r="BE3893" s="56"/>
      <c r="BF3893" s="107" t="str">
        <f t="shared" si="2976"/>
        <v>https://www.google.com/search?tbm=isch&amp;q=Variegated%20Japanese%20Iris%20Iris%20ensata%20%27Variegata%27</v>
      </c>
      <c r="BG3893" s="107" t="str">
        <f t="shared" si="2977"/>
        <v>V</v>
      </c>
      <c r="BH3893" s="254"/>
      <c r="BI3893" s="254"/>
    </row>
    <row r="3894" spans="1:61" customFormat="1" ht="15.75" x14ac:dyDescent="0.25">
      <c r="A3894" s="276">
        <v>1</v>
      </c>
      <c r="B3894" s="240" t="s">
        <v>291</v>
      </c>
      <c r="C3894" s="241"/>
      <c r="D3894" s="242" t="s">
        <v>312</v>
      </c>
      <c r="E3894" s="243">
        <v>14.95</v>
      </c>
      <c r="F3894" s="517" t="s">
        <v>293</v>
      </c>
      <c r="G3894" s="232">
        <v>0</v>
      </c>
      <c r="H3894" s="661" t="str">
        <f>IF(G3894=0,"",IF(F3894="Buy",IF(G3894=1,"plant","plants"),IF(F3894&gt;0.01,"warranty","Error")))</f>
        <v/>
      </c>
      <c r="I3894" s="244">
        <f>IF(H3894="free",0,IF(H3894="credit",((E3894*(F3894))*G3894*-1),IF(F3894="Buy",(E3894*G3894),((E3894*(1-F3894))*G3894))))</f>
        <v>0</v>
      </c>
      <c r="J3894" s="244">
        <f>IF(H3894="warranty",0,(I3894*(_xlfn.SINGLE(SalesTaxPercentage))))</f>
        <v>0</v>
      </c>
      <c r="K3894" s="696">
        <f t="shared" ref="K3894" si="2998">I3894+J3894</f>
        <v>0</v>
      </c>
      <c r="L3894" s="696"/>
      <c r="M3894" s="659" t="str">
        <f>IF(AND(G3894&gt;0,E3894=0),"WARNING - no PRICE inserted",IF(H3894="free"," FREE ~ no charge this plant",IF(H3894="credit",CONCATENATE(" -$",ROUND(K3894*(1-T2GDiscount)*-1,2)," CREDIT after discount"),IF(T2GDiscount=0,"",IF(G3894=0,"",IF(F3894="Buy",CONCATENATE(" $",ROUND(K3894*(1-T2GDiscount),2)," with ",(T2GDiscount*100),"% discount"),CONCATENATE(" $",ROUND(K3894*(1-T2GDiscount),2)," with ",((T2GDiscount*100+F3894*100)-(T2GDiscount*100*F3894)),IF(F3894&gt;0,"% discounts",IF(NoWarrantyDiscount&gt;0,"% discounts","% discount")))))))))</f>
        <v/>
      </c>
      <c r="N3894" s="660"/>
      <c r="O3894" s="233"/>
      <c r="P3894" s="233"/>
      <c r="Q3894" s="233"/>
      <c r="R3894" s="233"/>
      <c r="S3894" s="233"/>
      <c r="T3894" s="508">
        <f t="shared" si="2965"/>
        <v>0</v>
      </c>
      <c r="U3894" s="225">
        <f>IF(NOT(ISNUMBER(G3894)), "", VLOOKUP(A3894,'Discount Lookup'!D:E,2,FALSE)*G3894)</f>
        <v>0</v>
      </c>
      <c r="V3894" s="225">
        <f>IF(NOT(ISNUMBER(G3894)), "", VLOOKUP(A3894,'Discount Lookup'!G:H,2,FALSE)*G3894)</f>
        <v>0</v>
      </c>
      <c r="W3894" s="508">
        <f t="shared" si="2966"/>
        <v>0</v>
      </c>
      <c r="X3894" s="508">
        <f t="shared" si="2967"/>
        <v>0</v>
      </c>
      <c r="Y3894" s="509" t="b">
        <f t="shared" si="2968"/>
        <v>0</v>
      </c>
      <c r="Z3894" s="510">
        <f t="shared" si="2969"/>
        <v>0</v>
      </c>
      <c r="AA3894" s="511"/>
      <c r="AB3894" s="511" t="str">
        <f t="shared" si="2970"/>
        <v/>
      </c>
      <c r="AC3894" s="698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698"/>
      <c r="AE3894" s="631" t="str">
        <f t="shared" si="2971"/>
        <v/>
      </c>
      <c r="AF3894" s="699" t="str">
        <f t="shared" si="2972"/>
        <v/>
      </c>
      <c r="AG3894" s="699"/>
      <c r="AH3894" s="699"/>
      <c r="AI3894" s="512">
        <f>IF(H3894="credit",0,IF(AE3894="free",0,IF(AE3894="me",0,IF(G3894&gt;0,(VLOOKUP(A3894,'Discount Lookup'!J:K,2)*G3894),0))))</f>
        <v>0</v>
      </c>
      <c r="AJ3894" s="513" t="str">
        <f t="shared" ca="1" si="2973"/>
        <v/>
      </c>
      <c r="AK3894" s="700" t="str">
        <f t="shared" si="2974"/>
        <v/>
      </c>
      <c r="AL3894" s="700"/>
      <c r="AM3894" s="505" t="str">
        <f t="shared" si="2975"/>
        <v/>
      </c>
      <c r="AN3894" s="506"/>
      <c r="AO3894" s="507"/>
      <c r="AP3894" s="507"/>
      <c r="AQ3894" s="507"/>
      <c r="AR3894" s="507"/>
      <c r="AS3894" s="507"/>
      <c r="AT3894" s="507"/>
      <c r="AU3894" s="507"/>
      <c r="AV3894" s="225"/>
      <c r="AW3894" s="508"/>
      <c r="AX3894" s="225"/>
      <c r="AY3894" s="225"/>
      <c r="AZ3894" s="225"/>
      <c r="BA3894" s="225"/>
      <c r="BB3894" s="225"/>
      <c r="BC3894" s="56"/>
      <c r="BD3894" s="56"/>
      <c r="BE3894" s="56"/>
      <c r="BF3894" s="107" t="str">
        <f t="shared" si="2976"/>
        <v>https://www.google.com/search?tbm=isch&amp;q=1%20G2</v>
      </c>
      <c r="BG3894" s="107" t="str">
        <f t="shared" si="2977"/>
        <v>V</v>
      </c>
      <c r="BH3894" s="254"/>
      <c r="BI3894" s="254"/>
    </row>
    <row r="3895" spans="1:61" customFormat="1" ht="15.75" x14ac:dyDescent="0.25">
      <c r="A3895" s="276">
        <v>3</v>
      </c>
      <c r="B3895" s="240" t="s">
        <v>291</v>
      </c>
      <c r="C3895" s="241" t="s">
        <v>3838</v>
      </c>
      <c r="D3895" s="242" t="s">
        <v>292</v>
      </c>
      <c r="E3895" s="243">
        <v>30.95</v>
      </c>
      <c r="F3895" s="517" t="s">
        <v>293</v>
      </c>
      <c r="G3895" s="232">
        <v>0</v>
      </c>
      <c r="H3895" s="661" t="str">
        <f>IF(G3895=0,"",IF(F3895="Buy",IF(G3895=1,"plant","plants"),IF(F3895&gt;0.01,"warranty","Error")))</f>
        <v/>
      </c>
      <c r="I3895" s="244">
        <f>IF(H3895="free",0,IF(H3895="credit",((E3895*(F3895))*G3895*-1),IF(F3895="Buy",(E3895*G3895),((E3895*(1-F3895))*G3895))))</f>
        <v>0</v>
      </c>
      <c r="J3895" s="244">
        <f>IF(H3895="warranty",0,(I3895*(_xlfn.SINGLE(SalesTaxPercentage))))</f>
        <v>0</v>
      </c>
      <c r="K3895" s="696">
        <f t="shared" ref="K3895" si="2999">I3895+J3895</f>
        <v>0</v>
      </c>
      <c r="L3895" s="696"/>
      <c r="M3895" s="659" t="str">
        <f>IF(AND(G3895&gt;0,E3895=0),"WARNING - no PRICE inserted",IF(H3895="free"," FREE ~ no charge this plant",IF(H3895="credit",CONCATENATE(" -$",ROUND(K3895*(1-T2GDiscount)*-1,2)," CREDIT after discount"),IF(T2GDiscount=0,"",IF(G3895=0,"",IF(F3895="Buy",CONCATENATE(" $",ROUND(K3895*(1-T2GDiscount),2)," with ",(T2GDiscount*100),"% discount"),CONCATENATE(" $",ROUND(K3895*(1-T2GDiscount),2)," with ",((T2GDiscount*100+F3895*100)-(T2GDiscount*100*F3895)),IF(F3895&gt;0,"% discounts",IF(NoWarrantyDiscount&gt;0,"% discounts","% discount")))))))))</f>
        <v/>
      </c>
      <c r="N3895" s="660"/>
      <c r="O3895" s="233"/>
      <c r="P3895" s="233"/>
      <c r="Q3895" s="233"/>
      <c r="R3895" s="233"/>
      <c r="S3895" s="233"/>
      <c r="T3895" s="508">
        <f t="shared" si="2965"/>
        <v>0</v>
      </c>
      <c r="U3895" s="225">
        <f>IF(NOT(ISNUMBER(G3895)), "", VLOOKUP(A3895,'Discount Lookup'!D:E,2,FALSE)*G3895)</f>
        <v>0</v>
      </c>
      <c r="V3895" s="225">
        <f>IF(NOT(ISNUMBER(G3895)), "", VLOOKUP(A3895,'Discount Lookup'!G:H,2,FALSE)*G3895)</f>
        <v>0</v>
      </c>
      <c r="W3895" s="508">
        <f t="shared" si="2966"/>
        <v>0</v>
      </c>
      <c r="X3895" s="508">
        <f t="shared" si="2967"/>
        <v>0</v>
      </c>
      <c r="Y3895" s="509" t="b">
        <f t="shared" si="2968"/>
        <v>0</v>
      </c>
      <c r="Z3895" s="510">
        <f t="shared" si="2969"/>
        <v>0</v>
      </c>
      <c r="AA3895" s="511"/>
      <c r="AB3895" s="511" t="str">
        <f t="shared" si="2970"/>
        <v/>
      </c>
      <c r="AC3895" s="698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698"/>
      <c r="AE3895" s="631" t="str">
        <f t="shared" si="2971"/>
        <v/>
      </c>
      <c r="AF3895" s="699" t="str">
        <f t="shared" si="2972"/>
        <v/>
      </c>
      <c r="AG3895" s="699"/>
      <c r="AH3895" s="699"/>
      <c r="AI3895" s="512">
        <f>IF(H3895="credit",0,IF(AE3895="free",0,IF(AE3895="me",0,IF(G3895&gt;0,(VLOOKUP(A3895,'Discount Lookup'!J:K,2)*G3895),0))))</f>
        <v>0</v>
      </c>
      <c r="AJ3895" s="513" t="str">
        <f t="shared" ca="1" si="2973"/>
        <v/>
      </c>
      <c r="AK3895" s="700" t="str">
        <f t="shared" si="2974"/>
        <v/>
      </c>
      <c r="AL3895" s="700"/>
      <c r="AM3895" s="505" t="str">
        <f t="shared" si="2975"/>
        <v/>
      </c>
      <c r="AN3895" s="506"/>
      <c r="AO3895" s="507"/>
      <c r="AP3895" s="507"/>
      <c r="AQ3895" s="507"/>
      <c r="AR3895" s="507"/>
      <c r="AS3895" s="507"/>
      <c r="AT3895" s="507"/>
      <c r="AU3895" s="507"/>
      <c r="AV3895" s="225"/>
      <c r="AW3895" s="508"/>
      <c r="AX3895" s="225"/>
      <c r="AY3895" s="225"/>
      <c r="AZ3895" s="225"/>
      <c r="BA3895" s="225"/>
      <c r="BB3895" s="225"/>
      <c r="BC3895" s="56"/>
      <c r="BD3895" s="56"/>
      <c r="BE3895" s="56"/>
      <c r="BF3895" s="107" t="str">
        <f t="shared" si="2976"/>
        <v>https://www.google.com/search?tbm=isch&amp;q=3%20G4</v>
      </c>
      <c r="BG3895" s="107" t="str">
        <f t="shared" si="2977"/>
        <v>V</v>
      </c>
      <c r="BH3895" s="254"/>
      <c r="BI3895" s="254"/>
    </row>
    <row r="3896" spans="1:61" customFormat="1" ht="17.25" thickBot="1" x14ac:dyDescent="0.3">
      <c r="A3896" s="673" t="s">
        <v>5270</v>
      </c>
      <c r="B3896" s="245"/>
      <c r="C3896" s="677"/>
      <c r="D3896" s="499"/>
      <c r="E3896" s="499"/>
      <c r="F3896" s="500"/>
      <c r="G3896" s="501"/>
      <c r="H3896" s="502"/>
      <c r="I3896" s="246"/>
      <c r="J3896" s="247"/>
      <c r="K3896" s="503"/>
      <c r="L3896" s="544"/>
      <c r="M3896" s="544"/>
      <c r="N3896" s="500"/>
      <c r="O3896" s="500"/>
      <c r="P3896" s="500"/>
      <c r="Q3896" s="500"/>
      <c r="R3896" s="500"/>
      <c r="S3896" s="665" t="s">
        <v>5028</v>
      </c>
      <c r="T3896" s="508">
        <f t="shared" si="2965"/>
        <v>0</v>
      </c>
      <c r="U3896" s="225" t="str">
        <f>IF(NOT(ISNUMBER(G3896)), "", VLOOKUP(A3896,'Discount Lookup'!D:E,2,FALSE)*G3896)</f>
        <v/>
      </c>
      <c r="V3896" s="225" t="str">
        <f>IF(NOT(ISNUMBER(G3896)), "", VLOOKUP(A3896,'Discount Lookup'!G:H,2,FALSE)*G3896)</f>
        <v/>
      </c>
      <c r="W3896" s="508">
        <f t="shared" si="2966"/>
        <v>0</v>
      </c>
      <c r="X3896" s="508">
        <f t="shared" si="2967"/>
        <v>0</v>
      </c>
      <c r="Y3896" s="509" t="b">
        <f t="shared" si="2968"/>
        <v>0</v>
      </c>
      <c r="Z3896" s="510">
        <f t="shared" si="2969"/>
        <v>0</v>
      </c>
      <c r="AA3896" s="511"/>
      <c r="AB3896" s="511" t="str">
        <f t="shared" si="2970"/>
        <v/>
      </c>
      <c r="AC3896" s="698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698"/>
      <c r="AE3896" s="631" t="str">
        <f t="shared" si="2971"/>
        <v/>
      </c>
      <c r="AF3896" s="699" t="str">
        <f t="shared" si="2972"/>
        <v/>
      </c>
      <c r="AG3896" s="699"/>
      <c r="AH3896" s="699"/>
      <c r="AI3896" s="512">
        <f>IF(H3896="credit",0,IF(AE3896="free",0,IF(AE3896="me",0,IF(G3896&gt;0,(VLOOKUP(A3896,'Discount Lookup'!J:K,2)*G3896),0))))</f>
        <v>0</v>
      </c>
      <c r="AJ3896" s="513" t="str">
        <f t="shared" ca="1" si="2973"/>
        <v/>
      </c>
      <c r="AK3896" s="700" t="str">
        <f t="shared" si="2974"/>
        <v/>
      </c>
      <c r="AL3896" s="700"/>
      <c r="AM3896" s="505" t="str">
        <f t="shared" si="2975"/>
        <v/>
      </c>
      <c r="AN3896" s="506"/>
      <c r="AO3896" s="507"/>
      <c r="AP3896" s="507"/>
      <c r="AQ3896" s="507"/>
      <c r="AR3896" s="507"/>
      <c r="AS3896" s="507"/>
      <c r="AT3896" s="507"/>
      <c r="AU3896" s="507"/>
      <c r="AV3896" s="225"/>
      <c r="AW3896" s="508"/>
      <c r="AX3896" s="225"/>
      <c r="AY3896" s="225"/>
      <c r="AZ3896" s="225"/>
      <c r="BA3896" s="225"/>
      <c r="BB3896" s="225"/>
      <c r="BC3896" s="56"/>
      <c r="BD3896" s="56"/>
      <c r="BE3896" s="56"/>
      <c r="BF3896" s="107" t="str">
        <f t="shared" si="2976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3896" s="107" t="str">
        <f t="shared" si="2977"/>
        <v>m</v>
      </c>
      <c r="BH3896" s="254"/>
      <c r="BI3896" s="254"/>
    </row>
    <row r="3897" spans="1:61" customFormat="1" ht="18" x14ac:dyDescent="0.25">
      <c r="A3897" s="521" t="s">
        <v>1960</v>
      </c>
      <c r="B3897" s="477"/>
      <c r="C3897" s="674"/>
      <c r="D3897" s="478" t="s">
        <v>1961</v>
      </c>
      <c r="E3897" s="479"/>
      <c r="F3897" s="479"/>
      <c r="G3897" s="479"/>
      <c r="H3897" s="582" t="s">
        <v>1164</v>
      </c>
      <c r="I3897" s="480" t="s">
        <v>1962</v>
      </c>
      <c r="J3897" s="479"/>
      <c r="K3897" s="479"/>
      <c r="L3897" s="560"/>
      <c r="M3897" s="666" t="s">
        <v>4966</v>
      </c>
      <c r="N3897" s="680" t="str">
        <f>IF(AND(ISTEXT($A3897), ISERROR($A3897+0)), HYPERLINK($BF3897, "Images"), "")</f>
        <v>Images</v>
      </c>
      <c r="O3897" s="662" t="s">
        <v>4967</v>
      </c>
      <c r="P3897" s="482"/>
      <c r="Q3897" s="483"/>
      <c r="R3897" s="483"/>
      <c r="S3897" s="484"/>
      <c r="T3897" s="508">
        <f t="shared" si="2965"/>
        <v>0</v>
      </c>
      <c r="U3897" s="225" t="str">
        <f>IF(NOT(ISNUMBER(G3897)), "", VLOOKUP(A3897,'Discount Lookup'!D:E,2,FALSE)*G3897)</f>
        <v/>
      </c>
      <c r="V3897" s="225" t="str">
        <f>IF(NOT(ISNUMBER(G3897)), "", VLOOKUP(A3897,'Discount Lookup'!G:H,2,FALSE)*G3897)</f>
        <v/>
      </c>
      <c r="W3897" s="508">
        <f t="shared" si="2966"/>
        <v>0</v>
      </c>
      <c r="X3897" s="508" t="str">
        <f t="shared" si="2967"/>
        <v>Violet-Purple bloom</v>
      </c>
      <c r="Y3897" s="509" t="b">
        <f t="shared" si="2968"/>
        <v>0</v>
      </c>
      <c r="Z3897" s="510">
        <f t="shared" si="2969"/>
        <v>0</v>
      </c>
      <c r="AA3897" s="511"/>
      <c r="AB3897" s="511" t="str">
        <f t="shared" si="2970"/>
        <v/>
      </c>
      <c r="AC3897" s="698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698"/>
      <c r="AE3897" s="631" t="str">
        <f t="shared" si="2971"/>
        <v/>
      </c>
      <c r="AF3897" s="699" t="str">
        <f t="shared" si="2972"/>
        <v/>
      </c>
      <c r="AG3897" s="699"/>
      <c r="AH3897" s="699"/>
      <c r="AI3897" s="512">
        <f>IF(H3897="credit",0,IF(AE3897="free",0,IF(AE3897="me",0,IF(G3897&gt;0,(VLOOKUP(A3897,'Discount Lookup'!J:K,2)*G3897),0))))</f>
        <v>0</v>
      </c>
      <c r="AJ3897" s="513" t="str">
        <f t="shared" ca="1" si="2973"/>
        <v/>
      </c>
      <c r="AK3897" s="700" t="str">
        <f t="shared" si="2974"/>
        <v/>
      </c>
      <c r="AL3897" s="700"/>
      <c r="AM3897" s="505" t="str">
        <f t="shared" si="2975"/>
        <v/>
      </c>
      <c r="AN3897" s="506"/>
      <c r="AO3897" s="507"/>
      <c r="AP3897" s="507"/>
      <c r="AQ3897" s="507"/>
      <c r="AR3897" s="507"/>
      <c r="AS3897" s="507"/>
      <c r="AT3897" s="507"/>
      <c r="AU3897" s="507"/>
      <c r="AV3897" s="225"/>
      <c r="AW3897" s="508"/>
      <c r="AX3897" s="225"/>
      <c r="AY3897" s="225"/>
      <c r="AZ3897" s="225"/>
      <c r="BA3897" s="225"/>
      <c r="BB3897" s="225"/>
      <c r="BC3897" s="56"/>
      <c r="BD3897" s="56"/>
      <c r="BE3897" s="56"/>
      <c r="BF3897" s="107" t="str">
        <f t="shared" si="2976"/>
        <v>https://www.google.com/search?tbm=isch&amp;q=Variegated%20Liriope%20Liriope%20muscari%20%27Variegata%27</v>
      </c>
      <c r="BG3897" s="107" t="str">
        <f t="shared" si="2977"/>
        <v>V</v>
      </c>
      <c r="BH3897" s="254"/>
      <c r="BI3897" s="254"/>
    </row>
    <row r="3898" spans="1:61" customFormat="1" ht="15.75" x14ac:dyDescent="0.25">
      <c r="A3898" s="485">
        <v>1</v>
      </c>
      <c r="B3898" s="486" t="s">
        <v>291</v>
      </c>
      <c r="C3898" s="487" t="s">
        <v>1963</v>
      </c>
      <c r="D3898" s="488" t="s">
        <v>297</v>
      </c>
      <c r="E3898" s="489">
        <v>6.95</v>
      </c>
      <c r="F3898" s="516" t="s">
        <v>293</v>
      </c>
      <c r="G3898" s="232">
        <v>0</v>
      </c>
      <c r="H3898" s="658" t="str">
        <f t="shared" ref="H3898:H3903" si="3000">IF(G3898=0,"",IF(F3898="Buy",IF(G3898=1,"plant","plants"),IF(F3898&gt;0.01,"warranty","Error")))</f>
        <v/>
      </c>
      <c r="I3898" s="490">
        <f t="shared" ref="I3898:I3903" si="3001">IF(H3898="free",0,IF(H3898="credit",((E3898*(F3898))*G3898*-1),IF(F3898="Buy",(E3898*G3898),((E3898*(1-F3898))*G3898))))</f>
        <v>0</v>
      </c>
      <c r="J3898" s="490">
        <f t="shared" ref="J3898:J3903" si="3002">IF(H3898="warranty",0,(I3898*(_xlfn.SINGLE(SalesTaxPercentage))))</f>
        <v>0</v>
      </c>
      <c r="K3898" s="695">
        <f t="shared" ref="K3898" si="3003">I3898+J3898</f>
        <v>0</v>
      </c>
      <c r="L3898" s="695"/>
      <c r="M3898" s="659" t="str">
        <f t="shared" ref="M3898:M3903" si="3004">IF(AND(G3898&gt;0,E3898=0),"WARNING - no PRICE inserted",IF(H3898="free"," FREE ~ no charge this plant",IF(H3898="credit",CONCATENATE(" -$",ROUND(K3898*(1-T2GDiscount)*-1,2)," CREDIT after discount"),IF(T2GDiscount=0,"",IF(G3898=0,"",IF(F3898="Buy",CONCATENATE(" $",ROUND(K3898*(1-T2GDiscount),2)," with ",(T2GDiscount*100),"% discount"),CONCATENATE(" $",ROUND(K3898*(1-T2GDiscount),2)," with ",((T2GDiscount*100+F3898*100)-(T2GDiscount*100*F3898)),IF(F3898&gt;0,"% discounts",IF(NoWarrantyDiscount&gt;0,"% discounts","% discount")))))))))</f>
        <v/>
      </c>
      <c r="N3898" s="660"/>
      <c r="O3898" s="233"/>
      <c r="P3898" s="233"/>
      <c r="Q3898" s="233"/>
      <c r="R3898" s="233"/>
      <c r="S3898" s="233"/>
      <c r="T3898" s="508">
        <f t="shared" si="2965"/>
        <v>0</v>
      </c>
      <c r="U3898" s="225">
        <f>IF(NOT(ISNUMBER(G3898)), "", VLOOKUP(A3898,'Discount Lookup'!D:E,2,FALSE)*G3898)</f>
        <v>0</v>
      </c>
      <c r="V3898" s="225">
        <f>IF(NOT(ISNUMBER(G3898)), "", VLOOKUP(A3898,'Discount Lookup'!G:H,2,FALSE)*G3898)</f>
        <v>0</v>
      </c>
      <c r="W3898" s="508">
        <f t="shared" si="2966"/>
        <v>0</v>
      </c>
      <c r="X3898" s="508">
        <f t="shared" si="2967"/>
        <v>0</v>
      </c>
      <c r="Y3898" s="509" t="b">
        <f t="shared" si="2968"/>
        <v>0</v>
      </c>
      <c r="Z3898" s="510">
        <f t="shared" si="2969"/>
        <v>0</v>
      </c>
      <c r="AA3898" s="511"/>
      <c r="AB3898" s="511" t="str">
        <f t="shared" si="2970"/>
        <v/>
      </c>
      <c r="AC3898" s="698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698"/>
      <c r="AE3898" s="631" t="str">
        <f t="shared" si="2971"/>
        <v/>
      </c>
      <c r="AF3898" s="699" t="str">
        <f t="shared" si="2972"/>
        <v/>
      </c>
      <c r="AG3898" s="699"/>
      <c r="AH3898" s="699"/>
      <c r="AI3898" s="512">
        <f>IF(H3898="credit",0,IF(AE3898="free",0,IF(AE3898="me",0,IF(G3898&gt;0,(VLOOKUP(A3898,'Discount Lookup'!J:K,2)*G3898),0))))</f>
        <v>0</v>
      </c>
      <c r="AJ3898" s="513" t="str">
        <f t="shared" ca="1" si="2973"/>
        <v/>
      </c>
      <c r="AK3898" s="700" t="str">
        <f t="shared" si="2974"/>
        <v/>
      </c>
      <c r="AL3898" s="700"/>
      <c r="AM3898" s="505" t="str">
        <f t="shared" si="2975"/>
        <v/>
      </c>
      <c r="AN3898" s="506"/>
      <c r="AO3898" s="507"/>
      <c r="AP3898" s="507"/>
      <c r="AQ3898" s="507"/>
      <c r="AR3898" s="507"/>
      <c r="AS3898" s="507"/>
      <c r="AT3898" s="507"/>
      <c r="AU3898" s="507"/>
      <c r="AV3898" s="225"/>
      <c r="AW3898" s="508"/>
      <c r="AX3898" s="225"/>
      <c r="AY3898" s="225"/>
      <c r="AZ3898" s="225"/>
      <c r="BA3898" s="225"/>
      <c r="BB3898" s="225"/>
      <c r="BC3898" s="56"/>
      <c r="BD3898" s="56"/>
      <c r="BE3898" s="56"/>
      <c r="BF3898" s="107" t="str">
        <f t="shared" si="2976"/>
        <v>https://www.google.com/search?tbm=isch&amp;q=1%20G3</v>
      </c>
      <c r="BG3898" s="107" t="str">
        <f t="shared" si="2977"/>
        <v>V</v>
      </c>
      <c r="BH3898" s="254"/>
      <c r="BI3898" s="254"/>
    </row>
    <row r="3899" spans="1:61" customFormat="1" ht="15.75" x14ac:dyDescent="0.25">
      <c r="A3899" s="485">
        <v>1</v>
      </c>
      <c r="B3899" s="486" t="s">
        <v>291</v>
      </c>
      <c r="C3899" s="487" t="s">
        <v>2496</v>
      </c>
      <c r="D3899" s="488" t="s">
        <v>299</v>
      </c>
      <c r="E3899" s="489">
        <v>6.95</v>
      </c>
      <c r="F3899" s="516" t="s">
        <v>293</v>
      </c>
      <c r="G3899" s="232">
        <v>0</v>
      </c>
      <c r="H3899" s="658" t="str">
        <f t="shared" si="3000"/>
        <v/>
      </c>
      <c r="I3899" s="490">
        <f t="shared" si="3001"/>
        <v>0</v>
      </c>
      <c r="J3899" s="490">
        <f t="shared" si="3002"/>
        <v>0</v>
      </c>
      <c r="K3899" s="695">
        <f t="shared" ref="K3899" si="3005">I3899+J3899</f>
        <v>0</v>
      </c>
      <c r="L3899" s="695"/>
      <c r="M3899" s="659" t="str">
        <f t="shared" si="3004"/>
        <v/>
      </c>
      <c r="N3899" s="660"/>
      <c r="O3899" s="233"/>
      <c r="P3899" s="233"/>
      <c r="Q3899" s="233"/>
      <c r="R3899" s="233"/>
      <c r="S3899" s="233"/>
      <c r="T3899" s="508">
        <f t="shared" si="2965"/>
        <v>0</v>
      </c>
      <c r="U3899" s="225">
        <f>IF(NOT(ISNUMBER(G3899)), "", VLOOKUP(A3899,'Discount Lookup'!D:E,2,FALSE)*G3899)</f>
        <v>0</v>
      </c>
      <c r="V3899" s="225">
        <f>IF(NOT(ISNUMBER(G3899)), "", VLOOKUP(A3899,'Discount Lookup'!G:H,2,FALSE)*G3899)</f>
        <v>0</v>
      </c>
      <c r="W3899" s="508">
        <f t="shared" si="2966"/>
        <v>0</v>
      </c>
      <c r="X3899" s="508">
        <f t="shared" si="2967"/>
        <v>0</v>
      </c>
      <c r="Y3899" s="509" t="b">
        <f t="shared" si="2968"/>
        <v>0</v>
      </c>
      <c r="Z3899" s="510">
        <f t="shared" si="2969"/>
        <v>0</v>
      </c>
      <c r="AA3899" s="511"/>
      <c r="AB3899" s="511" t="str">
        <f t="shared" si="2970"/>
        <v/>
      </c>
      <c r="AC3899" s="698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698"/>
      <c r="AE3899" s="631" t="str">
        <f t="shared" si="2971"/>
        <v/>
      </c>
      <c r="AF3899" s="699" t="str">
        <f t="shared" si="2972"/>
        <v/>
      </c>
      <c r="AG3899" s="699"/>
      <c r="AH3899" s="699"/>
      <c r="AI3899" s="512">
        <f>IF(H3899="credit",0,IF(AE3899="free",0,IF(AE3899="me",0,IF(G3899&gt;0,(VLOOKUP(A3899,'Discount Lookup'!J:K,2)*G3899),0))))</f>
        <v>0</v>
      </c>
      <c r="AJ3899" s="513" t="str">
        <f t="shared" ca="1" si="2973"/>
        <v/>
      </c>
      <c r="AK3899" s="700" t="str">
        <f t="shared" si="2974"/>
        <v/>
      </c>
      <c r="AL3899" s="700"/>
      <c r="AM3899" s="505" t="str">
        <f t="shared" si="2975"/>
        <v/>
      </c>
      <c r="AN3899" s="506"/>
      <c r="AO3899" s="507"/>
      <c r="AP3899" s="507"/>
      <c r="AQ3899" s="507"/>
      <c r="AR3899" s="507"/>
      <c r="AS3899" s="507"/>
      <c r="AT3899" s="507"/>
      <c r="AU3899" s="507"/>
      <c r="AV3899" s="225"/>
      <c r="AW3899" s="508"/>
      <c r="AX3899" s="225"/>
      <c r="AY3899" s="225"/>
      <c r="AZ3899" s="225"/>
      <c r="BA3899" s="225"/>
      <c r="BB3899" s="225"/>
      <c r="BC3899" s="56"/>
      <c r="BD3899" s="56"/>
      <c r="BE3899" s="56"/>
      <c r="BF3899" s="107" t="str">
        <f t="shared" si="2976"/>
        <v>https://www.google.com/search?tbm=isch&amp;q=1%20G5</v>
      </c>
      <c r="BG3899" s="107" t="str">
        <f t="shared" si="2977"/>
        <v>V</v>
      </c>
      <c r="BH3899" s="254"/>
      <c r="BI3899" s="254"/>
    </row>
    <row r="3900" spans="1:61" customFormat="1" ht="15.75" x14ac:dyDescent="0.25">
      <c r="A3900" s="485">
        <v>1</v>
      </c>
      <c r="B3900" s="486" t="s">
        <v>291</v>
      </c>
      <c r="C3900" s="487"/>
      <c r="D3900" s="488" t="s">
        <v>298</v>
      </c>
      <c r="E3900" s="489">
        <v>8.9499999999999993</v>
      </c>
      <c r="F3900" s="516" t="s">
        <v>293</v>
      </c>
      <c r="G3900" s="232">
        <v>0</v>
      </c>
      <c r="H3900" s="658" t="str">
        <f t="shared" si="3000"/>
        <v/>
      </c>
      <c r="I3900" s="490">
        <f t="shared" si="3001"/>
        <v>0</v>
      </c>
      <c r="J3900" s="490">
        <f t="shared" si="3002"/>
        <v>0</v>
      </c>
      <c r="K3900" s="695">
        <f t="shared" ref="K3900" si="3006">I3900+J3900</f>
        <v>0</v>
      </c>
      <c r="L3900" s="695"/>
      <c r="M3900" s="659" t="str">
        <f t="shared" si="3004"/>
        <v/>
      </c>
      <c r="N3900" s="660"/>
      <c r="O3900" s="233"/>
      <c r="P3900" s="233"/>
      <c r="Q3900" s="233"/>
      <c r="R3900" s="233"/>
      <c r="S3900" s="233"/>
      <c r="T3900" s="508">
        <f t="shared" si="2965"/>
        <v>0</v>
      </c>
      <c r="U3900" s="225">
        <f>IF(NOT(ISNUMBER(G3900)), "", VLOOKUP(A3900,'Discount Lookup'!D:E,2,FALSE)*G3900)</f>
        <v>0</v>
      </c>
      <c r="V3900" s="225">
        <f>IF(NOT(ISNUMBER(G3900)), "", VLOOKUP(A3900,'Discount Lookup'!G:H,2,FALSE)*G3900)</f>
        <v>0</v>
      </c>
      <c r="W3900" s="508">
        <f t="shared" si="2966"/>
        <v>0</v>
      </c>
      <c r="X3900" s="508">
        <f t="shared" si="2967"/>
        <v>0</v>
      </c>
      <c r="Y3900" s="509" t="b">
        <f t="shared" si="2968"/>
        <v>0</v>
      </c>
      <c r="Z3900" s="510">
        <f t="shared" si="2969"/>
        <v>0</v>
      </c>
      <c r="AA3900" s="511"/>
      <c r="AB3900" s="511" t="str">
        <f t="shared" si="2970"/>
        <v/>
      </c>
      <c r="AC3900" s="698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698"/>
      <c r="AE3900" s="631" t="str">
        <f t="shared" si="2971"/>
        <v/>
      </c>
      <c r="AF3900" s="699" t="str">
        <f t="shared" si="2972"/>
        <v/>
      </c>
      <c r="AG3900" s="699"/>
      <c r="AH3900" s="699"/>
      <c r="AI3900" s="512">
        <f>IF(H3900="credit",0,IF(AE3900="free",0,IF(AE3900="me",0,IF(G3900&gt;0,(VLOOKUP(A3900,'Discount Lookup'!J:K,2)*G3900),0))))</f>
        <v>0</v>
      </c>
      <c r="AJ3900" s="513" t="str">
        <f t="shared" ca="1" si="2973"/>
        <v/>
      </c>
      <c r="AK3900" s="700" t="str">
        <f t="shared" si="2974"/>
        <v/>
      </c>
      <c r="AL3900" s="700"/>
      <c r="AM3900" s="505" t="str">
        <f t="shared" si="2975"/>
        <v/>
      </c>
      <c r="AN3900" s="506"/>
      <c r="AO3900" s="507"/>
      <c r="AP3900" s="507"/>
      <c r="AQ3900" s="507"/>
      <c r="AR3900" s="507"/>
      <c r="AS3900" s="507"/>
      <c r="AT3900" s="507"/>
      <c r="AU3900" s="507"/>
      <c r="AV3900" s="225"/>
      <c r="AW3900" s="508"/>
      <c r="AX3900" s="225"/>
      <c r="AY3900" s="225"/>
      <c r="AZ3900" s="225"/>
      <c r="BA3900" s="225"/>
      <c r="BB3900" s="225"/>
      <c r="BC3900" s="56"/>
      <c r="BD3900" s="56"/>
      <c r="BE3900" s="56"/>
      <c r="BF3900" s="107" t="str">
        <f t="shared" si="2976"/>
        <v>https://www.google.com/search?tbm=isch&amp;q=1%20G1</v>
      </c>
      <c r="BG3900" s="107" t="str">
        <f t="shared" si="2977"/>
        <v>V</v>
      </c>
      <c r="BH3900" s="254"/>
      <c r="BI3900" s="254"/>
    </row>
    <row r="3901" spans="1:61" customFormat="1" ht="15.75" x14ac:dyDescent="0.25">
      <c r="A3901" s="485">
        <v>1</v>
      </c>
      <c r="B3901" s="486" t="s">
        <v>291</v>
      </c>
      <c r="C3901" s="487"/>
      <c r="D3901" s="488" t="s">
        <v>312</v>
      </c>
      <c r="E3901" s="489">
        <v>10.95</v>
      </c>
      <c r="F3901" s="516" t="s">
        <v>293</v>
      </c>
      <c r="G3901" s="232">
        <v>0</v>
      </c>
      <c r="H3901" s="658" t="str">
        <f t="shared" si="3000"/>
        <v/>
      </c>
      <c r="I3901" s="490">
        <f t="shared" si="3001"/>
        <v>0</v>
      </c>
      <c r="J3901" s="490">
        <f t="shared" si="3002"/>
        <v>0</v>
      </c>
      <c r="K3901" s="695">
        <f t="shared" ref="K3901" si="3007">I3901+J3901</f>
        <v>0</v>
      </c>
      <c r="L3901" s="695"/>
      <c r="M3901" s="659" t="str">
        <f t="shared" si="3004"/>
        <v/>
      </c>
      <c r="N3901" s="660"/>
      <c r="O3901" s="233"/>
      <c r="P3901" s="233"/>
      <c r="Q3901" s="233"/>
      <c r="R3901" s="233"/>
      <c r="S3901" s="233"/>
      <c r="T3901" s="508">
        <f t="shared" si="2965"/>
        <v>0</v>
      </c>
      <c r="U3901" s="225">
        <f>IF(NOT(ISNUMBER(G3901)), "", VLOOKUP(A3901,'Discount Lookup'!D:E,2,FALSE)*G3901)</f>
        <v>0</v>
      </c>
      <c r="V3901" s="225">
        <f>IF(NOT(ISNUMBER(G3901)), "", VLOOKUP(A3901,'Discount Lookup'!G:H,2,FALSE)*G3901)</f>
        <v>0</v>
      </c>
      <c r="W3901" s="508">
        <f t="shared" si="2966"/>
        <v>0</v>
      </c>
      <c r="X3901" s="508">
        <f t="shared" si="2967"/>
        <v>0</v>
      </c>
      <c r="Y3901" s="509" t="b">
        <f t="shared" si="2968"/>
        <v>0</v>
      </c>
      <c r="Z3901" s="510">
        <f t="shared" si="2969"/>
        <v>0</v>
      </c>
      <c r="AA3901" s="511"/>
      <c r="AB3901" s="511" t="str">
        <f t="shared" si="2970"/>
        <v/>
      </c>
      <c r="AC3901" s="698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698"/>
      <c r="AE3901" s="631" t="str">
        <f t="shared" si="2971"/>
        <v/>
      </c>
      <c r="AF3901" s="699" t="str">
        <f t="shared" si="2972"/>
        <v/>
      </c>
      <c r="AG3901" s="699"/>
      <c r="AH3901" s="699"/>
      <c r="AI3901" s="512">
        <f>IF(H3901="credit",0,IF(AE3901="free",0,IF(AE3901="me",0,IF(G3901&gt;0,(VLOOKUP(A3901,'Discount Lookup'!J:K,2)*G3901),0))))</f>
        <v>0</v>
      </c>
      <c r="AJ3901" s="513" t="str">
        <f t="shared" ca="1" si="2973"/>
        <v/>
      </c>
      <c r="AK3901" s="700" t="str">
        <f t="shared" si="2974"/>
        <v/>
      </c>
      <c r="AL3901" s="700"/>
      <c r="AM3901" s="505" t="str">
        <f t="shared" si="2975"/>
        <v/>
      </c>
      <c r="AN3901" s="506"/>
      <c r="AO3901" s="507"/>
      <c r="AP3901" s="507"/>
      <c r="AQ3901" s="507"/>
      <c r="AR3901" s="507"/>
      <c r="AS3901" s="507"/>
      <c r="AT3901" s="507"/>
      <c r="AU3901" s="507"/>
      <c r="AV3901" s="225"/>
      <c r="AW3901" s="508"/>
      <c r="AX3901" s="225"/>
      <c r="AY3901" s="225"/>
      <c r="AZ3901" s="225"/>
      <c r="BA3901" s="225"/>
      <c r="BB3901" s="225"/>
      <c r="BC3901" s="56"/>
      <c r="BD3901" s="56"/>
      <c r="BE3901" s="56"/>
      <c r="BF3901" s="107" t="str">
        <f t="shared" si="2976"/>
        <v>https://www.google.com/search?tbm=isch&amp;q=1%20G2</v>
      </c>
      <c r="BG3901" s="107" t="str">
        <f t="shared" si="2977"/>
        <v>V</v>
      </c>
      <c r="BH3901" s="254"/>
      <c r="BI3901" s="254"/>
    </row>
    <row r="3902" spans="1:61" customFormat="1" ht="15.75" x14ac:dyDescent="0.25">
      <c r="A3902" s="485">
        <v>1</v>
      </c>
      <c r="B3902" s="486" t="s">
        <v>291</v>
      </c>
      <c r="C3902" s="487"/>
      <c r="D3902" s="488" t="s">
        <v>300</v>
      </c>
      <c r="E3902" s="489">
        <v>10.95</v>
      </c>
      <c r="F3902" s="516" t="s">
        <v>293</v>
      </c>
      <c r="G3902" s="232">
        <v>0</v>
      </c>
      <c r="H3902" s="658" t="str">
        <f t="shared" si="3000"/>
        <v/>
      </c>
      <c r="I3902" s="490">
        <f t="shared" si="3001"/>
        <v>0</v>
      </c>
      <c r="J3902" s="490">
        <f t="shared" si="3002"/>
        <v>0</v>
      </c>
      <c r="K3902" s="695">
        <f t="shared" ref="K3902" si="3008">I3902+J3902</f>
        <v>0</v>
      </c>
      <c r="L3902" s="695"/>
      <c r="M3902" s="659" t="str">
        <f t="shared" si="3004"/>
        <v/>
      </c>
      <c r="N3902" s="660"/>
      <c r="O3902" s="233"/>
      <c r="P3902" s="233"/>
      <c r="Q3902" s="233"/>
      <c r="R3902" s="233"/>
      <c r="S3902" s="233"/>
      <c r="T3902" s="508">
        <f t="shared" si="2965"/>
        <v>0</v>
      </c>
      <c r="U3902" s="225">
        <f>IF(NOT(ISNUMBER(G3902)), "", VLOOKUP(A3902,'Discount Lookup'!D:E,2,FALSE)*G3902)</f>
        <v>0</v>
      </c>
      <c r="V3902" s="225">
        <f>IF(NOT(ISNUMBER(G3902)), "", VLOOKUP(A3902,'Discount Lookup'!G:H,2,FALSE)*G3902)</f>
        <v>0</v>
      </c>
      <c r="W3902" s="508">
        <f t="shared" si="2966"/>
        <v>0</v>
      </c>
      <c r="X3902" s="508">
        <f t="shared" si="2967"/>
        <v>0</v>
      </c>
      <c r="Y3902" s="509" t="b">
        <f t="shared" si="2968"/>
        <v>0</v>
      </c>
      <c r="Z3902" s="510">
        <f t="shared" si="2969"/>
        <v>0</v>
      </c>
      <c r="AA3902" s="511"/>
      <c r="AB3902" s="511" t="str">
        <f t="shared" si="2970"/>
        <v/>
      </c>
      <c r="AC3902" s="698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698"/>
      <c r="AE3902" s="631" t="str">
        <f t="shared" si="2971"/>
        <v/>
      </c>
      <c r="AF3902" s="699" t="str">
        <f t="shared" si="2972"/>
        <v/>
      </c>
      <c r="AG3902" s="699"/>
      <c r="AH3902" s="699"/>
      <c r="AI3902" s="512">
        <f>IF(H3902="credit",0,IF(AE3902="free",0,IF(AE3902="me",0,IF(G3902&gt;0,(VLOOKUP(A3902,'Discount Lookup'!J:K,2)*G3902),0))))</f>
        <v>0</v>
      </c>
      <c r="AJ3902" s="513" t="str">
        <f t="shared" ca="1" si="2973"/>
        <v/>
      </c>
      <c r="AK3902" s="700" t="str">
        <f t="shared" si="2974"/>
        <v/>
      </c>
      <c r="AL3902" s="700"/>
      <c r="AM3902" s="505" t="str">
        <f t="shared" si="2975"/>
        <v/>
      </c>
      <c r="AN3902" s="506"/>
      <c r="AO3902" s="507"/>
      <c r="AP3902" s="507"/>
      <c r="AQ3902" s="507"/>
      <c r="AR3902" s="507"/>
      <c r="AS3902" s="507"/>
      <c r="AT3902" s="507"/>
      <c r="AU3902" s="507"/>
      <c r="AV3902" s="225"/>
      <c r="AW3902" s="508"/>
      <c r="AX3902" s="225"/>
      <c r="AY3902" s="225"/>
      <c r="AZ3902" s="225"/>
      <c r="BA3902" s="225"/>
      <c r="BB3902" s="225"/>
      <c r="BC3902" s="56"/>
      <c r="BD3902" s="56"/>
      <c r="BE3902" s="56"/>
      <c r="BF3902" s="107" t="str">
        <f t="shared" si="2976"/>
        <v>https://www.google.com/search?tbm=isch&amp;q=1%20G6</v>
      </c>
      <c r="BG3902" s="107" t="str">
        <f t="shared" si="2977"/>
        <v>V</v>
      </c>
      <c r="BH3902" s="254"/>
      <c r="BI3902" s="254"/>
    </row>
    <row r="3903" spans="1:61" customFormat="1" ht="15.75" x14ac:dyDescent="0.25">
      <c r="A3903" s="485" t="s">
        <v>28</v>
      </c>
      <c r="B3903" s="486" t="s">
        <v>388</v>
      </c>
      <c r="C3903" s="487"/>
      <c r="D3903" s="488" t="s">
        <v>312</v>
      </c>
      <c r="E3903" s="489">
        <v>61.95</v>
      </c>
      <c r="F3903" s="516" t="s">
        <v>293</v>
      </c>
      <c r="G3903" s="232">
        <v>0</v>
      </c>
      <c r="H3903" s="658" t="str">
        <f t="shared" si="3000"/>
        <v/>
      </c>
      <c r="I3903" s="490">
        <f t="shared" si="3001"/>
        <v>0</v>
      </c>
      <c r="J3903" s="490">
        <f t="shared" si="3002"/>
        <v>0</v>
      </c>
      <c r="K3903" s="695">
        <f t="shared" ref="K3903" si="3009">I3903+J3903</f>
        <v>0</v>
      </c>
      <c r="L3903" s="695"/>
      <c r="M3903" s="659" t="str">
        <f t="shared" si="3004"/>
        <v/>
      </c>
      <c r="N3903" s="660"/>
      <c r="O3903" s="233"/>
      <c r="P3903" s="233"/>
      <c r="Q3903" s="233"/>
      <c r="R3903" s="233"/>
      <c r="S3903" s="233"/>
      <c r="T3903" s="508">
        <f t="shared" si="2965"/>
        <v>0</v>
      </c>
      <c r="U3903" s="225">
        <f>IF(NOT(ISNUMBER(G3903)), "", VLOOKUP(A3903,'Discount Lookup'!D:E,2,FALSE)*G3903)</f>
        <v>0</v>
      </c>
      <c r="V3903" s="225">
        <f>IF(NOT(ISNUMBER(G3903)), "", VLOOKUP(A3903,'Discount Lookup'!G:H,2,FALSE)*G3903)</f>
        <v>0</v>
      </c>
      <c r="W3903" s="508">
        <f t="shared" si="2966"/>
        <v>0</v>
      </c>
      <c r="X3903" s="508">
        <f t="shared" si="2967"/>
        <v>0</v>
      </c>
      <c r="Y3903" s="509" t="b">
        <f t="shared" si="2968"/>
        <v>0</v>
      </c>
      <c r="Z3903" s="510">
        <f t="shared" si="2969"/>
        <v>0</v>
      </c>
      <c r="AA3903" s="511"/>
      <c r="AB3903" s="511" t="str">
        <f t="shared" si="2970"/>
        <v/>
      </c>
      <c r="AC3903" s="698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698"/>
      <c r="AE3903" s="631" t="str">
        <f t="shared" si="2971"/>
        <v/>
      </c>
      <c r="AF3903" s="699" t="str">
        <f t="shared" si="2972"/>
        <v/>
      </c>
      <c r="AG3903" s="699"/>
      <c r="AH3903" s="699"/>
      <c r="AI3903" s="512">
        <f>IF(H3903="credit",0,IF(AE3903="free",0,IF(AE3903="me",0,IF(G3903&gt;0,(VLOOKUP(A3903,'Discount Lookup'!J:K,2)*G3903),0))))</f>
        <v>0</v>
      </c>
      <c r="AJ3903" s="513" t="str">
        <f t="shared" ca="1" si="2973"/>
        <v/>
      </c>
      <c r="AK3903" s="700" t="str">
        <f t="shared" si="2974"/>
        <v/>
      </c>
      <c r="AL3903" s="700"/>
      <c r="AM3903" s="505" t="str">
        <f t="shared" si="2975"/>
        <v/>
      </c>
      <c r="AN3903" s="506"/>
      <c r="AO3903" s="507"/>
      <c r="AP3903" s="507"/>
      <c r="AQ3903" s="507"/>
      <c r="AR3903" s="507"/>
      <c r="AS3903" s="507"/>
      <c r="AT3903" s="507"/>
      <c r="AU3903" s="507"/>
      <c r="AV3903" s="225"/>
      <c r="AW3903" s="508"/>
      <c r="AX3903" s="225"/>
      <c r="AY3903" s="225"/>
      <c r="AZ3903" s="225"/>
      <c r="BA3903" s="225"/>
      <c r="BB3903" s="225"/>
      <c r="BC3903" s="56"/>
      <c r="BD3903" s="56"/>
      <c r="BE3903" s="56"/>
      <c r="BF3903" s="107" t="str">
        <f t="shared" si="2976"/>
        <v>https://www.google.com/search?tbm=isch&amp;q=18%20in%20G2</v>
      </c>
      <c r="BG3903" s="107" t="str">
        <f t="shared" si="2977"/>
        <v>1</v>
      </c>
      <c r="BH3903" s="254"/>
      <c r="BI3903" s="254"/>
    </row>
    <row r="3904" spans="1:61" customFormat="1" ht="17.25" thickBot="1" x14ac:dyDescent="0.3">
      <c r="A3904" s="522" t="s">
        <v>4272</v>
      </c>
      <c r="B3904" s="491"/>
      <c r="C3904" s="675"/>
      <c r="D3904" s="491"/>
      <c r="E3904" s="491"/>
      <c r="F3904" s="492"/>
      <c r="G3904" s="493"/>
      <c r="H3904" s="491"/>
      <c r="I3904" s="234"/>
      <c r="J3904" s="234"/>
      <c r="K3904" s="494"/>
      <c r="L3904" s="543"/>
      <c r="M3904" s="561"/>
      <c r="N3904" s="495"/>
      <c r="O3904" s="496"/>
      <c r="P3904" s="497"/>
      <c r="Q3904" s="495"/>
      <c r="R3904" s="495"/>
      <c r="S3904" s="667" t="s">
        <v>4984</v>
      </c>
      <c r="T3904" s="508">
        <f t="shared" si="2965"/>
        <v>0</v>
      </c>
      <c r="U3904" s="225" t="str">
        <f>IF(NOT(ISNUMBER(G3904)), "", VLOOKUP(A3904,'Discount Lookup'!D:E,2,FALSE)*G3904)</f>
        <v/>
      </c>
      <c r="V3904" s="225" t="str">
        <f>IF(NOT(ISNUMBER(G3904)), "", VLOOKUP(A3904,'Discount Lookup'!G:H,2,FALSE)*G3904)</f>
        <v/>
      </c>
      <c r="W3904" s="508">
        <f t="shared" si="2966"/>
        <v>0</v>
      </c>
      <c r="X3904" s="508">
        <f t="shared" si="2967"/>
        <v>0</v>
      </c>
      <c r="Y3904" s="509" t="b">
        <f t="shared" si="2968"/>
        <v>0</v>
      </c>
      <c r="Z3904" s="510">
        <f t="shared" si="2969"/>
        <v>0</v>
      </c>
      <c r="AA3904" s="511"/>
      <c r="AB3904" s="511" t="str">
        <f t="shared" si="2970"/>
        <v/>
      </c>
      <c r="AC3904" s="698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698"/>
      <c r="AE3904" s="631" t="str">
        <f t="shared" si="2971"/>
        <v/>
      </c>
      <c r="AF3904" s="699" t="str">
        <f t="shared" si="2972"/>
        <v/>
      </c>
      <c r="AG3904" s="699"/>
      <c r="AH3904" s="699"/>
      <c r="AI3904" s="512">
        <f>IF(H3904="credit",0,IF(AE3904="free",0,IF(AE3904="me",0,IF(G3904&gt;0,(VLOOKUP(A3904,'Discount Lookup'!J:K,2)*G3904),0))))</f>
        <v>0</v>
      </c>
      <c r="AJ3904" s="513" t="str">
        <f t="shared" ca="1" si="2973"/>
        <v/>
      </c>
      <c r="AK3904" s="700" t="str">
        <f t="shared" si="2974"/>
        <v/>
      </c>
      <c r="AL3904" s="700"/>
      <c r="AM3904" s="505" t="str">
        <f t="shared" si="2975"/>
        <v/>
      </c>
      <c r="AN3904" s="506"/>
      <c r="AO3904" s="507"/>
      <c r="AP3904" s="507"/>
      <c r="AQ3904" s="507"/>
      <c r="AR3904" s="507"/>
      <c r="AS3904" s="507"/>
      <c r="AT3904" s="507"/>
      <c r="AU3904" s="507"/>
      <c r="AV3904" s="225"/>
      <c r="AW3904" s="508"/>
      <c r="AX3904" s="225"/>
      <c r="AY3904" s="225"/>
      <c r="AZ3904" s="225"/>
      <c r="BA3904" s="225"/>
      <c r="BB3904" s="225"/>
      <c r="BC3904" s="56"/>
      <c r="BD3904" s="56"/>
      <c r="BE3904" s="56"/>
      <c r="BF3904" s="107" t="str">
        <f t="shared" si="2976"/>
        <v>https://www.google.com/search?tbm=isch&amp;q=Variegated%20Liriope%20has%20Green%20plus%20Creamy-edged%20foliage%2C%20and%20flower%20spikes%20in%20late%20summer%2C%20followed%20by%20Black%20berries%20</v>
      </c>
      <c r="BG3904" s="107" t="str">
        <f t="shared" si="2977"/>
        <v>V</v>
      </c>
      <c r="BH3904" s="254"/>
      <c r="BI3904" s="254"/>
    </row>
    <row r="3905" spans="1:61" customFormat="1" ht="18" x14ac:dyDescent="0.25">
      <c r="A3905" s="523" t="s">
        <v>1964</v>
      </c>
      <c r="B3905" s="235"/>
      <c r="C3905" s="676"/>
      <c r="D3905" s="255" t="s">
        <v>1965</v>
      </c>
      <c r="E3905" s="236"/>
      <c r="F3905" s="236"/>
      <c r="G3905" s="236"/>
      <c r="H3905" s="582" t="s">
        <v>1398</v>
      </c>
      <c r="I3905" s="498" t="s">
        <v>3038</v>
      </c>
      <c r="J3905" s="237"/>
      <c r="K3905" s="237"/>
      <c r="L3905" s="274"/>
      <c r="M3905" s="668" t="s">
        <v>4962</v>
      </c>
      <c r="N3905" s="681" t="str">
        <f>IF(AND(ISTEXT($A3905), ISERROR($A3905+0)), HYPERLINK($BF3905, "Images"), "")</f>
        <v>Images</v>
      </c>
      <c r="O3905" s="663" t="s">
        <v>4969</v>
      </c>
      <c r="P3905" s="253"/>
      <c r="Q3905" s="238"/>
      <c r="R3905" s="239"/>
      <c r="S3905" s="275"/>
      <c r="T3905" s="508">
        <f t="shared" si="2965"/>
        <v>0</v>
      </c>
      <c r="U3905" s="225" t="str">
        <f>IF(NOT(ISNUMBER(G3905)), "", VLOOKUP(A3905,'Discount Lookup'!D:E,2,FALSE)*G3905)</f>
        <v/>
      </c>
      <c r="V3905" s="225" t="str">
        <f>IF(NOT(ISNUMBER(G3905)), "", VLOOKUP(A3905,'Discount Lookup'!G:H,2,FALSE)*G3905)</f>
        <v/>
      </c>
      <c r="W3905" s="508">
        <f t="shared" si="2966"/>
        <v>0</v>
      </c>
      <c r="X3905" s="508" t="str">
        <f t="shared" si="2967"/>
        <v>Green blades &amp; White stripes</v>
      </c>
      <c r="Y3905" s="509" t="b">
        <f t="shared" si="2968"/>
        <v>0</v>
      </c>
      <c r="Z3905" s="510">
        <f t="shared" si="2969"/>
        <v>0</v>
      </c>
      <c r="AA3905" s="511"/>
      <c r="AB3905" s="511" t="str">
        <f t="shared" si="2970"/>
        <v/>
      </c>
      <c r="AC3905" s="698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698"/>
      <c r="AE3905" s="631" t="str">
        <f t="shared" si="2971"/>
        <v/>
      </c>
      <c r="AF3905" s="699" t="str">
        <f t="shared" si="2972"/>
        <v/>
      </c>
      <c r="AG3905" s="699"/>
      <c r="AH3905" s="699"/>
      <c r="AI3905" s="512">
        <f>IF(H3905="credit",0,IF(AE3905="free",0,IF(AE3905="me",0,IF(G3905&gt;0,(VLOOKUP(A3905,'Discount Lookup'!J:K,2)*G3905),0))))</f>
        <v>0</v>
      </c>
      <c r="AJ3905" s="513" t="str">
        <f t="shared" ca="1" si="2973"/>
        <v/>
      </c>
      <c r="AK3905" s="700" t="str">
        <f t="shared" si="2974"/>
        <v/>
      </c>
      <c r="AL3905" s="700"/>
      <c r="AM3905" s="505" t="str">
        <f t="shared" si="2975"/>
        <v/>
      </c>
      <c r="AN3905" s="506"/>
      <c r="AO3905" s="507"/>
      <c r="AP3905" s="507"/>
      <c r="AQ3905" s="507"/>
      <c r="AR3905" s="507"/>
      <c r="AS3905" s="507"/>
      <c r="AT3905" s="507"/>
      <c r="AU3905" s="507"/>
      <c r="AV3905" s="225"/>
      <c r="AW3905" s="508"/>
      <c r="AX3905" s="225"/>
      <c r="AY3905" s="225"/>
      <c r="AZ3905" s="225"/>
      <c r="BA3905" s="225"/>
      <c r="BB3905" s="225"/>
      <c r="BC3905" s="56"/>
      <c r="BD3905" s="56"/>
      <c r="BE3905" s="56"/>
      <c r="BF3905" s="107" t="str">
        <f t="shared" si="2976"/>
        <v>https://www.google.com/search?tbm=isch&amp;q=Variegated%20Maiden%20Grass%20Miscanthus%20sinensis%20%27Variegatus%27</v>
      </c>
      <c r="BG3905" s="107" t="str">
        <f t="shared" si="2977"/>
        <v>V</v>
      </c>
      <c r="BH3905" s="254"/>
      <c r="BI3905" s="254"/>
    </row>
    <row r="3906" spans="1:61" customFormat="1" ht="15.75" x14ac:dyDescent="0.25">
      <c r="A3906" s="276">
        <v>3</v>
      </c>
      <c r="B3906" s="240" t="s">
        <v>291</v>
      </c>
      <c r="C3906" s="241" t="s">
        <v>2828</v>
      </c>
      <c r="D3906" s="242" t="s">
        <v>297</v>
      </c>
      <c r="E3906" s="243">
        <v>22.95</v>
      </c>
      <c r="F3906" s="517" t="s">
        <v>293</v>
      </c>
      <c r="G3906" s="232">
        <v>0</v>
      </c>
      <c r="H3906" s="661" t="str">
        <f>IF(G3906=0,"",IF(F3906="Buy",IF(G3906=1,"plant","plants"),IF(F3906&gt;0.01,"warranty","Error")))</f>
        <v/>
      </c>
      <c r="I3906" s="244">
        <f>IF(H3906="free",0,IF(H3906="credit",((E3906*(F3906))*G3906*-1),IF(F3906="Buy",(E3906*G3906),((E3906*(1-F3906))*G3906))))</f>
        <v>0</v>
      </c>
      <c r="J3906" s="244">
        <f>IF(H3906="warranty",0,(I3906*(_xlfn.SINGLE(SalesTaxPercentage))))</f>
        <v>0</v>
      </c>
      <c r="K3906" s="696">
        <f t="shared" ref="K3906" si="3010">I3906+J3906</f>
        <v>0</v>
      </c>
      <c r="L3906" s="696"/>
      <c r="M3906" s="659" t="str">
        <f>IF(AND(G3906&gt;0,E3906=0),"WARNING - no PRICE inserted",IF(H3906="free"," FREE ~ no charge this plant",IF(H3906="credit",CONCATENATE(" -$",ROUND(K3906*(1-T2GDiscount)*-1,2)," CREDIT after discount"),IF(T2GDiscount=0,"",IF(G3906=0,"",IF(F3906="Buy",CONCATENATE(" $",ROUND(K3906*(1-T2GDiscount),2)," with ",(T2GDiscount*100),"% discount"),CONCATENATE(" $",ROUND(K3906*(1-T2GDiscount),2)," with ",((T2GDiscount*100+F3906*100)-(T2GDiscount*100*F3906)),IF(F3906&gt;0,"% discounts",IF(NoWarrantyDiscount&gt;0,"% discounts","% discount")))))))))</f>
        <v/>
      </c>
      <c r="N3906" s="660"/>
      <c r="O3906" s="233"/>
      <c r="P3906" s="233"/>
      <c r="Q3906" s="233"/>
      <c r="R3906" s="233"/>
      <c r="S3906" s="233"/>
      <c r="T3906" s="508">
        <f t="shared" si="2965"/>
        <v>0</v>
      </c>
      <c r="U3906" s="225">
        <f>IF(NOT(ISNUMBER(G3906)), "", VLOOKUP(A3906,'Discount Lookup'!D:E,2,FALSE)*G3906)</f>
        <v>0</v>
      </c>
      <c r="V3906" s="225">
        <f>IF(NOT(ISNUMBER(G3906)), "", VLOOKUP(A3906,'Discount Lookup'!G:H,2,FALSE)*G3906)</f>
        <v>0</v>
      </c>
      <c r="W3906" s="508">
        <f t="shared" si="2966"/>
        <v>0</v>
      </c>
      <c r="X3906" s="508">
        <f t="shared" si="2967"/>
        <v>0</v>
      </c>
      <c r="Y3906" s="509" t="b">
        <f t="shared" si="2968"/>
        <v>0</v>
      </c>
      <c r="Z3906" s="510">
        <f t="shared" si="2969"/>
        <v>0</v>
      </c>
      <c r="AA3906" s="511"/>
      <c r="AB3906" s="511" t="str">
        <f t="shared" si="2970"/>
        <v/>
      </c>
      <c r="AC3906" s="698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698"/>
      <c r="AE3906" s="631" t="str">
        <f t="shared" si="2971"/>
        <v/>
      </c>
      <c r="AF3906" s="699" t="str">
        <f t="shared" si="2972"/>
        <v/>
      </c>
      <c r="AG3906" s="699"/>
      <c r="AH3906" s="699"/>
      <c r="AI3906" s="512">
        <f>IF(H3906="credit",0,IF(AE3906="free",0,IF(AE3906="me",0,IF(G3906&gt;0,(VLOOKUP(A3906,'Discount Lookup'!J:K,2)*G3906),0))))</f>
        <v>0</v>
      </c>
      <c r="AJ3906" s="513" t="str">
        <f t="shared" ca="1" si="2973"/>
        <v/>
      </c>
      <c r="AK3906" s="700" t="str">
        <f t="shared" si="2974"/>
        <v/>
      </c>
      <c r="AL3906" s="700"/>
      <c r="AM3906" s="505" t="str">
        <f t="shared" si="2975"/>
        <v/>
      </c>
      <c r="AN3906" s="506"/>
      <c r="AO3906" s="507"/>
      <c r="AP3906" s="507"/>
      <c r="AQ3906" s="507"/>
      <c r="AR3906" s="507"/>
      <c r="AS3906" s="507"/>
      <c r="AT3906" s="507"/>
      <c r="AU3906" s="507"/>
      <c r="AV3906" s="225"/>
      <c r="AW3906" s="508"/>
      <c r="AX3906" s="225"/>
      <c r="AY3906" s="225"/>
      <c r="AZ3906" s="225"/>
      <c r="BA3906" s="225"/>
      <c r="BB3906" s="225"/>
      <c r="BC3906" s="56"/>
      <c r="BD3906" s="56"/>
      <c r="BE3906" s="56"/>
      <c r="BF3906" s="107" t="str">
        <f t="shared" si="2976"/>
        <v>https://www.google.com/search?tbm=isch&amp;q=3%20G3</v>
      </c>
      <c r="BG3906" s="107" t="str">
        <f t="shared" si="2977"/>
        <v>V</v>
      </c>
      <c r="BH3906" s="254"/>
      <c r="BI3906" s="254"/>
    </row>
    <row r="3907" spans="1:61" customFormat="1" ht="17.25" thickBot="1" x14ac:dyDescent="0.3">
      <c r="A3907" s="524" t="s">
        <v>3039</v>
      </c>
      <c r="B3907" s="245"/>
      <c r="C3907" s="677"/>
      <c r="D3907" s="499"/>
      <c r="E3907" s="499"/>
      <c r="F3907" s="500"/>
      <c r="G3907" s="501"/>
      <c r="H3907" s="502"/>
      <c r="I3907" s="246"/>
      <c r="J3907" s="247"/>
      <c r="K3907" s="503"/>
      <c r="L3907" s="544"/>
      <c r="M3907" s="544"/>
      <c r="N3907" s="500"/>
      <c r="O3907" s="500"/>
      <c r="P3907" s="500"/>
      <c r="Q3907" s="500"/>
      <c r="R3907" s="500"/>
      <c r="S3907" s="669" t="s">
        <v>4991</v>
      </c>
      <c r="T3907" s="508">
        <f t="shared" si="2965"/>
        <v>0</v>
      </c>
      <c r="U3907" s="225" t="str">
        <f>IF(NOT(ISNUMBER(G3907)), "", VLOOKUP(A3907,'Discount Lookup'!D:E,2,FALSE)*G3907)</f>
        <v/>
      </c>
      <c r="V3907" s="225" t="str">
        <f>IF(NOT(ISNUMBER(G3907)), "", VLOOKUP(A3907,'Discount Lookup'!G:H,2,FALSE)*G3907)</f>
        <v/>
      </c>
      <c r="W3907" s="508">
        <f t="shared" si="2966"/>
        <v>0</v>
      </c>
      <c r="X3907" s="508">
        <f t="shared" si="2967"/>
        <v>0</v>
      </c>
      <c r="Y3907" s="509" t="b">
        <f t="shared" si="2968"/>
        <v>0</v>
      </c>
      <c r="Z3907" s="510">
        <f t="shared" si="2969"/>
        <v>0</v>
      </c>
      <c r="AA3907" s="511"/>
      <c r="AB3907" s="511" t="str">
        <f t="shared" si="2970"/>
        <v/>
      </c>
      <c r="AC3907" s="698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698"/>
      <c r="AE3907" s="631" t="str">
        <f t="shared" si="2971"/>
        <v/>
      </c>
      <c r="AF3907" s="699" t="str">
        <f t="shared" si="2972"/>
        <v/>
      </c>
      <c r="AG3907" s="699"/>
      <c r="AH3907" s="699"/>
      <c r="AI3907" s="512">
        <f>IF(H3907="credit",0,IF(AE3907="free",0,IF(AE3907="me",0,IF(G3907&gt;0,(VLOOKUP(A3907,'Discount Lookup'!J:K,2)*G3907),0))))</f>
        <v>0</v>
      </c>
      <c r="AJ3907" s="513" t="str">
        <f t="shared" ca="1" si="2973"/>
        <v/>
      </c>
      <c r="AK3907" s="700" t="str">
        <f t="shared" si="2974"/>
        <v/>
      </c>
      <c r="AL3907" s="700"/>
      <c r="AM3907" s="505" t="str">
        <f t="shared" si="2975"/>
        <v/>
      </c>
      <c r="AN3907" s="506"/>
      <c r="AO3907" s="507"/>
      <c r="AP3907" s="507"/>
      <c r="AQ3907" s="507"/>
      <c r="AR3907" s="507"/>
      <c r="AS3907" s="507"/>
      <c r="AT3907" s="507"/>
      <c r="AU3907" s="507"/>
      <c r="AV3907" s="225"/>
      <c r="AW3907" s="508"/>
      <c r="AX3907" s="225"/>
      <c r="AY3907" s="225"/>
      <c r="AZ3907" s="225"/>
      <c r="BA3907" s="225"/>
      <c r="BB3907" s="225"/>
      <c r="BC3907" s="56"/>
      <c r="BD3907" s="56"/>
      <c r="BE3907" s="56"/>
      <c r="BF3907" s="107" t="str">
        <f t="shared" si="2976"/>
        <v>https://www.google.com/search?tbm=isch&amp;q=Variegated%20Maiden%20Grass%20has%20bold%20vertical%20striping.%20Reddish-Pink%20plumes%20mature%20to%20Silvery-White%2C%20then%20Tan-Beige%20in%20winter%20</v>
      </c>
      <c r="BG3907" s="107" t="str">
        <f t="shared" si="2977"/>
        <v>V</v>
      </c>
      <c r="BH3907" s="254"/>
      <c r="BI3907" s="254"/>
    </row>
    <row r="3908" spans="1:61" customFormat="1" ht="18" x14ac:dyDescent="0.25">
      <c r="A3908" s="523" t="s">
        <v>1966</v>
      </c>
      <c r="B3908" s="235"/>
      <c r="C3908" s="676"/>
      <c r="D3908" s="255" t="s">
        <v>1967</v>
      </c>
      <c r="E3908" s="236"/>
      <c r="F3908" s="236"/>
      <c r="G3908" s="236"/>
      <c r="H3908" s="582" t="s">
        <v>2947</v>
      </c>
      <c r="I3908" s="498" t="s">
        <v>4273</v>
      </c>
      <c r="J3908" s="237"/>
      <c r="K3908" s="237"/>
      <c r="L3908" s="274"/>
      <c r="M3908" s="670" t="s">
        <v>4987</v>
      </c>
      <c r="N3908" s="681" t="str">
        <f>IF(AND(ISTEXT($A3908), ISERROR($A3908+0)), HYPERLINK($BF3908, "Images"), "")</f>
        <v>Images</v>
      </c>
      <c r="O3908" s="663" t="s">
        <v>4969</v>
      </c>
      <c r="P3908" s="253"/>
      <c r="Q3908" s="238"/>
      <c r="R3908" s="239"/>
      <c r="S3908" s="275"/>
      <c r="T3908" s="508">
        <f t="shared" si="2965"/>
        <v>0</v>
      </c>
      <c r="U3908" s="225" t="str">
        <f>IF(NOT(ISNUMBER(G3908)), "", VLOOKUP(A3908,'Discount Lookup'!D:E,2,FALSE)*G3908)</f>
        <v/>
      </c>
      <c r="V3908" s="225" t="str">
        <f>IF(NOT(ISNUMBER(G3908)), "", VLOOKUP(A3908,'Discount Lookup'!G:H,2,FALSE)*G3908)</f>
        <v/>
      </c>
      <c r="W3908" s="508">
        <f t="shared" si="2966"/>
        <v>0</v>
      </c>
      <c r="X3908" s="508" t="str">
        <f t="shared" si="2967"/>
        <v>White bloom, Green tips</v>
      </c>
      <c r="Y3908" s="509" t="b">
        <f t="shared" si="2968"/>
        <v>0</v>
      </c>
      <c r="Z3908" s="510">
        <f t="shared" si="2969"/>
        <v>0</v>
      </c>
      <c r="AA3908" s="511"/>
      <c r="AB3908" s="511" t="str">
        <f t="shared" si="2970"/>
        <v/>
      </c>
      <c r="AC3908" s="698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698"/>
      <c r="AE3908" s="631" t="str">
        <f t="shared" si="2971"/>
        <v/>
      </c>
      <c r="AF3908" s="699" t="str">
        <f t="shared" si="2972"/>
        <v/>
      </c>
      <c r="AG3908" s="699"/>
      <c r="AH3908" s="699"/>
      <c r="AI3908" s="512">
        <f>IF(H3908="credit",0,IF(AE3908="free",0,IF(AE3908="me",0,IF(G3908&gt;0,(VLOOKUP(A3908,'Discount Lookup'!J:K,2)*G3908),0))))</f>
        <v>0</v>
      </c>
      <c r="AJ3908" s="513" t="str">
        <f t="shared" ca="1" si="2973"/>
        <v/>
      </c>
      <c r="AK3908" s="700" t="str">
        <f t="shared" si="2974"/>
        <v/>
      </c>
      <c r="AL3908" s="700"/>
      <c r="AM3908" s="505" t="str">
        <f t="shared" si="2975"/>
        <v/>
      </c>
      <c r="AN3908" s="506"/>
      <c r="AO3908" s="507"/>
      <c r="AP3908" s="507"/>
      <c r="AQ3908" s="507"/>
      <c r="AR3908" s="507"/>
      <c r="AS3908" s="507"/>
      <c r="AT3908" s="507"/>
      <c r="AU3908" s="507"/>
      <c r="AV3908" s="225"/>
      <c r="AW3908" s="508"/>
      <c r="AX3908" s="225"/>
      <c r="AY3908" s="225"/>
      <c r="AZ3908" s="225"/>
      <c r="BA3908" s="225"/>
      <c r="BB3908" s="225"/>
      <c r="BC3908" s="56"/>
      <c r="BD3908" s="56"/>
      <c r="BE3908" s="56"/>
      <c r="BF3908" s="107" t="str">
        <f t="shared" si="2976"/>
        <v>https://www.google.com/search?tbm=isch&amp;q=Variegated%20Solomon%27s%20Seal%20Polygonatum%20odoratum%20var.%20pluriflorum%20%27Variegatum%27</v>
      </c>
      <c r="BG3908" s="107" t="str">
        <f t="shared" si="2977"/>
        <v>V</v>
      </c>
      <c r="BH3908" s="254"/>
      <c r="BI3908" s="254"/>
    </row>
    <row r="3909" spans="1:61" customFormat="1" ht="15.75" x14ac:dyDescent="0.25">
      <c r="A3909" s="276">
        <v>1</v>
      </c>
      <c r="B3909" s="240" t="s">
        <v>291</v>
      </c>
      <c r="C3909" s="241"/>
      <c r="D3909" s="242" t="s">
        <v>300</v>
      </c>
      <c r="E3909" s="243">
        <v>21.95</v>
      </c>
      <c r="F3909" s="517" t="s">
        <v>293</v>
      </c>
      <c r="G3909" s="232">
        <v>0</v>
      </c>
      <c r="H3909" s="661" t="str">
        <f>IF(G3909=0,"",IF(F3909="Buy",IF(G3909=1,"plant","plants"),IF(F3909&gt;0.01,"warranty","Error")))</f>
        <v/>
      </c>
      <c r="I3909" s="244">
        <f>IF(H3909="free",0,IF(H3909="credit",((E3909*(F3909))*G3909*-1),IF(F3909="Buy",(E3909*G3909),((E3909*(1-F3909))*G3909))))</f>
        <v>0</v>
      </c>
      <c r="J3909" s="244">
        <f>IF(H3909="warranty",0,(I3909*(_xlfn.SINGLE(SalesTaxPercentage))))</f>
        <v>0</v>
      </c>
      <c r="K3909" s="696">
        <f t="shared" ref="K3909" si="3011">I3909+J3909</f>
        <v>0</v>
      </c>
      <c r="L3909" s="696"/>
      <c r="M3909" s="659" t="str">
        <f>IF(AND(G3909&gt;0,E3909=0),"WARNING - no PRICE inserted",IF(H3909="free"," FREE ~ no charge this plant",IF(H3909="credit",CONCATENATE(" -$",ROUND(K3909*(1-T2GDiscount)*-1,2)," CREDIT after discount"),IF(T2GDiscount=0,"",IF(G3909=0,"",IF(F3909="Buy",CONCATENATE(" $",ROUND(K3909*(1-T2GDiscount),2)," with ",(T2GDiscount*100),"% discount"),CONCATENATE(" $",ROUND(K3909*(1-T2GDiscount),2)," with ",((T2GDiscount*100+F3909*100)-(T2GDiscount*100*F3909)),IF(F3909&gt;0,"% discounts",IF(NoWarrantyDiscount&gt;0,"% discounts","% discount")))))))))</f>
        <v/>
      </c>
      <c r="N3909" s="660"/>
      <c r="O3909" s="233"/>
      <c r="P3909" s="233"/>
      <c r="Q3909" s="233"/>
      <c r="R3909" s="233"/>
      <c r="S3909" s="233"/>
      <c r="T3909" s="508">
        <f t="shared" si="2965"/>
        <v>0</v>
      </c>
      <c r="U3909" s="225">
        <f>IF(NOT(ISNUMBER(G3909)), "", VLOOKUP(A3909,'Discount Lookup'!D:E,2,FALSE)*G3909)</f>
        <v>0</v>
      </c>
      <c r="V3909" s="225">
        <f>IF(NOT(ISNUMBER(G3909)), "", VLOOKUP(A3909,'Discount Lookup'!G:H,2,FALSE)*G3909)</f>
        <v>0</v>
      </c>
      <c r="W3909" s="508">
        <f t="shared" si="2966"/>
        <v>0</v>
      </c>
      <c r="X3909" s="508">
        <f t="shared" si="2967"/>
        <v>0</v>
      </c>
      <c r="Y3909" s="509" t="b">
        <f t="shared" si="2968"/>
        <v>0</v>
      </c>
      <c r="Z3909" s="510">
        <f t="shared" si="2969"/>
        <v>0</v>
      </c>
      <c r="AA3909" s="511"/>
      <c r="AB3909" s="511" t="str">
        <f t="shared" si="2970"/>
        <v/>
      </c>
      <c r="AC3909" s="698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698"/>
      <c r="AE3909" s="631" t="str">
        <f t="shared" si="2971"/>
        <v/>
      </c>
      <c r="AF3909" s="699" t="str">
        <f t="shared" si="2972"/>
        <v/>
      </c>
      <c r="AG3909" s="699"/>
      <c r="AH3909" s="699"/>
      <c r="AI3909" s="512">
        <f>IF(H3909="credit",0,IF(AE3909="free",0,IF(AE3909="me",0,IF(G3909&gt;0,(VLOOKUP(A3909,'Discount Lookup'!J:K,2)*G3909),0))))</f>
        <v>0</v>
      </c>
      <c r="AJ3909" s="513" t="str">
        <f t="shared" ca="1" si="2973"/>
        <v/>
      </c>
      <c r="AK3909" s="700" t="str">
        <f t="shared" si="2974"/>
        <v/>
      </c>
      <c r="AL3909" s="700"/>
      <c r="AM3909" s="505" t="str">
        <f t="shared" si="2975"/>
        <v/>
      </c>
      <c r="AN3909" s="506"/>
      <c r="AO3909" s="507"/>
      <c r="AP3909" s="507"/>
      <c r="AQ3909" s="507"/>
      <c r="AR3909" s="507"/>
      <c r="AS3909" s="507"/>
      <c r="AT3909" s="507"/>
      <c r="AU3909" s="507"/>
      <c r="AV3909" s="225"/>
      <c r="AW3909" s="508"/>
      <c r="AX3909" s="225"/>
      <c r="AY3909" s="225"/>
      <c r="AZ3909" s="225"/>
      <c r="BA3909" s="225"/>
      <c r="BB3909" s="225"/>
      <c r="BC3909" s="56"/>
      <c r="BD3909" s="56"/>
      <c r="BE3909" s="56"/>
      <c r="BF3909" s="107" t="str">
        <f t="shared" si="2976"/>
        <v>https://www.google.com/search?tbm=isch&amp;q=1%20G6</v>
      </c>
      <c r="BG3909" s="107" t="str">
        <f t="shared" si="2977"/>
        <v>V</v>
      </c>
      <c r="BH3909" s="254"/>
      <c r="BI3909" s="254"/>
    </row>
    <row r="3910" spans="1:61" customFormat="1" ht="27" x14ac:dyDescent="0.25">
      <c r="A3910" s="276">
        <v>2</v>
      </c>
      <c r="B3910" s="240" t="s">
        <v>291</v>
      </c>
      <c r="C3910" s="241" t="s">
        <v>4305</v>
      </c>
      <c r="D3910" s="242" t="s">
        <v>292</v>
      </c>
      <c r="E3910" s="243">
        <v>30.95</v>
      </c>
      <c r="F3910" s="517" t="s">
        <v>293</v>
      </c>
      <c r="G3910" s="232">
        <v>0</v>
      </c>
      <c r="H3910" s="661" t="str">
        <f>IF(G3910=0,"",IF(F3910="Buy",IF(G3910=1,"plant","plants"),IF(F3910&gt;0.01,"warranty","Error")))</f>
        <v/>
      </c>
      <c r="I3910" s="244">
        <f>IF(H3910="free",0,IF(H3910="credit",((E3910*(F3910))*G3910*-1),IF(F3910="Buy",(E3910*G3910),((E3910*(1-F3910))*G3910))))</f>
        <v>0</v>
      </c>
      <c r="J3910" s="244">
        <f>IF(H3910="warranty",0,(I3910*(_xlfn.SINGLE(SalesTaxPercentage))))</f>
        <v>0</v>
      </c>
      <c r="K3910" s="696">
        <f t="shared" ref="K3910" si="3012">I3910+J3910</f>
        <v>0</v>
      </c>
      <c r="L3910" s="696"/>
      <c r="M3910" s="659" t="str">
        <f>IF(AND(G3910&gt;0,E3910=0),"WARNING - no PRICE inserted",IF(H3910="free"," FREE ~ no charge this plant",IF(H3910="credit",CONCATENATE(" -$",ROUND(K3910*(1-T2GDiscount)*-1,2)," CREDIT after discount"),IF(T2GDiscount=0,"",IF(G3910=0,"",IF(F3910="Buy",CONCATENATE(" $",ROUND(K3910*(1-T2GDiscount),2)," with ",(T2GDiscount*100),"% discount"),CONCATENATE(" $",ROUND(K3910*(1-T2GDiscount),2)," with ",((T2GDiscount*100+F3910*100)-(T2GDiscount*100*F3910)),IF(F3910&gt;0,"% discounts",IF(NoWarrantyDiscount&gt;0,"% discounts","% discount")))))))))</f>
        <v/>
      </c>
      <c r="N3910" s="660"/>
      <c r="O3910" s="233"/>
      <c r="P3910" s="233"/>
      <c r="Q3910" s="233"/>
      <c r="R3910" s="233"/>
      <c r="S3910" s="233"/>
      <c r="T3910" s="508">
        <f t="shared" si="2965"/>
        <v>0</v>
      </c>
      <c r="U3910" s="225">
        <f>IF(NOT(ISNUMBER(G3910)), "", VLOOKUP(A3910,'Discount Lookup'!D:E,2,FALSE)*G3910)</f>
        <v>0</v>
      </c>
      <c r="V3910" s="225">
        <f>IF(NOT(ISNUMBER(G3910)), "", VLOOKUP(A3910,'Discount Lookup'!G:H,2,FALSE)*G3910)</f>
        <v>0</v>
      </c>
      <c r="W3910" s="508">
        <f t="shared" si="2966"/>
        <v>0</v>
      </c>
      <c r="X3910" s="508">
        <f t="shared" si="2967"/>
        <v>0</v>
      </c>
      <c r="Y3910" s="509" t="b">
        <f t="shared" si="2968"/>
        <v>0</v>
      </c>
      <c r="Z3910" s="510">
        <f t="shared" si="2969"/>
        <v>0</v>
      </c>
      <c r="AA3910" s="511"/>
      <c r="AB3910" s="511" t="str">
        <f t="shared" si="2970"/>
        <v/>
      </c>
      <c r="AC3910" s="698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698"/>
      <c r="AE3910" s="631" t="str">
        <f t="shared" si="2971"/>
        <v/>
      </c>
      <c r="AF3910" s="699" t="str">
        <f t="shared" si="2972"/>
        <v/>
      </c>
      <c r="AG3910" s="699"/>
      <c r="AH3910" s="699"/>
      <c r="AI3910" s="512">
        <f>IF(H3910="credit",0,IF(AE3910="free",0,IF(AE3910="me",0,IF(G3910&gt;0,(VLOOKUP(A3910,'Discount Lookup'!J:K,2)*G3910),0))))</f>
        <v>0</v>
      </c>
      <c r="AJ3910" s="513" t="str">
        <f t="shared" ca="1" si="2973"/>
        <v/>
      </c>
      <c r="AK3910" s="700" t="str">
        <f t="shared" si="2974"/>
        <v/>
      </c>
      <c r="AL3910" s="700"/>
      <c r="AM3910" s="505" t="str">
        <f t="shared" si="2975"/>
        <v/>
      </c>
      <c r="AN3910" s="506"/>
      <c r="AO3910" s="507"/>
      <c r="AP3910" s="507"/>
      <c r="AQ3910" s="507"/>
      <c r="AR3910" s="507"/>
      <c r="AS3910" s="507"/>
      <c r="AT3910" s="507"/>
      <c r="AU3910" s="507"/>
      <c r="AV3910" s="225"/>
      <c r="AW3910" s="508"/>
      <c r="AX3910" s="225"/>
      <c r="AY3910" s="225"/>
      <c r="AZ3910" s="225"/>
      <c r="BA3910" s="225"/>
      <c r="BB3910" s="225"/>
      <c r="BC3910" s="56"/>
      <c r="BD3910" s="56"/>
      <c r="BE3910" s="56"/>
      <c r="BF3910" s="107" t="str">
        <f t="shared" si="2976"/>
        <v>https://www.google.com/search?tbm=isch&amp;q=2%20G4</v>
      </c>
      <c r="BG3910" s="107" t="str">
        <f t="shared" si="2977"/>
        <v>V</v>
      </c>
      <c r="BH3910" s="254"/>
      <c r="BI3910" s="254"/>
    </row>
    <row r="3911" spans="1:61" customFormat="1" ht="17.25" thickBot="1" x14ac:dyDescent="0.3">
      <c r="A3911" s="673" t="s">
        <v>5271</v>
      </c>
      <c r="B3911" s="245"/>
      <c r="C3911" s="677"/>
      <c r="D3911" s="499"/>
      <c r="E3911" s="499"/>
      <c r="F3911" s="500"/>
      <c r="G3911" s="501"/>
      <c r="H3911" s="502"/>
      <c r="I3911" s="246"/>
      <c r="J3911" s="247"/>
      <c r="K3911" s="503"/>
      <c r="L3911" s="544"/>
      <c r="M3911" s="544"/>
      <c r="N3911" s="500"/>
      <c r="O3911" s="500"/>
      <c r="P3911" s="500"/>
      <c r="Q3911" s="500"/>
      <c r="R3911" s="500"/>
      <c r="S3911" s="669" t="s">
        <v>4991</v>
      </c>
      <c r="T3911" s="508">
        <f t="shared" si="2965"/>
        <v>0</v>
      </c>
      <c r="U3911" s="225" t="str">
        <f>IF(NOT(ISNUMBER(G3911)), "", VLOOKUP(A3911,'Discount Lookup'!D:E,2,FALSE)*G3911)</f>
        <v/>
      </c>
      <c r="V3911" s="225" t="str">
        <f>IF(NOT(ISNUMBER(G3911)), "", VLOOKUP(A3911,'Discount Lookup'!G:H,2,FALSE)*G3911)</f>
        <v/>
      </c>
      <c r="W3911" s="508">
        <f t="shared" si="2966"/>
        <v>0</v>
      </c>
      <c r="X3911" s="508">
        <f t="shared" si="2967"/>
        <v>0</v>
      </c>
      <c r="Y3911" s="509" t="b">
        <f t="shared" si="2968"/>
        <v>0</v>
      </c>
      <c r="Z3911" s="510">
        <f t="shared" si="2969"/>
        <v>0</v>
      </c>
      <c r="AA3911" s="511"/>
      <c r="AB3911" s="511" t="str">
        <f t="shared" si="2970"/>
        <v/>
      </c>
      <c r="AC3911" s="698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698"/>
      <c r="AE3911" s="631" t="str">
        <f t="shared" si="2971"/>
        <v/>
      </c>
      <c r="AF3911" s="699" t="str">
        <f t="shared" si="2972"/>
        <v/>
      </c>
      <c r="AG3911" s="699"/>
      <c r="AH3911" s="699"/>
      <c r="AI3911" s="512">
        <f>IF(H3911="credit",0,IF(AE3911="free",0,IF(AE3911="me",0,IF(G3911&gt;0,(VLOOKUP(A3911,'Discount Lookup'!J:K,2)*G3911),0))))</f>
        <v>0</v>
      </c>
      <c r="AJ3911" s="513" t="str">
        <f t="shared" ca="1" si="2973"/>
        <v/>
      </c>
      <c r="AK3911" s="700" t="str">
        <f t="shared" si="2974"/>
        <v/>
      </c>
      <c r="AL3911" s="700"/>
      <c r="AM3911" s="505" t="str">
        <f t="shared" si="2975"/>
        <v/>
      </c>
      <c r="AN3911" s="506"/>
      <c r="AO3911" s="507"/>
      <c r="AP3911" s="507"/>
      <c r="AQ3911" s="507"/>
      <c r="AR3911" s="507"/>
      <c r="AS3911" s="507"/>
      <c r="AT3911" s="507"/>
      <c r="AU3911" s="507"/>
      <c r="AV3911" s="225"/>
      <c r="AW3911" s="508"/>
      <c r="AX3911" s="225"/>
      <c r="AY3911" s="225"/>
      <c r="AZ3911" s="225"/>
      <c r="BA3911" s="225"/>
      <c r="BB3911" s="225"/>
      <c r="BC3911" s="56"/>
      <c r="BD3911" s="56"/>
      <c r="BE3911" s="56"/>
      <c r="BF3911" s="107" t="str">
        <f t="shared" si="2976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911" s="107" t="str">
        <f t="shared" si="2977"/>
        <v>m</v>
      </c>
      <c r="BH3911" s="254"/>
      <c r="BI3911" s="254"/>
    </row>
    <row r="3912" spans="1:61" customFormat="1" ht="18" x14ac:dyDescent="0.25">
      <c r="A3912" s="521" t="s">
        <v>1968</v>
      </c>
      <c r="B3912" s="477"/>
      <c r="C3912" s="674"/>
      <c r="D3912" s="478" t="s">
        <v>1969</v>
      </c>
      <c r="E3912" s="479"/>
      <c r="F3912" s="479"/>
      <c r="G3912" s="479"/>
      <c r="H3912" s="582" t="s">
        <v>507</v>
      </c>
      <c r="I3912" s="480" t="s">
        <v>2514</v>
      </c>
      <c r="J3912" s="479"/>
      <c r="K3912" s="479"/>
      <c r="L3912" s="560"/>
      <c r="M3912" s="666" t="s">
        <v>4966</v>
      </c>
      <c r="N3912" s="680" t="str">
        <f>IF(AND(ISTEXT($A3912), ISERROR($A3912+0)), HYPERLINK($BF3912, "Images"), "")</f>
        <v>Images</v>
      </c>
      <c r="O3912" s="662" t="s">
        <v>4969</v>
      </c>
      <c r="P3912" s="482"/>
      <c r="Q3912" s="483"/>
      <c r="R3912" s="483"/>
      <c r="S3912" s="484"/>
      <c r="T3912" s="508">
        <f t="shared" si="2965"/>
        <v>0</v>
      </c>
      <c r="U3912" s="225" t="str">
        <f>IF(NOT(ISNUMBER(G3912)), "", VLOOKUP(A3912,'Discount Lookup'!D:E,2,FALSE)*G3912)</f>
        <v/>
      </c>
      <c r="V3912" s="225" t="str">
        <f>IF(NOT(ISNUMBER(G3912)), "", VLOOKUP(A3912,'Discount Lookup'!G:H,2,FALSE)*G3912)</f>
        <v/>
      </c>
      <c r="W3912" s="508">
        <f t="shared" si="2966"/>
        <v>0</v>
      </c>
      <c r="X3912" s="508" t="str">
        <f t="shared" si="2967"/>
        <v>White-Yellow stripes</v>
      </c>
      <c r="Y3912" s="509" t="b">
        <f t="shared" si="2968"/>
        <v>0</v>
      </c>
      <c r="Z3912" s="510">
        <f t="shared" si="2969"/>
        <v>0</v>
      </c>
      <c r="AA3912" s="511"/>
      <c r="AB3912" s="511" t="str">
        <f t="shared" si="2970"/>
        <v/>
      </c>
      <c r="AC3912" s="698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698"/>
      <c r="AE3912" s="631" t="str">
        <f t="shared" si="2971"/>
        <v/>
      </c>
      <c r="AF3912" s="699" t="str">
        <f t="shared" si="2972"/>
        <v/>
      </c>
      <c r="AG3912" s="699"/>
      <c r="AH3912" s="699"/>
      <c r="AI3912" s="512">
        <f>IF(H3912="credit",0,IF(AE3912="free",0,IF(AE3912="me",0,IF(G3912&gt;0,(VLOOKUP(A3912,'Discount Lookup'!J:K,2)*G3912),0))))</f>
        <v>0</v>
      </c>
      <c r="AJ3912" s="513" t="str">
        <f t="shared" ca="1" si="2973"/>
        <v/>
      </c>
      <c r="AK3912" s="700" t="str">
        <f t="shared" si="2974"/>
        <v/>
      </c>
      <c r="AL3912" s="700"/>
      <c r="AM3912" s="505" t="str">
        <f t="shared" si="2975"/>
        <v/>
      </c>
      <c r="AN3912" s="506"/>
      <c r="AO3912" s="507"/>
      <c r="AP3912" s="507"/>
      <c r="AQ3912" s="507"/>
      <c r="AR3912" s="507"/>
      <c r="AS3912" s="507"/>
      <c r="AT3912" s="507"/>
      <c r="AU3912" s="507"/>
      <c r="AV3912" s="225"/>
      <c r="AW3912" s="508"/>
      <c r="AX3912" s="225"/>
      <c r="AY3912" s="225"/>
      <c r="AZ3912" s="225"/>
      <c r="BA3912" s="225"/>
      <c r="BB3912" s="225"/>
      <c r="BC3912" s="56"/>
      <c r="BD3912" s="56"/>
      <c r="BE3912" s="56"/>
      <c r="BF3912" s="107" t="str">
        <f t="shared" si="2976"/>
        <v>https://www.google.com/search?tbm=isch&amp;q=Variegated%20Sweet%20Flag%20Acorus%20calamus%20%27Variegatus%27</v>
      </c>
      <c r="BG3912" s="107" t="str">
        <f t="shared" si="2977"/>
        <v>V</v>
      </c>
      <c r="BH3912" s="254"/>
      <c r="BI3912" s="254"/>
    </row>
    <row r="3913" spans="1:61" customFormat="1" ht="15.75" x14ac:dyDescent="0.25">
      <c r="A3913" s="485">
        <v>1</v>
      </c>
      <c r="B3913" s="486" t="s">
        <v>291</v>
      </c>
      <c r="C3913" s="487" t="s">
        <v>1970</v>
      </c>
      <c r="D3913" s="488" t="s">
        <v>297</v>
      </c>
      <c r="E3913" s="489">
        <v>8.9499999999999993</v>
      </c>
      <c r="F3913" s="516" t="s">
        <v>293</v>
      </c>
      <c r="G3913" s="232">
        <v>0</v>
      </c>
      <c r="H3913" s="658" t="str">
        <f>IF(G3913=0,"",IF(F3913="Buy",IF(G3913=1,"plant","plants"),IF(F3913&gt;0.01,"warranty","Error")))</f>
        <v/>
      </c>
      <c r="I3913" s="490">
        <f>IF(H3913="free",0,IF(H3913="credit",((E3913*(F3913))*G3913*-1),IF(F3913="Buy",(E3913*G3913),((E3913*(1-F3913))*G3913))))</f>
        <v>0</v>
      </c>
      <c r="J3913" s="490">
        <f>IF(H3913="warranty",0,(I3913*(_xlfn.SINGLE(SalesTaxPercentage))))</f>
        <v>0</v>
      </c>
      <c r="K3913" s="695">
        <f t="shared" ref="K3913" si="3013">I3913+J3913</f>
        <v>0</v>
      </c>
      <c r="L3913" s="695"/>
      <c r="M3913" s="659" t="str">
        <f>IF(AND(G3913&gt;0,E3913=0),"WARNING - no PRICE inserted",IF(H3913="free"," FREE ~ no charge this plant",IF(H3913="credit",CONCATENATE(" -$",ROUND(K3913*(1-T2GDiscount)*-1,2)," CREDIT after discount"),IF(T2GDiscount=0,"",IF(G3913=0,"",IF(F3913="Buy",CONCATENATE(" $",ROUND(K3913*(1-T2GDiscount),2)," with ",(T2GDiscount*100),"% discount"),CONCATENATE(" $",ROUND(K3913*(1-T2GDiscount),2)," with ",((T2GDiscount*100+F3913*100)-(T2GDiscount*100*F3913)),IF(F3913&gt;0,"% discounts",IF(NoWarrantyDiscount&gt;0,"% discounts","% discount")))))))))</f>
        <v/>
      </c>
      <c r="N3913" s="660"/>
      <c r="O3913" s="233"/>
      <c r="P3913" s="233"/>
      <c r="Q3913" s="233"/>
      <c r="R3913" s="233"/>
      <c r="S3913" s="233"/>
      <c r="T3913" s="508">
        <f t="shared" si="2965"/>
        <v>0</v>
      </c>
      <c r="U3913" s="225">
        <f>IF(NOT(ISNUMBER(G3913)), "", VLOOKUP(A3913,'Discount Lookup'!D:E,2,FALSE)*G3913)</f>
        <v>0</v>
      </c>
      <c r="V3913" s="225">
        <f>IF(NOT(ISNUMBER(G3913)), "", VLOOKUP(A3913,'Discount Lookup'!G:H,2,FALSE)*G3913)</f>
        <v>0</v>
      </c>
      <c r="W3913" s="508">
        <f t="shared" si="2966"/>
        <v>0</v>
      </c>
      <c r="X3913" s="508">
        <f t="shared" si="2967"/>
        <v>0</v>
      </c>
      <c r="Y3913" s="509" t="b">
        <f t="shared" si="2968"/>
        <v>0</v>
      </c>
      <c r="Z3913" s="510">
        <f t="shared" si="2969"/>
        <v>0</v>
      </c>
      <c r="AA3913" s="511"/>
      <c r="AB3913" s="511" t="str">
        <f t="shared" si="2970"/>
        <v/>
      </c>
      <c r="AC3913" s="698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698"/>
      <c r="AE3913" s="631" t="str">
        <f t="shared" si="2971"/>
        <v/>
      </c>
      <c r="AF3913" s="699" t="str">
        <f t="shared" si="2972"/>
        <v/>
      </c>
      <c r="AG3913" s="699"/>
      <c r="AH3913" s="699"/>
      <c r="AI3913" s="512">
        <f>IF(H3913="credit",0,IF(AE3913="free",0,IF(AE3913="me",0,IF(G3913&gt;0,(VLOOKUP(A3913,'Discount Lookup'!J:K,2)*G3913),0))))</f>
        <v>0</v>
      </c>
      <c r="AJ3913" s="513" t="str">
        <f t="shared" ca="1" si="2973"/>
        <v/>
      </c>
      <c r="AK3913" s="700" t="str">
        <f t="shared" si="2974"/>
        <v/>
      </c>
      <c r="AL3913" s="700"/>
      <c r="AM3913" s="505" t="str">
        <f t="shared" si="2975"/>
        <v/>
      </c>
      <c r="AN3913" s="506"/>
      <c r="AO3913" s="507"/>
      <c r="AP3913" s="507"/>
      <c r="AQ3913" s="507"/>
      <c r="AR3913" s="507"/>
      <c r="AS3913" s="507"/>
      <c r="AT3913" s="507"/>
      <c r="AU3913" s="507"/>
      <c r="AV3913" s="225"/>
      <c r="AW3913" s="508"/>
      <c r="AX3913" s="225"/>
      <c r="AY3913" s="225"/>
      <c r="AZ3913" s="225"/>
      <c r="BA3913" s="225"/>
      <c r="BB3913" s="225"/>
      <c r="BC3913" s="56"/>
      <c r="BD3913" s="56"/>
      <c r="BE3913" s="56"/>
      <c r="BF3913" s="107" t="str">
        <f t="shared" si="2976"/>
        <v>https://www.google.com/search?tbm=isch&amp;q=1%20G3</v>
      </c>
      <c r="BG3913" s="107" t="str">
        <f t="shared" si="2977"/>
        <v>V</v>
      </c>
      <c r="BH3913" s="254"/>
      <c r="BI3913" s="254"/>
    </row>
    <row r="3914" spans="1:61" customFormat="1" ht="15.75" x14ac:dyDescent="0.25">
      <c r="A3914" s="485">
        <v>1</v>
      </c>
      <c r="B3914" s="486" t="s">
        <v>291</v>
      </c>
      <c r="C3914" s="487"/>
      <c r="D3914" s="488" t="s">
        <v>312</v>
      </c>
      <c r="E3914" s="489">
        <v>11.95</v>
      </c>
      <c r="F3914" s="516" t="s">
        <v>293</v>
      </c>
      <c r="G3914" s="232">
        <v>0</v>
      </c>
      <c r="H3914" s="658" t="str">
        <f>IF(G3914=0,"",IF(F3914="Buy",IF(G3914=1,"plant","plants"),IF(F3914&gt;0.01,"warranty","Error")))</f>
        <v/>
      </c>
      <c r="I3914" s="490">
        <f>IF(H3914="free",0,IF(H3914="credit",((E3914*(F3914))*G3914*-1),IF(F3914="Buy",(E3914*G3914),((E3914*(1-F3914))*G3914))))</f>
        <v>0</v>
      </c>
      <c r="J3914" s="490">
        <f>IF(H3914="warranty",0,(I3914*(_xlfn.SINGLE(SalesTaxPercentage))))</f>
        <v>0</v>
      </c>
      <c r="K3914" s="695">
        <f t="shared" ref="K3914" si="3014">I3914+J3914</f>
        <v>0</v>
      </c>
      <c r="L3914" s="695"/>
      <c r="M3914" s="659" t="str">
        <f>IF(AND(G3914&gt;0,E3914=0),"WARNING - no PRICE inserted",IF(H3914="free"," FREE ~ no charge this plant",IF(H3914="credit",CONCATENATE(" -$",ROUND(K3914*(1-T2GDiscount)*-1,2)," CREDIT after discount"),IF(T2GDiscount=0,"",IF(G3914=0,"",IF(F3914="Buy",CONCATENATE(" $",ROUND(K3914*(1-T2GDiscount),2)," with ",(T2GDiscount*100),"% discount"),CONCATENATE(" $",ROUND(K3914*(1-T2GDiscount),2)," with ",((T2GDiscount*100+F3914*100)-(T2GDiscount*100*F3914)),IF(F3914&gt;0,"% discounts",IF(NoWarrantyDiscount&gt;0,"% discounts","% discount")))))))))</f>
        <v/>
      </c>
      <c r="N3914" s="660"/>
      <c r="O3914" s="233"/>
      <c r="P3914" s="233"/>
      <c r="Q3914" s="233"/>
      <c r="R3914" s="233"/>
      <c r="S3914" s="233"/>
      <c r="T3914" s="508">
        <f t="shared" si="2965"/>
        <v>0</v>
      </c>
      <c r="U3914" s="225">
        <f>IF(NOT(ISNUMBER(G3914)), "", VLOOKUP(A3914,'Discount Lookup'!D:E,2,FALSE)*G3914)</f>
        <v>0</v>
      </c>
      <c r="V3914" s="225">
        <f>IF(NOT(ISNUMBER(G3914)), "", VLOOKUP(A3914,'Discount Lookup'!G:H,2,FALSE)*G3914)</f>
        <v>0</v>
      </c>
      <c r="W3914" s="508">
        <f t="shared" si="2966"/>
        <v>0</v>
      </c>
      <c r="X3914" s="508">
        <f t="shared" si="2967"/>
        <v>0</v>
      </c>
      <c r="Y3914" s="509" t="b">
        <f t="shared" si="2968"/>
        <v>0</v>
      </c>
      <c r="Z3914" s="510">
        <f t="shared" si="2969"/>
        <v>0</v>
      </c>
      <c r="AA3914" s="511"/>
      <c r="AB3914" s="511" t="str">
        <f t="shared" si="2970"/>
        <v/>
      </c>
      <c r="AC3914" s="698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698"/>
      <c r="AE3914" s="631" t="str">
        <f t="shared" si="2971"/>
        <v/>
      </c>
      <c r="AF3914" s="699" t="str">
        <f t="shared" si="2972"/>
        <v/>
      </c>
      <c r="AG3914" s="699"/>
      <c r="AH3914" s="699"/>
      <c r="AI3914" s="512">
        <f>IF(H3914="credit",0,IF(AE3914="free",0,IF(AE3914="me",0,IF(G3914&gt;0,(VLOOKUP(A3914,'Discount Lookup'!J:K,2)*G3914),0))))</f>
        <v>0</v>
      </c>
      <c r="AJ3914" s="513" t="str">
        <f t="shared" ca="1" si="2973"/>
        <v/>
      </c>
      <c r="AK3914" s="700" t="str">
        <f t="shared" si="2974"/>
        <v/>
      </c>
      <c r="AL3914" s="700"/>
      <c r="AM3914" s="505" t="str">
        <f t="shared" si="2975"/>
        <v/>
      </c>
      <c r="AN3914" s="506"/>
      <c r="AO3914" s="507"/>
      <c r="AP3914" s="507"/>
      <c r="AQ3914" s="507"/>
      <c r="AR3914" s="507"/>
      <c r="AS3914" s="507"/>
      <c r="AT3914" s="507"/>
      <c r="AU3914" s="507"/>
      <c r="AV3914" s="225"/>
      <c r="AW3914" s="508"/>
      <c r="AX3914" s="225"/>
      <c r="AY3914" s="225"/>
      <c r="AZ3914" s="225"/>
      <c r="BA3914" s="225"/>
      <c r="BB3914" s="225"/>
      <c r="BC3914" s="56"/>
      <c r="BD3914" s="56"/>
      <c r="BE3914" s="56"/>
      <c r="BF3914" s="107" t="str">
        <f t="shared" si="2976"/>
        <v>https://www.google.com/search?tbm=isch&amp;q=1%20G2</v>
      </c>
      <c r="BG3914" s="107" t="str">
        <f t="shared" si="2977"/>
        <v>V</v>
      </c>
      <c r="BH3914" s="254"/>
      <c r="BI3914" s="254"/>
    </row>
    <row r="3915" spans="1:61" customFormat="1" ht="16.5" thickBot="1" x14ac:dyDescent="0.3">
      <c r="A3915" s="672" t="s">
        <v>5272</v>
      </c>
      <c r="B3915" s="491"/>
      <c r="C3915" s="675"/>
      <c r="D3915" s="491"/>
      <c r="E3915" s="491"/>
      <c r="F3915" s="492"/>
      <c r="G3915" s="493"/>
      <c r="H3915" s="491"/>
      <c r="I3915" s="234"/>
      <c r="J3915" s="234"/>
      <c r="K3915" s="494"/>
      <c r="L3915" s="543"/>
      <c r="M3915" s="561"/>
      <c r="N3915" s="495"/>
      <c r="O3915" s="496"/>
      <c r="P3915" s="497"/>
      <c r="Q3915" s="495"/>
      <c r="R3915" s="495"/>
      <c r="S3915" s="664" t="s">
        <v>5010</v>
      </c>
      <c r="T3915" s="508">
        <f t="shared" si="2965"/>
        <v>0</v>
      </c>
      <c r="U3915" s="225" t="str">
        <f>IF(NOT(ISNUMBER(G3915)), "", VLOOKUP(A3915,'Discount Lookup'!D:E,2,FALSE)*G3915)</f>
        <v/>
      </c>
      <c r="V3915" s="225" t="str">
        <f>IF(NOT(ISNUMBER(G3915)), "", VLOOKUP(A3915,'Discount Lookup'!G:H,2,FALSE)*G3915)</f>
        <v/>
      </c>
      <c r="W3915" s="508">
        <f t="shared" si="2966"/>
        <v>0</v>
      </c>
      <c r="X3915" s="508">
        <f t="shared" si="2967"/>
        <v>0</v>
      </c>
      <c r="Y3915" s="509" t="b">
        <f t="shared" si="2968"/>
        <v>0</v>
      </c>
      <c r="Z3915" s="510">
        <f t="shared" si="2969"/>
        <v>0</v>
      </c>
      <c r="AA3915" s="511"/>
      <c r="AB3915" s="511" t="str">
        <f t="shared" si="2970"/>
        <v/>
      </c>
      <c r="AC3915" s="698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698"/>
      <c r="AE3915" s="631" t="str">
        <f t="shared" si="2971"/>
        <v/>
      </c>
      <c r="AF3915" s="699" t="str">
        <f t="shared" si="2972"/>
        <v/>
      </c>
      <c r="AG3915" s="699"/>
      <c r="AH3915" s="699"/>
      <c r="AI3915" s="512">
        <f>IF(H3915="credit",0,IF(AE3915="free",0,IF(AE3915="me",0,IF(G3915&gt;0,(VLOOKUP(A3915,'Discount Lookup'!J:K,2)*G3915),0))))</f>
        <v>0</v>
      </c>
      <c r="AJ3915" s="513" t="str">
        <f t="shared" ca="1" si="2973"/>
        <v/>
      </c>
      <c r="AK3915" s="700" t="str">
        <f t="shared" si="2974"/>
        <v/>
      </c>
      <c r="AL3915" s="700"/>
      <c r="AM3915" s="505" t="str">
        <f t="shared" si="2975"/>
        <v/>
      </c>
      <c r="AN3915" s="506"/>
      <c r="AO3915" s="507"/>
      <c r="AP3915" s="507"/>
      <c r="AQ3915" s="507"/>
      <c r="AR3915" s="507"/>
      <c r="AS3915" s="507"/>
      <c r="AT3915" s="507"/>
      <c r="AU3915" s="507"/>
      <c r="AV3915" s="225"/>
      <c r="AW3915" s="508"/>
      <c r="AX3915" s="225"/>
      <c r="AY3915" s="225"/>
      <c r="AZ3915" s="225"/>
      <c r="BA3915" s="225"/>
      <c r="BB3915" s="225"/>
      <c r="BC3915" s="56"/>
      <c r="BD3915" s="56"/>
      <c r="BE3915" s="56"/>
      <c r="BF3915" s="107" t="str">
        <f t="shared" si="2976"/>
        <v>https://www.google.com/search?tbm=isch&amp;q=wet%20sites%F0%9F%92%A7BEST%2C%20Variegated%20Sweet%20Flag%20is%20great%20for%20standing%20water.%20Will%20spread%20by%20rhizomes.%20Foliage%20citrus%2Fspice%20smell%20when%20crushed%20</v>
      </c>
      <c r="BG3915" s="107" t="str">
        <f t="shared" si="2977"/>
        <v>w</v>
      </c>
      <c r="BH3915" s="254"/>
      <c r="BI3915" s="254"/>
    </row>
    <row r="3916" spans="1:61" customFormat="1" ht="18" x14ac:dyDescent="0.25">
      <c r="A3916" s="523" t="s">
        <v>4189</v>
      </c>
      <c r="B3916" s="235"/>
      <c r="C3916" s="676"/>
      <c r="D3916" s="255" t="s">
        <v>4190</v>
      </c>
      <c r="E3916" s="236"/>
      <c r="F3916" s="236"/>
      <c r="G3916" s="236"/>
      <c r="H3916" s="582" t="s">
        <v>4093</v>
      </c>
      <c r="I3916" s="498" t="s">
        <v>1349</v>
      </c>
      <c r="J3916" s="237"/>
      <c r="K3916" s="237"/>
      <c r="L3916" s="274"/>
      <c r="M3916" s="670" t="s">
        <v>4987</v>
      </c>
      <c r="N3916" s="681" t="str">
        <f>IF(AND(ISTEXT($A3916), ISERROR($A3916+0)), HYPERLINK($BF3916, "Images"), "")</f>
        <v>Images</v>
      </c>
      <c r="O3916" s="663" t="s">
        <v>4971</v>
      </c>
      <c r="P3916" s="253"/>
      <c r="Q3916" s="238"/>
      <c r="R3916" s="239"/>
      <c r="S3916" s="275"/>
      <c r="T3916" s="508">
        <f t="shared" si="2965"/>
        <v>0</v>
      </c>
      <c r="U3916" s="225" t="str">
        <f>IF(NOT(ISNUMBER(G3916)), "", VLOOKUP(A3916,'Discount Lookup'!D:E,2,FALSE)*G3916)</f>
        <v/>
      </c>
      <c r="V3916" s="225" t="str">
        <f>IF(NOT(ISNUMBER(G3916)), "", VLOOKUP(A3916,'Discount Lookup'!G:H,2,FALSE)*G3916)</f>
        <v/>
      </c>
      <c r="W3916" s="508">
        <f t="shared" si="2966"/>
        <v>0</v>
      </c>
      <c r="X3916" s="508" t="str">
        <f t="shared" si="2967"/>
        <v>Pale Lavender bloom</v>
      </c>
      <c r="Y3916" s="509" t="b">
        <f t="shared" si="2968"/>
        <v>0</v>
      </c>
      <c r="Z3916" s="510">
        <f t="shared" si="2969"/>
        <v>0</v>
      </c>
      <c r="AA3916" s="511"/>
      <c r="AB3916" s="511" t="str">
        <f t="shared" si="2970"/>
        <v/>
      </c>
      <c r="AC3916" s="698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698"/>
      <c r="AE3916" s="631" t="str">
        <f t="shared" si="2971"/>
        <v/>
      </c>
      <c r="AF3916" s="699" t="str">
        <f t="shared" si="2972"/>
        <v/>
      </c>
      <c r="AG3916" s="699"/>
      <c r="AH3916" s="699"/>
      <c r="AI3916" s="512">
        <f>IF(H3916="credit",0,IF(AE3916="free",0,IF(AE3916="me",0,IF(G3916&gt;0,(VLOOKUP(A3916,'Discount Lookup'!J:K,2)*G3916),0))))</f>
        <v>0</v>
      </c>
      <c r="AJ3916" s="513" t="str">
        <f t="shared" ca="1" si="2973"/>
        <v/>
      </c>
      <c r="AK3916" s="700" t="str">
        <f t="shared" si="2974"/>
        <v/>
      </c>
      <c r="AL3916" s="700"/>
      <c r="AM3916" s="505" t="str">
        <f t="shared" si="2975"/>
        <v/>
      </c>
      <c r="AN3916" s="506"/>
      <c r="AO3916" s="507"/>
      <c r="AP3916" s="507"/>
      <c r="AQ3916" s="507"/>
      <c r="AR3916" s="507"/>
      <c r="AS3916" s="507"/>
      <c r="AT3916" s="507"/>
      <c r="AU3916" s="507"/>
      <c r="AV3916" s="225"/>
      <c r="AW3916" s="508"/>
      <c r="AX3916" s="225"/>
      <c r="AY3916" s="225"/>
      <c r="AZ3916" s="225"/>
      <c r="BA3916" s="225"/>
      <c r="BB3916" s="225"/>
      <c r="BC3916" s="56"/>
      <c r="BD3916" s="56"/>
      <c r="BE3916" s="56"/>
      <c r="BF3916" s="107" t="str">
        <f t="shared" si="2976"/>
        <v>https://www.google.com/search?tbm=isch&amp;q=Variegated%20Wavy%20Leaf%20Hosta%20Hosta%20undulata%20%27Variegata%27</v>
      </c>
      <c r="BG3916" s="107" t="str">
        <f t="shared" si="2977"/>
        <v>V</v>
      </c>
      <c r="BH3916" s="254"/>
      <c r="BI3916" s="254"/>
    </row>
    <row r="3917" spans="1:61" customFormat="1" ht="15.75" x14ac:dyDescent="0.25">
      <c r="A3917" s="276">
        <v>1</v>
      </c>
      <c r="B3917" s="240" t="s">
        <v>291</v>
      </c>
      <c r="C3917" s="241" t="s">
        <v>1971</v>
      </c>
      <c r="D3917" s="242" t="s">
        <v>299</v>
      </c>
      <c r="E3917" s="243">
        <v>10.95</v>
      </c>
      <c r="F3917" s="517" t="s">
        <v>293</v>
      </c>
      <c r="G3917" s="232">
        <v>0</v>
      </c>
      <c r="H3917" s="661" t="str">
        <f>IF(G3917=0,"",IF(F3917="Buy",IF(G3917=1,"plant","plants"),IF(F3917&gt;0.01,"warranty","Error")))</f>
        <v/>
      </c>
      <c r="I3917" s="244">
        <f>IF(H3917="free",0,IF(H3917="credit",((E3917*(F3917))*G3917*-1),IF(F3917="Buy",(E3917*G3917),((E3917*(1-F3917))*G3917))))</f>
        <v>0</v>
      </c>
      <c r="J3917" s="244">
        <f>IF(H3917="warranty",0,(I3917*(_xlfn.SINGLE(SalesTaxPercentage))))</f>
        <v>0</v>
      </c>
      <c r="K3917" s="696">
        <f t="shared" ref="K3917" si="3015">I3917+J3917</f>
        <v>0</v>
      </c>
      <c r="L3917" s="696"/>
      <c r="M3917" s="659" t="str">
        <f>IF(AND(G3917&gt;0,E3917=0),"WARNING - no PRICE inserted",IF(H3917="free"," FREE ~ no charge this plant",IF(H3917="credit",CONCATENATE(" -$",ROUND(K3917*(1-T2GDiscount)*-1,2)," CREDIT after discount"),IF(T2GDiscount=0,"",IF(G3917=0,"",IF(F3917="Buy",CONCATENATE(" $",ROUND(K3917*(1-T2GDiscount),2)," with ",(T2GDiscount*100),"% discount"),CONCATENATE(" $",ROUND(K3917*(1-T2GDiscount),2)," with ",((T2GDiscount*100+F3917*100)-(T2GDiscount*100*F3917)),IF(F3917&gt;0,"% discounts",IF(NoWarrantyDiscount&gt;0,"% discounts","% discount")))))))))</f>
        <v/>
      </c>
      <c r="N3917" s="660"/>
      <c r="O3917" s="233"/>
      <c r="P3917" s="233"/>
      <c r="Q3917" s="233"/>
      <c r="R3917" s="233"/>
      <c r="S3917" s="233"/>
      <c r="T3917" s="508">
        <f t="shared" si="2965"/>
        <v>0</v>
      </c>
      <c r="U3917" s="225">
        <f>IF(NOT(ISNUMBER(G3917)), "", VLOOKUP(A3917,'Discount Lookup'!D:E,2,FALSE)*G3917)</f>
        <v>0</v>
      </c>
      <c r="V3917" s="225">
        <f>IF(NOT(ISNUMBER(G3917)), "", VLOOKUP(A3917,'Discount Lookup'!G:H,2,FALSE)*G3917)</f>
        <v>0</v>
      </c>
      <c r="W3917" s="508">
        <f t="shared" si="2966"/>
        <v>0</v>
      </c>
      <c r="X3917" s="508">
        <f t="shared" si="2967"/>
        <v>0</v>
      </c>
      <c r="Y3917" s="509" t="b">
        <f t="shared" si="2968"/>
        <v>0</v>
      </c>
      <c r="Z3917" s="510">
        <f t="shared" si="2969"/>
        <v>0</v>
      </c>
      <c r="AA3917" s="511"/>
      <c r="AB3917" s="511" t="str">
        <f t="shared" si="2970"/>
        <v/>
      </c>
      <c r="AC3917" s="698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698"/>
      <c r="AE3917" s="631" t="str">
        <f t="shared" si="2971"/>
        <v/>
      </c>
      <c r="AF3917" s="699" t="str">
        <f t="shared" si="2972"/>
        <v/>
      </c>
      <c r="AG3917" s="699"/>
      <c r="AH3917" s="699"/>
      <c r="AI3917" s="512">
        <f>IF(H3917="credit",0,IF(AE3917="free",0,IF(AE3917="me",0,IF(G3917&gt;0,(VLOOKUP(A3917,'Discount Lookup'!J:K,2)*G3917),0))))</f>
        <v>0</v>
      </c>
      <c r="AJ3917" s="513" t="str">
        <f t="shared" ca="1" si="2973"/>
        <v/>
      </c>
      <c r="AK3917" s="700" t="str">
        <f t="shared" si="2974"/>
        <v/>
      </c>
      <c r="AL3917" s="700"/>
      <c r="AM3917" s="505" t="str">
        <f t="shared" si="2975"/>
        <v/>
      </c>
      <c r="AN3917" s="506"/>
      <c r="AO3917" s="507"/>
      <c r="AP3917" s="507"/>
      <c r="AQ3917" s="507"/>
      <c r="AR3917" s="507"/>
      <c r="AS3917" s="507"/>
      <c r="AT3917" s="507"/>
      <c r="AU3917" s="507"/>
      <c r="AV3917" s="225"/>
      <c r="AW3917" s="508"/>
      <c r="AX3917" s="225"/>
      <c r="AY3917" s="225"/>
      <c r="AZ3917" s="225"/>
      <c r="BA3917" s="225"/>
      <c r="BB3917" s="225"/>
      <c r="BC3917" s="56"/>
      <c r="BD3917" s="56"/>
      <c r="BE3917" s="56"/>
      <c r="BF3917" s="107" t="str">
        <f t="shared" si="2976"/>
        <v>https://www.google.com/search?tbm=isch&amp;q=1%20G5</v>
      </c>
      <c r="BG3917" s="107" t="str">
        <f t="shared" si="2977"/>
        <v>V</v>
      </c>
      <c r="BH3917" s="254"/>
      <c r="BI3917" s="254"/>
    </row>
    <row r="3918" spans="1:61" customFormat="1" ht="17.25" thickBot="1" x14ac:dyDescent="0.3">
      <c r="A3918" s="673" t="s">
        <v>5273</v>
      </c>
      <c r="B3918" s="245"/>
      <c r="C3918" s="677"/>
      <c r="D3918" s="499"/>
      <c r="E3918" s="499"/>
      <c r="F3918" s="500"/>
      <c r="G3918" s="501"/>
      <c r="H3918" s="502"/>
      <c r="I3918" s="246"/>
      <c r="J3918" s="247"/>
      <c r="K3918" s="503"/>
      <c r="L3918" s="544"/>
      <c r="M3918" s="544"/>
      <c r="N3918" s="500"/>
      <c r="O3918" s="500"/>
      <c r="P3918" s="500"/>
      <c r="Q3918" s="500"/>
      <c r="R3918" s="500"/>
      <c r="S3918" s="669" t="s">
        <v>4977</v>
      </c>
      <c r="T3918" s="508">
        <f t="shared" ref="T3918:T3981" si="3016">E3918*G3918</f>
        <v>0</v>
      </c>
      <c r="U3918" s="225" t="str">
        <f>IF(NOT(ISNUMBER(G3918)), "", VLOOKUP(A3918,'Discount Lookup'!D:E,2,FALSE)*G3918)</f>
        <v/>
      </c>
      <c r="V3918" s="225" t="str">
        <f>IF(NOT(ISNUMBER(G3918)), "", VLOOKUP(A3918,'Discount Lookup'!G:H,2,FALSE)*G3918)</f>
        <v/>
      </c>
      <c r="W3918" s="508">
        <f t="shared" ref="W3918:W3981" si="3017">IF(H3918="credit",0,E3918*(SalesTaxPercentage)*G3918)</f>
        <v>0</v>
      </c>
      <c r="X3918" s="508">
        <f t="shared" ref="X3918:X3981" si="3018">I3918</f>
        <v>0</v>
      </c>
      <c r="Y3918" s="509" t="b">
        <f t="shared" ref="Y3918:Y3981" si="3019">IF(AE3918="T2G",0,IF(H3918="credit",0,IF(G3918&gt;0,IF(AE3918="me","",G3918))))</f>
        <v>0</v>
      </c>
      <c r="Z3918" s="510">
        <f t="shared" ref="Z3918:Z3981" si="3020">IF(H3918="credit",G3918,0)</f>
        <v>0</v>
      </c>
      <c r="AA3918" s="511"/>
      <c r="AB3918" s="511" t="str">
        <f t="shared" ref="AB3918:AB3981" si="3021">IF(AE3918="T2G","by Trees2Go",IF(H3918="credit","CREDIT only ~",IF(AND(K3918="",AE3918=OR(PlanterYesMe="No",PlanterYesMe="N",PlanterYesMe="me")),"not THIS line⇨",IF(AND(K3918="images",AE3918="me"),"not THIS line⇨",IF(H3918="credit","",IF(G3918=0,"",IF(AE3918="me","",IF(OR(PlanterYesMe="No",PlanterYesMe="N",PlanterYesMe="me"),"",IF(AE3918="free","warranty",IF(OR(PlanterYesMe="yes",PlanterYesMe="y"),"Edison install:","to install:"))))))))))</f>
        <v/>
      </c>
      <c r="AC3918" s="698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698"/>
      <c r="AE3918" s="631" t="str">
        <f t="shared" ref="AE3918:AE3981" si="3022">IF(H3918="credit","",IF(G3918=0,"",IF(OR(PlanterYesMe="No",PlanterYesMe="N",PlanterYesMe="me"),"me",IF(H3918="warranty","free",IF(OR(PlanterYesMe="yes",PlanterYesMe="y"),"ELP","")))))</f>
        <v/>
      </c>
      <c r="AF3918" s="699" t="str">
        <f t="shared" ref="AF3918:AF3981" si="3023">IF(OR(PlanterYesMe="No",PlanterYesMe="N",PlanterYesMe="me"),"",IF(H3918="credit","",IF(G3918&gt;0,(CONCATENATE((G3918)," quantity, ",(A3918)," ",B3918)),"")))</f>
        <v/>
      </c>
      <c r="AG3918" s="699"/>
      <c r="AH3918" s="699"/>
      <c r="AI3918" s="512">
        <f>IF(H3918="credit",0,IF(AE3918="free",0,IF(AE3918="me",0,IF(G3918&gt;0,(VLOOKUP(A3918,'Discount Lookup'!J:K,2)*G3918),0))))</f>
        <v>0</v>
      </c>
      <c r="AJ3918" s="513" t="str">
        <f t="shared" ref="AJ3918:AJ3981" ca="1" si="3024">IF(AND(ISREF(H3918),H3918="credit"),"",IF(AND(AND(OFFSET(G3918,0,0)=0,OFFSET(G3918,1,0)&gt;0,ISNUMBER(OFFSET(AC3918,1,0)),OFFSET(AC3918,1,0)&gt;0),OR(PlanterYesMe="yes",PlanterYesMe="y")),"T2G+ELP=",IF(AND(OFFSET(G3918,0,0)=0,OFFSET(G3918,1,0)&gt;0,ISNUMBER(OFFSET(AC3918,1,0)),OFFSET(AC3918,1,0)&gt;0),"if T2G+ELP=",IF(AND(OFFSET(G3918,0,0)=0,OFFSET(G3918,1,0)&gt;0),"T2G Subtotal",IF(H3918="credit","",IF(G3918=0,"",IF(AE3918="free",(K3918*(1-T2GDiscount)),IF(OR(PlanterYesMe="No",PlanterYesMe="N",PlanterYesMe="me"),(K3918*(1-T2GDiscount)),IF(OR(AE3918="me",AE3918="T2G"),(K3918*(1-T2GDiscount)),(K3918*(1-T2GDiscount))+AC3918)))))))))</f>
        <v/>
      </c>
      <c r="AK3918" s="700" t="str">
        <f t="shared" ref="AK3918:AK3981" si="3025">IF(H3918="credit","",IF(G3918=0,"",IF(OR(AE3918="me",AE3918="T2G"),"  delivery-only",IF(OR(PlanterYesMe="No",PlanterYesMe="N",PlanterYesMe="me"),"  delivery-only",CONCATENATE(" $",ROUND(AJ3918/G3918,2)," each")))))</f>
        <v/>
      </c>
      <c r="AL3918" s="700"/>
      <c r="AM3918" s="505" t="str">
        <f t="shared" ref="AM3918:AM3981" si="3026">IF(H3918="credit","",IF(AE3918="free","      ~ discounts included, no tax or planting fee applies ~",IF(G3918=0,"",IF(OR(PlanterYesMe="No",PlanterYesMe="N",PlanterYesMe="me"),CONCATENATE(" $",ROUND(AJ3918/G3918,2)," per plant, with tax &amp; discount"),IF(OR(AE3918="me",AE3918="T2G"),CONCATENATE(" $",ROUND(AJ3918/G3918,2)," per plant, with tax &amp; discount"),CONCATENATE("= $",ROUND((K3918*(1-T2GDiscount))/G3918,2)," per plant + $",AC3918/G3918,(" per planting      ~ includes tax &amp; discounts ~")))))))</f>
        <v/>
      </c>
      <c r="AN3918" s="506"/>
      <c r="AO3918" s="507"/>
      <c r="AP3918" s="507"/>
      <c r="AQ3918" s="507"/>
      <c r="AR3918" s="507"/>
      <c r="AS3918" s="507"/>
      <c r="AT3918" s="507"/>
      <c r="AU3918" s="507"/>
      <c r="AV3918" s="225"/>
      <c r="AW3918" s="508"/>
      <c r="AX3918" s="225"/>
      <c r="AY3918" s="225"/>
      <c r="AZ3918" s="225"/>
      <c r="BA3918" s="225"/>
      <c r="BB3918" s="225"/>
      <c r="BC3918" s="56"/>
      <c r="BD3918" s="56"/>
      <c r="BE3918" s="56"/>
      <c r="BF3918" s="107" t="str">
        <f t="shared" ref="BF3918:BF3981" si="3027">"https://www.google.com/search?tbm=isch&amp;q=" &amp; _xlfn.ENCODEURL($A3918 &amp; " " &amp; $D3918)</f>
        <v>https://www.google.com/search?tbm=isch&amp;q=moist%20sites%F0%9F%92%A7OK%2C%20Variegated%20Wavy%20Leaf%20has%20a%20unique%20White-to-Cream%20center%20that%20twists%20as%20it%20grows%20</v>
      </c>
      <c r="BG3918" s="107" t="str">
        <f t="shared" ref="BG3918:BG3981" si="3028">IF(ISTEXT(A3918),LEFT(A3918,1),BG3917)</f>
        <v>m</v>
      </c>
      <c r="BH3918" s="254"/>
      <c r="BI3918" s="254"/>
    </row>
    <row r="3919" spans="1:61" customFormat="1" ht="18" x14ac:dyDescent="0.25">
      <c r="A3919" s="521" t="s">
        <v>1972</v>
      </c>
      <c r="B3919" s="477"/>
      <c r="C3919" s="674"/>
      <c r="D3919" s="478" t="s">
        <v>1973</v>
      </c>
      <c r="E3919" s="479"/>
      <c r="F3919" s="479"/>
      <c r="G3919" s="479"/>
      <c r="H3919" s="582" t="s">
        <v>977</v>
      </c>
      <c r="I3919" s="480" t="s">
        <v>1974</v>
      </c>
      <c r="J3919" s="479"/>
      <c r="K3919" s="479"/>
      <c r="L3919" s="560"/>
      <c r="M3919" s="666" t="s">
        <v>4966</v>
      </c>
      <c r="N3919" s="680" t="str">
        <f>IF(AND(ISTEXT($A3919), ISERROR($A3919+0)), HYPERLINK($BF3919, "Images"), "")</f>
        <v>Images</v>
      </c>
      <c r="O3919" s="662" t="s">
        <v>4969</v>
      </c>
      <c r="P3919" s="482"/>
      <c r="Q3919" s="483"/>
      <c r="R3919" s="483"/>
      <c r="S3919" s="484"/>
      <c r="T3919" s="508">
        <f t="shared" si="3016"/>
        <v>0</v>
      </c>
      <c r="U3919" s="225" t="str">
        <f>IF(NOT(ISNUMBER(G3919)), "", VLOOKUP(A3919,'Discount Lookup'!D:E,2,FALSE)*G3919)</f>
        <v/>
      </c>
      <c r="V3919" s="225" t="str">
        <f>IF(NOT(ISNUMBER(G3919)), "", VLOOKUP(A3919,'Discount Lookup'!G:H,2,FALSE)*G3919)</f>
        <v/>
      </c>
      <c r="W3919" s="508">
        <f t="shared" si="3017"/>
        <v>0</v>
      </c>
      <c r="X3919" s="508" t="str">
        <f t="shared" si="3018"/>
        <v>Purplish-Pink</v>
      </c>
      <c r="Y3919" s="509" t="b">
        <f t="shared" si="3019"/>
        <v>0</v>
      </c>
      <c r="Z3919" s="510">
        <f t="shared" si="3020"/>
        <v>0</v>
      </c>
      <c r="AA3919" s="511"/>
      <c r="AB3919" s="511" t="str">
        <f t="shared" si="3021"/>
        <v/>
      </c>
      <c r="AC3919" s="698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698"/>
      <c r="AE3919" s="631" t="str">
        <f t="shared" si="3022"/>
        <v/>
      </c>
      <c r="AF3919" s="699" t="str">
        <f t="shared" si="3023"/>
        <v/>
      </c>
      <c r="AG3919" s="699"/>
      <c r="AH3919" s="699"/>
      <c r="AI3919" s="512">
        <f>IF(H3919="credit",0,IF(AE3919="free",0,IF(AE3919="me",0,IF(G3919&gt;0,(VLOOKUP(A3919,'Discount Lookup'!J:K,2)*G3919),0))))</f>
        <v>0</v>
      </c>
      <c r="AJ3919" s="513" t="str">
        <f t="shared" ca="1" si="3024"/>
        <v/>
      </c>
      <c r="AK3919" s="700" t="str">
        <f t="shared" si="3025"/>
        <v/>
      </c>
      <c r="AL3919" s="700"/>
      <c r="AM3919" s="505" t="str">
        <f t="shared" si="3026"/>
        <v/>
      </c>
      <c r="AN3919" s="506"/>
      <c r="AO3919" s="507"/>
      <c r="AP3919" s="507"/>
      <c r="AQ3919" s="507"/>
      <c r="AR3919" s="507"/>
      <c r="AS3919" s="507"/>
      <c r="AT3919" s="507"/>
      <c r="AU3919" s="507"/>
      <c r="AV3919" s="225"/>
      <c r="AW3919" s="508"/>
      <c r="AX3919" s="225"/>
      <c r="AY3919" s="225"/>
      <c r="AZ3919" s="225"/>
      <c r="BA3919" s="225"/>
      <c r="BB3919" s="225"/>
      <c r="BC3919" s="56"/>
      <c r="BD3919" s="56"/>
      <c r="BE3919" s="56"/>
      <c r="BF3919" s="107" t="str">
        <f t="shared" si="3027"/>
        <v>https://www.google.com/search?tbm=isch&amp;q=Variegated%20Winter%20Daphne%20Daphne%20odora%20%27Aureomarginata%27</v>
      </c>
      <c r="BG3919" s="107" t="str">
        <f t="shared" si="3028"/>
        <v>V</v>
      </c>
      <c r="BH3919" s="254"/>
      <c r="BI3919" s="254"/>
    </row>
    <row r="3920" spans="1:61" customFormat="1" ht="15.75" x14ac:dyDescent="0.25">
      <c r="A3920" s="485">
        <v>3</v>
      </c>
      <c r="B3920" s="486" t="s">
        <v>291</v>
      </c>
      <c r="C3920" s="487" t="s">
        <v>4828</v>
      </c>
      <c r="D3920" s="488" t="s">
        <v>312</v>
      </c>
      <c r="E3920" s="489">
        <v>49.95</v>
      </c>
      <c r="F3920" s="516" t="s">
        <v>293</v>
      </c>
      <c r="G3920" s="232">
        <v>0</v>
      </c>
      <c r="H3920" s="658" t="str">
        <f>IF(G3920=0,"",IF(F3920="Buy",IF(G3920=1,"plant","plants"),IF(F3920&gt;0.01,"warranty","Error")))</f>
        <v/>
      </c>
      <c r="I3920" s="490">
        <f>IF(H3920="free",0,IF(H3920="credit",((E3920*(F3920))*G3920*-1),IF(F3920="Buy",(E3920*G3920),((E3920*(1-F3920))*G3920))))</f>
        <v>0</v>
      </c>
      <c r="J3920" s="490">
        <f>IF(H3920="warranty",0,(I3920*(_xlfn.SINGLE(SalesTaxPercentage))))</f>
        <v>0</v>
      </c>
      <c r="K3920" s="695">
        <f t="shared" ref="K3920" si="3029">I3920+J3920</f>
        <v>0</v>
      </c>
      <c r="L3920" s="695"/>
      <c r="M3920" s="659" t="str">
        <f>IF(AND(G3920&gt;0,E3920=0),"WARNING - no PRICE inserted",IF(H3920="free"," FREE ~ no charge this plant",IF(H3920="credit",CONCATENATE(" -$",ROUND(K3920*(1-T2GDiscount)*-1,2)," CREDIT after discount"),IF(T2GDiscount=0,"",IF(G3920=0,"",IF(F3920="Buy",CONCATENATE(" $",ROUND(K3920*(1-T2GDiscount),2)," with ",(T2GDiscount*100),"% discount"),CONCATENATE(" $",ROUND(K3920*(1-T2GDiscount),2)," with ",((T2GDiscount*100+F3920*100)-(T2GDiscount*100*F3920)),IF(F3920&gt;0,"% discounts",IF(NoWarrantyDiscount&gt;0,"% discounts","% discount")))))))))</f>
        <v/>
      </c>
      <c r="N3920" s="660"/>
      <c r="O3920" s="233"/>
      <c r="P3920" s="233"/>
      <c r="Q3920" s="233"/>
      <c r="R3920" s="233"/>
      <c r="S3920" s="233"/>
      <c r="T3920" s="508">
        <f t="shared" si="3016"/>
        <v>0</v>
      </c>
      <c r="U3920" s="225">
        <f>IF(NOT(ISNUMBER(G3920)), "", VLOOKUP(A3920,'Discount Lookup'!D:E,2,FALSE)*G3920)</f>
        <v>0</v>
      </c>
      <c r="V3920" s="225">
        <f>IF(NOT(ISNUMBER(G3920)), "", VLOOKUP(A3920,'Discount Lookup'!G:H,2,FALSE)*G3920)</f>
        <v>0</v>
      </c>
      <c r="W3920" s="508">
        <f t="shared" si="3017"/>
        <v>0</v>
      </c>
      <c r="X3920" s="508">
        <f t="shared" si="3018"/>
        <v>0</v>
      </c>
      <c r="Y3920" s="509" t="b">
        <f t="shared" si="3019"/>
        <v>0</v>
      </c>
      <c r="Z3920" s="510">
        <f t="shared" si="3020"/>
        <v>0</v>
      </c>
      <c r="AA3920" s="511"/>
      <c r="AB3920" s="511" t="str">
        <f t="shared" si="3021"/>
        <v/>
      </c>
      <c r="AC3920" s="698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698"/>
      <c r="AE3920" s="631" t="str">
        <f t="shared" si="3022"/>
        <v/>
      </c>
      <c r="AF3920" s="699" t="str">
        <f t="shared" si="3023"/>
        <v/>
      </c>
      <c r="AG3920" s="699"/>
      <c r="AH3920" s="699"/>
      <c r="AI3920" s="512">
        <f>IF(H3920="credit",0,IF(AE3920="free",0,IF(AE3920="me",0,IF(G3920&gt;0,(VLOOKUP(A3920,'Discount Lookup'!J:K,2)*G3920),0))))</f>
        <v>0</v>
      </c>
      <c r="AJ3920" s="513" t="str">
        <f t="shared" ca="1" si="3024"/>
        <v/>
      </c>
      <c r="AK3920" s="700" t="str">
        <f t="shared" si="3025"/>
        <v/>
      </c>
      <c r="AL3920" s="700"/>
      <c r="AM3920" s="505" t="str">
        <f t="shared" si="3026"/>
        <v/>
      </c>
      <c r="AN3920" s="506"/>
      <c r="AO3920" s="507"/>
      <c r="AP3920" s="507"/>
      <c r="AQ3920" s="507"/>
      <c r="AR3920" s="507"/>
      <c r="AS3920" s="507"/>
      <c r="AT3920" s="507"/>
      <c r="AU3920" s="507"/>
      <c r="AV3920" s="225"/>
      <c r="AW3920" s="508"/>
      <c r="AX3920" s="225"/>
      <c r="AY3920" s="225"/>
      <c r="AZ3920" s="225"/>
      <c r="BA3920" s="225"/>
      <c r="BB3920" s="225"/>
      <c r="BC3920" s="56"/>
      <c r="BD3920" s="56"/>
      <c r="BE3920" s="56"/>
      <c r="BF3920" s="107" t="str">
        <f t="shared" si="3027"/>
        <v>https://www.google.com/search?tbm=isch&amp;q=3%20G2</v>
      </c>
      <c r="BG3920" s="107" t="str">
        <f t="shared" si="3028"/>
        <v>V</v>
      </c>
      <c r="BH3920" s="254"/>
      <c r="BI3920" s="254"/>
    </row>
    <row r="3921" spans="1:61" customFormat="1" ht="15.75" x14ac:dyDescent="0.25">
      <c r="A3921" s="485">
        <v>3</v>
      </c>
      <c r="B3921" s="486" t="s">
        <v>291</v>
      </c>
      <c r="C3921" s="487" t="s">
        <v>341</v>
      </c>
      <c r="D3921" s="488" t="s">
        <v>312</v>
      </c>
      <c r="E3921" s="489">
        <v>71.95</v>
      </c>
      <c r="F3921" s="516" t="s">
        <v>293</v>
      </c>
      <c r="G3921" s="232">
        <v>0</v>
      </c>
      <c r="H3921" s="658" t="str">
        <f>IF(G3921=0,"",IF(F3921="Buy",IF(G3921=1,"plant","plants"),IF(F3921&gt;0.01,"warranty","Error")))</f>
        <v/>
      </c>
      <c r="I3921" s="490">
        <f>IF(H3921="free",0,IF(H3921="credit",((E3921*(F3921))*G3921*-1),IF(F3921="Buy",(E3921*G3921),((E3921*(1-F3921))*G3921))))</f>
        <v>0</v>
      </c>
      <c r="J3921" s="490">
        <f>IF(H3921="warranty",0,(I3921*(_xlfn.SINGLE(SalesTaxPercentage))))</f>
        <v>0</v>
      </c>
      <c r="K3921" s="695">
        <f t="shared" ref="K3921" si="3030">I3921+J3921</f>
        <v>0</v>
      </c>
      <c r="L3921" s="695"/>
      <c r="M3921" s="659" t="str">
        <f>IF(AND(G3921&gt;0,E3921=0),"WARNING - no PRICE inserted",IF(H3921="free"," FREE ~ no charge this plant",IF(H3921="credit",CONCATENATE(" -$",ROUND(K3921*(1-T2GDiscount)*-1,2)," CREDIT after discount"),IF(T2GDiscount=0,"",IF(G3921=0,"",IF(F3921="Buy",CONCATENATE(" $",ROUND(K3921*(1-T2GDiscount),2)," with ",(T2GDiscount*100),"% discount"),CONCATENATE(" $",ROUND(K3921*(1-T2GDiscount),2)," with ",((T2GDiscount*100+F3921*100)-(T2GDiscount*100*F3921)),IF(F3921&gt;0,"% discounts",IF(NoWarrantyDiscount&gt;0,"% discounts","% discount")))))))))</f>
        <v/>
      </c>
      <c r="N3921" s="660"/>
      <c r="O3921" s="233"/>
      <c r="P3921" s="233"/>
      <c r="Q3921" s="233"/>
      <c r="R3921" s="233"/>
      <c r="S3921" s="233"/>
      <c r="T3921" s="508">
        <f t="shared" si="3016"/>
        <v>0</v>
      </c>
      <c r="U3921" s="225">
        <f>IF(NOT(ISNUMBER(G3921)), "", VLOOKUP(A3921,'Discount Lookup'!D:E,2,FALSE)*G3921)</f>
        <v>0</v>
      </c>
      <c r="V3921" s="225">
        <f>IF(NOT(ISNUMBER(G3921)), "", VLOOKUP(A3921,'Discount Lookup'!G:H,2,FALSE)*G3921)</f>
        <v>0</v>
      </c>
      <c r="W3921" s="508">
        <f t="shared" si="3017"/>
        <v>0</v>
      </c>
      <c r="X3921" s="508">
        <f t="shared" si="3018"/>
        <v>0</v>
      </c>
      <c r="Y3921" s="509" t="b">
        <f t="shared" si="3019"/>
        <v>0</v>
      </c>
      <c r="Z3921" s="510">
        <f t="shared" si="3020"/>
        <v>0</v>
      </c>
      <c r="AA3921" s="511"/>
      <c r="AB3921" s="511" t="str">
        <f t="shared" si="3021"/>
        <v/>
      </c>
      <c r="AC3921" s="698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698"/>
      <c r="AE3921" s="631" t="str">
        <f t="shared" si="3022"/>
        <v/>
      </c>
      <c r="AF3921" s="699" t="str">
        <f t="shared" si="3023"/>
        <v/>
      </c>
      <c r="AG3921" s="699"/>
      <c r="AH3921" s="699"/>
      <c r="AI3921" s="512">
        <f>IF(H3921="credit",0,IF(AE3921="free",0,IF(AE3921="me",0,IF(G3921&gt;0,(VLOOKUP(A3921,'Discount Lookup'!J:K,2)*G3921),0))))</f>
        <v>0</v>
      </c>
      <c r="AJ3921" s="513" t="str">
        <f t="shared" ca="1" si="3024"/>
        <v/>
      </c>
      <c r="AK3921" s="700" t="str">
        <f t="shared" si="3025"/>
        <v/>
      </c>
      <c r="AL3921" s="700"/>
      <c r="AM3921" s="505" t="str">
        <f t="shared" si="3026"/>
        <v/>
      </c>
      <c r="AN3921" s="506"/>
      <c r="AO3921" s="507"/>
      <c r="AP3921" s="507"/>
      <c r="AQ3921" s="507"/>
      <c r="AR3921" s="507"/>
      <c r="AS3921" s="507"/>
      <c r="AT3921" s="507"/>
      <c r="AU3921" s="507"/>
      <c r="AV3921" s="225"/>
      <c r="AW3921" s="508"/>
      <c r="AX3921" s="225"/>
      <c r="AY3921" s="225"/>
      <c r="AZ3921" s="225"/>
      <c r="BA3921" s="225"/>
      <c r="BB3921" s="225"/>
      <c r="BC3921" s="56"/>
      <c r="BD3921" s="56"/>
      <c r="BE3921" s="56"/>
      <c r="BF3921" s="107" t="str">
        <f t="shared" si="3027"/>
        <v>https://www.google.com/search?tbm=isch&amp;q=3%20G2</v>
      </c>
      <c r="BG3921" s="107" t="str">
        <f t="shared" si="3028"/>
        <v>V</v>
      </c>
      <c r="BH3921" s="254"/>
      <c r="BI3921" s="254"/>
    </row>
    <row r="3922" spans="1:61" customFormat="1" ht="16.5" thickBot="1" x14ac:dyDescent="0.3">
      <c r="A3922" s="522" t="s">
        <v>2192</v>
      </c>
      <c r="B3922" s="491"/>
      <c r="C3922" s="675"/>
      <c r="D3922" s="491"/>
      <c r="E3922" s="491"/>
      <c r="F3922" s="492"/>
      <c r="G3922" s="493"/>
      <c r="H3922" s="491"/>
      <c r="I3922" s="234"/>
      <c r="J3922" s="234"/>
      <c r="K3922" s="494"/>
      <c r="L3922" s="543"/>
      <c r="M3922" s="561"/>
      <c r="N3922" s="495"/>
      <c r="O3922" s="496"/>
      <c r="P3922" s="497"/>
      <c r="Q3922" s="495"/>
      <c r="R3922" s="495"/>
      <c r="S3922" s="277"/>
      <c r="T3922" s="508">
        <f t="shared" si="3016"/>
        <v>0</v>
      </c>
      <c r="U3922" s="225" t="str">
        <f>IF(NOT(ISNUMBER(G3922)), "", VLOOKUP(A3922,'Discount Lookup'!D:E,2,FALSE)*G3922)</f>
        <v/>
      </c>
      <c r="V3922" s="225" t="str">
        <f>IF(NOT(ISNUMBER(G3922)), "", VLOOKUP(A3922,'Discount Lookup'!G:H,2,FALSE)*G3922)</f>
        <v/>
      </c>
      <c r="W3922" s="508">
        <f t="shared" si="3017"/>
        <v>0</v>
      </c>
      <c r="X3922" s="508">
        <f t="shared" si="3018"/>
        <v>0</v>
      </c>
      <c r="Y3922" s="509" t="b">
        <f t="shared" si="3019"/>
        <v>0</v>
      </c>
      <c r="Z3922" s="510">
        <f t="shared" si="3020"/>
        <v>0</v>
      </c>
      <c r="AA3922" s="511"/>
      <c r="AB3922" s="511" t="str">
        <f t="shared" si="3021"/>
        <v/>
      </c>
      <c r="AC3922" s="698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698"/>
      <c r="AE3922" s="631" t="str">
        <f t="shared" si="3022"/>
        <v/>
      </c>
      <c r="AF3922" s="699" t="str">
        <f t="shared" si="3023"/>
        <v/>
      </c>
      <c r="AG3922" s="699"/>
      <c r="AH3922" s="699"/>
      <c r="AI3922" s="512">
        <f>IF(H3922="credit",0,IF(AE3922="free",0,IF(AE3922="me",0,IF(G3922&gt;0,(VLOOKUP(A3922,'Discount Lookup'!J:K,2)*G3922),0))))</f>
        <v>0</v>
      </c>
      <c r="AJ3922" s="513" t="str">
        <f t="shared" ca="1" si="3024"/>
        <v/>
      </c>
      <c r="AK3922" s="700" t="str">
        <f t="shared" si="3025"/>
        <v/>
      </c>
      <c r="AL3922" s="700"/>
      <c r="AM3922" s="505" t="str">
        <f t="shared" si="3026"/>
        <v/>
      </c>
      <c r="AN3922" s="506"/>
      <c r="AO3922" s="507"/>
      <c r="AP3922" s="507"/>
      <c r="AQ3922" s="507"/>
      <c r="AR3922" s="507"/>
      <c r="AS3922" s="507"/>
      <c r="AT3922" s="507"/>
      <c r="AU3922" s="507"/>
      <c r="AV3922" s="225"/>
      <c r="AW3922" s="508"/>
      <c r="AX3922" s="225"/>
      <c r="AY3922" s="225"/>
      <c r="AZ3922" s="225"/>
      <c r="BA3922" s="225"/>
      <c r="BB3922" s="225"/>
      <c r="BC3922" s="56"/>
      <c r="BD3922" s="56"/>
      <c r="BE3922" s="56"/>
      <c r="BF3922" s="107" t="str">
        <f t="shared" si="3027"/>
        <v>https://www.google.com/search?tbm=isch&amp;q=Winter%20Daphne%20is%20named%20as%20such%20due%20to%20late%20flowers.%20</v>
      </c>
      <c r="BG3922" s="107" t="str">
        <f t="shared" si="3028"/>
        <v>W</v>
      </c>
      <c r="BH3922" s="254"/>
      <c r="BI3922" s="254"/>
    </row>
    <row r="3923" spans="1:61" customFormat="1" ht="18" x14ac:dyDescent="0.25">
      <c r="A3923" s="521" t="s">
        <v>2829</v>
      </c>
      <c r="B3923" s="477"/>
      <c r="C3923" s="674"/>
      <c r="D3923" s="478" t="s">
        <v>2830</v>
      </c>
      <c r="E3923" s="479"/>
      <c r="F3923" s="479"/>
      <c r="G3923" s="479"/>
      <c r="H3923" s="582" t="s">
        <v>394</v>
      </c>
      <c r="I3923" s="480" t="s">
        <v>654</v>
      </c>
      <c r="J3923" s="479"/>
      <c r="K3923" s="479"/>
      <c r="L3923" s="560"/>
      <c r="M3923" s="666" t="s">
        <v>4963</v>
      </c>
      <c r="N3923" s="680" t="str">
        <f>IF(AND(ISTEXT($A3923), ISERROR($A3923+0)), HYPERLINK($BF3923, "Images"), "")</f>
        <v>Images</v>
      </c>
      <c r="O3923" s="662" t="s">
        <v>4969</v>
      </c>
      <c r="P3923" s="482"/>
      <c r="Q3923" s="483"/>
      <c r="R3923" s="483"/>
      <c r="S3923" s="484"/>
      <c r="T3923" s="508">
        <f t="shared" si="3016"/>
        <v>0</v>
      </c>
      <c r="U3923" s="225" t="str">
        <f>IF(NOT(ISNUMBER(G3923)), "", VLOOKUP(A3923,'Discount Lookup'!D:E,2,FALSE)*G3923)</f>
        <v/>
      </c>
      <c r="V3923" s="225" t="str">
        <f>IF(NOT(ISNUMBER(G3923)), "", VLOOKUP(A3923,'Discount Lookup'!G:H,2,FALSE)*G3923)</f>
        <v/>
      </c>
      <c r="W3923" s="508">
        <f t="shared" si="3017"/>
        <v>0</v>
      </c>
      <c r="X3923" s="508" t="str">
        <f t="shared" si="3018"/>
        <v>White bloom</v>
      </c>
      <c r="Y3923" s="509" t="b">
        <f t="shared" si="3019"/>
        <v>0</v>
      </c>
      <c r="Z3923" s="510">
        <f t="shared" si="3020"/>
        <v>0</v>
      </c>
      <c r="AA3923" s="511"/>
      <c r="AB3923" s="511" t="str">
        <f t="shared" si="3021"/>
        <v/>
      </c>
      <c r="AC3923" s="698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698"/>
      <c r="AE3923" s="631" t="str">
        <f t="shared" si="3022"/>
        <v/>
      </c>
      <c r="AF3923" s="699" t="str">
        <f t="shared" si="3023"/>
        <v/>
      </c>
      <c r="AG3923" s="699"/>
      <c r="AH3923" s="699"/>
      <c r="AI3923" s="512">
        <f>IF(H3923="credit",0,IF(AE3923="free",0,IF(AE3923="me",0,IF(G3923&gt;0,(VLOOKUP(A3923,'Discount Lookup'!J:K,2)*G3923),0))))</f>
        <v>0</v>
      </c>
      <c r="AJ3923" s="513" t="str">
        <f t="shared" ca="1" si="3024"/>
        <v/>
      </c>
      <c r="AK3923" s="700" t="str">
        <f t="shared" si="3025"/>
        <v/>
      </c>
      <c r="AL3923" s="700"/>
      <c r="AM3923" s="505" t="str">
        <f t="shared" si="3026"/>
        <v/>
      </c>
      <c r="AN3923" s="506"/>
      <c r="AO3923" s="507"/>
      <c r="AP3923" s="507"/>
      <c r="AQ3923" s="507"/>
      <c r="AR3923" s="507"/>
      <c r="AS3923" s="507"/>
      <c r="AT3923" s="507"/>
      <c r="AU3923" s="507"/>
      <c r="AV3923" s="225"/>
      <c r="AW3923" s="508"/>
      <c r="AX3923" s="225"/>
      <c r="AY3923" s="225"/>
      <c r="AZ3923" s="225"/>
      <c r="BA3923" s="225"/>
      <c r="BB3923" s="225"/>
      <c r="BC3923" s="56"/>
      <c r="BD3923" s="56"/>
      <c r="BE3923" s="56"/>
      <c r="BF3923" s="107" t="str">
        <f t="shared" si="3027"/>
        <v>https://www.google.com/search?tbm=isch&amp;q=Variegated%20Yucca%20Yucca%20gloriosa%20%27Variegata%27</v>
      </c>
      <c r="BG3923" s="107" t="str">
        <f t="shared" si="3028"/>
        <v>V</v>
      </c>
      <c r="BH3923" s="254"/>
      <c r="BI3923" s="254"/>
    </row>
    <row r="3924" spans="1:61" customFormat="1" ht="15.75" x14ac:dyDescent="0.25">
      <c r="A3924" s="485">
        <v>3</v>
      </c>
      <c r="B3924" s="486" t="s">
        <v>291</v>
      </c>
      <c r="C3924" s="487"/>
      <c r="D3924" s="488" t="s">
        <v>312</v>
      </c>
      <c r="E3924" s="489">
        <v>34.950000000000003</v>
      </c>
      <c r="F3924" s="516" t="s">
        <v>293</v>
      </c>
      <c r="G3924" s="232">
        <v>0</v>
      </c>
      <c r="H3924" s="658" t="str">
        <f>IF(G3924=0,"",IF(F3924="Buy",IF(G3924=1,"plant","plants"),IF(F3924&gt;0.01,"warranty","Error")))</f>
        <v/>
      </c>
      <c r="I3924" s="490">
        <f>IF(H3924="free",0,IF(H3924="credit",((E3924*(F3924))*G3924*-1),IF(F3924="Buy",(E3924*G3924),((E3924*(1-F3924))*G3924))))</f>
        <v>0</v>
      </c>
      <c r="J3924" s="490">
        <f>IF(H3924="warranty",0,(I3924*(_xlfn.SINGLE(SalesTaxPercentage))))</f>
        <v>0</v>
      </c>
      <c r="K3924" s="695">
        <f t="shared" ref="K3924" si="3031">I3924+J3924</f>
        <v>0</v>
      </c>
      <c r="L3924" s="695"/>
      <c r="M3924" s="659" t="str">
        <f>IF(AND(G3924&gt;0,E3924=0),"WARNING - no PRICE inserted",IF(H3924="free"," FREE ~ no charge this plant",IF(H3924="credit",CONCATENATE(" -$",ROUND(K3924*(1-T2GDiscount)*-1,2)," CREDIT after discount"),IF(T2GDiscount=0,"",IF(G3924=0,"",IF(F3924="Buy",CONCATENATE(" $",ROUND(K3924*(1-T2GDiscount),2)," with ",(T2GDiscount*100),"% discount"),CONCATENATE(" $",ROUND(K3924*(1-T2GDiscount),2)," with ",((T2GDiscount*100+F3924*100)-(T2GDiscount*100*F3924)),IF(F3924&gt;0,"% discounts",IF(NoWarrantyDiscount&gt;0,"% discounts","% discount")))))))))</f>
        <v/>
      </c>
      <c r="N3924" s="660"/>
      <c r="O3924" s="233"/>
      <c r="P3924" s="233"/>
      <c r="Q3924" s="233"/>
      <c r="R3924" s="233"/>
      <c r="S3924" s="233"/>
      <c r="T3924" s="508">
        <f t="shared" si="3016"/>
        <v>0</v>
      </c>
      <c r="U3924" s="225">
        <f>IF(NOT(ISNUMBER(G3924)), "", VLOOKUP(A3924,'Discount Lookup'!D:E,2,FALSE)*G3924)</f>
        <v>0</v>
      </c>
      <c r="V3924" s="225">
        <f>IF(NOT(ISNUMBER(G3924)), "", VLOOKUP(A3924,'Discount Lookup'!G:H,2,FALSE)*G3924)</f>
        <v>0</v>
      </c>
      <c r="W3924" s="508">
        <f t="shared" si="3017"/>
        <v>0</v>
      </c>
      <c r="X3924" s="508">
        <f t="shared" si="3018"/>
        <v>0</v>
      </c>
      <c r="Y3924" s="509" t="b">
        <f t="shared" si="3019"/>
        <v>0</v>
      </c>
      <c r="Z3924" s="510">
        <f t="shared" si="3020"/>
        <v>0</v>
      </c>
      <c r="AA3924" s="511"/>
      <c r="AB3924" s="511" t="str">
        <f t="shared" si="3021"/>
        <v/>
      </c>
      <c r="AC3924" s="698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698"/>
      <c r="AE3924" s="631" t="str">
        <f t="shared" si="3022"/>
        <v/>
      </c>
      <c r="AF3924" s="699" t="str">
        <f t="shared" si="3023"/>
        <v/>
      </c>
      <c r="AG3924" s="699"/>
      <c r="AH3924" s="699"/>
      <c r="AI3924" s="512">
        <f>IF(H3924="credit",0,IF(AE3924="free",0,IF(AE3924="me",0,IF(G3924&gt;0,(VLOOKUP(A3924,'Discount Lookup'!J:K,2)*G3924),0))))</f>
        <v>0</v>
      </c>
      <c r="AJ3924" s="513" t="str">
        <f t="shared" ca="1" si="3024"/>
        <v/>
      </c>
      <c r="AK3924" s="700" t="str">
        <f t="shared" si="3025"/>
        <v/>
      </c>
      <c r="AL3924" s="700"/>
      <c r="AM3924" s="505" t="str">
        <f t="shared" si="3026"/>
        <v/>
      </c>
      <c r="AN3924" s="506"/>
      <c r="AO3924" s="507"/>
      <c r="AP3924" s="507"/>
      <c r="AQ3924" s="507"/>
      <c r="AR3924" s="507"/>
      <c r="AS3924" s="507"/>
      <c r="AT3924" s="507"/>
      <c r="AU3924" s="507"/>
      <c r="AV3924" s="225"/>
      <c r="AW3924" s="508"/>
      <c r="AX3924" s="225"/>
      <c r="AY3924" s="225"/>
      <c r="AZ3924" s="225"/>
      <c r="BA3924" s="225"/>
      <c r="BB3924" s="225"/>
      <c r="BC3924" s="56"/>
      <c r="BD3924" s="56"/>
      <c r="BE3924" s="56"/>
      <c r="BF3924" s="107" t="str">
        <f t="shared" si="3027"/>
        <v>https://www.google.com/search?tbm=isch&amp;q=3%20G2</v>
      </c>
      <c r="BG3924" s="107" t="str">
        <f t="shared" si="3028"/>
        <v>V</v>
      </c>
      <c r="BH3924" s="254"/>
      <c r="BI3924" s="254"/>
    </row>
    <row r="3925" spans="1:61" customFormat="1" ht="16.5" thickBot="1" x14ac:dyDescent="0.3">
      <c r="A3925" s="522" t="s">
        <v>2917</v>
      </c>
      <c r="B3925" s="491"/>
      <c r="C3925" s="675"/>
      <c r="D3925" s="491"/>
      <c r="E3925" s="491"/>
      <c r="F3925" s="492"/>
      <c r="G3925" s="493"/>
      <c r="H3925" s="491"/>
      <c r="I3925" s="234"/>
      <c r="J3925" s="234"/>
      <c r="K3925" s="494"/>
      <c r="L3925" s="543"/>
      <c r="M3925" s="561"/>
      <c r="N3925" s="495"/>
      <c r="O3925" s="496"/>
      <c r="P3925" s="497"/>
      <c r="Q3925" s="495"/>
      <c r="R3925" s="495"/>
      <c r="S3925" s="667" t="s">
        <v>4968</v>
      </c>
      <c r="T3925" s="508">
        <f t="shared" si="3016"/>
        <v>0</v>
      </c>
      <c r="U3925" s="225" t="str">
        <f>IF(NOT(ISNUMBER(G3925)), "", VLOOKUP(A3925,'Discount Lookup'!D:E,2,FALSE)*G3925)</f>
        <v/>
      </c>
      <c r="V3925" s="225" t="str">
        <f>IF(NOT(ISNUMBER(G3925)), "", VLOOKUP(A3925,'Discount Lookup'!G:H,2,FALSE)*G3925)</f>
        <v/>
      </c>
      <c r="W3925" s="508">
        <f t="shared" si="3017"/>
        <v>0</v>
      </c>
      <c r="X3925" s="508">
        <f t="shared" si="3018"/>
        <v>0</v>
      </c>
      <c r="Y3925" s="509" t="b">
        <f t="shared" si="3019"/>
        <v>0</v>
      </c>
      <c r="Z3925" s="510">
        <f t="shared" si="3020"/>
        <v>0</v>
      </c>
      <c r="AA3925" s="511"/>
      <c r="AB3925" s="511" t="str">
        <f t="shared" si="3021"/>
        <v/>
      </c>
      <c r="AC3925" s="698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698"/>
      <c r="AE3925" s="631" t="str">
        <f t="shared" si="3022"/>
        <v/>
      </c>
      <c r="AF3925" s="699" t="str">
        <f t="shared" si="3023"/>
        <v/>
      </c>
      <c r="AG3925" s="699"/>
      <c r="AH3925" s="699"/>
      <c r="AI3925" s="512">
        <f>IF(H3925="credit",0,IF(AE3925="free",0,IF(AE3925="me",0,IF(G3925&gt;0,(VLOOKUP(A3925,'Discount Lookup'!J:K,2)*G3925),0))))</f>
        <v>0</v>
      </c>
      <c r="AJ3925" s="513" t="str">
        <f t="shared" ca="1" si="3024"/>
        <v/>
      </c>
      <c r="AK3925" s="700" t="str">
        <f t="shared" si="3025"/>
        <v/>
      </c>
      <c r="AL3925" s="700"/>
      <c r="AM3925" s="505" t="str">
        <f t="shared" si="3026"/>
        <v/>
      </c>
      <c r="AN3925" s="506"/>
      <c r="AO3925" s="507"/>
      <c r="AP3925" s="507"/>
      <c r="AQ3925" s="507"/>
      <c r="AR3925" s="507"/>
      <c r="AS3925" s="507"/>
      <c r="AT3925" s="507"/>
      <c r="AU3925" s="507"/>
      <c r="AV3925" s="225"/>
      <c r="AW3925" s="508"/>
      <c r="AX3925" s="225"/>
      <c r="AY3925" s="225"/>
      <c r="AZ3925" s="225"/>
      <c r="BA3925" s="225"/>
      <c r="BB3925" s="225"/>
      <c r="BC3925" s="56"/>
      <c r="BD3925" s="56"/>
      <c r="BE3925" s="56"/>
      <c r="BF3925" s="107" t="str">
        <f t="shared" si="3027"/>
        <v>https://www.google.com/search?tbm=isch&amp;q=Variegated%20Yucca%20%28AKA%20Spanish%20Dagger%29%20sword-like%20foliage%20is%20Blue-Green%2C%20with%20Creamy-Yellow%20margins.%20Tall%20blooms%20</v>
      </c>
      <c r="BG3925" s="107" t="str">
        <f t="shared" si="3028"/>
        <v>V</v>
      </c>
      <c r="BH3925" s="254"/>
      <c r="BI3925" s="254"/>
    </row>
    <row r="3926" spans="1:61" customFormat="1" ht="18" x14ac:dyDescent="0.25">
      <c r="A3926" s="523" t="s">
        <v>4360</v>
      </c>
      <c r="B3926" s="235"/>
      <c r="C3926" s="676"/>
      <c r="D3926" s="255" t="s">
        <v>4361</v>
      </c>
      <c r="E3926" s="236"/>
      <c r="F3926" s="236"/>
      <c r="G3926" s="236"/>
      <c r="H3926" s="582" t="s">
        <v>321</v>
      </c>
      <c r="I3926" s="498" t="s">
        <v>4362</v>
      </c>
      <c r="J3926" s="237"/>
      <c r="K3926" s="237"/>
      <c r="L3926" s="274"/>
      <c r="M3926" s="668" t="s">
        <v>4975</v>
      </c>
      <c r="N3926" s="681" t="str">
        <f>IF(AND(ISTEXT($A3926), ISERROR($A3926+0)), HYPERLINK($BF3926, "Images"), "")</f>
        <v>Images</v>
      </c>
      <c r="O3926" s="663" t="s">
        <v>4967</v>
      </c>
      <c r="P3926" s="253"/>
      <c r="Q3926" s="238"/>
      <c r="R3926" s="239"/>
      <c r="S3926" s="275" t="s">
        <v>305</v>
      </c>
      <c r="T3926" s="508">
        <f t="shared" si="3016"/>
        <v>0</v>
      </c>
      <c r="U3926" s="225" t="str">
        <f>IF(NOT(ISNUMBER(G3926)), "", VLOOKUP(A3926,'Discount Lookup'!D:E,2,FALSE)*G3926)</f>
        <v/>
      </c>
      <c r="V3926" s="225" t="str">
        <f>IF(NOT(ISNUMBER(G3926)), "", VLOOKUP(A3926,'Discount Lookup'!G:H,2,FALSE)*G3926)</f>
        <v/>
      </c>
      <c r="W3926" s="508">
        <f t="shared" si="3017"/>
        <v>0</v>
      </c>
      <c r="X3926" s="508" t="str">
        <f t="shared" si="3018"/>
        <v>Rosy Pink to Magenta bloom</v>
      </c>
      <c r="Y3926" s="509" t="b">
        <f t="shared" si="3019"/>
        <v>0</v>
      </c>
      <c r="Z3926" s="510">
        <f t="shared" si="3020"/>
        <v>0</v>
      </c>
      <c r="AA3926" s="511"/>
      <c r="AB3926" s="511" t="str">
        <f t="shared" si="3021"/>
        <v/>
      </c>
      <c r="AC3926" s="698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698"/>
      <c r="AE3926" s="631" t="str">
        <f t="shared" si="3022"/>
        <v/>
      </c>
      <c r="AF3926" s="699" t="str">
        <f t="shared" si="3023"/>
        <v/>
      </c>
      <c r="AG3926" s="699"/>
      <c r="AH3926" s="699"/>
      <c r="AI3926" s="512">
        <f>IF(H3926="credit",0,IF(AE3926="free",0,IF(AE3926="me",0,IF(G3926&gt;0,(VLOOKUP(A3926,'Discount Lookup'!J:K,2)*G3926),0))))</f>
        <v>0</v>
      </c>
      <c r="AJ3926" s="513" t="str">
        <f t="shared" ca="1" si="3024"/>
        <v/>
      </c>
      <c r="AK3926" s="700" t="str">
        <f t="shared" si="3025"/>
        <v/>
      </c>
      <c r="AL3926" s="700"/>
      <c r="AM3926" s="505" t="str">
        <f t="shared" si="3026"/>
        <v/>
      </c>
      <c r="AN3926" s="506"/>
      <c r="AO3926" s="507"/>
      <c r="AP3926" s="507"/>
      <c r="AQ3926" s="507"/>
      <c r="AR3926" s="507"/>
      <c r="AS3926" s="507"/>
      <c r="AT3926" s="507"/>
      <c r="AU3926" s="507"/>
      <c r="AV3926" s="225"/>
      <c r="AW3926" s="508"/>
      <c r="AX3926" s="225"/>
      <c r="AY3926" s="225"/>
      <c r="AZ3926" s="225"/>
      <c r="BA3926" s="225"/>
      <c r="BB3926" s="225"/>
      <c r="BC3926" s="56"/>
      <c r="BD3926" s="56"/>
      <c r="BE3926" s="56"/>
      <c r="BF3926" s="107" t="str">
        <f t="shared" si="3027"/>
        <v>https://www.google.com/search?tbm=isch&amp;q=Velvet%20Hearts%20Redbud%20Cercis%20canadensis%20%27Velvet%20Hearts%27</v>
      </c>
      <c r="BG3926" s="107" t="str">
        <f t="shared" si="3028"/>
        <v>V</v>
      </c>
      <c r="BH3926" s="254"/>
      <c r="BI3926" s="254"/>
    </row>
    <row r="3927" spans="1:61" customFormat="1" ht="15.75" x14ac:dyDescent="0.25">
      <c r="A3927" s="276">
        <v>7</v>
      </c>
      <c r="B3927" s="240" t="s">
        <v>291</v>
      </c>
      <c r="C3927" s="241" t="s">
        <v>4363</v>
      </c>
      <c r="D3927" s="242" t="s">
        <v>292</v>
      </c>
      <c r="E3927" s="243">
        <v>111.95</v>
      </c>
      <c r="F3927" s="517" t="s">
        <v>293</v>
      </c>
      <c r="G3927" s="232">
        <v>0</v>
      </c>
      <c r="H3927" s="661" t="str">
        <f>IF(G3927=0,"",IF(F3927="Buy",IF(G3927=1,"plant","plants"),IF(F3927&gt;0.01,"warranty","Error")))</f>
        <v/>
      </c>
      <c r="I3927" s="244">
        <f>IF(H3927="free",0,IF(H3927="credit",((E3927*(F3927))*G3927*-1),IF(F3927="Buy",(E3927*G3927),((E3927*(1-F3927))*G3927))))</f>
        <v>0</v>
      </c>
      <c r="J3927" s="244">
        <f>IF(H3927="warranty",0,(I3927*(_xlfn.SINGLE(SalesTaxPercentage))))</f>
        <v>0</v>
      </c>
      <c r="K3927" s="696">
        <f t="shared" ref="K3927" si="3032">I3927+J3927</f>
        <v>0</v>
      </c>
      <c r="L3927" s="696"/>
      <c r="M3927" s="659" t="str">
        <f>IF(AND(G3927&gt;0,E3927=0),"WARNING - no PRICE inserted",IF(H3927="free"," FREE ~ no charge this plant",IF(H3927="credit",CONCATENATE(" -$",ROUND(K3927*(1-T2GDiscount)*-1,2)," CREDIT after discount"),IF(T2GDiscount=0,"",IF(G3927=0,"",IF(F3927="Buy",CONCATENATE(" $",ROUND(K3927*(1-T2GDiscount),2)," with ",(T2GDiscount*100),"% discount"),CONCATENATE(" $",ROUND(K3927*(1-T2GDiscount),2)," with ",((T2GDiscount*100+F3927*100)-(T2GDiscount*100*F3927)),IF(F3927&gt;0,"% discounts",IF(NoWarrantyDiscount&gt;0,"% discounts","% discount")))))))))</f>
        <v/>
      </c>
      <c r="N3927" s="660"/>
      <c r="O3927" s="233"/>
      <c r="P3927" s="233"/>
      <c r="Q3927" s="233"/>
      <c r="R3927" s="233"/>
      <c r="S3927" s="233"/>
      <c r="T3927" s="508">
        <f t="shared" si="3016"/>
        <v>0</v>
      </c>
      <c r="U3927" s="225">
        <f>IF(NOT(ISNUMBER(G3927)), "", VLOOKUP(A3927,'Discount Lookup'!D:E,2,FALSE)*G3927)</f>
        <v>0</v>
      </c>
      <c r="V3927" s="225">
        <f>IF(NOT(ISNUMBER(G3927)), "", VLOOKUP(A3927,'Discount Lookup'!G:H,2,FALSE)*G3927)</f>
        <v>0</v>
      </c>
      <c r="W3927" s="508">
        <f t="shared" si="3017"/>
        <v>0</v>
      </c>
      <c r="X3927" s="508">
        <f t="shared" si="3018"/>
        <v>0</v>
      </c>
      <c r="Y3927" s="509" t="b">
        <f t="shared" si="3019"/>
        <v>0</v>
      </c>
      <c r="Z3927" s="510">
        <f t="shared" si="3020"/>
        <v>0</v>
      </c>
      <c r="AA3927" s="511"/>
      <c r="AB3927" s="511" t="str">
        <f t="shared" si="3021"/>
        <v/>
      </c>
      <c r="AC3927" s="698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698"/>
      <c r="AE3927" s="631" t="str">
        <f t="shared" si="3022"/>
        <v/>
      </c>
      <c r="AF3927" s="699" t="str">
        <f t="shared" si="3023"/>
        <v/>
      </c>
      <c r="AG3927" s="699"/>
      <c r="AH3927" s="699"/>
      <c r="AI3927" s="512">
        <f>IF(H3927="credit",0,IF(AE3927="free",0,IF(AE3927="me",0,IF(G3927&gt;0,(VLOOKUP(A3927,'Discount Lookup'!J:K,2)*G3927),0))))</f>
        <v>0</v>
      </c>
      <c r="AJ3927" s="513" t="str">
        <f t="shared" ca="1" si="3024"/>
        <v/>
      </c>
      <c r="AK3927" s="700" t="str">
        <f t="shared" si="3025"/>
        <v/>
      </c>
      <c r="AL3927" s="700"/>
      <c r="AM3927" s="505" t="str">
        <f t="shared" si="3026"/>
        <v/>
      </c>
      <c r="AN3927" s="506"/>
      <c r="AO3927" s="507"/>
      <c r="AP3927" s="507"/>
      <c r="AQ3927" s="507"/>
      <c r="AR3927" s="507"/>
      <c r="AS3927" s="507"/>
      <c r="AT3927" s="507"/>
      <c r="AU3927" s="507"/>
      <c r="AV3927" s="225"/>
      <c r="AW3927" s="508"/>
      <c r="AX3927" s="225"/>
      <c r="AY3927" s="225"/>
      <c r="AZ3927" s="225"/>
      <c r="BA3927" s="225"/>
      <c r="BB3927" s="225"/>
      <c r="BC3927" s="56"/>
      <c r="BD3927" s="56"/>
      <c r="BE3927" s="56"/>
      <c r="BF3927" s="107" t="str">
        <f t="shared" si="3027"/>
        <v>https://www.google.com/search?tbm=isch&amp;q=7%20G4</v>
      </c>
      <c r="BG3927" s="107" t="str">
        <f t="shared" si="3028"/>
        <v>V</v>
      </c>
      <c r="BH3927" s="254"/>
      <c r="BI3927" s="254"/>
    </row>
    <row r="3928" spans="1:61" customFormat="1" ht="15.75" x14ac:dyDescent="0.25">
      <c r="A3928" s="276">
        <v>10</v>
      </c>
      <c r="B3928" s="240" t="s">
        <v>291</v>
      </c>
      <c r="C3928" s="241" t="s">
        <v>4364</v>
      </c>
      <c r="D3928" s="242" t="s">
        <v>292</v>
      </c>
      <c r="E3928" s="243">
        <v>155.94999999999999</v>
      </c>
      <c r="F3928" s="517" t="s">
        <v>293</v>
      </c>
      <c r="G3928" s="232">
        <v>0</v>
      </c>
      <c r="H3928" s="661" t="str">
        <f>IF(G3928=0,"",IF(F3928="Buy",IF(G3928=1,"plant","plants"),IF(F3928&gt;0.01,"warranty","Error")))</f>
        <v/>
      </c>
      <c r="I3928" s="244">
        <f>IF(H3928="free",0,IF(H3928="credit",((E3928*(F3928))*G3928*-1),IF(F3928="Buy",(E3928*G3928),((E3928*(1-F3928))*G3928))))</f>
        <v>0</v>
      </c>
      <c r="J3928" s="244">
        <f>IF(H3928="warranty",0,(I3928*(_xlfn.SINGLE(SalesTaxPercentage))))</f>
        <v>0</v>
      </c>
      <c r="K3928" s="696">
        <f t="shared" ref="K3928" si="3033">I3928+J3928</f>
        <v>0</v>
      </c>
      <c r="L3928" s="696"/>
      <c r="M3928" s="659" t="str">
        <f>IF(AND(G3928&gt;0,E3928=0),"WARNING - no PRICE inserted",IF(H3928="free"," FREE ~ no charge this plant",IF(H3928="credit",CONCATENATE(" -$",ROUND(K3928*(1-T2GDiscount)*-1,2)," CREDIT after discount"),IF(T2GDiscount=0,"",IF(G3928=0,"",IF(F3928="Buy",CONCATENATE(" $",ROUND(K3928*(1-T2GDiscount),2)," with ",(T2GDiscount*100),"% discount"),CONCATENATE(" $",ROUND(K3928*(1-T2GDiscount),2)," with ",((T2GDiscount*100+F3928*100)-(T2GDiscount*100*F3928)),IF(F3928&gt;0,"% discounts",IF(NoWarrantyDiscount&gt;0,"% discounts","% discount")))))))))</f>
        <v/>
      </c>
      <c r="N3928" s="660"/>
      <c r="O3928" s="233"/>
      <c r="P3928" s="233"/>
      <c r="Q3928" s="233"/>
      <c r="R3928" s="233"/>
      <c r="S3928" s="233"/>
      <c r="T3928" s="508">
        <f t="shared" si="3016"/>
        <v>0</v>
      </c>
      <c r="U3928" s="225">
        <f>IF(NOT(ISNUMBER(G3928)), "", VLOOKUP(A3928,'Discount Lookup'!D:E,2,FALSE)*G3928)</f>
        <v>0</v>
      </c>
      <c r="V3928" s="225">
        <f>IF(NOT(ISNUMBER(G3928)), "", VLOOKUP(A3928,'Discount Lookup'!G:H,2,FALSE)*G3928)</f>
        <v>0</v>
      </c>
      <c r="W3928" s="508">
        <f t="shared" si="3017"/>
        <v>0</v>
      </c>
      <c r="X3928" s="508">
        <f t="shared" si="3018"/>
        <v>0</v>
      </c>
      <c r="Y3928" s="509" t="b">
        <f t="shared" si="3019"/>
        <v>0</v>
      </c>
      <c r="Z3928" s="510">
        <f t="shared" si="3020"/>
        <v>0</v>
      </c>
      <c r="AA3928" s="511"/>
      <c r="AB3928" s="511" t="str">
        <f t="shared" si="3021"/>
        <v/>
      </c>
      <c r="AC3928" s="698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698"/>
      <c r="AE3928" s="631" t="str">
        <f t="shared" si="3022"/>
        <v/>
      </c>
      <c r="AF3928" s="699" t="str">
        <f t="shared" si="3023"/>
        <v/>
      </c>
      <c r="AG3928" s="699"/>
      <c r="AH3928" s="699"/>
      <c r="AI3928" s="512">
        <f>IF(H3928="credit",0,IF(AE3928="free",0,IF(AE3928="me",0,IF(G3928&gt;0,(VLOOKUP(A3928,'Discount Lookup'!J:K,2)*G3928),0))))</f>
        <v>0</v>
      </c>
      <c r="AJ3928" s="513" t="str">
        <f t="shared" ca="1" si="3024"/>
        <v/>
      </c>
      <c r="AK3928" s="700" t="str">
        <f t="shared" si="3025"/>
        <v/>
      </c>
      <c r="AL3928" s="700"/>
      <c r="AM3928" s="505" t="str">
        <f t="shared" si="3026"/>
        <v/>
      </c>
      <c r="AN3928" s="506"/>
      <c r="AO3928" s="507"/>
      <c r="AP3928" s="507"/>
      <c r="AQ3928" s="507"/>
      <c r="AR3928" s="507"/>
      <c r="AS3928" s="507"/>
      <c r="AT3928" s="507"/>
      <c r="AU3928" s="507"/>
      <c r="AV3928" s="225"/>
      <c r="AW3928" s="508"/>
      <c r="AX3928" s="225"/>
      <c r="AY3928" s="225"/>
      <c r="AZ3928" s="225"/>
      <c r="BA3928" s="225"/>
      <c r="BB3928" s="225"/>
      <c r="BC3928" s="56"/>
      <c r="BD3928" s="56"/>
      <c r="BE3928" s="56"/>
      <c r="BF3928" s="107" t="str">
        <f t="shared" si="3027"/>
        <v>https://www.google.com/search?tbm=isch&amp;q=10%20G4</v>
      </c>
      <c r="BG3928" s="107" t="str">
        <f t="shared" si="3028"/>
        <v>V</v>
      </c>
      <c r="BH3928" s="254"/>
      <c r="BI3928" s="254"/>
    </row>
    <row r="3929" spans="1:61" customFormat="1" ht="17.25" thickBot="1" x14ac:dyDescent="0.3">
      <c r="A3929" s="524" t="s">
        <v>4365</v>
      </c>
      <c r="B3929" s="245"/>
      <c r="C3929" s="677"/>
      <c r="D3929" s="499"/>
      <c r="E3929" s="499"/>
      <c r="F3929" s="500"/>
      <c r="G3929" s="501"/>
      <c r="H3929" s="502"/>
      <c r="I3929" s="246"/>
      <c r="J3929" s="247"/>
      <c r="K3929" s="503"/>
      <c r="L3929" s="544"/>
      <c r="M3929" s="544"/>
      <c r="N3929" s="500"/>
      <c r="O3929" s="500"/>
      <c r="P3929" s="500"/>
      <c r="Q3929" s="500"/>
      <c r="R3929" s="500"/>
      <c r="S3929" s="669" t="s">
        <v>4996</v>
      </c>
      <c r="T3929" s="508">
        <f t="shared" si="3016"/>
        <v>0</v>
      </c>
      <c r="U3929" s="225" t="str">
        <f>IF(NOT(ISNUMBER(G3929)), "", VLOOKUP(A3929,'Discount Lookup'!D:E,2,FALSE)*G3929)</f>
        <v/>
      </c>
      <c r="V3929" s="225" t="str">
        <f>IF(NOT(ISNUMBER(G3929)), "", VLOOKUP(A3929,'Discount Lookup'!G:H,2,FALSE)*G3929)</f>
        <v/>
      </c>
      <c r="W3929" s="508">
        <f t="shared" si="3017"/>
        <v>0</v>
      </c>
      <c r="X3929" s="508">
        <f t="shared" si="3018"/>
        <v>0</v>
      </c>
      <c r="Y3929" s="509" t="b">
        <f t="shared" si="3019"/>
        <v>0</v>
      </c>
      <c r="Z3929" s="510">
        <f t="shared" si="3020"/>
        <v>0</v>
      </c>
      <c r="AA3929" s="511"/>
      <c r="AB3929" s="511" t="str">
        <f t="shared" si="3021"/>
        <v/>
      </c>
      <c r="AC3929" s="698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698"/>
      <c r="AE3929" s="631" t="str">
        <f t="shared" si="3022"/>
        <v/>
      </c>
      <c r="AF3929" s="699" t="str">
        <f t="shared" si="3023"/>
        <v/>
      </c>
      <c r="AG3929" s="699"/>
      <c r="AH3929" s="699"/>
      <c r="AI3929" s="512">
        <f>IF(H3929="credit",0,IF(AE3929="free",0,IF(AE3929="me",0,IF(G3929&gt;0,(VLOOKUP(A3929,'Discount Lookup'!J:K,2)*G3929),0))))</f>
        <v>0</v>
      </c>
      <c r="AJ3929" s="513" t="str">
        <f t="shared" ca="1" si="3024"/>
        <v/>
      </c>
      <c r="AK3929" s="700" t="str">
        <f t="shared" si="3025"/>
        <v/>
      </c>
      <c r="AL3929" s="700"/>
      <c r="AM3929" s="505" t="str">
        <f t="shared" si="3026"/>
        <v/>
      </c>
      <c r="AN3929" s="506"/>
      <c r="AO3929" s="507"/>
      <c r="AP3929" s="507"/>
      <c r="AQ3929" s="507"/>
      <c r="AR3929" s="507"/>
      <c r="AS3929" s="507"/>
      <c r="AT3929" s="507"/>
      <c r="AU3929" s="507"/>
      <c r="AV3929" s="225"/>
      <c r="AW3929" s="508"/>
      <c r="AX3929" s="225"/>
      <c r="AY3929" s="225"/>
      <c r="AZ3929" s="225"/>
      <c r="BA3929" s="225"/>
      <c r="BB3929" s="225"/>
      <c r="BC3929" s="56"/>
      <c r="BD3929" s="56"/>
      <c r="BE3929" s="56"/>
      <c r="BF3929" s="107" t="str">
        <f t="shared" si="3027"/>
        <v>https://www.google.com/search?tbm=isch&amp;q=Velvet%20Hearts%20has%20vivid%20Reddish-Purple%20foliage%20with%20glowing%20Red%20undersides%2C%20turning%20clear%20Yellow%20in%20fall.%20Very%20early%20spring%20blooms%20</v>
      </c>
      <c r="BG3929" s="107" t="str">
        <f t="shared" si="3028"/>
        <v>V</v>
      </c>
      <c r="BH3929" s="254"/>
      <c r="BI3929" s="254"/>
    </row>
    <row r="3930" spans="1:61" customFormat="1" ht="18" x14ac:dyDescent="0.25">
      <c r="A3930" s="523" t="s">
        <v>5567</v>
      </c>
      <c r="B3930" s="235"/>
      <c r="C3930" s="676"/>
      <c r="D3930" s="255" t="s">
        <v>1975</v>
      </c>
      <c r="E3930" s="236"/>
      <c r="F3930" s="236"/>
      <c r="G3930" s="236"/>
      <c r="H3930" s="582" t="s">
        <v>441</v>
      </c>
      <c r="I3930" s="498" t="s">
        <v>3930</v>
      </c>
      <c r="J3930" s="237"/>
      <c r="K3930" s="237"/>
      <c r="L3930" s="274"/>
      <c r="M3930" s="668" t="s">
        <v>4962</v>
      </c>
      <c r="N3930" s="681" t="str">
        <f>IF(AND(ISTEXT($A3930), ISERROR($A3930+0)), HYPERLINK($BF3930, "Images"), "")</f>
        <v>Images</v>
      </c>
      <c r="O3930" s="663" t="s">
        <v>4967</v>
      </c>
      <c r="P3930" s="253"/>
      <c r="Q3930" s="238"/>
      <c r="R3930" s="239"/>
      <c r="S3930" s="275"/>
      <c r="T3930" s="508">
        <f t="shared" si="3016"/>
        <v>0</v>
      </c>
      <c r="U3930" s="225" t="str">
        <f>IF(NOT(ISNUMBER(G3930)), "", VLOOKUP(A3930,'Discount Lookup'!D:E,2,FALSE)*G3930)</f>
        <v/>
      </c>
      <c r="V3930" s="225" t="str">
        <f>IF(NOT(ISNUMBER(G3930)), "", VLOOKUP(A3930,'Discount Lookup'!G:H,2,FALSE)*G3930)</f>
        <v/>
      </c>
      <c r="W3930" s="508">
        <f t="shared" si="3017"/>
        <v>0</v>
      </c>
      <c r="X3930" s="508" t="str">
        <f t="shared" si="3018"/>
        <v>Soft Pink-Mauve "smoke"</v>
      </c>
      <c r="Y3930" s="509" t="b">
        <f t="shared" si="3019"/>
        <v>0</v>
      </c>
      <c r="Z3930" s="510">
        <f t="shared" si="3020"/>
        <v>0</v>
      </c>
      <c r="AA3930" s="511"/>
      <c r="AB3930" s="511" t="str">
        <f t="shared" si="3021"/>
        <v/>
      </c>
      <c r="AC3930" s="698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698"/>
      <c r="AE3930" s="631" t="str">
        <f t="shared" si="3022"/>
        <v/>
      </c>
      <c r="AF3930" s="699" t="str">
        <f t="shared" si="3023"/>
        <v/>
      </c>
      <c r="AG3930" s="699"/>
      <c r="AH3930" s="699"/>
      <c r="AI3930" s="512">
        <f>IF(H3930="credit",0,IF(AE3930="free",0,IF(AE3930="me",0,IF(G3930&gt;0,(VLOOKUP(A3930,'Discount Lookup'!J:K,2)*G3930),0))))</f>
        <v>0</v>
      </c>
      <c r="AJ3930" s="513" t="str">
        <f t="shared" ca="1" si="3024"/>
        <v/>
      </c>
      <c r="AK3930" s="700" t="str">
        <f t="shared" si="3025"/>
        <v/>
      </c>
      <c r="AL3930" s="700"/>
      <c r="AM3930" s="505" t="str">
        <f t="shared" si="3026"/>
        <v/>
      </c>
      <c r="AN3930" s="506"/>
      <c r="AO3930" s="507"/>
      <c r="AP3930" s="507"/>
      <c r="AQ3930" s="507"/>
      <c r="AR3930" s="507"/>
      <c r="AS3930" s="507"/>
      <c r="AT3930" s="507"/>
      <c r="AU3930" s="507"/>
      <c r="AV3930" s="225"/>
      <c r="AW3930" s="508"/>
      <c r="AX3930" s="225"/>
      <c r="AY3930" s="225"/>
      <c r="AZ3930" s="225"/>
      <c r="BA3930" s="225"/>
      <c r="BB3930" s="225"/>
      <c r="BC3930" s="56"/>
      <c r="BD3930" s="56"/>
      <c r="BE3930" s="56"/>
      <c r="BF3930" s="107" t="str">
        <f t="shared" si="3027"/>
        <v>https://www.google.com/search?tbm=isch&amp;q=Velveteeny%E2%84%A2%20Dwarf%20Purple%20Smokebush%20Cotinus%20coggygria%20%27Velveteeny%27%20PP%2330328</v>
      </c>
      <c r="BG3930" s="107" t="str">
        <f t="shared" si="3028"/>
        <v>V</v>
      </c>
      <c r="BH3930" s="254"/>
      <c r="BI3930" s="254"/>
    </row>
    <row r="3931" spans="1:61" customFormat="1" ht="15.75" x14ac:dyDescent="0.25">
      <c r="A3931" s="276">
        <v>3</v>
      </c>
      <c r="B3931" s="240" t="s">
        <v>291</v>
      </c>
      <c r="C3931" s="241" t="s">
        <v>334</v>
      </c>
      <c r="D3931" s="242" t="s">
        <v>312</v>
      </c>
      <c r="E3931" s="243">
        <v>29.95</v>
      </c>
      <c r="F3931" s="517" t="s">
        <v>293</v>
      </c>
      <c r="G3931" s="232">
        <v>0</v>
      </c>
      <c r="H3931" s="661" t="str">
        <f>IF(G3931=0,"",IF(F3931="Buy",IF(G3931=1,"plant","plants"),IF(F3931&gt;0.01,"warranty","Error")))</f>
        <v/>
      </c>
      <c r="I3931" s="244">
        <f>IF(H3931="free",0,IF(H3931="credit",((E3931*(F3931))*G3931*-1),IF(F3931="Buy",(E3931*G3931),((E3931*(1-F3931))*G3931))))</f>
        <v>0</v>
      </c>
      <c r="J3931" s="244">
        <f>IF(H3931="warranty",0,(I3931*(_xlfn.SINGLE(SalesTaxPercentage))))</f>
        <v>0</v>
      </c>
      <c r="K3931" s="696">
        <f t="shared" ref="K3931" si="3034">I3931+J3931</f>
        <v>0</v>
      </c>
      <c r="L3931" s="696"/>
      <c r="M3931" s="659" t="str">
        <f>IF(AND(G3931&gt;0,E3931=0),"WARNING - no PRICE inserted",IF(H3931="free"," FREE ~ no charge this plant",IF(H3931="credit",CONCATENATE(" -$",ROUND(K3931*(1-T2GDiscount)*-1,2)," CREDIT after discount"),IF(T2GDiscount=0,"",IF(G3931=0,"",IF(F3931="Buy",CONCATENATE(" $",ROUND(K3931*(1-T2GDiscount),2)," with ",(T2GDiscount*100),"% discount"),CONCATENATE(" $",ROUND(K3931*(1-T2GDiscount),2)," with ",((T2GDiscount*100+F3931*100)-(T2GDiscount*100*F3931)),IF(F3931&gt;0,"% discounts",IF(NoWarrantyDiscount&gt;0,"% discounts","% discount")))))))))</f>
        <v/>
      </c>
      <c r="N3931" s="660"/>
      <c r="O3931" s="233"/>
      <c r="P3931" s="233"/>
      <c r="Q3931" s="233"/>
      <c r="R3931" s="233"/>
      <c r="S3931" s="233"/>
      <c r="T3931" s="508">
        <f t="shared" si="3016"/>
        <v>0</v>
      </c>
      <c r="U3931" s="225">
        <f>IF(NOT(ISNUMBER(G3931)), "", VLOOKUP(A3931,'Discount Lookup'!D:E,2,FALSE)*G3931)</f>
        <v>0</v>
      </c>
      <c r="V3931" s="225">
        <f>IF(NOT(ISNUMBER(G3931)), "", VLOOKUP(A3931,'Discount Lookup'!G:H,2,FALSE)*G3931)</f>
        <v>0</v>
      </c>
      <c r="W3931" s="508">
        <f t="shared" si="3017"/>
        <v>0</v>
      </c>
      <c r="X3931" s="508">
        <f t="shared" si="3018"/>
        <v>0</v>
      </c>
      <c r="Y3931" s="509" t="b">
        <f t="shared" si="3019"/>
        <v>0</v>
      </c>
      <c r="Z3931" s="510">
        <f t="shared" si="3020"/>
        <v>0</v>
      </c>
      <c r="AA3931" s="511"/>
      <c r="AB3931" s="511" t="str">
        <f t="shared" si="3021"/>
        <v/>
      </c>
      <c r="AC3931" s="698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698"/>
      <c r="AE3931" s="631" t="str">
        <f t="shared" si="3022"/>
        <v/>
      </c>
      <c r="AF3931" s="699" t="str">
        <f t="shared" si="3023"/>
        <v/>
      </c>
      <c r="AG3931" s="699"/>
      <c r="AH3931" s="699"/>
      <c r="AI3931" s="512">
        <f>IF(H3931="credit",0,IF(AE3931="free",0,IF(AE3931="me",0,IF(G3931&gt;0,(VLOOKUP(A3931,'Discount Lookup'!J:K,2)*G3931),0))))</f>
        <v>0</v>
      </c>
      <c r="AJ3931" s="513" t="str">
        <f t="shared" ca="1" si="3024"/>
        <v/>
      </c>
      <c r="AK3931" s="700" t="str">
        <f t="shared" si="3025"/>
        <v/>
      </c>
      <c r="AL3931" s="700"/>
      <c r="AM3931" s="505" t="str">
        <f t="shared" si="3026"/>
        <v/>
      </c>
      <c r="AN3931" s="506"/>
      <c r="AO3931" s="507"/>
      <c r="AP3931" s="507"/>
      <c r="AQ3931" s="507"/>
      <c r="AR3931" s="507"/>
      <c r="AS3931" s="507"/>
      <c r="AT3931" s="507"/>
      <c r="AU3931" s="507"/>
      <c r="AV3931" s="225"/>
      <c r="AW3931" s="508"/>
      <c r="AX3931" s="225"/>
      <c r="AY3931" s="225"/>
      <c r="AZ3931" s="225"/>
      <c r="BA3931" s="225"/>
      <c r="BB3931" s="225"/>
      <c r="BC3931" s="56"/>
      <c r="BD3931" s="56"/>
      <c r="BE3931" s="56"/>
      <c r="BF3931" s="107" t="str">
        <f t="shared" si="3027"/>
        <v>https://www.google.com/search?tbm=isch&amp;q=3%20G2</v>
      </c>
      <c r="BG3931" s="107" t="str">
        <f t="shared" si="3028"/>
        <v>V</v>
      </c>
      <c r="BH3931" s="254"/>
      <c r="BI3931" s="254"/>
    </row>
    <row r="3932" spans="1:61" customFormat="1" ht="17.25" thickBot="1" x14ac:dyDescent="0.3">
      <c r="A3932" s="524" t="s">
        <v>4191</v>
      </c>
      <c r="B3932" s="245"/>
      <c r="C3932" s="677"/>
      <c r="D3932" s="499"/>
      <c r="E3932" s="499"/>
      <c r="F3932" s="500"/>
      <c r="G3932" s="501"/>
      <c r="H3932" s="502"/>
      <c r="I3932" s="246"/>
      <c r="J3932" s="247"/>
      <c r="K3932" s="503"/>
      <c r="L3932" s="544"/>
      <c r="M3932" s="544"/>
      <c r="N3932" s="500"/>
      <c r="O3932" s="500"/>
      <c r="P3932" s="500"/>
      <c r="Q3932" s="500"/>
      <c r="R3932" s="500"/>
      <c r="S3932" s="278"/>
      <c r="T3932" s="508">
        <f t="shared" si="3016"/>
        <v>0</v>
      </c>
      <c r="U3932" s="225" t="str">
        <f>IF(NOT(ISNUMBER(G3932)), "", VLOOKUP(A3932,'Discount Lookup'!D:E,2,FALSE)*G3932)</f>
        <v/>
      </c>
      <c r="V3932" s="225" t="str">
        <f>IF(NOT(ISNUMBER(G3932)), "", VLOOKUP(A3932,'Discount Lookup'!G:H,2,FALSE)*G3932)</f>
        <v/>
      </c>
      <c r="W3932" s="508">
        <f t="shared" si="3017"/>
        <v>0</v>
      </c>
      <c r="X3932" s="508">
        <f t="shared" si="3018"/>
        <v>0</v>
      </c>
      <c r="Y3932" s="509" t="b">
        <f t="shared" si="3019"/>
        <v>0</v>
      </c>
      <c r="Z3932" s="510">
        <f t="shared" si="3020"/>
        <v>0</v>
      </c>
      <c r="AA3932" s="511"/>
      <c r="AB3932" s="511" t="str">
        <f t="shared" si="3021"/>
        <v/>
      </c>
      <c r="AC3932" s="698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698"/>
      <c r="AE3932" s="631" t="str">
        <f t="shared" si="3022"/>
        <v/>
      </c>
      <c r="AF3932" s="699" t="str">
        <f t="shared" si="3023"/>
        <v/>
      </c>
      <c r="AG3932" s="699"/>
      <c r="AH3932" s="699"/>
      <c r="AI3932" s="512">
        <f>IF(H3932="credit",0,IF(AE3932="free",0,IF(AE3932="me",0,IF(G3932&gt;0,(VLOOKUP(A3932,'Discount Lookup'!J:K,2)*G3932),0))))</f>
        <v>0</v>
      </c>
      <c r="AJ3932" s="513" t="str">
        <f t="shared" ca="1" si="3024"/>
        <v/>
      </c>
      <c r="AK3932" s="700" t="str">
        <f t="shared" si="3025"/>
        <v/>
      </c>
      <c r="AL3932" s="700"/>
      <c r="AM3932" s="505" t="str">
        <f t="shared" si="3026"/>
        <v/>
      </c>
      <c r="AN3932" s="506"/>
      <c r="AO3932" s="507"/>
      <c r="AP3932" s="507"/>
      <c r="AQ3932" s="507"/>
      <c r="AR3932" s="507"/>
      <c r="AS3932" s="507"/>
      <c r="AT3932" s="507"/>
      <c r="AU3932" s="507"/>
      <c r="AV3932" s="225"/>
      <c r="AW3932" s="508"/>
      <c r="AX3932" s="225"/>
      <c r="AY3932" s="225"/>
      <c r="AZ3932" s="225"/>
      <c r="BA3932" s="225"/>
      <c r="BB3932" s="225"/>
      <c r="BC3932" s="56"/>
      <c r="BD3932" s="56"/>
      <c r="BE3932" s="56"/>
      <c r="BF3932" s="107" t="str">
        <f t="shared" si="3027"/>
        <v>https://www.google.com/search?tbm=isch&amp;q=Velveteeny%20has%20saturated%20Burgundy%20foliage%2C%20Pink%20%E2%80%9Csmoke%E2%80%9D%20in%20summer%2C%20and%20vivid%20Red-Orange%20fall%20color%20</v>
      </c>
      <c r="BG3932" s="107" t="str">
        <f t="shared" si="3028"/>
        <v>V</v>
      </c>
      <c r="BH3932" s="254"/>
      <c r="BI3932" s="254"/>
    </row>
    <row r="3933" spans="1:61" customFormat="1" ht="18" x14ac:dyDescent="0.25">
      <c r="A3933" s="523" t="s">
        <v>3240</v>
      </c>
      <c r="B3933" s="235"/>
      <c r="C3933" s="676"/>
      <c r="D3933" s="255" t="s">
        <v>3241</v>
      </c>
      <c r="E3933" s="236"/>
      <c r="F3933" s="236"/>
      <c r="G3933" s="236"/>
      <c r="H3933" s="582" t="s">
        <v>3242</v>
      </c>
      <c r="I3933" s="498" t="s">
        <v>654</v>
      </c>
      <c r="J3933" s="237"/>
      <c r="K3933" s="237"/>
      <c r="L3933" s="274"/>
      <c r="M3933" s="668" t="s">
        <v>4975</v>
      </c>
      <c r="N3933" s="681" t="str">
        <f>IF(AND(ISTEXT($A3933), ISERROR($A3933+0)), HYPERLINK($BF3933, "Images"), "")</f>
        <v>Images</v>
      </c>
      <c r="O3933" s="663" t="s">
        <v>4967</v>
      </c>
      <c r="P3933" s="253"/>
      <c r="Q3933" s="238"/>
      <c r="R3933" s="239"/>
      <c r="S3933" s="275"/>
      <c r="T3933" s="508">
        <f t="shared" si="3016"/>
        <v>0</v>
      </c>
      <c r="U3933" s="225" t="str">
        <f>IF(NOT(ISNUMBER(G3933)), "", VLOOKUP(A3933,'Discount Lookup'!D:E,2,FALSE)*G3933)</f>
        <v/>
      </c>
      <c r="V3933" s="225" t="str">
        <f>IF(NOT(ISNUMBER(G3933)), "", VLOOKUP(A3933,'Discount Lookup'!G:H,2,FALSE)*G3933)</f>
        <v/>
      </c>
      <c r="W3933" s="508">
        <f t="shared" si="3017"/>
        <v>0</v>
      </c>
      <c r="X3933" s="508" t="str">
        <f t="shared" si="3018"/>
        <v>White bloom</v>
      </c>
      <c r="Y3933" s="509" t="b">
        <f t="shared" si="3019"/>
        <v>0</v>
      </c>
      <c r="Z3933" s="510">
        <f t="shared" si="3020"/>
        <v>0</v>
      </c>
      <c r="AA3933" s="511"/>
      <c r="AB3933" s="511" t="str">
        <f t="shared" si="3021"/>
        <v/>
      </c>
      <c r="AC3933" s="698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698"/>
      <c r="AE3933" s="631" t="str">
        <f t="shared" si="3022"/>
        <v/>
      </c>
      <c r="AF3933" s="699" t="str">
        <f t="shared" si="3023"/>
        <v/>
      </c>
      <c r="AG3933" s="699"/>
      <c r="AH3933" s="699"/>
      <c r="AI3933" s="512">
        <f>IF(H3933="credit",0,IF(AE3933="free",0,IF(AE3933="me",0,IF(G3933&gt;0,(VLOOKUP(A3933,'Discount Lookup'!J:K,2)*G3933),0))))</f>
        <v>0</v>
      </c>
      <c r="AJ3933" s="513" t="str">
        <f t="shared" ca="1" si="3024"/>
        <v/>
      </c>
      <c r="AK3933" s="700" t="str">
        <f t="shared" si="3025"/>
        <v/>
      </c>
      <c r="AL3933" s="700"/>
      <c r="AM3933" s="505" t="str">
        <f t="shared" si="3026"/>
        <v/>
      </c>
      <c r="AN3933" s="506"/>
      <c r="AO3933" s="507"/>
      <c r="AP3933" s="507"/>
      <c r="AQ3933" s="507"/>
      <c r="AR3933" s="507"/>
      <c r="AS3933" s="507"/>
      <c r="AT3933" s="507"/>
      <c r="AU3933" s="507"/>
      <c r="AV3933" s="225"/>
      <c r="AW3933" s="508"/>
      <c r="AX3933" s="225"/>
      <c r="AY3933" s="225"/>
      <c r="AZ3933" s="225"/>
      <c r="BA3933" s="225"/>
      <c r="BB3933" s="225"/>
      <c r="BC3933" s="56"/>
      <c r="BD3933" s="56"/>
      <c r="BE3933" s="56"/>
      <c r="BF3933" s="107" t="str">
        <f t="shared" si="3027"/>
        <v>https://www.google.com/search?tbm=isch&amp;q=Venus%20Dogwood%20Cornus%20%27KN30-8%27%20PP%2316309</v>
      </c>
      <c r="BG3933" s="107" t="str">
        <f t="shared" si="3028"/>
        <v>V</v>
      </c>
      <c r="BH3933" s="254"/>
      <c r="BI3933" s="254"/>
    </row>
    <row r="3934" spans="1:61" customFormat="1" ht="15.75" x14ac:dyDescent="0.25">
      <c r="A3934" s="276">
        <v>3</v>
      </c>
      <c r="B3934" s="240" t="s">
        <v>291</v>
      </c>
      <c r="C3934" s="241" t="s">
        <v>3839</v>
      </c>
      <c r="D3934" s="242" t="s">
        <v>292</v>
      </c>
      <c r="E3934" s="243">
        <v>54.95</v>
      </c>
      <c r="F3934" s="517" t="s">
        <v>293</v>
      </c>
      <c r="G3934" s="232">
        <v>0</v>
      </c>
      <c r="H3934" s="661" t="str">
        <f>IF(G3934=0,"",IF(F3934="Buy",IF(G3934=1,"plant","plants"),IF(F3934&gt;0.01,"warranty","Error")))</f>
        <v/>
      </c>
      <c r="I3934" s="244">
        <f>IF(H3934="free",0,IF(H3934="credit",((E3934*(F3934))*G3934*-1),IF(F3934="Buy",(E3934*G3934),((E3934*(1-F3934))*G3934))))</f>
        <v>0</v>
      </c>
      <c r="J3934" s="244">
        <f>IF(H3934="warranty",0,(I3934*(_xlfn.SINGLE(SalesTaxPercentage))))</f>
        <v>0</v>
      </c>
      <c r="K3934" s="696">
        <f t="shared" ref="K3934" si="3035">I3934+J3934</f>
        <v>0</v>
      </c>
      <c r="L3934" s="696"/>
      <c r="M3934" s="659" t="str">
        <f>IF(AND(G3934&gt;0,E3934=0),"WARNING - no PRICE inserted",IF(H3934="free"," FREE ~ no charge this plant",IF(H3934="credit",CONCATENATE(" -$",ROUND(K3934*(1-T2GDiscount)*-1,2)," CREDIT after discount"),IF(T2GDiscount=0,"",IF(G3934=0,"",IF(F3934="Buy",CONCATENATE(" $",ROUND(K3934*(1-T2GDiscount),2)," with ",(T2GDiscount*100),"% discount"),CONCATENATE(" $",ROUND(K3934*(1-T2GDiscount),2)," with ",((T2GDiscount*100+F3934*100)-(T2GDiscount*100*F3934)),IF(F3934&gt;0,"% discounts",IF(NoWarrantyDiscount&gt;0,"% discounts","% discount")))))))))</f>
        <v/>
      </c>
      <c r="N3934" s="660"/>
      <c r="O3934" s="233"/>
      <c r="P3934" s="233"/>
      <c r="Q3934" s="233"/>
      <c r="R3934" s="233"/>
      <c r="S3934" s="233"/>
      <c r="T3934" s="508">
        <f t="shared" si="3016"/>
        <v>0</v>
      </c>
      <c r="U3934" s="225">
        <f>IF(NOT(ISNUMBER(G3934)), "", VLOOKUP(A3934,'Discount Lookup'!D:E,2,FALSE)*G3934)</f>
        <v>0</v>
      </c>
      <c r="V3934" s="225">
        <f>IF(NOT(ISNUMBER(G3934)), "", VLOOKUP(A3934,'Discount Lookup'!G:H,2,FALSE)*G3934)</f>
        <v>0</v>
      </c>
      <c r="W3934" s="508">
        <f t="shared" si="3017"/>
        <v>0</v>
      </c>
      <c r="X3934" s="508">
        <f t="shared" si="3018"/>
        <v>0</v>
      </c>
      <c r="Y3934" s="509" t="b">
        <f t="shared" si="3019"/>
        <v>0</v>
      </c>
      <c r="Z3934" s="510">
        <f t="shared" si="3020"/>
        <v>0</v>
      </c>
      <c r="AA3934" s="511"/>
      <c r="AB3934" s="511" t="str">
        <f t="shared" si="3021"/>
        <v/>
      </c>
      <c r="AC3934" s="698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698"/>
      <c r="AE3934" s="631" t="str">
        <f t="shared" si="3022"/>
        <v/>
      </c>
      <c r="AF3934" s="699" t="str">
        <f t="shared" si="3023"/>
        <v/>
      </c>
      <c r="AG3934" s="699"/>
      <c r="AH3934" s="699"/>
      <c r="AI3934" s="512">
        <f>IF(H3934="credit",0,IF(AE3934="free",0,IF(AE3934="me",0,IF(G3934&gt;0,(VLOOKUP(A3934,'Discount Lookup'!J:K,2)*G3934),0))))</f>
        <v>0</v>
      </c>
      <c r="AJ3934" s="513" t="str">
        <f t="shared" ca="1" si="3024"/>
        <v/>
      </c>
      <c r="AK3934" s="700" t="str">
        <f t="shared" si="3025"/>
        <v/>
      </c>
      <c r="AL3934" s="700"/>
      <c r="AM3934" s="505" t="str">
        <f t="shared" si="3026"/>
        <v/>
      </c>
      <c r="AN3934" s="506"/>
      <c r="AO3934" s="507"/>
      <c r="AP3934" s="507"/>
      <c r="AQ3934" s="507"/>
      <c r="AR3934" s="507"/>
      <c r="AS3934" s="507"/>
      <c r="AT3934" s="507"/>
      <c r="AU3934" s="507"/>
      <c r="AV3934" s="225"/>
      <c r="AW3934" s="508"/>
      <c r="AX3934" s="225"/>
      <c r="AY3934" s="225"/>
      <c r="AZ3934" s="225"/>
      <c r="BA3934" s="225"/>
      <c r="BB3934" s="225"/>
      <c r="BC3934" s="56"/>
      <c r="BD3934" s="56"/>
      <c r="BE3934" s="56"/>
      <c r="BF3934" s="107" t="str">
        <f t="shared" si="3027"/>
        <v>https://www.google.com/search?tbm=isch&amp;q=3%20G4</v>
      </c>
      <c r="BG3934" s="107" t="str">
        <f t="shared" si="3028"/>
        <v>V</v>
      </c>
      <c r="BH3934" s="254"/>
      <c r="BI3934" s="254"/>
    </row>
    <row r="3935" spans="1:61" customFormat="1" ht="17.25" thickBot="1" x14ac:dyDescent="0.3">
      <c r="A3935" s="524" t="s">
        <v>3243</v>
      </c>
      <c r="B3935" s="245"/>
      <c r="C3935" s="677"/>
      <c r="D3935" s="499"/>
      <c r="E3935" s="499"/>
      <c r="F3935" s="500"/>
      <c r="G3935" s="501"/>
      <c r="H3935" s="502"/>
      <c r="I3935" s="246"/>
      <c r="J3935" s="247"/>
      <c r="K3935" s="503"/>
      <c r="L3935" s="544"/>
      <c r="M3935" s="544"/>
      <c r="N3935" s="500"/>
      <c r="O3935" s="500"/>
      <c r="P3935" s="500"/>
      <c r="Q3935" s="500"/>
      <c r="R3935" s="500"/>
      <c r="S3935" s="669" t="s">
        <v>4980</v>
      </c>
      <c r="T3935" s="508">
        <f t="shared" si="3016"/>
        <v>0</v>
      </c>
      <c r="U3935" s="225" t="str">
        <f>IF(NOT(ISNUMBER(G3935)), "", VLOOKUP(A3935,'Discount Lookup'!D:E,2,FALSE)*G3935)</f>
        <v/>
      </c>
      <c r="V3935" s="225" t="str">
        <f>IF(NOT(ISNUMBER(G3935)), "", VLOOKUP(A3935,'Discount Lookup'!G:H,2,FALSE)*G3935)</f>
        <v/>
      </c>
      <c r="W3935" s="508">
        <f t="shared" si="3017"/>
        <v>0</v>
      </c>
      <c r="X3935" s="508">
        <f t="shared" si="3018"/>
        <v>0</v>
      </c>
      <c r="Y3935" s="509" t="b">
        <f t="shared" si="3019"/>
        <v>0</v>
      </c>
      <c r="Z3935" s="510">
        <f t="shared" si="3020"/>
        <v>0</v>
      </c>
      <c r="AA3935" s="511"/>
      <c r="AB3935" s="511" t="str">
        <f t="shared" si="3021"/>
        <v/>
      </c>
      <c r="AC3935" s="698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698"/>
      <c r="AE3935" s="631" t="str">
        <f t="shared" si="3022"/>
        <v/>
      </c>
      <c r="AF3935" s="699" t="str">
        <f t="shared" si="3023"/>
        <v/>
      </c>
      <c r="AG3935" s="699"/>
      <c r="AH3935" s="699"/>
      <c r="AI3935" s="512">
        <f>IF(H3935="credit",0,IF(AE3935="free",0,IF(AE3935="me",0,IF(G3935&gt;0,(VLOOKUP(A3935,'Discount Lookup'!J:K,2)*G3935),0))))</f>
        <v>0</v>
      </c>
      <c r="AJ3935" s="513" t="str">
        <f t="shared" ca="1" si="3024"/>
        <v/>
      </c>
      <c r="AK3935" s="700" t="str">
        <f t="shared" si="3025"/>
        <v/>
      </c>
      <c r="AL3935" s="700"/>
      <c r="AM3935" s="505" t="str">
        <f t="shared" si="3026"/>
        <v/>
      </c>
      <c r="AN3935" s="506"/>
      <c r="AO3935" s="507"/>
      <c r="AP3935" s="507"/>
      <c r="AQ3935" s="507"/>
      <c r="AR3935" s="507"/>
      <c r="AS3935" s="507"/>
      <c r="AT3935" s="507"/>
      <c r="AU3935" s="507"/>
      <c r="AV3935" s="225"/>
      <c r="AW3935" s="508"/>
      <c r="AX3935" s="225"/>
      <c r="AY3935" s="225"/>
      <c r="AZ3935" s="225"/>
      <c r="BA3935" s="225"/>
      <c r="BB3935" s="225"/>
      <c r="BC3935" s="56"/>
      <c r="BD3935" s="56"/>
      <c r="BE3935" s="56"/>
      <c r="BF3935" s="107" t="str">
        <f t="shared" si="3027"/>
        <v>https://www.google.com/search?tbm=isch&amp;q=Venus%20is%20a%20vigorous%20grower%2C%20is%20rather%20disease%20resistant%2C%20and%20has%20very%20large%20flowers.%20Decorative%20red%20fruit%20in%20the%20fall%20</v>
      </c>
      <c r="BG3935" s="107" t="str">
        <f t="shared" si="3028"/>
        <v>V</v>
      </c>
      <c r="BH3935" s="254"/>
      <c r="BI3935" s="254"/>
    </row>
    <row r="3936" spans="1:61" customFormat="1" ht="18" x14ac:dyDescent="0.25">
      <c r="A3936" s="521" t="s">
        <v>1976</v>
      </c>
      <c r="B3936" s="477"/>
      <c r="C3936" s="674"/>
      <c r="D3936" s="478" t="s">
        <v>1977</v>
      </c>
      <c r="E3936" s="479"/>
      <c r="F3936" s="479"/>
      <c r="G3936" s="479"/>
      <c r="H3936" s="582" t="s">
        <v>1879</v>
      </c>
      <c r="I3936" s="480" t="s">
        <v>2293</v>
      </c>
      <c r="J3936" s="479"/>
      <c r="K3936" s="479"/>
      <c r="L3936" s="560"/>
      <c r="M3936" s="666" t="s">
        <v>4966</v>
      </c>
      <c r="N3936" s="680" t="str">
        <f>IF(AND(ISTEXT($A3936), ISERROR($A3936+0)), HYPERLINK($BF3936, "Images"), "")</f>
        <v>Images</v>
      </c>
      <c r="O3936" s="662" t="s">
        <v>4967</v>
      </c>
      <c r="P3936" s="482"/>
      <c r="Q3936" s="483"/>
      <c r="R3936" s="483"/>
      <c r="S3936" s="484"/>
      <c r="T3936" s="508">
        <f t="shared" si="3016"/>
        <v>0</v>
      </c>
      <c r="U3936" s="225" t="str">
        <f>IF(NOT(ISNUMBER(G3936)), "", VLOOKUP(A3936,'Discount Lookup'!D:E,2,FALSE)*G3936)</f>
        <v/>
      </c>
      <c r="V3936" s="225" t="str">
        <f>IF(NOT(ISNUMBER(G3936)), "", VLOOKUP(A3936,'Discount Lookup'!G:H,2,FALSE)*G3936)</f>
        <v/>
      </c>
      <c r="W3936" s="508">
        <f t="shared" si="3017"/>
        <v>0</v>
      </c>
      <c r="X3936" s="508" t="str">
        <f t="shared" si="3018"/>
        <v>Golden-Yellow foliage</v>
      </c>
      <c r="Y3936" s="509" t="b">
        <f t="shared" si="3019"/>
        <v>0</v>
      </c>
      <c r="Z3936" s="510">
        <f t="shared" si="3020"/>
        <v>0</v>
      </c>
      <c r="AA3936" s="511"/>
      <c r="AB3936" s="511" t="str">
        <f t="shared" si="3021"/>
        <v/>
      </c>
      <c r="AC3936" s="698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698"/>
      <c r="AE3936" s="631" t="str">
        <f t="shared" si="3022"/>
        <v/>
      </c>
      <c r="AF3936" s="699" t="str">
        <f t="shared" si="3023"/>
        <v/>
      </c>
      <c r="AG3936" s="699"/>
      <c r="AH3936" s="699"/>
      <c r="AI3936" s="512">
        <f>IF(H3936="credit",0,IF(AE3936="free",0,IF(AE3936="me",0,IF(G3936&gt;0,(VLOOKUP(A3936,'Discount Lookup'!J:K,2)*G3936),0))))</f>
        <v>0</v>
      </c>
      <c r="AJ3936" s="513" t="str">
        <f t="shared" ca="1" si="3024"/>
        <v/>
      </c>
      <c r="AK3936" s="700" t="str">
        <f t="shared" si="3025"/>
        <v/>
      </c>
      <c r="AL3936" s="700"/>
      <c r="AM3936" s="505" t="str">
        <f t="shared" si="3026"/>
        <v/>
      </c>
      <c r="AN3936" s="506"/>
      <c r="AO3936" s="507"/>
      <c r="AP3936" s="507"/>
      <c r="AQ3936" s="507"/>
      <c r="AR3936" s="507"/>
      <c r="AS3936" s="507"/>
      <c r="AT3936" s="507"/>
      <c r="AU3936" s="507"/>
      <c r="AV3936" s="225"/>
      <c r="AW3936" s="508"/>
      <c r="AX3936" s="225"/>
      <c r="AY3936" s="225"/>
      <c r="AZ3936" s="225"/>
      <c r="BA3936" s="225"/>
      <c r="BB3936" s="225"/>
      <c r="BC3936" s="56"/>
      <c r="BD3936" s="56"/>
      <c r="BE3936" s="56"/>
      <c r="BF3936" s="107" t="str">
        <f t="shared" si="3027"/>
        <v>https://www.google.com/search?tbm=isch&amp;q=Verdoni%20Cypress%20Chamaecyparis%20obtusa%20%27Verdoni%27</v>
      </c>
      <c r="BG3936" s="107" t="str">
        <f t="shared" si="3028"/>
        <v>V</v>
      </c>
      <c r="BH3936" s="254"/>
      <c r="BI3936" s="254"/>
    </row>
    <row r="3937" spans="1:61" customFormat="1" ht="27" x14ac:dyDescent="0.25">
      <c r="A3937" s="485">
        <v>7</v>
      </c>
      <c r="B3937" s="486" t="s">
        <v>291</v>
      </c>
      <c r="C3937" s="487" t="s">
        <v>3840</v>
      </c>
      <c r="D3937" s="488" t="s">
        <v>292</v>
      </c>
      <c r="E3937" s="489">
        <v>155.94999999999999</v>
      </c>
      <c r="F3937" s="516" t="s">
        <v>293</v>
      </c>
      <c r="G3937" s="232">
        <v>0</v>
      </c>
      <c r="H3937" s="658" t="str">
        <f>IF(G3937=0,"",IF(F3937="Buy",IF(G3937=1,"plant","plants"),IF(F3937&gt;0.01,"warranty","Error")))</f>
        <v/>
      </c>
      <c r="I3937" s="490">
        <f>IF(H3937="free",0,IF(H3937="credit",((E3937*(F3937))*G3937*-1),IF(F3937="Buy",(E3937*G3937),((E3937*(1-F3937))*G3937))))</f>
        <v>0</v>
      </c>
      <c r="J3937" s="490">
        <f>IF(H3937="warranty",0,(I3937*(_xlfn.SINGLE(SalesTaxPercentage))))</f>
        <v>0</v>
      </c>
      <c r="K3937" s="695">
        <f t="shared" ref="K3937" si="3036">I3937+J3937</f>
        <v>0</v>
      </c>
      <c r="L3937" s="695"/>
      <c r="M3937" s="659" t="str">
        <f>IF(AND(G3937&gt;0,E3937=0),"WARNING - no PRICE inserted",IF(H3937="free"," FREE ~ no charge this plant",IF(H3937="credit",CONCATENATE(" -$",ROUND(K3937*(1-T2GDiscount)*-1,2)," CREDIT after discount"),IF(T2GDiscount=0,"",IF(G3937=0,"",IF(F3937="Buy",CONCATENATE(" $",ROUND(K3937*(1-T2GDiscount),2)," with ",(T2GDiscount*100),"% discount"),CONCATENATE(" $",ROUND(K3937*(1-T2GDiscount),2)," with ",((T2GDiscount*100+F3937*100)-(T2GDiscount*100*F3937)),IF(F3937&gt;0,"% discounts",IF(NoWarrantyDiscount&gt;0,"% discounts","% discount")))))))))</f>
        <v/>
      </c>
      <c r="N3937" s="660"/>
      <c r="O3937" s="233"/>
      <c r="P3937" s="233"/>
      <c r="Q3937" s="233"/>
      <c r="R3937" s="233"/>
      <c r="S3937" s="233"/>
      <c r="T3937" s="508">
        <f t="shared" si="3016"/>
        <v>0</v>
      </c>
      <c r="U3937" s="225">
        <f>IF(NOT(ISNUMBER(G3937)), "", VLOOKUP(A3937,'Discount Lookup'!D:E,2,FALSE)*G3937)</f>
        <v>0</v>
      </c>
      <c r="V3937" s="225">
        <f>IF(NOT(ISNUMBER(G3937)), "", VLOOKUP(A3937,'Discount Lookup'!G:H,2,FALSE)*G3937)</f>
        <v>0</v>
      </c>
      <c r="W3937" s="508">
        <f t="shared" si="3017"/>
        <v>0</v>
      </c>
      <c r="X3937" s="508">
        <f t="shared" si="3018"/>
        <v>0</v>
      </c>
      <c r="Y3937" s="509" t="b">
        <f t="shared" si="3019"/>
        <v>0</v>
      </c>
      <c r="Z3937" s="510">
        <f t="shared" si="3020"/>
        <v>0</v>
      </c>
      <c r="AA3937" s="511"/>
      <c r="AB3937" s="511" t="str">
        <f t="shared" si="3021"/>
        <v/>
      </c>
      <c r="AC3937" s="698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698"/>
      <c r="AE3937" s="631" t="str">
        <f t="shared" si="3022"/>
        <v/>
      </c>
      <c r="AF3937" s="699" t="str">
        <f t="shared" si="3023"/>
        <v/>
      </c>
      <c r="AG3937" s="699"/>
      <c r="AH3937" s="699"/>
      <c r="AI3937" s="512">
        <f>IF(H3937="credit",0,IF(AE3937="free",0,IF(AE3937="me",0,IF(G3937&gt;0,(VLOOKUP(A3937,'Discount Lookup'!J:K,2)*G3937),0))))</f>
        <v>0</v>
      </c>
      <c r="AJ3937" s="513" t="str">
        <f t="shared" ca="1" si="3024"/>
        <v/>
      </c>
      <c r="AK3937" s="700" t="str">
        <f t="shared" si="3025"/>
        <v/>
      </c>
      <c r="AL3937" s="700"/>
      <c r="AM3937" s="505" t="str">
        <f t="shared" si="3026"/>
        <v/>
      </c>
      <c r="AN3937" s="506"/>
      <c r="AO3937" s="507"/>
      <c r="AP3937" s="507"/>
      <c r="AQ3937" s="507"/>
      <c r="AR3937" s="507"/>
      <c r="AS3937" s="507"/>
      <c r="AT3937" s="507"/>
      <c r="AU3937" s="507"/>
      <c r="AV3937" s="225"/>
      <c r="AW3937" s="508"/>
      <c r="AX3937" s="225"/>
      <c r="AY3937" s="225"/>
      <c r="AZ3937" s="225"/>
      <c r="BA3937" s="225"/>
      <c r="BB3937" s="225"/>
      <c r="BC3937" s="56"/>
      <c r="BD3937" s="56"/>
      <c r="BE3937" s="56"/>
      <c r="BF3937" s="107" t="str">
        <f t="shared" si="3027"/>
        <v>https://www.google.com/search?tbm=isch&amp;q=7%20G4</v>
      </c>
      <c r="BG3937" s="107" t="str">
        <f t="shared" si="3028"/>
        <v>V</v>
      </c>
      <c r="BH3937" s="254"/>
      <c r="BI3937" s="254"/>
    </row>
    <row r="3938" spans="1:61" customFormat="1" ht="17.25" thickBot="1" x14ac:dyDescent="0.3">
      <c r="A3938" s="522" t="s">
        <v>2918</v>
      </c>
      <c r="B3938" s="491"/>
      <c r="C3938" s="675"/>
      <c r="D3938" s="491"/>
      <c r="E3938" s="491"/>
      <c r="F3938" s="492"/>
      <c r="G3938" s="493"/>
      <c r="H3938" s="491"/>
      <c r="I3938" s="234"/>
      <c r="J3938" s="234"/>
      <c r="K3938" s="494"/>
      <c r="L3938" s="543"/>
      <c r="M3938" s="561"/>
      <c r="N3938" s="495"/>
      <c r="O3938" s="496"/>
      <c r="P3938" s="497"/>
      <c r="Q3938" s="495"/>
      <c r="R3938" s="495"/>
      <c r="S3938" s="667" t="s">
        <v>4984</v>
      </c>
      <c r="T3938" s="508">
        <f t="shared" si="3016"/>
        <v>0</v>
      </c>
      <c r="U3938" s="225" t="str">
        <f>IF(NOT(ISNUMBER(G3938)), "", VLOOKUP(A3938,'Discount Lookup'!D:E,2,FALSE)*G3938)</f>
        <v/>
      </c>
      <c r="V3938" s="225" t="str">
        <f>IF(NOT(ISNUMBER(G3938)), "", VLOOKUP(A3938,'Discount Lookup'!G:H,2,FALSE)*G3938)</f>
        <v/>
      </c>
      <c r="W3938" s="508">
        <f t="shared" si="3017"/>
        <v>0</v>
      </c>
      <c r="X3938" s="508">
        <f t="shared" si="3018"/>
        <v>0</v>
      </c>
      <c r="Y3938" s="509" t="b">
        <f t="shared" si="3019"/>
        <v>0</v>
      </c>
      <c r="Z3938" s="510">
        <f t="shared" si="3020"/>
        <v>0</v>
      </c>
      <c r="AA3938" s="511"/>
      <c r="AB3938" s="511" t="str">
        <f t="shared" si="3021"/>
        <v/>
      </c>
      <c r="AC3938" s="698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698"/>
      <c r="AE3938" s="631" t="str">
        <f t="shared" si="3022"/>
        <v/>
      </c>
      <c r="AF3938" s="699" t="str">
        <f t="shared" si="3023"/>
        <v/>
      </c>
      <c r="AG3938" s="699"/>
      <c r="AH3938" s="699"/>
      <c r="AI3938" s="512">
        <f>IF(H3938="credit",0,IF(AE3938="free",0,IF(AE3938="me",0,IF(G3938&gt;0,(VLOOKUP(A3938,'Discount Lookup'!J:K,2)*G3938),0))))</f>
        <v>0</v>
      </c>
      <c r="AJ3938" s="513" t="str">
        <f t="shared" ca="1" si="3024"/>
        <v/>
      </c>
      <c r="AK3938" s="700" t="str">
        <f t="shared" si="3025"/>
        <v/>
      </c>
      <c r="AL3938" s="700"/>
      <c r="AM3938" s="505" t="str">
        <f t="shared" si="3026"/>
        <v/>
      </c>
      <c r="AN3938" s="506"/>
      <c r="AO3938" s="507"/>
      <c r="AP3938" s="507"/>
      <c r="AQ3938" s="507"/>
      <c r="AR3938" s="507"/>
      <c r="AS3938" s="507"/>
      <c r="AT3938" s="507"/>
      <c r="AU3938" s="507"/>
      <c r="AV3938" s="225"/>
      <c r="AW3938" s="508"/>
      <c r="AX3938" s="225"/>
      <c r="AY3938" s="225"/>
      <c r="AZ3938" s="225"/>
      <c r="BA3938" s="225"/>
      <c r="BB3938" s="225"/>
      <c r="BC3938" s="56"/>
      <c r="BD3938" s="56"/>
      <c r="BE3938" s="56"/>
      <c r="BF3938" s="107" t="str">
        <f t="shared" si="3027"/>
        <v>https://www.google.com/search?tbm=isch&amp;q=Verdoni%20Cypress%20forms%20a%20dense%2C%20conical%20shape%20with%20vivid%20Golden%20foliage%20that%20holds%20its%20color%20well%2C%20with%20a%20Bronze%20winter%20cast%20</v>
      </c>
      <c r="BG3938" s="107" t="str">
        <f t="shared" si="3028"/>
        <v>V</v>
      </c>
      <c r="BH3938" s="254"/>
      <c r="BI3938" s="254"/>
    </row>
    <row r="3939" spans="1:61" customFormat="1" ht="18" x14ac:dyDescent="0.25">
      <c r="A3939" s="523" t="s">
        <v>5630</v>
      </c>
      <c r="B3939" s="235"/>
      <c r="C3939" s="676"/>
      <c r="D3939" s="255" t="s">
        <v>1978</v>
      </c>
      <c r="E3939" s="236"/>
      <c r="F3939" s="236"/>
      <c r="G3939" s="236"/>
      <c r="H3939" s="582" t="s">
        <v>441</v>
      </c>
      <c r="I3939" s="498" t="s">
        <v>3195</v>
      </c>
      <c r="J3939" s="237"/>
      <c r="K3939" s="237"/>
      <c r="L3939" s="274"/>
      <c r="M3939" s="668" t="s">
        <v>4962</v>
      </c>
      <c r="N3939" s="681" t="str">
        <f>IF(AND(ISTEXT($A3939), ISERROR($A3939+0)), HYPERLINK($BF3939, "Images"), "")</f>
        <v>Images</v>
      </c>
      <c r="O3939" s="663" t="s">
        <v>4967</v>
      </c>
      <c r="P3939" s="253"/>
      <c r="Q3939" s="238"/>
      <c r="R3939" s="239"/>
      <c r="S3939" s="275"/>
      <c r="T3939" s="508">
        <f t="shared" si="3016"/>
        <v>0</v>
      </c>
      <c r="U3939" s="225" t="str">
        <f>IF(NOT(ISNUMBER(G3939)), "", VLOOKUP(A3939,'Discount Lookup'!D:E,2,FALSE)*G3939)</f>
        <v/>
      </c>
      <c r="V3939" s="225" t="str">
        <f>IF(NOT(ISNUMBER(G3939)), "", VLOOKUP(A3939,'Discount Lookup'!G:H,2,FALSE)*G3939)</f>
        <v/>
      </c>
      <c r="W3939" s="508">
        <f t="shared" si="3017"/>
        <v>0</v>
      </c>
      <c r="X3939" s="508" t="str">
        <f t="shared" si="3018"/>
        <v>Red-Pink to Magenta bloom</v>
      </c>
      <c r="Y3939" s="509" t="b">
        <f t="shared" si="3019"/>
        <v>0</v>
      </c>
      <c r="Z3939" s="510">
        <f t="shared" si="3020"/>
        <v>0</v>
      </c>
      <c r="AA3939" s="511"/>
      <c r="AB3939" s="511" t="str">
        <f t="shared" si="3021"/>
        <v/>
      </c>
      <c r="AC3939" s="698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698"/>
      <c r="AE3939" s="631" t="str">
        <f t="shared" si="3022"/>
        <v/>
      </c>
      <c r="AF3939" s="699" t="str">
        <f t="shared" si="3023"/>
        <v/>
      </c>
      <c r="AG3939" s="699"/>
      <c r="AH3939" s="699"/>
      <c r="AI3939" s="512">
        <f>IF(H3939="credit",0,IF(AE3939="free",0,IF(AE3939="me",0,IF(G3939&gt;0,(VLOOKUP(A3939,'Discount Lookup'!J:K,2)*G3939),0))))</f>
        <v>0</v>
      </c>
      <c r="AJ3939" s="513" t="str">
        <f t="shared" ca="1" si="3024"/>
        <v/>
      </c>
      <c r="AK3939" s="700" t="str">
        <f t="shared" si="3025"/>
        <v/>
      </c>
      <c r="AL3939" s="700"/>
      <c r="AM3939" s="505" t="str">
        <f t="shared" si="3026"/>
        <v/>
      </c>
      <c r="AN3939" s="506"/>
      <c r="AO3939" s="507"/>
      <c r="AP3939" s="507"/>
      <c r="AQ3939" s="507"/>
      <c r="AR3939" s="507"/>
      <c r="AS3939" s="507"/>
      <c r="AT3939" s="507"/>
      <c r="AU3939" s="507"/>
      <c r="AV3939" s="225"/>
      <c r="AW3939" s="508"/>
      <c r="AX3939" s="225"/>
      <c r="AY3939" s="225"/>
      <c r="AZ3939" s="225"/>
      <c r="BA3939" s="225"/>
      <c r="BB3939" s="225"/>
      <c r="BC3939" s="56"/>
      <c r="BD3939" s="56"/>
      <c r="BE3939" s="56"/>
      <c r="BF3939" s="107" t="str">
        <f t="shared" si="3027"/>
        <v>https://www.google.com/search?tbm=isch&amp;q=Vinho%20Verde%C2%AE%20Weigela%20%28PW%C2%AE%29%20Weigela%20florida%20%27SMNWFBGV%27%20PP%2334297</v>
      </c>
      <c r="BG3939" s="107" t="str">
        <f t="shared" si="3028"/>
        <v>V</v>
      </c>
      <c r="BH3939" s="254"/>
      <c r="BI3939" s="254"/>
    </row>
    <row r="3940" spans="1:61" customFormat="1" ht="15.75" x14ac:dyDescent="0.25">
      <c r="A3940" s="276">
        <v>3</v>
      </c>
      <c r="B3940" s="240" t="s">
        <v>291</v>
      </c>
      <c r="C3940" s="241" t="s">
        <v>3276</v>
      </c>
      <c r="D3940" s="242" t="s">
        <v>312</v>
      </c>
      <c r="E3940" s="243">
        <v>40.950000000000003</v>
      </c>
      <c r="F3940" s="517" t="s">
        <v>293</v>
      </c>
      <c r="G3940" s="232">
        <v>0</v>
      </c>
      <c r="H3940" s="661" t="str">
        <f>IF(G3940=0,"",IF(F3940="Buy",IF(G3940=1,"plant","plants"),IF(F3940&gt;0.01,"warranty","Error")))</f>
        <v/>
      </c>
      <c r="I3940" s="244">
        <f>IF(H3940="free",0,IF(H3940="credit",((E3940*(F3940))*G3940*-1),IF(F3940="Buy",(E3940*G3940),((E3940*(1-F3940))*G3940))))</f>
        <v>0</v>
      </c>
      <c r="J3940" s="244">
        <f>IF(H3940="warranty",0,(I3940*(_xlfn.SINGLE(SalesTaxPercentage))))</f>
        <v>0</v>
      </c>
      <c r="K3940" s="696">
        <f t="shared" ref="K3940" si="3037">I3940+J3940</f>
        <v>0</v>
      </c>
      <c r="L3940" s="696"/>
      <c r="M3940" s="659" t="str">
        <f>IF(AND(G3940&gt;0,E3940=0),"WARNING - no PRICE inserted",IF(H3940="free"," FREE ~ no charge this plant",IF(H3940="credit",CONCATENATE(" -$",ROUND(K3940*(1-T2GDiscount)*-1,2)," CREDIT after discount"),IF(T2GDiscount=0,"",IF(G3940=0,"",IF(F3940="Buy",CONCATENATE(" $",ROUND(K3940*(1-T2GDiscount),2)," with ",(T2GDiscount*100),"% discount"),CONCATENATE(" $",ROUND(K3940*(1-T2GDiscount),2)," with ",((T2GDiscount*100+F3940*100)-(T2GDiscount*100*F3940)),IF(F3940&gt;0,"% discounts",IF(NoWarrantyDiscount&gt;0,"% discounts","% discount")))))))))</f>
        <v/>
      </c>
      <c r="N3940" s="660"/>
      <c r="O3940" s="233"/>
      <c r="P3940" s="233"/>
      <c r="Q3940" s="233"/>
      <c r="R3940" s="233"/>
      <c r="S3940" s="233"/>
      <c r="T3940" s="508">
        <f t="shared" si="3016"/>
        <v>0</v>
      </c>
      <c r="U3940" s="225">
        <f>IF(NOT(ISNUMBER(G3940)), "", VLOOKUP(A3940,'Discount Lookup'!D:E,2,FALSE)*G3940)</f>
        <v>0</v>
      </c>
      <c r="V3940" s="225">
        <f>IF(NOT(ISNUMBER(G3940)), "", VLOOKUP(A3940,'Discount Lookup'!G:H,2,FALSE)*G3940)</f>
        <v>0</v>
      </c>
      <c r="W3940" s="508">
        <f t="shared" si="3017"/>
        <v>0</v>
      </c>
      <c r="X3940" s="508">
        <f t="shared" si="3018"/>
        <v>0</v>
      </c>
      <c r="Y3940" s="509" t="b">
        <f t="shared" si="3019"/>
        <v>0</v>
      </c>
      <c r="Z3940" s="510">
        <f t="shared" si="3020"/>
        <v>0</v>
      </c>
      <c r="AA3940" s="511"/>
      <c r="AB3940" s="511" t="str">
        <f t="shared" si="3021"/>
        <v/>
      </c>
      <c r="AC3940" s="698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698"/>
      <c r="AE3940" s="631" t="str">
        <f t="shared" si="3022"/>
        <v/>
      </c>
      <c r="AF3940" s="699" t="str">
        <f t="shared" si="3023"/>
        <v/>
      </c>
      <c r="AG3940" s="699"/>
      <c r="AH3940" s="699"/>
      <c r="AI3940" s="512">
        <f>IF(H3940="credit",0,IF(AE3940="free",0,IF(AE3940="me",0,IF(G3940&gt;0,(VLOOKUP(A3940,'Discount Lookup'!J:K,2)*G3940),0))))</f>
        <v>0</v>
      </c>
      <c r="AJ3940" s="513" t="str">
        <f t="shared" ca="1" si="3024"/>
        <v/>
      </c>
      <c r="AK3940" s="700" t="str">
        <f t="shared" si="3025"/>
        <v/>
      </c>
      <c r="AL3940" s="700"/>
      <c r="AM3940" s="505" t="str">
        <f t="shared" si="3026"/>
        <v/>
      </c>
      <c r="AN3940" s="506"/>
      <c r="AO3940" s="507"/>
      <c r="AP3940" s="507"/>
      <c r="AQ3940" s="507"/>
      <c r="AR3940" s="507"/>
      <c r="AS3940" s="507"/>
      <c r="AT3940" s="507"/>
      <c r="AU3940" s="507"/>
      <c r="AV3940" s="225"/>
      <c r="AW3940" s="508"/>
      <c r="AX3940" s="225"/>
      <c r="AY3940" s="225"/>
      <c r="AZ3940" s="225"/>
      <c r="BA3940" s="225"/>
      <c r="BB3940" s="225"/>
      <c r="BC3940" s="56"/>
      <c r="BD3940" s="56"/>
      <c r="BE3940" s="56"/>
      <c r="BF3940" s="107" t="str">
        <f t="shared" si="3027"/>
        <v>https://www.google.com/search?tbm=isch&amp;q=3%20G2</v>
      </c>
      <c r="BG3940" s="107" t="str">
        <f t="shared" si="3028"/>
        <v>V</v>
      </c>
      <c r="BH3940" s="254"/>
      <c r="BI3940" s="254"/>
    </row>
    <row r="3941" spans="1:61" customFormat="1" ht="17.25" thickBot="1" x14ac:dyDescent="0.3">
      <c r="A3941" s="524" t="s">
        <v>4581</v>
      </c>
      <c r="B3941" s="245"/>
      <c r="C3941" s="677"/>
      <c r="D3941" s="499"/>
      <c r="E3941" s="499"/>
      <c r="F3941" s="500"/>
      <c r="G3941" s="501"/>
      <c r="H3941" s="502"/>
      <c r="I3941" s="246"/>
      <c r="J3941" s="247"/>
      <c r="K3941" s="503"/>
      <c r="L3941" s="544"/>
      <c r="M3941" s="544"/>
      <c r="N3941" s="500"/>
      <c r="O3941" s="500"/>
      <c r="P3941" s="500"/>
      <c r="Q3941" s="500"/>
      <c r="R3941" s="500"/>
      <c r="S3941" s="669" t="s">
        <v>5011</v>
      </c>
      <c r="T3941" s="508">
        <f t="shared" si="3016"/>
        <v>0</v>
      </c>
      <c r="U3941" s="225" t="str">
        <f>IF(NOT(ISNUMBER(G3941)), "", VLOOKUP(A3941,'Discount Lookup'!D:E,2,FALSE)*G3941)</f>
        <v/>
      </c>
      <c r="V3941" s="225" t="str">
        <f>IF(NOT(ISNUMBER(G3941)), "", VLOOKUP(A3941,'Discount Lookup'!G:H,2,FALSE)*G3941)</f>
        <v/>
      </c>
      <c r="W3941" s="508">
        <f t="shared" si="3017"/>
        <v>0</v>
      </c>
      <c r="X3941" s="508">
        <f t="shared" si="3018"/>
        <v>0</v>
      </c>
      <c r="Y3941" s="509" t="b">
        <f t="shared" si="3019"/>
        <v>0</v>
      </c>
      <c r="Z3941" s="510">
        <f t="shared" si="3020"/>
        <v>0</v>
      </c>
      <c r="AA3941" s="511"/>
      <c r="AB3941" s="511" t="str">
        <f t="shared" si="3021"/>
        <v/>
      </c>
      <c r="AC3941" s="698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698"/>
      <c r="AE3941" s="631" t="str">
        <f t="shared" si="3022"/>
        <v/>
      </c>
      <c r="AF3941" s="699" t="str">
        <f t="shared" si="3023"/>
        <v/>
      </c>
      <c r="AG3941" s="699"/>
      <c r="AH3941" s="699"/>
      <c r="AI3941" s="512">
        <f>IF(H3941="credit",0,IF(AE3941="free",0,IF(AE3941="me",0,IF(G3941&gt;0,(VLOOKUP(A3941,'Discount Lookup'!J:K,2)*G3941),0))))</f>
        <v>0</v>
      </c>
      <c r="AJ3941" s="513" t="str">
        <f t="shared" ca="1" si="3024"/>
        <v/>
      </c>
      <c r="AK3941" s="700" t="str">
        <f t="shared" si="3025"/>
        <v/>
      </c>
      <c r="AL3941" s="700"/>
      <c r="AM3941" s="505" t="str">
        <f t="shared" si="3026"/>
        <v/>
      </c>
      <c r="AN3941" s="506"/>
      <c r="AO3941" s="507"/>
      <c r="AP3941" s="507"/>
      <c r="AQ3941" s="507"/>
      <c r="AR3941" s="507"/>
      <c r="AS3941" s="507"/>
      <c r="AT3941" s="507"/>
      <c r="AU3941" s="507"/>
      <c r="AV3941" s="225"/>
      <c r="AW3941" s="508"/>
      <c r="AX3941" s="225"/>
      <c r="AY3941" s="225"/>
      <c r="AZ3941" s="225"/>
      <c r="BA3941" s="225"/>
      <c r="BB3941" s="225"/>
      <c r="BC3941" s="56"/>
      <c r="BD3941" s="56"/>
      <c r="BE3941" s="56"/>
      <c r="BF3941" s="107" t="str">
        <f t="shared" si="3027"/>
        <v>https://www.google.com/search?tbm=isch&amp;q=Vinho%20Verde%20known%20for%20Lime%20Green%20foliage%2C%20edged%20with%20Near-Black%20margins%2C%20all%20the%20way%20to%20leaf%20drop.%20Minimal%20blooming%20</v>
      </c>
      <c r="BG3941" s="107" t="str">
        <f t="shared" si="3028"/>
        <v>V</v>
      </c>
      <c r="BH3941" s="254"/>
      <c r="BI3941" s="254"/>
    </row>
    <row r="3942" spans="1:61" customFormat="1" ht="18" x14ac:dyDescent="0.25">
      <c r="A3942" s="521" t="s">
        <v>1979</v>
      </c>
      <c r="B3942" s="477"/>
      <c r="C3942" s="674"/>
      <c r="D3942" s="478" t="s">
        <v>1980</v>
      </c>
      <c r="E3942" s="479"/>
      <c r="F3942" s="479"/>
      <c r="G3942" s="479"/>
      <c r="H3942" s="582" t="s">
        <v>483</v>
      </c>
      <c r="I3942" s="480" t="s">
        <v>2293</v>
      </c>
      <c r="J3942" s="479"/>
      <c r="K3942" s="479"/>
      <c r="L3942" s="560"/>
      <c r="M3942" s="666" t="s">
        <v>4966</v>
      </c>
      <c r="N3942" s="680" t="str">
        <f>IF(AND(ISTEXT($A3942), ISERROR($A3942+0)), HYPERLINK($BF3942, "Images"), "")</f>
        <v>Images</v>
      </c>
      <c r="O3942" s="662" t="s">
        <v>4967</v>
      </c>
      <c r="P3942" s="482"/>
      <c r="Q3942" s="483"/>
      <c r="R3942" s="483"/>
      <c r="S3942" s="484"/>
      <c r="T3942" s="508">
        <f t="shared" si="3016"/>
        <v>0</v>
      </c>
      <c r="U3942" s="225" t="str">
        <f>IF(NOT(ISNUMBER(G3942)), "", VLOOKUP(A3942,'Discount Lookup'!D:E,2,FALSE)*G3942)</f>
        <v/>
      </c>
      <c r="V3942" s="225" t="str">
        <f>IF(NOT(ISNUMBER(G3942)), "", VLOOKUP(A3942,'Discount Lookup'!G:H,2,FALSE)*G3942)</f>
        <v/>
      </c>
      <c r="W3942" s="508">
        <f t="shared" si="3017"/>
        <v>0</v>
      </c>
      <c r="X3942" s="508" t="str">
        <f t="shared" si="3018"/>
        <v>Golden-Yellow foliage</v>
      </c>
      <c r="Y3942" s="509" t="b">
        <f t="shared" si="3019"/>
        <v>0</v>
      </c>
      <c r="Z3942" s="510">
        <f t="shared" si="3020"/>
        <v>0</v>
      </c>
      <c r="AA3942" s="511"/>
      <c r="AB3942" s="511" t="str">
        <f t="shared" si="3021"/>
        <v/>
      </c>
      <c r="AC3942" s="698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698"/>
      <c r="AE3942" s="631" t="str">
        <f t="shared" si="3022"/>
        <v/>
      </c>
      <c r="AF3942" s="699" t="str">
        <f t="shared" si="3023"/>
        <v/>
      </c>
      <c r="AG3942" s="699"/>
      <c r="AH3942" s="699"/>
      <c r="AI3942" s="512">
        <f>IF(H3942="credit",0,IF(AE3942="free",0,IF(AE3942="me",0,IF(G3942&gt;0,(VLOOKUP(A3942,'Discount Lookup'!J:K,2)*G3942),0))))</f>
        <v>0</v>
      </c>
      <c r="AJ3942" s="513" t="str">
        <f t="shared" ca="1" si="3024"/>
        <v/>
      </c>
      <c r="AK3942" s="700" t="str">
        <f t="shared" si="3025"/>
        <v/>
      </c>
      <c r="AL3942" s="700"/>
      <c r="AM3942" s="505" t="str">
        <f t="shared" si="3026"/>
        <v/>
      </c>
      <c r="AN3942" s="506"/>
      <c r="AO3942" s="507"/>
      <c r="AP3942" s="507"/>
      <c r="AQ3942" s="507"/>
      <c r="AR3942" s="507"/>
      <c r="AS3942" s="507"/>
      <c r="AT3942" s="507"/>
      <c r="AU3942" s="507"/>
      <c r="AV3942" s="225"/>
      <c r="AW3942" s="508"/>
      <c r="AX3942" s="225"/>
      <c r="AY3942" s="225"/>
      <c r="AZ3942" s="225"/>
      <c r="BA3942" s="225"/>
      <c r="BB3942" s="225"/>
      <c r="BC3942" s="56"/>
      <c r="BD3942" s="56"/>
      <c r="BE3942" s="56"/>
      <c r="BF3942" s="107" t="str">
        <f t="shared" si="3027"/>
        <v>https://www.google.com/search?tbm=isch&amp;q=Vintage%20Gold%20Cypress%20Chamaecyparis%20pisifera%20%27Vintage%20Gold%27%20PP%2316418</v>
      </c>
      <c r="BG3942" s="107" t="str">
        <f t="shared" si="3028"/>
        <v>V</v>
      </c>
      <c r="BH3942" s="254"/>
      <c r="BI3942" s="254"/>
    </row>
    <row r="3943" spans="1:61" customFormat="1" ht="15.75" x14ac:dyDescent="0.25">
      <c r="A3943" s="485">
        <v>3</v>
      </c>
      <c r="B3943" s="486" t="s">
        <v>291</v>
      </c>
      <c r="C3943" s="487" t="s">
        <v>329</v>
      </c>
      <c r="D3943" s="488" t="s">
        <v>298</v>
      </c>
      <c r="E3943" s="489">
        <v>27.95</v>
      </c>
      <c r="F3943" s="516" t="s">
        <v>293</v>
      </c>
      <c r="G3943" s="232">
        <v>0</v>
      </c>
      <c r="H3943" s="658" t="str">
        <f>IF(G3943=0,"",IF(F3943="Buy",IF(G3943=1,"plant","plants"),IF(F3943&gt;0.01,"warranty","Error")))</f>
        <v/>
      </c>
      <c r="I3943" s="490">
        <f>IF(H3943="free",0,IF(H3943="credit",((E3943*(F3943))*G3943*-1),IF(F3943="Buy",(E3943*G3943),((E3943*(1-F3943))*G3943))))</f>
        <v>0</v>
      </c>
      <c r="J3943" s="490">
        <f>IF(H3943="warranty",0,(I3943*(_xlfn.SINGLE(SalesTaxPercentage))))</f>
        <v>0</v>
      </c>
      <c r="K3943" s="695">
        <f t="shared" ref="K3943" si="3038">I3943+J3943</f>
        <v>0</v>
      </c>
      <c r="L3943" s="695"/>
      <c r="M3943" s="659" t="str">
        <f>IF(AND(G3943&gt;0,E3943=0),"WARNING - no PRICE inserted",IF(H3943="free"," FREE ~ no charge this plant",IF(H3943="credit",CONCATENATE(" -$",ROUND(K3943*(1-T2GDiscount)*-1,2)," CREDIT after discount"),IF(T2GDiscount=0,"",IF(G3943=0,"",IF(F3943="Buy",CONCATENATE(" $",ROUND(K3943*(1-T2GDiscount),2)," with ",(T2GDiscount*100),"% discount"),CONCATENATE(" $",ROUND(K3943*(1-T2GDiscount),2)," with ",((T2GDiscount*100+F3943*100)-(T2GDiscount*100*F3943)),IF(F3943&gt;0,"% discounts",IF(NoWarrantyDiscount&gt;0,"% discounts","% discount")))))))))</f>
        <v/>
      </c>
      <c r="N3943" s="660"/>
      <c r="O3943" s="233"/>
      <c r="P3943" s="233"/>
      <c r="Q3943" s="233"/>
      <c r="R3943" s="233"/>
      <c r="S3943" s="233"/>
      <c r="T3943" s="508">
        <f t="shared" si="3016"/>
        <v>0</v>
      </c>
      <c r="U3943" s="225">
        <f>IF(NOT(ISNUMBER(G3943)), "", VLOOKUP(A3943,'Discount Lookup'!D:E,2,FALSE)*G3943)</f>
        <v>0</v>
      </c>
      <c r="V3943" s="225">
        <f>IF(NOT(ISNUMBER(G3943)), "", VLOOKUP(A3943,'Discount Lookup'!G:H,2,FALSE)*G3943)</f>
        <v>0</v>
      </c>
      <c r="W3943" s="508">
        <f t="shared" si="3017"/>
        <v>0</v>
      </c>
      <c r="X3943" s="508">
        <f t="shared" si="3018"/>
        <v>0</v>
      </c>
      <c r="Y3943" s="509" t="b">
        <f t="shared" si="3019"/>
        <v>0</v>
      </c>
      <c r="Z3943" s="510">
        <f t="shared" si="3020"/>
        <v>0</v>
      </c>
      <c r="AA3943" s="511"/>
      <c r="AB3943" s="511" t="str">
        <f t="shared" si="3021"/>
        <v/>
      </c>
      <c r="AC3943" s="698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698"/>
      <c r="AE3943" s="631" t="str">
        <f t="shared" si="3022"/>
        <v/>
      </c>
      <c r="AF3943" s="699" t="str">
        <f t="shared" si="3023"/>
        <v/>
      </c>
      <c r="AG3943" s="699"/>
      <c r="AH3943" s="699"/>
      <c r="AI3943" s="512">
        <f>IF(H3943="credit",0,IF(AE3943="free",0,IF(AE3943="me",0,IF(G3943&gt;0,(VLOOKUP(A3943,'Discount Lookup'!J:K,2)*G3943),0))))</f>
        <v>0</v>
      </c>
      <c r="AJ3943" s="513" t="str">
        <f t="shared" ca="1" si="3024"/>
        <v/>
      </c>
      <c r="AK3943" s="700" t="str">
        <f t="shared" si="3025"/>
        <v/>
      </c>
      <c r="AL3943" s="700"/>
      <c r="AM3943" s="505" t="str">
        <f t="shared" si="3026"/>
        <v/>
      </c>
      <c r="AN3943" s="506"/>
      <c r="AO3943" s="507"/>
      <c r="AP3943" s="507"/>
      <c r="AQ3943" s="507"/>
      <c r="AR3943" s="507"/>
      <c r="AS3943" s="507"/>
      <c r="AT3943" s="507"/>
      <c r="AU3943" s="507"/>
      <c r="AV3943" s="225"/>
      <c r="AW3943" s="508"/>
      <c r="AX3943" s="225"/>
      <c r="AY3943" s="225"/>
      <c r="AZ3943" s="225"/>
      <c r="BA3943" s="225"/>
      <c r="BB3943" s="225"/>
      <c r="BC3943" s="56"/>
      <c r="BD3943" s="56"/>
      <c r="BE3943" s="56"/>
      <c r="BF3943" s="107" t="str">
        <f t="shared" si="3027"/>
        <v>https://www.google.com/search?tbm=isch&amp;q=3%20G1</v>
      </c>
      <c r="BG3943" s="107" t="str">
        <f t="shared" si="3028"/>
        <v>V</v>
      </c>
      <c r="BH3943" s="254"/>
      <c r="BI3943" s="254"/>
    </row>
    <row r="3944" spans="1:61" customFormat="1" ht="15.75" x14ac:dyDescent="0.25">
      <c r="A3944" s="485">
        <v>3</v>
      </c>
      <c r="B3944" s="486" t="s">
        <v>291</v>
      </c>
      <c r="C3944" s="487" t="s">
        <v>1981</v>
      </c>
      <c r="D3944" s="488" t="s">
        <v>300</v>
      </c>
      <c r="E3944" s="489">
        <v>35.950000000000003</v>
      </c>
      <c r="F3944" s="516" t="s">
        <v>293</v>
      </c>
      <c r="G3944" s="232">
        <v>0</v>
      </c>
      <c r="H3944" s="658" t="str">
        <f>IF(G3944=0,"",IF(F3944="Buy",IF(G3944=1,"plant","plants"),IF(F3944&gt;0.01,"warranty","Error")))</f>
        <v/>
      </c>
      <c r="I3944" s="490">
        <f>IF(H3944="free",0,IF(H3944="credit",((E3944*(F3944))*G3944*-1),IF(F3944="Buy",(E3944*G3944),((E3944*(1-F3944))*G3944))))</f>
        <v>0</v>
      </c>
      <c r="J3944" s="490">
        <f>IF(H3944="warranty",0,(I3944*(_xlfn.SINGLE(SalesTaxPercentage))))</f>
        <v>0</v>
      </c>
      <c r="K3944" s="695">
        <f t="shared" ref="K3944" si="3039">I3944+J3944</f>
        <v>0</v>
      </c>
      <c r="L3944" s="695"/>
      <c r="M3944" s="659" t="str">
        <f>IF(AND(G3944&gt;0,E3944=0),"WARNING - no PRICE inserted",IF(H3944="free"," FREE ~ no charge this plant",IF(H3944="credit",CONCATENATE(" -$",ROUND(K3944*(1-T2GDiscount)*-1,2)," CREDIT after discount"),IF(T2GDiscount=0,"",IF(G3944=0,"",IF(F3944="Buy",CONCATENATE(" $",ROUND(K3944*(1-T2GDiscount),2)," with ",(T2GDiscount*100),"% discount"),CONCATENATE(" $",ROUND(K3944*(1-T2GDiscount),2)," with ",((T2GDiscount*100+F3944*100)-(T2GDiscount*100*F3944)),IF(F3944&gt;0,"% discounts",IF(NoWarrantyDiscount&gt;0,"% discounts","% discount")))))))))</f>
        <v/>
      </c>
      <c r="N3944" s="660"/>
      <c r="O3944" s="233"/>
      <c r="P3944" s="233"/>
      <c r="Q3944" s="233"/>
      <c r="R3944" s="233"/>
      <c r="S3944" s="233"/>
      <c r="T3944" s="508">
        <f t="shared" si="3016"/>
        <v>0</v>
      </c>
      <c r="U3944" s="225">
        <f>IF(NOT(ISNUMBER(G3944)), "", VLOOKUP(A3944,'Discount Lookup'!D:E,2,FALSE)*G3944)</f>
        <v>0</v>
      </c>
      <c r="V3944" s="225">
        <f>IF(NOT(ISNUMBER(G3944)), "", VLOOKUP(A3944,'Discount Lookup'!G:H,2,FALSE)*G3944)</f>
        <v>0</v>
      </c>
      <c r="W3944" s="508">
        <f t="shared" si="3017"/>
        <v>0</v>
      </c>
      <c r="X3944" s="508">
        <f t="shared" si="3018"/>
        <v>0</v>
      </c>
      <c r="Y3944" s="509" t="b">
        <f t="shared" si="3019"/>
        <v>0</v>
      </c>
      <c r="Z3944" s="510">
        <f t="shared" si="3020"/>
        <v>0</v>
      </c>
      <c r="AA3944" s="511"/>
      <c r="AB3944" s="511" t="str">
        <f t="shared" si="3021"/>
        <v/>
      </c>
      <c r="AC3944" s="698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698"/>
      <c r="AE3944" s="631" t="str">
        <f t="shared" si="3022"/>
        <v/>
      </c>
      <c r="AF3944" s="699" t="str">
        <f t="shared" si="3023"/>
        <v/>
      </c>
      <c r="AG3944" s="699"/>
      <c r="AH3944" s="699"/>
      <c r="AI3944" s="512">
        <f>IF(H3944="credit",0,IF(AE3944="free",0,IF(AE3944="me",0,IF(G3944&gt;0,(VLOOKUP(A3944,'Discount Lookup'!J:K,2)*G3944),0))))</f>
        <v>0</v>
      </c>
      <c r="AJ3944" s="513" t="str">
        <f t="shared" ca="1" si="3024"/>
        <v/>
      </c>
      <c r="AK3944" s="700" t="str">
        <f t="shared" si="3025"/>
        <v/>
      </c>
      <c r="AL3944" s="700"/>
      <c r="AM3944" s="505" t="str">
        <f t="shared" si="3026"/>
        <v/>
      </c>
      <c r="AN3944" s="506"/>
      <c r="AO3944" s="507"/>
      <c r="AP3944" s="507"/>
      <c r="AQ3944" s="507"/>
      <c r="AR3944" s="507"/>
      <c r="AS3944" s="507"/>
      <c r="AT3944" s="507"/>
      <c r="AU3944" s="507"/>
      <c r="AV3944" s="225"/>
      <c r="AW3944" s="508"/>
      <c r="AX3944" s="225"/>
      <c r="AY3944" s="225"/>
      <c r="AZ3944" s="225"/>
      <c r="BA3944" s="225"/>
      <c r="BB3944" s="225"/>
      <c r="BC3944" s="56"/>
      <c r="BD3944" s="56"/>
      <c r="BE3944" s="56"/>
      <c r="BF3944" s="107" t="str">
        <f t="shared" si="3027"/>
        <v>https://www.google.com/search?tbm=isch&amp;q=3%20G6</v>
      </c>
      <c r="BG3944" s="107" t="str">
        <f t="shared" si="3028"/>
        <v>V</v>
      </c>
      <c r="BH3944" s="254"/>
      <c r="BI3944" s="254"/>
    </row>
    <row r="3945" spans="1:61" customFormat="1" ht="17.25" thickBot="1" x14ac:dyDescent="0.3">
      <c r="A3945" s="522" t="s">
        <v>2919</v>
      </c>
      <c r="B3945" s="491"/>
      <c r="C3945" s="675"/>
      <c r="D3945" s="491"/>
      <c r="E3945" s="491"/>
      <c r="F3945" s="492"/>
      <c r="G3945" s="493"/>
      <c r="H3945" s="491"/>
      <c r="I3945" s="234"/>
      <c r="J3945" s="234"/>
      <c r="K3945" s="494"/>
      <c r="L3945" s="543"/>
      <c r="M3945" s="561"/>
      <c r="N3945" s="495"/>
      <c r="O3945" s="496"/>
      <c r="P3945" s="497"/>
      <c r="Q3945" s="495"/>
      <c r="R3945" s="495"/>
      <c r="S3945" s="667" t="s">
        <v>4984</v>
      </c>
      <c r="T3945" s="508">
        <f t="shared" si="3016"/>
        <v>0</v>
      </c>
      <c r="U3945" s="225" t="str">
        <f>IF(NOT(ISNUMBER(G3945)), "", VLOOKUP(A3945,'Discount Lookup'!D:E,2,FALSE)*G3945)</f>
        <v/>
      </c>
      <c r="V3945" s="225" t="str">
        <f>IF(NOT(ISNUMBER(G3945)), "", VLOOKUP(A3945,'Discount Lookup'!G:H,2,FALSE)*G3945)</f>
        <v/>
      </c>
      <c r="W3945" s="508">
        <f t="shared" si="3017"/>
        <v>0</v>
      </c>
      <c r="X3945" s="508">
        <f t="shared" si="3018"/>
        <v>0</v>
      </c>
      <c r="Y3945" s="509" t="b">
        <f t="shared" si="3019"/>
        <v>0</v>
      </c>
      <c r="Z3945" s="510">
        <f t="shared" si="3020"/>
        <v>0</v>
      </c>
      <c r="AA3945" s="511"/>
      <c r="AB3945" s="511" t="str">
        <f t="shared" si="3021"/>
        <v/>
      </c>
      <c r="AC3945" s="698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698"/>
      <c r="AE3945" s="631" t="str">
        <f t="shared" si="3022"/>
        <v/>
      </c>
      <c r="AF3945" s="699" t="str">
        <f t="shared" si="3023"/>
        <v/>
      </c>
      <c r="AG3945" s="699"/>
      <c r="AH3945" s="699"/>
      <c r="AI3945" s="512">
        <f>IF(H3945="credit",0,IF(AE3945="free",0,IF(AE3945="me",0,IF(G3945&gt;0,(VLOOKUP(A3945,'Discount Lookup'!J:K,2)*G3945),0))))</f>
        <v>0</v>
      </c>
      <c r="AJ3945" s="513" t="str">
        <f t="shared" ca="1" si="3024"/>
        <v/>
      </c>
      <c r="AK3945" s="700" t="str">
        <f t="shared" si="3025"/>
        <v/>
      </c>
      <c r="AL3945" s="700"/>
      <c r="AM3945" s="505" t="str">
        <f t="shared" si="3026"/>
        <v/>
      </c>
      <c r="AN3945" s="506"/>
      <c r="AO3945" s="507"/>
      <c r="AP3945" s="507"/>
      <c r="AQ3945" s="507"/>
      <c r="AR3945" s="507"/>
      <c r="AS3945" s="507"/>
      <c r="AT3945" s="507"/>
      <c r="AU3945" s="507"/>
      <c r="AV3945" s="225"/>
      <c r="AW3945" s="508"/>
      <c r="AX3945" s="225"/>
      <c r="AY3945" s="225"/>
      <c r="AZ3945" s="225"/>
      <c r="BA3945" s="225"/>
      <c r="BB3945" s="225"/>
      <c r="BC3945" s="56"/>
      <c r="BD3945" s="56"/>
      <c r="BE3945" s="56"/>
      <c r="BF3945" s="107" t="str">
        <f t="shared" si="3027"/>
        <v>https://www.google.com/search?tbm=isch&amp;q=Vintage%20Gold%20has%20delicate%2C%20thread-like%20foliage%20that%20glows%20with%20a%20rich%20Golden%20color%20%2C%20then%20a%20Bronze%20tint%20in%20colder%20weather%20</v>
      </c>
      <c r="BG3945" s="107" t="str">
        <f t="shared" si="3028"/>
        <v>V</v>
      </c>
      <c r="BH3945" s="254"/>
      <c r="BI3945" s="254"/>
    </row>
    <row r="3946" spans="1:61" customFormat="1" ht="18" x14ac:dyDescent="0.25">
      <c r="A3946" s="521" t="s">
        <v>5568</v>
      </c>
      <c r="B3946" s="477"/>
      <c r="C3946" s="674"/>
      <c r="D3946" s="478" t="s">
        <v>1982</v>
      </c>
      <c r="E3946" s="479"/>
      <c r="F3946" s="479"/>
      <c r="G3946" s="479"/>
      <c r="H3946" s="582" t="s">
        <v>483</v>
      </c>
      <c r="I3946" s="480" t="s">
        <v>2093</v>
      </c>
      <c r="J3946" s="479"/>
      <c r="K3946" s="479"/>
      <c r="L3946" s="560"/>
      <c r="M3946" s="666" t="s">
        <v>4966</v>
      </c>
      <c r="N3946" s="680" t="str">
        <f>IF(AND(ISTEXT($A3946), ISERROR($A3946+0)), HYPERLINK($BF3946, "Images"), "")</f>
        <v>Images</v>
      </c>
      <c r="O3946" s="662" t="s">
        <v>4969</v>
      </c>
      <c r="P3946" s="482"/>
      <c r="Q3946" s="483"/>
      <c r="R3946" s="483"/>
      <c r="S3946" s="484"/>
      <c r="T3946" s="508">
        <f t="shared" si="3016"/>
        <v>0</v>
      </c>
      <c r="U3946" s="225" t="str">
        <f>IF(NOT(ISNUMBER(G3946)), "", VLOOKUP(A3946,'Discount Lookup'!D:E,2,FALSE)*G3946)</f>
        <v/>
      </c>
      <c r="V3946" s="225" t="str">
        <f>IF(NOT(ISNUMBER(G3946)), "", VLOOKUP(A3946,'Discount Lookup'!G:H,2,FALSE)*G3946)</f>
        <v/>
      </c>
      <c r="W3946" s="508">
        <f t="shared" si="3017"/>
        <v>0</v>
      </c>
      <c r="X3946" s="508" t="str">
        <f t="shared" si="3018"/>
        <v>Dark Green foliage</v>
      </c>
      <c r="Y3946" s="509" t="b">
        <f t="shared" si="3019"/>
        <v>0</v>
      </c>
      <c r="Z3946" s="510">
        <f t="shared" si="3020"/>
        <v>0</v>
      </c>
      <c r="AA3946" s="511"/>
      <c r="AB3946" s="511" t="str">
        <f t="shared" si="3021"/>
        <v/>
      </c>
      <c r="AC3946" s="698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698"/>
      <c r="AE3946" s="631" t="str">
        <f t="shared" si="3022"/>
        <v/>
      </c>
      <c r="AF3946" s="699" t="str">
        <f t="shared" si="3023"/>
        <v/>
      </c>
      <c r="AG3946" s="699"/>
      <c r="AH3946" s="699"/>
      <c r="AI3946" s="512">
        <f>IF(H3946="credit",0,IF(AE3946="free",0,IF(AE3946="me",0,IF(G3946&gt;0,(VLOOKUP(A3946,'Discount Lookup'!J:K,2)*G3946),0))))</f>
        <v>0</v>
      </c>
      <c r="AJ3946" s="513" t="str">
        <f t="shared" ca="1" si="3024"/>
        <v/>
      </c>
      <c r="AK3946" s="700" t="str">
        <f t="shared" si="3025"/>
        <v/>
      </c>
      <c r="AL3946" s="700"/>
      <c r="AM3946" s="505" t="str">
        <f t="shared" si="3026"/>
        <v/>
      </c>
      <c r="AN3946" s="506"/>
      <c r="AO3946" s="507"/>
      <c r="AP3946" s="507"/>
      <c r="AQ3946" s="507"/>
      <c r="AR3946" s="507"/>
      <c r="AS3946" s="507"/>
      <c r="AT3946" s="507"/>
      <c r="AU3946" s="507"/>
      <c r="AV3946" s="225"/>
      <c r="AW3946" s="508"/>
      <c r="AX3946" s="225"/>
      <c r="AY3946" s="225"/>
      <c r="AZ3946" s="225"/>
      <c r="BA3946" s="225"/>
      <c r="BB3946" s="225"/>
      <c r="BC3946" s="56"/>
      <c r="BD3946" s="56"/>
      <c r="BE3946" s="56"/>
      <c r="BF3946" s="107" t="str">
        <f t="shared" si="3027"/>
        <v>https://www.google.com/search?tbm=isch&amp;q=Vintage%20Jade%C2%AE%20Distylium%20Distylium%20%27Vintage%20Jade%27%20PP%2323128</v>
      </c>
      <c r="BG3946" s="107" t="str">
        <f t="shared" si="3028"/>
        <v>V</v>
      </c>
      <c r="BH3946" s="254"/>
      <c r="BI3946" s="254"/>
    </row>
    <row r="3947" spans="1:61" customFormat="1" ht="15.75" x14ac:dyDescent="0.25">
      <c r="A3947" s="485">
        <v>3</v>
      </c>
      <c r="B3947" s="486" t="s">
        <v>291</v>
      </c>
      <c r="C3947" s="487" t="s">
        <v>4829</v>
      </c>
      <c r="D3947" s="488" t="s">
        <v>312</v>
      </c>
      <c r="E3947" s="489">
        <v>33.950000000000003</v>
      </c>
      <c r="F3947" s="516" t="s">
        <v>293</v>
      </c>
      <c r="G3947" s="232">
        <v>0</v>
      </c>
      <c r="H3947" s="658" t="str">
        <f>IF(G3947=0,"",IF(F3947="Buy",IF(G3947=1,"plant","plants"),IF(F3947&gt;0.01,"warranty","Error")))</f>
        <v/>
      </c>
      <c r="I3947" s="490">
        <f>IF(H3947="free",0,IF(H3947="credit",((E3947*(F3947))*G3947*-1),IF(F3947="Buy",(E3947*G3947),((E3947*(1-F3947))*G3947))))</f>
        <v>0</v>
      </c>
      <c r="J3947" s="490">
        <f>IF(H3947="warranty",0,(I3947*(_xlfn.SINGLE(SalesTaxPercentage))))</f>
        <v>0</v>
      </c>
      <c r="K3947" s="695">
        <f t="shared" ref="K3947" si="3040">I3947+J3947</f>
        <v>0</v>
      </c>
      <c r="L3947" s="695"/>
      <c r="M3947" s="659" t="str">
        <f>IF(AND(G3947&gt;0,E3947=0),"WARNING - no PRICE inserted",IF(H3947="free"," FREE ~ no charge this plant",IF(H3947="credit",CONCATENATE(" -$",ROUND(K3947*(1-T2GDiscount)*-1,2)," CREDIT after discount"),IF(T2GDiscount=0,"",IF(G3947=0,"",IF(F3947="Buy",CONCATENATE(" $",ROUND(K3947*(1-T2GDiscount),2)," with ",(T2GDiscount*100),"% discount"),CONCATENATE(" $",ROUND(K3947*(1-T2GDiscount),2)," with ",((T2GDiscount*100+F3947*100)-(T2GDiscount*100*F3947)),IF(F3947&gt;0,"% discounts",IF(NoWarrantyDiscount&gt;0,"% discounts","% discount")))))))))</f>
        <v/>
      </c>
      <c r="N3947" s="660"/>
      <c r="O3947" s="233"/>
      <c r="P3947" s="233"/>
      <c r="Q3947" s="233"/>
      <c r="R3947" s="233"/>
      <c r="S3947" s="233"/>
      <c r="T3947" s="508">
        <f t="shared" si="3016"/>
        <v>0</v>
      </c>
      <c r="U3947" s="225">
        <f>IF(NOT(ISNUMBER(G3947)), "", VLOOKUP(A3947,'Discount Lookup'!D:E,2,FALSE)*G3947)</f>
        <v>0</v>
      </c>
      <c r="V3947" s="225">
        <f>IF(NOT(ISNUMBER(G3947)), "", VLOOKUP(A3947,'Discount Lookup'!G:H,2,FALSE)*G3947)</f>
        <v>0</v>
      </c>
      <c r="W3947" s="508">
        <f t="shared" si="3017"/>
        <v>0</v>
      </c>
      <c r="X3947" s="508">
        <f t="shared" si="3018"/>
        <v>0</v>
      </c>
      <c r="Y3947" s="509" t="b">
        <f t="shared" si="3019"/>
        <v>0</v>
      </c>
      <c r="Z3947" s="510">
        <f t="shared" si="3020"/>
        <v>0</v>
      </c>
      <c r="AA3947" s="511"/>
      <c r="AB3947" s="511" t="str">
        <f t="shared" si="3021"/>
        <v/>
      </c>
      <c r="AC3947" s="698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698"/>
      <c r="AE3947" s="631" t="str">
        <f t="shared" si="3022"/>
        <v/>
      </c>
      <c r="AF3947" s="699" t="str">
        <f t="shared" si="3023"/>
        <v/>
      </c>
      <c r="AG3947" s="699"/>
      <c r="AH3947" s="699"/>
      <c r="AI3947" s="512">
        <f>IF(H3947="credit",0,IF(AE3947="free",0,IF(AE3947="me",0,IF(G3947&gt;0,(VLOOKUP(A3947,'Discount Lookup'!J:K,2)*G3947),0))))</f>
        <v>0</v>
      </c>
      <c r="AJ3947" s="513" t="str">
        <f t="shared" ca="1" si="3024"/>
        <v/>
      </c>
      <c r="AK3947" s="700" t="str">
        <f t="shared" si="3025"/>
        <v/>
      </c>
      <c r="AL3947" s="700"/>
      <c r="AM3947" s="505" t="str">
        <f t="shared" si="3026"/>
        <v/>
      </c>
      <c r="AN3947" s="506"/>
      <c r="AO3947" s="507"/>
      <c r="AP3947" s="507"/>
      <c r="AQ3947" s="507"/>
      <c r="AR3947" s="507"/>
      <c r="AS3947" s="507"/>
      <c r="AT3947" s="507"/>
      <c r="AU3947" s="507"/>
      <c r="AV3947" s="225"/>
      <c r="AW3947" s="508"/>
      <c r="AX3947" s="225"/>
      <c r="AY3947" s="225"/>
      <c r="AZ3947" s="225"/>
      <c r="BA3947" s="225"/>
      <c r="BB3947" s="225"/>
      <c r="BC3947" s="56"/>
      <c r="BD3947" s="56"/>
      <c r="BE3947" s="56"/>
      <c r="BF3947" s="107" t="str">
        <f t="shared" si="3027"/>
        <v>https://www.google.com/search?tbm=isch&amp;q=3%20G2</v>
      </c>
      <c r="BG3947" s="107" t="str">
        <f t="shared" si="3028"/>
        <v>V</v>
      </c>
      <c r="BH3947" s="254"/>
      <c r="BI3947" s="254"/>
    </row>
    <row r="3948" spans="1:61" customFormat="1" ht="15.75" x14ac:dyDescent="0.25">
      <c r="A3948" s="485">
        <v>3</v>
      </c>
      <c r="B3948" s="486" t="s">
        <v>291</v>
      </c>
      <c r="C3948" s="487" t="s">
        <v>1093</v>
      </c>
      <c r="D3948" s="488" t="s">
        <v>298</v>
      </c>
      <c r="E3948" s="489">
        <v>34.950000000000003</v>
      </c>
      <c r="F3948" s="516" t="s">
        <v>293</v>
      </c>
      <c r="G3948" s="232">
        <v>0</v>
      </c>
      <c r="H3948" s="658" t="str">
        <f>IF(G3948=0,"",IF(F3948="Buy",IF(G3948=1,"plant","plants"),IF(F3948&gt;0.01,"warranty","Error")))</f>
        <v/>
      </c>
      <c r="I3948" s="490">
        <f>IF(H3948="free",0,IF(H3948="credit",((E3948*(F3948))*G3948*-1),IF(F3948="Buy",(E3948*G3948),((E3948*(1-F3948))*G3948))))</f>
        <v>0</v>
      </c>
      <c r="J3948" s="490">
        <f>IF(H3948="warranty",0,(I3948*(_xlfn.SINGLE(SalesTaxPercentage))))</f>
        <v>0</v>
      </c>
      <c r="K3948" s="695">
        <f t="shared" ref="K3948" si="3041">I3948+J3948</f>
        <v>0</v>
      </c>
      <c r="L3948" s="695"/>
      <c r="M3948" s="659" t="str">
        <f>IF(AND(G3948&gt;0,E3948=0),"WARNING - no PRICE inserted",IF(H3948="free"," FREE ~ no charge this plant",IF(H3948="credit",CONCATENATE(" -$",ROUND(K3948*(1-T2GDiscount)*-1,2)," CREDIT after discount"),IF(T2GDiscount=0,"",IF(G3948=0,"",IF(F3948="Buy",CONCATENATE(" $",ROUND(K3948*(1-T2GDiscount),2)," with ",(T2GDiscount*100),"% discount"),CONCATENATE(" $",ROUND(K3948*(1-T2GDiscount),2)," with ",((T2GDiscount*100+F3948*100)-(T2GDiscount*100*F3948)),IF(F3948&gt;0,"% discounts",IF(NoWarrantyDiscount&gt;0,"% discounts","% discount")))))))))</f>
        <v/>
      </c>
      <c r="N3948" s="660"/>
      <c r="O3948" s="233"/>
      <c r="P3948" s="233"/>
      <c r="Q3948" s="233"/>
      <c r="R3948" s="233"/>
      <c r="S3948" s="233"/>
      <c r="T3948" s="508">
        <f t="shared" si="3016"/>
        <v>0</v>
      </c>
      <c r="U3948" s="225">
        <f>IF(NOT(ISNUMBER(G3948)), "", VLOOKUP(A3948,'Discount Lookup'!D:E,2,FALSE)*G3948)</f>
        <v>0</v>
      </c>
      <c r="V3948" s="225">
        <f>IF(NOT(ISNUMBER(G3948)), "", VLOOKUP(A3948,'Discount Lookup'!G:H,2,FALSE)*G3948)</f>
        <v>0</v>
      </c>
      <c r="W3948" s="508">
        <f t="shared" si="3017"/>
        <v>0</v>
      </c>
      <c r="X3948" s="508">
        <f t="shared" si="3018"/>
        <v>0</v>
      </c>
      <c r="Y3948" s="509" t="b">
        <f t="shared" si="3019"/>
        <v>0</v>
      </c>
      <c r="Z3948" s="510">
        <f t="shared" si="3020"/>
        <v>0</v>
      </c>
      <c r="AA3948" s="511"/>
      <c r="AB3948" s="511" t="str">
        <f t="shared" si="3021"/>
        <v/>
      </c>
      <c r="AC3948" s="698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698"/>
      <c r="AE3948" s="631" t="str">
        <f t="shared" si="3022"/>
        <v/>
      </c>
      <c r="AF3948" s="699" t="str">
        <f t="shared" si="3023"/>
        <v/>
      </c>
      <c r="AG3948" s="699"/>
      <c r="AH3948" s="699"/>
      <c r="AI3948" s="512">
        <f>IF(H3948="credit",0,IF(AE3948="free",0,IF(AE3948="me",0,IF(G3948&gt;0,(VLOOKUP(A3948,'Discount Lookup'!J:K,2)*G3948),0))))</f>
        <v>0</v>
      </c>
      <c r="AJ3948" s="513" t="str">
        <f t="shared" ca="1" si="3024"/>
        <v/>
      </c>
      <c r="AK3948" s="700" t="str">
        <f t="shared" si="3025"/>
        <v/>
      </c>
      <c r="AL3948" s="700"/>
      <c r="AM3948" s="505" t="str">
        <f t="shared" si="3026"/>
        <v/>
      </c>
      <c r="AN3948" s="506"/>
      <c r="AO3948" s="507"/>
      <c r="AP3948" s="507"/>
      <c r="AQ3948" s="507"/>
      <c r="AR3948" s="507"/>
      <c r="AS3948" s="507"/>
      <c r="AT3948" s="507"/>
      <c r="AU3948" s="507"/>
      <c r="AV3948" s="225"/>
      <c r="AW3948" s="508"/>
      <c r="AX3948" s="225"/>
      <c r="AY3948" s="225"/>
      <c r="AZ3948" s="225"/>
      <c r="BA3948" s="225"/>
      <c r="BB3948" s="225"/>
      <c r="BC3948" s="56"/>
      <c r="BD3948" s="56"/>
      <c r="BE3948" s="56"/>
      <c r="BF3948" s="107" t="str">
        <f t="shared" si="3027"/>
        <v>https://www.google.com/search?tbm=isch&amp;q=3%20G1</v>
      </c>
      <c r="BG3948" s="107" t="str">
        <f t="shared" si="3028"/>
        <v>V</v>
      </c>
      <c r="BH3948" s="254"/>
      <c r="BI3948" s="254"/>
    </row>
    <row r="3949" spans="1:61" customFormat="1" ht="16.5" thickBot="1" x14ac:dyDescent="0.3">
      <c r="A3949" s="522" t="s">
        <v>4192</v>
      </c>
      <c r="B3949" s="491"/>
      <c r="C3949" s="675"/>
      <c r="D3949" s="491"/>
      <c r="E3949" s="491"/>
      <c r="F3949" s="492"/>
      <c r="G3949" s="493"/>
      <c r="H3949" s="491"/>
      <c r="I3949" s="234"/>
      <c r="J3949" s="234"/>
      <c r="K3949" s="494"/>
      <c r="L3949" s="543"/>
      <c r="M3949" s="561"/>
      <c r="N3949" s="495"/>
      <c r="O3949" s="496"/>
      <c r="P3949" s="497"/>
      <c r="Q3949" s="495"/>
      <c r="R3949" s="495"/>
      <c r="S3949" s="667" t="s">
        <v>4968</v>
      </c>
      <c r="T3949" s="508">
        <f t="shared" si="3016"/>
        <v>0</v>
      </c>
      <c r="U3949" s="225" t="str">
        <f>IF(NOT(ISNUMBER(G3949)), "", VLOOKUP(A3949,'Discount Lookup'!D:E,2,FALSE)*G3949)</f>
        <v/>
      </c>
      <c r="V3949" s="225" t="str">
        <f>IF(NOT(ISNUMBER(G3949)), "", VLOOKUP(A3949,'Discount Lookup'!G:H,2,FALSE)*G3949)</f>
        <v/>
      </c>
      <c r="W3949" s="508">
        <f t="shared" si="3017"/>
        <v>0</v>
      </c>
      <c r="X3949" s="508">
        <f t="shared" si="3018"/>
        <v>0</v>
      </c>
      <c r="Y3949" s="509" t="b">
        <f t="shared" si="3019"/>
        <v>0</v>
      </c>
      <c r="Z3949" s="510">
        <f t="shared" si="3020"/>
        <v>0</v>
      </c>
      <c r="AA3949" s="511"/>
      <c r="AB3949" s="511" t="str">
        <f t="shared" si="3021"/>
        <v/>
      </c>
      <c r="AC3949" s="698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698"/>
      <c r="AE3949" s="631" t="str">
        <f t="shared" si="3022"/>
        <v/>
      </c>
      <c r="AF3949" s="699" t="str">
        <f t="shared" si="3023"/>
        <v/>
      </c>
      <c r="AG3949" s="699"/>
      <c r="AH3949" s="699"/>
      <c r="AI3949" s="512">
        <f>IF(H3949="credit",0,IF(AE3949="free",0,IF(AE3949="me",0,IF(G3949&gt;0,(VLOOKUP(A3949,'Discount Lookup'!J:K,2)*G3949),0))))</f>
        <v>0</v>
      </c>
      <c r="AJ3949" s="513" t="str">
        <f t="shared" ca="1" si="3024"/>
        <v/>
      </c>
      <c r="AK3949" s="700" t="str">
        <f t="shared" si="3025"/>
        <v/>
      </c>
      <c r="AL3949" s="700"/>
      <c r="AM3949" s="505" t="str">
        <f t="shared" si="3026"/>
        <v/>
      </c>
      <c r="AN3949" s="506"/>
      <c r="AO3949" s="507"/>
      <c r="AP3949" s="507"/>
      <c r="AQ3949" s="507"/>
      <c r="AR3949" s="507"/>
      <c r="AS3949" s="507"/>
      <c r="AT3949" s="507"/>
      <c r="AU3949" s="507"/>
      <c r="AV3949" s="225"/>
      <c r="AW3949" s="508"/>
      <c r="AX3949" s="225"/>
      <c r="AY3949" s="225"/>
      <c r="AZ3949" s="225"/>
      <c r="BA3949" s="225"/>
      <c r="BB3949" s="225"/>
      <c r="BC3949" s="56"/>
      <c r="BD3949" s="56"/>
      <c r="BE3949" s="56"/>
      <c r="BF3949" s="107" t="str">
        <f t="shared" si="3027"/>
        <v>https://www.google.com/search?tbm=isch&amp;q=Vintage%20Jade%20offers%20a%20layered%2C%20spreading%20habit%20with%20subtle%20Maroon%20winter%20blooms.%20Heat%20and%20drought%20tolerant%20</v>
      </c>
      <c r="BG3949" s="107" t="str">
        <f t="shared" si="3028"/>
        <v>V</v>
      </c>
      <c r="BH3949" s="254"/>
      <c r="BI3949" s="254"/>
    </row>
    <row r="3950" spans="1:61" customFormat="1" ht="18" x14ac:dyDescent="0.25">
      <c r="A3950" s="521" t="s">
        <v>2497</v>
      </c>
      <c r="B3950" s="477"/>
      <c r="C3950" s="674"/>
      <c r="D3950" s="478" t="s">
        <v>1983</v>
      </c>
      <c r="E3950" s="479"/>
      <c r="F3950" s="479"/>
      <c r="G3950" s="479"/>
      <c r="H3950" s="582" t="s">
        <v>324</v>
      </c>
      <c r="I3950" s="480" t="s">
        <v>2095</v>
      </c>
      <c r="J3950" s="479"/>
      <c r="K3950" s="479"/>
      <c r="L3950" s="560"/>
      <c r="M3950" s="666" t="s">
        <v>4963</v>
      </c>
      <c r="N3950" s="680" t="str">
        <f>IF(AND(ISTEXT($A3950), ISERROR($A3950+0)), HYPERLINK($BF3950, "Images"), "")</f>
        <v>Images</v>
      </c>
      <c r="O3950" s="662" t="s">
        <v>4967</v>
      </c>
      <c r="P3950" s="482"/>
      <c r="Q3950" s="483"/>
      <c r="R3950" s="483"/>
      <c r="S3950" s="484" t="s">
        <v>305</v>
      </c>
      <c r="T3950" s="508">
        <f t="shared" si="3016"/>
        <v>0</v>
      </c>
      <c r="U3950" s="225" t="str">
        <f>IF(NOT(ISNUMBER(G3950)), "", VLOOKUP(A3950,'Discount Lookup'!D:E,2,FALSE)*G3950)</f>
        <v/>
      </c>
      <c r="V3950" s="225" t="str">
        <f>IF(NOT(ISNUMBER(G3950)), "", VLOOKUP(A3950,'Discount Lookup'!G:H,2,FALSE)*G3950)</f>
        <v/>
      </c>
      <c r="W3950" s="508">
        <f t="shared" si="3017"/>
        <v>0</v>
      </c>
      <c r="X3950" s="508" t="str">
        <f t="shared" si="3018"/>
        <v>Dark Green needles</v>
      </c>
      <c r="Y3950" s="509" t="b">
        <f t="shared" si="3019"/>
        <v>0</v>
      </c>
      <c r="Z3950" s="510">
        <f t="shared" si="3020"/>
        <v>0</v>
      </c>
      <c r="AA3950" s="511"/>
      <c r="AB3950" s="511" t="str">
        <f t="shared" si="3021"/>
        <v/>
      </c>
      <c r="AC3950" s="698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698"/>
      <c r="AE3950" s="631" t="str">
        <f t="shared" si="3022"/>
        <v/>
      </c>
      <c r="AF3950" s="699" t="str">
        <f t="shared" si="3023"/>
        <v/>
      </c>
      <c r="AG3950" s="699"/>
      <c r="AH3950" s="699"/>
      <c r="AI3950" s="512">
        <f>IF(H3950="credit",0,IF(AE3950="free",0,IF(AE3950="me",0,IF(G3950&gt;0,(VLOOKUP(A3950,'Discount Lookup'!J:K,2)*G3950),0))))</f>
        <v>0</v>
      </c>
      <c r="AJ3950" s="513" t="str">
        <f t="shared" ca="1" si="3024"/>
        <v/>
      </c>
      <c r="AK3950" s="700" t="str">
        <f t="shared" si="3025"/>
        <v/>
      </c>
      <c r="AL3950" s="700"/>
      <c r="AM3950" s="505" t="str">
        <f t="shared" si="3026"/>
        <v/>
      </c>
      <c r="AN3950" s="506"/>
      <c r="AO3950" s="507"/>
      <c r="AP3950" s="507"/>
      <c r="AQ3950" s="507"/>
      <c r="AR3950" s="507"/>
      <c r="AS3950" s="507"/>
      <c r="AT3950" s="507"/>
      <c r="AU3950" s="507"/>
      <c r="AV3950" s="225"/>
      <c r="AW3950" s="508"/>
      <c r="AX3950" s="225"/>
      <c r="AY3950" s="225"/>
      <c r="AZ3950" s="225"/>
      <c r="BA3950" s="225"/>
      <c r="BB3950" s="225"/>
      <c r="BC3950" s="56"/>
      <c r="BD3950" s="56"/>
      <c r="BE3950" s="56"/>
      <c r="BF3950" s="107" t="str">
        <f t="shared" si="3027"/>
        <v>https://www.google.com/search?tbm=isch&amp;q=Virginia%20Pine%20Pinus%20virginiana</v>
      </c>
      <c r="BG3950" s="107" t="str">
        <f t="shared" si="3028"/>
        <v>V</v>
      </c>
      <c r="BH3950" s="254"/>
      <c r="BI3950" s="254"/>
    </row>
    <row r="3951" spans="1:61" customFormat="1" ht="15.75" x14ac:dyDescent="0.25">
      <c r="A3951" s="485">
        <v>7</v>
      </c>
      <c r="B3951" s="486" t="s">
        <v>291</v>
      </c>
      <c r="C3951" s="487" t="s">
        <v>3841</v>
      </c>
      <c r="D3951" s="488" t="s">
        <v>292</v>
      </c>
      <c r="E3951" s="489">
        <v>100.95</v>
      </c>
      <c r="F3951" s="516" t="s">
        <v>293</v>
      </c>
      <c r="G3951" s="232">
        <v>0</v>
      </c>
      <c r="H3951" s="658" t="str">
        <f>IF(G3951=0,"",IF(F3951="Buy",IF(G3951=1,"plant","plants"),IF(F3951&gt;0.01,"warranty","Error")))</f>
        <v/>
      </c>
      <c r="I3951" s="490">
        <f>IF(H3951="free",0,IF(H3951="credit",((E3951*(F3951))*G3951*-1),IF(F3951="Buy",(E3951*G3951),((E3951*(1-F3951))*G3951))))</f>
        <v>0</v>
      </c>
      <c r="J3951" s="490">
        <f>IF(H3951="warranty",0,(I3951*(_xlfn.SINGLE(SalesTaxPercentage))))</f>
        <v>0</v>
      </c>
      <c r="K3951" s="695">
        <f t="shared" ref="K3951" si="3042">I3951+J3951</f>
        <v>0</v>
      </c>
      <c r="L3951" s="695"/>
      <c r="M3951" s="659" t="str">
        <f>IF(AND(G3951&gt;0,E3951=0),"WARNING - no PRICE inserted",IF(H3951="free"," FREE ~ no charge this plant",IF(H3951="credit",CONCATENATE(" -$",ROUND(K3951*(1-T2GDiscount)*-1,2)," CREDIT after discount"),IF(T2GDiscount=0,"",IF(G3951=0,"",IF(F3951="Buy",CONCATENATE(" $",ROUND(K3951*(1-T2GDiscount),2)," with ",(T2GDiscount*100),"% discount"),CONCATENATE(" $",ROUND(K3951*(1-T2GDiscount),2)," with ",((T2GDiscount*100+F3951*100)-(T2GDiscount*100*F3951)),IF(F3951&gt;0,"% discounts",IF(NoWarrantyDiscount&gt;0,"% discounts","% discount")))))))))</f>
        <v/>
      </c>
      <c r="N3951" s="660"/>
      <c r="O3951" s="233"/>
      <c r="P3951" s="233"/>
      <c r="Q3951" s="233"/>
      <c r="R3951" s="233"/>
      <c r="S3951" s="233"/>
      <c r="T3951" s="508">
        <f t="shared" si="3016"/>
        <v>0</v>
      </c>
      <c r="U3951" s="225">
        <f>IF(NOT(ISNUMBER(G3951)), "", VLOOKUP(A3951,'Discount Lookup'!D:E,2,FALSE)*G3951)</f>
        <v>0</v>
      </c>
      <c r="V3951" s="225">
        <f>IF(NOT(ISNUMBER(G3951)), "", VLOOKUP(A3951,'Discount Lookup'!G:H,2,FALSE)*G3951)</f>
        <v>0</v>
      </c>
      <c r="W3951" s="508">
        <f t="shared" si="3017"/>
        <v>0</v>
      </c>
      <c r="X3951" s="508">
        <f t="shared" si="3018"/>
        <v>0</v>
      </c>
      <c r="Y3951" s="509" t="b">
        <f t="shared" si="3019"/>
        <v>0</v>
      </c>
      <c r="Z3951" s="510">
        <f t="shared" si="3020"/>
        <v>0</v>
      </c>
      <c r="AA3951" s="511"/>
      <c r="AB3951" s="511" t="str">
        <f t="shared" si="3021"/>
        <v/>
      </c>
      <c r="AC3951" s="698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698"/>
      <c r="AE3951" s="631" t="str">
        <f t="shared" si="3022"/>
        <v/>
      </c>
      <c r="AF3951" s="699" t="str">
        <f t="shared" si="3023"/>
        <v/>
      </c>
      <c r="AG3951" s="699"/>
      <c r="AH3951" s="699"/>
      <c r="AI3951" s="512">
        <f>IF(H3951="credit",0,IF(AE3951="free",0,IF(AE3951="me",0,IF(G3951&gt;0,(VLOOKUP(A3951,'Discount Lookup'!J:K,2)*G3951),0))))</f>
        <v>0</v>
      </c>
      <c r="AJ3951" s="513" t="str">
        <f t="shared" ca="1" si="3024"/>
        <v/>
      </c>
      <c r="AK3951" s="700" t="str">
        <f t="shared" si="3025"/>
        <v/>
      </c>
      <c r="AL3951" s="700"/>
      <c r="AM3951" s="505" t="str">
        <f t="shared" si="3026"/>
        <v/>
      </c>
      <c r="AN3951" s="506"/>
      <c r="AO3951" s="507"/>
      <c r="AP3951" s="507"/>
      <c r="AQ3951" s="507"/>
      <c r="AR3951" s="507"/>
      <c r="AS3951" s="507"/>
      <c r="AT3951" s="507"/>
      <c r="AU3951" s="507"/>
      <c r="AV3951" s="225"/>
      <c r="AW3951" s="508"/>
      <c r="AX3951" s="225"/>
      <c r="AY3951" s="225"/>
      <c r="AZ3951" s="225"/>
      <c r="BA3951" s="225"/>
      <c r="BB3951" s="225"/>
      <c r="BC3951" s="56"/>
      <c r="BD3951" s="56"/>
      <c r="BE3951" s="56"/>
      <c r="BF3951" s="107" t="str">
        <f t="shared" si="3027"/>
        <v>https://www.google.com/search?tbm=isch&amp;q=7%20G4</v>
      </c>
      <c r="BG3951" s="107" t="str">
        <f t="shared" si="3028"/>
        <v>V</v>
      </c>
      <c r="BH3951" s="254"/>
      <c r="BI3951" s="254"/>
    </row>
    <row r="3952" spans="1:61" customFormat="1" ht="27" x14ac:dyDescent="0.25">
      <c r="A3952" s="485">
        <v>15</v>
      </c>
      <c r="B3952" s="486" t="s">
        <v>291</v>
      </c>
      <c r="C3952" s="487" t="s">
        <v>3842</v>
      </c>
      <c r="D3952" s="488" t="s">
        <v>292</v>
      </c>
      <c r="E3952" s="489">
        <v>178.95</v>
      </c>
      <c r="F3952" s="516" t="s">
        <v>293</v>
      </c>
      <c r="G3952" s="232">
        <v>0</v>
      </c>
      <c r="H3952" s="658" t="str">
        <f>IF(G3952=0,"",IF(F3952="Buy",IF(G3952=1,"plant","plants"),IF(F3952&gt;0.01,"warranty","Error")))</f>
        <v/>
      </c>
      <c r="I3952" s="490">
        <f>IF(H3952="free",0,IF(H3952="credit",((E3952*(F3952))*G3952*-1),IF(F3952="Buy",(E3952*G3952),((E3952*(1-F3952))*G3952))))</f>
        <v>0</v>
      </c>
      <c r="J3952" s="490">
        <f>IF(H3952="warranty",0,(I3952*(_xlfn.SINGLE(SalesTaxPercentage))))</f>
        <v>0</v>
      </c>
      <c r="K3952" s="695">
        <f t="shared" ref="K3952" si="3043">I3952+J3952</f>
        <v>0</v>
      </c>
      <c r="L3952" s="695"/>
      <c r="M3952" s="659" t="str">
        <f>IF(AND(G3952&gt;0,E3952=0),"WARNING - no PRICE inserted",IF(H3952="free"," FREE ~ no charge this plant",IF(H3952="credit",CONCATENATE(" -$",ROUND(K3952*(1-T2GDiscount)*-1,2)," CREDIT after discount"),IF(T2GDiscount=0,"",IF(G3952=0,"",IF(F3952="Buy",CONCATENATE(" $",ROUND(K3952*(1-T2GDiscount),2)," with ",(T2GDiscount*100),"% discount"),CONCATENATE(" $",ROUND(K3952*(1-T2GDiscount),2)," with ",((T2GDiscount*100+F3952*100)-(T2GDiscount*100*F3952)),IF(F3952&gt;0,"% discounts",IF(NoWarrantyDiscount&gt;0,"% discounts","% discount")))))))))</f>
        <v/>
      </c>
      <c r="N3952" s="660"/>
      <c r="O3952" s="233"/>
      <c r="P3952" s="233"/>
      <c r="Q3952" s="233"/>
      <c r="R3952" s="233"/>
      <c r="S3952" s="233"/>
      <c r="T3952" s="508">
        <f t="shared" si="3016"/>
        <v>0</v>
      </c>
      <c r="U3952" s="225">
        <f>IF(NOT(ISNUMBER(G3952)), "", VLOOKUP(A3952,'Discount Lookup'!D:E,2,FALSE)*G3952)</f>
        <v>0</v>
      </c>
      <c r="V3952" s="225">
        <f>IF(NOT(ISNUMBER(G3952)), "", VLOOKUP(A3952,'Discount Lookup'!G:H,2,FALSE)*G3952)</f>
        <v>0</v>
      </c>
      <c r="W3952" s="508">
        <f t="shared" si="3017"/>
        <v>0</v>
      </c>
      <c r="X3952" s="508">
        <f t="shared" si="3018"/>
        <v>0</v>
      </c>
      <c r="Y3952" s="509" t="b">
        <f t="shared" si="3019"/>
        <v>0</v>
      </c>
      <c r="Z3952" s="510">
        <f t="shared" si="3020"/>
        <v>0</v>
      </c>
      <c r="AA3952" s="511"/>
      <c r="AB3952" s="511" t="str">
        <f t="shared" si="3021"/>
        <v/>
      </c>
      <c r="AC3952" s="698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698"/>
      <c r="AE3952" s="631" t="str">
        <f t="shared" si="3022"/>
        <v/>
      </c>
      <c r="AF3952" s="699" t="str">
        <f t="shared" si="3023"/>
        <v/>
      </c>
      <c r="AG3952" s="699"/>
      <c r="AH3952" s="699"/>
      <c r="AI3952" s="512">
        <f>IF(H3952="credit",0,IF(AE3952="free",0,IF(AE3952="me",0,IF(G3952&gt;0,(VLOOKUP(A3952,'Discount Lookup'!J:K,2)*G3952),0))))</f>
        <v>0</v>
      </c>
      <c r="AJ3952" s="513" t="str">
        <f t="shared" ca="1" si="3024"/>
        <v/>
      </c>
      <c r="AK3952" s="700" t="str">
        <f t="shared" si="3025"/>
        <v/>
      </c>
      <c r="AL3952" s="700"/>
      <c r="AM3952" s="505" t="str">
        <f t="shared" si="3026"/>
        <v/>
      </c>
      <c r="AN3952" s="506"/>
      <c r="AO3952" s="507"/>
      <c r="AP3952" s="507"/>
      <c r="AQ3952" s="507"/>
      <c r="AR3952" s="507"/>
      <c r="AS3952" s="507"/>
      <c r="AT3952" s="507"/>
      <c r="AU3952" s="507"/>
      <c r="AV3952" s="225"/>
      <c r="AW3952" s="508"/>
      <c r="AX3952" s="225"/>
      <c r="AY3952" s="225"/>
      <c r="AZ3952" s="225"/>
      <c r="BA3952" s="225"/>
      <c r="BB3952" s="225"/>
      <c r="BC3952" s="56"/>
      <c r="BD3952" s="56"/>
      <c r="BE3952" s="56"/>
      <c r="BF3952" s="107" t="str">
        <f t="shared" si="3027"/>
        <v>https://www.google.com/search?tbm=isch&amp;q=15%20G4</v>
      </c>
      <c r="BG3952" s="107" t="str">
        <f t="shared" si="3028"/>
        <v>V</v>
      </c>
      <c r="BH3952" s="254"/>
      <c r="BI3952" s="254"/>
    </row>
    <row r="3953" spans="1:61" customFormat="1" ht="17.25" thickBot="1" x14ac:dyDescent="0.3">
      <c r="A3953" s="522" t="s">
        <v>2193</v>
      </c>
      <c r="B3953" s="491"/>
      <c r="C3953" s="675"/>
      <c r="D3953" s="491"/>
      <c r="E3953" s="491"/>
      <c r="F3953" s="492"/>
      <c r="G3953" s="493"/>
      <c r="H3953" s="491"/>
      <c r="I3953" s="234"/>
      <c r="J3953" s="234"/>
      <c r="K3953" s="494"/>
      <c r="L3953" s="543"/>
      <c r="M3953" s="561"/>
      <c r="N3953" s="495"/>
      <c r="O3953" s="496"/>
      <c r="P3953" s="497"/>
      <c r="Q3953" s="495"/>
      <c r="R3953" s="495"/>
      <c r="S3953" s="667" t="s">
        <v>5004</v>
      </c>
      <c r="T3953" s="508">
        <f t="shared" si="3016"/>
        <v>0</v>
      </c>
      <c r="U3953" s="225" t="str">
        <f>IF(NOT(ISNUMBER(G3953)), "", VLOOKUP(A3953,'Discount Lookup'!D:E,2,FALSE)*G3953)</f>
        <v/>
      </c>
      <c r="V3953" s="225" t="str">
        <f>IF(NOT(ISNUMBER(G3953)), "", VLOOKUP(A3953,'Discount Lookup'!G:H,2,FALSE)*G3953)</f>
        <v/>
      </c>
      <c r="W3953" s="508">
        <f t="shared" si="3017"/>
        <v>0</v>
      </c>
      <c r="X3953" s="508">
        <f t="shared" si="3018"/>
        <v>0</v>
      </c>
      <c r="Y3953" s="509" t="b">
        <f t="shared" si="3019"/>
        <v>0</v>
      </c>
      <c r="Z3953" s="510">
        <f t="shared" si="3020"/>
        <v>0</v>
      </c>
      <c r="AA3953" s="511"/>
      <c r="AB3953" s="511" t="str">
        <f t="shared" si="3021"/>
        <v/>
      </c>
      <c r="AC3953" s="698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698"/>
      <c r="AE3953" s="631" t="str">
        <f t="shared" si="3022"/>
        <v/>
      </c>
      <c r="AF3953" s="699" t="str">
        <f t="shared" si="3023"/>
        <v/>
      </c>
      <c r="AG3953" s="699"/>
      <c r="AH3953" s="699"/>
      <c r="AI3953" s="512">
        <f>IF(H3953="credit",0,IF(AE3953="free",0,IF(AE3953="me",0,IF(G3953&gt;0,(VLOOKUP(A3953,'Discount Lookup'!J:K,2)*G3953),0))))</f>
        <v>0</v>
      </c>
      <c r="AJ3953" s="513" t="str">
        <f t="shared" ca="1" si="3024"/>
        <v/>
      </c>
      <c r="AK3953" s="700" t="str">
        <f t="shared" si="3025"/>
        <v/>
      </c>
      <c r="AL3953" s="700"/>
      <c r="AM3953" s="505" t="str">
        <f t="shared" si="3026"/>
        <v/>
      </c>
      <c r="AN3953" s="506"/>
      <c r="AO3953" s="507"/>
      <c r="AP3953" s="507"/>
      <c r="AQ3953" s="507"/>
      <c r="AR3953" s="507"/>
      <c r="AS3953" s="507"/>
      <c r="AT3953" s="507"/>
      <c r="AU3953" s="507"/>
      <c r="AV3953" s="225"/>
      <c r="AW3953" s="508"/>
      <c r="AX3953" s="225"/>
      <c r="AY3953" s="225"/>
      <c r="AZ3953" s="225"/>
      <c r="BA3953" s="225"/>
      <c r="BB3953" s="225"/>
      <c r="BC3953" s="56"/>
      <c r="BD3953" s="56"/>
      <c r="BE3953" s="56"/>
      <c r="BF3953" s="107" t="str">
        <f t="shared" si="3027"/>
        <v>https://www.google.com/search?tbm=isch&amp;q=Virginiana%20Pine%20sports%20a%20%27rough%27%20appearance%2C%20with%20short%2C%20twisted%20needles.%20Tolerates%20poor%20soils%20</v>
      </c>
      <c r="BG3953" s="107" t="str">
        <f t="shared" si="3028"/>
        <v>V</v>
      </c>
      <c r="BH3953" s="254"/>
      <c r="BI3953" s="254"/>
    </row>
    <row r="3954" spans="1:61" customFormat="1" ht="18" x14ac:dyDescent="0.25">
      <c r="A3954" s="523" t="s">
        <v>1984</v>
      </c>
      <c r="B3954" s="235"/>
      <c r="C3954" s="676"/>
      <c r="D3954" s="255" t="s">
        <v>1985</v>
      </c>
      <c r="E3954" s="236"/>
      <c r="F3954" s="236"/>
      <c r="G3954" s="236"/>
      <c r="H3954" s="582" t="s">
        <v>899</v>
      </c>
      <c r="I3954" s="498" t="s">
        <v>2106</v>
      </c>
      <c r="J3954" s="237"/>
      <c r="K3954" s="237"/>
      <c r="L3954" s="274"/>
      <c r="M3954" s="670" t="s">
        <v>4973</v>
      </c>
      <c r="N3954" s="681" t="str">
        <f>IF(AND(ISTEXT($A3954), ISERROR($A3954+0)), HYPERLINK($BF3954, "Images"), "")</f>
        <v>Images</v>
      </c>
      <c r="O3954" s="663" t="s">
        <v>4967</v>
      </c>
      <c r="P3954" s="253"/>
      <c r="Q3954" s="238"/>
      <c r="R3954" s="239"/>
      <c r="S3954" s="275"/>
      <c r="T3954" s="508">
        <f t="shared" si="3016"/>
        <v>0</v>
      </c>
      <c r="U3954" s="225" t="str">
        <f>IF(NOT(ISNUMBER(G3954)), "", VLOOKUP(A3954,'Discount Lookup'!D:E,2,FALSE)*G3954)</f>
        <v/>
      </c>
      <c r="V3954" s="225" t="str">
        <f>IF(NOT(ISNUMBER(G3954)), "", VLOOKUP(A3954,'Discount Lookup'!G:H,2,FALSE)*G3954)</f>
        <v/>
      </c>
      <c r="W3954" s="508">
        <f t="shared" si="3017"/>
        <v>0</v>
      </c>
      <c r="X3954" s="508" t="str">
        <f t="shared" si="3018"/>
        <v>Bright Green foliage</v>
      </c>
      <c r="Y3954" s="509" t="b">
        <f t="shared" si="3019"/>
        <v>0</v>
      </c>
      <c r="Z3954" s="510">
        <f t="shared" si="3020"/>
        <v>0</v>
      </c>
      <c r="AA3954" s="511"/>
      <c r="AB3954" s="511" t="str">
        <f t="shared" si="3021"/>
        <v/>
      </c>
      <c r="AC3954" s="698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698"/>
      <c r="AE3954" s="631" t="str">
        <f t="shared" si="3022"/>
        <v/>
      </c>
      <c r="AF3954" s="699" t="str">
        <f t="shared" si="3023"/>
        <v/>
      </c>
      <c r="AG3954" s="699"/>
      <c r="AH3954" s="699"/>
      <c r="AI3954" s="512">
        <f>IF(H3954="credit",0,IF(AE3954="free",0,IF(AE3954="me",0,IF(G3954&gt;0,(VLOOKUP(A3954,'Discount Lookup'!J:K,2)*G3954),0))))</f>
        <v>0</v>
      </c>
      <c r="AJ3954" s="513" t="str">
        <f t="shared" ca="1" si="3024"/>
        <v/>
      </c>
      <c r="AK3954" s="700" t="str">
        <f t="shared" si="3025"/>
        <v/>
      </c>
      <c r="AL3954" s="700"/>
      <c r="AM3954" s="505" t="str">
        <f t="shared" si="3026"/>
        <v/>
      </c>
      <c r="AN3954" s="506"/>
      <c r="AO3954" s="507"/>
      <c r="AP3954" s="507"/>
      <c r="AQ3954" s="507"/>
      <c r="AR3954" s="507"/>
      <c r="AS3954" s="507"/>
      <c r="AT3954" s="507"/>
      <c r="AU3954" s="507"/>
      <c r="AV3954" s="225"/>
      <c r="AW3954" s="508"/>
      <c r="AX3954" s="225"/>
      <c r="AY3954" s="225"/>
      <c r="AZ3954" s="225"/>
      <c r="BA3954" s="225"/>
      <c r="BB3954" s="225"/>
      <c r="BC3954" s="56"/>
      <c r="BD3954" s="56"/>
      <c r="BE3954" s="56"/>
      <c r="BF3954" s="107" t="str">
        <f t="shared" si="3027"/>
        <v>https://www.google.com/search?tbm=isch&amp;q=Viridis%20Cutleaf%20Japanese%20Maple%20Acer%20palmatum%20var.%20dis.%20%27Viridis%27</v>
      </c>
      <c r="BG3954" s="107" t="str">
        <f t="shared" si="3028"/>
        <v>V</v>
      </c>
      <c r="BH3954" s="254"/>
      <c r="BI3954" s="254"/>
    </row>
    <row r="3955" spans="1:61" customFormat="1" ht="15.75" x14ac:dyDescent="0.25">
      <c r="A3955" s="276">
        <v>7</v>
      </c>
      <c r="B3955" s="240" t="s">
        <v>291</v>
      </c>
      <c r="C3955" s="241" t="s">
        <v>3843</v>
      </c>
      <c r="D3955" s="242" t="s">
        <v>292</v>
      </c>
      <c r="E3955" s="243">
        <v>219.95</v>
      </c>
      <c r="F3955" s="517" t="s">
        <v>293</v>
      </c>
      <c r="G3955" s="232">
        <v>0</v>
      </c>
      <c r="H3955" s="661" t="str">
        <f>IF(G3955=0,"",IF(F3955="Buy",IF(G3955=1,"plant","plants"),IF(F3955&gt;0.01,"warranty","Error")))</f>
        <v/>
      </c>
      <c r="I3955" s="244">
        <f>IF(H3955="free",0,IF(H3955="credit",((E3955*(F3955))*G3955*-1),IF(F3955="Buy",(E3955*G3955),((E3955*(1-F3955))*G3955))))</f>
        <v>0</v>
      </c>
      <c r="J3955" s="244">
        <f>IF(H3955="warranty",0,(I3955*(_xlfn.SINGLE(SalesTaxPercentage))))</f>
        <v>0</v>
      </c>
      <c r="K3955" s="696">
        <f t="shared" ref="K3955" si="3044">I3955+J3955</f>
        <v>0</v>
      </c>
      <c r="L3955" s="696"/>
      <c r="M3955" s="659" t="str">
        <f>IF(AND(G3955&gt;0,E3955=0),"WARNING - no PRICE inserted",IF(H3955="free"," FREE ~ no charge this plant",IF(H3955="credit",CONCATENATE(" -$",ROUND(K3955*(1-T2GDiscount)*-1,2)," CREDIT after discount"),IF(T2GDiscount=0,"",IF(G3955=0,"",IF(F3955="Buy",CONCATENATE(" $",ROUND(K3955*(1-T2GDiscount),2)," with ",(T2GDiscount*100),"% discount"),CONCATENATE(" $",ROUND(K3955*(1-T2GDiscount),2)," with ",((T2GDiscount*100+F3955*100)-(T2GDiscount*100*F3955)),IF(F3955&gt;0,"% discounts",IF(NoWarrantyDiscount&gt;0,"% discounts","% discount")))))))))</f>
        <v/>
      </c>
      <c r="N3955" s="660"/>
      <c r="O3955" s="233"/>
      <c r="P3955" s="233"/>
      <c r="Q3955" s="233"/>
      <c r="R3955" s="233"/>
      <c r="S3955" s="233"/>
      <c r="T3955" s="508">
        <f t="shared" si="3016"/>
        <v>0</v>
      </c>
      <c r="U3955" s="225">
        <f>IF(NOT(ISNUMBER(G3955)), "", VLOOKUP(A3955,'Discount Lookup'!D:E,2,FALSE)*G3955)</f>
        <v>0</v>
      </c>
      <c r="V3955" s="225">
        <f>IF(NOT(ISNUMBER(G3955)), "", VLOOKUP(A3955,'Discount Lookup'!G:H,2,FALSE)*G3955)</f>
        <v>0</v>
      </c>
      <c r="W3955" s="508">
        <f t="shared" si="3017"/>
        <v>0</v>
      </c>
      <c r="X3955" s="508">
        <f t="shared" si="3018"/>
        <v>0</v>
      </c>
      <c r="Y3955" s="509" t="b">
        <f t="shared" si="3019"/>
        <v>0</v>
      </c>
      <c r="Z3955" s="510">
        <f t="shared" si="3020"/>
        <v>0</v>
      </c>
      <c r="AA3955" s="511"/>
      <c r="AB3955" s="511" t="str">
        <f t="shared" si="3021"/>
        <v/>
      </c>
      <c r="AC3955" s="698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698"/>
      <c r="AE3955" s="631" t="str">
        <f t="shared" si="3022"/>
        <v/>
      </c>
      <c r="AF3955" s="699" t="str">
        <f t="shared" si="3023"/>
        <v/>
      </c>
      <c r="AG3955" s="699"/>
      <c r="AH3955" s="699"/>
      <c r="AI3955" s="512">
        <f>IF(H3955="credit",0,IF(AE3955="free",0,IF(AE3955="me",0,IF(G3955&gt;0,(VLOOKUP(A3955,'Discount Lookup'!J:K,2)*G3955),0))))</f>
        <v>0</v>
      </c>
      <c r="AJ3955" s="513" t="str">
        <f t="shared" ca="1" si="3024"/>
        <v/>
      </c>
      <c r="AK3955" s="700" t="str">
        <f t="shared" si="3025"/>
        <v/>
      </c>
      <c r="AL3955" s="700"/>
      <c r="AM3955" s="505" t="str">
        <f t="shared" si="3026"/>
        <v/>
      </c>
      <c r="AN3955" s="506"/>
      <c r="AO3955" s="507"/>
      <c r="AP3955" s="507"/>
      <c r="AQ3955" s="507"/>
      <c r="AR3955" s="507"/>
      <c r="AS3955" s="507"/>
      <c r="AT3955" s="507"/>
      <c r="AU3955" s="507"/>
      <c r="AV3955" s="225"/>
      <c r="AW3955" s="508"/>
      <c r="AX3955" s="225"/>
      <c r="AY3955" s="225"/>
      <c r="AZ3955" s="225"/>
      <c r="BA3955" s="225"/>
      <c r="BB3955" s="225"/>
      <c r="BC3955" s="56"/>
      <c r="BD3955" s="56"/>
      <c r="BE3955" s="56"/>
      <c r="BF3955" s="107" t="str">
        <f t="shared" si="3027"/>
        <v>https://www.google.com/search?tbm=isch&amp;q=7%20G4</v>
      </c>
      <c r="BG3955" s="107" t="str">
        <f t="shared" si="3028"/>
        <v>V</v>
      </c>
      <c r="BH3955" s="254"/>
      <c r="BI3955" s="254"/>
    </row>
    <row r="3956" spans="1:61" customFormat="1" ht="15.75" x14ac:dyDescent="0.25">
      <c r="A3956" s="276">
        <v>10</v>
      </c>
      <c r="B3956" s="240" t="s">
        <v>291</v>
      </c>
      <c r="C3956" s="241" t="s">
        <v>3844</v>
      </c>
      <c r="D3956" s="242" t="s">
        <v>292</v>
      </c>
      <c r="E3956" s="243">
        <v>307.95</v>
      </c>
      <c r="F3956" s="517" t="s">
        <v>293</v>
      </c>
      <c r="G3956" s="232">
        <v>0</v>
      </c>
      <c r="H3956" s="661" t="str">
        <f>IF(G3956=0,"",IF(F3956="Buy",IF(G3956=1,"plant","plants"),IF(F3956&gt;0.01,"warranty","Error")))</f>
        <v/>
      </c>
      <c r="I3956" s="244">
        <f>IF(H3956="free",0,IF(H3956="credit",((E3956*(F3956))*G3956*-1),IF(F3956="Buy",(E3956*G3956),((E3956*(1-F3956))*G3956))))</f>
        <v>0</v>
      </c>
      <c r="J3956" s="244">
        <f>IF(H3956="warranty",0,(I3956*(_xlfn.SINGLE(SalesTaxPercentage))))</f>
        <v>0</v>
      </c>
      <c r="K3956" s="696">
        <f t="shared" ref="K3956" si="3045">I3956+J3956</f>
        <v>0</v>
      </c>
      <c r="L3956" s="696"/>
      <c r="M3956" s="659" t="str">
        <f>IF(AND(G3956&gt;0,E3956=0),"WARNING - no PRICE inserted",IF(H3956="free"," FREE ~ no charge this plant",IF(H3956="credit",CONCATENATE(" -$",ROUND(K3956*(1-T2GDiscount)*-1,2)," CREDIT after discount"),IF(T2GDiscount=0,"",IF(G3956=0,"",IF(F3956="Buy",CONCATENATE(" $",ROUND(K3956*(1-T2GDiscount),2)," with ",(T2GDiscount*100),"% discount"),CONCATENATE(" $",ROUND(K3956*(1-T2GDiscount),2)," with ",((T2GDiscount*100+F3956*100)-(T2GDiscount*100*F3956)),IF(F3956&gt;0,"% discounts",IF(NoWarrantyDiscount&gt;0,"% discounts","% discount")))))))))</f>
        <v/>
      </c>
      <c r="N3956" s="660"/>
      <c r="O3956" s="233"/>
      <c r="P3956" s="233"/>
      <c r="Q3956" s="233"/>
      <c r="R3956" s="233"/>
      <c r="S3956" s="233"/>
      <c r="T3956" s="508">
        <f t="shared" si="3016"/>
        <v>0</v>
      </c>
      <c r="U3956" s="225">
        <f>IF(NOT(ISNUMBER(G3956)), "", VLOOKUP(A3956,'Discount Lookup'!D:E,2,FALSE)*G3956)</f>
        <v>0</v>
      </c>
      <c r="V3956" s="225">
        <f>IF(NOT(ISNUMBER(G3956)), "", VLOOKUP(A3956,'Discount Lookup'!G:H,2,FALSE)*G3956)</f>
        <v>0</v>
      </c>
      <c r="W3956" s="508">
        <f t="shared" si="3017"/>
        <v>0</v>
      </c>
      <c r="X3956" s="508">
        <f t="shared" si="3018"/>
        <v>0</v>
      </c>
      <c r="Y3956" s="509" t="b">
        <f t="shared" si="3019"/>
        <v>0</v>
      </c>
      <c r="Z3956" s="510">
        <f t="shared" si="3020"/>
        <v>0</v>
      </c>
      <c r="AA3956" s="511"/>
      <c r="AB3956" s="511" t="str">
        <f t="shared" si="3021"/>
        <v/>
      </c>
      <c r="AC3956" s="698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698"/>
      <c r="AE3956" s="631" t="str">
        <f t="shared" si="3022"/>
        <v/>
      </c>
      <c r="AF3956" s="699" t="str">
        <f t="shared" si="3023"/>
        <v/>
      </c>
      <c r="AG3956" s="699"/>
      <c r="AH3956" s="699"/>
      <c r="AI3956" s="512">
        <f>IF(H3956="credit",0,IF(AE3956="free",0,IF(AE3956="me",0,IF(G3956&gt;0,(VLOOKUP(A3956,'Discount Lookup'!J:K,2)*G3956),0))))</f>
        <v>0</v>
      </c>
      <c r="AJ3956" s="513" t="str">
        <f t="shared" ca="1" si="3024"/>
        <v/>
      </c>
      <c r="AK3956" s="700" t="str">
        <f t="shared" si="3025"/>
        <v/>
      </c>
      <c r="AL3956" s="700"/>
      <c r="AM3956" s="505" t="str">
        <f t="shared" si="3026"/>
        <v/>
      </c>
      <c r="AN3956" s="506"/>
      <c r="AO3956" s="507"/>
      <c r="AP3956" s="507"/>
      <c r="AQ3956" s="507"/>
      <c r="AR3956" s="507"/>
      <c r="AS3956" s="507"/>
      <c r="AT3956" s="507"/>
      <c r="AU3956" s="507"/>
      <c r="AV3956" s="225"/>
      <c r="AW3956" s="508"/>
      <c r="AX3956" s="225"/>
      <c r="AY3956" s="225"/>
      <c r="AZ3956" s="225"/>
      <c r="BA3956" s="225"/>
      <c r="BB3956" s="225"/>
      <c r="BC3956" s="56"/>
      <c r="BD3956" s="56"/>
      <c r="BE3956" s="56"/>
      <c r="BF3956" s="107" t="str">
        <f t="shared" si="3027"/>
        <v>https://www.google.com/search?tbm=isch&amp;q=10%20G4</v>
      </c>
      <c r="BG3956" s="107" t="str">
        <f t="shared" si="3028"/>
        <v>V</v>
      </c>
      <c r="BH3956" s="254"/>
      <c r="BI3956" s="254"/>
    </row>
    <row r="3957" spans="1:61" customFormat="1" ht="27" x14ac:dyDescent="0.25">
      <c r="A3957" s="276">
        <v>15</v>
      </c>
      <c r="B3957" s="240" t="s">
        <v>291</v>
      </c>
      <c r="C3957" s="241" t="s">
        <v>3845</v>
      </c>
      <c r="D3957" s="242" t="s">
        <v>292</v>
      </c>
      <c r="E3957" s="243">
        <v>403.95</v>
      </c>
      <c r="F3957" s="517" t="s">
        <v>293</v>
      </c>
      <c r="G3957" s="232">
        <v>0</v>
      </c>
      <c r="H3957" s="661" t="str">
        <f>IF(G3957=0,"",IF(F3957="Buy",IF(G3957=1,"plant","plants"),IF(F3957&gt;0.01,"warranty","Error")))</f>
        <v/>
      </c>
      <c r="I3957" s="244">
        <f>IF(H3957="free",0,IF(H3957="credit",((E3957*(F3957))*G3957*-1),IF(F3957="Buy",(E3957*G3957),((E3957*(1-F3957))*G3957))))</f>
        <v>0</v>
      </c>
      <c r="J3957" s="244">
        <f>IF(H3957="warranty",0,(I3957*(_xlfn.SINGLE(SalesTaxPercentage))))</f>
        <v>0</v>
      </c>
      <c r="K3957" s="696">
        <f t="shared" ref="K3957" si="3046">I3957+J3957</f>
        <v>0</v>
      </c>
      <c r="L3957" s="696"/>
      <c r="M3957" s="659" t="str">
        <f>IF(AND(G3957&gt;0,E3957=0),"WARNING - no PRICE inserted",IF(H3957="free"," FREE ~ no charge this plant",IF(H3957="credit",CONCATENATE(" -$",ROUND(K3957*(1-T2GDiscount)*-1,2)," CREDIT after discount"),IF(T2GDiscount=0,"",IF(G3957=0,"",IF(F3957="Buy",CONCATENATE(" $",ROUND(K3957*(1-T2GDiscount),2)," with ",(T2GDiscount*100),"% discount"),CONCATENATE(" $",ROUND(K3957*(1-T2GDiscount),2)," with ",((T2GDiscount*100+F3957*100)-(T2GDiscount*100*F3957)),IF(F3957&gt;0,"% discounts",IF(NoWarrantyDiscount&gt;0,"% discounts","% discount")))))))))</f>
        <v/>
      </c>
      <c r="N3957" s="660"/>
      <c r="O3957" s="233"/>
      <c r="P3957" s="233"/>
      <c r="Q3957" s="233"/>
      <c r="R3957" s="233"/>
      <c r="S3957" s="233"/>
      <c r="T3957" s="508">
        <f t="shared" si="3016"/>
        <v>0</v>
      </c>
      <c r="U3957" s="225">
        <f>IF(NOT(ISNUMBER(G3957)), "", VLOOKUP(A3957,'Discount Lookup'!D:E,2,FALSE)*G3957)</f>
        <v>0</v>
      </c>
      <c r="V3957" s="225">
        <f>IF(NOT(ISNUMBER(G3957)), "", VLOOKUP(A3957,'Discount Lookup'!G:H,2,FALSE)*G3957)</f>
        <v>0</v>
      </c>
      <c r="W3957" s="508">
        <f t="shared" si="3017"/>
        <v>0</v>
      </c>
      <c r="X3957" s="508">
        <f t="shared" si="3018"/>
        <v>0</v>
      </c>
      <c r="Y3957" s="509" t="b">
        <f t="shared" si="3019"/>
        <v>0</v>
      </c>
      <c r="Z3957" s="510">
        <f t="shared" si="3020"/>
        <v>0</v>
      </c>
      <c r="AA3957" s="511"/>
      <c r="AB3957" s="511" t="str">
        <f t="shared" si="3021"/>
        <v/>
      </c>
      <c r="AC3957" s="698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698"/>
      <c r="AE3957" s="631" t="str">
        <f t="shared" si="3022"/>
        <v/>
      </c>
      <c r="AF3957" s="699" t="str">
        <f t="shared" si="3023"/>
        <v/>
      </c>
      <c r="AG3957" s="699"/>
      <c r="AH3957" s="699"/>
      <c r="AI3957" s="512">
        <f>IF(H3957="credit",0,IF(AE3957="free",0,IF(AE3957="me",0,IF(G3957&gt;0,(VLOOKUP(A3957,'Discount Lookup'!J:K,2)*G3957),0))))</f>
        <v>0</v>
      </c>
      <c r="AJ3957" s="513" t="str">
        <f t="shared" ca="1" si="3024"/>
        <v/>
      </c>
      <c r="AK3957" s="700" t="str">
        <f t="shared" si="3025"/>
        <v/>
      </c>
      <c r="AL3957" s="700"/>
      <c r="AM3957" s="505" t="str">
        <f t="shared" si="3026"/>
        <v/>
      </c>
      <c r="AN3957" s="506"/>
      <c r="AO3957" s="507"/>
      <c r="AP3957" s="507"/>
      <c r="AQ3957" s="507"/>
      <c r="AR3957" s="507"/>
      <c r="AS3957" s="507"/>
      <c r="AT3957" s="507"/>
      <c r="AU3957" s="507"/>
      <c r="AV3957" s="225"/>
      <c r="AW3957" s="508"/>
      <c r="AX3957" s="225"/>
      <c r="AY3957" s="225"/>
      <c r="AZ3957" s="225"/>
      <c r="BA3957" s="225"/>
      <c r="BB3957" s="225"/>
      <c r="BC3957" s="56"/>
      <c r="BD3957" s="56"/>
      <c r="BE3957" s="56"/>
      <c r="BF3957" s="107" t="str">
        <f t="shared" si="3027"/>
        <v>https://www.google.com/search?tbm=isch&amp;q=15%20G4</v>
      </c>
      <c r="BG3957" s="107" t="str">
        <f t="shared" si="3028"/>
        <v>V</v>
      </c>
      <c r="BH3957" s="254"/>
      <c r="BI3957" s="254"/>
    </row>
    <row r="3958" spans="1:61" customFormat="1" ht="15.75" x14ac:dyDescent="0.25">
      <c r="A3958" s="276">
        <v>10</v>
      </c>
      <c r="B3958" s="240" t="s">
        <v>291</v>
      </c>
      <c r="C3958" s="241" t="s">
        <v>1986</v>
      </c>
      <c r="D3958" s="242" t="s">
        <v>312</v>
      </c>
      <c r="E3958" s="243">
        <v>452.95</v>
      </c>
      <c r="F3958" s="517" t="s">
        <v>293</v>
      </c>
      <c r="G3958" s="232">
        <v>0</v>
      </c>
      <c r="H3958" s="661" t="str">
        <f>IF(G3958=0,"",IF(F3958="Buy",IF(G3958=1,"plant","plants"),IF(F3958&gt;0.01,"warranty","Error")))</f>
        <v/>
      </c>
      <c r="I3958" s="244">
        <f>IF(H3958="free",0,IF(H3958="credit",((E3958*(F3958))*G3958*-1),IF(F3958="Buy",(E3958*G3958),((E3958*(1-F3958))*G3958))))</f>
        <v>0</v>
      </c>
      <c r="J3958" s="244">
        <f>IF(H3958="warranty",0,(I3958*(_xlfn.SINGLE(SalesTaxPercentage))))</f>
        <v>0</v>
      </c>
      <c r="K3958" s="696">
        <f t="shared" ref="K3958" si="3047">I3958+J3958</f>
        <v>0</v>
      </c>
      <c r="L3958" s="696"/>
      <c r="M3958" s="659" t="str">
        <f>IF(AND(G3958&gt;0,E3958=0),"WARNING - no PRICE inserted",IF(H3958="free"," FREE ~ no charge this plant",IF(H3958="credit",CONCATENATE(" -$",ROUND(K3958*(1-T2GDiscount)*-1,2)," CREDIT after discount"),IF(T2GDiscount=0,"",IF(G3958=0,"",IF(F3958="Buy",CONCATENATE(" $",ROUND(K3958*(1-T2GDiscount),2)," with ",(T2GDiscount*100),"% discount"),CONCATENATE(" $",ROUND(K3958*(1-T2GDiscount),2)," with ",((T2GDiscount*100+F3958*100)-(T2GDiscount*100*F3958)),IF(F3958&gt;0,"% discounts",IF(NoWarrantyDiscount&gt;0,"% discounts","% discount")))))))))</f>
        <v/>
      </c>
      <c r="N3958" s="660"/>
      <c r="O3958" s="233"/>
      <c r="P3958" s="233"/>
      <c r="Q3958" s="233"/>
      <c r="R3958" s="233"/>
      <c r="S3958" s="233"/>
      <c r="T3958" s="508">
        <f t="shared" si="3016"/>
        <v>0</v>
      </c>
      <c r="U3958" s="225">
        <f>IF(NOT(ISNUMBER(G3958)), "", VLOOKUP(A3958,'Discount Lookup'!D:E,2,FALSE)*G3958)</f>
        <v>0</v>
      </c>
      <c r="V3958" s="225">
        <f>IF(NOT(ISNUMBER(G3958)), "", VLOOKUP(A3958,'Discount Lookup'!G:H,2,FALSE)*G3958)</f>
        <v>0</v>
      </c>
      <c r="W3958" s="508">
        <f t="shared" si="3017"/>
        <v>0</v>
      </c>
      <c r="X3958" s="508">
        <f t="shared" si="3018"/>
        <v>0</v>
      </c>
      <c r="Y3958" s="509" t="b">
        <f t="shared" si="3019"/>
        <v>0</v>
      </c>
      <c r="Z3958" s="510">
        <f t="shared" si="3020"/>
        <v>0</v>
      </c>
      <c r="AA3958" s="511"/>
      <c r="AB3958" s="511" t="str">
        <f t="shared" si="3021"/>
        <v/>
      </c>
      <c r="AC3958" s="698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698"/>
      <c r="AE3958" s="631" t="str">
        <f t="shared" si="3022"/>
        <v/>
      </c>
      <c r="AF3958" s="699" t="str">
        <f t="shared" si="3023"/>
        <v/>
      </c>
      <c r="AG3958" s="699"/>
      <c r="AH3958" s="699"/>
      <c r="AI3958" s="512">
        <f>IF(H3958="credit",0,IF(AE3958="free",0,IF(AE3958="me",0,IF(G3958&gt;0,(VLOOKUP(A3958,'Discount Lookup'!J:K,2)*G3958),0))))</f>
        <v>0</v>
      </c>
      <c r="AJ3958" s="513" t="str">
        <f t="shared" ca="1" si="3024"/>
        <v/>
      </c>
      <c r="AK3958" s="700" t="str">
        <f t="shared" si="3025"/>
        <v/>
      </c>
      <c r="AL3958" s="700"/>
      <c r="AM3958" s="505" t="str">
        <f t="shared" si="3026"/>
        <v/>
      </c>
      <c r="AN3958" s="506"/>
      <c r="AO3958" s="507"/>
      <c r="AP3958" s="507"/>
      <c r="AQ3958" s="507"/>
      <c r="AR3958" s="507"/>
      <c r="AS3958" s="507"/>
      <c r="AT3958" s="507"/>
      <c r="AU3958" s="507"/>
      <c r="AV3958" s="225"/>
      <c r="AW3958" s="508"/>
      <c r="AX3958" s="225"/>
      <c r="AY3958" s="225"/>
      <c r="AZ3958" s="225"/>
      <c r="BA3958" s="225"/>
      <c r="BB3958" s="225"/>
      <c r="BC3958" s="56"/>
      <c r="BD3958" s="56"/>
      <c r="BE3958" s="56"/>
      <c r="BF3958" s="107" t="str">
        <f t="shared" si="3027"/>
        <v>https://www.google.com/search?tbm=isch&amp;q=10%20G2</v>
      </c>
      <c r="BG3958" s="107" t="str">
        <f t="shared" si="3028"/>
        <v>V</v>
      </c>
      <c r="BH3958" s="254"/>
      <c r="BI3958" s="254"/>
    </row>
    <row r="3959" spans="1:61" customFormat="1" ht="15.75" x14ac:dyDescent="0.25">
      <c r="A3959" s="276">
        <v>25</v>
      </c>
      <c r="B3959" s="240" t="s">
        <v>291</v>
      </c>
      <c r="C3959" s="241" t="s">
        <v>3846</v>
      </c>
      <c r="D3959" s="242" t="s">
        <v>292</v>
      </c>
      <c r="E3959" s="243">
        <v>880.95</v>
      </c>
      <c r="F3959" s="517" t="s">
        <v>293</v>
      </c>
      <c r="G3959" s="232">
        <v>0</v>
      </c>
      <c r="H3959" s="661" t="str">
        <f>IF(G3959=0,"",IF(F3959="Buy",IF(G3959=1,"plant","plants"),IF(F3959&gt;0.01,"warranty","Error")))</f>
        <v/>
      </c>
      <c r="I3959" s="244">
        <f>IF(H3959="free",0,IF(H3959="credit",((E3959*(F3959))*G3959*-1),IF(F3959="Buy",(E3959*G3959),((E3959*(1-F3959))*G3959))))</f>
        <v>0</v>
      </c>
      <c r="J3959" s="244">
        <f>IF(H3959="warranty",0,(I3959*(_xlfn.SINGLE(SalesTaxPercentage))))</f>
        <v>0</v>
      </c>
      <c r="K3959" s="696">
        <f t="shared" ref="K3959" si="3048">I3959+J3959</f>
        <v>0</v>
      </c>
      <c r="L3959" s="696"/>
      <c r="M3959" s="659" t="str">
        <f>IF(AND(G3959&gt;0,E3959=0),"WARNING - no PRICE inserted",IF(H3959="free"," FREE ~ no charge this plant",IF(H3959="credit",CONCATENATE(" -$",ROUND(K3959*(1-T2GDiscount)*-1,2)," CREDIT after discount"),IF(T2GDiscount=0,"",IF(G3959=0,"",IF(F3959="Buy",CONCATENATE(" $",ROUND(K3959*(1-T2GDiscount),2)," with ",(T2GDiscount*100),"% discount"),CONCATENATE(" $",ROUND(K3959*(1-T2GDiscount),2)," with ",((T2GDiscount*100+F3959*100)-(T2GDiscount*100*F3959)),IF(F3959&gt;0,"% discounts",IF(NoWarrantyDiscount&gt;0,"% discounts","% discount")))))))))</f>
        <v/>
      </c>
      <c r="N3959" s="660"/>
      <c r="O3959" s="233"/>
      <c r="P3959" s="233"/>
      <c r="Q3959" s="233"/>
      <c r="R3959" s="233"/>
      <c r="S3959" s="233"/>
      <c r="T3959" s="508">
        <f t="shared" si="3016"/>
        <v>0</v>
      </c>
      <c r="U3959" s="225">
        <f>IF(NOT(ISNUMBER(G3959)), "", VLOOKUP(A3959,'Discount Lookup'!D:E,2,FALSE)*G3959)</f>
        <v>0</v>
      </c>
      <c r="V3959" s="225">
        <f>IF(NOT(ISNUMBER(G3959)), "", VLOOKUP(A3959,'Discount Lookup'!G:H,2,FALSE)*G3959)</f>
        <v>0</v>
      </c>
      <c r="W3959" s="508">
        <f t="shared" si="3017"/>
        <v>0</v>
      </c>
      <c r="X3959" s="508">
        <f t="shared" si="3018"/>
        <v>0</v>
      </c>
      <c r="Y3959" s="509" t="b">
        <f t="shared" si="3019"/>
        <v>0</v>
      </c>
      <c r="Z3959" s="510">
        <f t="shared" si="3020"/>
        <v>0</v>
      </c>
      <c r="AA3959" s="511"/>
      <c r="AB3959" s="511" t="str">
        <f t="shared" si="3021"/>
        <v/>
      </c>
      <c r="AC3959" s="698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698"/>
      <c r="AE3959" s="631" t="str">
        <f t="shared" si="3022"/>
        <v/>
      </c>
      <c r="AF3959" s="699" t="str">
        <f t="shared" si="3023"/>
        <v/>
      </c>
      <c r="AG3959" s="699"/>
      <c r="AH3959" s="699"/>
      <c r="AI3959" s="512">
        <f>IF(H3959="credit",0,IF(AE3959="free",0,IF(AE3959="me",0,IF(G3959&gt;0,(VLOOKUP(A3959,'Discount Lookup'!J:K,2)*G3959),0))))</f>
        <v>0</v>
      </c>
      <c r="AJ3959" s="513" t="str">
        <f t="shared" ca="1" si="3024"/>
        <v/>
      </c>
      <c r="AK3959" s="700" t="str">
        <f t="shared" si="3025"/>
        <v/>
      </c>
      <c r="AL3959" s="700"/>
      <c r="AM3959" s="505" t="str">
        <f t="shared" si="3026"/>
        <v/>
      </c>
      <c r="AN3959" s="506"/>
      <c r="AO3959" s="507"/>
      <c r="AP3959" s="507"/>
      <c r="AQ3959" s="507"/>
      <c r="AR3959" s="507"/>
      <c r="AS3959" s="507"/>
      <c r="AT3959" s="507"/>
      <c r="AU3959" s="507"/>
      <c r="AV3959" s="225"/>
      <c r="AW3959" s="508"/>
      <c r="AX3959" s="225"/>
      <c r="AY3959" s="225"/>
      <c r="AZ3959" s="225"/>
      <c r="BA3959" s="225"/>
      <c r="BB3959" s="225"/>
      <c r="BC3959" s="56"/>
      <c r="BD3959" s="56"/>
      <c r="BE3959" s="56"/>
      <c r="BF3959" s="107" t="str">
        <f t="shared" si="3027"/>
        <v>https://www.google.com/search?tbm=isch&amp;q=25%20G4</v>
      </c>
      <c r="BG3959" s="107" t="str">
        <f t="shared" si="3028"/>
        <v>V</v>
      </c>
      <c r="BH3959" s="254"/>
      <c r="BI3959" s="254"/>
    </row>
    <row r="3960" spans="1:61" customFormat="1" ht="17.25" thickBot="1" x14ac:dyDescent="0.3">
      <c r="A3960" s="524" t="s">
        <v>2269</v>
      </c>
      <c r="B3960" s="245"/>
      <c r="C3960" s="677"/>
      <c r="D3960" s="499"/>
      <c r="E3960" s="499"/>
      <c r="F3960" s="500"/>
      <c r="G3960" s="501"/>
      <c r="H3960" s="502"/>
      <c r="I3960" s="246"/>
      <c r="J3960" s="247"/>
      <c r="K3960" s="503"/>
      <c r="L3960" s="544"/>
      <c r="M3960" s="544"/>
      <c r="N3960" s="500"/>
      <c r="O3960" s="500"/>
      <c r="P3960" s="500"/>
      <c r="Q3960" s="500"/>
      <c r="R3960" s="500"/>
      <c r="S3960" s="278"/>
      <c r="T3960" s="508">
        <f t="shared" si="3016"/>
        <v>0</v>
      </c>
      <c r="U3960" s="225" t="str">
        <f>IF(NOT(ISNUMBER(G3960)), "", VLOOKUP(A3960,'Discount Lookup'!D:E,2,FALSE)*G3960)</f>
        <v/>
      </c>
      <c r="V3960" s="225" t="str">
        <f>IF(NOT(ISNUMBER(G3960)), "", VLOOKUP(A3960,'Discount Lookup'!G:H,2,FALSE)*G3960)</f>
        <v/>
      </c>
      <c r="W3960" s="508">
        <f t="shared" si="3017"/>
        <v>0</v>
      </c>
      <c r="X3960" s="508">
        <f t="shared" si="3018"/>
        <v>0</v>
      </c>
      <c r="Y3960" s="509" t="b">
        <f t="shared" si="3019"/>
        <v>0</v>
      </c>
      <c r="Z3960" s="510">
        <f t="shared" si="3020"/>
        <v>0</v>
      </c>
      <c r="AA3960" s="511"/>
      <c r="AB3960" s="511" t="str">
        <f t="shared" si="3021"/>
        <v/>
      </c>
      <c r="AC3960" s="698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698"/>
      <c r="AE3960" s="631" t="str">
        <f t="shared" si="3022"/>
        <v/>
      </c>
      <c r="AF3960" s="699" t="str">
        <f t="shared" si="3023"/>
        <v/>
      </c>
      <c r="AG3960" s="699"/>
      <c r="AH3960" s="699"/>
      <c r="AI3960" s="512">
        <f>IF(H3960="credit",0,IF(AE3960="free",0,IF(AE3960="me",0,IF(G3960&gt;0,(VLOOKUP(A3960,'Discount Lookup'!J:K,2)*G3960),0))))</f>
        <v>0</v>
      </c>
      <c r="AJ3960" s="513" t="str">
        <f t="shared" ca="1" si="3024"/>
        <v/>
      </c>
      <c r="AK3960" s="700" t="str">
        <f t="shared" si="3025"/>
        <v/>
      </c>
      <c r="AL3960" s="700"/>
      <c r="AM3960" s="505" t="str">
        <f t="shared" si="3026"/>
        <v/>
      </c>
      <c r="AN3960" s="506"/>
      <c r="AO3960" s="507"/>
      <c r="AP3960" s="507"/>
      <c r="AQ3960" s="507"/>
      <c r="AR3960" s="507"/>
      <c r="AS3960" s="507"/>
      <c r="AT3960" s="507"/>
      <c r="AU3960" s="507"/>
      <c r="AV3960" s="225"/>
      <c r="AW3960" s="508"/>
      <c r="AX3960" s="225"/>
      <c r="AY3960" s="225"/>
      <c r="AZ3960" s="225"/>
      <c r="BA3960" s="225"/>
      <c r="BB3960" s="225"/>
      <c r="BC3960" s="56"/>
      <c r="BD3960" s="56"/>
      <c r="BE3960" s="56"/>
      <c r="BF3960" s="107" t="str">
        <f t="shared" si="3027"/>
        <v>https://www.google.com/search?tbm=isch&amp;q=Viridis%20Cutleaf%20stuns%20with%20bright%20green%2C%20lacy%20foliage%20and%20brilliant%20fall%20color%20that%20glows%20gold%20and%20crimson%20</v>
      </c>
      <c r="BG3960" s="107" t="str">
        <f t="shared" si="3028"/>
        <v>V</v>
      </c>
      <c r="BH3960" s="254"/>
      <c r="BI3960" s="254"/>
    </row>
    <row r="3961" spans="1:61" customFormat="1" ht="18" x14ac:dyDescent="0.25">
      <c r="A3961" s="523" t="s">
        <v>1987</v>
      </c>
      <c r="B3961" s="235"/>
      <c r="C3961" s="676"/>
      <c r="D3961" s="255" t="s">
        <v>1988</v>
      </c>
      <c r="E3961" s="236"/>
      <c r="F3961" s="236"/>
      <c r="G3961" s="236"/>
      <c r="H3961" s="582" t="s">
        <v>577</v>
      </c>
      <c r="I3961" s="498" t="s">
        <v>654</v>
      </c>
      <c r="J3961" s="237"/>
      <c r="K3961" s="237"/>
      <c r="L3961" s="274"/>
      <c r="M3961" s="670" t="s">
        <v>4987</v>
      </c>
      <c r="N3961" s="681" t="str">
        <f>IF(AND(ISTEXT($A3961), ISERROR($A3961+0)), HYPERLINK($BF3961, "Images"), "")</f>
        <v>Images</v>
      </c>
      <c r="O3961" s="663" t="s">
        <v>4967</v>
      </c>
      <c r="P3961" s="253"/>
      <c r="Q3961" s="238"/>
      <c r="R3961" s="239"/>
      <c r="S3961" s="275"/>
      <c r="T3961" s="508">
        <f t="shared" si="3016"/>
        <v>0</v>
      </c>
      <c r="U3961" s="225" t="str">
        <f>IF(NOT(ISNUMBER(G3961)), "", VLOOKUP(A3961,'Discount Lookup'!D:E,2,FALSE)*G3961)</f>
        <v/>
      </c>
      <c r="V3961" s="225" t="str">
        <f>IF(NOT(ISNUMBER(G3961)), "", VLOOKUP(A3961,'Discount Lookup'!G:H,2,FALSE)*G3961)</f>
        <v/>
      </c>
      <c r="W3961" s="508">
        <f t="shared" si="3017"/>
        <v>0</v>
      </c>
      <c r="X3961" s="508" t="str">
        <f t="shared" si="3018"/>
        <v>White bloom</v>
      </c>
      <c r="Y3961" s="509" t="b">
        <f t="shared" si="3019"/>
        <v>0</v>
      </c>
      <c r="Z3961" s="510">
        <f t="shared" si="3020"/>
        <v>0</v>
      </c>
      <c r="AA3961" s="511"/>
      <c r="AB3961" s="511" t="str">
        <f t="shared" si="3021"/>
        <v/>
      </c>
      <c r="AC3961" s="698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698"/>
      <c r="AE3961" s="631" t="str">
        <f t="shared" si="3022"/>
        <v/>
      </c>
      <c r="AF3961" s="699" t="str">
        <f t="shared" si="3023"/>
        <v/>
      </c>
      <c r="AG3961" s="699"/>
      <c r="AH3961" s="699"/>
      <c r="AI3961" s="512">
        <f>IF(H3961="credit",0,IF(AE3961="free",0,IF(AE3961="me",0,IF(G3961&gt;0,(VLOOKUP(A3961,'Discount Lookup'!J:K,2)*G3961),0))))</f>
        <v>0</v>
      </c>
      <c r="AJ3961" s="513" t="str">
        <f t="shared" ca="1" si="3024"/>
        <v/>
      </c>
      <c r="AK3961" s="700" t="str">
        <f t="shared" si="3025"/>
        <v/>
      </c>
      <c r="AL3961" s="700"/>
      <c r="AM3961" s="505" t="str">
        <f t="shared" si="3026"/>
        <v/>
      </c>
      <c r="AN3961" s="506"/>
      <c r="AO3961" s="507"/>
      <c r="AP3961" s="507"/>
      <c r="AQ3961" s="507"/>
      <c r="AR3961" s="507"/>
      <c r="AS3961" s="507"/>
      <c r="AT3961" s="507"/>
      <c r="AU3961" s="507"/>
      <c r="AV3961" s="225"/>
      <c r="AW3961" s="508"/>
      <c r="AX3961" s="225"/>
      <c r="AY3961" s="225"/>
      <c r="AZ3961" s="225"/>
      <c r="BA3961" s="225"/>
      <c r="BB3961" s="225"/>
      <c r="BC3961" s="56"/>
      <c r="BD3961" s="56"/>
      <c r="BE3961" s="56"/>
      <c r="BF3961" s="107" t="str">
        <f t="shared" si="3027"/>
        <v>https://www.google.com/search?tbm=isch&amp;q=Visions%20in%20White%20Astilbe%20Astilbe%20chinensis%20%27Visions%20in%20White%27%20PP%2318965</v>
      </c>
      <c r="BG3961" s="107" t="str">
        <f t="shared" si="3028"/>
        <v>V</v>
      </c>
      <c r="BH3961" s="254"/>
      <c r="BI3961" s="254"/>
    </row>
    <row r="3962" spans="1:61" customFormat="1" ht="15.75" x14ac:dyDescent="0.25">
      <c r="A3962" s="276">
        <v>4</v>
      </c>
      <c r="B3962" s="240" t="s">
        <v>340</v>
      </c>
      <c r="C3962" s="241"/>
      <c r="D3962" s="242" t="s">
        <v>312</v>
      </c>
      <c r="E3962" s="243">
        <v>13.95</v>
      </c>
      <c r="F3962" s="517" t="s">
        <v>293</v>
      </c>
      <c r="G3962" s="232">
        <v>0</v>
      </c>
      <c r="H3962" s="661" t="str">
        <f>IF(G3962=0,"",IF(F3962="Buy",IF(G3962=1,"plant","plants"),IF(F3962&gt;0.01,"warranty","Error")))</f>
        <v/>
      </c>
      <c r="I3962" s="244">
        <f>IF(H3962="free",0,IF(H3962="credit",((E3962*(F3962))*G3962*-1),IF(F3962="Buy",(E3962*G3962),((E3962*(1-F3962))*G3962))))</f>
        <v>0</v>
      </c>
      <c r="J3962" s="244">
        <f>IF(H3962="warranty",0,(I3962*(_xlfn.SINGLE(SalesTaxPercentage))))</f>
        <v>0</v>
      </c>
      <c r="K3962" s="696">
        <f t="shared" ref="K3962" si="3049">I3962+J3962</f>
        <v>0</v>
      </c>
      <c r="L3962" s="696"/>
      <c r="M3962" s="659" t="str">
        <f>IF(AND(G3962&gt;0,E3962=0),"WARNING - no PRICE inserted",IF(H3962="free"," FREE ~ no charge this plant",IF(H3962="credit",CONCATENATE(" -$",ROUND(K3962*(1-T2GDiscount)*-1,2)," CREDIT after discount"),IF(T2GDiscount=0,"",IF(G3962=0,"",IF(F3962="Buy",CONCATENATE(" $",ROUND(K3962*(1-T2GDiscount),2)," with ",(T2GDiscount*100),"% discount"),CONCATENATE(" $",ROUND(K3962*(1-T2GDiscount),2)," with ",((T2GDiscount*100+F3962*100)-(T2GDiscount*100*F3962)),IF(F3962&gt;0,"% discounts",IF(NoWarrantyDiscount&gt;0,"% discounts","% discount")))))))))</f>
        <v/>
      </c>
      <c r="N3962" s="660"/>
      <c r="O3962" s="233"/>
      <c r="P3962" s="233"/>
      <c r="Q3962" s="233"/>
      <c r="R3962" s="233"/>
      <c r="S3962" s="233"/>
      <c r="T3962" s="508">
        <f t="shared" si="3016"/>
        <v>0</v>
      </c>
      <c r="U3962" s="225">
        <f>IF(NOT(ISNUMBER(G3962)), "", VLOOKUP(A3962,'Discount Lookup'!D:E,2,FALSE)*G3962)</f>
        <v>0</v>
      </c>
      <c r="V3962" s="225">
        <f>IF(NOT(ISNUMBER(G3962)), "", VLOOKUP(A3962,'Discount Lookup'!G:H,2,FALSE)*G3962)</f>
        <v>0</v>
      </c>
      <c r="W3962" s="508">
        <f t="shared" si="3017"/>
        <v>0</v>
      </c>
      <c r="X3962" s="508">
        <f t="shared" si="3018"/>
        <v>0</v>
      </c>
      <c r="Y3962" s="509" t="b">
        <f t="shared" si="3019"/>
        <v>0</v>
      </c>
      <c r="Z3962" s="510">
        <f t="shared" si="3020"/>
        <v>0</v>
      </c>
      <c r="AA3962" s="511"/>
      <c r="AB3962" s="511" t="str">
        <f t="shared" si="3021"/>
        <v/>
      </c>
      <c r="AC3962" s="698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698"/>
      <c r="AE3962" s="631" t="str">
        <f t="shared" si="3022"/>
        <v/>
      </c>
      <c r="AF3962" s="699" t="str">
        <f t="shared" si="3023"/>
        <v/>
      </c>
      <c r="AG3962" s="699"/>
      <c r="AH3962" s="699"/>
      <c r="AI3962" s="512">
        <f>IF(H3962="credit",0,IF(AE3962="free",0,IF(AE3962="me",0,IF(G3962&gt;0,(VLOOKUP(A3962,'Discount Lookup'!J:K,2)*G3962),0))))</f>
        <v>0</v>
      </c>
      <c r="AJ3962" s="513" t="str">
        <f t="shared" ca="1" si="3024"/>
        <v/>
      </c>
      <c r="AK3962" s="700" t="str">
        <f t="shared" si="3025"/>
        <v/>
      </c>
      <c r="AL3962" s="700"/>
      <c r="AM3962" s="505" t="str">
        <f t="shared" si="3026"/>
        <v/>
      </c>
      <c r="AN3962" s="506"/>
      <c r="AO3962" s="507"/>
      <c r="AP3962" s="507"/>
      <c r="AQ3962" s="507"/>
      <c r="AR3962" s="507"/>
      <c r="AS3962" s="507"/>
      <c r="AT3962" s="507"/>
      <c r="AU3962" s="507"/>
      <c r="AV3962" s="225"/>
      <c r="AW3962" s="508"/>
      <c r="AX3962" s="225"/>
      <c r="AY3962" s="225"/>
      <c r="AZ3962" s="225"/>
      <c r="BA3962" s="225"/>
      <c r="BB3962" s="225"/>
      <c r="BC3962" s="56"/>
      <c r="BD3962" s="56"/>
      <c r="BE3962" s="56"/>
      <c r="BF3962" s="107" t="str">
        <f t="shared" si="3027"/>
        <v>https://www.google.com/search?tbm=isch&amp;q=4%20G2</v>
      </c>
      <c r="BG3962" s="107" t="str">
        <f t="shared" si="3028"/>
        <v>V</v>
      </c>
      <c r="BH3962" s="254"/>
      <c r="BI3962" s="254"/>
    </row>
    <row r="3963" spans="1:61" customFormat="1" ht="17.25" thickBot="1" x14ac:dyDescent="0.3">
      <c r="A3963" s="673" t="s">
        <v>5274</v>
      </c>
      <c r="B3963" s="245"/>
      <c r="C3963" s="677"/>
      <c r="D3963" s="499"/>
      <c r="E3963" s="499"/>
      <c r="F3963" s="500"/>
      <c r="G3963" s="501"/>
      <c r="H3963" s="502"/>
      <c r="I3963" s="246"/>
      <c r="J3963" s="247"/>
      <c r="K3963" s="503"/>
      <c r="L3963" s="544"/>
      <c r="M3963" s="544"/>
      <c r="N3963" s="500"/>
      <c r="O3963" s="500"/>
      <c r="P3963" s="500"/>
      <c r="Q3963" s="500"/>
      <c r="R3963" s="500"/>
      <c r="S3963" s="669" t="s">
        <v>4993</v>
      </c>
      <c r="T3963" s="508">
        <f t="shared" si="3016"/>
        <v>0</v>
      </c>
      <c r="U3963" s="225" t="str">
        <f>IF(NOT(ISNUMBER(G3963)), "", VLOOKUP(A3963,'Discount Lookup'!D:E,2,FALSE)*G3963)</f>
        <v/>
      </c>
      <c r="V3963" s="225" t="str">
        <f>IF(NOT(ISNUMBER(G3963)), "", VLOOKUP(A3963,'Discount Lookup'!G:H,2,FALSE)*G3963)</f>
        <v/>
      </c>
      <c r="W3963" s="508">
        <f t="shared" si="3017"/>
        <v>0</v>
      </c>
      <c r="X3963" s="508">
        <f t="shared" si="3018"/>
        <v>0</v>
      </c>
      <c r="Y3963" s="509" t="b">
        <f t="shared" si="3019"/>
        <v>0</v>
      </c>
      <c r="Z3963" s="510">
        <f t="shared" si="3020"/>
        <v>0</v>
      </c>
      <c r="AA3963" s="511"/>
      <c r="AB3963" s="511" t="str">
        <f t="shared" si="3021"/>
        <v/>
      </c>
      <c r="AC3963" s="698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698"/>
      <c r="AE3963" s="631" t="str">
        <f t="shared" si="3022"/>
        <v/>
      </c>
      <c r="AF3963" s="699" t="str">
        <f t="shared" si="3023"/>
        <v/>
      </c>
      <c r="AG3963" s="699"/>
      <c r="AH3963" s="699"/>
      <c r="AI3963" s="512">
        <f>IF(H3963="credit",0,IF(AE3963="free",0,IF(AE3963="me",0,IF(G3963&gt;0,(VLOOKUP(A3963,'Discount Lookup'!J:K,2)*G3963),0))))</f>
        <v>0</v>
      </c>
      <c r="AJ3963" s="513" t="str">
        <f t="shared" ca="1" si="3024"/>
        <v/>
      </c>
      <c r="AK3963" s="700" t="str">
        <f t="shared" si="3025"/>
        <v/>
      </c>
      <c r="AL3963" s="700"/>
      <c r="AM3963" s="505" t="str">
        <f t="shared" si="3026"/>
        <v/>
      </c>
      <c r="AN3963" s="506"/>
      <c r="AO3963" s="507"/>
      <c r="AP3963" s="507"/>
      <c r="AQ3963" s="507"/>
      <c r="AR3963" s="507"/>
      <c r="AS3963" s="507"/>
      <c r="AT3963" s="507"/>
      <c r="AU3963" s="507"/>
      <c r="AV3963" s="225"/>
      <c r="AW3963" s="508"/>
      <c r="AX3963" s="225"/>
      <c r="AY3963" s="225"/>
      <c r="AZ3963" s="225"/>
      <c r="BA3963" s="225"/>
      <c r="BB3963" s="225"/>
      <c r="BC3963" s="56"/>
      <c r="BD3963" s="56"/>
      <c r="BE3963" s="56"/>
      <c r="BF3963" s="107" t="str">
        <f t="shared" si="3027"/>
        <v>https://www.google.com/search?tbm=isch&amp;q=moist%20sites%F0%9F%92%A7GOOD%2C%20Visions%20in%20White%20Astilbe%20offers%20elegant%20midsummer%20flower%20plumes%20above%20Bronze-Green%20foliage%20</v>
      </c>
      <c r="BG3963" s="107" t="str">
        <f t="shared" si="3028"/>
        <v>m</v>
      </c>
      <c r="BH3963" s="254"/>
      <c r="BI3963" s="254"/>
    </row>
    <row r="3964" spans="1:61" customFormat="1" ht="18" x14ac:dyDescent="0.25">
      <c r="A3964" s="523" t="s">
        <v>1989</v>
      </c>
      <c r="B3964" s="235"/>
      <c r="C3964" s="676"/>
      <c r="D3964" s="255" t="s">
        <v>1990</v>
      </c>
      <c r="E3964" s="236"/>
      <c r="F3964" s="236"/>
      <c r="G3964" s="236"/>
      <c r="H3964" s="582" t="s">
        <v>1045</v>
      </c>
      <c r="I3964" s="498" t="s">
        <v>2498</v>
      </c>
      <c r="J3964" s="237"/>
      <c r="K3964" s="237"/>
      <c r="L3964" s="274"/>
      <c r="M3964" s="668" t="s">
        <v>4975</v>
      </c>
      <c r="N3964" s="681" t="str">
        <f>IF(AND(ISTEXT($A3964), ISERROR($A3964+0)), HYPERLINK($BF3964, "Images"), "")</f>
        <v>Images</v>
      </c>
      <c r="O3964" s="663" t="s">
        <v>4967</v>
      </c>
      <c r="P3964" s="253"/>
      <c r="Q3964" s="238"/>
      <c r="R3964" s="239"/>
      <c r="S3964" s="275"/>
      <c r="T3964" s="508">
        <f t="shared" si="3016"/>
        <v>0</v>
      </c>
      <c r="U3964" s="225" t="str">
        <f>IF(NOT(ISNUMBER(G3964)), "", VLOOKUP(A3964,'Discount Lookup'!D:E,2,FALSE)*G3964)</f>
        <v/>
      </c>
      <c r="V3964" s="225" t="str">
        <f>IF(NOT(ISNUMBER(G3964)), "", VLOOKUP(A3964,'Discount Lookup'!G:H,2,FALSE)*G3964)</f>
        <v/>
      </c>
      <c r="W3964" s="508">
        <f t="shared" si="3017"/>
        <v>0</v>
      </c>
      <c r="X3964" s="508" t="str">
        <f t="shared" si="3018"/>
        <v>Magenta-Ruby Red</v>
      </c>
      <c r="Y3964" s="509" t="b">
        <f t="shared" si="3019"/>
        <v>0</v>
      </c>
      <c r="Z3964" s="510">
        <f t="shared" si="3020"/>
        <v>0</v>
      </c>
      <c r="AA3964" s="511"/>
      <c r="AB3964" s="511" t="str">
        <f t="shared" si="3021"/>
        <v/>
      </c>
      <c r="AC3964" s="698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698"/>
      <c r="AE3964" s="631" t="str">
        <f t="shared" si="3022"/>
        <v/>
      </c>
      <c r="AF3964" s="699" t="str">
        <f t="shared" si="3023"/>
        <v/>
      </c>
      <c r="AG3964" s="699"/>
      <c r="AH3964" s="699"/>
      <c r="AI3964" s="512">
        <f>IF(H3964="credit",0,IF(AE3964="free",0,IF(AE3964="me",0,IF(G3964&gt;0,(VLOOKUP(A3964,'Discount Lookup'!J:K,2)*G3964),0))))</f>
        <v>0</v>
      </c>
      <c r="AJ3964" s="513" t="str">
        <f t="shared" ca="1" si="3024"/>
        <v/>
      </c>
      <c r="AK3964" s="700" t="str">
        <f t="shared" si="3025"/>
        <v/>
      </c>
      <c r="AL3964" s="700"/>
      <c r="AM3964" s="505" t="str">
        <f t="shared" si="3026"/>
        <v/>
      </c>
      <c r="AN3964" s="506"/>
      <c r="AO3964" s="507"/>
      <c r="AP3964" s="507"/>
      <c r="AQ3964" s="507"/>
      <c r="AR3964" s="507"/>
      <c r="AS3964" s="507"/>
      <c r="AT3964" s="507"/>
      <c r="AU3964" s="507"/>
      <c r="AV3964" s="225"/>
      <c r="AW3964" s="508"/>
      <c r="AX3964" s="225"/>
      <c r="AY3964" s="225"/>
      <c r="AZ3964" s="225"/>
      <c r="BA3964" s="225"/>
      <c r="BB3964" s="225"/>
      <c r="BC3964" s="56"/>
      <c r="BD3964" s="56"/>
      <c r="BE3964" s="56"/>
      <c r="BF3964" s="107" t="str">
        <f t="shared" si="3027"/>
        <v>https://www.google.com/search?tbm=isch&amp;q=Vulcan%20Magnolia%20Magnolia%20%27Vulcan%27</v>
      </c>
      <c r="BG3964" s="107" t="str">
        <f t="shared" si="3028"/>
        <v>V</v>
      </c>
      <c r="BH3964" s="254"/>
      <c r="BI3964" s="254"/>
    </row>
    <row r="3965" spans="1:61" customFormat="1" ht="15.75" x14ac:dyDescent="0.25">
      <c r="A3965" s="276">
        <v>7</v>
      </c>
      <c r="B3965" s="240" t="s">
        <v>291</v>
      </c>
      <c r="C3965" s="241" t="s">
        <v>3847</v>
      </c>
      <c r="D3965" s="242" t="s">
        <v>292</v>
      </c>
      <c r="E3965" s="243">
        <v>157.94999999999999</v>
      </c>
      <c r="F3965" s="517" t="s">
        <v>293</v>
      </c>
      <c r="G3965" s="232">
        <v>0</v>
      </c>
      <c r="H3965" s="661" t="str">
        <f>IF(G3965=0,"",IF(F3965="Buy",IF(G3965=1,"plant","plants"),IF(F3965&gt;0.01,"warranty","Error")))</f>
        <v/>
      </c>
      <c r="I3965" s="244">
        <f>IF(H3965="free",0,IF(H3965="credit",((E3965*(F3965))*G3965*-1),IF(F3965="Buy",(E3965*G3965),((E3965*(1-F3965))*G3965))))</f>
        <v>0</v>
      </c>
      <c r="J3965" s="244">
        <f>IF(H3965="warranty",0,(I3965*(_xlfn.SINGLE(SalesTaxPercentage))))</f>
        <v>0</v>
      </c>
      <c r="K3965" s="696">
        <f t="shared" ref="K3965" si="3050">I3965+J3965</f>
        <v>0</v>
      </c>
      <c r="L3965" s="696"/>
      <c r="M3965" s="659" t="str">
        <f>IF(AND(G3965&gt;0,E3965=0),"WARNING - no PRICE inserted",IF(H3965="free"," FREE ~ no charge this plant",IF(H3965="credit",CONCATENATE(" -$",ROUND(K3965*(1-T2GDiscount)*-1,2)," CREDIT after discount"),IF(T2GDiscount=0,"",IF(G3965=0,"",IF(F3965="Buy",CONCATENATE(" $",ROUND(K3965*(1-T2GDiscount),2)," with ",(T2GDiscount*100),"% discount"),CONCATENATE(" $",ROUND(K3965*(1-T2GDiscount),2)," with ",((T2GDiscount*100+F3965*100)-(T2GDiscount*100*F3965)),IF(F3965&gt;0,"% discounts",IF(NoWarrantyDiscount&gt;0,"% discounts","% discount")))))))))</f>
        <v/>
      </c>
      <c r="N3965" s="660"/>
      <c r="O3965" s="233"/>
      <c r="P3965" s="233"/>
      <c r="Q3965" s="233"/>
      <c r="R3965" s="233"/>
      <c r="S3965" s="233"/>
      <c r="T3965" s="508">
        <f t="shared" si="3016"/>
        <v>0</v>
      </c>
      <c r="U3965" s="225">
        <f>IF(NOT(ISNUMBER(G3965)), "", VLOOKUP(A3965,'Discount Lookup'!D:E,2,FALSE)*G3965)</f>
        <v>0</v>
      </c>
      <c r="V3965" s="225">
        <f>IF(NOT(ISNUMBER(G3965)), "", VLOOKUP(A3965,'Discount Lookup'!G:H,2,FALSE)*G3965)</f>
        <v>0</v>
      </c>
      <c r="W3965" s="508">
        <f t="shared" si="3017"/>
        <v>0</v>
      </c>
      <c r="X3965" s="508">
        <f t="shared" si="3018"/>
        <v>0</v>
      </c>
      <c r="Y3965" s="509" t="b">
        <f t="shared" si="3019"/>
        <v>0</v>
      </c>
      <c r="Z3965" s="510">
        <f t="shared" si="3020"/>
        <v>0</v>
      </c>
      <c r="AA3965" s="511"/>
      <c r="AB3965" s="511" t="str">
        <f t="shared" si="3021"/>
        <v/>
      </c>
      <c r="AC3965" s="698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698"/>
      <c r="AE3965" s="631" t="str">
        <f t="shared" si="3022"/>
        <v/>
      </c>
      <c r="AF3965" s="699" t="str">
        <f t="shared" si="3023"/>
        <v/>
      </c>
      <c r="AG3965" s="699"/>
      <c r="AH3965" s="699"/>
      <c r="AI3965" s="512">
        <f>IF(H3965="credit",0,IF(AE3965="free",0,IF(AE3965="me",0,IF(G3965&gt;0,(VLOOKUP(A3965,'Discount Lookup'!J:K,2)*G3965),0))))</f>
        <v>0</v>
      </c>
      <c r="AJ3965" s="513" t="str">
        <f t="shared" ca="1" si="3024"/>
        <v/>
      </c>
      <c r="AK3965" s="700" t="str">
        <f t="shared" si="3025"/>
        <v/>
      </c>
      <c r="AL3965" s="700"/>
      <c r="AM3965" s="505" t="str">
        <f t="shared" si="3026"/>
        <v/>
      </c>
      <c r="AN3965" s="506"/>
      <c r="AO3965" s="507"/>
      <c r="AP3965" s="507"/>
      <c r="AQ3965" s="507"/>
      <c r="AR3965" s="507"/>
      <c r="AS3965" s="507"/>
      <c r="AT3965" s="507"/>
      <c r="AU3965" s="507"/>
      <c r="AV3965" s="225"/>
      <c r="AW3965" s="508"/>
      <c r="AX3965" s="225"/>
      <c r="AY3965" s="225"/>
      <c r="AZ3965" s="225"/>
      <c r="BA3965" s="225"/>
      <c r="BB3965" s="225"/>
      <c r="BC3965" s="56"/>
      <c r="BD3965" s="56"/>
      <c r="BE3965" s="56"/>
      <c r="BF3965" s="107" t="str">
        <f t="shared" si="3027"/>
        <v>https://www.google.com/search?tbm=isch&amp;q=7%20G4</v>
      </c>
      <c r="BG3965" s="107" t="str">
        <f t="shared" si="3028"/>
        <v>V</v>
      </c>
      <c r="BH3965" s="254"/>
      <c r="BI3965" s="254"/>
    </row>
    <row r="3966" spans="1:61" customFormat="1" ht="16.5" x14ac:dyDescent="0.25">
      <c r="A3966" s="524" t="s">
        <v>2270</v>
      </c>
      <c r="B3966" s="245"/>
      <c r="C3966" s="677"/>
      <c r="D3966" s="499"/>
      <c r="E3966" s="499"/>
      <c r="F3966" s="500"/>
      <c r="G3966" s="501"/>
      <c r="H3966" s="502"/>
      <c r="I3966" s="246"/>
      <c r="J3966" s="247"/>
      <c r="K3966" s="503"/>
      <c r="L3966" s="544"/>
      <c r="M3966" s="544"/>
      <c r="N3966" s="500"/>
      <c r="O3966" s="500"/>
      <c r="P3966" s="500"/>
      <c r="Q3966" s="500"/>
      <c r="R3966" s="500"/>
      <c r="S3966" s="278"/>
      <c r="T3966" s="508">
        <f t="shared" si="3016"/>
        <v>0</v>
      </c>
      <c r="U3966" s="225" t="str">
        <f>IF(NOT(ISNUMBER(G3966)), "", VLOOKUP(A3966,'Discount Lookup'!D:E,2,FALSE)*G3966)</f>
        <v/>
      </c>
      <c r="V3966" s="225" t="str">
        <f>IF(NOT(ISNUMBER(G3966)), "", VLOOKUP(A3966,'Discount Lookup'!G:H,2,FALSE)*G3966)</f>
        <v/>
      </c>
      <c r="W3966" s="508">
        <f t="shared" si="3017"/>
        <v>0</v>
      </c>
      <c r="X3966" s="508">
        <f t="shared" si="3018"/>
        <v>0</v>
      </c>
      <c r="Y3966" s="509" t="b">
        <f t="shared" si="3019"/>
        <v>0</v>
      </c>
      <c r="Z3966" s="510">
        <f t="shared" si="3020"/>
        <v>0</v>
      </c>
      <c r="AA3966" s="511"/>
      <c r="AB3966" s="511" t="str">
        <f t="shared" si="3021"/>
        <v/>
      </c>
      <c r="AC3966" s="698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698"/>
      <c r="AE3966" s="631" t="str">
        <f t="shared" si="3022"/>
        <v/>
      </c>
      <c r="AF3966" s="699" t="str">
        <f t="shared" si="3023"/>
        <v/>
      </c>
      <c r="AG3966" s="699"/>
      <c r="AH3966" s="699"/>
      <c r="AI3966" s="512">
        <f>IF(H3966="credit",0,IF(AE3966="free",0,IF(AE3966="me",0,IF(G3966&gt;0,(VLOOKUP(A3966,'Discount Lookup'!J:K,2)*G3966),0))))</f>
        <v>0</v>
      </c>
      <c r="AJ3966" s="513" t="str">
        <f t="shared" ca="1" si="3024"/>
        <v/>
      </c>
      <c r="AK3966" s="700" t="str">
        <f t="shared" si="3025"/>
        <v/>
      </c>
      <c r="AL3966" s="700"/>
      <c r="AM3966" s="505" t="str">
        <f t="shared" si="3026"/>
        <v/>
      </c>
      <c r="AN3966" s="506"/>
      <c r="AO3966" s="507"/>
      <c r="AP3966" s="507"/>
      <c r="AQ3966" s="507"/>
      <c r="AR3966" s="507"/>
      <c r="AS3966" s="507"/>
      <c r="AT3966" s="507"/>
      <c r="AU3966" s="507"/>
      <c r="AV3966" s="225"/>
      <c r="AW3966" s="508"/>
      <c r="AX3966" s="225"/>
      <c r="AY3966" s="225"/>
      <c r="AZ3966" s="225"/>
      <c r="BA3966" s="225"/>
      <c r="BB3966" s="225"/>
      <c r="BC3966" s="56"/>
      <c r="BD3966" s="56"/>
      <c r="BE3966" s="56"/>
      <c r="BF3966" s="107" t="str">
        <f t="shared" si="3027"/>
        <v>https://www.google.com/search?tbm=isch&amp;q=Vulcan%20known%20for%20massive%20fragrant%20blooms%20up%20to%2012%E2%80%B3%20across.%20Golden-Yellow%20fall%20foliage%20</v>
      </c>
      <c r="BG3966" s="107" t="str">
        <f t="shared" si="3028"/>
        <v>V</v>
      </c>
      <c r="BH3966" s="254"/>
      <c r="BI3966" s="254"/>
    </row>
    <row r="3967" spans="1:61" customFormat="1" ht="45.75" thickBot="1" x14ac:dyDescent="0.35">
      <c r="A3967" s="525" t="s">
        <v>1991</v>
      </c>
      <c r="B3967" s="248"/>
      <c r="C3967" s="678" t="s">
        <v>673</v>
      </c>
      <c r="D3967" s="249"/>
      <c r="E3967" s="249"/>
      <c r="F3967" s="249"/>
      <c r="G3967" s="249"/>
      <c r="H3967" s="250"/>
      <c r="I3967" s="249"/>
      <c r="J3967" s="249"/>
      <c r="K3967" s="526" t="s">
        <v>2840</v>
      </c>
      <c r="L3967" s="279"/>
      <c r="M3967" s="251"/>
      <c r="S3967" s="504" t="s">
        <v>2841</v>
      </c>
      <c r="T3967" s="508">
        <f t="shared" si="3016"/>
        <v>0</v>
      </c>
      <c r="U3967" s="225" t="str">
        <f>IF(NOT(ISNUMBER(G3967)), "", VLOOKUP(A3967,'Discount Lookup'!D:E,2,FALSE)*G3967)</f>
        <v/>
      </c>
      <c r="V3967" s="225" t="str">
        <f>IF(NOT(ISNUMBER(G3967)), "", VLOOKUP(A3967,'Discount Lookup'!G:H,2,FALSE)*G3967)</f>
        <v/>
      </c>
      <c r="W3967" s="508">
        <f t="shared" si="3017"/>
        <v>0</v>
      </c>
      <c r="X3967" s="508">
        <f t="shared" si="3018"/>
        <v>0</v>
      </c>
      <c r="Y3967" s="509" t="b">
        <f t="shared" si="3019"/>
        <v>0</v>
      </c>
      <c r="Z3967" s="510">
        <f t="shared" si="3020"/>
        <v>0</v>
      </c>
      <c r="AA3967" s="511"/>
      <c r="AB3967" s="511" t="str">
        <f t="shared" si="3021"/>
        <v/>
      </c>
      <c r="AC3967" s="698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698"/>
      <c r="AE3967" s="631" t="str">
        <f t="shared" si="3022"/>
        <v/>
      </c>
      <c r="AF3967" s="699" t="str">
        <f t="shared" si="3023"/>
        <v/>
      </c>
      <c r="AG3967" s="699"/>
      <c r="AH3967" s="699"/>
      <c r="AI3967" s="512">
        <f>IF(H3967="credit",0,IF(AE3967="free",0,IF(AE3967="me",0,IF(G3967&gt;0,(VLOOKUP(A3967,'Discount Lookup'!J:K,2)*G3967),0))))</f>
        <v>0</v>
      </c>
      <c r="AJ3967" s="513" t="str">
        <f t="shared" ca="1" si="3024"/>
        <v/>
      </c>
      <c r="AK3967" s="700" t="str">
        <f t="shared" si="3025"/>
        <v/>
      </c>
      <c r="AL3967" s="700"/>
      <c r="AM3967" s="505" t="str">
        <f t="shared" si="3026"/>
        <v/>
      </c>
      <c r="AN3967" s="506"/>
      <c r="AO3967" s="507"/>
      <c r="AP3967" s="507"/>
      <c r="AQ3967" s="507"/>
      <c r="AR3967" s="507"/>
      <c r="AS3967" s="507"/>
      <c r="AT3967" s="507"/>
      <c r="AU3967" s="507"/>
      <c r="AV3967" s="225"/>
      <c r="AW3967" s="508"/>
      <c r="AX3967" s="225"/>
      <c r="AY3967" s="225"/>
      <c r="AZ3967" s="225"/>
      <c r="BA3967" s="225"/>
      <c r="BB3967" s="225"/>
      <c r="BC3967" s="56"/>
      <c r="BD3967" s="56"/>
      <c r="BE3967" s="56"/>
      <c r="BF3967" s="107" t="str">
        <f t="shared" si="3027"/>
        <v>https://www.google.com/search?tbm=isch&amp;q=W%20</v>
      </c>
      <c r="BG3967" s="107" t="str">
        <f t="shared" si="3028"/>
        <v>W</v>
      </c>
      <c r="BH3967" s="254"/>
      <c r="BI3967" s="254"/>
    </row>
    <row r="3968" spans="1:61" customFormat="1" ht="18" x14ac:dyDescent="0.25">
      <c r="A3968" s="523" t="s">
        <v>1992</v>
      </c>
      <c r="B3968" s="235"/>
      <c r="C3968" s="676"/>
      <c r="D3968" s="255" t="s">
        <v>1993</v>
      </c>
      <c r="E3968" s="236"/>
      <c r="F3968" s="236"/>
      <c r="G3968" s="236"/>
      <c r="H3968" s="582" t="s">
        <v>4042</v>
      </c>
      <c r="I3968" s="498" t="s">
        <v>1994</v>
      </c>
      <c r="J3968" s="237"/>
      <c r="K3968" s="237"/>
      <c r="L3968" s="274"/>
      <c r="M3968" s="668" t="s">
        <v>4975</v>
      </c>
      <c r="N3968" s="681" t="str">
        <f>IF(AND(ISTEXT($A3968), ISERROR($A3968+0)), HYPERLINK($BF3968, "Images"), "")</f>
        <v>Images</v>
      </c>
      <c r="O3968" s="663" t="s">
        <v>4969</v>
      </c>
      <c r="P3968" s="253"/>
      <c r="Q3968" s="238"/>
      <c r="R3968" s="239"/>
      <c r="S3968" s="275"/>
      <c r="T3968" s="508">
        <f t="shared" si="3016"/>
        <v>0</v>
      </c>
      <c r="U3968" s="225" t="str">
        <f>IF(NOT(ISNUMBER(G3968)), "", VLOOKUP(A3968,'Discount Lookup'!D:E,2,FALSE)*G3968)</f>
        <v/>
      </c>
      <c r="V3968" s="225" t="str">
        <f>IF(NOT(ISNUMBER(G3968)), "", VLOOKUP(A3968,'Discount Lookup'!G:H,2,FALSE)*G3968)</f>
        <v/>
      </c>
      <c r="W3968" s="508">
        <f t="shared" si="3017"/>
        <v>0</v>
      </c>
      <c r="X3968" s="508" t="str">
        <f t="shared" si="3018"/>
        <v>Violet Blue bloom</v>
      </c>
      <c r="Y3968" s="509" t="b">
        <f t="shared" si="3019"/>
        <v>0</v>
      </c>
      <c r="Z3968" s="510">
        <f t="shared" si="3020"/>
        <v>0</v>
      </c>
      <c r="AA3968" s="511"/>
      <c r="AB3968" s="511" t="str">
        <f t="shared" si="3021"/>
        <v/>
      </c>
      <c r="AC3968" s="698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698"/>
      <c r="AE3968" s="631" t="str">
        <f t="shared" si="3022"/>
        <v/>
      </c>
      <c r="AF3968" s="699" t="str">
        <f t="shared" si="3023"/>
        <v/>
      </c>
      <c r="AG3968" s="699"/>
      <c r="AH3968" s="699"/>
      <c r="AI3968" s="512">
        <f>IF(H3968="credit",0,IF(AE3968="free",0,IF(AE3968="me",0,IF(G3968&gt;0,(VLOOKUP(A3968,'Discount Lookup'!J:K,2)*G3968),0))))</f>
        <v>0</v>
      </c>
      <c r="AJ3968" s="513" t="str">
        <f t="shared" ca="1" si="3024"/>
        <v/>
      </c>
      <c r="AK3968" s="700" t="str">
        <f t="shared" si="3025"/>
        <v/>
      </c>
      <c r="AL3968" s="700"/>
      <c r="AM3968" s="505" t="str">
        <f t="shared" si="3026"/>
        <v/>
      </c>
      <c r="AN3968" s="506"/>
      <c r="AO3968" s="507"/>
      <c r="AP3968" s="507"/>
      <c r="AQ3968" s="507"/>
      <c r="AR3968" s="507"/>
      <c r="AS3968" s="507"/>
      <c r="AT3968" s="507"/>
      <c r="AU3968" s="507"/>
      <c r="AV3968" s="225"/>
      <c r="AW3968" s="508"/>
      <c r="AX3968" s="225"/>
      <c r="AY3968" s="225"/>
      <c r="AZ3968" s="225"/>
      <c r="BA3968" s="225"/>
      <c r="BB3968" s="225"/>
      <c r="BC3968" s="56"/>
      <c r="BD3968" s="56"/>
      <c r="BE3968" s="56"/>
      <c r="BF3968" s="107" t="str">
        <f t="shared" si="3027"/>
        <v>https://www.google.com/search?tbm=isch&amp;q=Walker%27s%20Low%20Catmint%20Nepeta%20x%20faassenii%20%27Walker%27s%20Low%27</v>
      </c>
      <c r="BG3968" s="107" t="str">
        <f t="shared" si="3028"/>
        <v>W</v>
      </c>
      <c r="BH3968" s="254"/>
      <c r="BI3968" s="254"/>
    </row>
    <row r="3969" spans="1:61" customFormat="1" ht="15.75" x14ac:dyDescent="0.25">
      <c r="A3969" s="276">
        <v>2</v>
      </c>
      <c r="B3969" s="240" t="s">
        <v>291</v>
      </c>
      <c r="C3969" s="241"/>
      <c r="D3969" s="242" t="s">
        <v>300</v>
      </c>
      <c r="E3969" s="243">
        <v>26.95</v>
      </c>
      <c r="F3969" s="517" t="s">
        <v>293</v>
      </c>
      <c r="G3969" s="232">
        <v>0</v>
      </c>
      <c r="H3969" s="661" t="str">
        <f>IF(G3969=0,"",IF(F3969="Buy",IF(G3969=1,"plant","plants"),IF(F3969&gt;0.01,"warranty","Error")))</f>
        <v/>
      </c>
      <c r="I3969" s="244">
        <f>IF(H3969="free",0,IF(H3969="credit",((E3969*(F3969))*G3969*-1),IF(F3969="Buy",(E3969*G3969),((E3969*(1-F3969))*G3969))))</f>
        <v>0</v>
      </c>
      <c r="J3969" s="244">
        <f>IF(H3969="warranty",0,(I3969*(_xlfn.SINGLE(SalesTaxPercentage))))</f>
        <v>0</v>
      </c>
      <c r="K3969" s="696">
        <f t="shared" ref="K3969" si="3051">I3969+J3969</f>
        <v>0</v>
      </c>
      <c r="L3969" s="696"/>
      <c r="M3969" s="659" t="str">
        <f>IF(AND(G3969&gt;0,E3969=0),"WARNING - no PRICE inserted",IF(H3969="free"," FREE ~ no charge this plant",IF(H3969="credit",CONCATENATE(" -$",ROUND(K3969*(1-T2GDiscount)*-1,2)," CREDIT after discount"),IF(T2GDiscount=0,"",IF(G3969=0,"",IF(F3969="Buy",CONCATENATE(" $",ROUND(K3969*(1-T2GDiscount),2)," with ",(T2GDiscount*100),"% discount"),CONCATENATE(" $",ROUND(K3969*(1-T2GDiscount),2)," with ",((T2GDiscount*100+F3969*100)-(T2GDiscount*100*F3969)),IF(F3969&gt;0,"% discounts",IF(NoWarrantyDiscount&gt;0,"% discounts","% discount")))))))))</f>
        <v/>
      </c>
      <c r="N3969" s="660"/>
      <c r="O3969" s="233"/>
      <c r="P3969" s="233"/>
      <c r="Q3969" s="233"/>
      <c r="R3969" s="233"/>
      <c r="S3969" s="233"/>
      <c r="T3969" s="508">
        <f t="shared" si="3016"/>
        <v>0</v>
      </c>
      <c r="U3969" s="225">
        <f>IF(NOT(ISNUMBER(G3969)), "", VLOOKUP(A3969,'Discount Lookup'!D:E,2,FALSE)*G3969)</f>
        <v>0</v>
      </c>
      <c r="V3969" s="225">
        <f>IF(NOT(ISNUMBER(G3969)), "", VLOOKUP(A3969,'Discount Lookup'!G:H,2,FALSE)*G3969)</f>
        <v>0</v>
      </c>
      <c r="W3969" s="508">
        <f t="shared" si="3017"/>
        <v>0</v>
      </c>
      <c r="X3969" s="508">
        <f t="shared" si="3018"/>
        <v>0</v>
      </c>
      <c r="Y3969" s="509" t="b">
        <f t="shared" si="3019"/>
        <v>0</v>
      </c>
      <c r="Z3969" s="510">
        <f t="shared" si="3020"/>
        <v>0</v>
      </c>
      <c r="AA3969" s="511"/>
      <c r="AB3969" s="511" t="str">
        <f t="shared" si="3021"/>
        <v/>
      </c>
      <c r="AC3969" s="698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698"/>
      <c r="AE3969" s="631" t="str">
        <f t="shared" si="3022"/>
        <v/>
      </c>
      <c r="AF3969" s="699" t="str">
        <f t="shared" si="3023"/>
        <v/>
      </c>
      <c r="AG3969" s="699"/>
      <c r="AH3969" s="699"/>
      <c r="AI3969" s="512">
        <f>IF(H3969="credit",0,IF(AE3969="free",0,IF(AE3969="me",0,IF(G3969&gt;0,(VLOOKUP(A3969,'Discount Lookup'!J:K,2)*G3969),0))))</f>
        <v>0</v>
      </c>
      <c r="AJ3969" s="513" t="str">
        <f t="shared" ca="1" si="3024"/>
        <v/>
      </c>
      <c r="AK3969" s="700" t="str">
        <f t="shared" si="3025"/>
        <v/>
      </c>
      <c r="AL3969" s="700"/>
      <c r="AM3969" s="505" t="str">
        <f t="shared" si="3026"/>
        <v/>
      </c>
      <c r="AN3969" s="506"/>
      <c r="AO3969" s="507"/>
      <c r="AP3969" s="507"/>
      <c r="AQ3969" s="507"/>
      <c r="AR3969" s="507"/>
      <c r="AS3969" s="507"/>
      <c r="AT3969" s="507"/>
      <c r="AU3969" s="507"/>
      <c r="AV3969" s="225"/>
      <c r="AW3969" s="508"/>
      <c r="AX3969" s="225"/>
      <c r="AY3969" s="225"/>
      <c r="AZ3969" s="225"/>
      <c r="BA3969" s="225"/>
      <c r="BB3969" s="225"/>
      <c r="BC3969" s="56"/>
      <c r="BD3969" s="56"/>
      <c r="BE3969" s="56"/>
      <c r="BF3969" s="107" t="str">
        <f t="shared" si="3027"/>
        <v>https://www.google.com/search?tbm=isch&amp;q=2%20G6</v>
      </c>
      <c r="BG3969" s="107" t="str">
        <f t="shared" si="3028"/>
        <v>W</v>
      </c>
      <c r="BH3969" s="254"/>
      <c r="BI3969" s="254"/>
    </row>
    <row r="3970" spans="1:61" customFormat="1" ht="17.25" thickBot="1" x14ac:dyDescent="0.3">
      <c r="A3970" s="524" t="s">
        <v>2920</v>
      </c>
      <c r="B3970" s="245"/>
      <c r="C3970" s="677"/>
      <c r="D3970" s="499"/>
      <c r="E3970" s="499"/>
      <c r="F3970" s="500"/>
      <c r="G3970" s="501"/>
      <c r="H3970" s="502"/>
      <c r="I3970" s="246"/>
      <c r="J3970" s="247"/>
      <c r="K3970" s="503"/>
      <c r="L3970" s="544"/>
      <c r="M3970" s="544"/>
      <c r="N3970" s="500"/>
      <c r="O3970" s="500"/>
      <c r="P3970" s="500"/>
      <c r="Q3970" s="500"/>
      <c r="R3970" s="500"/>
      <c r="S3970" s="669" t="s">
        <v>4994</v>
      </c>
      <c r="T3970" s="508">
        <f t="shared" si="3016"/>
        <v>0</v>
      </c>
      <c r="U3970" s="225" t="str">
        <f>IF(NOT(ISNUMBER(G3970)), "", VLOOKUP(A3970,'Discount Lookup'!D:E,2,FALSE)*G3970)</f>
        <v/>
      </c>
      <c r="V3970" s="225" t="str">
        <f>IF(NOT(ISNUMBER(G3970)), "", VLOOKUP(A3970,'Discount Lookup'!G:H,2,FALSE)*G3970)</f>
        <v/>
      </c>
      <c r="W3970" s="508">
        <f t="shared" si="3017"/>
        <v>0</v>
      </c>
      <c r="X3970" s="508">
        <f t="shared" si="3018"/>
        <v>0</v>
      </c>
      <c r="Y3970" s="509" t="b">
        <f t="shared" si="3019"/>
        <v>0</v>
      </c>
      <c r="Z3970" s="510">
        <f t="shared" si="3020"/>
        <v>0</v>
      </c>
      <c r="AA3970" s="511"/>
      <c r="AB3970" s="511" t="str">
        <f t="shared" si="3021"/>
        <v/>
      </c>
      <c r="AC3970" s="698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698"/>
      <c r="AE3970" s="631" t="str">
        <f t="shared" si="3022"/>
        <v/>
      </c>
      <c r="AF3970" s="699" t="str">
        <f t="shared" si="3023"/>
        <v/>
      </c>
      <c r="AG3970" s="699"/>
      <c r="AH3970" s="699"/>
      <c r="AI3970" s="512">
        <f>IF(H3970="credit",0,IF(AE3970="free",0,IF(AE3970="me",0,IF(G3970&gt;0,(VLOOKUP(A3970,'Discount Lookup'!J:K,2)*G3970),0))))</f>
        <v>0</v>
      </c>
      <c r="AJ3970" s="513" t="str">
        <f t="shared" ca="1" si="3024"/>
        <v/>
      </c>
      <c r="AK3970" s="700" t="str">
        <f t="shared" si="3025"/>
        <v/>
      </c>
      <c r="AL3970" s="700"/>
      <c r="AM3970" s="505" t="str">
        <f t="shared" si="3026"/>
        <v/>
      </c>
      <c r="AN3970" s="506"/>
      <c r="AO3970" s="507"/>
      <c r="AP3970" s="507"/>
      <c r="AQ3970" s="507"/>
      <c r="AR3970" s="507"/>
      <c r="AS3970" s="507"/>
      <c r="AT3970" s="507"/>
      <c r="AU3970" s="507"/>
      <c r="AV3970" s="225"/>
      <c r="AW3970" s="508"/>
      <c r="AX3970" s="225"/>
      <c r="AY3970" s="225"/>
      <c r="AZ3970" s="225"/>
      <c r="BA3970" s="225"/>
      <c r="BB3970" s="225"/>
      <c r="BC3970" s="56"/>
      <c r="BD3970" s="56"/>
      <c r="BE3970" s="56"/>
      <c r="BF3970" s="107" t="str">
        <f t="shared" si="3027"/>
        <v>https://www.google.com/search?tbm=isch&amp;q=Walker%27s%20Low%20is%20not%20quite%20as%20enticing%20as%20%27cataria%27%20Catmint%2C%20but%20cats%20still%20crazy%20for%20the%20fragrance%20</v>
      </c>
      <c r="BG3970" s="107" t="str">
        <f t="shared" si="3028"/>
        <v>W</v>
      </c>
      <c r="BH3970" s="254"/>
      <c r="BI3970" s="254"/>
    </row>
    <row r="3971" spans="1:61" customFormat="1" ht="18" x14ac:dyDescent="0.25">
      <c r="A3971" s="523" t="s">
        <v>1995</v>
      </c>
      <c r="B3971" s="235"/>
      <c r="C3971" s="676"/>
      <c r="D3971" s="255" t="s">
        <v>1996</v>
      </c>
      <c r="E3971" s="236"/>
      <c r="F3971" s="236"/>
      <c r="G3971" s="236"/>
      <c r="H3971" s="582" t="s">
        <v>367</v>
      </c>
      <c r="I3971" s="498" t="s">
        <v>2284</v>
      </c>
      <c r="J3971" s="237"/>
      <c r="K3971" s="237"/>
      <c r="L3971" s="274"/>
      <c r="M3971" s="668" t="s">
        <v>4975</v>
      </c>
      <c r="N3971" s="681" t="str">
        <f>IF(AND(ISTEXT($A3971), ISERROR($A3971+0)), HYPERLINK($BF3971, "Images"), "")</f>
        <v>Images</v>
      </c>
      <c r="O3971" s="663" t="s">
        <v>4967</v>
      </c>
      <c r="P3971" s="253"/>
      <c r="Q3971" s="238"/>
      <c r="R3971" s="239"/>
      <c r="S3971" s="275"/>
      <c r="T3971" s="508">
        <f t="shared" si="3016"/>
        <v>0</v>
      </c>
      <c r="U3971" s="225" t="str">
        <f>IF(NOT(ISNUMBER(G3971)), "", VLOOKUP(A3971,'Discount Lookup'!D:E,2,FALSE)*G3971)</f>
        <v/>
      </c>
      <c r="V3971" s="225" t="str">
        <f>IF(NOT(ISNUMBER(G3971)), "", VLOOKUP(A3971,'Discount Lookup'!G:H,2,FALSE)*G3971)</f>
        <v/>
      </c>
      <c r="W3971" s="508">
        <f t="shared" si="3017"/>
        <v>0</v>
      </c>
      <c r="X3971" s="508" t="str">
        <f t="shared" si="3018"/>
        <v>Rich Green foliage</v>
      </c>
      <c r="Y3971" s="509" t="b">
        <f t="shared" si="3019"/>
        <v>0</v>
      </c>
      <c r="Z3971" s="510">
        <f t="shared" si="3020"/>
        <v>0</v>
      </c>
      <c r="AA3971" s="511"/>
      <c r="AB3971" s="511" t="str">
        <f t="shared" si="3021"/>
        <v/>
      </c>
      <c r="AC3971" s="698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698"/>
      <c r="AE3971" s="631" t="str">
        <f t="shared" si="3022"/>
        <v/>
      </c>
      <c r="AF3971" s="699" t="str">
        <f t="shared" si="3023"/>
        <v/>
      </c>
      <c r="AG3971" s="699"/>
      <c r="AH3971" s="699"/>
      <c r="AI3971" s="512">
        <f>IF(H3971="credit",0,IF(AE3971="free",0,IF(AE3971="me",0,IF(G3971&gt;0,(VLOOKUP(A3971,'Discount Lookup'!J:K,2)*G3971),0))))</f>
        <v>0</v>
      </c>
      <c r="AJ3971" s="513" t="str">
        <f t="shared" ca="1" si="3024"/>
        <v/>
      </c>
      <c r="AK3971" s="700" t="str">
        <f t="shared" si="3025"/>
        <v/>
      </c>
      <c r="AL3971" s="700"/>
      <c r="AM3971" s="505" t="str">
        <f t="shared" si="3026"/>
        <v/>
      </c>
      <c r="AN3971" s="506"/>
      <c r="AO3971" s="507"/>
      <c r="AP3971" s="507"/>
      <c r="AQ3971" s="507"/>
      <c r="AR3971" s="507"/>
      <c r="AS3971" s="507"/>
      <c r="AT3971" s="507"/>
      <c r="AU3971" s="507"/>
      <c r="AV3971" s="225"/>
      <c r="AW3971" s="508"/>
      <c r="AX3971" s="225"/>
      <c r="AY3971" s="225"/>
      <c r="AZ3971" s="225"/>
      <c r="BA3971" s="225"/>
      <c r="BB3971" s="225"/>
      <c r="BC3971" s="56"/>
      <c r="BD3971" s="56"/>
      <c r="BE3971" s="56"/>
      <c r="BF3971" s="107" t="str">
        <f t="shared" si="3027"/>
        <v>https://www.google.com/search?tbm=isch&amp;q=Waterfall%20Japanese%20Maple%20Acer%20palmatum%20var.%20dis.%20%27Waterfall%27</v>
      </c>
      <c r="BG3971" s="107" t="str">
        <f t="shared" si="3028"/>
        <v>W</v>
      </c>
      <c r="BH3971" s="254"/>
      <c r="BI3971" s="254"/>
    </row>
    <row r="3972" spans="1:61" customFormat="1" ht="15.75" x14ac:dyDescent="0.25">
      <c r="A3972" s="276">
        <v>25</v>
      </c>
      <c r="B3972" s="240" t="s">
        <v>291</v>
      </c>
      <c r="C3972" s="241" t="s">
        <v>3848</v>
      </c>
      <c r="D3972" s="242" t="s">
        <v>292</v>
      </c>
      <c r="E3972" s="243">
        <v>812.95</v>
      </c>
      <c r="F3972" s="517" t="s">
        <v>293</v>
      </c>
      <c r="G3972" s="232">
        <v>0</v>
      </c>
      <c r="H3972" s="661" t="str">
        <f>IF(G3972=0,"",IF(F3972="Buy",IF(G3972=1,"plant","plants"),IF(F3972&gt;0.01,"warranty","Error")))</f>
        <v/>
      </c>
      <c r="I3972" s="244">
        <f>IF(H3972="free",0,IF(H3972="credit",((E3972*(F3972))*G3972*-1),IF(F3972="Buy",(E3972*G3972),((E3972*(1-F3972))*G3972))))</f>
        <v>0</v>
      </c>
      <c r="J3972" s="244">
        <f>IF(H3972="warranty",0,(I3972*(_xlfn.SINGLE(SalesTaxPercentage))))</f>
        <v>0</v>
      </c>
      <c r="K3972" s="696">
        <f t="shared" ref="K3972" si="3052">I3972+J3972</f>
        <v>0</v>
      </c>
      <c r="L3972" s="696"/>
      <c r="M3972" s="659" t="str">
        <f>IF(AND(G3972&gt;0,E3972=0),"WARNING - no PRICE inserted",IF(H3972="free"," FREE ~ no charge this plant",IF(H3972="credit",CONCATENATE(" -$",ROUND(K3972*(1-T2GDiscount)*-1,2)," CREDIT after discount"),IF(T2GDiscount=0,"",IF(G3972=0,"",IF(F3972="Buy",CONCATENATE(" $",ROUND(K3972*(1-T2GDiscount),2)," with ",(T2GDiscount*100),"% discount"),CONCATENATE(" $",ROUND(K3972*(1-T2GDiscount),2)," with ",((T2GDiscount*100+F3972*100)-(T2GDiscount*100*F3972)),IF(F3972&gt;0,"% discounts",IF(NoWarrantyDiscount&gt;0,"% discounts","% discount")))))))))</f>
        <v/>
      </c>
      <c r="N3972" s="660"/>
      <c r="O3972" s="233"/>
      <c r="P3972" s="233"/>
      <c r="Q3972" s="233"/>
      <c r="R3972" s="233"/>
      <c r="S3972" s="233"/>
      <c r="T3972" s="508">
        <f t="shared" si="3016"/>
        <v>0</v>
      </c>
      <c r="U3972" s="225">
        <f>IF(NOT(ISNUMBER(G3972)), "", VLOOKUP(A3972,'Discount Lookup'!D:E,2,FALSE)*G3972)</f>
        <v>0</v>
      </c>
      <c r="V3972" s="225">
        <f>IF(NOT(ISNUMBER(G3972)), "", VLOOKUP(A3972,'Discount Lookup'!G:H,2,FALSE)*G3972)</f>
        <v>0</v>
      </c>
      <c r="W3972" s="508">
        <f t="shared" si="3017"/>
        <v>0</v>
      </c>
      <c r="X3972" s="508">
        <f t="shared" si="3018"/>
        <v>0</v>
      </c>
      <c r="Y3972" s="509" t="b">
        <f t="shared" si="3019"/>
        <v>0</v>
      </c>
      <c r="Z3972" s="510">
        <f t="shared" si="3020"/>
        <v>0</v>
      </c>
      <c r="AA3972" s="511"/>
      <c r="AB3972" s="511" t="str">
        <f t="shared" si="3021"/>
        <v/>
      </c>
      <c r="AC3972" s="698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698"/>
      <c r="AE3972" s="631" t="str">
        <f t="shared" si="3022"/>
        <v/>
      </c>
      <c r="AF3972" s="699" t="str">
        <f t="shared" si="3023"/>
        <v/>
      </c>
      <c r="AG3972" s="699"/>
      <c r="AH3972" s="699"/>
      <c r="AI3972" s="512">
        <f>IF(H3972="credit",0,IF(AE3972="free",0,IF(AE3972="me",0,IF(G3972&gt;0,(VLOOKUP(A3972,'Discount Lookup'!J:K,2)*G3972),0))))</f>
        <v>0</v>
      </c>
      <c r="AJ3972" s="513" t="str">
        <f t="shared" ca="1" si="3024"/>
        <v/>
      </c>
      <c r="AK3972" s="700" t="str">
        <f t="shared" si="3025"/>
        <v/>
      </c>
      <c r="AL3972" s="700"/>
      <c r="AM3972" s="505" t="str">
        <f t="shared" si="3026"/>
        <v/>
      </c>
      <c r="AN3972" s="506"/>
      <c r="AO3972" s="507"/>
      <c r="AP3972" s="507"/>
      <c r="AQ3972" s="507"/>
      <c r="AR3972" s="507"/>
      <c r="AS3972" s="507"/>
      <c r="AT3972" s="507"/>
      <c r="AU3972" s="507"/>
      <c r="AV3972" s="225"/>
      <c r="AW3972" s="508"/>
      <c r="AX3972" s="225"/>
      <c r="AY3972" s="225"/>
      <c r="AZ3972" s="225"/>
      <c r="BA3972" s="225"/>
      <c r="BB3972" s="225"/>
      <c r="BC3972" s="56"/>
      <c r="BD3972" s="56"/>
      <c r="BE3972" s="56"/>
      <c r="BF3972" s="107" t="str">
        <f t="shared" si="3027"/>
        <v>https://www.google.com/search?tbm=isch&amp;q=25%20G4</v>
      </c>
      <c r="BG3972" s="107" t="str">
        <f t="shared" si="3028"/>
        <v>W</v>
      </c>
      <c r="BH3972" s="254"/>
      <c r="BI3972" s="254"/>
    </row>
    <row r="3973" spans="1:61" customFormat="1" ht="17.25" thickBot="1" x14ac:dyDescent="0.3">
      <c r="A3973" s="524" t="s">
        <v>2701</v>
      </c>
      <c r="B3973" s="245"/>
      <c r="C3973" s="677"/>
      <c r="D3973" s="499"/>
      <c r="E3973" s="499"/>
      <c r="F3973" s="500"/>
      <c r="G3973" s="501"/>
      <c r="H3973" s="502"/>
      <c r="I3973" s="246"/>
      <c r="J3973" s="247"/>
      <c r="K3973" s="503"/>
      <c r="L3973" s="544"/>
      <c r="M3973" s="544"/>
      <c r="N3973" s="500"/>
      <c r="O3973" s="500"/>
      <c r="P3973" s="500"/>
      <c r="Q3973" s="500"/>
      <c r="R3973" s="500"/>
      <c r="S3973" s="278"/>
      <c r="T3973" s="508">
        <f t="shared" si="3016"/>
        <v>0</v>
      </c>
      <c r="U3973" s="225" t="str">
        <f>IF(NOT(ISNUMBER(G3973)), "", VLOOKUP(A3973,'Discount Lookup'!D:E,2,FALSE)*G3973)</f>
        <v/>
      </c>
      <c r="V3973" s="225" t="str">
        <f>IF(NOT(ISNUMBER(G3973)), "", VLOOKUP(A3973,'Discount Lookup'!G:H,2,FALSE)*G3973)</f>
        <v/>
      </c>
      <c r="W3973" s="508">
        <f t="shared" si="3017"/>
        <v>0</v>
      </c>
      <c r="X3973" s="508">
        <f t="shared" si="3018"/>
        <v>0</v>
      </c>
      <c r="Y3973" s="509" t="b">
        <f t="shared" si="3019"/>
        <v>0</v>
      </c>
      <c r="Z3973" s="510">
        <f t="shared" si="3020"/>
        <v>0</v>
      </c>
      <c r="AA3973" s="511"/>
      <c r="AB3973" s="511" t="str">
        <f t="shared" si="3021"/>
        <v/>
      </c>
      <c r="AC3973" s="698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698"/>
      <c r="AE3973" s="631" t="str">
        <f t="shared" si="3022"/>
        <v/>
      </c>
      <c r="AF3973" s="699" t="str">
        <f t="shared" si="3023"/>
        <v/>
      </c>
      <c r="AG3973" s="699"/>
      <c r="AH3973" s="699"/>
      <c r="AI3973" s="512">
        <f>IF(H3973="credit",0,IF(AE3973="free",0,IF(AE3973="me",0,IF(G3973&gt;0,(VLOOKUP(A3973,'Discount Lookup'!J:K,2)*G3973),0))))</f>
        <v>0</v>
      </c>
      <c r="AJ3973" s="513" t="str">
        <f t="shared" ca="1" si="3024"/>
        <v/>
      </c>
      <c r="AK3973" s="700" t="str">
        <f t="shared" si="3025"/>
        <v/>
      </c>
      <c r="AL3973" s="700"/>
      <c r="AM3973" s="505" t="str">
        <f t="shared" si="3026"/>
        <v/>
      </c>
      <c r="AN3973" s="506"/>
      <c r="AO3973" s="507"/>
      <c r="AP3973" s="507"/>
      <c r="AQ3973" s="507"/>
      <c r="AR3973" s="507"/>
      <c r="AS3973" s="507"/>
      <c r="AT3973" s="507"/>
      <c r="AU3973" s="507"/>
      <c r="AV3973" s="225"/>
      <c r="AW3973" s="508"/>
      <c r="AX3973" s="225"/>
      <c r="AY3973" s="225"/>
      <c r="AZ3973" s="225"/>
      <c r="BA3973" s="225"/>
      <c r="BB3973" s="225"/>
      <c r="BC3973" s="56"/>
      <c r="BD3973" s="56"/>
      <c r="BE3973" s="56"/>
      <c r="BF3973" s="107" t="str">
        <f t="shared" si="3027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3973" s="107" t="str">
        <f t="shared" si="3028"/>
        <v>W</v>
      </c>
      <c r="BH3973" s="254"/>
      <c r="BI3973" s="254"/>
    </row>
    <row r="3974" spans="1:61" customFormat="1" ht="18" x14ac:dyDescent="0.25">
      <c r="A3974" s="521" t="s">
        <v>1997</v>
      </c>
      <c r="B3974" s="477"/>
      <c r="C3974" s="674"/>
      <c r="D3974" s="478" t="s">
        <v>1998</v>
      </c>
      <c r="E3974" s="479"/>
      <c r="F3974" s="479"/>
      <c r="G3974" s="479"/>
      <c r="H3974" s="582" t="s">
        <v>1521</v>
      </c>
      <c r="I3974" s="480" t="s">
        <v>654</v>
      </c>
      <c r="J3974" s="479"/>
      <c r="K3974" s="479"/>
      <c r="L3974" s="560"/>
      <c r="M3974" s="666" t="s">
        <v>4966</v>
      </c>
      <c r="N3974" s="680" t="str">
        <f>IF(AND(ISTEXT($A3974), ISERROR($A3974+0)), HYPERLINK($BF3974, "Images"), "")</f>
        <v>Images</v>
      </c>
      <c r="O3974" s="662" t="s">
        <v>4974</v>
      </c>
      <c r="P3974" s="482"/>
      <c r="Q3974" s="483"/>
      <c r="R3974" s="483"/>
      <c r="S3974" s="484"/>
      <c r="T3974" s="508">
        <f t="shared" si="3016"/>
        <v>0</v>
      </c>
      <c r="U3974" s="225" t="str">
        <f>IF(NOT(ISNUMBER(G3974)), "", VLOOKUP(A3974,'Discount Lookup'!D:E,2,FALSE)*G3974)</f>
        <v/>
      </c>
      <c r="V3974" s="225" t="str">
        <f>IF(NOT(ISNUMBER(G3974)), "", VLOOKUP(A3974,'Discount Lookup'!G:H,2,FALSE)*G3974)</f>
        <v/>
      </c>
      <c r="W3974" s="508">
        <f t="shared" si="3017"/>
        <v>0</v>
      </c>
      <c r="X3974" s="508" t="str">
        <f t="shared" si="3018"/>
        <v>White bloom</v>
      </c>
      <c r="Y3974" s="509" t="b">
        <f t="shared" si="3019"/>
        <v>0</v>
      </c>
      <c r="Z3974" s="510">
        <f t="shared" si="3020"/>
        <v>0</v>
      </c>
      <c r="AA3974" s="511"/>
      <c r="AB3974" s="511" t="str">
        <f t="shared" si="3021"/>
        <v/>
      </c>
      <c r="AC3974" s="698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698"/>
      <c r="AE3974" s="631" t="str">
        <f t="shared" si="3022"/>
        <v/>
      </c>
      <c r="AF3974" s="699" t="str">
        <f t="shared" si="3023"/>
        <v/>
      </c>
      <c r="AG3974" s="699"/>
      <c r="AH3974" s="699"/>
      <c r="AI3974" s="512">
        <f>IF(H3974="credit",0,IF(AE3974="free",0,IF(AE3974="me",0,IF(G3974&gt;0,(VLOOKUP(A3974,'Discount Lookup'!J:K,2)*G3974),0))))</f>
        <v>0</v>
      </c>
      <c r="AJ3974" s="513" t="str">
        <f t="shared" ca="1" si="3024"/>
        <v/>
      </c>
      <c r="AK3974" s="700" t="str">
        <f t="shared" si="3025"/>
        <v/>
      </c>
      <c r="AL3974" s="700"/>
      <c r="AM3974" s="505" t="str">
        <f t="shared" si="3026"/>
        <v/>
      </c>
      <c r="AN3974" s="506"/>
      <c r="AO3974" s="507"/>
      <c r="AP3974" s="507"/>
      <c r="AQ3974" s="507"/>
      <c r="AR3974" s="507"/>
      <c r="AS3974" s="507"/>
      <c r="AT3974" s="507"/>
      <c r="AU3974" s="507"/>
      <c r="AV3974" s="225"/>
      <c r="AW3974" s="508"/>
      <c r="AX3974" s="225"/>
      <c r="AY3974" s="225"/>
      <c r="AZ3974" s="225"/>
      <c r="BA3974" s="225"/>
      <c r="BB3974" s="225"/>
      <c r="BC3974" s="56"/>
      <c r="BD3974" s="56"/>
      <c r="BE3974" s="56"/>
      <c r="BF3974" s="107" t="str">
        <f t="shared" si="3027"/>
        <v>https://www.google.com/search?tbm=isch&amp;q=Wavy%20Leaf%20Privet%20Ligustrum%20japonicum%20%27Recurvifolium%27</v>
      </c>
      <c r="BG3974" s="107" t="str">
        <f t="shared" si="3028"/>
        <v>W</v>
      </c>
      <c r="BH3974" s="254"/>
      <c r="BI3974" s="254"/>
    </row>
    <row r="3975" spans="1:61" customFormat="1" ht="15.75" x14ac:dyDescent="0.25">
      <c r="A3975" s="485">
        <v>3</v>
      </c>
      <c r="B3975" s="486" t="s">
        <v>291</v>
      </c>
      <c r="C3975" s="487" t="s">
        <v>328</v>
      </c>
      <c r="D3975" s="488" t="s">
        <v>312</v>
      </c>
      <c r="E3975" s="489">
        <v>24.95</v>
      </c>
      <c r="F3975" s="516" t="s">
        <v>293</v>
      </c>
      <c r="G3975" s="232">
        <v>0</v>
      </c>
      <c r="H3975" s="658" t="str">
        <f t="shared" ref="H3975:H3989" si="3053">IF(G3975=0,"",IF(F3975="Buy",IF(G3975=1,"plant","plants"),IF(F3975&gt;0.01,"warranty","Error")))</f>
        <v/>
      </c>
      <c r="I3975" s="490">
        <f t="shared" ref="I3975:I3989" si="3054">IF(H3975="free",0,IF(H3975="credit",((E3975*(F3975))*G3975*-1),IF(F3975="Buy",(E3975*G3975),((E3975*(1-F3975))*G3975))))</f>
        <v>0</v>
      </c>
      <c r="J3975" s="490">
        <f t="shared" ref="J3975:J3989" si="3055">IF(H3975="warranty",0,(I3975*(_xlfn.SINGLE(SalesTaxPercentage))))</f>
        <v>0</v>
      </c>
      <c r="K3975" s="695">
        <f t="shared" ref="K3975" si="3056">I3975+J3975</f>
        <v>0</v>
      </c>
      <c r="L3975" s="695"/>
      <c r="M3975" s="659" t="str">
        <f t="shared" ref="M3975:M3989" si="3057">IF(AND(G3975&gt;0,E3975=0),"WARNING - no PRICE inserted",IF(H3975="free"," FREE ~ no charge this plant",IF(H3975="credit",CONCATENATE(" -$",ROUND(K3975*(1-T2GDiscount)*-1,2)," CREDIT after discount"),IF(T2GDiscount=0,"",IF(G3975=0,"",IF(F3975="Buy",CONCATENATE(" $",ROUND(K3975*(1-T2GDiscount),2)," with ",(T2GDiscount*100),"% discount"),CONCATENATE(" $",ROUND(K3975*(1-T2GDiscount),2)," with ",((T2GDiscount*100+F3975*100)-(T2GDiscount*100*F3975)),IF(F3975&gt;0,"% discounts",IF(NoWarrantyDiscount&gt;0,"% discounts","% discount")))))))))</f>
        <v/>
      </c>
      <c r="N3975" s="660"/>
      <c r="O3975" s="233"/>
      <c r="P3975" s="233"/>
      <c r="Q3975" s="233"/>
      <c r="R3975" s="233"/>
      <c r="S3975" s="233"/>
      <c r="T3975" s="508">
        <f t="shared" si="3016"/>
        <v>0</v>
      </c>
      <c r="U3975" s="225">
        <f>IF(NOT(ISNUMBER(G3975)), "", VLOOKUP(A3975,'Discount Lookup'!D:E,2,FALSE)*G3975)</f>
        <v>0</v>
      </c>
      <c r="V3975" s="225">
        <f>IF(NOT(ISNUMBER(G3975)), "", VLOOKUP(A3975,'Discount Lookup'!G:H,2,FALSE)*G3975)</f>
        <v>0</v>
      </c>
      <c r="W3975" s="508">
        <f t="shared" si="3017"/>
        <v>0</v>
      </c>
      <c r="X3975" s="508">
        <f t="shared" si="3018"/>
        <v>0</v>
      </c>
      <c r="Y3975" s="509" t="b">
        <f t="shared" si="3019"/>
        <v>0</v>
      </c>
      <c r="Z3975" s="510">
        <f t="shared" si="3020"/>
        <v>0</v>
      </c>
      <c r="AA3975" s="511"/>
      <c r="AB3975" s="511" t="str">
        <f t="shared" si="3021"/>
        <v/>
      </c>
      <c r="AC3975" s="698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698"/>
      <c r="AE3975" s="631" t="str">
        <f t="shared" si="3022"/>
        <v/>
      </c>
      <c r="AF3975" s="699" t="str">
        <f t="shared" si="3023"/>
        <v/>
      </c>
      <c r="AG3975" s="699"/>
      <c r="AH3975" s="699"/>
      <c r="AI3975" s="512">
        <f>IF(H3975="credit",0,IF(AE3975="free",0,IF(AE3975="me",0,IF(G3975&gt;0,(VLOOKUP(A3975,'Discount Lookup'!J:K,2)*G3975),0))))</f>
        <v>0</v>
      </c>
      <c r="AJ3975" s="513" t="str">
        <f t="shared" ca="1" si="3024"/>
        <v/>
      </c>
      <c r="AK3975" s="700" t="str">
        <f t="shared" si="3025"/>
        <v/>
      </c>
      <c r="AL3975" s="700"/>
      <c r="AM3975" s="505" t="str">
        <f t="shared" si="3026"/>
        <v/>
      </c>
      <c r="AN3975" s="506"/>
      <c r="AO3975" s="507"/>
      <c r="AP3975" s="507"/>
      <c r="AQ3975" s="507"/>
      <c r="AR3975" s="507"/>
      <c r="AS3975" s="507"/>
      <c r="AT3975" s="507"/>
      <c r="AU3975" s="507"/>
      <c r="AV3975" s="225"/>
      <c r="AW3975" s="508"/>
      <c r="AX3975" s="225"/>
      <c r="AY3975" s="225"/>
      <c r="AZ3975" s="225"/>
      <c r="BA3975" s="225"/>
      <c r="BB3975" s="225"/>
      <c r="BC3975" s="56"/>
      <c r="BD3975" s="56"/>
      <c r="BE3975" s="56"/>
      <c r="BF3975" s="107" t="str">
        <f t="shared" si="3027"/>
        <v>https://www.google.com/search?tbm=isch&amp;q=3%20G2</v>
      </c>
      <c r="BG3975" s="107" t="str">
        <f t="shared" si="3028"/>
        <v>W</v>
      </c>
      <c r="BH3975" s="254"/>
      <c r="BI3975" s="254"/>
    </row>
    <row r="3976" spans="1:61" customFormat="1" ht="15.75" x14ac:dyDescent="0.25">
      <c r="A3976" s="485">
        <v>3</v>
      </c>
      <c r="B3976" s="486" t="s">
        <v>291</v>
      </c>
      <c r="C3976" s="487" t="s">
        <v>327</v>
      </c>
      <c r="D3976" s="488" t="s">
        <v>298</v>
      </c>
      <c r="E3976" s="489">
        <v>25.95</v>
      </c>
      <c r="F3976" s="516" t="s">
        <v>293</v>
      </c>
      <c r="G3976" s="232">
        <v>0</v>
      </c>
      <c r="H3976" s="658" t="str">
        <f t="shared" si="3053"/>
        <v/>
      </c>
      <c r="I3976" s="490">
        <f t="shared" si="3054"/>
        <v>0</v>
      </c>
      <c r="J3976" s="490">
        <f t="shared" si="3055"/>
        <v>0</v>
      </c>
      <c r="K3976" s="695">
        <f t="shared" ref="K3976" si="3058">I3976+J3976</f>
        <v>0</v>
      </c>
      <c r="L3976" s="695"/>
      <c r="M3976" s="659" t="str">
        <f t="shared" si="3057"/>
        <v/>
      </c>
      <c r="N3976" s="660"/>
      <c r="O3976" s="233"/>
      <c r="P3976" s="233"/>
      <c r="Q3976" s="233"/>
      <c r="R3976" s="233"/>
      <c r="S3976" s="233"/>
      <c r="T3976" s="508">
        <f t="shared" si="3016"/>
        <v>0</v>
      </c>
      <c r="U3976" s="225">
        <f>IF(NOT(ISNUMBER(G3976)), "", VLOOKUP(A3976,'Discount Lookup'!D:E,2,FALSE)*G3976)</f>
        <v>0</v>
      </c>
      <c r="V3976" s="225">
        <f>IF(NOT(ISNUMBER(G3976)), "", VLOOKUP(A3976,'Discount Lookup'!G:H,2,FALSE)*G3976)</f>
        <v>0</v>
      </c>
      <c r="W3976" s="508">
        <f t="shared" si="3017"/>
        <v>0</v>
      </c>
      <c r="X3976" s="508">
        <f t="shared" si="3018"/>
        <v>0</v>
      </c>
      <c r="Y3976" s="509" t="b">
        <f t="shared" si="3019"/>
        <v>0</v>
      </c>
      <c r="Z3976" s="510">
        <f t="shared" si="3020"/>
        <v>0</v>
      </c>
      <c r="AA3976" s="511"/>
      <c r="AB3976" s="511" t="str">
        <f t="shared" si="3021"/>
        <v/>
      </c>
      <c r="AC3976" s="698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698"/>
      <c r="AE3976" s="631" t="str">
        <f t="shared" si="3022"/>
        <v/>
      </c>
      <c r="AF3976" s="699" t="str">
        <f t="shared" si="3023"/>
        <v/>
      </c>
      <c r="AG3976" s="699"/>
      <c r="AH3976" s="699"/>
      <c r="AI3976" s="512">
        <f>IF(H3976="credit",0,IF(AE3976="free",0,IF(AE3976="me",0,IF(G3976&gt;0,(VLOOKUP(A3976,'Discount Lookup'!J:K,2)*G3976),0))))</f>
        <v>0</v>
      </c>
      <c r="AJ3976" s="513" t="str">
        <f t="shared" ca="1" si="3024"/>
        <v/>
      </c>
      <c r="AK3976" s="700" t="str">
        <f t="shared" si="3025"/>
        <v/>
      </c>
      <c r="AL3976" s="700"/>
      <c r="AM3976" s="505" t="str">
        <f t="shared" si="3026"/>
        <v/>
      </c>
      <c r="AN3976" s="506"/>
      <c r="AO3976" s="507"/>
      <c r="AP3976" s="507"/>
      <c r="AQ3976" s="507"/>
      <c r="AR3976" s="507"/>
      <c r="AS3976" s="507"/>
      <c r="AT3976" s="507"/>
      <c r="AU3976" s="507"/>
      <c r="AV3976" s="225"/>
      <c r="AW3976" s="508"/>
      <c r="AX3976" s="225"/>
      <c r="AY3976" s="225"/>
      <c r="AZ3976" s="225"/>
      <c r="BA3976" s="225"/>
      <c r="BB3976" s="225"/>
      <c r="BC3976" s="56"/>
      <c r="BD3976" s="56"/>
      <c r="BE3976" s="56"/>
      <c r="BF3976" s="107" t="str">
        <f t="shared" si="3027"/>
        <v>https://www.google.com/search?tbm=isch&amp;q=3%20G1</v>
      </c>
      <c r="BG3976" s="107" t="str">
        <f t="shared" si="3028"/>
        <v>W</v>
      </c>
      <c r="BH3976" s="254"/>
      <c r="BI3976" s="254"/>
    </row>
    <row r="3977" spans="1:61" customFormat="1" ht="15.75" x14ac:dyDescent="0.25">
      <c r="A3977" s="485">
        <v>3</v>
      </c>
      <c r="B3977" s="486" t="s">
        <v>291</v>
      </c>
      <c r="C3977" s="487" t="s">
        <v>2194</v>
      </c>
      <c r="D3977" s="488" t="s">
        <v>299</v>
      </c>
      <c r="E3977" s="489">
        <v>27.95</v>
      </c>
      <c r="F3977" s="516" t="s">
        <v>293</v>
      </c>
      <c r="G3977" s="232">
        <v>0</v>
      </c>
      <c r="H3977" s="658" t="str">
        <f t="shared" si="3053"/>
        <v/>
      </c>
      <c r="I3977" s="490">
        <f t="shared" si="3054"/>
        <v>0</v>
      </c>
      <c r="J3977" s="490">
        <f t="shared" si="3055"/>
        <v>0</v>
      </c>
      <c r="K3977" s="695">
        <f t="shared" ref="K3977" si="3059">I3977+J3977</f>
        <v>0</v>
      </c>
      <c r="L3977" s="695"/>
      <c r="M3977" s="659" t="str">
        <f t="shared" si="3057"/>
        <v/>
      </c>
      <c r="N3977" s="660"/>
      <c r="O3977" s="233"/>
      <c r="P3977" s="233"/>
      <c r="Q3977" s="233"/>
      <c r="R3977" s="233"/>
      <c r="S3977" s="233"/>
      <c r="T3977" s="508">
        <f t="shared" si="3016"/>
        <v>0</v>
      </c>
      <c r="U3977" s="225">
        <f>IF(NOT(ISNUMBER(G3977)), "", VLOOKUP(A3977,'Discount Lookup'!D:E,2,FALSE)*G3977)</f>
        <v>0</v>
      </c>
      <c r="V3977" s="225">
        <f>IF(NOT(ISNUMBER(G3977)), "", VLOOKUP(A3977,'Discount Lookup'!G:H,2,FALSE)*G3977)</f>
        <v>0</v>
      </c>
      <c r="W3977" s="508">
        <f t="shared" si="3017"/>
        <v>0</v>
      </c>
      <c r="X3977" s="508">
        <f t="shared" si="3018"/>
        <v>0</v>
      </c>
      <c r="Y3977" s="509" t="b">
        <f t="shared" si="3019"/>
        <v>0</v>
      </c>
      <c r="Z3977" s="510">
        <f t="shared" si="3020"/>
        <v>0</v>
      </c>
      <c r="AA3977" s="511"/>
      <c r="AB3977" s="511" t="str">
        <f t="shared" si="3021"/>
        <v/>
      </c>
      <c r="AC3977" s="698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698"/>
      <c r="AE3977" s="631" t="str">
        <f t="shared" si="3022"/>
        <v/>
      </c>
      <c r="AF3977" s="699" t="str">
        <f t="shared" si="3023"/>
        <v/>
      </c>
      <c r="AG3977" s="699"/>
      <c r="AH3977" s="699"/>
      <c r="AI3977" s="512">
        <f>IF(H3977="credit",0,IF(AE3977="free",0,IF(AE3977="me",0,IF(G3977&gt;0,(VLOOKUP(A3977,'Discount Lookup'!J:K,2)*G3977),0))))</f>
        <v>0</v>
      </c>
      <c r="AJ3977" s="513" t="str">
        <f t="shared" ca="1" si="3024"/>
        <v/>
      </c>
      <c r="AK3977" s="700" t="str">
        <f t="shared" si="3025"/>
        <v/>
      </c>
      <c r="AL3977" s="700"/>
      <c r="AM3977" s="505" t="str">
        <f t="shared" si="3026"/>
        <v/>
      </c>
      <c r="AN3977" s="506"/>
      <c r="AO3977" s="507"/>
      <c r="AP3977" s="507"/>
      <c r="AQ3977" s="507"/>
      <c r="AR3977" s="507"/>
      <c r="AS3977" s="507"/>
      <c r="AT3977" s="507"/>
      <c r="AU3977" s="507"/>
      <c r="AV3977" s="225"/>
      <c r="AW3977" s="508"/>
      <c r="AX3977" s="225"/>
      <c r="AY3977" s="225"/>
      <c r="AZ3977" s="225"/>
      <c r="BA3977" s="225"/>
      <c r="BB3977" s="225"/>
      <c r="BC3977" s="56"/>
      <c r="BD3977" s="56"/>
      <c r="BE3977" s="56"/>
      <c r="BF3977" s="107" t="str">
        <f t="shared" si="3027"/>
        <v>https://www.google.com/search?tbm=isch&amp;q=3%20G5</v>
      </c>
      <c r="BG3977" s="107" t="str">
        <f t="shared" si="3028"/>
        <v>W</v>
      </c>
      <c r="BH3977" s="254"/>
      <c r="BI3977" s="254"/>
    </row>
    <row r="3978" spans="1:61" customFormat="1" ht="15.75" x14ac:dyDescent="0.25">
      <c r="A3978" s="485">
        <v>3</v>
      </c>
      <c r="B3978" s="486" t="s">
        <v>291</v>
      </c>
      <c r="C3978" s="487" t="s">
        <v>1999</v>
      </c>
      <c r="D3978" s="488" t="s">
        <v>300</v>
      </c>
      <c r="E3978" s="489">
        <v>28.95</v>
      </c>
      <c r="F3978" s="516" t="s">
        <v>293</v>
      </c>
      <c r="G3978" s="232">
        <v>0</v>
      </c>
      <c r="H3978" s="658" t="str">
        <f t="shared" si="3053"/>
        <v/>
      </c>
      <c r="I3978" s="490">
        <f t="shared" si="3054"/>
        <v>0</v>
      </c>
      <c r="J3978" s="490">
        <f t="shared" si="3055"/>
        <v>0</v>
      </c>
      <c r="K3978" s="695">
        <f t="shared" ref="K3978" si="3060">I3978+J3978</f>
        <v>0</v>
      </c>
      <c r="L3978" s="695"/>
      <c r="M3978" s="659" t="str">
        <f t="shared" si="3057"/>
        <v/>
      </c>
      <c r="N3978" s="660"/>
      <c r="O3978" s="233"/>
      <c r="P3978" s="233"/>
      <c r="Q3978" s="233"/>
      <c r="R3978" s="233"/>
      <c r="S3978" s="233"/>
      <c r="T3978" s="508">
        <f t="shared" si="3016"/>
        <v>0</v>
      </c>
      <c r="U3978" s="225">
        <f>IF(NOT(ISNUMBER(G3978)), "", VLOOKUP(A3978,'Discount Lookup'!D:E,2,FALSE)*G3978)</f>
        <v>0</v>
      </c>
      <c r="V3978" s="225">
        <f>IF(NOT(ISNUMBER(G3978)), "", VLOOKUP(A3978,'Discount Lookup'!G:H,2,FALSE)*G3978)</f>
        <v>0</v>
      </c>
      <c r="W3978" s="508">
        <f t="shared" si="3017"/>
        <v>0</v>
      </c>
      <c r="X3978" s="508">
        <f t="shared" si="3018"/>
        <v>0</v>
      </c>
      <c r="Y3978" s="509" t="b">
        <f t="shared" si="3019"/>
        <v>0</v>
      </c>
      <c r="Z3978" s="510">
        <f t="shared" si="3020"/>
        <v>0</v>
      </c>
      <c r="AA3978" s="511"/>
      <c r="AB3978" s="511" t="str">
        <f t="shared" si="3021"/>
        <v/>
      </c>
      <c r="AC3978" s="698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698"/>
      <c r="AE3978" s="631" t="str">
        <f t="shared" si="3022"/>
        <v/>
      </c>
      <c r="AF3978" s="699" t="str">
        <f t="shared" si="3023"/>
        <v/>
      </c>
      <c r="AG3978" s="699"/>
      <c r="AH3978" s="699"/>
      <c r="AI3978" s="512">
        <f>IF(H3978="credit",0,IF(AE3978="free",0,IF(AE3978="me",0,IF(G3978&gt;0,(VLOOKUP(A3978,'Discount Lookup'!J:K,2)*G3978),0))))</f>
        <v>0</v>
      </c>
      <c r="AJ3978" s="513" t="str">
        <f t="shared" ca="1" si="3024"/>
        <v/>
      </c>
      <c r="AK3978" s="700" t="str">
        <f t="shared" si="3025"/>
        <v/>
      </c>
      <c r="AL3978" s="700"/>
      <c r="AM3978" s="505" t="str">
        <f t="shared" si="3026"/>
        <v/>
      </c>
      <c r="AN3978" s="506"/>
      <c r="AO3978" s="507"/>
      <c r="AP3978" s="507"/>
      <c r="AQ3978" s="507"/>
      <c r="AR3978" s="507"/>
      <c r="AS3978" s="507"/>
      <c r="AT3978" s="507"/>
      <c r="AU3978" s="507"/>
      <c r="AV3978" s="225"/>
      <c r="AW3978" s="508"/>
      <c r="AX3978" s="225"/>
      <c r="AY3978" s="225"/>
      <c r="AZ3978" s="225"/>
      <c r="BA3978" s="225"/>
      <c r="BB3978" s="225"/>
      <c r="BC3978" s="56"/>
      <c r="BD3978" s="56"/>
      <c r="BE3978" s="56"/>
      <c r="BF3978" s="107" t="str">
        <f t="shared" si="3027"/>
        <v>https://www.google.com/search?tbm=isch&amp;q=3%20G6</v>
      </c>
      <c r="BG3978" s="107" t="str">
        <f t="shared" si="3028"/>
        <v>W</v>
      </c>
      <c r="BH3978" s="254"/>
      <c r="BI3978" s="254"/>
    </row>
    <row r="3979" spans="1:61" customFormat="1" ht="15.75" x14ac:dyDescent="0.25">
      <c r="A3979" s="485">
        <v>7</v>
      </c>
      <c r="B3979" s="486" t="s">
        <v>291</v>
      </c>
      <c r="C3979" s="487" t="s">
        <v>2000</v>
      </c>
      <c r="D3979" s="488" t="s">
        <v>298</v>
      </c>
      <c r="E3979" s="489">
        <v>56.95</v>
      </c>
      <c r="F3979" s="516" t="s">
        <v>293</v>
      </c>
      <c r="G3979" s="232">
        <v>0</v>
      </c>
      <c r="H3979" s="658" t="str">
        <f t="shared" si="3053"/>
        <v/>
      </c>
      <c r="I3979" s="490">
        <f t="shared" si="3054"/>
        <v>0</v>
      </c>
      <c r="J3979" s="490">
        <f t="shared" si="3055"/>
        <v>0</v>
      </c>
      <c r="K3979" s="695">
        <f t="shared" ref="K3979" si="3061">I3979+J3979</f>
        <v>0</v>
      </c>
      <c r="L3979" s="695"/>
      <c r="M3979" s="659" t="str">
        <f t="shared" si="3057"/>
        <v/>
      </c>
      <c r="N3979" s="660"/>
      <c r="O3979" s="233"/>
      <c r="P3979" s="233"/>
      <c r="Q3979" s="233"/>
      <c r="R3979" s="233"/>
      <c r="S3979" s="233"/>
      <c r="T3979" s="508">
        <f t="shared" si="3016"/>
        <v>0</v>
      </c>
      <c r="U3979" s="225">
        <f>IF(NOT(ISNUMBER(G3979)), "", VLOOKUP(A3979,'Discount Lookup'!D:E,2,FALSE)*G3979)</f>
        <v>0</v>
      </c>
      <c r="V3979" s="225">
        <f>IF(NOT(ISNUMBER(G3979)), "", VLOOKUP(A3979,'Discount Lookup'!G:H,2,FALSE)*G3979)</f>
        <v>0</v>
      </c>
      <c r="W3979" s="508">
        <f t="shared" si="3017"/>
        <v>0</v>
      </c>
      <c r="X3979" s="508">
        <f t="shared" si="3018"/>
        <v>0</v>
      </c>
      <c r="Y3979" s="509" t="b">
        <f t="shared" si="3019"/>
        <v>0</v>
      </c>
      <c r="Z3979" s="510">
        <f t="shared" si="3020"/>
        <v>0</v>
      </c>
      <c r="AA3979" s="511"/>
      <c r="AB3979" s="511" t="str">
        <f t="shared" si="3021"/>
        <v/>
      </c>
      <c r="AC3979" s="698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698"/>
      <c r="AE3979" s="631" t="str">
        <f t="shared" si="3022"/>
        <v/>
      </c>
      <c r="AF3979" s="699" t="str">
        <f t="shared" si="3023"/>
        <v/>
      </c>
      <c r="AG3979" s="699"/>
      <c r="AH3979" s="699"/>
      <c r="AI3979" s="512">
        <f>IF(H3979="credit",0,IF(AE3979="free",0,IF(AE3979="me",0,IF(G3979&gt;0,(VLOOKUP(A3979,'Discount Lookup'!J:K,2)*G3979),0))))</f>
        <v>0</v>
      </c>
      <c r="AJ3979" s="513" t="str">
        <f t="shared" ca="1" si="3024"/>
        <v/>
      </c>
      <c r="AK3979" s="700" t="str">
        <f t="shared" si="3025"/>
        <v/>
      </c>
      <c r="AL3979" s="700"/>
      <c r="AM3979" s="505" t="str">
        <f t="shared" si="3026"/>
        <v/>
      </c>
      <c r="AN3979" s="506"/>
      <c r="AO3979" s="507"/>
      <c r="AP3979" s="507"/>
      <c r="AQ3979" s="507"/>
      <c r="AR3979" s="507"/>
      <c r="AS3979" s="507"/>
      <c r="AT3979" s="507"/>
      <c r="AU3979" s="507"/>
      <c r="AV3979" s="225"/>
      <c r="AW3979" s="508"/>
      <c r="AX3979" s="225"/>
      <c r="AY3979" s="225"/>
      <c r="AZ3979" s="225"/>
      <c r="BA3979" s="225"/>
      <c r="BB3979" s="225"/>
      <c r="BC3979" s="56"/>
      <c r="BD3979" s="56"/>
      <c r="BE3979" s="56"/>
      <c r="BF3979" s="107" t="str">
        <f t="shared" si="3027"/>
        <v>https://www.google.com/search?tbm=isch&amp;q=7%20G1</v>
      </c>
      <c r="BG3979" s="107" t="str">
        <f t="shared" si="3028"/>
        <v>W</v>
      </c>
      <c r="BH3979" s="254"/>
      <c r="BI3979" s="254"/>
    </row>
    <row r="3980" spans="1:61" customFormat="1" ht="15.75" x14ac:dyDescent="0.25">
      <c r="A3980" s="485">
        <v>7</v>
      </c>
      <c r="B3980" s="486" t="s">
        <v>291</v>
      </c>
      <c r="C3980" s="487" t="s">
        <v>583</v>
      </c>
      <c r="D3980" s="488" t="s">
        <v>297</v>
      </c>
      <c r="E3980" s="489">
        <v>56.95</v>
      </c>
      <c r="F3980" s="516" t="s">
        <v>293</v>
      </c>
      <c r="G3980" s="232">
        <v>0</v>
      </c>
      <c r="H3980" s="658" t="str">
        <f t="shared" si="3053"/>
        <v/>
      </c>
      <c r="I3980" s="490">
        <f t="shared" si="3054"/>
        <v>0</v>
      </c>
      <c r="J3980" s="490">
        <f t="shared" si="3055"/>
        <v>0</v>
      </c>
      <c r="K3980" s="695">
        <f t="shared" ref="K3980" si="3062">I3980+J3980</f>
        <v>0</v>
      </c>
      <c r="L3980" s="695"/>
      <c r="M3980" s="659" t="str">
        <f t="shared" si="3057"/>
        <v/>
      </c>
      <c r="N3980" s="660"/>
      <c r="O3980" s="233"/>
      <c r="P3980" s="233"/>
      <c r="Q3980" s="233"/>
      <c r="R3980" s="233"/>
      <c r="S3980" s="233"/>
      <c r="T3980" s="508">
        <f t="shared" si="3016"/>
        <v>0</v>
      </c>
      <c r="U3980" s="225">
        <f>IF(NOT(ISNUMBER(G3980)), "", VLOOKUP(A3980,'Discount Lookup'!D:E,2,FALSE)*G3980)</f>
        <v>0</v>
      </c>
      <c r="V3980" s="225">
        <f>IF(NOT(ISNUMBER(G3980)), "", VLOOKUP(A3980,'Discount Lookup'!G:H,2,FALSE)*G3980)</f>
        <v>0</v>
      </c>
      <c r="W3980" s="508">
        <f t="shared" si="3017"/>
        <v>0</v>
      </c>
      <c r="X3980" s="508">
        <f t="shared" si="3018"/>
        <v>0</v>
      </c>
      <c r="Y3980" s="509" t="b">
        <f t="shared" si="3019"/>
        <v>0</v>
      </c>
      <c r="Z3980" s="510">
        <f t="shared" si="3020"/>
        <v>0</v>
      </c>
      <c r="AA3980" s="511"/>
      <c r="AB3980" s="511" t="str">
        <f t="shared" si="3021"/>
        <v/>
      </c>
      <c r="AC3980" s="698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698"/>
      <c r="AE3980" s="631" t="str">
        <f t="shared" si="3022"/>
        <v/>
      </c>
      <c r="AF3980" s="699" t="str">
        <f t="shared" si="3023"/>
        <v/>
      </c>
      <c r="AG3980" s="699"/>
      <c r="AH3980" s="699"/>
      <c r="AI3980" s="512">
        <f>IF(H3980="credit",0,IF(AE3980="free",0,IF(AE3980="me",0,IF(G3980&gt;0,(VLOOKUP(A3980,'Discount Lookup'!J:K,2)*G3980),0))))</f>
        <v>0</v>
      </c>
      <c r="AJ3980" s="513" t="str">
        <f t="shared" ca="1" si="3024"/>
        <v/>
      </c>
      <c r="AK3980" s="700" t="str">
        <f t="shared" si="3025"/>
        <v/>
      </c>
      <c r="AL3980" s="700"/>
      <c r="AM3980" s="505" t="str">
        <f t="shared" si="3026"/>
        <v/>
      </c>
      <c r="AN3980" s="506"/>
      <c r="AO3980" s="507"/>
      <c r="AP3980" s="507"/>
      <c r="AQ3980" s="507"/>
      <c r="AR3980" s="507"/>
      <c r="AS3980" s="507"/>
      <c r="AT3980" s="507"/>
      <c r="AU3980" s="507"/>
      <c r="AV3980" s="225"/>
      <c r="AW3980" s="508"/>
      <c r="AX3980" s="225"/>
      <c r="AY3980" s="225"/>
      <c r="AZ3980" s="225"/>
      <c r="BA3980" s="225"/>
      <c r="BB3980" s="225"/>
      <c r="BC3980" s="56"/>
      <c r="BD3980" s="56"/>
      <c r="BE3980" s="56"/>
      <c r="BF3980" s="107" t="str">
        <f t="shared" si="3027"/>
        <v>https://www.google.com/search?tbm=isch&amp;q=7%20G3</v>
      </c>
      <c r="BG3980" s="107" t="str">
        <f t="shared" si="3028"/>
        <v>W</v>
      </c>
      <c r="BH3980" s="254"/>
      <c r="BI3980" s="254"/>
    </row>
    <row r="3981" spans="1:61" customFormat="1" ht="15.75" x14ac:dyDescent="0.25">
      <c r="A3981" s="485">
        <v>7</v>
      </c>
      <c r="B3981" s="486" t="s">
        <v>291</v>
      </c>
      <c r="C3981" s="487" t="s">
        <v>4955</v>
      </c>
      <c r="D3981" s="488" t="s">
        <v>292</v>
      </c>
      <c r="E3981" s="489">
        <v>68.95</v>
      </c>
      <c r="F3981" s="516" t="s">
        <v>293</v>
      </c>
      <c r="G3981" s="232">
        <v>0</v>
      </c>
      <c r="H3981" s="658" t="str">
        <f t="shared" si="3053"/>
        <v/>
      </c>
      <c r="I3981" s="490">
        <f t="shared" si="3054"/>
        <v>0</v>
      </c>
      <c r="J3981" s="490">
        <f t="shared" si="3055"/>
        <v>0</v>
      </c>
      <c r="K3981" s="695">
        <f t="shared" ref="K3981" si="3063">I3981+J3981</f>
        <v>0</v>
      </c>
      <c r="L3981" s="695"/>
      <c r="M3981" s="659" t="str">
        <f t="shared" si="3057"/>
        <v/>
      </c>
      <c r="N3981" s="660"/>
      <c r="O3981" s="233"/>
      <c r="P3981" s="233"/>
      <c r="Q3981" s="233"/>
      <c r="R3981" s="233"/>
      <c r="S3981" s="233"/>
      <c r="T3981" s="508">
        <f t="shared" si="3016"/>
        <v>0</v>
      </c>
      <c r="U3981" s="225">
        <f>IF(NOT(ISNUMBER(G3981)), "", VLOOKUP(A3981,'Discount Lookup'!D:E,2,FALSE)*G3981)</f>
        <v>0</v>
      </c>
      <c r="V3981" s="225">
        <f>IF(NOT(ISNUMBER(G3981)), "", VLOOKUP(A3981,'Discount Lookup'!G:H,2,FALSE)*G3981)</f>
        <v>0</v>
      </c>
      <c r="W3981" s="508">
        <f t="shared" si="3017"/>
        <v>0</v>
      </c>
      <c r="X3981" s="508">
        <f t="shared" si="3018"/>
        <v>0</v>
      </c>
      <c r="Y3981" s="509" t="b">
        <f t="shared" si="3019"/>
        <v>0</v>
      </c>
      <c r="Z3981" s="510">
        <f t="shared" si="3020"/>
        <v>0</v>
      </c>
      <c r="AA3981" s="511"/>
      <c r="AB3981" s="511" t="str">
        <f t="shared" si="3021"/>
        <v/>
      </c>
      <c r="AC3981" s="698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698"/>
      <c r="AE3981" s="631" t="str">
        <f t="shared" si="3022"/>
        <v/>
      </c>
      <c r="AF3981" s="699" t="str">
        <f t="shared" si="3023"/>
        <v/>
      </c>
      <c r="AG3981" s="699"/>
      <c r="AH3981" s="699"/>
      <c r="AI3981" s="512">
        <f>IF(H3981="credit",0,IF(AE3981="free",0,IF(AE3981="me",0,IF(G3981&gt;0,(VLOOKUP(A3981,'Discount Lookup'!J:K,2)*G3981),0))))</f>
        <v>0</v>
      </c>
      <c r="AJ3981" s="513" t="str">
        <f t="shared" ca="1" si="3024"/>
        <v/>
      </c>
      <c r="AK3981" s="700" t="str">
        <f t="shared" si="3025"/>
        <v/>
      </c>
      <c r="AL3981" s="700"/>
      <c r="AM3981" s="505" t="str">
        <f t="shared" si="3026"/>
        <v/>
      </c>
      <c r="AN3981" s="506"/>
      <c r="AO3981" s="507"/>
      <c r="AP3981" s="507"/>
      <c r="AQ3981" s="507"/>
      <c r="AR3981" s="507"/>
      <c r="AS3981" s="507"/>
      <c r="AT3981" s="507"/>
      <c r="AU3981" s="507"/>
      <c r="AV3981" s="225"/>
      <c r="AW3981" s="508"/>
      <c r="AX3981" s="225"/>
      <c r="AY3981" s="225"/>
      <c r="AZ3981" s="225"/>
      <c r="BA3981" s="225"/>
      <c r="BB3981" s="225"/>
      <c r="BC3981" s="56"/>
      <c r="BD3981" s="56"/>
      <c r="BE3981" s="56"/>
      <c r="BF3981" s="107" t="str">
        <f t="shared" si="3027"/>
        <v>https://www.google.com/search?tbm=isch&amp;q=7%20G4</v>
      </c>
      <c r="BG3981" s="107" t="str">
        <f t="shared" si="3028"/>
        <v>W</v>
      </c>
      <c r="BH3981" s="254"/>
      <c r="BI3981" s="254"/>
    </row>
    <row r="3982" spans="1:61" customFormat="1" ht="15.75" x14ac:dyDescent="0.25">
      <c r="A3982" s="485">
        <v>10</v>
      </c>
      <c r="B3982" s="486" t="s">
        <v>291</v>
      </c>
      <c r="C3982" s="487" t="s">
        <v>4645</v>
      </c>
      <c r="D3982" s="488" t="s">
        <v>297</v>
      </c>
      <c r="E3982" s="489">
        <v>83.95</v>
      </c>
      <c r="F3982" s="516" t="s">
        <v>293</v>
      </c>
      <c r="G3982" s="232">
        <v>0</v>
      </c>
      <c r="H3982" s="658" t="str">
        <f t="shared" si="3053"/>
        <v/>
      </c>
      <c r="I3982" s="490">
        <f t="shared" si="3054"/>
        <v>0</v>
      </c>
      <c r="J3982" s="490">
        <f t="shared" si="3055"/>
        <v>0</v>
      </c>
      <c r="K3982" s="695">
        <f t="shared" ref="K3982" si="3064">I3982+J3982</f>
        <v>0</v>
      </c>
      <c r="L3982" s="695"/>
      <c r="M3982" s="659" t="str">
        <f t="shared" si="3057"/>
        <v/>
      </c>
      <c r="N3982" s="660"/>
      <c r="O3982" s="233"/>
      <c r="P3982" s="233"/>
      <c r="Q3982" s="233"/>
      <c r="R3982" s="233"/>
      <c r="S3982" s="233"/>
      <c r="T3982" s="508">
        <f t="shared" ref="T3982:T4045" si="3065">E3982*G3982</f>
        <v>0</v>
      </c>
      <c r="U3982" s="225">
        <f>IF(NOT(ISNUMBER(G3982)), "", VLOOKUP(A3982,'Discount Lookup'!D:E,2,FALSE)*G3982)</f>
        <v>0</v>
      </c>
      <c r="V3982" s="225">
        <f>IF(NOT(ISNUMBER(G3982)), "", VLOOKUP(A3982,'Discount Lookup'!G:H,2,FALSE)*G3982)</f>
        <v>0</v>
      </c>
      <c r="W3982" s="508">
        <f t="shared" ref="W3982:W4045" si="3066">IF(H3982="credit",0,E3982*(SalesTaxPercentage)*G3982)</f>
        <v>0</v>
      </c>
      <c r="X3982" s="508">
        <f t="shared" ref="X3982:X4045" si="3067">I3982</f>
        <v>0</v>
      </c>
      <c r="Y3982" s="509" t="b">
        <f t="shared" ref="Y3982:Y4045" si="3068">IF(AE3982="T2G",0,IF(H3982="credit",0,IF(G3982&gt;0,IF(AE3982="me","",G3982))))</f>
        <v>0</v>
      </c>
      <c r="Z3982" s="510">
        <f t="shared" ref="Z3982:Z4045" si="3069">IF(H3982="credit",G3982,0)</f>
        <v>0</v>
      </c>
      <c r="AA3982" s="511"/>
      <c r="AB3982" s="511" t="str">
        <f t="shared" ref="AB3982:AB4045" si="3070">IF(AE3982="T2G","by Trees2Go",IF(H3982="credit","CREDIT only ~",IF(AND(K3982="",AE3982=OR(PlanterYesMe="No",PlanterYesMe="N",PlanterYesMe="me")),"not THIS line⇨",IF(AND(K3982="images",AE3982="me"),"not THIS line⇨",IF(H3982="credit","",IF(G3982=0,"",IF(AE3982="me","",IF(OR(PlanterYesMe="No",PlanterYesMe="N",PlanterYesMe="me"),"",IF(AE3982="free","warranty",IF(OR(PlanterYesMe="yes",PlanterYesMe="y"),"Edison install:","to install:"))))))))))</f>
        <v/>
      </c>
      <c r="AC3982" s="698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698"/>
      <c r="AE3982" s="631" t="str">
        <f t="shared" ref="AE3982:AE4045" si="3071">IF(H3982="credit","",IF(G3982=0,"",IF(OR(PlanterYesMe="No",PlanterYesMe="N",PlanterYesMe="me"),"me",IF(H3982="warranty","free",IF(OR(PlanterYesMe="yes",PlanterYesMe="y"),"ELP","")))))</f>
        <v/>
      </c>
      <c r="AF3982" s="699" t="str">
        <f t="shared" ref="AF3982:AF4045" si="3072">IF(OR(PlanterYesMe="No",PlanterYesMe="N",PlanterYesMe="me"),"",IF(H3982="credit","",IF(G3982&gt;0,(CONCATENATE((G3982)," quantity, ",(A3982)," ",B3982)),"")))</f>
        <v/>
      </c>
      <c r="AG3982" s="699"/>
      <c r="AH3982" s="699"/>
      <c r="AI3982" s="512">
        <f>IF(H3982="credit",0,IF(AE3982="free",0,IF(AE3982="me",0,IF(G3982&gt;0,(VLOOKUP(A3982,'Discount Lookup'!J:K,2)*G3982),0))))</f>
        <v>0</v>
      </c>
      <c r="AJ3982" s="513" t="str">
        <f t="shared" ref="AJ3982:AJ4045" ca="1" si="3073">IF(AND(ISREF(H3982),H3982="credit"),"",IF(AND(AND(OFFSET(G3982,0,0)=0,OFFSET(G3982,1,0)&gt;0,ISNUMBER(OFFSET(AC3982,1,0)),OFFSET(AC3982,1,0)&gt;0),OR(PlanterYesMe="yes",PlanterYesMe="y")),"T2G+ELP=",IF(AND(OFFSET(G3982,0,0)=0,OFFSET(G3982,1,0)&gt;0,ISNUMBER(OFFSET(AC3982,1,0)),OFFSET(AC3982,1,0)&gt;0),"if T2G+ELP=",IF(AND(OFFSET(G3982,0,0)=0,OFFSET(G3982,1,0)&gt;0),"T2G Subtotal",IF(H3982="credit","",IF(G3982=0,"",IF(AE3982="free",(K3982*(1-T2GDiscount)),IF(OR(PlanterYesMe="No",PlanterYesMe="N",PlanterYesMe="me"),(K3982*(1-T2GDiscount)),IF(OR(AE3982="me",AE3982="T2G"),(K3982*(1-T2GDiscount)),(K3982*(1-T2GDiscount))+AC3982)))))))))</f>
        <v/>
      </c>
      <c r="AK3982" s="700" t="str">
        <f t="shared" ref="AK3982:AK4045" si="3074">IF(H3982="credit","",IF(G3982=0,"",IF(OR(AE3982="me",AE3982="T2G"),"  delivery-only",IF(OR(PlanterYesMe="No",PlanterYesMe="N",PlanterYesMe="me"),"  delivery-only",CONCATENATE(" $",ROUND(AJ3982/G3982,2)," each")))))</f>
        <v/>
      </c>
      <c r="AL3982" s="700"/>
      <c r="AM3982" s="505" t="str">
        <f t="shared" ref="AM3982:AM4045" si="3075">IF(H3982="credit","",IF(AE3982="free","      ~ discounts included, no tax or planting fee applies ~",IF(G3982=0,"",IF(OR(PlanterYesMe="No",PlanterYesMe="N",PlanterYesMe="me"),CONCATENATE(" $",ROUND(AJ3982/G3982,2)," per plant, with tax &amp; discount"),IF(OR(AE3982="me",AE3982="T2G"),CONCATENATE(" $",ROUND(AJ3982/G3982,2)," per plant, with tax &amp; discount"),CONCATENATE("= $",ROUND((K3982*(1-T2GDiscount))/G3982,2)," per plant + $",AC3982/G3982,(" per planting      ~ includes tax &amp; discounts ~")))))))</f>
        <v/>
      </c>
      <c r="AN3982" s="506"/>
      <c r="AO3982" s="507"/>
      <c r="AP3982" s="507"/>
      <c r="AQ3982" s="507"/>
      <c r="AR3982" s="507"/>
      <c r="AS3982" s="507"/>
      <c r="AT3982" s="507"/>
      <c r="AU3982" s="507"/>
      <c r="AV3982" s="225"/>
      <c r="AW3982" s="508"/>
      <c r="AX3982" s="225"/>
      <c r="AY3982" s="225"/>
      <c r="AZ3982" s="225"/>
      <c r="BA3982" s="225"/>
      <c r="BB3982" s="225"/>
      <c r="BC3982" s="56"/>
      <c r="BD3982" s="56"/>
      <c r="BE3982" s="56"/>
      <c r="BF3982" s="107" t="str">
        <f t="shared" ref="BF3982:BF4045" si="3076">"https://www.google.com/search?tbm=isch&amp;q=" &amp; _xlfn.ENCODEURL($A3982 &amp; " " &amp; $D3982)</f>
        <v>https://www.google.com/search?tbm=isch&amp;q=10%20G3</v>
      </c>
      <c r="BG3982" s="107" t="str">
        <f t="shared" ref="BG3982:BG4045" si="3077">IF(ISTEXT(A3982),LEFT(A3982,1),BG3981)</f>
        <v>W</v>
      </c>
      <c r="BH3982" s="254"/>
      <c r="BI3982" s="254"/>
    </row>
    <row r="3983" spans="1:61" customFormat="1" ht="15.75" x14ac:dyDescent="0.25">
      <c r="A3983" s="485">
        <v>10</v>
      </c>
      <c r="B3983" s="486" t="s">
        <v>291</v>
      </c>
      <c r="C3983" s="487" t="s">
        <v>4956</v>
      </c>
      <c r="D3983" s="488" t="s">
        <v>300</v>
      </c>
      <c r="E3983" s="489">
        <v>112.95</v>
      </c>
      <c r="F3983" s="516" t="s">
        <v>293</v>
      </c>
      <c r="G3983" s="232">
        <v>0</v>
      </c>
      <c r="H3983" s="658" t="str">
        <f t="shared" si="3053"/>
        <v/>
      </c>
      <c r="I3983" s="490">
        <f t="shared" si="3054"/>
        <v>0</v>
      </c>
      <c r="J3983" s="490">
        <f t="shared" si="3055"/>
        <v>0</v>
      </c>
      <c r="K3983" s="695">
        <f t="shared" ref="K3983" si="3078">I3983+J3983</f>
        <v>0</v>
      </c>
      <c r="L3983" s="695"/>
      <c r="M3983" s="659" t="str">
        <f t="shared" si="3057"/>
        <v/>
      </c>
      <c r="N3983" s="660"/>
      <c r="O3983" s="233"/>
      <c r="P3983" s="233"/>
      <c r="Q3983" s="233"/>
      <c r="R3983" s="233"/>
      <c r="S3983" s="233"/>
      <c r="T3983" s="508">
        <f t="shared" si="3065"/>
        <v>0</v>
      </c>
      <c r="U3983" s="225">
        <f>IF(NOT(ISNUMBER(G3983)), "", VLOOKUP(A3983,'Discount Lookup'!D:E,2,FALSE)*G3983)</f>
        <v>0</v>
      </c>
      <c r="V3983" s="225">
        <f>IF(NOT(ISNUMBER(G3983)), "", VLOOKUP(A3983,'Discount Lookup'!G:H,2,FALSE)*G3983)</f>
        <v>0</v>
      </c>
      <c r="W3983" s="508">
        <f t="shared" si="3066"/>
        <v>0</v>
      </c>
      <c r="X3983" s="508">
        <f t="shared" si="3067"/>
        <v>0</v>
      </c>
      <c r="Y3983" s="509" t="b">
        <f t="shared" si="3068"/>
        <v>0</v>
      </c>
      <c r="Z3983" s="510">
        <f t="shared" si="3069"/>
        <v>0</v>
      </c>
      <c r="AA3983" s="511"/>
      <c r="AB3983" s="511" t="str">
        <f t="shared" si="3070"/>
        <v/>
      </c>
      <c r="AC3983" s="698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698"/>
      <c r="AE3983" s="631" t="str">
        <f t="shared" si="3071"/>
        <v/>
      </c>
      <c r="AF3983" s="699" t="str">
        <f t="shared" si="3072"/>
        <v/>
      </c>
      <c r="AG3983" s="699"/>
      <c r="AH3983" s="699"/>
      <c r="AI3983" s="512">
        <f>IF(H3983="credit",0,IF(AE3983="free",0,IF(AE3983="me",0,IF(G3983&gt;0,(VLOOKUP(A3983,'Discount Lookup'!J:K,2)*G3983),0))))</f>
        <v>0</v>
      </c>
      <c r="AJ3983" s="513" t="str">
        <f t="shared" ca="1" si="3073"/>
        <v/>
      </c>
      <c r="AK3983" s="700" t="str">
        <f t="shared" si="3074"/>
        <v/>
      </c>
      <c r="AL3983" s="700"/>
      <c r="AM3983" s="505" t="str">
        <f t="shared" si="3075"/>
        <v/>
      </c>
      <c r="AN3983" s="506"/>
      <c r="AO3983" s="507"/>
      <c r="AP3983" s="507"/>
      <c r="AQ3983" s="507"/>
      <c r="AR3983" s="507"/>
      <c r="AS3983" s="507"/>
      <c r="AT3983" s="507"/>
      <c r="AU3983" s="507"/>
      <c r="AV3983" s="225"/>
      <c r="AW3983" s="508"/>
      <c r="AX3983" s="225"/>
      <c r="AY3983" s="225"/>
      <c r="AZ3983" s="225"/>
      <c r="BA3983" s="225"/>
      <c r="BB3983" s="225"/>
      <c r="BC3983" s="56"/>
      <c r="BD3983" s="56"/>
      <c r="BE3983" s="56"/>
      <c r="BF3983" s="107" t="str">
        <f t="shared" si="3076"/>
        <v>https://www.google.com/search?tbm=isch&amp;q=10%20G6</v>
      </c>
      <c r="BG3983" s="107" t="str">
        <f t="shared" si="3077"/>
        <v>W</v>
      </c>
      <c r="BH3983" s="254"/>
      <c r="BI3983" s="254"/>
    </row>
    <row r="3984" spans="1:61" customFormat="1" ht="15.75" x14ac:dyDescent="0.25">
      <c r="A3984" s="485">
        <v>15</v>
      </c>
      <c r="B3984" s="486" t="s">
        <v>291</v>
      </c>
      <c r="C3984" s="487" t="s">
        <v>1411</v>
      </c>
      <c r="D3984" s="488" t="s">
        <v>312</v>
      </c>
      <c r="E3984" s="489">
        <v>161.94999999999999</v>
      </c>
      <c r="F3984" s="516" t="s">
        <v>293</v>
      </c>
      <c r="G3984" s="232">
        <v>0</v>
      </c>
      <c r="H3984" s="658" t="str">
        <f t="shared" si="3053"/>
        <v/>
      </c>
      <c r="I3984" s="490">
        <f t="shared" si="3054"/>
        <v>0</v>
      </c>
      <c r="J3984" s="490">
        <f t="shared" si="3055"/>
        <v>0</v>
      </c>
      <c r="K3984" s="695">
        <f t="shared" ref="K3984" si="3079">I3984+J3984</f>
        <v>0</v>
      </c>
      <c r="L3984" s="695"/>
      <c r="M3984" s="659" t="str">
        <f t="shared" si="3057"/>
        <v/>
      </c>
      <c r="N3984" s="660"/>
      <c r="O3984" s="233"/>
      <c r="P3984" s="233"/>
      <c r="Q3984" s="233"/>
      <c r="R3984" s="233"/>
      <c r="S3984" s="233"/>
      <c r="T3984" s="508">
        <f t="shared" si="3065"/>
        <v>0</v>
      </c>
      <c r="U3984" s="225">
        <f>IF(NOT(ISNUMBER(G3984)), "", VLOOKUP(A3984,'Discount Lookup'!D:E,2,FALSE)*G3984)</f>
        <v>0</v>
      </c>
      <c r="V3984" s="225">
        <f>IF(NOT(ISNUMBER(G3984)), "", VLOOKUP(A3984,'Discount Lookup'!G:H,2,FALSE)*G3984)</f>
        <v>0</v>
      </c>
      <c r="W3984" s="508">
        <f t="shared" si="3066"/>
        <v>0</v>
      </c>
      <c r="X3984" s="508">
        <f t="shared" si="3067"/>
        <v>0</v>
      </c>
      <c r="Y3984" s="509" t="b">
        <f t="shared" si="3068"/>
        <v>0</v>
      </c>
      <c r="Z3984" s="510">
        <f t="shared" si="3069"/>
        <v>0</v>
      </c>
      <c r="AA3984" s="511"/>
      <c r="AB3984" s="511" t="str">
        <f t="shared" si="3070"/>
        <v/>
      </c>
      <c r="AC3984" s="698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698"/>
      <c r="AE3984" s="631" t="str">
        <f t="shared" si="3071"/>
        <v/>
      </c>
      <c r="AF3984" s="699" t="str">
        <f t="shared" si="3072"/>
        <v/>
      </c>
      <c r="AG3984" s="699"/>
      <c r="AH3984" s="699"/>
      <c r="AI3984" s="512">
        <f>IF(H3984="credit",0,IF(AE3984="free",0,IF(AE3984="me",0,IF(G3984&gt;0,(VLOOKUP(A3984,'Discount Lookup'!J:K,2)*G3984),0))))</f>
        <v>0</v>
      </c>
      <c r="AJ3984" s="513" t="str">
        <f t="shared" ca="1" si="3073"/>
        <v/>
      </c>
      <c r="AK3984" s="700" t="str">
        <f t="shared" si="3074"/>
        <v/>
      </c>
      <c r="AL3984" s="700"/>
      <c r="AM3984" s="505" t="str">
        <f t="shared" si="3075"/>
        <v/>
      </c>
      <c r="AN3984" s="506"/>
      <c r="AO3984" s="507"/>
      <c r="AP3984" s="507"/>
      <c r="AQ3984" s="507"/>
      <c r="AR3984" s="507"/>
      <c r="AS3984" s="507"/>
      <c r="AT3984" s="507"/>
      <c r="AU3984" s="507"/>
      <c r="AV3984" s="225"/>
      <c r="AW3984" s="508"/>
      <c r="AX3984" s="225"/>
      <c r="AY3984" s="225"/>
      <c r="AZ3984" s="225"/>
      <c r="BA3984" s="225"/>
      <c r="BB3984" s="225"/>
      <c r="BC3984" s="56"/>
      <c r="BD3984" s="56"/>
      <c r="BE3984" s="56"/>
      <c r="BF3984" s="107" t="str">
        <f t="shared" si="3076"/>
        <v>https://www.google.com/search?tbm=isch&amp;q=15%20G2</v>
      </c>
      <c r="BG3984" s="107" t="str">
        <f t="shared" si="3077"/>
        <v>W</v>
      </c>
      <c r="BH3984" s="254"/>
      <c r="BI3984" s="254"/>
    </row>
    <row r="3985" spans="1:61" customFormat="1" ht="27" x14ac:dyDescent="0.25">
      <c r="A3985" s="485">
        <v>15</v>
      </c>
      <c r="B3985" s="486" t="s">
        <v>291</v>
      </c>
      <c r="C3985" s="487" t="s">
        <v>3849</v>
      </c>
      <c r="D3985" s="488" t="s">
        <v>292</v>
      </c>
      <c r="E3985" s="489">
        <v>178.95</v>
      </c>
      <c r="F3985" s="516" t="s">
        <v>293</v>
      </c>
      <c r="G3985" s="232">
        <v>0</v>
      </c>
      <c r="H3985" s="658" t="str">
        <f t="shared" si="3053"/>
        <v/>
      </c>
      <c r="I3985" s="490">
        <f t="shared" si="3054"/>
        <v>0</v>
      </c>
      <c r="J3985" s="490">
        <f t="shared" si="3055"/>
        <v>0</v>
      </c>
      <c r="K3985" s="695">
        <f t="shared" ref="K3985" si="3080">I3985+J3985</f>
        <v>0</v>
      </c>
      <c r="L3985" s="695"/>
      <c r="M3985" s="659" t="str">
        <f t="shared" si="3057"/>
        <v/>
      </c>
      <c r="N3985" s="660"/>
      <c r="O3985" s="233"/>
      <c r="P3985" s="233"/>
      <c r="Q3985" s="233"/>
      <c r="R3985" s="233"/>
      <c r="S3985" s="233"/>
      <c r="T3985" s="508">
        <f t="shared" si="3065"/>
        <v>0</v>
      </c>
      <c r="U3985" s="225">
        <f>IF(NOT(ISNUMBER(G3985)), "", VLOOKUP(A3985,'Discount Lookup'!D:E,2,FALSE)*G3985)</f>
        <v>0</v>
      </c>
      <c r="V3985" s="225">
        <f>IF(NOT(ISNUMBER(G3985)), "", VLOOKUP(A3985,'Discount Lookup'!G:H,2,FALSE)*G3985)</f>
        <v>0</v>
      </c>
      <c r="W3985" s="508">
        <f t="shared" si="3066"/>
        <v>0</v>
      </c>
      <c r="X3985" s="508">
        <f t="shared" si="3067"/>
        <v>0</v>
      </c>
      <c r="Y3985" s="509" t="b">
        <f t="shared" si="3068"/>
        <v>0</v>
      </c>
      <c r="Z3985" s="510">
        <f t="shared" si="3069"/>
        <v>0</v>
      </c>
      <c r="AA3985" s="511"/>
      <c r="AB3985" s="511" t="str">
        <f t="shared" si="3070"/>
        <v/>
      </c>
      <c r="AC3985" s="698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698"/>
      <c r="AE3985" s="631" t="str">
        <f t="shared" si="3071"/>
        <v/>
      </c>
      <c r="AF3985" s="699" t="str">
        <f t="shared" si="3072"/>
        <v/>
      </c>
      <c r="AG3985" s="699"/>
      <c r="AH3985" s="699"/>
      <c r="AI3985" s="512">
        <f>IF(H3985="credit",0,IF(AE3985="free",0,IF(AE3985="me",0,IF(G3985&gt;0,(VLOOKUP(A3985,'Discount Lookup'!J:K,2)*G3985),0))))</f>
        <v>0</v>
      </c>
      <c r="AJ3985" s="513" t="str">
        <f t="shared" ca="1" si="3073"/>
        <v/>
      </c>
      <c r="AK3985" s="700" t="str">
        <f t="shared" si="3074"/>
        <v/>
      </c>
      <c r="AL3985" s="700"/>
      <c r="AM3985" s="505" t="str">
        <f t="shared" si="3075"/>
        <v/>
      </c>
      <c r="AN3985" s="506"/>
      <c r="AO3985" s="507"/>
      <c r="AP3985" s="507"/>
      <c r="AQ3985" s="507"/>
      <c r="AR3985" s="507"/>
      <c r="AS3985" s="507"/>
      <c r="AT3985" s="507"/>
      <c r="AU3985" s="507"/>
      <c r="AV3985" s="225"/>
      <c r="AW3985" s="508"/>
      <c r="AX3985" s="225"/>
      <c r="AY3985" s="225"/>
      <c r="AZ3985" s="225"/>
      <c r="BA3985" s="225"/>
      <c r="BB3985" s="225"/>
      <c r="BC3985" s="56"/>
      <c r="BD3985" s="56"/>
      <c r="BE3985" s="56"/>
      <c r="BF3985" s="107" t="str">
        <f t="shared" si="3076"/>
        <v>https://www.google.com/search?tbm=isch&amp;q=15%20G4</v>
      </c>
      <c r="BG3985" s="107" t="str">
        <f t="shared" si="3077"/>
        <v>W</v>
      </c>
      <c r="BH3985" s="254"/>
      <c r="BI3985" s="254"/>
    </row>
    <row r="3986" spans="1:61" customFormat="1" ht="15.75" x14ac:dyDescent="0.25">
      <c r="A3986" s="485">
        <v>7</v>
      </c>
      <c r="B3986" s="486" t="s">
        <v>291</v>
      </c>
      <c r="C3986" s="487" t="s">
        <v>4830</v>
      </c>
      <c r="D3986" s="488" t="s">
        <v>292</v>
      </c>
      <c r="E3986" s="489">
        <v>215.95</v>
      </c>
      <c r="F3986" s="516" t="s">
        <v>293</v>
      </c>
      <c r="G3986" s="232">
        <v>0</v>
      </c>
      <c r="H3986" s="658" t="str">
        <f t="shared" si="3053"/>
        <v/>
      </c>
      <c r="I3986" s="490">
        <f t="shared" si="3054"/>
        <v>0</v>
      </c>
      <c r="J3986" s="490">
        <f t="shared" si="3055"/>
        <v>0</v>
      </c>
      <c r="K3986" s="695">
        <f t="shared" ref="K3986" si="3081">I3986+J3986</f>
        <v>0</v>
      </c>
      <c r="L3986" s="695"/>
      <c r="M3986" s="659" t="str">
        <f t="shared" si="3057"/>
        <v/>
      </c>
      <c r="N3986" s="660"/>
      <c r="O3986" s="233"/>
      <c r="P3986" s="233"/>
      <c r="Q3986" s="233"/>
      <c r="R3986" s="233"/>
      <c r="S3986" s="233"/>
      <c r="T3986" s="508">
        <f t="shared" si="3065"/>
        <v>0</v>
      </c>
      <c r="U3986" s="225">
        <f>IF(NOT(ISNUMBER(G3986)), "", VLOOKUP(A3986,'Discount Lookup'!D:E,2,FALSE)*G3986)</f>
        <v>0</v>
      </c>
      <c r="V3986" s="225">
        <f>IF(NOT(ISNUMBER(G3986)), "", VLOOKUP(A3986,'Discount Lookup'!G:H,2,FALSE)*G3986)</f>
        <v>0</v>
      </c>
      <c r="W3986" s="508">
        <f t="shared" si="3066"/>
        <v>0</v>
      </c>
      <c r="X3986" s="508">
        <f t="shared" si="3067"/>
        <v>0</v>
      </c>
      <c r="Y3986" s="509" t="b">
        <f t="shared" si="3068"/>
        <v>0</v>
      </c>
      <c r="Z3986" s="510">
        <f t="shared" si="3069"/>
        <v>0</v>
      </c>
      <c r="AA3986" s="511"/>
      <c r="AB3986" s="511" t="str">
        <f t="shared" si="3070"/>
        <v/>
      </c>
      <c r="AC3986" s="698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698"/>
      <c r="AE3986" s="631" t="str">
        <f t="shared" si="3071"/>
        <v/>
      </c>
      <c r="AF3986" s="699" t="str">
        <f t="shared" si="3072"/>
        <v/>
      </c>
      <c r="AG3986" s="699"/>
      <c r="AH3986" s="699"/>
      <c r="AI3986" s="512">
        <f>IF(H3986="credit",0,IF(AE3986="free",0,IF(AE3986="me",0,IF(G3986&gt;0,(VLOOKUP(A3986,'Discount Lookup'!J:K,2)*G3986),0))))</f>
        <v>0</v>
      </c>
      <c r="AJ3986" s="513" t="str">
        <f t="shared" ca="1" si="3073"/>
        <v/>
      </c>
      <c r="AK3986" s="700" t="str">
        <f t="shared" si="3074"/>
        <v/>
      </c>
      <c r="AL3986" s="700"/>
      <c r="AM3986" s="505" t="str">
        <f t="shared" si="3075"/>
        <v/>
      </c>
      <c r="AN3986" s="506"/>
      <c r="AO3986" s="507"/>
      <c r="AP3986" s="507"/>
      <c r="AQ3986" s="507"/>
      <c r="AR3986" s="507"/>
      <c r="AS3986" s="507"/>
      <c r="AT3986" s="507"/>
      <c r="AU3986" s="507"/>
      <c r="AV3986" s="225"/>
      <c r="AW3986" s="508"/>
      <c r="AX3986" s="225"/>
      <c r="AY3986" s="225"/>
      <c r="AZ3986" s="225"/>
      <c r="BA3986" s="225"/>
      <c r="BB3986" s="225"/>
      <c r="BC3986" s="56"/>
      <c r="BD3986" s="56"/>
      <c r="BE3986" s="56"/>
      <c r="BF3986" s="107" t="str">
        <f t="shared" si="3076"/>
        <v>https://www.google.com/search?tbm=isch&amp;q=7%20G4</v>
      </c>
      <c r="BG3986" s="107" t="str">
        <f t="shared" si="3077"/>
        <v>W</v>
      </c>
      <c r="BH3986" s="254"/>
      <c r="BI3986" s="254"/>
    </row>
    <row r="3987" spans="1:61" customFormat="1" ht="40.5" x14ac:dyDescent="0.25">
      <c r="A3987" s="485">
        <v>15</v>
      </c>
      <c r="B3987" s="486" t="s">
        <v>291</v>
      </c>
      <c r="C3987" s="487" t="s">
        <v>3850</v>
      </c>
      <c r="D3987" s="488" t="s">
        <v>292</v>
      </c>
      <c r="E3987" s="489">
        <v>240.95</v>
      </c>
      <c r="F3987" s="516" t="s">
        <v>293</v>
      </c>
      <c r="G3987" s="232">
        <v>0</v>
      </c>
      <c r="H3987" s="658" t="str">
        <f t="shared" si="3053"/>
        <v/>
      </c>
      <c r="I3987" s="490">
        <f t="shared" si="3054"/>
        <v>0</v>
      </c>
      <c r="J3987" s="490">
        <f t="shared" si="3055"/>
        <v>0</v>
      </c>
      <c r="K3987" s="695">
        <f t="shared" ref="K3987" si="3082">I3987+J3987</f>
        <v>0</v>
      </c>
      <c r="L3987" s="695"/>
      <c r="M3987" s="659" t="str">
        <f t="shared" si="3057"/>
        <v/>
      </c>
      <c r="N3987" s="660"/>
      <c r="O3987" s="233"/>
      <c r="P3987" s="233"/>
      <c r="Q3987" s="233"/>
      <c r="R3987" s="233"/>
      <c r="S3987" s="233"/>
      <c r="T3987" s="508">
        <f t="shared" si="3065"/>
        <v>0</v>
      </c>
      <c r="U3987" s="225">
        <f>IF(NOT(ISNUMBER(G3987)), "", VLOOKUP(A3987,'Discount Lookup'!D:E,2,FALSE)*G3987)</f>
        <v>0</v>
      </c>
      <c r="V3987" s="225">
        <f>IF(NOT(ISNUMBER(G3987)), "", VLOOKUP(A3987,'Discount Lookup'!G:H,2,FALSE)*G3987)</f>
        <v>0</v>
      </c>
      <c r="W3987" s="508">
        <f t="shared" si="3066"/>
        <v>0</v>
      </c>
      <c r="X3987" s="508">
        <f t="shared" si="3067"/>
        <v>0</v>
      </c>
      <c r="Y3987" s="509" t="b">
        <f t="shared" si="3068"/>
        <v>0</v>
      </c>
      <c r="Z3987" s="510">
        <f t="shared" si="3069"/>
        <v>0</v>
      </c>
      <c r="AA3987" s="511"/>
      <c r="AB3987" s="511" t="str">
        <f t="shared" si="3070"/>
        <v/>
      </c>
      <c r="AC3987" s="698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698"/>
      <c r="AE3987" s="631" t="str">
        <f t="shared" si="3071"/>
        <v/>
      </c>
      <c r="AF3987" s="699" t="str">
        <f t="shared" si="3072"/>
        <v/>
      </c>
      <c r="AG3987" s="699"/>
      <c r="AH3987" s="699"/>
      <c r="AI3987" s="512">
        <f>IF(H3987="credit",0,IF(AE3987="free",0,IF(AE3987="me",0,IF(G3987&gt;0,(VLOOKUP(A3987,'Discount Lookup'!J:K,2)*G3987),0))))</f>
        <v>0</v>
      </c>
      <c r="AJ3987" s="513" t="str">
        <f t="shared" ca="1" si="3073"/>
        <v/>
      </c>
      <c r="AK3987" s="700" t="str">
        <f t="shared" si="3074"/>
        <v/>
      </c>
      <c r="AL3987" s="700"/>
      <c r="AM3987" s="505" t="str">
        <f t="shared" si="3075"/>
        <v/>
      </c>
      <c r="AN3987" s="506"/>
      <c r="AO3987" s="507"/>
      <c r="AP3987" s="507"/>
      <c r="AQ3987" s="507"/>
      <c r="AR3987" s="507"/>
      <c r="AS3987" s="507"/>
      <c r="AT3987" s="507"/>
      <c r="AU3987" s="507"/>
      <c r="AV3987" s="225"/>
      <c r="AW3987" s="508"/>
      <c r="AX3987" s="225"/>
      <c r="AY3987" s="225"/>
      <c r="AZ3987" s="225"/>
      <c r="BA3987" s="225"/>
      <c r="BB3987" s="225"/>
      <c r="BC3987" s="56"/>
      <c r="BD3987" s="56"/>
      <c r="BE3987" s="56"/>
      <c r="BF3987" s="107" t="str">
        <f t="shared" si="3076"/>
        <v>https://www.google.com/search?tbm=isch&amp;q=15%20G4</v>
      </c>
      <c r="BG3987" s="107" t="str">
        <f t="shared" si="3077"/>
        <v>W</v>
      </c>
      <c r="BH3987" s="254"/>
      <c r="BI3987" s="254"/>
    </row>
    <row r="3988" spans="1:61" customFormat="1" ht="27" x14ac:dyDescent="0.25">
      <c r="A3988" s="485">
        <v>25</v>
      </c>
      <c r="B3988" s="486" t="s">
        <v>291</v>
      </c>
      <c r="C3988" s="487" t="s">
        <v>4831</v>
      </c>
      <c r="D3988" s="488" t="s">
        <v>292</v>
      </c>
      <c r="E3988" s="489">
        <v>355.95</v>
      </c>
      <c r="F3988" s="516" t="s">
        <v>293</v>
      </c>
      <c r="G3988" s="232">
        <v>0</v>
      </c>
      <c r="H3988" s="658" t="str">
        <f t="shared" si="3053"/>
        <v/>
      </c>
      <c r="I3988" s="490">
        <f t="shared" si="3054"/>
        <v>0</v>
      </c>
      <c r="J3988" s="490">
        <f t="shared" si="3055"/>
        <v>0</v>
      </c>
      <c r="K3988" s="695">
        <f t="shared" ref="K3988" si="3083">I3988+J3988</f>
        <v>0</v>
      </c>
      <c r="L3988" s="695"/>
      <c r="M3988" s="659" t="str">
        <f t="shared" si="3057"/>
        <v/>
      </c>
      <c r="N3988" s="660"/>
      <c r="O3988" s="233"/>
      <c r="P3988" s="233"/>
      <c r="Q3988" s="233"/>
      <c r="R3988" s="233"/>
      <c r="S3988" s="233"/>
      <c r="T3988" s="508">
        <f t="shared" si="3065"/>
        <v>0</v>
      </c>
      <c r="U3988" s="225">
        <f>IF(NOT(ISNUMBER(G3988)), "", VLOOKUP(A3988,'Discount Lookup'!D:E,2,FALSE)*G3988)</f>
        <v>0</v>
      </c>
      <c r="V3988" s="225">
        <f>IF(NOT(ISNUMBER(G3988)), "", VLOOKUP(A3988,'Discount Lookup'!G:H,2,FALSE)*G3988)</f>
        <v>0</v>
      </c>
      <c r="W3988" s="508">
        <f t="shared" si="3066"/>
        <v>0</v>
      </c>
      <c r="X3988" s="508">
        <f t="shared" si="3067"/>
        <v>0</v>
      </c>
      <c r="Y3988" s="509" t="b">
        <f t="shared" si="3068"/>
        <v>0</v>
      </c>
      <c r="Z3988" s="510">
        <f t="shared" si="3069"/>
        <v>0</v>
      </c>
      <c r="AA3988" s="511"/>
      <c r="AB3988" s="511" t="str">
        <f t="shared" si="3070"/>
        <v/>
      </c>
      <c r="AC3988" s="698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698"/>
      <c r="AE3988" s="631" t="str">
        <f t="shared" si="3071"/>
        <v/>
      </c>
      <c r="AF3988" s="699" t="str">
        <f t="shared" si="3072"/>
        <v/>
      </c>
      <c r="AG3988" s="699"/>
      <c r="AH3988" s="699"/>
      <c r="AI3988" s="512">
        <f>IF(H3988="credit",0,IF(AE3988="free",0,IF(AE3988="me",0,IF(G3988&gt;0,(VLOOKUP(A3988,'Discount Lookup'!J:K,2)*G3988),0))))</f>
        <v>0</v>
      </c>
      <c r="AJ3988" s="513" t="str">
        <f t="shared" ca="1" si="3073"/>
        <v/>
      </c>
      <c r="AK3988" s="700" t="str">
        <f t="shared" si="3074"/>
        <v/>
      </c>
      <c r="AL3988" s="700"/>
      <c r="AM3988" s="505" t="str">
        <f t="shared" si="3075"/>
        <v/>
      </c>
      <c r="AN3988" s="506"/>
      <c r="AO3988" s="507"/>
      <c r="AP3988" s="507"/>
      <c r="AQ3988" s="507"/>
      <c r="AR3988" s="507"/>
      <c r="AS3988" s="507"/>
      <c r="AT3988" s="507"/>
      <c r="AU3988" s="507"/>
      <c r="AV3988" s="225"/>
      <c r="AW3988" s="508"/>
      <c r="AX3988" s="225"/>
      <c r="AY3988" s="225"/>
      <c r="AZ3988" s="225"/>
      <c r="BA3988" s="225"/>
      <c r="BB3988" s="225"/>
      <c r="BC3988" s="56"/>
      <c r="BD3988" s="56"/>
      <c r="BE3988" s="56"/>
      <c r="BF3988" s="107" t="str">
        <f t="shared" si="3076"/>
        <v>https://www.google.com/search?tbm=isch&amp;q=25%20G4</v>
      </c>
      <c r="BG3988" s="107" t="str">
        <f t="shared" si="3077"/>
        <v>W</v>
      </c>
      <c r="BH3988" s="254"/>
      <c r="BI3988" s="254"/>
    </row>
    <row r="3989" spans="1:61" customFormat="1" ht="27" x14ac:dyDescent="0.25">
      <c r="A3989" s="485">
        <v>65</v>
      </c>
      <c r="B3989" s="486" t="s">
        <v>291</v>
      </c>
      <c r="C3989" s="487" t="s">
        <v>3851</v>
      </c>
      <c r="D3989" s="488" t="s">
        <v>292</v>
      </c>
      <c r="E3989" s="489">
        <v>797.95</v>
      </c>
      <c r="F3989" s="516" t="s">
        <v>293</v>
      </c>
      <c r="G3989" s="232">
        <v>0</v>
      </c>
      <c r="H3989" s="658" t="str">
        <f t="shared" si="3053"/>
        <v/>
      </c>
      <c r="I3989" s="490">
        <f t="shared" si="3054"/>
        <v>0</v>
      </c>
      <c r="J3989" s="490">
        <f t="shared" si="3055"/>
        <v>0</v>
      </c>
      <c r="K3989" s="695">
        <f t="shared" ref="K3989" si="3084">I3989+J3989</f>
        <v>0</v>
      </c>
      <c r="L3989" s="695"/>
      <c r="M3989" s="659" t="str">
        <f t="shared" si="3057"/>
        <v/>
      </c>
      <c r="N3989" s="660"/>
      <c r="O3989" s="233"/>
      <c r="P3989" s="233"/>
      <c r="Q3989" s="233"/>
      <c r="R3989" s="233"/>
      <c r="S3989" s="233"/>
      <c r="T3989" s="508">
        <f t="shared" si="3065"/>
        <v>0</v>
      </c>
      <c r="U3989" s="225">
        <f>IF(NOT(ISNUMBER(G3989)), "", VLOOKUP(A3989,'Discount Lookup'!D:E,2,FALSE)*G3989)</f>
        <v>0</v>
      </c>
      <c r="V3989" s="225">
        <f>IF(NOT(ISNUMBER(G3989)), "", VLOOKUP(A3989,'Discount Lookup'!G:H,2,FALSE)*G3989)</f>
        <v>0</v>
      </c>
      <c r="W3989" s="508">
        <f t="shared" si="3066"/>
        <v>0</v>
      </c>
      <c r="X3989" s="508">
        <f t="shared" si="3067"/>
        <v>0</v>
      </c>
      <c r="Y3989" s="509" t="b">
        <f t="shared" si="3068"/>
        <v>0</v>
      </c>
      <c r="Z3989" s="510">
        <f t="shared" si="3069"/>
        <v>0</v>
      </c>
      <c r="AA3989" s="511"/>
      <c r="AB3989" s="511" t="str">
        <f t="shared" si="3070"/>
        <v/>
      </c>
      <c r="AC3989" s="698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698"/>
      <c r="AE3989" s="631" t="str">
        <f t="shared" si="3071"/>
        <v/>
      </c>
      <c r="AF3989" s="699" t="str">
        <f t="shared" si="3072"/>
        <v/>
      </c>
      <c r="AG3989" s="699"/>
      <c r="AH3989" s="699"/>
      <c r="AI3989" s="512">
        <f>IF(H3989="credit",0,IF(AE3989="free",0,IF(AE3989="me",0,IF(G3989&gt;0,(VLOOKUP(A3989,'Discount Lookup'!J:K,2)*G3989),0))))</f>
        <v>0</v>
      </c>
      <c r="AJ3989" s="513" t="str">
        <f t="shared" ca="1" si="3073"/>
        <v/>
      </c>
      <c r="AK3989" s="700" t="str">
        <f t="shared" si="3074"/>
        <v/>
      </c>
      <c r="AL3989" s="700"/>
      <c r="AM3989" s="505" t="str">
        <f t="shared" si="3075"/>
        <v/>
      </c>
      <c r="AN3989" s="506"/>
      <c r="AO3989" s="507"/>
      <c r="AP3989" s="507"/>
      <c r="AQ3989" s="507"/>
      <c r="AR3989" s="507"/>
      <c r="AS3989" s="507"/>
      <c r="AT3989" s="507"/>
      <c r="AU3989" s="507"/>
      <c r="AV3989" s="225"/>
      <c r="AW3989" s="508"/>
      <c r="AX3989" s="225"/>
      <c r="AY3989" s="225"/>
      <c r="AZ3989" s="225"/>
      <c r="BA3989" s="225"/>
      <c r="BB3989" s="225"/>
      <c r="BC3989" s="56"/>
      <c r="BD3989" s="56"/>
      <c r="BE3989" s="56"/>
      <c r="BF3989" s="107" t="str">
        <f t="shared" si="3076"/>
        <v>https://www.google.com/search?tbm=isch&amp;q=65%20G4</v>
      </c>
      <c r="BG3989" s="107" t="str">
        <f t="shared" si="3077"/>
        <v>W</v>
      </c>
      <c r="BH3989" s="254"/>
      <c r="BI3989" s="254"/>
    </row>
    <row r="3990" spans="1:61" customFormat="1" ht="17.25" thickBot="1" x14ac:dyDescent="0.3">
      <c r="A3990" s="522" t="s">
        <v>2921</v>
      </c>
      <c r="B3990" s="491"/>
      <c r="C3990" s="675"/>
      <c r="D3990" s="491"/>
      <c r="E3990" s="491"/>
      <c r="F3990" s="492"/>
      <c r="G3990" s="493"/>
      <c r="H3990" s="491"/>
      <c r="I3990" s="234"/>
      <c r="J3990" s="234"/>
      <c r="K3990" s="494"/>
      <c r="L3990" s="543"/>
      <c r="M3990" s="561"/>
      <c r="N3990" s="495"/>
      <c r="O3990" s="496"/>
      <c r="P3990" s="497"/>
      <c r="Q3990" s="495"/>
      <c r="R3990" s="495"/>
      <c r="S3990" s="667" t="s">
        <v>4986</v>
      </c>
      <c r="T3990" s="508">
        <f t="shared" si="3065"/>
        <v>0</v>
      </c>
      <c r="U3990" s="225" t="str">
        <f>IF(NOT(ISNUMBER(G3990)), "", VLOOKUP(A3990,'Discount Lookup'!D:E,2,FALSE)*G3990)</f>
        <v/>
      </c>
      <c r="V3990" s="225" t="str">
        <f>IF(NOT(ISNUMBER(G3990)), "", VLOOKUP(A3990,'Discount Lookup'!G:H,2,FALSE)*G3990)</f>
        <v/>
      </c>
      <c r="W3990" s="508">
        <f t="shared" si="3066"/>
        <v>0</v>
      </c>
      <c r="X3990" s="508">
        <f t="shared" si="3067"/>
        <v>0</v>
      </c>
      <c r="Y3990" s="509" t="b">
        <f t="shared" si="3068"/>
        <v>0</v>
      </c>
      <c r="Z3990" s="510">
        <f t="shared" si="3069"/>
        <v>0</v>
      </c>
      <c r="AA3990" s="511"/>
      <c r="AB3990" s="511" t="str">
        <f t="shared" si="3070"/>
        <v/>
      </c>
      <c r="AC3990" s="698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698"/>
      <c r="AE3990" s="631" t="str">
        <f t="shared" si="3071"/>
        <v/>
      </c>
      <c r="AF3990" s="699" t="str">
        <f t="shared" si="3072"/>
        <v/>
      </c>
      <c r="AG3990" s="699"/>
      <c r="AH3990" s="699"/>
      <c r="AI3990" s="512">
        <f>IF(H3990="credit",0,IF(AE3990="free",0,IF(AE3990="me",0,IF(G3990&gt;0,(VLOOKUP(A3990,'Discount Lookup'!J:K,2)*G3990),0))))</f>
        <v>0</v>
      </c>
      <c r="AJ3990" s="513" t="str">
        <f t="shared" ca="1" si="3073"/>
        <v/>
      </c>
      <c r="AK3990" s="700" t="str">
        <f t="shared" si="3074"/>
        <v/>
      </c>
      <c r="AL3990" s="700"/>
      <c r="AM3990" s="505" t="str">
        <f t="shared" si="3075"/>
        <v/>
      </c>
      <c r="AN3990" s="506"/>
      <c r="AO3990" s="507"/>
      <c r="AP3990" s="507"/>
      <c r="AQ3990" s="507"/>
      <c r="AR3990" s="507"/>
      <c r="AS3990" s="507"/>
      <c r="AT3990" s="507"/>
      <c r="AU3990" s="507"/>
      <c r="AV3990" s="225"/>
      <c r="AW3990" s="508"/>
      <c r="AX3990" s="225"/>
      <c r="AY3990" s="225"/>
      <c r="AZ3990" s="225"/>
      <c r="BA3990" s="225"/>
      <c r="BB3990" s="225"/>
      <c r="BC3990" s="56"/>
      <c r="BD3990" s="56"/>
      <c r="BE3990" s="56"/>
      <c r="BF3990" s="107" t="str">
        <f t="shared" si="3076"/>
        <v>https://www.google.com/search?tbm=isch&amp;q=Wavy%20Leaf%20%20named%20for%20distinctive%20rippled%20Dark%20Green%20folaige.%20Will%20grow%20fairly%20dense%20even%20in%20part%20shade.%20Fragrant%20bloom%20</v>
      </c>
      <c r="BG3990" s="107" t="str">
        <f t="shared" si="3077"/>
        <v>W</v>
      </c>
      <c r="BH3990" s="254"/>
      <c r="BI3990" s="254"/>
    </row>
    <row r="3991" spans="1:61" customFormat="1" ht="18" x14ac:dyDescent="0.25">
      <c r="A3991" s="521" t="s">
        <v>2001</v>
      </c>
      <c r="B3991" s="477"/>
      <c r="C3991" s="674"/>
      <c r="D3991" s="478" t="s">
        <v>2002</v>
      </c>
      <c r="E3991" s="479"/>
      <c r="F3991" s="479"/>
      <c r="G3991" s="479"/>
      <c r="H3991" s="582" t="s">
        <v>321</v>
      </c>
      <c r="I3991" s="480" t="s">
        <v>654</v>
      </c>
      <c r="J3991" s="479"/>
      <c r="K3991" s="479"/>
      <c r="L3991" s="560"/>
      <c r="M3991" s="666" t="s">
        <v>4966</v>
      </c>
      <c r="N3991" s="680" t="str">
        <f>IF(AND(ISTEXT($A3991), ISERROR($A3991+0)), HYPERLINK($BF3991, "Images"), "")</f>
        <v>Images</v>
      </c>
      <c r="O3991" s="662" t="s">
        <v>4974</v>
      </c>
      <c r="P3991" s="482"/>
      <c r="Q3991" s="483"/>
      <c r="R3991" s="483"/>
      <c r="S3991" s="484"/>
      <c r="T3991" s="508">
        <f t="shared" si="3065"/>
        <v>0</v>
      </c>
      <c r="U3991" s="225" t="str">
        <f>IF(NOT(ISNUMBER(G3991)), "", VLOOKUP(A3991,'Discount Lookup'!D:E,2,FALSE)*G3991)</f>
        <v/>
      </c>
      <c r="V3991" s="225" t="str">
        <f>IF(NOT(ISNUMBER(G3991)), "", VLOOKUP(A3991,'Discount Lookup'!G:H,2,FALSE)*G3991)</f>
        <v/>
      </c>
      <c r="W3991" s="508">
        <f t="shared" si="3066"/>
        <v>0</v>
      </c>
      <c r="X3991" s="508" t="str">
        <f t="shared" si="3067"/>
        <v>White bloom</v>
      </c>
      <c r="Y3991" s="509" t="b">
        <f t="shared" si="3068"/>
        <v>0</v>
      </c>
      <c r="Z3991" s="510">
        <f t="shared" si="3069"/>
        <v>0</v>
      </c>
      <c r="AA3991" s="511"/>
      <c r="AB3991" s="511" t="str">
        <f t="shared" si="3070"/>
        <v/>
      </c>
      <c r="AC3991" s="698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698"/>
      <c r="AE3991" s="631" t="str">
        <f t="shared" si="3071"/>
        <v/>
      </c>
      <c r="AF3991" s="699" t="str">
        <f t="shared" si="3072"/>
        <v/>
      </c>
      <c r="AG3991" s="699"/>
      <c r="AH3991" s="699"/>
      <c r="AI3991" s="512">
        <f>IF(H3991="credit",0,IF(AE3991="free",0,IF(AE3991="me",0,IF(G3991&gt;0,(VLOOKUP(A3991,'Discount Lookup'!J:K,2)*G3991),0))))</f>
        <v>0</v>
      </c>
      <c r="AJ3991" s="513" t="str">
        <f t="shared" ca="1" si="3073"/>
        <v/>
      </c>
      <c r="AK3991" s="700" t="str">
        <f t="shared" si="3074"/>
        <v/>
      </c>
      <c r="AL3991" s="700"/>
      <c r="AM3991" s="505" t="str">
        <f t="shared" si="3075"/>
        <v/>
      </c>
      <c r="AN3991" s="506"/>
      <c r="AO3991" s="507"/>
      <c r="AP3991" s="507"/>
      <c r="AQ3991" s="507"/>
      <c r="AR3991" s="507"/>
      <c r="AS3991" s="507"/>
      <c r="AT3991" s="507"/>
      <c r="AU3991" s="507"/>
      <c r="AV3991" s="225"/>
      <c r="AW3991" s="508"/>
      <c r="AX3991" s="225"/>
      <c r="AY3991" s="225"/>
      <c r="AZ3991" s="225"/>
      <c r="BA3991" s="225"/>
      <c r="BB3991" s="225"/>
      <c r="BC3991" s="56"/>
      <c r="BD3991" s="56"/>
      <c r="BE3991" s="56"/>
      <c r="BF3991" s="107" t="str">
        <f t="shared" si="3076"/>
        <v>https://www.google.com/search?tbm=isch&amp;q=Wax%20Leaf%20Privet%20Ligustrum%20japonicum</v>
      </c>
      <c r="BG3991" s="107" t="str">
        <f t="shared" si="3077"/>
        <v>W</v>
      </c>
      <c r="BH3991" s="254"/>
      <c r="BI3991" s="254"/>
    </row>
    <row r="3992" spans="1:61" customFormat="1" ht="15.75" x14ac:dyDescent="0.25">
      <c r="A3992" s="485">
        <v>3</v>
      </c>
      <c r="B3992" s="486" t="s">
        <v>291</v>
      </c>
      <c r="C3992" s="487" t="s">
        <v>3093</v>
      </c>
      <c r="D3992" s="488" t="s">
        <v>297</v>
      </c>
      <c r="E3992" s="489">
        <v>22.95</v>
      </c>
      <c r="F3992" s="516" t="s">
        <v>293</v>
      </c>
      <c r="G3992" s="232">
        <v>0</v>
      </c>
      <c r="H3992" s="658" t="str">
        <f>IF(G3992=0,"",IF(F3992="Buy",IF(G3992=1,"plant","plants"),IF(F3992&gt;0.01,"warranty","Error")))</f>
        <v/>
      </c>
      <c r="I3992" s="490">
        <f>IF(H3992="free",0,IF(H3992="credit",((E3992*(F3992))*G3992*-1),IF(F3992="Buy",(E3992*G3992),((E3992*(1-F3992))*G3992))))</f>
        <v>0</v>
      </c>
      <c r="J3992" s="490">
        <f>IF(H3992="warranty",0,(I3992*(_xlfn.SINGLE(SalesTaxPercentage))))</f>
        <v>0</v>
      </c>
      <c r="K3992" s="695">
        <f t="shared" ref="K3992" si="3085">I3992+J3992</f>
        <v>0</v>
      </c>
      <c r="L3992" s="695"/>
      <c r="M3992" s="659" t="str">
        <f>IF(AND(G3992&gt;0,E3992=0),"WARNING - no PRICE inserted",IF(H3992="free"," FREE ~ no charge this plant",IF(H3992="credit",CONCATENATE(" -$",ROUND(K3992*(1-T2GDiscount)*-1,2)," CREDIT after discount"),IF(T2GDiscount=0,"",IF(G3992=0,"",IF(F3992="Buy",CONCATENATE(" $",ROUND(K3992*(1-T2GDiscount),2)," with ",(T2GDiscount*100),"% discount"),CONCATENATE(" $",ROUND(K3992*(1-T2GDiscount),2)," with ",((T2GDiscount*100+F3992*100)-(T2GDiscount*100*F3992)),IF(F3992&gt;0,"% discounts",IF(NoWarrantyDiscount&gt;0,"% discounts","% discount")))))))))</f>
        <v/>
      </c>
      <c r="N3992" s="660"/>
      <c r="O3992" s="233"/>
      <c r="P3992" s="233"/>
      <c r="Q3992" s="233"/>
      <c r="R3992" s="233"/>
      <c r="S3992" s="233"/>
      <c r="T3992" s="508">
        <f t="shared" si="3065"/>
        <v>0</v>
      </c>
      <c r="U3992" s="225">
        <f>IF(NOT(ISNUMBER(G3992)), "", VLOOKUP(A3992,'Discount Lookup'!D:E,2,FALSE)*G3992)</f>
        <v>0</v>
      </c>
      <c r="V3992" s="225">
        <f>IF(NOT(ISNUMBER(G3992)), "", VLOOKUP(A3992,'Discount Lookup'!G:H,2,FALSE)*G3992)</f>
        <v>0</v>
      </c>
      <c r="W3992" s="508">
        <f t="shared" si="3066"/>
        <v>0</v>
      </c>
      <c r="X3992" s="508">
        <f t="shared" si="3067"/>
        <v>0</v>
      </c>
      <c r="Y3992" s="509" t="b">
        <f t="shared" si="3068"/>
        <v>0</v>
      </c>
      <c r="Z3992" s="510">
        <f t="shared" si="3069"/>
        <v>0</v>
      </c>
      <c r="AA3992" s="511"/>
      <c r="AB3992" s="511" t="str">
        <f t="shared" si="3070"/>
        <v/>
      </c>
      <c r="AC3992" s="698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698"/>
      <c r="AE3992" s="631" t="str">
        <f t="shared" si="3071"/>
        <v/>
      </c>
      <c r="AF3992" s="699" t="str">
        <f t="shared" si="3072"/>
        <v/>
      </c>
      <c r="AG3992" s="699"/>
      <c r="AH3992" s="699"/>
      <c r="AI3992" s="512">
        <f>IF(H3992="credit",0,IF(AE3992="free",0,IF(AE3992="me",0,IF(G3992&gt;0,(VLOOKUP(A3992,'Discount Lookup'!J:K,2)*G3992),0))))</f>
        <v>0</v>
      </c>
      <c r="AJ3992" s="513" t="str">
        <f t="shared" ca="1" si="3073"/>
        <v/>
      </c>
      <c r="AK3992" s="700" t="str">
        <f t="shared" si="3074"/>
        <v/>
      </c>
      <c r="AL3992" s="700"/>
      <c r="AM3992" s="505" t="str">
        <f t="shared" si="3075"/>
        <v/>
      </c>
      <c r="AN3992" s="506"/>
      <c r="AO3992" s="507"/>
      <c r="AP3992" s="507"/>
      <c r="AQ3992" s="507"/>
      <c r="AR3992" s="507"/>
      <c r="AS3992" s="507"/>
      <c r="AT3992" s="507"/>
      <c r="AU3992" s="507"/>
      <c r="AV3992" s="225"/>
      <c r="AW3992" s="508"/>
      <c r="AX3992" s="225"/>
      <c r="AY3992" s="225"/>
      <c r="AZ3992" s="225"/>
      <c r="BA3992" s="225"/>
      <c r="BB3992" s="225"/>
      <c r="BC3992" s="56"/>
      <c r="BD3992" s="56"/>
      <c r="BE3992" s="56"/>
      <c r="BF3992" s="107" t="str">
        <f t="shared" si="3076"/>
        <v>https://www.google.com/search?tbm=isch&amp;q=3%20G3</v>
      </c>
      <c r="BG3992" s="107" t="str">
        <f t="shared" si="3077"/>
        <v>W</v>
      </c>
      <c r="BH3992" s="254"/>
      <c r="BI3992" s="254"/>
    </row>
    <row r="3993" spans="1:61" customFormat="1" ht="15.75" x14ac:dyDescent="0.25">
      <c r="A3993" s="485">
        <v>5</v>
      </c>
      <c r="B3993" s="486" t="s">
        <v>291</v>
      </c>
      <c r="C3993" s="487" t="s">
        <v>3094</v>
      </c>
      <c r="D3993" s="488" t="s">
        <v>297</v>
      </c>
      <c r="E3993" s="489">
        <v>40.950000000000003</v>
      </c>
      <c r="F3993" s="516" t="s">
        <v>293</v>
      </c>
      <c r="G3993" s="232">
        <v>0</v>
      </c>
      <c r="H3993" s="658" t="str">
        <f>IF(G3993=0,"",IF(F3993="Buy",IF(G3993=1,"plant","plants"),IF(F3993&gt;0.01,"warranty","Error")))</f>
        <v/>
      </c>
      <c r="I3993" s="490">
        <f>IF(H3993="free",0,IF(H3993="credit",((E3993*(F3993))*G3993*-1),IF(F3993="Buy",(E3993*G3993),((E3993*(1-F3993))*G3993))))</f>
        <v>0</v>
      </c>
      <c r="J3993" s="490">
        <f>IF(H3993="warranty",0,(I3993*(_xlfn.SINGLE(SalesTaxPercentage))))</f>
        <v>0</v>
      </c>
      <c r="K3993" s="695">
        <f t="shared" ref="K3993" si="3086">I3993+J3993</f>
        <v>0</v>
      </c>
      <c r="L3993" s="695"/>
      <c r="M3993" s="659" t="str">
        <f>IF(AND(G3993&gt;0,E3993=0),"WARNING - no PRICE inserted",IF(H3993="free"," FREE ~ no charge this plant",IF(H3993="credit",CONCATENATE(" -$",ROUND(K3993*(1-T2GDiscount)*-1,2)," CREDIT after discount"),IF(T2GDiscount=0,"",IF(G3993=0,"",IF(F3993="Buy",CONCATENATE(" $",ROUND(K3993*(1-T2GDiscount),2)," with ",(T2GDiscount*100),"% discount"),CONCATENATE(" $",ROUND(K3993*(1-T2GDiscount),2)," with ",((T2GDiscount*100+F3993*100)-(T2GDiscount*100*F3993)),IF(F3993&gt;0,"% discounts",IF(NoWarrantyDiscount&gt;0,"% discounts","% discount")))))))))</f>
        <v/>
      </c>
      <c r="N3993" s="660"/>
      <c r="O3993" s="233"/>
      <c r="P3993" s="233"/>
      <c r="Q3993" s="233"/>
      <c r="R3993" s="233"/>
      <c r="S3993" s="233"/>
      <c r="T3993" s="508">
        <f t="shared" si="3065"/>
        <v>0</v>
      </c>
      <c r="U3993" s="225">
        <f>IF(NOT(ISNUMBER(G3993)), "", VLOOKUP(A3993,'Discount Lookup'!D:E,2,FALSE)*G3993)</f>
        <v>0</v>
      </c>
      <c r="V3993" s="225">
        <f>IF(NOT(ISNUMBER(G3993)), "", VLOOKUP(A3993,'Discount Lookup'!G:H,2,FALSE)*G3993)</f>
        <v>0</v>
      </c>
      <c r="W3993" s="508">
        <f t="shared" si="3066"/>
        <v>0</v>
      </c>
      <c r="X3993" s="508">
        <f t="shared" si="3067"/>
        <v>0</v>
      </c>
      <c r="Y3993" s="509" t="b">
        <f t="shared" si="3068"/>
        <v>0</v>
      </c>
      <c r="Z3993" s="510">
        <f t="shared" si="3069"/>
        <v>0</v>
      </c>
      <c r="AA3993" s="511"/>
      <c r="AB3993" s="511" t="str">
        <f t="shared" si="3070"/>
        <v/>
      </c>
      <c r="AC3993" s="698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698"/>
      <c r="AE3993" s="631" t="str">
        <f t="shared" si="3071"/>
        <v/>
      </c>
      <c r="AF3993" s="699" t="str">
        <f t="shared" si="3072"/>
        <v/>
      </c>
      <c r="AG3993" s="699"/>
      <c r="AH3993" s="699"/>
      <c r="AI3993" s="512">
        <f>IF(H3993="credit",0,IF(AE3993="free",0,IF(AE3993="me",0,IF(G3993&gt;0,(VLOOKUP(A3993,'Discount Lookup'!J:K,2)*G3993),0))))</f>
        <v>0</v>
      </c>
      <c r="AJ3993" s="513" t="str">
        <f t="shared" ca="1" si="3073"/>
        <v/>
      </c>
      <c r="AK3993" s="700" t="str">
        <f t="shared" si="3074"/>
        <v/>
      </c>
      <c r="AL3993" s="700"/>
      <c r="AM3993" s="505" t="str">
        <f t="shared" si="3075"/>
        <v/>
      </c>
      <c r="AN3993" s="506"/>
      <c r="AO3993" s="507"/>
      <c r="AP3993" s="507"/>
      <c r="AQ3993" s="507"/>
      <c r="AR3993" s="507"/>
      <c r="AS3993" s="507"/>
      <c r="AT3993" s="507"/>
      <c r="AU3993" s="507"/>
      <c r="AV3993" s="225"/>
      <c r="AW3993" s="508"/>
      <c r="AX3993" s="225"/>
      <c r="AY3993" s="225"/>
      <c r="AZ3993" s="225"/>
      <c r="BA3993" s="225"/>
      <c r="BB3993" s="225"/>
      <c r="BC3993" s="56"/>
      <c r="BD3993" s="56"/>
      <c r="BE3993" s="56"/>
      <c r="BF3993" s="107" t="str">
        <f t="shared" si="3076"/>
        <v>https://www.google.com/search?tbm=isch&amp;q=5%20G3</v>
      </c>
      <c r="BG3993" s="107" t="str">
        <f t="shared" si="3077"/>
        <v>W</v>
      </c>
      <c r="BH3993" s="254"/>
      <c r="BI3993" s="254"/>
    </row>
    <row r="3994" spans="1:61" customFormat="1" ht="17.25" thickBot="1" x14ac:dyDescent="0.3">
      <c r="A3994" s="522" t="s">
        <v>2922</v>
      </c>
      <c r="B3994" s="491"/>
      <c r="C3994" s="675"/>
      <c r="D3994" s="491"/>
      <c r="E3994" s="491"/>
      <c r="F3994" s="492"/>
      <c r="G3994" s="493"/>
      <c r="H3994" s="491"/>
      <c r="I3994" s="234"/>
      <c r="J3994" s="234"/>
      <c r="K3994" s="494"/>
      <c r="L3994" s="543"/>
      <c r="M3994" s="561"/>
      <c r="N3994" s="495"/>
      <c r="O3994" s="496"/>
      <c r="P3994" s="497"/>
      <c r="Q3994" s="495"/>
      <c r="R3994" s="495"/>
      <c r="S3994" s="667" t="s">
        <v>4986</v>
      </c>
      <c r="T3994" s="508">
        <f t="shared" si="3065"/>
        <v>0</v>
      </c>
      <c r="U3994" s="225" t="str">
        <f>IF(NOT(ISNUMBER(G3994)), "", VLOOKUP(A3994,'Discount Lookup'!D:E,2,FALSE)*G3994)</f>
        <v/>
      </c>
      <c r="V3994" s="225" t="str">
        <f>IF(NOT(ISNUMBER(G3994)), "", VLOOKUP(A3994,'Discount Lookup'!G:H,2,FALSE)*G3994)</f>
        <v/>
      </c>
      <c r="W3994" s="508">
        <f t="shared" si="3066"/>
        <v>0</v>
      </c>
      <c r="X3994" s="508">
        <f t="shared" si="3067"/>
        <v>0</v>
      </c>
      <c r="Y3994" s="509" t="b">
        <f t="shared" si="3068"/>
        <v>0</v>
      </c>
      <c r="Z3994" s="510">
        <f t="shared" si="3069"/>
        <v>0</v>
      </c>
      <c r="AA3994" s="511"/>
      <c r="AB3994" s="511" t="str">
        <f t="shared" si="3070"/>
        <v/>
      </c>
      <c r="AC3994" s="698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698"/>
      <c r="AE3994" s="631" t="str">
        <f t="shared" si="3071"/>
        <v/>
      </c>
      <c r="AF3994" s="699" t="str">
        <f t="shared" si="3072"/>
        <v/>
      </c>
      <c r="AG3994" s="699"/>
      <c r="AH3994" s="699"/>
      <c r="AI3994" s="512">
        <f>IF(H3994="credit",0,IF(AE3994="free",0,IF(AE3994="me",0,IF(G3994&gt;0,(VLOOKUP(A3994,'Discount Lookup'!J:K,2)*G3994),0))))</f>
        <v>0</v>
      </c>
      <c r="AJ3994" s="513" t="str">
        <f t="shared" ca="1" si="3073"/>
        <v/>
      </c>
      <c r="AK3994" s="700" t="str">
        <f t="shared" si="3074"/>
        <v/>
      </c>
      <c r="AL3994" s="700"/>
      <c r="AM3994" s="505" t="str">
        <f t="shared" si="3075"/>
        <v/>
      </c>
      <c r="AN3994" s="506"/>
      <c r="AO3994" s="507"/>
      <c r="AP3994" s="507"/>
      <c r="AQ3994" s="507"/>
      <c r="AR3994" s="507"/>
      <c r="AS3994" s="507"/>
      <c r="AT3994" s="507"/>
      <c r="AU3994" s="507"/>
      <c r="AV3994" s="225"/>
      <c r="AW3994" s="508"/>
      <c r="AX3994" s="225"/>
      <c r="AY3994" s="225"/>
      <c r="AZ3994" s="225"/>
      <c r="BA3994" s="225"/>
      <c r="BB3994" s="225"/>
      <c r="BC3994" s="56"/>
      <c r="BD3994" s="56"/>
      <c r="BE3994" s="56"/>
      <c r="BF3994" s="107" t="str">
        <f t="shared" si="3076"/>
        <v>https://www.google.com/search?tbm=isch&amp;q=Wax%20Leaf%20grows%20fast%2C%20and%20a%20little%20wild-looking%2C%20but%20take%20a%20hedge%20well%2C%20like%20all%20Privet%2C%20Fragran%20flower%20over%20Dark%20Green%20foliage%20</v>
      </c>
      <c r="BG3994" s="107" t="str">
        <f t="shared" si="3077"/>
        <v>W</v>
      </c>
      <c r="BH3994" s="254"/>
      <c r="BI3994" s="254"/>
    </row>
    <row r="3995" spans="1:61" customFormat="1" ht="18" x14ac:dyDescent="0.25">
      <c r="A3995" s="521" t="s">
        <v>2003</v>
      </c>
      <c r="B3995" s="477"/>
      <c r="C3995" s="674"/>
      <c r="D3995" s="478" t="s">
        <v>2004</v>
      </c>
      <c r="E3995" s="479"/>
      <c r="F3995" s="479"/>
      <c r="G3995" s="479"/>
      <c r="H3995" s="582" t="s">
        <v>311</v>
      </c>
      <c r="I3995" s="480" t="s">
        <v>2314</v>
      </c>
      <c r="J3995" s="479"/>
      <c r="K3995" s="479"/>
      <c r="L3995" s="560"/>
      <c r="M3995" s="666" t="s">
        <v>4966</v>
      </c>
      <c r="N3995" s="680" t="str">
        <f>IF(AND(ISTEXT($A3995), ISERROR($A3995+0)), HYPERLINK($BF3995, "Images"), "")</f>
        <v>Images</v>
      </c>
      <c r="O3995" s="662" t="s">
        <v>4969</v>
      </c>
      <c r="P3995" s="482"/>
      <c r="Q3995" s="483"/>
      <c r="R3995" s="483"/>
      <c r="S3995" s="484" t="s">
        <v>305</v>
      </c>
      <c r="T3995" s="508">
        <f t="shared" si="3065"/>
        <v>0</v>
      </c>
      <c r="U3995" s="225" t="str">
        <f>IF(NOT(ISNUMBER(G3995)), "", VLOOKUP(A3995,'Discount Lookup'!D:E,2,FALSE)*G3995)</f>
        <v/>
      </c>
      <c r="V3995" s="225" t="str">
        <f>IF(NOT(ISNUMBER(G3995)), "", VLOOKUP(A3995,'Discount Lookup'!G:H,2,FALSE)*G3995)</f>
        <v/>
      </c>
      <c r="W3995" s="508">
        <f t="shared" si="3066"/>
        <v>0</v>
      </c>
      <c r="X3995" s="508" t="str">
        <f t="shared" si="3067"/>
        <v>Olive-Green foliage</v>
      </c>
      <c r="Y3995" s="509" t="b">
        <f t="shared" si="3068"/>
        <v>0</v>
      </c>
      <c r="Z3995" s="510">
        <f t="shared" si="3069"/>
        <v>0</v>
      </c>
      <c r="AA3995" s="511"/>
      <c r="AB3995" s="511" t="str">
        <f t="shared" si="3070"/>
        <v/>
      </c>
      <c r="AC3995" s="698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698"/>
      <c r="AE3995" s="631" t="str">
        <f t="shared" si="3071"/>
        <v/>
      </c>
      <c r="AF3995" s="699" t="str">
        <f t="shared" si="3072"/>
        <v/>
      </c>
      <c r="AG3995" s="699"/>
      <c r="AH3995" s="699"/>
      <c r="AI3995" s="512">
        <f>IF(H3995="credit",0,IF(AE3995="free",0,IF(AE3995="me",0,IF(G3995&gt;0,(VLOOKUP(A3995,'Discount Lookup'!J:K,2)*G3995),0))))</f>
        <v>0</v>
      </c>
      <c r="AJ3995" s="513" t="str">
        <f t="shared" ca="1" si="3073"/>
        <v/>
      </c>
      <c r="AK3995" s="700" t="str">
        <f t="shared" si="3074"/>
        <v/>
      </c>
      <c r="AL3995" s="700"/>
      <c r="AM3995" s="505" t="str">
        <f t="shared" si="3075"/>
        <v/>
      </c>
      <c r="AN3995" s="506"/>
      <c r="AO3995" s="507"/>
      <c r="AP3995" s="507"/>
      <c r="AQ3995" s="507"/>
      <c r="AR3995" s="507"/>
      <c r="AS3995" s="507"/>
      <c r="AT3995" s="507"/>
      <c r="AU3995" s="507"/>
      <c r="AV3995" s="225"/>
      <c r="AW3995" s="508"/>
      <c r="AX3995" s="225"/>
      <c r="AY3995" s="225"/>
      <c r="AZ3995" s="225"/>
      <c r="BA3995" s="225"/>
      <c r="BB3995" s="225"/>
      <c r="BC3995" s="56"/>
      <c r="BD3995" s="56"/>
      <c r="BE3995" s="56"/>
      <c r="BF3995" s="107" t="str">
        <f t="shared" si="3076"/>
        <v>https://www.google.com/search?tbm=isch&amp;q=Wax%20Myrtle%20Myrica%20cerifera</v>
      </c>
      <c r="BG3995" s="107" t="str">
        <f t="shared" si="3077"/>
        <v>W</v>
      </c>
      <c r="BH3995" s="254"/>
      <c r="BI3995" s="254"/>
    </row>
    <row r="3996" spans="1:61" customFormat="1" ht="15.75" x14ac:dyDescent="0.25">
      <c r="A3996" s="485">
        <v>3</v>
      </c>
      <c r="B3996" s="486" t="s">
        <v>291</v>
      </c>
      <c r="C3996" s="487" t="s">
        <v>2831</v>
      </c>
      <c r="D3996" s="488" t="s">
        <v>297</v>
      </c>
      <c r="E3996" s="489">
        <v>20.95</v>
      </c>
      <c r="F3996" s="516" t="s">
        <v>293</v>
      </c>
      <c r="G3996" s="232">
        <v>0</v>
      </c>
      <c r="H3996" s="658" t="str">
        <f t="shared" ref="H3996:H4004" si="3087">IF(G3996=0,"",IF(F3996="Buy",IF(G3996=1,"plant","plants"),IF(F3996&gt;0.01,"warranty","Error")))</f>
        <v/>
      </c>
      <c r="I3996" s="490">
        <f t="shared" ref="I3996:I4004" si="3088">IF(H3996="free",0,IF(H3996="credit",((E3996*(F3996))*G3996*-1),IF(F3996="Buy",(E3996*G3996),((E3996*(1-F3996))*G3996))))</f>
        <v>0</v>
      </c>
      <c r="J3996" s="490">
        <f t="shared" ref="J3996:J4004" si="3089">IF(H3996="warranty",0,(I3996*(_xlfn.SINGLE(SalesTaxPercentage))))</f>
        <v>0</v>
      </c>
      <c r="K3996" s="695">
        <f t="shared" ref="K3996" si="3090">I3996+J3996</f>
        <v>0</v>
      </c>
      <c r="L3996" s="695"/>
      <c r="M3996" s="659" t="str">
        <f t="shared" ref="M3996:M4004" si="3091">IF(AND(G3996&gt;0,E3996=0),"WARNING - no PRICE inserted",IF(H3996="free"," FREE ~ no charge this plant",IF(H3996="credit",CONCATENATE(" -$",ROUND(K3996*(1-T2GDiscount)*-1,2)," CREDIT after discount"),IF(T2GDiscount=0,"",IF(G3996=0,"",IF(F3996="Buy",CONCATENATE(" $",ROUND(K3996*(1-T2GDiscount),2)," with ",(T2GDiscount*100),"% discount"),CONCATENATE(" $",ROUND(K3996*(1-T2GDiscount),2)," with ",((T2GDiscount*100+F3996*100)-(T2GDiscount*100*F3996)),IF(F3996&gt;0,"% discounts",IF(NoWarrantyDiscount&gt;0,"% discounts","% discount")))))))))</f>
        <v/>
      </c>
      <c r="N3996" s="660"/>
      <c r="O3996" s="233"/>
      <c r="P3996" s="233"/>
      <c r="Q3996" s="233"/>
      <c r="R3996" s="233"/>
      <c r="S3996" s="233"/>
      <c r="T3996" s="508">
        <f t="shared" si="3065"/>
        <v>0</v>
      </c>
      <c r="U3996" s="225">
        <f>IF(NOT(ISNUMBER(G3996)), "", VLOOKUP(A3996,'Discount Lookup'!D:E,2,FALSE)*G3996)</f>
        <v>0</v>
      </c>
      <c r="V3996" s="225">
        <f>IF(NOT(ISNUMBER(G3996)), "", VLOOKUP(A3996,'Discount Lookup'!G:H,2,FALSE)*G3996)</f>
        <v>0</v>
      </c>
      <c r="W3996" s="508">
        <f t="shared" si="3066"/>
        <v>0</v>
      </c>
      <c r="X3996" s="508">
        <f t="shared" si="3067"/>
        <v>0</v>
      </c>
      <c r="Y3996" s="509" t="b">
        <f t="shared" si="3068"/>
        <v>0</v>
      </c>
      <c r="Z3996" s="510">
        <f t="shared" si="3069"/>
        <v>0</v>
      </c>
      <c r="AA3996" s="511"/>
      <c r="AB3996" s="511" t="str">
        <f t="shared" si="3070"/>
        <v/>
      </c>
      <c r="AC3996" s="698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698"/>
      <c r="AE3996" s="631" t="str">
        <f t="shared" si="3071"/>
        <v/>
      </c>
      <c r="AF3996" s="699" t="str">
        <f t="shared" si="3072"/>
        <v/>
      </c>
      <c r="AG3996" s="699"/>
      <c r="AH3996" s="699"/>
      <c r="AI3996" s="512">
        <f>IF(H3996="credit",0,IF(AE3996="free",0,IF(AE3996="me",0,IF(G3996&gt;0,(VLOOKUP(A3996,'Discount Lookup'!J:K,2)*G3996),0))))</f>
        <v>0</v>
      </c>
      <c r="AJ3996" s="513" t="str">
        <f t="shared" ca="1" si="3073"/>
        <v/>
      </c>
      <c r="AK3996" s="700" t="str">
        <f t="shared" si="3074"/>
        <v/>
      </c>
      <c r="AL3996" s="700"/>
      <c r="AM3996" s="505" t="str">
        <f t="shared" si="3075"/>
        <v/>
      </c>
      <c r="AN3996" s="506"/>
      <c r="AO3996" s="507"/>
      <c r="AP3996" s="507"/>
      <c r="AQ3996" s="507"/>
      <c r="AR3996" s="507"/>
      <c r="AS3996" s="507"/>
      <c r="AT3996" s="507"/>
      <c r="AU3996" s="507"/>
      <c r="AV3996" s="225"/>
      <c r="AW3996" s="508"/>
      <c r="AX3996" s="225"/>
      <c r="AY3996" s="225"/>
      <c r="AZ3996" s="225"/>
      <c r="BA3996" s="225"/>
      <c r="BB3996" s="225"/>
      <c r="BC3996" s="56"/>
      <c r="BD3996" s="56"/>
      <c r="BE3996" s="56"/>
      <c r="BF3996" s="107" t="str">
        <f t="shared" si="3076"/>
        <v>https://www.google.com/search?tbm=isch&amp;q=3%20G3</v>
      </c>
      <c r="BG3996" s="107" t="str">
        <f t="shared" si="3077"/>
        <v>W</v>
      </c>
      <c r="BH3996" s="254"/>
      <c r="BI3996" s="254"/>
    </row>
    <row r="3997" spans="1:61" customFormat="1" ht="15.75" x14ac:dyDescent="0.25">
      <c r="A3997" s="485">
        <v>3</v>
      </c>
      <c r="B3997" s="486" t="s">
        <v>291</v>
      </c>
      <c r="C3997" s="487" t="s">
        <v>327</v>
      </c>
      <c r="D3997" s="488" t="s">
        <v>298</v>
      </c>
      <c r="E3997" s="489">
        <v>25.95</v>
      </c>
      <c r="F3997" s="516" t="s">
        <v>293</v>
      </c>
      <c r="G3997" s="232">
        <v>0</v>
      </c>
      <c r="H3997" s="658" t="str">
        <f t="shared" si="3087"/>
        <v/>
      </c>
      <c r="I3997" s="490">
        <f t="shared" si="3088"/>
        <v>0</v>
      </c>
      <c r="J3997" s="490">
        <f t="shared" si="3089"/>
        <v>0</v>
      </c>
      <c r="K3997" s="695">
        <f t="shared" ref="K3997" si="3092">I3997+J3997</f>
        <v>0</v>
      </c>
      <c r="L3997" s="695"/>
      <c r="M3997" s="659" t="str">
        <f t="shared" si="3091"/>
        <v/>
      </c>
      <c r="N3997" s="660"/>
      <c r="O3997" s="233"/>
      <c r="P3997" s="233"/>
      <c r="Q3997" s="233"/>
      <c r="R3997" s="233"/>
      <c r="S3997" s="233"/>
      <c r="T3997" s="508">
        <f t="shared" si="3065"/>
        <v>0</v>
      </c>
      <c r="U3997" s="225">
        <f>IF(NOT(ISNUMBER(G3997)), "", VLOOKUP(A3997,'Discount Lookup'!D:E,2,FALSE)*G3997)</f>
        <v>0</v>
      </c>
      <c r="V3997" s="225">
        <f>IF(NOT(ISNUMBER(G3997)), "", VLOOKUP(A3997,'Discount Lookup'!G:H,2,FALSE)*G3997)</f>
        <v>0</v>
      </c>
      <c r="W3997" s="508">
        <f t="shared" si="3066"/>
        <v>0</v>
      </c>
      <c r="X3997" s="508">
        <f t="shared" si="3067"/>
        <v>0</v>
      </c>
      <c r="Y3997" s="509" t="b">
        <f t="shared" si="3068"/>
        <v>0</v>
      </c>
      <c r="Z3997" s="510">
        <f t="shared" si="3069"/>
        <v>0</v>
      </c>
      <c r="AA3997" s="511"/>
      <c r="AB3997" s="511" t="str">
        <f t="shared" si="3070"/>
        <v/>
      </c>
      <c r="AC3997" s="698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698"/>
      <c r="AE3997" s="631" t="str">
        <f t="shared" si="3071"/>
        <v/>
      </c>
      <c r="AF3997" s="699" t="str">
        <f t="shared" si="3072"/>
        <v/>
      </c>
      <c r="AG3997" s="699"/>
      <c r="AH3997" s="699"/>
      <c r="AI3997" s="512">
        <f>IF(H3997="credit",0,IF(AE3997="free",0,IF(AE3997="me",0,IF(G3997&gt;0,(VLOOKUP(A3997,'Discount Lookup'!J:K,2)*G3997),0))))</f>
        <v>0</v>
      </c>
      <c r="AJ3997" s="513" t="str">
        <f t="shared" ca="1" si="3073"/>
        <v/>
      </c>
      <c r="AK3997" s="700" t="str">
        <f t="shared" si="3074"/>
        <v/>
      </c>
      <c r="AL3997" s="700"/>
      <c r="AM3997" s="505" t="str">
        <f t="shared" si="3075"/>
        <v/>
      </c>
      <c r="AN3997" s="506"/>
      <c r="AO3997" s="507"/>
      <c r="AP3997" s="507"/>
      <c r="AQ3997" s="507"/>
      <c r="AR3997" s="507"/>
      <c r="AS3997" s="507"/>
      <c r="AT3997" s="507"/>
      <c r="AU3997" s="507"/>
      <c r="AV3997" s="225"/>
      <c r="AW3997" s="508"/>
      <c r="AX3997" s="225"/>
      <c r="AY3997" s="225"/>
      <c r="AZ3997" s="225"/>
      <c r="BA3997" s="225"/>
      <c r="BB3997" s="225"/>
      <c r="BC3997" s="56"/>
      <c r="BD3997" s="56"/>
      <c r="BE3997" s="56"/>
      <c r="BF3997" s="107" t="str">
        <f t="shared" si="3076"/>
        <v>https://www.google.com/search?tbm=isch&amp;q=3%20G1</v>
      </c>
      <c r="BG3997" s="107" t="str">
        <f t="shared" si="3077"/>
        <v>W</v>
      </c>
      <c r="BH3997" s="254"/>
      <c r="BI3997" s="254"/>
    </row>
    <row r="3998" spans="1:61" customFormat="1" ht="15.75" x14ac:dyDescent="0.25">
      <c r="A3998" s="485">
        <v>3</v>
      </c>
      <c r="B3998" s="486" t="s">
        <v>291</v>
      </c>
      <c r="C3998" s="487" t="s">
        <v>3219</v>
      </c>
      <c r="D3998" s="488" t="s">
        <v>312</v>
      </c>
      <c r="E3998" s="489">
        <v>26.95</v>
      </c>
      <c r="F3998" s="516" t="s">
        <v>293</v>
      </c>
      <c r="G3998" s="232">
        <v>0</v>
      </c>
      <c r="H3998" s="658" t="str">
        <f t="shared" si="3087"/>
        <v/>
      </c>
      <c r="I3998" s="490">
        <f t="shared" si="3088"/>
        <v>0</v>
      </c>
      <c r="J3998" s="490">
        <f t="shared" si="3089"/>
        <v>0</v>
      </c>
      <c r="K3998" s="695">
        <f t="shared" ref="K3998" si="3093">I3998+J3998</f>
        <v>0</v>
      </c>
      <c r="L3998" s="695"/>
      <c r="M3998" s="659" t="str">
        <f t="shared" si="3091"/>
        <v/>
      </c>
      <c r="N3998" s="660"/>
      <c r="O3998" s="233"/>
      <c r="P3998" s="233"/>
      <c r="Q3998" s="233"/>
      <c r="R3998" s="233"/>
      <c r="S3998" s="233"/>
      <c r="T3998" s="508">
        <f t="shared" si="3065"/>
        <v>0</v>
      </c>
      <c r="U3998" s="225">
        <f>IF(NOT(ISNUMBER(G3998)), "", VLOOKUP(A3998,'Discount Lookup'!D:E,2,FALSE)*G3998)</f>
        <v>0</v>
      </c>
      <c r="V3998" s="225">
        <f>IF(NOT(ISNUMBER(G3998)), "", VLOOKUP(A3998,'Discount Lookup'!G:H,2,FALSE)*G3998)</f>
        <v>0</v>
      </c>
      <c r="W3998" s="508">
        <f t="shared" si="3066"/>
        <v>0</v>
      </c>
      <c r="X3998" s="508">
        <f t="shared" si="3067"/>
        <v>0</v>
      </c>
      <c r="Y3998" s="509" t="b">
        <f t="shared" si="3068"/>
        <v>0</v>
      </c>
      <c r="Z3998" s="510">
        <f t="shared" si="3069"/>
        <v>0</v>
      </c>
      <c r="AA3998" s="511"/>
      <c r="AB3998" s="511" t="str">
        <f t="shared" si="3070"/>
        <v/>
      </c>
      <c r="AC3998" s="698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698"/>
      <c r="AE3998" s="631" t="str">
        <f t="shared" si="3071"/>
        <v/>
      </c>
      <c r="AF3998" s="699" t="str">
        <f t="shared" si="3072"/>
        <v/>
      </c>
      <c r="AG3998" s="699"/>
      <c r="AH3998" s="699"/>
      <c r="AI3998" s="512">
        <f>IF(H3998="credit",0,IF(AE3998="free",0,IF(AE3998="me",0,IF(G3998&gt;0,(VLOOKUP(A3998,'Discount Lookup'!J:K,2)*G3998),0))))</f>
        <v>0</v>
      </c>
      <c r="AJ3998" s="513" t="str">
        <f t="shared" ca="1" si="3073"/>
        <v/>
      </c>
      <c r="AK3998" s="700" t="str">
        <f t="shared" si="3074"/>
        <v/>
      </c>
      <c r="AL3998" s="700"/>
      <c r="AM3998" s="505" t="str">
        <f t="shared" si="3075"/>
        <v/>
      </c>
      <c r="AN3998" s="506"/>
      <c r="AO3998" s="507"/>
      <c r="AP3998" s="507"/>
      <c r="AQ3998" s="507"/>
      <c r="AR3998" s="507"/>
      <c r="AS3998" s="507"/>
      <c r="AT3998" s="507"/>
      <c r="AU3998" s="507"/>
      <c r="AV3998" s="225"/>
      <c r="AW3998" s="508"/>
      <c r="AX3998" s="225"/>
      <c r="AY3998" s="225"/>
      <c r="AZ3998" s="225"/>
      <c r="BA3998" s="225"/>
      <c r="BB3998" s="225"/>
      <c r="BC3998" s="56"/>
      <c r="BD3998" s="56"/>
      <c r="BE3998" s="56"/>
      <c r="BF3998" s="107" t="str">
        <f t="shared" si="3076"/>
        <v>https://www.google.com/search?tbm=isch&amp;q=3%20G2</v>
      </c>
      <c r="BG3998" s="107" t="str">
        <f t="shared" si="3077"/>
        <v>W</v>
      </c>
      <c r="BH3998" s="254"/>
      <c r="BI3998" s="254"/>
    </row>
    <row r="3999" spans="1:61" customFormat="1" ht="15.75" x14ac:dyDescent="0.25">
      <c r="A3999" s="485">
        <v>3</v>
      </c>
      <c r="B3999" s="486" t="s">
        <v>291</v>
      </c>
      <c r="C3999" s="487" t="s">
        <v>3281</v>
      </c>
      <c r="D3999" s="488" t="s">
        <v>299</v>
      </c>
      <c r="E3999" s="489">
        <v>27.95</v>
      </c>
      <c r="F3999" s="516" t="s">
        <v>293</v>
      </c>
      <c r="G3999" s="232">
        <v>0</v>
      </c>
      <c r="H3999" s="658" t="str">
        <f t="shared" si="3087"/>
        <v/>
      </c>
      <c r="I3999" s="490">
        <f t="shared" si="3088"/>
        <v>0</v>
      </c>
      <c r="J3999" s="490">
        <f t="shared" si="3089"/>
        <v>0</v>
      </c>
      <c r="K3999" s="695">
        <f t="shared" ref="K3999" si="3094">I3999+J3999</f>
        <v>0</v>
      </c>
      <c r="L3999" s="695"/>
      <c r="M3999" s="659" t="str">
        <f t="shared" si="3091"/>
        <v/>
      </c>
      <c r="N3999" s="660"/>
      <c r="O3999" s="233"/>
      <c r="P3999" s="233"/>
      <c r="Q3999" s="233"/>
      <c r="R3999" s="233"/>
      <c r="S3999" s="233"/>
      <c r="T3999" s="508">
        <f t="shared" si="3065"/>
        <v>0</v>
      </c>
      <c r="U3999" s="225">
        <f>IF(NOT(ISNUMBER(G3999)), "", VLOOKUP(A3999,'Discount Lookup'!D:E,2,FALSE)*G3999)</f>
        <v>0</v>
      </c>
      <c r="V3999" s="225">
        <f>IF(NOT(ISNUMBER(G3999)), "", VLOOKUP(A3999,'Discount Lookup'!G:H,2,FALSE)*G3999)</f>
        <v>0</v>
      </c>
      <c r="W3999" s="508">
        <f t="shared" si="3066"/>
        <v>0</v>
      </c>
      <c r="X3999" s="508">
        <f t="shared" si="3067"/>
        <v>0</v>
      </c>
      <c r="Y3999" s="509" t="b">
        <f t="shared" si="3068"/>
        <v>0</v>
      </c>
      <c r="Z3999" s="510">
        <f t="shared" si="3069"/>
        <v>0</v>
      </c>
      <c r="AA3999" s="511"/>
      <c r="AB3999" s="511" t="str">
        <f t="shared" si="3070"/>
        <v/>
      </c>
      <c r="AC3999" s="698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698"/>
      <c r="AE3999" s="631" t="str">
        <f t="shared" si="3071"/>
        <v/>
      </c>
      <c r="AF3999" s="699" t="str">
        <f t="shared" si="3072"/>
        <v/>
      </c>
      <c r="AG3999" s="699"/>
      <c r="AH3999" s="699"/>
      <c r="AI3999" s="512">
        <f>IF(H3999="credit",0,IF(AE3999="free",0,IF(AE3999="me",0,IF(G3999&gt;0,(VLOOKUP(A3999,'Discount Lookup'!J:K,2)*G3999),0))))</f>
        <v>0</v>
      </c>
      <c r="AJ3999" s="513" t="str">
        <f t="shared" ca="1" si="3073"/>
        <v/>
      </c>
      <c r="AK3999" s="700" t="str">
        <f t="shared" si="3074"/>
        <v/>
      </c>
      <c r="AL3999" s="700"/>
      <c r="AM3999" s="505" t="str">
        <f t="shared" si="3075"/>
        <v/>
      </c>
      <c r="AN3999" s="506"/>
      <c r="AO3999" s="507"/>
      <c r="AP3999" s="507"/>
      <c r="AQ3999" s="507"/>
      <c r="AR3999" s="507"/>
      <c r="AS3999" s="507"/>
      <c r="AT3999" s="507"/>
      <c r="AU3999" s="507"/>
      <c r="AV3999" s="225"/>
      <c r="AW3999" s="508"/>
      <c r="AX3999" s="225"/>
      <c r="AY3999" s="225"/>
      <c r="AZ3999" s="225"/>
      <c r="BA3999" s="225"/>
      <c r="BB3999" s="225"/>
      <c r="BC3999" s="56"/>
      <c r="BD3999" s="56"/>
      <c r="BE3999" s="56"/>
      <c r="BF3999" s="107" t="str">
        <f t="shared" si="3076"/>
        <v>https://www.google.com/search?tbm=isch&amp;q=3%20G5</v>
      </c>
      <c r="BG3999" s="107" t="str">
        <f t="shared" si="3077"/>
        <v>W</v>
      </c>
      <c r="BH3999" s="254"/>
      <c r="BI3999" s="254"/>
    </row>
    <row r="4000" spans="1:61" customFormat="1" ht="15.75" x14ac:dyDescent="0.25">
      <c r="A4000" s="485">
        <v>7</v>
      </c>
      <c r="B4000" s="486" t="s">
        <v>291</v>
      </c>
      <c r="C4000" s="487" t="s">
        <v>4719</v>
      </c>
      <c r="D4000" s="488" t="s">
        <v>298</v>
      </c>
      <c r="E4000" s="489">
        <v>56.95</v>
      </c>
      <c r="F4000" s="516" t="s">
        <v>293</v>
      </c>
      <c r="G4000" s="232">
        <v>0</v>
      </c>
      <c r="H4000" s="658" t="str">
        <f t="shared" si="3087"/>
        <v/>
      </c>
      <c r="I4000" s="490">
        <f t="shared" si="3088"/>
        <v>0</v>
      </c>
      <c r="J4000" s="490">
        <f t="shared" si="3089"/>
        <v>0</v>
      </c>
      <c r="K4000" s="695">
        <f t="shared" ref="K4000" si="3095">I4000+J4000</f>
        <v>0</v>
      </c>
      <c r="L4000" s="695"/>
      <c r="M4000" s="659" t="str">
        <f t="shared" si="3091"/>
        <v/>
      </c>
      <c r="N4000" s="660"/>
      <c r="O4000" s="233"/>
      <c r="P4000" s="233"/>
      <c r="Q4000" s="233"/>
      <c r="R4000" s="233"/>
      <c r="S4000" s="233"/>
      <c r="T4000" s="508">
        <f t="shared" si="3065"/>
        <v>0</v>
      </c>
      <c r="U4000" s="225">
        <f>IF(NOT(ISNUMBER(G4000)), "", VLOOKUP(A4000,'Discount Lookup'!D:E,2,FALSE)*G4000)</f>
        <v>0</v>
      </c>
      <c r="V4000" s="225">
        <f>IF(NOT(ISNUMBER(G4000)), "", VLOOKUP(A4000,'Discount Lookup'!G:H,2,FALSE)*G4000)</f>
        <v>0</v>
      </c>
      <c r="W4000" s="508">
        <f t="shared" si="3066"/>
        <v>0</v>
      </c>
      <c r="X4000" s="508">
        <f t="shared" si="3067"/>
        <v>0</v>
      </c>
      <c r="Y4000" s="509" t="b">
        <f t="shared" si="3068"/>
        <v>0</v>
      </c>
      <c r="Z4000" s="510">
        <f t="shared" si="3069"/>
        <v>0</v>
      </c>
      <c r="AA4000" s="511"/>
      <c r="AB4000" s="511" t="str">
        <f t="shared" si="3070"/>
        <v/>
      </c>
      <c r="AC4000" s="698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698"/>
      <c r="AE4000" s="631" t="str">
        <f t="shared" si="3071"/>
        <v/>
      </c>
      <c r="AF4000" s="699" t="str">
        <f t="shared" si="3072"/>
        <v/>
      </c>
      <c r="AG4000" s="699"/>
      <c r="AH4000" s="699"/>
      <c r="AI4000" s="512">
        <f>IF(H4000="credit",0,IF(AE4000="free",0,IF(AE4000="me",0,IF(G4000&gt;0,(VLOOKUP(A4000,'Discount Lookup'!J:K,2)*G4000),0))))</f>
        <v>0</v>
      </c>
      <c r="AJ4000" s="513" t="str">
        <f t="shared" ca="1" si="3073"/>
        <v/>
      </c>
      <c r="AK4000" s="700" t="str">
        <f t="shared" si="3074"/>
        <v/>
      </c>
      <c r="AL4000" s="700"/>
      <c r="AM4000" s="505" t="str">
        <f t="shared" si="3075"/>
        <v/>
      </c>
      <c r="AN4000" s="506"/>
      <c r="AO4000" s="507"/>
      <c r="AP4000" s="507"/>
      <c r="AQ4000" s="507"/>
      <c r="AR4000" s="507"/>
      <c r="AS4000" s="507"/>
      <c r="AT4000" s="507"/>
      <c r="AU4000" s="507"/>
      <c r="AV4000" s="225"/>
      <c r="AW4000" s="508"/>
      <c r="AX4000" s="225"/>
      <c r="AY4000" s="225"/>
      <c r="AZ4000" s="225"/>
      <c r="BA4000" s="225"/>
      <c r="BB4000" s="225"/>
      <c r="BC4000" s="56"/>
      <c r="BD4000" s="56"/>
      <c r="BE4000" s="56"/>
      <c r="BF4000" s="107" t="str">
        <f t="shared" si="3076"/>
        <v>https://www.google.com/search?tbm=isch&amp;q=7%20G1</v>
      </c>
      <c r="BG4000" s="107" t="str">
        <f t="shared" si="3077"/>
        <v>W</v>
      </c>
      <c r="BH4000" s="254"/>
      <c r="BI4000" s="254"/>
    </row>
    <row r="4001" spans="1:61" customFormat="1" ht="15.75" x14ac:dyDescent="0.25">
      <c r="A4001" s="485">
        <v>7</v>
      </c>
      <c r="B4001" s="486" t="s">
        <v>291</v>
      </c>
      <c r="C4001" s="487" t="s">
        <v>4957</v>
      </c>
      <c r="D4001" s="488" t="s">
        <v>299</v>
      </c>
      <c r="E4001" s="489">
        <v>56.95</v>
      </c>
      <c r="F4001" s="516" t="s">
        <v>293</v>
      </c>
      <c r="G4001" s="232">
        <v>0</v>
      </c>
      <c r="H4001" s="658" t="str">
        <f t="shared" si="3087"/>
        <v/>
      </c>
      <c r="I4001" s="490">
        <f t="shared" si="3088"/>
        <v>0</v>
      </c>
      <c r="J4001" s="490">
        <f t="shared" si="3089"/>
        <v>0</v>
      </c>
      <c r="K4001" s="695">
        <f t="shared" ref="K4001" si="3096">I4001+J4001</f>
        <v>0</v>
      </c>
      <c r="L4001" s="695"/>
      <c r="M4001" s="659" t="str">
        <f t="shared" si="3091"/>
        <v/>
      </c>
      <c r="N4001" s="660"/>
      <c r="O4001" s="233"/>
      <c r="P4001" s="233"/>
      <c r="Q4001" s="233"/>
      <c r="R4001" s="233"/>
      <c r="S4001" s="233"/>
      <c r="T4001" s="508">
        <f t="shared" si="3065"/>
        <v>0</v>
      </c>
      <c r="U4001" s="225">
        <f>IF(NOT(ISNUMBER(G4001)), "", VLOOKUP(A4001,'Discount Lookup'!D:E,2,FALSE)*G4001)</f>
        <v>0</v>
      </c>
      <c r="V4001" s="225">
        <f>IF(NOT(ISNUMBER(G4001)), "", VLOOKUP(A4001,'Discount Lookup'!G:H,2,FALSE)*G4001)</f>
        <v>0</v>
      </c>
      <c r="W4001" s="508">
        <f t="shared" si="3066"/>
        <v>0</v>
      </c>
      <c r="X4001" s="508">
        <f t="shared" si="3067"/>
        <v>0</v>
      </c>
      <c r="Y4001" s="509" t="b">
        <f t="shared" si="3068"/>
        <v>0</v>
      </c>
      <c r="Z4001" s="510">
        <f t="shared" si="3069"/>
        <v>0</v>
      </c>
      <c r="AA4001" s="511"/>
      <c r="AB4001" s="511" t="str">
        <f t="shared" si="3070"/>
        <v/>
      </c>
      <c r="AC4001" s="698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698"/>
      <c r="AE4001" s="631" t="str">
        <f t="shared" si="3071"/>
        <v/>
      </c>
      <c r="AF4001" s="699" t="str">
        <f t="shared" si="3072"/>
        <v/>
      </c>
      <c r="AG4001" s="699"/>
      <c r="AH4001" s="699"/>
      <c r="AI4001" s="512">
        <f>IF(H4001="credit",0,IF(AE4001="free",0,IF(AE4001="me",0,IF(G4001&gt;0,(VLOOKUP(A4001,'Discount Lookup'!J:K,2)*G4001),0))))</f>
        <v>0</v>
      </c>
      <c r="AJ4001" s="513" t="str">
        <f t="shared" ca="1" si="3073"/>
        <v/>
      </c>
      <c r="AK4001" s="700" t="str">
        <f t="shared" si="3074"/>
        <v/>
      </c>
      <c r="AL4001" s="700"/>
      <c r="AM4001" s="505" t="str">
        <f t="shared" si="3075"/>
        <v/>
      </c>
      <c r="AN4001" s="506"/>
      <c r="AO4001" s="507"/>
      <c r="AP4001" s="507"/>
      <c r="AQ4001" s="507"/>
      <c r="AR4001" s="507"/>
      <c r="AS4001" s="507"/>
      <c r="AT4001" s="507"/>
      <c r="AU4001" s="507"/>
      <c r="AV4001" s="225"/>
      <c r="AW4001" s="508"/>
      <c r="AX4001" s="225"/>
      <c r="AY4001" s="225"/>
      <c r="AZ4001" s="225"/>
      <c r="BA4001" s="225"/>
      <c r="BB4001" s="225"/>
      <c r="BC4001" s="56"/>
      <c r="BD4001" s="56"/>
      <c r="BE4001" s="56"/>
      <c r="BF4001" s="107" t="str">
        <f t="shared" si="3076"/>
        <v>https://www.google.com/search?tbm=isch&amp;q=7%20G5</v>
      </c>
      <c r="BG4001" s="107" t="str">
        <f t="shared" si="3077"/>
        <v>W</v>
      </c>
      <c r="BH4001" s="254"/>
      <c r="BI4001" s="254"/>
    </row>
    <row r="4002" spans="1:61" customFormat="1" ht="15.75" x14ac:dyDescent="0.25">
      <c r="A4002" s="485">
        <v>7</v>
      </c>
      <c r="B4002" s="486" t="s">
        <v>291</v>
      </c>
      <c r="C4002" s="487" t="s">
        <v>4034</v>
      </c>
      <c r="D4002" s="488" t="s">
        <v>312</v>
      </c>
      <c r="E4002" s="489">
        <v>60.95</v>
      </c>
      <c r="F4002" s="516" t="s">
        <v>293</v>
      </c>
      <c r="G4002" s="232">
        <v>0</v>
      </c>
      <c r="H4002" s="658" t="str">
        <f t="shared" si="3087"/>
        <v/>
      </c>
      <c r="I4002" s="490">
        <f t="shared" si="3088"/>
        <v>0</v>
      </c>
      <c r="J4002" s="490">
        <f t="shared" si="3089"/>
        <v>0</v>
      </c>
      <c r="K4002" s="695">
        <f t="shared" ref="K4002" si="3097">I4002+J4002</f>
        <v>0</v>
      </c>
      <c r="L4002" s="695"/>
      <c r="M4002" s="659" t="str">
        <f t="shared" si="3091"/>
        <v/>
      </c>
      <c r="N4002" s="660"/>
      <c r="O4002" s="233"/>
      <c r="P4002" s="233"/>
      <c r="Q4002" s="233"/>
      <c r="R4002" s="233"/>
      <c r="S4002" s="233"/>
      <c r="T4002" s="508">
        <f t="shared" si="3065"/>
        <v>0</v>
      </c>
      <c r="U4002" s="225">
        <f>IF(NOT(ISNUMBER(G4002)), "", VLOOKUP(A4002,'Discount Lookup'!D:E,2,FALSE)*G4002)</f>
        <v>0</v>
      </c>
      <c r="V4002" s="225">
        <f>IF(NOT(ISNUMBER(G4002)), "", VLOOKUP(A4002,'Discount Lookup'!G:H,2,FALSE)*G4002)</f>
        <v>0</v>
      </c>
      <c r="W4002" s="508">
        <f t="shared" si="3066"/>
        <v>0</v>
      </c>
      <c r="X4002" s="508">
        <f t="shared" si="3067"/>
        <v>0</v>
      </c>
      <c r="Y4002" s="509" t="b">
        <f t="shared" si="3068"/>
        <v>0</v>
      </c>
      <c r="Z4002" s="510">
        <f t="shared" si="3069"/>
        <v>0</v>
      </c>
      <c r="AA4002" s="511"/>
      <c r="AB4002" s="511" t="str">
        <f t="shared" si="3070"/>
        <v/>
      </c>
      <c r="AC4002" s="698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698"/>
      <c r="AE4002" s="631" t="str">
        <f t="shared" si="3071"/>
        <v/>
      </c>
      <c r="AF4002" s="699" t="str">
        <f t="shared" si="3072"/>
        <v/>
      </c>
      <c r="AG4002" s="699"/>
      <c r="AH4002" s="699"/>
      <c r="AI4002" s="512">
        <f>IF(H4002="credit",0,IF(AE4002="free",0,IF(AE4002="me",0,IF(G4002&gt;0,(VLOOKUP(A4002,'Discount Lookup'!J:K,2)*G4002),0))))</f>
        <v>0</v>
      </c>
      <c r="AJ4002" s="513" t="str">
        <f t="shared" ca="1" si="3073"/>
        <v/>
      </c>
      <c r="AK4002" s="700" t="str">
        <f t="shared" si="3074"/>
        <v/>
      </c>
      <c r="AL4002" s="700"/>
      <c r="AM4002" s="505" t="str">
        <f t="shared" si="3075"/>
        <v/>
      </c>
      <c r="AN4002" s="506"/>
      <c r="AO4002" s="507"/>
      <c r="AP4002" s="507"/>
      <c r="AQ4002" s="507"/>
      <c r="AR4002" s="507"/>
      <c r="AS4002" s="507"/>
      <c r="AT4002" s="507"/>
      <c r="AU4002" s="507"/>
      <c r="AV4002" s="225"/>
      <c r="AW4002" s="508"/>
      <c r="AX4002" s="225"/>
      <c r="AY4002" s="225"/>
      <c r="AZ4002" s="225"/>
      <c r="BA4002" s="225"/>
      <c r="BB4002" s="225"/>
      <c r="BC4002" s="56"/>
      <c r="BD4002" s="56"/>
      <c r="BE4002" s="56"/>
      <c r="BF4002" s="107" t="str">
        <f t="shared" si="3076"/>
        <v>https://www.google.com/search?tbm=isch&amp;q=7%20G2</v>
      </c>
      <c r="BG4002" s="107" t="str">
        <f t="shared" si="3077"/>
        <v>W</v>
      </c>
      <c r="BH4002" s="254"/>
      <c r="BI4002" s="254"/>
    </row>
    <row r="4003" spans="1:61" customFormat="1" ht="15.75" x14ac:dyDescent="0.25">
      <c r="A4003" s="485">
        <v>15</v>
      </c>
      <c r="B4003" s="486" t="s">
        <v>291</v>
      </c>
      <c r="C4003" s="487" t="s">
        <v>2832</v>
      </c>
      <c r="D4003" s="488" t="s">
        <v>299</v>
      </c>
      <c r="E4003" s="489">
        <v>155.94999999999999</v>
      </c>
      <c r="F4003" s="516" t="s">
        <v>293</v>
      </c>
      <c r="G4003" s="232">
        <v>0</v>
      </c>
      <c r="H4003" s="658" t="str">
        <f t="shared" si="3087"/>
        <v/>
      </c>
      <c r="I4003" s="490">
        <f t="shared" si="3088"/>
        <v>0</v>
      </c>
      <c r="J4003" s="490">
        <f t="shared" si="3089"/>
        <v>0</v>
      </c>
      <c r="K4003" s="695">
        <f t="shared" ref="K4003" si="3098">I4003+J4003</f>
        <v>0</v>
      </c>
      <c r="L4003" s="695"/>
      <c r="M4003" s="659" t="str">
        <f t="shared" si="3091"/>
        <v/>
      </c>
      <c r="N4003" s="660"/>
      <c r="O4003" s="233"/>
      <c r="P4003" s="233"/>
      <c r="Q4003" s="233"/>
      <c r="R4003" s="233"/>
      <c r="S4003" s="233"/>
      <c r="T4003" s="508">
        <f t="shared" si="3065"/>
        <v>0</v>
      </c>
      <c r="U4003" s="225">
        <f>IF(NOT(ISNUMBER(G4003)), "", VLOOKUP(A4003,'Discount Lookup'!D:E,2,FALSE)*G4003)</f>
        <v>0</v>
      </c>
      <c r="V4003" s="225">
        <f>IF(NOT(ISNUMBER(G4003)), "", VLOOKUP(A4003,'Discount Lookup'!G:H,2,FALSE)*G4003)</f>
        <v>0</v>
      </c>
      <c r="W4003" s="508">
        <f t="shared" si="3066"/>
        <v>0</v>
      </c>
      <c r="X4003" s="508">
        <f t="shared" si="3067"/>
        <v>0</v>
      </c>
      <c r="Y4003" s="509" t="b">
        <f t="shared" si="3068"/>
        <v>0</v>
      </c>
      <c r="Z4003" s="510">
        <f t="shared" si="3069"/>
        <v>0</v>
      </c>
      <c r="AA4003" s="511"/>
      <c r="AB4003" s="511" t="str">
        <f t="shared" si="3070"/>
        <v/>
      </c>
      <c r="AC4003" s="698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698"/>
      <c r="AE4003" s="631" t="str">
        <f t="shared" si="3071"/>
        <v/>
      </c>
      <c r="AF4003" s="699" t="str">
        <f t="shared" si="3072"/>
        <v/>
      </c>
      <c r="AG4003" s="699"/>
      <c r="AH4003" s="699"/>
      <c r="AI4003" s="512">
        <f>IF(H4003="credit",0,IF(AE4003="free",0,IF(AE4003="me",0,IF(G4003&gt;0,(VLOOKUP(A4003,'Discount Lookup'!J:K,2)*G4003),0))))</f>
        <v>0</v>
      </c>
      <c r="AJ4003" s="513" t="str">
        <f t="shared" ca="1" si="3073"/>
        <v/>
      </c>
      <c r="AK4003" s="700" t="str">
        <f t="shared" si="3074"/>
        <v/>
      </c>
      <c r="AL4003" s="700"/>
      <c r="AM4003" s="505" t="str">
        <f t="shared" si="3075"/>
        <v/>
      </c>
      <c r="AN4003" s="506"/>
      <c r="AO4003" s="507"/>
      <c r="AP4003" s="507"/>
      <c r="AQ4003" s="507"/>
      <c r="AR4003" s="507"/>
      <c r="AS4003" s="507"/>
      <c r="AT4003" s="507"/>
      <c r="AU4003" s="507"/>
      <c r="AV4003" s="225"/>
      <c r="AW4003" s="508"/>
      <c r="AX4003" s="225"/>
      <c r="AY4003" s="225"/>
      <c r="AZ4003" s="225"/>
      <c r="BA4003" s="225"/>
      <c r="BB4003" s="225"/>
      <c r="BC4003" s="56"/>
      <c r="BD4003" s="56"/>
      <c r="BE4003" s="56"/>
      <c r="BF4003" s="107" t="str">
        <f t="shared" si="3076"/>
        <v>https://www.google.com/search?tbm=isch&amp;q=15%20G5</v>
      </c>
      <c r="BG4003" s="107" t="str">
        <f t="shared" si="3077"/>
        <v>W</v>
      </c>
      <c r="BH4003" s="254"/>
      <c r="BI4003" s="254"/>
    </row>
    <row r="4004" spans="1:61" customFormat="1" ht="15.75" x14ac:dyDescent="0.25">
      <c r="A4004" s="485">
        <v>30</v>
      </c>
      <c r="B4004" s="486" t="s">
        <v>291</v>
      </c>
      <c r="C4004" s="487" t="s">
        <v>2005</v>
      </c>
      <c r="D4004" s="488" t="s">
        <v>299</v>
      </c>
      <c r="E4004" s="489">
        <v>305.95</v>
      </c>
      <c r="F4004" s="516" t="s">
        <v>293</v>
      </c>
      <c r="G4004" s="232">
        <v>0</v>
      </c>
      <c r="H4004" s="658" t="str">
        <f t="shared" si="3087"/>
        <v/>
      </c>
      <c r="I4004" s="490">
        <f t="shared" si="3088"/>
        <v>0</v>
      </c>
      <c r="J4004" s="490">
        <f t="shared" si="3089"/>
        <v>0</v>
      </c>
      <c r="K4004" s="695">
        <f t="shared" ref="K4004" si="3099">I4004+J4004</f>
        <v>0</v>
      </c>
      <c r="L4004" s="695"/>
      <c r="M4004" s="659" t="str">
        <f t="shared" si="3091"/>
        <v/>
      </c>
      <c r="N4004" s="660"/>
      <c r="O4004" s="233"/>
      <c r="P4004" s="233"/>
      <c r="Q4004" s="233"/>
      <c r="R4004" s="233"/>
      <c r="S4004" s="233"/>
      <c r="T4004" s="508">
        <f t="shared" si="3065"/>
        <v>0</v>
      </c>
      <c r="U4004" s="225">
        <f>IF(NOT(ISNUMBER(G4004)), "", VLOOKUP(A4004,'Discount Lookup'!D:E,2,FALSE)*G4004)</f>
        <v>0</v>
      </c>
      <c r="V4004" s="225">
        <f>IF(NOT(ISNUMBER(G4004)), "", VLOOKUP(A4004,'Discount Lookup'!G:H,2,FALSE)*G4004)</f>
        <v>0</v>
      </c>
      <c r="W4004" s="508">
        <f t="shared" si="3066"/>
        <v>0</v>
      </c>
      <c r="X4004" s="508">
        <f t="shared" si="3067"/>
        <v>0</v>
      </c>
      <c r="Y4004" s="509" t="b">
        <f t="shared" si="3068"/>
        <v>0</v>
      </c>
      <c r="Z4004" s="510">
        <f t="shared" si="3069"/>
        <v>0</v>
      </c>
      <c r="AA4004" s="511"/>
      <c r="AB4004" s="511" t="str">
        <f t="shared" si="3070"/>
        <v/>
      </c>
      <c r="AC4004" s="698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698"/>
      <c r="AE4004" s="631" t="str">
        <f t="shared" si="3071"/>
        <v/>
      </c>
      <c r="AF4004" s="699" t="str">
        <f t="shared" si="3072"/>
        <v/>
      </c>
      <c r="AG4004" s="699"/>
      <c r="AH4004" s="699"/>
      <c r="AI4004" s="512">
        <f>IF(H4004="credit",0,IF(AE4004="free",0,IF(AE4004="me",0,IF(G4004&gt;0,(VLOOKUP(A4004,'Discount Lookup'!J:K,2)*G4004),0))))</f>
        <v>0</v>
      </c>
      <c r="AJ4004" s="513" t="str">
        <f t="shared" ca="1" si="3073"/>
        <v/>
      </c>
      <c r="AK4004" s="700" t="str">
        <f t="shared" si="3074"/>
        <v/>
      </c>
      <c r="AL4004" s="700"/>
      <c r="AM4004" s="505" t="str">
        <f t="shared" si="3075"/>
        <v/>
      </c>
      <c r="AN4004" s="506"/>
      <c r="AO4004" s="507"/>
      <c r="AP4004" s="507"/>
      <c r="AQ4004" s="507"/>
      <c r="AR4004" s="507"/>
      <c r="AS4004" s="507"/>
      <c r="AT4004" s="507"/>
      <c r="AU4004" s="507"/>
      <c r="AV4004" s="225"/>
      <c r="AW4004" s="508"/>
      <c r="AX4004" s="225"/>
      <c r="AY4004" s="225"/>
      <c r="AZ4004" s="225"/>
      <c r="BA4004" s="225"/>
      <c r="BB4004" s="225"/>
      <c r="BC4004" s="56"/>
      <c r="BD4004" s="56"/>
      <c r="BE4004" s="56"/>
      <c r="BF4004" s="107" t="str">
        <f t="shared" si="3076"/>
        <v>https://www.google.com/search?tbm=isch&amp;q=30%20G5</v>
      </c>
      <c r="BG4004" s="107" t="str">
        <f t="shared" si="3077"/>
        <v>W</v>
      </c>
      <c r="BH4004" s="254"/>
      <c r="BI4004" s="254"/>
    </row>
    <row r="4005" spans="1:61" customFormat="1" ht="17.25" thickBot="1" x14ac:dyDescent="0.3">
      <c r="A4005" s="672" t="s">
        <v>5275</v>
      </c>
      <c r="B4005" s="491"/>
      <c r="C4005" s="675"/>
      <c r="D4005" s="491"/>
      <c r="E4005" s="491"/>
      <c r="F4005" s="492"/>
      <c r="G4005" s="493"/>
      <c r="H4005" s="491"/>
      <c r="I4005" s="234"/>
      <c r="J4005" s="234"/>
      <c r="K4005" s="494"/>
      <c r="L4005" s="543"/>
      <c r="M4005" s="561"/>
      <c r="N4005" s="495"/>
      <c r="O4005" s="496"/>
      <c r="P4005" s="497"/>
      <c r="Q4005" s="495"/>
      <c r="R4005" s="495"/>
      <c r="S4005" s="667" t="s">
        <v>4970</v>
      </c>
      <c r="T4005" s="508">
        <f t="shared" si="3065"/>
        <v>0</v>
      </c>
      <c r="U4005" s="225" t="str">
        <f>IF(NOT(ISNUMBER(G4005)), "", VLOOKUP(A4005,'Discount Lookup'!D:E,2,FALSE)*G4005)</f>
        <v/>
      </c>
      <c r="V4005" s="225" t="str">
        <f>IF(NOT(ISNUMBER(G4005)), "", VLOOKUP(A4005,'Discount Lookup'!G:H,2,FALSE)*G4005)</f>
        <v/>
      </c>
      <c r="W4005" s="508">
        <f t="shared" si="3066"/>
        <v>0</v>
      </c>
      <c r="X4005" s="508">
        <f t="shared" si="3067"/>
        <v>0</v>
      </c>
      <c r="Y4005" s="509" t="b">
        <f t="shared" si="3068"/>
        <v>0</v>
      </c>
      <c r="Z4005" s="510">
        <f t="shared" si="3069"/>
        <v>0</v>
      </c>
      <c r="AA4005" s="511"/>
      <c r="AB4005" s="511" t="str">
        <f t="shared" si="3070"/>
        <v/>
      </c>
      <c r="AC4005" s="698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698"/>
      <c r="AE4005" s="631" t="str">
        <f t="shared" si="3071"/>
        <v/>
      </c>
      <c r="AF4005" s="699" t="str">
        <f t="shared" si="3072"/>
        <v/>
      </c>
      <c r="AG4005" s="699"/>
      <c r="AH4005" s="699"/>
      <c r="AI4005" s="512">
        <f>IF(H4005="credit",0,IF(AE4005="free",0,IF(AE4005="me",0,IF(G4005&gt;0,(VLOOKUP(A4005,'Discount Lookup'!J:K,2)*G4005),0))))</f>
        <v>0</v>
      </c>
      <c r="AJ4005" s="513" t="str">
        <f t="shared" ca="1" si="3073"/>
        <v/>
      </c>
      <c r="AK4005" s="700" t="str">
        <f t="shared" si="3074"/>
        <v/>
      </c>
      <c r="AL4005" s="700"/>
      <c r="AM4005" s="505" t="str">
        <f t="shared" si="3075"/>
        <v/>
      </c>
      <c r="AN4005" s="506"/>
      <c r="AO4005" s="507"/>
      <c r="AP4005" s="507"/>
      <c r="AQ4005" s="507"/>
      <c r="AR4005" s="507"/>
      <c r="AS4005" s="507"/>
      <c r="AT4005" s="507"/>
      <c r="AU4005" s="507"/>
      <c r="AV4005" s="225"/>
      <c r="AW4005" s="508"/>
      <c r="AX4005" s="225"/>
      <c r="AY4005" s="225"/>
      <c r="AZ4005" s="225"/>
      <c r="BA4005" s="225"/>
      <c r="BB4005" s="225"/>
      <c r="BC4005" s="56"/>
      <c r="BD4005" s="56"/>
      <c r="BE4005" s="56"/>
      <c r="BF4005" s="107" t="str">
        <f t="shared" si="3076"/>
        <v>https://www.google.com/search?tbm=isch&amp;q=wet%20sites%F0%9F%92%A7GOOD%2C%20Wax%20Myrtle%20is%20a%20fast%20grower%2C%20for%20poor%20conditions.%20Fragrant%20foliage%2Fberries.%20Semi-evergreen%20</v>
      </c>
      <c r="BG4005" s="107" t="str">
        <f t="shared" si="3077"/>
        <v>w</v>
      </c>
      <c r="BH4005" s="254"/>
      <c r="BI4005" s="254"/>
    </row>
    <row r="4006" spans="1:61" customFormat="1" ht="18" x14ac:dyDescent="0.25">
      <c r="A4006" s="521" t="s">
        <v>5631</v>
      </c>
      <c r="B4006" s="477"/>
      <c r="C4006" s="674"/>
      <c r="D4006" s="478" t="s">
        <v>2068</v>
      </c>
      <c r="E4006" s="479"/>
      <c r="F4006" s="479"/>
      <c r="G4006" s="479"/>
      <c r="H4006" s="582" t="s">
        <v>2947</v>
      </c>
      <c r="I4006" s="480" t="s">
        <v>2977</v>
      </c>
      <c r="J4006" s="479"/>
      <c r="K4006" s="479"/>
      <c r="L4006" s="560"/>
      <c r="M4006" s="671" t="s">
        <v>4985</v>
      </c>
      <c r="N4006" s="680" t="str">
        <f>IF(AND(ISTEXT($A4006), ISERROR($A4006+0)), HYPERLINK($BF4006, "Images"), "")</f>
        <v>Images</v>
      </c>
      <c r="O4006" s="662" t="s">
        <v>4969</v>
      </c>
      <c r="P4006" s="482"/>
      <c r="Q4006" s="483"/>
      <c r="R4006" s="483"/>
      <c r="S4006" s="484"/>
      <c r="T4006" s="508">
        <f t="shared" si="3065"/>
        <v>0</v>
      </c>
      <c r="U4006" s="225" t="str">
        <f>IF(NOT(ISNUMBER(G4006)), "", VLOOKUP(A4006,'Discount Lookup'!D:E,2,FALSE)*G4006)</f>
        <v/>
      </c>
      <c r="V4006" s="225" t="str">
        <f>IF(NOT(ISNUMBER(G4006)), "", VLOOKUP(A4006,'Discount Lookup'!G:H,2,FALSE)*G4006)</f>
        <v/>
      </c>
      <c r="W4006" s="508">
        <f t="shared" si="3066"/>
        <v>0</v>
      </c>
      <c r="X4006" s="508" t="str">
        <f t="shared" si="3067"/>
        <v>White bloom, Green hue</v>
      </c>
      <c r="Y4006" s="509" t="b">
        <f t="shared" si="3068"/>
        <v>0</v>
      </c>
      <c r="Z4006" s="510">
        <f t="shared" si="3069"/>
        <v>0</v>
      </c>
      <c r="AA4006" s="511"/>
      <c r="AB4006" s="511" t="str">
        <f t="shared" si="3070"/>
        <v/>
      </c>
      <c r="AC4006" s="698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698"/>
      <c r="AE4006" s="631" t="str">
        <f t="shared" si="3071"/>
        <v/>
      </c>
      <c r="AF4006" s="699" t="str">
        <f t="shared" si="3072"/>
        <v/>
      </c>
      <c r="AG4006" s="699"/>
      <c r="AH4006" s="699"/>
      <c r="AI4006" s="512">
        <f>IF(H4006="credit",0,IF(AE4006="free",0,IF(AE4006="me",0,IF(G4006&gt;0,(VLOOKUP(A4006,'Discount Lookup'!J:K,2)*G4006),0))))</f>
        <v>0</v>
      </c>
      <c r="AJ4006" s="513" t="str">
        <f t="shared" ca="1" si="3073"/>
        <v/>
      </c>
      <c r="AK4006" s="700" t="str">
        <f t="shared" si="3074"/>
        <v/>
      </c>
      <c r="AL4006" s="700"/>
      <c r="AM4006" s="505" t="str">
        <f t="shared" si="3075"/>
        <v/>
      </c>
      <c r="AN4006" s="506"/>
      <c r="AO4006" s="507"/>
      <c r="AP4006" s="507"/>
      <c r="AQ4006" s="507"/>
      <c r="AR4006" s="507"/>
      <c r="AS4006" s="507"/>
      <c r="AT4006" s="507"/>
      <c r="AU4006" s="507"/>
      <c r="AV4006" s="225"/>
      <c r="AW4006" s="508"/>
      <c r="AX4006" s="225"/>
      <c r="AY4006" s="225"/>
      <c r="AZ4006" s="225"/>
      <c r="BA4006" s="225"/>
      <c r="BB4006" s="225"/>
      <c r="BC4006" s="56"/>
      <c r="BD4006" s="56"/>
      <c r="BE4006" s="56"/>
      <c r="BF4006" s="107" t="str">
        <f t="shared" si="3076"/>
        <v>https://www.google.com/search?tbm=isch&amp;q=Wedding%20Bells%20Lenten%20Rose%20%28WP%C2%AE%29%20Helleborus%20%27Wedding%20Bells%27</v>
      </c>
      <c r="BG4006" s="107" t="str">
        <f t="shared" si="3077"/>
        <v>W</v>
      </c>
      <c r="BH4006" s="254"/>
      <c r="BI4006" s="254"/>
    </row>
    <row r="4007" spans="1:61" customFormat="1" ht="15.75" x14ac:dyDescent="0.25">
      <c r="A4007" s="485">
        <v>2</v>
      </c>
      <c r="B4007" s="486" t="s">
        <v>291</v>
      </c>
      <c r="C4007" s="487"/>
      <c r="D4007" s="488" t="s">
        <v>300</v>
      </c>
      <c r="E4007" s="489">
        <v>65.95</v>
      </c>
      <c r="F4007" s="516" t="s">
        <v>293</v>
      </c>
      <c r="G4007" s="232">
        <v>0</v>
      </c>
      <c r="H4007" s="658" t="str">
        <f>IF(G4007=0,"",IF(F4007="Buy",IF(G4007=1,"plant","plants"),IF(F4007&gt;0.01,"warranty","Error")))</f>
        <v/>
      </c>
      <c r="I4007" s="490">
        <f>IF(H4007="free",0,IF(H4007="credit",((E4007*(F4007))*G4007*-1),IF(F4007="Buy",(E4007*G4007),((E4007*(1-F4007))*G4007))))</f>
        <v>0</v>
      </c>
      <c r="J4007" s="490">
        <f>IF(H4007="warranty",0,(I4007*(_xlfn.SINGLE(SalesTaxPercentage))))</f>
        <v>0</v>
      </c>
      <c r="K4007" s="695">
        <f t="shared" ref="K4007" si="3100">I4007+J4007</f>
        <v>0</v>
      </c>
      <c r="L4007" s="695"/>
      <c r="M4007" s="659" t="str">
        <f>IF(AND(G4007&gt;0,E4007=0),"WARNING - no PRICE inserted",IF(H4007="free"," FREE ~ no charge this plant",IF(H4007="credit",CONCATENATE(" -$",ROUND(K4007*(1-T2GDiscount)*-1,2)," CREDIT after discount"),IF(T2GDiscount=0,"",IF(G4007=0,"",IF(F4007="Buy",CONCATENATE(" $",ROUND(K4007*(1-T2GDiscount),2)," with ",(T2GDiscount*100),"% discount"),CONCATENATE(" $",ROUND(K4007*(1-T2GDiscount),2)," with ",((T2GDiscount*100+F4007*100)-(T2GDiscount*100*F4007)),IF(F4007&gt;0,"% discounts",IF(NoWarrantyDiscount&gt;0,"% discounts","% discount")))))))))</f>
        <v/>
      </c>
      <c r="N4007" s="660"/>
      <c r="O4007" s="233"/>
      <c r="P4007" s="233"/>
      <c r="Q4007" s="233"/>
      <c r="R4007" s="233"/>
      <c r="S4007" s="233"/>
      <c r="T4007" s="508">
        <f t="shared" si="3065"/>
        <v>0</v>
      </c>
      <c r="U4007" s="225">
        <f>IF(NOT(ISNUMBER(G4007)), "", VLOOKUP(A4007,'Discount Lookup'!D:E,2,FALSE)*G4007)</f>
        <v>0</v>
      </c>
      <c r="V4007" s="225">
        <f>IF(NOT(ISNUMBER(G4007)), "", VLOOKUP(A4007,'Discount Lookup'!G:H,2,FALSE)*G4007)</f>
        <v>0</v>
      </c>
      <c r="W4007" s="508">
        <f t="shared" si="3066"/>
        <v>0</v>
      </c>
      <c r="X4007" s="508">
        <f t="shared" si="3067"/>
        <v>0</v>
      </c>
      <c r="Y4007" s="509" t="b">
        <f t="shared" si="3068"/>
        <v>0</v>
      </c>
      <c r="Z4007" s="510">
        <f t="shared" si="3069"/>
        <v>0</v>
      </c>
      <c r="AA4007" s="511"/>
      <c r="AB4007" s="511" t="str">
        <f t="shared" si="3070"/>
        <v/>
      </c>
      <c r="AC4007" s="698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698"/>
      <c r="AE4007" s="631" t="str">
        <f t="shared" si="3071"/>
        <v/>
      </c>
      <c r="AF4007" s="699" t="str">
        <f t="shared" si="3072"/>
        <v/>
      </c>
      <c r="AG4007" s="699"/>
      <c r="AH4007" s="699"/>
      <c r="AI4007" s="512">
        <f>IF(H4007="credit",0,IF(AE4007="free",0,IF(AE4007="me",0,IF(G4007&gt;0,(VLOOKUP(A4007,'Discount Lookup'!J:K,2)*G4007),0))))</f>
        <v>0</v>
      </c>
      <c r="AJ4007" s="513" t="str">
        <f t="shared" ca="1" si="3073"/>
        <v/>
      </c>
      <c r="AK4007" s="700" t="str">
        <f t="shared" si="3074"/>
        <v/>
      </c>
      <c r="AL4007" s="700"/>
      <c r="AM4007" s="505" t="str">
        <f t="shared" si="3075"/>
        <v/>
      </c>
      <c r="AN4007" s="506"/>
      <c r="AO4007" s="507"/>
      <c r="AP4007" s="507"/>
      <c r="AQ4007" s="507"/>
      <c r="AR4007" s="507"/>
      <c r="AS4007" s="507"/>
      <c r="AT4007" s="507"/>
      <c r="AU4007" s="507"/>
      <c r="AV4007" s="225"/>
      <c r="AW4007" s="508"/>
      <c r="AX4007" s="225"/>
      <c r="AY4007" s="225"/>
      <c r="AZ4007" s="225"/>
      <c r="BA4007" s="225"/>
      <c r="BB4007" s="225"/>
      <c r="BC4007" s="56"/>
      <c r="BD4007" s="56"/>
      <c r="BE4007" s="56"/>
      <c r="BF4007" s="107" t="str">
        <f t="shared" si="3076"/>
        <v>https://www.google.com/search?tbm=isch&amp;q=2%20G6</v>
      </c>
      <c r="BG4007" s="107" t="str">
        <f t="shared" si="3077"/>
        <v>W</v>
      </c>
      <c r="BH4007" s="254"/>
      <c r="BI4007" s="254"/>
    </row>
    <row r="4008" spans="1:61" customFormat="1" ht="16.5" thickBot="1" x14ac:dyDescent="0.3">
      <c r="A4008" s="522" t="s">
        <v>2945</v>
      </c>
      <c r="B4008" s="491"/>
      <c r="C4008" s="675"/>
      <c r="D4008" s="491"/>
      <c r="E4008" s="491"/>
      <c r="F4008" s="492"/>
      <c r="G4008" s="493"/>
      <c r="H4008" s="491"/>
      <c r="I4008" s="234"/>
      <c r="J4008" s="234"/>
      <c r="K4008" s="494"/>
      <c r="L4008" s="543"/>
      <c r="M4008" s="561"/>
      <c r="N4008" s="495"/>
      <c r="O4008" s="496"/>
      <c r="P4008" s="497"/>
      <c r="Q4008" s="495"/>
      <c r="R4008" s="495"/>
      <c r="S4008" s="667" t="s">
        <v>4968</v>
      </c>
      <c r="T4008" s="508">
        <f t="shared" si="3065"/>
        <v>0</v>
      </c>
      <c r="U4008" s="225" t="str">
        <f>IF(NOT(ISNUMBER(G4008)), "", VLOOKUP(A4008,'Discount Lookup'!D:E,2,FALSE)*G4008)</f>
        <v/>
      </c>
      <c r="V4008" s="225" t="str">
        <f>IF(NOT(ISNUMBER(G4008)), "", VLOOKUP(A4008,'Discount Lookup'!G:H,2,FALSE)*G4008)</f>
        <v/>
      </c>
      <c r="W4008" s="508">
        <f t="shared" si="3066"/>
        <v>0</v>
      </c>
      <c r="X4008" s="508">
        <f t="shared" si="3067"/>
        <v>0</v>
      </c>
      <c r="Y4008" s="509" t="b">
        <f t="shared" si="3068"/>
        <v>0</v>
      </c>
      <c r="Z4008" s="510">
        <f t="shared" si="3069"/>
        <v>0</v>
      </c>
      <c r="AA4008" s="511"/>
      <c r="AB4008" s="511" t="str">
        <f t="shared" si="3070"/>
        <v/>
      </c>
      <c r="AC4008" s="698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698"/>
      <c r="AE4008" s="631" t="str">
        <f t="shared" si="3071"/>
        <v/>
      </c>
      <c r="AF4008" s="699" t="str">
        <f t="shared" si="3072"/>
        <v/>
      </c>
      <c r="AG4008" s="699"/>
      <c r="AH4008" s="699"/>
      <c r="AI4008" s="512">
        <f>IF(H4008="credit",0,IF(AE4008="free",0,IF(AE4008="me",0,IF(G4008&gt;0,(VLOOKUP(A4008,'Discount Lookup'!J:K,2)*G4008),0))))</f>
        <v>0</v>
      </c>
      <c r="AJ4008" s="513" t="str">
        <f t="shared" ca="1" si="3073"/>
        <v/>
      </c>
      <c r="AK4008" s="700" t="str">
        <f t="shared" si="3074"/>
        <v/>
      </c>
      <c r="AL4008" s="700"/>
      <c r="AM4008" s="505" t="str">
        <f t="shared" si="3075"/>
        <v/>
      </c>
      <c r="AN4008" s="506"/>
      <c r="AO4008" s="507"/>
      <c r="AP4008" s="507"/>
      <c r="AQ4008" s="507"/>
      <c r="AR4008" s="507"/>
      <c r="AS4008" s="507"/>
      <c r="AT4008" s="507"/>
      <c r="AU4008" s="507"/>
      <c r="AV4008" s="225"/>
      <c r="AW4008" s="508"/>
      <c r="AX4008" s="225"/>
      <c r="AY4008" s="225"/>
      <c r="AZ4008" s="225"/>
      <c r="BA4008" s="225"/>
      <c r="BB4008" s="225"/>
      <c r="BC4008" s="56"/>
      <c r="BD4008" s="56"/>
      <c r="BE4008" s="56"/>
      <c r="BF4008" s="107" t="str">
        <f t="shared" si="3076"/>
        <v>https://www.google.com/search?tbm=isch&amp;q=All%20Hellebores%20are%20clump-forming%20perennials%20with%20leathery%20foliage.%20They%20are%20long-lived%2C%20cold%2Fshade%20tolerant%2C%20and%20bloom%20late%20winter%20to%20spring%20</v>
      </c>
      <c r="BG4008" s="107" t="str">
        <f t="shared" si="3077"/>
        <v>A</v>
      </c>
      <c r="BH4008" s="254"/>
      <c r="BI4008" s="254"/>
    </row>
    <row r="4009" spans="1:61" customFormat="1" ht="18" x14ac:dyDescent="0.25">
      <c r="A4009" s="523" t="s">
        <v>2006</v>
      </c>
      <c r="B4009" s="235"/>
      <c r="C4009" s="676"/>
      <c r="D4009" s="255" t="s">
        <v>2007</v>
      </c>
      <c r="E4009" s="236"/>
      <c r="F4009" s="236"/>
      <c r="G4009" s="236"/>
      <c r="H4009" s="582" t="s">
        <v>438</v>
      </c>
      <c r="I4009" s="498" t="s">
        <v>2023</v>
      </c>
      <c r="J4009" s="237"/>
      <c r="K4009" s="237"/>
      <c r="L4009" s="274"/>
      <c r="M4009" s="670" t="s">
        <v>4973</v>
      </c>
      <c r="N4009" s="681" t="str">
        <f>IF(AND(ISTEXT($A4009), ISERROR($A4009+0)), HYPERLINK($BF4009, "Images"), "")</f>
        <v>Images</v>
      </c>
      <c r="O4009" s="663" t="s">
        <v>4974</v>
      </c>
      <c r="P4009" s="253"/>
      <c r="Q4009" s="238"/>
      <c r="R4009" s="239"/>
      <c r="S4009" s="275"/>
      <c r="T4009" s="508">
        <f t="shared" si="3065"/>
        <v>0</v>
      </c>
      <c r="U4009" s="225" t="str">
        <f>IF(NOT(ISNUMBER(G4009)), "", VLOOKUP(A4009,'Discount Lookup'!D:E,2,FALSE)*G4009)</f>
        <v/>
      </c>
      <c r="V4009" s="225" t="str">
        <f>IF(NOT(ISNUMBER(G4009)), "", VLOOKUP(A4009,'Discount Lookup'!G:H,2,FALSE)*G4009)</f>
        <v/>
      </c>
      <c r="W4009" s="508">
        <f t="shared" si="3066"/>
        <v>0</v>
      </c>
      <c r="X4009" s="508" t="str">
        <f t="shared" si="3067"/>
        <v>Pure White bloom</v>
      </c>
      <c r="Y4009" s="509" t="b">
        <f t="shared" si="3068"/>
        <v>0</v>
      </c>
      <c r="Z4009" s="510">
        <f t="shared" si="3069"/>
        <v>0</v>
      </c>
      <c r="AA4009" s="511"/>
      <c r="AB4009" s="511" t="str">
        <f t="shared" si="3070"/>
        <v/>
      </c>
      <c r="AC4009" s="698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698"/>
      <c r="AE4009" s="631" t="str">
        <f t="shared" si="3071"/>
        <v/>
      </c>
      <c r="AF4009" s="699" t="str">
        <f t="shared" si="3072"/>
        <v/>
      </c>
      <c r="AG4009" s="699"/>
      <c r="AH4009" s="699"/>
      <c r="AI4009" s="512">
        <f>IF(H4009="credit",0,IF(AE4009="free",0,IF(AE4009="me",0,IF(G4009&gt;0,(VLOOKUP(A4009,'Discount Lookup'!J:K,2)*G4009),0))))</f>
        <v>0</v>
      </c>
      <c r="AJ4009" s="513" t="str">
        <f t="shared" ca="1" si="3073"/>
        <v/>
      </c>
      <c r="AK4009" s="700" t="str">
        <f t="shared" si="3074"/>
        <v/>
      </c>
      <c r="AL4009" s="700"/>
      <c r="AM4009" s="505" t="str">
        <f t="shared" si="3075"/>
        <v/>
      </c>
      <c r="AN4009" s="506"/>
      <c r="AO4009" s="507"/>
      <c r="AP4009" s="507"/>
      <c r="AQ4009" s="507"/>
      <c r="AR4009" s="507"/>
      <c r="AS4009" s="507"/>
      <c r="AT4009" s="507"/>
      <c r="AU4009" s="507"/>
      <c r="AV4009" s="225"/>
      <c r="AW4009" s="508"/>
      <c r="AX4009" s="225"/>
      <c r="AY4009" s="225"/>
      <c r="AZ4009" s="225"/>
      <c r="BA4009" s="225"/>
      <c r="BB4009" s="225"/>
      <c r="BC4009" s="56"/>
      <c r="BD4009" s="56"/>
      <c r="BE4009" s="56"/>
      <c r="BF4009" s="107" t="str">
        <f t="shared" si="3076"/>
        <v>https://www.google.com/search?tbm=isch&amp;q=Wedding%20Gown%20Bigleaf%20Hydrangea%20Hyd.%20macrophylla%20%27Dancing%20Snow%27%20PP%2321052</v>
      </c>
      <c r="BG4009" s="107" t="str">
        <f t="shared" si="3077"/>
        <v>W</v>
      </c>
      <c r="BH4009" s="254"/>
      <c r="BI4009" s="254"/>
    </row>
    <row r="4010" spans="1:61" customFormat="1" ht="15.75" x14ac:dyDescent="0.25">
      <c r="A4010" s="276">
        <v>3</v>
      </c>
      <c r="B4010" s="240" t="s">
        <v>291</v>
      </c>
      <c r="C4010" s="241" t="s">
        <v>341</v>
      </c>
      <c r="D4010" s="242" t="s">
        <v>298</v>
      </c>
      <c r="E4010" s="243">
        <v>32.950000000000003</v>
      </c>
      <c r="F4010" s="517" t="s">
        <v>293</v>
      </c>
      <c r="G4010" s="232">
        <v>0</v>
      </c>
      <c r="H4010" s="661" t="str">
        <f>IF(G4010=0,"",IF(F4010="Buy",IF(G4010=1,"plant","plants"),IF(F4010&gt;0.01,"warranty","Error")))</f>
        <v/>
      </c>
      <c r="I4010" s="244">
        <f>IF(H4010="free",0,IF(H4010="credit",((E4010*(F4010))*G4010*-1),IF(F4010="Buy",(E4010*G4010),((E4010*(1-F4010))*G4010))))</f>
        <v>0</v>
      </c>
      <c r="J4010" s="244">
        <f>IF(H4010="warranty",0,(I4010*(_xlfn.SINGLE(SalesTaxPercentage))))</f>
        <v>0</v>
      </c>
      <c r="K4010" s="696">
        <f t="shared" ref="K4010" si="3101">I4010+J4010</f>
        <v>0</v>
      </c>
      <c r="L4010" s="696"/>
      <c r="M4010" s="659" t="str">
        <f>IF(AND(G4010&gt;0,E4010=0),"WARNING - no PRICE inserted",IF(H4010="free"," FREE ~ no charge this plant",IF(H4010="credit",CONCATENATE(" -$",ROUND(K4010*(1-T2GDiscount)*-1,2)," CREDIT after discount"),IF(T2GDiscount=0,"",IF(G4010=0,"",IF(F4010="Buy",CONCATENATE(" $",ROUND(K4010*(1-T2GDiscount),2)," with ",(T2GDiscount*100),"% discount"),CONCATENATE(" $",ROUND(K4010*(1-T2GDiscount),2)," with ",((T2GDiscount*100+F4010*100)-(T2GDiscount*100*F4010)),IF(F4010&gt;0,"% discounts",IF(NoWarrantyDiscount&gt;0,"% discounts","% discount")))))))))</f>
        <v/>
      </c>
      <c r="N4010" s="660"/>
      <c r="O4010" s="233"/>
      <c r="P4010" s="233"/>
      <c r="Q4010" s="233"/>
      <c r="R4010" s="233"/>
      <c r="S4010" s="233"/>
      <c r="T4010" s="508">
        <f t="shared" si="3065"/>
        <v>0</v>
      </c>
      <c r="U4010" s="225">
        <f>IF(NOT(ISNUMBER(G4010)), "", VLOOKUP(A4010,'Discount Lookup'!D:E,2,FALSE)*G4010)</f>
        <v>0</v>
      </c>
      <c r="V4010" s="225">
        <f>IF(NOT(ISNUMBER(G4010)), "", VLOOKUP(A4010,'Discount Lookup'!G:H,2,FALSE)*G4010)</f>
        <v>0</v>
      </c>
      <c r="W4010" s="508">
        <f t="shared" si="3066"/>
        <v>0</v>
      </c>
      <c r="X4010" s="508">
        <f t="shared" si="3067"/>
        <v>0</v>
      </c>
      <c r="Y4010" s="509" t="b">
        <f t="shared" si="3068"/>
        <v>0</v>
      </c>
      <c r="Z4010" s="510">
        <f t="shared" si="3069"/>
        <v>0</v>
      </c>
      <c r="AA4010" s="511"/>
      <c r="AB4010" s="511" t="str">
        <f t="shared" si="3070"/>
        <v/>
      </c>
      <c r="AC4010" s="698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698"/>
      <c r="AE4010" s="631" t="str">
        <f t="shared" si="3071"/>
        <v/>
      </c>
      <c r="AF4010" s="699" t="str">
        <f t="shared" si="3072"/>
        <v/>
      </c>
      <c r="AG4010" s="699"/>
      <c r="AH4010" s="699"/>
      <c r="AI4010" s="512">
        <f>IF(H4010="credit",0,IF(AE4010="free",0,IF(AE4010="me",0,IF(G4010&gt;0,(VLOOKUP(A4010,'Discount Lookup'!J:K,2)*G4010),0))))</f>
        <v>0</v>
      </c>
      <c r="AJ4010" s="513" t="str">
        <f t="shared" ca="1" si="3073"/>
        <v/>
      </c>
      <c r="AK4010" s="700" t="str">
        <f t="shared" si="3074"/>
        <v/>
      </c>
      <c r="AL4010" s="700"/>
      <c r="AM4010" s="505" t="str">
        <f t="shared" si="3075"/>
        <v/>
      </c>
      <c r="AN4010" s="506"/>
      <c r="AO4010" s="507"/>
      <c r="AP4010" s="507"/>
      <c r="AQ4010" s="507"/>
      <c r="AR4010" s="507"/>
      <c r="AS4010" s="507"/>
      <c r="AT4010" s="507"/>
      <c r="AU4010" s="507"/>
      <c r="AV4010" s="225"/>
      <c r="AW4010" s="508"/>
      <c r="AX4010" s="225"/>
      <c r="AY4010" s="225"/>
      <c r="AZ4010" s="225"/>
      <c r="BA4010" s="225"/>
      <c r="BB4010" s="225"/>
      <c r="BC4010" s="56"/>
      <c r="BD4010" s="56"/>
      <c r="BE4010" s="56"/>
      <c r="BF4010" s="107" t="str">
        <f t="shared" si="3076"/>
        <v>https://www.google.com/search?tbm=isch&amp;q=3%20G1</v>
      </c>
      <c r="BG4010" s="107" t="str">
        <f t="shared" si="3077"/>
        <v>W</v>
      </c>
      <c r="BH4010" s="254"/>
      <c r="BI4010" s="254"/>
    </row>
    <row r="4011" spans="1:61" customFormat="1" ht="15.75" x14ac:dyDescent="0.25">
      <c r="A4011" s="276">
        <v>3</v>
      </c>
      <c r="B4011" s="240" t="s">
        <v>291</v>
      </c>
      <c r="C4011" s="241"/>
      <c r="D4011" s="242" t="s">
        <v>297</v>
      </c>
      <c r="E4011" s="243">
        <v>32.950000000000003</v>
      </c>
      <c r="F4011" s="517" t="s">
        <v>293</v>
      </c>
      <c r="G4011" s="232">
        <v>0</v>
      </c>
      <c r="H4011" s="661" t="str">
        <f>IF(G4011=0,"",IF(F4011="Buy",IF(G4011=1,"plant","plants"),IF(F4011&gt;0.01,"warranty","Error")))</f>
        <v/>
      </c>
      <c r="I4011" s="244">
        <f>IF(H4011="free",0,IF(H4011="credit",((E4011*(F4011))*G4011*-1),IF(F4011="Buy",(E4011*G4011),((E4011*(1-F4011))*G4011))))</f>
        <v>0</v>
      </c>
      <c r="J4011" s="244">
        <f>IF(H4011="warranty",0,(I4011*(_xlfn.SINGLE(SalesTaxPercentage))))</f>
        <v>0</v>
      </c>
      <c r="K4011" s="696">
        <f t="shared" ref="K4011" si="3102">I4011+J4011</f>
        <v>0</v>
      </c>
      <c r="L4011" s="696"/>
      <c r="M4011" s="659" t="str">
        <f>IF(AND(G4011&gt;0,E4011=0),"WARNING - no PRICE inserted",IF(H4011="free"," FREE ~ no charge this plant",IF(H4011="credit",CONCATENATE(" -$",ROUND(K4011*(1-T2GDiscount)*-1,2)," CREDIT after discount"),IF(T2GDiscount=0,"",IF(G4011=0,"",IF(F4011="Buy",CONCATENATE(" $",ROUND(K4011*(1-T2GDiscount),2)," with ",(T2GDiscount*100),"% discount"),CONCATENATE(" $",ROUND(K4011*(1-T2GDiscount),2)," with ",((T2GDiscount*100+F4011*100)-(T2GDiscount*100*F4011)),IF(F4011&gt;0,"% discounts",IF(NoWarrantyDiscount&gt;0,"% discounts","% discount")))))))))</f>
        <v/>
      </c>
      <c r="N4011" s="660"/>
      <c r="O4011" s="233"/>
      <c r="P4011" s="233"/>
      <c r="Q4011" s="233"/>
      <c r="R4011" s="233"/>
      <c r="S4011" s="233"/>
      <c r="T4011" s="508">
        <f t="shared" si="3065"/>
        <v>0</v>
      </c>
      <c r="U4011" s="225">
        <f>IF(NOT(ISNUMBER(G4011)), "", VLOOKUP(A4011,'Discount Lookup'!D:E,2,FALSE)*G4011)</f>
        <v>0</v>
      </c>
      <c r="V4011" s="225">
        <f>IF(NOT(ISNUMBER(G4011)), "", VLOOKUP(A4011,'Discount Lookup'!G:H,2,FALSE)*G4011)</f>
        <v>0</v>
      </c>
      <c r="W4011" s="508">
        <f t="shared" si="3066"/>
        <v>0</v>
      </c>
      <c r="X4011" s="508">
        <f t="shared" si="3067"/>
        <v>0</v>
      </c>
      <c r="Y4011" s="509" t="b">
        <f t="shared" si="3068"/>
        <v>0</v>
      </c>
      <c r="Z4011" s="510">
        <f t="shared" si="3069"/>
        <v>0</v>
      </c>
      <c r="AA4011" s="511"/>
      <c r="AB4011" s="511" t="str">
        <f t="shared" si="3070"/>
        <v/>
      </c>
      <c r="AC4011" s="698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698"/>
      <c r="AE4011" s="631" t="str">
        <f t="shared" si="3071"/>
        <v/>
      </c>
      <c r="AF4011" s="699" t="str">
        <f t="shared" si="3072"/>
        <v/>
      </c>
      <c r="AG4011" s="699"/>
      <c r="AH4011" s="699"/>
      <c r="AI4011" s="512">
        <f>IF(H4011="credit",0,IF(AE4011="free",0,IF(AE4011="me",0,IF(G4011&gt;0,(VLOOKUP(A4011,'Discount Lookup'!J:K,2)*G4011),0))))</f>
        <v>0</v>
      </c>
      <c r="AJ4011" s="513" t="str">
        <f t="shared" ca="1" si="3073"/>
        <v/>
      </c>
      <c r="AK4011" s="700" t="str">
        <f t="shared" si="3074"/>
        <v/>
      </c>
      <c r="AL4011" s="700"/>
      <c r="AM4011" s="505" t="str">
        <f t="shared" si="3075"/>
        <v/>
      </c>
      <c r="AN4011" s="506"/>
      <c r="AO4011" s="507"/>
      <c r="AP4011" s="507"/>
      <c r="AQ4011" s="507"/>
      <c r="AR4011" s="507"/>
      <c r="AS4011" s="507"/>
      <c r="AT4011" s="507"/>
      <c r="AU4011" s="507"/>
      <c r="AV4011" s="225"/>
      <c r="AW4011" s="508"/>
      <c r="AX4011" s="225"/>
      <c r="AY4011" s="225"/>
      <c r="AZ4011" s="225"/>
      <c r="BA4011" s="225"/>
      <c r="BB4011" s="225"/>
      <c r="BC4011" s="56"/>
      <c r="BD4011" s="56"/>
      <c r="BE4011" s="56"/>
      <c r="BF4011" s="107" t="str">
        <f t="shared" si="3076"/>
        <v>https://www.google.com/search?tbm=isch&amp;q=3%20G3</v>
      </c>
      <c r="BG4011" s="107" t="str">
        <f t="shared" si="3077"/>
        <v>W</v>
      </c>
      <c r="BH4011" s="254"/>
      <c r="BI4011" s="254"/>
    </row>
    <row r="4012" spans="1:61" customFormat="1" ht="15.75" x14ac:dyDescent="0.25">
      <c r="A4012" s="276">
        <v>3</v>
      </c>
      <c r="B4012" s="240" t="s">
        <v>291</v>
      </c>
      <c r="C4012" s="241" t="s">
        <v>4646</v>
      </c>
      <c r="D4012" s="242" t="s">
        <v>312</v>
      </c>
      <c r="E4012" s="243">
        <v>34.950000000000003</v>
      </c>
      <c r="F4012" s="517" t="s">
        <v>293</v>
      </c>
      <c r="G4012" s="232">
        <v>0</v>
      </c>
      <c r="H4012" s="661" t="str">
        <f>IF(G4012=0,"",IF(F4012="Buy",IF(G4012=1,"plant","plants"),IF(F4012&gt;0.01,"warranty","Error")))</f>
        <v/>
      </c>
      <c r="I4012" s="244">
        <f>IF(H4012="free",0,IF(H4012="credit",((E4012*(F4012))*G4012*-1),IF(F4012="Buy",(E4012*G4012),((E4012*(1-F4012))*G4012))))</f>
        <v>0</v>
      </c>
      <c r="J4012" s="244">
        <f>IF(H4012="warranty",0,(I4012*(_xlfn.SINGLE(SalesTaxPercentage))))</f>
        <v>0</v>
      </c>
      <c r="K4012" s="696">
        <f t="shared" ref="K4012" si="3103">I4012+J4012</f>
        <v>0</v>
      </c>
      <c r="L4012" s="696"/>
      <c r="M4012" s="659" t="str">
        <f>IF(AND(G4012&gt;0,E4012=0),"WARNING - no PRICE inserted",IF(H4012="free"," FREE ~ no charge this plant",IF(H4012="credit",CONCATENATE(" -$",ROUND(K4012*(1-T2GDiscount)*-1,2)," CREDIT after discount"),IF(T2GDiscount=0,"",IF(G4012=0,"",IF(F4012="Buy",CONCATENATE(" $",ROUND(K4012*(1-T2GDiscount),2)," with ",(T2GDiscount*100),"% discount"),CONCATENATE(" $",ROUND(K4012*(1-T2GDiscount),2)," with ",((T2GDiscount*100+F4012*100)-(T2GDiscount*100*F4012)),IF(F4012&gt;0,"% discounts",IF(NoWarrantyDiscount&gt;0,"% discounts","% discount")))))))))</f>
        <v/>
      </c>
      <c r="N4012" s="660"/>
      <c r="O4012" s="233"/>
      <c r="P4012" s="233"/>
      <c r="Q4012" s="233"/>
      <c r="R4012" s="233"/>
      <c r="S4012" s="233"/>
      <c r="T4012" s="508">
        <f t="shared" si="3065"/>
        <v>0</v>
      </c>
      <c r="U4012" s="225">
        <f>IF(NOT(ISNUMBER(G4012)), "", VLOOKUP(A4012,'Discount Lookup'!D:E,2,FALSE)*G4012)</f>
        <v>0</v>
      </c>
      <c r="V4012" s="225">
        <f>IF(NOT(ISNUMBER(G4012)), "", VLOOKUP(A4012,'Discount Lookup'!G:H,2,FALSE)*G4012)</f>
        <v>0</v>
      </c>
      <c r="W4012" s="508">
        <f t="shared" si="3066"/>
        <v>0</v>
      </c>
      <c r="X4012" s="508">
        <f t="shared" si="3067"/>
        <v>0</v>
      </c>
      <c r="Y4012" s="509" t="b">
        <f t="shared" si="3068"/>
        <v>0</v>
      </c>
      <c r="Z4012" s="510">
        <f t="shared" si="3069"/>
        <v>0</v>
      </c>
      <c r="AA4012" s="511"/>
      <c r="AB4012" s="511" t="str">
        <f t="shared" si="3070"/>
        <v/>
      </c>
      <c r="AC4012" s="698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698"/>
      <c r="AE4012" s="631" t="str">
        <f t="shared" si="3071"/>
        <v/>
      </c>
      <c r="AF4012" s="699" t="str">
        <f t="shared" si="3072"/>
        <v/>
      </c>
      <c r="AG4012" s="699"/>
      <c r="AH4012" s="699"/>
      <c r="AI4012" s="512">
        <f>IF(H4012="credit",0,IF(AE4012="free",0,IF(AE4012="me",0,IF(G4012&gt;0,(VLOOKUP(A4012,'Discount Lookup'!J:K,2)*G4012),0))))</f>
        <v>0</v>
      </c>
      <c r="AJ4012" s="513" t="str">
        <f t="shared" ca="1" si="3073"/>
        <v/>
      </c>
      <c r="AK4012" s="700" t="str">
        <f t="shared" si="3074"/>
        <v/>
      </c>
      <c r="AL4012" s="700"/>
      <c r="AM4012" s="505" t="str">
        <f t="shared" si="3075"/>
        <v/>
      </c>
      <c r="AN4012" s="506"/>
      <c r="AO4012" s="507"/>
      <c r="AP4012" s="507"/>
      <c r="AQ4012" s="507"/>
      <c r="AR4012" s="507"/>
      <c r="AS4012" s="507"/>
      <c r="AT4012" s="507"/>
      <c r="AU4012" s="507"/>
      <c r="AV4012" s="225"/>
      <c r="AW4012" s="508"/>
      <c r="AX4012" s="225"/>
      <c r="AY4012" s="225"/>
      <c r="AZ4012" s="225"/>
      <c r="BA4012" s="225"/>
      <c r="BB4012" s="225"/>
      <c r="BC4012" s="56"/>
      <c r="BD4012" s="56"/>
      <c r="BE4012" s="56"/>
      <c r="BF4012" s="107" t="str">
        <f t="shared" si="3076"/>
        <v>https://www.google.com/search?tbm=isch&amp;q=3%20G2</v>
      </c>
      <c r="BG4012" s="107" t="str">
        <f t="shared" si="3077"/>
        <v>W</v>
      </c>
      <c r="BH4012" s="254"/>
      <c r="BI4012" s="254"/>
    </row>
    <row r="4013" spans="1:61" customFormat="1" ht="17.25" thickBot="1" x14ac:dyDescent="0.3">
      <c r="A4013" s="673" t="s">
        <v>5276</v>
      </c>
      <c r="B4013" s="245"/>
      <c r="C4013" s="677"/>
      <c r="D4013" s="499"/>
      <c r="E4013" s="499"/>
      <c r="F4013" s="500"/>
      <c r="G4013" s="501"/>
      <c r="H4013" s="502"/>
      <c r="I4013" s="246"/>
      <c r="J4013" s="247"/>
      <c r="K4013" s="503"/>
      <c r="L4013" s="544"/>
      <c r="M4013" s="544"/>
      <c r="N4013" s="500"/>
      <c r="O4013" s="500"/>
      <c r="P4013" s="500"/>
      <c r="Q4013" s="500"/>
      <c r="R4013" s="500"/>
      <c r="S4013" s="278"/>
      <c r="T4013" s="508">
        <f t="shared" si="3065"/>
        <v>0</v>
      </c>
      <c r="U4013" s="225" t="str">
        <f>IF(NOT(ISNUMBER(G4013)), "", VLOOKUP(A4013,'Discount Lookup'!D:E,2,FALSE)*G4013)</f>
        <v/>
      </c>
      <c r="V4013" s="225" t="str">
        <f>IF(NOT(ISNUMBER(G4013)), "", VLOOKUP(A4013,'Discount Lookup'!G:H,2,FALSE)*G4013)</f>
        <v/>
      </c>
      <c r="W4013" s="508">
        <f t="shared" si="3066"/>
        <v>0</v>
      </c>
      <c r="X4013" s="508">
        <f t="shared" si="3067"/>
        <v>0</v>
      </c>
      <c r="Y4013" s="509" t="b">
        <f t="shared" si="3068"/>
        <v>0</v>
      </c>
      <c r="Z4013" s="510">
        <f t="shared" si="3069"/>
        <v>0</v>
      </c>
      <c r="AA4013" s="511"/>
      <c r="AB4013" s="511" t="str">
        <f t="shared" si="3070"/>
        <v/>
      </c>
      <c r="AC4013" s="698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698"/>
      <c r="AE4013" s="631" t="str">
        <f t="shared" si="3071"/>
        <v/>
      </c>
      <c r="AF4013" s="699" t="str">
        <f t="shared" si="3072"/>
        <v/>
      </c>
      <c r="AG4013" s="699"/>
      <c r="AH4013" s="699"/>
      <c r="AI4013" s="512">
        <f>IF(H4013="credit",0,IF(AE4013="free",0,IF(AE4013="me",0,IF(G4013&gt;0,(VLOOKUP(A4013,'Discount Lookup'!J:K,2)*G4013),0))))</f>
        <v>0</v>
      </c>
      <c r="AJ4013" s="513" t="str">
        <f t="shared" ca="1" si="3073"/>
        <v/>
      </c>
      <c r="AK4013" s="700" t="str">
        <f t="shared" si="3074"/>
        <v/>
      </c>
      <c r="AL4013" s="700"/>
      <c r="AM4013" s="505" t="str">
        <f t="shared" si="3075"/>
        <v/>
      </c>
      <c r="AN4013" s="506"/>
      <c r="AO4013" s="507"/>
      <c r="AP4013" s="507"/>
      <c r="AQ4013" s="507"/>
      <c r="AR4013" s="507"/>
      <c r="AS4013" s="507"/>
      <c r="AT4013" s="507"/>
      <c r="AU4013" s="507"/>
      <c r="AV4013" s="225"/>
      <c r="AW4013" s="508"/>
      <c r="AX4013" s="225"/>
      <c r="AY4013" s="225"/>
      <c r="AZ4013" s="225"/>
      <c r="BA4013" s="225"/>
      <c r="BB4013" s="225"/>
      <c r="BC4013" s="56"/>
      <c r="BD4013" s="56"/>
      <c r="BE4013" s="56"/>
      <c r="BF4013" s="107" t="str">
        <f t="shared" si="3076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4013" s="107" t="str">
        <f t="shared" si="3077"/>
        <v>m</v>
      </c>
      <c r="BH4013" s="254"/>
      <c r="BI4013" s="254"/>
    </row>
    <row r="4014" spans="1:61" customFormat="1" ht="18" x14ac:dyDescent="0.25">
      <c r="A4014" s="521" t="s">
        <v>3197</v>
      </c>
      <c r="B4014" s="477"/>
      <c r="C4014" s="674"/>
      <c r="D4014" s="478" t="s">
        <v>3198</v>
      </c>
      <c r="E4014" s="479"/>
      <c r="F4014" s="479"/>
      <c r="G4014" s="479"/>
      <c r="H4014" s="582" t="s">
        <v>2008</v>
      </c>
      <c r="I4014" s="480" t="s">
        <v>2515</v>
      </c>
      <c r="J4014" s="479"/>
      <c r="K4014" s="479"/>
      <c r="L4014" s="560"/>
      <c r="M4014" s="666" t="s">
        <v>4966</v>
      </c>
      <c r="N4014" s="680" t="str">
        <f>IF(AND(ISTEXT($A4014), ISERROR($A4014+0)), HYPERLINK($BF4014, "Images"), "")</f>
        <v>Images</v>
      </c>
      <c r="O4014" s="662" t="s">
        <v>4974</v>
      </c>
      <c r="P4014" s="482"/>
      <c r="Q4014" s="483"/>
      <c r="R4014" s="483"/>
      <c r="S4014" s="484"/>
      <c r="T4014" s="508">
        <f t="shared" si="3065"/>
        <v>0</v>
      </c>
      <c r="U4014" s="225" t="str">
        <f>IF(NOT(ISNUMBER(G4014)), "", VLOOKUP(A4014,'Discount Lookup'!D:E,2,FALSE)*G4014)</f>
        <v/>
      </c>
      <c r="V4014" s="225" t="str">
        <f>IF(NOT(ISNUMBER(G4014)), "", VLOOKUP(A4014,'Discount Lookup'!G:H,2,FALSE)*G4014)</f>
        <v/>
      </c>
      <c r="W4014" s="508">
        <f t="shared" si="3066"/>
        <v>0</v>
      </c>
      <c r="X4014" s="508" t="str">
        <f t="shared" si="3067"/>
        <v>Bluish-Green needles</v>
      </c>
      <c r="Y4014" s="509" t="b">
        <f t="shared" si="3068"/>
        <v>0</v>
      </c>
      <c r="Z4014" s="510">
        <f t="shared" si="3069"/>
        <v>0</v>
      </c>
      <c r="AA4014" s="511"/>
      <c r="AB4014" s="511" t="str">
        <f t="shared" si="3070"/>
        <v/>
      </c>
      <c r="AC4014" s="698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698"/>
      <c r="AE4014" s="631" t="str">
        <f t="shared" si="3071"/>
        <v/>
      </c>
      <c r="AF4014" s="699" t="str">
        <f t="shared" si="3072"/>
        <v/>
      </c>
      <c r="AG4014" s="699"/>
      <c r="AH4014" s="699"/>
      <c r="AI4014" s="512">
        <f>IF(H4014="credit",0,IF(AE4014="free",0,IF(AE4014="me",0,IF(G4014&gt;0,(VLOOKUP(A4014,'Discount Lookup'!J:K,2)*G4014),0))))</f>
        <v>0</v>
      </c>
      <c r="AJ4014" s="513" t="str">
        <f t="shared" ca="1" si="3073"/>
        <v/>
      </c>
      <c r="AK4014" s="700" t="str">
        <f t="shared" si="3074"/>
        <v/>
      </c>
      <c r="AL4014" s="700"/>
      <c r="AM4014" s="505" t="str">
        <f t="shared" si="3075"/>
        <v/>
      </c>
      <c r="AN4014" s="506"/>
      <c r="AO4014" s="507"/>
      <c r="AP4014" s="507"/>
      <c r="AQ4014" s="507"/>
      <c r="AR4014" s="507"/>
      <c r="AS4014" s="507"/>
      <c r="AT4014" s="507"/>
      <c r="AU4014" s="507"/>
      <c r="AV4014" s="225"/>
      <c r="AW4014" s="508"/>
      <c r="AX4014" s="225"/>
      <c r="AY4014" s="225"/>
      <c r="AZ4014" s="225"/>
      <c r="BA4014" s="225"/>
      <c r="BB4014" s="225"/>
      <c r="BC4014" s="56"/>
      <c r="BD4014" s="56"/>
      <c r="BE4014" s="56"/>
      <c r="BF4014" s="107" t="str">
        <f t="shared" si="3076"/>
        <v>https://www.google.com/search?tbm=isch&amp;q=Weeping%20Blue%20Atlas%20Cedar%20Cedrus%20atlantica%20%27Glauca%20Pendula%27</v>
      </c>
      <c r="BG4014" s="107" t="str">
        <f t="shared" si="3077"/>
        <v>W</v>
      </c>
      <c r="BH4014" s="254"/>
      <c r="BI4014" s="254"/>
    </row>
    <row r="4015" spans="1:61" customFormat="1" ht="27" x14ac:dyDescent="0.25">
      <c r="A4015" s="485">
        <v>7</v>
      </c>
      <c r="B4015" s="486" t="s">
        <v>291</v>
      </c>
      <c r="C4015" s="487" t="s">
        <v>3852</v>
      </c>
      <c r="D4015" s="488" t="s">
        <v>292</v>
      </c>
      <c r="E4015" s="489">
        <v>192.95</v>
      </c>
      <c r="F4015" s="516" t="s">
        <v>293</v>
      </c>
      <c r="G4015" s="232">
        <v>0</v>
      </c>
      <c r="H4015" s="658" t="str">
        <f>IF(G4015=0,"",IF(F4015="Buy",IF(G4015=1,"plant","plants"),IF(F4015&gt;0.01,"warranty","Error")))</f>
        <v/>
      </c>
      <c r="I4015" s="490">
        <f>IF(H4015="free",0,IF(H4015="credit",((E4015*(F4015))*G4015*-1),IF(F4015="Buy",(E4015*G4015),((E4015*(1-F4015))*G4015))))</f>
        <v>0</v>
      </c>
      <c r="J4015" s="490">
        <f>IF(H4015="warranty",0,(I4015*(_xlfn.SINGLE(SalesTaxPercentage))))</f>
        <v>0</v>
      </c>
      <c r="K4015" s="695">
        <f t="shared" ref="K4015" si="3104">I4015+J4015</f>
        <v>0</v>
      </c>
      <c r="L4015" s="695"/>
      <c r="M4015" s="659" t="str">
        <f>IF(AND(G4015&gt;0,E4015=0),"WARNING - no PRICE inserted",IF(H4015="free"," FREE ~ no charge this plant",IF(H4015="credit",CONCATENATE(" -$",ROUND(K4015*(1-T2GDiscount)*-1,2)," CREDIT after discount"),IF(T2GDiscount=0,"",IF(G4015=0,"",IF(F4015="Buy",CONCATENATE(" $",ROUND(K4015*(1-T2GDiscount),2)," with ",(T2GDiscount*100),"% discount"),CONCATENATE(" $",ROUND(K4015*(1-T2GDiscount),2)," with ",((T2GDiscount*100+F4015*100)-(T2GDiscount*100*F4015)),IF(F4015&gt;0,"% discounts",IF(NoWarrantyDiscount&gt;0,"% discounts","% discount")))))))))</f>
        <v/>
      </c>
      <c r="N4015" s="660"/>
      <c r="O4015" s="233"/>
      <c r="P4015" s="233"/>
      <c r="Q4015" s="233"/>
      <c r="R4015" s="233"/>
      <c r="S4015" s="233"/>
      <c r="T4015" s="508">
        <f t="shared" si="3065"/>
        <v>0</v>
      </c>
      <c r="U4015" s="225">
        <f>IF(NOT(ISNUMBER(G4015)), "", VLOOKUP(A4015,'Discount Lookup'!D:E,2,FALSE)*G4015)</f>
        <v>0</v>
      </c>
      <c r="V4015" s="225">
        <f>IF(NOT(ISNUMBER(G4015)), "", VLOOKUP(A4015,'Discount Lookup'!G:H,2,FALSE)*G4015)</f>
        <v>0</v>
      </c>
      <c r="W4015" s="508">
        <f t="shared" si="3066"/>
        <v>0</v>
      </c>
      <c r="X4015" s="508">
        <f t="shared" si="3067"/>
        <v>0</v>
      </c>
      <c r="Y4015" s="509" t="b">
        <f t="shared" si="3068"/>
        <v>0</v>
      </c>
      <c r="Z4015" s="510">
        <f t="shared" si="3069"/>
        <v>0</v>
      </c>
      <c r="AA4015" s="511"/>
      <c r="AB4015" s="511" t="str">
        <f t="shared" si="3070"/>
        <v/>
      </c>
      <c r="AC4015" s="698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698"/>
      <c r="AE4015" s="631" t="str">
        <f t="shared" si="3071"/>
        <v/>
      </c>
      <c r="AF4015" s="699" t="str">
        <f t="shared" si="3072"/>
        <v/>
      </c>
      <c r="AG4015" s="699"/>
      <c r="AH4015" s="699"/>
      <c r="AI4015" s="512">
        <f>IF(H4015="credit",0,IF(AE4015="free",0,IF(AE4015="me",0,IF(G4015&gt;0,(VLOOKUP(A4015,'Discount Lookup'!J:K,2)*G4015),0))))</f>
        <v>0</v>
      </c>
      <c r="AJ4015" s="513" t="str">
        <f t="shared" ca="1" si="3073"/>
        <v/>
      </c>
      <c r="AK4015" s="700" t="str">
        <f t="shared" si="3074"/>
        <v/>
      </c>
      <c r="AL4015" s="700"/>
      <c r="AM4015" s="505" t="str">
        <f t="shared" si="3075"/>
        <v/>
      </c>
      <c r="AN4015" s="506"/>
      <c r="AO4015" s="507"/>
      <c r="AP4015" s="507"/>
      <c r="AQ4015" s="507"/>
      <c r="AR4015" s="507"/>
      <c r="AS4015" s="507"/>
      <c r="AT4015" s="507"/>
      <c r="AU4015" s="507"/>
      <c r="AV4015" s="225"/>
      <c r="AW4015" s="508"/>
      <c r="AX4015" s="225"/>
      <c r="AY4015" s="225"/>
      <c r="AZ4015" s="225"/>
      <c r="BA4015" s="225"/>
      <c r="BB4015" s="225"/>
      <c r="BC4015" s="56"/>
      <c r="BD4015" s="56"/>
      <c r="BE4015" s="56"/>
      <c r="BF4015" s="107" t="str">
        <f t="shared" si="3076"/>
        <v>https://www.google.com/search?tbm=isch&amp;q=7%20G4</v>
      </c>
      <c r="BG4015" s="107" t="str">
        <f t="shared" si="3077"/>
        <v>W</v>
      </c>
      <c r="BH4015" s="254"/>
      <c r="BI4015" s="254"/>
    </row>
    <row r="4016" spans="1:61" customFormat="1" ht="15.75" x14ac:dyDescent="0.25">
      <c r="A4016" s="485">
        <v>15</v>
      </c>
      <c r="B4016" s="486" t="s">
        <v>291</v>
      </c>
      <c r="C4016" s="487" t="s">
        <v>3853</v>
      </c>
      <c r="D4016" s="488" t="s">
        <v>292</v>
      </c>
      <c r="E4016" s="489">
        <v>447.95</v>
      </c>
      <c r="F4016" s="516" t="s">
        <v>293</v>
      </c>
      <c r="G4016" s="232">
        <v>0</v>
      </c>
      <c r="H4016" s="658" t="str">
        <f>IF(G4016=0,"",IF(F4016="Buy",IF(G4016=1,"plant","plants"),IF(F4016&gt;0.01,"warranty","Error")))</f>
        <v/>
      </c>
      <c r="I4016" s="490">
        <f>IF(H4016="free",0,IF(H4016="credit",((E4016*(F4016))*G4016*-1),IF(F4016="Buy",(E4016*G4016),((E4016*(1-F4016))*G4016))))</f>
        <v>0</v>
      </c>
      <c r="J4016" s="490">
        <f>IF(H4016="warranty",0,(I4016*(_xlfn.SINGLE(SalesTaxPercentage))))</f>
        <v>0</v>
      </c>
      <c r="K4016" s="695">
        <f t="shared" ref="K4016" si="3105">I4016+J4016</f>
        <v>0</v>
      </c>
      <c r="L4016" s="695"/>
      <c r="M4016" s="659" t="str">
        <f>IF(AND(G4016&gt;0,E4016=0),"WARNING - no PRICE inserted",IF(H4016="free"," FREE ~ no charge this plant",IF(H4016="credit",CONCATENATE(" -$",ROUND(K4016*(1-T2GDiscount)*-1,2)," CREDIT after discount"),IF(T2GDiscount=0,"",IF(G4016=0,"",IF(F4016="Buy",CONCATENATE(" $",ROUND(K4016*(1-T2GDiscount),2)," with ",(T2GDiscount*100),"% discount"),CONCATENATE(" $",ROUND(K4016*(1-T2GDiscount),2)," with ",((T2GDiscount*100+F4016*100)-(T2GDiscount*100*F4016)),IF(F4016&gt;0,"% discounts",IF(NoWarrantyDiscount&gt;0,"% discounts","% discount")))))))))</f>
        <v/>
      </c>
      <c r="N4016" s="660"/>
      <c r="O4016" s="233"/>
      <c r="P4016" s="233"/>
      <c r="Q4016" s="233"/>
      <c r="R4016" s="233"/>
      <c r="S4016" s="233"/>
      <c r="T4016" s="508">
        <f t="shared" si="3065"/>
        <v>0</v>
      </c>
      <c r="U4016" s="225">
        <f>IF(NOT(ISNUMBER(G4016)), "", VLOOKUP(A4016,'Discount Lookup'!D:E,2,FALSE)*G4016)</f>
        <v>0</v>
      </c>
      <c r="V4016" s="225">
        <f>IF(NOT(ISNUMBER(G4016)), "", VLOOKUP(A4016,'Discount Lookup'!G:H,2,FALSE)*G4016)</f>
        <v>0</v>
      </c>
      <c r="W4016" s="508">
        <f t="shared" si="3066"/>
        <v>0</v>
      </c>
      <c r="X4016" s="508">
        <f t="shared" si="3067"/>
        <v>0</v>
      </c>
      <c r="Y4016" s="509" t="b">
        <f t="shared" si="3068"/>
        <v>0</v>
      </c>
      <c r="Z4016" s="510">
        <f t="shared" si="3069"/>
        <v>0</v>
      </c>
      <c r="AA4016" s="511"/>
      <c r="AB4016" s="511" t="str">
        <f t="shared" si="3070"/>
        <v/>
      </c>
      <c r="AC4016" s="698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698"/>
      <c r="AE4016" s="631" t="str">
        <f t="shared" si="3071"/>
        <v/>
      </c>
      <c r="AF4016" s="699" t="str">
        <f t="shared" si="3072"/>
        <v/>
      </c>
      <c r="AG4016" s="699"/>
      <c r="AH4016" s="699"/>
      <c r="AI4016" s="512">
        <f>IF(H4016="credit",0,IF(AE4016="free",0,IF(AE4016="me",0,IF(G4016&gt;0,(VLOOKUP(A4016,'Discount Lookup'!J:K,2)*G4016),0))))</f>
        <v>0</v>
      </c>
      <c r="AJ4016" s="513" t="str">
        <f t="shared" ca="1" si="3073"/>
        <v/>
      </c>
      <c r="AK4016" s="700" t="str">
        <f t="shared" si="3074"/>
        <v/>
      </c>
      <c r="AL4016" s="700"/>
      <c r="AM4016" s="505" t="str">
        <f t="shared" si="3075"/>
        <v/>
      </c>
      <c r="AN4016" s="506"/>
      <c r="AO4016" s="507"/>
      <c r="AP4016" s="507"/>
      <c r="AQ4016" s="507"/>
      <c r="AR4016" s="507"/>
      <c r="AS4016" s="507"/>
      <c r="AT4016" s="507"/>
      <c r="AU4016" s="507"/>
      <c r="AV4016" s="225"/>
      <c r="AW4016" s="508"/>
      <c r="AX4016" s="225"/>
      <c r="AY4016" s="225"/>
      <c r="AZ4016" s="225"/>
      <c r="BA4016" s="225"/>
      <c r="BB4016" s="225"/>
      <c r="BC4016" s="56"/>
      <c r="BD4016" s="56"/>
      <c r="BE4016" s="56"/>
      <c r="BF4016" s="107" t="str">
        <f t="shared" si="3076"/>
        <v>https://www.google.com/search?tbm=isch&amp;q=15%20G4</v>
      </c>
      <c r="BG4016" s="107" t="str">
        <f t="shared" si="3077"/>
        <v>W</v>
      </c>
      <c r="BH4016" s="254"/>
      <c r="BI4016" s="254"/>
    </row>
    <row r="4017" spans="1:61" customFormat="1" ht="27" x14ac:dyDescent="0.25">
      <c r="A4017" s="485">
        <v>20</v>
      </c>
      <c r="B4017" s="486" t="s">
        <v>291</v>
      </c>
      <c r="C4017" s="487" t="s">
        <v>3854</v>
      </c>
      <c r="D4017" s="488" t="s">
        <v>292</v>
      </c>
      <c r="E4017" s="489">
        <v>559.95000000000005</v>
      </c>
      <c r="F4017" s="516" t="s">
        <v>293</v>
      </c>
      <c r="G4017" s="232">
        <v>0</v>
      </c>
      <c r="H4017" s="658" t="str">
        <f>IF(G4017=0,"",IF(F4017="Buy",IF(G4017=1,"plant","plants"),IF(F4017&gt;0.01,"warranty","Error")))</f>
        <v/>
      </c>
      <c r="I4017" s="490">
        <f>IF(H4017="free",0,IF(H4017="credit",((E4017*(F4017))*G4017*-1),IF(F4017="Buy",(E4017*G4017),((E4017*(1-F4017))*G4017))))</f>
        <v>0</v>
      </c>
      <c r="J4017" s="490">
        <f>IF(H4017="warranty",0,(I4017*(_xlfn.SINGLE(SalesTaxPercentage))))</f>
        <v>0</v>
      </c>
      <c r="K4017" s="695">
        <f t="shared" ref="K4017" si="3106">I4017+J4017</f>
        <v>0</v>
      </c>
      <c r="L4017" s="695"/>
      <c r="M4017" s="659" t="str">
        <f>IF(AND(G4017&gt;0,E4017=0),"WARNING - no PRICE inserted",IF(H4017="free"," FREE ~ no charge this plant",IF(H4017="credit",CONCATENATE(" -$",ROUND(K4017*(1-T2GDiscount)*-1,2)," CREDIT after discount"),IF(T2GDiscount=0,"",IF(G4017=0,"",IF(F4017="Buy",CONCATENATE(" $",ROUND(K4017*(1-T2GDiscount),2)," with ",(T2GDiscount*100),"% discount"),CONCATENATE(" $",ROUND(K4017*(1-T2GDiscount),2)," with ",((T2GDiscount*100+F4017*100)-(T2GDiscount*100*F4017)),IF(F4017&gt;0,"% discounts",IF(NoWarrantyDiscount&gt;0,"% discounts","% discount")))))))))</f>
        <v/>
      </c>
      <c r="N4017" s="660"/>
      <c r="O4017" s="233"/>
      <c r="P4017" s="233"/>
      <c r="Q4017" s="233"/>
      <c r="R4017" s="233"/>
      <c r="S4017" s="233"/>
      <c r="T4017" s="508">
        <f t="shared" si="3065"/>
        <v>0</v>
      </c>
      <c r="U4017" s="225">
        <f>IF(NOT(ISNUMBER(G4017)), "", VLOOKUP(A4017,'Discount Lookup'!D:E,2,FALSE)*G4017)</f>
        <v>0</v>
      </c>
      <c r="V4017" s="225">
        <f>IF(NOT(ISNUMBER(G4017)), "", VLOOKUP(A4017,'Discount Lookup'!G:H,2,FALSE)*G4017)</f>
        <v>0</v>
      </c>
      <c r="W4017" s="508">
        <f t="shared" si="3066"/>
        <v>0</v>
      </c>
      <c r="X4017" s="508">
        <f t="shared" si="3067"/>
        <v>0</v>
      </c>
      <c r="Y4017" s="509" t="b">
        <f t="shared" si="3068"/>
        <v>0</v>
      </c>
      <c r="Z4017" s="510">
        <f t="shared" si="3069"/>
        <v>0</v>
      </c>
      <c r="AA4017" s="511"/>
      <c r="AB4017" s="511" t="str">
        <f t="shared" si="3070"/>
        <v/>
      </c>
      <c r="AC4017" s="698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698"/>
      <c r="AE4017" s="631" t="str">
        <f t="shared" si="3071"/>
        <v/>
      </c>
      <c r="AF4017" s="699" t="str">
        <f t="shared" si="3072"/>
        <v/>
      </c>
      <c r="AG4017" s="699"/>
      <c r="AH4017" s="699"/>
      <c r="AI4017" s="512">
        <f>IF(H4017="credit",0,IF(AE4017="free",0,IF(AE4017="me",0,IF(G4017&gt;0,(VLOOKUP(A4017,'Discount Lookup'!J:K,2)*G4017),0))))</f>
        <v>0</v>
      </c>
      <c r="AJ4017" s="513" t="str">
        <f t="shared" ca="1" si="3073"/>
        <v/>
      </c>
      <c r="AK4017" s="700" t="str">
        <f t="shared" si="3074"/>
        <v/>
      </c>
      <c r="AL4017" s="700"/>
      <c r="AM4017" s="505" t="str">
        <f t="shared" si="3075"/>
        <v/>
      </c>
      <c r="AN4017" s="506"/>
      <c r="AO4017" s="507"/>
      <c r="AP4017" s="507"/>
      <c r="AQ4017" s="507"/>
      <c r="AR4017" s="507"/>
      <c r="AS4017" s="507"/>
      <c r="AT4017" s="507"/>
      <c r="AU4017" s="507"/>
      <c r="AV4017" s="225"/>
      <c r="AW4017" s="508"/>
      <c r="AX4017" s="225"/>
      <c r="AY4017" s="225"/>
      <c r="AZ4017" s="225"/>
      <c r="BA4017" s="225"/>
      <c r="BB4017" s="225"/>
      <c r="BC4017" s="56"/>
      <c r="BD4017" s="56"/>
      <c r="BE4017" s="56"/>
      <c r="BF4017" s="107" t="str">
        <f t="shared" si="3076"/>
        <v>https://www.google.com/search?tbm=isch&amp;q=20%20G4</v>
      </c>
      <c r="BG4017" s="107" t="str">
        <f t="shared" si="3077"/>
        <v>W</v>
      </c>
      <c r="BH4017" s="254"/>
      <c r="BI4017" s="254"/>
    </row>
    <row r="4018" spans="1:61" customFormat="1" ht="15.75" x14ac:dyDescent="0.25">
      <c r="A4018" s="485">
        <v>25</v>
      </c>
      <c r="B4018" s="486" t="s">
        <v>291</v>
      </c>
      <c r="C4018" s="487" t="s">
        <v>4832</v>
      </c>
      <c r="D4018" s="488" t="s">
        <v>292</v>
      </c>
      <c r="E4018" s="489">
        <v>665.95</v>
      </c>
      <c r="F4018" s="516" t="s">
        <v>293</v>
      </c>
      <c r="G4018" s="232">
        <v>0</v>
      </c>
      <c r="H4018" s="658" t="str">
        <f>IF(G4018=0,"",IF(F4018="Buy",IF(G4018=1,"plant","plants"),IF(F4018&gt;0.01,"warranty","Error")))</f>
        <v/>
      </c>
      <c r="I4018" s="490">
        <f>IF(H4018="free",0,IF(H4018="credit",((E4018*(F4018))*G4018*-1),IF(F4018="Buy",(E4018*G4018),((E4018*(1-F4018))*G4018))))</f>
        <v>0</v>
      </c>
      <c r="J4018" s="490">
        <f>IF(H4018="warranty",0,(I4018*(_xlfn.SINGLE(SalesTaxPercentage))))</f>
        <v>0</v>
      </c>
      <c r="K4018" s="695">
        <f t="shared" ref="K4018" si="3107">I4018+J4018</f>
        <v>0</v>
      </c>
      <c r="L4018" s="695"/>
      <c r="M4018" s="659" t="str">
        <f>IF(AND(G4018&gt;0,E4018=0),"WARNING - no PRICE inserted",IF(H4018="free"," FREE ~ no charge this plant",IF(H4018="credit",CONCATENATE(" -$",ROUND(K4018*(1-T2GDiscount)*-1,2)," CREDIT after discount"),IF(T2GDiscount=0,"",IF(G4018=0,"",IF(F4018="Buy",CONCATENATE(" $",ROUND(K4018*(1-T2GDiscount),2)," with ",(T2GDiscount*100),"% discount"),CONCATENATE(" $",ROUND(K4018*(1-T2GDiscount),2)," with ",((T2GDiscount*100+F4018*100)-(T2GDiscount*100*F4018)),IF(F4018&gt;0,"% discounts",IF(NoWarrantyDiscount&gt;0,"% discounts","% discount")))))))))</f>
        <v/>
      </c>
      <c r="N4018" s="660"/>
      <c r="O4018" s="233"/>
      <c r="P4018" s="233"/>
      <c r="Q4018" s="233"/>
      <c r="R4018" s="233"/>
      <c r="S4018" s="233"/>
      <c r="T4018" s="508">
        <f t="shared" si="3065"/>
        <v>0</v>
      </c>
      <c r="U4018" s="225">
        <f>IF(NOT(ISNUMBER(G4018)), "", VLOOKUP(A4018,'Discount Lookup'!D:E,2,FALSE)*G4018)</f>
        <v>0</v>
      </c>
      <c r="V4018" s="225">
        <f>IF(NOT(ISNUMBER(G4018)), "", VLOOKUP(A4018,'Discount Lookup'!G:H,2,FALSE)*G4018)</f>
        <v>0</v>
      </c>
      <c r="W4018" s="508">
        <f t="shared" si="3066"/>
        <v>0</v>
      </c>
      <c r="X4018" s="508">
        <f t="shared" si="3067"/>
        <v>0</v>
      </c>
      <c r="Y4018" s="509" t="b">
        <f t="shared" si="3068"/>
        <v>0</v>
      </c>
      <c r="Z4018" s="510">
        <f t="shared" si="3069"/>
        <v>0</v>
      </c>
      <c r="AA4018" s="511"/>
      <c r="AB4018" s="511" t="str">
        <f t="shared" si="3070"/>
        <v/>
      </c>
      <c r="AC4018" s="698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698"/>
      <c r="AE4018" s="631" t="str">
        <f t="shared" si="3071"/>
        <v/>
      </c>
      <c r="AF4018" s="699" t="str">
        <f t="shared" si="3072"/>
        <v/>
      </c>
      <c r="AG4018" s="699"/>
      <c r="AH4018" s="699"/>
      <c r="AI4018" s="512">
        <f>IF(H4018="credit",0,IF(AE4018="free",0,IF(AE4018="me",0,IF(G4018&gt;0,(VLOOKUP(A4018,'Discount Lookup'!J:K,2)*G4018),0))))</f>
        <v>0</v>
      </c>
      <c r="AJ4018" s="513" t="str">
        <f t="shared" ca="1" si="3073"/>
        <v/>
      </c>
      <c r="AK4018" s="700" t="str">
        <f t="shared" si="3074"/>
        <v/>
      </c>
      <c r="AL4018" s="700"/>
      <c r="AM4018" s="505" t="str">
        <f t="shared" si="3075"/>
        <v/>
      </c>
      <c r="AN4018" s="506"/>
      <c r="AO4018" s="507"/>
      <c r="AP4018" s="507"/>
      <c r="AQ4018" s="507"/>
      <c r="AR4018" s="507"/>
      <c r="AS4018" s="507"/>
      <c r="AT4018" s="507"/>
      <c r="AU4018" s="507"/>
      <c r="AV4018" s="225"/>
      <c r="AW4018" s="508"/>
      <c r="AX4018" s="225"/>
      <c r="AY4018" s="225"/>
      <c r="AZ4018" s="225"/>
      <c r="BA4018" s="225"/>
      <c r="BB4018" s="225"/>
      <c r="BC4018" s="56"/>
      <c r="BD4018" s="56"/>
      <c r="BE4018" s="56"/>
      <c r="BF4018" s="107" t="str">
        <f t="shared" si="3076"/>
        <v>https://www.google.com/search?tbm=isch&amp;q=25%20G4</v>
      </c>
      <c r="BG4018" s="107" t="str">
        <f t="shared" si="3077"/>
        <v>W</v>
      </c>
      <c r="BH4018" s="254"/>
      <c r="BI4018" s="254"/>
    </row>
    <row r="4019" spans="1:61" customFormat="1" ht="17.25" thickBot="1" x14ac:dyDescent="0.3">
      <c r="A4019" s="522" t="s">
        <v>3199</v>
      </c>
      <c r="B4019" s="491"/>
      <c r="C4019" s="675"/>
      <c r="D4019" s="491"/>
      <c r="E4019" s="491"/>
      <c r="F4019" s="492"/>
      <c r="G4019" s="493"/>
      <c r="H4019" s="491"/>
      <c r="I4019" s="234"/>
      <c r="J4019" s="234"/>
      <c r="K4019" s="494"/>
      <c r="L4019" s="543"/>
      <c r="M4019" s="561"/>
      <c r="N4019" s="495"/>
      <c r="O4019" s="496"/>
      <c r="P4019" s="497"/>
      <c r="Q4019" s="495"/>
      <c r="R4019" s="495"/>
      <c r="S4019" s="667" t="s">
        <v>5007</v>
      </c>
      <c r="T4019" s="508">
        <f t="shared" si="3065"/>
        <v>0</v>
      </c>
      <c r="U4019" s="225" t="str">
        <f>IF(NOT(ISNUMBER(G4019)), "", VLOOKUP(A4019,'Discount Lookup'!D:E,2,FALSE)*G4019)</f>
        <v/>
      </c>
      <c r="V4019" s="225" t="str">
        <f>IF(NOT(ISNUMBER(G4019)), "", VLOOKUP(A4019,'Discount Lookup'!G:H,2,FALSE)*G4019)</f>
        <v/>
      </c>
      <c r="W4019" s="508">
        <f t="shared" si="3066"/>
        <v>0</v>
      </c>
      <c r="X4019" s="508">
        <f t="shared" si="3067"/>
        <v>0</v>
      </c>
      <c r="Y4019" s="509" t="b">
        <f t="shared" si="3068"/>
        <v>0</v>
      </c>
      <c r="Z4019" s="510">
        <f t="shared" si="3069"/>
        <v>0</v>
      </c>
      <c r="AA4019" s="511"/>
      <c r="AB4019" s="511" t="str">
        <f t="shared" si="3070"/>
        <v/>
      </c>
      <c r="AC4019" s="698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698"/>
      <c r="AE4019" s="631" t="str">
        <f t="shared" si="3071"/>
        <v/>
      </c>
      <c r="AF4019" s="699" t="str">
        <f t="shared" si="3072"/>
        <v/>
      </c>
      <c r="AG4019" s="699"/>
      <c r="AH4019" s="699"/>
      <c r="AI4019" s="512">
        <f>IF(H4019="credit",0,IF(AE4019="free",0,IF(AE4019="me",0,IF(G4019&gt;0,(VLOOKUP(A4019,'Discount Lookup'!J:K,2)*G4019),0))))</f>
        <v>0</v>
      </c>
      <c r="AJ4019" s="513" t="str">
        <f t="shared" ca="1" si="3073"/>
        <v/>
      </c>
      <c r="AK4019" s="700" t="str">
        <f t="shared" si="3074"/>
        <v/>
      </c>
      <c r="AL4019" s="700"/>
      <c r="AM4019" s="505" t="str">
        <f t="shared" si="3075"/>
        <v/>
      </c>
      <c r="AN4019" s="506"/>
      <c r="AO4019" s="507"/>
      <c r="AP4019" s="507"/>
      <c r="AQ4019" s="507"/>
      <c r="AR4019" s="507"/>
      <c r="AS4019" s="507"/>
      <c r="AT4019" s="507"/>
      <c r="AU4019" s="507"/>
      <c r="AV4019" s="225"/>
      <c r="AW4019" s="508"/>
      <c r="AX4019" s="225"/>
      <c r="AY4019" s="225"/>
      <c r="AZ4019" s="225"/>
      <c r="BA4019" s="225"/>
      <c r="BB4019" s="225"/>
      <c r="BC4019" s="56"/>
      <c r="BD4019" s="56"/>
      <c r="BE4019" s="56"/>
      <c r="BF4019" s="107" t="str">
        <f t="shared" si="3076"/>
        <v>https://www.google.com/search?tbm=isch&amp;q=Weeping%20Blue%20Atlas%20steel-blue%20needles%20makes%20for%20a%20dramatic%20specimen.%20Will%20spill%20over%20a%20wall%20</v>
      </c>
      <c r="BG4019" s="107" t="str">
        <f t="shared" si="3077"/>
        <v>W</v>
      </c>
      <c r="BH4019" s="254"/>
      <c r="BI4019" s="254"/>
    </row>
    <row r="4020" spans="1:61" customFormat="1" ht="18" x14ac:dyDescent="0.25">
      <c r="A4020" s="523" t="s">
        <v>2009</v>
      </c>
      <c r="B4020" s="235"/>
      <c r="C4020" s="676"/>
      <c r="D4020" s="255" t="s">
        <v>2010</v>
      </c>
      <c r="E4020" s="236"/>
      <c r="F4020" s="236"/>
      <c r="G4020" s="236"/>
      <c r="H4020" s="582" t="s">
        <v>2008</v>
      </c>
      <c r="I4020" s="498" t="s">
        <v>2266</v>
      </c>
      <c r="J4020" s="237"/>
      <c r="K4020" s="237"/>
      <c r="L4020" s="274"/>
      <c r="M4020" s="668" t="s">
        <v>4975</v>
      </c>
      <c r="N4020" s="681" t="str">
        <f>IF(AND(ISTEXT($A4020), ISERROR($A4020+0)), HYPERLINK($BF4020, "Images"), "")</f>
        <v>Images</v>
      </c>
      <c r="O4020" s="663" t="s">
        <v>4967</v>
      </c>
      <c r="P4020" s="253"/>
      <c r="Q4020" s="238"/>
      <c r="R4020" s="239"/>
      <c r="S4020" s="275"/>
      <c r="T4020" s="508">
        <f t="shared" si="3065"/>
        <v>0</v>
      </c>
      <c r="U4020" s="225" t="str">
        <f>IF(NOT(ISNUMBER(G4020)), "", VLOOKUP(A4020,'Discount Lookup'!D:E,2,FALSE)*G4020)</f>
        <v/>
      </c>
      <c r="V4020" s="225" t="str">
        <f>IF(NOT(ISNUMBER(G4020)), "", VLOOKUP(A4020,'Discount Lookup'!G:H,2,FALSE)*G4020)</f>
        <v/>
      </c>
      <c r="W4020" s="508">
        <f t="shared" si="3066"/>
        <v>0</v>
      </c>
      <c r="X4020" s="508" t="str">
        <f t="shared" si="3067"/>
        <v>Small Red blooms</v>
      </c>
      <c r="Y4020" s="509" t="b">
        <f t="shared" si="3068"/>
        <v>0</v>
      </c>
      <c r="Z4020" s="510">
        <f t="shared" si="3069"/>
        <v>0</v>
      </c>
      <c r="AA4020" s="511"/>
      <c r="AB4020" s="511" t="str">
        <f t="shared" si="3070"/>
        <v/>
      </c>
      <c r="AC4020" s="698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698"/>
      <c r="AE4020" s="631" t="str">
        <f t="shared" si="3071"/>
        <v/>
      </c>
      <c r="AF4020" s="699" t="str">
        <f t="shared" si="3072"/>
        <v/>
      </c>
      <c r="AG4020" s="699"/>
      <c r="AH4020" s="699"/>
      <c r="AI4020" s="512">
        <f>IF(H4020="credit",0,IF(AE4020="free",0,IF(AE4020="me",0,IF(G4020&gt;0,(VLOOKUP(A4020,'Discount Lookup'!J:K,2)*G4020),0))))</f>
        <v>0</v>
      </c>
      <c r="AJ4020" s="513" t="str">
        <f t="shared" ca="1" si="3073"/>
        <v/>
      </c>
      <c r="AK4020" s="700" t="str">
        <f t="shared" si="3074"/>
        <v/>
      </c>
      <c r="AL4020" s="700"/>
      <c r="AM4020" s="505" t="str">
        <f t="shared" si="3075"/>
        <v/>
      </c>
      <c r="AN4020" s="506"/>
      <c r="AO4020" s="507"/>
      <c r="AP4020" s="507"/>
      <c r="AQ4020" s="507"/>
      <c r="AR4020" s="507"/>
      <c r="AS4020" s="507"/>
      <c r="AT4020" s="507"/>
      <c r="AU4020" s="507"/>
      <c r="AV4020" s="225"/>
      <c r="AW4020" s="508"/>
      <c r="AX4020" s="225"/>
      <c r="AY4020" s="225"/>
      <c r="AZ4020" s="225"/>
      <c r="BA4020" s="225"/>
      <c r="BB4020" s="225"/>
      <c r="BC4020" s="56"/>
      <c r="BD4020" s="56"/>
      <c r="BE4020" s="56"/>
      <c r="BF4020" s="107" t="str">
        <f t="shared" si="3076"/>
        <v>https://www.google.com/search?tbm=isch&amp;q=Weeping%20Persian%20Parrotia%20Parrotia%20persica%20%27Pendula%27</v>
      </c>
      <c r="BG4020" s="107" t="str">
        <f t="shared" si="3077"/>
        <v>W</v>
      </c>
      <c r="BH4020" s="254"/>
      <c r="BI4020" s="254"/>
    </row>
    <row r="4021" spans="1:61" customFormat="1" ht="15.75" x14ac:dyDescent="0.25">
      <c r="A4021" s="276">
        <v>25</v>
      </c>
      <c r="B4021" s="240" t="s">
        <v>291</v>
      </c>
      <c r="C4021" s="241" t="s">
        <v>3855</v>
      </c>
      <c r="D4021" s="242" t="s">
        <v>292</v>
      </c>
      <c r="E4021" s="243">
        <v>341.95</v>
      </c>
      <c r="F4021" s="517" t="s">
        <v>293</v>
      </c>
      <c r="G4021" s="232">
        <v>0</v>
      </c>
      <c r="H4021" s="661" t="str">
        <f>IF(G4021=0,"",IF(F4021="Buy",IF(G4021=1,"plant","plants"),IF(F4021&gt;0.01,"warranty","Error")))</f>
        <v/>
      </c>
      <c r="I4021" s="244">
        <f>IF(H4021="free",0,IF(H4021="credit",((E4021*(F4021))*G4021*-1),IF(F4021="Buy",(E4021*G4021),((E4021*(1-F4021))*G4021))))</f>
        <v>0</v>
      </c>
      <c r="J4021" s="244">
        <f>IF(H4021="warranty",0,(I4021*(_xlfn.SINGLE(SalesTaxPercentage))))</f>
        <v>0</v>
      </c>
      <c r="K4021" s="696">
        <f t="shared" ref="K4021" si="3108">I4021+J4021</f>
        <v>0</v>
      </c>
      <c r="L4021" s="696"/>
      <c r="M4021" s="659" t="str">
        <f>IF(AND(G4021&gt;0,E4021=0),"WARNING - no PRICE inserted",IF(H4021="free"," FREE ~ no charge this plant",IF(H4021="credit",CONCATENATE(" -$",ROUND(K4021*(1-T2GDiscount)*-1,2)," CREDIT after discount"),IF(T2GDiscount=0,"",IF(G4021=0,"",IF(F4021="Buy",CONCATENATE(" $",ROUND(K4021*(1-T2GDiscount),2)," with ",(T2GDiscount*100),"% discount"),CONCATENATE(" $",ROUND(K4021*(1-T2GDiscount),2)," with ",((T2GDiscount*100+F4021*100)-(T2GDiscount*100*F4021)),IF(F4021&gt;0,"% discounts",IF(NoWarrantyDiscount&gt;0,"% discounts","% discount")))))))))</f>
        <v/>
      </c>
      <c r="N4021" s="660"/>
      <c r="O4021" s="233"/>
      <c r="P4021" s="233"/>
      <c r="Q4021" s="233"/>
      <c r="R4021" s="233"/>
      <c r="S4021" s="233"/>
      <c r="T4021" s="508">
        <f t="shared" si="3065"/>
        <v>0</v>
      </c>
      <c r="U4021" s="225">
        <f>IF(NOT(ISNUMBER(G4021)), "", VLOOKUP(A4021,'Discount Lookup'!D:E,2,FALSE)*G4021)</f>
        <v>0</v>
      </c>
      <c r="V4021" s="225">
        <f>IF(NOT(ISNUMBER(G4021)), "", VLOOKUP(A4021,'Discount Lookup'!G:H,2,FALSE)*G4021)</f>
        <v>0</v>
      </c>
      <c r="W4021" s="508">
        <f t="shared" si="3066"/>
        <v>0</v>
      </c>
      <c r="X4021" s="508">
        <f t="shared" si="3067"/>
        <v>0</v>
      </c>
      <c r="Y4021" s="509" t="b">
        <f t="shared" si="3068"/>
        <v>0</v>
      </c>
      <c r="Z4021" s="510">
        <f t="shared" si="3069"/>
        <v>0</v>
      </c>
      <c r="AA4021" s="511"/>
      <c r="AB4021" s="511" t="str">
        <f t="shared" si="3070"/>
        <v/>
      </c>
      <c r="AC4021" s="698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698"/>
      <c r="AE4021" s="631" t="str">
        <f t="shared" si="3071"/>
        <v/>
      </c>
      <c r="AF4021" s="699" t="str">
        <f t="shared" si="3072"/>
        <v/>
      </c>
      <c r="AG4021" s="699"/>
      <c r="AH4021" s="699"/>
      <c r="AI4021" s="512">
        <f>IF(H4021="credit",0,IF(AE4021="free",0,IF(AE4021="me",0,IF(G4021&gt;0,(VLOOKUP(A4021,'Discount Lookup'!J:K,2)*G4021),0))))</f>
        <v>0</v>
      </c>
      <c r="AJ4021" s="513" t="str">
        <f t="shared" ca="1" si="3073"/>
        <v/>
      </c>
      <c r="AK4021" s="700" t="str">
        <f t="shared" si="3074"/>
        <v/>
      </c>
      <c r="AL4021" s="700"/>
      <c r="AM4021" s="505" t="str">
        <f t="shared" si="3075"/>
        <v/>
      </c>
      <c r="AN4021" s="506"/>
      <c r="AO4021" s="507"/>
      <c r="AP4021" s="507"/>
      <c r="AQ4021" s="507"/>
      <c r="AR4021" s="507"/>
      <c r="AS4021" s="507"/>
      <c r="AT4021" s="507"/>
      <c r="AU4021" s="507"/>
      <c r="AV4021" s="225"/>
      <c r="AW4021" s="508"/>
      <c r="AX4021" s="225"/>
      <c r="AY4021" s="225"/>
      <c r="AZ4021" s="225"/>
      <c r="BA4021" s="225"/>
      <c r="BB4021" s="225"/>
      <c r="BC4021" s="56"/>
      <c r="BD4021" s="56"/>
      <c r="BE4021" s="56"/>
      <c r="BF4021" s="107" t="str">
        <f t="shared" si="3076"/>
        <v>https://www.google.com/search?tbm=isch&amp;q=25%20G4</v>
      </c>
      <c r="BG4021" s="107" t="str">
        <f t="shared" si="3077"/>
        <v>W</v>
      </c>
      <c r="BH4021" s="254"/>
      <c r="BI4021" s="254"/>
    </row>
    <row r="4022" spans="1:61" customFormat="1" ht="17.25" thickBot="1" x14ac:dyDescent="0.3">
      <c r="A4022" s="524" t="s">
        <v>2271</v>
      </c>
      <c r="B4022" s="245"/>
      <c r="C4022" s="677"/>
      <c r="D4022" s="499"/>
      <c r="E4022" s="499"/>
      <c r="F4022" s="500"/>
      <c r="G4022" s="501"/>
      <c r="H4022" s="502"/>
      <c r="I4022" s="246"/>
      <c r="J4022" s="247"/>
      <c r="K4022" s="503"/>
      <c r="L4022" s="544"/>
      <c r="M4022" s="544"/>
      <c r="N4022" s="500"/>
      <c r="O4022" s="500"/>
      <c r="P4022" s="500"/>
      <c r="Q4022" s="500"/>
      <c r="R4022" s="500"/>
      <c r="S4022" s="278"/>
      <c r="T4022" s="508">
        <f t="shared" si="3065"/>
        <v>0</v>
      </c>
      <c r="U4022" s="225" t="str">
        <f>IF(NOT(ISNUMBER(G4022)), "", VLOOKUP(A4022,'Discount Lookup'!D:E,2,FALSE)*G4022)</f>
        <v/>
      </c>
      <c r="V4022" s="225" t="str">
        <f>IF(NOT(ISNUMBER(G4022)), "", VLOOKUP(A4022,'Discount Lookup'!G:H,2,FALSE)*G4022)</f>
        <v/>
      </c>
      <c r="W4022" s="508">
        <f t="shared" si="3066"/>
        <v>0</v>
      </c>
      <c r="X4022" s="508">
        <f t="shared" si="3067"/>
        <v>0</v>
      </c>
      <c r="Y4022" s="509" t="b">
        <f t="shared" si="3068"/>
        <v>0</v>
      </c>
      <c r="Z4022" s="510">
        <f t="shared" si="3069"/>
        <v>0</v>
      </c>
      <c r="AA4022" s="511"/>
      <c r="AB4022" s="511" t="str">
        <f t="shared" si="3070"/>
        <v/>
      </c>
      <c r="AC4022" s="698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698"/>
      <c r="AE4022" s="631" t="str">
        <f t="shared" si="3071"/>
        <v/>
      </c>
      <c r="AF4022" s="699" t="str">
        <f t="shared" si="3072"/>
        <v/>
      </c>
      <c r="AG4022" s="699"/>
      <c r="AH4022" s="699"/>
      <c r="AI4022" s="512">
        <f>IF(H4022="credit",0,IF(AE4022="free",0,IF(AE4022="me",0,IF(G4022&gt;0,(VLOOKUP(A4022,'Discount Lookup'!J:K,2)*G4022),0))))</f>
        <v>0</v>
      </c>
      <c r="AJ4022" s="513" t="str">
        <f t="shared" ca="1" si="3073"/>
        <v/>
      </c>
      <c r="AK4022" s="700" t="str">
        <f t="shared" si="3074"/>
        <v/>
      </c>
      <c r="AL4022" s="700"/>
      <c r="AM4022" s="505" t="str">
        <f t="shared" si="3075"/>
        <v/>
      </c>
      <c r="AN4022" s="506"/>
      <c r="AO4022" s="507"/>
      <c r="AP4022" s="507"/>
      <c r="AQ4022" s="507"/>
      <c r="AR4022" s="507"/>
      <c r="AS4022" s="507"/>
      <c r="AT4022" s="507"/>
      <c r="AU4022" s="507"/>
      <c r="AV4022" s="225"/>
      <c r="AW4022" s="508"/>
      <c r="AX4022" s="225"/>
      <c r="AY4022" s="225"/>
      <c r="AZ4022" s="225"/>
      <c r="BA4022" s="225"/>
      <c r="BB4022" s="225"/>
      <c r="BC4022" s="56"/>
      <c r="BD4022" s="56"/>
      <c r="BE4022" s="56"/>
      <c r="BF4022" s="107" t="str">
        <f t="shared" si="3076"/>
        <v>https://www.google.com/search?tbm=isch&amp;q=Weeping%20Persian%20Parrotia%20known%20for%20late%E2%80%91winter%20flowers%2C%20glowing%20fall%20foliage%2C%20and%20striking%20mosaic-patterned%20exfoliating%20bark%20</v>
      </c>
      <c r="BG4022" s="107" t="str">
        <f t="shared" si="3077"/>
        <v>W</v>
      </c>
      <c r="BH4022" s="254"/>
      <c r="BI4022" s="254"/>
    </row>
    <row r="4023" spans="1:61" customFormat="1" ht="18" x14ac:dyDescent="0.25">
      <c r="A4023" s="523" t="s">
        <v>2833</v>
      </c>
      <c r="B4023" s="235"/>
      <c r="C4023" s="676"/>
      <c r="D4023" s="255" t="s">
        <v>2834</v>
      </c>
      <c r="E4023" s="236"/>
      <c r="F4023" s="236"/>
      <c r="G4023" s="236"/>
      <c r="H4023" s="582" t="s">
        <v>2576</v>
      </c>
      <c r="I4023" s="498" t="s">
        <v>2109</v>
      </c>
      <c r="J4023" s="237"/>
      <c r="K4023" s="237"/>
      <c r="L4023" s="274"/>
      <c r="M4023" s="668" t="s">
        <v>4975</v>
      </c>
      <c r="N4023" s="681" t="str">
        <f>IF(AND(ISTEXT($A4023), ISERROR($A4023+0)), HYPERLINK($BF4023, "Images"), "")</f>
        <v>Images</v>
      </c>
      <c r="O4023" s="663" t="s">
        <v>4974</v>
      </c>
      <c r="P4023" s="253"/>
      <c r="Q4023" s="238"/>
      <c r="R4023" s="239"/>
      <c r="S4023" s="275"/>
      <c r="T4023" s="508">
        <f t="shared" si="3065"/>
        <v>0</v>
      </c>
      <c r="U4023" s="225" t="str">
        <f>IF(NOT(ISNUMBER(G4023)), "", VLOOKUP(A4023,'Discount Lookup'!D:E,2,FALSE)*G4023)</f>
        <v/>
      </c>
      <c r="V4023" s="225" t="str">
        <f>IF(NOT(ISNUMBER(G4023)), "", VLOOKUP(A4023,'Discount Lookup'!G:H,2,FALSE)*G4023)</f>
        <v/>
      </c>
      <c r="W4023" s="508">
        <f t="shared" si="3066"/>
        <v>0</v>
      </c>
      <c r="X4023" s="508" t="str">
        <f t="shared" si="3067"/>
        <v>Green foliage</v>
      </c>
      <c r="Y4023" s="509" t="b">
        <f t="shared" si="3068"/>
        <v>0</v>
      </c>
      <c r="Z4023" s="510">
        <f t="shared" si="3069"/>
        <v>0</v>
      </c>
      <c r="AA4023" s="511"/>
      <c r="AB4023" s="511" t="str">
        <f t="shared" si="3070"/>
        <v/>
      </c>
      <c r="AC4023" s="698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698"/>
      <c r="AE4023" s="631" t="str">
        <f t="shared" si="3071"/>
        <v/>
      </c>
      <c r="AF4023" s="699" t="str">
        <f t="shared" si="3072"/>
        <v/>
      </c>
      <c r="AG4023" s="699"/>
      <c r="AH4023" s="699"/>
      <c r="AI4023" s="512">
        <f>IF(H4023="credit",0,IF(AE4023="free",0,IF(AE4023="me",0,IF(G4023&gt;0,(VLOOKUP(A4023,'Discount Lookup'!J:K,2)*G4023),0))))</f>
        <v>0</v>
      </c>
      <c r="AJ4023" s="513" t="str">
        <f t="shared" ca="1" si="3073"/>
        <v/>
      </c>
      <c r="AK4023" s="700" t="str">
        <f t="shared" si="3074"/>
        <v/>
      </c>
      <c r="AL4023" s="700"/>
      <c r="AM4023" s="505" t="str">
        <f t="shared" si="3075"/>
        <v/>
      </c>
      <c r="AN4023" s="506"/>
      <c r="AO4023" s="507"/>
      <c r="AP4023" s="507"/>
      <c r="AQ4023" s="507"/>
      <c r="AR4023" s="507"/>
      <c r="AS4023" s="507"/>
      <c r="AT4023" s="507"/>
      <c r="AU4023" s="507"/>
      <c r="AV4023" s="225"/>
      <c r="AW4023" s="508"/>
      <c r="AX4023" s="225"/>
      <c r="AY4023" s="225"/>
      <c r="AZ4023" s="225"/>
      <c r="BA4023" s="225"/>
      <c r="BB4023" s="225"/>
      <c r="BC4023" s="56"/>
      <c r="BD4023" s="56"/>
      <c r="BE4023" s="56"/>
      <c r="BF4023" s="107" t="str">
        <f t="shared" si="3076"/>
        <v>https://www.google.com/search?tbm=isch&amp;q=Weeping%20Pussy%20Willow%20Salix%20caprea%20%27Pendula%27</v>
      </c>
      <c r="BG4023" s="107" t="str">
        <f t="shared" si="3077"/>
        <v>W</v>
      </c>
      <c r="BH4023" s="254"/>
      <c r="BI4023" s="254"/>
    </row>
    <row r="4024" spans="1:61" customFormat="1" ht="27" x14ac:dyDescent="0.25">
      <c r="A4024" s="276">
        <v>7</v>
      </c>
      <c r="B4024" s="240" t="s">
        <v>291</v>
      </c>
      <c r="C4024" s="241" t="s">
        <v>3856</v>
      </c>
      <c r="D4024" s="242" t="s">
        <v>292</v>
      </c>
      <c r="E4024" s="243">
        <v>155.94999999999999</v>
      </c>
      <c r="F4024" s="517" t="s">
        <v>293</v>
      </c>
      <c r="G4024" s="232">
        <v>0</v>
      </c>
      <c r="H4024" s="661" t="str">
        <f>IF(G4024=0,"",IF(F4024="Buy",IF(G4024=1,"plant","plants"),IF(F4024&gt;0.01,"warranty","Error")))</f>
        <v/>
      </c>
      <c r="I4024" s="244">
        <f>IF(H4024="free",0,IF(H4024="credit",((E4024*(F4024))*G4024*-1),IF(F4024="Buy",(E4024*G4024),((E4024*(1-F4024))*G4024))))</f>
        <v>0</v>
      </c>
      <c r="J4024" s="244">
        <f>IF(H4024="warranty",0,(I4024*(_xlfn.SINGLE(SalesTaxPercentage))))</f>
        <v>0</v>
      </c>
      <c r="K4024" s="696">
        <f t="shared" ref="K4024" si="3109">I4024+J4024</f>
        <v>0</v>
      </c>
      <c r="L4024" s="696"/>
      <c r="M4024" s="659" t="str">
        <f>IF(AND(G4024&gt;0,E4024=0),"WARNING - no PRICE inserted",IF(H4024="free"," FREE ~ no charge this plant",IF(H4024="credit",CONCATENATE(" -$",ROUND(K4024*(1-T2GDiscount)*-1,2)," CREDIT after discount"),IF(T2GDiscount=0,"",IF(G4024=0,"",IF(F4024="Buy",CONCATENATE(" $",ROUND(K4024*(1-T2GDiscount),2)," with ",(T2GDiscount*100),"% discount"),CONCATENATE(" $",ROUND(K4024*(1-T2GDiscount),2)," with ",((T2GDiscount*100+F4024*100)-(T2GDiscount*100*F4024)),IF(F4024&gt;0,"% discounts",IF(NoWarrantyDiscount&gt;0,"% discounts","% discount")))))))))</f>
        <v/>
      </c>
      <c r="N4024" s="660"/>
      <c r="O4024" s="233"/>
      <c r="P4024" s="233"/>
      <c r="Q4024" s="233"/>
      <c r="R4024" s="233"/>
      <c r="S4024" s="233"/>
      <c r="T4024" s="508">
        <f t="shared" si="3065"/>
        <v>0</v>
      </c>
      <c r="U4024" s="225">
        <f>IF(NOT(ISNUMBER(G4024)), "", VLOOKUP(A4024,'Discount Lookup'!D:E,2,FALSE)*G4024)</f>
        <v>0</v>
      </c>
      <c r="V4024" s="225">
        <f>IF(NOT(ISNUMBER(G4024)), "", VLOOKUP(A4024,'Discount Lookup'!G:H,2,FALSE)*G4024)</f>
        <v>0</v>
      </c>
      <c r="W4024" s="508">
        <f t="shared" si="3066"/>
        <v>0</v>
      </c>
      <c r="X4024" s="508">
        <f t="shared" si="3067"/>
        <v>0</v>
      </c>
      <c r="Y4024" s="509" t="b">
        <f t="shared" si="3068"/>
        <v>0</v>
      </c>
      <c r="Z4024" s="510">
        <f t="shared" si="3069"/>
        <v>0</v>
      </c>
      <c r="AA4024" s="511"/>
      <c r="AB4024" s="511" t="str">
        <f t="shared" si="3070"/>
        <v/>
      </c>
      <c r="AC4024" s="698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698"/>
      <c r="AE4024" s="631" t="str">
        <f t="shared" si="3071"/>
        <v/>
      </c>
      <c r="AF4024" s="699" t="str">
        <f t="shared" si="3072"/>
        <v/>
      </c>
      <c r="AG4024" s="699"/>
      <c r="AH4024" s="699"/>
      <c r="AI4024" s="512">
        <f>IF(H4024="credit",0,IF(AE4024="free",0,IF(AE4024="me",0,IF(G4024&gt;0,(VLOOKUP(A4024,'Discount Lookup'!J:K,2)*G4024),0))))</f>
        <v>0</v>
      </c>
      <c r="AJ4024" s="513" t="str">
        <f t="shared" ca="1" si="3073"/>
        <v/>
      </c>
      <c r="AK4024" s="700" t="str">
        <f t="shared" si="3074"/>
        <v/>
      </c>
      <c r="AL4024" s="700"/>
      <c r="AM4024" s="505" t="str">
        <f t="shared" si="3075"/>
        <v/>
      </c>
      <c r="AN4024" s="506"/>
      <c r="AO4024" s="507"/>
      <c r="AP4024" s="507"/>
      <c r="AQ4024" s="507"/>
      <c r="AR4024" s="507"/>
      <c r="AS4024" s="507"/>
      <c r="AT4024" s="507"/>
      <c r="AU4024" s="507"/>
      <c r="AV4024" s="225"/>
      <c r="AW4024" s="508"/>
      <c r="AX4024" s="225"/>
      <c r="AY4024" s="225"/>
      <c r="AZ4024" s="225"/>
      <c r="BA4024" s="225"/>
      <c r="BB4024" s="225"/>
      <c r="BC4024" s="56"/>
      <c r="BD4024" s="56"/>
      <c r="BE4024" s="56"/>
      <c r="BF4024" s="107" t="str">
        <f t="shared" si="3076"/>
        <v>https://www.google.com/search?tbm=isch&amp;q=7%20G4</v>
      </c>
      <c r="BG4024" s="107" t="str">
        <f t="shared" si="3077"/>
        <v>W</v>
      </c>
      <c r="BH4024" s="254"/>
      <c r="BI4024" s="254"/>
    </row>
    <row r="4025" spans="1:61" customFormat="1" ht="17.25" thickBot="1" x14ac:dyDescent="0.3">
      <c r="A4025" s="673" t="s">
        <v>5277</v>
      </c>
      <c r="B4025" s="245"/>
      <c r="C4025" s="677"/>
      <c r="D4025" s="499"/>
      <c r="E4025" s="499"/>
      <c r="F4025" s="500"/>
      <c r="G4025" s="501"/>
      <c r="H4025" s="502"/>
      <c r="I4025" s="246"/>
      <c r="J4025" s="247"/>
      <c r="K4025" s="503"/>
      <c r="L4025" s="544"/>
      <c r="M4025" s="544"/>
      <c r="N4025" s="500"/>
      <c r="O4025" s="500"/>
      <c r="P4025" s="500"/>
      <c r="Q4025" s="500"/>
      <c r="R4025" s="500"/>
      <c r="S4025" s="669" t="s">
        <v>4978</v>
      </c>
      <c r="T4025" s="508">
        <f t="shared" si="3065"/>
        <v>0</v>
      </c>
      <c r="U4025" s="225" t="str">
        <f>IF(NOT(ISNUMBER(G4025)), "", VLOOKUP(A4025,'Discount Lookup'!D:E,2,FALSE)*G4025)</f>
        <v/>
      </c>
      <c r="V4025" s="225" t="str">
        <f>IF(NOT(ISNUMBER(G4025)), "", VLOOKUP(A4025,'Discount Lookup'!G:H,2,FALSE)*G4025)</f>
        <v/>
      </c>
      <c r="W4025" s="508">
        <f t="shared" si="3066"/>
        <v>0</v>
      </c>
      <c r="X4025" s="508">
        <f t="shared" si="3067"/>
        <v>0</v>
      </c>
      <c r="Y4025" s="509" t="b">
        <f t="shared" si="3068"/>
        <v>0</v>
      </c>
      <c r="Z4025" s="510">
        <f t="shared" si="3069"/>
        <v>0</v>
      </c>
      <c r="AA4025" s="511"/>
      <c r="AB4025" s="511" t="str">
        <f t="shared" si="3070"/>
        <v/>
      </c>
      <c r="AC4025" s="698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698"/>
      <c r="AE4025" s="631" t="str">
        <f t="shared" si="3071"/>
        <v/>
      </c>
      <c r="AF4025" s="699" t="str">
        <f t="shared" si="3072"/>
        <v/>
      </c>
      <c r="AG4025" s="699"/>
      <c r="AH4025" s="699"/>
      <c r="AI4025" s="512">
        <f>IF(H4025="credit",0,IF(AE4025="free",0,IF(AE4025="me",0,IF(G4025&gt;0,(VLOOKUP(A4025,'Discount Lookup'!J:K,2)*G4025),0))))</f>
        <v>0</v>
      </c>
      <c r="AJ4025" s="513" t="str">
        <f t="shared" ca="1" si="3073"/>
        <v/>
      </c>
      <c r="AK4025" s="700" t="str">
        <f t="shared" si="3074"/>
        <v/>
      </c>
      <c r="AL4025" s="700"/>
      <c r="AM4025" s="505" t="str">
        <f t="shared" si="3075"/>
        <v/>
      </c>
      <c r="AN4025" s="506"/>
      <c r="AO4025" s="507"/>
      <c r="AP4025" s="507"/>
      <c r="AQ4025" s="507"/>
      <c r="AR4025" s="507"/>
      <c r="AS4025" s="507"/>
      <c r="AT4025" s="507"/>
      <c r="AU4025" s="507"/>
      <c r="AV4025" s="225"/>
      <c r="AW4025" s="508"/>
      <c r="AX4025" s="225"/>
      <c r="AY4025" s="225"/>
      <c r="AZ4025" s="225"/>
      <c r="BA4025" s="225"/>
      <c r="BB4025" s="225"/>
      <c r="BC4025" s="56"/>
      <c r="BD4025" s="56"/>
      <c r="BE4025" s="56"/>
      <c r="BF4025" s="107" t="str">
        <f t="shared" si="3076"/>
        <v>https://www.google.com/search?tbm=isch&amp;q=wet%20sites%F0%9F%92%A7GOOD%2C%20Weeping%20Pussy%20Willow%20named%20for%20the%20springtime%20fuzzy%20gray%20catkins%20that%20feel%20like%20kittens.%20Yellow%20fall%20foliage%20</v>
      </c>
      <c r="BG4025" s="107" t="str">
        <f t="shared" si="3077"/>
        <v>w</v>
      </c>
      <c r="BH4025" s="254"/>
      <c r="BI4025" s="254"/>
    </row>
    <row r="4026" spans="1:61" customFormat="1" ht="18" x14ac:dyDescent="0.25">
      <c r="A4026" s="523" t="s">
        <v>2011</v>
      </c>
      <c r="B4026" s="235"/>
      <c r="C4026" s="676"/>
      <c r="D4026" s="255" t="s">
        <v>2012</v>
      </c>
      <c r="E4026" s="236"/>
      <c r="F4026" s="236"/>
      <c r="G4026" s="236"/>
      <c r="H4026" s="582" t="s">
        <v>2315</v>
      </c>
      <c r="I4026" s="498" t="s">
        <v>2316</v>
      </c>
      <c r="J4026" s="237"/>
      <c r="K4026" s="237"/>
      <c r="L4026" s="274"/>
      <c r="M4026" s="668" t="s">
        <v>4975</v>
      </c>
      <c r="N4026" s="681" t="str">
        <f>IF(AND(ISTEXT($A4026), ISERROR($A4026+0)), HYPERLINK($BF4026, "Images"), "")</f>
        <v>Images</v>
      </c>
      <c r="O4026" s="663" t="s">
        <v>4974</v>
      </c>
      <c r="P4026" s="253"/>
      <c r="Q4026" s="238"/>
      <c r="R4026" s="239"/>
      <c r="S4026" s="275"/>
      <c r="T4026" s="508">
        <f t="shared" si="3065"/>
        <v>0</v>
      </c>
      <c r="U4026" s="225" t="str">
        <f>IF(NOT(ISNUMBER(G4026)), "", VLOOKUP(A4026,'Discount Lookup'!D:E,2,FALSE)*G4026)</f>
        <v/>
      </c>
      <c r="V4026" s="225" t="str">
        <f>IF(NOT(ISNUMBER(G4026)), "", VLOOKUP(A4026,'Discount Lookup'!G:H,2,FALSE)*G4026)</f>
        <v/>
      </c>
      <c r="W4026" s="508">
        <f t="shared" si="3066"/>
        <v>0</v>
      </c>
      <c r="X4026" s="508" t="str">
        <f t="shared" si="3067"/>
        <v>Light Green foliage</v>
      </c>
      <c r="Y4026" s="509" t="b">
        <f t="shared" si="3068"/>
        <v>0</v>
      </c>
      <c r="Z4026" s="510">
        <f t="shared" si="3069"/>
        <v>0</v>
      </c>
      <c r="AA4026" s="511"/>
      <c r="AB4026" s="511" t="str">
        <f t="shared" si="3070"/>
        <v/>
      </c>
      <c r="AC4026" s="698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698"/>
      <c r="AE4026" s="631" t="str">
        <f t="shared" si="3071"/>
        <v/>
      </c>
      <c r="AF4026" s="699" t="str">
        <f t="shared" si="3072"/>
        <v/>
      </c>
      <c r="AG4026" s="699"/>
      <c r="AH4026" s="699"/>
      <c r="AI4026" s="512">
        <f>IF(H4026="credit",0,IF(AE4026="free",0,IF(AE4026="me",0,IF(G4026&gt;0,(VLOOKUP(A4026,'Discount Lookup'!J:K,2)*G4026),0))))</f>
        <v>0</v>
      </c>
      <c r="AJ4026" s="513" t="str">
        <f t="shared" ca="1" si="3073"/>
        <v/>
      </c>
      <c r="AK4026" s="700" t="str">
        <f t="shared" si="3074"/>
        <v/>
      </c>
      <c r="AL4026" s="700"/>
      <c r="AM4026" s="505" t="str">
        <f t="shared" si="3075"/>
        <v/>
      </c>
      <c r="AN4026" s="506"/>
      <c r="AO4026" s="507"/>
      <c r="AP4026" s="507"/>
      <c r="AQ4026" s="507"/>
      <c r="AR4026" s="507"/>
      <c r="AS4026" s="507"/>
      <c r="AT4026" s="507"/>
      <c r="AU4026" s="507"/>
      <c r="AV4026" s="225"/>
      <c r="AW4026" s="508"/>
      <c r="AX4026" s="225"/>
      <c r="AY4026" s="225"/>
      <c r="AZ4026" s="225"/>
      <c r="BA4026" s="225"/>
      <c r="BB4026" s="225"/>
      <c r="BC4026" s="56"/>
      <c r="BD4026" s="56"/>
      <c r="BE4026" s="56"/>
      <c r="BF4026" s="107" t="str">
        <f t="shared" si="3076"/>
        <v>https://www.google.com/search?tbm=isch&amp;q=Weeping%20Willow%20Salix%20babylonica</v>
      </c>
      <c r="BG4026" s="107" t="str">
        <f t="shared" si="3077"/>
        <v>W</v>
      </c>
      <c r="BH4026" s="254"/>
      <c r="BI4026" s="254"/>
    </row>
    <row r="4027" spans="1:61" customFormat="1" ht="27" x14ac:dyDescent="0.25">
      <c r="A4027" s="276">
        <v>7</v>
      </c>
      <c r="B4027" s="240" t="s">
        <v>291</v>
      </c>
      <c r="C4027" s="241" t="s">
        <v>3857</v>
      </c>
      <c r="D4027" s="242" t="s">
        <v>292</v>
      </c>
      <c r="E4027" s="243">
        <v>95.95</v>
      </c>
      <c r="F4027" s="517" t="s">
        <v>293</v>
      </c>
      <c r="G4027" s="232">
        <v>0</v>
      </c>
      <c r="H4027" s="661" t="str">
        <f>IF(G4027=0,"",IF(F4027="Buy",IF(G4027=1,"plant","plants"),IF(F4027&gt;0.01,"warranty","Error")))</f>
        <v/>
      </c>
      <c r="I4027" s="244">
        <f>IF(H4027="free",0,IF(H4027="credit",((E4027*(F4027))*G4027*-1),IF(F4027="Buy",(E4027*G4027),((E4027*(1-F4027))*G4027))))</f>
        <v>0</v>
      </c>
      <c r="J4027" s="244">
        <f>IF(H4027="warranty",0,(I4027*(_xlfn.SINGLE(SalesTaxPercentage))))</f>
        <v>0</v>
      </c>
      <c r="K4027" s="696">
        <f t="shared" ref="K4027" si="3110">I4027+J4027</f>
        <v>0</v>
      </c>
      <c r="L4027" s="696"/>
      <c r="M4027" s="659" t="str">
        <f>IF(AND(G4027&gt;0,E4027=0),"WARNING - no PRICE inserted",IF(H4027="free"," FREE ~ no charge this plant",IF(H4027="credit",CONCATENATE(" -$",ROUND(K4027*(1-T2GDiscount)*-1,2)," CREDIT after discount"),IF(T2GDiscount=0,"",IF(G4027=0,"",IF(F4027="Buy",CONCATENATE(" $",ROUND(K4027*(1-T2GDiscount),2)," with ",(T2GDiscount*100),"% discount"),CONCATENATE(" $",ROUND(K4027*(1-T2GDiscount),2)," with ",((T2GDiscount*100+F4027*100)-(T2GDiscount*100*F4027)),IF(F4027&gt;0,"% discounts",IF(NoWarrantyDiscount&gt;0,"% discounts","% discount")))))))))</f>
        <v/>
      </c>
      <c r="N4027" s="660"/>
      <c r="O4027" s="233"/>
      <c r="P4027" s="233"/>
      <c r="Q4027" s="233"/>
      <c r="R4027" s="233"/>
      <c r="S4027" s="233"/>
      <c r="T4027" s="508">
        <f t="shared" si="3065"/>
        <v>0</v>
      </c>
      <c r="U4027" s="225">
        <f>IF(NOT(ISNUMBER(G4027)), "", VLOOKUP(A4027,'Discount Lookup'!D:E,2,FALSE)*G4027)</f>
        <v>0</v>
      </c>
      <c r="V4027" s="225">
        <f>IF(NOT(ISNUMBER(G4027)), "", VLOOKUP(A4027,'Discount Lookup'!G:H,2,FALSE)*G4027)</f>
        <v>0</v>
      </c>
      <c r="W4027" s="508">
        <f t="shared" si="3066"/>
        <v>0</v>
      </c>
      <c r="X4027" s="508">
        <f t="shared" si="3067"/>
        <v>0</v>
      </c>
      <c r="Y4027" s="509" t="b">
        <f t="shared" si="3068"/>
        <v>0</v>
      </c>
      <c r="Z4027" s="510">
        <f t="shared" si="3069"/>
        <v>0</v>
      </c>
      <c r="AA4027" s="511"/>
      <c r="AB4027" s="511" t="str">
        <f t="shared" si="3070"/>
        <v/>
      </c>
      <c r="AC4027" s="698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698"/>
      <c r="AE4027" s="631" t="str">
        <f t="shared" si="3071"/>
        <v/>
      </c>
      <c r="AF4027" s="699" t="str">
        <f t="shared" si="3072"/>
        <v/>
      </c>
      <c r="AG4027" s="699"/>
      <c r="AH4027" s="699"/>
      <c r="AI4027" s="512">
        <f>IF(H4027="credit",0,IF(AE4027="free",0,IF(AE4027="me",0,IF(G4027&gt;0,(VLOOKUP(A4027,'Discount Lookup'!J:K,2)*G4027),0))))</f>
        <v>0</v>
      </c>
      <c r="AJ4027" s="513" t="str">
        <f t="shared" ca="1" si="3073"/>
        <v/>
      </c>
      <c r="AK4027" s="700" t="str">
        <f t="shared" si="3074"/>
        <v/>
      </c>
      <c r="AL4027" s="700"/>
      <c r="AM4027" s="505" t="str">
        <f t="shared" si="3075"/>
        <v/>
      </c>
      <c r="AN4027" s="506"/>
      <c r="AO4027" s="507"/>
      <c r="AP4027" s="507"/>
      <c r="AQ4027" s="507"/>
      <c r="AR4027" s="507"/>
      <c r="AS4027" s="507"/>
      <c r="AT4027" s="507"/>
      <c r="AU4027" s="507"/>
      <c r="AV4027" s="225"/>
      <c r="AW4027" s="508"/>
      <c r="AX4027" s="225"/>
      <c r="AY4027" s="225"/>
      <c r="AZ4027" s="225"/>
      <c r="BA4027" s="225"/>
      <c r="BB4027" s="225"/>
      <c r="BC4027" s="56"/>
      <c r="BD4027" s="56"/>
      <c r="BE4027" s="56"/>
      <c r="BF4027" s="107" t="str">
        <f t="shared" si="3076"/>
        <v>https://www.google.com/search?tbm=isch&amp;q=7%20G4</v>
      </c>
      <c r="BG4027" s="107" t="str">
        <f t="shared" si="3077"/>
        <v>W</v>
      </c>
      <c r="BH4027" s="254"/>
      <c r="BI4027" s="254"/>
    </row>
    <row r="4028" spans="1:61" customFormat="1" ht="27" x14ac:dyDescent="0.25">
      <c r="A4028" s="276">
        <v>15</v>
      </c>
      <c r="B4028" s="240" t="s">
        <v>291</v>
      </c>
      <c r="C4028" s="241" t="s">
        <v>3858</v>
      </c>
      <c r="D4028" s="242" t="s">
        <v>292</v>
      </c>
      <c r="E4028" s="243">
        <v>160.94999999999999</v>
      </c>
      <c r="F4028" s="517" t="s">
        <v>293</v>
      </c>
      <c r="G4028" s="232">
        <v>0</v>
      </c>
      <c r="H4028" s="661" t="str">
        <f>IF(G4028=0,"",IF(F4028="Buy",IF(G4028=1,"plant","plants"),IF(F4028&gt;0.01,"warranty","Error")))</f>
        <v/>
      </c>
      <c r="I4028" s="244">
        <f>IF(H4028="free",0,IF(H4028="credit",((E4028*(F4028))*G4028*-1),IF(F4028="Buy",(E4028*G4028),((E4028*(1-F4028))*G4028))))</f>
        <v>0</v>
      </c>
      <c r="J4028" s="244">
        <f>IF(H4028="warranty",0,(I4028*(_xlfn.SINGLE(SalesTaxPercentage))))</f>
        <v>0</v>
      </c>
      <c r="K4028" s="696">
        <f t="shared" ref="K4028" si="3111">I4028+J4028</f>
        <v>0</v>
      </c>
      <c r="L4028" s="696"/>
      <c r="M4028" s="659" t="str">
        <f>IF(AND(G4028&gt;0,E4028=0),"WARNING - no PRICE inserted",IF(H4028="free"," FREE ~ no charge this plant",IF(H4028="credit",CONCATENATE(" -$",ROUND(K4028*(1-T2GDiscount)*-1,2)," CREDIT after discount"),IF(T2GDiscount=0,"",IF(G4028=0,"",IF(F4028="Buy",CONCATENATE(" $",ROUND(K4028*(1-T2GDiscount),2)," with ",(T2GDiscount*100),"% discount"),CONCATENATE(" $",ROUND(K4028*(1-T2GDiscount),2)," with ",((T2GDiscount*100+F4028*100)-(T2GDiscount*100*F4028)),IF(F4028&gt;0,"% discounts",IF(NoWarrantyDiscount&gt;0,"% discounts","% discount")))))))))</f>
        <v/>
      </c>
      <c r="N4028" s="660"/>
      <c r="O4028" s="233"/>
      <c r="P4028" s="233"/>
      <c r="Q4028" s="233"/>
      <c r="R4028" s="233"/>
      <c r="S4028" s="233"/>
      <c r="T4028" s="508">
        <f t="shared" si="3065"/>
        <v>0</v>
      </c>
      <c r="U4028" s="225">
        <f>IF(NOT(ISNUMBER(G4028)), "", VLOOKUP(A4028,'Discount Lookup'!D:E,2,FALSE)*G4028)</f>
        <v>0</v>
      </c>
      <c r="V4028" s="225">
        <f>IF(NOT(ISNUMBER(G4028)), "", VLOOKUP(A4028,'Discount Lookup'!G:H,2,FALSE)*G4028)</f>
        <v>0</v>
      </c>
      <c r="W4028" s="508">
        <f t="shared" si="3066"/>
        <v>0</v>
      </c>
      <c r="X4028" s="508">
        <f t="shared" si="3067"/>
        <v>0</v>
      </c>
      <c r="Y4028" s="509" t="b">
        <f t="shared" si="3068"/>
        <v>0</v>
      </c>
      <c r="Z4028" s="510">
        <f t="shared" si="3069"/>
        <v>0</v>
      </c>
      <c r="AA4028" s="511"/>
      <c r="AB4028" s="511" t="str">
        <f t="shared" si="3070"/>
        <v/>
      </c>
      <c r="AC4028" s="698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698"/>
      <c r="AE4028" s="631" t="str">
        <f t="shared" si="3071"/>
        <v/>
      </c>
      <c r="AF4028" s="699" t="str">
        <f t="shared" si="3072"/>
        <v/>
      </c>
      <c r="AG4028" s="699"/>
      <c r="AH4028" s="699"/>
      <c r="AI4028" s="512">
        <f>IF(H4028="credit",0,IF(AE4028="free",0,IF(AE4028="me",0,IF(G4028&gt;0,(VLOOKUP(A4028,'Discount Lookup'!J:K,2)*G4028),0))))</f>
        <v>0</v>
      </c>
      <c r="AJ4028" s="513" t="str">
        <f t="shared" ca="1" si="3073"/>
        <v/>
      </c>
      <c r="AK4028" s="700" t="str">
        <f t="shared" si="3074"/>
        <v/>
      </c>
      <c r="AL4028" s="700"/>
      <c r="AM4028" s="505" t="str">
        <f t="shared" si="3075"/>
        <v/>
      </c>
      <c r="AN4028" s="506"/>
      <c r="AO4028" s="507"/>
      <c r="AP4028" s="507"/>
      <c r="AQ4028" s="507"/>
      <c r="AR4028" s="507"/>
      <c r="AS4028" s="507"/>
      <c r="AT4028" s="507"/>
      <c r="AU4028" s="507"/>
      <c r="AV4028" s="225"/>
      <c r="AW4028" s="508"/>
      <c r="AX4028" s="225"/>
      <c r="AY4028" s="225"/>
      <c r="AZ4028" s="225"/>
      <c r="BA4028" s="225"/>
      <c r="BB4028" s="225"/>
      <c r="BC4028" s="56"/>
      <c r="BD4028" s="56"/>
      <c r="BE4028" s="56"/>
      <c r="BF4028" s="107" t="str">
        <f t="shared" si="3076"/>
        <v>https://www.google.com/search?tbm=isch&amp;q=15%20G4</v>
      </c>
      <c r="BG4028" s="107" t="str">
        <f t="shared" si="3077"/>
        <v>W</v>
      </c>
      <c r="BH4028" s="254"/>
      <c r="BI4028" s="254"/>
    </row>
    <row r="4029" spans="1:61" customFormat="1" ht="15.75" x14ac:dyDescent="0.25">
      <c r="A4029" s="276">
        <v>25</v>
      </c>
      <c r="B4029" s="240" t="s">
        <v>291</v>
      </c>
      <c r="C4029" s="241" t="s">
        <v>3859</v>
      </c>
      <c r="D4029" s="242" t="s">
        <v>292</v>
      </c>
      <c r="E4029" s="243">
        <v>284.95</v>
      </c>
      <c r="F4029" s="517" t="s">
        <v>293</v>
      </c>
      <c r="G4029" s="232">
        <v>0</v>
      </c>
      <c r="H4029" s="661" t="str">
        <f>IF(G4029=0,"",IF(F4029="Buy",IF(G4029=1,"plant","plants"),IF(F4029&gt;0.01,"warranty","Error")))</f>
        <v/>
      </c>
      <c r="I4029" s="244">
        <f>IF(H4029="free",0,IF(H4029="credit",((E4029*(F4029))*G4029*-1),IF(F4029="Buy",(E4029*G4029),((E4029*(1-F4029))*G4029))))</f>
        <v>0</v>
      </c>
      <c r="J4029" s="244">
        <f>IF(H4029="warranty",0,(I4029*(_xlfn.SINGLE(SalesTaxPercentage))))</f>
        <v>0</v>
      </c>
      <c r="K4029" s="696">
        <f t="shared" ref="K4029" si="3112">I4029+J4029</f>
        <v>0</v>
      </c>
      <c r="L4029" s="696"/>
      <c r="M4029" s="659" t="str">
        <f>IF(AND(G4029&gt;0,E4029=0),"WARNING - no PRICE inserted",IF(H4029="free"," FREE ~ no charge this plant",IF(H4029="credit",CONCATENATE(" -$",ROUND(K4029*(1-T2GDiscount)*-1,2)," CREDIT after discount"),IF(T2GDiscount=0,"",IF(G4029=0,"",IF(F4029="Buy",CONCATENATE(" $",ROUND(K4029*(1-T2GDiscount),2)," with ",(T2GDiscount*100),"% discount"),CONCATENATE(" $",ROUND(K4029*(1-T2GDiscount),2)," with ",((T2GDiscount*100+F4029*100)-(T2GDiscount*100*F4029)),IF(F4029&gt;0,"% discounts",IF(NoWarrantyDiscount&gt;0,"% discounts","% discount")))))))))</f>
        <v/>
      </c>
      <c r="N4029" s="660"/>
      <c r="O4029" s="233"/>
      <c r="P4029" s="233"/>
      <c r="Q4029" s="233"/>
      <c r="R4029" s="233"/>
      <c r="S4029" s="233"/>
      <c r="T4029" s="508">
        <f t="shared" si="3065"/>
        <v>0</v>
      </c>
      <c r="U4029" s="225">
        <f>IF(NOT(ISNUMBER(G4029)), "", VLOOKUP(A4029,'Discount Lookup'!D:E,2,FALSE)*G4029)</f>
        <v>0</v>
      </c>
      <c r="V4029" s="225">
        <f>IF(NOT(ISNUMBER(G4029)), "", VLOOKUP(A4029,'Discount Lookup'!G:H,2,FALSE)*G4029)</f>
        <v>0</v>
      </c>
      <c r="W4029" s="508">
        <f t="shared" si="3066"/>
        <v>0</v>
      </c>
      <c r="X4029" s="508">
        <f t="shared" si="3067"/>
        <v>0</v>
      </c>
      <c r="Y4029" s="509" t="b">
        <f t="shared" si="3068"/>
        <v>0</v>
      </c>
      <c r="Z4029" s="510">
        <f t="shared" si="3069"/>
        <v>0</v>
      </c>
      <c r="AA4029" s="511"/>
      <c r="AB4029" s="511" t="str">
        <f t="shared" si="3070"/>
        <v/>
      </c>
      <c r="AC4029" s="698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698"/>
      <c r="AE4029" s="631" t="str">
        <f t="shared" si="3071"/>
        <v/>
      </c>
      <c r="AF4029" s="699" t="str">
        <f t="shared" si="3072"/>
        <v/>
      </c>
      <c r="AG4029" s="699"/>
      <c r="AH4029" s="699"/>
      <c r="AI4029" s="512">
        <f>IF(H4029="credit",0,IF(AE4029="free",0,IF(AE4029="me",0,IF(G4029&gt;0,(VLOOKUP(A4029,'Discount Lookup'!J:K,2)*G4029),0))))</f>
        <v>0</v>
      </c>
      <c r="AJ4029" s="513" t="str">
        <f t="shared" ca="1" si="3073"/>
        <v/>
      </c>
      <c r="AK4029" s="700" t="str">
        <f t="shared" si="3074"/>
        <v/>
      </c>
      <c r="AL4029" s="700"/>
      <c r="AM4029" s="505" t="str">
        <f t="shared" si="3075"/>
        <v/>
      </c>
      <c r="AN4029" s="506"/>
      <c r="AO4029" s="507"/>
      <c r="AP4029" s="507"/>
      <c r="AQ4029" s="507"/>
      <c r="AR4029" s="507"/>
      <c r="AS4029" s="507"/>
      <c r="AT4029" s="507"/>
      <c r="AU4029" s="507"/>
      <c r="AV4029" s="225"/>
      <c r="AW4029" s="508"/>
      <c r="AX4029" s="225"/>
      <c r="AY4029" s="225"/>
      <c r="AZ4029" s="225"/>
      <c r="BA4029" s="225"/>
      <c r="BB4029" s="225"/>
      <c r="BC4029" s="56"/>
      <c r="BD4029" s="56"/>
      <c r="BE4029" s="56"/>
      <c r="BF4029" s="107" t="str">
        <f t="shared" si="3076"/>
        <v>https://www.google.com/search?tbm=isch&amp;q=25%20G4</v>
      </c>
      <c r="BG4029" s="107" t="str">
        <f t="shared" si="3077"/>
        <v>W</v>
      </c>
      <c r="BH4029" s="254"/>
      <c r="BI4029" s="254"/>
    </row>
    <row r="4030" spans="1:61" customFormat="1" ht="15.75" x14ac:dyDescent="0.25">
      <c r="A4030" s="276">
        <v>65</v>
      </c>
      <c r="B4030" s="240" t="s">
        <v>291</v>
      </c>
      <c r="C4030" s="241" t="s">
        <v>3860</v>
      </c>
      <c r="D4030" s="242" t="s">
        <v>292</v>
      </c>
      <c r="E4030" s="243">
        <v>666.95</v>
      </c>
      <c r="F4030" s="517" t="s">
        <v>293</v>
      </c>
      <c r="G4030" s="232">
        <v>0</v>
      </c>
      <c r="H4030" s="661" t="str">
        <f>IF(G4030=0,"",IF(F4030="Buy",IF(G4030=1,"plant","plants"),IF(F4030&gt;0.01,"warranty","Error")))</f>
        <v/>
      </c>
      <c r="I4030" s="244">
        <f>IF(H4030="free",0,IF(H4030="credit",((E4030*(F4030))*G4030*-1),IF(F4030="Buy",(E4030*G4030),((E4030*(1-F4030))*G4030))))</f>
        <v>0</v>
      </c>
      <c r="J4030" s="244">
        <f>IF(H4030="warranty",0,(I4030*(_xlfn.SINGLE(SalesTaxPercentage))))</f>
        <v>0</v>
      </c>
      <c r="K4030" s="696">
        <f t="shared" ref="K4030" si="3113">I4030+J4030</f>
        <v>0</v>
      </c>
      <c r="L4030" s="696"/>
      <c r="M4030" s="659" t="str">
        <f>IF(AND(G4030&gt;0,E4030=0),"WARNING - no PRICE inserted",IF(H4030="free"," FREE ~ no charge this plant",IF(H4030="credit",CONCATENATE(" -$",ROUND(K4030*(1-T2GDiscount)*-1,2)," CREDIT after discount"),IF(T2GDiscount=0,"",IF(G4030=0,"",IF(F4030="Buy",CONCATENATE(" $",ROUND(K4030*(1-T2GDiscount),2)," with ",(T2GDiscount*100),"% discount"),CONCATENATE(" $",ROUND(K4030*(1-T2GDiscount),2)," with ",((T2GDiscount*100+F4030*100)-(T2GDiscount*100*F4030)),IF(F4030&gt;0,"% discounts",IF(NoWarrantyDiscount&gt;0,"% discounts","% discount")))))))))</f>
        <v/>
      </c>
      <c r="N4030" s="660"/>
      <c r="O4030" s="233"/>
      <c r="P4030" s="233"/>
      <c r="Q4030" s="233"/>
      <c r="R4030" s="233"/>
      <c r="S4030" s="233"/>
      <c r="T4030" s="508">
        <f t="shared" si="3065"/>
        <v>0</v>
      </c>
      <c r="U4030" s="225">
        <f>IF(NOT(ISNUMBER(G4030)), "", VLOOKUP(A4030,'Discount Lookup'!D:E,2,FALSE)*G4030)</f>
        <v>0</v>
      </c>
      <c r="V4030" s="225">
        <f>IF(NOT(ISNUMBER(G4030)), "", VLOOKUP(A4030,'Discount Lookup'!G:H,2,FALSE)*G4030)</f>
        <v>0</v>
      </c>
      <c r="W4030" s="508">
        <f t="shared" si="3066"/>
        <v>0</v>
      </c>
      <c r="X4030" s="508">
        <f t="shared" si="3067"/>
        <v>0</v>
      </c>
      <c r="Y4030" s="509" t="b">
        <f t="shared" si="3068"/>
        <v>0</v>
      </c>
      <c r="Z4030" s="510">
        <f t="shared" si="3069"/>
        <v>0</v>
      </c>
      <c r="AA4030" s="511"/>
      <c r="AB4030" s="511" t="str">
        <f t="shared" si="3070"/>
        <v/>
      </c>
      <c r="AC4030" s="698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698"/>
      <c r="AE4030" s="631" t="str">
        <f t="shared" si="3071"/>
        <v/>
      </c>
      <c r="AF4030" s="699" t="str">
        <f t="shared" si="3072"/>
        <v/>
      </c>
      <c r="AG4030" s="699"/>
      <c r="AH4030" s="699"/>
      <c r="AI4030" s="512">
        <f>IF(H4030="credit",0,IF(AE4030="free",0,IF(AE4030="me",0,IF(G4030&gt;0,(VLOOKUP(A4030,'Discount Lookup'!J:K,2)*G4030),0))))</f>
        <v>0</v>
      </c>
      <c r="AJ4030" s="513" t="str">
        <f t="shared" ca="1" si="3073"/>
        <v/>
      </c>
      <c r="AK4030" s="700" t="str">
        <f t="shared" si="3074"/>
        <v/>
      </c>
      <c r="AL4030" s="700"/>
      <c r="AM4030" s="505" t="str">
        <f t="shared" si="3075"/>
        <v/>
      </c>
      <c r="AN4030" s="506"/>
      <c r="AO4030" s="507"/>
      <c r="AP4030" s="507"/>
      <c r="AQ4030" s="507"/>
      <c r="AR4030" s="507"/>
      <c r="AS4030" s="507"/>
      <c r="AT4030" s="507"/>
      <c r="AU4030" s="507"/>
      <c r="AV4030" s="225"/>
      <c r="AW4030" s="508"/>
      <c r="AX4030" s="225"/>
      <c r="AY4030" s="225"/>
      <c r="AZ4030" s="225"/>
      <c r="BA4030" s="225"/>
      <c r="BB4030" s="225"/>
      <c r="BC4030" s="56"/>
      <c r="BD4030" s="56"/>
      <c r="BE4030" s="56"/>
      <c r="BF4030" s="107" t="str">
        <f t="shared" si="3076"/>
        <v>https://www.google.com/search?tbm=isch&amp;q=65%20G4</v>
      </c>
      <c r="BG4030" s="107" t="str">
        <f t="shared" si="3077"/>
        <v>W</v>
      </c>
      <c r="BH4030" s="254"/>
      <c r="BI4030" s="254"/>
    </row>
    <row r="4031" spans="1:61" customFormat="1" ht="17.25" thickBot="1" x14ac:dyDescent="0.3">
      <c r="A4031" s="673" t="s">
        <v>5278</v>
      </c>
      <c r="B4031" s="245"/>
      <c r="C4031" s="677"/>
      <c r="D4031" s="499"/>
      <c r="E4031" s="499"/>
      <c r="F4031" s="500"/>
      <c r="G4031" s="501"/>
      <c r="H4031" s="502"/>
      <c r="I4031" s="246"/>
      <c r="J4031" s="247"/>
      <c r="K4031" s="503"/>
      <c r="L4031" s="544"/>
      <c r="M4031" s="544"/>
      <c r="N4031" s="500"/>
      <c r="O4031" s="500"/>
      <c r="P4031" s="500"/>
      <c r="Q4031" s="500"/>
      <c r="R4031" s="500"/>
      <c r="S4031" s="669" t="s">
        <v>4978</v>
      </c>
      <c r="T4031" s="508">
        <f t="shared" si="3065"/>
        <v>0</v>
      </c>
      <c r="U4031" s="225" t="str">
        <f>IF(NOT(ISNUMBER(G4031)), "", VLOOKUP(A4031,'Discount Lookup'!D:E,2,FALSE)*G4031)</f>
        <v/>
      </c>
      <c r="V4031" s="225" t="str">
        <f>IF(NOT(ISNUMBER(G4031)), "", VLOOKUP(A4031,'Discount Lookup'!G:H,2,FALSE)*G4031)</f>
        <v/>
      </c>
      <c r="W4031" s="508">
        <f t="shared" si="3066"/>
        <v>0</v>
      </c>
      <c r="X4031" s="508">
        <f t="shared" si="3067"/>
        <v>0</v>
      </c>
      <c r="Y4031" s="509" t="b">
        <f t="shared" si="3068"/>
        <v>0</v>
      </c>
      <c r="Z4031" s="510">
        <f t="shared" si="3069"/>
        <v>0</v>
      </c>
      <c r="AA4031" s="511"/>
      <c r="AB4031" s="511" t="str">
        <f t="shared" si="3070"/>
        <v/>
      </c>
      <c r="AC4031" s="698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698"/>
      <c r="AE4031" s="631" t="str">
        <f t="shared" si="3071"/>
        <v/>
      </c>
      <c r="AF4031" s="699" t="str">
        <f t="shared" si="3072"/>
        <v/>
      </c>
      <c r="AG4031" s="699"/>
      <c r="AH4031" s="699"/>
      <c r="AI4031" s="512">
        <f>IF(H4031="credit",0,IF(AE4031="free",0,IF(AE4031="me",0,IF(G4031&gt;0,(VLOOKUP(A4031,'Discount Lookup'!J:K,2)*G4031),0))))</f>
        <v>0</v>
      </c>
      <c r="AJ4031" s="513" t="str">
        <f t="shared" ca="1" si="3073"/>
        <v/>
      </c>
      <c r="AK4031" s="700" t="str">
        <f t="shared" si="3074"/>
        <v/>
      </c>
      <c r="AL4031" s="700"/>
      <c r="AM4031" s="505" t="str">
        <f t="shared" si="3075"/>
        <v/>
      </c>
      <c r="AN4031" s="506"/>
      <c r="AO4031" s="507"/>
      <c r="AP4031" s="507"/>
      <c r="AQ4031" s="507"/>
      <c r="AR4031" s="507"/>
      <c r="AS4031" s="507"/>
      <c r="AT4031" s="507"/>
      <c r="AU4031" s="507"/>
      <c r="AV4031" s="225"/>
      <c r="AW4031" s="508"/>
      <c r="AX4031" s="225"/>
      <c r="AY4031" s="225"/>
      <c r="AZ4031" s="225"/>
      <c r="BA4031" s="225"/>
      <c r="BB4031" s="225"/>
      <c r="BC4031" s="56"/>
      <c r="BD4031" s="56"/>
      <c r="BE4031" s="56"/>
      <c r="BF4031" s="107" t="str">
        <f t="shared" si="3076"/>
        <v>https://www.google.com/search?tbm=isch&amp;q=wet%20sites%F0%9F%92%A7BEST%2C%20Weeping%20Willow%20should%20be%20planted%20well%20away%20from%20septic%2Fwater%20lines.%20Golden-Yellow%20fall%20foliage%20</v>
      </c>
      <c r="BG4031" s="107" t="str">
        <f t="shared" si="3077"/>
        <v>w</v>
      </c>
      <c r="BH4031" s="254"/>
      <c r="BI4031" s="254"/>
    </row>
    <row r="4032" spans="1:61" customFormat="1" ht="18" x14ac:dyDescent="0.25">
      <c r="A4032" s="523" t="s">
        <v>4366</v>
      </c>
      <c r="B4032" s="235"/>
      <c r="C4032" s="676"/>
      <c r="D4032" s="255" t="s">
        <v>4367</v>
      </c>
      <c r="E4032" s="236"/>
      <c r="F4032" s="236"/>
      <c r="G4032" s="236"/>
      <c r="H4032" s="582" t="s">
        <v>367</v>
      </c>
      <c r="I4032" s="498" t="s">
        <v>2109</v>
      </c>
      <c r="J4032" s="237"/>
      <c r="K4032" s="237"/>
      <c r="L4032" s="274"/>
      <c r="M4032" s="668" t="s">
        <v>4962</v>
      </c>
      <c r="N4032" s="681" t="str">
        <f>IF(AND(ISTEXT($A4032), ISERROR($A4032+0)), HYPERLINK($BF4032, "Images"), "")</f>
        <v>Images</v>
      </c>
      <c r="O4032" s="663" t="s">
        <v>4969</v>
      </c>
      <c r="P4032" s="253"/>
      <c r="Q4032" s="238"/>
      <c r="R4032" s="239"/>
      <c r="S4032" s="275"/>
      <c r="T4032" s="508">
        <f t="shared" si="3065"/>
        <v>0</v>
      </c>
      <c r="U4032" s="225" t="str">
        <f>IF(NOT(ISNUMBER(G4032)), "", VLOOKUP(A4032,'Discount Lookup'!D:E,2,FALSE)*G4032)</f>
        <v/>
      </c>
      <c r="V4032" s="225" t="str">
        <f>IF(NOT(ISNUMBER(G4032)), "", VLOOKUP(A4032,'Discount Lookup'!G:H,2,FALSE)*G4032)</f>
        <v/>
      </c>
      <c r="W4032" s="508">
        <f t="shared" si="3066"/>
        <v>0</v>
      </c>
      <c r="X4032" s="508" t="str">
        <f t="shared" si="3067"/>
        <v>Green foliage</v>
      </c>
      <c r="Y4032" s="509" t="b">
        <f t="shared" si="3068"/>
        <v>0</v>
      </c>
      <c r="Z4032" s="510">
        <f t="shared" si="3069"/>
        <v>0</v>
      </c>
      <c r="AA4032" s="511"/>
      <c r="AB4032" s="511" t="str">
        <f t="shared" si="3070"/>
        <v/>
      </c>
      <c r="AC4032" s="698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698"/>
      <c r="AE4032" s="631" t="str">
        <f t="shared" si="3071"/>
        <v/>
      </c>
      <c r="AF4032" s="699" t="str">
        <f t="shared" si="3072"/>
        <v/>
      </c>
      <c r="AG4032" s="699"/>
      <c r="AH4032" s="699"/>
      <c r="AI4032" s="512">
        <f>IF(H4032="credit",0,IF(AE4032="free",0,IF(AE4032="me",0,IF(G4032&gt;0,(VLOOKUP(A4032,'Discount Lookup'!J:K,2)*G4032),0))))</f>
        <v>0</v>
      </c>
      <c r="AJ4032" s="513" t="str">
        <f t="shared" ca="1" si="3073"/>
        <v/>
      </c>
      <c r="AK4032" s="700" t="str">
        <f t="shared" si="3074"/>
        <v/>
      </c>
      <c r="AL4032" s="700"/>
      <c r="AM4032" s="505" t="str">
        <f t="shared" si="3075"/>
        <v/>
      </c>
      <c r="AN4032" s="506"/>
      <c r="AO4032" s="507"/>
      <c r="AP4032" s="507"/>
      <c r="AQ4032" s="507"/>
      <c r="AR4032" s="507"/>
      <c r="AS4032" s="507"/>
      <c r="AT4032" s="507"/>
      <c r="AU4032" s="507"/>
      <c r="AV4032" s="225"/>
      <c r="AW4032" s="508"/>
      <c r="AX4032" s="225"/>
      <c r="AY4032" s="225"/>
      <c r="AZ4032" s="225"/>
      <c r="BA4032" s="225"/>
      <c r="BB4032" s="225"/>
      <c r="BC4032" s="56"/>
      <c r="BD4032" s="56"/>
      <c r="BE4032" s="56"/>
      <c r="BF4032" s="107" t="str">
        <f t="shared" si="3076"/>
        <v>https://www.google.com/search?tbm=isch&amp;q=Weeping%20Wonder%20Ginkgo%20Ginkgo%20biloba%20%27Ross%20Moore%20Weeping%20Wonder%27</v>
      </c>
      <c r="BG4032" s="107" t="str">
        <f t="shared" si="3077"/>
        <v>W</v>
      </c>
      <c r="BH4032" s="254"/>
      <c r="BI4032" s="254"/>
    </row>
    <row r="4033" spans="1:61" customFormat="1" ht="15.75" x14ac:dyDescent="0.25">
      <c r="A4033" s="276">
        <v>7</v>
      </c>
      <c r="B4033" s="240" t="s">
        <v>291</v>
      </c>
      <c r="C4033" s="241" t="s">
        <v>3815</v>
      </c>
      <c r="D4033" s="242" t="s">
        <v>292</v>
      </c>
      <c r="E4033" s="243">
        <v>194.95</v>
      </c>
      <c r="F4033" s="517" t="s">
        <v>293</v>
      </c>
      <c r="G4033" s="232">
        <v>0</v>
      </c>
      <c r="H4033" s="661" t="str">
        <f>IF(G4033=0,"",IF(F4033="Buy",IF(G4033=1,"plant","plants"),IF(F4033&gt;0.01,"warranty","Error")))</f>
        <v/>
      </c>
      <c r="I4033" s="244">
        <f>IF(H4033="free",0,IF(H4033="credit",((E4033*(F4033))*G4033*-1),IF(F4033="Buy",(E4033*G4033),((E4033*(1-F4033))*G4033))))</f>
        <v>0</v>
      </c>
      <c r="J4033" s="244">
        <f>IF(H4033="warranty",0,(I4033*(_xlfn.SINGLE(SalesTaxPercentage))))</f>
        <v>0</v>
      </c>
      <c r="K4033" s="696">
        <f t="shared" ref="K4033" si="3114">I4033+J4033</f>
        <v>0</v>
      </c>
      <c r="L4033" s="696"/>
      <c r="M4033" s="659" t="str">
        <f>IF(AND(G4033&gt;0,E4033=0),"WARNING - no PRICE inserted",IF(H4033="free"," FREE ~ no charge this plant",IF(H4033="credit",CONCATENATE(" -$",ROUND(K4033*(1-T2GDiscount)*-1,2)," CREDIT after discount"),IF(T2GDiscount=0,"",IF(G4033=0,"",IF(F4033="Buy",CONCATENATE(" $",ROUND(K4033*(1-T2GDiscount),2)," with ",(T2GDiscount*100),"% discount"),CONCATENATE(" $",ROUND(K4033*(1-T2GDiscount),2)," with ",((T2GDiscount*100+F4033*100)-(T2GDiscount*100*F4033)),IF(F4033&gt;0,"% discounts",IF(NoWarrantyDiscount&gt;0,"% discounts","% discount")))))))))</f>
        <v/>
      </c>
      <c r="N4033" s="660"/>
      <c r="O4033" s="233"/>
      <c r="P4033" s="233"/>
      <c r="Q4033" s="233"/>
      <c r="R4033" s="233"/>
      <c r="S4033" s="233"/>
      <c r="T4033" s="508">
        <f t="shared" si="3065"/>
        <v>0</v>
      </c>
      <c r="U4033" s="225">
        <f>IF(NOT(ISNUMBER(G4033)), "", VLOOKUP(A4033,'Discount Lookup'!D:E,2,FALSE)*G4033)</f>
        <v>0</v>
      </c>
      <c r="V4033" s="225">
        <f>IF(NOT(ISNUMBER(G4033)), "", VLOOKUP(A4033,'Discount Lookup'!G:H,2,FALSE)*G4033)</f>
        <v>0</v>
      </c>
      <c r="W4033" s="508">
        <f t="shared" si="3066"/>
        <v>0</v>
      </c>
      <c r="X4033" s="508">
        <f t="shared" si="3067"/>
        <v>0</v>
      </c>
      <c r="Y4033" s="509" t="b">
        <f t="shared" si="3068"/>
        <v>0</v>
      </c>
      <c r="Z4033" s="510">
        <f t="shared" si="3069"/>
        <v>0</v>
      </c>
      <c r="AA4033" s="511"/>
      <c r="AB4033" s="511" t="str">
        <f t="shared" si="3070"/>
        <v/>
      </c>
      <c r="AC4033" s="698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698"/>
      <c r="AE4033" s="631" t="str">
        <f t="shared" si="3071"/>
        <v/>
      </c>
      <c r="AF4033" s="699" t="str">
        <f t="shared" si="3072"/>
        <v/>
      </c>
      <c r="AG4033" s="699"/>
      <c r="AH4033" s="699"/>
      <c r="AI4033" s="512">
        <f>IF(H4033="credit",0,IF(AE4033="free",0,IF(AE4033="me",0,IF(G4033&gt;0,(VLOOKUP(A4033,'Discount Lookup'!J:K,2)*G4033),0))))</f>
        <v>0</v>
      </c>
      <c r="AJ4033" s="513" t="str">
        <f t="shared" ca="1" si="3073"/>
        <v/>
      </c>
      <c r="AK4033" s="700" t="str">
        <f t="shared" si="3074"/>
        <v/>
      </c>
      <c r="AL4033" s="700"/>
      <c r="AM4033" s="505" t="str">
        <f t="shared" si="3075"/>
        <v/>
      </c>
      <c r="AN4033" s="506"/>
      <c r="AO4033" s="507"/>
      <c r="AP4033" s="507"/>
      <c r="AQ4033" s="507"/>
      <c r="AR4033" s="507"/>
      <c r="AS4033" s="507"/>
      <c r="AT4033" s="507"/>
      <c r="AU4033" s="507"/>
      <c r="AV4033" s="225"/>
      <c r="AW4033" s="508"/>
      <c r="AX4033" s="225"/>
      <c r="AY4033" s="225"/>
      <c r="AZ4033" s="225"/>
      <c r="BA4033" s="225"/>
      <c r="BB4033" s="225"/>
      <c r="BC4033" s="56"/>
      <c r="BD4033" s="56"/>
      <c r="BE4033" s="56"/>
      <c r="BF4033" s="107" t="str">
        <f t="shared" si="3076"/>
        <v>https://www.google.com/search?tbm=isch&amp;q=7%20G4</v>
      </c>
      <c r="BG4033" s="107" t="str">
        <f t="shared" si="3077"/>
        <v>W</v>
      </c>
      <c r="BH4033" s="254"/>
      <c r="BI4033" s="254"/>
    </row>
    <row r="4034" spans="1:61" customFormat="1" ht="17.25" thickBot="1" x14ac:dyDescent="0.3">
      <c r="A4034" s="524" t="s">
        <v>4368</v>
      </c>
      <c r="B4034" s="245"/>
      <c r="C4034" s="677"/>
      <c r="D4034" s="499"/>
      <c r="E4034" s="499"/>
      <c r="F4034" s="500"/>
      <c r="G4034" s="501"/>
      <c r="H4034" s="502"/>
      <c r="I4034" s="246"/>
      <c r="J4034" s="247"/>
      <c r="K4034" s="503"/>
      <c r="L4034" s="544"/>
      <c r="M4034" s="544"/>
      <c r="N4034" s="500"/>
      <c r="O4034" s="500"/>
      <c r="P4034" s="500"/>
      <c r="Q4034" s="500"/>
      <c r="R4034" s="500"/>
      <c r="S4034" s="278"/>
      <c r="T4034" s="508">
        <f t="shared" si="3065"/>
        <v>0</v>
      </c>
      <c r="U4034" s="225" t="str">
        <f>IF(NOT(ISNUMBER(G4034)), "", VLOOKUP(A4034,'Discount Lookup'!D:E,2,FALSE)*G4034)</f>
        <v/>
      </c>
      <c r="V4034" s="225" t="str">
        <f>IF(NOT(ISNUMBER(G4034)), "", VLOOKUP(A4034,'Discount Lookup'!G:H,2,FALSE)*G4034)</f>
        <v/>
      </c>
      <c r="W4034" s="508">
        <f t="shared" si="3066"/>
        <v>0</v>
      </c>
      <c r="X4034" s="508">
        <f t="shared" si="3067"/>
        <v>0</v>
      </c>
      <c r="Y4034" s="509" t="b">
        <f t="shared" si="3068"/>
        <v>0</v>
      </c>
      <c r="Z4034" s="510">
        <f t="shared" si="3069"/>
        <v>0</v>
      </c>
      <c r="AA4034" s="511"/>
      <c r="AB4034" s="511" t="str">
        <f t="shared" si="3070"/>
        <v/>
      </c>
      <c r="AC4034" s="698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698"/>
      <c r="AE4034" s="631" t="str">
        <f t="shared" si="3071"/>
        <v/>
      </c>
      <c r="AF4034" s="699" t="str">
        <f t="shared" si="3072"/>
        <v/>
      </c>
      <c r="AG4034" s="699"/>
      <c r="AH4034" s="699"/>
      <c r="AI4034" s="512">
        <f>IF(H4034="credit",0,IF(AE4034="free",0,IF(AE4034="me",0,IF(G4034&gt;0,(VLOOKUP(A4034,'Discount Lookup'!J:K,2)*G4034),0))))</f>
        <v>0</v>
      </c>
      <c r="AJ4034" s="513" t="str">
        <f t="shared" ca="1" si="3073"/>
        <v/>
      </c>
      <c r="AK4034" s="700" t="str">
        <f t="shared" si="3074"/>
        <v/>
      </c>
      <c r="AL4034" s="700"/>
      <c r="AM4034" s="505" t="str">
        <f t="shared" si="3075"/>
        <v/>
      </c>
      <c r="AN4034" s="506"/>
      <c r="AO4034" s="507"/>
      <c r="AP4034" s="507"/>
      <c r="AQ4034" s="507"/>
      <c r="AR4034" s="507"/>
      <c r="AS4034" s="507"/>
      <c r="AT4034" s="507"/>
      <c r="AU4034" s="507"/>
      <c r="AV4034" s="225"/>
      <c r="AW4034" s="508"/>
      <c r="AX4034" s="225"/>
      <c r="AY4034" s="225"/>
      <c r="AZ4034" s="225"/>
      <c r="BA4034" s="225"/>
      <c r="BB4034" s="225"/>
      <c r="BC4034" s="56"/>
      <c r="BD4034" s="56"/>
      <c r="BE4034" s="56"/>
      <c r="BF4034" s="107" t="str">
        <f t="shared" si="3076"/>
        <v>https://www.google.com/search?tbm=isch&amp;q=Weeping%20Wonder%20is%20a%20unique%20weeping%20ginkgo%20cultivar%20with%20a%20graceful%2C%20strongly%20pendulous%20habit%20and%20excellent%20Golden-Yellow%20fall%20color%20</v>
      </c>
      <c r="BG4034" s="107" t="str">
        <f t="shared" si="3077"/>
        <v>W</v>
      </c>
      <c r="BH4034" s="254"/>
      <c r="BI4034" s="254"/>
    </row>
    <row r="4035" spans="1:61" customFormat="1" ht="18" x14ac:dyDescent="0.25">
      <c r="A4035" s="521" t="s">
        <v>2013</v>
      </c>
      <c r="B4035" s="477"/>
      <c r="C4035" s="674"/>
      <c r="D4035" s="478" t="s">
        <v>2014</v>
      </c>
      <c r="E4035" s="479"/>
      <c r="F4035" s="479"/>
      <c r="G4035" s="479"/>
      <c r="H4035" s="582" t="s">
        <v>2111</v>
      </c>
      <c r="I4035" s="480" t="s">
        <v>2112</v>
      </c>
      <c r="J4035" s="479"/>
      <c r="K4035" s="479"/>
      <c r="L4035" s="560"/>
      <c r="M4035" s="666" t="s">
        <v>4966</v>
      </c>
      <c r="N4035" s="680" t="str">
        <f>IF(AND(ISTEXT($A4035), ISERROR($A4035+0)), HYPERLINK($BF4035, "Images"), "")</f>
        <v>Images</v>
      </c>
      <c r="O4035" s="662" t="s">
        <v>4969</v>
      </c>
      <c r="P4035" s="482"/>
      <c r="Q4035" s="483"/>
      <c r="R4035" s="483"/>
      <c r="S4035" s="484" t="s">
        <v>305</v>
      </c>
      <c r="T4035" s="508">
        <f t="shared" si="3065"/>
        <v>0</v>
      </c>
      <c r="U4035" s="225" t="str">
        <f>IF(NOT(ISNUMBER(G4035)), "", VLOOKUP(A4035,'Discount Lookup'!D:E,2,FALSE)*G4035)</f>
        <v/>
      </c>
      <c r="V4035" s="225" t="str">
        <f>IF(NOT(ISNUMBER(G4035)), "", VLOOKUP(A4035,'Discount Lookup'!G:H,2,FALSE)*G4035)</f>
        <v/>
      </c>
      <c r="W4035" s="508">
        <f t="shared" si="3066"/>
        <v>0</v>
      </c>
      <c r="X4035" s="508" t="str">
        <f t="shared" si="3067"/>
        <v>Bright Red berries</v>
      </c>
      <c r="Y4035" s="509" t="b">
        <f t="shared" si="3068"/>
        <v>0</v>
      </c>
      <c r="Z4035" s="510">
        <f t="shared" si="3069"/>
        <v>0</v>
      </c>
      <c r="AA4035" s="511"/>
      <c r="AB4035" s="511" t="str">
        <f t="shared" si="3070"/>
        <v/>
      </c>
      <c r="AC4035" s="698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698"/>
      <c r="AE4035" s="631" t="str">
        <f t="shared" si="3071"/>
        <v/>
      </c>
      <c r="AF4035" s="699" t="str">
        <f t="shared" si="3072"/>
        <v/>
      </c>
      <c r="AG4035" s="699"/>
      <c r="AH4035" s="699"/>
      <c r="AI4035" s="512">
        <f>IF(H4035="credit",0,IF(AE4035="free",0,IF(AE4035="me",0,IF(G4035&gt;0,(VLOOKUP(A4035,'Discount Lookup'!J:K,2)*G4035),0))))</f>
        <v>0</v>
      </c>
      <c r="AJ4035" s="513" t="str">
        <f t="shared" ca="1" si="3073"/>
        <v/>
      </c>
      <c r="AK4035" s="700" t="str">
        <f t="shared" si="3074"/>
        <v/>
      </c>
      <c r="AL4035" s="700"/>
      <c r="AM4035" s="505" t="str">
        <f t="shared" si="3075"/>
        <v/>
      </c>
      <c r="AN4035" s="506"/>
      <c r="AO4035" s="507"/>
      <c r="AP4035" s="507"/>
      <c r="AQ4035" s="507"/>
      <c r="AR4035" s="507"/>
      <c r="AS4035" s="507"/>
      <c r="AT4035" s="507"/>
      <c r="AU4035" s="507"/>
      <c r="AV4035" s="225"/>
      <c r="AW4035" s="508"/>
      <c r="AX4035" s="225"/>
      <c r="AY4035" s="225"/>
      <c r="AZ4035" s="225"/>
      <c r="BA4035" s="225"/>
      <c r="BB4035" s="225"/>
      <c r="BC4035" s="56"/>
      <c r="BD4035" s="56"/>
      <c r="BE4035" s="56"/>
      <c r="BF4035" s="107" t="str">
        <f t="shared" si="3076"/>
        <v>https://www.google.com/search?tbm=isch&amp;q=Weeping%20Yaupon%20Holly%20Ilex%20vomitoria%20%27Pendula%27</v>
      </c>
      <c r="BG4035" s="107" t="str">
        <f t="shared" si="3077"/>
        <v>W</v>
      </c>
      <c r="BH4035" s="254"/>
      <c r="BI4035" s="254"/>
    </row>
    <row r="4036" spans="1:61" customFormat="1" ht="15.75" x14ac:dyDescent="0.25">
      <c r="A4036" s="485">
        <v>7</v>
      </c>
      <c r="B4036" s="486" t="s">
        <v>291</v>
      </c>
      <c r="C4036" s="487" t="s">
        <v>3861</v>
      </c>
      <c r="D4036" s="488" t="s">
        <v>292</v>
      </c>
      <c r="E4036" s="489">
        <v>104.95</v>
      </c>
      <c r="F4036" s="516" t="s">
        <v>293</v>
      </c>
      <c r="G4036" s="232">
        <v>0</v>
      </c>
      <c r="H4036" s="658" t="str">
        <f>IF(G4036=0,"",IF(F4036="Buy",IF(G4036=1,"plant","plants"),IF(F4036&gt;0.01,"warranty","Error")))</f>
        <v/>
      </c>
      <c r="I4036" s="490">
        <f>IF(H4036="free",0,IF(H4036="credit",((E4036*(F4036))*G4036*-1),IF(F4036="Buy",(E4036*G4036),((E4036*(1-F4036))*G4036))))</f>
        <v>0</v>
      </c>
      <c r="J4036" s="490">
        <f>IF(H4036="warranty",0,(I4036*(_xlfn.SINGLE(SalesTaxPercentage))))</f>
        <v>0</v>
      </c>
      <c r="K4036" s="695">
        <f t="shared" ref="K4036" si="3115">I4036+J4036</f>
        <v>0</v>
      </c>
      <c r="L4036" s="695"/>
      <c r="M4036" s="659" t="str">
        <f>IF(AND(G4036&gt;0,E4036=0),"WARNING - no PRICE inserted",IF(H4036="free"," FREE ~ no charge this plant",IF(H4036="credit",CONCATENATE(" -$",ROUND(K4036*(1-T2GDiscount)*-1,2)," CREDIT after discount"),IF(T2GDiscount=0,"",IF(G4036=0,"",IF(F4036="Buy",CONCATENATE(" $",ROUND(K4036*(1-T2GDiscount),2)," with ",(T2GDiscount*100),"% discount"),CONCATENATE(" $",ROUND(K4036*(1-T2GDiscount),2)," with ",((T2GDiscount*100+F4036*100)-(T2GDiscount*100*F4036)),IF(F4036&gt;0,"% discounts",IF(NoWarrantyDiscount&gt;0,"% discounts","% discount")))))))))</f>
        <v/>
      </c>
      <c r="N4036" s="660"/>
      <c r="O4036" s="233"/>
      <c r="P4036" s="233"/>
      <c r="Q4036" s="233"/>
      <c r="R4036" s="233"/>
      <c r="S4036" s="233"/>
      <c r="T4036" s="508">
        <f t="shared" si="3065"/>
        <v>0</v>
      </c>
      <c r="U4036" s="225">
        <f>IF(NOT(ISNUMBER(G4036)), "", VLOOKUP(A4036,'Discount Lookup'!D:E,2,FALSE)*G4036)</f>
        <v>0</v>
      </c>
      <c r="V4036" s="225">
        <f>IF(NOT(ISNUMBER(G4036)), "", VLOOKUP(A4036,'Discount Lookup'!G:H,2,FALSE)*G4036)</f>
        <v>0</v>
      </c>
      <c r="W4036" s="508">
        <f t="shared" si="3066"/>
        <v>0</v>
      </c>
      <c r="X4036" s="508">
        <f t="shared" si="3067"/>
        <v>0</v>
      </c>
      <c r="Y4036" s="509" t="b">
        <f t="shared" si="3068"/>
        <v>0</v>
      </c>
      <c r="Z4036" s="510">
        <f t="shared" si="3069"/>
        <v>0</v>
      </c>
      <c r="AA4036" s="511"/>
      <c r="AB4036" s="511" t="str">
        <f t="shared" si="3070"/>
        <v/>
      </c>
      <c r="AC4036" s="698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698"/>
      <c r="AE4036" s="631" t="str">
        <f t="shared" si="3071"/>
        <v/>
      </c>
      <c r="AF4036" s="699" t="str">
        <f t="shared" si="3072"/>
        <v/>
      </c>
      <c r="AG4036" s="699"/>
      <c r="AH4036" s="699"/>
      <c r="AI4036" s="512">
        <f>IF(H4036="credit",0,IF(AE4036="free",0,IF(AE4036="me",0,IF(G4036&gt;0,(VLOOKUP(A4036,'Discount Lookup'!J:K,2)*G4036),0))))</f>
        <v>0</v>
      </c>
      <c r="AJ4036" s="513" t="str">
        <f t="shared" ca="1" si="3073"/>
        <v/>
      </c>
      <c r="AK4036" s="700" t="str">
        <f t="shared" si="3074"/>
        <v/>
      </c>
      <c r="AL4036" s="700"/>
      <c r="AM4036" s="505" t="str">
        <f t="shared" si="3075"/>
        <v/>
      </c>
      <c r="AN4036" s="506"/>
      <c r="AO4036" s="507"/>
      <c r="AP4036" s="507"/>
      <c r="AQ4036" s="507"/>
      <c r="AR4036" s="507"/>
      <c r="AS4036" s="507"/>
      <c r="AT4036" s="507"/>
      <c r="AU4036" s="507"/>
      <c r="AV4036" s="225"/>
      <c r="AW4036" s="508"/>
      <c r="AX4036" s="225"/>
      <c r="AY4036" s="225"/>
      <c r="AZ4036" s="225"/>
      <c r="BA4036" s="225"/>
      <c r="BB4036" s="225"/>
      <c r="BC4036" s="56"/>
      <c r="BD4036" s="56"/>
      <c r="BE4036" s="56"/>
      <c r="BF4036" s="107" t="str">
        <f t="shared" si="3076"/>
        <v>https://www.google.com/search?tbm=isch&amp;q=7%20G4</v>
      </c>
      <c r="BG4036" s="107" t="str">
        <f t="shared" si="3077"/>
        <v>W</v>
      </c>
      <c r="BH4036" s="254"/>
      <c r="BI4036" s="254"/>
    </row>
    <row r="4037" spans="1:61" customFormat="1" ht="15.75" x14ac:dyDescent="0.25">
      <c r="A4037" s="485">
        <v>15</v>
      </c>
      <c r="B4037" s="486" t="s">
        <v>291</v>
      </c>
      <c r="C4037" s="487" t="s">
        <v>3862</v>
      </c>
      <c r="D4037" s="488" t="s">
        <v>292</v>
      </c>
      <c r="E4037" s="489">
        <v>206.95</v>
      </c>
      <c r="F4037" s="516" t="s">
        <v>293</v>
      </c>
      <c r="G4037" s="232">
        <v>0</v>
      </c>
      <c r="H4037" s="658" t="str">
        <f>IF(G4037=0,"",IF(F4037="Buy",IF(G4037=1,"plant","plants"),IF(F4037&gt;0.01,"warranty","Error")))</f>
        <v/>
      </c>
      <c r="I4037" s="490">
        <f>IF(H4037="free",0,IF(H4037="credit",((E4037*(F4037))*G4037*-1),IF(F4037="Buy",(E4037*G4037),((E4037*(1-F4037))*G4037))))</f>
        <v>0</v>
      </c>
      <c r="J4037" s="490">
        <f>IF(H4037="warranty",0,(I4037*(_xlfn.SINGLE(SalesTaxPercentage))))</f>
        <v>0</v>
      </c>
      <c r="K4037" s="695">
        <f t="shared" ref="K4037" si="3116">I4037+J4037</f>
        <v>0</v>
      </c>
      <c r="L4037" s="695"/>
      <c r="M4037" s="659" t="str">
        <f>IF(AND(G4037&gt;0,E4037=0),"WARNING - no PRICE inserted",IF(H4037="free"," FREE ~ no charge this plant",IF(H4037="credit",CONCATENATE(" -$",ROUND(K4037*(1-T2GDiscount)*-1,2)," CREDIT after discount"),IF(T2GDiscount=0,"",IF(G4037=0,"",IF(F4037="Buy",CONCATENATE(" $",ROUND(K4037*(1-T2GDiscount),2)," with ",(T2GDiscount*100),"% discount"),CONCATENATE(" $",ROUND(K4037*(1-T2GDiscount),2)," with ",((T2GDiscount*100+F4037*100)-(T2GDiscount*100*F4037)),IF(F4037&gt;0,"% discounts",IF(NoWarrantyDiscount&gt;0,"% discounts","% discount")))))))))</f>
        <v/>
      </c>
      <c r="N4037" s="660"/>
      <c r="O4037" s="233"/>
      <c r="P4037" s="233"/>
      <c r="Q4037" s="233"/>
      <c r="R4037" s="233"/>
      <c r="S4037" s="233"/>
      <c r="T4037" s="508">
        <f t="shared" si="3065"/>
        <v>0</v>
      </c>
      <c r="U4037" s="225">
        <f>IF(NOT(ISNUMBER(G4037)), "", VLOOKUP(A4037,'Discount Lookup'!D:E,2,FALSE)*G4037)</f>
        <v>0</v>
      </c>
      <c r="V4037" s="225">
        <f>IF(NOT(ISNUMBER(G4037)), "", VLOOKUP(A4037,'Discount Lookup'!G:H,2,FALSE)*G4037)</f>
        <v>0</v>
      </c>
      <c r="W4037" s="508">
        <f t="shared" si="3066"/>
        <v>0</v>
      </c>
      <c r="X4037" s="508">
        <f t="shared" si="3067"/>
        <v>0</v>
      </c>
      <c r="Y4037" s="509" t="b">
        <f t="shared" si="3068"/>
        <v>0</v>
      </c>
      <c r="Z4037" s="510">
        <f t="shared" si="3069"/>
        <v>0</v>
      </c>
      <c r="AA4037" s="511"/>
      <c r="AB4037" s="511" t="str">
        <f t="shared" si="3070"/>
        <v/>
      </c>
      <c r="AC4037" s="698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698"/>
      <c r="AE4037" s="631" t="str">
        <f t="shared" si="3071"/>
        <v/>
      </c>
      <c r="AF4037" s="699" t="str">
        <f t="shared" si="3072"/>
        <v/>
      </c>
      <c r="AG4037" s="699"/>
      <c r="AH4037" s="699"/>
      <c r="AI4037" s="512">
        <f>IF(H4037="credit",0,IF(AE4037="free",0,IF(AE4037="me",0,IF(G4037&gt;0,(VLOOKUP(A4037,'Discount Lookup'!J:K,2)*G4037),0))))</f>
        <v>0</v>
      </c>
      <c r="AJ4037" s="513" t="str">
        <f t="shared" ca="1" si="3073"/>
        <v/>
      </c>
      <c r="AK4037" s="700" t="str">
        <f t="shared" si="3074"/>
        <v/>
      </c>
      <c r="AL4037" s="700"/>
      <c r="AM4037" s="505" t="str">
        <f t="shared" si="3075"/>
        <v/>
      </c>
      <c r="AN4037" s="506"/>
      <c r="AO4037" s="507"/>
      <c r="AP4037" s="507"/>
      <c r="AQ4037" s="507"/>
      <c r="AR4037" s="507"/>
      <c r="AS4037" s="507"/>
      <c r="AT4037" s="507"/>
      <c r="AU4037" s="507"/>
      <c r="AV4037" s="225"/>
      <c r="AW4037" s="508"/>
      <c r="AX4037" s="225"/>
      <c r="AY4037" s="225"/>
      <c r="AZ4037" s="225"/>
      <c r="BA4037" s="225"/>
      <c r="BB4037" s="225"/>
      <c r="BC4037" s="56"/>
      <c r="BD4037" s="56"/>
      <c r="BE4037" s="56"/>
      <c r="BF4037" s="107" t="str">
        <f t="shared" si="3076"/>
        <v>https://www.google.com/search?tbm=isch&amp;q=15%20G4</v>
      </c>
      <c r="BG4037" s="107" t="str">
        <f t="shared" si="3077"/>
        <v>W</v>
      </c>
      <c r="BH4037" s="254"/>
      <c r="BI4037" s="254"/>
    </row>
    <row r="4038" spans="1:61" customFormat="1" ht="17.25" thickBot="1" x14ac:dyDescent="0.3">
      <c r="A4038" s="672" t="s">
        <v>5279</v>
      </c>
      <c r="B4038" s="491"/>
      <c r="C4038" s="675"/>
      <c r="D4038" s="491"/>
      <c r="E4038" s="491"/>
      <c r="F4038" s="492"/>
      <c r="G4038" s="493"/>
      <c r="H4038" s="491"/>
      <c r="I4038" s="234"/>
      <c r="J4038" s="234"/>
      <c r="K4038" s="494"/>
      <c r="L4038" s="543"/>
      <c r="M4038" s="561"/>
      <c r="N4038" s="495"/>
      <c r="O4038" s="496"/>
      <c r="P4038" s="497"/>
      <c r="Q4038" s="495"/>
      <c r="R4038" s="495"/>
      <c r="S4038" s="667" t="s">
        <v>4984</v>
      </c>
      <c r="T4038" s="508">
        <f t="shared" si="3065"/>
        <v>0</v>
      </c>
      <c r="U4038" s="225" t="str">
        <f>IF(NOT(ISNUMBER(G4038)), "", VLOOKUP(A4038,'Discount Lookup'!D:E,2,FALSE)*G4038)</f>
        <v/>
      </c>
      <c r="V4038" s="225" t="str">
        <f>IF(NOT(ISNUMBER(G4038)), "", VLOOKUP(A4038,'Discount Lookup'!G:H,2,FALSE)*G4038)</f>
        <v/>
      </c>
      <c r="W4038" s="508">
        <f t="shared" si="3066"/>
        <v>0</v>
      </c>
      <c r="X4038" s="508">
        <f t="shared" si="3067"/>
        <v>0</v>
      </c>
      <c r="Y4038" s="509" t="b">
        <f t="shared" si="3068"/>
        <v>0</v>
      </c>
      <c r="Z4038" s="510">
        <f t="shared" si="3069"/>
        <v>0</v>
      </c>
      <c r="AA4038" s="511"/>
      <c r="AB4038" s="511" t="str">
        <f t="shared" si="3070"/>
        <v/>
      </c>
      <c r="AC4038" s="698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698"/>
      <c r="AE4038" s="631" t="str">
        <f t="shared" si="3071"/>
        <v/>
      </c>
      <c r="AF4038" s="699" t="str">
        <f t="shared" si="3072"/>
        <v/>
      </c>
      <c r="AG4038" s="699"/>
      <c r="AH4038" s="699"/>
      <c r="AI4038" s="512">
        <f>IF(H4038="credit",0,IF(AE4038="free",0,IF(AE4038="me",0,IF(G4038&gt;0,(VLOOKUP(A4038,'Discount Lookup'!J:K,2)*G4038),0))))</f>
        <v>0</v>
      </c>
      <c r="AJ4038" s="513" t="str">
        <f t="shared" ca="1" si="3073"/>
        <v/>
      </c>
      <c r="AK4038" s="700" t="str">
        <f t="shared" si="3074"/>
        <v/>
      </c>
      <c r="AL4038" s="700"/>
      <c r="AM4038" s="505" t="str">
        <f t="shared" si="3075"/>
        <v/>
      </c>
      <c r="AN4038" s="506"/>
      <c r="AO4038" s="507"/>
      <c r="AP4038" s="507"/>
      <c r="AQ4038" s="507"/>
      <c r="AR4038" s="507"/>
      <c r="AS4038" s="507"/>
      <c r="AT4038" s="507"/>
      <c r="AU4038" s="507"/>
      <c r="AV4038" s="225"/>
      <c r="AW4038" s="508"/>
      <c r="AX4038" s="225"/>
      <c r="AY4038" s="225"/>
      <c r="AZ4038" s="225"/>
      <c r="BA4038" s="225"/>
      <c r="BB4038" s="225"/>
      <c r="BC4038" s="56"/>
      <c r="BD4038" s="56"/>
      <c r="BE4038" s="56"/>
      <c r="BF4038" s="107" t="str">
        <f t="shared" si="3076"/>
        <v>https://www.google.com/search?tbm=isch&amp;q=moist%20sites%F0%9F%92%A7OK%2C%20Weeping%20Yaupon%20is%20grown%20for%20elegant%20weeping%20form.%20Thornless.%20Foliage%20can%20be%20used%20to%20make%20Tea%20</v>
      </c>
      <c r="BG4038" s="107" t="str">
        <f t="shared" si="3077"/>
        <v>m</v>
      </c>
      <c r="BH4038" s="254"/>
      <c r="BI4038" s="254"/>
    </row>
    <row r="4039" spans="1:61" customFormat="1" ht="18" x14ac:dyDescent="0.25">
      <c r="A4039" s="523" t="s">
        <v>2015</v>
      </c>
      <c r="B4039" s="235"/>
      <c r="C4039" s="676"/>
      <c r="D4039" s="255" t="s">
        <v>2016</v>
      </c>
      <c r="E4039" s="236"/>
      <c r="F4039" s="236"/>
      <c r="G4039" s="236"/>
      <c r="H4039" s="582" t="s">
        <v>356</v>
      </c>
      <c r="I4039" s="498" t="s">
        <v>2521</v>
      </c>
      <c r="J4039" s="237"/>
      <c r="K4039" s="237"/>
      <c r="L4039" s="274"/>
      <c r="M4039" s="668" t="s">
        <v>4975</v>
      </c>
      <c r="N4039" s="681" t="str">
        <f>IF(AND(ISTEXT($A4039), ISERROR($A4039+0)), HYPERLINK($BF4039, "Images"), "")</f>
        <v>Images</v>
      </c>
      <c r="O4039" s="663" t="s">
        <v>4974</v>
      </c>
      <c r="P4039" s="253"/>
      <c r="Q4039" s="238"/>
      <c r="R4039" s="239"/>
      <c r="S4039" s="275" t="s">
        <v>305</v>
      </c>
      <c r="T4039" s="508">
        <f t="shared" si="3065"/>
        <v>0</v>
      </c>
      <c r="U4039" s="225" t="str">
        <f>IF(NOT(ISNUMBER(G4039)), "", VLOOKUP(A4039,'Discount Lookup'!D:E,2,FALSE)*G4039)</f>
        <v/>
      </c>
      <c r="V4039" s="225" t="str">
        <f>IF(NOT(ISNUMBER(G4039)), "", VLOOKUP(A4039,'Discount Lookup'!G:H,2,FALSE)*G4039)</f>
        <v/>
      </c>
      <c r="W4039" s="508">
        <f t="shared" si="3066"/>
        <v>0</v>
      </c>
      <c r="X4039" s="508" t="str">
        <f t="shared" si="3067"/>
        <v>Pink to light Lavendar</v>
      </c>
      <c r="Y4039" s="509" t="b">
        <f t="shared" si="3068"/>
        <v>0</v>
      </c>
      <c r="Z4039" s="510">
        <f t="shared" si="3069"/>
        <v>0</v>
      </c>
      <c r="AA4039" s="511"/>
      <c r="AB4039" s="511" t="str">
        <f t="shared" si="3070"/>
        <v/>
      </c>
      <c r="AC4039" s="698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698"/>
      <c r="AE4039" s="631" t="str">
        <f t="shared" si="3071"/>
        <v/>
      </c>
      <c r="AF4039" s="699" t="str">
        <f t="shared" si="3072"/>
        <v/>
      </c>
      <c r="AG4039" s="699"/>
      <c r="AH4039" s="699"/>
      <c r="AI4039" s="512">
        <f>IF(H4039="credit",0,IF(AE4039="free",0,IF(AE4039="me",0,IF(G4039&gt;0,(VLOOKUP(A4039,'Discount Lookup'!J:K,2)*G4039),0))))</f>
        <v>0</v>
      </c>
      <c r="AJ4039" s="513" t="str">
        <f t="shared" ca="1" si="3073"/>
        <v/>
      </c>
      <c r="AK4039" s="700" t="str">
        <f t="shared" si="3074"/>
        <v/>
      </c>
      <c r="AL4039" s="700"/>
      <c r="AM4039" s="505" t="str">
        <f t="shared" si="3075"/>
        <v/>
      </c>
      <c r="AN4039" s="506"/>
      <c r="AO4039" s="507"/>
      <c r="AP4039" s="507"/>
      <c r="AQ4039" s="507"/>
      <c r="AR4039" s="507"/>
      <c r="AS4039" s="507"/>
      <c r="AT4039" s="507"/>
      <c r="AU4039" s="507"/>
      <c r="AV4039" s="225"/>
      <c r="AW4039" s="508"/>
      <c r="AX4039" s="225"/>
      <c r="AY4039" s="225"/>
      <c r="AZ4039" s="225"/>
      <c r="BA4039" s="225"/>
      <c r="BB4039" s="225"/>
      <c r="BC4039" s="56"/>
      <c r="BD4039" s="56"/>
      <c r="BE4039" s="56"/>
      <c r="BF4039" s="107" t="str">
        <f t="shared" si="3076"/>
        <v>https://www.google.com/search?tbm=isch&amp;q=Welch%27s%20Pink%20American%20Beautyberry%20Callicarpa%20americana%20%27Welch%27s%20Pink%27</v>
      </c>
      <c r="BG4039" s="107" t="str">
        <f t="shared" si="3077"/>
        <v>W</v>
      </c>
      <c r="BH4039" s="254"/>
      <c r="BI4039" s="254"/>
    </row>
    <row r="4040" spans="1:61" customFormat="1" ht="15.75" x14ac:dyDescent="0.25">
      <c r="A4040" s="276">
        <v>3</v>
      </c>
      <c r="B4040" s="240" t="s">
        <v>291</v>
      </c>
      <c r="C4040" s="241" t="s">
        <v>15</v>
      </c>
      <c r="D4040" s="242" t="s">
        <v>298</v>
      </c>
      <c r="E4040" s="243">
        <v>27.95</v>
      </c>
      <c r="F4040" s="517" t="s">
        <v>293</v>
      </c>
      <c r="G4040" s="232">
        <v>0</v>
      </c>
      <c r="H4040" s="661" t="str">
        <f>IF(G4040=0,"",IF(F4040="Buy",IF(G4040=1,"plant","plants"),IF(F4040&gt;0.01,"warranty","Error")))</f>
        <v/>
      </c>
      <c r="I4040" s="244">
        <f>IF(H4040="free",0,IF(H4040="credit",((E4040*(F4040))*G4040*-1),IF(F4040="Buy",(E4040*G4040),((E4040*(1-F4040))*G4040))))</f>
        <v>0</v>
      </c>
      <c r="J4040" s="244">
        <f>IF(H4040="warranty",0,(I4040*(_xlfn.SINGLE(SalesTaxPercentage))))</f>
        <v>0</v>
      </c>
      <c r="K4040" s="696">
        <f t="shared" ref="K4040" si="3117">I4040+J4040</f>
        <v>0</v>
      </c>
      <c r="L4040" s="696"/>
      <c r="M4040" s="659" t="str">
        <f>IF(AND(G4040&gt;0,E4040=0),"WARNING - no PRICE inserted",IF(H4040="free"," FREE ~ no charge this plant",IF(H4040="credit",CONCATENATE(" -$",ROUND(K4040*(1-T2GDiscount)*-1,2)," CREDIT after discount"),IF(T2GDiscount=0,"",IF(G4040=0,"",IF(F4040="Buy",CONCATENATE(" $",ROUND(K4040*(1-T2GDiscount),2)," with ",(T2GDiscount*100),"% discount"),CONCATENATE(" $",ROUND(K4040*(1-T2GDiscount),2)," with ",((T2GDiscount*100+F4040*100)-(T2GDiscount*100*F4040)),IF(F4040&gt;0,"% discounts",IF(NoWarrantyDiscount&gt;0,"% discounts","% discount")))))))))</f>
        <v/>
      </c>
      <c r="N4040" s="660"/>
      <c r="O4040" s="233"/>
      <c r="P4040" s="233"/>
      <c r="Q4040" s="233"/>
      <c r="R4040" s="233"/>
      <c r="S4040" s="233"/>
      <c r="T4040" s="508">
        <f t="shared" si="3065"/>
        <v>0</v>
      </c>
      <c r="U4040" s="225">
        <f>IF(NOT(ISNUMBER(G4040)), "", VLOOKUP(A4040,'Discount Lookup'!D:E,2,FALSE)*G4040)</f>
        <v>0</v>
      </c>
      <c r="V4040" s="225">
        <f>IF(NOT(ISNUMBER(G4040)), "", VLOOKUP(A4040,'Discount Lookup'!G:H,2,FALSE)*G4040)</f>
        <v>0</v>
      </c>
      <c r="W4040" s="508">
        <f t="shared" si="3066"/>
        <v>0</v>
      </c>
      <c r="X4040" s="508">
        <f t="shared" si="3067"/>
        <v>0</v>
      </c>
      <c r="Y4040" s="509" t="b">
        <f t="shared" si="3068"/>
        <v>0</v>
      </c>
      <c r="Z4040" s="510">
        <f t="shared" si="3069"/>
        <v>0</v>
      </c>
      <c r="AA4040" s="511"/>
      <c r="AB4040" s="511" t="str">
        <f t="shared" si="3070"/>
        <v/>
      </c>
      <c r="AC4040" s="698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698"/>
      <c r="AE4040" s="631" t="str">
        <f t="shared" si="3071"/>
        <v/>
      </c>
      <c r="AF4040" s="699" t="str">
        <f t="shared" si="3072"/>
        <v/>
      </c>
      <c r="AG4040" s="699"/>
      <c r="AH4040" s="699"/>
      <c r="AI4040" s="512">
        <f>IF(H4040="credit",0,IF(AE4040="free",0,IF(AE4040="me",0,IF(G4040&gt;0,(VLOOKUP(A4040,'Discount Lookup'!J:K,2)*G4040),0))))</f>
        <v>0</v>
      </c>
      <c r="AJ4040" s="513" t="str">
        <f t="shared" ca="1" si="3073"/>
        <v/>
      </c>
      <c r="AK4040" s="700" t="str">
        <f t="shared" si="3074"/>
        <v/>
      </c>
      <c r="AL4040" s="700"/>
      <c r="AM4040" s="505" t="str">
        <f t="shared" si="3075"/>
        <v/>
      </c>
      <c r="AN4040" s="506"/>
      <c r="AO4040" s="507"/>
      <c r="AP4040" s="507"/>
      <c r="AQ4040" s="507"/>
      <c r="AR4040" s="507"/>
      <c r="AS4040" s="507"/>
      <c r="AT4040" s="507"/>
      <c r="AU4040" s="507"/>
      <c r="AV4040" s="225"/>
      <c r="AW4040" s="508"/>
      <c r="AX4040" s="225"/>
      <c r="AY4040" s="225"/>
      <c r="AZ4040" s="225"/>
      <c r="BA4040" s="225"/>
      <c r="BB4040" s="225"/>
      <c r="BC4040" s="56"/>
      <c r="BD4040" s="56"/>
      <c r="BE4040" s="56"/>
      <c r="BF4040" s="107" t="str">
        <f t="shared" si="3076"/>
        <v>https://www.google.com/search?tbm=isch&amp;q=3%20G1</v>
      </c>
      <c r="BG4040" s="107" t="str">
        <f t="shared" si="3077"/>
        <v>W</v>
      </c>
      <c r="BH4040" s="254"/>
      <c r="BI4040" s="254"/>
    </row>
    <row r="4041" spans="1:61" customFormat="1" ht="17.25" thickBot="1" x14ac:dyDescent="0.3">
      <c r="A4041" s="673" t="s">
        <v>5280</v>
      </c>
      <c r="B4041" s="245"/>
      <c r="C4041" s="677"/>
      <c r="D4041" s="499"/>
      <c r="E4041" s="499"/>
      <c r="F4041" s="500"/>
      <c r="G4041" s="501"/>
      <c r="H4041" s="502"/>
      <c r="I4041" s="246"/>
      <c r="J4041" s="247"/>
      <c r="K4041" s="503"/>
      <c r="L4041" s="544"/>
      <c r="M4041" s="544"/>
      <c r="N4041" s="500"/>
      <c r="O4041" s="500"/>
      <c r="P4041" s="500"/>
      <c r="Q4041" s="500"/>
      <c r="R4041" s="500"/>
      <c r="S4041" s="669" t="s">
        <v>4978</v>
      </c>
      <c r="T4041" s="508">
        <f t="shared" si="3065"/>
        <v>0</v>
      </c>
      <c r="U4041" s="225" t="str">
        <f>IF(NOT(ISNUMBER(G4041)), "", VLOOKUP(A4041,'Discount Lookup'!D:E,2,FALSE)*G4041)</f>
        <v/>
      </c>
      <c r="V4041" s="225" t="str">
        <f>IF(NOT(ISNUMBER(G4041)), "", VLOOKUP(A4041,'Discount Lookup'!G:H,2,FALSE)*G4041)</f>
        <v/>
      </c>
      <c r="W4041" s="508">
        <f t="shared" si="3066"/>
        <v>0</v>
      </c>
      <c r="X4041" s="508">
        <f t="shared" si="3067"/>
        <v>0</v>
      </c>
      <c r="Y4041" s="509" t="b">
        <f t="shared" si="3068"/>
        <v>0</v>
      </c>
      <c r="Z4041" s="510">
        <f t="shared" si="3069"/>
        <v>0</v>
      </c>
      <c r="AA4041" s="511"/>
      <c r="AB4041" s="511" t="str">
        <f t="shared" si="3070"/>
        <v/>
      </c>
      <c r="AC4041" s="698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698"/>
      <c r="AE4041" s="631" t="str">
        <f t="shared" si="3071"/>
        <v/>
      </c>
      <c r="AF4041" s="699" t="str">
        <f t="shared" si="3072"/>
        <v/>
      </c>
      <c r="AG4041" s="699"/>
      <c r="AH4041" s="699"/>
      <c r="AI4041" s="512">
        <f>IF(H4041="credit",0,IF(AE4041="free",0,IF(AE4041="me",0,IF(G4041&gt;0,(VLOOKUP(A4041,'Discount Lookup'!J:K,2)*G4041),0))))</f>
        <v>0</v>
      </c>
      <c r="AJ4041" s="513" t="str">
        <f t="shared" ca="1" si="3073"/>
        <v/>
      </c>
      <c r="AK4041" s="700" t="str">
        <f t="shared" si="3074"/>
        <v/>
      </c>
      <c r="AL4041" s="700"/>
      <c r="AM4041" s="505" t="str">
        <f t="shared" si="3075"/>
        <v/>
      </c>
      <c r="AN4041" s="506"/>
      <c r="AO4041" s="507"/>
      <c r="AP4041" s="507"/>
      <c r="AQ4041" s="507"/>
      <c r="AR4041" s="507"/>
      <c r="AS4041" s="507"/>
      <c r="AT4041" s="507"/>
      <c r="AU4041" s="507"/>
      <c r="AV4041" s="225"/>
      <c r="AW4041" s="508"/>
      <c r="AX4041" s="225"/>
      <c r="AY4041" s="225"/>
      <c r="AZ4041" s="225"/>
      <c r="BA4041" s="225"/>
      <c r="BB4041" s="225"/>
      <c r="BC4041" s="56"/>
      <c r="BD4041" s="56"/>
      <c r="BE4041" s="56"/>
      <c r="BF4041" s="107" t="str">
        <f t="shared" si="3076"/>
        <v>https://www.google.com/search?tbm=isch&amp;q=moist%20sites%F0%9F%92%A7OK%2C%20Welch%27s%20Pink%20similar%20to%20other%20Beautyberry%2C%20except%20the%20Pink-Lavendar%20berries%20against%20bare%20stems%20in%20fall%20and%20winter%20</v>
      </c>
      <c r="BG4041" s="107" t="str">
        <f t="shared" si="3077"/>
        <v>m</v>
      </c>
      <c r="BH4041" s="254"/>
      <c r="BI4041" s="254"/>
    </row>
    <row r="4042" spans="1:61" customFormat="1" ht="18" x14ac:dyDescent="0.25">
      <c r="A4042" s="523" t="s">
        <v>3946</v>
      </c>
      <c r="B4042" s="235"/>
      <c r="C4042" s="676"/>
      <c r="D4042" s="255" t="s">
        <v>3947</v>
      </c>
      <c r="E4042" s="236"/>
      <c r="F4042" s="236"/>
      <c r="G4042" s="236"/>
      <c r="H4042" s="582" t="s">
        <v>394</v>
      </c>
      <c r="I4042" s="498" t="s">
        <v>3948</v>
      </c>
      <c r="J4042" s="237"/>
      <c r="K4042" s="237"/>
      <c r="L4042" s="274"/>
      <c r="M4042" s="668" t="s">
        <v>4962</v>
      </c>
      <c r="N4042" s="681" t="str">
        <f>IF(AND(ISTEXT($A4042), ISERROR($A4042+0)), HYPERLINK($BF4042, "Images"), "")</f>
        <v>Images</v>
      </c>
      <c r="O4042" s="663" t="s">
        <v>4969</v>
      </c>
      <c r="P4042" s="253"/>
      <c r="Q4042" s="238"/>
      <c r="R4042" s="239"/>
      <c r="S4042" s="275" t="s">
        <v>305</v>
      </c>
      <c r="T4042" s="508">
        <f t="shared" si="3065"/>
        <v>0</v>
      </c>
      <c r="U4042" s="225" t="str">
        <f>IF(NOT(ISNUMBER(G4042)), "", VLOOKUP(A4042,'Discount Lookup'!D:E,2,FALSE)*G4042)</f>
        <v/>
      </c>
      <c r="V4042" s="225" t="str">
        <f>IF(NOT(ISNUMBER(G4042)), "", VLOOKUP(A4042,'Discount Lookup'!G:H,2,FALSE)*G4042)</f>
        <v/>
      </c>
      <c r="W4042" s="508">
        <f t="shared" si="3066"/>
        <v>0</v>
      </c>
      <c r="X4042" s="508" t="str">
        <f t="shared" si="3067"/>
        <v>Soft White bloom</v>
      </c>
      <c r="Y4042" s="509" t="b">
        <f t="shared" si="3068"/>
        <v>0</v>
      </c>
      <c r="Z4042" s="510">
        <f t="shared" si="3069"/>
        <v>0</v>
      </c>
      <c r="AA4042" s="511"/>
      <c r="AB4042" s="511" t="str">
        <f t="shared" si="3070"/>
        <v/>
      </c>
      <c r="AC4042" s="698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698"/>
      <c r="AE4042" s="631" t="str">
        <f t="shared" si="3071"/>
        <v/>
      </c>
      <c r="AF4042" s="699" t="str">
        <f t="shared" si="3072"/>
        <v/>
      </c>
      <c r="AG4042" s="699"/>
      <c r="AH4042" s="699"/>
      <c r="AI4042" s="512">
        <f>IF(H4042="credit",0,IF(AE4042="free",0,IF(AE4042="me",0,IF(G4042&gt;0,(VLOOKUP(A4042,'Discount Lookup'!J:K,2)*G4042),0))))</f>
        <v>0</v>
      </c>
      <c r="AJ4042" s="513" t="str">
        <f t="shared" ca="1" si="3073"/>
        <v/>
      </c>
      <c r="AK4042" s="700" t="str">
        <f t="shared" si="3074"/>
        <v/>
      </c>
      <c r="AL4042" s="700"/>
      <c r="AM4042" s="505" t="str">
        <f t="shared" si="3075"/>
        <v/>
      </c>
      <c r="AN4042" s="506"/>
      <c r="AO4042" s="507"/>
      <c r="AP4042" s="507"/>
      <c r="AQ4042" s="507"/>
      <c r="AR4042" s="507"/>
      <c r="AS4042" s="507"/>
      <c r="AT4042" s="507"/>
      <c r="AU4042" s="507"/>
      <c r="AV4042" s="225"/>
      <c r="AW4042" s="508"/>
      <c r="AX4042" s="225"/>
      <c r="AY4042" s="225"/>
      <c r="AZ4042" s="225"/>
      <c r="BA4042" s="225"/>
      <c r="BB4042" s="225"/>
      <c r="BC4042" s="56"/>
      <c r="BD4042" s="56"/>
      <c r="BE4042" s="56"/>
      <c r="BF4042" s="107" t="str">
        <f t="shared" si="3076"/>
        <v>https://www.google.com/search?tbm=isch&amp;q=White%20Cloud%20Muhly%20Grass%20Muhlenbergia%20capillaris%20%27White%20Cloud%27</v>
      </c>
      <c r="BG4042" s="107" t="str">
        <f t="shared" si="3077"/>
        <v>W</v>
      </c>
      <c r="BH4042" s="254"/>
      <c r="BI4042" s="254"/>
    </row>
    <row r="4043" spans="1:61" customFormat="1" ht="15.75" x14ac:dyDescent="0.25">
      <c r="A4043" s="276">
        <v>1</v>
      </c>
      <c r="B4043" s="240" t="s">
        <v>291</v>
      </c>
      <c r="C4043" s="241"/>
      <c r="D4043" s="242" t="s">
        <v>312</v>
      </c>
      <c r="E4043" s="243">
        <v>16.95</v>
      </c>
      <c r="F4043" s="517" t="s">
        <v>293</v>
      </c>
      <c r="G4043" s="232">
        <v>0</v>
      </c>
      <c r="H4043" s="661" t="str">
        <f>IF(G4043=0,"",IF(F4043="Buy",IF(G4043=1,"plant","plants"),IF(F4043&gt;0.01,"warranty","Error")))</f>
        <v/>
      </c>
      <c r="I4043" s="244">
        <f>IF(H4043="free",0,IF(H4043="credit",((E4043*(F4043))*G4043*-1),IF(F4043="Buy",(E4043*G4043),((E4043*(1-F4043))*G4043))))</f>
        <v>0</v>
      </c>
      <c r="J4043" s="244">
        <f>IF(H4043="warranty",0,(I4043*(_xlfn.SINGLE(SalesTaxPercentage))))</f>
        <v>0</v>
      </c>
      <c r="K4043" s="696">
        <f t="shared" ref="K4043" si="3118">I4043+J4043</f>
        <v>0</v>
      </c>
      <c r="L4043" s="696"/>
      <c r="M4043" s="659" t="str">
        <f>IF(AND(G4043&gt;0,E4043=0),"WARNING - no PRICE inserted",IF(H4043="free"," FREE ~ no charge this plant",IF(H4043="credit",CONCATENATE(" -$",ROUND(K4043*(1-T2GDiscount)*-1,2)," CREDIT after discount"),IF(T2GDiscount=0,"",IF(G4043=0,"",IF(F4043="Buy",CONCATENATE(" $",ROUND(K4043*(1-T2GDiscount),2)," with ",(T2GDiscount*100),"% discount"),CONCATENATE(" $",ROUND(K4043*(1-T2GDiscount),2)," with ",((T2GDiscount*100+F4043*100)-(T2GDiscount*100*F4043)),IF(F4043&gt;0,"% discounts",IF(NoWarrantyDiscount&gt;0,"% discounts","% discount")))))))))</f>
        <v/>
      </c>
      <c r="N4043" s="660"/>
      <c r="O4043" s="233"/>
      <c r="P4043" s="233"/>
      <c r="Q4043" s="233"/>
      <c r="R4043" s="233"/>
      <c r="S4043" s="233"/>
      <c r="T4043" s="508">
        <f t="shared" si="3065"/>
        <v>0</v>
      </c>
      <c r="U4043" s="225">
        <f>IF(NOT(ISNUMBER(G4043)), "", VLOOKUP(A4043,'Discount Lookup'!D:E,2,FALSE)*G4043)</f>
        <v>0</v>
      </c>
      <c r="V4043" s="225">
        <f>IF(NOT(ISNUMBER(G4043)), "", VLOOKUP(A4043,'Discount Lookup'!G:H,2,FALSE)*G4043)</f>
        <v>0</v>
      </c>
      <c r="W4043" s="508">
        <f t="shared" si="3066"/>
        <v>0</v>
      </c>
      <c r="X4043" s="508">
        <f t="shared" si="3067"/>
        <v>0</v>
      </c>
      <c r="Y4043" s="509" t="b">
        <f t="shared" si="3068"/>
        <v>0</v>
      </c>
      <c r="Z4043" s="510">
        <f t="shared" si="3069"/>
        <v>0</v>
      </c>
      <c r="AA4043" s="511"/>
      <c r="AB4043" s="511" t="str">
        <f t="shared" si="3070"/>
        <v/>
      </c>
      <c r="AC4043" s="698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698"/>
      <c r="AE4043" s="631" t="str">
        <f t="shared" si="3071"/>
        <v/>
      </c>
      <c r="AF4043" s="699" t="str">
        <f t="shared" si="3072"/>
        <v/>
      </c>
      <c r="AG4043" s="699"/>
      <c r="AH4043" s="699"/>
      <c r="AI4043" s="512">
        <f>IF(H4043="credit",0,IF(AE4043="free",0,IF(AE4043="me",0,IF(G4043&gt;0,(VLOOKUP(A4043,'Discount Lookup'!J:K,2)*G4043),0))))</f>
        <v>0</v>
      </c>
      <c r="AJ4043" s="513" t="str">
        <f t="shared" ca="1" si="3073"/>
        <v/>
      </c>
      <c r="AK4043" s="700" t="str">
        <f t="shared" si="3074"/>
        <v/>
      </c>
      <c r="AL4043" s="700"/>
      <c r="AM4043" s="505" t="str">
        <f t="shared" si="3075"/>
        <v/>
      </c>
      <c r="AN4043" s="506"/>
      <c r="AO4043" s="507"/>
      <c r="AP4043" s="507"/>
      <c r="AQ4043" s="507"/>
      <c r="AR4043" s="507"/>
      <c r="AS4043" s="507"/>
      <c r="AT4043" s="507"/>
      <c r="AU4043" s="507"/>
      <c r="AV4043" s="225"/>
      <c r="AW4043" s="508"/>
      <c r="AX4043" s="225"/>
      <c r="AY4043" s="225"/>
      <c r="AZ4043" s="225"/>
      <c r="BA4043" s="225"/>
      <c r="BB4043" s="225"/>
      <c r="BC4043" s="56"/>
      <c r="BD4043" s="56"/>
      <c r="BE4043" s="56"/>
      <c r="BF4043" s="107" t="str">
        <f t="shared" si="3076"/>
        <v>https://www.google.com/search?tbm=isch&amp;q=1%20G2</v>
      </c>
      <c r="BG4043" s="107" t="str">
        <f t="shared" si="3077"/>
        <v>W</v>
      </c>
      <c r="BH4043" s="254"/>
      <c r="BI4043" s="254"/>
    </row>
    <row r="4044" spans="1:61" customFormat="1" ht="15.75" x14ac:dyDescent="0.25">
      <c r="A4044" s="276">
        <v>3</v>
      </c>
      <c r="B4044" s="240" t="s">
        <v>291</v>
      </c>
      <c r="C4044" s="241"/>
      <c r="D4044" s="242" t="s">
        <v>298</v>
      </c>
      <c r="E4044" s="243">
        <v>25.95</v>
      </c>
      <c r="F4044" s="517" t="s">
        <v>293</v>
      </c>
      <c r="G4044" s="232">
        <v>0</v>
      </c>
      <c r="H4044" s="661" t="str">
        <f>IF(G4044=0,"",IF(F4044="Buy",IF(G4044=1,"plant","plants"),IF(F4044&gt;0.01,"warranty","Error")))</f>
        <v/>
      </c>
      <c r="I4044" s="244">
        <f>IF(H4044="free",0,IF(H4044="credit",((E4044*(F4044))*G4044*-1),IF(F4044="Buy",(E4044*G4044),((E4044*(1-F4044))*G4044))))</f>
        <v>0</v>
      </c>
      <c r="J4044" s="244">
        <f>IF(H4044="warranty",0,(I4044*(_xlfn.SINGLE(SalesTaxPercentage))))</f>
        <v>0</v>
      </c>
      <c r="K4044" s="696">
        <f t="shared" ref="K4044" si="3119">I4044+J4044</f>
        <v>0</v>
      </c>
      <c r="L4044" s="696"/>
      <c r="M4044" s="659" t="str">
        <f>IF(AND(G4044&gt;0,E4044=0),"WARNING - no PRICE inserted",IF(H4044="free"," FREE ~ no charge this plant",IF(H4044="credit",CONCATENATE(" -$",ROUND(K4044*(1-T2GDiscount)*-1,2)," CREDIT after discount"),IF(T2GDiscount=0,"",IF(G4044=0,"",IF(F4044="Buy",CONCATENATE(" $",ROUND(K4044*(1-T2GDiscount),2)," with ",(T2GDiscount*100),"% discount"),CONCATENATE(" $",ROUND(K4044*(1-T2GDiscount),2)," with ",((T2GDiscount*100+F4044*100)-(T2GDiscount*100*F4044)),IF(F4044&gt;0,"% discounts",IF(NoWarrantyDiscount&gt;0,"% discounts","% discount")))))))))</f>
        <v/>
      </c>
      <c r="N4044" s="660"/>
      <c r="O4044" s="233"/>
      <c r="P4044" s="233"/>
      <c r="Q4044" s="233"/>
      <c r="R4044" s="233"/>
      <c r="S4044" s="233"/>
      <c r="T4044" s="508">
        <f t="shared" si="3065"/>
        <v>0</v>
      </c>
      <c r="U4044" s="225">
        <f>IF(NOT(ISNUMBER(G4044)), "", VLOOKUP(A4044,'Discount Lookup'!D:E,2,FALSE)*G4044)</f>
        <v>0</v>
      </c>
      <c r="V4044" s="225">
        <f>IF(NOT(ISNUMBER(G4044)), "", VLOOKUP(A4044,'Discount Lookup'!G:H,2,FALSE)*G4044)</f>
        <v>0</v>
      </c>
      <c r="W4044" s="508">
        <f t="shared" si="3066"/>
        <v>0</v>
      </c>
      <c r="X4044" s="508">
        <f t="shared" si="3067"/>
        <v>0</v>
      </c>
      <c r="Y4044" s="509" t="b">
        <f t="shared" si="3068"/>
        <v>0</v>
      </c>
      <c r="Z4044" s="510">
        <f t="shared" si="3069"/>
        <v>0</v>
      </c>
      <c r="AA4044" s="511"/>
      <c r="AB4044" s="511" t="str">
        <f t="shared" si="3070"/>
        <v/>
      </c>
      <c r="AC4044" s="698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698"/>
      <c r="AE4044" s="631" t="str">
        <f t="shared" si="3071"/>
        <v/>
      </c>
      <c r="AF4044" s="699" t="str">
        <f t="shared" si="3072"/>
        <v/>
      </c>
      <c r="AG4044" s="699"/>
      <c r="AH4044" s="699"/>
      <c r="AI4044" s="512">
        <f>IF(H4044="credit",0,IF(AE4044="free",0,IF(AE4044="me",0,IF(G4044&gt;0,(VLOOKUP(A4044,'Discount Lookup'!J:K,2)*G4044),0))))</f>
        <v>0</v>
      </c>
      <c r="AJ4044" s="513" t="str">
        <f t="shared" ca="1" si="3073"/>
        <v/>
      </c>
      <c r="AK4044" s="700" t="str">
        <f t="shared" si="3074"/>
        <v/>
      </c>
      <c r="AL4044" s="700"/>
      <c r="AM4044" s="505" t="str">
        <f t="shared" si="3075"/>
        <v/>
      </c>
      <c r="AN4044" s="506"/>
      <c r="AO4044" s="507"/>
      <c r="AP4044" s="507"/>
      <c r="AQ4044" s="507"/>
      <c r="AR4044" s="507"/>
      <c r="AS4044" s="507"/>
      <c r="AT4044" s="507"/>
      <c r="AU4044" s="507"/>
      <c r="AV4044" s="225"/>
      <c r="AW4044" s="508"/>
      <c r="AX4044" s="225"/>
      <c r="AY4044" s="225"/>
      <c r="AZ4044" s="225"/>
      <c r="BA4044" s="225"/>
      <c r="BB4044" s="225"/>
      <c r="BC4044" s="56"/>
      <c r="BD4044" s="56"/>
      <c r="BE4044" s="56"/>
      <c r="BF4044" s="107" t="str">
        <f t="shared" si="3076"/>
        <v>https://www.google.com/search?tbm=isch&amp;q=3%20G1</v>
      </c>
      <c r="BG4044" s="107" t="str">
        <f t="shared" si="3077"/>
        <v>W</v>
      </c>
      <c r="BH4044" s="254"/>
      <c r="BI4044" s="254"/>
    </row>
    <row r="4045" spans="1:61" customFormat="1" ht="15.75" x14ac:dyDescent="0.25">
      <c r="A4045" s="276">
        <v>3</v>
      </c>
      <c r="B4045" s="240" t="s">
        <v>291</v>
      </c>
      <c r="C4045" s="241"/>
      <c r="D4045" s="242" t="s">
        <v>300</v>
      </c>
      <c r="E4045" s="243">
        <v>29.95</v>
      </c>
      <c r="F4045" s="517" t="s">
        <v>293</v>
      </c>
      <c r="G4045" s="232">
        <v>0</v>
      </c>
      <c r="H4045" s="661" t="str">
        <f>IF(G4045=0,"",IF(F4045="Buy",IF(G4045=1,"plant","plants"),IF(F4045&gt;0.01,"warranty","Error")))</f>
        <v/>
      </c>
      <c r="I4045" s="244">
        <f>IF(H4045="free",0,IF(H4045="credit",((E4045*(F4045))*G4045*-1),IF(F4045="Buy",(E4045*G4045),((E4045*(1-F4045))*G4045))))</f>
        <v>0</v>
      </c>
      <c r="J4045" s="244">
        <f>IF(H4045="warranty",0,(I4045*(_xlfn.SINGLE(SalesTaxPercentage))))</f>
        <v>0</v>
      </c>
      <c r="K4045" s="696">
        <f t="shared" ref="K4045" si="3120">I4045+J4045</f>
        <v>0</v>
      </c>
      <c r="L4045" s="696"/>
      <c r="M4045" s="659" t="str">
        <f>IF(AND(G4045&gt;0,E4045=0),"WARNING - no PRICE inserted",IF(H4045="free"," FREE ~ no charge this plant",IF(H4045="credit",CONCATENATE(" -$",ROUND(K4045*(1-T2GDiscount)*-1,2)," CREDIT after discount"),IF(T2GDiscount=0,"",IF(G4045=0,"",IF(F4045="Buy",CONCATENATE(" $",ROUND(K4045*(1-T2GDiscount),2)," with ",(T2GDiscount*100),"% discount"),CONCATENATE(" $",ROUND(K4045*(1-T2GDiscount),2)," with ",((T2GDiscount*100+F4045*100)-(T2GDiscount*100*F4045)),IF(F4045&gt;0,"% discounts",IF(NoWarrantyDiscount&gt;0,"% discounts","% discount")))))))))</f>
        <v/>
      </c>
      <c r="N4045" s="660"/>
      <c r="O4045" s="233"/>
      <c r="P4045" s="233"/>
      <c r="Q4045" s="233"/>
      <c r="R4045" s="233"/>
      <c r="S4045" s="233"/>
      <c r="T4045" s="508">
        <f t="shared" si="3065"/>
        <v>0</v>
      </c>
      <c r="U4045" s="225">
        <f>IF(NOT(ISNUMBER(G4045)), "", VLOOKUP(A4045,'Discount Lookup'!D:E,2,FALSE)*G4045)</f>
        <v>0</v>
      </c>
      <c r="V4045" s="225">
        <f>IF(NOT(ISNUMBER(G4045)), "", VLOOKUP(A4045,'Discount Lookup'!G:H,2,FALSE)*G4045)</f>
        <v>0</v>
      </c>
      <c r="W4045" s="508">
        <f t="shared" si="3066"/>
        <v>0</v>
      </c>
      <c r="X4045" s="508">
        <f t="shared" si="3067"/>
        <v>0</v>
      </c>
      <c r="Y4045" s="509" t="b">
        <f t="shared" si="3068"/>
        <v>0</v>
      </c>
      <c r="Z4045" s="510">
        <f t="shared" si="3069"/>
        <v>0</v>
      </c>
      <c r="AA4045" s="511"/>
      <c r="AB4045" s="511" t="str">
        <f t="shared" si="3070"/>
        <v/>
      </c>
      <c r="AC4045" s="698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698"/>
      <c r="AE4045" s="631" t="str">
        <f t="shared" si="3071"/>
        <v/>
      </c>
      <c r="AF4045" s="699" t="str">
        <f t="shared" si="3072"/>
        <v/>
      </c>
      <c r="AG4045" s="699"/>
      <c r="AH4045" s="699"/>
      <c r="AI4045" s="512">
        <f>IF(H4045="credit",0,IF(AE4045="free",0,IF(AE4045="me",0,IF(G4045&gt;0,(VLOOKUP(A4045,'Discount Lookup'!J:K,2)*G4045),0))))</f>
        <v>0</v>
      </c>
      <c r="AJ4045" s="513" t="str">
        <f t="shared" ca="1" si="3073"/>
        <v/>
      </c>
      <c r="AK4045" s="700" t="str">
        <f t="shared" si="3074"/>
        <v/>
      </c>
      <c r="AL4045" s="700"/>
      <c r="AM4045" s="505" t="str">
        <f t="shared" si="3075"/>
        <v/>
      </c>
      <c r="AN4045" s="506"/>
      <c r="AO4045" s="507"/>
      <c r="AP4045" s="507"/>
      <c r="AQ4045" s="507"/>
      <c r="AR4045" s="507"/>
      <c r="AS4045" s="507"/>
      <c r="AT4045" s="507"/>
      <c r="AU4045" s="507"/>
      <c r="AV4045" s="225"/>
      <c r="AW4045" s="508"/>
      <c r="AX4045" s="225"/>
      <c r="AY4045" s="225"/>
      <c r="AZ4045" s="225"/>
      <c r="BA4045" s="225"/>
      <c r="BB4045" s="225"/>
      <c r="BC4045" s="56"/>
      <c r="BD4045" s="56"/>
      <c r="BE4045" s="56"/>
      <c r="BF4045" s="107" t="str">
        <f t="shared" si="3076"/>
        <v>https://www.google.com/search?tbm=isch&amp;q=3%20G6</v>
      </c>
      <c r="BG4045" s="107" t="str">
        <f t="shared" si="3077"/>
        <v>W</v>
      </c>
      <c r="BH4045" s="254"/>
      <c r="BI4045" s="254"/>
    </row>
    <row r="4046" spans="1:61" customFormat="1" ht="15.75" x14ac:dyDescent="0.25">
      <c r="A4046" s="276">
        <v>3</v>
      </c>
      <c r="B4046" s="240" t="s">
        <v>291</v>
      </c>
      <c r="C4046" s="241" t="s">
        <v>4720</v>
      </c>
      <c r="D4046" s="242" t="s">
        <v>312</v>
      </c>
      <c r="E4046" s="243">
        <v>35.950000000000003</v>
      </c>
      <c r="F4046" s="517" t="s">
        <v>293</v>
      </c>
      <c r="G4046" s="232">
        <v>0</v>
      </c>
      <c r="H4046" s="661" t="str">
        <f>IF(G4046=0,"",IF(F4046="Buy",IF(G4046=1,"plant","plants"),IF(F4046&gt;0.01,"warranty","Error")))</f>
        <v/>
      </c>
      <c r="I4046" s="244">
        <f>IF(H4046="free",0,IF(H4046="credit",((E4046*(F4046))*G4046*-1),IF(F4046="Buy",(E4046*G4046),((E4046*(1-F4046))*G4046))))</f>
        <v>0</v>
      </c>
      <c r="J4046" s="244">
        <f>IF(H4046="warranty",0,(I4046*(_xlfn.SINGLE(SalesTaxPercentage))))</f>
        <v>0</v>
      </c>
      <c r="K4046" s="696">
        <f t="shared" ref="K4046" si="3121">I4046+J4046</f>
        <v>0</v>
      </c>
      <c r="L4046" s="696"/>
      <c r="M4046" s="659" t="str">
        <f>IF(AND(G4046&gt;0,E4046=0),"WARNING - no PRICE inserted",IF(H4046="free"," FREE ~ no charge this plant",IF(H4046="credit",CONCATENATE(" -$",ROUND(K4046*(1-T2GDiscount)*-1,2)," CREDIT after discount"),IF(T2GDiscount=0,"",IF(G4046=0,"",IF(F4046="Buy",CONCATENATE(" $",ROUND(K4046*(1-T2GDiscount),2)," with ",(T2GDiscount*100),"% discount"),CONCATENATE(" $",ROUND(K4046*(1-T2GDiscount),2)," with ",((T2GDiscount*100+F4046*100)-(T2GDiscount*100*F4046)),IF(F4046&gt;0,"% discounts",IF(NoWarrantyDiscount&gt;0,"% discounts","% discount")))))))))</f>
        <v/>
      </c>
      <c r="N4046" s="660"/>
      <c r="O4046" s="233"/>
      <c r="P4046" s="233"/>
      <c r="Q4046" s="233"/>
      <c r="R4046" s="233"/>
      <c r="S4046" s="233"/>
      <c r="T4046" s="508">
        <f t="shared" ref="T4046:T4109" si="3122">E4046*G4046</f>
        <v>0</v>
      </c>
      <c r="U4046" s="225">
        <f>IF(NOT(ISNUMBER(G4046)), "", VLOOKUP(A4046,'Discount Lookup'!D:E,2,FALSE)*G4046)</f>
        <v>0</v>
      </c>
      <c r="V4046" s="225">
        <f>IF(NOT(ISNUMBER(G4046)), "", VLOOKUP(A4046,'Discount Lookup'!G:H,2,FALSE)*G4046)</f>
        <v>0</v>
      </c>
      <c r="W4046" s="508">
        <f t="shared" ref="W4046:W4109" si="3123">IF(H4046="credit",0,E4046*(SalesTaxPercentage)*G4046)</f>
        <v>0</v>
      </c>
      <c r="X4046" s="508">
        <f t="shared" ref="X4046:X4109" si="3124">I4046</f>
        <v>0</v>
      </c>
      <c r="Y4046" s="509" t="b">
        <f t="shared" ref="Y4046:Y4109" si="3125">IF(AE4046="T2G",0,IF(H4046="credit",0,IF(G4046&gt;0,IF(AE4046="me","",G4046))))</f>
        <v>0</v>
      </c>
      <c r="Z4046" s="510">
        <f t="shared" ref="Z4046:Z4109" si="3126">IF(H4046="credit",G4046,0)</f>
        <v>0</v>
      </c>
      <c r="AA4046" s="511"/>
      <c r="AB4046" s="511" t="str">
        <f t="shared" ref="AB4046:AB4109" si="3127">IF(AE4046="T2G","by Trees2Go",IF(H4046="credit","CREDIT only ~",IF(AND(K4046="",AE4046=OR(PlanterYesMe="No",PlanterYesMe="N",PlanterYesMe="me")),"not THIS line⇨",IF(AND(K4046="images",AE4046="me"),"not THIS line⇨",IF(H4046="credit","",IF(G4046=0,"",IF(AE4046="me","",IF(OR(PlanterYesMe="No",PlanterYesMe="N",PlanterYesMe="me"),"",IF(AE4046="free","warranty",IF(OR(PlanterYesMe="yes",PlanterYesMe="y"),"Edison install:","to install:"))))))))))</f>
        <v/>
      </c>
      <c r="AC4046" s="698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698"/>
      <c r="AE4046" s="631" t="str">
        <f t="shared" ref="AE4046:AE4109" si="3128">IF(H4046="credit","",IF(G4046=0,"",IF(OR(PlanterYesMe="No",PlanterYesMe="N",PlanterYesMe="me"),"me",IF(H4046="warranty","free",IF(OR(PlanterYesMe="yes",PlanterYesMe="y"),"ELP","")))))</f>
        <v/>
      </c>
      <c r="AF4046" s="699" t="str">
        <f t="shared" ref="AF4046:AF4109" si="3129">IF(OR(PlanterYesMe="No",PlanterYesMe="N",PlanterYesMe="me"),"",IF(H4046="credit","",IF(G4046&gt;0,(CONCATENATE((G4046)," quantity, ",(A4046)," ",B4046)),"")))</f>
        <v/>
      </c>
      <c r="AG4046" s="699"/>
      <c r="AH4046" s="699"/>
      <c r="AI4046" s="512">
        <f>IF(H4046="credit",0,IF(AE4046="free",0,IF(AE4046="me",0,IF(G4046&gt;0,(VLOOKUP(A4046,'Discount Lookup'!J:K,2)*G4046),0))))</f>
        <v>0</v>
      </c>
      <c r="AJ4046" s="513" t="str">
        <f t="shared" ref="AJ4046:AJ4109" ca="1" si="3130">IF(AND(ISREF(H4046),H4046="credit"),"",IF(AND(AND(OFFSET(G4046,0,0)=0,OFFSET(G4046,1,0)&gt;0,ISNUMBER(OFFSET(AC4046,1,0)),OFFSET(AC4046,1,0)&gt;0),OR(PlanterYesMe="yes",PlanterYesMe="y")),"T2G+ELP=",IF(AND(OFFSET(G4046,0,0)=0,OFFSET(G4046,1,0)&gt;0,ISNUMBER(OFFSET(AC4046,1,0)),OFFSET(AC4046,1,0)&gt;0),"if T2G+ELP=",IF(AND(OFFSET(G4046,0,0)=0,OFFSET(G4046,1,0)&gt;0),"T2G Subtotal",IF(H4046="credit","",IF(G4046=0,"",IF(AE4046="free",(K4046*(1-T2GDiscount)),IF(OR(PlanterYesMe="No",PlanterYesMe="N",PlanterYesMe="me"),(K4046*(1-T2GDiscount)),IF(OR(AE4046="me",AE4046="T2G"),(K4046*(1-T2GDiscount)),(K4046*(1-T2GDiscount))+AC4046)))))))))</f>
        <v/>
      </c>
      <c r="AK4046" s="700" t="str">
        <f t="shared" ref="AK4046:AK4109" si="3131">IF(H4046="credit","",IF(G4046=0,"",IF(OR(AE4046="me",AE4046="T2G"),"  delivery-only",IF(OR(PlanterYesMe="No",PlanterYesMe="N",PlanterYesMe="me"),"  delivery-only",CONCATENATE(" $",ROUND(AJ4046/G4046,2)," each")))))</f>
        <v/>
      </c>
      <c r="AL4046" s="700"/>
      <c r="AM4046" s="505" t="str">
        <f t="shared" ref="AM4046:AM4109" si="3132">IF(H4046="credit","",IF(AE4046="free","      ~ discounts included, no tax or planting fee applies ~",IF(G4046=0,"",IF(OR(PlanterYesMe="No",PlanterYesMe="N",PlanterYesMe="me"),CONCATENATE(" $",ROUND(AJ4046/G4046,2)," per plant, with tax &amp; discount"),IF(OR(AE4046="me",AE4046="T2G"),CONCATENATE(" $",ROUND(AJ4046/G4046,2)," per plant, with tax &amp; discount"),CONCATENATE("= $",ROUND((K4046*(1-T2GDiscount))/G4046,2)," per plant + $",AC4046/G4046,(" per planting      ~ includes tax &amp; discounts ~")))))))</f>
        <v/>
      </c>
      <c r="AN4046" s="506"/>
      <c r="AO4046" s="507"/>
      <c r="AP4046" s="507"/>
      <c r="AQ4046" s="507"/>
      <c r="AR4046" s="507"/>
      <c r="AS4046" s="507"/>
      <c r="AT4046" s="507"/>
      <c r="AU4046" s="507"/>
      <c r="AV4046" s="225"/>
      <c r="AW4046" s="508"/>
      <c r="AX4046" s="225"/>
      <c r="AY4046" s="225"/>
      <c r="AZ4046" s="225"/>
      <c r="BA4046" s="225"/>
      <c r="BB4046" s="225"/>
      <c r="BC4046" s="56"/>
      <c r="BD4046" s="56"/>
      <c r="BE4046" s="56"/>
      <c r="BF4046" s="107" t="str">
        <f t="shared" ref="BF4046:BF4109" si="3133">"https://www.google.com/search?tbm=isch&amp;q=" &amp; _xlfn.ENCODEURL($A4046 &amp; " " &amp; $D4046)</f>
        <v>https://www.google.com/search?tbm=isch&amp;q=3%20G2</v>
      </c>
      <c r="BG4046" s="107" t="str">
        <f t="shared" ref="BG4046:BG4109" si="3134">IF(ISTEXT(A4046),LEFT(A4046,1),BG4045)</f>
        <v>W</v>
      </c>
      <c r="BH4046" s="254"/>
      <c r="BI4046" s="254"/>
    </row>
    <row r="4047" spans="1:61" customFormat="1" ht="17.25" thickBot="1" x14ac:dyDescent="0.3">
      <c r="A4047" s="524" t="s">
        <v>3949</v>
      </c>
      <c r="B4047" s="245"/>
      <c r="C4047" s="677"/>
      <c r="D4047" s="499"/>
      <c r="E4047" s="499"/>
      <c r="F4047" s="500"/>
      <c r="G4047" s="501"/>
      <c r="H4047" s="502"/>
      <c r="I4047" s="246"/>
      <c r="J4047" s="247"/>
      <c r="K4047" s="503"/>
      <c r="L4047" s="544"/>
      <c r="M4047" s="544"/>
      <c r="N4047" s="500"/>
      <c r="O4047" s="500"/>
      <c r="P4047" s="500"/>
      <c r="Q4047" s="500"/>
      <c r="R4047" s="500"/>
      <c r="S4047" s="669" t="s">
        <v>4996</v>
      </c>
      <c r="T4047" s="508">
        <f t="shared" si="3122"/>
        <v>0</v>
      </c>
      <c r="U4047" s="225" t="str">
        <f>IF(NOT(ISNUMBER(G4047)), "", VLOOKUP(A4047,'Discount Lookup'!D:E,2,FALSE)*G4047)</f>
        <v/>
      </c>
      <c r="V4047" s="225" t="str">
        <f>IF(NOT(ISNUMBER(G4047)), "", VLOOKUP(A4047,'Discount Lookup'!G:H,2,FALSE)*G4047)</f>
        <v/>
      </c>
      <c r="W4047" s="508">
        <f t="shared" si="3123"/>
        <v>0</v>
      </c>
      <c r="X4047" s="508">
        <f t="shared" si="3124"/>
        <v>0</v>
      </c>
      <c r="Y4047" s="509" t="b">
        <f t="shared" si="3125"/>
        <v>0</v>
      </c>
      <c r="Z4047" s="510">
        <f t="shared" si="3126"/>
        <v>0</v>
      </c>
      <c r="AA4047" s="511"/>
      <c r="AB4047" s="511" t="str">
        <f t="shared" si="3127"/>
        <v/>
      </c>
      <c r="AC4047" s="698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698"/>
      <c r="AE4047" s="631" t="str">
        <f t="shared" si="3128"/>
        <v/>
      </c>
      <c r="AF4047" s="699" t="str">
        <f t="shared" si="3129"/>
        <v/>
      </c>
      <c r="AG4047" s="699"/>
      <c r="AH4047" s="699"/>
      <c r="AI4047" s="512">
        <f>IF(H4047="credit",0,IF(AE4047="free",0,IF(AE4047="me",0,IF(G4047&gt;0,(VLOOKUP(A4047,'Discount Lookup'!J:K,2)*G4047),0))))</f>
        <v>0</v>
      </c>
      <c r="AJ4047" s="513" t="str">
        <f t="shared" ca="1" si="3130"/>
        <v/>
      </c>
      <c r="AK4047" s="700" t="str">
        <f t="shared" si="3131"/>
        <v/>
      </c>
      <c r="AL4047" s="700"/>
      <c r="AM4047" s="505" t="str">
        <f t="shared" si="3132"/>
        <v/>
      </c>
      <c r="AN4047" s="506"/>
      <c r="AO4047" s="507"/>
      <c r="AP4047" s="507"/>
      <c r="AQ4047" s="507"/>
      <c r="AR4047" s="507"/>
      <c r="AS4047" s="507"/>
      <c r="AT4047" s="507"/>
      <c r="AU4047" s="507"/>
      <c r="AV4047" s="225"/>
      <c r="AW4047" s="508"/>
      <c r="AX4047" s="225"/>
      <c r="AY4047" s="225"/>
      <c r="AZ4047" s="225"/>
      <c r="BA4047" s="225"/>
      <c r="BB4047" s="225"/>
      <c r="BC4047" s="56"/>
      <c r="BD4047" s="56"/>
      <c r="BE4047" s="56"/>
      <c r="BF4047" s="107" t="str">
        <f t="shared" si="3133"/>
        <v>https://www.google.com/search?tbm=isch&amp;q=White%20Cloud%20named%20for%20Ivory%20plumes%20that%20%27float%27%20above%20Blue-Green%20foliage%2C%20blooming%20slightly%20later%20than%20Pink%20Muhly%20</v>
      </c>
      <c r="BG4047" s="107" t="str">
        <f t="shared" si="3134"/>
        <v>W</v>
      </c>
      <c r="BH4047" s="254"/>
      <c r="BI4047" s="254"/>
    </row>
    <row r="4048" spans="1:61" customFormat="1" ht="18" x14ac:dyDescent="0.25">
      <c r="A4048" s="521" t="s">
        <v>2272</v>
      </c>
      <c r="B4048" s="477"/>
      <c r="C4048" s="674"/>
      <c r="D4048" s="478" t="s">
        <v>1333</v>
      </c>
      <c r="E4048" s="479"/>
      <c r="F4048" s="479"/>
      <c r="G4048" s="479"/>
      <c r="H4048" s="582" t="s">
        <v>467</v>
      </c>
      <c r="I4048" s="480" t="s">
        <v>654</v>
      </c>
      <c r="J4048" s="479"/>
      <c r="K4048" s="479"/>
      <c r="L4048" s="560"/>
      <c r="M4048" s="671" t="s">
        <v>4985</v>
      </c>
      <c r="N4048" s="680" t="str">
        <f>IF(AND(ISTEXT($A4048), ISERROR($A4048+0)), HYPERLINK($BF4048, "Images"), "")</f>
        <v>Images</v>
      </c>
      <c r="O4048" s="662" t="s">
        <v>4967</v>
      </c>
      <c r="P4048" s="482"/>
      <c r="Q4048" s="483"/>
      <c r="R4048" s="483"/>
      <c r="S4048" s="484"/>
      <c r="T4048" s="508">
        <f t="shared" si="3122"/>
        <v>0</v>
      </c>
      <c r="U4048" s="225" t="str">
        <f>IF(NOT(ISNUMBER(G4048)), "", VLOOKUP(A4048,'Discount Lookup'!D:E,2,FALSE)*G4048)</f>
        <v/>
      </c>
      <c r="V4048" s="225" t="str">
        <f>IF(NOT(ISNUMBER(G4048)), "", VLOOKUP(A4048,'Discount Lookup'!G:H,2,FALSE)*G4048)</f>
        <v/>
      </c>
      <c r="W4048" s="508">
        <f t="shared" si="3123"/>
        <v>0</v>
      </c>
      <c r="X4048" s="508" t="str">
        <f t="shared" si="3124"/>
        <v>White bloom</v>
      </c>
      <c r="Y4048" s="509" t="b">
        <f t="shared" si="3125"/>
        <v>0</v>
      </c>
      <c r="Z4048" s="510">
        <f t="shared" si="3126"/>
        <v>0</v>
      </c>
      <c r="AA4048" s="511"/>
      <c r="AB4048" s="511" t="str">
        <f t="shared" si="3127"/>
        <v/>
      </c>
      <c r="AC4048" s="698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698"/>
      <c r="AE4048" s="631" t="str">
        <f t="shared" si="3128"/>
        <v/>
      </c>
      <c r="AF4048" s="699" t="str">
        <f t="shared" si="3129"/>
        <v/>
      </c>
      <c r="AG4048" s="699"/>
      <c r="AH4048" s="699"/>
      <c r="AI4048" s="512">
        <f>IF(H4048="credit",0,IF(AE4048="free",0,IF(AE4048="me",0,IF(G4048&gt;0,(VLOOKUP(A4048,'Discount Lookup'!J:K,2)*G4048),0))))</f>
        <v>0</v>
      </c>
      <c r="AJ4048" s="513" t="str">
        <f t="shared" ca="1" si="3130"/>
        <v/>
      </c>
      <c r="AK4048" s="700" t="str">
        <f t="shared" si="3131"/>
        <v/>
      </c>
      <c r="AL4048" s="700"/>
      <c r="AM4048" s="505" t="str">
        <f t="shared" si="3132"/>
        <v/>
      </c>
      <c r="AN4048" s="506"/>
      <c r="AO4048" s="507"/>
      <c r="AP4048" s="507"/>
      <c r="AQ4048" s="507"/>
      <c r="AR4048" s="507"/>
      <c r="AS4048" s="507"/>
      <c r="AT4048" s="507"/>
      <c r="AU4048" s="507"/>
      <c r="AV4048" s="225"/>
      <c r="AW4048" s="508"/>
      <c r="AX4048" s="225"/>
      <c r="AY4048" s="225"/>
      <c r="AZ4048" s="225"/>
      <c r="BA4048" s="225"/>
      <c r="BB4048" s="225"/>
      <c r="BC4048" s="56"/>
      <c r="BD4048" s="56"/>
      <c r="BE4048" s="56"/>
      <c r="BF4048" s="107" t="str">
        <f t="shared" si="3133"/>
        <v>https://www.google.com/search?tbm=isch&amp;q=White%20Doves%20Camellia%20%20Camellia%20sasanqua%20%27Mine-No-Yuki%27</v>
      </c>
      <c r="BG4048" s="107" t="str">
        <f t="shared" si="3134"/>
        <v>W</v>
      </c>
      <c r="BH4048" s="254"/>
      <c r="BI4048" s="254"/>
    </row>
    <row r="4049" spans="1:61" customFormat="1" ht="15.75" x14ac:dyDescent="0.25">
      <c r="A4049" s="485">
        <v>7</v>
      </c>
      <c r="B4049" s="486" t="s">
        <v>291</v>
      </c>
      <c r="C4049" s="487" t="s">
        <v>4958</v>
      </c>
      <c r="D4049" s="488" t="s">
        <v>300</v>
      </c>
      <c r="E4049" s="489">
        <v>111.95</v>
      </c>
      <c r="F4049" s="516" t="s">
        <v>293</v>
      </c>
      <c r="G4049" s="232">
        <v>0</v>
      </c>
      <c r="H4049" s="658" t="str">
        <f>IF(G4049=0,"",IF(F4049="Buy",IF(G4049=1,"plant","plants"),IF(F4049&gt;0.01,"warranty","Error")))</f>
        <v/>
      </c>
      <c r="I4049" s="490">
        <f>IF(H4049="free",0,IF(H4049="credit",((E4049*(F4049))*G4049*-1),IF(F4049="Buy",(E4049*G4049),((E4049*(1-F4049))*G4049))))</f>
        <v>0</v>
      </c>
      <c r="J4049" s="490">
        <f>IF(H4049="warranty",0,(I4049*(_xlfn.SINGLE(SalesTaxPercentage))))</f>
        <v>0</v>
      </c>
      <c r="K4049" s="695">
        <f t="shared" ref="K4049" si="3135">I4049+J4049</f>
        <v>0</v>
      </c>
      <c r="L4049" s="695"/>
      <c r="M4049" s="659" t="str">
        <f>IF(AND(G4049&gt;0,E4049=0),"WARNING - no PRICE inserted",IF(H4049="free"," FREE ~ no charge this plant",IF(H4049="credit",CONCATENATE(" -$",ROUND(K4049*(1-T2GDiscount)*-1,2)," CREDIT after discount"),IF(T2GDiscount=0,"",IF(G4049=0,"",IF(F4049="Buy",CONCATENATE(" $",ROUND(K4049*(1-T2GDiscount),2)," with ",(T2GDiscount*100),"% discount"),CONCATENATE(" $",ROUND(K4049*(1-T2GDiscount),2)," with ",((T2GDiscount*100+F4049*100)-(T2GDiscount*100*F4049)),IF(F4049&gt;0,"% discounts",IF(NoWarrantyDiscount&gt;0,"% discounts","% discount")))))))))</f>
        <v/>
      </c>
      <c r="N4049" s="660"/>
      <c r="O4049" s="233"/>
      <c r="P4049" s="233"/>
      <c r="Q4049" s="233"/>
      <c r="R4049" s="233"/>
      <c r="S4049" s="233"/>
      <c r="T4049" s="508">
        <f t="shared" si="3122"/>
        <v>0</v>
      </c>
      <c r="U4049" s="225">
        <f>IF(NOT(ISNUMBER(G4049)), "", VLOOKUP(A4049,'Discount Lookup'!D:E,2,FALSE)*G4049)</f>
        <v>0</v>
      </c>
      <c r="V4049" s="225">
        <f>IF(NOT(ISNUMBER(G4049)), "", VLOOKUP(A4049,'Discount Lookup'!G:H,2,FALSE)*G4049)</f>
        <v>0</v>
      </c>
      <c r="W4049" s="508">
        <f t="shared" si="3123"/>
        <v>0</v>
      </c>
      <c r="X4049" s="508">
        <f t="shared" si="3124"/>
        <v>0</v>
      </c>
      <c r="Y4049" s="509" t="b">
        <f t="shared" si="3125"/>
        <v>0</v>
      </c>
      <c r="Z4049" s="510">
        <f t="shared" si="3126"/>
        <v>0</v>
      </c>
      <c r="AA4049" s="511"/>
      <c r="AB4049" s="511" t="str">
        <f t="shared" si="3127"/>
        <v/>
      </c>
      <c r="AC4049" s="698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698"/>
      <c r="AE4049" s="631" t="str">
        <f t="shared" si="3128"/>
        <v/>
      </c>
      <c r="AF4049" s="699" t="str">
        <f t="shared" si="3129"/>
        <v/>
      </c>
      <c r="AG4049" s="699"/>
      <c r="AH4049" s="699"/>
      <c r="AI4049" s="512">
        <f>IF(H4049="credit",0,IF(AE4049="free",0,IF(AE4049="me",0,IF(G4049&gt;0,(VLOOKUP(A4049,'Discount Lookup'!J:K,2)*G4049),0))))</f>
        <v>0</v>
      </c>
      <c r="AJ4049" s="513" t="str">
        <f t="shared" ca="1" si="3130"/>
        <v/>
      </c>
      <c r="AK4049" s="700" t="str">
        <f t="shared" si="3131"/>
        <v/>
      </c>
      <c r="AL4049" s="700"/>
      <c r="AM4049" s="505" t="str">
        <f t="shared" si="3132"/>
        <v/>
      </c>
      <c r="AN4049" s="506"/>
      <c r="AO4049" s="507"/>
      <c r="AP4049" s="507"/>
      <c r="AQ4049" s="507"/>
      <c r="AR4049" s="507"/>
      <c r="AS4049" s="507"/>
      <c r="AT4049" s="507"/>
      <c r="AU4049" s="507"/>
      <c r="AV4049" s="225"/>
      <c r="AW4049" s="508"/>
      <c r="AX4049" s="225"/>
      <c r="AY4049" s="225"/>
      <c r="AZ4049" s="225"/>
      <c r="BA4049" s="225"/>
      <c r="BB4049" s="225"/>
      <c r="BC4049" s="56"/>
      <c r="BD4049" s="56"/>
      <c r="BE4049" s="56"/>
      <c r="BF4049" s="107" t="str">
        <f t="shared" si="3133"/>
        <v>https://www.google.com/search?tbm=isch&amp;q=7%20G6</v>
      </c>
      <c r="BG4049" s="107" t="str">
        <f t="shared" si="3134"/>
        <v>W</v>
      </c>
      <c r="BH4049" s="254"/>
      <c r="BI4049" s="254"/>
    </row>
    <row r="4050" spans="1:61" customFormat="1" ht="17.25" thickBot="1" x14ac:dyDescent="0.3">
      <c r="A4050" s="672" t="s">
        <v>5281</v>
      </c>
      <c r="B4050" s="491"/>
      <c r="C4050" s="675"/>
      <c r="D4050" s="491"/>
      <c r="E4050" s="491"/>
      <c r="F4050" s="492"/>
      <c r="G4050" s="493"/>
      <c r="H4050" s="491"/>
      <c r="I4050" s="234"/>
      <c r="J4050" s="234"/>
      <c r="K4050" s="494"/>
      <c r="L4050" s="543"/>
      <c r="M4050" s="561"/>
      <c r="N4050" s="495"/>
      <c r="O4050" s="496"/>
      <c r="P4050" s="497"/>
      <c r="Q4050" s="495"/>
      <c r="R4050" s="495"/>
      <c r="S4050" s="667" t="s">
        <v>4986</v>
      </c>
      <c r="T4050" s="508">
        <f t="shared" si="3122"/>
        <v>0</v>
      </c>
      <c r="U4050" s="225" t="str">
        <f>IF(NOT(ISNUMBER(G4050)), "", VLOOKUP(A4050,'Discount Lookup'!D:E,2,FALSE)*G4050)</f>
        <v/>
      </c>
      <c r="V4050" s="225" t="str">
        <f>IF(NOT(ISNUMBER(G4050)), "", VLOOKUP(A4050,'Discount Lookup'!G:H,2,FALSE)*G4050)</f>
        <v/>
      </c>
      <c r="W4050" s="508">
        <f t="shared" si="3123"/>
        <v>0</v>
      </c>
      <c r="X4050" s="508">
        <f t="shared" si="3124"/>
        <v>0</v>
      </c>
      <c r="Y4050" s="509" t="b">
        <f t="shared" si="3125"/>
        <v>0</v>
      </c>
      <c r="Z4050" s="510">
        <f t="shared" si="3126"/>
        <v>0</v>
      </c>
      <c r="AA4050" s="511"/>
      <c r="AB4050" s="511" t="str">
        <f t="shared" si="3127"/>
        <v/>
      </c>
      <c r="AC4050" s="698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698"/>
      <c r="AE4050" s="631" t="str">
        <f t="shared" si="3128"/>
        <v/>
      </c>
      <c r="AF4050" s="699" t="str">
        <f t="shared" si="3129"/>
        <v/>
      </c>
      <c r="AG4050" s="699"/>
      <c r="AH4050" s="699"/>
      <c r="AI4050" s="512">
        <f>IF(H4050="credit",0,IF(AE4050="free",0,IF(AE4050="me",0,IF(G4050&gt;0,(VLOOKUP(A4050,'Discount Lookup'!J:K,2)*G4050),0))))</f>
        <v>0</v>
      </c>
      <c r="AJ4050" s="513" t="str">
        <f t="shared" ca="1" si="3130"/>
        <v/>
      </c>
      <c r="AK4050" s="700" t="str">
        <f t="shared" si="3131"/>
        <v/>
      </c>
      <c r="AL4050" s="700"/>
      <c r="AM4050" s="505" t="str">
        <f t="shared" si="3132"/>
        <v/>
      </c>
      <c r="AN4050" s="506"/>
      <c r="AO4050" s="507"/>
      <c r="AP4050" s="507"/>
      <c r="AQ4050" s="507"/>
      <c r="AR4050" s="507"/>
      <c r="AS4050" s="507"/>
      <c r="AT4050" s="507"/>
      <c r="AU4050" s="507"/>
      <c r="AV4050" s="225"/>
      <c r="AW4050" s="508"/>
      <c r="AX4050" s="225"/>
      <c r="AY4050" s="225"/>
      <c r="AZ4050" s="225"/>
      <c r="BA4050" s="225"/>
      <c r="BB4050" s="225"/>
      <c r="BC4050" s="56"/>
      <c r="BD4050" s="56"/>
      <c r="BE4050" s="56"/>
      <c r="BF4050" s="107" t="str">
        <f t="shared" si="3133"/>
        <v>https://www.google.com/search?tbm=isch&amp;q=moist%20sites%F0%9F%92%A7OK%2C%20White%20Doves%20brings%20serene%20elegance%20to%20fall%20and%20winter%20gardens%20with%20its%20fragrant%20blooms%20and%20graceful%20form%20</v>
      </c>
      <c r="BG4050" s="107" t="str">
        <f t="shared" si="3134"/>
        <v>m</v>
      </c>
      <c r="BH4050" s="254"/>
      <c r="BI4050" s="254"/>
    </row>
    <row r="4051" spans="1:61" customFormat="1" ht="18" x14ac:dyDescent="0.25">
      <c r="A4051" s="523" t="s">
        <v>5569</v>
      </c>
      <c r="B4051" s="235"/>
      <c r="C4051" s="676"/>
      <c r="D4051" s="255" t="s">
        <v>2017</v>
      </c>
      <c r="E4051" s="236"/>
      <c r="F4051" s="236"/>
      <c r="G4051" s="236"/>
      <c r="H4051" s="582" t="s">
        <v>508</v>
      </c>
      <c r="I4051" s="498" t="s">
        <v>2018</v>
      </c>
      <c r="J4051" s="237"/>
      <c r="K4051" s="237"/>
      <c r="L4051" s="274"/>
      <c r="M4051" s="668" t="s">
        <v>4962</v>
      </c>
      <c r="N4051" s="681" t="str">
        <f>IF(AND(ISTEXT($A4051), ISERROR($A4051+0)), HYPERLINK($BF4051, "Images"), "")</f>
        <v>Images</v>
      </c>
      <c r="O4051" s="663" t="s">
        <v>4974</v>
      </c>
      <c r="P4051" s="253"/>
      <c r="Q4051" s="238"/>
      <c r="R4051" s="239"/>
      <c r="S4051" s="275"/>
      <c r="T4051" s="508">
        <f t="shared" si="3122"/>
        <v>0</v>
      </c>
      <c r="U4051" s="225" t="str">
        <f>IF(NOT(ISNUMBER(G4051)), "", VLOOKUP(A4051,'Discount Lookup'!D:E,2,FALSE)*G4051)</f>
        <v/>
      </c>
      <c r="V4051" s="225" t="str">
        <f>IF(NOT(ISNUMBER(G4051)), "", VLOOKUP(A4051,'Discount Lookup'!G:H,2,FALSE)*G4051)</f>
        <v/>
      </c>
      <c r="W4051" s="508">
        <f t="shared" si="3123"/>
        <v>0</v>
      </c>
      <c r="X4051" s="508" t="str">
        <f t="shared" si="3124"/>
        <v>Bright White bloom</v>
      </c>
      <c r="Y4051" s="509" t="b">
        <f t="shared" si="3125"/>
        <v>0</v>
      </c>
      <c r="Z4051" s="510">
        <f t="shared" si="3126"/>
        <v>0</v>
      </c>
      <c r="AA4051" s="511"/>
      <c r="AB4051" s="511" t="str">
        <f t="shared" si="3127"/>
        <v/>
      </c>
      <c r="AC4051" s="698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698"/>
      <c r="AE4051" s="631" t="str">
        <f t="shared" si="3128"/>
        <v/>
      </c>
      <c r="AF4051" s="699" t="str">
        <f t="shared" si="3129"/>
        <v/>
      </c>
      <c r="AG4051" s="699"/>
      <c r="AH4051" s="699"/>
      <c r="AI4051" s="512">
        <f>IF(H4051="credit",0,IF(AE4051="free",0,IF(AE4051="me",0,IF(G4051&gt;0,(VLOOKUP(A4051,'Discount Lookup'!J:K,2)*G4051),0))))</f>
        <v>0</v>
      </c>
      <c r="AJ4051" s="513" t="str">
        <f t="shared" ca="1" si="3130"/>
        <v/>
      </c>
      <c r="AK4051" s="700" t="str">
        <f t="shared" si="3131"/>
        <v/>
      </c>
      <c r="AL4051" s="700"/>
      <c r="AM4051" s="505" t="str">
        <f t="shared" si="3132"/>
        <v/>
      </c>
      <c r="AN4051" s="506"/>
      <c r="AO4051" s="507"/>
      <c r="AP4051" s="507"/>
      <c r="AQ4051" s="507"/>
      <c r="AR4051" s="507"/>
      <c r="AS4051" s="507"/>
      <c r="AT4051" s="507"/>
      <c r="AU4051" s="507"/>
      <c r="AV4051" s="225"/>
      <c r="AW4051" s="508"/>
      <c r="AX4051" s="225"/>
      <c r="AY4051" s="225"/>
      <c r="AZ4051" s="225"/>
      <c r="BA4051" s="225"/>
      <c r="BB4051" s="225"/>
      <c r="BC4051" s="56"/>
      <c r="BD4051" s="56"/>
      <c r="BE4051" s="56"/>
      <c r="BF4051" s="107" t="str">
        <f t="shared" si="3133"/>
        <v>https://www.google.com/search?tbm=isch&amp;q=White%20Drift%C2%AE%20Rose%20Rosa%20%27Meizorland%27%20PP%2328054</v>
      </c>
      <c r="BG4051" s="107" t="str">
        <f t="shared" si="3134"/>
        <v>W</v>
      </c>
      <c r="BH4051" s="254"/>
      <c r="BI4051" s="254"/>
    </row>
    <row r="4052" spans="1:61" customFormat="1" ht="15.75" x14ac:dyDescent="0.25">
      <c r="A4052" s="276">
        <v>3</v>
      </c>
      <c r="B4052" s="240" t="s">
        <v>291</v>
      </c>
      <c r="C4052" s="241"/>
      <c r="D4052" s="242" t="s">
        <v>298</v>
      </c>
      <c r="E4052" s="243">
        <v>31.95</v>
      </c>
      <c r="F4052" s="517" t="s">
        <v>293</v>
      </c>
      <c r="G4052" s="232">
        <v>0</v>
      </c>
      <c r="H4052" s="661" t="str">
        <f>IF(G4052=0,"",IF(F4052="Buy",IF(G4052=1,"plant","plants"),IF(F4052&gt;0.01,"warranty","Error")))</f>
        <v/>
      </c>
      <c r="I4052" s="244">
        <f>IF(H4052="free",0,IF(H4052="credit",((E4052*(F4052))*G4052*-1),IF(F4052="Buy",(E4052*G4052),((E4052*(1-F4052))*G4052))))</f>
        <v>0</v>
      </c>
      <c r="J4052" s="244">
        <f>IF(H4052="warranty",0,(I4052*(_xlfn.SINGLE(SalesTaxPercentage))))</f>
        <v>0</v>
      </c>
      <c r="K4052" s="696">
        <f t="shared" ref="K4052" si="3136">I4052+J4052</f>
        <v>0</v>
      </c>
      <c r="L4052" s="696"/>
      <c r="M4052" s="659" t="str">
        <f>IF(AND(G4052&gt;0,E4052=0),"WARNING - no PRICE inserted",IF(H4052="free"," FREE ~ no charge this plant",IF(H4052="credit",CONCATENATE(" -$",ROUND(K4052*(1-T2GDiscount)*-1,2)," CREDIT after discount"),IF(T2GDiscount=0,"",IF(G4052=0,"",IF(F4052="Buy",CONCATENATE(" $",ROUND(K4052*(1-T2GDiscount),2)," with ",(T2GDiscount*100),"% discount"),CONCATENATE(" $",ROUND(K4052*(1-T2GDiscount),2)," with ",((T2GDiscount*100+F4052*100)-(T2GDiscount*100*F4052)),IF(F4052&gt;0,"% discounts",IF(NoWarrantyDiscount&gt;0,"% discounts","% discount")))))))))</f>
        <v/>
      </c>
      <c r="N4052" s="660"/>
      <c r="O4052" s="233"/>
      <c r="P4052" s="233"/>
      <c r="Q4052" s="233"/>
      <c r="R4052" s="233"/>
      <c r="S4052" s="233"/>
      <c r="T4052" s="508">
        <f t="shared" si="3122"/>
        <v>0</v>
      </c>
      <c r="U4052" s="225">
        <f>IF(NOT(ISNUMBER(G4052)), "", VLOOKUP(A4052,'Discount Lookup'!D:E,2,FALSE)*G4052)</f>
        <v>0</v>
      </c>
      <c r="V4052" s="225">
        <f>IF(NOT(ISNUMBER(G4052)), "", VLOOKUP(A4052,'Discount Lookup'!G:H,2,FALSE)*G4052)</f>
        <v>0</v>
      </c>
      <c r="W4052" s="508">
        <f t="shared" si="3123"/>
        <v>0</v>
      </c>
      <c r="X4052" s="508">
        <f t="shared" si="3124"/>
        <v>0</v>
      </c>
      <c r="Y4052" s="509" t="b">
        <f t="shared" si="3125"/>
        <v>0</v>
      </c>
      <c r="Z4052" s="510">
        <f t="shared" si="3126"/>
        <v>0</v>
      </c>
      <c r="AA4052" s="511"/>
      <c r="AB4052" s="511" t="str">
        <f t="shared" si="3127"/>
        <v/>
      </c>
      <c r="AC4052" s="698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698"/>
      <c r="AE4052" s="631" t="str">
        <f t="shared" si="3128"/>
        <v/>
      </c>
      <c r="AF4052" s="699" t="str">
        <f t="shared" si="3129"/>
        <v/>
      </c>
      <c r="AG4052" s="699"/>
      <c r="AH4052" s="699"/>
      <c r="AI4052" s="512">
        <f>IF(H4052="credit",0,IF(AE4052="free",0,IF(AE4052="me",0,IF(G4052&gt;0,(VLOOKUP(A4052,'Discount Lookup'!J:K,2)*G4052),0))))</f>
        <v>0</v>
      </c>
      <c r="AJ4052" s="513" t="str">
        <f t="shared" ca="1" si="3130"/>
        <v/>
      </c>
      <c r="AK4052" s="700" t="str">
        <f t="shared" si="3131"/>
        <v/>
      </c>
      <c r="AL4052" s="700"/>
      <c r="AM4052" s="505" t="str">
        <f t="shared" si="3132"/>
        <v/>
      </c>
      <c r="AN4052" s="506"/>
      <c r="AO4052" s="507"/>
      <c r="AP4052" s="507"/>
      <c r="AQ4052" s="507"/>
      <c r="AR4052" s="507"/>
      <c r="AS4052" s="507"/>
      <c r="AT4052" s="507"/>
      <c r="AU4052" s="507"/>
      <c r="AV4052" s="225"/>
      <c r="AW4052" s="508"/>
      <c r="AX4052" s="225"/>
      <c r="AY4052" s="225"/>
      <c r="AZ4052" s="225"/>
      <c r="BA4052" s="225"/>
      <c r="BB4052" s="225"/>
      <c r="BC4052" s="56"/>
      <c r="BD4052" s="56"/>
      <c r="BE4052" s="56"/>
      <c r="BF4052" s="107" t="str">
        <f t="shared" si="3133"/>
        <v>https://www.google.com/search?tbm=isch&amp;q=3%20G1</v>
      </c>
      <c r="BG4052" s="107" t="str">
        <f t="shared" si="3134"/>
        <v>W</v>
      </c>
      <c r="BH4052" s="254"/>
      <c r="BI4052" s="254"/>
    </row>
    <row r="4053" spans="1:61" customFormat="1" ht="15.75" x14ac:dyDescent="0.25">
      <c r="A4053" s="276">
        <v>3</v>
      </c>
      <c r="B4053" s="240" t="s">
        <v>291</v>
      </c>
      <c r="C4053" s="241" t="s">
        <v>4859</v>
      </c>
      <c r="D4053" s="242" t="s">
        <v>312</v>
      </c>
      <c r="E4053" s="243">
        <v>31.95</v>
      </c>
      <c r="F4053" s="517" t="s">
        <v>293</v>
      </c>
      <c r="G4053" s="232">
        <v>0</v>
      </c>
      <c r="H4053" s="661" t="str">
        <f>IF(G4053=0,"",IF(F4053="Buy",IF(G4053=1,"plant","plants"),IF(F4053&gt;0.01,"warranty","Error")))</f>
        <v/>
      </c>
      <c r="I4053" s="244">
        <f>IF(H4053="free",0,IF(H4053="credit",((E4053*(F4053))*G4053*-1),IF(F4053="Buy",(E4053*G4053),((E4053*(1-F4053))*G4053))))</f>
        <v>0</v>
      </c>
      <c r="J4053" s="244">
        <f>IF(H4053="warranty",0,(I4053*(_xlfn.SINGLE(SalesTaxPercentage))))</f>
        <v>0</v>
      </c>
      <c r="K4053" s="696">
        <f t="shared" ref="K4053" si="3137">I4053+J4053</f>
        <v>0</v>
      </c>
      <c r="L4053" s="696"/>
      <c r="M4053" s="659" t="str">
        <f>IF(AND(G4053&gt;0,E4053=0),"WARNING - no PRICE inserted",IF(H4053="free"," FREE ~ no charge this plant",IF(H4053="credit",CONCATENATE(" -$",ROUND(K4053*(1-T2GDiscount)*-1,2)," CREDIT after discount"),IF(T2GDiscount=0,"",IF(G4053=0,"",IF(F4053="Buy",CONCATENATE(" $",ROUND(K4053*(1-T2GDiscount),2)," with ",(T2GDiscount*100),"% discount"),CONCATENATE(" $",ROUND(K4053*(1-T2GDiscount),2)," with ",((T2GDiscount*100+F4053*100)-(T2GDiscount*100*F4053)),IF(F4053&gt;0,"% discounts",IF(NoWarrantyDiscount&gt;0,"% discounts","% discount")))))))))</f>
        <v/>
      </c>
      <c r="N4053" s="660"/>
      <c r="O4053" s="233"/>
      <c r="P4053" s="233"/>
      <c r="Q4053" s="233"/>
      <c r="R4053" s="233"/>
      <c r="S4053" s="233"/>
      <c r="T4053" s="508">
        <f t="shared" si="3122"/>
        <v>0</v>
      </c>
      <c r="U4053" s="225">
        <f>IF(NOT(ISNUMBER(G4053)), "", VLOOKUP(A4053,'Discount Lookup'!D:E,2,FALSE)*G4053)</f>
        <v>0</v>
      </c>
      <c r="V4053" s="225">
        <f>IF(NOT(ISNUMBER(G4053)), "", VLOOKUP(A4053,'Discount Lookup'!G:H,2,FALSE)*G4053)</f>
        <v>0</v>
      </c>
      <c r="W4053" s="508">
        <f t="shared" si="3123"/>
        <v>0</v>
      </c>
      <c r="X4053" s="508">
        <f t="shared" si="3124"/>
        <v>0</v>
      </c>
      <c r="Y4053" s="509" t="b">
        <f t="shared" si="3125"/>
        <v>0</v>
      </c>
      <c r="Z4053" s="510">
        <f t="shared" si="3126"/>
        <v>0</v>
      </c>
      <c r="AA4053" s="511"/>
      <c r="AB4053" s="511" t="str">
        <f t="shared" si="3127"/>
        <v/>
      </c>
      <c r="AC4053" s="698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698"/>
      <c r="AE4053" s="631" t="str">
        <f t="shared" si="3128"/>
        <v/>
      </c>
      <c r="AF4053" s="699" t="str">
        <f t="shared" si="3129"/>
        <v/>
      </c>
      <c r="AG4053" s="699"/>
      <c r="AH4053" s="699"/>
      <c r="AI4053" s="512">
        <f>IF(H4053="credit",0,IF(AE4053="free",0,IF(AE4053="me",0,IF(G4053&gt;0,(VLOOKUP(A4053,'Discount Lookup'!J:K,2)*G4053),0))))</f>
        <v>0</v>
      </c>
      <c r="AJ4053" s="513" t="str">
        <f t="shared" ca="1" si="3130"/>
        <v/>
      </c>
      <c r="AK4053" s="700" t="str">
        <f t="shared" si="3131"/>
        <v/>
      </c>
      <c r="AL4053" s="700"/>
      <c r="AM4053" s="505" t="str">
        <f t="shared" si="3132"/>
        <v/>
      </c>
      <c r="AN4053" s="506"/>
      <c r="AO4053" s="507"/>
      <c r="AP4053" s="507"/>
      <c r="AQ4053" s="507"/>
      <c r="AR4053" s="507"/>
      <c r="AS4053" s="507"/>
      <c r="AT4053" s="507"/>
      <c r="AU4053" s="507"/>
      <c r="AV4053" s="225"/>
      <c r="AW4053" s="508"/>
      <c r="AX4053" s="225"/>
      <c r="AY4053" s="225"/>
      <c r="AZ4053" s="225"/>
      <c r="BA4053" s="225"/>
      <c r="BB4053" s="225"/>
      <c r="BC4053" s="56"/>
      <c r="BD4053" s="56"/>
      <c r="BE4053" s="56"/>
      <c r="BF4053" s="107" t="str">
        <f t="shared" si="3133"/>
        <v>https://www.google.com/search?tbm=isch&amp;q=3%20G2</v>
      </c>
      <c r="BG4053" s="107" t="str">
        <f t="shared" si="3134"/>
        <v>W</v>
      </c>
      <c r="BH4053" s="254"/>
      <c r="BI4053" s="254"/>
    </row>
    <row r="4054" spans="1:61" customFormat="1" ht="17.25" thickBot="1" x14ac:dyDescent="0.3">
      <c r="A4054" s="524" t="s">
        <v>4052</v>
      </c>
      <c r="B4054" s="245"/>
      <c r="C4054" s="677"/>
      <c r="D4054" s="499"/>
      <c r="E4054" s="499"/>
      <c r="F4054" s="500"/>
      <c r="G4054" s="501"/>
      <c r="H4054" s="502"/>
      <c r="I4054" s="246"/>
      <c r="J4054" s="247"/>
      <c r="K4054" s="503"/>
      <c r="L4054" s="544"/>
      <c r="M4054" s="544"/>
      <c r="N4054" s="500"/>
      <c r="O4054" s="500"/>
      <c r="P4054" s="500"/>
      <c r="Q4054" s="500"/>
      <c r="R4054" s="500"/>
      <c r="S4054" s="669" t="s">
        <v>4980</v>
      </c>
      <c r="T4054" s="508">
        <f t="shared" si="3122"/>
        <v>0</v>
      </c>
      <c r="U4054" s="225" t="str">
        <f>IF(NOT(ISNUMBER(G4054)), "", VLOOKUP(A4054,'Discount Lookup'!D:E,2,FALSE)*G4054)</f>
        <v/>
      </c>
      <c r="V4054" s="225" t="str">
        <f>IF(NOT(ISNUMBER(G4054)), "", VLOOKUP(A4054,'Discount Lookup'!G:H,2,FALSE)*G4054)</f>
        <v/>
      </c>
      <c r="W4054" s="508">
        <f t="shared" si="3123"/>
        <v>0</v>
      </c>
      <c r="X4054" s="508">
        <f t="shared" si="3124"/>
        <v>0</v>
      </c>
      <c r="Y4054" s="509" t="b">
        <f t="shared" si="3125"/>
        <v>0</v>
      </c>
      <c r="Z4054" s="510">
        <f t="shared" si="3126"/>
        <v>0</v>
      </c>
      <c r="AA4054" s="511"/>
      <c r="AB4054" s="511" t="str">
        <f t="shared" si="3127"/>
        <v/>
      </c>
      <c r="AC4054" s="698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698"/>
      <c r="AE4054" s="631" t="str">
        <f t="shared" si="3128"/>
        <v/>
      </c>
      <c r="AF4054" s="699" t="str">
        <f t="shared" si="3129"/>
        <v/>
      </c>
      <c r="AG4054" s="699"/>
      <c r="AH4054" s="699"/>
      <c r="AI4054" s="512">
        <f>IF(H4054="credit",0,IF(AE4054="free",0,IF(AE4054="me",0,IF(G4054&gt;0,(VLOOKUP(A4054,'Discount Lookup'!J:K,2)*G4054),0))))</f>
        <v>0</v>
      </c>
      <c r="AJ4054" s="513" t="str">
        <f t="shared" ca="1" si="3130"/>
        <v/>
      </c>
      <c r="AK4054" s="700" t="str">
        <f t="shared" si="3131"/>
        <v/>
      </c>
      <c r="AL4054" s="700"/>
      <c r="AM4054" s="505" t="str">
        <f t="shared" si="3132"/>
        <v/>
      </c>
      <c r="AN4054" s="506"/>
      <c r="AO4054" s="507"/>
      <c r="AP4054" s="507"/>
      <c r="AQ4054" s="507"/>
      <c r="AR4054" s="507"/>
      <c r="AS4054" s="507"/>
      <c r="AT4054" s="507"/>
      <c r="AU4054" s="507"/>
      <c r="AV4054" s="225"/>
      <c r="AW4054" s="508"/>
      <c r="AX4054" s="225"/>
      <c r="AY4054" s="225"/>
      <c r="AZ4054" s="225"/>
      <c r="BA4054" s="225"/>
      <c r="BB4054" s="225"/>
      <c r="BC4054" s="56"/>
      <c r="BD4054" s="56"/>
      <c r="BE4054" s="56"/>
      <c r="BF4054" s="107" t="str">
        <f t="shared" si="3133"/>
        <v>https://www.google.com/search?tbm=isch&amp;q=Drift%20Roses%20bloom%20all%20summer%20and%20don%27t%20need%20deadheading%2C%20Glossy%20Green%20foliage%20and%20thorns%20%28rabbits%20may%20still%20nibble%29.%20Cut%20back%20annually%20</v>
      </c>
      <c r="BG4054" s="107" t="str">
        <f t="shared" si="3134"/>
        <v>D</v>
      </c>
      <c r="BH4054" s="254"/>
      <c r="BI4054" s="254"/>
    </row>
    <row r="4055" spans="1:61" customFormat="1" ht="18" x14ac:dyDescent="0.25">
      <c r="A4055" s="523" t="s">
        <v>2019</v>
      </c>
      <c r="B4055" s="235"/>
      <c r="C4055" s="676"/>
      <c r="D4055" s="255" t="s">
        <v>2020</v>
      </c>
      <c r="E4055" s="236"/>
      <c r="F4055" s="236"/>
      <c r="G4055" s="236"/>
      <c r="H4055" s="582" t="s">
        <v>378</v>
      </c>
      <c r="I4055" s="498" t="s">
        <v>654</v>
      </c>
      <c r="J4055" s="237"/>
      <c r="K4055" s="237"/>
      <c r="L4055" s="274"/>
      <c r="M4055" s="668" t="s">
        <v>4975</v>
      </c>
      <c r="N4055" s="681" t="str">
        <f>IF(AND(ISTEXT($A4055), ISERROR($A4055+0)), HYPERLINK($BF4055, "Images"), "")</f>
        <v>Images</v>
      </c>
      <c r="O4055" s="663" t="s">
        <v>4974</v>
      </c>
      <c r="P4055" s="253"/>
      <c r="Q4055" s="238"/>
      <c r="R4055" s="239"/>
      <c r="S4055" s="275" t="s">
        <v>305</v>
      </c>
      <c r="T4055" s="508">
        <f t="shared" si="3122"/>
        <v>0</v>
      </c>
      <c r="U4055" s="225" t="str">
        <f>IF(NOT(ISNUMBER(G4055)), "", VLOOKUP(A4055,'Discount Lookup'!D:E,2,FALSE)*G4055)</f>
        <v/>
      </c>
      <c r="V4055" s="225" t="str">
        <f>IF(NOT(ISNUMBER(G4055)), "", VLOOKUP(A4055,'Discount Lookup'!G:H,2,FALSE)*G4055)</f>
        <v/>
      </c>
      <c r="W4055" s="508">
        <f t="shared" si="3123"/>
        <v>0</v>
      </c>
      <c r="X4055" s="508" t="str">
        <f t="shared" si="3124"/>
        <v>White bloom</v>
      </c>
      <c r="Y4055" s="509" t="b">
        <f t="shared" si="3125"/>
        <v>0</v>
      </c>
      <c r="Z4055" s="510">
        <f t="shared" si="3126"/>
        <v>0</v>
      </c>
      <c r="AA4055" s="511"/>
      <c r="AB4055" s="511" t="str">
        <f t="shared" si="3127"/>
        <v/>
      </c>
      <c r="AC4055" s="698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698"/>
      <c r="AE4055" s="631" t="str">
        <f t="shared" si="3128"/>
        <v/>
      </c>
      <c r="AF4055" s="699" t="str">
        <f t="shared" si="3129"/>
        <v/>
      </c>
      <c r="AG4055" s="699"/>
      <c r="AH4055" s="699"/>
      <c r="AI4055" s="512">
        <f>IF(H4055="credit",0,IF(AE4055="free",0,IF(AE4055="me",0,IF(G4055&gt;0,(VLOOKUP(A4055,'Discount Lookup'!J:K,2)*G4055),0))))</f>
        <v>0</v>
      </c>
      <c r="AJ4055" s="513" t="str">
        <f t="shared" ca="1" si="3130"/>
        <v/>
      </c>
      <c r="AK4055" s="700" t="str">
        <f t="shared" si="3131"/>
        <v/>
      </c>
      <c r="AL4055" s="700"/>
      <c r="AM4055" s="505" t="str">
        <f t="shared" si="3132"/>
        <v/>
      </c>
      <c r="AN4055" s="506"/>
      <c r="AO4055" s="507"/>
      <c r="AP4055" s="507"/>
      <c r="AQ4055" s="507"/>
      <c r="AR4055" s="507"/>
      <c r="AS4055" s="507"/>
      <c r="AT4055" s="507"/>
      <c r="AU4055" s="507"/>
      <c r="AV4055" s="225"/>
      <c r="AW4055" s="508"/>
      <c r="AX4055" s="225"/>
      <c r="AY4055" s="225"/>
      <c r="AZ4055" s="225"/>
      <c r="BA4055" s="225"/>
      <c r="BB4055" s="225"/>
      <c r="BC4055" s="56"/>
      <c r="BD4055" s="56"/>
      <c r="BE4055" s="56"/>
      <c r="BF4055" s="107" t="str">
        <f t="shared" si="3133"/>
        <v>https://www.google.com/search?tbm=isch&amp;q=White%20Fringetree%20Chionanthus%20virginicus</v>
      </c>
      <c r="BG4055" s="107" t="str">
        <f t="shared" si="3134"/>
        <v>W</v>
      </c>
      <c r="BH4055" s="254"/>
      <c r="BI4055" s="254"/>
    </row>
    <row r="4056" spans="1:61" customFormat="1" ht="15.75" x14ac:dyDescent="0.25">
      <c r="A4056" s="276">
        <v>7</v>
      </c>
      <c r="B4056" s="240" t="s">
        <v>291</v>
      </c>
      <c r="C4056" s="241" t="s">
        <v>3863</v>
      </c>
      <c r="D4056" s="242" t="s">
        <v>292</v>
      </c>
      <c r="E4056" s="243">
        <v>109.95</v>
      </c>
      <c r="F4056" s="517" t="s">
        <v>293</v>
      </c>
      <c r="G4056" s="232">
        <v>0</v>
      </c>
      <c r="H4056" s="661" t="str">
        <f>IF(G4056=0,"",IF(F4056="Buy",IF(G4056=1,"plant","plants"),IF(F4056&gt;0.01,"warranty","Error")))</f>
        <v/>
      </c>
      <c r="I4056" s="244">
        <f>IF(H4056="free",0,IF(H4056="credit",((E4056*(F4056))*G4056*-1),IF(F4056="Buy",(E4056*G4056),((E4056*(1-F4056))*G4056))))</f>
        <v>0</v>
      </c>
      <c r="J4056" s="244">
        <f>IF(H4056="warranty",0,(I4056*(_xlfn.SINGLE(SalesTaxPercentage))))</f>
        <v>0</v>
      </c>
      <c r="K4056" s="696">
        <f t="shared" ref="K4056" si="3138">I4056+J4056</f>
        <v>0</v>
      </c>
      <c r="L4056" s="696"/>
      <c r="M4056" s="659" t="str">
        <f>IF(AND(G4056&gt;0,E4056=0),"WARNING - no PRICE inserted",IF(H4056="free"," FREE ~ no charge this plant",IF(H4056="credit",CONCATENATE(" -$",ROUND(K4056*(1-T2GDiscount)*-1,2)," CREDIT after discount"),IF(T2GDiscount=0,"",IF(G4056=0,"",IF(F4056="Buy",CONCATENATE(" $",ROUND(K4056*(1-T2GDiscount),2)," with ",(T2GDiscount*100),"% discount"),CONCATENATE(" $",ROUND(K4056*(1-T2GDiscount),2)," with ",((T2GDiscount*100+F4056*100)-(T2GDiscount*100*F4056)),IF(F4056&gt;0,"% discounts",IF(NoWarrantyDiscount&gt;0,"% discounts","% discount")))))))))</f>
        <v/>
      </c>
      <c r="N4056" s="660"/>
      <c r="O4056" s="233"/>
      <c r="P4056" s="233"/>
      <c r="Q4056" s="233"/>
      <c r="R4056" s="233"/>
      <c r="S4056" s="233"/>
      <c r="T4056" s="508">
        <f t="shared" si="3122"/>
        <v>0</v>
      </c>
      <c r="U4056" s="225">
        <f>IF(NOT(ISNUMBER(G4056)), "", VLOOKUP(A4056,'Discount Lookup'!D:E,2,FALSE)*G4056)</f>
        <v>0</v>
      </c>
      <c r="V4056" s="225">
        <f>IF(NOT(ISNUMBER(G4056)), "", VLOOKUP(A4056,'Discount Lookup'!G:H,2,FALSE)*G4056)</f>
        <v>0</v>
      </c>
      <c r="W4056" s="508">
        <f t="shared" si="3123"/>
        <v>0</v>
      </c>
      <c r="X4056" s="508">
        <f t="shared" si="3124"/>
        <v>0</v>
      </c>
      <c r="Y4056" s="509" t="b">
        <f t="shared" si="3125"/>
        <v>0</v>
      </c>
      <c r="Z4056" s="510">
        <f t="shared" si="3126"/>
        <v>0</v>
      </c>
      <c r="AA4056" s="511"/>
      <c r="AB4056" s="511" t="str">
        <f t="shared" si="3127"/>
        <v/>
      </c>
      <c r="AC4056" s="698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698"/>
      <c r="AE4056" s="631" t="str">
        <f t="shared" si="3128"/>
        <v/>
      </c>
      <c r="AF4056" s="699" t="str">
        <f t="shared" si="3129"/>
        <v/>
      </c>
      <c r="AG4056" s="699"/>
      <c r="AH4056" s="699"/>
      <c r="AI4056" s="512">
        <f>IF(H4056="credit",0,IF(AE4056="free",0,IF(AE4056="me",0,IF(G4056&gt;0,(VLOOKUP(A4056,'Discount Lookup'!J:K,2)*G4056),0))))</f>
        <v>0</v>
      </c>
      <c r="AJ4056" s="513" t="str">
        <f t="shared" ca="1" si="3130"/>
        <v/>
      </c>
      <c r="AK4056" s="700" t="str">
        <f t="shared" si="3131"/>
        <v/>
      </c>
      <c r="AL4056" s="700"/>
      <c r="AM4056" s="505" t="str">
        <f t="shared" si="3132"/>
        <v/>
      </c>
      <c r="AN4056" s="506"/>
      <c r="AO4056" s="507"/>
      <c r="AP4056" s="507"/>
      <c r="AQ4056" s="507"/>
      <c r="AR4056" s="507"/>
      <c r="AS4056" s="507"/>
      <c r="AT4056" s="507"/>
      <c r="AU4056" s="507"/>
      <c r="AV4056" s="225"/>
      <c r="AW4056" s="508"/>
      <c r="AX4056" s="225"/>
      <c r="AY4056" s="225"/>
      <c r="AZ4056" s="225"/>
      <c r="BA4056" s="225"/>
      <c r="BB4056" s="225"/>
      <c r="BC4056" s="56"/>
      <c r="BD4056" s="56"/>
      <c r="BE4056" s="56"/>
      <c r="BF4056" s="107" t="str">
        <f t="shared" si="3133"/>
        <v>https://www.google.com/search?tbm=isch&amp;q=7%20G4</v>
      </c>
      <c r="BG4056" s="107" t="str">
        <f t="shared" si="3134"/>
        <v>W</v>
      </c>
      <c r="BH4056" s="254"/>
      <c r="BI4056" s="254"/>
    </row>
    <row r="4057" spans="1:61" customFormat="1" ht="27" x14ac:dyDescent="0.25">
      <c r="A4057" s="276">
        <v>7</v>
      </c>
      <c r="B4057" s="240" t="s">
        <v>291</v>
      </c>
      <c r="C4057" s="241" t="s">
        <v>3864</v>
      </c>
      <c r="D4057" s="242" t="s">
        <v>292</v>
      </c>
      <c r="E4057" s="243">
        <v>111.95</v>
      </c>
      <c r="F4057" s="517" t="s">
        <v>293</v>
      </c>
      <c r="G4057" s="232">
        <v>0</v>
      </c>
      <c r="H4057" s="661" t="str">
        <f>IF(G4057=0,"",IF(F4057="Buy",IF(G4057=1,"plant","plants"),IF(F4057&gt;0.01,"warranty","Error")))</f>
        <v/>
      </c>
      <c r="I4057" s="244">
        <f>IF(H4057="free",0,IF(H4057="credit",((E4057*(F4057))*G4057*-1),IF(F4057="Buy",(E4057*G4057),((E4057*(1-F4057))*G4057))))</f>
        <v>0</v>
      </c>
      <c r="J4057" s="244">
        <f>IF(H4057="warranty",0,(I4057*(_xlfn.SINGLE(SalesTaxPercentage))))</f>
        <v>0</v>
      </c>
      <c r="K4057" s="696">
        <f t="shared" ref="K4057" si="3139">I4057+J4057</f>
        <v>0</v>
      </c>
      <c r="L4057" s="696"/>
      <c r="M4057" s="659" t="str">
        <f>IF(AND(G4057&gt;0,E4057=0),"WARNING - no PRICE inserted",IF(H4057="free"," FREE ~ no charge this plant",IF(H4057="credit",CONCATENATE(" -$",ROUND(K4057*(1-T2GDiscount)*-1,2)," CREDIT after discount"),IF(T2GDiscount=0,"",IF(G4057=0,"",IF(F4057="Buy",CONCATENATE(" $",ROUND(K4057*(1-T2GDiscount),2)," with ",(T2GDiscount*100),"% discount"),CONCATENATE(" $",ROUND(K4057*(1-T2GDiscount),2)," with ",((T2GDiscount*100+F4057*100)-(T2GDiscount*100*F4057)),IF(F4057&gt;0,"% discounts",IF(NoWarrantyDiscount&gt;0,"% discounts","% discount")))))))))</f>
        <v/>
      </c>
      <c r="N4057" s="660"/>
      <c r="O4057" s="233"/>
      <c r="P4057" s="233"/>
      <c r="Q4057" s="233"/>
      <c r="R4057" s="233"/>
      <c r="S4057" s="233"/>
      <c r="T4057" s="508">
        <f t="shared" si="3122"/>
        <v>0</v>
      </c>
      <c r="U4057" s="225">
        <f>IF(NOT(ISNUMBER(G4057)), "", VLOOKUP(A4057,'Discount Lookup'!D:E,2,FALSE)*G4057)</f>
        <v>0</v>
      </c>
      <c r="V4057" s="225">
        <f>IF(NOT(ISNUMBER(G4057)), "", VLOOKUP(A4057,'Discount Lookup'!G:H,2,FALSE)*G4057)</f>
        <v>0</v>
      </c>
      <c r="W4057" s="508">
        <f t="shared" si="3123"/>
        <v>0</v>
      </c>
      <c r="X4057" s="508">
        <f t="shared" si="3124"/>
        <v>0</v>
      </c>
      <c r="Y4057" s="509" t="b">
        <f t="shared" si="3125"/>
        <v>0</v>
      </c>
      <c r="Z4057" s="510">
        <f t="shared" si="3126"/>
        <v>0</v>
      </c>
      <c r="AA4057" s="511"/>
      <c r="AB4057" s="511" t="str">
        <f t="shared" si="3127"/>
        <v/>
      </c>
      <c r="AC4057" s="698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698"/>
      <c r="AE4057" s="631" t="str">
        <f t="shared" si="3128"/>
        <v/>
      </c>
      <c r="AF4057" s="699" t="str">
        <f t="shared" si="3129"/>
        <v/>
      </c>
      <c r="AG4057" s="699"/>
      <c r="AH4057" s="699"/>
      <c r="AI4057" s="512">
        <f>IF(H4057="credit",0,IF(AE4057="free",0,IF(AE4057="me",0,IF(G4057&gt;0,(VLOOKUP(A4057,'Discount Lookup'!J:K,2)*G4057),0))))</f>
        <v>0</v>
      </c>
      <c r="AJ4057" s="513" t="str">
        <f t="shared" ca="1" si="3130"/>
        <v/>
      </c>
      <c r="AK4057" s="700" t="str">
        <f t="shared" si="3131"/>
        <v/>
      </c>
      <c r="AL4057" s="700"/>
      <c r="AM4057" s="505" t="str">
        <f t="shared" si="3132"/>
        <v/>
      </c>
      <c r="AN4057" s="506"/>
      <c r="AO4057" s="507"/>
      <c r="AP4057" s="507"/>
      <c r="AQ4057" s="507"/>
      <c r="AR4057" s="507"/>
      <c r="AS4057" s="507"/>
      <c r="AT4057" s="507"/>
      <c r="AU4057" s="507"/>
      <c r="AV4057" s="225"/>
      <c r="AW4057" s="508"/>
      <c r="AX4057" s="225"/>
      <c r="AY4057" s="225"/>
      <c r="AZ4057" s="225"/>
      <c r="BA4057" s="225"/>
      <c r="BB4057" s="225"/>
      <c r="BC4057" s="56"/>
      <c r="BD4057" s="56"/>
      <c r="BE4057" s="56"/>
      <c r="BF4057" s="107" t="str">
        <f t="shared" si="3133"/>
        <v>https://www.google.com/search?tbm=isch&amp;q=7%20G4</v>
      </c>
      <c r="BG4057" s="107" t="str">
        <f t="shared" si="3134"/>
        <v>W</v>
      </c>
      <c r="BH4057" s="254"/>
      <c r="BI4057" s="254"/>
    </row>
    <row r="4058" spans="1:61" customFormat="1" ht="15.75" x14ac:dyDescent="0.25">
      <c r="A4058" s="276">
        <v>10</v>
      </c>
      <c r="B4058" s="240" t="s">
        <v>291</v>
      </c>
      <c r="C4058" s="241" t="s">
        <v>4457</v>
      </c>
      <c r="D4058" s="242" t="s">
        <v>292</v>
      </c>
      <c r="E4058" s="243">
        <v>164.95</v>
      </c>
      <c r="F4058" s="517" t="s">
        <v>293</v>
      </c>
      <c r="G4058" s="232">
        <v>0</v>
      </c>
      <c r="H4058" s="661" t="str">
        <f>IF(G4058=0,"",IF(F4058="Buy",IF(G4058=1,"plant","plants"),IF(F4058&gt;0.01,"warranty","Error")))</f>
        <v/>
      </c>
      <c r="I4058" s="244">
        <f>IF(H4058="free",0,IF(H4058="credit",((E4058*(F4058))*G4058*-1),IF(F4058="Buy",(E4058*G4058),((E4058*(1-F4058))*G4058))))</f>
        <v>0</v>
      </c>
      <c r="J4058" s="244">
        <f>IF(H4058="warranty",0,(I4058*(_xlfn.SINGLE(SalesTaxPercentage))))</f>
        <v>0</v>
      </c>
      <c r="K4058" s="696">
        <f t="shared" ref="K4058" si="3140">I4058+J4058</f>
        <v>0</v>
      </c>
      <c r="L4058" s="696"/>
      <c r="M4058" s="659" t="str">
        <f>IF(AND(G4058&gt;0,E4058=0),"WARNING - no PRICE inserted",IF(H4058="free"," FREE ~ no charge this plant",IF(H4058="credit",CONCATENATE(" -$",ROUND(K4058*(1-T2GDiscount)*-1,2)," CREDIT after discount"),IF(T2GDiscount=0,"",IF(G4058=0,"",IF(F4058="Buy",CONCATENATE(" $",ROUND(K4058*(1-T2GDiscount),2)," with ",(T2GDiscount*100),"% discount"),CONCATENATE(" $",ROUND(K4058*(1-T2GDiscount),2)," with ",((T2GDiscount*100+F4058*100)-(T2GDiscount*100*F4058)),IF(F4058&gt;0,"% discounts",IF(NoWarrantyDiscount&gt;0,"% discounts","% discount")))))))))</f>
        <v/>
      </c>
      <c r="N4058" s="660"/>
      <c r="O4058" s="233"/>
      <c r="P4058" s="233"/>
      <c r="Q4058" s="233"/>
      <c r="R4058" s="233"/>
      <c r="S4058" s="233"/>
      <c r="T4058" s="508">
        <f t="shared" si="3122"/>
        <v>0</v>
      </c>
      <c r="U4058" s="225">
        <f>IF(NOT(ISNUMBER(G4058)), "", VLOOKUP(A4058,'Discount Lookup'!D:E,2,FALSE)*G4058)</f>
        <v>0</v>
      </c>
      <c r="V4058" s="225">
        <f>IF(NOT(ISNUMBER(G4058)), "", VLOOKUP(A4058,'Discount Lookup'!G:H,2,FALSE)*G4058)</f>
        <v>0</v>
      </c>
      <c r="W4058" s="508">
        <f t="shared" si="3123"/>
        <v>0</v>
      </c>
      <c r="X4058" s="508">
        <f t="shared" si="3124"/>
        <v>0</v>
      </c>
      <c r="Y4058" s="509" t="b">
        <f t="shared" si="3125"/>
        <v>0</v>
      </c>
      <c r="Z4058" s="510">
        <f t="shared" si="3126"/>
        <v>0</v>
      </c>
      <c r="AA4058" s="511"/>
      <c r="AB4058" s="511" t="str">
        <f t="shared" si="3127"/>
        <v/>
      </c>
      <c r="AC4058" s="698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698"/>
      <c r="AE4058" s="631" t="str">
        <f t="shared" si="3128"/>
        <v/>
      </c>
      <c r="AF4058" s="699" t="str">
        <f t="shared" si="3129"/>
        <v/>
      </c>
      <c r="AG4058" s="699"/>
      <c r="AH4058" s="699"/>
      <c r="AI4058" s="512">
        <f>IF(H4058="credit",0,IF(AE4058="free",0,IF(AE4058="me",0,IF(G4058&gt;0,(VLOOKUP(A4058,'Discount Lookup'!J:K,2)*G4058),0))))</f>
        <v>0</v>
      </c>
      <c r="AJ4058" s="513" t="str">
        <f t="shared" ca="1" si="3130"/>
        <v/>
      </c>
      <c r="AK4058" s="700" t="str">
        <f t="shared" si="3131"/>
        <v/>
      </c>
      <c r="AL4058" s="700"/>
      <c r="AM4058" s="505" t="str">
        <f t="shared" si="3132"/>
        <v/>
      </c>
      <c r="AN4058" s="506"/>
      <c r="AO4058" s="507"/>
      <c r="AP4058" s="507"/>
      <c r="AQ4058" s="507"/>
      <c r="AR4058" s="507"/>
      <c r="AS4058" s="507"/>
      <c r="AT4058" s="507"/>
      <c r="AU4058" s="507"/>
      <c r="AV4058" s="225"/>
      <c r="AW4058" s="508"/>
      <c r="AX4058" s="225"/>
      <c r="AY4058" s="225"/>
      <c r="AZ4058" s="225"/>
      <c r="BA4058" s="225"/>
      <c r="BB4058" s="225"/>
      <c r="BC4058" s="56"/>
      <c r="BD4058" s="56"/>
      <c r="BE4058" s="56"/>
      <c r="BF4058" s="107" t="str">
        <f t="shared" si="3133"/>
        <v>https://www.google.com/search?tbm=isch&amp;q=10%20G4</v>
      </c>
      <c r="BG4058" s="107" t="str">
        <f t="shared" si="3134"/>
        <v>W</v>
      </c>
      <c r="BH4058" s="254"/>
      <c r="BI4058" s="254"/>
    </row>
    <row r="4059" spans="1:61" customFormat="1" ht="15.75" x14ac:dyDescent="0.25">
      <c r="A4059" s="276">
        <v>15</v>
      </c>
      <c r="B4059" s="240" t="s">
        <v>291</v>
      </c>
      <c r="C4059" s="241" t="s">
        <v>4695</v>
      </c>
      <c r="D4059" s="242" t="s">
        <v>300</v>
      </c>
      <c r="E4059" s="243">
        <v>299.95</v>
      </c>
      <c r="F4059" s="517" t="s">
        <v>293</v>
      </c>
      <c r="G4059" s="232">
        <v>0</v>
      </c>
      <c r="H4059" s="661" t="str">
        <f>IF(G4059=0,"",IF(F4059="Buy",IF(G4059=1,"plant","plants"),IF(F4059&gt;0.01,"warranty","Error")))</f>
        <v/>
      </c>
      <c r="I4059" s="244">
        <f>IF(H4059="free",0,IF(H4059="credit",((E4059*(F4059))*G4059*-1),IF(F4059="Buy",(E4059*G4059),((E4059*(1-F4059))*G4059))))</f>
        <v>0</v>
      </c>
      <c r="J4059" s="244">
        <f>IF(H4059="warranty",0,(I4059*(_xlfn.SINGLE(SalesTaxPercentage))))</f>
        <v>0</v>
      </c>
      <c r="K4059" s="696">
        <f t="shared" ref="K4059" si="3141">I4059+J4059</f>
        <v>0</v>
      </c>
      <c r="L4059" s="696"/>
      <c r="M4059" s="659" t="str">
        <f>IF(AND(G4059&gt;0,E4059=0),"WARNING - no PRICE inserted",IF(H4059="free"," FREE ~ no charge this plant",IF(H4059="credit",CONCATENATE(" -$",ROUND(K4059*(1-T2GDiscount)*-1,2)," CREDIT after discount"),IF(T2GDiscount=0,"",IF(G4059=0,"",IF(F4059="Buy",CONCATENATE(" $",ROUND(K4059*(1-T2GDiscount),2)," with ",(T2GDiscount*100),"% discount"),CONCATENATE(" $",ROUND(K4059*(1-T2GDiscount),2)," with ",((T2GDiscount*100+F4059*100)-(T2GDiscount*100*F4059)),IF(F4059&gt;0,"% discounts",IF(NoWarrantyDiscount&gt;0,"% discounts","% discount")))))))))</f>
        <v/>
      </c>
      <c r="N4059" s="660"/>
      <c r="O4059" s="233"/>
      <c r="P4059" s="233"/>
      <c r="Q4059" s="233"/>
      <c r="R4059" s="233"/>
      <c r="S4059" s="233"/>
      <c r="T4059" s="508">
        <f t="shared" si="3122"/>
        <v>0</v>
      </c>
      <c r="U4059" s="225">
        <f>IF(NOT(ISNUMBER(G4059)), "", VLOOKUP(A4059,'Discount Lookup'!D:E,2,FALSE)*G4059)</f>
        <v>0</v>
      </c>
      <c r="V4059" s="225">
        <f>IF(NOT(ISNUMBER(G4059)), "", VLOOKUP(A4059,'Discount Lookup'!G:H,2,FALSE)*G4059)</f>
        <v>0</v>
      </c>
      <c r="W4059" s="508">
        <f t="shared" si="3123"/>
        <v>0</v>
      </c>
      <c r="X4059" s="508">
        <f t="shared" si="3124"/>
        <v>0</v>
      </c>
      <c r="Y4059" s="509" t="b">
        <f t="shared" si="3125"/>
        <v>0</v>
      </c>
      <c r="Z4059" s="510">
        <f t="shared" si="3126"/>
        <v>0</v>
      </c>
      <c r="AA4059" s="511"/>
      <c r="AB4059" s="511" t="str">
        <f t="shared" si="3127"/>
        <v/>
      </c>
      <c r="AC4059" s="698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698"/>
      <c r="AE4059" s="631" t="str">
        <f t="shared" si="3128"/>
        <v/>
      </c>
      <c r="AF4059" s="699" t="str">
        <f t="shared" si="3129"/>
        <v/>
      </c>
      <c r="AG4059" s="699"/>
      <c r="AH4059" s="699"/>
      <c r="AI4059" s="512">
        <f>IF(H4059="credit",0,IF(AE4059="free",0,IF(AE4059="me",0,IF(G4059&gt;0,(VLOOKUP(A4059,'Discount Lookup'!J:K,2)*G4059),0))))</f>
        <v>0</v>
      </c>
      <c r="AJ4059" s="513" t="str">
        <f t="shared" ca="1" si="3130"/>
        <v/>
      </c>
      <c r="AK4059" s="700" t="str">
        <f t="shared" si="3131"/>
        <v/>
      </c>
      <c r="AL4059" s="700"/>
      <c r="AM4059" s="505" t="str">
        <f t="shared" si="3132"/>
        <v/>
      </c>
      <c r="AN4059" s="506"/>
      <c r="AO4059" s="507"/>
      <c r="AP4059" s="507"/>
      <c r="AQ4059" s="507"/>
      <c r="AR4059" s="507"/>
      <c r="AS4059" s="507"/>
      <c r="AT4059" s="507"/>
      <c r="AU4059" s="507"/>
      <c r="AV4059" s="225"/>
      <c r="AW4059" s="508"/>
      <c r="AX4059" s="225"/>
      <c r="AY4059" s="225"/>
      <c r="AZ4059" s="225"/>
      <c r="BA4059" s="225"/>
      <c r="BB4059" s="225"/>
      <c r="BC4059" s="56"/>
      <c r="BD4059" s="56"/>
      <c r="BE4059" s="56"/>
      <c r="BF4059" s="107" t="str">
        <f t="shared" si="3133"/>
        <v>https://www.google.com/search?tbm=isch&amp;q=15%20G6</v>
      </c>
      <c r="BG4059" s="107" t="str">
        <f t="shared" si="3134"/>
        <v>W</v>
      </c>
      <c r="BH4059" s="254"/>
      <c r="BI4059" s="254"/>
    </row>
    <row r="4060" spans="1:61" customFormat="1" ht="17.25" thickBot="1" x14ac:dyDescent="0.3">
      <c r="A4060" s="673" t="s">
        <v>5282</v>
      </c>
      <c r="B4060" s="245"/>
      <c r="C4060" s="677"/>
      <c r="D4060" s="499"/>
      <c r="E4060" s="499"/>
      <c r="F4060" s="500"/>
      <c r="G4060" s="501"/>
      <c r="H4060" s="502"/>
      <c r="I4060" s="246"/>
      <c r="J4060" s="247"/>
      <c r="K4060" s="503"/>
      <c r="L4060" s="544"/>
      <c r="M4060" s="544"/>
      <c r="N4060" s="500"/>
      <c r="O4060" s="500"/>
      <c r="P4060" s="500"/>
      <c r="Q4060" s="500"/>
      <c r="R4060" s="500"/>
      <c r="S4060" s="669" t="s">
        <v>4978</v>
      </c>
      <c r="T4060" s="508">
        <f t="shared" si="3122"/>
        <v>0</v>
      </c>
      <c r="U4060" s="225" t="str">
        <f>IF(NOT(ISNUMBER(G4060)), "", VLOOKUP(A4060,'Discount Lookup'!D:E,2,FALSE)*G4060)</f>
        <v/>
      </c>
      <c r="V4060" s="225" t="str">
        <f>IF(NOT(ISNUMBER(G4060)), "", VLOOKUP(A4060,'Discount Lookup'!G:H,2,FALSE)*G4060)</f>
        <v/>
      </c>
      <c r="W4060" s="508">
        <f t="shared" si="3123"/>
        <v>0</v>
      </c>
      <c r="X4060" s="508">
        <f t="shared" si="3124"/>
        <v>0</v>
      </c>
      <c r="Y4060" s="509" t="b">
        <f t="shared" si="3125"/>
        <v>0</v>
      </c>
      <c r="Z4060" s="510">
        <f t="shared" si="3126"/>
        <v>0</v>
      </c>
      <c r="AA4060" s="511"/>
      <c r="AB4060" s="511" t="str">
        <f t="shared" si="3127"/>
        <v/>
      </c>
      <c r="AC4060" s="698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698"/>
      <c r="AE4060" s="631" t="str">
        <f t="shared" si="3128"/>
        <v/>
      </c>
      <c r="AF4060" s="699" t="str">
        <f t="shared" si="3129"/>
        <v/>
      </c>
      <c r="AG4060" s="699"/>
      <c r="AH4060" s="699"/>
      <c r="AI4060" s="512">
        <f>IF(H4060="credit",0,IF(AE4060="free",0,IF(AE4060="me",0,IF(G4060&gt;0,(VLOOKUP(A4060,'Discount Lookup'!J:K,2)*G4060),0))))</f>
        <v>0</v>
      </c>
      <c r="AJ4060" s="513" t="str">
        <f t="shared" ca="1" si="3130"/>
        <v/>
      </c>
      <c r="AK4060" s="700" t="str">
        <f t="shared" si="3131"/>
        <v/>
      </c>
      <c r="AL4060" s="700"/>
      <c r="AM4060" s="505" t="str">
        <f t="shared" si="3132"/>
        <v/>
      </c>
      <c r="AN4060" s="506"/>
      <c r="AO4060" s="507"/>
      <c r="AP4060" s="507"/>
      <c r="AQ4060" s="507"/>
      <c r="AR4060" s="507"/>
      <c r="AS4060" s="507"/>
      <c r="AT4060" s="507"/>
      <c r="AU4060" s="507"/>
      <c r="AV4060" s="225"/>
      <c r="AW4060" s="508"/>
      <c r="AX4060" s="225"/>
      <c r="AY4060" s="225"/>
      <c r="AZ4060" s="225"/>
      <c r="BA4060" s="225"/>
      <c r="BB4060" s="225"/>
      <c r="BC4060" s="56"/>
      <c r="BD4060" s="56"/>
      <c r="BE4060" s="56"/>
      <c r="BF4060" s="107" t="str">
        <f t="shared" si="3133"/>
        <v>https://www.google.com/search?tbm=isch&amp;q=moist%20sites%F0%9F%92%A7GOOD%2C%20White%20Fringetree%20blooms%20late%20spring.%20Mild%20fragrance.%20Olive-like%20fruit%20ripens%20late%20summer%20for%20birds%2Fwildlife%20</v>
      </c>
      <c r="BG4060" s="107" t="str">
        <f t="shared" si="3134"/>
        <v>m</v>
      </c>
      <c r="BH4060" s="254"/>
      <c r="BI4060" s="254"/>
    </row>
    <row r="4061" spans="1:61" customFormat="1" ht="18" x14ac:dyDescent="0.25">
      <c r="A4061" s="521" t="s">
        <v>2021</v>
      </c>
      <c r="B4061" s="477"/>
      <c r="C4061" s="674"/>
      <c r="D4061" s="478" t="s">
        <v>2022</v>
      </c>
      <c r="E4061" s="479"/>
      <c r="F4061" s="479"/>
      <c r="G4061" s="479"/>
      <c r="H4061" s="582" t="s">
        <v>508</v>
      </c>
      <c r="I4061" s="480" t="s">
        <v>2579</v>
      </c>
      <c r="J4061" s="479"/>
      <c r="K4061" s="479"/>
      <c r="L4061" s="560"/>
      <c r="M4061" s="666" t="s">
        <v>4966</v>
      </c>
      <c r="N4061" s="680" t="str">
        <f>IF(AND(ISTEXT($A4061), ISERROR($A4061+0)), HYPERLINK($BF4061, "Images"), "")</f>
        <v>Images</v>
      </c>
      <c r="O4061" s="662" t="s">
        <v>4974</v>
      </c>
      <c r="P4061" s="482"/>
      <c r="Q4061" s="483"/>
      <c r="R4061" s="483"/>
      <c r="S4061" s="484"/>
      <c r="T4061" s="508">
        <f t="shared" si="3122"/>
        <v>0</v>
      </c>
      <c r="U4061" s="225" t="str">
        <f>IF(NOT(ISNUMBER(G4061)), "", VLOOKUP(A4061,'Discount Lookup'!D:E,2,FALSE)*G4061)</f>
        <v/>
      </c>
      <c r="V4061" s="225" t="str">
        <f>IF(NOT(ISNUMBER(G4061)), "", VLOOKUP(A4061,'Discount Lookup'!G:H,2,FALSE)*G4061)</f>
        <v/>
      </c>
      <c r="W4061" s="508">
        <f t="shared" si="3123"/>
        <v>0</v>
      </c>
      <c r="X4061" s="508" t="str">
        <f t="shared" si="3124"/>
        <v>pure White bloom</v>
      </c>
      <c r="Y4061" s="509" t="b">
        <f t="shared" si="3125"/>
        <v>0</v>
      </c>
      <c r="Z4061" s="510">
        <f t="shared" si="3126"/>
        <v>0</v>
      </c>
      <c r="AA4061" s="511"/>
      <c r="AB4061" s="511" t="str">
        <f t="shared" si="3127"/>
        <v/>
      </c>
      <c r="AC4061" s="698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698"/>
      <c r="AE4061" s="631" t="str">
        <f t="shared" si="3128"/>
        <v/>
      </c>
      <c r="AF4061" s="699" t="str">
        <f t="shared" si="3129"/>
        <v/>
      </c>
      <c r="AG4061" s="699"/>
      <c r="AH4061" s="699"/>
      <c r="AI4061" s="512">
        <f>IF(H4061="credit",0,IF(AE4061="free",0,IF(AE4061="me",0,IF(G4061&gt;0,(VLOOKUP(A4061,'Discount Lookup'!J:K,2)*G4061),0))))</f>
        <v>0</v>
      </c>
      <c r="AJ4061" s="513" t="str">
        <f t="shared" ca="1" si="3130"/>
        <v/>
      </c>
      <c r="AK4061" s="700" t="str">
        <f t="shared" si="3131"/>
        <v/>
      </c>
      <c r="AL4061" s="700"/>
      <c r="AM4061" s="505" t="str">
        <f t="shared" si="3132"/>
        <v/>
      </c>
      <c r="AN4061" s="506"/>
      <c r="AO4061" s="507"/>
      <c r="AP4061" s="507"/>
      <c r="AQ4061" s="507"/>
      <c r="AR4061" s="507"/>
      <c r="AS4061" s="507"/>
      <c r="AT4061" s="507"/>
      <c r="AU4061" s="507"/>
      <c r="AV4061" s="225"/>
      <c r="AW4061" s="508"/>
      <c r="AX4061" s="225"/>
      <c r="AY4061" s="225"/>
      <c r="AZ4061" s="225"/>
      <c r="BA4061" s="225"/>
      <c r="BB4061" s="225"/>
      <c r="BC4061" s="56"/>
      <c r="BD4061" s="56"/>
      <c r="BE4061" s="56"/>
      <c r="BF4061" s="107" t="str">
        <f t="shared" si="3133"/>
        <v>https://www.google.com/search?tbm=isch&amp;q=White%20Gumpo%20Azalea%20Rhod.%20eriocarpum%20%27Gumpo%20White%27</v>
      </c>
      <c r="BG4061" s="107" t="str">
        <f t="shared" si="3134"/>
        <v>W</v>
      </c>
      <c r="BH4061" s="254"/>
      <c r="BI4061" s="254"/>
    </row>
    <row r="4062" spans="1:61" customFormat="1" ht="15.75" x14ac:dyDescent="0.25">
      <c r="A4062" s="485">
        <v>3</v>
      </c>
      <c r="B4062" s="486" t="s">
        <v>291</v>
      </c>
      <c r="C4062" s="487" t="s">
        <v>2452</v>
      </c>
      <c r="D4062" s="488" t="s">
        <v>312</v>
      </c>
      <c r="E4062" s="489">
        <v>24.95</v>
      </c>
      <c r="F4062" s="516" t="s">
        <v>293</v>
      </c>
      <c r="G4062" s="232">
        <v>0</v>
      </c>
      <c r="H4062" s="658" t="str">
        <f>IF(G4062=0,"",IF(F4062="Buy",IF(G4062=1,"plant","plants"),IF(F4062&gt;0.01,"warranty","Error")))</f>
        <v/>
      </c>
      <c r="I4062" s="490">
        <f>IF(H4062="free",0,IF(H4062="credit",((E4062*(F4062))*G4062*-1),IF(F4062="Buy",(E4062*G4062),((E4062*(1-F4062))*G4062))))</f>
        <v>0</v>
      </c>
      <c r="J4062" s="490">
        <f>IF(H4062="warranty",0,(I4062*(_xlfn.SINGLE(SalesTaxPercentage))))</f>
        <v>0</v>
      </c>
      <c r="K4062" s="695">
        <f t="shared" ref="K4062" si="3142">I4062+J4062</f>
        <v>0</v>
      </c>
      <c r="L4062" s="695"/>
      <c r="M4062" s="659" t="str">
        <f>IF(AND(G4062&gt;0,E4062=0),"WARNING - no PRICE inserted",IF(H4062="free"," FREE ~ no charge this plant",IF(H4062="credit",CONCATENATE(" -$",ROUND(K4062*(1-T2GDiscount)*-1,2)," CREDIT after discount"),IF(T2GDiscount=0,"",IF(G4062=0,"",IF(F4062="Buy",CONCATENATE(" $",ROUND(K4062*(1-T2GDiscount),2)," with ",(T2GDiscount*100),"% discount"),CONCATENATE(" $",ROUND(K4062*(1-T2GDiscount),2)," with ",((T2GDiscount*100+F4062*100)-(T2GDiscount*100*F4062)),IF(F4062&gt;0,"% discounts",IF(NoWarrantyDiscount&gt;0,"% discounts","% discount")))))))))</f>
        <v/>
      </c>
      <c r="N4062" s="660"/>
      <c r="O4062" s="233"/>
      <c r="P4062" s="233"/>
      <c r="Q4062" s="233"/>
      <c r="R4062" s="233"/>
      <c r="S4062" s="233"/>
      <c r="T4062" s="508">
        <f t="shared" si="3122"/>
        <v>0</v>
      </c>
      <c r="U4062" s="225">
        <f>IF(NOT(ISNUMBER(G4062)), "", VLOOKUP(A4062,'Discount Lookup'!D:E,2,FALSE)*G4062)</f>
        <v>0</v>
      </c>
      <c r="V4062" s="225">
        <f>IF(NOT(ISNUMBER(G4062)), "", VLOOKUP(A4062,'Discount Lookup'!G:H,2,FALSE)*G4062)</f>
        <v>0</v>
      </c>
      <c r="W4062" s="508">
        <f t="shared" si="3123"/>
        <v>0</v>
      </c>
      <c r="X4062" s="508">
        <f t="shared" si="3124"/>
        <v>0</v>
      </c>
      <c r="Y4062" s="509" t="b">
        <f t="shared" si="3125"/>
        <v>0</v>
      </c>
      <c r="Z4062" s="510">
        <f t="shared" si="3126"/>
        <v>0</v>
      </c>
      <c r="AA4062" s="511"/>
      <c r="AB4062" s="511" t="str">
        <f t="shared" si="3127"/>
        <v/>
      </c>
      <c r="AC4062" s="698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698"/>
      <c r="AE4062" s="631" t="str">
        <f t="shared" si="3128"/>
        <v/>
      </c>
      <c r="AF4062" s="699" t="str">
        <f t="shared" si="3129"/>
        <v/>
      </c>
      <c r="AG4062" s="699"/>
      <c r="AH4062" s="699"/>
      <c r="AI4062" s="512">
        <f>IF(H4062="credit",0,IF(AE4062="free",0,IF(AE4062="me",0,IF(G4062&gt;0,(VLOOKUP(A4062,'Discount Lookup'!J:K,2)*G4062),0))))</f>
        <v>0</v>
      </c>
      <c r="AJ4062" s="513" t="str">
        <f t="shared" ca="1" si="3130"/>
        <v/>
      </c>
      <c r="AK4062" s="700" t="str">
        <f t="shared" si="3131"/>
        <v/>
      </c>
      <c r="AL4062" s="700"/>
      <c r="AM4062" s="505" t="str">
        <f t="shared" si="3132"/>
        <v/>
      </c>
      <c r="AN4062" s="506"/>
      <c r="AO4062" s="507"/>
      <c r="AP4062" s="507"/>
      <c r="AQ4062" s="507"/>
      <c r="AR4062" s="507"/>
      <c r="AS4062" s="507"/>
      <c r="AT4062" s="507"/>
      <c r="AU4062" s="507"/>
      <c r="AV4062" s="225"/>
      <c r="AW4062" s="508"/>
      <c r="AX4062" s="225"/>
      <c r="AY4062" s="225"/>
      <c r="AZ4062" s="225"/>
      <c r="BA4062" s="225"/>
      <c r="BB4062" s="225"/>
      <c r="BC4062" s="56"/>
      <c r="BD4062" s="56"/>
      <c r="BE4062" s="56"/>
      <c r="BF4062" s="107" t="str">
        <f t="shared" si="3133"/>
        <v>https://www.google.com/search?tbm=isch&amp;q=3%20G2</v>
      </c>
      <c r="BG4062" s="107" t="str">
        <f t="shared" si="3134"/>
        <v>W</v>
      </c>
      <c r="BH4062" s="254"/>
      <c r="BI4062" s="254"/>
    </row>
    <row r="4063" spans="1:61" customFormat="1" ht="17.25" thickBot="1" x14ac:dyDescent="0.3">
      <c r="A4063" s="522" t="s">
        <v>2195</v>
      </c>
      <c r="B4063" s="491"/>
      <c r="C4063" s="675"/>
      <c r="D4063" s="491"/>
      <c r="E4063" s="491"/>
      <c r="F4063" s="492"/>
      <c r="G4063" s="493"/>
      <c r="H4063" s="491"/>
      <c r="I4063" s="234"/>
      <c r="J4063" s="234"/>
      <c r="K4063" s="494"/>
      <c r="L4063" s="543"/>
      <c r="M4063" s="561"/>
      <c r="N4063" s="495"/>
      <c r="O4063" s="496"/>
      <c r="P4063" s="497"/>
      <c r="Q4063" s="495"/>
      <c r="R4063" s="495"/>
      <c r="S4063" s="667" t="s">
        <v>4997</v>
      </c>
      <c r="T4063" s="508">
        <f t="shared" si="3122"/>
        <v>0</v>
      </c>
      <c r="U4063" s="225" t="str">
        <f>IF(NOT(ISNUMBER(G4063)), "", VLOOKUP(A4063,'Discount Lookup'!D:E,2,FALSE)*G4063)</f>
        <v/>
      </c>
      <c r="V4063" s="225" t="str">
        <f>IF(NOT(ISNUMBER(G4063)), "", VLOOKUP(A4063,'Discount Lookup'!G:H,2,FALSE)*G4063)</f>
        <v/>
      </c>
      <c r="W4063" s="508">
        <f t="shared" si="3123"/>
        <v>0</v>
      </c>
      <c r="X4063" s="508">
        <f t="shared" si="3124"/>
        <v>0</v>
      </c>
      <c r="Y4063" s="509" t="b">
        <f t="shared" si="3125"/>
        <v>0</v>
      </c>
      <c r="Z4063" s="510">
        <f t="shared" si="3126"/>
        <v>0</v>
      </c>
      <c r="AA4063" s="511"/>
      <c r="AB4063" s="511" t="str">
        <f t="shared" si="3127"/>
        <v/>
      </c>
      <c r="AC4063" s="698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698"/>
      <c r="AE4063" s="631" t="str">
        <f t="shared" si="3128"/>
        <v/>
      </c>
      <c r="AF4063" s="699" t="str">
        <f t="shared" si="3129"/>
        <v/>
      </c>
      <c r="AG4063" s="699"/>
      <c r="AH4063" s="699"/>
      <c r="AI4063" s="512">
        <f>IF(H4063="credit",0,IF(AE4063="free",0,IF(AE4063="me",0,IF(G4063&gt;0,(VLOOKUP(A4063,'Discount Lookup'!J:K,2)*G4063),0))))</f>
        <v>0</v>
      </c>
      <c r="AJ4063" s="513" t="str">
        <f t="shared" ca="1" si="3130"/>
        <v/>
      </c>
      <c r="AK4063" s="700" t="str">
        <f t="shared" si="3131"/>
        <v/>
      </c>
      <c r="AL4063" s="700"/>
      <c r="AM4063" s="505" t="str">
        <f t="shared" si="3132"/>
        <v/>
      </c>
      <c r="AN4063" s="506"/>
      <c r="AO4063" s="507"/>
      <c r="AP4063" s="507"/>
      <c r="AQ4063" s="507"/>
      <c r="AR4063" s="507"/>
      <c r="AS4063" s="507"/>
      <c r="AT4063" s="507"/>
      <c r="AU4063" s="507"/>
      <c r="AV4063" s="225"/>
      <c r="AW4063" s="508"/>
      <c r="AX4063" s="225"/>
      <c r="AY4063" s="225"/>
      <c r="AZ4063" s="225"/>
      <c r="BA4063" s="225"/>
      <c r="BB4063" s="225"/>
      <c r="BC4063" s="56"/>
      <c r="BD4063" s="56"/>
      <c r="BE4063" s="56"/>
      <c r="BF4063" s="107" t="str">
        <f t="shared" si="3133"/>
        <v>https://www.google.com/search?tbm=isch&amp;q=White%20%28and%20Pink%29%20Gumpo%20are%20semi-evergreen%2C%20so%20they%20may%20go%20bare%20in%20colder%20winters%20</v>
      </c>
      <c r="BG4063" s="107" t="str">
        <f t="shared" si="3134"/>
        <v>W</v>
      </c>
      <c r="BH4063" s="254"/>
      <c r="BI4063" s="254"/>
    </row>
    <row r="4064" spans="1:61" customFormat="1" ht="18" x14ac:dyDescent="0.25">
      <c r="A4064" s="523" t="s">
        <v>2024</v>
      </c>
      <c r="B4064" s="235"/>
      <c r="C4064" s="676"/>
      <c r="D4064" s="255" t="s">
        <v>2025</v>
      </c>
      <c r="E4064" s="236"/>
      <c r="F4064" s="236"/>
      <c r="G4064" s="236"/>
      <c r="H4064" s="582" t="s">
        <v>2026</v>
      </c>
      <c r="I4064" s="498" t="s">
        <v>2093</v>
      </c>
      <c r="J4064" s="237"/>
      <c r="K4064" s="237"/>
      <c r="L4064" s="274"/>
      <c r="M4064" s="668" t="s">
        <v>4962</v>
      </c>
      <c r="N4064" s="681" t="str">
        <f>IF(AND(ISTEXT($A4064), ISERROR($A4064+0)), HYPERLINK($BF4064, "Images"), "")</f>
        <v>Images</v>
      </c>
      <c r="O4064" s="663" t="s">
        <v>4974</v>
      </c>
      <c r="P4064" s="253"/>
      <c r="Q4064" s="238"/>
      <c r="R4064" s="239"/>
      <c r="S4064" s="275" t="s">
        <v>305</v>
      </c>
      <c r="T4064" s="508">
        <f t="shared" si="3122"/>
        <v>0</v>
      </c>
      <c r="U4064" s="225" t="str">
        <f>IF(NOT(ISNUMBER(G4064)), "", VLOOKUP(A4064,'Discount Lookup'!D:E,2,FALSE)*G4064)</f>
        <v/>
      </c>
      <c r="V4064" s="225" t="str">
        <f>IF(NOT(ISNUMBER(G4064)), "", VLOOKUP(A4064,'Discount Lookup'!G:H,2,FALSE)*G4064)</f>
        <v/>
      </c>
      <c r="W4064" s="508">
        <f t="shared" si="3123"/>
        <v>0</v>
      </c>
      <c r="X4064" s="508" t="str">
        <f t="shared" si="3124"/>
        <v>Dark Green foliage</v>
      </c>
      <c r="Y4064" s="509" t="b">
        <f t="shared" si="3125"/>
        <v>0</v>
      </c>
      <c r="Z4064" s="510">
        <f t="shared" si="3126"/>
        <v>0</v>
      </c>
      <c r="AA4064" s="511"/>
      <c r="AB4064" s="511" t="str">
        <f t="shared" si="3127"/>
        <v/>
      </c>
      <c r="AC4064" s="698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698"/>
      <c r="AE4064" s="631" t="str">
        <f t="shared" si="3128"/>
        <v/>
      </c>
      <c r="AF4064" s="699" t="str">
        <f t="shared" si="3129"/>
        <v/>
      </c>
      <c r="AG4064" s="699"/>
      <c r="AH4064" s="699"/>
      <c r="AI4064" s="512">
        <f>IF(H4064="credit",0,IF(AE4064="free",0,IF(AE4064="me",0,IF(G4064&gt;0,(VLOOKUP(A4064,'Discount Lookup'!J:K,2)*G4064),0))))</f>
        <v>0</v>
      </c>
      <c r="AJ4064" s="513" t="str">
        <f t="shared" ca="1" si="3130"/>
        <v/>
      </c>
      <c r="AK4064" s="700" t="str">
        <f t="shared" si="3131"/>
        <v/>
      </c>
      <c r="AL4064" s="700"/>
      <c r="AM4064" s="505" t="str">
        <f t="shared" si="3132"/>
        <v/>
      </c>
      <c r="AN4064" s="506"/>
      <c r="AO4064" s="507"/>
      <c r="AP4064" s="507"/>
      <c r="AQ4064" s="507"/>
      <c r="AR4064" s="507"/>
      <c r="AS4064" s="507"/>
      <c r="AT4064" s="507"/>
      <c r="AU4064" s="507"/>
      <c r="AV4064" s="225"/>
      <c r="AW4064" s="508"/>
      <c r="AX4064" s="225"/>
      <c r="AY4064" s="225"/>
      <c r="AZ4064" s="225"/>
      <c r="BA4064" s="225"/>
      <c r="BB4064" s="225"/>
      <c r="BC4064" s="56"/>
      <c r="BD4064" s="56"/>
      <c r="BE4064" s="56"/>
      <c r="BF4064" s="107" t="str">
        <f t="shared" si="3133"/>
        <v>https://www.google.com/search?tbm=isch&amp;q=White%20Oak%20Quercus%20alba</v>
      </c>
      <c r="BG4064" s="107" t="str">
        <f t="shared" si="3134"/>
        <v>W</v>
      </c>
      <c r="BH4064" s="254"/>
      <c r="BI4064" s="254"/>
    </row>
    <row r="4065" spans="1:61" customFormat="1" ht="15.75" x14ac:dyDescent="0.25">
      <c r="A4065" s="276">
        <v>25</v>
      </c>
      <c r="B4065" s="240" t="s">
        <v>291</v>
      </c>
      <c r="C4065" s="241" t="s">
        <v>3865</v>
      </c>
      <c r="D4065" s="242" t="s">
        <v>292</v>
      </c>
      <c r="E4065" s="243">
        <v>311.95</v>
      </c>
      <c r="F4065" s="517" t="s">
        <v>293</v>
      </c>
      <c r="G4065" s="232">
        <v>0</v>
      </c>
      <c r="H4065" s="661" t="str">
        <f>IF(G4065=0,"",IF(F4065="Buy",IF(G4065=1,"plant","plants"),IF(F4065&gt;0.01,"warranty","Error")))</f>
        <v/>
      </c>
      <c r="I4065" s="244">
        <f>IF(H4065="free",0,IF(H4065="credit",((E4065*(F4065))*G4065*-1),IF(F4065="Buy",(E4065*G4065),((E4065*(1-F4065))*G4065))))</f>
        <v>0</v>
      </c>
      <c r="J4065" s="244">
        <f>IF(H4065="warranty",0,(I4065*(_xlfn.SINGLE(SalesTaxPercentage))))</f>
        <v>0</v>
      </c>
      <c r="K4065" s="696">
        <f t="shared" ref="K4065" si="3143">I4065+J4065</f>
        <v>0</v>
      </c>
      <c r="L4065" s="696"/>
      <c r="M4065" s="659" t="str">
        <f>IF(AND(G4065&gt;0,E4065=0),"WARNING - no PRICE inserted",IF(H4065="free"," FREE ~ no charge this plant",IF(H4065="credit",CONCATENATE(" -$",ROUND(K4065*(1-T2GDiscount)*-1,2)," CREDIT after discount"),IF(T2GDiscount=0,"",IF(G4065=0,"",IF(F4065="Buy",CONCATENATE(" $",ROUND(K4065*(1-T2GDiscount),2)," with ",(T2GDiscount*100),"% discount"),CONCATENATE(" $",ROUND(K4065*(1-T2GDiscount),2)," with ",((T2GDiscount*100+F4065*100)-(T2GDiscount*100*F4065)),IF(F4065&gt;0,"% discounts",IF(NoWarrantyDiscount&gt;0,"% discounts","% discount")))))))))</f>
        <v/>
      </c>
      <c r="N4065" s="660"/>
      <c r="O4065" s="233"/>
      <c r="P4065" s="233"/>
      <c r="Q4065" s="233"/>
      <c r="R4065" s="233"/>
      <c r="S4065" s="233"/>
      <c r="T4065" s="508">
        <f t="shared" si="3122"/>
        <v>0</v>
      </c>
      <c r="U4065" s="225">
        <f>IF(NOT(ISNUMBER(G4065)), "", VLOOKUP(A4065,'Discount Lookup'!D:E,2,FALSE)*G4065)</f>
        <v>0</v>
      </c>
      <c r="V4065" s="225">
        <f>IF(NOT(ISNUMBER(G4065)), "", VLOOKUP(A4065,'Discount Lookup'!G:H,2,FALSE)*G4065)</f>
        <v>0</v>
      </c>
      <c r="W4065" s="508">
        <f t="shared" si="3123"/>
        <v>0</v>
      </c>
      <c r="X4065" s="508">
        <f t="shared" si="3124"/>
        <v>0</v>
      </c>
      <c r="Y4065" s="509" t="b">
        <f t="shared" si="3125"/>
        <v>0</v>
      </c>
      <c r="Z4065" s="510">
        <f t="shared" si="3126"/>
        <v>0</v>
      </c>
      <c r="AA4065" s="511"/>
      <c r="AB4065" s="511" t="str">
        <f t="shared" si="3127"/>
        <v/>
      </c>
      <c r="AC4065" s="698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698"/>
      <c r="AE4065" s="631" t="str">
        <f t="shared" si="3128"/>
        <v/>
      </c>
      <c r="AF4065" s="699" t="str">
        <f t="shared" si="3129"/>
        <v/>
      </c>
      <c r="AG4065" s="699"/>
      <c r="AH4065" s="699"/>
      <c r="AI4065" s="512">
        <f>IF(H4065="credit",0,IF(AE4065="free",0,IF(AE4065="me",0,IF(G4065&gt;0,(VLOOKUP(A4065,'Discount Lookup'!J:K,2)*G4065),0))))</f>
        <v>0</v>
      </c>
      <c r="AJ4065" s="513" t="str">
        <f t="shared" ca="1" si="3130"/>
        <v/>
      </c>
      <c r="AK4065" s="700" t="str">
        <f t="shared" si="3131"/>
        <v/>
      </c>
      <c r="AL4065" s="700"/>
      <c r="AM4065" s="505" t="str">
        <f t="shared" si="3132"/>
        <v/>
      </c>
      <c r="AN4065" s="506"/>
      <c r="AO4065" s="507"/>
      <c r="AP4065" s="507"/>
      <c r="AQ4065" s="507"/>
      <c r="AR4065" s="507"/>
      <c r="AS4065" s="507"/>
      <c r="AT4065" s="507"/>
      <c r="AU4065" s="507"/>
      <c r="AV4065" s="225"/>
      <c r="AW4065" s="508"/>
      <c r="AX4065" s="225"/>
      <c r="AY4065" s="225"/>
      <c r="AZ4065" s="225"/>
      <c r="BA4065" s="225"/>
      <c r="BB4065" s="225"/>
      <c r="BC4065" s="56"/>
      <c r="BD4065" s="56"/>
      <c r="BE4065" s="56"/>
      <c r="BF4065" s="107" t="str">
        <f t="shared" si="3133"/>
        <v>https://www.google.com/search?tbm=isch&amp;q=25%20G4</v>
      </c>
      <c r="BG4065" s="107" t="str">
        <f t="shared" si="3134"/>
        <v>W</v>
      </c>
      <c r="BH4065" s="254"/>
      <c r="BI4065" s="254"/>
    </row>
    <row r="4066" spans="1:61" customFormat="1" ht="17.25" thickBot="1" x14ac:dyDescent="0.3">
      <c r="A4066" s="524" t="s">
        <v>2317</v>
      </c>
      <c r="B4066" s="245"/>
      <c r="C4066" s="677"/>
      <c r="D4066" s="499"/>
      <c r="E4066" s="499"/>
      <c r="F4066" s="500"/>
      <c r="G4066" s="501"/>
      <c r="H4066" s="502"/>
      <c r="I4066" s="246"/>
      <c r="J4066" s="247"/>
      <c r="K4066" s="503"/>
      <c r="L4066" s="544"/>
      <c r="M4066" s="544"/>
      <c r="N4066" s="500"/>
      <c r="O4066" s="500"/>
      <c r="P4066" s="500"/>
      <c r="Q4066" s="500"/>
      <c r="R4066" s="500"/>
      <c r="S4066" s="669" t="s">
        <v>4978</v>
      </c>
      <c r="T4066" s="508">
        <f t="shared" si="3122"/>
        <v>0</v>
      </c>
      <c r="U4066" s="225" t="str">
        <f>IF(NOT(ISNUMBER(G4066)), "", VLOOKUP(A4066,'Discount Lookup'!D:E,2,FALSE)*G4066)</f>
        <v/>
      </c>
      <c r="V4066" s="225" t="str">
        <f>IF(NOT(ISNUMBER(G4066)), "", VLOOKUP(A4066,'Discount Lookup'!G:H,2,FALSE)*G4066)</f>
        <v/>
      </c>
      <c r="W4066" s="508">
        <f t="shared" si="3123"/>
        <v>0</v>
      </c>
      <c r="X4066" s="508">
        <f t="shared" si="3124"/>
        <v>0</v>
      </c>
      <c r="Y4066" s="509" t="b">
        <f t="shared" si="3125"/>
        <v>0</v>
      </c>
      <c r="Z4066" s="510">
        <f t="shared" si="3126"/>
        <v>0</v>
      </c>
      <c r="AA4066" s="511"/>
      <c r="AB4066" s="511" t="str">
        <f t="shared" si="3127"/>
        <v/>
      </c>
      <c r="AC4066" s="698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698"/>
      <c r="AE4066" s="631" t="str">
        <f t="shared" si="3128"/>
        <v/>
      </c>
      <c r="AF4066" s="699" t="str">
        <f t="shared" si="3129"/>
        <v/>
      </c>
      <c r="AG4066" s="699"/>
      <c r="AH4066" s="699"/>
      <c r="AI4066" s="512">
        <f>IF(H4066="credit",0,IF(AE4066="free",0,IF(AE4066="me",0,IF(G4066&gt;0,(VLOOKUP(A4066,'Discount Lookup'!J:K,2)*G4066),0))))</f>
        <v>0</v>
      </c>
      <c r="AJ4066" s="513" t="str">
        <f t="shared" ca="1" si="3130"/>
        <v/>
      </c>
      <c r="AK4066" s="700" t="str">
        <f t="shared" si="3131"/>
        <v/>
      </c>
      <c r="AL4066" s="700"/>
      <c r="AM4066" s="505" t="str">
        <f t="shared" si="3132"/>
        <v/>
      </c>
      <c r="AN4066" s="506"/>
      <c r="AO4066" s="507"/>
      <c r="AP4066" s="507"/>
      <c r="AQ4066" s="507"/>
      <c r="AR4066" s="507"/>
      <c r="AS4066" s="507"/>
      <c r="AT4066" s="507"/>
      <c r="AU4066" s="507"/>
      <c r="AV4066" s="225"/>
      <c r="AW4066" s="508"/>
      <c r="AX4066" s="225"/>
      <c r="AY4066" s="225"/>
      <c r="AZ4066" s="225"/>
      <c r="BA4066" s="225"/>
      <c r="BB4066" s="225"/>
      <c r="BC4066" s="56"/>
      <c r="BD4066" s="56"/>
      <c r="BE4066" s="56"/>
      <c r="BF4066" s="107" t="str">
        <f t="shared" si="3133"/>
        <v>https://www.google.com/search?tbm=isch&amp;q=White%20Oak%20have%20very%20few%20surface%20roots%2C%20making%20it%20better%20for%20lawns%20%28except%20for%20the%20acorns%21%29.%20Long-lived%2C%20up%20to%20500%20years%20</v>
      </c>
      <c r="BG4066" s="107" t="str">
        <f t="shared" si="3134"/>
        <v>W</v>
      </c>
      <c r="BH4066" s="254"/>
      <c r="BI4066" s="254"/>
    </row>
    <row r="4067" spans="1:61" customFormat="1" ht="18" x14ac:dyDescent="0.25">
      <c r="A4067" s="523" t="s">
        <v>4647</v>
      </c>
      <c r="B4067" s="235"/>
      <c r="C4067" s="676"/>
      <c r="D4067" s="255" t="s">
        <v>4648</v>
      </c>
      <c r="E4067" s="236"/>
      <c r="F4067" s="236"/>
      <c r="G4067" s="236"/>
      <c r="H4067" s="582" t="s">
        <v>356</v>
      </c>
      <c r="I4067" s="498" t="s">
        <v>4649</v>
      </c>
      <c r="J4067" s="237"/>
      <c r="K4067" s="237"/>
      <c r="L4067" s="274"/>
      <c r="M4067" s="668" t="s">
        <v>4962</v>
      </c>
      <c r="N4067" s="681" t="str">
        <f>IF(AND(ISTEXT($A4067), ISERROR($A4067+0)), HYPERLINK($BF4067, "Images"), "")</f>
        <v>Images</v>
      </c>
      <c r="O4067" s="663" t="s">
        <v>4967</v>
      </c>
      <c r="P4067" s="253"/>
      <c r="Q4067" s="238"/>
      <c r="R4067" s="239"/>
      <c r="S4067" s="275"/>
      <c r="T4067" s="508">
        <f t="shared" si="3122"/>
        <v>0</v>
      </c>
      <c r="U4067" s="225" t="str">
        <f>IF(NOT(ISNUMBER(G4067)), "", VLOOKUP(A4067,'Discount Lookup'!D:E,2,FALSE)*G4067)</f>
        <v/>
      </c>
      <c r="V4067" s="225" t="str">
        <f>IF(NOT(ISNUMBER(G4067)), "", VLOOKUP(A4067,'Discount Lookup'!G:H,2,FALSE)*G4067)</f>
        <v/>
      </c>
      <c r="W4067" s="508">
        <f t="shared" si="3123"/>
        <v>0</v>
      </c>
      <c r="X4067" s="508" t="str">
        <f t="shared" si="3124"/>
        <v>White bloom, Orange-Yellow eye</v>
      </c>
      <c r="Y4067" s="509" t="b">
        <f t="shared" si="3125"/>
        <v>0</v>
      </c>
      <c r="Z4067" s="510">
        <f t="shared" si="3126"/>
        <v>0</v>
      </c>
      <c r="AA4067" s="511"/>
      <c r="AB4067" s="511" t="str">
        <f t="shared" si="3127"/>
        <v/>
      </c>
      <c r="AC4067" s="698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698"/>
      <c r="AE4067" s="631" t="str">
        <f t="shared" si="3128"/>
        <v/>
      </c>
      <c r="AF4067" s="699" t="str">
        <f t="shared" si="3129"/>
        <v/>
      </c>
      <c r="AG4067" s="699"/>
      <c r="AH4067" s="699"/>
      <c r="AI4067" s="512">
        <f>IF(H4067="credit",0,IF(AE4067="free",0,IF(AE4067="me",0,IF(G4067&gt;0,(VLOOKUP(A4067,'Discount Lookup'!J:K,2)*G4067),0))))</f>
        <v>0</v>
      </c>
      <c r="AJ4067" s="513" t="str">
        <f t="shared" ca="1" si="3130"/>
        <v/>
      </c>
      <c r="AK4067" s="700" t="str">
        <f t="shared" si="3131"/>
        <v/>
      </c>
      <c r="AL4067" s="700"/>
      <c r="AM4067" s="505" t="str">
        <f t="shared" si="3132"/>
        <v/>
      </c>
      <c r="AN4067" s="506"/>
      <c r="AO4067" s="507"/>
      <c r="AP4067" s="507"/>
      <c r="AQ4067" s="507"/>
      <c r="AR4067" s="507"/>
      <c r="AS4067" s="507"/>
      <c r="AT4067" s="507"/>
      <c r="AU4067" s="507"/>
      <c r="AV4067" s="225"/>
      <c r="AW4067" s="508"/>
      <c r="AX4067" s="225"/>
      <c r="AY4067" s="225"/>
      <c r="AZ4067" s="225"/>
      <c r="BA4067" s="225"/>
      <c r="BB4067" s="225"/>
      <c r="BC4067" s="56"/>
      <c r="BD4067" s="56"/>
      <c r="BE4067" s="56"/>
      <c r="BF4067" s="107" t="str">
        <f t="shared" si="3133"/>
        <v>https://www.google.com/search?tbm=isch&amp;q=White%20Profusion%20Butterfly%20Bush%20Buddleia%20davidii%20%27White%20Profusion%27%20PP%237643Exp.</v>
      </c>
      <c r="BG4067" s="107" t="str">
        <f t="shared" si="3134"/>
        <v>W</v>
      </c>
      <c r="BH4067" s="254"/>
      <c r="BI4067" s="254"/>
    </row>
    <row r="4068" spans="1:61" customFormat="1" ht="15.75" x14ac:dyDescent="0.25">
      <c r="A4068" s="276">
        <v>3</v>
      </c>
      <c r="B4068" s="240" t="s">
        <v>291</v>
      </c>
      <c r="C4068" s="241" t="s">
        <v>4650</v>
      </c>
      <c r="D4068" s="242" t="s">
        <v>297</v>
      </c>
      <c r="E4068" s="243">
        <v>22.95</v>
      </c>
      <c r="F4068" s="517" t="s">
        <v>293</v>
      </c>
      <c r="G4068" s="232">
        <v>0</v>
      </c>
      <c r="H4068" s="661" t="str">
        <f>IF(G4068=0,"",IF(F4068="Buy",IF(G4068=1,"plant","plants"),IF(F4068&gt;0.01,"warranty","Error")))</f>
        <v/>
      </c>
      <c r="I4068" s="244">
        <f>IF(H4068="free",0,IF(H4068="credit",((E4068*(F4068))*G4068*-1),IF(F4068="Buy",(E4068*G4068),((E4068*(1-F4068))*G4068))))</f>
        <v>0</v>
      </c>
      <c r="J4068" s="244">
        <f>IF(H4068="warranty",0,(I4068*(_xlfn.SINGLE(SalesTaxPercentage))))</f>
        <v>0</v>
      </c>
      <c r="K4068" s="696">
        <f t="shared" ref="K4068" si="3144">I4068+J4068</f>
        <v>0</v>
      </c>
      <c r="L4068" s="696"/>
      <c r="M4068" s="659" t="str">
        <f>IF(AND(G4068&gt;0,E4068=0),"WARNING - no PRICE inserted",IF(H4068="free"," FREE ~ no charge this plant",IF(H4068="credit",CONCATENATE(" -$",ROUND(K4068*(1-T2GDiscount)*-1,2)," CREDIT after discount"),IF(T2GDiscount=0,"",IF(G4068=0,"",IF(F4068="Buy",CONCATENATE(" $",ROUND(K4068*(1-T2GDiscount),2)," with ",(T2GDiscount*100),"% discount"),CONCATENATE(" $",ROUND(K4068*(1-T2GDiscount),2)," with ",((T2GDiscount*100+F4068*100)-(T2GDiscount*100*F4068)),IF(F4068&gt;0,"% discounts",IF(NoWarrantyDiscount&gt;0,"% discounts","% discount")))))))))</f>
        <v/>
      </c>
      <c r="N4068" s="660"/>
      <c r="O4068" s="233"/>
      <c r="P4068" s="233"/>
      <c r="Q4068" s="233"/>
      <c r="R4068" s="233"/>
      <c r="S4068" s="233"/>
      <c r="T4068" s="508">
        <f t="shared" si="3122"/>
        <v>0</v>
      </c>
      <c r="U4068" s="225">
        <f>IF(NOT(ISNUMBER(G4068)), "", VLOOKUP(A4068,'Discount Lookup'!D:E,2,FALSE)*G4068)</f>
        <v>0</v>
      </c>
      <c r="V4068" s="225">
        <f>IF(NOT(ISNUMBER(G4068)), "", VLOOKUP(A4068,'Discount Lookup'!G:H,2,FALSE)*G4068)</f>
        <v>0</v>
      </c>
      <c r="W4068" s="508">
        <f t="shared" si="3123"/>
        <v>0</v>
      </c>
      <c r="X4068" s="508">
        <f t="shared" si="3124"/>
        <v>0</v>
      </c>
      <c r="Y4068" s="509" t="b">
        <f t="shared" si="3125"/>
        <v>0</v>
      </c>
      <c r="Z4068" s="510">
        <f t="shared" si="3126"/>
        <v>0</v>
      </c>
      <c r="AA4068" s="511"/>
      <c r="AB4068" s="511" t="str">
        <f t="shared" si="3127"/>
        <v/>
      </c>
      <c r="AC4068" s="698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698"/>
      <c r="AE4068" s="631" t="str">
        <f t="shared" si="3128"/>
        <v/>
      </c>
      <c r="AF4068" s="699" t="str">
        <f t="shared" si="3129"/>
        <v/>
      </c>
      <c r="AG4068" s="699"/>
      <c r="AH4068" s="699"/>
      <c r="AI4068" s="512">
        <f>IF(H4068="credit",0,IF(AE4068="free",0,IF(AE4068="me",0,IF(G4068&gt;0,(VLOOKUP(A4068,'Discount Lookup'!J:K,2)*G4068),0))))</f>
        <v>0</v>
      </c>
      <c r="AJ4068" s="513" t="str">
        <f t="shared" ca="1" si="3130"/>
        <v/>
      </c>
      <c r="AK4068" s="700" t="str">
        <f t="shared" si="3131"/>
        <v/>
      </c>
      <c r="AL4068" s="700"/>
      <c r="AM4068" s="505" t="str">
        <f t="shared" si="3132"/>
        <v/>
      </c>
      <c r="AN4068" s="506"/>
      <c r="AO4068" s="507"/>
      <c r="AP4068" s="507"/>
      <c r="AQ4068" s="507"/>
      <c r="AR4068" s="507"/>
      <c r="AS4068" s="507"/>
      <c r="AT4068" s="507"/>
      <c r="AU4068" s="507"/>
      <c r="AV4068" s="225"/>
      <c r="AW4068" s="508"/>
      <c r="AX4068" s="225"/>
      <c r="AY4068" s="225"/>
      <c r="AZ4068" s="225"/>
      <c r="BA4068" s="225"/>
      <c r="BB4068" s="225"/>
      <c r="BC4068" s="56"/>
      <c r="BD4068" s="56"/>
      <c r="BE4068" s="56"/>
      <c r="BF4068" s="107" t="str">
        <f t="shared" si="3133"/>
        <v>https://www.google.com/search?tbm=isch&amp;q=3%20G3</v>
      </c>
      <c r="BG4068" s="107" t="str">
        <f t="shared" si="3134"/>
        <v>W</v>
      </c>
      <c r="BH4068" s="254"/>
      <c r="BI4068" s="254"/>
    </row>
    <row r="4069" spans="1:61" customFormat="1" ht="17.25" thickBot="1" x14ac:dyDescent="0.3">
      <c r="A4069" s="524" t="s">
        <v>4651</v>
      </c>
      <c r="B4069" s="245"/>
      <c r="C4069" s="677"/>
      <c r="D4069" s="499"/>
      <c r="E4069" s="499"/>
      <c r="F4069" s="500"/>
      <c r="G4069" s="501"/>
      <c r="H4069" s="502"/>
      <c r="I4069" s="246"/>
      <c r="J4069" s="247"/>
      <c r="K4069" s="503"/>
      <c r="L4069" s="544"/>
      <c r="M4069" s="544"/>
      <c r="N4069" s="500"/>
      <c r="O4069" s="500"/>
      <c r="P4069" s="500"/>
      <c r="Q4069" s="500"/>
      <c r="R4069" s="500"/>
      <c r="S4069" s="669" t="s">
        <v>4980</v>
      </c>
      <c r="T4069" s="508">
        <f t="shared" si="3122"/>
        <v>0</v>
      </c>
      <c r="U4069" s="225" t="str">
        <f>IF(NOT(ISNUMBER(G4069)), "", VLOOKUP(A4069,'Discount Lookup'!D:E,2,FALSE)*G4069)</f>
        <v/>
      </c>
      <c r="V4069" s="225" t="str">
        <f>IF(NOT(ISNUMBER(G4069)), "", VLOOKUP(A4069,'Discount Lookup'!G:H,2,FALSE)*G4069)</f>
        <v/>
      </c>
      <c r="W4069" s="508">
        <f t="shared" si="3123"/>
        <v>0</v>
      </c>
      <c r="X4069" s="508">
        <f t="shared" si="3124"/>
        <v>0</v>
      </c>
      <c r="Y4069" s="509" t="b">
        <f t="shared" si="3125"/>
        <v>0</v>
      </c>
      <c r="Z4069" s="510">
        <f t="shared" si="3126"/>
        <v>0</v>
      </c>
      <c r="AA4069" s="511"/>
      <c r="AB4069" s="511" t="str">
        <f t="shared" si="3127"/>
        <v/>
      </c>
      <c r="AC4069" s="698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698"/>
      <c r="AE4069" s="631" t="str">
        <f t="shared" si="3128"/>
        <v/>
      </c>
      <c r="AF4069" s="699" t="str">
        <f t="shared" si="3129"/>
        <v/>
      </c>
      <c r="AG4069" s="699"/>
      <c r="AH4069" s="699"/>
      <c r="AI4069" s="512">
        <f>IF(H4069="credit",0,IF(AE4069="free",0,IF(AE4069="me",0,IF(G4069&gt;0,(VLOOKUP(A4069,'Discount Lookup'!J:K,2)*G4069),0))))</f>
        <v>0</v>
      </c>
      <c r="AJ4069" s="513" t="str">
        <f t="shared" ca="1" si="3130"/>
        <v/>
      </c>
      <c r="AK4069" s="700" t="str">
        <f t="shared" si="3131"/>
        <v/>
      </c>
      <c r="AL4069" s="700"/>
      <c r="AM4069" s="505" t="str">
        <f t="shared" si="3132"/>
        <v/>
      </c>
      <c r="AN4069" s="506"/>
      <c r="AO4069" s="507"/>
      <c r="AP4069" s="507"/>
      <c r="AQ4069" s="507"/>
      <c r="AR4069" s="507"/>
      <c r="AS4069" s="507"/>
      <c r="AT4069" s="507"/>
      <c r="AU4069" s="507"/>
      <c r="AV4069" s="225"/>
      <c r="AW4069" s="508"/>
      <c r="AX4069" s="225"/>
      <c r="AY4069" s="225"/>
      <c r="AZ4069" s="225"/>
      <c r="BA4069" s="225"/>
      <c r="BB4069" s="225"/>
      <c r="BC4069" s="56"/>
      <c r="BD4069" s="56"/>
      <c r="BE4069" s="56"/>
      <c r="BF4069" s="107" t="str">
        <f t="shared" si="3133"/>
        <v>https://www.google.com/search?tbm=isch&amp;q=White%20Profusion%20has%20Gray-Green%20foliage%20and%20a%20fragrance.%20All%20BB%20bloom%20summer%20to%20frost%2C%20on%20new%20wood%2C%20so%20cut%20back%20hard%20late%20winter%20</v>
      </c>
      <c r="BG4069" s="107" t="str">
        <f t="shared" si="3134"/>
        <v>W</v>
      </c>
      <c r="BH4069" s="254"/>
      <c r="BI4069" s="254"/>
    </row>
    <row r="4070" spans="1:61" customFormat="1" ht="18" x14ac:dyDescent="0.25">
      <c r="A4070" s="523" t="s">
        <v>5570</v>
      </c>
      <c r="B4070" s="235"/>
      <c r="C4070" s="676"/>
      <c r="D4070" s="255" t="s">
        <v>2027</v>
      </c>
      <c r="E4070" s="236"/>
      <c r="F4070" s="236"/>
      <c r="G4070" s="236"/>
      <c r="H4070" s="582" t="s">
        <v>1858</v>
      </c>
      <c r="I4070" s="498" t="s">
        <v>3113</v>
      </c>
      <c r="J4070" s="237"/>
      <c r="K4070" s="237"/>
      <c r="L4070" s="274"/>
      <c r="M4070" s="668" t="s">
        <v>4975</v>
      </c>
      <c r="N4070" s="681" t="str">
        <f>IF(AND(ISTEXT($A4070), ISERROR($A4070+0)), HYPERLINK($BF4070, "Images"), "")</f>
        <v>Images</v>
      </c>
      <c r="O4070" s="663" t="s">
        <v>4967</v>
      </c>
      <c r="P4070" s="253"/>
      <c r="Q4070" s="238"/>
      <c r="R4070" s="239"/>
      <c r="S4070" s="275"/>
      <c r="T4070" s="508">
        <f t="shared" si="3122"/>
        <v>0</v>
      </c>
      <c r="U4070" s="225" t="str">
        <f>IF(NOT(ISNUMBER(G4070)), "", VLOOKUP(A4070,'Discount Lookup'!D:E,2,FALSE)*G4070)</f>
        <v/>
      </c>
      <c r="V4070" s="225" t="str">
        <f>IF(NOT(ISNUMBER(G4070)), "", VLOOKUP(A4070,'Discount Lookup'!G:H,2,FALSE)*G4070)</f>
        <v/>
      </c>
      <c r="W4070" s="508">
        <f t="shared" si="3123"/>
        <v>0</v>
      </c>
      <c r="X4070" s="508" t="str">
        <f t="shared" si="3124"/>
        <v>White bloom ages to Pink</v>
      </c>
      <c r="Y4070" s="509" t="b">
        <f t="shared" si="3125"/>
        <v>0</v>
      </c>
      <c r="Z4070" s="510">
        <f t="shared" si="3126"/>
        <v>0</v>
      </c>
      <c r="AA4070" s="511"/>
      <c r="AB4070" s="511" t="str">
        <f t="shared" si="3127"/>
        <v/>
      </c>
      <c r="AC4070" s="698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698"/>
      <c r="AE4070" s="631" t="str">
        <f t="shared" si="3128"/>
        <v/>
      </c>
      <c r="AF4070" s="699" t="str">
        <f t="shared" si="3129"/>
        <v/>
      </c>
      <c r="AG4070" s="699"/>
      <c r="AH4070" s="699"/>
      <c r="AI4070" s="512">
        <f>IF(H4070="credit",0,IF(AE4070="free",0,IF(AE4070="me",0,IF(G4070&gt;0,(VLOOKUP(A4070,'Discount Lookup'!J:K,2)*G4070),0))))</f>
        <v>0</v>
      </c>
      <c r="AJ4070" s="513" t="str">
        <f t="shared" ca="1" si="3130"/>
        <v/>
      </c>
      <c r="AK4070" s="700" t="str">
        <f t="shared" si="3131"/>
        <v/>
      </c>
      <c r="AL4070" s="700"/>
      <c r="AM4070" s="505" t="str">
        <f t="shared" si="3132"/>
        <v/>
      </c>
      <c r="AN4070" s="506"/>
      <c r="AO4070" s="507"/>
      <c r="AP4070" s="507"/>
      <c r="AQ4070" s="507"/>
      <c r="AR4070" s="507"/>
      <c r="AS4070" s="507"/>
      <c r="AT4070" s="507"/>
      <c r="AU4070" s="507"/>
      <c r="AV4070" s="225"/>
      <c r="AW4070" s="508"/>
      <c r="AX4070" s="225"/>
      <c r="AY4070" s="225"/>
      <c r="AZ4070" s="225"/>
      <c r="BA4070" s="225"/>
      <c r="BB4070" s="225"/>
      <c r="BC4070" s="56"/>
      <c r="BD4070" s="56"/>
      <c r="BE4070" s="56"/>
      <c r="BF4070" s="107" t="str">
        <f t="shared" si="3133"/>
        <v>https://www.google.com/search?tbm=isch&amp;q=White%20Wedding%C2%AE%20Hydrangea%20Hyd.%20paniculata%20%27LeeP1%27%20PP%2328973</v>
      </c>
      <c r="BG4070" s="107" t="str">
        <f t="shared" si="3134"/>
        <v>W</v>
      </c>
      <c r="BH4070" s="254"/>
      <c r="BI4070" s="254"/>
    </row>
    <row r="4071" spans="1:61" customFormat="1" ht="15.75" x14ac:dyDescent="0.25">
      <c r="A4071" s="276">
        <v>3</v>
      </c>
      <c r="B4071" s="240" t="s">
        <v>291</v>
      </c>
      <c r="C4071" s="241" t="s">
        <v>4721</v>
      </c>
      <c r="D4071" s="242" t="s">
        <v>312</v>
      </c>
      <c r="E4071" s="243">
        <v>32.950000000000003</v>
      </c>
      <c r="F4071" s="517" t="s">
        <v>293</v>
      </c>
      <c r="G4071" s="232">
        <v>0</v>
      </c>
      <c r="H4071" s="661" t="str">
        <f>IF(G4071=0,"",IF(F4071="Buy",IF(G4071=1,"plant","plants"),IF(F4071&gt;0.01,"warranty","Error")))</f>
        <v/>
      </c>
      <c r="I4071" s="244">
        <f>IF(H4071="free",0,IF(H4071="credit",((E4071*(F4071))*G4071*-1),IF(F4071="Buy",(E4071*G4071),((E4071*(1-F4071))*G4071))))</f>
        <v>0</v>
      </c>
      <c r="J4071" s="244">
        <f>IF(H4071="warranty",0,(I4071*(_xlfn.SINGLE(SalesTaxPercentage))))</f>
        <v>0</v>
      </c>
      <c r="K4071" s="696">
        <f t="shared" ref="K4071" si="3145">I4071+J4071</f>
        <v>0</v>
      </c>
      <c r="L4071" s="696"/>
      <c r="M4071" s="659" t="str">
        <f>IF(AND(G4071&gt;0,E4071=0),"WARNING - no PRICE inserted",IF(H4071="free"," FREE ~ no charge this plant",IF(H4071="credit",CONCATENATE(" -$",ROUND(K4071*(1-T2GDiscount)*-1,2)," CREDIT after discount"),IF(T2GDiscount=0,"",IF(G4071=0,"",IF(F4071="Buy",CONCATENATE(" $",ROUND(K4071*(1-T2GDiscount),2)," with ",(T2GDiscount*100),"% discount"),CONCATENATE(" $",ROUND(K4071*(1-T2GDiscount),2)," with ",((T2GDiscount*100+F4071*100)-(T2GDiscount*100*F4071)),IF(F4071&gt;0,"% discounts",IF(NoWarrantyDiscount&gt;0,"% discounts","% discount")))))))))</f>
        <v/>
      </c>
      <c r="N4071" s="660"/>
      <c r="O4071" s="233"/>
      <c r="P4071" s="233"/>
      <c r="Q4071" s="233"/>
      <c r="R4071" s="233"/>
      <c r="S4071" s="233"/>
      <c r="T4071" s="508">
        <f t="shared" si="3122"/>
        <v>0</v>
      </c>
      <c r="U4071" s="225">
        <f>IF(NOT(ISNUMBER(G4071)), "", VLOOKUP(A4071,'Discount Lookup'!D:E,2,FALSE)*G4071)</f>
        <v>0</v>
      </c>
      <c r="V4071" s="225">
        <f>IF(NOT(ISNUMBER(G4071)), "", VLOOKUP(A4071,'Discount Lookup'!G:H,2,FALSE)*G4071)</f>
        <v>0</v>
      </c>
      <c r="W4071" s="508">
        <f t="shared" si="3123"/>
        <v>0</v>
      </c>
      <c r="X4071" s="508">
        <f t="shared" si="3124"/>
        <v>0</v>
      </c>
      <c r="Y4071" s="509" t="b">
        <f t="shared" si="3125"/>
        <v>0</v>
      </c>
      <c r="Z4071" s="510">
        <f t="shared" si="3126"/>
        <v>0</v>
      </c>
      <c r="AA4071" s="511"/>
      <c r="AB4071" s="511" t="str">
        <f t="shared" si="3127"/>
        <v/>
      </c>
      <c r="AC4071" s="698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698"/>
      <c r="AE4071" s="631" t="str">
        <f t="shared" si="3128"/>
        <v/>
      </c>
      <c r="AF4071" s="699" t="str">
        <f t="shared" si="3129"/>
        <v/>
      </c>
      <c r="AG4071" s="699"/>
      <c r="AH4071" s="699"/>
      <c r="AI4071" s="512">
        <f>IF(H4071="credit",0,IF(AE4071="free",0,IF(AE4071="me",0,IF(G4071&gt;0,(VLOOKUP(A4071,'Discount Lookup'!J:K,2)*G4071),0))))</f>
        <v>0</v>
      </c>
      <c r="AJ4071" s="513" t="str">
        <f t="shared" ca="1" si="3130"/>
        <v/>
      </c>
      <c r="AK4071" s="700" t="str">
        <f t="shared" si="3131"/>
        <v/>
      </c>
      <c r="AL4071" s="700"/>
      <c r="AM4071" s="505" t="str">
        <f t="shared" si="3132"/>
        <v/>
      </c>
      <c r="AN4071" s="506"/>
      <c r="AO4071" s="507"/>
      <c r="AP4071" s="507"/>
      <c r="AQ4071" s="507"/>
      <c r="AR4071" s="507"/>
      <c r="AS4071" s="507"/>
      <c r="AT4071" s="507"/>
      <c r="AU4071" s="507"/>
      <c r="AV4071" s="225"/>
      <c r="AW4071" s="508"/>
      <c r="AX4071" s="225"/>
      <c r="AY4071" s="225"/>
      <c r="AZ4071" s="225"/>
      <c r="BA4071" s="225"/>
      <c r="BB4071" s="225"/>
      <c r="BC4071" s="56"/>
      <c r="BD4071" s="56"/>
      <c r="BE4071" s="56"/>
      <c r="BF4071" s="107" t="str">
        <f t="shared" si="3133"/>
        <v>https://www.google.com/search?tbm=isch&amp;q=3%20G2</v>
      </c>
      <c r="BG4071" s="107" t="str">
        <f t="shared" si="3134"/>
        <v>W</v>
      </c>
      <c r="BH4071" s="254"/>
      <c r="BI4071" s="254"/>
    </row>
    <row r="4072" spans="1:61" customFormat="1" ht="17.25" thickBot="1" x14ac:dyDescent="0.3">
      <c r="A4072" s="524" t="s">
        <v>4193</v>
      </c>
      <c r="B4072" s="245"/>
      <c r="C4072" s="677"/>
      <c r="D4072" s="499"/>
      <c r="E4072" s="499"/>
      <c r="F4072" s="500"/>
      <c r="G4072" s="501"/>
      <c r="H4072" s="502"/>
      <c r="I4072" s="246"/>
      <c r="J4072" s="247"/>
      <c r="K4072" s="503"/>
      <c r="L4072" s="544"/>
      <c r="M4072" s="544"/>
      <c r="N4072" s="500"/>
      <c r="O4072" s="500"/>
      <c r="P4072" s="500"/>
      <c r="Q4072" s="500"/>
      <c r="R4072" s="500"/>
      <c r="S4072" s="278"/>
      <c r="T4072" s="508">
        <f t="shared" si="3122"/>
        <v>0</v>
      </c>
      <c r="U4072" s="225" t="str">
        <f>IF(NOT(ISNUMBER(G4072)), "", VLOOKUP(A4072,'Discount Lookup'!D:E,2,FALSE)*G4072)</f>
        <v/>
      </c>
      <c r="V4072" s="225" t="str">
        <f>IF(NOT(ISNUMBER(G4072)), "", VLOOKUP(A4072,'Discount Lookup'!G:H,2,FALSE)*G4072)</f>
        <v/>
      </c>
      <c r="W4072" s="508">
        <f t="shared" si="3123"/>
        <v>0</v>
      </c>
      <c r="X4072" s="508">
        <f t="shared" si="3124"/>
        <v>0</v>
      </c>
      <c r="Y4072" s="509" t="b">
        <f t="shared" si="3125"/>
        <v>0</v>
      </c>
      <c r="Z4072" s="510">
        <f t="shared" si="3126"/>
        <v>0</v>
      </c>
      <c r="AA4072" s="511"/>
      <c r="AB4072" s="511" t="str">
        <f t="shared" si="3127"/>
        <v/>
      </c>
      <c r="AC4072" s="698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698"/>
      <c r="AE4072" s="631" t="str">
        <f t="shared" si="3128"/>
        <v/>
      </c>
      <c r="AF4072" s="699" t="str">
        <f t="shared" si="3129"/>
        <v/>
      </c>
      <c r="AG4072" s="699"/>
      <c r="AH4072" s="699"/>
      <c r="AI4072" s="512">
        <f>IF(H4072="credit",0,IF(AE4072="free",0,IF(AE4072="me",0,IF(G4072&gt;0,(VLOOKUP(A4072,'Discount Lookup'!J:K,2)*G4072),0))))</f>
        <v>0</v>
      </c>
      <c r="AJ4072" s="513" t="str">
        <f t="shared" ca="1" si="3130"/>
        <v/>
      </c>
      <c r="AK4072" s="700" t="str">
        <f t="shared" si="3131"/>
        <v/>
      </c>
      <c r="AL4072" s="700"/>
      <c r="AM4072" s="505" t="str">
        <f t="shared" si="3132"/>
        <v/>
      </c>
      <c r="AN4072" s="506"/>
      <c r="AO4072" s="507"/>
      <c r="AP4072" s="507"/>
      <c r="AQ4072" s="507"/>
      <c r="AR4072" s="507"/>
      <c r="AS4072" s="507"/>
      <c r="AT4072" s="507"/>
      <c r="AU4072" s="507"/>
      <c r="AV4072" s="225"/>
      <c r="AW4072" s="508"/>
      <c r="AX4072" s="225"/>
      <c r="AY4072" s="225"/>
      <c r="AZ4072" s="225"/>
      <c r="BA4072" s="225"/>
      <c r="BB4072" s="225"/>
      <c r="BC4072" s="56"/>
      <c r="BD4072" s="56"/>
      <c r="BE4072" s="56"/>
      <c r="BF4072" s="107" t="str">
        <f t="shared" si="3133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4072" s="107" t="str">
        <f t="shared" si="3134"/>
        <v>W</v>
      </c>
      <c r="BH4072" s="254"/>
      <c r="BI4072" s="254"/>
    </row>
    <row r="4073" spans="1:61" customFormat="1" ht="18" x14ac:dyDescent="0.25">
      <c r="A4073" s="521" t="s">
        <v>2028</v>
      </c>
      <c r="B4073" s="477"/>
      <c r="C4073" s="674"/>
      <c r="D4073" s="478" t="s">
        <v>2029</v>
      </c>
      <c r="E4073" s="479"/>
      <c r="F4073" s="479"/>
      <c r="G4073" s="479"/>
      <c r="H4073" s="582" t="s">
        <v>2999</v>
      </c>
      <c r="I4073" s="480" t="s">
        <v>2991</v>
      </c>
      <c r="J4073" s="479"/>
      <c r="K4073" s="479"/>
      <c r="L4073" s="560"/>
      <c r="M4073" s="671" t="s">
        <v>4985</v>
      </c>
      <c r="N4073" s="680" t="str">
        <f>IF(AND(ISTEXT($A4073), ISERROR($A4073+0)), HYPERLINK($BF4073, "Images"), "")</f>
        <v>Images</v>
      </c>
      <c r="O4073" s="662" t="s">
        <v>4969</v>
      </c>
      <c r="P4073" s="482"/>
      <c r="Q4073" s="483"/>
      <c r="R4073" s="483"/>
      <c r="S4073" s="484"/>
      <c r="T4073" s="508">
        <f t="shared" si="3122"/>
        <v>0</v>
      </c>
      <c r="U4073" s="225" t="str">
        <f>IF(NOT(ISNUMBER(G4073)), "", VLOOKUP(A4073,'Discount Lookup'!D:E,2,FALSE)*G4073)</f>
        <v/>
      </c>
      <c r="V4073" s="225" t="str">
        <f>IF(NOT(ISNUMBER(G4073)), "", VLOOKUP(A4073,'Discount Lookup'!G:H,2,FALSE)*G4073)</f>
        <v/>
      </c>
      <c r="W4073" s="508">
        <f t="shared" si="3123"/>
        <v>0</v>
      </c>
      <c r="X4073" s="508" t="str">
        <f t="shared" si="3124"/>
        <v>Green &amp; White foliage</v>
      </c>
      <c r="Y4073" s="509" t="b">
        <f t="shared" si="3125"/>
        <v>0</v>
      </c>
      <c r="Z4073" s="510">
        <f t="shared" si="3126"/>
        <v>0</v>
      </c>
      <c r="AA4073" s="511"/>
      <c r="AB4073" s="511" t="str">
        <f t="shared" si="3127"/>
        <v/>
      </c>
      <c r="AC4073" s="698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698"/>
      <c r="AE4073" s="631" t="str">
        <f t="shared" si="3128"/>
        <v/>
      </c>
      <c r="AF4073" s="699" t="str">
        <f t="shared" si="3129"/>
        <v/>
      </c>
      <c r="AG4073" s="699"/>
      <c r="AH4073" s="699"/>
      <c r="AI4073" s="512">
        <f>IF(H4073="credit",0,IF(AE4073="free",0,IF(AE4073="me",0,IF(G4073&gt;0,(VLOOKUP(A4073,'Discount Lookup'!J:K,2)*G4073),0))))</f>
        <v>0</v>
      </c>
      <c r="AJ4073" s="513" t="str">
        <f t="shared" ca="1" si="3130"/>
        <v/>
      </c>
      <c r="AK4073" s="700" t="str">
        <f t="shared" si="3131"/>
        <v/>
      </c>
      <c r="AL4073" s="700"/>
      <c r="AM4073" s="505" t="str">
        <f t="shared" si="3132"/>
        <v/>
      </c>
      <c r="AN4073" s="506"/>
      <c r="AO4073" s="507"/>
      <c r="AP4073" s="507"/>
      <c r="AQ4073" s="507"/>
      <c r="AR4073" s="507"/>
      <c r="AS4073" s="507"/>
      <c r="AT4073" s="507"/>
      <c r="AU4073" s="507"/>
      <c r="AV4073" s="225"/>
      <c r="AW4073" s="508"/>
      <c r="AX4073" s="225"/>
      <c r="AY4073" s="225"/>
      <c r="AZ4073" s="225"/>
      <c r="BA4073" s="225"/>
      <c r="BB4073" s="225"/>
      <c r="BC4073" s="56"/>
      <c r="BD4073" s="56"/>
      <c r="BE4073" s="56"/>
      <c r="BF4073" s="107" t="str">
        <f t="shared" si="3133"/>
        <v>https://www.google.com/search?tbm=isch&amp;q=White-Striped%20Dwarf%20Bamboo%20Sasaella%20masamuneana%20%27Albostriata%27</v>
      </c>
      <c r="BG4073" s="107" t="str">
        <f t="shared" si="3134"/>
        <v>W</v>
      </c>
      <c r="BH4073" s="254"/>
      <c r="BI4073" s="254"/>
    </row>
    <row r="4074" spans="1:61" customFormat="1" ht="15.75" x14ac:dyDescent="0.25">
      <c r="A4074" s="485">
        <v>3</v>
      </c>
      <c r="B4074" s="486" t="s">
        <v>291</v>
      </c>
      <c r="C4074" s="487" t="s">
        <v>3866</v>
      </c>
      <c r="D4074" s="488" t="s">
        <v>292</v>
      </c>
      <c r="E4074" s="489">
        <v>45.95</v>
      </c>
      <c r="F4074" s="516" t="s">
        <v>293</v>
      </c>
      <c r="G4074" s="232">
        <v>0</v>
      </c>
      <c r="H4074" s="658" t="str">
        <f>IF(G4074=0,"",IF(F4074="Buy",IF(G4074=1,"plant","plants"),IF(F4074&gt;0.01,"warranty","Error")))</f>
        <v/>
      </c>
      <c r="I4074" s="490">
        <f>IF(H4074="free",0,IF(H4074="credit",((E4074*(F4074))*G4074*-1),IF(F4074="Buy",(E4074*G4074),((E4074*(1-F4074))*G4074))))</f>
        <v>0</v>
      </c>
      <c r="J4074" s="490">
        <f>IF(H4074="warranty",0,(I4074*(_xlfn.SINGLE(SalesTaxPercentage))))</f>
        <v>0</v>
      </c>
      <c r="K4074" s="695">
        <f t="shared" ref="K4074" si="3146">I4074+J4074</f>
        <v>0</v>
      </c>
      <c r="L4074" s="695"/>
      <c r="M4074" s="659" t="str">
        <f>IF(AND(G4074&gt;0,E4074=0),"WARNING - no PRICE inserted",IF(H4074="free"," FREE ~ no charge this plant",IF(H4074="credit",CONCATENATE(" -$",ROUND(K4074*(1-T2GDiscount)*-1,2)," CREDIT after discount"),IF(T2GDiscount=0,"",IF(G4074=0,"",IF(F4074="Buy",CONCATENATE(" $",ROUND(K4074*(1-T2GDiscount),2)," with ",(T2GDiscount*100),"% discount"),CONCATENATE(" $",ROUND(K4074*(1-T2GDiscount),2)," with ",((T2GDiscount*100+F4074*100)-(T2GDiscount*100*F4074)),IF(F4074&gt;0,"% discounts",IF(NoWarrantyDiscount&gt;0,"% discounts","% discount")))))))))</f>
        <v/>
      </c>
      <c r="N4074" s="660"/>
      <c r="O4074" s="233"/>
      <c r="P4074" s="233"/>
      <c r="Q4074" s="233"/>
      <c r="R4074" s="233"/>
      <c r="S4074" s="233"/>
      <c r="T4074" s="508">
        <f t="shared" si="3122"/>
        <v>0</v>
      </c>
      <c r="U4074" s="225">
        <f>IF(NOT(ISNUMBER(G4074)), "", VLOOKUP(A4074,'Discount Lookup'!D:E,2,FALSE)*G4074)</f>
        <v>0</v>
      </c>
      <c r="V4074" s="225">
        <f>IF(NOT(ISNUMBER(G4074)), "", VLOOKUP(A4074,'Discount Lookup'!G:H,2,FALSE)*G4074)</f>
        <v>0</v>
      </c>
      <c r="W4074" s="508">
        <f t="shared" si="3123"/>
        <v>0</v>
      </c>
      <c r="X4074" s="508">
        <f t="shared" si="3124"/>
        <v>0</v>
      </c>
      <c r="Y4074" s="509" t="b">
        <f t="shared" si="3125"/>
        <v>0</v>
      </c>
      <c r="Z4074" s="510">
        <f t="shared" si="3126"/>
        <v>0</v>
      </c>
      <c r="AA4074" s="511"/>
      <c r="AB4074" s="511" t="str">
        <f t="shared" si="3127"/>
        <v/>
      </c>
      <c r="AC4074" s="698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698"/>
      <c r="AE4074" s="631" t="str">
        <f t="shared" si="3128"/>
        <v/>
      </c>
      <c r="AF4074" s="699" t="str">
        <f t="shared" si="3129"/>
        <v/>
      </c>
      <c r="AG4074" s="699"/>
      <c r="AH4074" s="699"/>
      <c r="AI4074" s="512">
        <f>IF(H4074="credit",0,IF(AE4074="free",0,IF(AE4074="me",0,IF(G4074&gt;0,(VLOOKUP(A4074,'Discount Lookup'!J:K,2)*G4074),0))))</f>
        <v>0</v>
      </c>
      <c r="AJ4074" s="513" t="str">
        <f t="shared" ca="1" si="3130"/>
        <v/>
      </c>
      <c r="AK4074" s="700" t="str">
        <f t="shared" si="3131"/>
        <v/>
      </c>
      <c r="AL4074" s="700"/>
      <c r="AM4074" s="505" t="str">
        <f t="shared" si="3132"/>
        <v/>
      </c>
      <c r="AN4074" s="506"/>
      <c r="AO4074" s="507"/>
      <c r="AP4074" s="507"/>
      <c r="AQ4074" s="507"/>
      <c r="AR4074" s="507"/>
      <c r="AS4074" s="507"/>
      <c r="AT4074" s="507"/>
      <c r="AU4074" s="507"/>
      <c r="AV4074" s="225"/>
      <c r="AW4074" s="508"/>
      <c r="AX4074" s="225"/>
      <c r="AY4074" s="225"/>
      <c r="AZ4074" s="225"/>
      <c r="BA4074" s="225"/>
      <c r="BB4074" s="225"/>
      <c r="BC4074" s="56"/>
      <c r="BD4074" s="56"/>
      <c r="BE4074" s="56"/>
      <c r="BF4074" s="107" t="str">
        <f t="shared" si="3133"/>
        <v>https://www.google.com/search?tbm=isch&amp;q=3%20G4</v>
      </c>
      <c r="BG4074" s="107" t="str">
        <f t="shared" si="3134"/>
        <v>W</v>
      </c>
      <c r="BH4074" s="254"/>
      <c r="BI4074" s="254"/>
    </row>
    <row r="4075" spans="1:61" customFormat="1" ht="16.5" thickBot="1" x14ac:dyDescent="0.3">
      <c r="A4075" s="522" t="s">
        <v>3040</v>
      </c>
      <c r="B4075" s="491"/>
      <c r="C4075" s="675"/>
      <c r="D4075" s="491"/>
      <c r="E4075" s="491"/>
      <c r="F4075" s="492"/>
      <c r="G4075" s="493"/>
      <c r="H4075" s="491"/>
      <c r="I4075" s="234"/>
      <c r="J4075" s="234"/>
      <c r="K4075" s="494"/>
      <c r="L4075" s="543"/>
      <c r="M4075" s="561"/>
      <c r="N4075" s="495"/>
      <c r="O4075" s="496"/>
      <c r="P4075" s="497"/>
      <c r="Q4075" s="495"/>
      <c r="R4075" s="495"/>
      <c r="S4075" s="667" t="s">
        <v>4968</v>
      </c>
      <c r="T4075" s="508">
        <f t="shared" si="3122"/>
        <v>0</v>
      </c>
      <c r="U4075" s="225" t="str">
        <f>IF(NOT(ISNUMBER(G4075)), "", VLOOKUP(A4075,'Discount Lookup'!D:E,2,FALSE)*G4075)</f>
        <v/>
      </c>
      <c r="V4075" s="225" t="str">
        <f>IF(NOT(ISNUMBER(G4075)), "", VLOOKUP(A4075,'Discount Lookup'!G:H,2,FALSE)*G4075)</f>
        <v/>
      </c>
      <c r="W4075" s="508">
        <f t="shared" si="3123"/>
        <v>0</v>
      </c>
      <c r="X4075" s="508">
        <f t="shared" si="3124"/>
        <v>0</v>
      </c>
      <c r="Y4075" s="509" t="b">
        <f t="shared" si="3125"/>
        <v>0</v>
      </c>
      <c r="Z4075" s="510">
        <f t="shared" si="3126"/>
        <v>0</v>
      </c>
      <c r="AA4075" s="511"/>
      <c r="AB4075" s="511" t="str">
        <f t="shared" si="3127"/>
        <v/>
      </c>
      <c r="AC4075" s="698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698"/>
      <c r="AE4075" s="631" t="str">
        <f t="shared" si="3128"/>
        <v/>
      </c>
      <c r="AF4075" s="699" t="str">
        <f t="shared" si="3129"/>
        <v/>
      </c>
      <c r="AG4075" s="699"/>
      <c r="AH4075" s="699"/>
      <c r="AI4075" s="512">
        <f>IF(H4075="credit",0,IF(AE4075="free",0,IF(AE4075="me",0,IF(G4075&gt;0,(VLOOKUP(A4075,'Discount Lookup'!J:K,2)*G4075),0))))</f>
        <v>0</v>
      </c>
      <c r="AJ4075" s="513" t="str">
        <f t="shared" ca="1" si="3130"/>
        <v/>
      </c>
      <c r="AK4075" s="700" t="str">
        <f t="shared" si="3131"/>
        <v/>
      </c>
      <c r="AL4075" s="700"/>
      <c r="AM4075" s="505" t="str">
        <f t="shared" si="3132"/>
        <v/>
      </c>
      <c r="AN4075" s="506"/>
      <c r="AO4075" s="507"/>
      <c r="AP4075" s="507"/>
      <c r="AQ4075" s="507"/>
      <c r="AR4075" s="507"/>
      <c r="AS4075" s="507"/>
      <c r="AT4075" s="507"/>
      <c r="AU4075" s="507"/>
      <c r="AV4075" s="225"/>
      <c r="AW4075" s="508"/>
      <c r="AX4075" s="225"/>
      <c r="AY4075" s="225"/>
      <c r="AZ4075" s="225"/>
      <c r="BA4075" s="225"/>
      <c r="BB4075" s="225"/>
      <c r="BC4075" s="56"/>
      <c r="BD4075" s="56"/>
      <c r="BE4075" s="56"/>
      <c r="BF4075" s="107" t="str">
        <f t="shared" si="3133"/>
        <v>https://www.google.com/search?tbm=isch&amp;q=White-Striped%20Dwarf%20is%20a%20runner%2C%20forming%20a%20dense%20mat.%20Striking%20Green-and-White%20striped%20foliage%20and%20Red-to-Green%20culms.%20Cold-hardy%20</v>
      </c>
      <c r="BG4075" s="107" t="str">
        <f t="shared" si="3134"/>
        <v>W</v>
      </c>
      <c r="BH4075" s="254"/>
      <c r="BI4075" s="254"/>
    </row>
    <row r="4076" spans="1:61" customFormat="1" ht="18" x14ac:dyDescent="0.25">
      <c r="A4076" s="523" t="s">
        <v>4652</v>
      </c>
      <c r="B4076" s="235"/>
      <c r="C4076" s="676"/>
      <c r="D4076" s="255" t="s">
        <v>4653</v>
      </c>
      <c r="E4076" s="236"/>
      <c r="F4076" s="236"/>
      <c r="G4076" s="236"/>
      <c r="H4076" s="582" t="s">
        <v>394</v>
      </c>
      <c r="I4076" s="498" t="s">
        <v>2500</v>
      </c>
      <c r="J4076" s="237"/>
      <c r="K4076" s="237"/>
      <c r="L4076" s="274"/>
      <c r="M4076" s="670" t="s">
        <v>4973</v>
      </c>
      <c r="N4076" s="681" t="str">
        <f>IF(AND(ISTEXT($A4076), ISERROR($A4076+0)), HYPERLINK($BF4076, "Images"), "")</f>
        <v>Images</v>
      </c>
      <c r="O4076" s="663" t="s">
        <v>4969</v>
      </c>
      <c r="P4076" s="253"/>
      <c r="Q4076" s="238"/>
      <c r="R4076" s="239"/>
      <c r="S4076" s="275"/>
      <c r="T4076" s="508">
        <f t="shared" si="3122"/>
        <v>0</v>
      </c>
      <c r="U4076" s="225" t="str">
        <f>IF(NOT(ISNUMBER(G4076)), "", VLOOKUP(A4076,'Discount Lookup'!D:E,2,FALSE)*G4076)</f>
        <v/>
      </c>
      <c r="V4076" s="225" t="str">
        <f>IF(NOT(ISNUMBER(G4076)), "", VLOOKUP(A4076,'Discount Lookup'!G:H,2,FALSE)*G4076)</f>
        <v/>
      </c>
      <c r="W4076" s="508">
        <f t="shared" si="3123"/>
        <v>0</v>
      </c>
      <c r="X4076" s="508" t="str">
        <f t="shared" si="3124"/>
        <v>White, Purple bracts</v>
      </c>
      <c r="Y4076" s="509" t="b">
        <f t="shared" si="3125"/>
        <v>0</v>
      </c>
      <c r="Z4076" s="510">
        <f t="shared" si="3126"/>
        <v>0</v>
      </c>
      <c r="AA4076" s="511"/>
      <c r="AB4076" s="511" t="str">
        <f t="shared" si="3127"/>
        <v/>
      </c>
      <c r="AC4076" s="698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698"/>
      <c r="AE4076" s="631" t="str">
        <f t="shared" si="3128"/>
        <v/>
      </c>
      <c r="AF4076" s="699" t="str">
        <f t="shared" si="3129"/>
        <v/>
      </c>
      <c r="AG4076" s="699"/>
      <c r="AH4076" s="699"/>
      <c r="AI4076" s="512">
        <f>IF(H4076="credit",0,IF(AE4076="free",0,IF(AE4076="me",0,IF(G4076&gt;0,(VLOOKUP(A4076,'Discount Lookup'!J:K,2)*G4076),0))))</f>
        <v>0</v>
      </c>
      <c r="AJ4076" s="513" t="str">
        <f t="shared" ca="1" si="3130"/>
        <v/>
      </c>
      <c r="AK4076" s="700" t="str">
        <f t="shared" si="3131"/>
        <v/>
      </c>
      <c r="AL4076" s="700"/>
      <c r="AM4076" s="505" t="str">
        <f t="shared" si="3132"/>
        <v/>
      </c>
      <c r="AN4076" s="506"/>
      <c r="AO4076" s="507"/>
      <c r="AP4076" s="507"/>
      <c r="AQ4076" s="507"/>
      <c r="AR4076" s="507"/>
      <c r="AS4076" s="507"/>
      <c r="AT4076" s="507"/>
      <c r="AU4076" s="507"/>
      <c r="AV4076" s="225"/>
      <c r="AW4076" s="508"/>
      <c r="AX4076" s="225"/>
      <c r="AY4076" s="225"/>
      <c r="AZ4076" s="225"/>
      <c r="BA4076" s="225"/>
      <c r="BB4076" s="225"/>
      <c r="BC4076" s="56"/>
      <c r="BD4076" s="56"/>
      <c r="BE4076" s="56"/>
      <c r="BF4076" s="107" t="str">
        <f t="shared" si="3133"/>
        <v>https://www.google.com/search?tbm=isch&amp;q=Whitewater%20Bear%27s%20Breeches%20Acanthus%20mollis%20%27Whitewater%27%20PP%2323342</v>
      </c>
      <c r="BG4076" s="107" t="str">
        <f t="shared" si="3134"/>
        <v>W</v>
      </c>
      <c r="BH4076" s="254"/>
      <c r="BI4076" s="254"/>
    </row>
    <row r="4077" spans="1:61" customFormat="1" ht="15.75" x14ac:dyDescent="0.25">
      <c r="A4077" s="276">
        <v>1</v>
      </c>
      <c r="B4077" s="240" t="s">
        <v>291</v>
      </c>
      <c r="C4077" s="241"/>
      <c r="D4077" s="242" t="s">
        <v>312</v>
      </c>
      <c r="E4077" s="243">
        <v>17.95</v>
      </c>
      <c r="F4077" s="517" t="s">
        <v>293</v>
      </c>
      <c r="G4077" s="232">
        <v>0</v>
      </c>
      <c r="H4077" s="661" t="str">
        <f>IF(G4077=0,"",IF(F4077="Buy",IF(G4077=1,"plant","plants"),IF(F4077&gt;0.01,"warranty","Error")))</f>
        <v/>
      </c>
      <c r="I4077" s="244">
        <f>IF(H4077="free",0,IF(H4077="credit",((E4077*(F4077))*G4077*-1),IF(F4077="Buy",(E4077*G4077),((E4077*(1-F4077))*G4077))))</f>
        <v>0</v>
      </c>
      <c r="J4077" s="244">
        <f>IF(H4077="warranty",0,(I4077*(_xlfn.SINGLE(SalesTaxPercentage))))</f>
        <v>0</v>
      </c>
      <c r="K4077" s="696">
        <f t="shared" ref="K4077" si="3147">I4077+J4077</f>
        <v>0</v>
      </c>
      <c r="L4077" s="696"/>
      <c r="M4077" s="659" t="str">
        <f>IF(AND(G4077&gt;0,E4077=0),"WARNING - no PRICE inserted",IF(H4077="free"," FREE ~ no charge this plant",IF(H4077="credit",CONCATENATE(" -$",ROUND(K4077*(1-T2GDiscount)*-1,2)," CREDIT after discount"),IF(T2GDiscount=0,"",IF(G4077=0,"",IF(F4077="Buy",CONCATENATE(" $",ROUND(K4077*(1-T2GDiscount),2)," with ",(T2GDiscount*100),"% discount"),CONCATENATE(" $",ROUND(K4077*(1-T2GDiscount),2)," with ",((T2GDiscount*100+F4077*100)-(T2GDiscount*100*F4077)),IF(F4077&gt;0,"% discounts",IF(NoWarrantyDiscount&gt;0,"% discounts","% discount")))))))))</f>
        <v/>
      </c>
      <c r="N4077" s="660"/>
      <c r="O4077" s="233"/>
      <c r="P4077" s="233"/>
      <c r="Q4077" s="233"/>
      <c r="R4077" s="233"/>
      <c r="S4077" s="233"/>
      <c r="T4077" s="508">
        <f t="shared" si="3122"/>
        <v>0</v>
      </c>
      <c r="U4077" s="225">
        <f>IF(NOT(ISNUMBER(G4077)), "", VLOOKUP(A4077,'Discount Lookup'!D:E,2,FALSE)*G4077)</f>
        <v>0</v>
      </c>
      <c r="V4077" s="225">
        <f>IF(NOT(ISNUMBER(G4077)), "", VLOOKUP(A4077,'Discount Lookup'!G:H,2,FALSE)*G4077)</f>
        <v>0</v>
      </c>
      <c r="W4077" s="508">
        <f t="shared" si="3123"/>
        <v>0</v>
      </c>
      <c r="X4077" s="508">
        <f t="shared" si="3124"/>
        <v>0</v>
      </c>
      <c r="Y4077" s="509" t="b">
        <f t="shared" si="3125"/>
        <v>0</v>
      </c>
      <c r="Z4077" s="510">
        <f t="shared" si="3126"/>
        <v>0</v>
      </c>
      <c r="AA4077" s="511"/>
      <c r="AB4077" s="511" t="str">
        <f t="shared" si="3127"/>
        <v/>
      </c>
      <c r="AC4077" s="698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698"/>
      <c r="AE4077" s="631" t="str">
        <f t="shared" si="3128"/>
        <v/>
      </c>
      <c r="AF4077" s="699" t="str">
        <f t="shared" si="3129"/>
        <v/>
      </c>
      <c r="AG4077" s="699"/>
      <c r="AH4077" s="699"/>
      <c r="AI4077" s="512">
        <f>IF(H4077="credit",0,IF(AE4077="free",0,IF(AE4077="me",0,IF(G4077&gt;0,(VLOOKUP(A4077,'Discount Lookup'!J:K,2)*G4077),0))))</f>
        <v>0</v>
      </c>
      <c r="AJ4077" s="513" t="str">
        <f t="shared" ca="1" si="3130"/>
        <v/>
      </c>
      <c r="AK4077" s="700" t="str">
        <f t="shared" si="3131"/>
        <v/>
      </c>
      <c r="AL4077" s="700"/>
      <c r="AM4077" s="505" t="str">
        <f t="shared" si="3132"/>
        <v/>
      </c>
      <c r="AN4077" s="506"/>
      <c r="AO4077" s="507"/>
      <c r="AP4077" s="507"/>
      <c r="AQ4077" s="507"/>
      <c r="AR4077" s="507"/>
      <c r="AS4077" s="507"/>
      <c r="AT4077" s="507"/>
      <c r="AU4077" s="507"/>
      <c r="AV4077" s="225"/>
      <c r="AW4077" s="508"/>
      <c r="AX4077" s="225"/>
      <c r="AY4077" s="225"/>
      <c r="AZ4077" s="225"/>
      <c r="BA4077" s="225"/>
      <c r="BB4077" s="225"/>
      <c r="BC4077" s="56"/>
      <c r="BD4077" s="56"/>
      <c r="BE4077" s="56"/>
      <c r="BF4077" s="107" t="str">
        <f t="shared" si="3133"/>
        <v>https://www.google.com/search?tbm=isch&amp;q=1%20G2</v>
      </c>
      <c r="BG4077" s="107" t="str">
        <f t="shared" si="3134"/>
        <v>W</v>
      </c>
      <c r="BH4077" s="254"/>
      <c r="BI4077" s="254"/>
    </row>
    <row r="4078" spans="1:61" customFormat="1" ht="15.75" x14ac:dyDescent="0.25">
      <c r="A4078" s="276">
        <v>7</v>
      </c>
      <c r="B4078" s="240" t="s">
        <v>291</v>
      </c>
      <c r="C4078" s="241"/>
      <c r="D4078" s="242" t="s">
        <v>300</v>
      </c>
      <c r="E4078" s="243">
        <v>131.94999999999999</v>
      </c>
      <c r="F4078" s="517" t="s">
        <v>293</v>
      </c>
      <c r="G4078" s="232">
        <v>0</v>
      </c>
      <c r="H4078" s="661" t="str">
        <f>IF(G4078=0,"",IF(F4078="Buy",IF(G4078=1,"plant","plants"),IF(F4078&gt;0.01,"warranty","Error")))</f>
        <v/>
      </c>
      <c r="I4078" s="244">
        <f>IF(H4078="free",0,IF(H4078="credit",((E4078*(F4078))*G4078*-1),IF(F4078="Buy",(E4078*G4078),((E4078*(1-F4078))*G4078))))</f>
        <v>0</v>
      </c>
      <c r="J4078" s="244">
        <f>IF(H4078="warranty",0,(I4078*(_xlfn.SINGLE(SalesTaxPercentage))))</f>
        <v>0</v>
      </c>
      <c r="K4078" s="696">
        <f t="shared" ref="K4078" si="3148">I4078+J4078</f>
        <v>0</v>
      </c>
      <c r="L4078" s="696"/>
      <c r="M4078" s="659" t="str">
        <f>IF(AND(G4078&gt;0,E4078=0),"WARNING - no PRICE inserted",IF(H4078="free"," FREE ~ no charge this plant",IF(H4078="credit",CONCATENATE(" -$",ROUND(K4078*(1-T2GDiscount)*-1,2)," CREDIT after discount"),IF(T2GDiscount=0,"",IF(G4078=0,"",IF(F4078="Buy",CONCATENATE(" $",ROUND(K4078*(1-T2GDiscount),2)," with ",(T2GDiscount*100),"% discount"),CONCATENATE(" $",ROUND(K4078*(1-T2GDiscount),2)," with ",((T2GDiscount*100+F4078*100)-(T2GDiscount*100*F4078)),IF(F4078&gt;0,"% discounts",IF(NoWarrantyDiscount&gt;0,"% discounts","% discount")))))))))</f>
        <v/>
      </c>
      <c r="N4078" s="660"/>
      <c r="O4078" s="233"/>
      <c r="P4078" s="233"/>
      <c r="Q4078" s="233"/>
      <c r="R4078" s="233"/>
      <c r="S4078" s="233"/>
      <c r="T4078" s="508">
        <f t="shared" si="3122"/>
        <v>0</v>
      </c>
      <c r="U4078" s="225">
        <f>IF(NOT(ISNUMBER(G4078)), "", VLOOKUP(A4078,'Discount Lookup'!D:E,2,FALSE)*G4078)</f>
        <v>0</v>
      </c>
      <c r="V4078" s="225">
        <f>IF(NOT(ISNUMBER(G4078)), "", VLOOKUP(A4078,'Discount Lookup'!G:H,2,FALSE)*G4078)</f>
        <v>0</v>
      </c>
      <c r="W4078" s="508">
        <f t="shared" si="3123"/>
        <v>0</v>
      </c>
      <c r="X4078" s="508">
        <f t="shared" si="3124"/>
        <v>0</v>
      </c>
      <c r="Y4078" s="509" t="b">
        <f t="shared" si="3125"/>
        <v>0</v>
      </c>
      <c r="Z4078" s="510">
        <f t="shared" si="3126"/>
        <v>0</v>
      </c>
      <c r="AA4078" s="511"/>
      <c r="AB4078" s="511" t="str">
        <f t="shared" si="3127"/>
        <v/>
      </c>
      <c r="AC4078" s="698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698"/>
      <c r="AE4078" s="631" t="str">
        <f t="shared" si="3128"/>
        <v/>
      </c>
      <c r="AF4078" s="699" t="str">
        <f t="shared" si="3129"/>
        <v/>
      </c>
      <c r="AG4078" s="699"/>
      <c r="AH4078" s="699"/>
      <c r="AI4078" s="512">
        <f>IF(H4078="credit",0,IF(AE4078="free",0,IF(AE4078="me",0,IF(G4078&gt;0,(VLOOKUP(A4078,'Discount Lookup'!J:K,2)*G4078),0))))</f>
        <v>0</v>
      </c>
      <c r="AJ4078" s="513" t="str">
        <f t="shared" ca="1" si="3130"/>
        <v/>
      </c>
      <c r="AK4078" s="700" t="str">
        <f t="shared" si="3131"/>
        <v/>
      </c>
      <c r="AL4078" s="700"/>
      <c r="AM4078" s="505" t="str">
        <f t="shared" si="3132"/>
        <v/>
      </c>
      <c r="AN4078" s="506"/>
      <c r="AO4078" s="507"/>
      <c r="AP4078" s="507"/>
      <c r="AQ4078" s="507"/>
      <c r="AR4078" s="507"/>
      <c r="AS4078" s="507"/>
      <c r="AT4078" s="507"/>
      <c r="AU4078" s="507"/>
      <c r="AV4078" s="225"/>
      <c r="AW4078" s="508"/>
      <c r="AX4078" s="225"/>
      <c r="AY4078" s="225"/>
      <c r="AZ4078" s="225"/>
      <c r="BA4078" s="225"/>
      <c r="BB4078" s="225"/>
      <c r="BC4078" s="56"/>
      <c r="BD4078" s="56"/>
      <c r="BE4078" s="56"/>
      <c r="BF4078" s="107" t="str">
        <f t="shared" si="3133"/>
        <v>https://www.google.com/search?tbm=isch&amp;q=7%20G6</v>
      </c>
      <c r="BG4078" s="107" t="str">
        <f t="shared" si="3134"/>
        <v>W</v>
      </c>
      <c r="BH4078" s="254"/>
      <c r="BI4078" s="254"/>
    </row>
    <row r="4079" spans="1:61" customFormat="1" ht="17.25" thickBot="1" x14ac:dyDescent="0.3">
      <c r="A4079" s="673" t="s">
        <v>5283</v>
      </c>
      <c r="B4079" s="245"/>
      <c r="C4079" s="677"/>
      <c r="D4079" s="499"/>
      <c r="E4079" s="499"/>
      <c r="F4079" s="500"/>
      <c r="G4079" s="501"/>
      <c r="H4079" s="502"/>
      <c r="I4079" s="246"/>
      <c r="J4079" s="247"/>
      <c r="K4079" s="503"/>
      <c r="L4079" s="544"/>
      <c r="M4079" s="544"/>
      <c r="N4079" s="500"/>
      <c r="O4079" s="500"/>
      <c r="P4079" s="500"/>
      <c r="Q4079" s="500"/>
      <c r="R4079" s="500"/>
      <c r="S4079" s="669" t="s">
        <v>4993</v>
      </c>
      <c r="T4079" s="508">
        <f t="shared" si="3122"/>
        <v>0</v>
      </c>
      <c r="U4079" s="225" t="str">
        <f>IF(NOT(ISNUMBER(G4079)), "", VLOOKUP(A4079,'Discount Lookup'!D:E,2,FALSE)*G4079)</f>
        <v/>
      </c>
      <c r="V4079" s="225" t="str">
        <f>IF(NOT(ISNUMBER(G4079)), "", VLOOKUP(A4079,'Discount Lookup'!G:H,2,FALSE)*G4079)</f>
        <v/>
      </c>
      <c r="W4079" s="508">
        <f t="shared" si="3123"/>
        <v>0</v>
      </c>
      <c r="X4079" s="508">
        <f t="shared" si="3124"/>
        <v>0</v>
      </c>
      <c r="Y4079" s="509" t="b">
        <f t="shared" si="3125"/>
        <v>0</v>
      </c>
      <c r="Z4079" s="510">
        <f t="shared" si="3126"/>
        <v>0</v>
      </c>
      <c r="AA4079" s="511"/>
      <c r="AB4079" s="511" t="str">
        <f t="shared" si="3127"/>
        <v/>
      </c>
      <c r="AC4079" s="698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698"/>
      <c r="AE4079" s="631" t="str">
        <f t="shared" si="3128"/>
        <v/>
      </c>
      <c r="AF4079" s="699" t="str">
        <f t="shared" si="3129"/>
        <v/>
      </c>
      <c r="AG4079" s="699"/>
      <c r="AH4079" s="699"/>
      <c r="AI4079" s="512">
        <f>IF(H4079="credit",0,IF(AE4079="free",0,IF(AE4079="me",0,IF(G4079&gt;0,(VLOOKUP(A4079,'Discount Lookup'!J:K,2)*G4079),0))))</f>
        <v>0</v>
      </c>
      <c r="AJ4079" s="513" t="str">
        <f t="shared" ca="1" si="3130"/>
        <v/>
      </c>
      <c r="AK4079" s="700" t="str">
        <f t="shared" si="3131"/>
        <v/>
      </c>
      <c r="AL4079" s="700"/>
      <c r="AM4079" s="505" t="str">
        <f t="shared" si="3132"/>
        <v/>
      </c>
      <c r="AN4079" s="506"/>
      <c r="AO4079" s="507"/>
      <c r="AP4079" s="507"/>
      <c r="AQ4079" s="507"/>
      <c r="AR4079" s="507"/>
      <c r="AS4079" s="507"/>
      <c r="AT4079" s="507"/>
      <c r="AU4079" s="507"/>
      <c r="AV4079" s="225"/>
      <c r="AW4079" s="508"/>
      <c r="AX4079" s="225"/>
      <c r="AY4079" s="225"/>
      <c r="AZ4079" s="225"/>
      <c r="BA4079" s="225"/>
      <c r="BB4079" s="225"/>
      <c r="BC4079" s="56"/>
      <c r="BD4079" s="56"/>
      <c r="BE4079" s="56"/>
      <c r="BF4079" s="107" t="str">
        <f t="shared" si="3133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4079" s="107" t="str">
        <f t="shared" si="3134"/>
        <v>m</v>
      </c>
      <c r="BH4079" s="254"/>
      <c r="BI4079" s="254"/>
    </row>
    <row r="4080" spans="1:61" customFormat="1" ht="18" x14ac:dyDescent="0.25">
      <c r="A4080" s="523" t="s">
        <v>2030</v>
      </c>
      <c r="B4080" s="235"/>
      <c r="C4080" s="676"/>
      <c r="D4080" s="255" t="s">
        <v>2031</v>
      </c>
      <c r="E4080" s="236"/>
      <c r="F4080" s="236"/>
      <c r="G4080" s="236"/>
      <c r="H4080" s="582" t="s">
        <v>1656</v>
      </c>
      <c r="I4080" s="498" t="s">
        <v>1197</v>
      </c>
      <c r="J4080" s="237"/>
      <c r="K4080" s="237"/>
      <c r="L4080" s="274"/>
      <c r="M4080" s="668" t="s">
        <v>4975</v>
      </c>
      <c r="N4080" s="681" t="str">
        <f>IF(AND(ISTEXT($A4080), ISERROR($A4080+0)), HYPERLINK($BF4080, "Images"), "")</f>
        <v>Images</v>
      </c>
      <c r="O4080" s="663" t="s">
        <v>4974</v>
      </c>
      <c r="P4080" s="253"/>
      <c r="Q4080" s="238"/>
      <c r="R4080" s="239"/>
      <c r="S4080" s="275" t="s">
        <v>305</v>
      </c>
      <c r="T4080" s="508">
        <f t="shared" si="3122"/>
        <v>0</v>
      </c>
      <c r="U4080" s="225" t="str">
        <f>IF(NOT(ISNUMBER(G4080)), "", VLOOKUP(A4080,'Discount Lookup'!D:E,2,FALSE)*G4080)</f>
        <v/>
      </c>
      <c r="V4080" s="225" t="str">
        <f>IF(NOT(ISNUMBER(G4080)), "", VLOOKUP(A4080,'Discount Lookup'!G:H,2,FALSE)*G4080)</f>
        <v/>
      </c>
      <c r="W4080" s="508">
        <f t="shared" si="3123"/>
        <v>0</v>
      </c>
      <c r="X4080" s="508" t="str">
        <f t="shared" si="3124"/>
        <v>Rose-Purple bloom</v>
      </c>
      <c r="Y4080" s="509" t="b">
        <f t="shared" si="3125"/>
        <v>0</v>
      </c>
      <c r="Z4080" s="510">
        <f t="shared" si="3126"/>
        <v>0</v>
      </c>
      <c r="AA4080" s="511"/>
      <c r="AB4080" s="511" t="str">
        <f t="shared" si="3127"/>
        <v/>
      </c>
      <c r="AC4080" s="698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698"/>
      <c r="AE4080" s="631" t="str">
        <f t="shared" si="3128"/>
        <v/>
      </c>
      <c r="AF4080" s="699" t="str">
        <f t="shared" si="3129"/>
        <v/>
      </c>
      <c r="AG4080" s="699"/>
      <c r="AH4080" s="699"/>
      <c r="AI4080" s="512">
        <f>IF(H4080="credit",0,IF(AE4080="free",0,IF(AE4080="me",0,IF(G4080&gt;0,(VLOOKUP(A4080,'Discount Lookup'!J:K,2)*G4080),0))))</f>
        <v>0</v>
      </c>
      <c r="AJ4080" s="513" t="str">
        <f t="shared" ca="1" si="3130"/>
        <v/>
      </c>
      <c r="AK4080" s="700" t="str">
        <f t="shared" si="3131"/>
        <v/>
      </c>
      <c r="AL4080" s="700"/>
      <c r="AM4080" s="505" t="str">
        <f t="shared" si="3132"/>
        <v/>
      </c>
      <c r="AN4080" s="506"/>
      <c r="AO4080" s="507"/>
      <c r="AP4080" s="507"/>
      <c r="AQ4080" s="507"/>
      <c r="AR4080" s="507"/>
      <c r="AS4080" s="507"/>
      <c r="AT4080" s="507"/>
      <c r="AU4080" s="507"/>
      <c r="AV4080" s="225"/>
      <c r="AW4080" s="508"/>
      <c r="AX4080" s="225"/>
      <c r="AY4080" s="225"/>
      <c r="AZ4080" s="225"/>
      <c r="BA4080" s="225"/>
      <c r="BB4080" s="225"/>
      <c r="BC4080" s="56"/>
      <c r="BD4080" s="56"/>
      <c r="BE4080" s="56"/>
      <c r="BF4080" s="107" t="str">
        <f t="shared" si="3133"/>
        <v>https://www.google.com/search?tbm=isch&amp;q=Whitewater%20Weeping%20Redbud%20Cercis%20canadensis%20%27Whitewater%27%20PP%2323998</v>
      </c>
      <c r="BG4080" s="107" t="str">
        <f t="shared" si="3134"/>
        <v>W</v>
      </c>
      <c r="BH4080" s="254"/>
      <c r="BI4080" s="254"/>
    </row>
    <row r="4081" spans="1:61" customFormat="1" ht="27" x14ac:dyDescent="0.25">
      <c r="A4081" s="276">
        <v>7</v>
      </c>
      <c r="B4081" s="240" t="s">
        <v>291</v>
      </c>
      <c r="C4081" s="241" t="s">
        <v>3867</v>
      </c>
      <c r="D4081" s="242" t="s">
        <v>292</v>
      </c>
      <c r="E4081" s="243">
        <v>137.94999999999999</v>
      </c>
      <c r="F4081" s="517" t="s">
        <v>293</v>
      </c>
      <c r="G4081" s="232">
        <v>0</v>
      </c>
      <c r="H4081" s="661" t="str">
        <f>IF(G4081=0,"",IF(F4081="Buy",IF(G4081=1,"plant","plants"),IF(F4081&gt;0.01,"warranty","Error")))</f>
        <v/>
      </c>
      <c r="I4081" s="244">
        <f>IF(H4081="free",0,IF(H4081="credit",((E4081*(F4081))*G4081*-1),IF(F4081="Buy",(E4081*G4081),((E4081*(1-F4081))*G4081))))</f>
        <v>0</v>
      </c>
      <c r="J4081" s="244">
        <f>IF(H4081="warranty",0,(I4081*(_xlfn.SINGLE(SalesTaxPercentage))))</f>
        <v>0</v>
      </c>
      <c r="K4081" s="696">
        <f t="shared" ref="K4081" si="3149">I4081+J4081</f>
        <v>0</v>
      </c>
      <c r="L4081" s="696"/>
      <c r="M4081" s="659" t="str">
        <f>IF(AND(G4081&gt;0,E4081=0),"WARNING - no PRICE inserted",IF(H4081="free"," FREE ~ no charge this plant",IF(H4081="credit",CONCATENATE(" -$",ROUND(K4081*(1-T2GDiscount)*-1,2)," CREDIT after discount"),IF(T2GDiscount=0,"",IF(G4081=0,"",IF(F4081="Buy",CONCATENATE(" $",ROUND(K4081*(1-T2GDiscount),2)," with ",(T2GDiscount*100),"% discount"),CONCATENATE(" $",ROUND(K4081*(1-T2GDiscount),2)," with ",((T2GDiscount*100+F4081*100)-(T2GDiscount*100*F4081)),IF(F4081&gt;0,"% discounts",IF(NoWarrantyDiscount&gt;0,"% discounts","% discount")))))))))</f>
        <v/>
      </c>
      <c r="N4081" s="660"/>
      <c r="O4081" s="233"/>
      <c r="P4081" s="233"/>
      <c r="Q4081" s="233"/>
      <c r="R4081" s="233"/>
      <c r="S4081" s="233"/>
      <c r="T4081" s="508">
        <f t="shared" si="3122"/>
        <v>0</v>
      </c>
      <c r="U4081" s="225">
        <f>IF(NOT(ISNUMBER(G4081)), "", VLOOKUP(A4081,'Discount Lookup'!D:E,2,FALSE)*G4081)</f>
        <v>0</v>
      </c>
      <c r="V4081" s="225">
        <f>IF(NOT(ISNUMBER(G4081)), "", VLOOKUP(A4081,'Discount Lookup'!G:H,2,FALSE)*G4081)</f>
        <v>0</v>
      </c>
      <c r="W4081" s="508">
        <f t="shared" si="3123"/>
        <v>0</v>
      </c>
      <c r="X4081" s="508">
        <f t="shared" si="3124"/>
        <v>0</v>
      </c>
      <c r="Y4081" s="509" t="b">
        <f t="shared" si="3125"/>
        <v>0</v>
      </c>
      <c r="Z4081" s="510">
        <f t="shared" si="3126"/>
        <v>0</v>
      </c>
      <c r="AA4081" s="511"/>
      <c r="AB4081" s="511" t="str">
        <f t="shared" si="3127"/>
        <v/>
      </c>
      <c r="AC4081" s="698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698"/>
      <c r="AE4081" s="631" t="str">
        <f t="shared" si="3128"/>
        <v/>
      </c>
      <c r="AF4081" s="699" t="str">
        <f t="shared" si="3129"/>
        <v/>
      </c>
      <c r="AG4081" s="699"/>
      <c r="AH4081" s="699"/>
      <c r="AI4081" s="512">
        <f>IF(H4081="credit",0,IF(AE4081="free",0,IF(AE4081="me",0,IF(G4081&gt;0,(VLOOKUP(A4081,'Discount Lookup'!J:K,2)*G4081),0))))</f>
        <v>0</v>
      </c>
      <c r="AJ4081" s="513" t="str">
        <f t="shared" ca="1" si="3130"/>
        <v/>
      </c>
      <c r="AK4081" s="700" t="str">
        <f t="shared" si="3131"/>
        <v/>
      </c>
      <c r="AL4081" s="700"/>
      <c r="AM4081" s="505" t="str">
        <f t="shared" si="3132"/>
        <v/>
      </c>
      <c r="AN4081" s="506"/>
      <c r="AO4081" s="507"/>
      <c r="AP4081" s="507"/>
      <c r="AQ4081" s="507"/>
      <c r="AR4081" s="507"/>
      <c r="AS4081" s="507"/>
      <c r="AT4081" s="507"/>
      <c r="AU4081" s="507"/>
      <c r="AV4081" s="225"/>
      <c r="AW4081" s="508"/>
      <c r="AX4081" s="225"/>
      <c r="AY4081" s="225"/>
      <c r="AZ4081" s="225"/>
      <c r="BA4081" s="225"/>
      <c r="BB4081" s="225"/>
      <c r="BC4081" s="56"/>
      <c r="BD4081" s="56"/>
      <c r="BE4081" s="56"/>
      <c r="BF4081" s="107" t="str">
        <f t="shared" si="3133"/>
        <v>https://www.google.com/search?tbm=isch&amp;q=7%20G4</v>
      </c>
      <c r="BG4081" s="107" t="str">
        <f t="shared" si="3134"/>
        <v>W</v>
      </c>
      <c r="BH4081" s="254"/>
      <c r="BI4081" s="254"/>
    </row>
    <row r="4082" spans="1:61" customFormat="1" ht="27" x14ac:dyDescent="0.25">
      <c r="A4082" s="276">
        <v>10</v>
      </c>
      <c r="B4082" s="240" t="s">
        <v>291</v>
      </c>
      <c r="C4082" s="241" t="s">
        <v>3868</v>
      </c>
      <c r="D4082" s="242" t="s">
        <v>292</v>
      </c>
      <c r="E4082" s="243">
        <v>173.95</v>
      </c>
      <c r="F4082" s="517" t="s">
        <v>293</v>
      </c>
      <c r="G4082" s="232">
        <v>0</v>
      </c>
      <c r="H4082" s="661" t="str">
        <f>IF(G4082=0,"",IF(F4082="Buy",IF(G4082=1,"plant","plants"),IF(F4082&gt;0.01,"warranty","Error")))</f>
        <v/>
      </c>
      <c r="I4082" s="244">
        <f>IF(H4082="free",0,IF(H4082="credit",((E4082*(F4082))*G4082*-1),IF(F4082="Buy",(E4082*G4082),((E4082*(1-F4082))*G4082))))</f>
        <v>0</v>
      </c>
      <c r="J4082" s="244">
        <f>IF(H4082="warranty",0,(I4082*(_xlfn.SINGLE(SalesTaxPercentage))))</f>
        <v>0</v>
      </c>
      <c r="K4082" s="696">
        <f t="shared" ref="K4082" si="3150">I4082+J4082</f>
        <v>0</v>
      </c>
      <c r="L4082" s="696"/>
      <c r="M4082" s="659" t="str">
        <f>IF(AND(G4082&gt;0,E4082=0),"WARNING - no PRICE inserted",IF(H4082="free"," FREE ~ no charge this plant",IF(H4082="credit",CONCATENATE(" -$",ROUND(K4082*(1-T2GDiscount)*-1,2)," CREDIT after discount"),IF(T2GDiscount=0,"",IF(G4082=0,"",IF(F4082="Buy",CONCATENATE(" $",ROUND(K4082*(1-T2GDiscount),2)," with ",(T2GDiscount*100),"% discount"),CONCATENATE(" $",ROUND(K4082*(1-T2GDiscount),2)," with ",((T2GDiscount*100+F4082*100)-(T2GDiscount*100*F4082)),IF(F4082&gt;0,"% discounts",IF(NoWarrantyDiscount&gt;0,"% discounts","% discount")))))))))</f>
        <v/>
      </c>
      <c r="N4082" s="660"/>
      <c r="O4082" s="233"/>
      <c r="P4082" s="233"/>
      <c r="Q4082" s="233"/>
      <c r="R4082" s="233"/>
      <c r="S4082" s="233"/>
      <c r="T4082" s="508">
        <f t="shared" si="3122"/>
        <v>0</v>
      </c>
      <c r="U4082" s="225">
        <f>IF(NOT(ISNUMBER(G4082)), "", VLOOKUP(A4082,'Discount Lookup'!D:E,2,FALSE)*G4082)</f>
        <v>0</v>
      </c>
      <c r="V4082" s="225">
        <f>IF(NOT(ISNUMBER(G4082)), "", VLOOKUP(A4082,'Discount Lookup'!G:H,2,FALSE)*G4082)</f>
        <v>0</v>
      </c>
      <c r="W4082" s="508">
        <f t="shared" si="3123"/>
        <v>0</v>
      </c>
      <c r="X4082" s="508">
        <f t="shared" si="3124"/>
        <v>0</v>
      </c>
      <c r="Y4082" s="509" t="b">
        <f t="shared" si="3125"/>
        <v>0</v>
      </c>
      <c r="Z4082" s="510">
        <f t="shared" si="3126"/>
        <v>0</v>
      </c>
      <c r="AA4082" s="511"/>
      <c r="AB4082" s="511" t="str">
        <f t="shared" si="3127"/>
        <v/>
      </c>
      <c r="AC4082" s="698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698"/>
      <c r="AE4082" s="631" t="str">
        <f t="shared" si="3128"/>
        <v/>
      </c>
      <c r="AF4082" s="699" t="str">
        <f t="shared" si="3129"/>
        <v/>
      </c>
      <c r="AG4082" s="699"/>
      <c r="AH4082" s="699"/>
      <c r="AI4082" s="512">
        <f>IF(H4082="credit",0,IF(AE4082="free",0,IF(AE4082="me",0,IF(G4082&gt;0,(VLOOKUP(A4082,'Discount Lookup'!J:K,2)*G4082),0))))</f>
        <v>0</v>
      </c>
      <c r="AJ4082" s="513" t="str">
        <f t="shared" ca="1" si="3130"/>
        <v/>
      </c>
      <c r="AK4082" s="700" t="str">
        <f t="shared" si="3131"/>
        <v/>
      </c>
      <c r="AL4082" s="700"/>
      <c r="AM4082" s="505" t="str">
        <f t="shared" si="3132"/>
        <v/>
      </c>
      <c r="AN4082" s="506"/>
      <c r="AO4082" s="507"/>
      <c r="AP4082" s="507"/>
      <c r="AQ4082" s="507"/>
      <c r="AR4082" s="507"/>
      <c r="AS4082" s="507"/>
      <c r="AT4082" s="507"/>
      <c r="AU4082" s="507"/>
      <c r="AV4082" s="225"/>
      <c r="AW4082" s="508"/>
      <c r="AX4082" s="225"/>
      <c r="AY4082" s="225"/>
      <c r="AZ4082" s="225"/>
      <c r="BA4082" s="225"/>
      <c r="BB4082" s="225"/>
      <c r="BC4082" s="56"/>
      <c r="BD4082" s="56"/>
      <c r="BE4082" s="56"/>
      <c r="BF4082" s="107" t="str">
        <f t="shared" si="3133"/>
        <v>https://www.google.com/search?tbm=isch&amp;q=10%20G4</v>
      </c>
      <c r="BG4082" s="107" t="str">
        <f t="shared" si="3134"/>
        <v>W</v>
      </c>
      <c r="BH4082" s="254"/>
      <c r="BI4082" s="254"/>
    </row>
    <row r="4083" spans="1:61" customFormat="1" ht="17.25" thickBot="1" x14ac:dyDescent="0.3">
      <c r="A4083" s="524" t="s">
        <v>2196</v>
      </c>
      <c r="B4083" s="245"/>
      <c r="C4083" s="677"/>
      <c r="D4083" s="499"/>
      <c r="E4083" s="499"/>
      <c r="F4083" s="500"/>
      <c r="G4083" s="501"/>
      <c r="H4083" s="502"/>
      <c r="I4083" s="246"/>
      <c r="J4083" s="247"/>
      <c r="K4083" s="503"/>
      <c r="L4083" s="544"/>
      <c r="M4083" s="544"/>
      <c r="N4083" s="500"/>
      <c r="O4083" s="500"/>
      <c r="P4083" s="500"/>
      <c r="Q4083" s="500"/>
      <c r="R4083" s="500"/>
      <c r="S4083" s="669" t="s">
        <v>4996</v>
      </c>
      <c r="T4083" s="508">
        <f t="shared" si="3122"/>
        <v>0</v>
      </c>
      <c r="U4083" s="225" t="str">
        <f>IF(NOT(ISNUMBER(G4083)), "", VLOOKUP(A4083,'Discount Lookup'!D:E,2,FALSE)*G4083)</f>
        <v/>
      </c>
      <c r="V4083" s="225" t="str">
        <f>IF(NOT(ISNUMBER(G4083)), "", VLOOKUP(A4083,'Discount Lookup'!G:H,2,FALSE)*G4083)</f>
        <v/>
      </c>
      <c r="W4083" s="508">
        <f t="shared" si="3123"/>
        <v>0</v>
      </c>
      <c r="X4083" s="508">
        <f t="shared" si="3124"/>
        <v>0</v>
      </c>
      <c r="Y4083" s="509" t="b">
        <f t="shared" si="3125"/>
        <v>0</v>
      </c>
      <c r="Z4083" s="510">
        <f t="shared" si="3126"/>
        <v>0</v>
      </c>
      <c r="AA4083" s="511"/>
      <c r="AB4083" s="511" t="str">
        <f t="shared" si="3127"/>
        <v/>
      </c>
      <c r="AC4083" s="698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698"/>
      <c r="AE4083" s="631" t="str">
        <f t="shared" si="3128"/>
        <v/>
      </c>
      <c r="AF4083" s="699" t="str">
        <f t="shared" si="3129"/>
        <v/>
      </c>
      <c r="AG4083" s="699"/>
      <c r="AH4083" s="699"/>
      <c r="AI4083" s="512">
        <f>IF(H4083="credit",0,IF(AE4083="free",0,IF(AE4083="me",0,IF(G4083&gt;0,(VLOOKUP(A4083,'Discount Lookup'!J:K,2)*G4083),0))))</f>
        <v>0</v>
      </c>
      <c r="AJ4083" s="513" t="str">
        <f t="shared" ca="1" si="3130"/>
        <v/>
      </c>
      <c r="AK4083" s="700" t="str">
        <f t="shared" si="3131"/>
        <v/>
      </c>
      <c r="AL4083" s="700"/>
      <c r="AM4083" s="505" t="str">
        <f t="shared" si="3132"/>
        <v/>
      </c>
      <c r="AN4083" s="506"/>
      <c r="AO4083" s="507"/>
      <c r="AP4083" s="507"/>
      <c r="AQ4083" s="507"/>
      <c r="AR4083" s="507"/>
      <c r="AS4083" s="507"/>
      <c r="AT4083" s="507"/>
      <c r="AU4083" s="507"/>
      <c r="AV4083" s="225"/>
      <c r="AW4083" s="508"/>
      <c r="AX4083" s="225"/>
      <c r="AY4083" s="225"/>
      <c r="AZ4083" s="225"/>
      <c r="BA4083" s="225"/>
      <c r="BB4083" s="225"/>
      <c r="BC4083" s="56"/>
      <c r="BD4083" s="56"/>
      <c r="BE4083" s="56"/>
      <c r="BF4083" s="107" t="str">
        <f t="shared" si="3133"/>
        <v>https://www.google.com/search?tbm=isch&amp;q=Whitewater%20heart-shaped%20foliage%20emerges%20white%20with%20green%20flecks%2C%20matures%20to%20green%20with%20white%20flecks%20</v>
      </c>
      <c r="BG4083" s="107" t="str">
        <f t="shared" si="3134"/>
        <v>W</v>
      </c>
      <c r="BH4083" s="254"/>
      <c r="BI4083" s="254"/>
    </row>
    <row r="4084" spans="1:61" customFormat="1" ht="18" x14ac:dyDescent="0.25">
      <c r="A4084" s="521" t="s">
        <v>2032</v>
      </c>
      <c r="B4084" s="477"/>
      <c r="C4084" s="674"/>
      <c r="D4084" s="478" t="s">
        <v>2033</v>
      </c>
      <c r="E4084" s="479"/>
      <c r="F4084" s="479"/>
      <c r="G4084" s="479"/>
      <c r="H4084" s="582" t="s">
        <v>317</v>
      </c>
      <c r="I4084" s="480" t="s">
        <v>2109</v>
      </c>
      <c r="J4084" s="479"/>
      <c r="K4084" s="479"/>
      <c r="L4084" s="560"/>
      <c r="M4084" s="666" t="s">
        <v>4966</v>
      </c>
      <c r="N4084" s="680" t="str">
        <f>IF(AND(ISTEXT($A4084), ISERROR($A4084+0)), HYPERLINK($BF4084, "Images"), "")</f>
        <v>Images</v>
      </c>
      <c r="O4084" s="662" t="s">
        <v>4967</v>
      </c>
      <c r="P4084" s="482"/>
      <c r="Q4084" s="483"/>
      <c r="R4084" s="483"/>
      <c r="S4084" s="484"/>
      <c r="T4084" s="508">
        <f t="shared" si="3122"/>
        <v>0</v>
      </c>
      <c r="U4084" s="225" t="str">
        <f>IF(NOT(ISNUMBER(G4084)), "", VLOOKUP(A4084,'Discount Lookup'!D:E,2,FALSE)*G4084)</f>
        <v/>
      </c>
      <c r="V4084" s="225" t="str">
        <f>IF(NOT(ISNUMBER(G4084)), "", VLOOKUP(A4084,'Discount Lookup'!G:H,2,FALSE)*G4084)</f>
        <v/>
      </c>
      <c r="W4084" s="508">
        <f t="shared" si="3123"/>
        <v>0</v>
      </c>
      <c r="X4084" s="508" t="str">
        <f t="shared" si="3124"/>
        <v>Green foliage</v>
      </c>
      <c r="Y4084" s="509" t="b">
        <f t="shared" si="3125"/>
        <v>0</v>
      </c>
      <c r="Z4084" s="510">
        <f t="shared" si="3126"/>
        <v>0</v>
      </c>
      <c r="AA4084" s="511"/>
      <c r="AB4084" s="511" t="str">
        <f t="shared" si="3127"/>
        <v/>
      </c>
      <c r="AC4084" s="698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698"/>
      <c r="AE4084" s="631" t="str">
        <f t="shared" si="3128"/>
        <v/>
      </c>
      <c r="AF4084" s="699" t="str">
        <f t="shared" si="3129"/>
        <v/>
      </c>
      <c r="AG4084" s="699"/>
      <c r="AH4084" s="699"/>
      <c r="AI4084" s="512">
        <f>IF(H4084="credit",0,IF(AE4084="free",0,IF(AE4084="me",0,IF(G4084&gt;0,(VLOOKUP(A4084,'Discount Lookup'!J:K,2)*G4084),0))))</f>
        <v>0</v>
      </c>
      <c r="AJ4084" s="513" t="str">
        <f t="shared" ca="1" si="3130"/>
        <v/>
      </c>
      <c r="AK4084" s="700" t="str">
        <f t="shared" si="3131"/>
        <v/>
      </c>
      <c r="AL4084" s="700"/>
      <c r="AM4084" s="505" t="str">
        <f t="shared" si="3132"/>
        <v/>
      </c>
      <c r="AN4084" s="506"/>
      <c r="AO4084" s="507"/>
      <c r="AP4084" s="507"/>
      <c r="AQ4084" s="507"/>
      <c r="AR4084" s="507"/>
      <c r="AS4084" s="507"/>
      <c r="AT4084" s="507"/>
      <c r="AU4084" s="507"/>
      <c r="AV4084" s="225"/>
      <c r="AW4084" s="508"/>
      <c r="AX4084" s="225"/>
      <c r="AY4084" s="225"/>
      <c r="AZ4084" s="225"/>
      <c r="BA4084" s="225"/>
      <c r="BB4084" s="225"/>
      <c r="BC4084" s="56"/>
      <c r="BD4084" s="56"/>
      <c r="BE4084" s="56"/>
      <c r="BF4084" s="107" t="str">
        <f t="shared" si="3133"/>
        <v>https://www.google.com/search?tbm=isch&amp;q=Whoa%20Nellie%20Holly%20Ilex%20%27Whoa%20Nellie%27</v>
      </c>
      <c r="BG4084" s="107" t="str">
        <f t="shared" si="3134"/>
        <v>W</v>
      </c>
      <c r="BH4084" s="254"/>
      <c r="BI4084" s="254"/>
    </row>
    <row r="4085" spans="1:61" customFormat="1" ht="27" x14ac:dyDescent="0.25">
      <c r="A4085" s="485">
        <v>7</v>
      </c>
      <c r="B4085" s="486" t="s">
        <v>291</v>
      </c>
      <c r="C4085" s="487" t="s">
        <v>3869</v>
      </c>
      <c r="D4085" s="488" t="s">
        <v>292</v>
      </c>
      <c r="E4085" s="489">
        <v>104.95</v>
      </c>
      <c r="F4085" s="516" t="s">
        <v>293</v>
      </c>
      <c r="G4085" s="232">
        <v>0</v>
      </c>
      <c r="H4085" s="658" t="str">
        <f>IF(G4085=0,"",IF(F4085="Buy",IF(G4085=1,"plant","plants"),IF(F4085&gt;0.01,"warranty","Error")))</f>
        <v/>
      </c>
      <c r="I4085" s="490">
        <f>IF(H4085="free",0,IF(H4085="credit",((E4085*(F4085))*G4085*-1),IF(F4085="Buy",(E4085*G4085),((E4085*(1-F4085))*G4085))))</f>
        <v>0</v>
      </c>
      <c r="J4085" s="490">
        <f>IF(H4085="warranty",0,(I4085*(_xlfn.SINGLE(SalesTaxPercentage))))</f>
        <v>0</v>
      </c>
      <c r="K4085" s="695">
        <f t="shared" ref="K4085" si="3151">I4085+J4085</f>
        <v>0</v>
      </c>
      <c r="L4085" s="695"/>
      <c r="M4085" s="659" t="str">
        <f>IF(AND(G4085&gt;0,E4085=0),"WARNING - no PRICE inserted",IF(H4085="free"," FREE ~ no charge this plant",IF(H4085="credit",CONCATENATE(" -$",ROUND(K4085*(1-T2GDiscount)*-1,2)," CREDIT after discount"),IF(T2GDiscount=0,"",IF(G4085=0,"",IF(F4085="Buy",CONCATENATE(" $",ROUND(K4085*(1-T2GDiscount),2)," with ",(T2GDiscount*100),"% discount"),CONCATENATE(" $",ROUND(K4085*(1-T2GDiscount),2)," with ",((T2GDiscount*100+F4085*100)-(T2GDiscount*100*F4085)),IF(F4085&gt;0,"% discounts",IF(NoWarrantyDiscount&gt;0,"% discounts","% discount")))))))))</f>
        <v/>
      </c>
      <c r="N4085" s="660"/>
      <c r="O4085" s="233"/>
      <c r="P4085" s="233"/>
      <c r="Q4085" s="233"/>
      <c r="R4085" s="233"/>
      <c r="S4085" s="233"/>
      <c r="T4085" s="508">
        <f t="shared" si="3122"/>
        <v>0</v>
      </c>
      <c r="U4085" s="225">
        <f>IF(NOT(ISNUMBER(G4085)), "", VLOOKUP(A4085,'Discount Lookup'!D:E,2,FALSE)*G4085)</f>
        <v>0</v>
      </c>
      <c r="V4085" s="225">
        <f>IF(NOT(ISNUMBER(G4085)), "", VLOOKUP(A4085,'Discount Lookup'!G:H,2,FALSE)*G4085)</f>
        <v>0</v>
      </c>
      <c r="W4085" s="508">
        <f t="shared" si="3123"/>
        <v>0</v>
      </c>
      <c r="X4085" s="508">
        <f t="shared" si="3124"/>
        <v>0</v>
      </c>
      <c r="Y4085" s="509" t="b">
        <f t="shared" si="3125"/>
        <v>0</v>
      </c>
      <c r="Z4085" s="510">
        <f t="shared" si="3126"/>
        <v>0</v>
      </c>
      <c r="AA4085" s="511"/>
      <c r="AB4085" s="511" t="str">
        <f t="shared" si="3127"/>
        <v/>
      </c>
      <c r="AC4085" s="698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698"/>
      <c r="AE4085" s="631" t="str">
        <f t="shared" si="3128"/>
        <v/>
      </c>
      <c r="AF4085" s="699" t="str">
        <f t="shared" si="3129"/>
        <v/>
      </c>
      <c r="AG4085" s="699"/>
      <c r="AH4085" s="699"/>
      <c r="AI4085" s="512">
        <f>IF(H4085="credit",0,IF(AE4085="free",0,IF(AE4085="me",0,IF(G4085&gt;0,(VLOOKUP(A4085,'Discount Lookup'!J:K,2)*G4085),0))))</f>
        <v>0</v>
      </c>
      <c r="AJ4085" s="513" t="str">
        <f t="shared" ca="1" si="3130"/>
        <v/>
      </c>
      <c r="AK4085" s="700" t="str">
        <f t="shared" si="3131"/>
        <v/>
      </c>
      <c r="AL4085" s="700"/>
      <c r="AM4085" s="505" t="str">
        <f t="shared" si="3132"/>
        <v/>
      </c>
      <c r="AN4085" s="506"/>
      <c r="AO4085" s="507"/>
      <c r="AP4085" s="507"/>
      <c r="AQ4085" s="507"/>
      <c r="AR4085" s="507"/>
      <c r="AS4085" s="507"/>
      <c r="AT4085" s="507"/>
      <c r="AU4085" s="507"/>
      <c r="AV4085" s="225"/>
      <c r="AW4085" s="508"/>
      <c r="AX4085" s="225"/>
      <c r="AY4085" s="225"/>
      <c r="AZ4085" s="225"/>
      <c r="BA4085" s="225"/>
      <c r="BB4085" s="225"/>
      <c r="BC4085" s="56"/>
      <c r="BD4085" s="56"/>
      <c r="BE4085" s="56"/>
      <c r="BF4085" s="107" t="str">
        <f t="shared" si="3133"/>
        <v>https://www.google.com/search?tbm=isch&amp;q=7%20G4</v>
      </c>
      <c r="BG4085" s="107" t="str">
        <f t="shared" si="3134"/>
        <v>W</v>
      </c>
      <c r="BH4085" s="254"/>
      <c r="BI4085" s="254"/>
    </row>
    <row r="4086" spans="1:61" customFormat="1" ht="15.75" x14ac:dyDescent="0.25">
      <c r="A4086" s="485">
        <v>15</v>
      </c>
      <c r="B4086" s="486" t="s">
        <v>291</v>
      </c>
      <c r="C4086" s="487" t="s">
        <v>4577</v>
      </c>
      <c r="D4086" s="488" t="s">
        <v>299</v>
      </c>
      <c r="E4086" s="489">
        <v>183.95</v>
      </c>
      <c r="F4086" s="516" t="s">
        <v>293</v>
      </c>
      <c r="G4086" s="232">
        <v>0</v>
      </c>
      <c r="H4086" s="658" t="str">
        <f>IF(G4086=0,"",IF(F4086="Buy",IF(G4086=1,"plant","plants"),IF(F4086&gt;0.01,"warranty","Error")))</f>
        <v/>
      </c>
      <c r="I4086" s="490">
        <f>IF(H4086="free",0,IF(H4086="credit",((E4086*(F4086))*G4086*-1),IF(F4086="Buy",(E4086*G4086),((E4086*(1-F4086))*G4086))))</f>
        <v>0</v>
      </c>
      <c r="J4086" s="490">
        <f>IF(H4086="warranty",0,(I4086*(_xlfn.SINGLE(SalesTaxPercentage))))</f>
        <v>0</v>
      </c>
      <c r="K4086" s="695">
        <f t="shared" ref="K4086" si="3152">I4086+J4086</f>
        <v>0</v>
      </c>
      <c r="L4086" s="695"/>
      <c r="M4086" s="659" t="str">
        <f>IF(AND(G4086&gt;0,E4086=0),"WARNING - no PRICE inserted",IF(H4086="free"," FREE ~ no charge this plant",IF(H4086="credit",CONCATENATE(" -$",ROUND(K4086*(1-T2GDiscount)*-1,2)," CREDIT after discount"),IF(T2GDiscount=0,"",IF(G4086=0,"",IF(F4086="Buy",CONCATENATE(" $",ROUND(K4086*(1-T2GDiscount),2)," with ",(T2GDiscount*100),"% discount"),CONCATENATE(" $",ROUND(K4086*(1-T2GDiscount),2)," with ",((T2GDiscount*100+F4086*100)-(T2GDiscount*100*F4086)),IF(F4086&gt;0,"% discounts",IF(NoWarrantyDiscount&gt;0,"% discounts","% discount")))))))))</f>
        <v/>
      </c>
      <c r="N4086" s="660"/>
      <c r="O4086" s="233"/>
      <c r="P4086" s="233"/>
      <c r="Q4086" s="233"/>
      <c r="R4086" s="233"/>
      <c r="S4086" s="233"/>
      <c r="T4086" s="508">
        <f t="shared" si="3122"/>
        <v>0</v>
      </c>
      <c r="U4086" s="225">
        <f>IF(NOT(ISNUMBER(G4086)), "", VLOOKUP(A4086,'Discount Lookup'!D:E,2,FALSE)*G4086)</f>
        <v>0</v>
      </c>
      <c r="V4086" s="225">
        <f>IF(NOT(ISNUMBER(G4086)), "", VLOOKUP(A4086,'Discount Lookup'!G:H,2,FALSE)*G4086)</f>
        <v>0</v>
      </c>
      <c r="W4086" s="508">
        <f t="shared" si="3123"/>
        <v>0</v>
      </c>
      <c r="X4086" s="508">
        <f t="shared" si="3124"/>
        <v>0</v>
      </c>
      <c r="Y4086" s="509" t="b">
        <f t="shared" si="3125"/>
        <v>0</v>
      </c>
      <c r="Z4086" s="510">
        <f t="shared" si="3126"/>
        <v>0</v>
      </c>
      <c r="AA4086" s="511"/>
      <c r="AB4086" s="511" t="str">
        <f t="shared" si="3127"/>
        <v/>
      </c>
      <c r="AC4086" s="698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698"/>
      <c r="AE4086" s="631" t="str">
        <f t="shared" si="3128"/>
        <v/>
      </c>
      <c r="AF4086" s="699" t="str">
        <f t="shared" si="3129"/>
        <v/>
      </c>
      <c r="AG4086" s="699"/>
      <c r="AH4086" s="699"/>
      <c r="AI4086" s="512">
        <f>IF(H4086="credit",0,IF(AE4086="free",0,IF(AE4086="me",0,IF(G4086&gt;0,(VLOOKUP(A4086,'Discount Lookup'!J:K,2)*G4086),0))))</f>
        <v>0</v>
      </c>
      <c r="AJ4086" s="513" t="str">
        <f t="shared" ca="1" si="3130"/>
        <v/>
      </c>
      <c r="AK4086" s="700" t="str">
        <f t="shared" si="3131"/>
        <v/>
      </c>
      <c r="AL4086" s="700"/>
      <c r="AM4086" s="505" t="str">
        <f t="shared" si="3132"/>
        <v/>
      </c>
      <c r="AN4086" s="506"/>
      <c r="AO4086" s="507"/>
      <c r="AP4086" s="507"/>
      <c r="AQ4086" s="507"/>
      <c r="AR4086" s="507"/>
      <c r="AS4086" s="507"/>
      <c r="AT4086" s="507"/>
      <c r="AU4086" s="507"/>
      <c r="AV4086" s="225"/>
      <c r="AW4086" s="508"/>
      <c r="AX4086" s="225"/>
      <c r="AY4086" s="225"/>
      <c r="AZ4086" s="225"/>
      <c r="BA4086" s="225"/>
      <c r="BB4086" s="225"/>
      <c r="BC4086" s="56"/>
      <c r="BD4086" s="56"/>
      <c r="BE4086" s="56"/>
      <c r="BF4086" s="107" t="str">
        <f t="shared" si="3133"/>
        <v>https://www.google.com/search?tbm=isch&amp;q=15%20G5</v>
      </c>
      <c r="BG4086" s="107" t="str">
        <f t="shared" si="3134"/>
        <v>W</v>
      </c>
      <c r="BH4086" s="254"/>
      <c r="BI4086" s="254"/>
    </row>
    <row r="4087" spans="1:61" customFormat="1" ht="15.75" x14ac:dyDescent="0.25">
      <c r="A4087" s="485">
        <v>15</v>
      </c>
      <c r="B4087" s="486" t="s">
        <v>291</v>
      </c>
      <c r="C4087" s="487" t="s">
        <v>4458</v>
      </c>
      <c r="D4087" s="488" t="s">
        <v>292</v>
      </c>
      <c r="E4087" s="489">
        <v>192.95</v>
      </c>
      <c r="F4087" s="516" t="s">
        <v>293</v>
      </c>
      <c r="G4087" s="232">
        <v>0</v>
      </c>
      <c r="H4087" s="658" t="str">
        <f>IF(G4087=0,"",IF(F4087="Buy",IF(G4087=1,"plant","plants"),IF(F4087&gt;0.01,"warranty","Error")))</f>
        <v/>
      </c>
      <c r="I4087" s="490">
        <f>IF(H4087="free",0,IF(H4087="credit",((E4087*(F4087))*G4087*-1),IF(F4087="Buy",(E4087*G4087),((E4087*(1-F4087))*G4087))))</f>
        <v>0</v>
      </c>
      <c r="J4087" s="490">
        <f>IF(H4087="warranty",0,(I4087*(_xlfn.SINGLE(SalesTaxPercentage))))</f>
        <v>0</v>
      </c>
      <c r="K4087" s="695">
        <f t="shared" ref="K4087" si="3153">I4087+J4087</f>
        <v>0</v>
      </c>
      <c r="L4087" s="695"/>
      <c r="M4087" s="659" t="str">
        <f>IF(AND(G4087&gt;0,E4087=0),"WARNING - no PRICE inserted",IF(H4087="free"," FREE ~ no charge this plant",IF(H4087="credit",CONCATENATE(" -$",ROUND(K4087*(1-T2GDiscount)*-1,2)," CREDIT after discount"),IF(T2GDiscount=0,"",IF(G4087=0,"",IF(F4087="Buy",CONCATENATE(" $",ROUND(K4087*(1-T2GDiscount),2)," with ",(T2GDiscount*100),"% discount"),CONCATENATE(" $",ROUND(K4087*(1-T2GDiscount),2)," with ",((T2GDiscount*100+F4087*100)-(T2GDiscount*100*F4087)),IF(F4087&gt;0,"% discounts",IF(NoWarrantyDiscount&gt;0,"% discounts","% discount")))))))))</f>
        <v/>
      </c>
      <c r="N4087" s="660"/>
      <c r="O4087" s="233"/>
      <c r="P4087" s="233"/>
      <c r="Q4087" s="233"/>
      <c r="R4087" s="233"/>
      <c r="S4087" s="233"/>
      <c r="T4087" s="508">
        <f t="shared" si="3122"/>
        <v>0</v>
      </c>
      <c r="U4087" s="225">
        <f>IF(NOT(ISNUMBER(G4087)), "", VLOOKUP(A4087,'Discount Lookup'!D:E,2,FALSE)*G4087)</f>
        <v>0</v>
      </c>
      <c r="V4087" s="225">
        <f>IF(NOT(ISNUMBER(G4087)), "", VLOOKUP(A4087,'Discount Lookup'!G:H,2,FALSE)*G4087)</f>
        <v>0</v>
      </c>
      <c r="W4087" s="508">
        <f t="shared" si="3123"/>
        <v>0</v>
      </c>
      <c r="X4087" s="508">
        <f t="shared" si="3124"/>
        <v>0</v>
      </c>
      <c r="Y4087" s="509" t="b">
        <f t="shared" si="3125"/>
        <v>0</v>
      </c>
      <c r="Z4087" s="510">
        <f t="shared" si="3126"/>
        <v>0</v>
      </c>
      <c r="AA4087" s="511"/>
      <c r="AB4087" s="511" t="str">
        <f t="shared" si="3127"/>
        <v/>
      </c>
      <c r="AC4087" s="698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698"/>
      <c r="AE4087" s="631" t="str">
        <f t="shared" si="3128"/>
        <v/>
      </c>
      <c r="AF4087" s="699" t="str">
        <f t="shared" si="3129"/>
        <v/>
      </c>
      <c r="AG4087" s="699"/>
      <c r="AH4087" s="699"/>
      <c r="AI4087" s="512">
        <f>IF(H4087="credit",0,IF(AE4087="free",0,IF(AE4087="me",0,IF(G4087&gt;0,(VLOOKUP(A4087,'Discount Lookup'!J:K,2)*G4087),0))))</f>
        <v>0</v>
      </c>
      <c r="AJ4087" s="513" t="str">
        <f t="shared" ca="1" si="3130"/>
        <v/>
      </c>
      <c r="AK4087" s="700" t="str">
        <f t="shared" si="3131"/>
        <v/>
      </c>
      <c r="AL4087" s="700"/>
      <c r="AM4087" s="505" t="str">
        <f t="shared" si="3132"/>
        <v/>
      </c>
      <c r="AN4087" s="506"/>
      <c r="AO4087" s="507"/>
      <c r="AP4087" s="507"/>
      <c r="AQ4087" s="507"/>
      <c r="AR4087" s="507"/>
      <c r="AS4087" s="507"/>
      <c r="AT4087" s="507"/>
      <c r="AU4087" s="507"/>
      <c r="AV4087" s="225"/>
      <c r="AW4087" s="508"/>
      <c r="AX4087" s="225"/>
      <c r="AY4087" s="225"/>
      <c r="AZ4087" s="225"/>
      <c r="BA4087" s="225"/>
      <c r="BB4087" s="225"/>
      <c r="BC4087" s="56"/>
      <c r="BD4087" s="56"/>
      <c r="BE4087" s="56"/>
      <c r="BF4087" s="107" t="str">
        <f t="shared" si="3133"/>
        <v>https://www.google.com/search?tbm=isch&amp;q=15%20G4</v>
      </c>
      <c r="BG4087" s="107" t="str">
        <f t="shared" si="3134"/>
        <v>W</v>
      </c>
      <c r="BH4087" s="254"/>
      <c r="BI4087" s="254"/>
    </row>
    <row r="4088" spans="1:61" customFormat="1" ht="16.5" thickBot="1" x14ac:dyDescent="0.3">
      <c r="A4088" s="672" t="s">
        <v>5284</v>
      </c>
      <c r="B4088" s="491"/>
      <c r="C4088" s="675"/>
      <c r="D4088" s="491"/>
      <c r="E4088" s="491"/>
      <c r="F4088" s="492"/>
      <c r="G4088" s="493"/>
      <c r="H4088" s="491"/>
      <c r="I4088" s="234"/>
      <c r="J4088" s="234"/>
      <c r="K4088" s="494"/>
      <c r="L4088" s="543"/>
      <c r="M4088" s="561"/>
      <c r="N4088" s="495"/>
      <c r="O4088" s="496"/>
      <c r="P4088" s="497"/>
      <c r="Q4088" s="495"/>
      <c r="R4088" s="495"/>
      <c r="S4088" s="667" t="s">
        <v>4968</v>
      </c>
      <c r="T4088" s="508">
        <f t="shared" si="3122"/>
        <v>0</v>
      </c>
      <c r="U4088" s="225" t="str">
        <f>IF(NOT(ISNUMBER(G4088)), "", VLOOKUP(A4088,'Discount Lookup'!D:E,2,FALSE)*G4088)</f>
        <v/>
      </c>
      <c r="V4088" s="225" t="str">
        <f>IF(NOT(ISNUMBER(G4088)), "", VLOOKUP(A4088,'Discount Lookup'!G:H,2,FALSE)*G4088)</f>
        <v/>
      </c>
      <c r="W4088" s="508">
        <f t="shared" si="3123"/>
        <v>0</v>
      </c>
      <c r="X4088" s="508">
        <f t="shared" si="3124"/>
        <v>0</v>
      </c>
      <c r="Y4088" s="509" t="b">
        <f t="shared" si="3125"/>
        <v>0</v>
      </c>
      <c r="Z4088" s="510">
        <f t="shared" si="3126"/>
        <v>0</v>
      </c>
      <c r="AA4088" s="511"/>
      <c r="AB4088" s="511" t="str">
        <f t="shared" si="3127"/>
        <v/>
      </c>
      <c r="AC4088" s="698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698"/>
      <c r="AE4088" s="631" t="str">
        <f t="shared" si="3128"/>
        <v/>
      </c>
      <c r="AF4088" s="699" t="str">
        <f t="shared" si="3129"/>
        <v/>
      </c>
      <c r="AG4088" s="699"/>
      <c r="AH4088" s="699"/>
      <c r="AI4088" s="512">
        <f>IF(H4088="credit",0,IF(AE4088="free",0,IF(AE4088="me",0,IF(G4088&gt;0,(VLOOKUP(A4088,'Discount Lookup'!J:K,2)*G4088),0))))</f>
        <v>0</v>
      </c>
      <c r="AJ4088" s="513" t="str">
        <f t="shared" ca="1" si="3130"/>
        <v/>
      </c>
      <c r="AK4088" s="700" t="str">
        <f t="shared" si="3131"/>
        <v/>
      </c>
      <c r="AL4088" s="700"/>
      <c r="AM4088" s="505" t="str">
        <f t="shared" si="3132"/>
        <v/>
      </c>
      <c r="AN4088" s="506"/>
      <c r="AO4088" s="507"/>
      <c r="AP4088" s="507"/>
      <c r="AQ4088" s="507"/>
      <c r="AR4088" s="507"/>
      <c r="AS4088" s="507"/>
      <c r="AT4088" s="507"/>
      <c r="AU4088" s="507"/>
      <c r="AV4088" s="225"/>
      <c r="AW4088" s="508"/>
      <c r="AX4088" s="225"/>
      <c r="AY4088" s="225"/>
      <c r="AZ4088" s="225"/>
      <c r="BA4088" s="225"/>
      <c r="BB4088" s="225"/>
      <c r="BC4088" s="56"/>
      <c r="BD4088" s="56"/>
      <c r="BE4088" s="56"/>
      <c r="BF4088" s="107" t="str">
        <f t="shared" si="3133"/>
        <v>https://www.google.com/search?tbm=isch&amp;q=moist%20sites%F0%9F%92%A7OK%2C%20Whoa%20Nellie%20known%20for%20it%27s%20bright%20golden%20new%20foliage%2C%20contrasting%20with%20mature%20green%20foliage%20behind%20it%20</v>
      </c>
      <c r="BG4088" s="107" t="str">
        <f t="shared" si="3134"/>
        <v>m</v>
      </c>
      <c r="BH4088" s="254"/>
      <c r="BI4088" s="254"/>
    </row>
    <row r="4089" spans="1:61" customFormat="1" ht="18" x14ac:dyDescent="0.25">
      <c r="A4089" s="523" t="s">
        <v>2034</v>
      </c>
      <c r="B4089" s="235"/>
      <c r="C4089" s="676"/>
      <c r="D4089" s="255" t="s">
        <v>2035</v>
      </c>
      <c r="E4089" s="236"/>
      <c r="F4089" s="236"/>
      <c r="G4089" s="236"/>
      <c r="H4089" s="582" t="s">
        <v>317</v>
      </c>
      <c r="I4089" s="498" t="s">
        <v>654</v>
      </c>
      <c r="J4089" s="237"/>
      <c r="K4089" s="237"/>
      <c r="L4089" s="274"/>
      <c r="M4089" s="668" t="s">
        <v>4975</v>
      </c>
      <c r="N4089" s="681" t="str">
        <f>IF(AND(ISTEXT($A4089), ISERROR($A4089+0)), HYPERLINK($BF4089, "Images"), "")</f>
        <v>Images</v>
      </c>
      <c r="O4089" s="663" t="s">
        <v>4969</v>
      </c>
      <c r="P4089" s="253"/>
      <c r="Q4089" s="238"/>
      <c r="R4089" s="239"/>
      <c r="S4089" s="275"/>
      <c r="T4089" s="508">
        <f t="shared" si="3122"/>
        <v>0</v>
      </c>
      <c r="U4089" s="225" t="str">
        <f>IF(NOT(ISNUMBER(G4089)), "", VLOOKUP(A4089,'Discount Lookup'!D:E,2,FALSE)*G4089)</f>
        <v/>
      </c>
      <c r="V4089" s="225" t="str">
        <f>IF(NOT(ISNUMBER(G4089)), "", VLOOKUP(A4089,'Discount Lookup'!G:H,2,FALSE)*G4089)</f>
        <v/>
      </c>
      <c r="W4089" s="508">
        <f t="shared" si="3123"/>
        <v>0</v>
      </c>
      <c r="X4089" s="508" t="str">
        <f t="shared" si="3124"/>
        <v>White bloom</v>
      </c>
      <c r="Y4089" s="509" t="b">
        <f t="shared" si="3125"/>
        <v>0</v>
      </c>
      <c r="Z4089" s="510">
        <f t="shared" si="3126"/>
        <v>0</v>
      </c>
      <c r="AA4089" s="511"/>
      <c r="AB4089" s="511" t="str">
        <f t="shared" si="3127"/>
        <v/>
      </c>
      <c r="AC4089" s="698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698"/>
      <c r="AE4089" s="631" t="str">
        <f t="shared" si="3128"/>
        <v/>
      </c>
      <c r="AF4089" s="699" t="str">
        <f t="shared" si="3129"/>
        <v/>
      </c>
      <c r="AG4089" s="699"/>
      <c r="AH4089" s="699"/>
      <c r="AI4089" s="512">
        <f>IF(H4089="credit",0,IF(AE4089="free",0,IF(AE4089="me",0,IF(G4089&gt;0,(VLOOKUP(A4089,'Discount Lookup'!J:K,2)*G4089),0))))</f>
        <v>0</v>
      </c>
      <c r="AJ4089" s="513" t="str">
        <f t="shared" ca="1" si="3130"/>
        <v/>
      </c>
      <c r="AK4089" s="700" t="str">
        <f t="shared" si="3131"/>
        <v/>
      </c>
      <c r="AL4089" s="700"/>
      <c r="AM4089" s="505" t="str">
        <f t="shared" si="3132"/>
        <v/>
      </c>
      <c r="AN4089" s="506"/>
      <c r="AO4089" s="507"/>
      <c r="AP4089" s="507"/>
      <c r="AQ4089" s="507"/>
      <c r="AR4089" s="507"/>
      <c r="AS4089" s="507"/>
      <c r="AT4089" s="507"/>
      <c r="AU4089" s="507"/>
      <c r="AV4089" s="225"/>
      <c r="AW4089" s="508"/>
      <c r="AX4089" s="225"/>
      <c r="AY4089" s="225"/>
      <c r="AZ4089" s="225"/>
      <c r="BA4089" s="225"/>
      <c r="BB4089" s="225"/>
      <c r="BC4089" s="56"/>
      <c r="BD4089" s="56"/>
      <c r="BE4089" s="56"/>
      <c r="BF4089" s="107" t="str">
        <f t="shared" si="3133"/>
        <v>https://www.google.com/search?tbm=isch&amp;q=Wildcat%20Magnolia%20Magnolia%20x%20loebneri%20%27Wildcat%27</v>
      </c>
      <c r="BG4089" s="107" t="str">
        <f t="shared" si="3134"/>
        <v>W</v>
      </c>
      <c r="BH4089" s="254"/>
      <c r="BI4089" s="254"/>
    </row>
    <row r="4090" spans="1:61" customFormat="1" ht="15.75" x14ac:dyDescent="0.25">
      <c r="A4090" s="276">
        <v>7</v>
      </c>
      <c r="B4090" s="240" t="s">
        <v>291</v>
      </c>
      <c r="C4090" s="241" t="s">
        <v>4459</v>
      </c>
      <c r="D4090" s="242" t="s">
        <v>292</v>
      </c>
      <c r="E4090" s="243">
        <v>109.95</v>
      </c>
      <c r="F4090" s="517" t="s">
        <v>293</v>
      </c>
      <c r="G4090" s="232">
        <v>0</v>
      </c>
      <c r="H4090" s="661" t="str">
        <f>IF(G4090=0,"",IF(F4090="Buy",IF(G4090=1,"plant","plants"),IF(F4090&gt;0.01,"warranty","Error")))</f>
        <v/>
      </c>
      <c r="I4090" s="244">
        <f>IF(H4090="free",0,IF(H4090="credit",((E4090*(F4090))*G4090*-1),IF(F4090="Buy",(E4090*G4090),((E4090*(1-F4090))*G4090))))</f>
        <v>0</v>
      </c>
      <c r="J4090" s="244">
        <f>IF(H4090="warranty",0,(I4090*(_xlfn.SINGLE(SalesTaxPercentage))))</f>
        <v>0</v>
      </c>
      <c r="K4090" s="696">
        <f t="shared" ref="K4090" si="3154">I4090+J4090</f>
        <v>0</v>
      </c>
      <c r="L4090" s="696"/>
      <c r="M4090" s="659" t="str">
        <f>IF(AND(G4090&gt;0,E4090=0),"WARNING - no PRICE inserted",IF(H4090="free"," FREE ~ no charge this plant",IF(H4090="credit",CONCATENATE(" -$",ROUND(K4090*(1-T2GDiscount)*-1,2)," CREDIT after discount"),IF(T2GDiscount=0,"",IF(G4090=0,"",IF(F4090="Buy",CONCATENATE(" $",ROUND(K4090*(1-T2GDiscount),2)," with ",(T2GDiscount*100),"% discount"),CONCATENATE(" $",ROUND(K4090*(1-T2GDiscount),2)," with ",((T2GDiscount*100+F4090*100)-(T2GDiscount*100*F4090)),IF(F4090&gt;0,"% discounts",IF(NoWarrantyDiscount&gt;0,"% discounts","% discount")))))))))</f>
        <v/>
      </c>
      <c r="N4090" s="660"/>
      <c r="O4090" s="233"/>
      <c r="P4090" s="233"/>
      <c r="Q4090" s="233"/>
      <c r="R4090" s="233"/>
      <c r="S4090" s="233"/>
      <c r="T4090" s="508">
        <f t="shared" si="3122"/>
        <v>0</v>
      </c>
      <c r="U4090" s="225">
        <f>IF(NOT(ISNUMBER(G4090)), "", VLOOKUP(A4090,'Discount Lookup'!D:E,2,FALSE)*G4090)</f>
        <v>0</v>
      </c>
      <c r="V4090" s="225">
        <f>IF(NOT(ISNUMBER(G4090)), "", VLOOKUP(A4090,'Discount Lookup'!G:H,2,FALSE)*G4090)</f>
        <v>0</v>
      </c>
      <c r="W4090" s="508">
        <f t="shared" si="3123"/>
        <v>0</v>
      </c>
      <c r="X4090" s="508">
        <f t="shared" si="3124"/>
        <v>0</v>
      </c>
      <c r="Y4090" s="509" t="b">
        <f t="shared" si="3125"/>
        <v>0</v>
      </c>
      <c r="Z4090" s="510">
        <f t="shared" si="3126"/>
        <v>0</v>
      </c>
      <c r="AA4090" s="511"/>
      <c r="AB4090" s="511" t="str">
        <f t="shared" si="3127"/>
        <v/>
      </c>
      <c r="AC4090" s="698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698"/>
      <c r="AE4090" s="631" t="str">
        <f t="shared" si="3128"/>
        <v/>
      </c>
      <c r="AF4090" s="699" t="str">
        <f t="shared" si="3129"/>
        <v/>
      </c>
      <c r="AG4090" s="699"/>
      <c r="AH4090" s="699"/>
      <c r="AI4090" s="512">
        <f>IF(H4090="credit",0,IF(AE4090="free",0,IF(AE4090="me",0,IF(G4090&gt;0,(VLOOKUP(A4090,'Discount Lookup'!J:K,2)*G4090),0))))</f>
        <v>0</v>
      </c>
      <c r="AJ4090" s="513" t="str">
        <f t="shared" ca="1" si="3130"/>
        <v/>
      </c>
      <c r="AK4090" s="700" t="str">
        <f t="shared" si="3131"/>
        <v/>
      </c>
      <c r="AL4090" s="700"/>
      <c r="AM4090" s="505" t="str">
        <f t="shared" si="3132"/>
        <v/>
      </c>
      <c r="AN4090" s="506"/>
      <c r="AO4090" s="507"/>
      <c r="AP4090" s="507"/>
      <c r="AQ4090" s="507"/>
      <c r="AR4090" s="507"/>
      <c r="AS4090" s="507"/>
      <c r="AT4090" s="507"/>
      <c r="AU4090" s="507"/>
      <c r="AV4090" s="225"/>
      <c r="AW4090" s="508"/>
      <c r="AX4090" s="225"/>
      <c r="AY4090" s="225"/>
      <c r="AZ4090" s="225"/>
      <c r="BA4090" s="225"/>
      <c r="BB4090" s="225"/>
      <c r="BC4090" s="56"/>
      <c r="BD4090" s="56"/>
      <c r="BE4090" s="56"/>
      <c r="BF4090" s="107" t="str">
        <f t="shared" si="3133"/>
        <v>https://www.google.com/search?tbm=isch&amp;q=7%20G4</v>
      </c>
      <c r="BG4090" s="107" t="str">
        <f t="shared" si="3134"/>
        <v>W</v>
      </c>
      <c r="BH4090" s="254"/>
      <c r="BI4090" s="254"/>
    </row>
    <row r="4091" spans="1:61" customFormat="1" ht="27" x14ac:dyDescent="0.25">
      <c r="A4091" s="276">
        <v>10</v>
      </c>
      <c r="B4091" s="240" t="s">
        <v>291</v>
      </c>
      <c r="C4091" s="241" t="s">
        <v>3870</v>
      </c>
      <c r="D4091" s="242" t="s">
        <v>292</v>
      </c>
      <c r="E4091" s="243">
        <v>146.94999999999999</v>
      </c>
      <c r="F4091" s="517" t="s">
        <v>293</v>
      </c>
      <c r="G4091" s="232">
        <v>0</v>
      </c>
      <c r="H4091" s="661" t="str">
        <f>IF(G4091=0,"",IF(F4091="Buy",IF(G4091=1,"plant","plants"),IF(F4091&gt;0.01,"warranty","Error")))</f>
        <v/>
      </c>
      <c r="I4091" s="244">
        <f>IF(H4091="free",0,IF(H4091="credit",((E4091*(F4091))*G4091*-1),IF(F4091="Buy",(E4091*G4091),((E4091*(1-F4091))*G4091))))</f>
        <v>0</v>
      </c>
      <c r="J4091" s="244">
        <f>IF(H4091="warranty",0,(I4091*(_xlfn.SINGLE(SalesTaxPercentage))))</f>
        <v>0</v>
      </c>
      <c r="K4091" s="696">
        <f t="shared" ref="K4091" si="3155">I4091+J4091</f>
        <v>0</v>
      </c>
      <c r="L4091" s="696"/>
      <c r="M4091" s="659" t="str">
        <f>IF(AND(G4091&gt;0,E4091=0),"WARNING - no PRICE inserted",IF(H4091="free"," FREE ~ no charge this plant",IF(H4091="credit",CONCATENATE(" -$",ROUND(K4091*(1-T2GDiscount)*-1,2)," CREDIT after discount"),IF(T2GDiscount=0,"",IF(G4091=0,"",IF(F4091="Buy",CONCATENATE(" $",ROUND(K4091*(1-T2GDiscount),2)," with ",(T2GDiscount*100),"% discount"),CONCATENATE(" $",ROUND(K4091*(1-T2GDiscount),2)," with ",((T2GDiscount*100+F4091*100)-(T2GDiscount*100*F4091)),IF(F4091&gt;0,"% discounts",IF(NoWarrantyDiscount&gt;0,"% discounts","% discount")))))))))</f>
        <v/>
      </c>
      <c r="N4091" s="660"/>
      <c r="O4091" s="233"/>
      <c r="P4091" s="233"/>
      <c r="Q4091" s="233"/>
      <c r="R4091" s="233"/>
      <c r="S4091" s="233"/>
      <c r="T4091" s="508">
        <f t="shared" si="3122"/>
        <v>0</v>
      </c>
      <c r="U4091" s="225">
        <f>IF(NOT(ISNUMBER(G4091)), "", VLOOKUP(A4091,'Discount Lookup'!D:E,2,FALSE)*G4091)</f>
        <v>0</v>
      </c>
      <c r="V4091" s="225">
        <f>IF(NOT(ISNUMBER(G4091)), "", VLOOKUP(A4091,'Discount Lookup'!G:H,2,FALSE)*G4091)</f>
        <v>0</v>
      </c>
      <c r="W4091" s="508">
        <f t="shared" si="3123"/>
        <v>0</v>
      </c>
      <c r="X4091" s="508">
        <f t="shared" si="3124"/>
        <v>0</v>
      </c>
      <c r="Y4091" s="509" t="b">
        <f t="shared" si="3125"/>
        <v>0</v>
      </c>
      <c r="Z4091" s="510">
        <f t="shared" si="3126"/>
        <v>0</v>
      </c>
      <c r="AA4091" s="511"/>
      <c r="AB4091" s="511" t="str">
        <f t="shared" si="3127"/>
        <v/>
      </c>
      <c r="AC4091" s="698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698"/>
      <c r="AE4091" s="631" t="str">
        <f t="shared" si="3128"/>
        <v/>
      </c>
      <c r="AF4091" s="699" t="str">
        <f t="shared" si="3129"/>
        <v/>
      </c>
      <c r="AG4091" s="699"/>
      <c r="AH4091" s="699"/>
      <c r="AI4091" s="512">
        <f>IF(H4091="credit",0,IF(AE4091="free",0,IF(AE4091="me",0,IF(G4091&gt;0,(VLOOKUP(A4091,'Discount Lookup'!J:K,2)*G4091),0))))</f>
        <v>0</v>
      </c>
      <c r="AJ4091" s="513" t="str">
        <f t="shared" ca="1" si="3130"/>
        <v/>
      </c>
      <c r="AK4091" s="700" t="str">
        <f t="shared" si="3131"/>
        <v/>
      </c>
      <c r="AL4091" s="700"/>
      <c r="AM4091" s="505" t="str">
        <f t="shared" si="3132"/>
        <v/>
      </c>
      <c r="AN4091" s="506"/>
      <c r="AO4091" s="507"/>
      <c r="AP4091" s="507"/>
      <c r="AQ4091" s="507"/>
      <c r="AR4091" s="507"/>
      <c r="AS4091" s="507"/>
      <c r="AT4091" s="507"/>
      <c r="AU4091" s="507"/>
      <c r="AV4091" s="225"/>
      <c r="AW4091" s="508"/>
      <c r="AX4091" s="225"/>
      <c r="AY4091" s="225"/>
      <c r="AZ4091" s="225"/>
      <c r="BA4091" s="225"/>
      <c r="BB4091" s="225"/>
      <c r="BC4091" s="56"/>
      <c r="BD4091" s="56"/>
      <c r="BE4091" s="56"/>
      <c r="BF4091" s="107" t="str">
        <f t="shared" si="3133"/>
        <v>https://www.google.com/search?tbm=isch&amp;q=10%20G4</v>
      </c>
      <c r="BG4091" s="107" t="str">
        <f t="shared" si="3134"/>
        <v>W</v>
      </c>
      <c r="BH4091" s="254"/>
      <c r="BI4091" s="254"/>
    </row>
    <row r="4092" spans="1:61" customFormat="1" ht="17.25" thickBot="1" x14ac:dyDescent="0.3">
      <c r="A4092" s="524" t="s">
        <v>2273</v>
      </c>
      <c r="B4092" s="245"/>
      <c r="C4092" s="677"/>
      <c r="D4092" s="499"/>
      <c r="E4092" s="499"/>
      <c r="F4092" s="500"/>
      <c r="G4092" s="501"/>
      <c r="H4092" s="502"/>
      <c r="I4092" s="246"/>
      <c r="J4092" s="247"/>
      <c r="K4092" s="503"/>
      <c r="L4092" s="544"/>
      <c r="M4092" s="544"/>
      <c r="N4092" s="500"/>
      <c r="O4092" s="500"/>
      <c r="P4092" s="500"/>
      <c r="Q4092" s="500"/>
      <c r="R4092" s="500"/>
      <c r="S4092" s="278"/>
      <c r="T4092" s="508">
        <f t="shared" si="3122"/>
        <v>0</v>
      </c>
      <c r="U4092" s="225" t="str">
        <f>IF(NOT(ISNUMBER(G4092)), "", VLOOKUP(A4092,'Discount Lookup'!D:E,2,FALSE)*G4092)</f>
        <v/>
      </c>
      <c r="V4092" s="225" t="str">
        <f>IF(NOT(ISNUMBER(G4092)), "", VLOOKUP(A4092,'Discount Lookup'!G:H,2,FALSE)*G4092)</f>
        <v/>
      </c>
      <c r="W4092" s="508">
        <f t="shared" si="3123"/>
        <v>0</v>
      </c>
      <c r="X4092" s="508">
        <f t="shared" si="3124"/>
        <v>0</v>
      </c>
      <c r="Y4092" s="509" t="b">
        <f t="shared" si="3125"/>
        <v>0</v>
      </c>
      <c r="Z4092" s="510">
        <f t="shared" si="3126"/>
        <v>0</v>
      </c>
      <c r="AA4092" s="511"/>
      <c r="AB4092" s="511" t="str">
        <f t="shared" si="3127"/>
        <v/>
      </c>
      <c r="AC4092" s="698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698"/>
      <c r="AE4092" s="631" t="str">
        <f t="shared" si="3128"/>
        <v/>
      </c>
      <c r="AF4092" s="699" t="str">
        <f t="shared" si="3129"/>
        <v/>
      </c>
      <c r="AG4092" s="699"/>
      <c r="AH4092" s="699"/>
      <c r="AI4092" s="512">
        <f>IF(H4092="credit",0,IF(AE4092="free",0,IF(AE4092="me",0,IF(G4092&gt;0,(VLOOKUP(A4092,'Discount Lookup'!J:K,2)*G4092),0))))</f>
        <v>0</v>
      </c>
      <c r="AJ4092" s="513" t="str">
        <f t="shared" ca="1" si="3130"/>
        <v/>
      </c>
      <c r="AK4092" s="700" t="str">
        <f t="shared" si="3131"/>
        <v/>
      </c>
      <c r="AL4092" s="700"/>
      <c r="AM4092" s="505" t="str">
        <f t="shared" si="3132"/>
        <v/>
      </c>
      <c r="AN4092" s="506"/>
      <c r="AO4092" s="507"/>
      <c r="AP4092" s="507"/>
      <c r="AQ4092" s="507"/>
      <c r="AR4092" s="507"/>
      <c r="AS4092" s="507"/>
      <c r="AT4092" s="507"/>
      <c r="AU4092" s="507"/>
      <c r="AV4092" s="225"/>
      <c r="AW4092" s="508"/>
      <c r="AX4092" s="225"/>
      <c r="AY4092" s="225"/>
      <c r="AZ4092" s="225"/>
      <c r="BA4092" s="225"/>
      <c r="BB4092" s="225"/>
      <c r="BC4092" s="56"/>
      <c r="BD4092" s="56"/>
      <c r="BE4092" s="56"/>
      <c r="BF4092" s="107" t="str">
        <f t="shared" si="3133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4092" s="107" t="str">
        <f t="shared" si="3134"/>
        <v>W</v>
      </c>
      <c r="BH4092" s="254"/>
      <c r="BI4092" s="254"/>
    </row>
    <row r="4093" spans="1:61" customFormat="1" ht="18" x14ac:dyDescent="0.25">
      <c r="A4093" s="521" t="s">
        <v>2036</v>
      </c>
      <c r="B4093" s="477"/>
      <c r="C4093" s="674"/>
      <c r="D4093" s="478" t="s">
        <v>2037</v>
      </c>
      <c r="E4093" s="479"/>
      <c r="F4093" s="479"/>
      <c r="G4093" s="479"/>
      <c r="H4093" s="582" t="s">
        <v>2038</v>
      </c>
      <c r="I4093" s="480" t="s">
        <v>654</v>
      </c>
      <c r="J4093" s="479"/>
      <c r="K4093" s="479"/>
      <c r="L4093" s="560"/>
      <c r="M4093" s="666" t="s">
        <v>4966</v>
      </c>
      <c r="N4093" s="680" t="str">
        <f>IF(AND(ISTEXT($A4093), ISERROR($A4093+0)), HYPERLINK($BF4093, "Images"), "")</f>
        <v>Images</v>
      </c>
      <c r="O4093" s="662" t="s">
        <v>4967</v>
      </c>
      <c r="P4093" s="482"/>
      <c r="Q4093" s="483"/>
      <c r="R4093" s="483"/>
      <c r="S4093" s="484"/>
      <c r="T4093" s="508">
        <f t="shared" si="3122"/>
        <v>0</v>
      </c>
      <c r="U4093" s="225" t="str">
        <f>IF(NOT(ISNUMBER(G4093)), "", VLOOKUP(A4093,'Discount Lookup'!D:E,2,FALSE)*G4093)</f>
        <v/>
      </c>
      <c r="V4093" s="225" t="str">
        <f>IF(NOT(ISNUMBER(G4093)), "", VLOOKUP(A4093,'Discount Lookup'!G:H,2,FALSE)*G4093)</f>
        <v/>
      </c>
      <c r="W4093" s="508">
        <f t="shared" si="3123"/>
        <v>0</v>
      </c>
      <c r="X4093" s="508" t="str">
        <f t="shared" si="3124"/>
        <v>White bloom</v>
      </c>
      <c r="Y4093" s="509" t="b">
        <f t="shared" si="3125"/>
        <v>0</v>
      </c>
      <c r="Z4093" s="510">
        <f t="shared" si="3126"/>
        <v>0</v>
      </c>
      <c r="AA4093" s="511"/>
      <c r="AB4093" s="511" t="str">
        <f t="shared" si="3127"/>
        <v/>
      </c>
      <c r="AC4093" s="698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698"/>
      <c r="AE4093" s="631" t="str">
        <f t="shared" si="3128"/>
        <v/>
      </c>
      <c r="AF4093" s="699" t="str">
        <f t="shared" si="3129"/>
        <v/>
      </c>
      <c r="AG4093" s="699"/>
      <c r="AH4093" s="699"/>
      <c r="AI4093" s="512">
        <f>IF(H4093="credit",0,IF(AE4093="free",0,IF(AE4093="me",0,IF(G4093&gt;0,(VLOOKUP(A4093,'Discount Lookup'!J:K,2)*G4093),0))))</f>
        <v>0</v>
      </c>
      <c r="AJ4093" s="513" t="str">
        <f t="shared" ca="1" si="3130"/>
        <v/>
      </c>
      <c r="AK4093" s="700" t="str">
        <f t="shared" si="3131"/>
        <v/>
      </c>
      <c r="AL4093" s="700"/>
      <c r="AM4093" s="505" t="str">
        <f t="shared" si="3132"/>
        <v/>
      </c>
      <c r="AN4093" s="506"/>
      <c r="AO4093" s="507"/>
      <c r="AP4093" s="507"/>
      <c r="AQ4093" s="507"/>
      <c r="AR4093" s="507"/>
      <c r="AS4093" s="507"/>
      <c r="AT4093" s="507"/>
      <c r="AU4093" s="507"/>
      <c r="AV4093" s="225"/>
      <c r="AW4093" s="508"/>
      <c r="AX4093" s="225"/>
      <c r="AY4093" s="225"/>
      <c r="AZ4093" s="225"/>
      <c r="BA4093" s="225"/>
      <c r="BB4093" s="225"/>
      <c r="BC4093" s="56"/>
      <c r="BD4093" s="56"/>
      <c r="BE4093" s="56"/>
      <c r="BF4093" s="107" t="str">
        <f t="shared" si="3133"/>
        <v>https://www.google.com/search?tbm=isch&amp;q=Willow%20Leaf%20Cotoneaster%20Cotoneaster%20salicifolius</v>
      </c>
      <c r="BG4093" s="107" t="str">
        <f t="shared" si="3134"/>
        <v>W</v>
      </c>
      <c r="BH4093" s="254"/>
      <c r="BI4093" s="254"/>
    </row>
    <row r="4094" spans="1:61" customFormat="1" ht="15.75" x14ac:dyDescent="0.25">
      <c r="A4094" s="485">
        <v>1</v>
      </c>
      <c r="B4094" s="486" t="s">
        <v>291</v>
      </c>
      <c r="C4094" s="487"/>
      <c r="D4094" s="488" t="s">
        <v>298</v>
      </c>
      <c r="E4094" s="489">
        <v>7.95</v>
      </c>
      <c r="F4094" s="516" t="s">
        <v>293</v>
      </c>
      <c r="G4094" s="232">
        <v>0</v>
      </c>
      <c r="H4094" s="658" t="str">
        <f>IF(G4094=0,"",IF(F4094="Buy",IF(G4094=1,"plant","plants"),IF(F4094&gt;0.01,"warranty","Error")))</f>
        <v/>
      </c>
      <c r="I4094" s="490">
        <f>IF(H4094="free",0,IF(H4094="credit",((E4094*(F4094))*G4094*-1),IF(F4094="Buy",(E4094*G4094),((E4094*(1-F4094))*G4094))))</f>
        <v>0</v>
      </c>
      <c r="J4094" s="490">
        <f>IF(H4094="warranty",0,(I4094*(_xlfn.SINGLE(SalesTaxPercentage))))</f>
        <v>0</v>
      </c>
      <c r="K4094" s="695">
        <f t="shared" ref="K4094" si="3156">I4094+J4094</f>
        <v>0</v>
      </c>
      <c r="L4094" s="695"/>
      <c r="M4094" s="659" t="str">
        <f>IF(AND(G4094&gt;0,E4094=0),"WARNING - no PRICE inserted",IF(H4094="free"," FREE ~ no charge this plant",IF(H4094="credit",CONCATENATE(" -$",ROUND(K4094*(1-T2GDiscount)*-1,2)," CREDIT after discount"),IF(T2GDiscount=0,"",IF(G4094=0,"",IF(F4094="Buy",CONCATENATE(" $",ROUND(K4094*(1-T2GDiscount),2)," with ",(T2GDiscount*100),"% discount"),CONCATENATE(" $",ROUND(K4094*(1-T2GDiscount),2)," with ",((T2GDiscount*100+F4094*100)-(T2GDiscount*100*F4094)),IF(F4094&gt;0,"% discounts",IF(NoWarrantyDiscount&gt;0,"% discounts","% discount")))))))))</f>
        <v/>
      </c>
      <c r="N4094" s="660"/>
      <c r="O4094" s="233"/>
      <c r="P4094" s="233"/>
      <c r="Q4094" s="233"/>
      <c r="R4094" s="233"/>
      <c r="S4094" s="233"/>
      <c r="T4094" s="508">
        <f t="shared" si="3122"/>
        <v>0</v>
      </c>
      <c r="U4094" s="225">
        <f>IF(NOT(ISNUMBER(G4094)), "", VLOOKUP(A4094,'Discount Lookup'!D:E,2,FALSE)*G4094)</f>
        <v>0</v>
      </c>
      <c r="V4094" s="225">
        <f>IF(NOT(ISNUMBER(G4094)), "", VLOOKUP(A4094,'Discount Lookup'!G:H,2,FALSE)*G4094)</f>
        <v>0</v>
      </c>
      <c r="W4094" s="508">
        <f t="shared" si="3123"/>
        <v>0</v>
      </c>
      <c r="X4094" s="508">
        <f t="shared" si="3124"/>
        <v>0</v>
      </c>
      <c r="Y4094" s="509" t="b">
        <f t="shared" si="3125"/>
        <v>0</v>
      </c>
      <c r="Z4094" s="510">
        <f t="shared" si="3126"/>
        <v>0</v>
      </c>
      <c r="AA4094" s="511"/>
      <c r="AB4094" s="511" t="str">
        <f t="shared" si="3127"/>
        <v/>
      </c>
      <c r="AC4094" s="698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698"/>
      <c r="AE4094" s="631" t="str">
        <f t="shared" si="3128"/>
        <v/>
      </c>
      <c r="AF4094" s="699" t="str">
        <f t="shared" si="3129"/>
        <v/>
      </c>
      <c r="AG4094" s="699"/>
      <c r="AH4094" s="699"/>
      <c r="AI4094" s="512">
        <f>IF(H4094="credit",0,IF(AE4094="free",0,IF(AE4094="me",0,IF(G4094&gt;0,(VLOOKUP(A4094,'Discount Lookup'!J:K,2)*G4094),0))))</f>
        <v>0</v>
      </c>
      <c r="AJ4094" s="513" t="str">
        <f t="shared" ca="1" si="3130"/>
        <v/>
      </c>
      <c r="AK4094" s="700" t="str">
        <f t="shared" si="3131"/>
        <v/>
      </c>
      <c r="AL4094" s="700"/>
      <c r="AM4094" s="505" t="str">
        <f t="shared" si="3132"/>
        <v/>
      </c>
      <c r="AN4094" s="506"/>
      <c r="AO4094" s="507"/>
      <c r="AP4094" s="507"/>
      <c r="AQ4094" s="507"/>
      <c r="AR4094" s="507"/>
      <c r="AS4094" s="507"/>
      <c r="AT4094" s="507"/>
      <c r="AU4094" s="507"/>
      <c r="AV4094" s="225"/>
      <c r="AW4094" s="508"/>
      <c r="AX4094" s="225"/>
      <c r="AY4094" s="225"/>
      <c r="AZ4094" s="225"/>
      <c r="BA4094" s="225"/>
      <c r="BB4094" s="225"/>
      <c r="BC4094" s="56"/>
      <c r="BD4094" s="56"/>
      <c r="BE4094" s="56"/>
      <c r="BF4094" s="107" t="str">
        <f t="shared" si="3133"/>
        <v>https://www.google.com/search?tbm=isch&amp;q=1%20G1</v>
      </c>
      <c r="BG4094" s="107" t="str">
        <f t="shared" si="3134"/>
        <v>W</v>
      </c>
      <c r="BH4094" s="254"/>
      <c r="BI4094" s="254"/>
    </row>
    <row r="4095" spans="1:61" customFormat="1" ht="17.25" thickBot="1" x14ac:dyDescent="0.3">
      <c r="A4095" s="522" t="s">
        <v>2318</v>
      </c>
      <c r="B4095" s="491"/>
      <c r="C4095" s="675"/>
      <c r="D4095" s="491"/>
      <c r="E4095" s="491"/>
      <c r="F4095" s="492"/>
      <c r="G4095" s="493"/>
      <c r="H4095" s="491"/>
      <c r="I4095" s="234"/>
      <c r="J4095" s="234"/>
      <c r="K4095" s="494"/>
      <c r="L4095" s="543"/>
      <c r="M4095" s="561"/>
      <c r="N4095" s="495"/>
      <c r="O4095" s="496"/>
      <c r="P4095" s="497"/>
      <c r="Q4095" s="495"/>
      <c r="R4095" s="495"/>
      <c r="S4095" s="667" t="s">
        <v>4970</v>
      </c>
      <c r="T4095" s="508">
        <f t="shared" si="3122"/>
        <v>0</v>
      </c>
      <c r="U4095" s="225" t="str">
        <f>IF(NOT(ISNUMBER(G4095)), "", VLOOKUP(A4095,'Discount Lookup'!D:E,2,FALSE)*G4095)</f>
        <v/>
      </c>
      <c r="V4095" s="225" t="str">
        <f>IF(NOT(ISNUMBER(G4095)), "", VLOOKUP(A4095,'Discount Lookup'!G:H,2,FALSE)*G4095)</f>
        <v/>
      </c>
      <c r="W4095" s="508">
        <f t="shared" si="3123"/>
        <v>0</v>
      </c>
      <c r="X4095" s="508">
        <f t="shared" si="3124"/>
        <v>0</v>
      </c>
      <c r="Y4095" s="509" t="b">
        <f t="shared" si="3125"/>
        <v>0</v>
      </c>
      <c r="Z4095" s="510">
        <f t="shared" si="3126"/>
        <v>0</v>
      </c>
      <c r="AA4095" s="511"/>
      <c r="AB4095" s="511" t="str">
        <f t="shared" si="3127"/>
        <v/>
      </c>
      <c r="AC4095" s="698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698"/>
      <c r="AE4095" s="631" t="str">
        <f t="shared" si="3128"/>
        <v/>
      </c>
      <c r="AF4095" s="699" t="str">
        <f t="shared" si="3129"/>
        <v/>
      </c>
      <c r="AG4095" s="699"/>
      <c r="AH4095" s="699"/>
      <c r="AI4095" s="512">
        <f>IF(H4095="credit",0,IF(AE4095="free",0,IF(AE4095="me",0,IF(G4095&gt;0,(VLOOKUP(A4095,'Discount Lookup'!J:K,2)*G4095),0))))</f>
        <v>0</v>
      </c>
      <c r="AJ4095" s="513" t="str">
        <f t="shared" ca="1" si="3130"/>
        <v/>
      </c>
      <c r="AK4095" s="700" t="str">
        <f t="shared" si="3131"/>
        <v/>
      </c>
      <c r="AL4095" s="700"/>
      <c r="AM4095" s="505" t="str">
        <f t="shared" si="3132"/>
        <v/>
      </c>
      <c r="AN4095" s="506"/>
      <c r="AO4095" s="507"/>
      <c r="AP4095" s="507"/>
      <c r="AQ4095" s="507"/>
      <c r="AR4095" s="507"/>
      <c r="AS4095" s="507"/>
      <c r="AT4095" s="507"/>
      <c r="AU4095" s="507"/>
      <c r="AV4095" s="225"/>
      <c r="AW4095" s="508"/>
      <c r="AX4095" s="225"/>
      <c r="AY4095" s="225"/>
      <c r="AZ4095" s="225"/>
      <c r="BA4095" s="225"/>
      <c r="BB4095" s="225"/>
      <c r="BC4095" s="56"/>
      <c r="BD4095" s="56"/>
      <c r="BE4095" s="56"/>
      <c r="BF4095" s="107" t="str">
        <f t="shared" si="3133"/>
        <v>https://www.google.com/search?tbm=isch&amp;q=Willow%20Leaf%20foliage%20resembles%20a%20Willow.%20Scarlet-red%20berries%20after%20bloom.%20Reddish-Purple%20winter%20foliage%20</v>
      </c>
      <c r="BG4095" s="107" t="str">
        <f t="shared" si="3134"/>
        <v>W</v>
      </c>
      <c r="BH4095" s="254"/>
      <c r="BI4095" s="254"/>
    </row>
    <row r="4096" spans="1:61" customFormat="1" ht="18" x14ac:dyDescent="0.25">
      <c r="A4096" s="523" t="s">
        <v>2039</v>
      </c>
      <c r="B4096" s="235"/>
      <c r="C4096" s="676"/>
      <c r="D4096" s="255" t="s">
        <v>2040</v>
      </c>
      <c r="E4096" s="236"/>
      <c r="F4096" s="236"/>
      <c r="G4096" s="236"/>
      <c r="H4096" s="582" t="s">
        <v>1244</v>
      </c>
      <c r="I4096" s="498" t="s">
        <v>2106</v>
      </c>
      <c r="J4096" s="237"/>
      <c r="K4096" s="237"/>
      <c r="L4096" s="274"/>
      <c r="M4096" s="668" t="s">
        <v>4962</v>
      </c>
      <c r="N4096" s="681" t="str">
        <f>IF(AND(ISTEXT($A4096), ISERROR($A4096+0)), HYPERLINK($BF4096, "Images"), "")</f>
        <v>Images</v>
      </c>
      <c r="O4096" s="663" t="s">
        <v>4974</v>
      </c>
      <c r="P4096" s="253"/>
      <c r="Q4096" s="238"/>
      <c r="R4096" s="239"/>
      <c r="S4096" s="275" t="s">
        <v>305</v>
      </c>
      <c r="T4096" s="508">
        <f t="shared" si="3122"/>
        <v>0</v>
      </c>
      <c r="U4096" s="225" t="str">
        <f>IF(NOT(ISNUMBER(G4096)), "", VLOOKUP(A4096,'Discount Lookup'!D:E,2,FALSE)*G4096)</f>
        <v/>
      </c>
      <c r="V4096" s="225" t="str">
        <f>IF(NOT(ISNUMBER(G4096)), "", VLOOKUP(A4096,'Discount Lookup'!G:H,2,FALSE)*G4096)</f>
        <v/>
      </c>
      <c r="W4096" s="508">
        <f t="shared" si="3123"/>
        <v>0</v>
      </c>
      <c r="X4096" s="508" t="str">
        <f t="shared" si="3124"/>
        <v>Bright Green foliage</v>
      </c>
      <c r="Y4096" s="509" t="b">
        <f t="shared" si="3125"/>
        <v>0</v>
      </c>
      <c r="Z4096" s="510">
        <f t="shared" si="3126"/>
        <v>0</v>
      </c>
      <c r="AA4096" s="511"/>
      <c r="AB4096" s="511" t="str">
        <f t="shared" si="3127"/>
        <v/>
      </c>
      <c r="AC4096" s="698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698"/>
      <c r="AE4096" s="631" t="str">
        <f t="shared" si="3128"/>
        <v/>
      </c>
      <c r="AF4096" s="699" t="str">
        <f t="shared" si="3129"/>
        <v/>
      </c>
      <c r="AG4096" s="699"/>
      <c r="AH4096" s="699"/>
      <c r="AI4096" s="512">
        <f>IF(H4096="credit",0,IF(AE4096="free",0,IF(AE4096="me",0,IF(G4096&gt;0,(VLOOKUP(A4096,'Discount Lookup'!J:K,2)*G4096),0))))</f>
        <v>0</v>
      </c>
      <c r="AJ4096" s="513" t="str">
        <f t="shared" ca="1" si="3130"/>
        <v/>
      </c>
      <c r="AK4096" s="700" t="str">
        <f t="shared" si="3131"/>
        <v/>
      </c>
      <c r="AL4096" s="700"/>
      <c r="AM4096" s="505" t="str">
        <f t="shared" si="3132"/>
        <v/>
      </c>
      <c r="AN4096" s="506"/>
      <c r="AO4096" s="507"/>
      <c r="AP4096" s="507"/>
      <c r="AQ4096" s="507"/>
      <c r="AR4096" s="507"/>
      <c r="AS4096" s="507"/>
      <c r="AT4096" s="507"/>
      <c r="AU4096" s="507"/>
      <c r="AV4096" s="225"/>
      <c r="AW4096" s="508"/>
      <c r="AX4096" s="225"/>
      <c r="AY4096" s="225"/>
      <c r="AZ4096" s="225"/>
      <c r="BA4096" s="225"/>
      <c r="BB4096" s="225"/>
      <c r="BC4096" s="56"/>
      <c r="BD4096" s="56"/>
      <c r="BE4096" s="56"/>
      <c r="BF4096" s="107" t="str">
        <f t="shared" si="3133"/>
        <v>https://www.google.com/search?tbm=isch&amp;q=Willow%20Oak%20Quercus%20phellos</v>
      </c>
      <c r="BG4096" s="107" t="str">
        <f t="shared" si="3134"/>
        <v>W</v>
      </c>
      <c r="BH4096" s="254"/>
      <c r="BI4096" s="254"/>
    </row>
    <row r="4097" spans="1:61" customFormat="1" ht="15.75" x14ac:dyDescent="0.25">
      <c r="A4097" s="276">
        <v>7</v>
      </c>
      <c r="B4097" s="240" t="s">
        <v>291</v>
      </c>
      <c r="C4097" s="241" t="s">
        <v>3805</v>
      </c>
      <c r="D4097" s="242" t="s">
        <v>292</v>
      </c>
      <c r="E4097" s="243">
        <v>100.95</v>
      </c>
      <c r="F4097" s="517" t="s">
        <v>293</v>
      </c>
      <c r="G4097" s="232">
        <v>0</v>
      </c>
      <c r="H4097" s="661" t="str">
        <f>IF(G4097=0,"",IF(F4097="Buy",IF(G4097=1,"plant","plants"),IF(F4097&gt;0.01,"warranty","Error")))</f>
        <v/>
      </c>
      <c r="I4097" s="244">
        <f>IF(H4097="free",0,IF(H4097="credit",((E4097*(F4097))*G4097*-1),IF(F4097="Buy",(E4097*G4097),((E4097*(1-F4097))*G4097))))</f>
        <v>0</v>
      </c>
      <c r="J4097" s="244">
        <f>IF(H4097="warranty",0,(I4097*(_xlfn.SINGLE(SalesTaxPercentage))))</f>
        <v>0</v>
      </c>
      <c r="K4097" s="696">
        <f t="shared" ref="K4097" si="3157">I4097+J4097</f>
        <v>0</v>
      </c>
      <c r="L4097" s="696"/>
      <c r="M4097" s="659" t="str">
        <f>IF(AND(G4097&gt;0,E4097=0),"WARNING - no PRICE inserted",IF(H4097="free"," FREE ~ no charge this plant",IF(H4097="credit",CONCATENATE(" -$",ROUND(K4097*(1-T2GDiscount)*-1,2)," CREDIT after discount"),IF(T2GDiscount=0,"",IF(G4097=0,"",IF(F4097="Buy",CONCATENATE(" $",ROUND(K4097*(1-T2GDiscount),2)," with ",(T2GDiscount*100),"% discount"),CONCATENATE(" $",ROUND(K4097*(1-T2GDiscount),2)," with ",((T2GDiscount*100+F4097*100)-(T2GDiscount*100*F4097)),IF(F4097&gt;0,"% discounts",IF(NoWarrantyDiscount&gt;0,"% discounts","% discount")))))))))</f>
        <v/>
      </c>
      <c r="N4097" s="660"/>
      <c r="O4097" s="233"/>
      <c r="P4097" s="233"/>
      <c r="Q4097" s="233"/>
      <c r="R4097" s="233"/>
      <c r="S4097" s="233"/>
      <c r="T4097" s="508">
        <f t="shared" si="3122"/>
        <v>0</v>
      </c>
      <c r="U4097" s="225">
        <f>IF(NOT(ISNUMBER(G4097)), "", VLOOKUP(A4097,'Discount Lookup'!D:E,2,FALSE)*G4097)</f>
        <v>0</v>
      </c>
      <c r="V4097" s="225">
        <f>IF(NOT(ISNUMBER(G4097)), "", VLOOKUP(A4097,'Discount Lookup'!G:H,2,FALSE)*G4097)</f>
        <v>0</v>
      </c>
      <c r="W4097" s="508">
        <f t="shared" si="3123"/>
        <v>0</v>
      </c>
      <c r="X4097" s="508">
        <f t="shared" si="3124"/>
        <v>0</v>
      </c>
      <c r="Y4097" s="509" t="b">
        <f t="shared" si="3125"/>
        <v>0</v>
      </c>
      <c r="Z4097" s="510">
        <f t="shared" si="3126"/>
        <v>0</v>
      </c>
      <c r="AA4097" s="511"/>
      <c r="AB4097" s="511" t="str">
        <f t="shared" si="3127"/>
        <v/>
      </c>
      <c r="AC4097" s="698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698"/>
      <c r="AE4097" s="631" t="str">
        <f t="shared" si="3128"/>
        <v/>
      </c>
      <c r="AF4097" s="699" t="str">
        <f t="shared" si="3129"/>
        <v/>
      </c>
      <c r="AG4097" s="699"/>
      <c r="AH4097" s="699"/>
      <c r="AI4097" s="512">
        <f>IF(H4097="credit",0,IF(AE4097="free",0,IF(AE4097="me",0,IF(G4097&gt;0,(VLOOKUP(A4097,'Discount Lookup'!J:K,2)*G4097),0))))</f>
        <v>0</v>
      </c>
      <c r="AJ4097" s="513" t="str">
        <f t="shared" ca="1" si="3130"/>
        <v/>
      </c>
      <c r="AK4097" s="700" t="str">
        <f t="shared" si="3131"/>
        <v/>
      </c>
      <c r="AL4097" s="700"/>
      <c r="AM4097" s="505" t="str">
        <f t="shared" si="3132"/>
        <v/>
      </c>
      <c r="AN4097" s="506"/>
      <c r="AO4097" s="507"/>
      <c r="AP4097" s="507"/>
      <c r="AQ4097" s="507"/>
      <c r="AR4097" s="507"/>
      <c r="AS4097" s="507"/>
      <c r="AT4097" s="507"/>
      <c r="AU4097" s="507"/>
      <c r="AV4097" s="225"/>
      <c r="AW4097" s="508"/>
      <c r="AX4097" s="225"/>
      <c r="AY4097" s="225"/>
      <c r="AZ4097" s="225"/>
      <c r="BA4097" s="225"/>
      <c r="BB4097" s="225"/>
      <c r="BC4097" s="56"/>
      <c r="BD4097" s="56"/>
      <c r="BE4097" s="56"/>
      <c r="BF4097" s="107" t="str">
        <f t="shared" si="3133"/>
        <v>https://www.google.com/search?tbm=isch&amp;q=7%20G4</v>
      </c>
      <c r="BG4097" s="107" t="str">
        <f t="shared" si="3134"/>
        <v>W</v>
      </c>
      <c r="BH4097" s="254"/>
      <c r="BI4097" s="254"/>
    </row>
    <row r="4098" spans="1:61" customFormat="1" ht="15.75" x14ac:dyDescent="0.25">
      <c r="A4098" s="276">
        <v>25</v>
      </c>
      <c r="B4098" s="240" t="s">
        <v>291</v>
      </c>
      <c r="C4098" s="241" t="s">
        <v>2274</v>
      </c>
      <c r="D4098" s="242" t="s">
        <v>300</v>
      </c>
      <c r="E4098" s="243">
        <v>299.95</v>
      </c>
      <c r="F4098" s="517" t="s">
        <v>293</v>
      </c>
      <c r="G4098" s="232">
        <v>0</v>
      </c>
      <c r="H4098" s="661" t="str">
        <f>IF(G4098=0,"",IF(F4098="Buy",IF(G4098=1,"plant","plants"),IF(F4098&gt;0.01,"warranty","Error")))</f>
        <v/>
      </c>
      <c r="I4098" s="244">
        <f>IF(H4098="free",0,IF(H4098="credit",((E4098*(F4098))*G4098*-1),IF(F4098="Buy",(E4098*G4098),((E4098*(1-F4098))*G4098))))</f>
        <v>0</v>
      </c>
      <c r="J4098" s="244">
        <f>IF(H4098="warranty",0,(I4098*(_xlfn.SINGLE(SalesTaxPercentage))))</f>
        <v>0</v>
      </c>
      <c r="K4098" s="696">
        <f t="shared" ref="K4098" si="3158">I4098+J4098</f>
        <v>0</v>
      </c>
      <c r="L4098" s="696"/>
      <c r="M4098" s="659" t="str">
        <f>IF(AND(G4098&gt;0,E4098=0),"WARNING - no PRICE inserted",IF(H4098="free"," FREE ~ no charge this plant",IF(H4098="credit",CONCATENATE(" -$",ROUND(K4098*(1-T2GDiscount)*-1,2)," CREDIT after discount"),IF(T2GDiscount=0,"",IF(G4098=0,"",IF(F4098="Buy",CONCATENATE(" $",ROUND(K4098*(1-T2GDiscount),2)," with ",(T2GDiscount*100),"% discount"),CONCATENATE(" $",ROUND(K4098*(1-T2GDiscount),2)," with ",((T2GDiscount*100+F4098*100)-(T2GDiscount*100*F4098)),IF(F4098&gt;0,"% discounts",IF(NoWarrantyDiscount&gt;0,"% discounts","% discount")))))))))</f>
        <v/>
      </c>
      <c r="N4098" s="660"/>
      <c r="O4098" s="233"/>
      <c r="P4098" s="233"/>
      <c r="Q4098" s="233"/>
      <c r="R4098" s="233"/>
      <c r="S4098" s="233"/>
      <c r="T4098" s="508">
        <f t="shared" si="3122"/>
        <v>0</v>
      </c>
      <c r="U4098" s="225">
        <f>IF(NOT(ISNUMBER(G4098)), "", VLOOKUP(A4098,'Discount Lookup'!D:E,2,FALSE)*G4098)</f>
        <v>0</v>
      </c>
      <c r="V4098" s="225">
        <f>IF(NOT(ISNUMBER(G4098)), "", VLOOKUP(A4098,'Discount Lookup'!G:H,2,FALSE)*G4098)</f>
        <v>0</v>
      </c>
      <c r="W4098" s="508">
        <f t="shared" si="3123"/>
        <v>0</v>
      </c>
      <c r="X4098" s="508">
        <f t="shared" si="3124"/>
        <v>0</v>
      </c>
      <c r="Y4098" s="509" t="b">
        <f t="shared" si="3125"/>
        <v>0</v>
      </c>
      <c r="Z4098" s="510">
        <f t="shared" si="3126"/>
        <v>0</v>
      </c>
      <c r="AA4098" s="511"/>
      <c r="AB4098" s="511" t="str">
        <f t="shared" si="3127"/>
        <v/>
      </c>
      <c r="AC4098" s="698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698"/>
      <c r="AE4098" s="631" t="str">
        <f t="shared" si="3128"/>
        <v/>
      </c>
      <c r="AF4098" s="699" t="str">
        <f t="shared" si="3129"/>
        <v/>
      </c>
      <c r="AG4098" s="699"/>
      <c r="AH4098" s="699"/>
      <c r="AI4098" s="512">
        <f>IF(H4098="credit",0,IF(AE4098="free",0,IF(AE4098="me",0,IF(G4098&gt;0,(VLOOKUP(A4098,'Discount Lookup'!J:K,2)*G4098),0))))</f>
        <v>0</v>
      </c>
      <c r="AJ4098" s="513" t="str">
        <f t="shared" ca="1" si="3130"/>
        <v/>
      </c>
      <c r="AK4098" s="700" t="str">
        <f t="shared" si="3131"/>
        <v/>
      </c>
      <c r="AL4098" s="700"/>
      <c r="AM4098" s="505" t="str">
        <f t="shared" si="3132"/>
        <v/>
      </c>
      <c r="AN4098" s="506"/>
      <c r="AO4098" s="507"/>
      <c r="AP4098" s="507"/>
      <c r="AQ4098" s="507"/>
      <c r="AR4098" s="507"/>
      <c r="AS4098" s="507"/>
      <c r="AT4098" s="507"/>
      <c r="AU4098" s="507"/>
      <c r="AV4098" s="225"/>
      <c r="AW4098" s="508"/>
      <c r="AX4098" s="225"/>
      <c r="AY4098" s="225"/>
      <c r="AZ4098" s="225"/>
      <c r="BA4098" s="225"/>
      <c r="BB4098" s="225"/>
      <c r="BC4098" s="56"/>
      <c r="BD4098" s="56"/>
      <c r="BE4098" s="56"/>
      <c r="BF4098" s="107" t="str">
        <f t="shared" si="3133"/>
        <v>https://www.google.com/search?tbm=isch&amp;q=25%20G6</v>
      </c>
      <c r="BG4098" s="107" t="str">
        <f t="shared" si="3134"/>
        <v>W</v>
      </c>
      <c r="BH4098" s="254"/>
      <c r="BI4098" s="254"/>
    </row>
    <row r="4099" spans="1:61" customFormat="1" ht="17.25" thickBot="1" x14ac:dyDescent="0.3">
      <c r="A4099" s="673" t="s">
        <v>5285</v>
      </c>
      <c r="B4099" s="245"/>
      <c r="C4099" s="677"/>
      <c r="D4099" s="499"/>
      <c r="E4099" s="499"/>
      <c r="F4099" s="500"/>
      <c r="G4099" s="501"/>
      <c r="H4099" s="502"/>
      <c r="I4099" s="246"/>
      <c r="J4099" s="247"/>
      <c r="K4099" s="503"/>
      <c r="L4099" s="544"/>
      <c r="M4099" s="544"/>
      <c r="N4099" s="500"/>
      <c r="O4099" s="500"/>
      <c r="P4099" s="500"/>
      <c r="Q4099" s="500"/>
      <c r="R4099" s="500"/>
      <c r="S4099" s="669" t="s">
        <v>4978</v>
      </c>
      <c r="T4099" s="508">
        <f t="shared" si="3122"/>
        <v>0</v>
      </c>
      <c r="U4099" s="225" t="str">
        <f>IF(NOT(ISNUMBER(G4099)), "", VLOOKUP(A4099,'Discount Lookup'!D:E,2,FALSE)*G4099)</f>
        <v/>
      </c>
      <c r="V4099" s="225" t="str">
        <f>IF(NOT(ISNUMBER(G4099)), "", VLOOKUP(A4099,'Discount Lookup'!G:H,2,FALSE)*G4099)</f>
        <v/>
      </c>
      <c r="W4099" s="508">
        <f t="shared" si="3123"/>
        <v>0</v>
      </c>
      <c r="X4099" s="508">
        <f t="shared" si="3124"/>
        <v>0</v>
      </c>
      <c r="Y4099" s="509" t="b">
        <f t="shared" si="3125"/>
        <v>0</v>
      </c>
      <c r="Z4099" s="510">
        <f t="shared" si="3126"/>
        <v>0</v>
      </c>
      <c r="AA4099" s="511"/>
      <c r="AB4099" s="511" t="str">
        <f t="shared" si="3127"/>
        <v/>
      </c>
      <c r="AC4099" s="698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698"/>
      <c r="AE4099" s="631" t="str">
        <f t="shared" si="3128"/>
        <v/>
      </c>
      <c r="AF4099" s="699" t="str">
        <f t="shared" si="3129"/>
        <v/>
      </c>
      <c r="AG4099" s="699"/>
      <c r="AH4099" s="699"/>
      <c r="AI4099" s="512">
        <f>IF(H4099="credit",0,IF(AE4099="free",0,IF(AE4099="me",0,IF(G4099&gt;0,(VLOOKUP(A4099,'Discount Lookup'!J:K,2)*G4099),0))))</f>
        <v>0</v>
      </c>
      <c r="AJ4099" s="513" t="str">
        <f t="shared" ca="1" si="3130"/>
        <v/>
      </c>
      <c r="AK4099" s="700" t="str">
        <f t="shared" si="3131"/>
        <v/>
      </c>
      <c r="AL4099" s="700"/>
      <c r="AM4099" s="505" t="str">
        <f t="shared" si="3132"/>
        <v/>
      </c>
      <c r="AN4099" s="506"/>
      <c r="AO4099" s="507"/>
      <c r="AP4099" s="507"/>
      <c r="AQ4099" s="507"/>
      <c r="AR4099" s="507"/>
      <c r="AS4099" s="507"/>
      <c r="AT4099" s="507"/>
      <c r="AU4099" s="507"/>
      <c r="AV4099" s="225"/>
      <c r="AW4099" s="508"/>
      <c r="AX4099" s="225"/>
      <c r="AY4099" s="225"/>
      <c r="AZ4099" s="225"/>
      <c r="BA4099" s="225"/>
      <c r="BB4099" s="225"/>
      <c r="BC4099" s="56"/>
      <c r="BD4099" s="56"/>
      <c r="BE4099" s="56"/>
      <c r="BF4099" s="107" t="str">
        <f t="shared" si="3133"/>
        <v>https://www.google.com/search?tbm=isch&amp;q=wet%20sites%F0%9F%92%A7GOOD%2C%20Willow%20Oak%20named%20for%20it%27s%20willow-like%20leaves%20%28do%20not%20confuse%20with%20Pin%20Oak%29.%20Yellow%20to%20Copper-Brown%20fall%20foliage%20</v>
      </c>
      <c r="BG4099" s="107" t="str">
        <f t="shared" si="3134"/>
        <v>w</v>
      </c>
      <c r="BH4099" s="254"/>
      <c r="BI4099" s="254"/>
    </row>
    <row r="4100" spans="1:61" customFormat="1" ht="18" x14ac:dyDescent="0.25">
      <c r="A4100" s="521" t="s">
        <v>2319</v>
      </c>
      <c r="B4100" s="477"/>
      <c r="C4100" s="674"/>
      <c r="D4100" s="478" t="s">
        <v>2041</v>
      </c>
      <c r="E4100" s="479"/>
      <c r="F4100" s="479"/>
      <c r="G4100" s="479"/>
      <c r="H4100" s="582" t="s">
        <v>2042</v>
      </c>
      <c r="I4100" s="480" t="s">
        <v>2320</v>
      </c>
      <c r="J4100" s="479"/>
      <c r="K4100" s="479"/>
      <c r="L4100" s="560"/>
      <c r="M4100" s="666" t="s">
        <v>4966</v>
      </c>
      <c r="N4100" s="680" t="str">
        <f>IF(AND(ISTEXT($A4100), ISERROR($A4100+0)), HYPERLINK($BF4100, "Images"), "")</f>
        <v>Images</v>
      </c>
      <c r="O4100" s="662" t="s">
        <v>4969</v>
      </c>
      <c r="P4100" s="482"/>
      <c r="Q4100" s="483"/>
      <c r="R4100" s="483"/>
      <c r="S4100" s="484"/>
      <c r="T4100" s="508">
        <f t="shared" si="3122"/>
        <v>0</v>
      </c>
      <c r="U4100" s="225" t="str">
        <f>IF(NOT(ISNUMBER(G4100)), "", VLOOKUP(A4100,'Discount Lookup'!D:E,2,FALSE)*G4100)</f>
        <v/>
      </c>
      <c r="V4100" s="225" t="str">
        <f>IF(NOT(ISNUMBER(G4100)), "", VLOOKUP(A4100,'Discount Lookup'!G:H,2,FALSE)*G4100)</f>
        <v/>
      </c>
      <c r="W4100" s="508">
        <f t="shared" si="3123"/>
        <v>0</v>
      </c>
      <c r="X4100" s="508" t="str">
        <f t="shared" si="3124"/>
        <v>Deep Green fronds</v>
      </c>
      <c r="Y4100" s="509" t="b">
        <f t="shared" si="3125"/>
        <v>0</v>
      </c>
      <c r="Z4100" s="510">
        <f t="shared" si="3126"/>
        <v>0</v>
      </c>
      <c r="AA4100" s="511"/>
      <c r="AB4100" s="511" t="str">
        <f t="shared" si="3127"/>
        <v/>
      </c>
      <c r="AC4100" s="698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698"/>
      <c r="AE4100" s="631" t="str">
        <f t="shared" si="3128"/>
        <v/>
      </c>
      <c r="AF4100" s="699" t="str">
        <f t="shared" si="3129"/>
        <v/>
      </c>
      <c r="AG4100" s="699"/>
      <c r="AH4100" s="699"/>
      <c r="AI4100" s="512">
        <f>IF(H4100="credit",0,IF(AE4100="free",0,IF(AE4100="me",0,IF(G4100&gt;0,(VLOOKUP(A4100,'Discount Lookup'!J:K,2)*G4100),0))))</f>
        <v>0</v>
      </c>
      <c r="AJ4100" s="513" t="str">
        <f t="shared" ca="1" si="3130"/>
        <v/>
      </c>
      <c r="AK4100" s="700" t="str">
        <f t="shared" si="3131"/>
        <v/>
      </c>
      <c r="AL4100" s="700"/>
      <c r="AM4100" s="505" t="str">
        <f t="shared" si="3132"/>
        <v/>
      </c>
      <c r="AN4100" s="506"/>
      <c r="AO4100" s="507"/>
      <c r="AP4100" s="507"/>
      <c r="AQ4100" s="507"/>
      <c r="AR4100" s="507"/>
      <c r="AS4100" s="507"/>
      <c r="AT4100" s="507"/>
      <c r="AU4100" s="507"/>
      <c r="AV4100" s="225"/>
      <c r="AW4100" s="508"/>
      <c r="AX4100" s="225"/>
      <c r="AY4100" s="225"/>
      <c r="AZ4100" s="225"/>
      <c r="BA4100" s="225"/>
      <c r="BB4100" s="225"/>
      <c r="BC4100" s="56"/>
      <c r="BD4100" s="56"/>
      <c r="BE4100" s="56"/>
      <c r="BF4100" s="107" t="str">
        <f t="shared" si="3133"/>
        <v>https://www.google.com/search?tbm=isch&amp;q=Windmill%20Palm%2C%20Chusan%20Palm%20Trachycarpus%20fortunei</v>
      </c>
      <c r="BG4100" s="107" t="str">
        <f t="shared" si="3134"/>
        <v>W</v>
      </c>
      <c r="BH4100" s="254"/>
      <c r="BI4100" s="254"/>
    </row>
    <row r="4101" spans="1:61" customFormat="1" ht="15.75" x14ac:dyDescent="0.25">
      <c r="A4101" s="485">
        <v>15</v>
      </c>
      <c r="B4101" s="486" t="s">
        <v>291</v>
      </c>
      <c r="C4101" s="487" t="s">
        <v>2835</v>
      </c>
      <c r="D4101" s="488" t="s">
        <v>297</v>
      </c>
      <c r="E4101" s="489">
        <v>186.95</v>
      </c>
      <c r="F4101" s="516" t="s">
        <v>293</v>
      </c>
      <c r="G4101" s="232">
        <v>0</v>
      </c>
      <c r="H4101" s="658" t="str">
        <f>IF(G4101=0,"",IF(F4101="Buy",IF(G4101=1,"plant","plants"),IF(F4101&gt;0.01,"warranty","Error")))</f>
        <v/>
      </c>
      <c r="I4101" s="490">
        <f>IF(H4101="free",0,IF(H4101="credit",((E4101*(F4101))*G4101*-1),IF(F4101="Buy",(E4101*G4101),((E4101*(1-F4101))*G4101))))</f>
        <v>0</v>
      </c>
      <c r="J4101" s="490">
        <f>IF(H4101="warranty",0,(I4101*(_xlfn.SINGLE(SalesTaxPercentage))))</f>
        <v>0</v>
      </c>
      <c r="K4101" s="695">
        <f t="shared" ref="K4101" si="3159">I4101+J4101</f>
        <v>0</v>
      </c>
      <c r="L4101" s="695"/>
      <c r="M4101" s="659" t="str">
        <f>IF(AND(G4101&gt;0,E4101=0),"WARNING - no PRICE inserted",IF(H4101="free"," FREE ~ no charge this plant",IF(H4101="credit",CONCATENATE(" -$",ROUND(K4101*(1-T2GDiscount)*-1,2)," CREDIT after discount"),IF(T2GDiscount=0,"",IF(G4101=0,"",IF(F4101="Buy",CONCATENATE(" $",ROUND(K4101*(1-T2GDiscount),2)," with ",(T2GDiscount*100),"% discount"),CONCATENATE(" $",ROUND(K4101*(1-T2GDiscount),2)," with ",((T2GDiscount*100+F4101*100)-(T2GDiscount*100*F4101)),IF(F4101&gt;0,"% discounts",IF(NoWarrantyDiscount&gt;0,"% discounts","% discount")))))))))</f>
        <v/>
      </c>
      <c r="N4101" s="660"/>
      <c r="O4101" s="233"/>
      <c r="P4101" s="233"/>
      <c r="Q4101" s="233"/>
      <c r="R4101" s="233"/>
      <c r="S4101" s="233"/>
      <c r="T4101" s="508">
        <f t="shared" si="3122"/>
        <v>0</v>
      </c>
      <c r="U4101" s="225">
        <f>IF(NOT(ISNUMBER(G4101)), "", VLOOKUP(A4101,'Discount Lookup'!D:E,2,FALSE)*G4101)</f>
        <v>0</v>
      </c>
      <c r="V4101" s="225">
        <f>IF(NOT(ISNUMBER(G4101)), "", VLOOKUP(A4101,'Discount Lookup'!G:H,2,FALSE)*G4101)</f>
        <v>0</v>
      </c>
      <c r="W4101" s="508">
        <f t="shared" si="3123"/>
        <v>0</v>
      </c>
      <c r="X4101" s="508">
        <f t="shared" si="3124"/>
        <v>0</v>
      </c>
      <c r="Y4101" s="509" t="b">
        <f t="shared" si="3125"/>
        <v>0</v>
      </c>
      <c r="Z4101" s="510">
        <f t="shared" si="3126"/>
        <v>0</v>
      </c>
      <c r="AA4101" s="511"/>
      <c r="AB4101" s="511" t="str">
        <f t="shared" si="3127"/>
        <v/>
      </c>
      <c r="AC4101" s="698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698"/>
      <c r="AE4101" s="631" t="str">
        <f t="shared" si="3128"/>
        <v/>
      </c>
      <c r="AF4101" s="699" t="str">
        <f t="shared" si="3129"/>
        <v/>
      </c>
      <c r="AG4101" s="699"/>
      <c r="AH4101" s="699"/>
      <c r="AI4101" s="512">
        <f>IF(H4101="credit",0,IF(AE4101="free",0,IF(AE4101="me",0,IF(G4101&gt;0,(VLOOKUP(A4101,'Discount Lookup'!J:K,2)*G4101),0))))</f>
        <v>0</v>
      </c>
      <c r="AJ4101" s="513" t="str">
        <f t="shared" ca="1" si="3130"/>
        <v/>
      </c>
      <c r="AK4101" s="700" t="str">
        <f t="shared" si="3131"/>
        <v/>
      </c>
      <c r="AL4101" s="700"/>
      <c r="AM4101" s="505" t="str">
        <f t="shared" si="3132"/>
        <v/>
      </c>
      <c r="AN4101" s="506"/>
      <c r="AO4101" s="507"/>
      <c r="AP4101" s="507"/>
      <c r="AQ4101" s="507"/>
      <c r="AR4101" s="507"/>
      <c r="AS4101" s="507"/>
      <c r="AT4101" s="507"/>
      <c r="AU4101" s="507"/>
      <c r="AV4101" s="225"/>
      <c r="AW4101" s="508"/>
      <c r="AX4101" s="225"/>
      <c r="AY4101" s="225"/>
      <c r="AZ4101" s="225"/>
      <c r="BA4101" s="225"/>
      <c r="BB4101" s="225"/>
      <c r="BC4101" s="56"/>
      <c r="BD4101" s="56"/>
      <c r="BE4101" s="56"/>
      <c r="BF4101" s="107" t="str">
        <f t="shared" si="3133"/>
        <v>https://www.google.com/search?tbm=isch&amp;q=15%20G3</v>
      </c>
      <c r="BG4101" s="107" t="str">
        <f t="shared" si="3134"/>
        <v>W</v>
      </c>
      <c r="BH4101" s="254"/>
      <c r="BI4101" s="254"/>
    </row>
    <row r="4102" spans="1:61" customFormat="1" ht="16.5" thickBot="1" x14ac:dyDescent="0.3">
      <c r="A4102" s="672" t="s">
        <v>5286</v>
      </c>
      <c r="B4102" s="491"/>
      <c r="C4102" s="675"/>
      <c r="D4102" s="491"/>
      <c r="E4102" s="491"/>
      <c r="F4102" s="492"/>
      <c r="G4102" s="493"/>
      <c r="H4102" s="491"/>
      <c r="I4102" s="234"/>
      <c r="J4102" s="234"/>
      <c r="K4102" s="494"/>
      <c r="L4102" s="543"/>
      <c r="M4102" s="561"/>
      <c r="N4102" s="495"/>
      <c r="O4102" s="496"/>
      <c r="P4102" s="497"/>
      <c r="Q4102" s="495"/>
      <c r="R4102" s="495"/>
      <c r="S4102" s="277"/>
      <c r="T4102" s="508">
        <f t="shared" si="3122"/>
        <v>0</v>
      </c>
      <c r="U4102" s="225" t="str">
        <f>IF(NOT(ISNUMBER(G4102)), "", VLOOKUP(A4102,'Discount Lookup'!D:E,2,FALSE)*G4102)</f>
        <v/>
      </c>
      <c r="V4102" s="225" t="str">
        <f>IF(NOT(ISNUMBER(G4102)), "", VLOOKUP(A4102,'Discount Lookup'!G:H,2,FALSE)*G4102)</f>
        <v/>
      </c>
      <c r="W4102" s="508">
        <f t="shared" si="3123"/>
        <v>0</v>
      </c>
      <c r="X4102" s="508">
        <f t="shared" si="3124"/>
        <v>0</v>
      </c>
      <c r="Y4102" s="509" t="b">
        <f t="shared" si="3125"/>
        <v>0</v>
      </c>
      <c r="Z4102" s="510">
        <f t="shared" si="3126"/>
        <v>0</v>
      </c>
      <c r="AA4102" s="511"/>
      <c r="AB4102" s="511" t="str">
        <f t="shared" si="3127"/>
        <v/>
      </c>
      <c r="AC4102" s="698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698"/>
      <c r="AE4102" s="631" t="str">
        <f t="shared" si="3128"/>
        <v/>
      </c>
      <c r="AF4102" s="699" t="str">
        <f t="shared" si="3129"/>
        <v/>
      </c>
      <c r="AG4102" s="699"/>
      <c r="AH4102" s="699"/>
      <c r="AI4102" s="512">
        <f>IF(H4102="credit",0,IF(AE4102="free",0,IF(AE4102="me",0,IF(G4102&gt;0,(VLOOKUP(A4102,'Discount Lookup'!J:K,2)*G4102),0))))</f>
        <v>0</v>
      </c>
      <c r="AJ4102" s="513" t="str">
        <f t="shared" ca="1" si="3130"/>
        <v/>
      </c>
      <c r="AK4102" s="700" t="str">
        <f t="shared" si="3131"/>
        <v/>
      </c>
      <c r="AL4102" s="700"/>
      <c r="AM4102" s="505" t="str">
        <f t="shared" si="3132"/>
        <v/>
      </c>
      <c r="AN4102" s="506"/>
      <c r="AO4102" s="507"/>
      <c r="AP4102" s="507"/>
      <c r="AQ4102" s="507"/>
      <c r="AR4102" s="507"/>
      <c r="AS4102" s="507"/>
      <c r="AT4102" s="507"/>
      <c r="AU4102" s="507"/>
      <c r="AV4102" s="225"/>
      <c r="AW4102" s="508"/>
      <c r="AX4102" s="225"/>
      <c r="AY4102" s="225"/>
      <c r="AZ4102" s="225"/>
      <c r="BA4102" s="225"/>
      <c r="BB4102" s="225"/>
      <c r="BC4102" s="56"/>
      <c r="BD4102" s="56"/>
      <c r="BE4102" s="56"/>
      <c r="BF4102" s="107" t="str">
        <f t="shared" si="3133"/>
        <v>https://www.google.com/search?tbm=isch&amp;q=moist%20sites%F0%9F%92%A7OK%2C%20Windmill%20is%20the%20sturdiest%20of%20palms%20for%20our%20zone%2C%20able%20to%20withstand%20low%20temperatures%20and%20snow%20loads%20</v>
      </c>
      <c r="BG4102" s="107" t="str">
        <f t="shared" si="3134"/>
        <v>m</v>
      </c>
      <c r="BH4102" s="254"/>
      <c r="BI4102" s="254"/>
    </row>
    <row r="4103" spans="1:61" customFormat="1" ht="18" x14ac:dyDescent="0.25">
      <c r="A4103" s="523" t="s">
        <v>5571</v>
      </c>
      <c r="B4103" s="235"/>
      <c r="C4103" s="676"/>
      <c r="D4103" s="255" t="s">
        <v>4578</v>
      </c>
      <c r="E4103" s="236"/>
      <c r="F4103" s="236"/>
      <c r="G4103" s="236"/>
      <c r="H4103" s="582" t="s">
        <v>474</v>
      </c>
      <c r="I4103" s="498" t="s">
        <v>1645</v>
      </c>
      <c r="J4103" s="237"/>
      <c r="K4103" s="237"/>
      <c r="L4103" s="274"/>
      <c r="M4103" s="668" t="s">
        <v>4962</v>
      </c>
      <c r="N4103" s="681" t="str">
        <f>IF(AND(ISTEXT($A4103), ISERROR($A4103+0)), HYPERLINK($BF4103, "Images"), "")</f>
        <v>Images</v>
      </c>
      <c r="O4103" s="663" t="s">
        <v>4967</v>
      </c>
      <c r="P4103" s="253"/>
      <c r="Q4103" s="238"/>
      <c r="R4103" s="239"/>
      <c r="S4103" s="275"/>
      <c r="T4103" s="508">
        <f t="shared" si="3122"/>
        <v>0</v>
      </c>
      <c r="U4103" s="225" t="str">
        <f>IF(NOT(ISNUMBER(G4103)), "", VLOOKUP(A4103,'Discount Lookup'!D:E,2,FALSE)*G4103)</f>
        <v/>
      </c>
      <c r="V4103" s="225" t="str">
        <f>IF(NOT(ISNUMBER(G4103)), "", VLOOKUP(A4103,'Discount Lookup'!G:H,2,FALSE)*G4103)</f>
        <v/>
      </c>
      <c r="W4103" s="508">
        <f t="shared" si="3123"/>
        <v>0</v>
      </c>
      <c r="X4103" s="508" t="str">
        <f t="shared" si="3124"/>
        <v>Rosy Pink bloom</v>
      </c>
      <c r="Y4103" s="509" t="b">
        <f t="shared" si="3125"/>
        <v>0</v>
      </c>
      <c r="Z4103" s="510">
        <f t="shared" si="3126"/>
        <v>0</v>
      </c>
      <c r="AA4103" s="511"/>
      <c r="AB4103" s="511" t="str">
        <f t="shared" si="3127"/>
        <v/>
      </c>
      <c r="AC4103" s="698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698"/>
      <c r="AE4103" s="631" t="str">
        <f t="shared" si="3128"/>
        <v/>
      </c>
      <c r="AF4103" s="699" t="str">
        <f t="shared" si="3129"/>
        <v/>
      </c>
      <c r="AG4103" s="699"/>
      <c r="AH4103" s="699"/>
      <c r="AI4103" s="512">
        <f>IF(H4103="credit",0,IF(AE4103="free",0,IF(AE4103="me",0,IF(G4103&gt;0,(VLOOKUP(A4103,'Discount Lookup'!J:K,2)*G4103),0))))</f>
        <v>0</v>
      </c>
      <c r="AJ4103" s="513" t="str">
        <f t="shared" ca="1" si="3130"/>
        <v/>
      </c>
      <c r="AK4103" s="700" t="str">
        <f t="shared" si="3131"/>
        <v/>
      </c>
      <c r="AL4103" s="700"/>
      <c r="AM4103" s="505" t="str">
        <f t="shared" si="3132"/>
        <v/>
      </c>
      <c r="AN4103" s="506"/>
      <c r="AO4103" s="507"/>
      <c r="AP4103" s="507"/>
      <c r="AQ4103" s="507"/>
      <c r="AR4103" s="507"/>
      <c r="AS4103" s="507"/>
      <c r="AT4103" s="507"/>
      <c r="AU4103" s="507"/>
      <c r="AV4103" s="225"/>
      <c r="AW4103" s="508"/>
      <c r="AX4103" s="225"/>
      <c r="AY4103" s="225"/>
      <c r="AZ4103" s="225"/>
      <c r="BA4103" s="225"/>
      <c r="BB4103" s="225"/>
      <c r="BC4103" s="56"/>
      <c r="BD4103" s="56"/>
      <c r="BE4103" s="56"/>
      <c r="BF4103" s="107" t="str">
        <f t="shared" si="3133"/>
        <v>https://www.google.com/search?tbm=isch&amp;q=Wine%20%26%20Roses%C2%AE%20Weigela%20Weigela%20florida%20%27Alexandra%27%20PP%2310772</v>
      </c>
      <c r="BG4103" s="107" t="str">
        <f t="shared" si="3134"/>
        <v>W</v>
      </c>
      <c r="BH4103" s="254"/>
      <c r="BI4103" s="254"/>
    </row>
    <row r="4104" spans="1:61" customFormat="1" ht="15.75" x14ac:dyDescent="0.25">
      <c r="A4104" s="276">
        <v>3</v>
      </c>
      <c r="B4104" s="240" t="s">
        <v>291</v>
      </c>
      <c r="C4104" s="241" t="s">
        <v>341</v>
      </c>
      <c r="D4104" s="242" t="s">
        <v>312</v>
      </c>
      <c r="E4104" s="243">
        <v>40.950000000000003</v>
      </c>
      <c r="F4104" s="517" t="s">
        <v>293</v>
      </c>
      <c r="G4104" s="232">
        <v>0</v>
      </c>
      <c r="H4104" s="661" t="str">
        <f>IF(G4104=0,"",IF(F4104="Buy",IF(G4104=1,"plant","plants"),IF(F4104&gt;0.01,"warranty","Error")))</f>
        <v/>
      </c>
      <c r="I4104" s="244">
        <f>IF(H4104="free",0,IF(H4104="credit",((E4104*(F4104))*G4104*-1),IF(F4104="Buy",(E4104*G4104),((E4104*(1-F4104))*G4104))))</f>
        <v>0</v>
      </c>
      <c r="J4104" s="244">
        <f>IF(H4104="warranty",0,(I4104*(_xlfn.SINGLE(SalesTaxPercentage))))</f>
        <v>0</v>
      </c>
      <c r="K4104" s="696">
        <f t="shared" ref="K4104" si="3160">I4104+J4104</f>
        <v>0</v>
      </c>
      <c r="L4104" s="696"/>
      <c r="M4104" s="659" t="str">
        <f>IF(AND(G4104&gt;0,E4104=0),"WARNING - no PRICE inserted",IF(H4104="free"," FREE ~ no charge this plant",IF(H4104="credit",CONCATENATE(" -$",ROUND(K4104*(1-T2GDiscount)*-1,2)," CREDIT after discount"),IF(T2GDiscount=0,"",IF(G4104=0,"",IF(F4104="Buy",CONCATENATE(" $",ROUND(K4104*(1-T2GDiscount),2)," with ",(T2GDiscount*100),"% discount"),CONCATENATE(" $",ROUND(K4104*(1-T2GDiscount),2)," with ",((T2GDiscount*100+F4104*100)-(T2GDiscount*100*F4104)),IF(F4104&gt;0,"% discounts",IF(NoWarrantyDiscount&gt;0,"% discounts","% discount")))))))))</f>
        <v/>
      </c>
      <c r="N4104" s="660"/>
      <c r="O4104" s="233"/>
      <c r="P4104" s="233"/>
      <c r="Q4104" s="233"/>
      <c r="R4104" s="233"/>
      <c r="S4104" s="233"/>
      <c r="T4104" s="508">
        <f t="shared" si="3122"/>
        <v>0</v>
      </c>
      <c r="U4104" s="225">
        <f>IF(NOT(ISNUMBER(G4104)), "", VLOOKUP(A4104,'Discount Lookup'!D:E,2,FALSE)*G4104)</f>
        <v>0</v>
      </c>
      <c r="V4104" s="225">
        <f>IF(NOT(ISNUMBER(G4104)), "", VLOOKUP(A4104,'Discount Lookup'!G:H,2,FALSE)*G4104)</f>
        <v>0</v>
      </c>
      <c r="W4104" s="508">
        <f t="shared" si="3123"/>
        <v>0</v>
      </c>
      <c r="X4104" s="508">
        <f t="shared" si="3124"/>
        <v>0</v>
      </c>
      <c r="Y4104" s="509" t="b">
        <f t="shared" si="3125"/>
        <v>0</v>
      </c>
      <c r="Z4104" s="510">
        <f t="shared" si="3126"/>
        <v>0</v>
      </c>
      <c r="AA4104" s="511"/>
      <c r="AB4104" s="511" t="str">
        <f t="shared" si="3127"/>
        <v/>
      </c>
      <c r="AC4104" s="698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698"/>
      <c r="AE4104" s="631" t="str">
        <f t="shared" si="3128"/>
        <v/>
      </c>
      <c r="AF4104" s="699" t="str">
        <f t="shared" si="3129"/>
        <v/>
      </c>
      <c r="AG4104" s="699"/>
      <c r="AH4104" s="699"/>
      <c r="AI4104" s="512">
        <f>IF(H4104="credit",0,IF(AE4104="free",0,IF(AE4104="me",0,IF(G4104&gt;0,(VLOOKUP(A4104,'Discount Lookup'!J:K,2)*G4104),0))))</f>
        <v>0</v>
      </c>
      <c r="AJ4104" s="513" t="str">
        <f t="shared" ca="1" si="3130"/>
        <v/>
      </c>
      <c r="AK4104" s="700" t="str">
        <f t="shared" si="3131"/>
        <v/>
      </c>
      <c r="AL4104" s="700"/>
      <c r="AM4104" s="505" t="str">
        <f t="shared" si="3132"/>
        <v/>
      </c>
      <c r="AN4104" s="506"/>
      <c r="AO4104" s="507"/>
      <c r="AP4104" s="507"/>
      <c r="AQ4104" s="507"/>
      <c r="AR4104" s="507"/>
      <c r="AS4104" s="507"/>
      <c r="AT4104" s="507"/>
      <c r="AU4104" s="507"/>
      <c r="AV4104" s="225"/>
      <c r="AW4104" s="508"/>
      <c r="AX4104" s="225"/>
      <c r="AY4104" s="225"/>
      <c r="AZ4104" s="225"/>
      <c r="BA4104" s="225"/>
      <c r="BB4104" s="225"/>
      <c r="BC4104" s="56"/>
      <c r="BD4104" s="56"/>
      <c r="BE4104" s="56"/>
      <c r="BF4104" s="107" t="str">
        <f t="shared" si="3133"/>
        <v>https://www.google.com/search?tbm=isch&amp;q=3%20G2</v>
      </c>
      <c r="BG4104" s="107" t="str">
        <f t="shared" si="3134"/>
        <v>W</v>
      </c>
      <c r="BH4104" s="254"/>
      <c r="BI4104" s="254"/>
    </row>
    <row r="4105" spans="1:61" customFormat="1" ht="17.25" thickBot="1" x14ac:dyDescent="0.3">
      <c r="A4105" s="524" t="s">
        <v>4580</v>
      </c>
      <c r="B4105" s="245"/>
      <c r="C4105" s="677"/>
      <c r="D4105" s="499"/>
      <c r="E4105" s="499"/>
      <c r="F4105" s="500"/>
      <c r="G4105" s="501"/>
      <c r="H4105" s="502"/>
      <c r="I4105" s="246"/>
      <c r="J4105" s="247"/>
      <c r="K4105" s="503"/>
      <c r="L4105" s="544"/>
      <c r="M4105" s="544"/>
      <c r="N4105" s="500"/>
      <c r="O4105" s="500"/>
      <c r="P4105" s="500"/>
      <c r="Q4105" s="500"/>
      <c r="R4105" s="500"/>
      <c r="S4105" s="669" t="s">
        <v>5011</v>
      </c>
      <c r="T4105" s="508">
        <f t="shared" si="3122"/>
        <v>0</v>
      </c>
      <c r="U4105" s="225" t="str">
        <f>IF(NOT(ISNUMBER(G4105)), "", VLOOKUP(A4105,'Discount Lookup'!D:E,2,FALSE)*G4105)</f>
        <v/>
      </c>
      <c r="V4105" s="225" t="str">
        <f>IF(NOT(ISNUMBER(G4105)), "", VLOOKUP(A4105,'Discount Lookup'!G:H,2,FALSE)*G4105)</f>
        <v/>
      </c>
      <c r="W4105" s="508">
        <f t="shared" si="3123"/>
        <v>0</v>
      </c>
      <c r="X4105" s="508">
        <f t="shared" si="3124"/>
        <v>0</v>
      </c>
      <c r="Y4105" s="509" t="b">
        <f t="shared" si="3125"/>
        <v>0</v>
      </c>
      <c r="Z4105" s="510">
        <f t="shared" si="3126"/>
        <v>0</v>
      </c>
      <c r="AA4105" s="511"/>
      <c r="AB4105" s="511" t="str">
        <f t="shared" si="3127"/>
        <v/>
      </c>
      <c r="AC4105" s="698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698"/>
      <c r="AE4105" s="631" t="str">
        <f t="shared" si="3128"/>
        <v/>
      </c>
      <c r="AF4105" s="699" t="str">
        <f t="shared" si="3129"/>
        <v/>
      </c>
      <c r="AG4105" s="699"/>
      <c r="AH4105" s="699"/>
      <c r="AI4105" s="512">
        <f>IF(H4105="credit",0,IF(AE4105="free",0,IF(AE4105="me",0,IF(G4105&gt;0,(VLOOKUP(A4105,'Discount Lookup'!J:K,2)*G4105),0))))</f>
        <v>0</v>
      </c>
      <c r="AJ4105" s="513" t="str">
        <f t="shared" ca="1" si="3130"/>
        <v/>
      </c>
      <c r="AK4105" s="700" t="str">
        <f t="shared" si="3131"/>
        <v/>
      </c>
      <c r="AL4105" s="700"/>
      <c r="AM4105" s="505" t="str">
        <f t="shared" si="3132"/>
        <v/>
      </c>
      <c r="AN4105" s="506"/>
      <c r="AO4105" s="507"/>
      <c r="AP4105" s="507"/>
      <c r="AQ4105" s="507"/>
      <c r="AR4105" s="507"/>
      <c r="AS4105" s="507"/>
      <c r="AT4105" s="507"/>
      <c r="AU4105" s="507"/>
      <c r="AV4105" s="225"/>
      <c r="AW4105" s="508"/>
      <c r="AX4105" s="225"/>
      <c r="AY4105" s="225"/>
      <c r="AZ4105" s="225"/>
      <c r="BA4105" s="225"/>
      <c r="BB4105" s="225"/>
      <c r="BC4105" s="56"/>
      <c r="BD4105" s="56"/>
      <c r="BE4105" s="56"/>
      <c r="BF4105" s="107" t="str">
        <f t="shared" si="3133"/>
        <v>https://www.google.com/search?tbm=isch&amp;q=Wine%20%26%20Roses%20has%20Rich%20Burgundy%20foliage%2C%20Lime-Green%20midribs.%20Subtle%20fall%20Bronzing%20.%20Blooms%20on%20old%20wood%E2%80%94prune%20right%20after%20spring%20bloom%20</v>
      </c>
      <c r="BG4105" s="107" t="str">
        <f t="shared" si="3134"/>
        <v>W</v>
      </c>
      <c r="BH4105" s="254"/>
      <c r="BI4105" s="254"/>
    </row>
    <row r="4106" spans="1:61" customFormat="1" ht="18" x14ac:dyDescent="0.25">
      <c r="A4106" s="523" t="s">
        <v>5572</v>
      </c>
      <c r="B4106" s="235"/>
      <c r="C4106" s="676"/>
      <c r="D4106" s="255" t="s">
        <v>2043</v>
      </c>
      <c r="E4106" s="236"/>
      <c r="F4106" s="236"/>
      <c r="G4106" s="236"/>
      <c r="H4106" s="582" t="s">
        <v>356</v>
      </c>
      <c r="I4106" s="498" t="s">
        <v>3931</v>
      </c>
      <c r="J4106" s="237"/>
      <c r="K4106" s="237"/>
      <c r="L4106" s="274"/>
      <c r="M4106" s="668" t="s">
        <v>4962</v>
      </c>
      <c r="N4106" s="681" t="str">
        <f>IF(AND(ISTEXT($A4106), ISERROR($A4106+0)), HYPERLINK($BF4106, "Images"), "")</f>
        <v>Images</v>
      </c>
      <c r="O4106" s="663" t="s">
        <v>4967</v>
      </c>
      <c r="P4106" s="253"/>
      <c r="Q4106" s="238"/>
      <c r="R4106" s="239"/>
      <c r="S4106" s="275"/>
      <c r="T4106" s="508">
        <f t="shared" si="3122"/>
        <v>0</v>
      </c>
      <c r="U4106" s="225" t="str">
        <f>IF(NOT(ISNUMBER(G4106)), "", VLOOKUP(A4106,'Discount Lookup'!D:E,2,FALSE)*G4106)</f>
        <v/>
      </c>
      <c r="V4106" s="225" t="str">
        <f>IF(NOT(ISNUMBER(G4106)), "", VLOOKUP(A4106,'Discount Lookup'!G:H,2,FALSE)*G4106)</f>
        <v/>
      </c>
      <c r="W4106" s="508">
        <f t="shared" si="3123"/>
        <v>0</v>
      </c>
      <c r="X4106" s="508" t="str">
        <f t="shared" si="3124"/>
        <v>Pink-Violet "smoke"</v>
      </c>
      <c r="Y4106" s="509" t="b">
        <f t="shared" si="3125"/>
        <v>0</v>
      </c>
      <c r="Z4106" s="510">
        <f t="shared" si="3126"/>
        <v>0</v>
      </c>
      <c r="AA4106" s="511"/>
      <c r="AB4106" s="511" t="str">
        <f t="shared" si="3127"/>
        <v/>
      </c>
      <c r="AC4106" s="698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698"/>
      <c r="AE4106" s="631" t="str">
        <f t="shared" si="3128"/>
        <v/>
      </c>
      <c r="AF4106" s="699" t="str">
        <f t="shared" si="3129"/>
        <v/>
      </c>
      <c r="AG4106" s="699"/>
      <c r="AH4106" s="699"/>
      <c r="AI4106" s="512">
        <f>IF(H4106="credit",0,IF(AE4106="free",0,IF(AE4106="me",0,IF(G4106&gt;0,(VLOOKUP(A4106,'Discount Lookup'!J:K,2)*G4106),0))))</f>
        <v>0</v>
      </c>
      <c r="AJ4106" s="513" t="str">
        <f t="shared" ca="1" si="3130"/>
        <v/>
      </c>
      <c r="AK4106" s="700" t="str">
        <f t="shared" si="3131"/>
        <v/>
      </c>
      <c r="AL4106" s="700"/>
      <c r="AM4106" s="505" t="str">
        <f t="shared" si="3132"/>
        <v/>
      </c>
      <c r="AN4106" s="506"/>
      <c r="AO4106" s="507"/>
      <c r="AP4106" s="507"/>
      <c r="AQ4106" s="507"/>
      <c r="AR4106" s="507"/>
      <c r="AS4106" s="507"/>
      <c r="AT4106" s="507"/>
      <c r="AU4106" s="507"/>
      <c r="AV4106" s="225"/>
      <c r="AW4106" s="508"/>
      <c r="AX4106" s="225"/>
      <c r="AY4106" s="225"/>
      <c r="AZ4106" s="225"/>
      <c r="BA4106" s="225"/>
      <c r="BB4106" s="225"/>
      <c r="BC4106" s="56"/>
      <c r="BD4106" s="56"/>
      <c r="BE4106" s="56"/>
      <c r="BF4106" s="107" t="str">
        <f t="shared" si="3133"/>
        <v>https://www.google.com/search?tbm=isch&amp;q=Winecraft%20Black%C2%AE%20Smokebush%20Cotinus%20coggygria%20%27Winecraft%20Black%27%20PP%2330216</v>
      </c>
      <c r="BG4106" s="107" t="str">
        <f t="shared" si="3134"/>
        <v>W</v>
      </c>
      <c r="BH4106" s="254"/>
      <c r="BI4106" s="254"/>
    </row>
    <row r="4107" spans="1:61" customFormat="1" ht="15.75" x14ac:dyDescent="0.25">
      <c r="A4107" s="276">
        <v>3</v>
      </c>
      <c r="B4107" s="240" t="s">
        <v>291</v>
      </c>
      <c r="C4107" s="241" t="s">
        <v>2483</v>
      </c>
      <c r="D4107" s="242" t="s">
        <v>312</v>
      </c>
      <c r="E4107" s="243">
        <v>42.95</v>
      </c>
      <c r="F4107" s="517" t="s">
        <v>293</v>
      </c>
      <c r="G4107" s="232">
        <v>0</v>
      </c>
      <c r="H4107" s="661" t="str">
        <f>IF(G4107=0,"",IF(F4107="Buy",IF(G4107=1,"plant","plants"),IF(F4107&gt;0.01,"warranty","Error")))</f>
        <v/>
      </c>
      <c r="I4107" s="244">
        <f>IF(H4107="free",0,IF(H4107="credit",((E4107*(F4107))*G4107*-1),IF(F4107="Buy",(E4107*G4107),((E4107*(1-F4107))*G4107))))</f>
        <v>0</v>
      </c>
      <c r="J4107" s="244">
        <f>IF(H4107="warranty",0,(I4107*(_xlfn.SINGLE(SalesTaxPercentage))))</f>
        <v>0</v>
      </c>
      <c r="K4107" s="696">
        <f t="shared" ref="K4107" si="3161">I4107+J4107</f>
        <v>0</v>
      </c>
      <c r="L4107" s="696"/>
      <c r="M4107" s="659" t="str">
        <f>IF(AND(G4107&gt;0,E4107=0),"WARNING - no PRICE inserted",IF(H4107="free"," FREE ~ no charge this plant",IF(H4107="credit",CONCATENATE(" -$",ROUND(K4107*(1-T2GDiscount)*-1,2)," CREDIT after discount"),IF(T2GDiscount=0,"",IF(G4107=0,"",IF(F4107="Buy",CONCATENATE(" $",ROUND(K4107*(1-T2GDiscount),2)," with ",(T2GDiscount*100),"% discount"),CONCATENATE(" $",ROUND(K4107*(1-T2GDiscount),2)," with ",((T2GDiscount*100+F4107*100)-(T2GDiscount*100*F4107)),IF(F4107&gt;0,"% discounts",IF(NoWarrantyDiscount&gt;0,"% discounts","% discount")))))))))</f>
        <v/>
      </c>
      <c r="N4107" s="660"/>
      <c r="O4107" s="233"/>
      <c r="P4107" s="233"/>
      <c r="Q4107" s="233"/>
      <c r="R4107" s="233"/>
      <c r="S4107" s="233"/>
      <c r="T4107" s="508">
        <f t="shared" si="3122"/>
        <v>0</v>
      </c>
      <c r="U4107" s="225">
        <f>IF(NOT(ISNUMBER(G4107)), "", VLOOKUP(A4107,'Discount Lookup'!D:E,2,FALSE)*G4107)</f>
        <v>0</v>
      </c>
      <c r="V4107" s="225">
        <f>IF(NOT(ISNUMBER(G4107)), "", VLOOKUP(A4107,'Discount Lookup'!G:H,2,FALSE)*G4107)</f>
        <v>0</v>
      </c>
      <c r="W4107" s="508">
        <f t="shared" si="3123"/>
        <v>0</v>
      </c>
      <c r="X4107" s="508">
        <f t="shared" si="3124"/>
        <v>0</v>
      </c>
      <c r="Y4107" s="509" t="b">
        <f t="shared" si="3125"/>
        <v>0</v>
      </c>
      <c r="Z4107" s="510">
        <f t="shared" si="3126"/>
        <v>0</v>
      </c>
      <c r="AA4107" s="511"/>
      <c r="AB4107" s="511" t="str">
        <f t="shared" si="3127"/>
        <v/>
      </c>
      <c r="AC4107" s="698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698"/>
      <c r="AE4107" s="631" t="str">
        <f t="shared" si="3128"/>
        <v/>
      </c>
      <c r="AF4107" s="699" t="str">
        <f t="shared" si="3129"/>
        <v/>
      </c>
      <c r="AG4107" s="699"/>
      <c r="AH4107" s="699"/>
      <c r="AI4107" s="512">
        <f>IF(H4107="credit",0,IF(AE4107="free",0,IF(AE4107="me",0,IF(G4107&gt;0,(VLOOKUP(A4107,'Discount Lookup'!J:K,2)*G4107),0))))</f>
        <v>0</v>
      </c>
      <c r="AJ4107" s="513" t="str">
        <f t="shared" ca="1" si="3130"/>
        <v/>
      </c>
      <c r="AK4107" s="700" t="str">
        <f t="shared" si="3131"/>
        <v/>
      </c>
      <c r="AL4107" s="700"/>
      <c r="AM4107" s="505" t="str">
        <f t="shared" si="3132"/>
        <v/>
      </c>
      <c r="AN4107" s="506"/>
      <c r="AO4107" s="507"/>
      <c r="AP4107" s="507"/>
      <c r="AQ4107" s="507"/>
      <c r="AR4107" s="507"/>
      <c r="AS4107" s="507"/>
      <c r="AT4107" s="507"/>
      <c r="AU4107" s="507"/>
      <c r="AV4107" s="225"/>
      <c r="AW4107" s="508"/>
      <c r="AX4107" s="225"/>
      <c r="AY4107" s="225"/>
      <c r="AZ4107" s="225"/>
      <c r="BA4107" s="225"/>
      <c r="BB4107" s="225"/>
      <c r="BC4107" s="56"/>
      <c r="BD4107" s="56"/>
      <c r="BE4107" s="56"/>
      <c r="BF4107" s="107" t="str">
        <f t="shared" si="3133"/>
        <v>https://www.google.com/search?tbm=isch&amp;q=3%20G2</v>
      </c>
      <c r="BG4107" s="107" t="str">
        <f t="shared" si="3134"/>
        <v>W</v>
      </c>
      <c r="BH4107" s="254"/>
      <c r="BI4107" s="254"/>
    </row>
    <row r="4108" spans="1:61" customFormat="1" ht="17.25" thickBot="1" x14ac:dyDescent="0.3">
      <c r="A4108" s="524" t="s">
        <v>4194</v>
      </c>
      <c r="B4108" s="245"/>
      <c r="C4108" s="677"/>
      <c r="D4108" s="499"/>
      <c r="E4108" s="499"/>
      <c r="F4108" s="500"/>
      <c r="G4108" s="501"/>
      <c r="H4108" s="502"/>
      <c r="I4108" s="246"/>
      <c r="J4108" s="247"/>
      <c r="K4108" s="503"/>
      <c r="L4108" s="544"/>
      <c r="M4108" s="544"/>
      <c r="N4108" s="500"/>
      <c r="O4108" s="500"/>
      <c r="P4108" s="500"/>
      <c r="Q4108" s="500"/>
      <c r="R4108" s="500"/>
      <c r="S4108" s="278"/>
      <c r="T4108" s="508">
        <f t="shared" si="3122"/>
        <v>0</v>
      </c>
      <c r="U4108" s="225" t="str">
        <f>IF(NOT(ISNUMBER(G4108)), "", VLOOKUP(A4108,'Discount Lookup'!D:E,2,FALSE)*G4108)</f>
        <v/>
      </c>
      <c r="V4108" s="225" t="str">
        <f>IF(NOT(ISNUMBER(G4108)), "", VLOOKUP(A4108,'Discount Lookup'!G:H,2,FALSE)*G4108)</f>
        <v/>
      </c>
      <c r="W4108" s="508">
        <f t="shared" si="3123"/>
        <v>0</v>
      </c>
      <c r="X4108" s="508">
        <f t="shared" si="3124"/>
        <v>0</v>
      </c>
      <c r="Y4108" s="509" t="b">
        <f t="shared" si="3125"/>
        <v>0</v>
      </c>
      <c r="Z4108" s="510">
        <f t="shared" si="3126"/>
        <v>0</v>
      </c>
      <c r="AA4108" s="511"/>
      <c r="AB4108" s="511" t="str">
        <f t="shared" si="3127"/>
        <v/>
      </c>
      <c r="AC4108" s="698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698"/>
      <c r="AE4108" s="631" t="str">
        <f t="shared" si="3128"/>
        <v/>
      </c>
      <c r="AF4108" s="699" t="str">
        <f t="shared" si="3129"/>
        <v/>
      </c>
      <c r="AG4108" s="699"/>
      <c r="AH4108" s="699"/>
      <c r="AI4108" s="512">
        <f>IF(H4108="credit",0,IF(AE4108="free",0,IF(AE4108="me",0,IF(G4108&gt;0,(VLOOKUP(A4108,'Discount Lookup'!J:K,2)*G4108),0))))</f>
        <v>0</v>
      </c>
      <c r="AJ4108" s="513" t="str">
        <f t="shared" ca="1" si="3130"/>
        <v/>
      </c>
      <c r="AK4108" s="700" t="str">
        <f t="shared" si="3131"/>
        <v/>
      </c>
      <c r="AL4108" s="700"/>
      <c r="AM4108" s="505" t="str">
        <f t="shared" si="3132"/>
        <v/>
      </c>
      <c r="AN4108" s="506"/>
      <c r="AO4108" s="507"/>
      <c r="AP4108" s="507"/>
      <c r="AQ4108" s="507"/>
      <c r="AR4108" s="507"/>
      <c r="AS4108" s="507"/>
      <c r="AT4108" s="507"/>
      <c r="AU4108" s="507"/>
      <c r="AV4108" s="225"/>
      <c r="AW4108" s="508"/>
      <c r="AX4108" s="225"/>
      <c r="AY4108" s="225"/>
      <c r="AZ4108" s="225"/>
      <c r="BA4108" s="225"/>
      <c r="BB4108" s="225"/>
      <c r="BC4108" s="56"/>
      <c r="BD4108" s="56"/>
      <c r="BE4108" s="56"/>
      <c r="BF4108" s="107" t="str">
        <f t="shared" si="3133"/>
        <v>https://www.google.com/search?tbm=isch&amp;q=Winecraft%20Black%20foliage%20emerges%20Rich%20Purple%2C%20turning%20near-Black%20in%20summer%2C%20then%20Fiery%20Orange-Red%20fall%20color%20</v>
      </c>
      <c r="BG4108" s="107" t="str">
        <f t="shared" si="3134"/>
        <v>W</v>
      </c>
      <c r="BH4108" s="254"/>
      <c r="BI4108" s="254"/>
    </row>
    <row r="4109" spans="1:61" customFormat="1" ht="18" x14ac:dyDescent="0.25">
      <c r="A4109" s="521" t="s">
        <v>2044</v>
      </c>
      <c r="B4109" s="477"/>
      <c r="C4109" s="674"/>
      <c r="D4109" s="478" t="s">
        <v>2045</v>
      </c>
      <c r="E4109" s="479"/>
      <c r="F4109" s="479"/>
      <c r="G4109" s="479"/>
      <c r="H4109" s="582" t="s">
        <v>441</v>
      </c>
      <c r="I4109" s="480" t="s">
        <v>2106</v>
      </c>
      <c r="J4109" s="479"/>
      <c r="K4109" s="479"/>
      <c r="L4109" s="560"/>
      <c r="M4109" s="666" t="s">
        <v>4966</v>
      </c>
      <c r="N4109" s="680" t="str">
        <f>IF(AND(ISTEXT($A4109), ISERROR($A4109+0)), HYPERLINK($BF4109, "Images"), "")</f>
        <v>Images</v>
      </c>
      <c r="O4109" s="662" t="s">
        <v>4969</v>
      </c>
      <c r="P4109" s="482"/>
      <c r="Q4109" s="483"/>
      <c r="R4109" s="483"/>
      <c r="S4109" s="484"/>
      <c r="T4109" s="508">
        <f t="shared" si="3122"/>
        <v>0</v>
      </c>
      <c r="U4109" s="225" t="str">
        <f>IF(NOT(ISNUMBER(G4109)), "", VLOOKUP(A4109,'Discount Lookup'!D:E,2,FALSE)*G4109)</f>
        <v/>
      </c>
      <c r="V4109" s="225" t="str">
        <f>IF(NOT(ISNUMBER(G4109)), "", VLOOKUP(A4109,'Discount Lookup'!G:H,2,FALSE)*G4109)</f>
        <v/>
      </c>
      <c r="W4109" s="508">
        <f t="shared" si="3123"/>
        <v>0</v>
      </c>
      <c r="X4109" s="508" t="str">
        <f t="shared" si="3124"/>
        <v>Bright Green foliage</v>
      </c>
      <c r="Y4109" s="509" t="b">
        <f t="shared" si="3125"/>
        <v>0</v>
      </c>
      <c r="Z4109" s="510">
        <f t="shared" si="3126"/>
        <v>0</v>
      </c>
      <c r="AA4109" s="511"/>
      <c r="AB4109" s="511" t="str">
        <f t="shared" si="3127"/>
        <v/>
      </c>
      <c r="AC4109" s="698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698"/>
      <c r="AE4109" s="631" t="str">
        <f t="shared" si="3128"/>
        <v/>
      </c>
      <c r="AF4109" s="699" t="str">
        <f t="shared" si="3129"/>
        <v/>
      </c>
      <c r="AG4109" s="699"/>
      <c r="AH4109" s="699"/>
      <c r="AI4109" s="512">
        <f>IF(H4109="credit",0,IF(AE4109="free",0,IF(AE4109="me",0,IF(G4109&gt;0,(VLOOKUP(A4109,'Discount Lookup'!J:K,2)*G4109),0))))</f>
        <v>0</v>
      </c>
      <c r="AJ4109" s="513" t="str">
        <f t="shared" ca="1" si="3130"/>
        <v/>
      </c>
      <c r="AK4109" s="700" t="str">
        <f t="shared" si="3131"/>
        <v/>
      </c>
      <c r="AL4109" s="700"/>
      <c r="AM4109" s="505" t="str">
        <f t="shared" si="3132"/>
        <v/>
      </c>
      <c r="AN4109" s="506"/>
      <c r="AO4109" s="507"/>
      <c r="AP4109" s="507"/>
      <c r="AQ4109" s="507"/>
      <c r="AR4109" s="507"/>
      <c r="AS4109" s="507"/>
      <c r="AT4109" s="507"/>
      <c r="AU4109" s="507"/>
      <c r="AV4109" s="225"/>
      <c r="AW4109" s="508"/>
      <c r="AX4109" s="225"/>
      <c r="AY4109" s="225"/>
      <c r="AZ4109" s="225"/>
      <c r="BA4109" s="225"/>
      <c r="BB4109" s="225"/>
      <c r="BC4109" s="56"/>
      <c r="BD4109" s="56"/>
      <c r="BE4109" s="56"/>
      <c r="BF4109" s="107" t="str">
        <f t="shared" si="3133"/>
        <v>https://www.google.com/search?tbm=isch&amp;q=Winter%20Gem%20Boxwood%20Buxus%20microphylla%20%27Winter%20Gem%27</v>
      </c>
      <c r="BG4109" s="107" t="str">
        <f t="shared" si="3134"/>
        <v>W</v>
      </c>
      <c r="BH4109" s="254"/>
      <c r="BI4109" s="254"/>
    </row>
    <row r="4110" spans="1:61" customFormat="1" ht="15.75" x14ac:dyDescent="0.25">
      <c r="A4110" s="485">
        <v>3</v>
      </c>
      <c r="B4110" s="486" t="s">
        <v>291</v>
      </c>
      <c r="C4110" s="487" t="s">
        <v>334</v>
      </c>
      <c r="D4110" s="488" t="s">
        <v>312</v>
      </c>
      <c r="E4110" s="489">
        <v>28.95</v>
      </c>
      <c r="F4110" s="516" t="s">
        <v>293</v>
      </c>
      <c r="G4110" s="232">
        <v>0</v>
      </c>
      <c r="H4110" s="658" t="str">
        <f>IF(G4110=0,"",IF(F4110="Buy",IF(G4110=1,"plant","plants"),IF(F4110&gt;0.01,"warranty","Error")))</f>
        <v/>
      </c>
      <c r="I4110" s="490">
        <f>IF(H4110="free",0,IF(H4110="credit",((E4110*(F4110))*G4110*-1),IF(F4110="Buy",(E4110*G4110),((E4110*(1-F4110))*G4110))))</f>
        <v>0</v>
      </c>
      <c r="J4110" s="490">
        <f>IF(H4110="warranty",0,(I4110*(_xlfn.SINGLE(SalesTaxPercentage))))</f>
        <v>0</v>
      </c>
      <c r="K4110" s="695">
        <f t="shared" ref="K4110" si="3162">I4110+J4110</f>
        <v>0</v>
      </c>
      <c r="L4110" s="695"/>
      <c r="M4110" s="659" t="str">
        <f>IF(AND(G4110&gt;0,E4110=0),"WARNING - no PRICE inserted",IF(H4110="free"," FREE ~ no charge this plant",IF(H4110="credit",CONCATENATE(" -$",ROUND(K4110*(1-T2GDiscount)*-1,2)," CREDIT after discount"),IF(T2GDiscount=0,"",IF(G4110=0,"",IF(F4110="Buy",CONCATENATE(" $",ROUND(K4110*(1-T2GDiscount),2)," with ",(T2GDiscount*100),"% discount"),CONCATENATE(" $",ROUND(K4110*(1-T2GDiscount),2)," with ",((T2GDiscount*100+F4110*100)-(T2GDiscount*100*F4110)),IF(F4110&gt;0,"% discounts",IF(NoWarrantyDiscount&gt;0,"% discounts","% discount")))))))))</f>
        <v/>
      </c>
      <c r="N4110" s="660"/>
      <c r="O4110" s="233"/>
      <c r="P4110" s="233"/>
      <c r="Q4110" s="233"/>
      <c r="R4110" s="233"/>
      <c r="S4110" s="233"/>
      <c r="T4110" s="508">
        <f t="shared" ref="T4110:T4173" si="3163">E4110*G4110</f>
        <v>0</v>
      </c>
      <c r="U4110" s="225">
        <f>IF(NOT(ISNUMBER(G4110)), "", VLOOKUP(A4110,'Discount Lookup'!D:E,2,FALSE)*G4110)</f>
        <v>0</v>
      </c>
      <c r="V4110" s="225">
        <f>IF(NOT(ISNUMBER(G4110)), "", VLOOKUP(A4110,'Discount Lookup'!G:H,2,FALSE)*G4110)</f>
        <v>0</v>
      </c>
      <c r="W4110" s="508">
        <f t="shared" ref="W4110:W4173" si="3164">IF(H4110="credit",0,E4110*(SalesTaxPercentage)*G4110)</f>
        <v>0</v>
      </c>
      <c r="X4110" s="508">
        <f t="shared" ref="X4110:X4173" si="3165">I4110</f>
        <v>0</v>
      </c>
      <c r="Y4110" s="509" t="b">
        <f t="shared" ref="Y4110:Y4173" si="3166">IF(AE4110="T2G",0,IF(H4110="credit",0,IF(G4110&gt;0,IF(AE4110="me","",G4110))))</f>
        <v>0</v>
      </c>
      <c r="Z4110" s="510">
        <f t="shared" ref="Z4110:Z4173" si="3167">IF(H4110="credit",G4110,0)</f>
        <v>0</v>
      </c>
      <c r="AA4110" s="511"/>
      <c r="AB4110" s="511" t="str">
        <f t="shared" ref="AB4110:AB4173" si="3168">IF(AE4110="T2G","by Trees2Go",IF(H4110="credit","CREDIT only ~",IF(AND(K4110="",AE4110=OR(PlanterYesMe="No",PlanterYesMe="N",PlanterYesMe="me")),"not THIS line⇨",IF(AND(K4110="images",AE4110="me"),"not THIS line⇨",IF(H4110="credit","",IF(G4110=0,"",IF(AE4110="me","",IF(OR(PlanterYesMe="No",PlanterYesMe="N",PlanterYesMe="me"),"",IF(AE4110="free","warranty",IF(OR(PlanterYesMe="yes",PlanterYesMe="y"),"Edison install:","to install:"))))))))))</f>
        <v/>
      </c>
      <c r="AC4110" s="698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698"/>
      <c r="AE4110" s="631" t="str">
        <f t="shared" ref="AE4110:AE4173" si="3169">IF(H4110="credit","",IF(G4110=0,"",IF(OR(PlanterYesMe="No",PlanterYesMe="N",PlanterYesMe="me"),"me",IF(H4110="warranty","free",IF(OR(PlanterYesMe="yes",PlanterYesMe="y"),"ELP","")))))</f>
        <v/>
      </c>
      <c r="AF4110" s="699" t="str">
        <f t="shared" ref="AF4110:AF4173" si="3170">IF(OR(PlanterYesMe="No",PlanterYesMe="N",PlanterYesMe="me"),"",IF(H4110="credit","",IF(G4110&gt;0,(CONCATENATE((G4110)," quantity, ",(A4110)," ",B4110)),"")))</f>
        <v/>
      </c>
      <c r="AG4110" s="699"/>
      <c r="AH4110" s="699"/>
      <c r="AI4110" s="512">
        <f>IF(H4110="credit",0,IF(AE4110="free",0,IF(AE4110="me",0,IF(G4110&gt;0,(VLOOKUP(A4110,'Discount Lookup'!J:K,2)*G4110),0))))</f>
        <v>0</v>
      </c>
      <c r="AJ4110" s="513" t="str">
        <f t="shared" ref="AJ4110:AJ4173" ca="1" si="3171">IF(AND(ISREF(H4110),H4110="credit"),"",IF(AND(AND(OFFSET(G4110,0,0)=0,OFFSET(G4110,1,0)&gt;0,ISNUMBER(OFFSET(AC4110,1,0)),OFFSET(AC4110,1,0)&gt;0),OR(PlanterYesMe="yes",PlanterYesMe="y")),"T2G+ELP=",IF(AND(OFFSET(G4110,0,0)=0,OFFSET(G4110,1,0)&gt;0,ISNUMBER(OFFSET(AC4110,1,0)),OFFSET(AC4110,1,0)&gt;0),"if T2G+ELP=",IF(AND(OFFSET(G4110,0,0)=0,OFFSET(G4110,1,0)&gt;0),"T2G Subtotal",IF(H4110="credit","",IF(G4110=0,"",IF(AE4110="free",(K4110*(1-T2GDiscount)),IF(OR(PlanterYesMe="No",PlanterYesMe="N",PlanterYesMe="me"),(K4110*(1-T2GDiscount)),IF(OR(AE4110="me",AE4110="T2G"),(K4110*(1-T2GDiscount)),(K4110*(1-T2GDiscount))+AC4110)))))))))</f>
        <v/>
      </c>
      <c r="AK4110" s="700" t="str">
        <f t="shared" ref="AK4110:AK4173" si="3172">IF(H4110="credit","",IF(G4110=0,"",IF(OR(AE4110="me",AE4110="T2G"),"  delivery-only",IF(OR(PlanterYesMe="No",PlanterYesMe="N",PlanterYesMe="me"),"  delivery-only",CONCATENATE(" $",ROUND(AJ4110/G4110,2)," each")))))</f>
        <v/>
      </c>
      <c r="AL4110" s="700"/>
      <c r="AM4110" s="505" t="str">
        <f t="shared" ref="AM4110:AM4173" si="3173">IF(H4110="credit","",IF(AE4110="free","      ~ discounts included, no tax or planting fee applies ~",IF(G4110=0,"",IF(OR(PlanterYesMe="No",PlanterYesMe="N",PlanterYesMe="me"),CONCATENATE(" $",ROUND(AJ4110/G4110,2)," per plant, with tax &amp; discount"),IF(OR(AE4110="me",AE4110="T2G"),CONCATENATE(" $",ROUND(AJ4110/G4110,2)," per plant, with tax &amp; discount"),CONCATENATE("= $",ROUND((K4110*(1-T2GDiscount))/G4110,2)," per plant + $",AC4110/G4110,(" per planting      ~ includes tax &amp; discounts ~")))))))</f>
        <v/>
      </c>
      <c r="AN4110" s="506"/>
      <c r="AO4110" s="507"/>
      <c r="AP4110" s="507"/>
      <c r="AQ4110" s="507"/>
      <c r="AR4110" s="507"/>
      <c r="AS4110" s="507"/>
      <c r="AT4110" s="507"/>
      <c r="AU4110" s="507"/>
      <c r="AV4110" s="225"/>
      <c r="AW4110" s="508"/>
      <c r="AX4110" s="225"/>
      <c r="AY4110" s="225"/>
      <c r="AZ4110" s="225"/>
      <c r="BA4110" s="225"/>
      <c r="BB4110" s="225"/>
      <c r="BC4110" s="56"/>
      <c r="BD4110" s="56"/>
      <c r="BE4110" s="56"/>
      <c r="BF4110" s="107" t="str">
        <f t="shared" ref="BF4110:BF4173" si="3174">"https://www.google.com/search?tbm=isch&amp;q=" &amp; _xlfn.ENCODEURL($A4110 &amp; " " &amp; $D4110)</f>
        <v>https://www.google.com/search?tbm=isch&amp;q=3%20G2</v>
      </c>
      <c r="BG4110" s="107" t="str">
        <f t="shared" ref="BG4110:BG4173" si="3175">IF(ISTEXT(A4110),LEFT(A4110,1),BG4109)</f>
        <v>W</v>
      </c>
      <c r="BH4110" s="254"/>
      <c r="BI4110" s="254"/>
    </row>
    <row r="4111" spans="1:61" customFormat="1" ht="15.75" x14ac:dyDescent="0.25">
      <c r="A4111" s="485">
        <v>3</v>
      </c>
      <c r="B4111" s="486" t="s">
        <v>291</v>
      </c>
      <c r="C4111" s="487" t="s">
        <v>3312</v>
      </c>
      <c r="D4111" s="488" t="s">
        <v>292</v>
      </c>
      <c r="E4111" s="489">
        <v>40.950000000000003</v>
      </c>
      <c r="F4111" s="516" t="s">
        <v>293</v>
      </c>
      <c r="G4111" s="232">
        <v>0</v>
      </c>
      <c r="H4111" s="658" t="str">
        <f>IF(G4111=0,"",IF(F4111="Buy",IF(G4111=1,"plant","plants"),IF(F4111&gt;0.01,"warranty","Error")))</f>
        <v/>
      </c>
      <c r="I4111" s="490">
        <f>IF(H4111="free",0,IF(H4111="credit",((E4111*(F4111))*G4111*-1),IF(F4111="Buy",(E4111*G4111),((E4111*(1-F4111))*G4111))))</f>
        <v>0</v>
      </c>
      <c r="J4111" s="490">
        <f>IF(H4111="warranty",0,(I4111*(_xlfn.SINGLE(SalesTaxPercentage))))</f>
        <v>0</v>
      </c>
      <c r="K4111" s="695">
        <f t="shared" ref="K4111" si="3176">I4111+J4111</f>
        <v>0</v>
      </c>
      <c r="L4111" s="695"/>
      <c r="M4111" s="659" t="str">
        <f>IF(AND(G4111&gt;0,E4111=0),"WARNING - no PRICE inserted",IF(H4111="free"," FREE ~ no charge this plant",IF(H4111="credit",CONCATENATE(" -$",ROUND(K4111*(1-T2GDiscount)*-1,2)," CREDIT after discount"),IF(T2GDiscount=0,"",IF(G4111=0,"",IF(F4111="Buy",CONCATENATE(" $",ROUND(K4111*(1-T2GDiscount),2)," with ",(T2GDiscount*100),"% discount"),CONCATENATE(" $",ROUND(K4111*(1-T2GDiscount),2)," with ",((T2GDiscount*100+F4111*100)-(T2GDiscount*100*F4111)),IF(F4111&gt;0,"% discounts",IF(NoWarrantyDiscount&gt;0,"% discounts","% discount")))))))))</f>
        <v/>
      </c>
      <c r="N4111" s="660"/>
      <c r="O4111" s="233"/>
      <c r="P4111" s="233"/>
      <c r="Q4111" s="233"/>
      <c r="R4111" s="233"/>
      <c r="S4111" s="233"/>
      <c r="T4111" s="508">
        <f t="shared" si="3163"/>
        <v>0</v>
      </c>
      <c r="U4111" s="225">
        <f>IF(NOT(ISNUMBER(G4111)), "", VLOOKUP(A4111,'Discount Lookup'!D:E,2,FALSE)*G4111)</f>
        <v>0</v>
      </c>
      <c r="V4111" s="225">
        <f>IF(NOT(ISNUMBER(G4111)), "", VLOOKUP(A4111,'Discount Lookup'!G:H,2,FALSE)*G4111)</f>
        <v>0</v>
      </c>
      <c r="W4111" s="508">
        <f t="shared" si="3164"/>
        <v>0</v>
      </c>
      <c r="X4111" s="508">
        <f t="shared" si="3165"/>
        <v>0</v>
      </c>
      <c r="Y4111" s="509" t="b">
        <f t="shared" si="3166"/>
        <v>0</v>
      </c>
      <c r="Z4111" s="510">
        <f t="shared" si="3167"/>
        <v>0</v>
      </c>
      <c r="AA4111" s="511"/>
      <c r="AB4111" s="511" t="str">
        <f t="shared" si="3168"/>
        <v/>
      </c>
      <c r="AC4111" s="698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698"/>
      <c r="AE4111" s="631" t="str">
        <f t="shared" si="3169"/>
        <v/>
      </c>
      <c r="AF4111" s="699" t="str">
        <f t="shared" si="3170"/>
        <v/>
      </c>
      <c r="AG4111" s="699"/>
      <c r="AH4111" s="699"/>
      <c r="AI4111" s="512">
        <f>IF(H4111="credit",0,IF(AE4111="free",0,IF(AE4111="me",0,IF(G4111&gt;0,(VLOOKUP(A4111,'Discount Lookup'!J:K,2)*G4111),0))))</f>
        <v>0</v>
      </c>
      <c r="AJ4111" s="513" t="str">
        <f t="shared" ca="1" si="3171"/>
        <v/>
      </c>
      <c r="AK4111" s="700" t="str">
        <f t="shared" si="3172"/>
        <v/>
      </c>
      <c r="AL4111" s="700"/>
      <c r="AM4111" s="505" t="str">
        <f t="shared" si="3173"/>
        <v/>
      </c>
      <c r="AN4111" s="506"/>
      <c r="AO4111" s="507"/>
      <c r="AP4111" s="507"/>
      <c r="AQ4111" s="507"/>
      <c r="AR4111" s="507"/>
      <c r="AS4111" s="507"/>
      <c r="AT4111" s="507"/>
      <c r="AU4111" s="507"/>
      <c r="AV4111" s="225"/>
      <c r="AW4111" s="508"/>
      <c r="AX4111" s="225"/>
      <c r="AY4111" s="225"/>
      <c r="AZ4111" s="225"/>
      <c r="BA4111" s="225"/>
      <c r="BB4111" s="225"/>
      <c r="BC4111" s="56"/>
      <c r="BD4111" s="56"/>
      <c r="BE4111" s="56"/>
      <c r="BF4111" s="107" t="str">
        <f t="shared" si="3174"/>
        <v>https://www.google.com/search?tbm=isch&amp;q=3%20G4</v>
      </c>
      <c r="BG4111" s="107" t="str">
        <f t="shared" si="3175"/>
        <v>W</v>
      </c>
      <c r="BH4111" s="254"/>
      <c r="BI4111" s="254"/>
    </row>
    <row r="4112" spans="1:61" customFormat="1" ht="15.75" x14ac:dyDescent="0.25">
      <c r="A4112" s="485">
        <v>7</v>
      </c>
      <c r="B4112" s="486" t="s">
        <v>291</v>
      </c>
      <c r="C4112" s="487" t="s">
        <v>2046</v>
      </c>
      <c r="D4112" s="488" t="s">
        <v>312</v>
      </c>
      <c r="E4112" s="489">
        <v>66.95</v>
      </c>
      <c r="F4112" s="516" t="s">
        <v>293</v>
      </c>
      <c r="G4112" s="232">
        <v>0</v>
      </c>
      <c r="H4112" s="658" t="str">
        <f>IF(G4112=0,"",IF(F4112="Buy",IF(G4112=1,"plant","plants"),IF(F4112&gt;0.01,"warranty","Error")))</f>
        <v/>
      </c>
      <c r="I4112" s="490">
        <f>IF(H4112="free",0,IF(H4112="credit",((E4112*(F4112))*G4112*-1),IF(F4112="Buy",(E4112*G4112),((E4112*(1-F4112))*G4112))))</f>
        <v>0</v>
      </c>
      <c r="J4112" s="490">
        <f>IF(H4112="warranty",0,(I4112*(_xlfn.SINGLE(SalesTaxPercentage))))</f>
        <v>0</v>
      </c>
      <c r="K4112" s="695">
        <f t="shared" ref="K4112" si="3177">I4112+J4112</f>
        <v>0</v>
      </c>
      <c r="L4112" s="695"/>
      <c r="M4112" s="659" t="str">
        <f>IF(AND(G4112&gt;0,E4112=0),"WARNING - no PRICE inserted",IF(H4112="free"," FREE ~ no charge this plant",IF(H4112="credit",CONCATENATE(" -$",ROUND(K4112*(1-T2GDiscount)*-1,2)," CREDIT after discount"),IF(T2GDiscount=0,"",IF(G4112=0,"",IF(F4112="Buy",CONCATENATE(" $",ROUND(K4112*(1-T2GDiscount),2)," with ",(T2GDiscount*100),"% discount"),CONCATENATE(" $",ROUND(K4112*(1-T2GDiscount),2)," with ",((T2GDiscount*100+F4112*100)-(T2GDiscount*100*F4112)),IF(F4112&gt;0,"% discounts",IF(NoWarrantyDiscount&gt;0,"% discounts","% discount")))))))))</f>
        <v/>
      </c>
      <c r="N4112" s="660"/>
      <c r="O4112" s="233"/>
      <c r="P4112" s="233"/>
      <c r="Q4112" s="233"/>
      <c r="R4112" s="233"/>
      <c r="S4112" s="233"/>
      <c r="T4112" s="508">
        <f t="shared" si="3163"/>
        <v>0</v>
      </c>
      <c r="U4112" s="225">
        <f>IF(NOT(ISNUMBER(G4112)), "", VLOOKUP(A4112,'Discount Lookup'!D:E,2,FALSE)*G4112)</f>
        <v>0</v>
      </c>
      <c r="V4112" s="225">
        <f>IF(NOT(ISNUMBER(G4112)), "", VLOOKUP(A4112,'Discount Lookup'!G:H,2,FALSE)*G4112)</f>
        <v>0</v>
      </c>
      <c r="W4112" s="508">
        <f t="shared" si="3164"/>
        <v>0</v>
      </c>
      <c r="X4112" s="508">
        <f t="shared" si="3165"/>
        <v>0</v>
      </c>
      <c r="Y4112" s="509" t="b">
        <f t="shared" si="3166"/>
        <v>0</v>
      </c>
      <c r="Z4112" s="510">
        <f t="shared" si="3167"/>
        <v>0</v>
      </c>
      <c r="AA4112" s="511"/>
      <c r="AB4112" s="511" t="str">
        <f t="shared" si="3168"/>
        <v/>
      </c>
      <c r="AC4112" s="698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698"/>
      <c r="AE4112" s="631" t="str">
        <f t="shared" si="3169"/>
        <v/>
      </c>
      <c r="AF4112" s="699" t="str">
        <f t="shared" si="3170"/>
        <v/>
      </c>
      <c r="AG4112" s="699"/>
      <c r="AH4112" s="699"/>
      <c r="AI4112" s="512">
        <f>IF(H4112="credit",0,IF(AE4112="free",0,IF(AE4112="me",0,IF(G4112&gt;0,(VLOOKUP(A4112,'Discount Lookup'!J:K,2)*G4112),0))))</f>
        <v>0</v>
      </c>
      <c r="AJ4112" s="513" t="str">
        <f t="shared" ca="1" si="3171"/>
        <v/>
      </c>
      <c r="AK4112" s="700" t="str">
        <f t="shared" si="3172"/>
        <v/>
      </c>
      <c r="AL4112" s="700"/>
      <c r="AM4112" s="505" t="str">
        <f t="shared" si="3173"/>
        <v/>
      </c>
      <c r="AN4112" s="506"/>
      <c r="AO4112" s="507"/>
      <c r="AP4112" s="507"/>
      <c r="AQ4112" s="507"/>
      <c r="AR4112" s="507"/>
      <c r="AS4112" s="507"/>
      <c r="AT4112" s="507"/>
      <c r="AU4112" s="507"/>
      <c r="AV4112" s="225"/>
      <c r="AW4112" s="508"/>
      <c r="AX4112" s="225"/>
      <c r="AY4112" s="225"/>
      <c r="AZ4112" s="225"/>
      <c r="BA4112" s="225"/>
      <c r="BB4112" s="225"/>
      <c r="BC4112" s="56"/>
      <c r="BD4112" s="56"/>
      <c r="BE4112" s="56"/>
      <c r="BF4112" s="107" t="str">
        <f t="shared" si="3174"/>
        <v>https://www.google.com/search?tbm=isch&amp;q=7%20G2</v>
      </c>
      <c r="BG4112" s="107" t="str">
        <f t="shared" si="3175"/>
        <v>W</v>
      </c>
      <c r="BH4112" s="254"/>
      <c r="BI4112" s="254"/>
    </row>
    <row r="4113" spans="1:61" customFormat="1" ht="15.75" x14ac:dyDescent="0.25">
      <c r="A4113" s="485">
        <v>7</v>
      </c>
      <c r="B4113" s="486" t="s">
        <v>291</v>
      </c>
      <c r="C4113" s="487" t="s">
        <v>2047</v>
      </c>
      <c r="D4113" s="488" t="s">
        <v>300</v>
      </c>
      <c r="E4113" s="489">
        <v>84.95</v>
      </c>
      <c r="F4113" s="516" t="s">
        <v>293</v>
      </c>
      <c r="G4113" s="232">
        <v>0</v>
      </c>
      <c r="H4113" s="658" t="str">
        <f>IF(G4113=0,"",IF(F4113="Buy",IF(G4113=1,"plant","plants"),IF(F4113&gt;0.01,"warranty","Error")))</f>
        <v/>
      </c>
      <c r="I4113" s="490">
        <f>IF(H4113="free",0,IF(H4113="credit",((E4113*(F4113))*G4113*-1),IF(F4113="Buy",(E4113*G4113),((E4113*(1-F4113))*G4113))))</f>
        <v>0</v>
      </c>
      <c r="J4113" s="490">
        <f>IF(H4113="warranty",0,(I4113*(_xlfn.SINGLE(SalesTaxPercentage))))</f>
        <v>0</v>
      </c>
      <c r="K4113" s="695">
        <f t="shared" ref="K4113" si="3178">I4113+J4113</f>
        <v>0</v>
      </c>
      <c r="L4113" s="695"/>
      <c r="M4113" s="659" t="str">
        <f>IF(AND(G4113&gt;0,E4113=0),"WARNING - no PRICE inserted",IF(H4113="free"," FREE ~ no charge this plant",IF(H4113="credit",CONCATENATE(" -$",ROUND(K4113*(1-T2GDiscount)*-1,2)," CREDIT after discount"),IF(T2GDiscount=0,"",IF(G4113=0,"",IF(F4113="Buy",CONCATENATE(" $",ROUND(K4113*(1-T2GDiscount),2)," with ",(T2GDiscount*100),"% discount"),CONCATENATE(" $",ROUND(K4113*(1-T2GDiscount),2)," with ",((T2GDiscount*100+F4113*100)-(T2GDiscount*100*F4113)),IF(F4113&gt;0,"% discounts",IF(NoWarrantyDiscount&gt;0,"% discounts","% discount")))))))))</f>
        <v/>
      </c>
      <c r="N4113" s="660"/>
      <c r="O4113" s="233"/>
      <c r="P4113" s="233"/>
      <c r="Q4113" s="233"/>
      <c r="R4113" s="233"/>
      <c r="S4113" s="233"/>
      <c r="T4113" s="508">
        <f t="shared" si="3163"/>
        <v>0</v>
      </c>
      <c r="U4113" s="225">
        <f>IF(NOT(ISNUMBER(G4113)), "", VLOOKUP(A4113,'Discount Lookup'!D:E,2,FALSE)*G4113)</f>
        <v>0</v>
      </c>
      <c r="V4113" s="225">
        <f>IF(NOT(ISNUMBER(G4113)), "", VLOOKUP(A4113,'Discount Lookup'!G:H,2,FALSE)*G4113)</f>
        <v>0</v>
      </c>
      <c r="W4113" s="508">
        <f t="shared" si="3164"/>
        <v>0</v>
      </c>
      <c r="X4113" s="508">
        <f t="shared" si="3165"/>
        <v>0</v>
      </c>
      <c r="Y4113" s="509" t="b">
        <f t="shared" si="3166"/>
        <v>0</v>
      </c>
      <c r="Z4113" s="510">
        <f t="shared" si="3167"/>
        <v>0</v>
      </c>
      <c r="AA4113" s="511"/>
      <c r="AB4113" s="511" t="str">
        <f t="shared" si="3168"/>
        <v/>
      </c>
      <c r="AC4113" s="698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698"/>
      <c r="AE4113" s="631" t="str">
        <f t="shared" si="3169"/>
        <v/>
      </c>
      <c r="AF4113" s="699" t="str">
        <f t="shared" si="3170"/>
        <v/>
      </c>
      <c r="AG4113" s="699"/>
      <c r="AH4113" s="699"/>
      <c r="AI4113" s="512">
        <f>IF(H4113="credit",0,IF(AE4113="free",0,IF(AE4113="me",0,IF(G4113&gt;0,(VLOOKUP(A4113,'Discount Lookup'!J:K,2)*G4113),0))))</f>
        <v>0</v>
      </c>
      <c r="AJ4113" s="513" t="str">
        <f t="shared" ca="1" si="3171"/>
        <v/>
      </c>
      <c r="AK4113" s="700" t="str">
        <f t="shared" si="3172"/>
        <v/>
      </c>
      <c r="AL4113" s="700"/>
      <c r="AM4113" s="505" t="str">
        <f t="shared" si="3173"/>
        <v/>
      </c>
      <c r="AN4113" s="506"/>
      <c r="AO4113" s="507"/>
      <c r="AP4113" s="507"/>
      <c r="AQ4113" s="507"/>
      <c r="AR4113" s="507"/>
      <c r="AS4113" s="507"/>
      <c r="AT4113" s="507"/>
      <c r="AU4113" s="507"/>
      <c r="AV4113" s="225"/>
      <c r="AW4113" s="508"/>
      <c r="AX4113" s="225"/>
      <c r="AY4113" s="225"/>
      <c r="AZ4113" s="225"/>
      <c r="BA4113" s="225"/>
      <c r="BB4113" s="225"/>
      <c r="BC4113" s="56"/>
      <c r="BD4113" s="56"/>
      <c r="BE4113" s="56"/>
      <c r="BF4113" s="107" t="str">
        <f t="shared" si="3174"/>
        <v>https://www.google.com/search?tbm=isch&amp;q=7%20G6</v>
      </c>
      <c r="BG4113" s="107" t="str">
        <f t="shared" si="3175"/>
        <v>W</v>
      </c>
      <c r="BH4113" s="254"/>
      <c r="BI4113" s="254"/>
    </row>
    <row r="4114" spans="1:61" customFormat="1" ht="15.75" x14ac:dyDescent="0.25">
      <c r="A4114" s="485">
        <v>7</v>
      </c>
      <c r="B4114" s="486" t="s">
        <v>291</v>
      </c>
      <c r="C4114" s="487" t="s">
        <v>4833</v>
      </c>
      <c r="D4114" s="488" t="s">
        <v>292</v>
      </c>
      <c r="E4114" s="489">
        <v>100.95</v>
      </c>
      <c r="F4114" s="516" t="s">
        <v>293</v>
      </c>
      <c r="G4114" s="232">
        <v>0</v>
      </c>
      <c r="H4114" s="658" t="str">
        <f>IF(G4114=0,"",IF(F4114="Buy",IF(G4114=1,"plant","plants"),IF(F4114&gt;0.01,"warranty","Error")))</f>
        <v/>
      </c>
      <c r="I4114" s="490">
        <f>IF(H4114="free",0,IF(H4114="credit",((E4114*(F4114))*G4114*-1),IF(F4114="Buy",(E4114*G4114),((E4114*(1-F4114))*G4114))))</f>
        <v>0</v>
      </c>
      <c r="J4114" s="490">
        <f>IF(H4114="warranty",0,(I4114*(_xlfn.SINGLE(SalesTaxPercentage))))</f>
        <v>0</v>
      </c>
      <c r="K4114" s="695">
        <f t="shared" ref="K4114" si="3179">I4114+J4114</f>
        <v>0</v>
      </c>
      <c r="L4114" s="695"/>
      <c r="M4114" s="659" t="str">
        <f>IF(AND(G4114&gt;0,E4114=0),"WARNING - no PRICE inserted",IF(H4114="free"," FREE ~ no charge this plant",IF(H4114="credit",CONCATENATE(" -$",ROUND(K4114*(1-T2GDiscount)*-1,2)," CREDIT after discount"),IF(T2GDiscount=0,"",IF(G4114=0,"",IF(F4114="Buy",CONCATENATE(" $",ROUND(K4114*(1-T2GDiscount),2)," with ",(T2GDiscount*100),"% discount"),CONCATENATE(" $",ROUND(K4114*(1-T2GDiscount),2)," with ",((T2GDiscount*100+F4114*100)-(T2GDiscount*100*F4114)),IF(F4114&gt;0,"% discounts",IF(NoWarrantyDiscount&gt;0,"% discounts","% discount")))))))))</f>
        <v/>
      </c>
      <c r="N4114" s="660"/>
      <c r="O4114" s="233"/>
      <c r="P4114" s="233"/>
      <c r="Q4114" s="233"/>
      <c r="R4114" s="233"/>
      <c r="S4114" s="233"/>
      <c r="T4114" s="508">
        <f t="shared" si="3163"/>
        <v>0</v>
      </c>
      <c r="U4114" s="225">
        <f>IF(NOT(ISNUMBER(G4114)), "", VLOOKUP(A4114,'Discount Lookup'!D:E,2,FALSE)*G4114)</f>
        <v>0</v>
      </c>
      <c r="V4114" s="225">
        <f>IF(NOT(ISNUMBER(G4114)), "", VLOOKUP(A4114,'Discount Lookup'!G:H,2,FALSE)*G4114)</f>
        <v>0</v>
      </c>
      <c r="W4114" s="508">
        <f t="shared" si="3164"/>
        <v>0</v>
      </c>
      <c r="X4114" s="508">
        <f t="shared" si="3165"/>
        <v>0</v>
      </c>
      <c r="Y4114" s="509" t="b">
        <f t="shared" si="3166"/>
        <v>0</v>
      </c>
      <c r="Z4114" s="510">
        <f t="shared" si="3167"/>
        <v>0</v>
      </c>
      <c r="AA4114" s="511"/>
      <c r="AB4114" s="511" t="str">
        <f t="shared" si="3168"/>
        <v/>
      </c>
      <c r="AC4114" s="698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698"/>
      <c r="AE4114" s="631" t="str">
        <f t="shared" si="3169"/>
        <v/>
      </c>
      <c r="AF4114" s="699" t="str">
        <f t="shared" si="3170"/>
        <v/>
      </c>
      <c r="AG4114" s="699"/>
      <c r="AH4114" s="699"/>
      <c r="AI4114" s="512">
        <f>IF(H4114="credit",0,IF(AE4114="free",0,IF(AE4114="me",0,IF(G4114&gt;0,(VLOOKUP(A4114,'Discount Lookup'!J:K,2)*G4114),0))))</f>
        <v>0</v>
      </c>
      <c r="AJ4114" s="513" t="str">
        <f t="shared" ca="1" si="3171"/>
        <v/>
      </c>
      <c r="AK4114" s="700" t="str">
        <f t="shared" si="3172"/>
        <v/>
      </c>
      <c r="AL4114" s="700"/>
      <c r="AM4114" s="505" t="str">
        <f t="shared" si="3173"/>
        <v/>
      </c>
      <c r="AN4114" s="506"/>
      <c r="AO4114" s="507"/>
      <c r="AP4114" s="507"/>
      <c r="AQ4114" s="507"/>
      <c r="AR4114" s="507"/>
      <c r="AS4114" s="507"/>
      <c r="AT4114" s="507"/>
      <c r="AU4114" s="507"/>
      <c r="AV4114" s="225"/>
      <c r="AW4114" s="508"/>
      <c r="AX4114" s="225"/>
      <c r="AY4114" s="225"/>
      <c r="AZ4114" s="225"/>
      <c r="BA4114" s="225"/>
      <c r="BB4114" s="225"/>
      <c r="BC4114" s="56"/>
      <c r="BD4114" s="56"/>
      <c r="BE4114" s="56"/>
      <c r="BF4114" s="107" t="str">
        <f t="shared" si="3174"/>
        <v>https://www.google.com/search?tbm=isch&amp;q=7%20G4</v>
      </c>
      <c r="BG4114" s="107" t="str">
        <f t="shared" si="3175"/>
        <v>W</v>
      </c>
      <c r="BH4114" s="254"/>
      <c r="BI4114" s="254"/>
    </row>
    <row r="4115" spans="1:61" customFormat="1" ht="16.5" thickBot="1" x14ac:dyDescent="0.3">
      <c r="A4115" s="522" t="s">
        <v>3000</v>
      </c>
      <c r="B4115" s="491"/>
      <c r="C4115" s="675"/>
      <c r="D4115" s="491"/>
      <c r="E4115" s="491"/>
      <c r="F4115" s="492"/>
      <c r="G4115" s="493"/>
      <c r="H4115" s="491"/>
      <c r="I4115" s="234"/>
      <c r="J4115" s="234"/>
      <c r="K4115" s="494"/>
      <c r="L4115" s="543"/>
      <c r="M4115" s="561"/>
      <c r="N4115" s="495"/>
      <c r="O4115" s="496"/>
      <c r="P4115" s="497"/>
      <c r="Q4115" s="495"/>
      <c r="R4115" s="495"/>
      <c r="S4115" s="667" t="s">
        <v>4968</v>
      </c>
      <c r="T4115" s="508">
        <f t="shared" si="3163"/>
        <v>0</v>
      </c>
      <c r="U4115" s="225" t="str">
        <f>IF(NOT(ISNUMBER(G4115)), "", VLOOKUP(A4115,'Discount Lookup'!D:E,2,FALSE)*G4115)</f>
        <v/>
      </c>
      <c r="V4115" s="225" t="str">
        <f>IF(NOT(ISNUMBER(G4115)), "", VLOOKUP(A4115,'Discount Lookup'!G:H,2,FALSE)*G4115)</f>
        <v/>
      </c>
      <c r="W4115" s="508">
        <f t="shared" si="3164"/>
        <v>0</v>
      </c>
      <c r="X4115" s="508">
        <f t="shared" si="3165"/>
        <v>0</v>
      </c>
      <c r="Y4115" s="509" t="b">
        <f t="shared" si="3166"/>
        <v>0</v>
      </c>
      <c r="Z4115" s="510">
        <f t="shared" si="3167"/>
        <v>0</v>
      </c>
      <c r="AA4115" s="511"/>
      <c r="AB4115" s="511" t="str">
        <f t="shared" si="3168"/>
        <v/>
      </c>
      <c r="AC4115" s="698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698"/>
      <c r="AE4115" s="631" t="str">
        <f t="shared" si="3169"/>
        <v/>
      </c>
      <c r="AF4115" s="699" t="str">
        <f t="shared" si="3170"/>
        <v/>
      </c>
      <c r="AG4115" s="699"/>
      <c r="AH4115" s="699"/>
      <c r="AI4115" s="512">
        <f>IF(H4115="credit",0,IF(AE4115="free",0,IF(AE4115="me",0,IF(G4115&gt;0,(VLOOKUP(A4115,'Discount Lookup'!J:K,2)*G4115),0))))</f>
        <v>0</v>
      </c>
      <c r="AJ4115" s="513" t="str">
        <f t="shared" ca="1" si="3171"/>
        <v/>
      </c>
      <c r="AK4115" s="700" t="str">
        <f t="shared" si="3172"/>
        <v/>
      </c>
      <c r="AL4115" s="700"/>
      <c r="AM4115" s="505" t="str">
        <f t="shared" si="3173"/>
        <v/>
      </c>
      <c r="AN4115" s="506"/>
      <c r="AO4115" s="507"/>
      <c r="AP4115" s="507"/>
      <c r="AQ4115" s="507"/>
      <c r="AR4115" s="507"/>
      <c r="AS4115" s="507"/>
      <c r="AT4115" s="507"/>
      <c r="AU4115" s="507"/>
      <c r="AV4115" s="225"/>
      <c r="AW4115" s="508"/>
      <c r="AX4115" s="225"/>
      <c r="AY4115" s="225"/>
      <c r="AZ4115" s="225"/>
      <c r="BA4115" s="225"/>
      <c r="BB4115" s="225"/>
      <c r="BC4115" s="56"/>
      <c r="BD4115" s="56"/>
      <c r="BE4115" s="56"/>
      <c r="BF4115" s="107" t="str">
        <f t="shared" si="3174"/>
        <v>https://www.google.com/search?tbm=isch&amp;q=Winter%20Gem%20is%20one%20of%20the%20cold-hardiest%20of%20boxwoods.%20Minmimal%20winter%20Bronzing.%20Slow-growing%2C%20dense%2C%20and%20ideal%20for%20hedges%20and%20borders%20</v>
      </c>
      <c r="BG4115" s="107" t="str">
        <f t="shared" si="3175"/>
        <v>W</v>
      </c>
      <c r="BH4115" s="254"/>
      <c r="BI4115" s="254"/>
    </row>
    <row r="4116" spans="1:61" customFormat="1" ht="18" x14ac:dyDescent="0.25">
      <c r="A4116" s="523" t="s">
        <v>2048</v>
      </c>
      <c r="B4116" s="235"/>
      <c r="C4116" s="676"/>
      <c r="D4116" s="255" t="s">
        <v>2049</v>
      </c>
      <c r="E4116" s="236"/>
      <c r="F4116" s="236"/>
      <c r="G4116" s="236"/>
      <c r="H4116" s="582" t="s">
        <v>2975</v>
      </c>
      <c r="I4116" s="498" t="s">
        <v>3008</v>
      </c>
      <c r="J4116" s="237"/>
      <c r="K4116" s="237"/>
      <c r="L4116" s="274"/>
      <c r="M4116" s="668" t="s">
        <v>4975</v>
      </c>
      <c r="N4116" s="681" t="str">
        <f>IF(AND(ISTEXT($A4116), ISERROR($A4116+0)), HYPERLINK($BF4116, "Images"), "")</f>
        <v>Images</v>
      </c>
      <c r="O4116" s="663" t="s">
        <v>4967</v>
      </c>
      <c r="P4116" s="253"/>
      <c r="Q4116" s="238"/>
      <c r="R4116" s="239"/>
      <c r="S4116" s="275"/>
      <c r="T4116" s="508">
        <f t="shared" si="3163"/>
        <v>0</v>
      </c>
      <c r="U4116" s="225" t="str">
        <f>IF(NOT(ISNUMBER(G4116)), "", VLOOKUP(A4116,'Discount Lookup'!D:E,2,FALSE)*G4116)</f>
        <v/>
      </c>
      <c r="V4116" s="225" t="str">
        <f>IF(NOT(ISNUMBER(G4116)), "", VLOOKUP(A4116,'Discount Lookup'!G:H,2,FALSE)*G4116)</f>
        <v/>
      </c>
      <c r="W4116" s="508">
        <f t="shared" si="3164"/>
        <v>0</v>
      </c>
      <c r="X4116" s="508" t="str">
        <f t="shared" si="3165"/>
        <v>Bright Yellow bloom</v>
      </c>
      <c r="Y4116" s="509" t="b">
        <f t="shared" si="3166"/>
        <v>0</v>
      </c>
      <c r="Z4116" s="510">
        <f t="shared" si="3167"/>
        <v>0</v>
      </c>
      <c r="AA4116" s="511"/>
      <c r="AB4116" s="511" t="str">
        <f t="shared" si="3168"/>
        <v/>
      </c>
      <c r="AC4116" s="698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698"/>
      <c r="AE4116" s="631" t="str">
        <f t="shared" si="3169"/>
        <v/>
      </c>
      <c r="AF4116" s="699" t="str">
        <f t="shared" si="3170"/>
        <v/>
      </c>
      <c r="AG4116" s="699"/>
      <c r="AH4116" s="699"/>
      <c r="AI4116" s="512">
        <f>IF(H4116="credit",0,IF(AE4116="free",0,IF(AE4116="me",0,IF(G4116&gt;0,(VLOOKUP(A4116,'Discount Lookup'!J:K,2)*G4116),0))))</f>
        <v>0</v>
      </c>
      <c r="AJ4116" s="513" t="str">
        <f t="shared" ca="1" si="3171"/>
        <v/>
      </c>
      <c r="AK4116" s="700" t="str">
        <f t="shared" si="3172"/>
        <v/>
      </c>
      <c r="AL4116" s="700"/>
      <c r="AM4116" s="505" t="str">
        <f t="shared" si="3173"/>
        <v/>
      </c>
      <c r="AN4116" s="506"/>
      <c r="AO4116" s="507"/>
      <c r="AP4116" s="507"/>
      <c r="AQ4116" s="507"/>
      <c r="AR4116" s="507"/>
      <c r="AS4116" s="507"/>
      <c r="AT4116" s="507"/>
      <c r="AU4116" s="507"/>
      <c r="AV4116" s="225"/>
      <c r="AW4116" s="508"/>
      <c r="AX4116" s="225"/>
      <c r="AY4116" s="225"/>
      <c r="AZ4116" s="225"/>
      <c r="BA4116" s="225"/>
      <c r="BB4116" s="225"/>
      <c r="BC4116" s="56"/>
      <c r="BD4116" s="56"/>
      <c r="BE4116" s="56"/>
      <c r="BF4116" s="107" t="str">
        <f t="shared" si="3174"/>
        <v>https://www.google.com/search?tbm=isch&amp;q=Winter%20Jasmine%20Jasminum%20nudiflorum</v>
      </c>
      <c r="BG4116" s="107" t="str">
        <f t="shared" si="3175"/>
        <v>W</v>
      </c>
      <c r="BH4116" s="254"/>
      <c r="BI4116" s="254"/>
    </row>
    <row r="4117" spans="1:61" customFormat="1" ht="15.75" x14ac:dyDescent="0.25">
      <c r="A4117" s="276">
        <v>3</v>
      </c>
      <c r="B4117" s="240" t="s">
        <v>291</v>
      </c>
      <c r="C4117" s="241" t="s">
        <v>2275</v>
      </c>
      <c r="D4117" s="242" t="s">
        <v>300</v>
      </c>
      <c r="E4117" s="243">
        <v>15.95</v>
      </c>
      <c r="F4117" s="517" t="s">
        <v>293</v>
      </c>
      <c r="G4117" s="232">
        <v>0</v>
      </c>
      <c r="H4117" s="661" t="str">
        <f>IF(G4117=0,"",IF(F4117="Buy",IF(G4117=1,"plant","plants"),IF(F4117&gt;0.01,"warranty","Error")))</f>
        <v/>
      </c>
      <c r="I4117" s="244">
        <f>IF(H4117="free",0,IF(H4117="credit",((E4117*(F4117))*G4117*-1),IF(F4117="Buy",(E4117*G4117),((E4117*(1-F4117))*G4117))))</f>
        <v>0</v>
      </c>
      <c r="J4117" s="244">
        <f>IF(H4117="warranty",0,(I4117*(_xlfn.SINGLE(SalesTaxPercentage))))</f>
        <v>0</v>
      </c>
      <c r="K4117" s="696">
        <f t="shared" ref="K4117" si="3180">I4117+J4117</f>
        <v>0</v>
      </c>
      <c r="L4117" s="696"/>
      <c r="M4117" s="659" t="str">
        <f>IF(AND(G4117&gt;0,E4117=0),"WARNING - no PRICE inserted",IF(H4117="free"," FREE ~ no charge this plant",IF(H4117="credit",CONCATENATE(" -$",ROUND(K4117*(1-T2GDiscount)*-1,2)," CREDIT after discount"),IF(T2GDiscount=0,"",IF(G4117=0,"",IF(F4117="Buy",CONCATENATE(" $",ROUND(K4117*(1-T2GDiscount),2)," with ",(T2GDiscount*100),"% discount"),CONCATENATE(" $",ROUND(K4117*(1-T2GDiscount),2)," with ",((T2GDiscount*100+F4117*100)-(T2GDiscount*100*F4117)),IF(F4117&gt;0,"% discounts",IF(NoWarrantyDiscount&gt;0,"% discounts","% discount")))))))))</f>
        <v/>
      </c>
      <c r="N4117" s="660"/>
      <c r="O4117" s="233"/>
      <c r="P4117" s="233"/>
      <c r="Q4117" s="233"/>
      <c r="R4117" s="233"/>
      <c r="S4117" s="233"/>
      <c r="T4117" s="508">
        <f t="shared" si="3163"/>
        <v>0</v>
      </c>
      <c r="U4117" s="225">
        <f>IF(NOT(ISNUMBER(G4117)), "", VLOOKUP(A4117,'Discount Lookup'!D:E,2,FALSE)*G4117)</f>
        <v>0</v>
      </c>
      <c r="V4117" s="225">
        <f>IF(NOT(ISNUMBER(G4117)), "", VLOOKUP(A4117,'Discount Lookup'!G:H,2,FALSE)*G4117)</f>
        <v>0</v>
      </c>
      <c r="W4117" s="508">
        <f t="shared" si="3164"/>
        <v>0</v>
      </c>
      <c r="X4117" s="508">
        <f t="shared" si="3165"/>
        <v>0</v>
      </c>
      <c r="Y4117" s="509" t="b">
        <f t="shared" si="3166"/>
        <v>0</v>
      </c>
      <c r="Z4117" s="510">
        <f t="shared" si="3167"/>
        <v>0</v>
      </c>
      <c r="AA4117" s="511"/>
      <c r="AB4117" s="511" t="str">
        <f t="shared" si="3168"/>
        <v/>
      </c>
      <c r="AC4117" s="698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698"/>
      <c r="AE4117" s="631" t="str">
        <f t="shared" si="3169"/>
        <v/>
      </c>
      <c r="AF4117" s="699" t="str">
        <f t="shared" si="3170"/>
        <v/>
      </c>
      <c r="AG4117" s="699"/>
      <c r="AH4117" s="699"/>
      <c r="AI4117" s="512">
        <f>IF(H4117="credit",0,IF(AE4117="free",0,IF(AE4117="me",0,IF(G4117&gt;0,(VLOOKUP(A4117,'Discount Lookup'!J:K,2)*G4117),0))))</f>
        <v>0</v>
      </c>
      <c r="AJ4117" s="513" t="str">
        <f t="shared" ca="1" si="3171"/>
        <v/>
      </c>
      <c r="AK4117" s="700" t="str">
        <f t="shared" si="3172"/>
        <v/>
      </c>
      <c r="AL4117" s="700"/>
      <c r="AM4117" s="505" t="str">
        <f t="shared" si="3173"/>
        <v/>
      </c>
      <c r="AN4117" s="506"/>
      <c r="AO4117" s="507"/>
      <c r="AP4117" s="507"/>
      <c r="AQ4117" s="507"/>
      <c r="AR4117" s="507"/>
      <c r="AS4117" s="507"/>
      <c r="AT4117" s="507"/>
      <c r="AU4117" s="507"/>
      <c r="AV4117" s="225"/>
      <c r="AW4117" s="508"/>
      <c r="AX4117" s="225"/>
      <c r="AY4117" s="225"/>
      <c r="AZ4117" s="225"/>
      <c r="BA4117" s="225"/>
      <c r="BB4117" s="225"/>
      <c r="BC4117" s="56"/>
      <c r="BD4117" s="56"/>
      <c r="BE4117" s="56"/>
      <c r="BF4117" s="107" t="str">
        <f t="shared" si="3174"/>
        <v>https://www.google.com/search?tbm=isch&amp;q=3%20G6</v>
      </c>
      <c r="BG4117" s="107" t="str">
        <f t="shared" si="3175"/>
        <v>W</v>
      </c>
      <c r="BH4117" s="254"/>
      <c r="BI4117" s="254"/>
    </row>
    <row r="4118" spans="1:61" customFormat="1" ht="17.25" thickBot="1" x14ac:dyDescent="0.3">
      <c r="A4118" s="524" t="s">
        <v>3932</v>
      </c>
      <c r="B4118" s="245"/>
      <c r="C4118" s="677"/>
      <c r="D4118" s="499"/>
      <c r="E4118" s="499"/>
      <c r="F4118" s="500"/>
      <c r="G4118" s="501"/>
      <c r="H4118" s="502"/>
      <c r="I4118" s="246"/>
      <c r="J4118" s="247"/>
      <c r="K4118" s="503"/>
      <c r="L4118" s="544"/>
      <c r="M4118" s="544"/>
      <c r="N4118" s="500"/>
      <c r="O4118" s="500"/>
      <c r="P4118" s="500"/>
      <c r="Q4118" s="500"/>
      <c r="R4118" s="500"/>
      <c r="S4118" s="278"/>
      <c r="T4118" s="508">
        <f t="shared" si="3163"/>
        <v>0</v>
      </c>
      <c r="U4118" s="225" t="str">
        <f>IF(NOT(ISNUMBER(G4118)), "", VLOOKUP(A4118,'Discount Lookup'!D:E,2,FALSE)*G4118)</f>
        <v/>
      </c>
      <c r="V4118" s="225" t="str">
        <f>IF(NOT(ISNUMBER(G4118)), "", VLOOKUP(A4118,'Discount Lookup'!G:H,2,FALSE)*G4118)</f>
        <v/>
      </c>
      <c r="W4118" s="508">
        <f t="shared" si="3164"/>
        <v>0</v>
      </c>
      <c r="X4118" s="508">
        <f t="shared" si="3165"/>
        <v>0</v>
      </c>
      <c r="Y4118" s="509" t="b">
        <f t="shared" si="3166"/>
        <v>0</v>
      </c>
      <c r="Z4118" s="510">
        <f t="shared" si="3167"/>
        <v>0</v>
      </c>
      <c r="AA4118" s="511"/>
      <c r="AB4118" s="511" t="str">
        <f t="shared" si="3168"/>
        <v/>
      </c>
      <c r="AC4118" s="698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698"/>
      <c r="AE4118" s="631" t="str">
        <f t="shared" si="3169"/>
        <v/>
      </c>
      <c r="AF4118" s="699" t="str">
        <f t="shared" si="3170"/>
        <v/>
      </c>
      <c r="AG4118" s="699"/>
      <c r="AH4118" s="699"/>
      <c r="AI4118" s="512">
        <f>IF(H4118="credit",0,IF(AE4118="free",0,IF(AE4118="me",0,IF(G4118&gt;0,(VLOOKUP(A4118,'Discount Lookup'!J:K,2)*G4118),0))))</f>
        <v>0</v>
      </c>
      <c r="AJ4118" s="513" t="str">
        <f t="shared" ca="1" si="3171"/>
        <v/>
      </c>
      <c r="AK4118" s="700" t="str">
        <f t="shared" si="3172"/>
        <v/>
      </c>
      <c r="AL4118" s="700"/>
      <c r="AM4118" s="505" t="str">
        <f t="shared" si="3173"/>
        <v/>
      </c>
      <c r="AN4118" s="506"/>
      <c r="AO4118" s="507"/>
      <c r="AP4118" s="507"/>
      <c r="AQ4118" s="507"/>
      <c r="AR4118" s="507"/>
      <c r="AS4118" s="507"/>
      <c r="AT4118" s="507"/>
      <c r="AU4118" s="507"/>
      <c r="AV4118" s="225"/>
      <c r="AW4118" s="508"/>
      <c r="AX4118" s="225"/>
      <c r="AY4118" s="225"/>
      <c r="AZ4118" s="225"/>
      <c r="BA4118" s="225"/>
      <c r="BB4118" s="225"/>
      <c r="BC4118" s="56"/>
      <c r="BD4118" s="56"/>
      <c r="BE4118" s="56"/>
      <c r="BF4118" s="107" t="str">
        <f t="shared" si="3174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4118" s="107" t="str">
        <f t="shared" si="3175"/>
        <v>W</v>
      </c>
      <c r="BH4118" s="254"/>
      <c r="BI4118" s="254"/>
    </row>
    <row r="4119" spans="1:61" customFormat="1" ht="18" x14ac:dyDescent="0.25">
      <c r="A4119" s="523" t="s">
        <v>2050</v>
      </c>
      <c r="B4119" s="235"/>
      <c r="C4119" s="676"/>
      <c r="D4119" s="255" t="s">
        <v>2051</v>
      </c>
      <c r="E4119" s="236"/>
      <c r="F4119" s="236"/>
      <c r="G4119" s="236"/>
      <c r="H4119" s="582" t="s">
        <v>370</v>
      </c>
      <c r="I4119" s="498" t="s">
        <v>654</v>
      </c>
      <c r="J4119" s="237"/>
      <c r="K4119" s="237"/>
      <c r="L4119" s="274"/>
      <c r="M4119" s="668" t="s">
        <v>4962</v>
      </c>
      <c r="N4119" s="681" t="str">
        <f>IF(AND(ISTEXT($A4119), ISERROR($A4119+0)), HYPERLINK($BF4119, "Images"), "")</f>
        <v>Images</v>
      </c>
      <c r="O4119" s="663" t="s">
        <v>4967</v>
      </c>
      <c r="P4119" s="253"/>
      <c r="Q4119" s="238"/>
      <c r="R4119" s="239"/>
      <c r="S4119" s="275"/>
      <c r="T4119" s="508">
        <f t="shared" si="3163"/>
        <v>0</v>
      </c>
      <c r="U4119" s="225" t="str">
        <f>IF(NOT(ISNUMBER(G4119)), "", VLOOKUP(A4119,'Discount Lookup'!D:E,2,FALSE)*G4119)</f>
        <v/>
      </c>
      <c r="V4119" s="225" t="str">
        <f>IF(NOT(ISNUMBER(G4119)), "", VLOOKUP(A4119,'Discount Lookup'!G:H,2,FALSE)*G4119)</f>
        <v/>
      </c>
      <c r="W4119" s="508">
        <f t="shared" si="3164"/>
        <v>0</v>
      </c>
      <c r="X4119" s="508" t="str">
        <f t="shared" si="3165"/>
        <v>White bloom</v>
      </c>
      <c r="Y4119" s="509" t="b">
        <f t="shared" si="3166"/>
        <v>0</v>
      </c>
      <c r="Z4119" s="510">
        <f t="shared" si="3167"/>
        <v>0</v>
      </c>
      <c r="AA4119" s="511"/>
      <c r="AB4119" s="511" t="str">
        <f t="shared" si="3168"/>
        <v/>
      </c>
      <c r="AC4119" s="698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698"/>
      <c r="AE4119" s="631" t="str">
        <f t="shared" si="3169"/>
        <v/>
      </c>
      <c r="AF4119" s="699" t="str">
        <f t="shared" si="3170"/>
        <v/>
      </c>
      <c r="AG4119" s="699"/>
      <c r="AH4119" s="699"/>
      <c r="AI4119" s="512">
        <f>IF(H4119="credit",0,IF(AE4119="free",0,IF(AE4119="me",0,IF(G4119&gt;0,(VLOOKUP(A4119,'Discount Lookup'!J:K,2)*G4119),0))))</f>
        <v>0</v>
      </c>
      <c r="AJ4119" s="513" t="str">
        <f t="shared" ca="1" si="3171"/>
        <v/>
      </c>
      <c r="AK4119" s="700" t="str">
        <f t="shared" si="3172"/>
        <v/>
      </c>
      <c r="AL4119" s="700"/>
      <c r="AM4119" s="505" t="str">
        <f t="shared" si="3173"/>
        <v/>
      </c>
      <c r="AN4119" s="506"/>
      <c r="AO4119" s="507"/>
      <c r="AP4119" s="507"/>
      <c r="AQ4119" s="507"/>
      <c r="AR4119" s="507"/>
      <c r="AS4119" s="507"/>
      <c r="AT4119" s="507"/>
      <c r="AU4119" s="507"/>
      <c r="AV4119" s="225"/>
      <c r="AW4119" s="508"/>
      <c r="AX4119" s="225"/>
      <c r="AY4119" s="225"/>
      <c r="AZ4119" s="225"/>
      <c r="BA4119" s="225"/>
      <c r="BB4119" s="225"/>
      <c r="BC4119" s="56"/>
      <c r="BD4119" s="56"/>
      <c r="BE4119" s="56"/>
      <c r="BF4119" s="107" t="str">
        <f t="shared" si="3174"/>
        <v>https://www.google.com/search?tbm=isch&amp;q=Winter%20King%20Green%20Hawthorne%20Crataegus%20viridis%20%27Winter%20King%27</v>
      </c>
      <c r="BG4119" s="107" t="str">
        <f t="shared" si="3175"/>
        <v>W</v>
      </c>
      <c r="BH4119" s="254"/>
      <c r="BI4119" s="254"/>
    </row>
    <row r="4120" spans="1:61" customFormat="1" ht="15.75" x14ac:dyDescent="0.25">
      <c r="A4120" s="276">
        <v>7</v>
      </c>
      <c r="B4120" s="240" t="s">
        <v>291</v>
      </c>
      <c r="C4120" s="241" t="s">
        <v>4460</v>
      </c>
      <c r="D4120" s="242" t="s">
        <v>292</v>
      </c>
      <c r="E4120" s="243">
        <v>100.95</v>
      </c>
      <c r="F4120" s="517" t="s">
        <v>293</v>
      </c>
      <c r="G4120" s="232">
        <v>0</v>
      </c>
      <c r="H4120" s="661" t="str">
        <f>IF(G4120=0,"",IF(F4120="Buy",IF(G4120=1,"plant","plants"),IF(F4120&gt;0.01,"warranty","Error")))</f>
        <v/>
      </c>
      <c r="I4120" s="244">
        <f>IF(H4120="free",0,IF(H4120="credit",((E4120*(F4120))*G4120*-1),IF(F4120="Buy",(E4120*G4120),((E4120*(1-F4120))*G4120))))</f>
        <v>0</v>
      </c>
      <c r="J4120" s="244">
        <f>IF(H4120="warranty",0,(I4120*(_xlfn.SINGLE(SalesTaxPercentage))))</f>
        <v>0</v>
      </c>
      <c r="K4120" s="696">
        <f t="shared" ref="K4120" si="3181">I4120+J4120</f>
        <v>0</v>
      </c>
      <c r="L4120" s="696"/>
      <c r="M4120" s="659" t="str">
        <f>IF(AND(G4120&gt;0,E4120=0),"WARNING - no PRICE inserted",IF(H4120="free"," FREE ~ no charge this plant",IF(H4120="credit",CONCATENATE(" -$",ROUND(K4120*(1-T2GDiscount)*-1,2)," CREDIT after discount"),IF(T2GDiscount=0,"",IF(G4120=0,"",IF(F4120="Buy",CONCATENATE(" $",ROUND(K4120*(1-T2GDiscount),2)," with ",(T2GDiscount*100),"% discount"),CONCATENATE(" $",ROUND(K4120*(1-T2GDiscount),2)," with ",((T2GDiscount*100+F4120*100)-(T2GDiscount*100*F4120)),IF(F4120&gt;0,"% discounts",IF(NoWarrantyDiscount&gt;0,"% discounts","% discount")))))))))</f>
        <v/>
      </c>
      <c r="N4120" s="660"/>
      <c r="O4120" s="233"/>
      <c r="P4120" s="233"/>
      <c r="Q4120" s="233"/>
      <c r="R4120" s="233"/>
      <c r="S4120" s="233"/>
      <c r="T4120" s="508">
        <f t="shared" si="3163"/>
        <v>0</v>
      </c>
      <c r="U4120" s="225">
        <f>IF(NOT(ISNUMBER(G4120)), "", VLOOKUP(A4120,'Discount Lookup'!D:E,2,FALSE)*G4120)</f>
        <v>0</v>
      </c>
      <c r="V4120" s="225">
        <f>IF(NOT(ISNUMBER(G4120)), "", VLOOKUP(A4120,'Discount Lookup'!G:H,2,FALSE)*G4120)</f>
        <v>0</v>
      </c>
      <c r="W4120" s="508">
        <f t="shared" si="3164"/>
        <v>0</v>
      </c>
      <c r="X4120" s="508">
        <f t="shared" si="3165"/>
        <v>0</v>
      </c>
      <c r="Y4120" s="509" t="b">
        <f t="shared" si="3166"/>
        <v>0</v>
      </c>
      <c r="Z4120" s="510">
        <f t="shared" si="3167"/>
        <v>0</v>
      </c>
      <c r="AA4120" s="511"/>
      <c r="AB4120" s="511" t="str">
        <f t="shared" si="3168"/>
        <v/>
      </c>
      <c r="AC4120" s="698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698"/>
      <c r="AE4120" s="631" t="str">
        <f t="shared" si="3169"/>
        <v/>
      </c>
      <c r="AF4120" s="699" t="str">
        <f t="shared" si="3170"/>
        <v/>
      </c>
      <c r="AG4120" s="699"/>
      <c r="AH4120" s="699"/>
      <c r="AI4120" s="512">
        <f>IF(H4120="credit",0,IF(AE4120="free",0,IF(AE4120="me",0,IF(G4120&gt;0,(VLOOKUP(A4120,'Discount Lookup'!J:K,2)*G4120),0))))</f>
        <v>0</v>
      </c>
      <c r="AJ4120" s="513" t="str">
        <f t="shared" ca="1" si="3171"/>
        <v/>
      </c>
      <c r="AK4120" s="700" t="str">
        <f t="shared" si="3172"/>
        <v/>
      </c>
      <c r="AL4120" s="700"/>
      <c r="AM4120" s="505" t="str">
        <f t="shared" si="3173"/>
        <v/>
      </c>
      <c r="AN4120" s="506"/>
      <c r="AO4120" s="507"/>
      <c r="AP4120" s="507"/>
      <c r="AQ4120" s="507"/>
      <c r="AR4120" s="507"/>
      <c r="AS4120" s="507"/>
      <c r="AT4120" s="507"/>
      <c r="AU4120" s="507"/>
      <c r="AV4120" s="225"/>
      <c r="AW4120" s="508"/>
      <c r="AX4120" s="225"/>
      <c r="AY4120" s="225"/>
      <c r="AZ4120" s="225"/>
      <c r="BA4120" s="225"/>
      <c r="BB4120" s="225"/>
      <c r="BC4120" s="56"/>
      <c r="BD4120" s="56"/>
      <c r="BE4120" s="56"/>
      <c r="BF4120" s="107" t="str">
        <f t="shared" si="3174"/>
        <v>https://www.google.com/search?tbm=isch&amp;q=7%20G4</v>
      </c>
      <c r="BG4120" s="107" t="str">
        <f t="shared" si="3175"/>
        <v>W</v>
      </c>
      <c r="BH4120" s="254"/>
      <c r="BI4120" s="254"/>
    </row>
    <row r="4121" spans="1:61" customFormat="1" ht="15.75" x14ac:dyDescent="0.25">
      <c r="A4121" s="276">
        <v>15</v>
      </c>
      <c r="B4121" s="240" t="s">
        <v>291</v>
      </c>
      <c r="C4121" s="241" t="s">
        <v>4035</v>
      </c>
      <c r="D4121" s="242" t="s">
        <v>292</v>
      </c>
      <c r="E4121" s="243">
        <v>171.95</v>
      </c>
      <c r="F4121" s="517" t="s">
        <v>293</v>
      </c>
      <c r="G4121" s="232">
        <v>0</v>
      </c>
      <c r="H4121" s="661" t="str">
        <f>IF(G4121=0,"",IF(F4121="Buy",IF(G4121=1,"plant","plants"),IF(F4121&gt;0.01,"warranty","Error")))</f>
        <v/>
      </c>
      <c r="I4121" s="244">
        <f>IF(H4121="free",0,IF(H4121="credit",((E4121*(F4121))*G4121*-1),IF(F4121="Buy",(E4121*G4121),((E4121*(1-F4121))*G4121))))</f>
        <v>0</v>
      </c>
      <c r="J4121" s="244">
        <f>IF(H4121="warranty",0,(I4121*(_xlfn.SINGLE(SalesTaxPercentage))))</f>
        <v>0</v>
      </c>
      <c r="K4121" s="696">
        <f t="shared" ref="K4121" si="3182">I4121+J4121</f>
        <v>0</v>
      </c>
      <c r="L4121" s="696"/>
      <c r="M4121" s="659" t="str">
        <f>IF(AND(G4121&gt;0,E4121=0),"WARNING - no PRICE inserted",IF(H4121="free"," FREE ~ no charge this plant",IF(H4121="credit",CONCATENATE(" -$",ROUND(K4121*(1-T2GDiscount)*-1,2)," CREDIT after discount"),IF(T2GDiscount=0,"",IF(G4121=0,"",IF(F4121="Buy",CONCATENATE(" $",ROUND(K4121*(1-T2GDiscount),2)," with ",(T2GDiscount*100),"% discount"),CONCATENATE(" $",ROUND(K4121*(1-T2GDiscount),2)," with ",((T2GDiscount*100+F4121*100)-(T2GDiscount*100*F4121)),IF(F4121&gt;0,"% discounts",IF(NoWarrantyDiscount&gt;0,"% discounts","% discount")))))))))</f>
        <v/>
      </c>
      <c r="N4121" s="660"/>
      <c r="O4121" s="233"/>
      <c r="P4121" s="233"/>
      <c r="Q4121" s="233"/>
      <c r="R4121" s="233"/>
      <c r="S4121" s="233"/>
      <c r="T4121" s="508">
        <f t="shared" si="3163"/>
        <v>0</v>
      </c>
      <c r="U4121" s="225">
        <f>IF(NOT(ISNUMBER(G4121)), "", VLOOKUP(A4121,'Discount Lookup'!D:E,2,FALSE)*G4121)</f>
        <v>0</v>
      </c>
      <c r="V4121" s="225">
        <f>IF(NOT(ISNUMBER(G4121)), "", VLOOKUP(A4121,'Discount Lookup'!G:H,2,FALSE)*G4121)</f>
        <v>0</v>
      </c>
      <c r="W4121" s="508">
        <f t="shared" si="3164"/>
        <v>0</v>
      </c>
      <c r="X4121" s="508">
        <f t="shared" si="3165"/>
        <v>0</v>
      </c>
      <c r="Y4121" s="509" t="b">
        <f t="shared" si="3166"/>
        <v>0</v>
      </c>
      <c r="Z4121" s="510">
        <f t="shared" si="3167"/>
        <v>0</v>
      </c>
      <c r="AA4121" s="511"/>
      <c r="AB4121" s="511" t="str">
        <f t="shared" si="3168"/>
        <v/>
      </c>
      <c r="AC4121" s="698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698"/>
      <c r="AE4121" s="631" t="str">
        <f t="shared" si="3169"/>
        <v/>
      </c>
      <c r="AF4121" s="699" t="str">
        <f t="shared" si="3170"/>
        <v/>
      </c>
      <c r="AG4121" s="699"/>
      <c r="AH4121" s="699"/>
      <c r="AI4121" s="512">
        <f>IF(H4121="credit",0,IF(AE4121="free",0,IF(AE4121="me",0,IF(G4121&gt;0,(VLOOKUP(A4121,'Discount Lookup'!J:K,2)*G4121),0))))</f>
        <v>0</v>
      </c>
      <c r="AJ4121" s="513" t="str">
        <f t="shared" ca="1" si="3171"/>
        <v/>
      </c>
      <c r="AK4121" s="700" t="str">
        <f t="shared" si="3172"/>
        <v/>
      </c>
      <c r="AL4121" s="700"/>
      <c r="AM4121" s="505" t="str">
        <f t="shared" si="3173"/>
        <v/>
      </c>
      <c r="AN4121" s="506"/>
      <c r="AO4121" s="507"/>
      <c r="AP4121" s="507"/>
      <c r="AQ4121" s="507"/>
      <c r="AR4121" s="507"/>
      <c r="AS4121" s="507"/>
      <c r="AT4121" s="507"/>
      <c r="AU4121" s="507"/>
      <c r="AV4121" s="225"/>
      <c r="AW4121" s="508"/>
      <c r="AX4121" s="225"/>
      <c r="AY4121" s="225"/>
      <c r="AZ4121" s="225"/>
      <c r="BA4121" s="225"/>
      <c r="BB4121" s="225"/>
      <c r="BC4121" s="56"/>
      <c r="BD4121" s="56"/>
      <c r="BE4121" s="56"/>
      <c r="BF4121" s="107" t="str">
        <f t="shared" si="3174"/>
        <v>https://www.google.com/search?tbm=isch&amp;q=15%20G4</v>
      </c>
      <c r="BG4121" s="107" t="str">
        <f t="shared" si="3175"/>
        <v>W</v>
      </c>
      <c r="BH4121" s="254"/>
      <c r="BI4121" s="254"/>
    </row>
    <row r="4122" spans="1:61" customFormat="1" ht="17.25" thickBot="1" x14ac:dyDescent="0.3">
      <c r="A4122" s="524" t="s">
        <v>2276</v>
      </c>
      <c r="B4122" s="245"/>
      <c r="C4122" s="677"/>
      <c r="D4122" s="499"/>
      <c r="E4122" s="499"/>
      <c r="F4122" s="500"/>
      <c r="G4122" s="501"/>
      <c r="H4122" s="502"/>
      <c r="I4122" s="246"/>
      <c r="J4122" s="247"/>
      <c r="K4122" s="503"/>
      <c r="L4122" s="544"/>
      <c r="M4122" s="544"/>
      <c r="N4122" s="500"/>
      <c r="O4122" s="500"/>
      <c r="P4122" s="500"/>
      <c r="Q4122" s="500"/>
      <c r="R4122" s="500"/>
      <c r="S4122" s="669" t="s">
        <v>4972</v>
      </c>
      <c r="T4122" s="508">
        <f t="shared" si="3163"/>
        <v>0</v>
      </c>
      <c r="U4122" s="225" t="str">
        <f>IF(NOT(ISNUMBER(G4122)), "", VLOOKUP(A4122,'Discount Lookup'!D:E,2,FALSE)*G4122)</f>
        <v/>
      </c>
      <c r="V4122" s="225" t="str">
        <f>IF(NOT(ISNUMBER(G4122)), "", VLOOKUP(A4122,'Discount Lookup'!G:H,2,FALSE)*G4122)</f>
        <v/>
      </c>
      <c r="W4122" s="508">
        <f t="shared" si="3164"/>
        <v>0</v>
      </c>
      <c r="X4122" s="508">
        <f t="shared" si="3165"/>
        <v>0</v>
      </c>
      <c r="Y4122" s="509" t="b">
        <f t="shared" si="3166"/>
        <v>0</v>
      </c>
      <c r="Z4122" s="510">
        <f t="shared" si="3167"/>
        <v>0</v>
      </c>
      <c r="AA4122" s="511"/>
      <c r="AB4122" s="511" t="str">
        <f t="shared" si="3168"/>
        <v/>
      </c>
      <c r="AC4122" s="698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698"/>
      <c r="AE4122" s="631" t="str">
        <f t="shared" si="3169"/>
        <v/>
      </c>
      <c r="AF4122" s="699" t="str">
        <f t="shared" si="3170"/>
        <v/>
      </c>
      <c r="AG4122" s="699"/>
      <c r="AH4122" s="699"/>
      <c r="AI4122" s="512">
        <f>IF(H4122="credit",0,IF(AE4122="free",0,IF(AE4122="me",0,IF(G4122&gt;0,(VLOOKUP(A4122,'Discount Lookup'!J:K,2)*G4122),0))))</f>
        <v>0</v>
      </c>
      <c r="AJ4122" s="513" t="str">
        <f t="shared" ca="1" si="3171"/>
        <v/>
      </c>
      <c r="AK4122" s="700" t="str">
        <f t="shared" si="3172"/>
        <v/>
      </c>
      <c r="AL4122" s="700"/>
      <c r="AM4122" s="505" t="str">
        <f t="shared" si="3173"/>
        <v/>
      </c>
      <c r="AN4122" s="506"/>
      <c r="AO4122" s="507"/>
      <c r="AP4122" s="507"/>
      <c r="AQ4122" s="507"/>
      <c r="AR4122" s="507"/>
      <c r="AS4122" s="507"/>
      <c r="AT4122" s="507"/>
      <c r="AU4122" s="507"/>
      <c r="AV4122" s="225"/>
      <c r="AW4122" s="508"/>
      <c r="AX4122" s="225"/>
      <c r="AY4122" s="225"/>
      <c r="AZ4122" s="225"/>
      <c r="BA4122" s="225"/>
      <c r="BB4122" s="225"/>
      <c r="BC4122" s="56"/>
      <c r="BD4122" s="56"/>
      <c r="BE4122" s="56"/>
      <c r="BF4122" s="107" t="str">
        <f t="shared" si="3174"/>
        <v>https://www.google.com/search?tbm=isch&amp;q=Winter%20King%20sports%20abundant%20persistent%20red%20berries%2C%20distinctive%20Silvery-Grey%20exfoliating%20bark%2C%20and%20Yellow-Purplish-Red%20fall%20foliage%20</v>
      </c>
      <c r="BG4122" s="107" t="str">
        <f t="shared" si="3175"/>
        <v>W</v>
      </c>
      <c r="BH4122" s="254"/>
      <c r="BI4122" s="254"/>
    </row>
    <row r="4123" spans="1:61" customFormat="1" ht="18" x14ac:dyDescent="0.25">
      <c r="A4123" s="523" t="s">
        <v>2052</v>
      </c>
      <c r="B4123" s="235"/>
      <c r="C4123" s="676"/>
      <c r="D4123" s="255" t="s">
        <v>2053</v>
      </c>
      <c r="E4123" s="236"/>
      <c r="F4123" s="236"/>
      <c r="G4123" s="236"/>
      <c r="H4123" s="582" t="s">
        <v>467</v>
      </c>
      <c r="I4123" s="498" t="s">
        <v>2109</v>
      </c>
      <c r="J4123" s="237"/>
      <c r="K4123" s="237"/>
      <c r="L4123" s="274"/>
      <c r="M4123" s="668" t="s">
        <v>4975</v>
      </c>
      <c r="N4123" s="681" t="str">
        <f>IF(AND(ISTEXT($A4123), ISERROR($A4123+0)), HYPERLINK($BF4123, "Images"), "")</f>
        <v>Images</v>
      </c>
      <c r="O4123" s="663" t="s">
        <v>4967</v>
      </c>
      <c r="P4123" s="253"/>
      <c r="Q4123" s="238"/>
      <c r="R4123" s="239"/>
      <c r="S4123" s="275" t="s">
        <v>305</v>
      </c>
      <c r="T4123" s="508">
        <f t="shared" si="3163"/>
        <v>0</v>
      </c>
      <c r="U4123" s="225" t="str">
        <f>IF(NOT(ISNUMBER(G4123)), "", VLOOKUP(A4123,'Discount Lookup'!D:E,2,FALSE)*G4123)</f>
        <v/>
      </c>
      <c r="V4123" s="225" t="str">
        <f>IF(NOT(ISNUMBER(G4123)), "", VLOOKUP(A4123,'Discount Lookup'!G:H,2,FALSE)*G4123)</f>
        <v/>
      </c>
      <c r="W4123" s="508">
        <f t="shared" si="3164"/>
        <v>0</v>
      </c>
      <c r="X4123" s="508" t="str">
        <f t="shared" si="3165"/>
        <v>Green foliage</v>
      </c>
      <c r="Y4123" s="509" t="b">
        <f t="shared" si="3166"/>
        <v>0</v>
      </c>
      <c r="Z4123" s="510">
        <f t="shared" si="3167"/>
        <v>0</v>
      </c>
      <c r="AA4123" s="511"/>
      <c r="AB4123" s="511" t="str">
        <f t="shared" si="3168"/>
        <v/>
      </c>
      <c r="AC4123" s="698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698"/>
      <c r="AE4123" s="631" t="str">
        <f t="shared" si="3169"/>
        <v/>
      </c>
      <c r="AF4123" s="699" t="str">
        <f t="shared" si="3170"/>
        <v/>
      </c>
      <c r="AG4123" s="699"/>
      <c r="AH4123" s="699"/>
      <c r="AI4123" s="512">
        <f>IF(H4123="credit",0,IF(AE4123="free",0,IF(AE4123="me",0,IF(G4123&gt;0,(VLOOKUP(A4123,'Discount Lookup'!J:K,2)*G4123),0))))</f>
        <v>0</v>
      </c>
      <c r="AJ4123" s="513" t="str">
        <f t="shared" ca="1" si="3171"/>
        <v/>
      </c>
      <c r="AK4123" s="700" t="str">
        <f t="shared" si="3172"/>
        <v/>
      </c>
      <c r="AL4123" s="700"/>
      <c r="AM4123" s="505" t="str">
        <f t="shared" si="3173"/>
        <v/>
      </c>
      <c r="AN4123" s="506"/>
      <c r="AO4123" s="507"/>
      <c r="AP4123" s="507"/>
      <c r="AQ4123" s="507"/>
      <c r="AR4123" s="507"/>
      <c r="AS4123" s="507"/>
      <c r="AT4123" s="507"/>
      <c r="AU4123" s="507"/>
      <c r="AV4123" s="225"/>
      <c r="AW4123" s="508"/>
      <c r="AX4123" s="225"/>
      <c r="AY4123" s="225"/>
      <c r="AZ4123" s="225"/>
      <c r="BA4123" s="225"/>
      <c r="BB4123" s="225"/>
      <c r="BC4123" s="56"/>
      <c r="BD4123" s="56"/>
      <c r="BE4123" s="56"/>
      <c r="BF4123" s="107" t="str">
        <f t="shared" si="3174"/>
        <v>https://www.google.com/search?tbm=isch&amp;q=Winter%20Red%20Winterberry%20Holly%20Ilex%20verticillata%20%27Winter%20Red%27%20PP%234146Exp.</v>
      </c>
      <c r="BG4123" s="107" t="str">
        <f t="shared" si="3175"/>
        <v>W</v>
      </c>
      <c r="BH4123" s="254"/>
      <c r="BI4123" s="254"/>
    </row>
    <row r="4124" spans="1:61" customFormat="1" ht="15.75" x14ac:dyDescent="0.25">
      <c r="A4124" s="276">
        <v>3</v>
      </c>
      <c r="B4124" s="240" t="s">
        <v>291</v>
      </c>
      <c r="C4124" s="241" t="s">
        <v>2836</v>
      </c>
      <c r="D4124" s="242" t="s">
        <v>299</v>
      </c>
      <c r="E4124" s="243">
        <v>30.95</v>
      </c>
      <c r="F4124" s="517" t="s">
        <v>293</v>
      </c>
      <c r="G4124" s="232">
        <v>0</v>
      </c>
      <c r="H4124" s="661" t="str">
        <f>IF(G4124=0,"",IF(F4124="Buy",IF(G4124=1,"plant","plants"),IF(F4124&gt;0.01,"warranty","Error")))</f>
        <v/>
      </c>
      <c r="I4124" s="244">
        <f>IF(H4124="free",0,IF(H4124="credit",((E4124*(F4124))*G4124*-1),IF(F4124="Buy",(E4124*G4124),((E4124*(1-F4124))*G4124))))</f>
        <v>0</v>
      </c>
      <c r="J4124" s="244">
        <f>IF(H4124="warranty",0,(I4124*(_xlfn.SINGLE(SalesTaxPercentage))))</f>
        <v>0</v>
      </c>
      <c r="K4124" s="696">
        <f t="shared" ref="K4124" si="3183">I4124+J4124</f>
        <v>0</v>
      </c>
      <c r="L4124" s="696"/>
      <c r="M4124" s="659" t="str">
        <f>IF(AND(G4124&gt;0,E4124=0),"WARNING - no PRICE inserted",IF(H4124="free"," FREE ~ no charge this plant",IF(H4124="credit",CONCATENATE(" -$",ROUND(K4124*(1-T2GDiscount)*-1,2)," CREDIT after discount"),IF(T2GDiscount=0,"",IF(G4124=0,"",IF(F4124="Buy",CONCATENATE(" $",ROUND(K4124*(1-T2GDiscount),2)," with ",(T2GDiscount*100),"% discount"),CONCATENATE(" $",ROUND(K4124*(1-T2GDiscount),2)," with ",((T2GDiscount*100+F4124*100)-(T2GDiscount*100*F4124)),IF(F4124&gt;0,"% discounts",IF(NoWarrantyDiscount&gt;0,"% discounts","% discount")))))))))</f>
        <v/>
      </c>
      <c r="N4124" s="660"/>
      <c r="O4124" s="233"/>
      <c r="P4124" s="233"/>
      <c r="Q4124" s="233"/>
      <c r="R4124" s="233"/>
      <c r="S4124" s="233"/>
      <c r="T4124" s="508">
        <f t="shared" si="3163"/>
        <v>0</v>
      </c>
      <c r="U4124" s="225">
        <f>IF(NOT(ISNUMBER(G4124)), "", VLOOKUP(A4124,'Discount Lookup'!D:E,2,FALSE)*G4124)</f>
        <v>0</v>
      </c>
      <c r="V4124" s="225">
        <f>IF(NOT(ISNUMBER(G4124)), "", VLOOKUP(A4124,'Discount Lookup'!G:H,2,FALSE)*G4124)</f>
        <v>0</v>
      </c>
      <c r="W4124" s="508">
        <f t="shared" si="3164"/>
        <v>0</v>
      </c>
      <c r="X4124" s="508">
        <f t="shared" si="3165"/>
        <v>0</v>
      </c>
      <c r="Y4124" s="509" t="b">
        <f t="shared" si="3166"/>
        <v>0</v>
      </c>
      <c r="Z4124" s="510">
        <f t="shared" si="3167"/>
        <v>0</v>
      </c>
      <c r="AA4124" s="511"/>
      <c r="AB4124" s="511" t="str">
        <f t="shared" si="3168"/>
        <v/>
      </c>
      <c r="AC4124" s="698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698"/>
      <c r="AE4124" s="631" t="str">
        <f t="shared" si="3169"/>
        <v/>
      </c>
      <c r="AF4124" s="699" t="str">
        <f t="shared" si="3170"/>
        <v/>
      </c>
      <c r="AG4124" s="699"/>
      <c r="AH4124" s="699"/>
      <c r="AI4124" s="512">
        <f>IF(H4124="credit",0,IF(AE4124="free",0,IF(AE4124="me",0,IF(G4124&gt;0,(VLOOKUP(A4124,'Discount Lookup'!J:K,2)*G4124),0))))</f>
        <v>0</v>
      </c>
      <c r="AJ4124" s="513" t="str">
        <f t="shared" ca="1" si="3171"/>
        <v/>
      </c>
      <c r="AK4124" s="700" t="str">
        <f t="shared" si="3172"/>
        <v/>
      </c>
      <c r="AL4124" s="700"/>
      <c r="AM4124" s="505" t="str">
        <f t="shared" si="3173"/>
        <v/>
      </c>
      <c r="AN4124" s="506"/>
      <c r="AO4124" s="507"/>
      <c r="AP4124" s="507"/>
      <c r="AQ4124" s="507"/>
      <c r="AR4124" s="507"/>
      <c r="AS4124" s="507"/>
      <c r="AT4124" s="507"/>
      <c r="AU4124" s="507"/>
      <c r="AV4124" s="225"/>
      <c r="AW4124" s="508"/>
      <c r="AX4124" s="225"/>
      <c r="AY4124" s="225"/>
      <c r="AZ4124" s="225"/>
      <c r="BA4124" s="225"/>
      <c r="BB4124" s="225"/>
      <c r="BC4124" s="56"/>
      <c r="BD4124" s="56"/>
      <c r="BE4124" s="56"/>
      <c r="BF4124" s="107" t="str">
        <f t="shared" si="3174"/>
        <v>https://www.google.com/search?tbm=isch&amp;q=3%20G5</v>
      </c>
      <c r="BG4124" s="107" t="str">
        <f t="shared" si="3175"/>
        <v>W</v>
      </c>
      <c r="BH4124" s="254"/>
      <c r="BI4124" s="254"/>
    </row>
    <row r="4125" spans="1:61" customFormat="1" ht="15.75" x14ac:dyDescent="0.25">
      <c r="A4125" s="276">
        <v>7</v>
      </c>
      <c r="B4125" s="240" t="s">
        <v>291</v>
      </c>
      <c r="C4125" s="241" t="s">
        <v>4696</v>
      </c>
      <c r="D4125" s="242" t="s">
        <v>300</v>
      </c>
      <c r="E4125" s="243">
        <v>96.95</v>
      </c>
      <c r="F4125" s="517" t="s">
        <v>293</v>
      </c>
      <c r="G4125" s="232">
        <v>0</v>
      </c>
      <c r="H4125" s="661" t="str">
        <f>IF(G4125=0,"",IF(F4125="Buy",IF(G4125=1,"plant","plants"),IF(F4125&gt;0.01,"warranty","Error")))</f>
        <v/>
      </c>
      <c r="I4125" s="244">
        <f>IF(H4125="free",0,IF(H4125="credit",((E4125*(F4125))*G4125*-1),IF(F4125="Buy",(E4125*G4125),((E4125*(1-F4125))*G4125))))</f>
        <v>0</v>
      </c>
      <c r="J4125" s="244">
        <f>IF(H4125="warranty",0,(I4125*(_xlfn.SINGLE(SalesTaxPercentage))))</f>
        <v>0</v>
      </c>
      <c r="K4125" s="696">
        <f t="shared" ref="K4125" si="3184">I4125+J4125</f>
        <v>0</v>
      </c>
      <c r="L4125" s="696"/>
      <c r="M4125" s="659" t="str">
        <f>IF(AND(G4125&gt;0,E4125=0),"WARNING - no PRICE inserted",IF(H4125="free"," FREE ~ no charge this plant",IF(H4125="credit",CONCATENATE(" -$",ROUND(K4125*(1-T2GDiscount)*-1,2)," CREDIT after discount"),IF(T2GDiscount=0,"",IF(G4125=0,"",IF(F4125="Buy",CONCATENATE(" $",ROUND(K4125*(1-T2GDiscount),2)," with ",(T2GDiscount*100),"% discount"),CONCATENATE(" $",ROUND(K4125*(1-T2GDiscount),2)," with ",((T2GDiscount*100+F4125*100)-(T2GDiscount*100*F4125)),IF(F4125&gt;0,"% discounts",IF(NoWarrantyDiscount&gt;0,"% discounts","% discount")))))))))</f>
        <v/>
      </c>
      <c r="N4125" s="660"/>
      <c r="O4125" s="233"/>
      <c r="P4125" s="233"/>
      <c r="Q4125" s="233"/>
      <c r="R4125" s="233"/>
      <c r="S4125" s="233"/>
      <c r="T4125" s="508">
        <f t="shared" si="3163"/>
        <v>0</v>
      </c>
      <c r="U4125" s="225">
        <f>IF(NOT(ISNUMBER(G4125)), "", VLOOKUP(A4125,'Discount Lookup'!D:E,2,FALSE)*G4125)</f>
        <v>0</v>
      </c>
      <c r="V4125" s="225">
        <f>IF(NOT(ISNUMBER(G4125)), "", VLOOKUP(A4125,'Discount Lookup'!G:H,2,FALSE)*G4125)</f>
        <v>0</v>
      </c>
      <c r="W4125" s="508">
        <f t="shared" si="3164"/>
        <v>0</v>
      </c>
      <c r="X4125" s="508">
        <f t="shared" si="3165"/>
        <v>0</v>
      </c>
      <c r="Y4125" s="509" t="b">
        <f t="shared" si="3166"/>
        <v>0</v>
      </c>
      <c r="Z4125" s="510">
        <f t="shared" si="3167"/>
        <v>0</v>
      </c>
      <c r="AA4125" s="511"/>
      <c r="AB4125" s="511" t="str">
        <f t="shared" si="3168"/>
        <v/>
      </c>
      <c r="AC4125" s="698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698"/>
      <c r="AE4125" s="631" t="str">
        <f t="shared" si="3169"/>
        <v/>
      </c>
      <c r="AF4125" s="699" t="str">
        <f t="shared" si="3170"/>
        <v/>
      </c>
      <c r="AG4125" s="699"/>
      <c r="AH4125" s="699"/>
      <c r="AI4125" s="512">
        <f>IF(H4125="credit",0,IF(AE4125="free",0,IF(AE4125="me",0,IF(G4125&gt;0,(VLOOKUP(A4125,'Discount Lookup'!J:K,2)*G4125),0))))</f>
        <v>0</v>
      </c>
      <c r="AJ4125" s="513" t="str">
        <f t="shared" ca="1" si="3171"/>
        <v/>
      </c>
      <c r="AK4125" s="700" t="str">
        <f t="shared" si="3172"/>
        <v/>
      </c>
      <c r="AL4125" s="700"/>
      <c r="AM4125" s="505" t="str">
        <f t="shared" si="3173"/>
        <v/>
      </c>
      <c r="AN4125" s="506"/>
      <c r="AO4125" s="507"/>
      <c r="AP4125" s="507"/>
      <c r="AQ4125" s="507"/>
      <c r="AR4125" s="507"/>
      <c r="AS4125" s="507"/>
      <c r="AT4125" s="507"/>
      <c r="AU4125" s="507"/>
      <c r="AV4125" s="225"/>
      <c r="AW4125" s="508"/>
      <c r="AX4125" s="225"/>
      <c r="AY4125" s="225"/>
      <c r="AZ4125" s="225"/>
      <c r="BA4125" s="225"/>
      <c r="BB4125" s="225"/>
      <c r="BC4125" s="56"/>
      <c r="BD4125" s="56"/>
      <c r="BE4125" s="56"/>
      <c r="BF4125" s="107" t="str">
        <f t="shared" si="3174"/>
        <v>https://www.google.com/search?tbm=isch&amp;q=7%20G6</v>
      </c>
      <c r="BG4125" s="107" t="str">
        <f t="shared" si="3175"/>
        <v>W</v>
      </c>
      <c r="BH4125" s="254"/>
      <c r="BI4125" s="254"/>
    </row>
    <row r="4126" spans="1:61" customFormat="1" ht="17.25" thickBot="1" x14ac:dyDescent="0.3">
      <c r="A4126" s="673" t="s">
        <v>5287</v>
      </c>
      <c r="B4126" s="245"/>
      <c r="C4126" s="677"/>
      <c r="D4126" s="499"/>
      <c r="E4126" s="499"/>
      <c r="F4126" s="500"/>
      <c r="G4126" s="501"/>
      <c r="H4126" s="502"/>
      <c r="I4126" s="246"/>
      <c r="J4126" s="247"/>
      <c r="K4126" s="503"/>
      <c r="L4126" s="544"/>
      <c r="M4126" s="544"/>
      <c r="N4126" s="500"/>
      <c r="O4126" s="500"/>
      <c r="P4126" s="500"/>
      <c r="Q4126" s="500"/>
      <c r="R4126" s="500"/>
      <c r="S4126" s="669" t="s">
        <v>5029</v>
      </c>
      <c r="T4126" s="508">
        <f t="shared" si="3163"/>
        <v>0</v>
      </c>
      <c r="U4126" s="225" t="str">
        <f>IF(NOT(ISNUMBER(G4126)), "", VLOOKUP(A4126,'Discount Lookup'!D:E,2,FALSE)*G4126)</f>
        <v/>
      </c>
      <c r="V4126" s="225" t="str">
        <f>IF(NOT(ISNUMBER(G4126)), "", VLOOKUP(A4126,'Discount Lookup'!G:H,2,FALSE)*G4126)</f>
        <v/>
      </c>
      <c r="W4126" s="508">
        <f t="shared" si="3164"/>
        <v>0</v>
      </c>
      <c r="X4126" s="508">
        <f t="shared" si="3165"/>
        <v>0</v>
      </c>
      <c r="Y4126" s="509" t="b">
        <f t="shared" si="3166"/>
        <v>0</v>
      </c>
      <c r="Z4126" s="510">
        <f t="shared" si="3167"/>
        <v>0</v>
      </c>
      <c r="AA4126" s="511"/>
      <c r="AB4126" s="511" t="str">
        <f t="shared" si="3168"/>
        <v/>
      </c>
      <c r="AC4126" s="698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698"/>
      <c r="AE4126" s="631" t="str">
        <f t="shared" si="3169"/>
        <v/>
      </c>
      <c r="AF4126" s="699" t="str">
        <f t="shared" si="3170"/>
        <v/>
      </c>
      <c r="AG4126" s="699"/>
      <c r="AH4126" s="699"/>
      <c r="AI4126" s="512">
        <f>IF(H4126="credit",0,IF(AE4126="free",0,IF(AE4126="me",0,IF(G4126&gt;0,(VLOOKUP(A4126,'Discount Lookup'!J:K,2)*G4126),0))))</f>
        <v>0</v>
      </c>
      <c r="AJ4126" s="513" t="str">
        <f t="shared" ca="1" si="3171"/>
        <v/>
      </c>
      <c r="AK4126" s="700" t="str">
        <f t="shared" si="3172"/>
        <v/>
      </c>
      <c r="AL4126" s="700"/>
      <c r="AM4126" s="505" t="str">
        <f t="shared" si="3173"/>
        <v/>
      </c>
      <c r="AN4126" s="506"/>
      <c r="AO4126" s="507"/>
      <c r="AP4126" s="507"/>
      <c r="AQ4126" s="507"/>
      <c r="AR4126" s="507"/>
      <c r="AS4126" s="507"/>
      <c r="AT4126" s="507"/>
      <c r="AU4126" s="507"/>
      <c r="AV4126" s="225"/>
      <c r="AW4126" s="508"/>
      <c r="AX4126" s="225"/>
      <c r="AY4126" s="225"/>
      <c r="AZ4126" s="225"/>
      <c r="BA4126" s="225"/>
      <c r="BB4126" s="225"/>
      <c r="BC4126" s="56"/>
      <c r="BD4126" s="56"/>
      <c r="BE4126" s="56"/>
      <c r="BF4126" s="107" t="str">
        <f t="shared" si="3174"/>
        <v>https://www.google.com/search?tbm=isch&amp;q=wet%20sites%F0%9F%92%A7BEST%2C%20Winter%20Red%20has%20a%20heavy%2C%20long%20lasting%2C%20fruit%20set.%20Needs%20pollinator%2C%20like%20%27Southern%20Gentleman%27%20or%20%27Apollo%27%20</v>
      </c>
      <c r="BG4126" s="107" t="str">
        <f t="shared" si="3175"/>
        <v>w</v>
      </c>
      <c r="BH4126" s="254"/>
      <c r="BI4126" s="254"/>
    </row>
    <row r="4127" spans="1:61" customFormat="1" ht="18" x14ac:dyDescent="0.25">
      <c r="A4127" s="521" t="s">
        <v>2054</v>
      </c>
      <c r="B4127" s="477"/>
      <c r="C4127" s="674"/>
      <c r="D4127" s="478" t="s">
        <v>2055</v>
      </c>
      <c r="E4127" s="479"/>
      <c r="F4127" s="479"/>
      <c r="G4127" s="479"/>
      <c r="H4127" s="582" t="s">
        <v>483</v>
      </c>
      <c r="I4127" s="480" t="s">
        <v>2284</v>
      </c>
      <c r="J4127" s="479"/>
      <c r="K4127" s="479"/>
      <c r="L4127" s="560"/>
      <c r="M4127" s="666" t="s">
        <v>4966</v>
      </c>
      <c r="N4127" s="680" t="str">
        <f>IF(AND(ISTEXT($A4127), ISERROR($A4127+0)), HYPERLINK($BF4127, "Images"), "")</f>
        <v>Images</v>
      </c>
      <c r="O4127" s="662" t="s">
        <v>4969</v>
      </c>
      <c r="P4127" s="482"/>
      <c r="Q4127" s="483"/>
      <c r="R4127" s="483"/>
      <c r="S4127" s="484"/>
      <c r="T4127" s="508">
        <f t="shared" si="3163"/>
        <v>0</v>
      </c>
      <c r="U4127" s="225" t="str">
        <f>IF(NOT(ISNUMBER(G4127)), "", VLOOKUP(A4127,'Discount Lookup'!D:E,2,FALSE)*G4127)</f>
        <v/>
      </c>
      <c r="V4127" s="225" t="str">
        <f>IF(NOT(ISNUMBER(G4127)), "", VLOOKUP(A4127,'Discount Lookup'!G:H,2,FALSE)*G4127)</f>
        <v/>
      </c>
      <c r="W4127" s="508">
        <f t="shared" si="3164"/>
        <v>0</v>
      </c>
      <c r="X4127" s="508" t="str">
        <f t="shared" si="3165"/>
        <v>Rich Green foliage</v>
      </c>
      <c r="Y4127" s="509" t="b">
        <f t="shared" si="3166"/>
        <v>0</v>
      </c>
      <c r="Z4127" s="510">
        <f t="shared" si="3167"/>
        <v>0</v>
      </c>
      <c r="AA4127" s="511"/>
      <c r="AB4127" s="511" t="str">
        <f t="shared" si="3168"/>
        <v/>
      </c>
      <c r="AC4127" s="698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698"/>
      <c r="AE4127" s="631" t="str">
        <f t="shared" si="3169"/>
        <v/>
      </c>
      <c r="AF4127" s="699" t="str">
        <f t="shared" si="3170"/>
        <v/>
      </c>
      <c r="AG4127" s="699"/>
      <c r="AH4127" s="699"/>
      <c r="AI4127" s="512">
        <f>IF(H4127="credit",0,IF(AE4127="free",0,IF(AE4127="me",0,IF(G4127&gt;0,(VLOOKUP(A4127,'Discount Lookup'!J:K,2)*G4127),0))))</f>
        <v>0</v>
      </c>
      <c r="AJ4127" s="513" t="str">
        <f t="shared" ca="1" si="3171"/>
        <v/>
      </c>
      <c r="AK4127" s="700" t="str">
        <f t="shared" si="3172"/>
        <v/>
      </c>
      <c r="AL4127" s="700"/>
      <c r="AM4127" s="505" t="str">
        <f t="shared" si="3173"/>
        <v/>
      </c>
      <c r="AN4127" s="506"/>
      <c r="AO4127" s="507"/>
      <c r="AP4127" s="507"/>
      <c r="AQ4127" s="507"/>
      <c r="AR4127" s="507"/>
      <c r="AS4127" s="507"/>
      <c r="AT4127" s="507"/>
      <c r="AU4127" s="507"/>
      <c r="AV4127" s="225"/>
      <c r="AW4127" s="508"/>
      <c r="AX4127" s="225"/>
      <c r="AY4127" s="225"/>
      <c r="AZ4127" s="225"/>
      <c r="BA4127" s="225"/>
      <c r="BB4127" s="225"/>
      <c r="BC4127" s="56"/>
      <c r="BD4127" s="56"/>
      <c r="BE4127" s="56"/>
      <c r="BF4127" s="107" t="str">
        <f t="shared" si="3174"/>
        <v>https://www.google.com/search?tbm=isch&amp;q=Wintergreen%20Boxwood%20Buxus%20microphyla%20koreana%20%27Wintergreen%27</v>
      </c>
      <c r="BG4127" s="107" t="str">
        <f t="shared" si="3175"/>
        <v>W</v>
      </c>
      <c r="BH4127" s="254"/>
      <c r="BI4127" s="254"/>
    </row>
    <row r="4128" spans="1:61" customFormat="1" ht="15.75" x14ac:dyDescent="0.25">
      <c r="A4128" s="485">
        <v>3</v>
      </c>
      <c r="B4128" s="486" t="s">
        <v>291</v>
      </c>
      <c r="C4128" s="487" t="s">
        <v>329</v>
      </c>
      <c r="D4128" s="488" t="s">
        <v>298</v>
      </c>
      <c r="E4128" s="489">
        <v>25.95</v>
      </c>
      <c r="F4128" s="516" t="s">
        <v>293</v>
      </c>
      <c r="G4128" s="232">
        <v>0</v>
      </c>
      <c r="H4128" s="658" t="str">
        <f t="shared" ref="H4128:H4133" si="3185">IF(G4128=0,"",IF(F4128="Buy",IF(G4128=1,"plant","plants"),IF(F4128&gt;0.01,"warranty","Error")))</f>
        <v/>
      </c>
      <c r="I4128" s="490">
        <f t="shared" ref="I4128:I4133" si="3186">IF(H4128="free",0,IF(H4128="credit",((E4128*(F4128))*G4128*-1),IF(F4128="Buy",(E4128*G4128),((E4128*(1-F4128))*G4128))))</f>
        <v>0</v>
      </c>
      <c r="J4128" s="490">
        <f t="shared" ref="J4128:J4133" si="3187">IF(H4128="warranty",0,(I4128*(_xlfn.SINGLE(SalesTaxPercentage))))</f>
        <v>0</v>
      </c>
      <c r="K4128" s="695">
        <f t="shared" ref="K4128" si="3188">I4128+J4128</f>
        <v>0</v>
      </c>
      <c r="L4128" s="695"/>
      <c r="M4128" s="659" t="str">
        <f t="shared" ref="M4128:M4133" si="3189">IF(AND(G4128&gt;0,E4128=0),"WARNING - no PRICE inserted",IF(H4128="free"," FREE ~ no charge this plant",IF(H4128="credit",CONCATENATE(" -$",ROUND(K4128*(1-T2GDiscount)*-1,2)," CREDIT after discount"),IF(T2GDiscount=0,"",IF(G4128=0,"",IF(F4128="Buy",CONCATENATE(" $",ROUND(K4128*(1-T2GDiscount),2)," with ",(T2GDiscount*100),"% discount"),CONCATENATE(" $",ROUND(K4128*(1-T2GDiscount),2)," with ",((T2GDiscount*100+F4128*100)-(T2GDiscount*100*F4128)),IF(F4128&gt;0,"% discounts",IF(NoWarrantyDiscount&gt;0,"% discounts","% discount")))))))))</f>
        <v/>
      </c>
      <c r="N4128" s="660"/>
      <c r="O4128" s="233"/>
      <c r="P4128" s="233"/>
      <c r="Q4128" s="233"/>
      <c r="R4128" s="233"/>
      <c r="S4128" s="233"/>
      <c r="T4128" s="508">
        <f t="shared" si="3163"/>
        <v>0</v>
      </c>
      <c r="U4128" s="225">
        <f>IF(NOT(ISNUMBER(G4128)), "", VLOOKUP(A4128,'Discount Lookup'!D:E,2,FALSE)*G4128)</f>
        <v>0</v>
      </c>
      <c r="V4128" s="225">
        <f>IF(NOT(ISNUMBER(G4128)), "", VLOOKUP(A4128,'Discount Lookup'!G:H,2,FALSE)*G4128)</f>
        <v>0</v>
      </c>
      <c r="W4128" s="508">
        <f t="shared" si="3164"/>
        <v>0</v>
      </c>
      <c r="X4128" s="508">
        <f t="shared" si="3165"/>
        <v>0</v>
      </c>
      <c r="Y4128" s="509" t="b">
        <f t="shared" si="3166"/>
        <v>0</v>
      </c>
      <c r="Z4128" s="510">
        <f t="shared" si="3167"/>
        <v>0</v>
      </c>
      <c r="AA4128" s="511"/>
      <c r="AB4128" s="511" t="str">
        <f t="shared" si="3168"/>
        <v/>
      </c>
      <c r="AC4128" s="698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698"/>
      <c r="AE4128" s="631" t="str">
        <f t="shared" si="3169"/>
        <v/>
      </c>
      <c r="AF4128" s="699" t="str">
        <f t="shared" si="3170"/>
        <v/>
      </c>
      <c r="AG4128" s="699"/>
      <c r="AH4128" s="699"/>
      <c r="AI4128" s="512">
        <f>IF(H4128="credit",0,IF(AE4128="free",0,IF(AE4128="me",0,IF(G4128&gt;0,(VLOOKUP(A4128,'Discount Lookup'!J:K,2)*G4128),0))))</f>
        <v>0</v>
      </c>
      <c r="AJ4128" s="513" t="str">
        <f t="shared" ca="1" si="3171"/>
        <v/>
      </c>
      <c r="AK4128" s="700" t="str">
        <f t="shared" si="3172"/>
        <v/>
      </c>
      <c r="AL4128" s="700"/>
      <c r="AM4128" s="505" t="str">
        <f t="shared" si="3173"/>
        <v/>
      </c>
      <c r="AN4128" s="506"/>
      <c r="AO4128" s="507"/>
      <c r="AP4128" s="507"/>
      <c r="AQ4128" s="507"/>
      <c r="AR4128" s="507"/>
      <c r="AS4128" s="507"/>
      <c r="AT4128" s="507"/>
      <c r="AU4128" s="507"/>
      <c r="AV4128" s="225"/>
      <c r="AW4128" s="508"/>
      <c r="AX4128" s="225"/>
      <c r="AY4128" s="225"/>
      <c r="AZ4128" s="225"/>
      <c r="BA4128" s="225"/>
      <c r="BB4128" s="225"/>
      <c r="BC4128" s="56"/>
      <c r="BD4128" s="56"/>
      <c r="BE4128" s="56"/>
      <c r="BF4128" s="107" t="str">
        <f t="shared" si="3174"/>
        <v>https://www.google.com/search?tbm=isch&amp;q=3%20G1</v>
      </c>
      <c r="BG4128" s="107" t="str">
        <f t="shared" si="3175"/>
        <v>W</v>
      </c>
      <c r="BH4128" s="254"/>
      <c r="BI4128" s="254"/>
    </row>
    <row r="4129" spans="1:61" customFormat="1" ht="15.75" x14ac:dyDescent="0.25">
      <c r="A4129" s="485">
        <v>3</v>
      </c>
      <c r="B4129" s="486" t="s">
        <v>291</v>
      </c>
      <c r="C4129" s="487" t="s">
        <v>4959</v>
      </c>
      <c r="D4129" s="488" t="s">
        <v>300</v>
      </c>
      <c r="E4129" s="489">
        <v>45.95</v>
      </c>
      <c r="F4129" s="516" t="s">
        <v>293</v>
      </c>
      <c r="G4129" s="232">
        <v>0</v>
      </c>
      <c r="H4129" s="658" t="str">
        <f t="shared" si="3185"/>
        <v/>
      </c>
      <c r="I4129" s="490">
        <f t="shared" si="3186"/>
        <v>0</v>
      </c>
      <c r="J4129" s="490">
        <f t="shared" si="3187"/>
        <v>0</v>
      </c>
      <c r="K4129" s="695">
        <f t="shared" ref="K4129" si="3190">I4129+J4129</f>
        <v>0</v>
      </c>
      <c r="L4129" s="695"/>
      <c r="M4129" s="659" t="str">
        <f t="shared" si="3189"/>
        <v/>
      </c>
      <c r="N4129" s="660"/>
      <c r="O4129" s="233"/>
      <c r="P4129" s="233"/>
      <c r="Q4129" s="233"/>
      <c r="R4129" s="233"/>
      <c r="S4129" s="233"/>
      <c r="T4129" s="508">
        <f t="shared" si="3163"/>
        <v>0</v>
      </c>
      <c r="U4129" s="225">
        <f>IF(NOT(ISNUMBER(G4129)), "", VLOOKUP(A4129,'Discount Lookup'!D:E,2,FALSE)*G4129)</f>
        <v>0</v>
      </c>
      <c r="V4129" s="225">
        <f>IF(NOT(ISNUMBER(G4129)), "", VLOOKUP(A4129,'Discount Lookup'!G:H,2,FALSE)*G4129)</f>
        <v>0</v>
      </c>
      <c r="W4129" s="508">
        <f t="shared" si="3164"/>
        <v>0</v>
      </c>
      <c r="X4129" s="508">
        <f t="shared" si="3165"/>
        <v>0</v>
      </c>
      <c r="Y4129" s="509" t="b">
        <f t="shared" si="3166"/>
        <v>0</v>
      </c>
      <c r="Z4129" s="510">
        <f t="shared" si="3167"/>
        <v>0</v>
      </c>
      <c r="AA4129" s="511"/>
      <c r="AB4129" s="511" t="str">
        <f t="shared" si="3168"/>
        <v/>
      </c>
      <c r="AC4129" s="698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698"/>
      <c r="AE4129" s="631" t="str">
        <f t="shared" si="3169"/>
        <v/>
      </c>
      <c r="AF4129" s="699" t="str">
        <f t="shared" si="3170"/>
        <v/>
      </c>
      <c r="AG4129" s="699"/>
      <c r="AH4129" s="699"/>
      <c r="AI4129" s="512">
        <f>IF(H4129="credit",0,IF(AE4129="free",0,IF(AE4129="me",0,IF(G4129&gt;0,(VLOOKUP(A4129,'Discount Lookup'!J:K,2)*G4129),0))))</f>
        <v>0</v>
      </c>
      <c r="AJ4129" s="513" t="str">
        <f t="shared" ca="1" si="3171"/>
        <v/>
      </c>
      <c r="AK4129" s="700" t="str">
        <f t="shared" si="3172"/>
        <v/>
      </c>
      <c r="AL4129" s="700"/>
      <c r="AM4129" s="505" t="str">
        <f t="shared" si="3173"/>
        <v/>
      </c>
      <c r="AN4129" s="506"/>
      <c r="AO4129" s="507"/>
      <c r="AP4129" s="507"/>
      <c r="AQ4129" s="507"/>
      <c r="AR4129" s="507"/>
      <c r="AS4129" s="507"/>
      <c r="AT4129" s="507"/>
      <c r="AU4129" s="507"/>
      <c r="AV4129" s="225"/>
      <c r="AW4129" s="508"/>
      <c r="AX4129" s="225"/>
      <c r="AY4129" s="225"/>
      <c r="AZ4129" s="225"/>
      <c r="BA4129" s="225"/>
      <c r="BB4129" s="225"/>
      <c r="BC4129" s="56"/>
      <c r="BD4129" s="56"/>
      <c r="BE4129" s="56"/>
      <c r="BF4129" s="107" t="str">
        <f t="shared" si="3174"/>
        <v>https://www.google.com/search?tbm=isch&amp;q=3%20G6</v>
      </c>
      <c r="BG4129" s="107" t="str">
        <f t="shared" si="3175"/>
        <v>W</v>
      </c>
      <c r="BH4129" s="254"/>
      <c r="BI4129" s="254"/>
    </row>
    <row r="4130" spans="1:61" customFormat="1" ht="15.75" x14ac:dyDescent="0.25">
      <c r="A4130" s="485">
        <v>7</v>
      </c>
      <c r="B4130" s="486" t="s">
        <v>291</v>
      </c>
      <c r="C4130" s="487" t="s">
        <v>2837</v>
      </c>
      <c r="D4130" s="488" t="s">
        <v>297</v>
      </c>
      <c r="E4130" s="489">
        <v>68.95</v>
      </c>
      <c r="F4130" s="516" t="s">
        <v>293</v>
      </c>
      <c r="G4130" s="232">
        <v>0</v>
      </c>
      <c r="H4130" s="658" t="str">
        <f t="shared" si="3185"/>
        <v/>
      </c>
      <c r="I4130" s="490">
        <f t="shared" si="3186"/>
        <v>0</v>
      </c>
      <c r="J4130" s="490">
        <f t="shared" si="3187"/>
        <v>0</v>
      </c>
      <c r="K4130" s="695">
        <f t="shared" ref="K4130" si="3191">I4130+J4130</f>
        <v>0</v>
      </c>
      <c r="L4130" s="695"/>
      <c r="M4130" s="659" t="str">
        <f t="shared" si="3189"/>
        <v/>
      </c>
      <c r="N4130" s="660"/>
      <c r="O4130" s="233"/>
      <c r="P4130" s="233"/>
      <c r="Q4130" s="233"/>
      <c r="R4130" s="233"/>
      <c r="S4130" s="233"/>
      <c r="T4130" s="508">
        <f t="shared" si="3163"/>
        <v>0</v>
      </c>
      <c r="U4130" s="225">
        <f>IF(NOT(ISNUMBER(G4130)), "", VLOOKUP(A4130,'Discount Lookup'!D:E,2,FALSE)*G4130)</f>
        <v>0</v>
      </c>
      <c r="V4130" s="225">
        <f>IF(NOT(ISNUMBER(G4130)), "", VLOOKUP(A4130,'Discount Lookup'!G:H,2,FALSE)*G4130)</f>
        <v>0</v>
      </c>
      <c r="W4130" s="508">
        <f t="shared" si="3164"/>
        <v>0</v>
      </c>
      <c r="X4130" s="508">
        <f t="shared" si="3165"/>
        <v>0</v>
      </c>
      <c r="Y4130" s="509" t="b">
        <f t="shared" si="3166"/>
        <v>0</v>
      </c>
      <c r="Z4130" s="510">
        <f t="shared" si="3167"/>
        <v>0</v>
      </c>
      <c r="AA4130" s="511"/>
      <c r="AB4130" s="511" t="str">
        <f t="shared" si="3168"/>
        <v/>
      </c>
      <c r="AC4130" s="698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698"/>
      <c r="AE4130" s="631" t="str">
        <f t="shared" si="3169"/>
        <v/>
      </c>
      <c r="AF4130" s="699" t="str">
        <f t="shared" si="3170"/>
        <v/>
      </c>
      <c r="AG4130" s="699"/>
      <c r="AH4130" s="699"/>
      <c r="AI4130" s="512">
        <f>IF(H4130="credit",0,IF(AE4130="free",0,IF(AE4130="me",0,IF(G4130&gt;0,(VLOOKUP(A4130,'Discount Lookup'!J:K,2)*G4130),0))))</f>
        <v>0</v>
      </c>
      <c r="AJ4130" s="513" t="str">
        <f t="shared" ca="1" si="3171"/>
        <v/>
      </c>
      <c r="AK4130" s="700" t="str">
        <f t="shared" si="3172"/>
        <v/>
      </c>
      <c r="AL4130" s="700"/>
      <c r="AM4130" s="505" t="str">
        <f t="shared" si="3173"/>
        <v/>
      </c>
      <c r="AN4130" s="506"/>
      <c r="AO4130" s="507"/>
      <c r="AP4130" s="507"/>
      <c r="AQ4130" s="507"/>
      <c r="AR4130" s="507"/>
      <c r="AS4130" s="507"/>
      <c r="AT4130" s="507"/>
      <c r="AU4130" s="507"/>
      <c r="AV4130" s="225"/>
      <c r="AW4130" s="508"/>
      <c r="AX4130" s="225"/>
      <c r="AY4130" s="225"/>
      <c r="AZ4130" s="225"/>
      <c r="BA4130" s="225"/>
      <c r="BB4130" s="225"/>
      <c r="BC4130" s="56"/>
      <c r="BD4130" s="56"/>
      <c r="BE4130" s="56"/>
      <c r="BF4130" s="107" t="str">
        <f t="shared" si="3174"/>
        <v>https://www.google.com/search?tbm=isch&amp;q=7%20G3</v>
      </c>
      <c r="BG4130" s="107" t="str">
        <f t="shared" si="3175"/>
        <v>W</v>
      </c>
      <c r="BH4130" s="254"/>
      <c r="BI4130" s="254"/>
    </row>
    <row r="4131" spans="1:61" customFormat="1" ht="15.75" x14ac:dyDescent="0.25">
      <c r="A4131" s="485">
        <v>7</v>
      </c>
      <c r="B4131" s="486" t="s">
        <v>291</v>
      </c>
      <c r="C4131" s="487" t="s">
        <v>2838</v>
      </c>
      <c r="D4131" s="488" t="s">
        <v>299</v>
      </c>
      <c r="E4131" s="489">
        <v>79.95</v>
      </c>
      <c r="F4131" s="516" t="s">
        <v>293</v>
      </c>
      <c r="G4131" s="232">
        <v>0</v>
      </c>
      <c r="H4131" s="658" t="str">
        <f t="shared" si="3185"/>
        <v/>
      </c>
      <c r="I4131" s="490">
        <f t="shared" si="3186"/>
        <v>0</v>
      </c>
      <c r="J4131" s="490">
        <f t="shared" si="3187"/>
        <v>0</v>
      </c>
      <c r="K4131" s="695">
        <f t="shared" ref="K4131" si="3192">I4131+J4131</f>
        <v>0</v>
      </c>
      <c r="L4131" s="695"/>
      <c r="M4131" s="659" t="str">
        <f t="shared" si="3189"/>
        <v/>
      </c>
      <c r="N4131" s="660"/>
      <c r="O4131" s="233"/>
      <c r="P4131" s="233"/>
      <c r="Q4131" s="233"/>
      <c r="R4131" s="233"/>
      <c r="S4131" s="233"/>
      <c r="T4131" s="508">
        <f t="shared" si="3163"/>
        <v>0</v>
      </c>
      <c r="U4131" s="225">
        <f>IF(NOT(ISNUMBER(G4131)), "", VLOOKUP(A4131,'Discount Lookup'!D:E,2,FALSE)*G4131)</f>
        <v>0</v>
      </c>
      <c r="V4131" s="225">
        <f>IF(NOT(ISNUMBER(G4131)), "", VLOOKUP(A4131,'Discount Lookup'!G:H,2,FALSE)*G4131)</f>
        <v>0</v>
      </c>
      <c r="W4131" s="508">
        <f t="shared" si="3164"/>
        <v>0</v>
      </c>
      <c r="X4131" s="508">
        <f t="shared" si="3165"/>
        <v>0</v>
      </c>
      <c r="Y4131" s="509" t="b">
        <f t="shared" si="3166"/>
        <v>0</v>
      </c>
      <c r="Z4131" s="510">
        <f t="shared" si="3167"/>
        <v>0</v>
      </c>
      <c r="AA4131" s="511"/>
      <c r="AB4131" s="511" t="str">
        <f t="shared" si="3168"/>
        <v/>
      </c>
      <c r="AC4131" s="698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698"/>
      <c r="AE4131" s="631" t="str">
        <f t="shared" si="3169"/>
        <v/>
      </c>
      <c r="AF4131" s="699" t="str">
        <f t="shared" si="3170"/>
        <v/>
      </c>
      <c r="AG4131" s="699"/>
      <c r="AH4131" s="699"/>
      <c r="AI4131" s="512">
        <f>IF(H4131="credit",0,IF(AE4131="free",0,IF(AE4131="me",0,IF(G4131&gt;0,(VLOOKUP(A4131,'Discount Lookup'!J:K,2)*G4131),0))))</f>
        <v>0</v>
      </c>
      <c r="AJ4131" s="513" t="str">
        <f t="shared" ca="1" si="3171"/>
        <v/>
      </c>
      <c r="AK4131" s="700" t="str">
        <f t="shared" si="3172"/>
        <v/>
      </c>
      <c r="AL4131" s="700"/>
      <c r="AM4131" s="505" t="str">
        <f t="shared" si="3173"/>
        <v/>
      </c>
      <c r="AN4131" s="506"/>
      <c r="AO4131" s="507"/>
      <c r="AP4131" s="507"/>
      <c r="AQ4131" s="507"/>
      <c r="AR4131" s="507"/>
      <c r="AS4131" s="507"/>
      <c r="AT4131" s="507"/>
      <c r="AU4131" s="507"/>
      <c r="AV4131" s="225"/>
      <c r="AW4131" s="508"/>
      <c r="AX4131" s="225"/>
      <c r="AY4131" s="225"/>
      <c r="AZ4131" s="225"/>
      <c r="BA4131" s="225"/>
      <c r="BB4131" s="225"/>
      <c r="BC4131" s="56"/>
      <c r="BD4131" s="56"/>
      <c r="BE4131" s="56"/>
      <c r="BF4131" s="107" t="str">
        <f t="shared" si="3174"/>
        <v>https://www.google.com/search?tbm=isch&amp;q=7%20G5</v>
      </c>
      <c r="BG4131" s="107" t="str">
        <f t="shared" si="3175"/>
        <v>W</v>
      </c>
      <c r="BH4131" s="254"/>
      <c r="BI4131" s="254"/>
    </row>
    <row r="4132" spans="1:61" customFormat="1" ht="15.75" x14ac:dyDescent="0.25">
      <c r="A4132" s="485">
        <v>7</v>
      </c>
      <c r="B4132" s="486" t="s">
        <v>291</v>
      </c>
      <c r="C4132" s="487" t="s">
        <v>3871</v>
      </c>
      <c r="D4132" s="488" t="s">
        <v>292</v>
      </c>
      <c r="E4132" s="489">
        <v>100.95</v>
      </c>
      <c r="F4132" s="516" t="s">
        <v>293</v>
      </c>
      <c r="G4132" s="232">
        <v>0</v>
      </c>
      <c r="H4132" s="658" t="str">
        <f t="shared" si="3185"/>
        <v/>
      </c>
      <c r="I4132" s="490">
        <f t="shared" si="3186"/>
        <v>0</v>
      </c>
      <c r="J4132" s="490">
        <f t="shared" si="3187"/>
        <v>0</v>
      </c>
      <c r="K4132" s="695">
        <f t="shared" ref="K4132" si="3193">I4132+J4132</f>
        <v>0</v>
      </c>
      <c r="L4132" s="695"/>
      <c r="M4132" s="659" t="str">
        <f t="shared" si="3189"/>
        <v/>
      </c>
      <c r="N4132" s="660"/>
      <c r="O4132" s="233"/>
      <c r="P4132" s="233"/>
      <c r="Q4132" s="233"/>
      <c r="R4132" s="233"/>
      <c r="S4132" s="233"/>
      <c r="T4132" s="508">
        <f t="shared" si="3163"/>
        <v>0</v>
      </c>
      <c r="U4132" s="225">
        <f>IF(NOT(ISNUMBER(G4132)), "", VLOOKUP(A4132,'Discount Lookup'!D:E,2,FALSE)*G4132)</f>
        <v>0</v>
      </c>
      <c r="V4132" s="225">
        <f>IF(NOT(ISNUMBER(G4132)), "", VLOOKUP(A4132,'Discount Lookup'!G:H,2,FALSE)*G4132)</f>
        <v>0</v>
      </c>
      <c r="W4132" s="508">
        <f t="shared" si="3164"/>
        <v>0</v>
      </c>
      <c r="X4132" s="508">
        <f t="shared" si="3165"/>
        <v>0</v>
      </c>
      <c r="Y4132" s="509" t="b">
        <f t="shared" si="3166"/>
        <v>0</v>
      </c>
      <c r="Z4132" s="510">
        <f t="shared" si="3167"/>
        <v>0</v>
      </c>
      <c r="AA4132" s="511"/>
      <c r="AB4132" s="511" t="str">
        <f t="shared" si="3168"/>
        <v/>
      </c>
      <c r="AC4132" s="698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698"/>
      <c r="AE4132" s="631" t="str">
        <f t="shared" si="3169"/>
        <v/>
      </c>
      <c r="AF4132" s="699" t="str">
        <f t="shared" si="3170"/>
        <v/>
      </c>
      <c r="AG4132" s="699"/>
      <c r="AH4132" s="699"/>
      <c r="AI4132" s="512">
        <f>IF(H4132="credit",0,IF(AE4132="free",0,IF(AE4132="me",0,IF(G4132&gt;0,(VLOOKUP(A4132,'Discount Lookup'!J:K,2)*G4132),0))))</f>
        <v>0</v>
      </c>
      <c r="AJ4132" s="513" t="str">
        <f t="shared" ca="1" si="3171"/>
        <v/>
      </c>
      <c r="AK4132" s="700" t="str">
        <f t="shared" si="3172"/>
        <v/>
      </c>
      <c r="AL4132" s="700"/>
      <c r="AM4132" s="505" t="str">
        <f t="shared" si="3173"/>
        <v/>
      </c>
      <c r="AN4132" s="506"/>
      <c r="AO4132" s="507"/>
      <c r="AP4132" s="507"/>
      <c r="AQ4132" s="507"/>
      <c r="AR4132" s="507"/>
      <c r="AS4132" s="507"/>
      <c r="AT4132" s="507"/>
      <c r="AU4132" s="507"/>
      <c r="AV4132" s="225"/>
      <c r="AW4132" s="508"/>
      <c r="AX4132" s="225"/>
      <c r="AY4132" s="225"/>
      <c r="AZ4132" s="225"/>
      <c r="BA4132" s="225"/>
      <c r="BB4132" s="225"/>
      <c r="BC4132" s="56"/>
      <c r="BD4132" s="56"/>
      <c r="BE4132" s="56"/>
      <c r="BF4132" s="107" t="str">
        <f t="shared" si="3174"/>
        <v>https://www.google.com/search?tbm=isch&amp;q=7%20G4</v>
      </c>
      <c r="BG4132" s="107" t="str">
        <f t="shared" si="3175"/>
        <v>W</v>
      </c>
      <c r="BH4132" s="254"/>
      <c r="BI4132" s="254"/>
    </row>
    <row r="4133" spans="1:61" customFormat="1" ht="15.75" x14ac:dyDescent="0.25">
      <c r="A4133" s="485">
        <v>25</v>
      </c>
      <c r="B4133" s="486" t="s">
        <v>291</v>
      </c>
      <c r="C4133" s="487" t="s">
        <v>3872</v>
      </c>
      <c r="D4133" s="488" t="s">
        <v>292</v>
      </c>
      <c r="E4133" s="489">
        <v>339.95</v>
      </c>
      <c r="F4133" s="516" t="s">
        <v>293</v>
      </c>
      <c r="G4133" s="232">
        <v>0</v>
      </c>
      <c r="H4133" s="658" t="str">
        <f t="shared" si="3185"/>
        <v/>
      </c>
      <c r="I4133" s="490">
        <f t="shared" si="3186"/>
        <v>0</v>
      </c>
      <c r="J4133" s="490">
        <f t="shared" si="3187"/>
        <v>0</v>
      </c>
      <c r="K4133" s="695">
        <f t="shared" ref="K4133" si="3194">I4133+J4133</f>
        <v>0</v>
      </c>
      <c r="L4133" s="695"/>
      <c r="M4133" s="659" t="str">
        <f t="shared" si="3189"/>
        <v/>
      </c>
      <c r="N4133" s="660"/>
      <c r="O4133" s="233"/>
      <c r="P4133" s="233"/>
      <c r="Q4133" s="233"/>
      <c r="R4133" s="233"/>
      <c r="S4133" s="233"/>
      <c r="T4133" s="508">
        <f t="shared" si="3163"/>
        <v>0</v>
      </c>
      <c r="U4133" s="225">
        <f>IF(NOT(ISNUMBER(G4133)), "", VLOOKUP(A4133,'Discount Lookup'!D:E,2,FALSE)*G4133)</f>
        <v>0</v>
      </c>
      <c r="V4133" s="225">
        <f>IF(NOT(ISNUMBER(G4133)), "", VLOOKUP(A4133,'Discount Lookup'!G:H,2,FALSE)*G4133)</f>
        <v>0</v>
      </c>
      <c r="W4133" s="508">
        <f t="shared" si="3164"/>
        <v>0</v>
      </c>
      <c r="X4133" s="508">
        <f t="shared" si="3165"/>
        <v>0</v>
      </c>
      <c r="Y4133" s="509" t="b">
        <f t="shared" si="3166"/>
        <v>0</v>
      </c>
      <c r="Z4133" s="510">
        <f t="shared" si="3167"/>
        <v>0</v>
      </c>
      <c r="AA4133" s="511"/>
      <c r="AB4133" s="511" t="str">
        <f t="shared" si="3168"/>
        <v/>
      </c>
      <c r="AC4133" s="698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698"/>
      <c r="AE4133" s="631" t="str">
        <f t="shared" si="3169"/>
        <v/>
      </c>
      <c r="AF4133" s="699" t="str">
        <f t="shared" si="3170"/>
        <v/>
      </c>
      <c r="AG4133" s="699"/>
      <c r="AH4133" s="699"/>
      <c r="AI4133" s="512">
        <f>IF(H4133="credit",0,IF(AE4133="free",0,IF(AE4133="me",0,IF(G4133&gt;0,(VLOOKUP(A4133,'Discount Lookup'!J:K,2)*G4133),0))))</f>
        <v>0</v>
      </c>
      <c r="AJ4133" s="513" t="str">
        <f t="shared" ca="1" si="3171"/>
        <v/>
      </c>
      <c r="AK4133" s="700" t="str">
        <f t="shared" si="3172"/>
        <v/>
      </c>
      <c r="AL4133" s="700"/>
      <c r="AM4133" s="505" t="str">
        <f t="shared" si="3173"/>
        <v/>
      </c>
      <c r="AN4133" s="506"/>
      <c r="AO4133" s="507"/>
      <c r="AP4133" s="507"/>
      <c r="AQ4133" s="507"/>
      <c r="AR4133" s="507"/>
      <c r="AS4133" s="507"/>
      <c r="AT4133" s="507"/>
      <c r="AU4133" s="507"/>
      <c r="AV4133" s="225"/>
      <c r="AW4133" s="508"/>
      <c r="AX4133" s="225"/>
      <c r="AY4133" s="225"/>
      <c r="AZ4133" s="225"/>
      <c r="BA4133" s="225"/>
      <c r="BB4133" s="225"/>
      <c r="BC4133" s="56"/>
      <c r="BD4133" s="56"/>
      <c r="BE4133" s="56"/>
      <c r="BF4133" s="107" t="str">
        <f t="shared" si="3174"/>
        <v>https://www.google.com/search?tbm=isch&amp;q=25%20G4</v>
      </c>
      <c r="BG4133" s="107" t="str">
        <f t="shared" si="3175"/>
        <v>W</v>
      </c>
      <c r="BH4133" s="254"/>
      <c r="BI4133" s="254"/>
    </row>
    <row r="4134" spans="1:61" customFormat="1" ht="16.5" thickBot="1" x14ac:dyDescent="0.3">
      <c r="A4134" s="522" t="s">
        <v>3001</v>
      </c>
      <c r="B4134" s="491"/>
      <c r="C4134" s="675"/>
      <c r="D4134" s="491"/>
      <c r="E4134" s="491"/>
      <c r="F4134" s="492"/>
      <c r="G4134" s="493"/>
      <c r="H4134" s="491"/>
      <c r="I4134" s="234"/>
      <c r="J4134" s="234"/>
      <c r="K4134" s="494"/>
      <c r="L4134" s="543"/>
      <c r="M4134" s="561"/>
      <c r="N4134" s="495"/>
      <c r="O4134" s="496"/>
      <c r="P4134" s="497"/>
      <c r="Q4134" s="495"/>
      <c r="R4134" s="495"/>
      <c r="S4134" s="667" t="s">
        <v>4968</v>
      </c>
      <c r="T4134" s="508">
        <f t="shared" si="3163"/>
        <v>0</v>
      </c>
      <c r="U4134" s="225" t="str">
        <f>IF(NOT(ISNUMBER(G4134)), "", VLOOKUP(A4134,'Discount Lookup'!D:E,2,FALSE)*G4134)</f>
        <v/>
      </c>
      <c r="V4134" s="225" t="str">
        <f>IF(NOT(ISNUMBER(G4134)), "", VLOOKUP(A4134,'Discount Lookup'!G:H,2,FALSE)*G4134)</f>
        <v/>
      </c>
      <c r="W4134" s="508">
        <f t="shared" si="3164"/>
        <v>0</v>
      </c>
      <c r="X4134" s="508">
        <f t="shared" si="3165"/>
        <v>0</v>
      </c>
      <c r="Y4134" s="509" t="b">
        <f t="shared" si="3166"/>
        <v>0</v>
      </c>
      <c r="Z4134" s="510">
        <f t="shared" si="3167"/>
        <v>0</v>
      </c>
      <c r="AA4134" s="511"/>
      <c r="AB4134" s="511" t="str">
        <f t="shared" si="3168"/>
        <v/>
      </c>
      <c r="AC4134" s="698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698"/>
      <c r="AE4134" s="631" t="str">
        <f t="shared" si="3169"/>
        <v/>
      </c>
      <c r="AF4134" s="699" t="str">
        <f t="shared" si="3170"/>
        <v/>
      </c>
      <c r="AG4134" s="699"/>
      <c r="AH4134" s="699"/>
      <c r="AI4134" s="512">
        <f>IF(H4134="credit",0,IF(AE4134="free",0,IF(AE4134="me",0,IF(G4134&gt;0,(VLOOKUP(A4134,'Discount Lookup'!J:K,2)*G4134),0))))</f>
        <v>0</v>
      </c>
      <c r="AJ4134" s="513" t="str">
        <f t="shared" ca="1" si="3171"/>
        <v/>
      </c>
      <c r="AK4134" s="700" t="str">
        <f t="shared" si="3172"/>
        <v/>
      </c>
      <c r="AL4134" s="700"/>
      <c r="AM4134" s="505" t="str">
        <f t="shared" si="3173"/>
        <v/>
      </c>
      <c r="AN4134" s="506"/>
      <c r="AO4134" s="507"/>
      <c r="AP4134" s="507"/>
      <c r="AQ4134" s="507"/>
      <c r="AR4134" s="507"/>
      <c r="AS4134" s="507"/>
      <c r="AT4134" s="507"/>
      <c r="AU4134" s="507"/>
      <c r="AV4134" s="225"/>
      <c r="AW4134" s="508"/>
      <c r="AX4134" s="225"/>
      <c r="AY4134" s="225"/>
      <c r="AZ4134" s="225"/>
      <c r="BA4134" s="225"/>
      <c r="BB4134" s="225"/>
      <c r="BC4134" s="56"/>
      <c r="BD4134" s="56"/>
      <c r="BE4134" s="56"/>
      <c r="BF4134" s="107" t="str">
        <f t="shared" si="3174"/>
        <v>https://www.google.com/search?tbm=isch&amp;q=Wintergreen%20is%20cold-hardy%2C%20maintaining%20its%20vibrant%20green%20color%20throughout%20the%20winter.%20Slow-growing%2C%20dense%2C%20and%20ideal%20for%20hedges%20and%20borders%20</v>
      </c>
      <c r="BG4134" s="107" t="str">
        <f t="shared" si="3175"/>
        <v>W</v>
      </c>
      <c r="BH4134" s="254"/>
      <c r="BI4134" s="254"/>
    </row>
    <row r="4135" spans="1:61" customFormat="1" ht="18" x14ac:dyDescent="0.25">
      <c r="A4135" s="523" t="s">
        <v>2056</v>
      </c>
      <c r="B4135" s="235"/>
      <c r="C4135" s="676"/>
      <c r="D4135" s="255" t="s">
        <v>2057</v>
      </c>
      <c r="E4135" s="236"/>
      <c r="F4135" s="236"/>
      <c r="G4135" s="236"/>
      <c r="H4135" s="582" t="s">
        <v>1920</v>
      </c>
      <c r="I4135" s="498" t="s">
        <v>2237</v>
      </c>
      <c r="J4135" s="237"/>
      <c r="K4135" s="237"/>
      <c r="L4135" s="274"/>
      <c r="M4135" s="668" t="s">
        <v>4975</v>
      </c>
      <c r="N4135" s="681" t="str">
        <f>IF(AND(ISTEXT($A4135), ISERROR($A4135+0)), HYPERLINK($BF4135, "Images"), "")</f>
        <v>Images</v>
      </c>
      <c r="O4135" s="663" t="s">
        <v>4967</v>
      </c>
      <c r="P4135" s="253"/>
      <c r="Q4135" s="238"/>
      <c r="R4135" s="239"/>
      <c r="S4135" s="275"/>
      <c r="T4135" s="508">
        <f t="shared" si="3163"/>
        <v>0</v>
      </c>
      <c r="U4135" s="225" t="str">
        <f>IF(NOT(ISNUMBER(G4135)), "", VLOOKUP(A4135,'Discount Lookup'!D:E,2,FALSE)*G4135)</f>
        <v/>
      </c>
      <c r="V4135" s="225" t="str">
        <f>IF(NOT(ISNUMBER(G4135)), "", VLOOKUP(A4135,'Discount Lookup'!G:H,2,FALSE)*G4135)</f>
        <v/>
      </c>
      <c r="W4135" s="508">
        <f t="shared" si="3164"/>
        <v>0</v>
      </c>
      <c r="X4135" s="508" t="str">
        <f t="shared" si="3165"/>
        <v>Burgundy-Red foliage</v>
      </c>
      <c r="Y4135" s="509" t="b">
        <f t="shared" si="3166"/>
        <v>0</v>
      </c>
      <c r="Z4135" s="510">
        <f t="shared" si="3167"/>
        <v>0</v>
      </c>
      <c r="AA4135" s="511"/>
      <c r="AB4135" s="511" t="str">
        <f t="shared" si="3168"/>
        <v/>
      </c>
      <c r="AC4135" s="698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698"/>
      <c r="AE4135" s="631" t="str">
        <f t="shared" si="3169"/>
        <v/>
      </c>
      <c r="AF4135" s="699" t="str">
        <f t="shared" si="3170"/>
        <v/>
      </c>
      <c r="AG4135" s="699"/>
      <c r="AH4135" s="699"/>
      <c r="AI4135" s="512">
        <f>IF(H4135="credit",0,IF(AE4135="free",0,IF(AE4135="me",0,IF(G4135&gt;0,(VLOOKUP(A4135,'Discount Lookup'!J:K,2)*G4135),0))))</f>
        <v>0</v>
      </c>
      <c r="AJ4135" s="513" t="str">
        <f t="shared" ca="1" si="3171"/>
        <v/>
      </c>
      <c r="AK4135" s="700" t="str">
        <f t="shared" si="3172"/>
        <v/>
      </c>
      <c r="AL4135" s="700"/>
      <c r="AM4135" s="505" t="str">
        <f t="shared" si="3173"/>
        <v/>
      </c>
      <c r="AN4135" s="506"/>
      <c r="AO4135" s="507"/>
      <c r="AP4135" s="507"/>
      <c r="AQ4135" s="507"/>
      <c r="AR4135" s="507"/>
      <c r="AS4135" s="507"/>
      <c r="AT4135" s="507"/>
      <c r="AU4135" s="507"/>
      <c r="AV4135" s="225"/>
      <c r="AW4135" s="508"/>
      <c r="AX4135" s="225"/>
      <c r="AY4135" s="225"/>
      <c r="AZ4135" s="225"/>
      <c r="BA4135" s="225"/>
      <c r="BB4135" s="225"/>
      <c r="BC4135" s="56"/>
      <c r="BD4135" s="56"/>
      <c r="BE4135" s="56"/>
      <c r="BF4135" s="107" t="str">
        <f t="shared" si="3174"/>
        <v>https://www.google.com/search?tbm=isch&amp;q=Winter%27s%20Columnar%20Red%20Japanese%20Maple%20Acer%20palmatum%20%27Winter%27s%20Columnar%20Red%27</v>
      </c>
      <c r="BG4135" s="107" t="str">
        <f t="shared" si="3175"/>
        <v>W</v>
      </c>
      <c r="BH4135" s="254"/>
      <c r="BI4135" s="254"/>
    </row>
    <row r="4136" spans="1:61" customFormat="1" ht="15.75" x14ac:dyDescent="0.25">
      <c r="A4136" s="276">
        <v>7</v>
      </c>
      <c r="B4136" s="240" t="s">
        <v>291</v>
      </c>
      <c r="C4136" s="241" t="s">
        <v>3873</v>
      </c>
      <c r="D4136" s="242" t="s">
        <v>292</v>
      </c>
      <c r="E4136" s="243">
        <v>224.95</v>
      </c>
      <c r="F4136" s="517" t="s">
        <v>293</v>
      </c>
      <c r="G4136" s="232">
        <v>0</v>
      </c>
      <c r="H4136" s="661" t="str">
        <f>IF(G4136=0,"",IF(F4136="Buy",IF(G4136=1,"plant","plants"),IF(F4136&gt;0.01,"warranty","Error")))</f>
        <v/>
      </c>
      <c r="I4136" s="244">
        <f>IF(H4136="free",0,IF(H4136="credit",((E4136*(F4136))*G4136*-1),IF(F4136="Buy",(E4136*G4136),((E4136*(1-F4136))*G4136))))</f>
        <v>0</v>
      </c>
      <c r="J4136" s="244">
        <f>IF(H4136="warranty",0,(I4136*(_xlfn.SINGLE(SalesTaxPercentage))))</f>
        <v>0</v>
      </c>
      <c r="K4136" s="696">
        <f t="shared" ref="K4136" si="3195">I4136+J4136</f>
        <v>0</v>
      </c>
      <c r="L4136" s="696"/>
      <c r="M4136" s="659" t="str">
        <f>IF(AND(G4136&gt;0,E4136=0),"WARNING - no PRICE inserted",IF(H4136="free"," FREE ~ no charge this plant",IF(H4136="credit",CONCATENATE(" -$",ROUND(K4136*(1-T2GDiscount)*-1,2)," CREDIT after discount"),IF(T2GDiscount=0,"",IF(G4136=0,"",IF(F4136="Buy",CONCATENATE(" $",ROUND(K4136*(1-T2GDiscount),2)," with ",(T2GDiscount*100),"% discount"),CONCATENATE(" $",ROUND(K4136*(1-T2GDiscount),2)," with ",((T2GDiscount*100+F4136*100)-(T2GDiscount*100*F4136)),IF(F4136&gt;0,"% discounts",IF(NoWarrantyDiscount&gt;0,"% discounts","% discount")))))))))</f>
        <v/>
      </c>
      <c r="N4136" s="660"/>
      <c r="O4136" s="233"/>
      <c r="P4136" s="233"/>
      <c r="Q4136" s="233"/>
      <c r="R4136" s="233"/>
      <c r="S4136" s="233"/>
      <c r="T4136" s="508">
        <f t="shared" si="3163"/>
        <v>0</v>
      </c>
      <c r="U4136" s="225">
        <f>IF(NOT(ISNUMBER(G4136)), "", VLOOKUP(A4136,'Discount Lookup'!D:E,2,FALSE)*G4136)</f>
        <v>0</v>
      </c>
      <c r="V4136" s="225">
        <f>IF(NOT(ISNUMBER(G4136)), "", VLOOKUP(A4136,'Discount Lookup'!G:H,2,FALSE)*G4136)</f>
        <v>0</v>
      </c>
      <c r="W4136" s="508">
        <f t="shared" si="3164"/>
        <v>0</v>
      </c>
      <c r="X4136" s="508">
        <f t="shared" si="3165"/>
        <v>0</v>
      </c>
      <c r="Y4136" s="509" t="b">
        <f t="shared" si="3166"/>
        <v>0</v>
      </c>
      <c r="Z4136" s="510">
        <f t="shared" si="3167"/>
        <v>0</v>
      </c>
      <c r="AA4136" s="511"/>
      <c r="AB4136" s="511" t="str">
        <f t="shared" si="3168"/>
        <v/>
      </c>
      <c r="AC4136" s="698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698"/>
      <c r="AE4136" s="631" t="str">
        <f t="shared" si="3169"/>
        <v/>
      </c>
      <c r="AF4136" s="699" t="str">
        <f t="shared" si="3170"/>
        <v/>
      </c>
      <c r="AG4136" s="699"/>
      <c r="AH4136" s="699"/>
      <c r="AI4136" s="512">
        <f>IF(H4136="credit",0,IF(AE4136="free",0,IF(AE4136="me",0,IF(G4136&gt;0,(VLOOKUP(A4136,'Discount Lookup'!J:K,2)*G4136),0))))</f>
        <v>0</v>
      </c>
      <c r="AJ4136" s="513" t="str">
        <f t="shared" ca="1" si="3171"/>
        <v/>
      </c>
      <c r="AK4136" s="700" t="str">
        <f t="shared" si="3172"/>
        <v/>
      </c>
      <c r="AL4136" s="700"/>
      <c r="AM4136" s="505" t="str">
        <f t="shared" si="3173"/>
        <v/>
      </c>
      <c r="AN4136" s="506"/>
      <c r="AO4136" s="507"/>
      <c r="AP4136" s="507"/>
      <c r="AQ4136" s="507"/>
      <c r="AR4136" s="507"/>
      <c r="AS4136" s="507"/>
      <c r="AT4136" s="507"/>
      <c r="AU4136" s="507"/>
      <c r="AV4136" s="225"/>
      <c r="AW4136" s="508"/>
      <c r="AX4136" s="225"/>
      <c r="AY4136" s="225"/>
      <c r="AZ4136" s="225"/>
      <c r="BA4136" s="225"/>
      <c r="BB4136" s="225"/>
      <c r="BC4136" s="56"/>
      <c r="BD4136" s="56"/>
      <c r="BE4136" s="56"/>
      <c r="BF4136" s="107" t="str">
        <f t="shared" si="3174"/>
        <v>https://www.google.com/search?tbm=isch&amp;q=7%20G4</v>
      </c>
      <c r="BG4136" s="107" t="str">
        <f t="shared" si="3175"/>
        <v>W</v>
      </c>
      <c r="BH4136" s="254"/>
      <c r="BI4136" s="254"/>
    </row>
    <row r="4137" spans="1:61" customFormat="1" ht="17.25" thickBot="1" x14ac:dyDescent="0.3">
      <c r="A4137" s="524" t="s">
        <v>2277</v>
      </c>
      <c r="B4137" s="245"/>
      <c r="C4137" s="677"/>
      <c r="D4137" s="499"/>
      <c r="E4137" s="499"/>
      <c r="F4137" s="500"/>
      <c r="G4137" s="501"/>
      <c r="H4137" s="502"/>
      <c r="I4137" s="246"/>
      <c r="J4137" s="247"/>
      <c r="K4137" s="503"/>
      <c r="L4137" s="544"/>
      <c r="M4137" s="544"/>
      <c r="N4137" s="500"/>
      <c r="O4137" s="500"/>
      <c r="P4137" s="500"/>
      <c r="Q4137" s="500"/>
      <c r="R4137" s="500"/>
      <c r="S4137" s="278"/>
      <c r="T4137" s="508">
        <f t="shared" si="3163"/>
        <v>0</v>
      </c>
      <c r="U4137" s="225" t="str">
        <f>IF(NOT(ISNUMBER(G4137)), "", VLOOKUP(A4137,'Discount Lookup'!D:E,2,FALSE)*G4137)</f>
        <v/>
      </c>
      <c r="V4137" s="225" t="str">
        <f>IF(NOT(ISNUMBER(G4137)), "", VLOOKUP(A4137,'Discount Lookup'!G:H,2,FALSE)*G4137)</f>
        <v/>
      </c>
      <c r="W4137" s="508">
        <f t="shared" si="3164"/>
        <v>0</v>
      </c>
      <c r="X4137" s="508">
        <f t="shared" si="3165"/>
        <v>0</v>
      </c>
      <c r="Y4137" s="509" t="b">
        <f t="shared" si="3166"/>
        <v>0</v>
      </c>
      <c r="Z4137" s="510">
        <f t="shared" si="3167"/>
        <v>0</v>
      </c>
      <c r="AA4137" s="511"/>
      <c r="AB4137" s="511" t="str">
        <f t="shared" si="3168"/>
        <v/>
      </c>
      <c r="AC4137" s="698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698"/>
      <c r="AE4137" s="631" t="str">
        <f t="shared" si="3169"/>
        <v/>
      </c>
      <c r="AF4137" s="699" t="str">
        <f t="shared" si="3170"/>
        <v/>
      </c>
      <c r="AG4137" s="699"/>
      <c r="AH4137" s="699"/>
      <c r="AI4137" s="512">
        <f>IF(H4137="credit",0,IF(AE4137="free",0,IF(AE4137="me",0,IF(G4137&gt;0,(VLOOKUP(A4137,'Discount Lookup'!J:K,2)*G4137),0))))</f>
        <v>0</v>
      </c>
      <c r="AJ4137" s="513" t="str">
        <f t="shared" ca="1" si="3171"/>
        <v/>
      </c>
      <c r="AK4137" s="700" t="str">
        <f t="shared" si="3172"/>
        <v/>
      </c>
      <c r="AL4137" s="700"/>
      <c r="AM4137" s="505" t="str">
        <f t="shared" si="3173"/>
        <v/>
      </c>
      <c r="AN4137" s="506"/>
      <c r="AO4137" s="507"/>
      <c r="AP4137" s="507"/>
      <c r="AQ4137" s="507"/>
      <c r="AR4137" s="507"/>
      <c r="AS4137" s="507"/>
      <c r="AT4137" s="507"/>
      <c r="AU4137" s="507"/>
      <c r="AV4137" s="225"/>
      <c r="AW4137" s="508"/>
      <c r="AX4137" s="225"/>
      <c r="AY4137" s="225"/>
      <c r="AZ4137" s="225"/>
      <c r="BA4137" s="225"/>
      <c r="BB4137" s="225"/>
      <c r="BC4137" s="56"/>
      <c r="BD4137" s="56"/>
      <c r="BE4137" s="56"/>
      <c r="BF4137" s="107" t="str">
        <f t="shared" si="3174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4137" s="107" t="str">
        <f t="shared" si="3175"/>
        <v>W</v>
      </c>
      <c r="BH4137" s="254"/>
      <c r="BI4137" s="254"/>
    </row>
    <row r="4138" spans="1:61" customFormat="1" ht="18" x14ac:dyDescent="0.25">
      <c r="A4138" s="521" t="s">
        <v>2058</v>
      </c>
      <c r="B4138" s="477"/>
      <c r="C4138" s="674"/>
      <c r="D4138" s="478" t="s">
        <v>2059</v>
      </c>
      <c r="E4138" s="479"/>
      <c r="F4138" s="479"/>
      <c r="G4138" s="479"/>
      <c r="H4138" s="582" t="s">
        <v>2576</v>
      </c>
      <c r="I4138" s="480" t="s">
        <v>2577</v>
      </c>
      <c r="J4138" s="479"/>
      <c r="K4138" s="479"/>
      <c r="L4138" s="560"/>
      <c r="M4138" s="671" t="s">
        <v>4990</v>
      </c>
      <c r="N4138" s="680" t="str">
        <f>IF(AND(ISTEXT($A4138), ISERROR($A4138+0)), HYPERLINK($BF4138, "Images"), "")</f>
        <v>Images</v>
      </c>
      <c r="O4138" s="662" t="s">
        <v>4967</v>
      </c>
      <c r="P4138" s="482"/>
      <c r="Q4138" s="483"/>
      <c r="R4138" s="483"/>
      <c r="S4138" s="484"/>
      <c r="T4138" s="508">
        <f t="shared" si="3163"/>
        <v>0</v>
      </c>
      <c r="U4138" s="225" t="str">
        <f>IF(NOT(ISNUMBER(G4138)), "", VLOOKUP(A4138,'Discount Lookup'!D:E,2,FALSE)*G4138)</f>
        <v/>
      </c>
      <c r="V4138" s="225" t="str">
        <f>IF(NOT(ISNUMBER(G4138)), "", VLOOKUP(A4138,'Discount Lookup'!G:H,2,FALSE)*G4138)</f>
        <v/>
      </c>
      <c r="W4138" s="508">
        <f t="shared" si="3164"/>
        <v>0</v>
      </c>
      <c r="X4138" s="508" t="str">
        <f t="shared" si="3165"/>
        <v>Rose bloom, Yellow stamen</v>
      </c>
      <c r="Y4138" s="509" t="b">
        <f t="shared" si="3166"/>
        <v>0</v>
      </c>
      <c r="Z4138" s="510">
        <f t="shared" si="3167"/>
        <v>0</v>
      </c>
      <c r="AA4138" s="511"/>
      <c r="AB4138" s="511" t="str">
        <f t="shared" si="3168"/>
        <v/>
      </c>
      <c r="AC4138" s="698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698"/>
      <c r="AE4138" s="631" t="str">
        <f t="shared" si="3169"/>
        <v/>
      </c>
      <c r="AF4138" s="699" t="str">
        <f t="shared" si="3170"/>
        <v/>
      </c>
      <c r="AG4138" s="699"/>
      <c r="AH4138" s="699"/>
      <c r="AI4138" s="512">
        <f>IF(H4138="credit",0,IF(AE4138="free",0,IF(AE4138="me",0,IF(G4138&gt;0,(VLOOKUP(A4138,'Discount Lookup'!J:K,2)*G4138),0))))</f>
        <v>0</v>
      </c>
      <c r="AJ4138" s="513" t="str">
        <f t="shared" ca="1" si="3171"/>
        <v/>
      </c>
      <c r="AK4138" s="700" t="str">
        <f t="shared" si="3172"/>
        <v/>
      </c>
      <c r="AL4138" s="700"/>
      <c r="AM4138" s="505" t="str">
        <f t="shared" si="3173"/>
        <v/>
      </c>
      <c r="AN4138" s="506"/>
      <c r="AO4138" s="507"/>
      <c r="AP4138" s="507"/>
      <c r="AQ4138" s="507"/>
      <c r="AR4138" s="507"/>
      <c r="AS4138" s="507"/>
      <c r="AT4138" s="507"/>
      <c r="AU4138" s="507"/>
      <c r="AV4138" s="225"/>
      <c r="AW4138" s="508"/>
      <c r="AX4138" s="225"/>
      <c r="AY4138" s="225"/>
      <c r="AZ4138" s="225"/>
      <c r="BA4138" s="225"/>
      <c r="BB4138" s="225"/>
      <c r="BC4138" s="56"/>
      <c r="BD4138" s="56"/>
      <c r="BE4138" s="56"/>
      <c r="BF4138" s="107" t="str">
        <f t="shared" si="3174"/>
        <v>https://www.google.com/search?tbm=isch&amp;q=Winter%27s%20Joy%20Camellia%20Camellia%20%27Winter%27s%20Joy%27</v>
      </c>
      <c r="BG4138" s="107" t="str">
        <f t="shared" si="3175"/>
        <v>W</v>
      </c>
      <c r="BH4138" s="254"/>
      <c r="BI4138" s="254"/>
    </row>
    <row r="4139" spans="1:61" customFormat="1" ht="15.75" x14ac:dyDescent="0.25">
      <c r="A4139" s="485">
        <v>7</v>
      </c>
      <c r="B4139" s="486" t="s">
        <v>291</v>
      </c>
      <c r="C4139" s="487" t="s">
        <v>4960</v>
      </c>
      <c r="D4139" s="488" t="s">
        <v>292</v>
      </c>
      <c r="E4139" s="489">
        <v>104.95</v>
      </c>
      <c r="F4139" s="516" t="s">
        <v>293</v>
      </c>
      <c r="G4139" s="232">
        <v>0</v>
      </c>
      <c r="H4139" s="658" t="str">
        <f>IF(G4139=0,"",IF(F4139="Buy",IF(G4139=1,"plant","plants"),IF(F4139&gt;0.01,"warranty","Error")))</f>
        <v/>
      </c>
      <c r="I4139" s="490">
        <f>IF(H4139="free",0,IF(H4139="credit",((E4139*(F4139))*G4139*-1),IF(F4139="Buy",(E4139*G4139),((E4139*(1-F4139))*G4139))))</f>
        <v>0</v>
      </c>
      <c r="J4139" s="490">
        <f>IF(H4139="warranty",0,(I4139*(_xlfn.SINGLE(SalesTaxPercentage))))</f>
        <v>0</v>
      </c>
      <c r="K4139" s="695">
        <f t="shared" ref="K4139" si="3196">I4139+J4139</f>
        <v>0</v>
      </c>
      <c r="L4139" s="695"/>
      <c r="M4139" s="659" t="str">
        <f>IF(AND(G4139&gt;0,E4139=0),"WARNING - no PRICE inserted",IF(H4139="free"," FREE ~ no charge this plant",IF(H4139="credit",CONCATENATE(" -$",ROUND(K4139*(1-T2GDiscount)*-1,2)," CREDIT after discount"),IF(T2GDiscount=0,"",IF(G4139=0,"",IF(F4139="Buy",CONCATENATE(" $",ROUND(K4139*(1-T2GDiscount),2)," with ",(T2GDiscount*100),"% discount"),CONCATENATE(" $",ROUND(K4139*(1-T2GDiscount),2)," with ",((T2GDiscount*100+F4139*100)-(T2GDiscount*100*F4139)),IF(F4139&gt;0,"% discounts",IF(NoWarrantyDiscount&gt;0,"% discounts","% discount")))))))))</f>
        <v/>
      </c>
      <c r="N4139" s="660"/>
      <c r="O4139" s="233"/>
      <c r="P4139" s="233"/>
      <c r="Q4139" s="233"/>
      <c r="R4139" s="233"/>
      <c r="S4139" s="233"/>
      <c r="T4139" s="508">
        <f t="shared" si="3163"/>
        <v>0</v>
      </c>
      <c r="U4139" s="225">
        <f>IF(NOT(ISNUMBER(G4139)), "", VLOOKUP(A4139,'Discount Lookup'!D:E,2,FALSE)*G4139)</f>
        <v>0</v>
      </c>
      <c r="V4139" s="225">
        <f>IF(NOT(ISNUMBER(G4139)), "", VLOOKUP(A4139,'Discount Lookup'!G:H,2,FALSE)*G4139)</f>
        <v>0</v>
      </c>
      <c r="W4139" s="508">
        <f t="shared" si="3164"/>
        <v>0</v>
      </c>
      <c r="X4139" s="508">
        <f t="shared" si="3165"/>
        <v>0</v>
      </c>
      <c r="Y4139" s="509" t="b">
        <f t="shared" si="3166"/>
        <v>0</v>
      </c>
      <c r="Z4139" s="510">
        <f t="shared" si="3167"/>
        <v>0</v>
      </c>
      <c r="AA4139" s="511"/>
      <c r="AB4139" s="511" t="str">
        <f t="shared" si="3168"/>
        <v/>
      </c>
      <c r="AC4139" s="698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698"/>
      <c r="AE4139" s="631" t="str">
        <f t="shared" si="3169"/>
        <v/>
      </c>
      <c r="AF4139" s="699" t="str">
        <f t="shared" si="3170"/>
        <v/>
      </c>
      <c r="AG4139" s="699"/>
      <c r="AH4139" s="699"/>
      <c r="AI4139" s="512">
        <f>IF(H4139="credit",0,IF(AE4139="free",0,IF(AE4139="me",0,IF(G4139&gt;0,(VLOOKUP(A4139,'Discount Lookup'!J:K,2)*G4139),0))))</f>
        <v>0</v>
      </c>
      <c r="AJ4139" s="513" t="str">
        <f t="shared" ca="1" si="3171"/>
        <v/>
      </c>
      <c r="AK4139" s="700" t="str">
        <f t="shared" si="3172"/>
        <v/>
      </c>
      <c r="AL4139" s="700"/>
      <c r="AM4139" s="505" t="str">
        <f t="shared" si="3173"/>
        <v/>
      </c>
      <c r="AN4139" s="506"/>
      <c r="AO4139" s="507"/>
      <c r="AP4139" s="507"/>
      <c r="AQ4139" s="507"/>
      <c r="AR4139" s="507"/>
      <c r="AS4139" s="507"/>
      <c r="AT4139" s="507"/>
      <c r="AU4139" s="507"/>
      <c r="AV4139" s="225"/>
      <c r="AW4139" s="508"/>
      <c r="AX4139" s="225"/>
      <c r="AY4139" s="225"/>
      <c r="AZ4139" s="225"/>
      <c r="BA4139" s="225"/>
      <c r="BB4139" s="225"/>
      <c r="BC4139" s="56"/>
      <c r="BD4139" s="56"/>
      <c r="BE4139" s="56"/>
      <c r="BF4139" s="107" t="str">
        <f t="shared" si="3174"/>
        <v>https://www.google.com/search?tbm=isch&amp;q=7%20G4</v>
      </c>
      <c r="BG4139" s="107" t="str">
        <f t="shared" si="3175"/>
        <v>W</v>
      </c>
      <c r="BH4139" s="254"/>
      <c r="BI4139" s="254"/>
    </row>
    <row r="4140" spans="1:61" customFormat="1" ht="17.25" thickBot="1" x14ac:dyDescent="0.3">
      <c r="A4140" s="672" t="s">
        <v>5288</v>
      </c>
      <c r="B4140" s="491"/>
      <c r="C4140" s="675"/>
      <c r="D4140" s="491"/>
      <c r="E4140" s="491"/>
      <c r="F4140" s="492"/>
      <c r="G4140" s="493"/>
      <c r="H4140" s="491"/>
      <c r="I4140" s="234"/>
      <c r="J4140" s="234"/>
      <c r="K4140" s="494"/>
      <c r="L4140" s="543"/>
      <c r="M4140" s="561"/>
      <c r="N4140" s="495"/>
      <c r="O4140" s="496"/>
      <c r="P4140" s="497"/>
      <c r="Q4140" s="495"/>
      <c r="R4140" s="495"/>
      <c r="S4140" s="667" t="s">
        <v>4986</v>
      </c>
      <c r="T4140" s="508">
        <f t="shared" si="3163"/>
        <v>0</v>
      </c>
      <c r="U4140" s="225" t="str">
        <f>IF(NOT(ISNUMBER(G4140)), "", VLOOKUP(A4140,'Discount Lookup'!D:E,2,FALSE)*G4140)</f>
        <v/>
      </c>
      <c r="V4140" s="225" t="str">
        <f>IF(NOT(ISNUMBER(G4140)), "", VLOOKUP(A4140,'Discount Lookup'!G:H,2,FALSE)*G4140)</f>
        <v/>
      </c>
      <c r="W4140" s="508">
        <f t="shared" si="3164"/>
        <v>0</v>
      </c>
      <c r="X4140" s="508">
        <f t="shared" si="3165"/>
        <v>0</v>
      </c>
      <c r="Y4140" s="509" t="b">
        <f t="shared" si="3166"/>
        <v>0</v>
      </c>
      <c r="Z4140" s="510">
        <f t="shared" si="3167"/>
        <v>0</v>
      </c>
      <c r="AA4140" s="511"/>
      <c r="AB4140" s="511" t="str">
        <f t="shared" si="3168"/>
        <v/>
      </c>
      <c r="AC4140" s="698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698"/>
      <c r="AE4140" s="631" t="str">
        <f t="shared" si="3169"/>
        <v/>
      </c>
      <c r="AF4140" s="699" t="str">
        <f t="shared" si="3170"/>
        <v/>
      </c>
      <c r="AG4140" s="699"/>
      <c r="AH4140" s="699"/>
      <c r="AI4140" s="512">
        <f>IF(H4140="credit",0,IF(AE4140="free",0,IF(AE4140="me",0,IF(G4140&gt;0,(VLOOKUP(A4140,'Discount Lookup'!J:K,2)*G4140),0))))</f>
        <v>0</v>
      </c>
      <c r="AJ4140" s="513" t="str">
        <f t="shared" ca="1" si="3171"/>
        <v/>
      </c>
      <c r="AK4140" s="700" t="str">
        <f t="shared" si="3172"/>
        <v/>
      </c>
      <c r="AL4140" s="700"/>
      <c r="AM4140" s="505" t="str">
        <f t="shared" si="3173"/>
        <v/>
      </c>
      <c r="AN4140" s="506"/>
      <c r="AO4140" s="507"/>
      <c r="AP4140" s="507"/>
      <c r="AQ4140" s="507"/>
      <c r="AR4140" s="507"/>
      <c r="AS4140" s="507"/>
      <c r="AT4140" s="507"/>
      <c r="AU4140" s="507"/>
      <c r="AV4140" s="225"/>
      <c r="AW4140" s="508"/>
      <c r="AX4140" s="225"/>
      <c r="AY4140" s="225"/>
      <c r="AZ4140" s="225"/>
      <c r="BA4140" s="225"/>
      <c r="BB4140" s="225"/>
      <c r="BC4140" s="56"/>
      <c r="BD4140" s="56"/>
      <c r="BE4140" s="56"/>
      <c r="BF4140" s="107" t="str">
        <f t="shared" si="3174"/>
        <v>https://www.google.com/search?tbm=isch&amp;q=moist%20sites%F0%9F%92%A7OK%2C%20Winter%27s%20Joy%20is%20a%20cold-hardy%2C%20late-fall%20blooming%20shrub%20known%20for%20its%20self-cleaning%20flowers%20that%20drop%20neatly%20</v>
      </c>
      <c r="BG4140" s="107" t="str">
        <f t="shared" si="3175"/>
        <v>m</v>
      </c>
      <c r="BH4140" s="254"/>
      <c r="BI4140" s="254"/>
    </row>
    <row r="4141" spans="1:61" customFormat="1" ht="18" x14ac:dyDescent="0.25">
      <c r="A4141" s="521" t="s">
        <v>2060</v>
      </c>
      <c r="B4141" s="477"/>
      <c r="C4141" s="674"/>
      <c r="D4141" s="478" t="s">
        <v>2061</v>
      </c>
      <c r="E4141" s="479"/>
      <c r="F4141" s="479"/>
      <c r="G4141" s="479"/>
      <c r="H4141" s="582" t="s">
        <v>974</v>
      </c>
      <c r="I4141" s="480" t="s">
        <v>2413</v>
      </c>
      <c r="J4141" s="479"/>
      <c r="K4141" s="479"/>
      <c r="L4141" s="560"/>
      <c r="M4141" s="671" t="s">
        <v>4990</v>
      </c>
      <c r="N4141" s="680" t="str">
        <f>IF(AND(ISTEXT($A4141), ISERROR($A4141+0)), HYPERLINK($BF4141, "Images"), "")</f>
        <v>Images</v>
      </c>
      <c r="O4141" s="662" t="s">
        <v>4967</v>
      </c>
      <c r="P4141" s="482"/>
      <c r="Q4141" s="483"/>
      <c r="R4141" s="483"/>
      <c r="S4141" s="484"/>
      <c r="T4141" s="508">
        <f t="shared" si="3163"/>
        <v>0</v>
      </c>
      <c r="U4141" s="225" t="str">
        <f>IF(NOT(ISNUMBER(G4141)), "", VLOOKUP(A4141,'Discount Lookup'!D:E,2,FALSE)*G4141)</f>
        <v/>
      </c>
      <c r="V4141" s="225" t="str">
        <f>IF(NOT(ISNUMBER(G4141)), "", VLOOKUP(A4141,'Discount Lookup'!G:H,2,FALSE)*G4141)</f>
        <v/>
      </c>
      <c r="W4141" s="508">
        <f t="shared" si="3164"/>
        <v>0</v>
      </c>
      <c r="X4141" s="508" t="str">
        <f t="shared" si="3165"/>
        <v>White bloom, Yellow stamen</v>
      </c>
      <c r="Y4141" s="509" t="b">
        <f t="shared" si="3166"/>
        <v>0</v>
      </c>
      <c r="Z4141" s="510">
        <f t="shared" si="3167"/>
        <v>0</v>
      </c>
      <c r="AA4141" s="511"/>
      <c r="AB4141" s="511" t="str">
        <f t="shared" si="3168"/>
        <v/>
      </c>
      <c r="AC4141" s="698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698"/>
      <c r="AE4141" s="631" t="str">
        <f t="shared" si="3169"/>
        <v/>
      </c>
      <c r="AF4141" s="699" t="str">
        <f t="shared" si="3170"/>
        <v/>
      </c>
      <c r="AG4141" s="699"/>
      <c r="AH4141" s="699"/>
      <c r="AI4141" s="512">
        <f>IF(H4141="credit",0,IF(AE4141="free",0,IF(AE4141="me",0,IF(G4141&gt;0,(VLOOKUP(A4141,'Discount Lookup'!J:K,2)*G4141),0))))</f>
        <v>0</v>
      </c>
      <c r="AJ4141" s="513" t="str">
        <f t="shared" ca="1" si="3171"/>
        <v/>
      </c>
      <c r="AK4141" s="700" t="str">
        <f t="shared" si="3172"/>
        <v/>
      </c>
      <c r="AL4141" s="700"/>
      <c r="AM4141" s="505" t="str">
        <f t="shared" si="3173"/>
        <v/>
      </c>
      <c r="AN4141" s="506"/>
      <c r="AO4141" s="507"/>
      <c r="AP4141" s="507"/>
      <c r="AQ4141" s="507"/>
      <c r="AR4141" s="507"/>
      <c r="AS4141" s="507"/>
      <c r="AT4141" s="507"/>
      <c r="AU4141" s="507"/>
      <c r="AV4141" s="225"/>
      <c r="AW4141" s="508"/>
      <c r="AX4141" s="225"/>
      <c r="AY4141" s="225"/>
      <c r="AZ4141" s="225"/>
      <c r="BA4141" s="225"/>
      <c r="BB4141" s="225"/>
      <c r="BC4141" s="56"/>
      <c r="BD4141" s="56"/>
      <c r="BE4141" s="56"/>
      <c r="BF4141" s="107" t="str">
        <f t="shared" si="3174"/>
        <v>https://www.google.com/search?tbm=isch&amp;q=Winter%27s%20Snowman%20Camellia%20Camellia%20%27Winter%27s%20Snowman%27</v>
      </c>
      <c r="BG4141" s="107" t="str">
        <f t="shared" si="3175"/>
        <v>W</v>
      </c>
      <c r="BH4141" s="254"/>
      <c r="BI4141" s="254"/>
    </row>
    <row r="4142" spans="1:61" customFormat="1" ht="15.75" x14ac:dyDescent="0.25">
      <c r="A4142" s="485">
        <v>3</v>
      </c>
      <c r="B4142" s="486" t="s">
        <v>291</v>
      </c>
      <c r="C4142" s="487" t="s">
        <v>4834</v>
      </c>
      <c r="D4142" s="488" t="s">
        <v>312</v>
      </c>
      <c r="E4142" s="489">
        <v>34.950000000000003</v>
      </c>
      <c r="F4142" s="516" t="s">
        <v>293</v>
      </c>
      <c r="G4142" s="232">
        <v>0</v>
      </c>
      <c r="H4142" s="658" t="str">
        <f>IF(G4142=0,"",IF(F4142="Buy",IF(G4142=1,"plant","plants"),IF(F4142&gt;0.01,"warranty","Error")))</f>
        <v/>
      </c>
      <c r="I4142" s="490">
        <f>IF(H4142="free",0,IF(H4142="credit",((E4142*(F4142))*G4142*-1),IF(F4142="Buy",(E4142*G4142),((E4142*(1-F4142))*G4142))))</f>
        <v>0</v>
      </c>
      <c r="J4142" s="490">
        <f>IF(H4142="warranty",0,(I4142*(_xlfn.SINGLE(SalesTaxPercentage))))</f>
        <v>0</v>
      </c>
      <c r="K4142" s="695">
        <f t="shared" ref="K4142" si="3197">I4142+J4142</f>
        <v>0</v>
      </c>
      <c r="L4142" s="695"/>
      <c r="M4142" s="659" t="str">
        <f>IF(AND(G4142&gt;0,E4142=0),"WARNING - no PRICE inserted",IF(H4142="free"," FREE ~ no charge this plant",IF(H4142="credit",CONCATENATE(" -$",ROUND(K4142*(1-T2GDiscount)*-1,2)," CREDIT after discount"),IF(T2GDiscount=0,"",IF(G4142=0,"",IF(F4142="Buy",CONCATENATE(" $",ROUND(K4142*(1-T2GDiscount),2)," with ",(T2GDiscount*100),"% discount"),CONCATENATE(" $",ROUND(K4142*(1-T2GDiscount),2)," with ",((T2GDiscount*100+F4142*100)-(T2GDiscount*100*F4142)),IF(F4142&gt;0,"% discounts",IF(NoWarrantyDiscount&gt;0,"% discounts","% discount")))))))))</f>
        <v/>
      </c>
      <c r="N4142" s="660"/>
      <c r="O4142" s="233"/>
      <c r="P4142" s="233"/>
      <c r="Q4142" s="233"/>
      <c r="R4142" s="233"/>
      <c r="S4142" s="233"/>
      <c r="T4142" s="508">
        <f t="shared" si="3163"/>
        <v>0</v>
      </c>
      <c r="U4142" s="225">
        <f>IF(NOT(ISNUMBER(G4142)), "", VLOOKUP(A4142,'Discount Lookup'!D:E,2,FALSE)*G4142)</f>
        <v>0</v>
      </c>
      <c r="V4142" s="225">
        <f>IF(NOT(ISNUMBER(G4142)), "", VLOOKUP(A4142,'Discount Lookup'!G:H,2,FALSE)*G4142)</f>
        <v>0</v>
      </c>
      <c r="W4142" s="508">
        <f t="shared" si="3164"/>
        <v>0</v>
      </c>
      <c r="X4142" s="508">
        <f t="shared" si="3165"/>
        <v>0</v>
      </c>
      <c r="Y4142" s="509" t="b">
        <f t="shared" si="3166"/>
        <v>0</v>
      </c>
      <c r="Z4142" s="510">
        <f t="shared" si="3167"/>
        <v>0</v>
      </c>
      <c r="AA4142" s="511"/>
      <c r="AB4142" s="511" t="str">
        <f t="shared" si="3168"/>
        <v/>
      </c>
      <c r="AC4142" s="698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698"/>
      <c r="AE4142" s="631" t="str">
        <f t="shared" si="3169"/>
        <v/>
      </c>
      <c r="AF4142" s="699" t="str">
        <f t="shared" si="3170"/>
        <v/>
      </c>
      <c r="AG4142" s="699"/>
      <c r="AH4142" s="699"/>
      <c r="AI4142" s="512">
        <f>IF(H4142="credit",0,IF(AE4142="free",0,IF(AE4142="me",0,IF(G4142&gt;0,(VLOOKUP(A4142,'Discount Lookup'!J:K,2)*G4142),0))))</f>
        <v>0</v>
      </c>
      <c r="AJ4142" s="513" t="str">
        <f t="shared" ca="1" si="3171"/>
        <v/>
      </c>
      <c r="AK4142" s="700" t="str">
        <f t="shared" si="3172"/>
        <v/>
      </c>
      <c r="AL4142" s="700"/>
      <c r="AM4142" s="505" t="str">
        <f t="shared" si="3173"/>
        <v/>
      </c>
      <c r="AN4142" s="506"/>
      <c r="AO4142" s="507"/>
      <c r="AP4142" s="507"/>
      <c r="AQ4142" s="507"/>
      <c r="AR4142" s="507"/>
      <c r="AS4142" s="507"/>
      <c r="AT4142" s="507"/>
      <c r="AU4142" s="507"/>
      <c r="AV4142" s="225"/>
      <c r="AW4142" s="508"/>
      <c r="AX4142" s="225"/>
      <c r="AY4142" s="225"/>
      <c r="AZ4142" s="225"/>
      <c r="BA4142" s="225"/>
      <c r="BB4142" s="225"/>
      <c r="BC4142" s="56"/>
      <c r="BD4142" s="56"/>
      <c r="BE4142" s="56"/>
      <c r="BF4142" s="107" t="str">
        <f t="shared" si="3174"/>
        <v>https://www.google.com/search?tbm=isch&amp;q=3%20G2</v>
      </c>
      <c r="BG4142" s="107" t="str">
        <f t="shared" si="3175"/>
        <v>W</v>
      </c>
      <c r="BH4142" s="254"/>
      <c r="BI4142" s="254"/>
    </row>
    <row r="4143" spans="1:61" customFormat="1" ht="15.75" x14ac:dyDescent="0.25">
      <c r="A4143" s="485">
        <v>7</v>
      </c>
      <c r="B4143" s="486" t="s">
        <v>291</v>
      </c>
      <c r="C4143" s="487" t="s">
        <v>4697</v>
      </c>
      <c r="D4143" s="488" t="s">
        <v>299</v>
      </c>
      <c r="E4143" s="489">
        <v>102.95</v>
      </c>
      <c r="F4143" s="516" t="s">
        <v>293</v>
      </c>
      <c r="G4143" s="232">
        <v>0</v>
      </c>
      <c r="H4143" s="658" t="str">
        <f>IF(G4143=0,"",IF(F4143="Buy",IF(G4143=1,"plant","plants"),IF(F4143&gt;0.01,"warranty","Error")))</f>
        <v/>
      </c>
      <c r="I4143" s="490">
        <f>IF(H4143="free",0,IF(H4143="credit",((E4143*(F4143))*G4143*-1),IF(F4143="Buy",(E4143*G4143),((E4143*(1-F4143))*G4143))))</f>
        <v>0</v>
      </c>
      <c r="J4143" s="490">
        <f>IF(H4143="warranty",0,(I4143*(_xlfn.SINGLE(SalesTaxPercentage))))</f>
        <v>0</v>
      </c>
      <c r="K4143" s="695">
        <f t="shared" ref="K4143" si="3198">I4143+J4143</f>
        <v>0</v>
      </c>
      <c r="L4143" s="695"/>
      <c r="M4143" s="659" t="str">
        <f>IF(AND(G4143&gt;0,E4143=0),"WARNING - no PRICE inserted",IF(H4143="free"," FREE ~ no charge this plant",IF(H4143="credit",CONCATENATE(" -$",ROUND(K4143*(1-T2GDiscount)*-1,2)," CREDIT after discount"),IF(T2GDiscount=0,"",IF(G4143=0,"",IF(F4143="Buy",CONCATENATE(" $",ROUND(K4143*(1-T2GDiscount),2)," with ",(T2GDiscount*100),"% discount"),CONCATENATE(" $",ROUND(K4143*(1-T2GDiscount),2)," with ",((T2GDiscount*100+F4143*100)-(T2GDiscount*100*F4143)),IF(F4143&gt;0,"% discounts",IF(NoWarrantyDiscount&gt;0,"% discounts","% discount")))))))))</f>
        <v/>
      </c>
      <c r="N4143" s="660"/>
      <c r="O4143" s="233"/>
      <c r="P4143" s="233"/>
      <c r="Q4143" s="233"/>
      <c r="R4143" s="233"/>
      <c r="S4143" s="233"/>
      <c r="T4143" s="508">
        <f t="shared" si="3163"/>
        <v>0</v>
      </c>
      <c r="U4143" s="225">
        <f>IF(NOT(ISNUMBER(G4143)), "", VLOOKUP(A4143,'Discount Lookup'!D:E,2,FALSE)*G4143)</f>
        <v>0</v>
      </c>
      <c r="V4143" s="225">
        <f>IF(NOT(ISNUMBER(G4143)), "", VLOOKUP(A4143,'Discount Lookup'!G:H,2,FALSE)*G4143)</f>
        <v>0</v>
      </c>
      <c r="W4143" s="508">
        <f t="shared" si="3164"/>
        <v>0</v>
      </c>
      <c r="X4143" s="508">
        <f t="shared" si="3165"/>
        <v>0</v>
      </c>
      <c r="Y4143" s="509" t="b">
        <f t="shared" si="3166"/>
        <v>0</v>
      </c>
      <c r="Z4143" s="510">
        <f t="shared" si="3167"/>
        <v>0</v>
      </c>
      <c r="AA4143" s="511"/>
      <c r="AB4143" s="511" t="str">
        <f t="shared" si="3168"/>
        <v/>
      </c>
      <c r="AC4143" s="698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698"/>
      <c r="AE4143" s="631" t="str">
        <f t="shared" si="3169"/>
        <v/>
      </c>
      <c r="AF4143" s="699" t="str">
        <f t="shared" si="3170"/>
        <v/>
      </c>
      <c r="AG4143" s="699"/>
      <c r="AH4143" s="699"/>
      <c r="AI4143" s="512">
        <f>IF(H4143="credit",0,IF(AE4143="free",0,IF(AE4143="me",0,IF(G4143&gt;0,(VLOOKUP(A4143,'Discount Lookup'!J:K,2)*G4143),0))))</f>
        <v>0</v>
      </c>
      <c r="AJ4143" s="513" t="str">
        <f t="shared" ca="1" si="3171"/>
        <v/>
      </c>
      <c r="AK4143" s="700" t="str">
        <f t="shared" si="3172"/>
        <v/>
      </c>
      <c r="AL4143" s="700"/>
      <c r="AM4143" s="505" t="str">
        <f t="shared" si="3173"/>
        <v/>
      </c>
      <c r="AN4143" s="506"/>
      <c r="AO4143" s="507"/>
      <c r="AP4143" s="507"/>
      <c r="AQ4143" s="507"/>
      <c r="AR4143" s="507"/>
      <c r="AS4143" s="507"/>
      <c r="AT4143" s="507"/>
      <c r="AU4143" s="507"/>
      <c r="AV4143" s="225"/>
      <c r="AW4143" s="508"/>
      <c r="AX4143" s="225"/>
      <c r="AY4143" s="225"/>
      <c r="AZ4143" s="225"/>
      <c r="BA4143" s="225"/>
      <c r="BB4143" s="225"/>
      <c r="BC4143" s="56"/>
      <c r="BD4143" s="56"/>
      <c r="BE4143" s="56"/>
      <c r="BF4143" s="107" t="str">
        <f t="shared" si="3174"/>
        <v>https://www.google.com/search?tbm=isch&amp;q=7%20G5</v>
      </c>
      <c r="BG4143" s="107" t="str">
        <f t="shared" si="3175"/>
        <v>W</v>
      </c>
      <c r="BH4143" s="254"/>
      <c r="BI4143" s="254"/>
    </row>
    <row r="4144" spans="1:61" customFormat="1" ht="15.75" x14ac:dyDescent="0.25">
      <c r="A4144" s="485">
        <v>7</v>
      </c>
      <c r="B4144" s="486" t="s">
        <v>291</v>
      </c>
      <c r="C4144" s="487" t="s">
        <v>3874</v>
      </c>
      <c r="D4144" s="488" t="s">
        <v>292</v>
      </c>
      <c r="E4144" s="489">
        <v>104.95</v>
      </c>
      <c r="F4144" s="516" t="s">
        <v>293</v>
      </c>
      <c r="G4144" s="232">
        <v>0</v>
      </c>
      <c r="H4144" s="658" t="str">
        <f>IF(G4144=0,"",IF(F4144="Buy",IF(G4144=1,"plant","plants"),IF(F4144&gt;0.01,"warranty","Error")))</f>
        <v/>
      </c>
      <c r="I4144" s="490">
        <f>IF(H4144="free",0,IF(H4144="credit",((E4144*(F4144))*G4144*-1),IF(F4144="Buy",(E4144*G4144),((E4144*(1-F4144))*G4144))))</f>
        <v>0</v>
      </c>
      <c r="J4144" s="490">
        <f>IF(H4144="warranty",0,(I4144*(_xlfn.SINGLE(SalesTaxPercentage))))</f>
        <v>0</v>
      </c>
      <c r="K4144" s="695">
        <f t="shared" ref="K4144" si="3199">I4144+J4144</f>
        <v>0</v>
      </c>
      <c r="L4144" s="695"/>
      <c r="M4144" s="659" t="str">
        <f>IF(AND(G4144&gt;0,E4144=0),"WARNING - no PRICE inserted",IF(H4144="free"," FREE ~ no charge this plant",IF(H4144="credit",CONCATENATE(" -$",ROUND(K4144*(1-T2GDiscount)*-1,2)," CREDIT after discount"),IF(T2GDiscount=0,"",IF(G4144=0,"",IF(F4144="Buy",CONCATENATE(" $",ROUND(K4144*(1-T2GDiscount),2)," with ",(T2GDiscount*100),"% discount"),CONCATENATE(" $",ROUND(K4144*(1-T2GDiscount),2)," with ",((T2GDiscount*100+F4144*100)-(T2GDiscount*100*F4144)),IF(F4144&gt;0,"% discounts",IF(NoWarrantyDiscount&gt;0,"% discounts","% discount")))))))))</f>
        <v/>
      </c>
      <c r="N4144" s="660"/>
      <c r="O4144" s="233"/>
      <c r="P4144" s="233"/>
      <c r="Q4144" s="233"/>
      <c r="R4144" s="233"/>
      <c r="S4144" s="233"/>
      <c r="T4144" s="508">
        <f t="shared" si="3163"/>
        <v>0</v>
      </c>
      <c r="U4144" s="225">
        <f>IF(NOT(ISNUMBER(G4144)), "", VLOOKUP(A4144,'Discount Lookup'!D:E,2,FALSE)*G4144)</f>
        <v>0</v>
      </c>
      <c r="V4144" s="225">
        <f>IF(NOT(ISNUMBER(G4144)), "", VLOOKUP(A4144,'Discount Lookup'!G:H,2,FALSE)*G4144)</f>
        <v>0</v>
      </c>
      <c r="W4144" s="508">
        <f t="shared" si="3164"/>
        <v>0</v>
      </c>
      <c r="X4144" s="508">
        <f t="shared" si="3165"/>
        <v>0</v>
      </c>
      <c r="Y4144" s="509" t="b">
        <f t="shared" si="3166"/>
        <v>0</v>
      </c>
      <c r="Z4144" s="510">
        <f t="shared" si="3167"/>
        <v>0</v>
      </c>
      <c r="AA4144" s="511"/>
      <c r="AB4144" s="511" t="str">
        <f t="shared" si="3168"/>
        <v/>
      </c>
      <c r="AC4144" s="698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698"/>
      <c r="AE4144" s="631" t="str">
        <f t="shared" si="3169"/>
        <v/>
      </c>
      <c r="AF4144" s="699" t="str">
        <f t="shared" si="3170"/>
        <v/>
      </c>
      <c r="AG4144" s="699"/>
      <c r="AH4144" s="699"/>
      <c r="AI4144" s="512">
        <f>IF(H4144="credit",0,IF(AE4144="free",0,IF(AE4144="me",0,IF(G4144&gt;0,(VLOOKUP(A4144,'Discount Lookup'!J:K,2)*G4144),0))))</f>
        <v>0</v>
      </c>
      <c r="AJ4144" s="513" t="str">
        <f t="shared" ca="1" si="3171"/>
        <v/>
      </c>
      <c r="AK4144" s="700" t="str">
        <f t="shared" si="3172"/>
        <v/>
      </c>
      <c r="AL4144" s="700"/>
      <c r="AM4144" s="505" t="str">
        <f t="shared" si="3173"/>
        <v/>
      </c>
      <c r="AN4144" s="506"/>
      <c r="AO4144" s="507"/>
      <c r="AP4144" s="507"/>
      <c r="AQ4144" s="507"/>
      <c r="AR4144" s="507"/>
      <c r="AS4144" s="507"/>
      <c r="AT4144" s="507"/>
      <c r="AU4144" s="507"/>
      <c r="AV4144" s="225"/>
      <c r="AW4144" s="508"/>
      <c r="AX4144" s="225"/>
      <c r="AY4144" s="225"/>
      <c r="AZ4144" s="225"/>
      <c r="BA4144" s="225"/>
      <c r="BB4144" s="225"/>
      <c r="BC4144" s="56"/>
      <c r="BD4144" s="56"/>
      <c r="BE4144" s="56"/>
      <c r="BF4144" s="107" t="str">
        <f t="shared" si="3174"/>
        <v>https://www.google.com/search?tbm=isch&amp;q=7%20G4</v>
      </c>
      <c r="BG4144" s="107" t="str">
        <f t="shared" si="3175"/>
        <v>W</v>
      </c>
      <c r="BH4144" s="254"/>
      <c r="BI4144" s="254"/>
    </row>
    <row r="4145" spans="1:61" customFormat="1" ht="15.75" x14ac:dyDescent="0.25">
      <c r="A4145" s="485">
        <v>15</v>
      </c>
      <c r="B4145" s="486" t="s">
        <v>291</v>
      </c>
      <c r="C4145" s="487" t="s">
        <v>4036</v>
      </c>
      <c r="D4145" s="488" t="s">
        <v>300</v>
      </c>
      <c r="E4145" s="489">
        <v>231.95</v>
      </c>
      <c r="F4145" s="516" t="s">
        <v>293</v>
      </c>
      <c r="G4145" s="232">
        <v>0</v>
      </c>
      <c r="H4145" s="658" t="str">
        <f>IF(G4145=0,"",IF(F4145="Buy",IF(G4145=1,"plant","plants"),IF(F4145&gt;0.01,"warranty","Error")))</f>
        <v/>
      </c>
      <c r="I4145" s="490">
        <f>IF(H4145="free",0,IF(H4145="credit",((E4145*(F4145))*G4145*-1),IF(F4145="Buy",(E4145*G4145),((E4145*(1-F4145))*G4145))))</f>
        <v>0</v>
      </c>
      <c r="J4145" s="490">
        <f>IF(H4145="warranty",0,(I4145*(_xlfn.SINGLE(SalesTaxPercentage))))</f>
        <v>0</v>
      </c>
      <c r="K4145" s="695">
        <f t="shared" ref="K4145" si="3200">I4145+J4145</f>
        <v>0</v>
      </c>
      <c r="L4145" s="695"/>
      <c r="M4145" s="659" t="str">
        <f>IF(AND(G4145&gt;0,E4145=0),"WARNING - no PRICE inserted",IF(H4145="free"," FREE ~ no charge this plant",IF(H4145="credit",CONCATENATE(" -$",ROUND(K4145*(1-T2GDiscount)*-1,2)," CREDIT after discount"),IF(T2GDiscount=0,"",IF(G4145=0,"",IF(F4145="Buy",CONCATENATE(" $",ROUND(K4145*(1-T2GDiscount),2)," with ",(T2GDiscount*100),"% discount"),CONCATENATE(" $",ROUND(K4145*(1-T2GDiscount),2)," with ",((T2GDiscount*100+F4145*100)-(T2GDiscount*100*F4145)),IF(F4145&gt;0,"% discounts",IF(NoWarrantyDiscount&gt;0,"% discounts","% discount")))))))))</f>
        <v/>
      </c>
      <c r="N4145" s="660"/>
      <c r="O4145" s="233"/>
      <c r="P4145" s="233"/>
      <c r="Q4145" s="233"/>
      <c r="R4145" s="233"/>
      <c r="S4145" s="233"/>
      <c r="T4145" s="508">
        <f t="shared" si="3163"/>
        <v>0</v>
      </c>
      <c r="U4145" s="225">
        <f>IF(NOT(ISNUMBER(G4145)), "", VLOOKUP(A4145,'Discount Lookup'!D:E,2,FALSE)*G4145)</f>
        <v>0</v>
      </c>
      <c r="V4145" s="225">
        <f>IF(NOT(ISNUMBER(G4145)), "", VLOOKUP(A4145,'Discount Lookup'!G:H,2,FALSE)*G4145)</f>
        <v>0</v>
      </c>
      <c r="W4145" s="508">
        <f t="shared" si="3164"/>
        <v>0</v>
      </c>
      <c r="X4145" s="508">
        <f t="shared" si="3165"/>
        <v>0</v>
      </c>
      <c r="Y4145" s="509" t="b">
        <f t="shared" si="3166"/>
        <v>0</v>
      </c>
      <c r="Z4145" s="510">
        <f t="shared" si="3167"/>
        <v>0</v>
      </c>
      <c r="AA4145" s="511"/>
      <c r="AB4145" s="511" t="str">
        <f t="shared" si="3168"/>
        <v/>
      </c>
      <c r="AC4145" s="698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698"/>
      <c r="AE4145" s="631" t="str">
        <f t="shared" si="3169"/>
        <v/>
      </c>
      <c r="AF4145" s="699" t="str">
        <f t="shared" si="3170"/>
        <v/>
      </c>
      <c r="AG4145" s="699"/>
      <c r="AH4145" s="699"/>
      <c r="AI4145" s="512">
        <f>IF(H4145="credit",0,IF(AE4145="free",0,IF(AE4145="me",0,IF(G4145&gt;0,(VLOOKUP(A4145,'Discount Lookup'!J:K,2)*G4145),0))))</f>
        <v>0</v>
      </c>
      <c r="AJ4145" s="513" t="str">
        <f t="shared" ca="1" si="3171"/>
        <v/>
      </c>
      <c r="AK4145" s="700" t="str">
        <f t="shared" si="3172"/>
        <v/>
      </c>
      <c r="AL4145" s="700"/>
      <c r="AM4145" s="505" t="str">
        <f t="shared" si="3173"/>
        <v/>
      </c>
      <c r="AN4145" s="506"/>
      <c r="AO4145" s="507"/>
      <c r="AP4145" s="507"/>
      <c r="AQ4145" s="507"/>
      <c r="AR4145" s="507"/>
      <c r="AS4145" s="507"/>
      <c r="AT4145" s="507"/>
      <c r="AU4145" s="507"/>
      <c r="AV4145" s="225"/>
      <c r="AW4145" s="508"/>
      <c r="AX4145" s="225"/>
      <c r="AY4145" s="225"/>
      <c r="AZ4145" s="225"/>
      <c r="BA4145" s="225"/>
      <c r="BB4145" s="225"/>
      <c r="BC4145" s="56"/>
      <c r="BD4145" s="56"/>
      <c r="BE4145" s="56"/>
      <c r="BF4145" s="107" t="str">
        <f t="shared" si="3174"/>
        <v>https://www.google.com/search?tbm=isch&amp;q=15%20G6</v>
      </c>
      <c r="BG4145" s="107" t="str">
        <f t="shared" si="3175"/>
        <v>W</v>
      </c>
      <c r="BH4145" s="254"/>
      <c r="BI4145" s="254"/>
    </row>
    <row r="4146" spans="1:61" customFormat="1" ht="17.25" thickBot="1" x14ac:dyDescent="0.3">
      <c r="A4146" s="522" t="s">
        <v>2578</v>
      </c>
      <c r="B4146" s="491"/>
      <c r="C4146" s="675"/>
      <c r="D4146" s="491"/>
      <c r="E4146" s="491"/>
      <c r="F4146" s="492"/>
      <c r="G4146" s="493"/>
      <c r="H4146" s="491"/>
      <c r="I4146" s="234"/>
      <c r="J4146" s="234"/>
      <c r="K4146" s="494"/>
      <c r="L4146" s="543"/>
      <c r="M4146" s="561"/>
      <c r="N4146" s="495"/>
      <c r="O4146" s="496"/>
      <c r="P4146" s="497"/>
      <c r="Q4146" s="495"/>
      <c r="R4146" s="495"/>
      <c r="S4146" s="667" t="s">
        <v>4986</v>
      </c>
      <c r="T4146" s="508">
        <f t="shared" si="3163"/>
        <v>0</v>
      </c>
      <c r="U4146" s="225" t="str">
        <f>IF(NOT(ISNUMBER(G4146)), "", VLOOKUP(A4146,'Discount Lookup'!D:E,2,FALSE)*G4146)</f>
        <v/>
      </c>
      <c r="V4146" s="225" t="str">
        <f>IF(NOT(ISNUMBER(G4146)), "", VLOOKUP(A4146,'Discount Lookup'!G:H,2,FALSE)*G4146)</f>
        <v/>
      </c>
      <c r="W4146" s="508">
        <f t="shared" si="3164"/>
        <v>0</v>
      </c>
      <c r="X4146" s="508">
        <f t="shared" si="3165"/>
        <v>0</v>
      </c>
      <c r="Y4146" s="509" t="b">
        <f t="shared" si="3166"/>
        <v>0</v>
      </c>
      <c r="Z4146" s="510">
        <f t="shared" si="3167"/>
        <v>0</v>
      </c>
      <c r="AA4146" s="511"/>
      <c r="AB4146" s="511" t="str">
        <f t="shared" si="3168"/>
        <v/>
      </c>
      <c r="AC4146" s="698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698"/>
      <c r="AE4146" s="631" t="str">
        <f t="shared" si="3169"/>
        <v/>
      </c>
      <c r="AF4146" s="699" t="str">
        <f t="shared" si="3170"/>
        <v/>
      </c>
      <c r="AG4146" s="699"/>
      <c r="AH4146" s="699"/>
      <c r="AI4146" s="512">
        <f>IF(H4146="credit",0,IF(AE4146="free",0,IF(AE4146="me",0,IF(G4146&gt;0,(VLOOKUP(A4146,'Discount Lookup'!J:K,2)*G4146),0))))</f>
        <v>0</v>
      </c>
      <c r="AJ4146" s="513" t="str">
        <f t="shared" ca="1" si="3171"/>
        <v/>
      </c>
      <c r="AK4146" s="700" t="str">
        <f t="shared" si="3172"/>
        <v/>
      </c>
      <c r="AL4146" s="700"/>
      <c r="AM4146" s="505" t="str">
        <f t="shared" si="3173"/>
        <v/>
      </c>
      <c r="AN4146" s="506"/>
      <c r="AO4146" s="507"/>
      <c r="AP4146" s="507"/>
      <c r="AQ4146" s="507"/>
      <c r="AR4146" s="507"/>
      <c r="AS4146" s="507"/>
      <c r="AT4146" s="507"/>
      <c r="AU4146" s="507"/>
      <c r="AV4146" s="225"/>
      <c r="AW4146" s="508"/>
      <c r="AX4146" s="225"/>
      <c r="AY4146" s="225"/>
      <c r="AZ4146" s="225"/>
      <c r="BA4146" s="225"/>
      <c r="BB4146" s="225"/>
      <c r="BC4146" s="56"/>
      <c r="BD4146" s="56"/>
      <c r="BE4146" s="56"/>
      <c r="BF4146" s="107" t="str">
        <f t="shared" si="3174"/>
        <v>https://www.google.com/search?tbm=isch&amp;q=Winter%E2%80%99s%20Snowman%20features%20fragrant%20blooms%2C%20Wine-Red%20new%20foliage%2C%20and%20exceptional%20cold%20hardiness%20</v>
      </c>
      <c r="BG4146" s="107" t="str">
        <f t="shared" si="3175"/>
        <v>W</v>
      </c>
      <c r="BH4146" s="254"/>
      <c r="BI4146" s="254"/>
    </row>
    <row r="4147" spans="1:61" customFormat="1" ht="18" x14ac:dyDescent="0.25">
      <c r="A4147" s="521" t="s">
        <v>5632</v>
      </c>
      <c r="B4147" s="477"/>
      <c r="C4147" s="674"/>
      <c r="D4147" s="478" t="s">
        <v>1585</v>
      </c>
      <c r="E4147" s="479"/>
      <c r="F4147" s="479"/>
      <c r="G4147" s="479"/>
      <c r="H4147" s="582" t="s">
        <v>720</v>
      </c>
      <c r="I4147" s="480" t="s">
        <v>1586</v>
      </c>
      <c r="J4147" s="479"/>
      <c r="K4147" s="479"/>
      <c r="L4147" s="560"/>
      <c r="M4147" s="671" t="s">
        <v>4990</v>
      </c>
      <c r="N4147" s="680" t="str">
        <f>IF(AND(ISTEXT($A4147), ISERROR($A4147+0)), HYPERLINK($BF4147, "Images"), "")</f>
        <v>Images</v>
      </c>
      <c r="O4147" s="662" t="s">
        <v>4971</v>
      </c>
      <c r="P4147" s="482"/>
      <c r="Q4147" s="483"/>
      <c r="R4147" s="483"/>
      <c r="S4147" s="484"/>
      <c r="T4147" s="508">
        <f t="shared" si="3163"/>
        <v>0</v>
      </c>
      <c r="U4147" s="225" t="str">
        <f>IF(NOT(ISNUMBER(G4147)), "", VLOOKUP(A4147,'Discount Lookup'!D:E,2,FALSE)*G4147)</f>
        <v/>
      </c>
      <c r="V4147" s="225" t="str">
        <f>IF(NOT(ISNUMBER(G4147)), "", VLOOKUP(A4147,'Discount Lookup'!G:H,2,FALSE)*G4147)</f>
        <v/>
      </c>
      <c r="W4147" s="508">
        <f t="shared" si="3164"/>
        <v>0</v>
      </c>
      <c r="X4147" s="508" t="str">
        <f t="shared" si="3165"/>
        <v>NC State Red bloom</v>
      </c>
      <c r="Y4147" s="509" t="b">
        <f t="shared" si="3166"/>
        <v>0</v>
      </c>
      <c r="Z4147" s="510">
        <f t="shared" si="3167"/>
        <v>0</v>
      </c>
      <c r="AA4147" s="511"/>
      <c r="AB4147" s="511" t="str">
        <f t="shared" si="3168"/>
        <v/>
      </c>
      <c r="AC4147" s="698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698"/>
      <c r="AE4147" s="631" t="str">
        <f t="shared" si="3169"/>
        <v/>
      </c>
      <c r="AF4147" s="699" t="str">
        <f t="shared" si="3170"/>
        <v/>
      </c>
      <c r="AG4147" s="699"/>
      <c r="AH4147" s="699"/>
      <c r="AI4147" s="512">
        <f>IF(H4147="credit",0,IF(AE4147="free",0,IF(AE4147="me",0,IF(G4147&gt;0,(VLOOKUP(A4147,'Discount Lookup'!J:K,2)*G4147),0))))</f>
        <v>0</v>
      </c>
      <c r="AJ4147" s="513" t="str">
        <f t="shared" ca="1" si="3171"/>
        <v/>
      </c>
      <c r="AK4147" s="700" t="str">
        <f t="shared" si="3172"/>
        <v/>
      </c>
      <c r="AL4147" s="700"/>
      <c r="AM4147" s="505" t="str">
        <f t="shared" si="3173"/>
        <v/>
      </c>
      <c r="AN4147" s="506"/>
      <c r="AO4147" s="507"/>
      <c r="AP4147" s="507"/>
      <c r="AQ4147" s="507"/>
      <c r="AR4147" s="507"/>
      <c r="AS4147" s="507"/>
      <c r="AT4147" s="507"/>
      <c r="AU4147" s="507"/>
      <c r="AV4147" s="225"/>
      <c r="AW4147" s="508"/>
      <c r="AX4147" s="225"/>
      <c r="AY4147" s="225"/>
      <c r="AZ4147" s="225"/>
      <c r="BA4147" s="225"/>
      <c r="BB4147" s="225"/>
      <c r="BC4147" s="56"/>
      <c r="BD4147" s="56"/>
      <c r="BE4147" s="56"/>
      <c r="BF4147" s="107" t="str">
        <f t="shared" si="3174"/>
        <v>https://www.google.com/search?tbm=isch&amp;q=Wolfpack%20Red%20Azalea%20%28PW%C2%AE%29%20Rhod.%20%27Wolfpack%20Red%27</v>
      </c>
      <c r="BG4147" s="107" t="str">
        <f t="shared" si="3175"/>
        <v>W</v>
      </c>
      <c r="BH4147" s="254"/>
      <c r="BI4147" s="254"/>
    </row>
    <row r="4148" spans="1:61" customFormat="1" ht="15.75" x14ac:dyDescent="0.25">
      <c r="A4148" s="485">
        <v>3</v>
      </c>
      <c r="B4148" s="486" t="s">
        <v>291</v>
      </c>
      <c r="C4148" s="487"/>
      <c r="D4148" s="488" t="s">
        <v>298</v>
      </c>
      <c r="E4148" s="489">
        <v>25.95</v>
      </c>
      <c r="F4148" s="516" t="s">
        <v>293</v>
      </c>
      <c r="G4148" s="232">
        <v>0</v>
      </c>
      <c r="H4148" s="658" t="str">
        <f>IF(G4148=0,"",IF(F4148="Buy",IF(G4148=1,"plant","plants"),IF(F4148&gt;0.01,"warranty","Error")))</f>
        <v/>
      </c>
      <c r="I4148" s="490">
        <f>IF(H4148="free",0,IF(H4148="credit",((E4148*(F4148))*G4148*-1),IF(F4148="Buy",(E4148*G4148),((E4148*(1-F4148))*G4148))))</f>
        <v>0</v>
      </c>
      <c r="J4148" s="490">
        <f>IF(H4148="warranty",0,(I4148*(_xlfn.SINGLE(SalesTaxPercentage))))</f>
        <v>0</v>
      </c>
      <c r="K4148" s="695">
        <f t="shared" ref="K4148" si="3201">I4148+J4148</f>
        <v>0</v>
      </c>
      <c r="L4148" s="695"/>
      <c r="M4148" s="659" t="str">
        <f>IF(AND(G4148&gt;0,E4148=0),"WARNING - no PRICE inserted",IF(H4148="free"," FREE ~ no charge this plant",IF(H4148="credit",CONCATENATE(" -$",ROUND(K4148*(1-T2GDiscount)*-1,2)," CREDIT after discount"),IF(T2GDiscount=0,"",IF(G4148=0,"",IF(F4148="Buy",CONCATENATE(" $",ROUND(K4148*(1-T2GDiscount),2)," with ",(T2GDiscount*100),"% discount"),CONCATENATE(" $",ROUND(K4148*(1-T2GDiscount),2)," with ",((T2GDiscount*100+F4148*100)-(T2GDiscount*100*F4148)),IF(F4148&gt;0,"% discounts",IF(NoWarrantyDiscount&gt;0,"% discounts","% discount")))))))))</f>
        <v/>
      </c>
      <c r="N4148" s="660"/>
      <c r="O4148" s="233"/>
      <c r="P4148" s="233"/>
      <c r="Q4148" s="233"/>
      <c r="R4148" s="233"/>
      <c r="S4148" s="233"/>
      <c r="T4148" s="508">
        <f t="shared" si="3163"/>
        <v>0</v>
      </c>
      <c r="U4148" s="225">
        <f>IF(NOT(ISNUMBER(G4148)), "", VLOOKUP(A4148,'Discount Lookup'!D:E,2,FALSE)*G4148)</f>
        <v>0</v>
      </c>
      <c r="V4148" s="225">
        <f>IF(NOT(ISNUMBER(G4148)), "", VLOOKUP(A4148,'Discount Lookup'!G:H,2,FALSE)*G4148)</f>
        <v>0</v>
      </c>
      <c r="W4148" s="508">
        <f t="shared" si="3164"/>
        <v>0</v>
      </c>
      <c r="X4148" s="508">
        <f t="shared" si="3165"/>
        <v>0</v>
      </c>
      <c r="Y4148" s="509" t="b">
        <f t="shared" si="3166"/>
        <v>0</v>
      </c>
      <c r="Z4148" s="510">
        <f t="shared" si="3167"/>
        <v>0</v>
      </c>
      <c r="AA4148" s="511"/>
      <c r="AB4148" s="511" t="str">
        <f t="shared" si="3168"/>
        <v/>
      </c>
      <c r="AC4148" s="698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698"/>
      <c r="AE4148" s="631" t="str">
        <f t="shared" si="3169"/>
        <v/>
      </c>
      <c r="AF4148" s="699" t="str">
        <f t="shared" si="3170"/>
        <v/>
      </c>
      <c r="AG4148" s="699"/>
      <c r="AH4148" s="699"/>
      <c r="AI4148" s="512">
        <f>IF(H4148="credit",0,IF(AE4148="free",0,IF(AE4148="me",0,IF(G4148&gt;0,(VLOOKUP(A4148,'Discount Lookup'!J:K,2)*G4148),0))))</f>
        <v>0</v>
      </c>
      <c r="AJ4148" s="513" t="str">
        <f t="shared" ca="1" si="3171"/>
        <v/>
      </c>
      <c r="AK4148" s="700" t="str">
        <f t="shared" si="3172"/>
        <v/>
      </c>
      <c r="AL4148" s="700"/>
      <c r="AM4148" s="505" t="str">
        <f t="shared" si="3173"/>
        <v/>
      </c>
      <c r="AN4148" s="506"/>
      <c r="AO4148" s="507"/>
      <c r="AP4148" s="507"/>
      <c r="AQ4148" s="507"/>
      <c r="AR4148" s="507"/>
      <c r="AS4148" s="507"/>
      <c r="AT4148" s="507"/>
      <c r="AU4148" s="507"/>
      <c r="AV4148" s="225"/>
      <c r="AW4148" s="508"/>
      <c r="AX4148" s="225"/>
      <c r="AY4148" s="225"/>
      <c r="AZ4148" s="225"/>
      <c r="BA4148" s="225"/>
      <c r="BB4148" s="225"/>
      <c r="BC4148" s="56"/>
      <c r="BD4148" s="56"/>
      <c r="BE4148" s="56"/>
      <c r="BF4148" s="107" t="str">
        <f t="shared" si="3174"/>
        <v>https://www.google.com/search?tbm=isch&amp;q=3%20G1</v>
      </c>
      <c r="BG4148" s="107" t="str">
        <f t="shared" si="3175"/>
        <v>W</v>
      </c>
      <c r="BH4148" s="254"/>
      <c r="BI4148" s="254"/>
    </row>
    <row r="4149" spans="1:61" customFormat="1" ht="17.25" thickBot="1" x14ac:dyDescent="0.3">
      <c r="A4149" s="522" t="s">
        <v>2619</v>
      </c>
      <c r="B4149" s="491"/>
      <c r="C4149" s="675"/>
      <c r="D4149" s="491"/>
      <c r="E4149" s="491"/>
      <c r="F4149" s="492"/>
      <c r="G4149" s="493"/>
      <c r="H4149" s="491"/>
      <c r="I4149" s="234"/>
      <c r="J4149" s="234"/>
      <c r="K4149" s="494"/>
      <c r="L4149" s="543"/>
      <c r="M4149" s="561"/>
      <c r="N4149" s="495"/>
      <c r="O4149" s="496"/>
      <c r="P4149" s="497"/>
      <c r="Q4149" s="495"/>
      <c r="R4149" s="495"/>
      <c r="S4149" s="667" t="s">
        <v>4988</v>
      </c>
      <c r="T4149" s="508">
        <f t="shared" si="3163"/>
        <v>0</v>
      </c>
      <c r="U4149" s="225" t="str">
        <f>IF(NOT(ISNUMBER(G4149)), "", VLOOKUP(A4149,'Discount Lookup'!D:E,2,FALSE)*G4149)</f>
        <v/>
      </c>
      <c r="V4149" s="225" t="str">
        <f>IF(NOT(ISNUMBER(G4149)), "", VLOOKUP(A4149,'Discount Lookup'!G:H,2,FALSE)*G4149)</f>
        <v/>
      </c>
      <c r="W4149" s="508">
        <f t="shared" si="3164"/>
        <v>0</v>
      </c>
      <c r="X4149" s="508">
        <f t="shared" si="3165"/>
        <v>0</v>
      </c>
      <c r="Y4149" s="509" t="b">
        <f t="shared" si="3166"/>
        <v>0</v>
      </c>
      <c r="Z4149" s="510">
        <f t="shared" si="3167"/>
        <v>0</v>
      </c>
      <c r="AA4149" s="511"/>
      <c r="AB4149" s="511" t="str">
        <f t="shared" si="3168"/>
        <v/>
      </c>
      <c r="AC4149" s="698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698"/>
      <c r="AE4149" s="631" t="str">
        <f t="shared" si="3169"/>
        <v/>
      </c>
      <c r="AF4149" s="699" t="str">
        <f t="shared" si="3170"/>
        <v/>
      </c>
      <c r="AG4149" s="699"/>
      <c r="AH4149" s="699"/>
      <c r="AI4149" s="512">
        <f>IF(H4149="credit",0,IF(AE4149="free",0,IF(AE4149="me",0,IF(G4149&gt;0,(VLOOKUP(A4149,'Discount Lookup'!J:K,2)*G4149),0))))</f>
        <v>0</v>
      </c>
      <c r="AJ4149" s="513" t="str">
        <f t="shared" ca="1" si="3171"/>
        <v/>
      </c>
      <c r="AK4149" s="700" t="str">
        <f t="shared" si="3172"/>
        <v/>
      </c>
      <c r="AL4149" s="700"/>
      <c r="AM4149" s="505" t="str">
        <f t="shared" si="3173"/>
        <v/>
      </c>
      <c r="AN4149" s="506"/>
      <c r="AO4149" s="507"/>
      <c r="AP4149" s="507"/>
      <c r="AQ4149" s="507"/>
      <c r="AR4149" s="507"/>
      <c r="AS4149" s="507"/>
      <c r="AT4149" s="507"/>
      <c r="AU4149" s="507"/>
      <c r="AV4149" s="225"/>
      <c r="AW4149" s="508"/>
      <c r="AX4149" s="225"/>
      <c r="AY4149" s="225"/>
      <c r="AZ4149" s="225"/>
      <c r="BA4149" s="225"/>
      <c r="BB4149" s="225"/>
      <c r="BC4149" s="56"/>
      <c r="BD4149" s="56"/>
      <c r="BE4149" s="56"/>
      <c r="BF4149" s="107" t="str">
        <f t="shared" si="3174"/>
        <v>https://www.google.com/search?tbm=isch&amp;q=Wolfpack%20is%20a%20great%20homage%20to%20NCSU%2C%20and%20was%20indeed%20released%20by%20NCSU.%20Foliage%20turns%20Coppery-Bronze%20in%20fall%20</v>
      </c>
      <c r="BG4149" s="107" t="str">
        <f t="shared" si="3175"/>
        <v>W</v>
      </c>
      <c r="BH4149" s="254"/>
      <c r="BI4149" s="254"/>
    </row>
    <row r="4150" spans="1:61" customFormat="1" ht="18" x14ac:dyDescent="0.25">
      <c r="A4150" s="523" t="s">
        <v>2062</v>
      </c>
      <c r="B4150" s="235"/>
      <c r="C4150" s="676"/>
      <c r="D4150" s="255" t="s">
        <v>2063</v>
      </c>
      <c r="E4150" s="236"/>
      <c r="F4150" s="236"/>
      <c r="G4150" s="236"/>
      <c r="H4150" s="582" t="s">
        <v>1521</v>
      </c>
      <c r="I4150" s="498" t="s">
        <v>3124</v>
      </c>
      <c r="J4150" s="237"/>
      <c r="K4150" s="237"/>
      <c r="L4150" s="274"/>
      <c r="M4150" s="668" t="s">
        <v>4962</v>
      </c>
      <c r="N4150" s="681" t="str">
        <f>IF(AND(ISTEXT($A4150), ISERROR($A4150+0)), HYPERLINK($BF4150, "Images"), "")</f>
        <v>Images</v>
      </c>
      <c r="O4150" s="663" t="s">
        <v>4967</v>
      </c>
      <c r="P4150" s="253"/>
      <c r="Q4150" s="238"/>
      <c r="R4150" s="239"/>
      <c r="S4150" s="275"/>
      <c r="T4150" s="508">
        <f t="shared" si="3163"/>
        <v>0</v>
      </c>
      <c r="U4150" s="225" t="str">
        <f>IF(NOT(ISNUMBER(G4150)), "", VLOOKUP(A4150,'Discount Lookup'!D:E,2,FALSE)*G4150)</f>
        <v/>
      </c>
      <c r="V4150" s="225" t="str">
        <f>IF(NOT(ISNUMBER(G4150)), "", VLOOKUP(A4150,'Discount Lookup'!G:H,2,FALSE)*G4150)</f>
        <v/>
      </c>
      <c r="W4150" s="508">
        <f t="shared" si="3164"/>
        <v>0</v>
      </c>
      <c r="X4150" s="508" t="str">
        <f t="shared" si="3165"/>
        <v>Rose-Pink bloom, Red eye</v>
      </c>
      <c r="Y4150" s="509" t="b">
        <f t="shared" si="3166"/>
        <v>0</v>
      </c>
      <c r="Z4150" s="510">
        <f t="shared" si="3167"/>
        <v>0</v>
      </c>
      <c r="AA4150" s="511"/>
      <c r="AB4150" s="511" t="str">
        <f t="shared" si="3168"/>
        <v/>
      </c>
      <c r="AC4150" s="698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698"/>
      <c r="AE4150" s="631" t="str">
        <f t="shared" si="3169"/>
        <v/>
      </c>
      <c r="AF4150" s="699" t="str">
        <f t="shared" si="3170"/>
        <v/>
      </c>
      <c r="AG4150" s="699"/>
      <c r="AH4150" s="699"/>
      <c r="AI4150" s="512">
        <f>IF(H4150="credit",0,IF(AE4150="free",0,IF(AE4150="me",0,IF(G4150&gt;0,(VLOOKUP(A4150,'Discount Lookup'!J:K,2)*G4150),0))))</f>
        <v>0</v>
      </c>
      <c r="AJ4150" s="513" t="str">
        <f t="shared" ca="1" si="3171"/>
        <v/>
      </c>
      <c r="AK4150" s="700" t="str">
        <f t="shared" si="3172"/>
        <v/>
      </c>
      <c r="AL4150" s="700"/>
      <c r="AM4150" s="505" t="str">
        <f t="shared" si="3173"/>
        <v/>
      </c>
      <c r="AN4150" s="506"/>
      <c r="AO4150" s="507"/>
      <c r="AP4150" s="507"/>
      <c r="AQ4150" s="507"/>
      <c r="AR4150" s="507"/>
      <c r="AS4150" s="507"/>
      <c r="AT4150" s="507"/>
      <c r="AU4150" s="507"/>
      <c r="AV4150" s="225"/>
      <c r="AW4150" s="508"/>
      <c r="AX4150" s="225"/>
      <c r="AY4150" s="225"/>
      <c r="AZ4150" s="225"/>
      <c r="BA4150" s="225"/>
      <c r="BB4150" s="225"/>
      <c r="BC4150" s="56"/>
      <c r="BD4150" s="56"/>
      <c r="BE4150" s="56"/>
      <c r="BF4150" s="107" t="str">
        <f t="shared" si="3174"/>
        <v>https://www.google.com/search?tbm=isch&amp;q=Woodbridge%20Rose%20of%20Sharon%20Hibiscus%20syriacus%20%27Woodbridge%27</v>
      </c>
      <c r="BG4150" s="107" t="str">
        <f t="shared" si="3175"/>
        <v>W</v>
      </c>
      <c r="BH4150" s="254"/>
      <c r="BI4150" s="254"/>
    </row>
    <row r="4151" spans="1:61" customFormat="1" ht="15.75" x14ac:dyDescent="0.25">
      <c r="A4151" s="276">
        <v>7</v>
      </c>
      <c r="B4151" s="240" t="s">
        <v>291</v>
      </c>
      <c r="C4151" s="241" t="s">
        <v>2203</v>
      </c>
      <c r="D4151" s="242" t="s">
        <v>300</v>
      </c>
      <c r="E4151" s="243">
        <v>113.95</v>
      </c>
      <c r="F4151" s="517" t="s">
        <v>293</v>
      </c>
      <c r="G4151" s="232">
        <v>0</v>
      </c>
      <c r="H4151" s="661" t="str">
        <f>IF(G4151=0,"",IF(F4151="Buy",IF(G4151=1,"plant","plants"),IF(F4151&gt;0.01,"warranty","Error")))</f>
        <v/>
      </c>
      <c r="I4151" s="244">
        <f>IF(H4151="free",0,IF(H4151="credit",((E4151*(F4151))*G4151*-1),IF(F4151="Buy",(E4151*G4151),((E4151*(1-F4151))*G4151))))</f>
        <v>0</v>
      </c>
      <c r="J4151" s="244">
        <f>IF(H4151="warranty",0,(I4151*(_xlfn.SINGLE(SalesTaxPercentage))))</f>
        <v>0</v>
      </c>
      <c r="K4151" s="696">
        <f t="shared" ref="K4151" si="3202">I4151+J4151</f>
        <v>0</v>
      </c>
      <c r="L4151" s="696"/>
      <c r="M4151" s="659" t="str">
        <f>IF(AND(G4151&gt;0,E4151=0),"WARNING - no PRICE inserted",IF(H4151="free"," FREE ~ no charge this plant",IF(H4151="credit",CONCATENATE(" -$",ROUND(K4151*(1-T2GDiscount)*-1,2)," CREDIT after discount"),IF(T2GDiscount=0,"",IF(G4151=0,"",IF(F4151="Buy",CONCATENATE(" $",ROUND(K4151*(1-T2GDiscount),2)," with ",(T2GDiscount*100),"% discount"),CONCATENATE(" $",ROUND(K4151*(1-T2GDiscount),2)," with ",((T2GDiscount*100+F4151*100)-(T2GDiscount*100*F4151)),IF(F4151&gt;0,"% discounts",IF(NoWarrantyDiscount&gt;0,"% discounts","% discount")))))))))</f>
        <v/>
      </c>
      <c r="N4151" s="660"/>
      <c r="O4151" s="233"/>
      <c r="P4151" s="233"/>
      <c r="Q4151" s="233"/>
      <c r="R4151" s="233"/>
      <c r="S4151" s="233"/>
      <c r="T4151" s="508">
        <f t="shared" si="3163"/>
        <v>0</v>
      </c>
      <c r="U4151" s="225">
        <f>IF(NOT(ISNUMBER(G4151)), "", VLOOKUP(A4151,'Discount Lookup'!D:E,2,FALSE)*G4151)</f>
        <v>0</v>
      </c>
      <c r="V4151" s="225">
        <f>IF(NOT(ISNUMBER(G4151)), "", VLOOKUP(A4151,'Discount Lookup'!G:H,2,FALSE)*G4151)</f>
        <v>0</v>
      </c>
      <c r="W4151" s="508">
        <f t="shared" si="3164"/>
        <v>0</v>
      </c>
      <c r="X4151" s="508">
        <f t="shared" si="3165"/>
        <v>0</v>
      </c>
      <c r="Y4151" s="509" t="b">
        <f t="shared" si="3166"/>
        <v>0</v>
      </c>
      <c r="Z4151" s="510">
        <f t="shared" si="3167"/>
        <v>0</v>
      </c>
      <c r="AA4151" s="511"/>
      <c r="AB4151" s="511" t="str">
        <f t="shared" si="3168"/>
        <v/>
      </c>
      <c r="AC4151" s="698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698"/>
      <c r="AE4151" s="631" t="str">
        <f t="shared" si="3169"/>
        <v/>
      </c>
      <c r="AF4151" s="699" t="str">
        <f t="shared" si="3170"/>
        <v/>
      </c>
      <c r="AG4151" s="699"/>
      <c r="AH4151" s="699"/>
      <c r="AI4151" s="512">
        <f>IF(H4151="credit",0,IF(AE4151="free",0,IF(AE4151="me",0,IF(G4151&gt;0,(VLOOKUP(A4151,'Discount Lookup'!J:K,2)*G4151),0))))</f>
        <v>0</v>
      </c>
      <c r="AJ4151" s="513" t="str">
        <f t="shared" ca="1" si="3171"/>
        <v/>
      </c>
      <c r="AK4151" s="700" t="str">
        <f t="shared" si="3172"/>
        <v/>
      </c>
      <c r="AL4151" s="700"/>
      <c r="AM4151" s="505" t="str">
        <f t="shared" si="3173"/>
        <v/>
      </c>
      <c r="AN4151" s="506"/>
      <c r="AO4151" s="507"/>
      <c r="AP4151" s="507"/>
      <c r="AQ4151" s="507"/>
      <c r="AR4151" s="507"/>
      <c r="AS4151" s="507"/>
      <c r="AT4151" s="507"/>
      <c r="AU4151" s="507"/>
      <c r="AV4151" s="225"/>
      <c r="AW4151" s="508"/>
      <c r="AX4151" s="225"/>
      <c r="AY4151" s="225"/>
      <c r="AZ4151" s="225"/>
      <c r="BA4151" s="225"/>
      <c r="BB4151" s="225"/>
      <c r="BC4151" s="56"/>
      <c r="BD4151" s="56"/>
      <c r="BE4151" s="56"/>
      <c r="BF4151" s="107" t="str">
        <f t="shared" si="3174"/>
        <v>https://www.google.com/search?tbm=isch&amp;q=7%20G6</v>
      </c>
      <c r="BG4151" s="107" t="str">
        <f t="shared" si="3175"/>
        <v>W</v>
      </c>
      <c r="BH4151" s="254"/>
      <c r="BI4151" s="254"/>
    </row>
    <row r="4152" spans="1:61" customFormat="1" ht="17.25" thickBot="1" x14ac:dyDescent="0.3">
      <c r="A4152" s="524" t="s">
        <v>4218</v>
      </c>
      <c r="B4152" s="245"/>
      <c r="C4152" s="677"/>
      <c r="D4152" s="499"/>
      <c r="E4152" s="499"/>
      <c r="F4152" s="500"/>
      <c r="G4152" s="501"/>
      <c r="H4152" s="502"/>
      <c r="I4152" s="246"/>
      <c r="J4152" s="247"/>
      <c r="K4152" s="503"/>
      <c r="L4152" s="544"/>
      <c r="M4152" s="544"/>
      <c r="N4152" s="500"/>
      <c r="O4152" s="500"/>
      <c r="P4152" s="500"/>
      <c r="Q4152" s="500"/>
      <c r="R4152" s="500"/>
      <c r="S4152" s="669" t="s">
        <v>4976</v>
      </c>
      <c r="T4152" s="508">
        <f t="shared" si="3163"/>
        <v>0</v>
      </c>
      <c r="U4152" s="225" t="str">
        <f>IF(NOT(ISNUMBER(G4152)), "", VLOOKUP(A4152,'Discount Lookup'!D:E,2,FALSE)*G4152)</f>
        <v/>
      </c>
      <c r="V4152" s="225" t="str">
        <f>IF(NOT(ISNUMBER(G4152)), "", VLOOKUP(A4152,'Discount Lookup'!G:H,2,FALSE)*G4152)</f>
        <v/>
      </c>
      <c r="W4152" s="508">
        <f t="shared" si="3164"/>
        <v>0</v>
      </c>
      <c r="X4152" s="508">
        <f t="shared" si="3165"/>
        <v>0</v>
      </c>
      <c r="Y4152" s="509" t="b">
        <f t="shared" si="3166"/>
        <v>0</v>
      </c>
      <c r="Z4152" s="510">
        <f t="shared" si="3167"/>
        <v>0</v>
      </c>
      <c r="AA4152" s="511"/>
      <c r="AB4152" s="511" t="str">
        <f t="shared" si="3168"/>
        <v/>
      </c>
      <c r="AC4152" s="698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698"/>
      <c r="AE4152" s="631" t="str">
        <f t="shared" si="3169"/>
        <v/>
      </c>
      <c r="AF4152" s="699" t="str">
        <f t="shared" si="3170"/>
        <v/>
      </c>
      <c r="AG4152" s="699"/>
      <c r="AH4152" s="699"/>
      <c r="AI4152" s="512">
        <f>IF(H4152="credit",0,IF(AE4152="free",0,IF(AE4152="me",0,IF(G4152&gt;0,(VLOOKUP(A4152,'Discount Lookup'!J:K,2)*G4152),0))))</f>
        <v>0</v>
      </c>
      <c r="AJ4152" s="513" t="str">
        <f t="shared" ca="1" si="3171"/>
        <v/>
      </c>
      <c r="AK4152" s="700" t="str">
        <f t="shared" si="3172"/>
        <v/>
      </c>
      <c r="AL4152" s="700"/>
      <c r="AM4152" s="505" t="str">
        <f t="shared" si="3173"/>
        <v/>
      </c>
      <c r="AN4152" s="506"/>
      <c r="AO4152" s="507"/>
      <c r="AP4152" s="507"/>
      <c r="AQ4152" s="507"/>
      <c r="AR4152" s="507"/>
      <c r="AS4152" s="507"/>
      <c r="AT4152" s="507"/>
      <c r="AU4152" s="507"/>
      <c r="AV4152" s="225"/>
      <c r="AW4152" s="508"/>
      <c r="AX4152" s="225"/>
      <c r="AY4152" s="225"/>
      <c r="AZ4152" s="225"/>
      <c r="BA4152" s="225"/>
      <c r="BB4152" s="225"/>
      <c r="BC4152" s="56"/>
      <c r="BD4152" s="56"/>
      <c r="BE4152" s="56"/>
      <c r="BF4152" s="107" t="str">
        <f t="shared" si="3174"/>
        <v>https://www.google.com/search?tbm=isch&amp;q=Woodbridge%20has%20Dark%20Green%20foliage.%20%22Rose%20of%20Sharon%22%20Hib.%20have%20trumpet-shaped%20flowers%20on%20new%20wood.%20Woody%20stems%20remain%20</v>
      </c>
      <c r="BG4152" s="107" t="str">
        <f t="shared" si="3175"/>
        <v>W</v>
      </c>
      <c r="BH4152" s="254"/>
      <c r="BI4152" s="254"/>
    </row>
    <row r="4153" spans="1:61" customFormat="1" ht="18" x14ac:dyDescent="0.25">
      <c r="A4153" s="521" t="s">
        <v>2064</v>
      </c>
      <c r="B4153" s="477"/>
      <c r="C4153" s="674"/>
      <c r="D4153" s="478" t="s">
        <v>2065</v>
      </c>
      <c r="E4153" s="479"/>
      <c r="F4153" s="479"/>
      <c r="G4153" s="479"/>
      <c r="H4153" s="582" t="s">
        <v>467</v>
      </c>
      <c r="I4153" s="480" t="s">
        <v>2066</v>
      </c>
      <c r="J4153" s="479"/>
      <c r="K4153" s="479"/>
      <c r="L4153" s="560"/>
      <c r="M4153" s="671" t="s">
        <v>4985</v>
      </c>
      <c r="N4153" s="680" t="str">
        <f>IF(AND(ISTEXT($A4153), ISERROR($A4153+0)), HYPERLINK($BF4153, "Images"), "")</f>
        <v>Images</v>
      </c>
      <c r="O4153" s="662" t="s">
        <v>4969</v>
      </c>
      <c r="P4153" s="482"/>
      <c r="Q4153" s="483"/>
      <c r="R4153" s="483"/>
      <c r="S4153" s="484" t="s">
        <v>305</v>
      </c>
      <c r="T4153" s="508">
        <f t="shared" si="3163"/>
        <v>0</v>
      </c>
      <c r="U4153" s="225" t="str">
        <f>IF(NOT(ISNUMBER(G4153)), "", VLOOKUP(A4153,'Discount Lookup'!D:E,2,FALSE)*G4153)</f>
        <v/>
      </c>
      <c r="V4153" s="225" t="str">
        <f>IF(NOT(ISNUMBER(G4153)), "", VLOOKUP(A4153,'Discount Lookup'!G:H,2,FALSE)*G4153)</f>
        <v/>
      </c>
      <c r="W4153" s="508">
        <f t="shared" si="3164"/>
        <v>0</v>
      </c>
      <c r="X4153" s="508" t="str">
        <f t="shared" si="3165"/>
        <v>Purple-Red bloom</v>
      </c>
      <c r="Y4153" s="509" t="b">
        <f t="shared" si="3166"/>
        <v>0</v>
      </c>
      <c r="Z4153" s="510">
        <f t="shared" si="3167"/>
        <v>0</v>
      </c>
      <c r="AA4153" s="511"/>
      <c r="AB4153" s="511" t="str">
        <f t="shared" si="3168"/>
        <v/>
      </c>
      <c r="AC4153" s="698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698"/>
      <c r="AE4153" s="631" t="str">
        <f t="shared" si="3169"/>
        <v/>
      </c>
      <c r="AF4153" s="699" t="str">
        <f t="shared" si="3170"/>
        <v/>
      </c>
      <c r="AG4153" s="699"/>
      <c r="AH4153" s="699"/>
      <c r="AI4153" s="512">
        <f>IF(H4153="credit",0,IF(AE4153="free",0,IF(AE4153="me",0,IF(G4153&gt;0,(VLOOKUP(A4153,'Discount Lookup'!J:K,2)*G4153),0))))</f>
        <v>0</v>
      </c>
      <c r="AJ4153" s="513" t="str">
        <f t="shared" ca="1" si="3171"/>
        <v/>
      </c>
      <c r="AK4153" s="700" t="str">
        <f t="shared" si="3172"/>
        <v/>
      </c>
      <c r="AL4153" s="700"/>
      <c r="AM4153" s="505" t="str">
        <f t="shared" si="3173"/>
        <v/>
      </c>
      <c r="AN4153" s="506"/>
      <c r="AO4153" s="507"/>
      <c r="AP4153" s="507"/>
      <c r="AQ4153" s="507"/>
      <c r="AR4153" s="507"/>
      <c r="AS4153" s="507"/>
      <c r="AT4153" s="507"/>
      <c r="AU4153" s="507"/>
      <c r="AV4153" s="225"/>
      <c r="AW4153" s="508"/>
      <c r="AX4153" s="225"/>
      <c r="AY4153" s="225"/>
      <c r="AZ4153" s="225"/>
      <c r="BA4153" s="225"/>
      <c r="BB4153" s="225"/>
      <c r="BC4153" s="56"/>
      <c r="BD4153" s="56"/>
      <c r="BE4153" s="56"/>
      <c r="BF4153" s="107" t="str">
        <f t="shared" si="3174"/>
        <v>https://www.google.com/search?tbm=isch&amp;q=Woodland%20Ruby%20Anise%20Tree%20Illicium%20%27Woodland%20Ruby%27</v>
      </c>
      <c r="BG4153" s="107" t="str">
        <f t="shared" si="3175"/>
        <v>W</v>
      </c>
      <c r="BH4153" s="254"/>
      <c r="BI4153" s="254"/>
    </row>
    <row r="4154" spans="1:61" customFormat="1" ht="27" x14ac:dyDescent="0.25">
      <c r="A4154" s="485">
        <v>3</v>
      </c>
      <c r="B4154" s="486" t="s">
        <v>291</v>
      </c>
      <c r="C4154" s="487" t="s">
        <v>3875</v>
      </c>
      <c r="D4154" s="488" t="s">
        <v>292</v>
      </c>
      <c r="E4154" s="489">
        <v>35.950000000000003</v>
      </c>
      <c r="F4154" s="516" t="s">
        <v>293</v>
      </c>
      <c r="G4154" s="232">
        <v>0</v>
      </c>
      <c r="H4154" s="658" t="str">
        <f>IF(G4154=0,"",IF(F4154="Buy",IF(G4154=1,"plant","plants"),IF(F4154&gt;0.01,"warranty","Error")))</f>
        <v/>
      </c>
      <c r="I4154" s="490">
        <f>IF(H4154="free",0,IF(H4154="credit",((E4154*(F4154))*G4154*-1),IF(F4154="Buy",(E4154*G4154),((E4154*(1-F4154))*G4154))))</f>
        <v>0</v>
      </c>
      <c r="J4154" s="490">
        <f>IF(H4154="warranty",0,(I4154*(_xlfn.SINGLE(SalesTaxPercentage))))</f>
        <v>0</v>
      </c>
      <c r="K4154" s="695">
        <f t="shared" ref="K4154" si="3203">I4154+J4154</f>
        <v>0</v>
      </c>
      <c r="L4154" s="695"/>
      <c r="M4154" s="659" t="str">
        <f>IF(AND(G4154&gt;0,E4154=0),"WARNING - no PRICE inserted",IF(H4154="free"," FREE ~ no charge this plant",IF(H4154="credit",CONCATENATE(" -$",ROUND(K4154*(1-T2GDiscount)*-1,2)," CREDIT after discount"),IF(T2GDiscount=0,"",IF(G4154=0,"",IF(F4154="Buy",CONCATENATE(" $",ROUND(K4154*(1-T2GDiscount),2)," with ",(T2GDiscount*100),"% discount"),CONCATENATE(" $",ROUND(K4154*(1-T2GDiscount),2)," with ",((T2GDiscount*100+F4154*100)-(T2GDiscount*100*F4154)),IF(F4154&gt;0,"% discounts",IF(NoWarrantyDiscount&gt;0,"% discounts","% discount")))))))))</f>
        <v/>
      </c>
      <c r="N4154" s="660"/>
      <c r="O4154" s="233"/>
      <c r="P4154" s="233"/>
      <c r="Q4154" s="233"/>
      <c r="R4154" s="233"/>
      <c r="S4154" s="233"/>
      <c r="T4154" s="508">
        <f t="shared" si="3163"/>
        <v>0</v>
      </c>
      <c r="U4154" s="225">
        <f>IF(NOT(ISNUMBER(G4154)), "", VLOOKUP(A4154,'Discount Lookup'!D:E,2,FALSE)*G4154)</f>
        <v>0</v>
      </c>
      <c r="V4154" s="225">
        <f>IF(NOT(ISNUMBER(G4154)), "", VLOOKUP(A4154,'Discount Lookup'!G:H,2,FALSE)*G4154)</f>
        <v>0</v>
      </c>
      <c r="W4154" s="508">
        <f t="shared" si="3164"/>
        <v>0</v>
      </c>
      <c r="X4154" s="508">
        <f t="shared" si="3165"/>
        <v>0</v>
      </c>
      <c r="Y4154" s="509" t="b">
        <f t="shared" si="3166"/>
        <v>0</v>
      </c>
      <c r="Z4154" s="510">
        <f t="shared" si="3167"/>
        <v>0</v>
      </c>
      <c r="AA4154" s="511"/>
      <c r="AB4154" s="511" t="str">
        <f t="shared" si="3168"/>
        <v/>
      </c>
      <c r="AC4154" s="698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698"/>
      <c r="AE4154" s="631" t="str">
        <f t="shared" si="3169"/>
        <v/>
      </c>
      <c r="AF4154" s="699" t="str">
        <f t="shared" si="3170"/>
        <v/>
      </c>
      <c r="AG4154" s="699"/>
      <c r="AH4154" s="699"/>
      <c r="AI4154" s="512">
        <f>IF(H4154="credit",0,IF(AE4154="free",0,IF(AE4154="me",0,IF(G4154&gt;0,(VLOOKUP(A4154,'Discount Lookup'!J:K,2)*G4154),0))))</f>
        <v>0</v>
      </c>
      <c r="AJ4154" s="513" t="str">
        <f t="shared" ca="1" si="3171"/>
        <v/>
      </c>
      <c r="AK4154" s="700" t="str">
        <f t="shared" si="3172"/>
        <v/>
      </c>
      <c r="AL4154" s="700"/>
      <c r="AM4154" s="505" t="str">
        <f t="shared" si="3173"/>
        <v/>
      </c>
      <c r="AN4154" s="506"/>
      <c r="AO4154" s="507"/>
      <c r="AP4154" s="507"/>
      <c r="AQ4154" s="507"/>
      <c r="AR4154" s="507"/>
      <c r="AS4154" s="507"/>
      <c r="AT4154" s="507"/>
      <c r="AU4154" s="507"/>
      <c r="AV4154" s="225"/>
      <c r="AW4154" s="508"/>
      <c r="AX4154" s="225"/>
      <c r="AY4154" s="225"/>
      <c r="AZ4154" s="225"/>
      <c r="BA4154" s="225"/>
      <c r="BB4154" s="225"/>
      <c r="BC4154" s="56"/>
      <c r="BD4154" s="56"/>
      <c r="BE4154" s="56"/>
      <c r="BF4154" s="107" t="str">
        <f t="shared" si="3174"/>
        <v>https://www.google.com/search?tbm=isch&amp;q=3%20G4</v>
      </c>
      <c r="BG4154" s="107" t="str">
        <f t="shared" si="3175"/>
        <v>W</v>
      </c>
      <c r="BH4154" s="254"/>
      <c r="BI4154" s="254"/>
    </row>
    <row r="4155" spans="1:61" customFormat="1" ht="15.75" x14ac:dyDescent="0.25">
      <c r="A4155" s="485">
        <v>3</v>
      </c>
      <c r="B4155" s="486" t="s">
        <v>291</v>
      </c>
      <c r="C4155" s="487" t="s">
        <v>4835</v>
      </c>
      <c r="D4155" s="488" t="s">
        <v>299</v>
      </c>
      <c r="E4155" s="489">
        <v>36.950000000000003</v>
      </c>
      <c r="F4155" s="516" t="s">
        <v>293</v>
      </c>
      <c r="G4155" s="232">
        <v>0</v>
      </c>
      <c r="H4155" s="658" t="str">
        <f>IF(G4155=0,"",IF(F4155="Buy",IF(G4155=1,"plant","plants"),IF(F4155&gt;0.01,"warranty","Error")))</f>
        <v/>
      </c>
      <c r="I4155" s="490">
        <f>IF(H4155="free",0,IF(H4155="credit",((E4155*(F4155))*G4155*-1),IF(F4155="Buy",(E4155*G4155),((E4155*(1-F4155))*G4155))))</f>
        <v>0</v>
      </c>
      <c r="J4155" s="490">
        <f>IF(H4155="warranty",0,(I4155*(_xlfn.SINGLE(SalesTaxPercentage))))</f>
        <v>0</v>
      </c>
      <c r="K4155" s="695">
        <f t="shared" ref="K4155" si="3204">I4155+J4155</f>
        <v>0</v>
      </c>
      <c r="L4155" s="695"/>
      <c r="M4155" s="659" t="str">
        <f>IF(AND(G4155&gt;0,E4155=0),"WARNING - no PRICE inserted",IF(H4155="free"," FREE ~ no charge this plant",IF(H4155="credit",CONCATENATE(" -$",ROUND(K4155*(1-T2GDiscount)*-1,2)," CREDIT after discount"),IF(T2GDiscount=0,"",IF(G4155=0,"",IF(F4155="Buy",CONCATENATE(" $",ROUND(K4155*(1-T2GDiscount),2)," with ",(T2GDiscount*100),"% discount"),CONCATENATE(" $",ROUND(K4155*(1-T2GDiscount),2)," with ",((T2GDiscount*100+F4155*100)-(T2GDiscount*100*F4155)),IF(F4155&gt;0,"% discounts",IF(NoWarrantyDiscount&gt;0,"% discounts","% discount")))))))))</f>
        <v/>
      </c>
      <c r="N4155" s="660"/>
      <c r="O4155" s="233"/>
      <c r="P4155" s="233"/>
      <c r="Q4155" s="233"/>
      <c r="R4155" s="233"/>
      <c r="S4155" s="233"/>
      <c r="T4155" s="508">
        <f t="shared" si="3163"/>
        <v>0</v>
      </c>
      <c r="U4155" s="225">
        <f>IF(NOT(ISNUMBER(G4155)), "", VLOOKUP(A4155,'Discount Lookup'!D:E,2,FALSE)*G4155)</f>
        <v>0</v>
      </c>
      <c r="V4155" s="225">
        <f>IF(NOT(ISNUMBER(G4155)), "", VLOOKUP(A4155,'Discount Lookup'!G:H,2,FALSE)*G4155)</f>
        <v>0</v>
      </c>
      <c r="W4155" s="508">
        <f t="shared" si="3164"/>
        <v>0</v>
      </c>
      <c r="X4155" s="508">
        <f t="shared" si="3165"/>
        <v>0</v>
      </c>
      <c r="Y4155" s="509" t="b">
        <f t="shared" si="3166"/>
        <v>0</v>
      </c>
      <c r="Z4155" s="510">
        <f t="shared" si="3167"/>
        <v>0</v>
      </c>
      <c r="AA4155" s="511"/>
      <c r="AB4155" s="511" t="str">
        <f t="shared" si="3168"/>
        <v/>
      </c>
      <c r="AC4155" s="698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698"/>
      <c r="AE4155" s="631" t="str">
        <f t="shared" si="3169"/>
        <v/>
      </c>
      <c r="AF4155" s="699" t="str">
        <f t="shared" si="3170"/>
        <v/>
      </c>
      <c r="AG4155" s="699"/>
      <c r="AH4155" s="699"/>
      <c r="AI4155" s="512">
        <f>IF(H4155="credit",0,IF(AE4155="free",0,IF(AE4155="me",0,IF(G4155&gt;0,(VLOOKUP(A4155,'Discount Lookup'!J:K,2)*G4155),0))))</f>
        <v>0</v>
      </c>
      <c r="AJ4155" s="513" t="str">
        <f t="shared" ca="1" si="3171"/>
        <v/>
      </c>
      <c r="AK4155" s="700" t="str">
        <f t="shared" si="3172"/>
        <v/>
      </c>
      <c r="AL4155" s="700"/>
      <c r="AM4155" s="505" t="str">
        <f t="shared" si="3173"/>
        <v/>
      </c>
      <c r="AN4155" s="506"/>
      <c r="AO4155" s="507"/>
      <c r="AP4155" s="507"/>
      <c r="AQ4155" s="507"/>
      <c r="AR4155" s="507"/>
      <c r="AS4155" s="507"/>
      <c r="AT4155" s="507"/>
      <c r="AU4155" s="507"/>
      <c r="AV4155" s="225"/>
      <c r="AW4155" s="508"/>
      <c r="AX4155" s="225"/>
      <c r="AY4155" s="225"/>
      <c r="AZ4155" s="225"/>
      <c r="BA4155" s="225"/>
      <c r="BB4155" s="225"/>
      <c r="BC4155" s="56"/>
      <c r="BD4155" s="56"/>
      <c r="BE4155" s="56"/>
      <c r="BF4155" s="107" t="str">
        <f t="shared" si="3174"/>
        <v>https://www.google.com/search?tbm=isch&amp;q=3%20G5</v>
      </c>
      <c r="BG4155" s="107" t="str">
        <f t="shared" si="3175"/>
        <v>W</v>
      </c>
      <c r="BH4155" s="254"/>
      <c r="BI4155" s="254"/>
    </row>
    <row r="4156" spans="1:61" customFormat="1" ht="15.75" x14ac:dyDescent="0.25">
      <c r="A4156" s="485">
        <v>7</v>
      </c>
      <c r="B4156" s="486" t="s">
        <v>291</v>
      </c>
      <c r="C4156" s="487" t="s">
        <v>4836</v>
      </c>
      <c r="D4156" s="488" t="s">
        <v>299</v>
      </c>
      <c r="E4156" s="489">
        <v>79.95</v>
      </c>
      <c r="F4156" s="516" t="s">
        <v>293</v>
      </c>
      <c r="G4156" s="232">
        <v>0</v>
      </c>
      <c r="H4156" s="658" t="str">
        <f>IF(G4156=0,"",IF(F4156="Buy",IF(G4156=1,"plant","plants"),IF(F4156&gt;0.01,"warranty","Error")))</f>
        <v/>
      </c>
      <c r="I4156" s="490">
        <f>IF(H4156="free",0,IF(H4156="credit",((E4156*(F4156))*G4156*-1),IF(F4156="Buy",(E4156*G4156),((E4156*(1-F4156))*G4156))))</f>
        <v>0</v>
      </c>
      <c r="J4156" s="490">
        <f>IF(H4156="warranty",0,(I4156*(_xlfn.SINGLE(SalesTaxPercentage))))</f>
        <v>0</v>
      </c>
      <c r="K4156" s="695">
        <f t="shared" ref="K4156" si="3205">I4156+J4156</f>
        <v>0</v>
      </c>
      <c r="L4156" s="695"/>
      <c r="M4156" s="659" t="str">
        <f>IF(AND(G4156&gt;0,E4156=0),"WARNING - no PRICE inserted",IF(H4156="free"," FREE ~ no charge this plant",IF(H4156="credit",CONCATENATE(" -$",ROUND(K4156*(1-T2GDiscount)*-1,2)," CREDIT after discount"),IF(T2GDiscount=0,"",IF(G4156=0,"",IF(F4156="Buy",CONCATENATE(" $",ROUND(K4156*(1-T2GDiscount),2)," with ",(T2GDiscount*100),"% discount"),CONCATENATE(" $",ROUND(K4156*(1-T2GDiscount),2)," with ",((T2GDiscount*100+F4156*100)-(T2GDiscount*100*F4156)),IF(F4156&gt;0,"% discounts",IF(NoWarrantyDiscount&gt;0,"% discounts","% discount")))))))))</f>
        <v/>
      </c>
      <c r="N4156" s="660"/>
      <c r="O4156" s="233"/>
      <c r="P4156" s="233"/>
      <c r="Q4156" s="233"/>
      <c r="R4156" s="233"/>
      <c r="S4156" s="233"/>
      <c r="T4156" s="508">
        <f t="shared" si="3163"/>
        <v>0</v>
      </c>
      <c r="U4156" s="225">
        <f>IF(NOT(ISNUMBER(G4156)), "", VLOOKUP(A4156,'Discount Lookup'!D:E,2,FALSE)*G4156)</f>
        <v>0</v>
      </c>
      <c r="V4156" s="225">
        <f>IF(NOT(ISNUMBER(G4156)), "", VLOOKUP(A4156,'Discount Lookup'!G:H,2,FALSE)*G4156)</f>
        <v>0</v>
      </c>
      <c r="W4156" s="508">
        <f t="shared" si="3164"/>
        <v>0</v>
      </c>
      <c r="X4156" s="508">
        <f t="shared" si="3165"/>
        <v>0</v>
      </c>
      <c r="Y4156" s="509" t="b">
        <f t="shared" si="3166"/>
        <v>0</v>
      </c>
      <c r="Z4156" s="510">
        <f t="shared" si="3167"/>
        <v>0</v>
      </c>
      <c r="AA4156" s="511"/>
      <c r="AB4156" s="511" t="str">
        <f t="shared" si="3168"/>
        <v/>
      </c>
      <c r="AC4156" s="698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698"/>
      <c r="AE4156" s="631" t="str">
        <f t="shared" si="3169"/>
        <v/>
      </c>
      <c r="AF4156" s="699" t="str">
        <f t="shared" si="3170"/>
        <v/>
      </c>
      <c r="AG4156" s="699"/>
      <c r="AH4156" s="699"/>
      <c r="AI4156" s="512">
        <f>IF(H4156="credit",0,IF(AE4156="free",0,IF(AE4156="me",0,IF(G4156&gt;0,(VLOOKUP(A4156,'Discount Lookup'!J:K,2)*G4156),0))))</f>
        <v>0</v>
      </c>
      <c r="AJ4156" s="513" t="str">
        <f t="shared" ca="1" si="3171"/>
        <v/>
      </c>
      <c r="AK4156" s="700" t="str">
        <f t="shared" si="3172"/>
        <v/>
      </c>
      <c r="AL4156" s="700"/>
      <c r="AM4156" s="505" t="str">
        <f t="shared" si="3173"/>
        <v/>
      </c>
      <c r="AN4156" s="506"/>
      <c r="AO4156" s="507"/>
      <c r="AP4156" s="507"/>
      <c r="AQ4156" s="507"/>
      <c r="AR4156" s="507"/>
      <c r="AS4156" s="507"/>
      <c r="AT4156" s="507"/>
      <c r="AU4156" s="507"/>
      <c r="AV4156" s="225"/>
      <c r="AW4156" s="508"/>
      <c r="AX4156" s="225"/>
      <c r="AY4156" s="225"/>
      <c r="AZ4156" s="225"/>
      <c r="BA4156" s="225"/>
      <c r="BB4156" s="225"/>
      <c r="BC4156" s="56"/>
      <c r="BD4156" s="56"/>
      <c r="BE4156" s="56"/>
      <c r="BF4156" s="107" t="str">
        <f t="shared" si="3174"/>
        <v>https://www.google.com/search?tbm=isch&amp;q=7%20G5</v>
      </c>
      <c r="BG4156" s="107" t="str">
        <f t="shared" si="3175"/>
        <v>W</v>
      </c>
      <c r="BH4156" s="254"/>
      <c r="BI4156" s="254"/>
    </row>
    <row r="4157" spans="1:61" customFormat="1" ht="15.75" x14ac:dyDescent="0.25">
      <c r="A4157" s="672" t="s">
        <v>5289</v>
      </c>
      <c r="B4157" s="491"/>
      <c r="C4157" s="675"/>
      <c r="D4157" s="491"/>
      <c r="E4157" s="491"/>
      <c r="F4157" s="492"/>
      <c r="G4157" s="493"/>
      <c r="H4157" s="491"/>
      <c r="I4157" s="234"/>
      <c r="J4157" s="234"/>
      <c r="K4157" s="494"/>
      <c r="L4157" s="543"/>
      <c r="M4157" s="561"/>
      <c r="N4157" s="495"/>
      <c r="O4157" s="496"/>
      <c r="P4157" s="497"/>
      <c r="Q4157" s="495"/>
      <c r="R4157" s="495"/>
      <c r="S4157" s="277"/>
      <c r="T4157" s="508">
        <f t="shared" si="3163"/>
        <v>0</v>
      </c>
      <c r="U4157" s="225" t="str">
        <f>IF(NOT(ISNUMBER(G4157)), "", VLOOKUP(A4157,'Discount Lookup'!D:E,2,FALSE)*G4157)</f>
        <v/>
      </c>
      <c r="V4157" s="225" t="str">
        <f>IF(NOT(ISNUMBER(G4157)), "", VLOOKUP(A4157,'Discount Lookup'!G:H,2,FALSE)*G4157)</f>
        <v/>
      </c>
      <c r="W4157" s="508">
        <f t="shared" si="3164"/>
        <v>0</v>
      </c>
      <c r="X4157" s="508">
        <f t="shared" si="3165"/>
        <v>0</v>
      </c>
      <c r="Y4157" s="509" t="b">
        <f t="shared" si="3166"/>
        <v>0</v>
      </c>
      <c r="Z4157" s="510">
        <f t="shared" si="3167"/>
        <v>0</v>
      </c>
      <c r="AA4157" s="511"/>
      <c r="AB4157" s="511" t="str">
        <f t="shared" si="3168"/>
        <v/>
      </c>
      <c r="AC4157" s="698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698"/>
      <c r="AE4157" s="631" t="str">
        <f t="shared" si="3169"/>
        <v/>
      </c>
      <c r="AF4157" s="699" t="str">
        <f t="shared" si="3170"/>
        <v/>
      </c>
      <c r="AG4157" s="699"/>
      <c r="AH4157" s="699"/>
      <c r="AI4157" s="512">
        <f>IF(H4157="credit",0,IF(AE4157="free",0,IF(AE4157="me",0,IF(G4157&gt;0,(VLOOKUP(A4157,'Discount Lookup'!J:K,2)*G4157),0))))</f>
        <v>0</v>
      </c>
      <c r="AJ4157" s="513" t="str">
        <f t="shared" ca="1" si="3171"/>
        <v/>
      </c>
      <c r="AK4157" s="700" t="str">
        <f t="shared" si="3172"/>
        <v/>
      </c>
      <c r="AL4157" s="700"/>
      <c r="AM4157" s="505" t="str">
        <f t="shared" si="3173"/>
        <v/>
      </c>
      <c r="AN4157" s="506"/>
      <c r="AO4157" s="507"/>
      <c r="AP4157" s="507"/>
      <c r="AQ4157" s="507"/>
      <c r="AR4157" s="507"/>
      <c r="AS4157" s="507"/>
      <c r="AT4157" s="507"/>
      <c r="AU4157" s="507"/>
      <c r="AV4157" s="225"/>
      <c r="AW4157" s="508"/>
      <c r="AX4157" s="225"/>
      <c r="AY4157" s="225"/>
      <c r="AZ4157" s="225"/>
      <c r="BA4157" s="225"/>
      <c r="BB4157" s="225"/>
      <c r="BC4157" s="56"/>
      <c r="BD4157" s="56"/>
      <c r="BE4157" s="56"/>
      <c r="BF4157" s="107" t="str">
        <f t="shared" si="3174"/>
        <v>https://www.google.com/search?tbm=isch&amp;q=moist%20sites%F0%9F%92%A7OK%2C%20Woodland%20Ruby%20fragrant%20spring%20to%20mid-summer.%20Parts%20of%20plant%20toxic%20%7E%20Anise%20spice%20made%20from%20%27Illicium%20verum%27%20only%20</v>
      </c>
      <c r="BG4157" s="107" t="str">
        <f t="shared" si="3175"/>
        <v>m</v>
      </c>
      <c r="BH4157" s="254"/>
      <c r="BI4157" s="254"/>
    </row>
    <row r="4158" spans="1:61" customFormat="1" ht="45.75" thickBot="1" x14ac:dyDescent="0.35">
      <c r="A4158" s="525" t="s">
        <v>2069</v>
      </c>
      <c r="B4158" s="248"/>
      <c r="C4158" s="678" t="s">
        <v>673</v>
      </c>
      <c r="D4158" s="249"/>
      <c r="E4158" s="249"/>
      <c r="F4158" s="249"/>
      <c r="G4158" s="249"/>
      <c r="H4158" s="250"/>
      <c r="I4158" s="249"/>
      <c r="J4158" s="249"/>
      <c r="K4158" s="526" t="s">
        <v>2840</v>
      </c>
      <c r="L4158" s="279"/>
      <c r="M4158" s="251"/>
      <c r="S4158" s="504" t="s">
        <v>2841</v>
      </c>
      <c r="T4158" s="508">
        <f t="shared" si="3163"/>
        <v>0</v>
      </c>
      <c r="U4158" s="225" t="str">
        <f>IF(NOT(ISNUMBER(G4158)), "", VLOOKUP(A4158,'Discount Lookup'!D:E,2,FALSE)*G4158)</f>
        <v/>
      </c>
      <c r="V4158" s="225" t="str">
        <f>IF(NOT(ISNUMBER(G4158)), "", VLOOKUP(A4158,'Discount Lookup'!G:H,2,FALSE)*G4158)</f>
        <v/>
      </c>
      <c r="W4158" s="508">
        <f t="shared" si="3164"/>
        <v>0</v>
      </c>
      <c r="X4158" s="508">
        <f t="shared" si="3165"/>
        <v>0</v>
      </c>
      <c r="Y4158" s="509" t="b">
        <f t="shared" si="3166"/>
        <v>0</v>
      </c>
      <c r="Z4158" s="510">
        <f t="shared" si="3167"/>
        <v>0</v>
      </c>
      <c r="AA4158" s="511"/>
      <c r="AB4158" s="511" t="str">
        <f t="shared" si="3168"/>
        <v/>
      </c>
      <c r="AC4158" s="698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698"/>
      <c r="AE4158" s="631" t="str">
        <f t="shared" si="3169"/>
        <v/>
      </c>
      <c r="AF4158" s="699" t="str">
        <f t="shared" si="3170"/>
        <v/>
      </c>
      <c r="AG4158" s="699"/>
      <c r="AH4158" s="699"/>
      <c r="AI4158" s="512">
        <f>IF(H4158="credit",0,IF(AE4158="free",0,IF(AE4158="me",0,IF(G4158&gt;0,(VLOOKUP(A4158,'Discount Lookup'!J:K,2)*G4158),0))))</f>
        <v>0</v>
      </c>
      <c r="AJ4158" s="513" t="str">
        <f t="shared" ca="1" si="3171"/>
        <v/>
      </c>
      <c r="AK4158" s="700" t="str">
        <f t="shared" si="3172"/>
        <v/>
      </c>
      <c r="AL4158" s="700"/>
      <c r="AM4158" s="505" t="str">
        <f t="shared" si="3173"/>
        <v/>
      </c>
      <c r="AN4158" s="506"/>
      <c r="AO4158" s="507"/>
      <c r="AP4158" s="507"/>
      <c r="AQ4158" s="507"/>
      <c r="AR4158" s="507"/>
      <c r="AS4158" s="507"/>
      <c r="AT4158" s="507"/>
      <c r="AU4158" s="507"/>
      <c r="AV4158" s="225"/>
      <c r="AW4158" s="508"/>
      <c r="AX4158" s="225"/>
      <c r="AY4158" s="225"/>
      <c r="AZ4158" s="225"/>
      <c r="BA4158" s="225"/>
      <c r="BB4158" s="225"/>
      <c r="BC4158" s="56"/>
      <c r="BD4158" s="56"/>
      <c r="BE4158" s="56"/>
      <c r="BF4158" s="107" t="str">
        <f t="shared" si="3174"/>
        <v>https://www.google.com/search?tbm=isch&amp;q=Y%20</v>
      </c>
      <c r="BG4158" s="107" t="str">
        <f t="shared" si="3175"/>
        <v>Y</v>
      </c>
      <c r="BH4158" s="254"/>
      <c r="BI4158" s="254"/>
    </row>
    <row r="4159" spans="1:61" customFormat="1" ht="18" x14ac:dyDescent="0.25">
      <c r="A4159" s="521" t="s">
        <v>5573</v>
      </c>
      <c r="B4159" s="477"/>
      <c r="C4159" s="674"/>
      <c r="D4159" s="478" t="s">
        <v>4369</v>
      </c>
      <c r="E4159" s="479"/>
      <c r="F4159" s="479"/>
      <c r="G4159" s="479"/>
      <c r="H4159" s="582" t="s">
        <v>1920</v>
      </c>
      <c r="I4159" s="480" t="s">
        <v>654</v>
      </c>
      <c r="J4159" s="479"/>
      <c r="K4159" s="479"/>
      <c r="L4159" s="560"/>
      <c r="M4159" s="666" t="s">
        <v>4966</v>
      </c>
      <c r="N4159" s="680" t="str">
        <f>IF(AND(ISTEXT($A4159), ISERROR($A4159+0)), HYPERLINK($BF4159, "Images"), "")</f>
        <v>Images</v>
      </c>
      <c r="O4159" s="662" t="s">
        <v>4967</v>
      </c>
      <c r="P4159" s="482"/>
      <c r="Q4159" s="483"/>
      <c r="R4159" s="483"/>
      <c r="S4159" s="484"/>
      <c r="T4159" s="508">
        <f t="shared" si="3163"/>
        <v>0</v>
      </c>
      <c r="U4159" s="225" t="str">
        <f>IF(NOT(ISNUMBER(G4159)), "", VLOOKUP(A4159,'Discount Lookup'!D:E,2,FALSE)*G4159)</f>
        <v/>
      </c>
      <c r="V4159" s="225" t="str">
        <f>IF(NOT(ISNUMBER(G4159)), "", VLOOKUP(A4159,'Discount Lookup'!G:H,2,FALSE)*G4159)</f>
        <v/>
      </c>
      <c r="W4159" s="508">
        <f t="shared" si="3164"/>
        <v>0</v>
      </c>
      <c r="X4159" s="508" t="str">
        <f t="shared" si="3165"/>
        <v>White bloom</v>
      </c>
      <c r="Y4159" s="509" t="b">
        <f t="shared" si="3166"/>
        <v>0</v>
      </c>
      <c r="Z4159" s="510">
        <f t="shared" si="3167"/>
        <v>0</v>
      </c>
      <c r="AA4159" s="511"/>
      <c r="AB4159" s="511" t="str">
        <f t="shared" si="3168"/>
        <v/>
      </c>
      <c r="AC4159" s="698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698"/>
      <c r="AE4159" s="631" t="str">
        <f t="shared" si="3169"/>
        <v/>
      </c>
      <c r="AF4159" s="699" t="str">
        <f t="shared" si="3170"/>
        <v/>
      </c>
      <c r="AG4159" s="699"/>
      <c r="AH4159" s="699"/>
      <c r="AI4159" s="512">
        <f>IF(H4159="credit",0,IF(AE4159="free",0,IF(AE4159="me",0,IF(G4159&gt;0,(VLOOKUP(A4159,'Discount Lookup'!J:K,2)*G4159),0))))</f>
        <v>0</v>
      </c>
      <c r="AJ4159" s="513" t="str">
        <f t="shared" ca="1" si="3171"/>
        <v/>
      </c>
      <c r="AK4159" s="700" t="str">
        <f t="shared" si="3172"/>
        <v/>
      </c>
      <c r="AL4159" s="700"/>
      <c r="AM4159" s="505" t="str">
        <f t="shared" si="3173"/>
        <v/>
      </c>
      <c r="AN4159" s="506"/>
      <c r="AO4159" s="507"/>
      <c r="AP4159" s="507"/>
      <c r="AQ4159" s="507"/>
      <c r="AR4159" s="507"/>
      <c r="AS4159" s="507"/>
      <c r="AT4159" s="507"/>
      <c r="AU4159" s="507"/>
      <c r="AV4159" s="225"/>
      <c r="AW4159" s="508"/>
      <c r="AX4159" s="225"/>
      <c r="AY4159" s="225"/>
      <c r="AZ4159" s="225"/>
      <c r="BA4159" s="225"/>
      <c r="BB4159" s="225"/>
      <c r="BC4159" s="56"/>
      <c r="BD4159" s="56"/>
      <c r="BE4159" s="56"/>
      <c r="BF4159" s="107" t="str">
        <f t="shared" si="3174"/>
        <v>https://www.google.com/search?tbm=isch&amp;q=Yardline%C2%AE%20Viburnum%20Viburnum%20%C3%97%20%27Yardline%27</v>
      </c>
      <c r="BG4159" s="107" t="str">
        <f t="shared" si="3175"/>
        <v>Y</v>
      </c>
      <c r="BH4159" s="254"/>
      <c r="BI4159" s="254"/>
    </row>
    <row r="4160" spans="1:61" customFormat="1" ht="15.75" x14ac:dyDescent="0.25">
      <c r="A4160" s="485">
        <v>10</v>
      </c>
      <c r="B4160" s="486" t="s">
        <v>291</v>
      </c>
      <c r="C4160" s="487" t="s">
        <v>4447</v>
      </c>
      <c r="D4160" s="488" t="s">
        <v>292</v>
      </c>
      <c r="E4160" s="489">
        <v>104.95</v>
      </c>
      <c r="F4160" s="516" t="s">
        <v>293</v>
      </c>
      <c r="G4160" s="232">
        <v>0</v>
      </c>
      <c r="H4160" s="658" t="str">
        <f>IF(G4160=0,"",IF(F4160="Buy",IF(G4160=1,"plant","plants"),IF(F4160&gt;0.01,"warranty","Error")))</f>
        <v/>
      </c>
      <c r="I4160" s="490">
        <f>IF(H4160="free",0,IF(H4160="credit",((E4160*(F4160))*G4160*-1),IF(F4160="Buy",(E4160*G4160),((E4160*(1-F4160))*G4160))))</f>
        <v>0</v>
      </c>
      <c r="J4160" s="490">
        <f>IF(H4160="warranty",0,(I4160*(_xlfn.SINGLE(SalesTaxPercentage))))</f>
        <v>0</v>
      </c>
      <c r="K4160" s="695">
        <f t="shared" ref="K4160" si="3206">I4160+J4160</f>
        <v>0</v>
      </c>
      <c r="L4160" s="695"/>
      <c r="M4160" s="659" t="str">
        <f>IF(AND(G4160&gt;0,E4160=0),"WARNING - no PRICE inserted",IF(H4160="free"," FREE ~ no charge this plant",IF(H4160="credit",CONCATENATE(" -$",ROUND(K4160*(1-T2GDiscount)*-1,2)," CREDIT after discount"),IF(T2GDiscount=0,"",IF(G4160=0,"",IF(F4160="Buy",CONCATENATE(" $",ROUND(K4160*(1-T2GDiscount),2)," with ",(T2GDiscount*100),"% discount"),CONCATENATE(" $",ROUND(K4160*(1-T2GDiscount),2)," with ",((T2GDiscount*100+F4160*100)-(T2GDiscount*100*F4160)),IF(F4160&gt;0,"% discounts",IF(NoWarrantyDiscount&gt;0,"% discounts","% discount")))))))))</f>
        <v/>
      </c>
      <c r="N4160" s="660"/>
      <c r="O4160" s="233"/>
      <c r="P4160" s="233"/>
      <c r="Q4160" s="233"/>
      <c r="R4160" s="233"/>
      <c r="S4160" s="233"/>
      <c r="T4160" s="508">
        <f t="shared" si="3163"/>
        <v>0</v>
      </c>
      <c r="U4160" s="225">
        <f>IF(NOT(ISNUMBER(G4160)), "", VLOOKUP(A4160,'Discount Lookup'!D:E,2,FALSE)*G4160)</f>
        <v>0</v>
      </c>
      <c r="V4160" s="225">
        <f>IF(NOT(ISNUMBER(G4160)), "", VLOOKUP(A4160,'Discount Lookup'!G:H,2,FALSE)*G4160)</f>
        <v>0</v>
      </c>
      <c r="W4160" s="508">
        <f t="shared" si="3164"/>
        <v>0</v>
      </c>
      <c r="X4160" s="508">
        <f t="shared" si="3165"/>
        <v>0</v>
      </c>
      <c r="Y4160" s="509" t="b">
        <f t="shared" si="3166"/>
        <v>0</v>
      </c>
      <c r="Z4160" s="510">
        <f t="shared" si="3167"/>
        <v>0</v>
      </c>
      <c r="AA4160" s="511"/>
      <c r="AB4160" s="511" t="str">
        <f t="shared" si="3168"/>
        <v/>
      </c>
      <c r="AC4160" s="698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698"/>
      <c r="AE4160" s="631" t="str">
        <f t="shared" si="3169"/>
        <v/>
      </c>
      <c r="AF4160" s="699" t="str">
        <f t="shared" si="3170"/>
        <v/>
      </c>
      <c r="AG4160" s="699"/>
      <c r="AH4160" s="699"/>
      <c r="AI4160" s="512">
        <f>IF(H4160="credit",0,IF(AE4160="free",0,IF(AE4160="me",0,IF(G4160&gt;0,(VLOOKUP(A4160,'Discount Lookup'!J:K,2)*G4160),0))))</f>
        <v>0</v>
      </c>
      <c r="AJ4160" s="513" t="str">
        <f t="shared" ca="1" si="3171"/>
        <v/>
      </c>
      <c r="AK4160" s="700" t="str">
        <f t="shared" si="3172"/>
        <v/>
      </c>
      <c r="AL4160" s="700"/>
      <c r="AM4160" s="505" t="str">
        <f t="shared" si="3173"/>
        <v/>
      </c>
      <c r="AN4160" s="506"/>
      <c r="AO4160" s="507"/>
      <c r="AP4160" s="507"/>
      <c r="AQ4160" s="507"/>
      <c r="AR4160" s="507"/>
      <c r="AS4160" s="507"/>
      <c r="AT4160" s="507"/>
      <c r="AU4160" s="507"/>
      <c r="AV4160" s="225"/>
      <c r="AW4160" s="508"/>
      <c r="AX4160" s="225"/>
      <c r="AY4160" s="225"/>
      <c r="AZ4160" s="225"/>
      <c r="BA4160" s="225"/>
      <c r="BB4160" s="225"/>
      <c r="BC4160" s="56"/>
      <c r="BD4160" s="56"/>
      <c r="BE4160" s="56"/>
      <c r="BF4160" s="107" t="str">
        <f t="shared" si="3174"/>
        <v>https://www.google.com/search?tbm=isch&amp;q=10%20G4</v>
      </c>
      <c r="BG4160" s="107" t="str">
        <f t="shared" si="3175"/>
        <v>Y</v>
      </c>
      <c r="BH4160" s="254"/>
      <c r="BI4160" s="254"/>
    </row>
    <row r="4161" spans="1:61" customFormat="1" ht="17.25" thickBot="1" x14ac:dyDescent="0.3">
      <c r="A4161" s="522" t="s">
        <v>4370</v>
      </c>
      <c r="B4161" s="491"/>
      <c r="C4161" s="675"/>
      <c r="D4161" s="491"/>
      <c r="E4161" s="491"/>
      <c r="F4161" s="492"/>
      <c r="G4161" s="493"/>
      <c r="H4161" s="491"/>
      <c r="I4161" s="234"/>
      <c r="J4161" s="234"/>
      <c r="K4161" s="494"/>
      <c r="L4161" s="543"/>
      <c r="M4161" s="561"/>
      <c r="N4161" s="495"/>
      <c r="O4161" s="496"/>
      <c r="P4161" s="497"/>
      <c r="Q4161" s="495"/>
      <c r="R4161" s="495"/>
      <c r="S4161" s="667" t="s">
        <v>4984</v>
      </c>
      <c r="T4161" s="508">
        <f t="shared" si="3163"/>
        <v>0</v>
      </c>
      <c r="U4161" s="225" t="str">
        <f>IF(NOT(ISNUMBER(G4161)), "", VLOOKUP(A4161,'Discount Lookup'!D:E,2,FALSE)*G4161)</f>
        <v/>
      </c>
      <c r="V4161" s="225" t="str">
        <f>IF(NOT(ISNUMBER(G4161)), "", VLOOKUP(A4161,'Discount Lookup'!G:H,2,FALSE)*G4161)</f>
        <v/>
      </c>
      <c r="W4161" s="508">
        <f t="shared" si="3164"/>
        <v>0</v>
      </c>
      <c r="X4161" s="508">
        <f t="shared" si="3165"/>
        <v>0</v>
      </c>
      <c r="Y4161" s="509" t="b">
        <f t="shared" si="3166"/>
        <v>0</v>
      </c>
      <c r="Z4161" s="510">
        <f t="shared" si="3167"/>
        <v>0</v>
      </c>
      <c r="AA4161" s="511"/>
      <c r="AB4161" s="511" t="str">
        <f t="shared" si="3168"/>
        <v/>
      </c>
      <c r="AC4161" s="698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698"/>
      <c r="AE4161" s="631" t="str">
        <f t="shared" si="3169"/>
        <v/>
      </c>
      <c r="AF4161" s="699" t="str">
        <f t="shared" si="3170"/>
        <v/>
      </c>
      <c r="AG4161" s="699"/>
      <c r="AH4161" s="699"/>
      <c r="AI4161" s="512">
        <f>IF(H4161="credit",0,IF(AE4161="free",0,IF(AE4161="me",0,IF(G4161&gt;0,(VLOOKUP(A4161,'Discount Lookup'!J:K,2)*G4161),0))))</f>
        <v>0</v>
      </c>
      <c r="AJ4161" s="513" t="str">
        <f t="shared" ca="1" si="3171"/>
        <v/>
      </c>
      <c r="AK4161" s="700" t="str">
        <f t="shared" si="3172"/>
        <v/>
      </c>
      <c r="AL4161" s="700"/>
      <c r="AM4161" s="505" t="str">
        <f t="shared" si="3173"/>
        <v/>
      </c>
      <c r="AN4161" s="506"/>
      <c r="AO4161" s="507"/>
      <c r="AP4161" s="507"/>
      <c r="AQ4161" s="507"/>
      <c r="AR4161" s="507"/>
      <c r="AS4161" s="507"/>
      <c r="AT4161" s="507"/>
      <c r="AU4161" s="507"/>
      <c r="AV4161" s="225"/>
      <c r="AW4161" s="508"/>
      <c r="AX4161" s="225"/>
      <c r="AY4161" s="225"/>
      <c r="AZ4161" s="225"/>
      <c r="BA4161" s="225"/>
      <c r="BB4161" s="225"/>
      <c r="BC4161" s="56"/>
      <c r="BD4161" s="56"/>
      <c r="BE4161" s="56"/>
      <c r="BF4161" s="107" t="str">
        <f t="shared" si="3174"/>
        <v>https://www.google.com/search?tbm=isch&amp;q=Yardline%20has%20fragrant%20spring%20blooms%2C%20glossy%20foliage%2C%20and%20a%20narrow%20upright%20habit.%20Red%20berries%20if%20a%20pollinator%20like%20V.%20awabuki%20is%20nearby%20</v>
      </c>
      <c r="BG4161" s="107" t="str">
        <f t="shared" si="3175"/>
        <v>Y</v>
      </c>
      <c r="BH4161" s="254"/>
      <c r="BI4161" s="254"/>
    </row>
    <row r="4162" spans="1:61" customFormat="1" ht="18" x14ac:dyDescent="0.25">
      <c r="A4162" s="523" t="s">
        <v>2070</v>
      </c>
      <c r="B4162" s="235"/>
      <c r="C4162" s="676"/>
      <c r="D4162" s="255" t="s">
        <v>2071</v>
      </c>
      <c r="E4162" s="236"/>
      <c r="F4162" s="236"/>
      <c r="G4162" s="236"/>
      <c r="H4162" s="582" t="s">
        <v>950</v>
      </c>
      <c r="I4162" s="498" t="s">
        <v>2278</v>
      </c>
      <c r="J4162" s="237"/>
      <c r="K4162" s="237"/>
      <c r="L4162" s="274"/>
      <c r="M4162" s="668" t="s">
        <v>4975</v>
      </c>
      <c r="N4162" s="681" t="str">
        <f>IF(AND(ISTEXT($A4162), ISERROR($A4162+0)), HYPERLINK($BF4162, "Images"), "")</f>
        <v>Images</v>
      </c>
      <c r="O4162" s="663" t="s">
        <v>4967</v>
      </c>
      <c r="P4162" s="253"/>
      <c r="Q4162" s="238"/>
      <c r="R4162" s="239"/>
      <c r="S4162" s="275"/>
      <c r="T4162" s="508">
        <f t="shared" si="3163"/>
        <v>0</v>
      </c>
      <c r="U4162" s="225" t="str">
        <f>IF(NOT(ISNUMBER(G4162)), "", VLOOKUP(A4162,'Discount Lookup'!D:E,2,FALSE)*G4162)</f>
        <v/>
      </c>
      <c r="V4162" s="225" t="str">
        <f>IF(NOT(ISNUMBER(G4162)), "", VLOOKUP(A4162,'Discount Lookup'!G:H,2,FALSE)*G4162)</f>
        <v/>
      </c>
      <c r="W4162" s="508">
        <f t="shared" si="3164"/>
        <v>0</v>
      </c>
      <c r="X4162" s="508" t="str">
        <f t="shared" si="3165"/>
        <v>Canary-Yellow bloom</v>
      </c>
      <c r="Y4162" s="509" t="b">
        <f t="shared" si="3166"/>
        <v>0</v>
      </c>
      <c r="Z4162" s="510">
        <f t="shared" si="3167"/>
        <v>0</v>
      </c>
      <c r="AA4162" s="511"/>
      <c r="AB4162" s="511" t="str">
        <f t="shared" si="3168"/>
        <v/>
      </c>
      <c r="AC4162" s="698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698"/>
      <c r="AE4162" s="631" t="str">
        <f t="shared" si="3169"/>
        <v/>
      </c>
      <c r="AF4162" s="699" t="str">
        <f t="shared" si="3170"/>
        <v/>
      </c>
      <c r="AG4162" s="699"/>
      <c r="AH4162" s="699"/>
      <c r="AI4162" s="512">
        <f>IF(H4162="credit",0,IF(AE4162="free",0,IF(AE4162="me",0,IF(G4162&gt;0,(VLOOKUP(A4162,'Discount Lookup'!J:K,2)*G4162),0))))</f>
        <v>0</v>
      </c>
      <c r="AJ4162" s="513" t="str">
        <f t="shared" ca="1" si="3171"/>
        <v/>
      </c>
      <c r="AK4162" s="700" t="str">
        <f t="shared" si="3172"/>
        <v/>
      </c>
      <c r="AL4162" s="700"/>
      <c r="AM4162" s="505" t="str">
        <f t="shared" si="3173"/>
        <v/>
      </c>
      <c r="AN4162" s="506"/>
      <c r="AO4162" s="507"/>
      <c r="AP4162" s="507"/>
      <c r="AQ4162" s="507"/>
      <c r="AR4162" s="507"/>
      <c r="AS4162" s="507"/>
      <c r="AT4162" s="507"/>
      <c r="AU4162" s="507"/>
      <c r="AV4162" s="225"/>
      <c r="AW4162" s="508"/>
      <c r="AX4162" s="225"/>
      <c r="AY4162" s="225"/>
      <c r="AZ4162" s="225"/>
      <c r="BA4162" s="225"/>
      <c r="BB4162" s="225"/>
      <c r="BC4162" s="56"/>
      <c r="BD4162" s="56"/>
      <c r="BE4162" s="56"/>
      <c r="BF4162" s="107" t="str">
        <f t="shared" si="3174"/>
        <v>https://www.google.com/search?tbm=isch&amp;q=Yellow%20Bird%20Magnolia%20Magnolia%20x%20brooklynensis%20%27Yellow%20Bird%27</v>
      </c>
      <c r="BG4162" s="107" t="str">
        <f t="shared" si="3175"/>
        <v>Y</v>
      </c>
      <c r="BH4162" s="254"/>
      <c r="BI4162" s="254"/>
    </row>
    <row r="4163" spans="1:61" customFormat="1" ht="15.75" x14ac:dyDescent="0.25">
      <c r="A4163" s="276">
        <v>7</v>
      </c>
      <c r="B4163" s="240" t="s">
        <v>291</v>
      </c>
      <c r="C4163" s="241" t="s">
        <v>3796</v>
      </c>
      <c r="D4163" s="242" t="s">
        <v>292</v>
      </c>
      <c r="E4163" s="243">
        <v>109.95</v>
      </c>
      <c r="F4163" s="517" t="s">
        <v>293</v>
      </c>
      <c r="G4163" s="232">
        <v>0</v>
      </c>
      <c r="H4163" s="661" t="str">
        <f>IF(G4163=0,"",IF(F4163="Buy",IF(G4163=1,"plant","plants"),IF(F4163&gt;0.01,"warranty","Error")))</f>
        <v/>
      </c>
      <c r="I4163" s="244">
        <f>IF(H4163="free",0,IF(H4163="credit",((E4163*(F4163))*G4163*-1),IF(F4163="Buy",(E4163*G4163),((E4163*(1-F4163))*G4163))))</f>
        <v>0</v>
      </c>
      <c r="J4163" s="244">
        <f>IF(H4163="warranty",0,(I4163*(_xlfn.SINGLE(SalesTaxPercentage))))</f>
        <v>0</v>
      </c>
      <c r="K4163" s="696">
        <f t="shared" ref="K4163" si="3207">I4163+J4163</f>
        <v>0</v>
      </c>
      <c r="L4163" s="696"/>
      <c r="M4163" s="659" t="str">
        <f>IF(AND(G4163&gt;0,E4163=0),"WARNING - no PRICE inserted",IF(H4163="free"," FREE ~ no charge this plant",IF(H4163="credit",CONCATENATE(" -$",ROUND(K4163*(1-T2GDiscount)*-1,2)," CREDIT after discount"),IF(T2GDiscount=0,"",IF(G4163=0,"",IF(F4163="Buy",CONCATENATE(" $",ROUND(K4163*(1-T2GDiscount),2)," with ",(T2GDiscount*100),"% discount"),CONCATENATE(" $",ROUND(K4163*(1-T2GDiscount),2)," with ",((T2GDiscount*100+F4163*100)-(T2GDiscount*100*F4163)),IF(F4163&gt;0,"% discounts",IF(NoWarrantyDiscount&gt;0,"% discounts","% discount")))))))))</f>
        <v/>
      </c>
      <c r="N4163" s="660"/>
      <c r="O4163" s="233"/>
      <c r="P4163" s="233"/>
      <c r="Q4163" s="233"/>
      <c r="R4163" s="233"/>
      <c r="S4163" s="233"/>
      <c r="T4163" s="508">
        <f t="shared" si="3163"/>
        <v>0</v>
      </c>
      <c r="U4163" s="225">
        <f>IF(NOT(ISNUMBER(G4163)), "", VLOOKUP(A4163,'Discount Lookup'!D:E,2,FALSE)*G4163)</f>
        <v>0</v>
      </c>
      <c r="V4163" s="225">
        <f>IF(NOT(ISNUMBER(G4163)), "", VLOOKUP(A4163,'Discount Lookup'!G:H,2,FALSE)*G4163)</f>
        <v>0</v>
      </c>
      <c r="W4163" s="508">
        <f t="shared" si="3164"/>
        <v>0</v>
      </c>
      <c r="X4163" s="508">
        <f t="shared" si="3165"/>
        <v>0</v>
      </c>
      <c r="Y4163" s="509" t="b">
        <f t="shared" si="3166"/>
        <v>0</v>
      </c>
      <c r="Z4163" s="510">
        <f t="shared" si="3167"/>
        <v>0</v>
      </c>
      <c r="AA4163" s="511"/>
      <c r="AB4163" s="511" t="str">
        <f t="shared" si="3168"/>
        <v/>
      </c>
      <c r="AC4163" s="698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698"/>
      <c r="AE4163" s="631" t="str">
        <f t="shared" si="3169"/>
        <v/>
      </c>
      <c r="AF4163" s="699" t="str">
        <f t="shared" si="3170"/>
        <v/>
      </c>
      <c r="AG4163" s="699"/>
      <c r="AH4163" s="699"/>
      <c r="AI4163" s="512">
        <f>IF(H4163="credit",0,IF(AE4163="free",0,IF(AE4163="me",0,IF(G4163&gt;0,(VLOOKUP(A4163,'Discount Lookup'!J:K,2)*G4163),0))))</f>
        <v>0</v>
      </c>
      <c r="AJ4163" s="513" t="str">
        <f t="shared" ca="1" si="3171"/>
        <v/>
      </c>
      <c r="AK4163" s="700" t="str">
        <f t="shared" si="3172"/>
        <v/>
      </c>
      <c r="AL4163" s="700"/>
      <c r="AM4163" s="505" t="str">
        <f t="shared" si="3173"/>
        <v/>
      </c>
      <c r="AN4163" s="506"/>
      <c r="AO4163" s="507"/>
      <c r="AP4163" s="507"/>
      <c r="AQ4163" s="507"/>
      <c r="AR4163" s="507"/>
      <c r="AS4163" s="507"/>
      <c r="AT4163" s="507"/>
      <c r="AU4163" s="507"/>
      <c r="AV4163" s="225"/>
      <c r="AW4163" s="508"/>
      <c r="AX4163" s="225"/>
      <c r="AY4163" s="225"/>
      <c r="AZ4163" s="225"/>
      <c r="BA4163" s="225"/>
      <c r="BB4163" s="225"/>
      <c r="BC4163" s="56"/>
      <c r="BD4163" s="56"/>
      <c r="BE4163" s="56"/>
      <c r="BF4163" s="107" t="str">
        <f t="shared" si="3174"/>
        <v>https://www.google.com/search?tbm=isch&amp;q=7%20G4</v>
      </c>
      <c r="BG4163" s="107" t="str">
        <f t="shared" si="3175"/>
        <v>Y</v>
      </c>
      <c r="BH4163" s="254"/>
      <c r="BI4163" s="254"/>
    </row>
    <row r="4164" spans="1:61" customFormat="1" ht="17.25" thickBot="1" x14ac:dyDescent="0.3">
      <c r="A4164" s="524" t="s">
        <v>2279</v>
      </c>
      <c r="B4164" s="245"/>
      <c r="C4164" s="677"/>
      <c r="D4164" s="499"/>
      <c r="E4164" s="499"/>
      <c r="F4164" s="500"/>
      <c r="G4164" s="501"/>
      <c r="H4164" s="502"/>
      <c r="I4164" s="246"/>
      <c r="J4164" s="247"/>
      <c r="K4164" s="503"/>
      <c r="L4164" s="544"/>
      <c r="M4164" s="544"/>
      <c r="N4164" s="500"/>
      <c r="O4164" s="500"/>
      <c r="P4164" s="500"/>
      <c r="Q4164" s="500"/>
      <c r="R4164" s="500"/>
      <c r="S4164" s="278"/>
      <c r="T4164" s="508">
        <f t="shared" si="3163"/>
        <v>0</v>
      </c>
      <c r="U4164" s="225" t="str">
        <f>IF(NOT(ISNUMBER(G4164)), "", VLOOKUP(A4164,'Discount Lookup'!D:E,2,FALSE)*G4164)</f>
        <v/>
      </c>
      <c r="V4164" s="225" t="str">
        <f>IF(NOT(ISNUMBER(G4164)), "", VLOOKUP(A4164,'Discount Lookup'!G:H,2,FALSE)*G4164)</f>
        <v/>
      </c>
      <c r="W4164" s="508">
        <f t="shared" si="3164"/>
        <v>0</v>
      </c>
      <c r="X4164" s="508">
        <f t="shared" si="3165"/>
        <v>0</v>
      </c>
      <c r="Y4164" s="509" t="b">
        <f t="shared" si="3166"/>
        <v>0</v>
      </c>
      <c r="Z4164" s="510">
        <f t="shared" si="3167"/>
        <v>0</v>
      </c>
      <c r="AA4164" s="511"/>
      <c r="AB4164" s="511" t="str">
        <f t="shared" si="3168"/>
        <v/>
      </c>
      <c r="AC4164" s="698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698"/>
      <c r="AE4164" s="631" t="str">
        <f t="shared" si="3169"/>
        <v/>
      </c>
      <c r="AF4164" s="699" t="str">
        <f t="shared" si="3170"/>
        <v/>
      </c>
      <c r="AG4164" s="699"/>
      <c r="AH4164" s="699"/>
      <c r="AI4164" s="512">
        <f>IF(H4164="credit",0,IF(AE4164="free",0,IF(AE4164="me",0,IF(G4164&gt;0,(VLOOKUP(A4164,'Discount Lookup'!J:K,2)*G4164),0))))</f>
        <v>0</v>
      </c>
      <c r="AJ4164" s="513" t="str">
        <f t="shared" ca="1" si="3171"/>
        <v/>
      </c>
      <c r="AK4164" s="700" t="str">
        <f t="shared" si="3172"/>
        <v/>
      </c>
      <c r="AL4164" s="700"/>
      <c r="AM4164" s="505" t="str">
        <f t="shared" si="3173"/>
        <v/>
      </c>
      <c r="AN4164" s="506"/>
      <c r="AO4164" s="507"/>
      <c r="AP4164" s="507"/>
      <c r="AQ4164" s="507"/>
      <c r="AR4164" s="507"/>
      <c r="AS4164" s="507"/>
      <c r="AT4164" s="507"/>
      <c r="AU4164" s="507"/>
      <c r="AV4164" s="225"/>
      <c r="AW4164" s="508"/>
      <c r="AX4164" s="225"/>
      <c r="AY4164" s="225"/>
      <c r="AZ4164" s="225"/>
      <c r="BA4164" s="225"/>
      <c r="BB4164" s="225"/>
      <c r="BC4164" s="56"/>
      <c r="BD4164" s="56"/>
      <c r="BE4164" s="56"/>
      <c r="BF4164" s="107" t="str">
        <f t="shared" si="3174"/>
        <v>https://www.google.com/search?tbm=isch&amp;q=Yellow%20Bird%20dazzles%20in%20late%20spring%20with%20fragrant%20goblet-shaped%20yellow%20blossoms%20that%20open%20with%20the%20foliage%20</v>
      </c>
      <c r="BG4164" s="107" t="str">
        <f t="shared" si="3175"/>
        <v>Y</v>
      </c>
      <c r="BH4164" s="254"/>
      <c r="BI4164" s="254"/>
    </row>
    <row r="4165" spans="1:61" customFormat="1" ht="18" x14ac:dyDescent="0.25">
      <c r="A4165" s="521" t="s">
        <v>2072</v>
      </c>
      <c r="B4165" s="477"/>
      <c r="C4165" s="674"/>
      <c r="D4165" s="478" t="s">
        <v>2073</v>
      </c>
      <c r="E4165" s="479"/>
      <c r="F4165" s="479"/>
      <c r="G4165" s="479"/>
      <c r="H4165" s="582" t="s">
        <v>344</v>
      </c>
      <c r="I4165" s="480" t="s">
        <v>2293</v>
      </c>
      <c r="J4165" s="479"/>
      <c r="K4165" s="479"/>
      <c r="L4165" s="560"/>
      <c r="M4165" s="666" t="s">
        <v>4966</v>
      </c>
      <c r="N4165" s="680" t="str">
        <f>IF(AND(ISTEXT($A4165), ISERROR($A4165+0)), HYPERLINK($BF4165, "Images"), "")</f>
        <v>Images</v>
      </c>
      <c r="O4165" s="662" t="s">
        <v>4971</v>
      </c>
      <c r="P4165" s="482"/>
      <c r="Q4165" s="483"/>
      <c r="R4165" s="483"/>
      <c r="S4165" s="484" t="s">
        <v>305</v>
      </c>
      <c r="T4165" s="508">
        <f t="shared" si="3163"/>
        <v>0</v>
      </c>
      <c r="U4165" s="225" t="str">
        <f>IF(NOT(ISNUMBER(G4165)), "", VLOOKUP(A4165,'Discount Lookup'!D:E,2,FALSE)*G4165)</f>
        <v/>
      </c>
      <c r="V4165" s="225" t="str">
        <f>IF(NOT(ISNUMBER(G4165)), "", VLOOKUP(A4165,'Discount Lookup'!G:H,2,FALSE)*G4165)</f>
        <v/>
      </c>
      <c r="W4165" s="508">
        <f t="shared" si="3164"/>
        <v>0</v>
      </c>
      <c r="X4165" s="508" t="str">
        <f t="shared" si="3165"/>
        <v>Golden-Yellow foliage</v>
      </c>
      <c r="Y4165" s="509" t="b">
        <f t="shared" si="3166"/>
        <v>0</v>
      </c>
      <c r="Z4165" s="510">
        <f t="shared" si="3167"/>
        <v>0</v>
      </c>
      <c r="AA4165" s="511"/>
      <c r="AB4165" s="511" t="str">
        <f t="shared" si="3168"/>
        <v/>
      </c>
      <c r="AC4165" s="698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698"/>
      <c r="AE4165" s="631" t="str">
        <f t="shared" si="3169"/>
        <v/>
      </c>
      <c r="AF4165" s="699" t="str">
        <f t="shared" si="3170"/>
        <v/>
      </c>
      <c r="AG4165" s="699"/>
      <c r="AH4165" s="699"/>
      <c r="AI4165" s="512">
        <f>IF(H4165="credit",0,IF(AE4165="free",0,IF(AE4165="me",0,IF(G4165&gt;0,(VLOOKUP(A4165,'Discount Lookup'!J:K,2)*G4165),0))))</f>
        <v>0</v>
      </c>
      <c r="AJ4165" s="513" t="str">
        <f t="shared" ca="1" si="3171"/>
        <v/>
      </c>
      <c r="AK4165" s="700" t="str">
        <f t="shared" si="3172"/>
        <v/>
      </c>
      <c r="AL4165" s="700"/>
      <c r="AM4165" s="505" t="str">
        <f t="shared" si="3173"/>
        <v/>
      </c>
      <c r="AN4165" s="506"/>
      <c r="AO4165" s="507"/>
      <c r="AP4165" s="507"/>
      <c r="AQ4165" s="507"/>
      <c r="AR4165" s="507"/>
      <c r="AS4165" s="507"/>
      <c r="AT4165" s="507"/>
      <c r="AU4165" s="507"/>
      <c r="AV4165" s="225"/>
      <c r="AW4165" s="508"/>
      <c r="AX4165" s="225"/>
      <c r="AY4165" s="225"/>
      <c r="AZ4165" s="225"/>
      <c r="BA4165" s="225"/>
      <c r="BB4165" s="225"/>
      <c r="BC4165" s="56"/>
      <c r="BD4165" s="56"/>
      <c r="BE4165" s="56"/>
      <c r="BF4165" s="107" t="str">
        <f t="shared" si="3174"/>
        <v>https://www.google.com/search?tbm=isch&amp;q=Yellow%20Ribbon%20Arborvitae%20Thuja%20occidentalis%20%27Yellow%20Ribbon%27</v>
      </c>
      <c r="BG4165" s="107" t="str">
        <f t="shared" si="3175"/>
        <v>Y</v>
      </c>
      <c r="BH4165" s="254"/>
      <c r="BI4165" s="254"/>
    </row>
    <row r="4166" spans="1:61" customFormat="1" ht="15.75" x14ac:dyDescent="0.25">
      <c r="A4166" s="485">
        <v>3</v>
      </c>
      <c r="B4166" s="486" t="s">
        <v>291</v>
      </c>
      <c r="C4166" s="487" t="s">
        <v>345</v>
      </c>
      <c r="D4166" s="488" t="s">
        <v>298</v>
      </c>
      <c r="E4166" s="489">
        <v>27.95</v>
      </c>
      <c r="F4166" s="516" t="s">
        <v>293</v>
      </c>
      <c r="G4166" s="232">
        <v>0</v>
      </c>
      <c r="H4166" s="658" t="str">
        <f>IF(G4166=0,"",IF(F4166="Buy",IF(G4166=1,"plant","plants"),IF(F4166&gt;0.01,"warranty","Error")))</f>
        <v/>
      </c>
      <c r="I4166" s="490">
        <f>IF(H4166="free",0,IF(H4166="credit",((E4166*(F4166))*G4166*-1),IF(F4166="Buy",(E4166*G4166),((E4166*(1-F4166))*G4166))))</f>
        <v>0</v>
      </c>
      <c r="J4166" s="490">
        <f>IF(H4166="warranty",0,(I4166*(_xlfn.SINGLE(SalesTaxPercentage))))</f>
        <v>0</v>
      </c>
      <c r="K4166" s="695">
        <f t="shared" ref="K4166" si="3208">I4166+J4166</f>
        <v>0</v>
      </c>
      <c r="L4166" s="695"/>
      <c r="M4166" s="659" t="str">
        <f>IF(AND(G4166&gt;0,E4166=0),"WARNING - no PRICE inserted",IF(H4166="free"," FREE ~ no charge this plant",IF(H4166="credit",CONCATENATE(" -$",ROUND(K4166*(1-T2GDiscount)*-1,2)," CREDIT after discount"),IF(T2GDiscount=0,"",IF(G4166=0,"",IF(F4166="Buy",CONCATENATE(" $",ROUND(K4166*(1-T2GDiscount),2)," with ",(T2GDiscount*100),"% discount"),CONCATENATE(" $",ROUND(K4166*(1-T2GDiscount),2)," with ",((T2GDiscount*100+F4166*100)-(T2GDiscount*100*F4166)),IF(F4166&gt;0,"% discounts",IF(NoWarrantyDiscount&gt;0,"% discounts","% discount")))))))))</f>
        <v/>
      </c>
      <c r="N4166" s="660"/>
      <c r="O4166" s="233"/>
      <c r="P4166" s="233"/>
      <c r="Q4166" s="233"/>
      <c r="R4166" s="233"/>
      <c r="S4166" s="233"/>
      <c r="T4166" s="508">
        <f t="shared" si="3163"/>
        <v>0</v>
      </c>
      <c r="U4166" s="225">
        <f>IF(NOT(ISNUMBER(G4166)), "", VLOOKUP(A4166,'Discount Lookup'!D:E,2,FALSE)*G4166)</f>
        <v>0</v>
      </c>
      <c r="V4166" s="225">
        <f>IF(NOT(ISNUMBER(G4166)), "", VLOOKUP(A4166,'Discount Lookup'!G:H,2,FALSE)*G4166)</f>
        <v>0</v>
      </c>
      <c r="W4166" s="508">
        <f t="shared" si="3164"/>
        <v>0</v>
      </c>
      <c r="X4166" s="508">
        <f t="shared" si="3165"/>
        <v>0</v>
      </c>
      <c r="Y4166" s="509" t="b">
        <f t="shared" si="3166"/>
        <v>0</v>
      </c>
      <c r="Z4166" s="510">
        <f t="shared" si="3167"/>
        <v>0</v>
      </c>
      <c r="AA4166" s="511"/>
      <c r="AB4166" s="511" t="str">
        <f t="shared" si="3168"/>
        <v/>
      </c>
      <c r="AC4166" s="698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698"/>
      <c r="AE4166" s="631" t="str">
        <f t="shared" si="3169"/>
        <v/>
      </c>
      <c r="AF4166" s="699" t="str">
        <f t="shared" si="3170"/>
        <v/>
      </c>
      <c r="AG4166" s="699"/>
      <c r="AH4166" s="699"/>
      <c r="AI4166" s="512">
        <f>IF(H4166="credit",0,IF(AE4166="free",0,IF(AE4166="me",0,IF(G4166&gt;0,(VLOOKUP(A4166,'Discount Lookup'!J:K,2)*G4166),0))))</f>
        <v>0</v>
      </c>
      <c r="AJ4166" s="513" t="str">
        <f t="shared" ca="1" si="3171"/>
        <v/>
      </c>
      <c r="AK4166" s="700" t="str">
        <f t="shared" si="3172"/>
        <v/>
      </c>
      <c r="AL4166" s="700"/>
      <c r="AM4166" s="505" t="str">
        <f t="shared" si="3173"/>
        <v/>
      </c>
      <c r="AN4166" s="506"/>
      <c r="AO4166" s="507"/>
      <c r="AP4166" s="507"/>
      <c r="AQ4166" s="507"/>
      <c r="AR4166" s="507"/>
      <c r="AS4166" s="507"/>
      <c r="AT4166" s="507"/>
      <c r="AU4166" s="507"/>
      <c r="AV4166" s="225"/>
      <c r="AW4166" s="508"/>
      <c r="AX4166" s="225"/>
      <c r="AY4166" s="225"/>
      <c r="AZ4166" s="225"/>
      <c r="BA4166" s="225"/>
      <c r="BB4166" s="225"/>
      <c r="BC4166" s="56"/>
      <c r="BD4166" s="56"/>
      <c r="BE4166" s="56"/>
      <c r="BF4166" s="107" t="str">
        <f t="shared" si="3174"/>
        <v>https://www.google.com/search?tbm=isch&amp;q=3%20G1</v>
      </c>
      <c r="BG4166" s="107" t="str">
        <f t="shared" si="3175"/>
        <v>Y</v>
      </c>
      <c r="BH4166" s="254"/>
      <c r="BI4166" s="254"/>
    </row>
    <row r="4167" spans="1:61" customFormat="1" ht="15.75" x14ac:dyDescent="0.25">
      <c r="A4167" s="485">
        <v>7</v>
      </c>
      <c r="B4167" s="486" t="s">
        <v>291</v>
      </c>
      <c r="C4167" s="487"/>
      <c r="D4167" s="488" t="s">
        <v>298</v>
      </c>
      <c r="E4167" s="489">
        <v>68.95</v>
      </c>
      <c r="F4167" s="516" t="s">
        <v>293</v>
      </c>
      <c r="G4167" s="232">
        <v>0</v>
      </c>
      <c r="H4167" s="658" t="str">
        <f>IF(G4167=0,"",IF(F4167="Buy",IF(G4167=1,"plant","plants"),IF(F4167&gt;0.01,"warranty","Error")))</f>
        <v/>
      </c>
      <c r="I4167" s="490">
        <f>IF(H4167="free",0,IF(H4167="credit",((E4167*(F4167))*G4167*-1),IF(F4167="Buy",(E4167*G4167),((E4167*(1-F4167))*G4167))))</f>
        <v>0</v>
      </c>
      <c r="J4167" s="490">
        <f>IF(H4167="warranty",0,(I4167*(_xlfn.SINGLE(SalesTaxPercentage))))</f>
        <v>0</v>
      </c>
      <c r="K4167" s="695">
        <f t="shared" ref="K4167" si="3209">I4167+J4167</f>
        <v>0</v>
      </c>
      <c r="L4167" s="695"/>
      <c r="M4167" s="659" t="str">
        <f>IF(AND(G4167&gt;0,E4167=0),"WARNING - no PRICE inserted",IF(H4167="free"," FREE ~ no charge this plant",IF(H4167="credit",CONCATENATE(" -$",ROUND(K4167*(1-T2GDiscount)*-1,2)," CREDIT after discount"),IF(T2GDiscount=0,"",IF(G4167=0,"",IF(F4167="Buy",CONCATENATE(" $",ROUND(K4167*(1-T2GDiscount),2)," with ",(T2GDiscount*100),"% discount"),CONCATENATE(" $",ROUND(K4167*(1-T2GDiscount),2)," with ",((T2GDiscount*100+F4167*100)-(T2GDiscount*100*F4167)),IF(F4167&gt;0,"% discounts",IF(NoWarrantyDiscount&gt;0,"% discounts","% discount")))))))))</f>
        <v/>
      </c>
      <c r="N4167" s="660"/>
      <c r="O4167" s="233"/>
      <c r="P4167" s="233"/>
      <c r="Q4167" s="233"/>
      <c r="R4167" s="233"/>
      <c r="S4167" s="233"/>
      <c r="T4167" s="508">
        <f t="shared" si="3163"/>
        <v>0</v>
      </c>
      <c r="U4167" s="225">
        <f>IF(NOT(ISNUMBER(G4167)), "", VLOOKUP(A4167,'Discount Lookup'!D:E,2,FALSE)*G4167)</f>
        <v>0</v>
      </c>
      <c r="V4167" s="225">
        <f>IF(NOT(ISNUMBER(G4167)), "", VLOOKUP(A4167,'Discount Lookup'!G:H,2,FALSE)*G4167)</f>
        <v>0</v>
      </c>
      <c r="W4167" s="508">
        <f t="shared" si="3164"/>
        <v>0</v>
      </c>
      <c r="X4167" s="508">
        <f t="shared" si="3165"/>
        <v>0</v>
      </c>
      <c r="Y4167" s="509" t="b">
        <f t="shared" si="3166"/>
        <v>0</v>
      </c>
      <c r="Z4167" s="510">
        <f t="shared" si="3167"/>
        <v>0</v>
      </c>
      <c r="AA4167" s="511"/>
      <c r="AB4167" s="511" t="str">
        <f t="shared" si="3168"/>
        <v/>
      </c>
      <c r="AC4167" s="698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698"/>
      <c r="AE4167" s="631" t="str">
        <f t="shared" si="3169"/>
        <v/>
      </c>
      <c r="AF4167" s="699" t="str">
        <f t="shared" si="3170"/>
        <v/>
      </c>
      <c r="AG4167" s="699"/>
      <c r="AH4167" s="699"/>
      <c r="AI4167" s="512">
        <f>IF(H4167="credit",0,IF(AE4167="free",0,IF(AE4167="me",0,IF(G4167&gt;0,(VLOOKUP(A4167,'Discount Lookup'!J:K,2)*G4167),0))))</f>
        <v>0</v>
      </c>
      <c r="AJ4167" s="513" t="str">
        <f t="shared" ca="1" si="3171"/>
        <v/>
      </c>
      <c r="AK4167" s="700" t="str">
        <f t="shared" si="3172"/>
        <v/>
      </c>
      <c r="AL4167" s="700"/>
      <c r="AM4167" s="505" t="str">
        <f t="shared" si="3173"/>
        <v/>
      </c>
      <c r="AN4167" s="506"/>
      <c r="AO4167" s="507"/>
      <c r="AP4167" s="507"/>
      <c r="AQ4167" s="507"/>
      <c r="AR4167" s="507"/>
      <c r="AS4167" s="507"/>
      <c r="AT4167" s="507"/>
      <c r="AU4167" s="507"/>
      <c r="AV4167" s="225"/>
      <c r="AW4167" s="508"/>
      <c r="AX4167" s="225"/>
      <c r="AY4167" s="225"/>
      <c r="AZ4167" s="225"/>
      <c r="BA4167" s="225"/>
      <c r="BB4167" s="225"/>
      <c r="BC4167" s="56"/>
      <c r="BD4167" s="56"/>
      <c r="BE4167" s="56"/>
      <c r="BF4167" s="107" t="str">
        <f t="shared" si="3174"/>
        <v>https://www.google.com/search?tbm=isch&amp;q=7%20G1</v>
      </c>
      <c r="BG4167" s="107" t="str">
        <f t="shared" si="3175"/>
        <v>Y</v>
      </c>
      <c r="BH4167" s="254"/>
      <c r="BI4167" s="254"/>
    </row>
    <row r="4168" spans="1:61" customFormat="1" ht="15.75" x14ac:dyDescent="0.25">
      <c r="A4168" s="485">
        <v>7</v>
      </c>
      <c r="B4168" s="486" t="s">
        <v>291</v>
      </c>
      <c r="C4168" s="487" t="s">
        <v>3876</v>
      </c>
      <c r="D4168" s="488" t="s">
        <v>292</v>
      </c>
      <c r="E4168" s="489">
        <v>104.95</v>
      </c>
      <c r="F4168" s="516" t="s">
        <v>293</v>
      </c>
      <c r="G4168" s="232">
        <v>0</v>
      </c>
      <c r="H4168" s="658" t="str">
        <f>IF(G4168=0,"",IF(F4168="Buy",IF(G4168=1,"plant","plants"),IF(F4168&gt;0.01,"warranty","Error")))</f>
        <v/>
      </c>
      <c r="I4168" s="490">
        <f>IF(H4168="free",0,IF(H4168="credit",((E4168*(F4168))*G4168*-1),IF(F4168="Buy",(E4168*G4168),((E4168*(1-F4168))*G4168))))</f>
        <v>0</v>
      </c>
      <c r="J4168" s="490">
        <f>IF(H4168="warranty",0,(I4168*(_xlfn.SINGLE(SalesTaxPercentage))))</f>
        <v>0</v>
      </c>
      <c r="K4168" s="695">
        <f t="shared" ref="K4168" si="3210">I4168+J4168</f>
        <v>0</v>
      </c>
      <c r="L4168" s="695"/>
      <c r="M4168" s="659" t="str">
        <f>IF(AND(G4168&gt;0,E4168=0),"WARNING - no PRICE inserted",IF(H4168="free"," FREE ~ no charge this plant",IF(H4168="credit",CONCATENATE(" -$",ROUND(K4168*(1-T2GDiscount)*-1,2)," CREDIT after discount"),IF(T2GDiscount=0,"",IF(G4168=0,"",IF(F4168="Buy",CONCATENATE(" $",ROUND(K4168*(1-T2GDiscount),2)," with ",(T2GDiscount*100),"% discount"),CONCATENATE(" $",ROUND(K4168*(1-T2GDiscount),2)," with ",((T2GDiscount*100+F4168*100)-(T2GDiscount*100*F4168)),IF(F4168&gt;0,"% discounts",IF(NoWarrantyDiscount&gt;0,"% discounts","% discount")))))))))</f>
        <v/>
      </c>
      <c r="N4168" s="660"/>
      <c r="O4168" s="233"/>
      <c r="P4168" s="233"/>
      <c r="Q4168" s="233"/>
      <c r="R4168" s="233"/>
      <c r="S4168" s="233"/>
      <c r="T4168" s="508">
        <f t="shared" si="3163"/>
        <v>0</v>
      </c>
      <c r="U4168" s="225">
        <f>IF(NOT(ISNUMBER(G4168)), "", VLOOKUP(A4168,'Discount Lookup'!D:E,2,FALSE)*G4168)</f>
        <v>0</v>
      </c>
      <c r="V4168" s="225">
        <f>IF(NOT(ISNUMBER(G4168)), "", VLOOKUP(A4168,'Discount Lookup'!G:H,2,FALSE)*G4168)</f>
        <v>0</v>
      </c>
      <c r="W4168" s="508">
        <f t="shared" si="3164"/>
        <v>0</v>
      </c>
      <c r="X4168" s="508">
        <f t="shared" si="3165"/>
        <v>0</v>
      </c>
      <c r="Y4168" s="509" t="b">
        <f t="shared" si="3166"/>
        <v>0</v>
      </c>
      <c r="Z4168" s="510">
        <f t="shared" si="3167"/>
        <v>0</v>
      </c>
      <c r="AA4168" s="511"/>
      <c r="AB4168" s="511" t="str">
        <f t="shared" si="3168"/>
        <v/>
      </c>
      <c r="AC4168" s="698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698"/>
      <c r="AE4168" s="631" t="str">
        <f t="shared" si="3169"/>
        <v/>
      </c>
      <c r="AF4168" s="699" t="str">
        <f t="shared" si="3170"/>
        <v/>
      </c>
      <c r="AG4168" s="699"/>
      <c r="AH4168" s="699"/>
      <c r="AI4168" s="512">
        <f>IF(H4168="credit",0,IF(AE4168="free",0,IF(AE4168="me",0,IF(G4168&gt;0,(VLOOKUP(A4168,'Discount Lookup'!J:K,2)*G4168),0))))</f>
        <v>0</v>
      </c>
      <c r="AJ4168" s="513" t="str">
        <f t="shared" ca="1" si="3171"/>
        <v/>
      </c>
      <c r="AK4168" s="700" t="str">
        <f t="shared" si="3172"/>
        <v/>
      </c>
      <c r="AL4168" s="700"/>
      <c r="AM4168" s="505" t="str">
        <f t="shared" si="3173"/>
        <v/>
      </c>
      <c r="AN4168" s="506"/>
      <c r="AO4168" s="507"/>
      <c r="AP4168" s="507"/>
      <c r="AQ4168" s="507"/>
      <c r="AR4168" s="507"/>
      <c r="AS4168" s="507"/>
      <c r="AT4168" s="507"/>
      <c r="AU4168" s="507"/>
      <c r="AV4168" s="225"/>
      <c r="AW4168" s="508"/>
      <c r="AX4168" s="225"/>
      <c r="AY4168" s="225"/>
      <c r="AZ4168" s="225"/>
      <c r="BA4168" s="225"/>
      <c r="BB4168" s="225"/>
      <c r="BC4168" s="56"/>
      <c r="BD4168" s="56"/>
      <c r="BE4168" s="56"/>
      <c r="BF4168" s="107" t="str">
        <f t="shared" si="3174"/>
        <v>https://www.google.com/search?tbm=isch&amp;q=7%20G4</v>
      </c>
      <c r="BG4168" s="107" t="str">
        <f t="shared" si="3175"/>
        <v>Y</v>
      </c>
      <c r="BH4168" s="254"/>
      <c r="BI4168" s="254"/>
    </row>
    <row r="4169" spans="1:61" customFormat="1" ht="15.75" x14ac:dyDescent="0.25">
      <c r="A4169" s="485">
        <v>15</v>
      </c>
      <c r="B4169" s="486" t="s">
        <v>291</v>
      </c>
      <c r="C4169" s="487" t="s">
        <v>4837</v>
      </c>
      <c r="D4169" s="488" t="s">
        <v>292</v>
      </c>
      <c r="E4169" s="489">
        <v>206.95</v>
      </c>
      <c r="F4169" s="516" t="s">
        <v>293</v>
      </c>
      <c r="G4169" s="232">
        <v>0</v>
      </c>
      <c r="H4169" s="658" t="str">
        <f>IF(G4169=0,"",IF(F4169="Buy",IF(G4169=1,"plant","plants"),IF(F4169&gt;0.01,"warranty","Error")))</f>
        <v/>
      </c>
      <c r="I4169" s="490">
        <f>IF(H4169="free",0,IF(H4169="credit",((E4169*(F4169))*G4169*-1),IF(F4169="Buy",(E4169*G4169),((E4169*(1-F4169))*G4169))))</f>
        <v>0</v>
      </c>
      <c r="J4169" s="490">
        <f>IF(H4169="warranty",0,(I4169*(_xlfn.SINGLE(SalesTaxPercentage))))</f>
        <v>0</v>
      </c>
      <c r="K4169" s="695">
        <f t="shared" ref="K4169" si="3211">I4169+J4169</f>
        <v>0</v>
      </c>
      <c r="L4169" s="695"/>
      <c r="M4169" s="659" t="str">
        <f>IF(AND(G4169&gt;0,E4169=0),"WARNING - no PRICE inserted",IF(H4169="free"," FREE ~ no charge this plant",IF(H4169="credit",CONCATENATE(" -$",ROUND(K4169*(1-T2GDiscount)*-1,2)," CREDIT after discount"),IF(T2GDiscount=0,"",IF(G4169=0,"",IF(F4169="Buy",CONCATENATE(" $",ROUND(K4169*(1-T2GDiscount),2)," with ",(T2GDiscount*100),"% discount"),CONCATENATE(" $",ROUND(K4169*(1-T2GDiscount),2)," with ",((T2GDiscount*100+F4169*100)-(T2GDiscount*100*F4169)),IF(F4169&gt;0,"% discounts",IF(NoWarrantyDiscount&gt;0,"% discounts","% discount")))))))))</f>
        <v/>
      </c>
      <c r="N4169" s="660"/>
      <c r="O4169" s="233"/>
      <c r="P4169" s="233"/>
      <c r="Q4169" s="233"/>
      <c r="R4169" s="233"/>
      <c r="S4169" s="233"/>
      <c r="T4169" s="508">
        <f t="shared" si="3163"/>
        <v>0</v>
      </c>
      <c r="U4169" s="225">
        <f>IF(NOT(ISNUMBER(G4169)), "", VLOOKUP(A4169,'Discount Lookup'!D:E,2,FALSE)*G4169)</f>
        <v>0</v>
      </c>
      <c r="V4169" s="225">
        <f>IF(NOT(ISNUMBER(G4169)), "", VLOOKUP(A4169,'Discount Lookup'!G:H,2,FALSE)*G4169)</f>
        <v>0</v>
      </c>
      <c r="W4169" s="508">
        <f t="shared" si="3164"/>
        <v>0</v>
      </c>
      <c r="X4169" s="508">
        <f t="shared" si="3165"/>
        <v>0</v>
      </c>
      <c r="Y4169" s="509" t="b">
        <f t="shared" si="3166"/>
        <v>0</v>
      </c>
      <c r="Z4169" s="510">
        <f t="shared" si="3167"/>
        <v>0</v>
      </c>
      <c r="AA4169" s="511"/>
      <c r="AB4169" s="511" t="str">
        <f t="shared" si="3168"/>
        <v/>
      </c>
      <c r="AC4169" s="698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698"/>
      <c r="AE4169" s="631" t="str">
        <f t="shared" si="3169"/>
        <v/>
      </c>
      <c r="AF4169" s="699" t="str">
        <f t="shared" si="3170"/>
        <v/>
      </c>
      <c r="AG4169" s="699"/>
      <c r="AH4169" s="699"/>
      <c r="AI4169" s="512">
        <f>IF(H4169="credit",0,IF(AE4169="free",0,IF(AE4169="me",0,IF(G4169&gt;0,(VLOOKUP(A4169,'Discount Lookup'!J:K,2)*G4169),0))))</f>
        <v>0</v>
      </c>
      <c r="AJ4169" s="513" t="str">
        <f t="shared" ca="1" si="3171"/>
        <v/>
      </c>
      <c r="AK4169" s="700" t="str">
        <f t="shared" si="3172"/>
        <v/>
      </c>
      <c r="AL4169" s="700"/>
      <c r="AM4169" s="505" t="str">
        <f t="shared" si="3173"/>
        <v/>
      </c>
      <c r="AN4169" s="506"/>
      <c r="AO4169" s="507"/>
      <c r="AP4169" s="507"/>
      <c r="AQ4169" s="507"/>
      <c r="AR4169" s="507"/>
      <c r="AS4169" s="507"/>
      <c r="AT4169" s="507"/>
      <c r="AU4169" s="507"/>
      <c r="AV4169" s="225"/>
      <c r="AW4169" s="508"/>
      <c r="AX4169" s="225"/>
      <c r="AY4169" s="225"/>
      <c r="AZ4169" s="225"/>
      <c r="BA4169" s="225"/>
      <c r="BB4169" s="225"/>
      <c r="BC4169" s="56"/>
      <c r="BD4169" s="56"/>
      <c r="BE4169" s="56"/>
      <c r="BF4169" s="107" t="str">
        <f t="shared" si="3174"/>
        <v>https://www.google.com/search?tbm=isch&amp;q=15%20G4</v>
      </c>
      <c r="BG4169" s="107" t="str">
        <f t="shared" si="3175"/>
        <v>Y</v>
      </c>
      <c r="BH4169" s="254"/>
      <c r="BI4169" s="254"/>
    </row>
    <row r="4170" spans="1:61" customFormat="1" ht="16.5" thickBot="1" x14ac:dyDescent="0.3">
      <c r="A4170" s="522" t="s">
        <v>2321</v>
      </c>
      <c r="B4170" s="491"/>
      <c r="C4170" s="675"/>
      <c r="D4170" s="491"/>
      <c r="E4170" s="491"/>
      <c r="F4170" s="492"/>
      <c r="G4170" s="493"/>
      <c r="H4170" s="491"/>
      <c r="I4170" s="234"/>
      <c r="J4170" s="234"/>
      <c r="K4170" s="494"/>
      <c r="L4170" s="543"/>
      <c r="M4170" s="561"/>
      <c r="N4170" s="495"/>
      <c r="O4170" s="496"/>
      <c r="P4170" s="497"/>
      <c r="Q4170" s="495"/>
      <c r="R4170" s="495"/>
      <c r="S4170" s="277"/>
      <c r="T4170" s="508">
        <f t="shared" si="3163"/>
        <v>0</v>
      </c>
      <c r="U4170" s="225" t="str">
        <f>IF(NOT(ISNUMBER(G4170)), "", VLOOKUP(A4170,'Discount Lookup'!D:E,2,FALSE)*G4170)</f>
        <v/>
      </c>
      <c r="V4170" s="225" t="str">
        <f>IF(NOT(ISNUMBER(G4170)), "", VLOOKUP(A4170,'Discount Lookup'!G:H,2,FALSE)*G4170)</f>
        <v/>
      </c>
      <c r="W4170" s="508">
        <f t="shared" si="3164"/>
        <v>0</v>
      </c>
      <c r="X4170" s="508">
        <f t="shared" si="3165"/>
        <v>0</v>
      </c>
      <c r="Y4170" s="509" t="b">
        <f t="shared" si="3166"/>
        <v>0</v>
      </c>
      <c r="Z4170" s="510">
        <f t="shared" si="3167"/>
        <v>0</v>
      </c>
      <c r="AA4170" s="511"/>
      <c r="AB4170" s="511" t="str">
        <f t="shared" si="3168"/>
        <v/>
      </c>
      <c r="AC4170" s="698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698"/>
      <c r="AE4170" s="631" t="str">
        <f t="shared" si="3169"/>
        <v/>
      </c>
      <c r="AF4170" s="699" t="str">
        <f t="shared" si="3170"/>
        <v/>
      </c>
      <c r="AG4170" s="699"/>
      <c r="AH4170" s="699"/>
      <c r="AI4170" s="512">
        <f>IF(H4170="credit",0,IF(AE4170="free",0,IF(AE4170="me",0,IF(G4170&gt;0,(VLOOKUP(A4170,'Discount Lookup'!J:K,2)*G4170),0))))</f>
        <v>0</v>
      </c>
      <c r="AJ4170" s="513" t="str">
        <f t="shared" ca="1" si="3171"/>
        <v/>
      </c>
      <c r="AK4170" s="700" t="str">
        <f t="shared" si="3172"/>
        <v/>
      </c>
      <c r="AL4170" s="700"/>
      <c r="AM4170" s="505" t="str">
        <f t="shared" si="3173"/>
        <v/>
      </c>
      <c r="AN4170" s="506"/>
      <c r="AO4170" s="507"/>
      <c r="AP4170" s="507"/>
      <c r="AQ4170" s="507"/>
      <c r="AR4170" s="507"/>
      <c r="AS4170" s="507"/>
      <c r="AT4170" s="507"/>
      <c r="AU4170" s="507"/>
      <c r="AV4170" s="225"/>
      <c r="AW4170" s="508"/>
      <c r="AX4170" s="225"/>
      <c r="AY4170" s="225"/>
      <c r="AZ4170" s="225"/>
      <c r="BA4170" s="225"/>
      <c r="BB4170" s="225"/>
      <c r="BC4170" s="56"/>
      <c r="BD4170" s="56"/>
      <c r="BE4170" s="56"/>
      <c r="BF4170" s="107" t="str">
        <f t="shared" si="3174"/>
        <v>https://www.google.com/search?tbm=isch&amp;q=Yellow%20Ribbon%20foliage%20emerges%20Yellow-Orange%20in%20spring%2C%20than%20matures%20to%20Medium%20Green.%20Foliage%20has%20a%20mild%20cedar-like%20aroma%20when%20crushed%20</v>
      </c>
      <c r="BG4170" s="107" t="str">
        <f t="shared" si="3175"/>
        <v>Y</v>
      </c>
      <c r="BH4170" s="254"/>
      <c r="BI4170" s="254"/>
    </row>
    <row r="4171" spans="1:61" customFormat="1" ht="18" x14ac:dyDescent="0.25">
      <c r="A4171" s="521" t="s">
        <v>2074</v>
      </c>
      <c r="B4171" s="477"/>
      <c r="C4171" s="674"/>
      <c r="D4171" s="478" t="s">
        <v>2075</v>
      </c>
      <c r="E4171" s="479"/>
      <c r="F4171" s="479"/>
      <c r="G4171" s="479"/>
      <c r="H4171" s="582" t="s">
        <v>359</v>
      </c>
      <c r="I4171" s="480" t="s">
        <v>2907</v>
      </c>
      <c r="J4171" s="479"/>
      <c r="K4171" s="479"/>
      <c r="L4171" s="560"/>
      <c r="M4171" s="666" t="s">
        <v>4966</v>
      </c>
      <c r="N4171" s="680" t="str">
        <f>IF(AND(ISTEXT($A4171), ISERROR($A4171+0)), HYPERLINK($BF4171, "Images"), "")</f>
        <v>Images</v>
      </c>
      <c r="O4171" s="662" t="s">
        <v>4967</v>
      </c>
      <c r="P4171" s="482"/>
      <c r="Q4171" s="483"/>
      <c r="R4171" s="483"/>
      <c r="S4171" s="484"/>
      <c r="T4171" s="508">
        <f t="shared" si="3163"/>
        <v>0</v>
      </c>
      <c r="U4171" s="225" t="str">
        <f>IF(NOT(ISNUMBER(G4171)), "", VLOOKUP(A4171,'Discount Lookup'!D:E,2,FALSE)*G4171)</f>
        <v/>
      </c>
      <c r="V4171" s="225" t="str">
        <f>IF(NOT(ISNUMBER(G4171)), "", VLOOKUP(A4171,'Discount Lookup'!G:H,2,FALSE)*G4171)</f>
        <v/>
      </c>
      <c r="W4171" s="508">
        <f t="shared" si="3164"/>
        <v>0</v>
      </c>
      <c r="X4171" s="508" t="str">
        <f t="shared" si="3165"/>
        <v>Bluish-Green foliage</v>
      </c>
      <c r="Y4171" s="509" t="b">
        <f t="shared" si="3166"/>
        <v>0</v>
      </c>
      <c r="Z4171" s="510">
        <f t="shared" si="3167"/>
        <v>0</v>
      </c>
      <c r="AA4171" s="511"/>
      <c r="AB4171" s="511" t="str">
        <f t="shared" si="3168"/>
        <v/>
      </c>
      <c r="AC4171" s="698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698"/>
      <c r="AE4171" s="631" t="str">
        <f t="shared" si="3169"/>
        <v/>
      </c>
      <c r="AF4171" s="699" t="str">
        <f t="shared" si="3170"/>
        <v/>
      </c>
      <c r="AG4171" s="699"/>
      <c r="AH4171" s="699"/>
      <c r="AI4171" s="512">
        <f>IF(H4171="credit",0,IF(AE4171="free",0,IF(AE4171="me",0,IF(G4171&gt;0,(VLOOKUP(A4171,'Discount Lookup'!J:K,2)*G4171),0))))</f>
        <v>0</v>
      </c>
      <c r="AJ4171" s="513" t="str">
        <f t="shared" ca="1" si="3171"/>
        <v/>
      </c>
      <c r="AK4171" s="700" t="str">
        <f t="shared" si="3172"/>
        <v/>
      </c>
      <c r="AL4171" s="700"/>
      <c r="AM4171" s="505" t="str">
        <f t="shared" si="3173"/>
        <v/>
      </c>
      <c r="AN4171" s="506"/>
      <c r="AO4171" s="507"/>
      <c r="AP4171" s="507"/>
      <c r="AQ4171" s="507"/>
      <c r="AR4171" s="507"/>
      <c r="AS4171" s="507"/>
      <c r="AT4171" s="507"/>
      <c r="AU4171" s="507"/>
      <c r="AV4171" s="225"/>
      <c r="AW4171" s="508"/>
      <c r="AX4171" s="225"/>
      <c r="AY4171" s="225"/>
      <c r="AZ4171" s="225"/>
      <c r="BA4171" s="225"/>
      <c r="BB4171" s="225"/>
      <c r="BC4171" s="56"/>
      <c r="BD4171" s="56"/>
      <c r="BE4171" s="56"/>
      <c r="BF4171" s="107" t="str">
        <f t="shared" si="3174"/>
        <v>https://www.google.com/search?tbm=isch&amp;q=Yellow-Berried%20Nandina%20Nandina%20domestica%20%27Alba%27</v>
      </c>
      <c r="BG4171" s="107" t="str">
        <f t="shared" si="3175"/>
        <v>Y</v>
      </c>
      <c r="BH4171" s="254"/>
      <c r="BI4171" s="254"/>
    </row>
    <row r="4172" spans="1:61" customFormat="1" ht="15.75" x14ac:dyDescent="0.25">
      <c r="A4172" s="485">
        <v>10</v>
      </c>
      <c r="B4172" s="486" t="s">
        <v>291</v>
      </c>
      <c r="C4172" s="487" t="s">
        <v>2280</v>
      </c>
      <c r="D4172" s="488" t="s">
        <v>300</v>
      </c>
      <c r="E4172" s="489">
        <v>104.95</v>
      </c>
      <c r="F4172" s="516" t="s">
        <v>293</v>
      </c>
      <c r="G4172" s="232">
        <v>0</v>
      </c>
      <c r="H4172" s="658" t="str">
        <f>IF(G4172=0,"",IF(F4172="Buy",IF(G4172=1,"plant","plants"),IF(F4172&gt;0.01,"warranty","Error")))</f>
        <v/>
      </c>
      <c r="I4172" s="490">
        <f>IF(H4172="free",0,IF(H4172="credit",((E4172*(F4172))*G4172*-1),IF(F4172="Buy",(E4172*G4172),((E4172*(1-F4172))*G4172))))</f>
        <v>0</v>
      </c>
      <c r="J4172" s="490">
        <f>IF(H4172="warranty",0,(I4172*(_xlfn.SINGLE(SalesTaxPercentage))))</f>
        <v>0</v>
      </c>
      <c r="K4172" s="695">
        <f t="shared" ref="K4172" si="3212">I4172+J4172</f>
        <v>0</v>
      </c>
      <c r="L4172" s="695"/>
      <c r="M4172" s="659" t="str">
        <f>IF(AND(G4172&gt;0,E4172=0),"WARNING - no PRICE inserted",IF(H4172="free"," FREE ~ no charge this plant",IF(H4172="credit",CONCATENATE(" -$",ROUND(K4172*(1-T2GDiscount)*-1,2)," CREDIT after discount"),IF(T2GDiscount=0,"",IF(G4172=0,"",IF(F4172="Buy",CONCATENATE(" $",ROUND(K4172*(1-T2GDiscount),2)," with ",(T2GDiscount*100),"% discount"),CONCATENATE(" $",ROUND(K4172*(1-T2GDiscount),2)," with ",((T2GDiscount*100+F4172*100)-(T2GDiscount*100*F4172)),IF(F4172&gt;0,"% discounts",IF(NoWarrantyDiscount&gt;0,"% discounts","% discount")))))))))</f>
        <v/>
      </c>
      <c r="N4172" s="660"/>
      <c r="O4172" s="233"/>
      <c r="P4172" s="233"/>
      <c r="Q4172" s="233"/>
      <c r="R4172" s="233"/>
      <c r="S4172" s="233"/>
      <c r="T4172" s="508">
        <f t="shared" si="3163"/>
        <v>0</v>
      </c>
      <c r="U4172" s="225">
        <f>IF(NOT(ISNUMBER(G4172)), "", VLOOKUP(A4172,'Discount Lookup'!D:E,2,FALSE)*G4172)</f>
        <v>0</v>
      </c>
      <c r="V4172" s="225">
        <f>IF(NOT(ISNUMBER(G4172)), "", VLOOKUP(A4172,'Discount Lookup'!G:H,2,FALSE)*G4172)</f>
        <v>0</v>
      </c>
      <c r="W4172" s="508">
        <f t="shared" si="3164"/>
        <v>0</v>
      </c>
      <c r="X4172" s="508">
        <f t="shared" si="3165"/>
        <v>0</v>
      </c>
      <c r="Y4172" s="509" t="b">
        <f t="shared" si="3166"/>
        <v>0</v>
      </c>
      <c r="Z4172" s="510">
        <f t="shared" si="3167"/>
        <v>0</v>
      </c>
      <c r="AA4172" s="511"/>
      <c r="AB4172" s="511" t="str">
        <f t="shared" si="3168"/>
        <v/>
      </c>
      <c r="AC4172" s="698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698"/>
      <c r="AE4172" s="631" t="str">
        <f t="shared" si="3169"/>
        <v/>
      </c>
      <c r="AF4172" s="699" t="str">
        <f t="shared" si="3170"/>
        <v/>
      </c>
      <c r="AG4172" s="699"/>
      <c r="AH4172" s="699"/>
      <c r="AI4172" s="512">
        <f>IF(H4172="credit",0,IF(AE4172="free",0,IF(AE4172="me",0,IF(G4172&gt;0,(VLOOKUP(A4172,'Discount Lookup'!J:K,2)*G4172),0))))</f>
        <v>0</v>
      </c>
      <c r="AJ4172" s="513" t="str">
        <f t="shared" ca="1" si="3171"/>
        <v/>
      </c>
      <c r="AK4172" s="700" t="str">
        <f t="shared" si="3172"/>
        <v/>
      </c>
      <c r="AL4172" s="700"/>
      <c r="AM4172" s="505" t="str">
        <f t="shared" si="3173"/>
        <v/>
      </c>
      <c r="AN4172" s="506"/>
      <c r="AO4172" s="507"/>
      <c r="AP4172" s="507"/>
      <c r="AQ4172" s="507"/>
      <c r="AR4172" s="507"/>
      <c r="AS4172" s="507"/>
      <c r="AT4172" s="507"/>
      <c r="AU4172" s="507"/>
      <c r="AV4172" s="225"/>
      <c r="AW4172" s="508"/>
      <c r="AX4172" s="225"/>
      <c r="AY4172" s="225"/>
      <c r="AZ4172" s="225"/>
      <c r="BA4172" s="225"/>
      <c r="BB4172" s="225"/>
      <c r="BC4172" s="56"/>
      <c r="BD4172" s="56"/>
      <c r="BE4172" s="56"/>
      <c r="BF4172" s="107" t="str">
        <f t="shared" si="3174"/>
        <v>https://www.google.com/search?tbm=isch&amp;q=10%20G6</v>
      </c>
      <c r="BG4172" s="107" t="str">
        <f t="shared" si="3175"/>
        <v>Y</v>
      </c>
      <c r="BH4172" s="254"/>
      <c r="BI4172" s="254"/>
    </row>
    <row r="4173" spans="1:61" customFormat="1" ht="17.25" thickBot="1" x14ac:dyDescent="0.3">
      <c r="A4173" s="522" t="s">
        <v>2978</v>
      </c>
      <c r="B4173" s="491"/>
      <c r="C4173" s="675"/>
      <c r="D4173" s="491"/>
      <c r="E4173" s="491"/>
      <c r="F4173" s="492"/>
      <c r="G4173" s="493"/>
      <c r="H4173" s="491"/>
      <c r="I4173" s="234"/>
      <c r="J4173" s="234"/>
      <c r="K4173" s="494"/>
      <c r="L4173" s="543"/>
      <c r="M4173" s="561"/>
      <c r="N4173" s="495"/>
      <c r="O4173" s="496"/>
      <c r="P4173" s="497"/>
      <c r="Q4173" s="495"/>
      <c r="R4173" s="495"/>
      <c r="S4173" s="667" t="s">
        <v>4984</v>
      </c>
      <c r="T4173" s="508">
        <f t="shared" si="3163"/>
        <v>0</v>
      </c>
      <c r="U4173" s="225" t="str">
        <f>IF(NOT(ISNUMBER(G4173)), "", VLOOKUP(A4173,'Discount Lookup'!D:E,2,FALSE)*G4173)</f>
        <v/>
      </c>
      <c r="V4173" s="225" t="str">
        <f>IF(NOT(ISNUMBER(G4173)), "", VLOOKUP(A4173,'Discount Lookup'!G:H,2,FALSE)*G4173)</f>
        <v/>
      </c>
      <c r="W4173" s="508">
        <f t="shared" si="3164"/>
        <v>0</v>
      </c>
      <c r="X4173" s="508">
        <f t="shared" si="3165"/>
        <v>0</v>
      </c>
      <c r="Y4173" s="509" t="b">
        <f t="shared" si="3166"/>
        <v>0</v>
      </c>
      <c r="Z4173" s="510">
        <f t="shared" si="3167"/>
        <v>0</v>
      </c>
      <c r="AA4173" s="511"/>
      <c r="AB4173" s="511" t="str">
        <f t="shared" si="3168"/>
        <v/>
      </c>
      <c r="AC4173" s="698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698"/>
      <c r="AE4173" s="631" t="str">
        <f t="shared" si="3169"/>
        <v/>
      </c>
      <c r="AF4173" s="699" t="str">
        <f t="shared" si="3170"/>
        <v/>
      </c>
      <c r="AG4173" s="699"/>
      <c r="AH4173" s="699"/>
      <c r="AI4173" s="512">
        <f>IF(H4173="credit",0,IF(AE4173="free",0,IF(AE4173="me",0,IF(G4173&gt;0,(VLOOKUP(A4173,'Discount Lookup'!J:K,2)*G4173),0))))</f>
        <v>0</v>
      </c>
      <c r="AJ4173" s="513" t="str">
        <f t="shared" ca="1" si="3171"/>
        <v/>
      </c>
      <c r="AK4173" s="700" t="str">
        <f t="shared" si="3172"/>
        <v/>
      </c>
      <c r="AL4173" s="700"/>
      <c r="AM4173" s="505" t="str">
        <f t="shared" si="3173"/>
        <v/>
      </c>
      <c r="AN4173" s="506"/>
      <c r="AO4173" s="507"/>
      <c r="AP4173" s="507"/>
      <c r="AQ4173" s="507"/>
      <c r="AR4173" s="507"/>
      <c r="AS4173" s="507"/>
      <c r="AT4173" s="507"/>
      <c r="AU4173" s="507"/>
      <c r="AV4173" s="225"/>
      <c r="AW4173" s="508"/>
      <c r="AX4173" s="225"/>
      <c r="AY4173" s="225"/>
      <c r="AZ4173" s="225"/>
      <c r="BA4173" s="225"/>
      <c r="BB4173" s="225"/>
      <c r="BC4173" s="56"/>
      <c r="BD4173" s="56"/>
      <c r="BE4173" s="56"/>
      <c r="BF4173" s="107" t="str">
        <f t="shared" si="3174"/>
        <v>https://www.google.com/search?tbm=isch&amp;q=Yellow-Berried%20has%20White%20spring%20blooms%2C%20Red-Purple%20fall%2Fwinter%20foliage%2C%20and%20distinctive%20Golden%20berries%20in%20winter.%20May%20spread%20</v>
      </c>
      <c r="BG4173" s="107" t="str">
        <f t="shared" si="3175"/>
        <v>Y</v>
      </c>
      <c r="BH4173" s="254"/>
      <c r="BI4173" s="254"/>
    </row>
    <row r="4174" spans="1:61" customFormat="1" ht="18" x14ac:dyDescent="0.25">
      <c r="A4174" s="523" t="s">
        <v>5574</v>
      </c>
      <c r="B4174" s="235"/>
      <c r="C4174" s="676"/>
      <c r="D4174" s="255" t="s">
        <v>2535</v>
      </c>
      <c r="E4174" s="236"/>
      <c r="F4174" s="236"/>
      <c r="G4174" s="236"/>
      <c r="H4174" s="582" t="s">
        <v>443</v>
      </c>
      <c r="I4174" s="498" t="s">
        <v>654</v>
      </c>
      <c r="J4174" s="237"/>
      <c r="K4174" s="237"/>
      <c r="L4174" s="274"/>
      <c r="M4174" s="668" t="s">
        <v>4962</v>
      </c>
      <c r="N4174" s="681" t="str">
        <f>IF(AND(ISTEXT($A4174), ISERROR($A4174+0)), HYPERLINK($BF4174, "Images"), "")</f>
        <v>Images</v>
      </c>
      <c r="O4174" s="663" t="s">
        <v>4974</v>
      </c>
      <c r="P4174" s="253"/>
      <c r="Q4174" s="238"/>
      <c r="R4174" s="239"/>
      <c r="S4174" s="275"/>
      <c r="T4174" s="508">
        <f t="shared" ref="T4174:T4213" si="3213">E4174*G4174</f>
        <v>0</v>
      </c>
      <c r="U4174" s="225" t="str">
        <f>IF(NOT(ISNUMBER(G4174)), "", VLOOKUP(A4174,'Discount Lookup'!D:E,2,FALSE)*G4174)</f>
        <v/>
      </c>
      <c r="V4174" s="225" t="str">
        <f>IF(NOT(ISNUMBER(G4174)), "", VLOOKUP(A4174,'Discount Lookup'!G:H,2,FALSE)*G4174)</f>
        <v/>
      </c>
      <c r="W4174" s="508">
        <f t="shared" ref="W4174:W4213" si="3214">IF(H4174="credit",0,E4174*(SalesTaxPercentage)*G4174)</f>
        <v>0</v>
      </c>
      <c r="X4174" s="508" t="str">
        <f t="shared" ref="X4174:X4213" si="3215">I4174</f>
        <v>White bloom</v>
      </c>
      <c r="Y4174" s="509" t="b">
        <f t="shared" ref="Y4174:Y4213" si="3216">IF(AE4174="T2G",0,IF(H4174="credit",0,IF(G4174&gt;0,IF(AE4174="me","",G4174))))</f>
        <v>0</v>
      </c>
      <c r="Z4174" s="510">
        <f t="shared" ref="Z4174:Z4213" si="3217">IF(H4174="credit",G4174,0)</f>
        <v>0</v>
      </c>
      <c r="AA4174" s="511"/>
      <c r="AB4174" s="511" t="str">
        <f t="shared" ref="AB4174:AB4213" si="3218">IF(AE4174="T2G","by Trees2Go",IF(H4174="credit","CREDIT only ~",IF(AND(K4174="",AE4174=OR(PlanterYesMe="No",PlanterYesMe="N",PlanterYesMe="me")),"not THIS line⇨",IF(AND(K4174="images",AE4174="me"),"not THIS line⇨",IF(H4174="credit","",IF(G4174=0,"",IF(AE4174="me","",IF(OR(PlanterYesMe="No",PlanterYesMe="N",PlanterYesMe="me"),"",IF(AE4174="free","warranty",IF(OR(PlanterYesMe="yes",PlanterYesMe="y"),"Edison install:","to install:"))))))))))</f>
        <v/>
      </c>
      <c r="AC4174" s="698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698"/>
      <c r="AE4174" s="631" t="str">
        <f t="shared" ref="AE4174:AE4213" si="3219">IF(H4174="credit","",IF(G4174=0,"",IF(OR(PlanterYesMe="No",PlanterYesMe="N",PlanterYesMe="me"),"me",IF(H4174="warranty","free",IF(OR(PlanterYesMe="yes",PlanterYesMe="y"),"ELP","")))))</f>
        <v/>
      </c>
      <c r="AF4174" s="699" t="str">
        <f t="shared" ref="AF4174:AF4213" si="3220">IF(OR(PlanterYesMe="No",PlanterYesMe="N",PlanterYesMe="me"),"",IF(H4174="credit","",IF(G4174&gt;0,(CONCATENATE((G4174)," quantity, ",(A4174)," ",B4174)),"")))</f>
        <v/>
      </c>
      <c r="AG4174" s="699"/>
      <c r="AH4174" s="699"/>
      <c r="AI4174" s="512">
        <f>IF(H4174="credit",0,IF(AE4174="free",0,IF(AE4174="me",0,IF(G4174&gt;0,(VLOOKUP(A4174,'Discount Lookup'!J:K,2)*G4174),0))))</f>
        <v>0</v>
      </c>
      <c r="AJ4174" s="513" t="str">
        <f t="shared" ref="AJ4174:AJ4213" ca="1" si="3221">IF(AND(ISREF(H4174),H4174="credit"),"",IF(AND(AND(OFFSET(G4174,0,0)=0,OFFSET(G4174,1,0)&gt;0,ISNUMBER(OFFSET(AC4174,1,0)),OFFSET(AC4174,1,0)&gt;0),OR(PlanterYesMe="yes",PlanterYesMe="y")),"T2G+ELP=",IF(AND(OFFSET(G4174,0,0)=0,OFFSET(G4174,1,0)&gt;0,ISNUMBER(OFFSET(AC4174,1,0)),OFFSET(AC4174,1,0)&gt;0),"if T2G+ELP=",IF(AND(OFFSET(G4174,0,0)=0,OFFSET(G4174,1,0)&gt;0),"T2G Subtotal",IF(H4174="credit","",IF(G4174=0,"",IF(AE4174="free",(K4174*(1-T2GDiscount)),IF(OR(PlanterYesMe="No",PlanterYesMe="N",PlanterYesMe="me"),(K4174*(1-T2GDiscount)),IF(OR(AE4174="me",AE4174="T2G"),(K4174*(1-T2GDiscount)),(K4174*(1-T2GDiscount))+AC4174)))))))))</f>
        <v/>
      </c>
      <c r="AK4174" s="700" t="str">
        <f t="shared" ref="AK4174:AK4213" si="3222">IF(H4174="credit","",IF(G4174=0,"",IF(OR(AE4174="me",AE4174="T2G"),"  delivery-only",IF(OR(PlanterYesMe="No",PlanterYesMe="N",PlanterYesMe="me"),"  delivery-only",CONCATENATE(" $",ROUND(AJ4174/G4174,2)," each")))))</f>
        <v/>
      </c>
      <c r="AL4174" s="700"/>
      <c r="AM4174" s="505" t="str">
        <f t="shared" ref="AM4174:AM4213" si="3223">IF(H4174="credit","",IF(AE4174="free","      ~ discounts included, no tax or planting fee applies ~",IF(G4174=0,"",IF(OR(PlanterYesMe="No",PlanterYesMe="N",PlanterYesMe="me"),CONCATENATE(" $",ROUND(AJ4174/G4174,2)," per plant, with tax &amp; discount"),IF(OR(AE4174="me",AE4174="T2G"),CONCATENATE(" $",ROUND(AJ4174/G4174,2)," per plant, with tax &amp; discount"),CONCATENATE("= $",ROUND((K4174*(1-T2GDiscount))/G4174,2)," per plant + $",AC4174/G4174,(" per planting      ~ includes tax &amp; discounts ~")))))))</f>
        <v/>
      </c>
      <c r="AN4174" s="506"/>
      <c r="AO4174" s="507"/>
      <c r="AP4174" s="507"/>
      <c r="AQ4174" s="507"/>
      <c r="AR4174" s="507"/>
      <c r="AS4174" s="507"/>
      <c r="AT4174" s="507"/>
      <c r="AU4174" s="507"/>
      <c r="AV4174" s="225"/>
      <c r="AW4174" s="508"/>
      <c r="AX4174" s="225"/>
      <c r="AY4174" s="225"/>
      <c r="AZ4174" s="225"/>
      <c r="BA4174" s="225"/>
      <c r="BB4174" s="225"/>
      <c r="BC4174" s="56"/>
      <c r="BD4174" s="56"/>
      <c r="BE4174" s="56"/>
      <c r="BF4174" s="107" t="str">
        <f t="shared" ref="BF4174:BF4213" si="3224">"https://www.google.com/search?tbm=isch&amp;q=" &amp; _xlfn.ENCODEURL($A4174 &amp; " " &amp; $D4174)</f>
        <v>https://www.google.com/search?tbm=isch&amp;q=Yeti%E2%84%A2%20Japanese%20Spirea%20Spiraea%20japonica%20%27Conspiyet%27</v>
      </c>
      <c r="BG4174" s="107" t="str">
        <f t="shared" ref="BG4174:BG4213" si="3225">IF(ISTEXT(A4174),LEFT(A4174,1),BG4173)</f>
        <v>Y</v>
      </c>
      <c r="BH4174" s="254"/>
      <c r="BI4174" s="254"/>
    </row>
    <row r="4175" spans="1:61" customFormat="1" ht="15.75" x14ac:dyDescent="0.25">
      <c r="A4175" s="276">
        <v>3</v>
      </c>
      <c r="B4175" s="240" t="s">
        <v>291</v>
      </c>
      <c r="C4175" s="241" t="s">
        <v>2536</v>
      </c>
      <c r="D4175" s="242" t="s">
        <v>297</v>
      </c>
      <c r="E4175" s="243">
        <v>27.95</v>
      </c>
      <c r="F4175" s="517" t="s">
        <v>293</v>
      </c>
      <c r="G4175" s="232">
        <v>0</v>
      </c>
      <c r="H4175" s="661" t="str">
        <f>IF(G4175=0,"",IF(F4175="Buy",IF(G4175=1,"plant","plants"),IF(F4175&gt;0.01,"warranty","Error")))</f>
        <v/>
      </c>
      <c r="I4175" s="244">
        <f>IF(H4175="free",0,IF(H4175="credit",((E4175*(F4175))*G4175*-1),IF(F4175="Buy",(E4175*G4175),((E4175*(1-F4175))*G4175))))</f>
        <v>0</v>
      </c>
      <c r="J4175" s="244">
        <f>IF(H4175="warranty",0,(I4175*(_xlfn.SINGLE(SalesTaxPercentage))))</f>
        <v>0</v>
      </c>
      <c r="K4175" s="696">
        <f t="shared" ref="K4175" si="3226">I4175+J4175</f>
        <v>0</v>
      </c>
      <c r="L4175" s="696"/>
      <c r="M4175" s="659" t="str">
        <f>IF(AND(G4175&gt;0,E4175=0),"WARNING - no PRICE inserted",IF(H4175="free"," FREE ~ no charge this plant",IF(H4175="credit",CONCATENATE(" -$",ROUND(K4175*(1-T2GDiscount)*-1,2)," CREDIT after discount"),IF(T2GDiscount=0,"",IF(G4175=0,"",IF(F4175="Buy",CONCATENATE(" $",ROUND(K4175*(1-T2GDiscount),2)," with ",(T2GDiscount*100),"% discount"),CONCATENATE(" $",ROUND(K4175*(1-T2GDiscount),2)," with ",((T2GDiscount*100+F4175*100)-(T2GDiscount*100*F4175)),IF(F4175&gt;0,"% discounts",IF(NoWarrantyDiscount&gt;0,"% discounts","% discount")))))))))</f>
        <v/>
      </c>
      <c r="N4175" s="660"/>
      <c r="O4175" s="233"/>
      <c r="P4175" s="233"/>
      <c r="Q4175" s="233"/>
      <c r="R4175" s="233"/>
      <c r="S4175" s="233"/>
      <c r="T4175" s="508">
        <f t="shared" si="3213"/>
        <v>0</v>
      </c>
      <c r="U4175" s="225">
        <f>IF(NOT(ISNUMBER(G4175)), "", VLOOKUP(A4175,'Discount Lookup'!D:E,2,FALSE)*G4175)</f>
        <v>0</v>
      </c>
      <c r="V4175" s="225">
        <f>IF(NOT(ISNUMBER(G4175)), "", VLOOKUP(A4175,'Discount Lookup'!G:H,2,FALSE)*G4175)</f>
        <v>0</v>
      </c>
      <c r="W4175" s="508">
        <f t="shared" si="3214"/>
        <v>0</v>
      </c>
      <c r="X4175" s="508">
        <f t="shared" si="3215"/>
        <v>0</v>
      </c>
      <c r="Y4175" s="509" t="b">
        <f t="shared" si="3216"/>
        <v>0</v>
      </c>
      <c r="Z4175" s="510">
        <f t="shared" si="3217"/>
        <v>0</v>
      </c>
      <c r="AA4175" s="511"/>
      <c r="AB4175" s="511" t="str">
        <f t="shared" si="3218"/>
        <v/>
      </c>
      <c r="AC4175" s="698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698"/>
      <c r="AE4175" s="631" t="str">
        <f t="shared" si="3219"/>
        <v/>
      </c>
      <c r="AF4175" s="699" t="str">
        <f t="shared" si="3220"/>
        <v/>
      </c>
      <c r="AG4175" s="699"/>
      <c r="AH4175" s="699"/>
      <c r="AI4175" s="512">
        <f>IF(H4175="credit",0,IF(AE4175="free",0,IF(AE4175="me",0,IF(G4175&gt;0,(VLOOKUP(A4175,'Discount Lookup'!J:K,2)*G4175),0))))</f>
        <v>0</v>
      </c>
      <c r="AJ4175" s="513" t="str">
        <f t="shared" ca="1" si="3221"/>
        <v/>
      </c>
      <c r="AK4175" s="700" t="str">
        <f t="shared" si="3222"/>
        <v/>
      </c>
      <c r="AL4175" s="700"/>
      <c r="AM4175" s="505" t="str">
        <f t="shared" si="3223"/>
        <v/>
      </c>
      <c r="AN4175" s="506"/>
      <c r="AO4175" s="507"/>
      <c r="AP4175" s="507"/>
      <c r="AQ4175" s="507"/>
      <c r="AR4175" s="507"/>
      <c r="AS4175" s="507"/>
      <c r="AT4175" s="507"/>
      <c r="AU4175" s="507"/>
      <c r="AV4175" s="225"/>
      <c r="AW4175" s="508"/>
      <c r="AX4175" s="225"/>
      <c r="AY4175" s="225"/>
      <c r="AZ4175" s="225"/>
      <c r="BA4175" s="225"/>
      <c r="BB4175" s="225"/>
      <c r="BC4175" s="56"/>
      <c r="BD4175" s="56"/>
      <c r="BE4175" s="56"/>
      <c r="BF4175" s="107" t="str">
        <f t="shared" si="3224"/>
        <v>https://www.google.com/search?tbm=isch&amp;q=3%20G3</v>
      </c>
      <c r="BG4175" s="107" t="str">
        <f t="shared" si="3225"/>
        <v>Y</v>
      </c>
      <c r="BH4175" s="254"/>
      <c r="BI4175" s="254"/>
    </row>
    <row r="4176" spans="1:61" customFormat="1" ht="17.25" thickBot="1" x14ac:dyDescent="0.3">
      <c r="A4176" s="524" t="s">
        <v>4219</v>
      </c>
      <c r="B4176" s="245"/>
      <c r="C4176" s="677"/>
      <c r="D4176" s="499"/>
      <c r="E4176" s="499"/>
      <c r="F4176" s="500"/>
      <c r="G4176" s="501"/>
      <c r="H4176" s="502"/>
      <c r="I4176" s="246"/>
      <c r="J4176" s="247"/>
      <c r="K4176" s="503"/>
      <c r="L4176" s="544"/>
      <c r="M4176" s="544"/>
      <c r="N4176" s="500"/>
      <c r="O4176" s="500"/>
      <c r="P4176" s="500"/>
      <c r="Q4176" s="500"/>
      <c r="R4176" s="500"/>
      <c r="S4176" s="669" t="s">
        <v>4980</v>
      </c>
      <c r="T4176" s="508">
        <f t="shared" si="3213"/>
        <v>0</v>
      </c>
      <c r="U4176" s="225" t="str">
        <f>IF(NOT(ISNUMBER(G4176)), "", VLOOKUP(A4176,'Discount Lookup'!D:E,2,FALSE)*G4176)</f>
        <v/>
      </c>
      <c r="V4176" s="225" t="str">
        <f>IF(NOT(ISNUMBER(G4176)), "", VLOOKUP(A4176,'Discount Lookup'!G:H,2,FALSE)*G4176)</f>
        <v/>
      </c>
      <c r="W4176" s="508">
        <f t="shared" si="3214"/>
        <v>0</v>
      </c>
      <c r="X4176" s="508">
        <f t="shared" si="3215"/>
        <v>0</v>
      </c>
      <c r="Y4176" s="509" t="b">
        <f t="shared" si="3216"/>
        <v>0</v>
      </c>
      <c r="Z4176" s="510">
        <f t="shared" si="3217"/>
        <v>0</v>
      </c>
      <c r="AA4176" s="511"/>
      <c r="AB4176" s="511" t="str">
        <f t="shared" si="3218"/>
        <v/>
      </c>
      <c r="AC4176" s="698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698"/>
      <c r="AE4176" s="631" t="str">
        <f t="shared" si="3219"/>
        <v/>
      </c>
      <c r="AF4176" s="699" t="str">
        <f t="shared" si="3220"/>
        <v/>
      </c>
      <c r="AG4176" s="699"/>
      <c r="AH4176" s="699"/>
      <c r="AI4176" s="512">
        <f>IF(H4176="credit",0,IF(AE4176="free",0,IF(AE4176="me",0,IF(G4176&gt;0,(VLOOKUP(A4176,'Discount Lookup'!J:K,2)*G4176),0))))</f>
        <v>0</v>
      </c>
      <c r="AJ4176" s="513" t="str">
        <f t="shared" ca="1" si="3221"/>
        <v/>
      </c>
      <c r="AK4176" s="700" t="str">
        <f t="shared" si="3222"/>
        <v/>
      </c>
      <c r="AL4176" s="700"/>
      <c r="AM4176" s="505" t="str">
        <f t="shared" si="3223"/>
        <v/>
      </c>
      <c r="AN4176" s="506"/>
      <c r="AO4176" s="507"/>
      <c r="AP4176" s="507"/>
      <c r="AQ4176" s="507"/>
      <c r="AR4176" s="507"/>
      <c r="AS4176" s="507"/>
      <c r="AT4176" s="507"/>
      <c r="AU4176" s="507"/>
      <c r="AV4176" s="225"/>
      <c r="AW4176" s="508"/>
      <c r="AX4176" s="225"/>
      <c r="AY4176" s="225"/>
      <c r="AZ4176" s="225"/>
      <c r="BA4176" s="225"/>
      <c r="BB4176" s="225"/>
      <c r="BC4176" s="56"/>
      <c r="BD4176" s="56"/>
      <c r="BE4176" s="56"/>
      <c r="BF4176" s="107" t="str">
        <f t="shared" si="3224"/>
        <v>https://www.google.com/search?tbm=isch&amp;q=Yeti%20has%20Bright%20Green%20foliage%2C%20turning%20Yellow-Orange%20in%20fall.%20Summer%20bloom%2C%20on%20new%20wood%2C%20so%20prune%20late%20winter%20</v>
      </c>
      <c r="BG4176" s="107" t="str">
        <f t="shared" si="3225"/>
        <v>Y</v>
      </c>
      <c r="BH4176" s="254"/>
      <c r="BI4176" s="254"/>
    </row>
    <row r="4177" spans="1:61" customFormat="1" ht="18" x14ac:dyDescent="0.25">
      <c r="A4177" s="521" t="s">
        <v>5575</v>
      </c>
      <c r="B4177" s="477"/>
      <c r="C4177" s="674"/>
      <c r="D4177" s="478" t="s">
        <v>2076</v>
      </c>
      <c r="E4177" s="479"/>
      <c r="F4177" s="479"/>
      <c r="G4177" s="479"/>
      <c r="H4177" s="582" t="s">
        <v>441</v>
      </c>
      <c r="I4177" s="480" t="s">
        <v>2093</v>
      </c>
      <c r="J4177" s="479"/>
      <c r="K4177" s="479"/>
      <c r="L4177" s="560"/>
      <c r="M4177" s="671" t="s">
        <v>4985</v>
      </c>
      <c r="N4177" s="680" t="str">
        <f>IF(AND(ISTEXT($A4177), ISERROR($A4177+0)), HYPERLINK($BF4177, "Images"), "")</f>
        <v>Images</v>
      </c>
      <c r="O4177" s="662" t="s">
        <v>4969</v>
      </c>
      <c r="P4177" s="482"/>
      <c r="Q4177" s="483"/>
      <c r="R4177" s="483"/>
      <c r="S4177" s="484"/>
      <c r="T4177" s="508">
        <f t="shared" si="3213"/>
        <v>0</v>
      </c>
      <c r="U4177" s="225" t="str">
        <f>IF(NOT(ISNUMBER(G4177)), "", VLOOKUP(A4177,'Discount Lookup'!D:E,2,FALSE)*G4177)</f>
        <v/>
      </c>
      <c r="V4177" s="225" t="str">
        <f>IF(NOT(ISNUMBER(G4177)), "", VLOOKUP(A4177,'Discount Lookup'!G:H,2,FALSE)*G4177)</f>
        <v/>
      </c>
      <c r="W4177" s="508">
        <f t="shared" si="3214"/>
        <v>0</v>
      </c>
      <c r="X4177" s="508" t="str">
        <f t="shared" si="3215"/>
        <v>Dark Green foliage</v>
      </c>
      <c r="Y4177" s="509" t="b">
        <f t="shared" si="3216"/>
        <v>0</v>
      </c>
      <c r="Z4177" s="510">
        <f t="shared" si="3217"/>
        <v>0</v>
      </c>
      <c r="AA4177" s="511"/>
      <c r="AB4177" s="511" t="str">
        <f t="shared" si="3218"/>
        <v/>
      </c>
      <c r="AC4177" s="698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698"/>
      <c r="AE4177" s="631" t="str">
        <f t="shared" si="3219"/>
        <v/>
      </c>
      <c r="AF4177" s="699" t="str">
        <f t="shared" si="3220"/>
        <v/>
      </c>
      <c r="AG4177" s="699"/>
      <c r="AH4177" s="699"/>
      <c r="AI4177" s="512">
        <f>IF(H4177="credit",0,IF(AE4177="free",0,IF(AE4177="me",0,IF(G4177&gt;0,(VLOOKUP(A4177,'Discount Lookup'!J:K,2)*G4177),0))))</f>
        <v>0</v>
      </c>
      <c r="AJ4177" s="513" t="str">
        <f t="shared" ca="1" si="3221"/>
        <v/>
      </c>
      <c r="AK4177" s="700" t="str">
        <f t="shared" si="3222"/>
        <v/>
      </c>
      <c r="AL4177" s="700"/>
      <c r="AM4177" s="505" t="str">
        <f t="shared" si="3223"/>
        <v/>
      </c>
      <c r="AN4177" s="506"/>
      <c r="AO4177" s="507"/>
      <c r="AP4177" s="507"/>
      <c r="AQ4177" s="507"/>
      <c r="AR4177" s="507"/>
      <c r="AS4177" s="507"/>
      <c r="AT4177" s="507"/>
      <c r="AU4177" s="507"/>
      <c r="AV4177" s="225"/>
      <c r="AW4177" s="508"/>
      <c r="AX4177" s="225"/>
      <c r="AY4177" s="225"/>
      <c r="AZ4177" s="225"/>
      <c r="BA4177" s="225"/>
      <c r="BB4177" s="225"/>
      <c r="BC4177" s="56"/>
      <c r="BD4177" s="56"/>
      <c r="BE4177" s="56"/>
      <c r="BF4177" s="107" t="str">
        <f t="shared" si="3224"/>
        <v>https://www.google.com/search?tbm=isch&amp;q=Yewtopia%C2%AE%20Plum%20Yew%20Cephalotaxus%20harringtonia%20%27Plania%27</v>
      </c>
      <c r="BG4177" s="107" t="str">
        <f t="shared" si="3225"/>
        <v>Y</v>
      </c>
      <c r="BH4177" s="254"/>
      <c r="BI4177" s="254"/>
    </row>
    <row r="4178" spans="1:61" customFormat="1" ht="15.75" x14ac:dyDescent="0.25">
      <c r="A4178" s="485">
        <v>1</v>
      </c>
      <c r="B4178" s="486" t="s">
        <v>291</v>
      </c>
      <c r="C4178" s="487" t="s">
        <v>2402</v>
      </c>
      <c r="D4178" s="488" t="s">
        <v>312</v>
      </c>
      <c r="E4178" s="489">
        <v>32.950000000000003</v>
      </c>
      <c r="F4178" s="516" t="s">
        <v>293</v>
      </c>
      <c r="G4178" s="232">
        <v>0</v>
      </c>
      <c r="H4178" s="658" t="str">
        <f>IF(G4178=0,"",IF(F4178="Buy",IF(G4178=1,"plant","plants"),IF(F4178&gt;0.01,"warranty","Error")))</f>
        <v/>
      </c>
      <c r="I4178" s="490">
        <f>IF(H4178="free",0,IF(H4178="credit",((E4178*(F4178))*G4178*-1),IF(F4178="Buy",(E4178*G4178),((E4178*(1-F4178))*G4178))))</f>
        <v>0</v>
      </c>
      <c r="J4178" s="490">
        <f>IF(H4178="warranty",0,(I4178*(_xlfn.SINGLE(SalesTaxPercentage))))</f>
        <v>0</v>
      </c>
      <c r="K4178" s="695">
        <f t="shared" ref="K4178" si="3227">I4178+J4178</f>
        <v>0</v>
      </c>
      <c r="L4178" s="695"/>
      <c r="M4178" s="659" t="str">
        <f>IF(AND(G4178&gt;0,E4178=0),"WARNING - no PRICE inserted",IF(H4178="free"," FREE ~ no charge this plant",IF(H4178="credit",CONCATENATE(" -$",ROUND(K4178*(1-T2GDiscount)*-1,2)," CREDIT after discount"),IF(T2GDiscount=0,"",IF(G4178=0,"",IF(F4178="Buy",CONCATENATE(" $",ROUND(K4178*(1-T2GDiscount),2)," with ",(T2GDiscount*100),"% discount"),CONCATENATE(" $",ROUND(K4178*(1-T2GDiscount),2)," with ",((T2GDiscount*100+F4178*100)-(T2GDiscount*100*F4178)),IF(F4178&gt;0,"% discounts",IF(NoWarrantyDiscount&gt;0,"% discounts","% discount")))))))))</f>
        <v/>
      </c>
      <c r="N4178" s="660"/>
      <c r="O4178" s="233"/>
      <c r="P4178" s="233"/>
      <c r="Q4178" s="233"/>
      <c r="R4178" s="233"/>
      <c r="S4178" s="233"/>
      <c r="T4178" s="508">
        <f t="shared" si="3213"/>
        <v>0</v>
      </c>
      <c r="U4178" s="225">
        <f>IF(NOT(ISNUMBER(G4178)), "", VLOOKUP(A4178,'Discount Lookup'!D:E,2,FALSE)*G4178)</f>
        <v>0</v>
      </c>
      <c r="V4178" s="225">
        <f>IF(NOT(ISNUMBER(G4178)), "", VLOOKUP(A4178,'Discount Lookup'!G:H,2,FALSE)*G4178)</f>
        <v>0</v>
      </c>
      <c r="W4178" s="508">
        <f t="shared" si="3214"/>
        <v>0</v>
      </c>
      <c r="X4178" s="508">
        <f t="shared" si="3215"/>
        <v>0</v>
      </c>
      <c r="Y4178" s="509" t="b">
        <f t="shared" si="3216"/>
        <v>0</v>
      </c>
      <c r="Z4178" s="510">
        <f t="shared" si="3217"/>
        <v>0</v>
      </c>
      <c r="AA4178" s="511"/>
      <c r="AB4178" s="511" t="str">
        <f t="shared" si="3218"/>
        <v/>
      </c>
      <c r="AC4178" s="698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698"/>
      <c r="AE4178" s="631" t="str">
        <f t="shared" si="3219"/>
        <v/>
      </c>
      <c r="AF4178" s="699" t="str">
        <f t="shared" si="3220"/>
        <v/>
      </c>
      <c r="AG4178" s="699"/>
      <c r="AH4178" s="699"/>
      <c r="AI4178" s="512">
        <f>IF(H4178="credit",0,IF(AE4178="free",0,IF(AE4178="me",0,IF(G4178&gt;0,(VLOOKUP(A4178,'Discount Lookup'!J:K,2)*G4178),0))))</f>
        <v>0</v>
      </c>
      <c r="AJ4178" s="513" t="str">
        <f t="shared" ca="1" si="3221"/>
        <v/>
      </c>
      <c r="AK4178" s="700" t="str">
        <f t="shared" si="3222"/>
        <v/>
      </c>
      <c r="AL4178" s="700"/>
      <c r="AM4178" s="505" t="str">
        <f t="shared" si="3223"/>
        <v/>
      </c>
      <c r="AN4178" s="506"/>
      <c r="AO4178" s="507"/>
      <c r="AP4178" s="507"/>
      <c r="AQ4178" s="507"/>
      <c r="AR4178" s="507"/>
      <c r="AS4178" s="507"/>
      <c r="AT4178" s="507"/>
      <c r="AU4178" s="507"/>
      <c r="AV4178" s="225"/>
      <c r="AW4178" s="508"/>
      <c r="AX4178" s="225"/>
      <c r="AY4178" s="225"/>
      <c r="AZ4178" s="225"/>
      <c r="BA4178" s="225"/>
      <c r="BB4178" s="225"/>
      <c r="BC4178" s="56"/>
      <c r="BD4178" s="56"/>
      <c r="BE4178" s="56"/>
      <c r="BF4178" s="107" t="str">
        <f t="shared" si="3224"/>
        <v>https://www.google.com/search?tbm=isch&amp;q=1%20G2</v>
      </c>
      <c r="BG4178" s="107" t="str">
        <f t="shared" si="3225"/>
        <v>Y</v>
      </c>
      <c r="BH4178" s="254"/>
      <c r="BI4178" s="254"/>
    </row>
    <row r="4179" spans="1:61" customFormat="1" ht="17.25" thickBot="1" x14ac:dyDescent="0.3">
      <c r="A4179" s="522" t="s">
        <v>2876</v>
      </c>
      <c r="B4179" s="491"/>
      <c r="C4179" s="675"/>
      <c r="D4179" s="491"/>
      <c r="E4179" s="491"/>
      <c r="F4179" s="492"/>
      <c r="G4179" s="493"/>
      <c r="H4179" s="491"/>
      <c r="I4179" s="234"/>
      <c r="J4179" s="234"/>
      <c r="K4179" s="494"/>
      <c r="L4179" s="543"/>
      <c r="M4179" s="561"/>
      <c r="N4179" s="495"/>
      <c r="O4179" s="496"/>
      <c r="P4179" s="497"/>
      <c r="Q4179" s="495"/>
      <c r="R4179" s="495"/>
      <c r="S4179" s="667" t="s">
        <v>5009</v>
      </c>
      <c r="T4179" s="508">
        <f t="shared" si="3213"/>
        <v>0</v>
      </c>
      <c r="U4179" s="225" t="str">
        <f>IF(NOT(ISNUMBER(G4179)), "", VLOOKUP(A4179,'Discount Lookup'!D:E,2,FALSE)*G4179)</f>
        <v/>
      </c>
      <c r="V4179" s="225" t="str">
        <f>IF(NOT(ISNUMBER(G4179)), "", VLOOKUP(A4179,'Discount Lookup'!G:H,2,FALSE)*G4179)</f>
        <v/>
      </c>
      <c r="W4179" s="508">
        <f t="shared" si="3214"/>
        <v>0</v>
      </c>
      <c r="X4179" s="508">
        <f t="shared" si="3215"/>
        <v>0</v>
      </c>
      <c r="Y4179" s="509" t="b">
        <f t="shared" si="3216"/>
        <v>0</v>
      </c>
      <c r="Z4179" s="510">
        <f t="shared" si="3217"/>
        <v>0</v>
      </c>
      <c r="AA4179" s="511"/>
      <c r="AB4179" s="511" t="str">
        <f t="shared" si="3218"/>
        <v/>
      </c>
      <c r="AC4179" s="698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698"/>
      <c r="AE4179" s="631" t="str">
        <f t="shared" si="3219"/>
        <v/>
      </c>
      <c r="AF4179" s="699" t="str">
        <f t="shared" si="3220"/>
        <v/>
      </c>
      <c r="AG4179" s="699"/>
      <c r="AH4179" s="699"/>
      <c r="AI4179" s="512">
        <f>IF(H4179="credit",0,IF(AE4179="free",0,IF(AE4179="me",0,IF(G4179&gt;0,(VLOOKUP(A4179,'Discount Lookup'!J:K,2)*G4179),0))))</f>
        <v>0</v>
      </c>
      <c r="AJ4179" s="513" t="str">
        <f t="shared" ca="1" si="3221"/>
        <v/>
      </c>
      <c r="AK4179" s="700" t="str">
        <f t="shared" si="3222"/>
        <v/>
      </c>
      <c r="AL4179" s="700"/>
      <c r="AM4179" s="505" t="str">
        <f t="shared" si="3223"/>
        <v/>
      </c>
      <c r="AN4179" s="506"/>
      <c r="AO4179" s="507"/>
      <c r="AP4179" s="507"/>
      <c r="AQ4179" s="507"/>
      <c r="AR4179" s="507"/>
      <c r="AS4179" s="507"/>
      <c r="AT4179" s="507"/>
      <c r="AU4179" s="507"/>
      <c r="AV4179" s="225"/>
      <c r="AW4179" s="508"/>
      <c r="AX4179" s="225"/>
      <c r="AY4179" s="225"/>
      <c r="AZ4179" s="225"/>
      <c r="BA4179" s="225"/>
      <c r="BB4179" s="225"/>
      <c r="BC4179" s="56"/>
      <c r="BD4179" s="56"/>
      <c r="BE4179" s="56"/>
      <c r="BF4179" s="107" t="str">
        <f t="shared" si="3224"/>
        <v>https://www.google.com/search?tbm=isch&amp;q=All%20Plum%20Yews%20have%20fine-textured%20foliage%20with%20brown%2C%20scaly%20bark.%20Slow%20growing%2C%20heat%20and%20shade%20tolerant%20</v>
      </c>
      <c r="BG4179" s="107" t="str">
        <f t="shared" si="3225"/>
        <v>A</v>
      </c>
      <c r="BH4179" s="254"/>
      <c r="BI4179" s="254"/>
    </row>
    <row r="4180" spans="1:61" customFormat="1" ht="18" x14ac:dyDescent="0.25">
      <c r="A4180" s="523" t="s">
        <v>2077</v>
      </c>
      <c r="B4180" s="235"/>
      <c r="C4180" s="676"/>
      <c r="D4180" s="255" t="s">
        <v>2078</v>
      </c>
      <c r="E4180" s="236"/>
      <c r="F4180" s="236"/>
      <c r="G4180" s="236"/>
      <c r="H4180" s="582" t="s">
        <v>1844</v>
      </c>
      <c r="I4180" s="498" t="s">
        <v>2079</v>
      </c>
      <c r="J4180" s="237"/>
      <c r="K4180" s="237"/>
      <c r="L4180" s="274"/>
      <c r="M4180" s="668" t="s">
        <v>4962</v>
      </c>
      <c r="N4180" s="681" t="str">
        <f>IF(AND(ISTEXT($A4180), ISERROR($A4180+0)), HYPERLINK($BF4180, "Images"), "")</f>
        <v>Images</v>
      </c>
      <c r="O4180" s="663" t="s">
        <v>4971</v>
      </c>
      <c r="P4180" s="253"/>
      <c r="Q4180" s="238"/>
      <c r="R4180" s="239"/>
      <c r="S4180" s="275"/>
      <c r="T4180" s="508">
        <f t="shared" si="3213"/>
        <v>0</v>
      </c>
      <c r="U4180" s="225" t="str">
        <f>IF(NOT(ISNUMBER(G4180)), "", VLOOKUP(A4180,'Discount Lookup'!D:E,2,FALSE)*G4180)</f>
        <v/>
      </c>
      <c r="V4180" s="225" t="str">
        <f>IF(NOT(ISNUMBER(G4180)), "", VLOOKUP(A4180,'Discount Lookup'!G:H,2,FALSE)*G4180)</f>
        <v/>
      </c>
      <c r="W4180" s="508">
        <f t="shared" si="3214"/>
        <v>0</v>
      </c>
      <c r="X4180" s="508" t="str">
        <f t="shared" si="3215"/>
        <v>White to Pink bloom</v>
      </c>
      <c r="Y4180" s="509" t="b">
        <f t="shared" si="3216"/>
        <v>0</v>
      </c>
      <c r="Z4180" s="510">
        <f t="shared" si="3217"/>
        <v>0</v>
      </c>
      <c r="AA4180" s="511"/>
      <c r="AB4180" s="511" t="str">
        <f t="shared" si="3218"/>
        <v/>
      </c>
      <c r="AC4180" s="698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698"/>
      <c r="AE4180" s="631" t="str">
        <f t="shared" si="3219"/>
        <v/>
      </c>
      <c r="AF4180" s="699" t="str">
        <f t="shared" si="3220"/>
        <v/>
      </c>
      <c r="AG4180" s="699"/>
      <c r="AH4180" s="699"/>
      <c r="AI4180" s="512">
        <f>IF(H4180="credit",0,IF(AE4180="free",0,IF(AE4180="me",0,IF(G4180&gt;0,(VLOOKUP(A4180,'Discount Lookup'!J:K,2)*G4180),0))))</f>
        <v>0</v>
      </c>
      <c r="AJ4180" s="513" t="str">
        <f t="shared" ca="1" si="3221"/>
        <v/>
      </c>
      <c r="AK4180" s="700" t="str">
        <f t="shared" si="3222"/>
        <v/>
      </c>
      <c r="AL4180" s="700"/>
      <c r="AM4180" s="505" t="str">
        <f t="shared" si="3223"/>
        <v/>
      </c>
      <c r="AN4180" s="506"/>
      <c r="AO4180" s="507"/>
      <c r="AP4180" s="507"/>
      <c r="AQ4180" s="507"/>
      <c r="AR4180" s="507"/>
      <c r="AS4180" s="507"/>
      <c r="AT4180" s="507"/>
      <c r="AU4180" s="507"/>
      <c r="AV4180" s="225"/>
      <c r="AW4180" s="508"/>
      <c r="AX4180" s="225"/>
      <c r="AY4180" s="225"/>
      <c r="AZ4180" s="225"/>
      <c r="BA4180" s="225"/>
      <c r="BB4180" s="225"/>
      <c r="BC4180" s="56"/>
      <c r="BD4180" s="56"/>
      <c r="BE4180" s="56"/>
      <c r="BF4180" s="107" t="str">
        <f t="shared" si="3224"/>
        <v>https://www.google.com/search?tbm=isch&amp;q=Yoshino%20Cherry%20Prunus%20x%20yedoensis</v>
      </c>
      <c r="BG4180" s="107" t="str">
        <f t="shared" si="3225"/>
        <v>Y</v>
      </c>
      <c r="BH4180" s="254"/>
      <c r="BI4180" s="254"/>
    </row>
    <row r="4181" spans="1:61" customFormat="1" ht="15.75" x14ac:dyDescent="0.25">
      <c r="A4181" s="276">
        <v>7</v>
      </c>
      <c r="B4181" s="240" t="s">
        <v>291</v>
      </c>
      <c r="C4181" s="241" t="s">
        <v>358</v>
      </c>
      <c r="D4181" s="242" t="s">
        <v>312</v>
      </c>
      <c r="E4181" s="243">
        <v>85.95</v>
      </c>
      <c r="F4181" s="517" t="s">
        <v>293</v>
      </c>
      <c r="G4181" s="232">
        <v>0</v>
      </c>
      <c r="H4181" s="661" t="str">
        <f>IF(G4181=0,"",IF(F4181="Buy",IF(G4181=1,"plant","plants"),IF(F4181&gt;0.01,"warranty","Error")))</f>
        <v/>
      </c>
      <c r="I4181" s="244">
        <f>IF(H4181="free",0,IF(H4181="credit",((E4181*(F4181))*G4181*-1),IF(F4181="Buy",(E4181*G4181),((E4181*(1-F4181))*G4181))))</f>
        <v>0</v>
      </c>
      <c r="J4181" s="244">
        <f>IF(H4181="warranty",0,(I4181*(_xlfn.SINGLE(SalesTaxPercentage))))</f>
        <v>0</v>
      </c>
      <c r="K4181" s="696">
        <f t="shared" ref="K4181" si="3228">I4181+J4181</f>
        <v>0</v>
      </c>
      <c r="L4181" s="696"/>
      <c r="M4181" s="659" t="str">
        <f>IF(AND(G4181&gt;0,E4181=0),"WARNING - no PRICE inserted",IF(H4181="free"," FREE ~ no charge this plant",IF(H4181="credit",CONCATENATE(" -$",ROUND(K4181*(1-T2GDiscount)*-1,2)," CREDIT after discount"),IF(T2GDiscount=0,"",IF(G4181=0,"",IF(F4181="Buy",CONCATENATE(" $",ROUND(K4181*(1-T2GDiscount),2)," with ",(T2GDiscount*100),"% discount"),CONCATENATE(" $",ROUND(K4181*(1-T2GDiscount),2)," with ",((T2GDiscount*100+F4181*100)-(T2GDiscount*100*F4181)),IF(F4181&gt;0,"% discounts",IF(NoWarrantyDiscount&gt;0,"% discounts","% discount")))))))))</f>
        <v/>
      </c>
      <c r="N4181" s="660"/>
      <c r="O4181" s="233"/>
      <c r="P4181" s="233"/>
      <c r="Q4181" s="233"/>
      <c r="R4181" s="233"/>
      <c r="S4181" s="233"/>
      <c r="T4181" s="508">
        <f t="shared" si="3213"/>
        <v>0</v>
      </c>
      <c r="U4181" s="225">
        <f>IF(NOT(ISNUMBER(G4181)), "", VLOOKUP(A4181,'Discount Lookup'!D:E,2,FALSE)*G4181)</f>
        <v>0</v>
      </c>
      <c r="V4181" s="225">
        <f>IF(NOT(ISNUMBER(G4181)), "", VLOOKUP(A4181,'Discount Lookup'!G:H,2,FALSE)*G4181)</f>
        <v>0</v>
      </c>
      <c r="W4181" s="508">
        <f t="shared" si="3214"/>
        <v>0</v>
      </c>
      <c r="X4181" s="508">
        <f t="shared" si="3215"/>
        <v>0</v>
      </c>
      <c r="Y4181" s="509" t="b">
        <f t="shared" si="3216"/>
        <v>0</v>
      </c>
      <c r="Z4181" s="510">
        <f t="shared" si="3217"/>
        <v>0</v>
      </c>
      <c r="AA4181" s="511"/>
      <c r="AB4181" s="511" t="str">
        <f t="shared" si="3218"/>
        <v/>
      </c>
      <c r="AC4181" s="698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698"/>
      <c r="AE4181" s="631" t="str">
        <f t="shared" si="3219"/>
        <v/>
      </c>
      <c r="AF4181" s="699" t="str">
        <f t="shared" si="3220"/>
        <v/>
      </c>
      <c r="AG4181" s="699"/>
      <c r="AH4181" s="699"/>
      <c r="AI4181" s="512">
        <f>IF(H4181="credit",0,IF(AE4181="free",0,IF(AE4181="me",0,IF(G4181&gt;0,(VLOOKUP(A4181,'Discount Lookup'!J:K,2)*G4181),0))))</f>
        <v>0</v>
      </c>
      <c r="AJ4181" s="513" t="str">
        <f t="shared" ca="1" si="3221"/>
        <v/>
      </c>
      <c r="AK4181" s="700" t="str">
        <f t="shared" si="3222"/>
        <v/>
      </c>
      <c r="AL4181" s="700"/>
      <c r="AM4181" s="505" t="str">
        <f t="shared" si="3223"/>
        <v/>
      </c>
      <c r="AN4181" s="506"/>
      <c r="AO4181" s="507"/>
      <c r="AP4181" s="507"/>
      <c r="AQ4181" s="507"/>
      <c r="AR4181" s="507"/>
      <c r="AS4181" s="507"/>
      <c r="AT4181" s="507"/>
      <c r="AU4181" s="507"/>
      <c r="AV4181" s="225"/>
      <c r="AW4181" s="508"/>
      <c r="AX4181" s="225"/>
      <c r="AY4181" s="225"/>
      <c r="AZ4181" s="225"/>
      <c r="BA4181" s="225"/>
      <c r="BB4181" s="225"/>
      <c r="BC4181" s="56"/>
      <c r="BD4181" s="56"/>
      <c r="BE4181" s="56"/>
      <c r="BF4181" s="107" t="str">
        <f t="shared" si="3224"/>
        <v>https://www.google.com/search?tbm=isch&amp;q=7%20G2</v>
      </c>
      <c r="BG4181" s="107" t="str">
        <f t="shared" si="3225"/>
        <v>Y</v>
      </c>
      <c r="BH4181" s="254"/>
      <c r="BI4181" s="254"/>
    </row>
    <row r="4182" spans="1:61" customFormat="1" ht="15.75" x14ac:dyDescent="0.25">
      <c r="A4182" s="276">
        <v>7</v>
      </c>
      <c r="B4182" s="240" t="s">
        <v>291</v>
      </c>
      <c r="C4182" s="241" t="s">
        <v>3877</v>
      </c>
      <c r="D4182" s="242" t="s">
        <v>292</v>
      </c>
      <c r="E4182" s="243">
        <v>102.95</v>
      </c>
      <c r="F4182" s="517" t="s">
        <v>293</v>
      </c>
      <c r="G4182" s="232">
        <v>0</v>
      </c>
      <c r="H4182" s="661" t="str">
        <f>IF(G4182=0,"",IF(F4182="Buy",IF(G4182=1,"plant","plants"),IF(F4182&gt;0.01,"warranty","Error")))</f>
        <v/>
      </c>
      <c r="I4182" s="244">
        <f>IF(H4182="free",0,IF(H4182="credit",((E4182*(F4182))*G4182*-1),IF(F4182="Buy",(E4182*G4182),((E4182*(1-F4182))*G4182))))</f>
        <v>0</v>
      </c>
      <c r="J4182" s="244">
        <f>IF(H4182="warranty",0,(I4182*(_xlfn.SINGLE(SalesTaxPercentage))))</f>
        <v>0</v>
      </c>
      <c r="K4182" s="696">
        <f t="shared" ref="K4182" si="3229">I4182+J4182</f>
        <v>0</v>
      </c>
      <c r="L4182" s="696"/>
      <c r="M4182" s="659" t="str">
        <f>IF(AND(G4182&gt;0,E4182=0),"WARNING - no PRICE inserted",IF(H4182="free"," FREE ~ no charge this plant",IF(H4182="credit",CONCATENATE(" -$",ROUND(K4182*(1-T2GDiscount)*-1,2)," CREDIT after discount"),IF(T2GDiscount=0,"",IF(G4182=0,"",IF(F4182="Buy",CONCATENATE(" $",ROUND(K4182*(1-T2GDiscount),2)," with ",(T2GDiscount*100),"% discount"),CONCATENATE(" $",ROUND(K4182*(1-T2GDiscount),2)," with ",((T2GDiscount*100+F4182*100)-(T2GDiscount*100*F4182)),IF(F4182&gt;0,"% discounts",IF(NoWarrantyDiscount&gt;0,"% discounts","% discount")))))))))</f>
        <v/>
      </c>
      <c r="N4182" s="660"/>
      <c r="O4182" s="233"/>
      <c r="P4182" s="233"/>
      <c r="Q4182" s="233"/>
      <c r="R4182" s="233"/>
      <c r="S4182" s="233"/>
      <c r="T4182" s="508">
        <f t="shared" si="3213"/>
        <v>0</v>
      </c>
      <c r="U4182" s="225">
        <f>IF(NOT(ISNUMBER(G4182)), "", VLOOKUP(A4182,'Discount Lookup'!D:E,2,FALSE)*G4182)</f>
        <v>0</v>
      </c>
      <c r="V4182" s="225">
        <f>IF(NOT(ISNUMBER(G4182)), "", VLOOKUP(A4182,'Discount Lookup'!G:H,2,FALSE)*G4182)</f>
        <v>0</v>
      </c>
      <c r="W4182" s="508">
        <f t="shared" si="3214"/>
        <v>0</v>
      </c>
      <c r="X4182" s="508">
        <f t="shared" si="3215"/>
        <v>0</v>
      </c>
      <c r="Y4182" s="509" t="b">
        <f t="shared" si="3216"/>
        <v>0</v>
      </c>
      <c r="Z4182" s="510">
        <f t="shared" si="3217"/>
        <v>0</v>
      </c>
      <c r="AA4182" s="511"/>
      <c r="AB4182" s="511" t="str">
        <f t="shared" si="3218"/>
        <v/>
      </c>
      <c r="AC4182" s="698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698"/>
      <c r="AE4182" s="631" t="str">
        <f t="shared" si="3219"/>
        <v/>
      </c>
      <c r="AF4182" s="699" t="str">
        <f t="shared" si="3220"/>
        <v/>
      </c>
      <c r="AG4182" s="699"/>
      <c r="AH4182" s="699"/>
      <c r="AI4182" s="512">
        <f>IF(H4182="credit",0,IF(AE4182="free",0,IF(AE4182="me",0,IF(G4182&gt;0,(VLOOKUP(A4182,'Discount Lookup'!J:K,2)*G4182),0))))</f>
        <v>0</v>
      </c>
      <c r="AJ4182" s="513" t="str">
        <f t="shared" ca="1" si="3221"/>
        <v/>
      </c>
      <c r="AK4182" s="700" t="str">
        <f t="shared" si="3222"/>
        <v/>
      </c>
      <c r="AL4182" s="700"/>
      <c r="AM4182" s="505" t="str">
        <f t="shared" si="3223"/>
        <v/>
      </c>
      <c r="AN4182" s="506"/>
      <c r="AO4182" s="507"/>
      <c r="AP4182" s="507"/>
      <c r="AQ4182" s="507"/>
      <c r="AR4182" s="507"/>
      <c r="AS4182" s="507"/>
      <c r="AT4182" s="507"/>
      <c r="AU4182" s="507"/>
      <c r="AV4182" s="225"/>
      <c r="AW4182" s="508"/>
      <c r="AX4182" s="225"/>
      <c r="AY4182" s="225"/>
      <c r="AZ4182" s="225"/>
      <c r="BA4182" s="225"/>
      <c r="BB4182" s="225"/>
      <c r="BC4182" s="56"/>
      <c r="BD4182" s="56"/>
      <c r="BE4182" s="56"/>
      <c r="BF4182" s="107" t="str">
        <f t="shared" si="3224"/>
        <v>https://www.google.com/search?tbm=isch&amp;q=7%20G4</v>
      </c>
      <c r="BG4182" s="107" t="str">
        <f t="shared" si="3225"/>
        <v>Y</v>
      </c>
      <c r="BH4182" s="254"/>
      <c r="BI4182" s="254"/>
    </row>
    <row r="4183" spans="1:61" customFormat="1" ht="15.75" x14ac:dyDescent="0.25">
      <c r="A4183" s="276">
        <v>10</v>
      </c>
      <c r="B4183" s="240" t="s">
        <v>291</v>
      </c>
      <c r="C4183" s="241" t="s">
        <v>4461</v>
      </c>
      <c r="D4183" s="242" t="s">
        <v>292</v>
      </c>
      <c r="E4183" s="243">
        <v>146.94999999999999</v>
      </c>
      <c r="F4183" s="517" t="s">
        <v>293</v>
      </c>
      <c r="G4183" s="232">
        <v>0</v>
      </c>
      <c r="H4183" s="661" t="str">
        <f>IF(G4183=0,"",IF(F4183="Buy",IF(G4183=1,"plant","plants"),IF(F4183&gt;0.01,"warranty","Error")))</f>
        <v/>
      </c>
      <c r="I4183" s="244">
        <f>IF(H4183="free",0,IF(H4183="credit",((E4183*(F4183))*G4183*-1),IF(F4183="Buy",(E4183*G4183),((E4183*(1-F4183))*G4183))))</f>
        <v>0</v>
      </c>
      <c r="J4183" s="244">
        <f>IF(H4183="warranty",0,(I4183*(_xlfn.SINGLE(SalesTaxPercentage))))</f>
        <v>0</v>
      </c>
      <c r="K4183" s="696">
        <f t="shared" ref="K4183" si="3230">I4183+J4183</f>
        <v>0</v>
      </c>
      <c r="L4183" s="696"/>
      <c r="M4183" s="659" t="str">
        <f>IF(AND(G4183&gt;0,E4183=0),"WARNING - no PRICE inserted",IF(H4183="free"," FREE ~ no charge this plant",IF(H4183="credit",CONCATENATE(" -$",ROUND(K4183*(1-T2GDiscount)*-1,2)," CREDIT after discount"),IF(T2GDiscount=0,"",IF(G4183=0,"",IF(F4183="Buy",CONCATENATE(" $",ROUND(K4183*(1-T2GDiscount),2)," with ",(T2GDiscount*100),"% discount"),CONCATENATE(" $",ROUND(K4183*(1-T2GDiscount),2)," with ",((T2GDiscount*100+F4183*100)-(T2GDiscount*100*F4183)),IF(F4183&gt;0,"% discounts",IF(NoWarrantyDiscount&gt;0,"% discounts","% discount")))))))))</f>
        <v/>
      </c>
      <c r="N4183" s="660"/>
      <c r="O4183" s="233"/>
      <c r="P4183" s="233"/>
      <c r="Q4183" s="233"/>
      <c r="R4183" s="233"/>
      <c r="S4183" s="233"/>
      <c r="T4183" s="508">
        <f t="shared" si="3213"/>
        <v>0</v>
      </c>
      <c r="U4183" s="225">
        <f>IF(NOT(ISNUMBER(G4183)), "", VLOOKUP(A4183,'Discount Lookup'!D:E,2,FALSE)*G4183)</f>
        <v>0</v>
      </c>
      <c r="V4183" s="225">
        <f>IF(NOT(ISNUMBER(G4183)), "", VLOOKUP(A4183,'Discount Lookup'!G:H,2,FALSE)*G4183)</f>
        <v>0</v>
      </c>
      <c r="W4183" s="508">
        <f t="shared" si="3214"/>
        <v>0</v>
      </c>
      <c r="X4183" s="508">
        <f t="shared" si="3215"/>
        <v>0</v>
      </c>
      <c r="Y4183" s="509" t="b">
        <f t="shared" si="3216"/>
        <v>0</v>
      </c>
      <c r="Z4183" s="510">
        <f t="shared" si="3217"/>
        <v>0</v>
      </c>
      <c r="AA4183" s="511"/>
      <c r="AB4183" s="511" t="str">
        <f t="shared" si="3218"/>
        <v/>
      </c>
      <c r="AC4183" s="698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698"/>
      <c r="AE4183" s="631" t="str">
        <f t="shared" si="3219"/>
        <v/>
      </c>
      <c r="AF4183" s="699" t="str">
        <f t="shared" si="3220"/>
        <v/>
      </c>
      <c r="AG4183" s="699"/>
      <c r="AH4183" s="699"/>
      <c r="AI4183" s="512">
        <f>IF(H4183="credit",0,IF(AE4183="free",0,IF(AE4183="me",0,IF(G4183&gt;0,(VLOOKUP(A4183,'Discount Lookup'!J:K,2)*G4183),0))))</f>
        <v>0</v>
      </c>
      <c r="AJ4183" s="513" t="str">
        <f t="shared" ca="1" si="3221"/>
        <v/>
      </c>
      <c r="AK4183" s="700" t="str">
        <f t="shared" si="3222"/>
        <v/>
      </c>
      <c r="AL4183" s="700"/>
      <c r="AM4183" s="505" t="str">
        <f t="shared" si="3223"/>
        <v/>
      </c>
      <c r="AN4183" s="506"/>
      <c r="AO4183" s="507"/>
      <c r="AP4183" s="507"/>
      <c r="AQ4183" s="507"/>
      <c r="AR4183" s="507"/>
      <c r="AS4183" s="507"/>
      <c r="AT4183" s="507"/>
      <c r="AU4183" s="507"/>
      <c r="AV4183" s="225"/>
      <c r="AW4183" s="508"/>
      <c r="AX4183" s="225"/>
      <c r="AY4183" s="225"/>
      <c r="AZ4183" s="225"/>
      <c r="BA4183" s="225"/>
      <c r="BB4183" s="225"/>
      <c r="BC4183" s="56"/>
      <c r="BD4183" s="56"/>
      <c r="BE4183" s="56"/>
      <c r="BF4183" s="107" t="str">
        <f t="shared" si="3224"/>
        <v>https://www.google.com/search?tbm=isch&amp;q=10%20G4</v>
      </c>
      <c r="BG4183" s="107" t="str">
        <f t="shared" si="3225"/>
        <v>Y</v>
      </c>
      <c r="BH4183" s="254"/>
      <c r="BI4183" s="254"/>
    </row>
    <row r="4184" spans="1:61" customFormat="1" ht="15.75" x14ac:dyDescent="0.25">
      <c r="A4184" s="276">
        <v>15</v>
      </c>
      <c r="B4184" s="240" t="s">
        <v>291</v>
      </c>
      <c r="C4184" s="241" t="s">
        <v>4733</v>
      </c>
      <c r="D4184" s="242" t="s">
        <v>292</v>
      </c>
      <c r="E4184" s="243">
        <v>178.95</v>
      </c>
      <c r="F4184" s="517" t="s">
        <v>293</v>
      </c>
      <c r="G4184" s="232">
        <v>0</v>
      </c>
      <c r="H4184" s="661" t="str">
        <f>IF(G4184=0,"",IF(F4184="Buy",IF(G4184=1,"plant","plants"),IF(F4184&gt;0.01,"warranty","Error")))</f>
        <v/>
      </c>
      <c r="I4184" s="244">
        <f>IF(H4184="free",0,IF(H4184="credit",((E4184*(F4184))*G4184*-1),IF(F4184="Buy",(E4184*G4184),((E4184*(1-F4184))*G4184))))</f>
        <v>0</v>
      </c>
      <c r="J4184" s="244">
        <f>IF(H4184="warranty",0,(I4184*(_xlfn.SINGLE(SalesTaxPercentage))))</f>
        <v>0</v>
      </c>
      <c r="K4184" s="696">
        <f t="shared" ref="K4184" si="3231">I4184+J4184</f>
        <v>0</v>
      </c>
      <c r="L4184" s="696"/>
      <c r="M4184" s="659" t="str">
        <f>IF(AND(G4184&gt;0,E4184=0),"WARNING - no PRICE inserted",IF(H4184="free"," FREE ~ no charge this plant",IF(H4184="credit",CONCATENATE(" -$",ROUND(K4184*(1-T2GDiscount)*-1,2)," CREDIT after discount"),IF(T2GDiscount=0,"",IF(G4184=0,"",IF(F4184="Buy",CONCATENATE(" $",ROUND(K4184*(1-T2GDiscount),2)," with ",(T2GDiscount*100),"% discount"),CONCATENATE(" $",ROUND(K4184*(1-T2GDiscount),2)," with ",((T2GDiscount*100+F4184*100)-(T2GDiscount*100*F4184)),IF(F4184&gt;0,"% discounts",IF(NoWarrantyDiscount&gt;0,"% discounts","% discount")))))))))</f>
        <v/>
      </c>
      <c r="N4184" s="660"/>
      <c r="O4184" s="233"/>
      <c r="P4184" s="233"/>
      <c r="Q4184" s="233"/>
      <c r="R4184" s="233"/>
      <c r="S4184" s="233"/>
      <c r="T4184" s="508">
        <f t="shared" si="3213"/>
        <v>0</v>
      </c>
      <c r="U4184" s="225">
        <f>IF(NOT(ISNUMBER(G4184)), "", VLOOKUP(A4184,'Discount Lookup'!D:E,2,FALSE)*G4184)</f>
        <v>0</v>
      </c>
      <c r="V4184" s="225">
        <f>IF(NOT(ISNUMBER(G4184)), "", VLOOKUP(A4184,'Discount Lookup'!G:H,2,FALSE)*G4184)</f>
        <v>0</v>
      </c>
      <c r="W4184" s="508">
        <f t="shared" si="3214"/>
        <v>0</v>
      </c>
      <c r="X4184" s="508">
        <f t="shared" si="3215"/>
        <v>0</v>
      </c>
      <c r="Y4184" s="509" t="b">
        <f t="shared" si="3216"/>
        <v>0</v>
      </c>
      <c r="Z4184" s="510">
        <f t="shared" si="3217"/>
        <v>0</v>
      </c>
      <c r="AA4184" s="511"/>
      <c r="AB4184" s="511" t="str">
        <f t="shared" si="3218"/>
        <v/>
      </c>
      <c r="AC4184" s="698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698"/>
      <c r="AE4184" s="631" t="str">
        <f t="shared" si="3219"/>
        <v/>
      </c>
      <c r="AF4184" s="699" t="str">
        <f t="shared" si="3220"/>
        <v/>
      </c>
      <c r="AG4184" s="699"/>
      <c r="AH4184" s="699"/>
      <c r="AI4184" s="512">
        <f>IF(H4184="credit",0,IF(AE4184="free",0,IF(AE4184="me",0,IF(G4184&gt;0,(VLOOKUP(A4184,'Discount Lookup'!J:K,2)*G4184),0))))</f>
        <v>0</v>
      </c>
      <c r="AJ4184" s="513" t="str">
        <f t="shared" ca="1" si="3221"/>
        <v/>
      </c>
      <c r="AK4184" s="700" t="str">
        <f t="shared" si="3222"/>
        <v/>
      </c>
      <c r="AL4184" s="700"/>
      <c r="AM4184" s="505" t="str">
        <f t="shared" si="3223"/>
        <v/>
      </c>
      <c r="AN4184" s="506"/>
      <c r="AO4184" s="507"/>
      <c r="AP4184" s="507"/>
      <c r="AQ4184" s="507"/>
      <c r="AR4184" s="507"/>
      <c r="AS4184" s="507"/>
      <c r="AT4184" s="507"/>
      <c r="AU4184" s="507"/>
      <c r="AV4184" s="225"/>
      <c r="AW4184" s="508"/>
      <c r="AX4184" s="225"/>
      <c r="AY4184" s="225"/>
      <c r="AZ4184" s="225"/>
      <c r="BA4184" s="225"/>
      <c r="BB4184" s="225"/>
      <c r="BC4184" s="56"/>
      <c r="BD4184" s="56"/>
      <c r="BE4184" s="56"/>
      <c r="BF4184" s="107" t="str">
        <f t="shared" si="3224"/>
        <v>https://www.google.com/search?tbm=isch&amp;q=15%20G4</v>
      </c>
      <c r="BG4184" s="107" t="str">
        <f t="shared" si="3225"/>
        <v>Y</v>
      </c>
      <c r="BH4184" s="254"/>
      <c r="BI4184" s="254"/>
    </row>
    <row r="4185" spans="1:61" customFormat="1" ht="17.25" thickBot="1" x14ac:dyDescent="0.3">
      <c r="A4185" s="524" t="s">
        <v>2197</v>
      </c>
      <c r="B4185" s="245"/>
      <c r="C4185" s="677"/>
      <c r="D4185" s="499"/>
      <c r="E4185" s="499"/>
      <c r="F4185" s="500"/>
      <c r="G4185" s="501"/>
      <c r="H4185" s="502"/>
      <c r="I4185" s="246"/>
      <c r="J4185" s="247"/>
      <c r="K4185" s="503"/>
      <c r="L4185" s="544"/>
      <c r="M4185" s="544"/>
      <c r="N4185" s="500"/>
      <c r="O4185" s="500"/>
      <c r="P4185" s="500"/>
      <c r="Q4185" s="500"/>
      <c r="R4185" s="500"/>
      <c r="S4185" s="669" t="s">
        <v>4978</v>
      </c>
      <c r="T4185" s="508">
        <f t="shared" si="3213"/>
        <v>0</v>
      </c>
      <c r="U4185" s="225" t="str">
        <f>IF(NOT(ISNUMBER(G4185)), "", VLOOKUP(A4185,'Discount Lookup'!D:E,2,FALSE)*G4185)</f>
        <v/>
      </c>
      <c r="V4185" s="225" t="str">
        <f>IF(NOT(ISNUMBER(G4185)), "", VLOOKUP(A4185,'Discount Lookup'!G:H,2,FALSE)*G4185)</f>
        <v/>
      </c>
      <c r="W4185" s="508">
        <f t="shared" si="3214"/>
        <v>0</v>
      </c>
      <c r="X4185" s="508">
        <f t="shared" si="3215"/>
        <v>0</v>
      </c>
      <c r="Y4185" s="509" t="b">
        <f t="shared" si="3216"/>
        <v>0</v>
      </c>
      <c r="Z4185" s="510">
        <f t="shared" si="3217"/>
        <v>0</v>
      </c>
      <c r="AA4185" s="511"/>
      <c r="AB4185" s="511" t="str">
        <f t="shared" si="3218"/>
        <v/>
      </c>
      <c r="AC4185" s="698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698"/>
      <c r="AE4185" s="631" t="str">
        <f t="shared" si="3219"/>
        <v/>
      </c>
      <c r="AF4185" s="699" t="str">
        <f t="shared" si="3220"/>
        <v/>
      </c>
      <c r="AG4185" s="699"/>
      <c r="AH4185" s="699"/>
      <c r="AI4185" s="512">
        <f>IF(H4185="credit",0,IF(AE4185="free",0,IF(AE4185="me",0,IF(G4185&gt;0,(VLOOKUP(A4185,'Discount Lookup'!J:K,2)*G4185),0))))</f>
        <v>0</v>
      </c>
      <c r="AJ4185" s="513" t="str">
        <f t="shared" ca="1" si="3221"/>
        <v/>
      </c>
      <c r="AK4185" s="700" t="str">
        <f t="shared" si="3222"/>
        <v/>
      </c>
      <c r="AL4185" s="700"/>
      <c r="AM4185" s="505" t="str">
        <f t="shared" si="3223"/>
        <v/>
      </c>
      <c r="AN4185" s="506"/>
      <c r="AO4185" s="507"/>
      <c r="AP4185" s="507"/>
      <c r="AQ4185" s="507"/>
      <c r="AR4185" s="507"/>
      <c r="AS4185" s="507"/>
      <c r="AT4185" s="507"/>
      <c r="AU4185" s="507"/>
      <c r="AV4185" s="225"/>
      <c r="AW4185" s="508"/>
      <c r="AX4185" s="225"/>
      <c r="AY4185" s="225"/>
      <c r="AZ4185" s="225"/>
      <c r="BA4185" s="225"/>
      <c r="BB4185" s="225"/>
      <c r="BC4185" s="56"/>
      <c r="BD4185" s="56"/>
      <c r="BE4185" s="56"/>
      <c r="BF4185" s="107" t="str">
        <f t="shared" si="3224"/>
        <v>https://www.google.com/search?tbm=isch&amp;q=Yoshino%20bloom%20early%20spring.%20Nice%20winter%20structure.%20Washington%2C%20D.C.%20tree%20%28with%20%27Okame%27%29%20</v>
      </c>
      <c r="BG4185" s="107" t="str">
        <f t="shared" si="3225"/>
        <v>Y</v>
      </c>
      <c r="BH4185" s="254"/>
      <c r="BI4185" s="254"/>
    </row>
    <row r="4186" spans="1:61" customFormat="1" ht="18" x14ac:dyDescent="0.25">
      <c r="A4186" s="523" t="s">
        <v>4961</v>
      </c>
      <c r="B4186" s="235"/>
      <c r="C4186" s="676"/>
      <c r="D4186" s="255" t="s">
        <v>4371</v>
      </c>
      <c r="E4186" s="236"/>
      <c r="F4186" s="236"/>
      <c r="G4186" s="236"/>
      <c r="H4186" s="582" t="s">
        <v>2249</v>
      </c>
      <c r="I4186" s="498" t="s">
        <v>1645</v>
      </c>
      <c r="J4186" s="237"/>
      <c r="K4186" s="237"/>
      <c r="L4186" s="274"/>
      <c r="M4186" s="668" t="s">
        <v>4975</v>
      </c>
      <c r="N4186" s="681" t="str">
        <f>IF(AND(ISTEXT($A4186), ISERROR($A4186+0)), HYPERLINK($BF4186, "Images"), "")</f>
        <v>Images</v>
      </c>
      <c r="O4186" s="663" t="s">
        <v>4974</v>
      </c>
      <c r="P4186" s="253"/>
      <c r="Q4186" s="238"/>
      <c r="R4186" s="239"/>
      <c r="S4186" s="275"/>
      <c r="T4186" s="508">
        <f t="shared" si="3213"/>
        <v>0</v>
      </c>
      <c r="U4186" s="225" t="str">
        <f>IF(NOT(ISNUMBER(G4186)), "", VLOOKUP(A4186,'Discount Lookup'!D:E,2,FALSE)*G4186)</f>
        <v/>
      </c>
      <c r="V4186" s="225" t="str">
        <f>IF(NOT(ISNUMBER(G4186)), "", VLOOKUP(A4186,'Discount Lookup'!G:H,2,FALSE)*G4186)</f>
        <v/>
      </c>
      <c r="W4186" s="508">
        <f t="shared" si="3214"/>
        <v>0</v>
      </c>
      <c r="X4186" s="508" t="str">
        <f t="shared" si="3215"/>
        <v>Rosy Pink bloom</v>
      </c>
      <c r="Y4186" s="509" t="b">
        <f t="shared" si="3216"/>
        <v>0</v>
      </c>
      <c r="Z4186" s="510">
        <f t="shared" si="3217"/>
        <v>0</v>
      </c>
      <c r="AA4186" s="511"/>
      <c r="AB4186" s="511" t="str">
        <f t="shared" si="3218"/>
        <v/>
      </c>
      <c r="AC4186" s="698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698"/>
      <c r="AE4186" s="631" t="str">
        <f t="shared" si="3219"/>
        <v/>
      </c>
      <c r="AF4186" s="699" t="str">
        <f t="shared" si="3220"/>
        <v/>
      </c>
      <c r="AG4186" s="699"/>
      <c r="AH4186" s="699"/>
      <c r="AI4186" s="512">
        <f>IF(H4186="credit",0,IF(AE4186="free",0,IF(AE4186="me",0,IF(G4186&gt;0,(VLOOKUP(A4186,'Discount Lookup'!J:K,2)*G4186),0))))</f>
        <v>0</v>
      </c>
      <c r="AJ4186" s="513" t="str">
        <f t="shared" ca="1" si="3221"/>
        <v/>
      </c>
      <c r="AK4186" s="700" t="str">
        <f t="shared" si="3222"/>
        <v/>
      </c>
      <c r="AL4186" s="700"/>
      <c r="AM4186" s="505" t="str">
        <f t="shared" si="3223"/>
        <v/>
      </c>
      <c r="AN4186" s="506"/>
      <c r="AO4186" s="507"/>
      <c r="AP4186" s="507"/>
      <c r="AQ4186" s="507"/>
      <c r="AR4186" s="507"/>
      <c r="AS4186" s="507"/>
      <c r="AT4186" s="507"/>
      <c r="AU4186" s="507"/>
      <c r="AV4186" s="225"/>
      <c r="AW4186" s="508"/>
      <c r="AX4186" s="225"/>
      <c r="AY4186" s="225"/>
      <c r="AZ4186" s="225"/>
      <c r="BA4186" s="225"/>
      <c r="BB4186" s="225"/>
      <c r="BC4186" s="56"/>
      <c r="BD4186" s="56"/>
      <c r="BE4186" s="56"/>
      <c r="BF4186" s="107" t="str">
        <f t="shared" si="3224"/>
        <v>https://www.google.com/search?tbm=isch&amp;q=Yuh-Hwa%20Flowering%20Apricot%20Prunus%20mume%20%27Yuh-Hwa%27</v>
      </c>
      <c r="BG4186" s="107" t="str">
        <f t="shared" si="3225"/>
        <v>Y</v>
      </c>
      <c r="BH4186" s="254"/>
      <c r="BI4186" s="254"/>
    </row>
    <row r="4187" spans="1:61" customFormat="1" ht="15.75" x14ac:dyDescent="0.25">
      <c r="A4187" s="276">
        <v>10</v>
      </c>
      <c r="B4187" s="240" t="s">
        <v>291</v>
      </c>
      <c r="C4187" s="241" t="s">
        <v>4372</v>
      </c>
      <c r="D4187" s="242" t="s">
        <v>292</v>
      </c>
      <c r="E4187" s="243">
        <v>155.94999999999999</v>
      </c>
      <c r="F4187" s="517" t="s">
        <v>293</v>
      </c>
      <c r="G4187" s="232">
        <v>0</v>
      </c>
      <c r="H4187" s="661" t="str">
        <f>IF(G4187=0,"",IF(F4187="Buy",IF(G4187=1,"plant","plants"),IF(F4187&gt;0.01,"warranty","Error")))</f>
        <v/>
      </c>
      <c r="I4187" s="244">
        <f>IF(H4187="free",0,IF(H4187="credit",((E4187*(F4187))*G4187*-1),IF(F4187="Buy",(E4187*G4187),((E4187*(1-F4187))*G4187))))</f>
        <v>0</v>
      </c>
      <c r="J4187" s="244">
        <f>IF(H4187="warranty",0,(I4187*(_xlfn.SINGLE(SalesTaxPercentage))))</f>
        <v>0</v>
      </c>
      <c r="K4187" s="696">
        <f t="shared" ref="K4187" si="3232">I4187+J4187</f>
        <v>0</v>
      </c>
      <c r="L4187" s="696"/>
      <c r="M4187" s="659" t="str">
        <f>IF(AND(G4187&gt;0,E4187=0),"WARNING - no PRICE inserted",IF(H4187="free"," FREE ~ no charge this plant",IF(H4187="credit",CONCATENATE(" -$",ROUND(K4187*(1-T2GDiscount)*-1,2)," CREDIT after discount"),IF(T2GDiscount=0,"",IF(G4187=0,"",IF(F4187="Buy",CONCATENATE(" $",ROUND(K4187*(1-T2GDiscount),2)," with ",(T2GDiscount*100),"% discount"),CONCATENATE(" $",ROUND(K4187*(1-T2GDiscount),2)," with ",((T2GDiscount*100+F4187*100)-(T2GDiscount*100*F4187)),IF(F4187&gt;0,"% discounts",IF(NoWarrantyDiscount&gt;0,"% discounts","% discount")))))))))</f>
        <v/>
      </c>
      <c r="N4187" s="660"/>
      <c r="O4187" s="233"/>
      <c r="P4187" s="233"/>
      <c r="Q4187" s="233"/>
      <c r="R4187" s="233"/>
      <c r="S4187" s="233"/>
      <c r="T4187" s="508">
        <f t="shared" si="3213"/>
        <v>0</v>
      </c>
      <c r="U4187" s="225">
        <f>IF(NOT(ISNUMBER(G4187)), "", VLOOKUP(A4187,'Discount Lookup'!D:E,2,FALSE)*G4187)</f>
        <v>0</v>
      </c>
      <c r="V4187" s="225">
        <f>IF(NOT(ISNUMBER(G4187)), "", VLOOKUP(A4187,'Discount Lookup'!G:H,2,FALSE)*G4187)</f>
        <v>0</v>
      </c>
      <c r="W4187" s="508">
        <f t="shared" si="3214"/>
        <v>0</v>
      </c>
      <c r="X4187" s="508">
        <f t="shared" si="3215"/>
        <v>0</v>
      </c>
      <c r="Y4187" s="509" t="b">
        <f t="shared" si="3216"/>
        <v>0</v>
      </c>
      <c r="Z4187" s="510">
        <f t="shared" si="3217"/>
        <v>0</v>
      </c>
      <c r="AA4187" s="511"/>
      <c r="AB4187" s="511" t="str">
        <f t="shared" si="3218"/>
        <v/>
      </c>
      <c r="AC4187" s="698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698"/>
      <c r="AE4187" s="631" t="str">
        <f t="shared" si="3219"/>
        <v/>
      </c>
      <c r="AF4187" s="699" t="str">
        <f t="shared" si="3220"/>
        <v/>
      </c>
      <c r="AG4187" s="699"/>
      <c r="AH4187" s="699"/>
      <c r="AI4187" s="512">
        <f>IF(H4187="credit",0,IF(AE4187="free",0,IF(AE4187="me",0,IF(G4187&gt;0,(VLOOKUP(A4187,'Discount Lookup'!J:K,2)*G4187),0))))</f>
        <v>0</v>
      </c>
      <c r="AJ4187" s="513" t="str">
        <f t="shared" ca="1" si="3221"/>
        <v/>
      </c>
      <c r="AK4187" s="700" t="str">
        <f t="shared" si="3222"/>
        <v/>
      </c>
      <c r="AL4187" s="700"/>
      <c r="AM4187" s="505" t="str">
        <f t="shared" si="3223"/>
        <v/>
      </c>
      <c r="AN4187" s="506"/>
      <c r="AO4187" s="507"/>
      <c r="AP4187" s="507"/>
      <c r="AQ4187" s="507"/>
      <c r="AR4187" s="507"/>
      <c r="AS4187" s="507"/>
      <c r="AT4187" s="507"/>
      <c r="AU4187" s="507"/>
      <c r="AV4187" s="225"/>
      <c r="AW4187" s="508"/>
      <c r="AX4187" s="225"/>
      <c r="AY4187" s="225"/>
      <c r="AZ4187" s="225"/>
      <c r="BA4187" s="225"/>
      <c r="BB4187" s="225"/>
      <c r="BC4187" s="56"/>
      <c r="BD4187" s="56"/>
      <c r="BE4187" s="56"/>
      <c r="BF4187" s="107" t="str">
        <f t="shared" si="3224"/>
        <v>https://www.google.com/search?tbm=isch&amp;q=10%20G4</v>
      </c>
      <c r="BG4187" s="107" t="str">
        <f t="shared" si="3225"/>
        <v>Y</v>
      </c>
      <c r="BH4187" s="254"/>
      <c r="BI4187" s="254"/>
    </row>
    <row r="4188" spans="1:61" customFormat="1" ht="17.25" thickBot="1" x14ac:dyDescent="0.3">
      <c r="A4188" s="524" t="s">
        <v>4373</v>
      </c>
      <c r="B4188" s="245"/>
      <c r="C4188" s="677"/>
      <c r="D4188" s="499"/>
      <c r="E4188" s="499"/>
      <c r="F4188" s="500"/>
      <c r="G4188" s="501"/>
      <c r="H4188" s="502"/>
      <c r="I4188" s="246"/>
      <c r="J4188" s="247"/>
      <c r="K4188" s="503"/>
      <c r="L4188" s="544"/>
      <c r="M4188" s="544"/>
      <c r="N4188" s="500"/>
      <c r="O4188" s="500"/>
      <c r="P4188" s="500"/>
      <c r="Q4188" s="500"/>
      <c r="R4188" s="500"/>
      <c r="S4188" s="278"/>
      <c r="T4188" s="508">
        <f t="shared" si="3213"/>
        <v>0</v>
      </c>
      <c r="U4188" s="225" t="str">
        <f>IF(NOT(ISNUMBER(G4188)), "", VLOOKUP(A4188,'Discount Lookup'!D:E,2,FALSE)*G4188)</f>
        <v/>
      </c>
      <c r="V4188" s="225" t="str">
        <f>IF(NOT(ISNUMBER(G4188)), "", VLOOKUP(A4188,'Discount Lookup'!G:H,2,FALSE)*G4188)</f>
        <v/>
      </c>
      <c r="W4188" s="508">
        <f t="shared" si="3214"/>
        <v>0</v>
      </c>
      <c r="X4188" s="508">
        <f t="shared" si="3215"/>
        <v>0</v>
      </c>
      <c r="Y4188" s="509" t="b">
        <f t="shared" si="3216"/>
        <v>0</v>
      </c>
      <c r="Z4188" s="510">
        <f t="shared" si="3217"/>
        <v>0</v>
      </c>
      <c r="AA4188" s="511"/>
      <c r="AB4188" s="511" t="str">
        <f t="shared" si="3218"/>
        <v/>
      </c>
      <c r="AC4188" s="698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698"/>
      <c r="AE4188" s="631" t="str">
        <f t="shared" si="3219"/>
        <v/>
      </c>
      <c r="AF4188" s="699" t="str">
        <f t="shared" si="3220"/>
        <v/>
      </c>
      <c r="AG4188" s="699"/>
      <c r="AH4188" s="699"/>
      <c r="AI4188" s="512">
        <f>IF(H4188="credit",0,IF(AE4188="free",0,IF(AE4188="me",0,IF(G4188&gt;0,(VLOOKUP(A4188,'Discount Lookup'!J:K,2)*G4188),0))))</f>
        <v>0</v>
      </c>
      <c r="AJ4188" s="513" t="str">
        <f t="shared" ca="1" si="3221"/>
        <v/>
      </c>
      <c r="AK4188" s="700" t="str">
        <f t="shared" si="3222"/>
        <v/>
      </c>
      <c r="AL4188" s="700"/>
      <c r="AM4188" s="505" t="str">
        <f t="shared" si="3223"/>
        <v/>
      </c>
      <c r="AN4188" s="506"/>
      <c r="AO4188" s="507"/>
      <c r="AP4188" s="507"/>
      <c r="AQ4188" s="507"/>
      <c r="AR4188" s="507"/>
      <c r="AS4188" s="507"/>
      <c r="AT4188" s="507"/>
      <c r="AU4188" s="507"/>
      <c r="AV4188" s="225"/>
      <c r="AW4188" s="508"/>
      <c r="AX4188" s="225"/>
      <c r="AY4188" s="225"/>
      <c r="AZ4188" s="225"/>
      <c r="BA4188" s="225"/>
      <c r="BB4188" s="225"/>
      <c r="BC4188" s="56"/>
      <c r="BD4188" s="56"/>
      <c r="BE4188" s="56"/>
      <c r="BF4188" s="107" t="str">
        <f t="shared" si="3224"/>
        <v>https://www.google.com/search?tbm=isch&amp;q=Yuh-Hwa%20brings%20rich%20fragrance%20and%20Rosy%20double%20blossoms%20on%20bare%20branches%20in%20late%20winter%20</v>
      </c>
      <c r="BG4188" s="107" t="str">
        <f t="shared" si="3225"/>
        <v>Y</v>
      </c>
      <c r="BH4188" s="254"/>
      <c r="BI4188" s="254"/>
    </row>
    <row r="4189" spans="1:61" customFormat="1" ht="18" x14ac:dyDescent="0.25">
      <c r="A4189" s="521" t="s">
        <v>2080</v>
      </c>
      <c r="B4189" s="477"/>
      <c r="C4189" s="674"/>
      <c r="D4189" s="478" t="s">
        <v>2081</v>
      </c>
      <c r="E4189" s="479"/>
      <c r="F4189" s="479"/>
      <c r="G4189" s="479"/>
      <c r="H4189" s="582" t="s">
        <v>463</v>
      </c>
      <c r="I4189" s="480" t="s">
        <v>2554</v>
      </c>
      <c r="J4189" s="479"/>
      <c r="K4189" s="479"/>
      <c r="L4189" s="560"/>
      <c r="M4189" s="671" t="s">
        <v>4990</v>
      </c>
      <c r="N4189" s="680" t="str">
        <f>IF(AND(ISTEXT($A4189), ISERROR($A4189+0)), HYPERLINK($BF4189, "Images"), "")</f>
        <v>Images</v>
      </c>
      <c r="O4189" s="662" t="s">
        <v>4967</v>
      </c>
      <c r="P4189" s="482"/>
      <c r="Q4189" s="483"/>
      <c r="R4189" s="483"/>
      <c r="S4189" s="484"/>
      <c r="T4189" s="508">
        <f t="shared" si="3213"/>
        <v>0</v>
      </c>
      <c r="U4189" s="225" t="str">
        <f>IF(NOT(ISNUMBER(G4189)), "", VLOOKUP(A4189,'Discount Lookup'!D:E,2,FALSE)*G4189)</f>
        <v/>
      </c>
      <c r="V4189" s="225" t="str">
        <f>IF(NOT(ISNUMBER(G4189)), "", VLOOKUP(A4189,'Discount Lookup'!G:H,2,FALSE)*G4189)</f>
        <v/>
      </c>
      <c r="W4189" s="508">
        <f t="shared" si="3214"/>
        <v>0</v>
      </c>
      <c r="X4189" s="508" t="str">
        <f t="shared" si="3215"/>
        <v>Red bloom, Yellow stamen</v>
      </c>
      <c r="Y4189" s="509" t="b">
        <f t="shared" si="3216"/>
        <v>0</v>
      </c>
      <c r="Z4189" s="510">
        <f t="shared" si="3217"/>
        <v>0</v>
      </c>
      <c r="AA4189" s="511"/>
      <c r="AB4189" s="511" t="str">
        <f t="shared" si="3218"/>
        <v/>
      </c>
      <c r="AC4189" s="698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698"/>
      <c r="AE4189" s="631" t="str">
        <f t="shared" si="3219"/>
        <v/>
      </c>
      <c r="AF4189" s="699" t="str">
        <f t="shared" si="3220"/>
        <v/>
      </c>
      <c r="AG4189" s="699"/>
      <c r="AH4189" s="699"/>
      <c r="AI4189" s="512">
        <f>IF(H4189="credit",0,IF(AE4189="free",0,IF(AE4189="me",0,IF(G4189&gt;0,(VLOOKUP(A4189,'Discount Lookup'!J:K,2)*G4189),0))))</f>
        <v>0</v>
      </c>
      <c r="AJ4189" s="513" t="str">
        <f t="shared" ca="1" si="3221"/>
        <v/>
      </c>
      <c r="AK4189" s="700" t="str">
        <f t="shared" si="3222"/>
        <v/>
      </c>
      <c r="AL4189" s="700"/>
      <c r="AM4189" s="505" t="str">
        <f t="shared" si="3223"/>
        <v/>
      </c>
      <c r="AN4189" s="506"/>
      <c r="AO4189" s="507"/>
      <c r="AP4189" s="507"/>
      <c r="AQ4189" s="507"/>
      <c r="AR4189" s="507"/>
      <c r="AS4189" s="507"/>
      <c r="AT4189" s="507"/>
      <c r="AU4189" s="507"/>
      <c r="AV4189" s="225"/>
      <c r="AW4189" s="508"/>
      <c r="AX4189" s="225"/>
      <c r="AY4189" s="225"/>
      <c r="AZ4189" s="225"/>
      <c r="BA4189" s="225"/>
      <c r="BB4189" s="225"/>
      <c r="BC4189" s="56"/>
      <c r="BD4189" s="56"/>
      <c r="BE4189" s="56"/>
      <c r="BF4189" s="107" t="str">
        <f t="shared" si="3224"/>
        <v>https://www.google.com/search?tbm=isch&amp;q=Yuletide%20Camellia%20Camellia%20sasanqua%20%27Yuletide%27</v>
      </c>
      <c r="BG4189" s="107" t="str">
        <f t="shared" si="3225"/>
        <v>Y</v>
      </c>
      <c r="BH4189" s="254"/>
      <c r="BI4189" s="254"/>
    </row>
    <row r="4190" spans="1:61" customFormat="1" ht="15.75" x14ac:dyDescent="0.25">
      <c r="A4190" s="485">
        <v>3</v>
      </c>
      <c r="B4190" s="486" t="s">
        <v>291</v>
      </c>
      <c r="C4190" s="487" t="s">
        <v>341</v>
      </c>
      <c r="D4190" s="488" t="s">
        <v>312</v>
      </c>
      <c r="E4190" s="489">
        <v>34.950000000000003</v>
      </c>
      <c r="F4190" s="516" t="s">
        <v>293</v>
      </c>
      <c r="G4190" s="232">
        <v>0</v>
      </c>
      <c r="H4190" s="658" t="str">
        <f t="shared" ref="H4190:H4198" si="3233">IF(G4190=0,"",IF(F4190="Buy",IF(G4190=1,"plant","plants"),IF(F4190&gt;0.01,"warranty","Error")))</f>
        <v/>
      </c>
      <c r="I4190" s="490">
        <f t="shared" ref="I4190:I4198" si="3234">IF(H4190="free",0,IF(H4190="credit",((E4190*(F4190))*G4190*-1),IF(F4190="Buy",(E4190*G4190),((E4190*(1-F4190))*G4190))))</f>
        <v>0</v>
      </c>
      <c r="J4190" s="490">
        <f t="shared" ref="J4190:J4198" si="3235">IF(H4190="warranty",0,(I4190*(_xlfn.SINGLE(SalesTaxPercentage))))</f>
        <v>0</v>
      </c>
      <c r="K4190" s="695">
        <f t="shared" ref="K4190" si="3236">I4190+J4190</f>
        <v>0</v>
      </c>
      <c r="L4190" s="695"/>
      <c r="M4190" s="659" t="str">
        <f t="shared" ref="M4190:M4198" si="3237">IF(AND(G4190&gt;0,E4190=0),"WARNING - no PRICE inserted",IF(H4190="free"," FREE ~ no charge this plant",IF(H4190="credit",CONCATENATE(" -$",ROUND(K4190*(1-T2GDiscount)*-1,2)," CREDIT after discount"),IF(T2GDiscount=0,"",IF(G4190=0,"",IF(F4190="Buy",CONCATENATE(" $",ROUND(K4190*(1-T2GDiscount),2)," with ",(T2GDiscount*100),"% discount"),CONCATENATE(" $",ROUND(K4190*(1-T2GDiscount),2)," with ",((T2GDiscount*100+F4190*100)-(T2GDiscount*100*F4190)),IF(F4190&gt;0,"% discounts",IF(NoWarrantyDiscount&gt;0,"% discounts","% discount")))))))))</f>
        <v/>
      </c>
      <c r="N4190" s="660"/>
      <c r="O4190" s="233"/>
      <c r="P4190" s="233"/>
      <c r="Q4190" s="233"/>
      <c r="R4190" s="233"/>
      <c r="S4190" s="233"/>
      <c r="T4190" s="508">
        <f t="shared" si="3213"/>
        <v>0</v>
      </c>
      <c r="U4190" s="225">
        <f>IF(NOT(ISNUMBER(G4190)), "", VLOOKUP(A4190,'Discount Lookup'!D:E,2,FALSE)*G4190)</f>
        <v>0</v>
      </c>
      <c r="V4190" s="225">
        <f>IF(NOT(ISNUMBER(G4190)), "", VLOOKUP(A4190,'Discount Lookup'!G:H,2,FALSE)*G4190)</f>
        <v>0</v>
      </c>
      <c r="W4190" s="508">
        <f t="shared" si="3214"/>
        <v>0</v>
      </c>
      <c r="X4190" s="508">
        <f t="shared" si="3215"/>
        <v>0</v>
      </c>
      <c r="Y4190" s="509" t="b">
        <f t="shared" si="3216"/>
        <v>0</v>
      </c>
      <c r="Z4190" s="510">
        <f t="shared" si="3217"/>
        <v>0</v>
      </c>
      <c r="AA4190" s="511"/>
      <c r="AB4190" s="511" t="str">
        <f t="shared" si="3218"/>
        <v/>
      </c>
      <c r="AC4190" s="698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698"/>
      <c r="AE4190" s="631" t="str">
        <f t="shared" si="3219"/>
        <v/>
      </c>
      <c r="AF4190" s="699" t="str">
        <f t="shared" si="3220"/>
        <v/>
      </c>
      <c r="AG4190" s="699"/>
      <c r="AH4190" s="699"/>
      <c r="AI4190" s="512">
        <f>IF(H4190="credit",0,IF(AE4190="free",0,IF(AE4190="me",0,IF(G4190&gt;0,(VLOOKUP(A4190,'Discount Lookup'!J:K,2)*G4190),0))))</f>
        <v>0</v>
      </c>
      <c r="AJ4190" s="513" t="str">
        <f t="shared" ca="1" si="3221"/>
        <v/>
      </c>
      <c r="AK4190" s="700" t="str">
        <f t="shared" si="3222"/>
        <v/>
      </c>
      <c r="AL4190" s="700"/>
      <c r="AM4190" s="505" t="str">
        <f t="shared" si="3223"/>
        <v/>
      </c>
      <c r="AN4190" s="506"/>
      <c r="AO4190" s="507"/>
      <c r="AP4190" s="507"/>
      <c r="AQ4190" s="507"/>
      <c r="AR4190" s="507"/>
      <c r="AS4190" s="507"/>
      <c r="AT4190" s="507"/>
      <c r="AU4190" s="507"/>
      <c r="AV4190" s="225"/>
      <c r="AW4190" s="508"/>
      <c r="AX4190" s="225"/>
      <c r="AY4190" s="225"/>
      <c r="AZ4190" s="225"/>
      <c r="BA4190" s="225"/>
      <c r="BB4190" s="225"/>
      <c r="BC4190" s="56"/>
      <c r="BD4190" s="56"/>
      <c r="BE4190" s="56"/>
      <c r="BF4190" s="107" t="str">
        <f t="shared" si="3224"/>
        <v>https://www.google.com/search?tbm=isch&amp;q=3%20G2</v>
      </c>
      <c r="BG4190" s="107" t="str">
        <f t="shared" si="3225"/>
        <v>Y</v>
      </c>
      <c r="BH4190" s="254"/>
      <c r="BI4190" s="254"/>
    </row>
    <row r="4191" spans="1:61" customFormat="1" ht="15.75" x14ac:dyDescent="0.25">
      <c r="A4191" s="485">
        <v>7</v>
      </c>
      <c r="B4191" s="486" t="s">
        <v>291</v>
      </c>
      <c r="C4191" s="487" t="s">
        <v>4579</v>
      </c>
      <c r="D4191" s="488" t="s">
        <v>297</v>
      </c>
      <c r="E4191" s="489">
        <v>83.95</v>
      </c>
      <c r="F4191" s="516" t="s">
        <v>293</v>
      </c>
      <c r="G4191" s="232">
        <v>0</v>
      </c>
      <c r="H4191" s="658" t="str">
        <f t="shared" si="3233"/>
        <v/>
      </c>
      <c r="I4191" s="490">
        <f t="shared" si="3234"/>
        <v>0</v>
      </c>
      <c r="J4191" s="490">
        <f t="shared" si="3235"/>
        <v>0</v>
      </c>
      <c r="K4191" s="695">
        <f t="shared" ref="K4191" si="3238">I4191+J4191</f>
        <v>0</v>
      </c>
      <c r="L4191" s="695"/>
      <c r="M4191" s="659" t="str">
        <f t="shared" si="3237"/>
        <v/>
      </c>
      <c r="N4191" s="660"/>
      <c r="O4191" s="233"/>
      <c r="P4191" s="233"/>
      <c r="Q4191" s="233"/>
      <c r="R4191" s="233"/>
      <c r="S4191" s="233"/>
      <c r="T4191" s="508">
        <f t="shared" si="3213"/>
        <v>0</v>
      </c>
      <c r="U4191" s="225">
        <f>IF(NOT(ISNUMBER(G4191)), "", VLOOKUP(A4191,'Discount Lookup'!D:E,2,FALSE)*G4191)</f>
        <v>0</v>
      </c>
      <c r="V4191" s="225">
        <f>IF(NOT(ISNUMBER(G4191)), "", VLOOKUP(A4191,'Discount Lookup'!G:H,2,FALSE)*G4191)</f>
        <v>0</v>
      </c>
      <c r="W4191" s="508">
        <f t="shared" si="3214"/>
        <v>0</v>
      </c>
      <c r="X4191" s="508">
        <f t="shared" si="3215"/>
        <v>0</v>
      </c>
      <c r="Y4191" s="509" t="b">
        <f t="shared" si="3216"/>
        <v>0</v>
      </c>
      <c r="Z4191" s="510">
        <f t="shared" si="3217"/>
        <v>0</v>
      </c>
      <c r="AA4191" s="511"/>
      <c r="AB4191" s="511" t="str">
        <f t="shared" si="3218"/>
        <v/>
      </c>
      <c r="AC4191" s="698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698"/>
      <c r="AE4191" s="631" t="str">
        <f t="shared" si="3219"/>
        <v/>
      </c>
      <c r="AF4191" s="699" t="str">
        <f t="shared" si="3220"/>
        <v/>
      </c>
      <c r="AG4191" s="699"/>
      <c r="AH4191" s="699"/>
      <c r="AI4191" s="512">
        <f>IF(H4191="credit",0,IF(AE4191="free",0,IF(AE4191="me",0,IF(G4191&gt;0,(VLOOKUP(A4191,'Discount Lookup'!J:K,2)*G4191),0))))</f>
        <v>0</v>
      </c>
      <c r="AJ4191" s="513" t="str">
        <f t="shared" ca="1" si="3221"/>
        <v/>
      </c>
      <c r="AK4191" s="700" t="str">
        <f t="shared" si="3222"/>
        <v/>
      </c>
      <c r="AL4191" s="700"/>
      <c r="AM4191" s="505" t="str">
        <f t="shared" si="3223"/>
        <v/>
      </c>
      <c r="AN4191" s="506"/>
      <c r="AO4191" s="507"/>
      <c r="AP4191" s="507"/>
      <c r="AQ4191" s="507"/>
      <c r="AR4191" s="507"/>
      <c r="AS4191" s="507"/>
      <c r="AT4191" s="507"/>
      <c r="AU4191" s="507"/>
      <c r="AV4191" s="225"/>
      <c r="AW4191" s="508"/>
      <c r="AX4191" s="225"/>
      <c r="AY4191" s="225"/>
      <c r="AZ4191" s="225"/>
      <c r="BA4191" s="225"/>
      <c r="BB4191" s="225"/>
      <c r="BC4191" s="56"/>
      <c r="BD4191" s="56"/>
      <c r="BE4191" s="56"/>
      <c r="BF4191" s="107" t="str">
        <f t="shared" si="3224"/>
        <v>https://www.google.com/search?tbm=isch&amp;q=7%20G3</v>
      </c>
      <c r="BG4191" s="107" t="str">
        <f t="shared" si="3225"/>
        <v>Y</v>
      </c>
      <c r="BH4191" s="254"/>
      <c r="BI4191" s="254"/>
    </row>
    <row r="4192" spans="1:61" customFormat="1" ht="15.75" x14ac:dyDescent="0.25">
      <c r="A4192" s="485">
        <v>7</v>
      </c>
      <c r="B4192" s="486" t="s">
        <v>291</v>
      </c>
      <c r="C4192" s="487" t="s">
        <v>4037</v>
      </c>
      <c r="D4192" s="488" t="s">
        <v>299</v>
      </c>
      <c r="E4192" s="489">
        <v>102.95</v>
      </c>
      <c r="F4192" s="516" t="s">
        <v>293</v>
      </c>
      <c r="G4192" s="232">
        <v>0</v>
      </c>
      <c r="H4192" s="658" t="str">
        <f t="shared" si="3233"/>
        <v/>
      </c>
      <c r="I4192" s="490">
        <f t="shared" si="3234"/>
        <v>0</v>
      </c>
      <c r="J4192" s="490">
        <f t="shared" si="3235"/>
        <v>0</v>
      </c>
      <c r="K4192" s="695">
        <f t="shared" ref="K4192" si="3239">I4192+J4192</f>
        <v>0</v>
      </c>
      <c r="L4192" s="695"/>
      <c r="M4192" s="659" t="str">
        <f t="shared" si="3237"/>
        <v/>
      </c>
      <c r="N4192" s="660"/>
      <c r="O4192" s="233"/>
      <c r="P4192" s="233"/>
      <c r="Q4192" s="233"/>
      <c r="R4192" s="233"/>
      <c r="S4192" s="233"/>
      <c r="T4192" s="508">
        <f t="shared" si="3213"/>
        <v>0</v>
      </c>
      <c r="U4192" s="225">
        <f>IF(NOT(ISNUMBER(G4192)), "", VLOOKUP(A4192,'Discount Lookup'!D:E,2,FALSE)*G4192)</f>
        <v>0</v>
      </c>
      <c r="V4192" s="225">
        <f>IF(NOT(ISNUMBER(G4192)), "", VLOOKUP(A4192,'Discount Lookup'!G:H,2,FALSE)*G4192)</f>
        <v>0</v>
      </c>
      <c r="W4192" s="508">
        <f t="shared" si="3214"/>
        <v>0</v>
      </c>
      <c r="X4192" s="508">
        <f t="shared" si="3215"/>
        <v>0</v>
      </c>
      <c r="Y4192" s="509" t="b">
        <f t="shared" si="3216"/>
        <v>0</v>
      </c>
      <c r="Z4192" s="510">
        <f t="shared" si="3217"/>
        <v>0</v>
      </c>
      <c r="AA4192" s="511"/>
      <c r="AB4192" s="511" t="str">
        <f t="shared" si="3218"/>
        <v/>
      </c>
      <c r="AC4192" s="698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698"/>
      <c r="AE4192" s="631" t="str">
        <f t="shared" si="3219"/>
        <v/>
      </c>
      <c r="AF4192" s="699" t="str">
        <f t="shared" si="3220"/>
        <v/>
      </c>
      <c r="AG4192" s="699"/>
      <c r="AH4192" s="699"/>
      <c r="AI4192" s="512">
        <f>IF(H4192="credit",0,IF(AE4192="free",0,IF(AE4192="me",0,IF(G4192&gt;0,(VLOOKUP(A4192,'Discount Lookup'!J:K,2)*G4192),0))))</f>
        <v>0</v>
      </c>
      <c r="AJ4192" s="513" t="str">
        <f t="shared" ca="1" si="3221"/>
        <v/>
      </c>
      <c r="AK4192" s="700" t="str">
        <f t="shared" si="3222"/>
        <v/>
      </c>
      <c r="AL4192" s="700"/>
      <c r="AM4192" s="505" t="str">
        <f t="shared" si="3223"/>
        <v/>
      </c>
      <c r="AN4192" s="506"/>
      <c r="AO4192" s="507"/>
      <c r="AP4192" s="507"/>
      <c r="AQ4192" s="507"/>
      <c r="AR4192" s="507"/>
      <c r="AS4192" s="507"/>
      <c r="AT4192" s="507"/>
      <c r="AU4192" s="507"/>
      <c r="AV4192" s="225"/>
      <c r="AW4192" s="508"/>
      <c r="AX4192" s="225"/>
      <c r="AY4192" s="225"/>
      <c r="AZ4192" s="225"/>
      <c r="BA4192" s="225"/>
      <c r="BB4192" s="225"/>
      <c r="BC4192" s="56"/>
      <c r="BD4192" s="56"/>
      <c r="BE4192" s="56"/>
      <c r="BF4192" s="107" t="str">
        <f t="shared" si="3224"/>
        <v>https://www.google.com/search?tbm=isch&amp;q=7%20G5</v>
      </c>
      <c r="BG4192" s="107" t="str">
        <f t="shared" si="3225"/>
        <v>Y</v>
      </c>
      <c r="BH4192" s="254"/>
      <c r="BI4192" s="254"/>
    </row>
    <row r="4193" spans="1:61" customFormat="1" ht="15.75" x14ac:dyDescent="0.25">
      <c r="A4193" s="485">
        <v>7</v>
      </c>
      <c r="B4193" s="486" t="s">
        <v>291</v>
      </c>
      <c r="C4193" s="487" t="s">
        <v>4462</v>
      </c>
      <c r="D4193" s="488" t="s">
        <v>292</v>
      </c>
      <c r="E4193" s="489">
        <v>104.95</v>
      </c>
      <c r="F4193" s="516" t="s">
        <v>293</v>
      </c>
      <c r="G4193" s="232">
        <v>0</v>
      </c>
      <c r="H4193" s="658" t="str">
        <f t="shared" si="3233"/>
        <v/>
      </c>
      <c r="I4193" s="490">
        <f t="shared" si="3234"/>
        <v>0</v>
      </c>
      <c r="J4193" s="490">
        <f t="shared" si="3235"/>
        <v>0</v>
      </c>
      <c r="K4193" s="695">
        <f t="shared" ref="K4193" si="3240">I4193+J4193</f>
        <v>0</v>
      </c>
      <c r="L4193" s="695"/>
      <c r="M4193" s="659" t="str">
        <f t="shared" si="3237"/>
        <v/>
      </c>
      <c r="N4193" s="660"/>
      <c r="O4193" s="233"/>
      <c r="P4193" s="233"/>
      <c r="Q4193" s="233"/>
      <c r="R4193" s="233"/>
      <c r="S4193" s="233"/>
      <c r="T4193" s="508">
        <f t="shared" si="3213"/>
        <v>0</v>
      </c>
      <c r="U4193" s="225">
        <f>IF(NOT(ISNUMBER(G4193)), "", VLOOKUP(A4193,'Discount Lookup'!D:E,2,FALSE)*G4193)</f>
        <v>0</v>
      </c>
      <c r="V4193" s="225">
        <f>IF(NOT(ISNUMBER(G4193)), "", VLOOKUP(A4193,'Discount Lookup'!G:H,2,FALSE)*G4193)</f>
        <v>0</v>
      </c>
      <c r="W4193" s="508">
        <f t="shared" si="3214"/>
        <v>0</v>
      </c>
      <c r="X4193" s="508">
        <f t="shared" si="3215"/>
        <v>0</v>
      </c>
      <c r="Y4193" s="509" t="b">
        <f t="shared" si="3216"/>
        <v>0</v>
      </c>
      <c r="Z4193" s="510">
        <f t="shared" si="3217"/>
        <v>0</v>
      </c>
      <c r="AA4193" s="511"/>
      <c r="AB4193" s="511" t="str">
        <f t="shared" si="3218"/>
        <v/>
      </c>
      <c r="AC4193" s="698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698"/>
      <c r="AE4193" s="631" t="str">
        <f t="shared" si="3219"/>
        <v/>
      </c>
      <c r="AF4193" s="699" t="str">
        <f t="shared" si="3220"/>
        <v/>
      </c>
      <c r="AG4193" s="699"/>
      <c r="AH4193" s="699"/>
      <c r="AI4193" s="512">
        <f>IF(H4193="credit",0,IF(AE4193="free",0,IF(AE4193="me",0,IF(G4193&gt;0,(VLOOKUP(A4193,'Discount Lookup'!J:K,2)*G4193),0))))</f>
        <v>0</v>
      </c>
      <c r="AJ4193" s="513" t="str">
        <f t="shared" ca="1" si="3221"/>
        <v/>
      </c>
      <c r="AK4193" s="700" t="str">
        <f t="shared" si="3222"/>
        <v/>
      </c>
      <c r="AL4193" s="700"/>
      <c r="AM4193" s="505" t="str">
        <f t="shared" si="3223"/>
        <v/>
      </c>
      <c r="AN4193" s="506"/>
      <c r="AO4193" s="507"/>
      <c r="AP4193" s="507"/>
      <c r="AQ4193" s="507"/>
      <c r="AR4193" s="507"/>
      <c r="AS4193" s="507"/>
      <c r="AT4193" s="507"/>
      <c r="AU4193" s="507"/>
      <c r="AV4193" s="225"/>
      <c r="AW4193" s="508"/>
      <c r="AX4193" s="225"/>
      <c r="AY4193" s="225"/>
      <c r="AZ4193" s="225"/>
      <c r="BA4193" s="225"/>
      <c r="BB4193" s="225"/>
      <c r="BC4193" s="56"/>
      <c r="BD4193" s="56"/>
      <c r="BE4193" s="56"/>
      <c r="BF4193" s="107" t="str">
        <f t="shared" si="3224"/>
        <v>https://www.google.com/search?tbm=isch&amp;q=7%20G4</v>
      </c>
      <c r="BG4193" s="107" t="str">
        <f t="shared" si="3225"/>
        <v>Y</v>
      </c>
      <c r="BH4193" s="254"/>
      <c r="BI4193" s="254"/>
    </row>
    <row r="4194" spans="1:61" customFormat="1" ht="15.75" x14ac:dyDescent="0.25">
      <c r="A4194" s="485">
        <v>7</v>
      </c>
      <c r="B4194" s="486" t="s">
        <v>291</v>
      </c>
      <c r="C4194" s="487" t="s">
        <v>2082</v>
      </c>
      <c r="D4194" s="488" t="s">
        <v>300</v>
      </c>
      <c r="E4194" s="489">
        <v>111.95</v>
      </c>
      <c r="F4194" s="516" t="s">
        <v>293</v>
      </c>
      <c r="G4194" s="232">
        <v>0</v>
      </c>
      <c r="H4194" s="658" t="str">
        <f t="shared" si="3233"/>
        <v/>
      </c>
      <c r="I4194" s="490">
        <f t="shared" si="3234"/>
        <v>0</v>
      </c>
      <c r="J4194" s="490">
        <f t="shared" si="3235"/>
        <v>0</v>
      </c>
      <c r="K4194" s="695">
        <f t="shared" ref="K4194" si="3241">I4194+J4194</f>
        <v>0</v>
      </c>
      <c r="L4194" s="695"/>
      <c r="M4194" s="659" t="str">
        <f t="shared" si="3237"/>
        <v/>
      </c>
      <c r="N4194" s="660"/>
      <c r="O4194" s="233"/>
      <c r="P4194" s="233"/>
      <c r="Q4194" s="233"/>
      <c r="R4194" s="233"/>
      <c r="S4194" s="233"/>
      <c r="T4194" s="508">
        <f t="shared" si="3213"/>
        <v>0</v>
      </c>
      <c r="U4194" s="225">
        <f>IF(NOT(ISNUMBER(G4194)), "", VLOOKUP(A4194,'Discount Lookup'!D:E,2,FALSE)*G4194)</f>
        <v>0</v>
      </c>
      <c r="V4194" s="225">
        <f>IF(NOT(ISNUMBER(G4194)), "", VLOOKUP(A4194,'Discount Lookup'!G:H,2,FALSE)*G4194)</f>
        <v>0</v>
      </c>
      <c r="W4194" s="508">
        <f t="shared" si="3214"/>
        <v>0</v>
      </c>
      <c r="X4194" s="508">
        <f t="shared" si="3215"/>
        <v>0</v>
      </c>
      <c r="Y4194" s="509" t="b">
        <f t="shared" si="3216"/>
        <v>0</v>
      </c>
      <c r="Z4194" s="510">
        <f t="shared" si="3217"/>
        <v>0</v>
      </c>
      <c r="AA4194" s="511"/>
      <c r="AB4194" s="511" t="str">
        <f t="shared" si="3218"/>
        <v/>
      </c>
      <c r="AC4194" s="698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698"/>
      <c r="AE4194" s="631" t="str">
        <f t="shared" si="3219"/>
        <v/>
      </c>
      <c r="AF4194" s="699" t="str">
        <f t="shared" si="3220"/>
        <v/>
      </c>
      <c r="AG4194" s="699"/>
      <c r="AH4194" s="699"/>
      <c r="AI4194" s="512">
        <f>IF(H4194="credit",0,IF(AE4194="free",0,IF(AE4194="me",0,IF(G4194&gt;0,(VLOOKUP(A4194,'Discount Lookup'!J:K,2)*G4194),0))))</f>
        <v>0</v>
      </c>
      <c r="AJ4194" s="513" t="str">
        <f t="shared" ca="1" si="3221"/>
        <v/>
      </c>
      <c r="AK4194" s="700" t="str">
        <f t="shared" si="3222"/>
        <v/>
      </c>
      <c r="AL4194" s="700"/>
      <c r="AM4194" s="505" t="str">
        <f t="shared" si="3223"/>
        <v/>
      </c>
      <c r="AN4194" s="506"/>
      <c r="AO4194" s="507"/>
      <c r="AP4194" s="507"/>
      <c r="AQ4194" s="507"/>
      <c r="AR4194" s="507"/>
      <c r="AS4194" s="507"/>
      <c r="AT4194" s="507"/>
      <c r="AU4194" s="507"/>
      <c r="AV4194" s="225"/>
      <c r="AW4194" s="508"/>
      <c r="AX4194" s="225"/>
      <c r="AY4194" s="225"/>
      <c r="AZ4194" s="225"/>
      <c r="BA4194" s="225"/>
      <c r="BB4194" s="225"/>
      <c r="BC4194" s="56"/>
      <c r="BD4194" s="56"/>
      <c r="BE4194" s="56"/>
      <c r="BF4194" s="107" t="str">
        <f t="shared" si="3224"/>
        <v>https://www.google.com/search?tbm=isch&amp;q=7%20G6</v>
      </c>
      <c r="BG4194" s="107" t="str">
        <f t="shared" si="3225"/>
        <v>Y</v>
      </c>
      <c r="BH4194" s="254"/>
      <c r="BI4194" s="254"/>
    </row>
    <row r="4195" spans="1:61" customFormat="1" ht="15.75" x14ac:dyDescent="0.25">
      <c r="A4195" s="485">
        <v>10</v>
      </c>
      <c r="B4195" s="486" t="s">
        <v>291</v>
      </c>
      <c r="C4195" s="487" t="s">
        <v>2281</v>
      </c>
      <c r="D4195" s="488" t="s">
        <v>300</v>
      </c>
      <c r="E4195" s="489">
        <v>200.95</v>
      </c>
      <c r="F4195" s="516" t="s">
        <v>293</v>
      </c>
      <c r="G4195" s="232">
        <v>0</v>
      </c>
      <c r="H4195" s="658" t="str">
        <f t="shared" si="3233"/>
        <v/>
      </c>
      <c r="I4195" s="490">
        <f t="shared" si="3234"/>
        <v>0</v>
      </c>
      <c r="J4195" s="490">
        <f t="shared" si="3235"/>
        <v>0</v>
      </c>
      <c r="K4195" s="695">
        <f t="shared" ref="K4195" si="3242">I4195+J4195</f>
        <v>0</v>
      </c>
      <c r="L4195" s="695"/>
      <c r="M4195" s="659" t="str">
        <f t="shared" si="3237"/>
        <v/>
      </c>
      <c r="N4195" s="660"/>
      <c r="O4195" s="233"/>
      <c r="P4195" s="233"/>
      <c r="Q4195" s="233"/>
      <c r="R4195" s="233"/>
      <c r="S4195" s="233"/>
      <c r="T4195" s="508">
        <f t="shared" si="3213"/>
        <v>0</v>
      </c>
      <c r="U4195" s="225">
        <f>IF(NOT(ISNUMBER(G4195)), "", VLOOKUP(A4195,'Discount Lookup'!D:E,2,FALSE)*G4195)</f>
        <v>0</v>
      </c>
      <c r="V4195" s="225">
        <f>IF(NOT(ISNUMBER(G4195)), "", VLOOKUP(A4195,'Discount Lookup'!G:H,2,FALSE)*G4195)</f>
        <v>0</v>
      </c>
      <c r="W4195" s="508">
        <f t="shared" si="3214"/>
        <v>0</v>
      </c>
      <c r="X4195" s="508">
        <f t="shared" si="3215"/>
        <v>0</v>
      </c>
      <c r="Y4195" s="509" t="b">
        <f t="shared" si="3216"/>
        <v>0</v>
      </c>
      <c r="Z4195" s="510">
        <f t="shared" si="3217"/>
        <v>0</v>
      </c>
      <c r="AA4195" s="511"/>
      <c r="AB4195" s="511" t="str">
        <f t="shared" si="3218"/>
        <v/>
      </c>
      <c r="AC4195" s="698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698"/>
      <c r="AE4195" s="631" t="str">
        <f t="shared" si="3219"/>
        <v/>
      </c>
      <c r="AF4195" s="699" t="str">
        <f t="shared" si="3220"/>
        <v/>
      </c>
      <c r="AG4195" s="699"/>
      <c r="AH4195" s="699"/>
      <c r="AI4195" s="512">
        <f>IF(H4195="credit",0,IF(AE4195="free",0,IF(AE4195="me",0,IF(G4195&gt;0,(VLOOKUP(A4195,'Discount Lookup'!J:K,2)*G4195),0))))</f>
        <v>0</v>
      </c>
      <c r="AJ4195" s="513" t="str">
        <f t="shared" ca="1" si="3221"/>
        <v/>
      </c>
      <c r="AK4195" s="700" t="str">
        <f t="shared" si="3222"/>
        <v/>
      </c>
      <c r="AL4195" s="700"/>
      <c r="AM4195" s="505" t="str">
        <f t="shared" si="3223"/>
        <v/>
      </c>
      <c r="AN4195" s="506"/>
      <c r="AO4195" s="507"/>
      <c r="AP4195" s="507"/>
      <c r="AQ4195" s="507"/>
      <c r="AR4195" s="507"/>
      <c r="AS4195" s="507"/>
      <c r="AT4195" s="507"/>
      <c r="AU4195" s="507"/>
      <c r="AV4195" s="225"/>
      <c r="AW4195" s="508"/>
      <c r="AX4195" s="225"/>
      <c r="AY4195" s="225"/>
      <c r="AZ4195" s="225"/>
      <c r="BA4195" s="225"/>
      <c r="BB4195" s="225"/>
      <c r="BC4195" s="56"/>
      <c r="BD4195" s="56"/>
      <c r="BE4195" s="56"/>
      <c r="BF4195" s="107" t="str">
        <f t="shared" si="3224"/>
        <v>https://www.google.com/search?tbm=isch&amp;q=10%20G6</v>
      </c>
      <c r="BG4195" s="107" t="str">
        <f t="shared" si="3225"/>
        <v>Y</v>
      </c>
      <c r="BH4195" s="254"/>
      <c r="BI4195" s="254"/>
    </row>
    <row r="4196" spans="1:61" customFormat="1" ht="15.75" x14ac:dyDescent="0.25">
      <c r="A4196" s="485">
        <v>15</v>
      </c>
      <c r="B4196" s="486" t="s">
        <v>291</v>
      </c>
      <c r="C4196" s="487" t="s">
        <v>4463</v>
      </c>
      <c r="D4196" s="488" t="s">
        <v>292</v>
      </c>
      <c r="E4196" s="489">
        <v>217.95</v>
      </c>
      <c r="F4196" s="516" t="s">
        <v>293</v>
      </c>
      <c r="G4196" s="232">
        <v>0</v>
      </c>
      <c r="H4196" s="658" t="str">
        <f t="shared" si="3233"/>
        <v/>
      </c>
      <c r="I4196" s="490">
        <f t="shared" si="3234"/>
        <v>0</v>
      </c>
      <c r="J4196" s="490">
        <f t="shared" si="3235"/>
        <v>0</v>
      </c>
      <c r="K4196" s="695">
        <f t="shared" ref="K4196" si="3243">I4196+J4196</f>
        <v>0</v>
      </c>
      <c r="L4196" s="695"/>
      <c r="M4196" s="659" t="str">
        <f t="shared" si="3237"/>
        <v/>
      </c>
      <c r="N4196" s="660"/>
      <c r="O4196" s="233"/>
      <c r="P4196" s="233"/>
      <c r="Q4196" s="233"/>
      <c r="R4196" s="233"/>
      <c r="S4196" s="233"/>
      <c r="T4196" s="508">
        <f t="shared" si="3213"/>
        <v>0</v>
      </c>
      <c r="U4196" s="225">
        <f>IF(NOT(ISNUMBER(G4196)), "", VLOOKUP(A4196,'Discount Lookup'!D:E,2,FALSE)*G4196)</f>
        <v>0</v>
      </c>
      <c r="V4196" s="225">
        <f>IF(NOT(ISNUMBER(G4196)), "", VLOOKUP(A4196,'Discount Lookup'!G:H,2,FALSE)*G4196)</f>
        <v>0</v>
      </c>
      <c r="W4196" s="508">
        <f t="shared" si="3214"/>
        <v>0</v>
      </c>
      <c r="X4196" s="508">
        <f t="shared" si="3215"/>
        <v>0</v>
      </c>
      <c r="Y4196" s="509" t="b">
        <f t="shared" si="3216"/>
        <v>0</v>
      </c>
      <c r="Z4196" s="510">
        <f t="shared" si="3217"/>
        <v>0</v>
      </c>
      <c r="AA4196" s="511"/>
      <c r="AB4196" s="511" t="str">
        <f t="shared" si="3218"/>
        <v/>
      </c>
      <c r="AC4196" s="698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698"/>
      <c r="AE4196" s="631" t="str">
        <f t="shared" si="3219"/>
        <v/>
      </c>
      <c r="AF4196" s="699" t="str">
        <f t="shared" si="3220"/>
        <v/>
      </c>
      <c r="AG4196" s="699"/>
      <c r="AH4196" s="699"/>
      <c r="AI4196" s="512">
        <f>IF(H4196="credit",0,IF(AE4196="free",0,IF(AE4196="me",0,IF(G4196&gt;0,(VLOOKUP(A4196,'Discount Lookup'!J:K,2)*G4196),0))))</f>
        <v>0</v>
      </c>
      <c r="AJ4196" s="513" t="str">
        <f t="shared" ca="1" si="3221"/>
        <v/>
      </c>
      <c r="AK4196" s="700" t="str">
        <f t="shared" si="3222"/>
        <v/>
      </c>
      <c r="AL4196" s="700"/>
      <c r="AM4196" s="505" t="str">
        <f t="shared" si="3223"/>
        <v/>
      </c>
      <c r="AN4196" s="506"/>
      <c r="AO4196" s="507"/>
      <c r="AP4196" s="507"/>
      <c r="AQ4196" s="507"/>
      <c r="AR4196" s="507"/>
      <c r="AS4196" s="507"/>
      <c r="AT4196" s="507"/>
      <c r="AU4196" s="507"/>
      <c r="AV4196" s="225"/>
      <c r="AW4196" s="508"/>
      <c r="AX4196" s="225"/>
      <c r="AY4196" s="225"/>
      <c r="AZ4196" s="225"/>
      <c r="BA4196" s="225"/>
      <c r="BB4196" s="225"/>
      <c r="BC4196" s="56"/>
      <c r="BD4196" s="56"/>
      <c r="BE4196" s="56"/>
      <c r="BF4196" s="107" t="str">
        <f t="shared" si="3224"/>
        <v>https://www.google.com/search?tbm=isch&amp;q=15%20G4</v>
      </c>
      <c r="BG4196" s="107" t="str">
        <f t="shared" si="3225"/>
        <v>Y</v>
      </c>
      <c r="BH4196" s="254"/>
      <c r="BI4196" s="254"/>
    </row>
    <row r="4197" spans="1:61" customFormat="1" ht="27" x14ac:dyDescent="0.25">
      <c r="A4197" s="485">
        <v>25</v>
      </c>
      <c r="B4197" s="486" t="s">
        <v>291</v>
      </c>
      <c r="C4197" s="487" t="s">
        <v>4838</v>
      </c>
      <c r="D4197" s="488" t="s">
        <v>292</v>
      </c>
      <c r="E4197" s="489">
        <v>445.95</v>
      </c>
      <c r="F4197" s="516" t="s">
        <v>293</v>
      </c>
      <c r="G4197" s="232">
        <v>0</v>
      </c>
      <c r="H4197" s="658" t="str">
        <f t="shared" si="3233"/>
        <v/>
      </c>
      <c r="I4197" s="490">
        <f t="shared" si="3234"/>
        <v>0</v>
      </c>
      <c r="J4197" s="490">
        <f t="shared" si="3235"/>
        <v>0</v>
      </c>
      <c r="K4197" s="695">
        <f t="shared" ref="K4197" si="3244">I4197+J4197</f>
        <v>0</v>
      </c>
      <c r="L4197" s="695"/>
      <c r="M4197" s="659" t="str">
        <f t="shared" si="3237"/>
        <v/>
      </c>
      <c r="N4197" s="660"/>
      <c r="O4197" s="233"/>
      <c r="P4197" s="233"/>
      <c r="Q4197" s="233"/>
      <c r="R4197" s="233"/>
      <c r="S4197" s="233"/>
      <c r="T4197" s="508">
        <f t="shared" si="3213"/>
        <v>0</v>
      </c>
      <c r="U4197" s="225">
        <f>IF(NOT(ISNUMBER(G4197)), "", VLOOKUP(A4197,'Discount Lookup'!D:E,2,FALSE)*G4197)</f>
        <v>0</v>
      </c>
      <c r="V4197" s="225">
        <f>IF(NOT(ISNUMBER(G4197)), "", VLOOKUP(A4197,'Discount Lookup'!G:H,2,FALSE)*G4197)</f>
        <v>0</v>
      </c>
      <c r="W4197" s="508">
        <f t="shared" si="3214"/>
        <v>0</v>
      </c>
      <c r="X4197" s="508">
        <f t="shared" si="3215"/>
        <v>0</v>
      </c>
      <c r="Y4197" s="509" t="b">
        <f t="shared" si="3216"/>
        <v>0</v>
      </c>
      <c r="Z4197" s="510">
        <f t="shared" si="3217"/>
        <v>0</v>
      </c>
      <c r="AA4197" s="511"/>
      <c r="AB4197" s="511" t="str">
        <f t="shared" si="3218"/>
        <v/>
      </c>
      <c r="AC4197" s="698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698"/>
      <c r="AE4197" s="631" t="str">
        <f t="shared" si="3219"/>
        <v/>
      </c>
      <c r="AF4197" s="699" t="str">
        <f t="shared" si="3220"/>
        <v/>
      </c>
      <c r="AG4197" s="699"/>
      <c r="AH4197" s="699"/>
      <c r="AI4197" s="512">
        <f>IF(H4197="credit",0,IF(AE4197="free",0,IF(AE4197="me",0,IF(G4197&gt;0,(VLOOKUP(A4197,'Discount Lookup'!J:K,2)*G4197),0))))</f>
        <v>0</v>
      </c>
      <c r="AJ4197" s="513" t="str">
        <f t="shared" ca="1" si="3221"/>
        <v/>
      </c>
      <c r="AK4197" s="700" t="str">
        <f t="shared" si="3222"/>
        <v/>
      </c>
      <c r="AL4197" s="700"/>
      <c r="AM4197" s="505" t="str">
        <f t="shared" si="3223"/>
        <v/>
      </c>
      <c r="AN4197" s="506"/>
      <c r="AO4197" s="507"/>
      <c r="AP4197" s="507"/>
      <c r="AQ4197" s="507"/>
      <c r="AR4197" s="507"/>
      <c r="AS4197" s="507"/>
      <c r="AT4197" s="507"/>
      <c r="AU4197" s="507"/>
      <c r="AV4197" s="225"/>
      <c r="AW4197" s="508"/>
      <c r="AX4197" s="225"/>
      <c r="AY4197" s="225"/>
      <c r="AZ4197" s="225"/>
      <c r="BA4197" s="225"/>
      <c r="BB4197" s="225"/>
      <c r="BC4197" s="56"/>
      <c r="BD4197" s="56"/>
      <c r="BE4197" s="56"/>
      <c r="BF4197" s="107" t="str">
        <f t="shared" si="3224"/>
        <v>https://www.google.com/search?tbm=isch&amp;q=25%20G4</v>
      </c>
      <c r="BG4197" s="107" t="str">
        <f t="shared" si="3225"/>
        <v>Y</v>
      </c>
      <c r="BH4197" s="254"/>
      <c r="BI4197" s="254"/>
    </row>
    <row r="4198" spans="1:61" customFormat="1" ht="27" x14ac:dyDescent="0.25">
      <c r="A4198" s="485">
        <v>25</v>
      </c>
      <c r="B4198" s="486" t="s">
        <v>291</v>
      </c>
      <c r="C4198" s="487" t="s">
        <v>4464</v>
      </c>
      <c r="D4198" s="488" t="s">
        <v>292</v>
      </c>
      <c r="E4198" s="489">
        <v>445.95</v>
      </c>
      <c r="F4198" s="516" t="s">
        <v>293</v>
      </c>
      <c r="G4198" s="232">
        <v>0</v>
      </c>
      <c r="H4198" s="658" t="str">
        <f t="shared" si="3233"/>
        <v/>
      </c>
      <c r="I4198" s="490">
        <f t="shared" si="3234"/>
        <v>0</v>
      </c>
      <c r="J4198" s="490">
        <f t="shared" si="3235"/>
        <v>0</v>
      </c>
      <c r="K4198" s="695">
        <f t="shared" ref="K4198" si="3245">I4198+J4198</f>
        <v>0</v>
      </c>
      <c r="L4198" s="695"/>
      <c r="M4198" s="659" t="str">
        <f t="shared" si="3237"/>
        <v/>
      </c>
      <c r="N4198" s="660"/>
      <c r="O4198" s="233"/>
      <c r="P4198" s="233"/>
      <c r="Q4198" s="233"/>
      <c r="R4198" s="233"/>
      <c r="S4198" s="233"/>
      <c r="T4198" s="508">
        <f t="shared" si="3213"/>
        <v>0</v>
      </c>
      <c r="U4198" s="225">
        <f>IF(NOT(ISNUMBER(G4198)), "", VLOOKUP(A4198,'Discount Lookup'!D:E,2,FALSE)*G4198)</f>
        <v>0</v>
      </c>
      <c r="V4198" s="225">
        <f>IF(NOT(ISNUMBER(G4198)), "", VLOOKUP(A4198,'Discount Lookup'!G:H,2,FALSE)*G4198)</f>
        <v>0</v>
      </c>
      <c r="W4198" s="508">
        <f t="shared" si="3214"/>
        <v>0</v>
      </c>
      <c r="X4198" s="508">
        <f t="shared" si="3215"/>
        <v>0</v>
      </c>
      <c r="Y4198" s="509" t="b">
        <f t="shared" si="3216"/>
        <v>0</v>
      </c>
      <c r="Z4198" s="510">
        <f t="shared" si="3217"/>
        <v>0</v>
      </c>
      <c r="AA4198" s="511"/>
      <c r="AB4198" s="511" t="str">
        <f t="shared" si="3218"/>
        <v/>
      </c>
      <c r="AC4198" s="698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698"/>
      <c r="AE4198" s="631" t="str">
        <f t="shared" si="3219"/>
        <v/>
      </c>
      <c r="AF4198" s="699" t="str">
        <f t="shared" si="3220"/>
        <v/>
      </c>
      <c r="AG4198" s="699"/>
      <c r="AH4198" s="699"/>
      <c r="AI4198" s="512">
        <f>IF(H4198="credit",0,IF(AE4198="free",0,IF(AE4198="me",0,IF(G4198&gt;0,(VLOOKUP(A4198,'Discount Lookup'!J:K,2)*G4198),0))))</f>
        <v>0</v>
      </c>
      <c r="AJ4198" s="513" t="str">
        <f t="shared" ca="1" si="3221"/>
        <v/>
      </c>
      <c r="AK4198" s="700" t="str">
        <f t="shared" si="3222"/>
        <v/>
      </c>
      <c r="AL4198" s="700"/>
      <c r="AM4198" s="505" t="str">
        <f t="shared" si="3223"/>
        <v/>
      </c>
      <c r="AN4198" s="506"/>
      <c r="AO4198" s="507"/>
      <c r="AP4198" s="507"/>
      <c r="AQ4198" s="507"/>
      <c r="AR4198" s="507"/>
      <c r="AS4198" s="507"/>
      <c r="AT4198" s="507"/>
      <c r="AU4198" s="507"/>
      <c r="AV4198" s="225"/>
      <c r="AW4198" s="508"/>
      <c r="AX4198" s="225"/>
      <c r="AY4198" s="225"/>
      <c r="AZ4198" s="225"/>
      <c r="BA4198" s="225"/>
      <c r="BB4198" s="225"/>
      <c r="BC4198" s="56"/>
      <c r="BD4198" s="56"/>
      <c r="BE4198" s="56"/>
      <c r="BF4198" s="107" t="str">
        <f t="shared" si="3224"/>
        <v>https://www.google.com/search?tbm=isch&amp;q=25%20G4</v>
      </c>
      <c r="BG4198" s="107" t="str">
        <f t="shared" si="3225"/>
        <v>Y</v>
      </c>
      <c r="BH4198" s="254"/>
      <c r="BI4198" s="254"/>
    </row>
    <row r="4199" spans="1:61" customFormat="1" ht="17.25" thickBot="1" x14ac:dyDescent="0.3">
      <c r="A4199" s="672" t="s">
        <v>5290</v>
      </c>
      <c r="B4199" s="491"/>
      <c r="C4199" s="675"/>
      <c r="D4199" s="491"/>
      <c r="E4199" s="491"/>
      <c r="F4199" s="492"/>
      <c r="G4199" s="493"/>
      <c r="H4199" s="491"/>
      <c r="I4199" s="234"/>
      <c r="J4199" s="234"/>
      <c r="K4199" s="494"/>
      <c r="L4199" s="543"/>
      <c r="M4199" s="561"/>
      <c r="N4199" s="495"/>
      <c r="O4199" s="496"/>
      <c r="P4199" s="497"/>
      <c r="Q4199" s="495"/>
      <c r="R4199" s="495"/>
      <c r="S4199" s="667" t="s">
        <v>4986</v>
      </c>
      <c r="T4199" s="508">
        <f t="shared" si="3213"/>
        <v>0</v>
      </c>
      <c r="U4199" s="225" t="str">
        <f>IF(NOT(ISNUMBER(G4199)), "", VLOOKUP(A4199,'Discount Lookup'!D:E,2,FALSE)*G4199)</f>
        <v/>
      </c>
      <c r="V4199" s="225" t="str">
        <f>IF(NOT(ISNUMBER(G4199)), "", VLOOKUP(A4199,'Discount Lookup'!G:H,2,FALSE)*G4199)</f>
        <v/>
      </c>
      <c r="W4199" s="508">
        <f t="shared" si="3214"/>
        <v>0</v>
      </c>
      <c r="X4199" s="508">
        <f t="shared" si="3215"/>
        <v>0</v>
      </c>
      <c r="Y4199" s="509" t="b">
        <f t="shared" si="3216"/>
        <v>0</v>
      </c>
      <c r="Z4199" s="510">
        <f t="shared" si="3217"/>
        <v>0</v>
      </c>
      <c r="AA4199" s="511"/>
      <c r="AB4199" s="511" t="str">
        <f t="shared" si="3218"/>
        <v/>
      </c>
      <c r="AC4199" s="698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698"/>
      <c r="AE4199" s="631" t="str">
        <f t="shared" si="3219"/>
        <v/>
      </c>
      <c r="AF4199" s="699" t="str">
        <f t="shared" si="3220"/>
        <v/>
      </c>
      <c r="AG4199" s="699"/>
      <c r="AH4199" s="699"/>
      <c r="AI4199" s="512">
        <f>IF(H4199="credit",0,IF(AE4199="free",0,IF(AE4199="me",0,IF(G4199&gt;0,(VLOOKUP(A4199,'Discount Lookup'!J:K,2)*G4199),0))))</f>
        <v>0</v>
      </c>
      <c r="AJ4199" s="513" t="str">
        <f t="shared" ca="1" si="3221"/>
        <v/>
      </c>
      <c r="AK4199" s="700" t="str">
        <f t="shared" si="3222"/>
        <v/>
      </c>
      <c r="AL4199" s="700"/>
      <c r="AM4199" s="505" t="str">
        <f t="shared" si="3223"/>
        <v/>
      </c>
      <c r="AN4199" s="506"/>
      <c r="AO4199" s="507"/>
      <c r="AP4199" s="507"/>
      <c r="AQ4199" s="507"/>
      <c r="AR4199" s="507"/>
      <c r="AS4199" s="507"/>
      <c r="AT4199" s="507"/>
      <c r="AU4199" s="507"/>
      <c r="AV4199" s="225"/>
      <c r="AW4199" s="508"/>
      <c r="AX4199" s="225"/>
      <c r="AY4199" s="225"/>
      <c r="AZ4199" s="225"/>
      <c r="BA4199" s="225"/>
      <c r="BB4199" s="225"/>
      <c r="BC4199" s="56"/>
      <c r="BD4199" s="56"/>
      <c r="BE4199" s="56"/>
      <c r="BF4199" s="107" t="str">
        <f t="shared" si="3224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4199" s="107" t="str">
        <f t="shared" si="3225"/>
        <v>m</v>
      </c>
      <c r="BH4199" s="254"/>
      <c r="BI4199" s="254"/>
    </row>
    <row r="4200" spans="1:61" customFormat="1" ht="18" x14ac:dyDescent="0.25">
      <c r="A4200" s="521" t="s">
        <v>4465</v>
      </c>
      <c r="B4200" s="477"/>
      <c r="C4200" s="674"/>
      <c r="D4200" s="478" t="s">
        <v>4466</v>
      </c>
      <c r="E4200" s="479"/>
      <c r="F4200" s="479"/>
      <c r="G4200" s="479"/>
      <c r="H4200" s="582" t="s">
        <v>471</v>
      </c>
      <c r="I4200" s="480" t="s">
        <v>4467</v>
      </c>
      <c r="J4200" s="479"/>
      <c r="K4200" s="479"/>
      <c r="L4200" s="560"/>
      <c r="M4200" s="671" t="s">
        <v>4990</v>
      </c>
      <c r="N4200" s="680" t="str">
        <f>IF(AND(ISTEXT($A4200), ISERROR($A4200+0)), HYPERLINK($BF4200, "Images"), "")</f>
        <v>Images</v>
      </c>
      <c r="O4200" s="662" t="s">
        <v>4967</v>
      </c>
      <c r="P4200" s="482"/>
      <c r="Q4200" s="483"/>
      <c r="R4200" s="483"/>
      <c r="S4200" s="484"/>
      <c r="T4200" s="508">
        <f t="shared" si="3213"/>
        <v>0</v>
      </c>
      <c r="U4200" s="225" t="str">
        <f>IF(NOT(ISNUMBER(G4200)), "", VLOOKUP(A4200,'Discount Lookup'!D:E,2,FALSE)*G4200)</f>
        <v/>
      </c>
      <c r="V4200" s="225" t="str">
        <f>IF(NOT(ISNUMBER(G4200)), "", VLOOKUP(A4200,'Discount Lookup'!G:H,2,FALSE)*G4200)</f>
        <v/>
      </c>
      <c r="W4200" s="508">
        <f t="shared" si="3214"/>
        <v>0</v>
      </c>
      <c r="X4200" s="508" t="str">
        <f t="shared" si="3215"/>
        <v>Pink &amp; White bloom</v>
      </c>
      <c r="Y4200" s="509" t="b">
        <f t="shared" si="3216"/>
        <v>0</v>
      </c>
      <c r="Z4200" s="510">
        <f t="shared" si="3217"/>
        <v>0</v>
      </c>
      <c r="AA4200" s="511"/>
      <c r="AB4200" s="511" t="str">
        <f t="shared" si="3218"/>
        <v/>
      </c>
      <c r="AC4200" s="698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698"/>
      <c r="AE4200" s="631" t="str">
        <f t="shared" si="3219"/>
        <v/>
      </c>
      <c r="AF4200" s="699" t="str">
        <f t="shared" si="3220"/>
        <v/>
      </c>
      <c r="AG4200" s="699"/>
      <c r="AH4200" s="699"/>
      <c r="AI4200" s="512">
        <f>IF(H4200="credit",0,IF(AE4200="free",0,IF(AE4200="me",0,IF(G4200&gt;0,(VLOOKUP(A4200,'Discount Lookup'!J:K,2)*G4200),0))))</f>
        <v>0</v>
      </c>
      <c r="AJ4200" s="513" t="str">
        <f t="shared" ca="1" si="3221"/>
        <v/>
      </c>
      <c r="AK4200" s="700" t="str">
        <f t="shared" si="3222"/>
        <v/>
      </c>
      <c r="AL4200" s="700"/>
      <c r="AM4200" s="505" t="str">
        <f t="shared" si="3223"/>
        <v/>
      </c>
      <c r="AN4200" s="506"/>
      <c r="AO4200" s="507"/>
      <c r="AP4200" s="507"/>
      <c r="AQ4200" s="507"/>
      <c r="AR4200" s="507"/>
      <c r="AS4200" s="507"/>
      <c r="AT4200" s="507"/>
      <c r="AU4200" s="507"/>
      <c r="AV4200" s="225"/>
      <c r="AW4200" s="508"/>
      <c r="AX4200" s="225"/>
      <c r="AY4200" s="225"/>
      <c r="AZ4200" s="225"/>
      <c r="BA4200" s="225"/>
      <c r="BB4200" s="225"/>
      <c r="BC4200" s="56"/>
      <c r="BD4200" s="56"/>
      <c r="BE4200" s="56"/>
      <c r="BF4200" s="107" t="str">
        <f t="shared" si="3224"/>
        <v>https://www.google.com/search?tbm=isch&amp;q=Yume%20Camellia%20Camellia%20sasanqua%20%27Yume%27</v>
      </c>
      <c r="BG4200" s="107" t="str">
        <f t="shared" si="3225"/>
        <v>Y</v>
      </c>
      <c r="BH4200" s="254"/>
      <c r="BI4200" s="254"/>
    </row>
    <row r="4201" spans="1:61" customFormat="1" ht="27" x14ac:dyDescent="0.25">
      <c r="A4201" s="485">
        <v>7</v>
      </c>
      <c r="B4201" s="486" t="s">
        <v>291</v>
      </c>
      <c r="C4201" s="487" t="s">
        <v>4839</v>
      </c>
      <c r="D4201" s="488" t="s">
        <v>292</v>
      </c>
      <c r="E4201" s="489">
        <v>104.95</v>
      </c>
      <c r="F4201" s="516" t="s">
        <v>293</v>
      </c>
      <c r="G4201" s="232">
        <v>0</v>
      </c>
      <c r="H4201" s="658" t="str">
        <f>IF(G4201=0,"",IF(F4201="Buy",IF(G4201=1,"plant","plants"),IF(F4201&gt;0.01,"warranty","Error")))</f>
        <v/>
      </c>
      <c r="I4201" s="490">
        <f>IF(H4201="free",0,IF(H4201="credit",((E4201*(F4201))*G4201*-1),IF(F4201="Buy",(E4201*G4201),((E4201*(1-F4201))*G4201))))</f>
        <v>0</v>
      </c>
      <c r="J4201" s="490">
        <f>IF(H4201="warranty",0,(I4201*(_xlfn.SINGLE(SalesTaxPercentage))))</f>
        <v>0</v>
      </c>
      <c r="K4201" s="695">
        <f t="shared" ref="K4201" si="3246">I4201+J4201</f>
        <v>0</v>
      </c>
      <c r="L4201" s="695"/>
      <c r="M4201" s="659" t="str">
        <f>IF(AND(G4201&gt;0,E4201=0),"WARNING - no PRICE inserted",IF(H4201="free"," FREE ~ no charge this plant",IF(H4201="credit",CONCATENATE(" -$",ROUND(K4201*(1-T2GDiscount)*-1,2)," CREDIT after discount"),IF(T2GDiscount=0,"",IF(G4201=0,"",IF(F4201="Buy",CONCATENATE(" $",ROUND(K4201*(1-T2GDiscount),2)," with ",(T2GDiscount*100),"% discount"),CONCATENATE(" $",ROUND(K4201*(1-T2GDiscount),2)," with ",((T2GDiscount*100+F4201*100)-(T2GDiscount*100*F4201)),IF(F4201&gt;0,"% discounts",IF(NoWarrantyDiscount&gt;0,"% discounts","% discount")))))))))</f>
        <v/>
      </c>
      <c r="N4201" s="660"/>
      <c r="O4201" s="233"/>
      <c r="P4201" s="233"/>
      <c r="Q4201" s="233"/>
      <c r="R4201" s="233"/>
      <c r="S4201" s="233"/>
      <c r="T4201" s="508">
        <f t="shared" si="3213"/>
        <v>0</v>
      </c>
      <c r="U4201" s="225">
        <f>IF(NOT(ISNUMBER(G4201)), "", VLOOKUP(A4201,'Discount Lookup'!D:E,2,FALSE)*G4201)</f>
        <v>0</v>
      </c>
      <c r="V4201" s="225">
        <f>IF(NOT(ISNUMBER(G4201)), "", VLOOKUP(A4201,'Discount Lookup'!G:H,2,FALSE)*G4201)</f>
        <v>0</v>
      </c>
      <c r="W4201" s="508">
        <f t="shared" si="3214"/>
        <v>0</v>
      </c>
      <c r="X4201" s="508">
        <f t="shared" si="3215"/>
        <v>0</v>
      </c>
      <c r="Y4201" s="509" t="b">
        <f t="shared" si="3216"/>
        <v>0</v>
      </c>
      <c r="Z4201" s="510">
        <f t="shared" si="3217"/>
        <v>0</v>
      </c>
      <c r="AA4201" s="511"/>
      <c r="AB4201" s="511" t="str">
        <f t="shared" si="3218"/>
        <v/>
      </c>
      <c r="AC4201" s="698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698"/>
      <c r="AE4201" s="631" t="str">
        <f t="shared" si="3219"/>
        <v/>
      </c>
      <c r="AF4201" s="699" t="str">
        <f t="shared" si="3220"/>
        <v/>
      </c>
      <c r="AG4201" s="699"/>
      <c r="AH4201" s="699"/>
      <c r="AI4201" s="512">
        <f>IF(H4201="credit",0,IF(AE4201="free",0,IF(AE4201="me",0,IF(G4201&gt;0,(VLOOKUP(A4201,'Discount Lookup'!J:K,2)*G4201),0))))</f>
        <v>0</v>
      </c>
      <c r="AJ4201" s="513" t="str">
        <f t="shared" ca="1" si="3221"/>
        <v/>
      </c>
      <c r="AK4201" s="700" t="str">
        <f t="shared" si="3222"/>
        <v/>
      </c>
      <c r="AL4201" s="700"/>
      <c r="AM4201" s="505" t="str">
        <f t="shared" si="3223"/>
        <v/>
      </c>
      <c r="AN4201" s="506"/>
      <c r="AO4201" s="507"/>
      <c r="AP4201" s="507"/>
      <c r="AQ4201" s="507"/>
      <c r="AR4201" s="507"/>
      <c r="AS4201" s="507"/>
      <c r="AT4201" s="507"/>
      <c r="AU4201" s="507"/>
      <c r="AV4201" s="225"/>
      <c r="AW4201" s="508"/>
      <c r="AX4201" s="225"/>
      <c r="AY4201" s="225"/>
      <c r="AZ4201" s="225"/>
      <c r="BA4201" s="225"/>
      <c r="BB4201" s="225"/>
      <c r="BC4201" s="56"/>
      <c r="BD4201" s="56"/>
      <c r="BE4201" s="56"/>
      <c r="BF4201" s="107" t="str">
        <f t="shared" si="3224"/>
        <v>https://www.google.com/search?tbm=isch&amp;q=7%20G4</v>
      </c>
      <c r="BG4201" s="107" t="str">
        <f t="shared" si="3225"/>
        <v>Y</v>
      </c>
      <c r="BH4201" s="254"/>
      <c r="BI4201" s="254"/>
    </row>
    <row r="4202" spans="1:61" customFormat="1" ht="16.5" x14ac:dyDescent="0.25">
      <c r="A4202" s="672" t="s">
        <v>5291</v>
      </c>
      <c r="B4202" s="491"/>
      <c r="C4202" s="675"/>
      <c r="D4202" s="491"/>
      <c r="E4202" s="491"/>
      <c r="F4202" s="492"/>
      <c r="G4202" s="493"/>
      <c r="H4202" s="491"/>
      <c r="I4202" s="234"/>
      <c r="J4202" s="234"/>
      <c r="K4202" s="494"/>
      <c r="L4202" s="543"/>
      <c r="M4202" s="561"/>
      <c r="N4202" s="495"/>
      <c r="O4202" s="496"/>
      <c r="P4202" s="497"/>
      <c r="Q4202" s="495"/>
      <c r="R4202" s="495"/>
      <c r="S4202" s="667" t="s">
        <v>4986</v>
      </c>
      <c r="T4202" s="508">
        <f t="shared" si="3213"/>
        <v>0</v>
      </c>
      <c r="U4202" s="225" t="str">
        <f>IF(NOT(ISNUMBER(G4202)), "", VLOOKUP(A4202,'Discount Lookup'!D:E,2,FALSE)*G4202)</f>
        <v/>
      </c>
      <c r="V4202" s="225" t="str">
        <f>IF(NOT(ISNUMBER(G4202)), "", VLOOKUP(A4202,'Discount Lookup'!G:H,2,FALSE)*G4202)</f>
        <v/>
      </c>
      <c r="W4202" s="508">
        <f t="shared" si="3214"/>
        <v>0</v>
      </c>
      <c r="X4202" s="508">
        <f t="shared" si="3215"/>
        <v>0</v>
      </c>
      <c r="Y4202" s="509" t="b">
        <f t="shared" si="3216"/>
        <v>0</v>
      </c>
      <c r="Z4202" s="510">
        <f t="shared" si="3217"/>
        <v>0</v>
      </c>
      <c r="AA4202" s="511"/>
      <c r="AB4202" s="511" t="str">
        <f t="shared" si="3218"/>
        <v/>
      </c>
      <c r="AC4202" s="698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698"/>
      <c r="AE4202" s="631" t="str">
        <f t="shared" si="3219"/>
        <v/>
      </c>
      <c r="AF4202" s="699" t="str">
        <f t="shared" si="3220"/>
        <v/>
      </c>
      <c r="AG4202" s="699"/>
      <c r="AH4202" s="699"/>
      <c r="AI4202" s="512">
        <f>IF(H4202="credit",0,IF(AE4202="free",0,IF(AE4202="me",0,IF(G4202&gt;0,(VLOOKUP(A4202,'Discount Lookup'!J:K,2)*G4202),0))))</f>
        <v>0</v>
      </c>
      <c r="AJ4202" s="513" t="str">
        <f t="shared" ca="1" si="3221"/>
        <v/>
      </c>
      <c r="AK4202" s="700" t="str">
        <f t="shared" si="3222"/>
        <v/>
      </c>
      <c r="AL4202" s="700"/>
      <c r="AM4202" s="505" t="str">
        <f t="shared" si="3223"/>
        <v/>
      </c>
      <c r="AN4202" s="506"/>
      <c r="AO4202" s="507"/>
      <c r="AP4202" s="507"/>
      <c r="AQ4202" s="507"/>
      <c r="AR4202" s="507"/>
      <c r="AS4202" s="507"/>
      <c r="AT4202" s="507"/>
      <c r="AU4202" s="507"/>
      <c r="AV4202" s="225"/>
      <c r="AW4202" s="508"/>
      <c r="AX4202" s="225"/>
      <c r="AY4202" s="225"/>
      <c r="AZ4202" s="225"/>
      <c r="BA4202" s="225"/>
      <c r="BB4202" s="225"/>
      <c r="BC4202" s="56"/>
      <c r="BD4202" s="56"/>
      <c r="BE4202" s="56"/>
      <c r="BF4202" s="107" t="str">
        <f t="shared" si="3224"/>
        <v>https://www.google.com/search?tbm=isch&amp;q=moist%20sites%F0%9F%92%A7OK%2C%20Yume%20known%20for%20its%20long%20and%20heavy%20blooming%20period%20from%20fall%20into%20winter%2C%20featuring%20fragrant%2C%20bicolored%20flowers%20</v>
      </c>
      <c r="BG4202" s="107" t="str">
        <f t="shared" si="3225"/>
        <v>m</v>
      </c>
      <c r="BH4202" s="254"/>
      <c r="BI4202" s="254"/>
    </row>
    <row r="4203" spans="1:61" customFormat="1" ht="45.75" thickBot="1" x14ac:dyDescent="0.35">
      <c r="A4203" s="525" t="s">
        <v>2083</v>
      </c>
      <c r="B4203" s="248"/>
      <c r="C4203" s="678" t="s">
        <v>673</v>
      </c>
      <c r="D4203" s="249"/>
      <c r="E4203" s="249"/>
      <c r="F4203" s="249"/>
      <c r="G4203" s="249"/>
      <c r="H4203" s="250"/>
      <c r="I4203" s="249"/>
      <c r="J4203" s="249"/>
      <c r="K4203" s="526" t="s">
        <v>2840</v>
      </c>
      <c r="L4203" s="279"/>
      <c r="M4203" s="251"/>
      <c r="S4203" s="504" t="s">
        <v>2841</v>
      </c>
      <c r="T4203" s="508">
        <f t="shared" si="3213"/>
        <v>0</v>
      </c>
      <c r="U4203" s="225" t="str">
        <f>IF(NOT(ISNUMBER(G4203)), "", VLOOKUP(A4203,'Discount Lookup'!D:E,2,FALSE)*G4203)</f>
        <v/>
      </c>
      <c r="V4203" s="225" t="str">
        <f>IF(NOT(ISNUMBER(G4203)), "", VLOOKUP(A4203,'Discount Lookup'!G:H,2,FALSE)*G4203)</f>
        <v/>
      </c>
      <c r="W4203" s="508">
        <f t="shared" si="3214"/>
        <v>0</v>
      </c>
      <c r="X4203" s="508">
        <f t="shared" si="3215"/>
        <v>0</v>
      </c>
      <c r="Y4203" s="509" t="b">
        <f t="shared" si="3216"/>
        <v>0</v>
      </c>
      <c r="Z4203" s="510">
        <f t="shared" si="3217"/>
        <v>0</v>
      </c>
      <c r="AA4203" s="511"/>
      <c r="AB4203" s="511" t="str">
        <f t="shared" si="3218"/>
        <v/>
      </c>
      <c r="AC4203" s="698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698"/>
      <c r="AE4203" s="631" t="str">
        <f t="shared" si="3219"/>
        <v/>
      </c>
      <c r="AF4203" s="699" t="str">
        <f t="shared" si="3220"/>
        <v/>
      </c>
      <c r="AG4203" s="699"/>
      <c r="AH4203" s="699"/>
      <c r="AI4203" s="512">
        <f>IF(H4203="credit",0,IF(AE4203="free",0,IF(AE4203="me",0,IF(G4203&gt;0,(VLOOKUP(A4203,'Discount Lookup'!J:K,2)*G4203),0))))</f>
        <v>0</v>
      </c>
      <c r="AJ4203" s="513" t="str">
        <f t="shared" ca="1" si="3221"/>
        <v/>
      </c>
      <c r="AK4203" s="700" t="str">
        <f t="shared" si="3222"/>
        <v/>
      </c>
      <c r="AL4203" s="700"/>
      <c r="AM4203" s="505" t="str">
        <f t="shared" si="3223"/>
        <v/>
      </c>
      <c r="AN4203" s="506"/>
      <c r="AO4203" s="507"/>
      <c r="AP4203" s="507"/>
      <c r="AQ4203" s="507"/>
      <c r="AR4203" s="507"/>
      <c r="AS4203" s="507"/>
      <c r="AT4203" s="507"/>
      <c r="AU4203" s="507"/>
      <c r="AV4203" s="225"/>
      <c r="AW4203" s="508"/>
      <c r="AX4203" s="225"/>
      <c r="AY4203" s="225"/>
      <c r="AZ4203" s="225"/>
      <c r="BA4203" s="225"/>
      <c r="BB4203" s="225"/>
      <c r="BC4203" s="56"/>
      <c r="BD4203" s="56"/>
      <c r="BE4203" s="56"/>
      <c r="BF4203" s="107" t="str">
        <f t="shared" si="3224"/>
        <v>https://www.google.com/search?tbm=isch&amp;q=Z%20</v>
      </c>
      <c r="BG4203" s="107" t="str">
        <f t="shared" si="3225"/>
        <v>Z</v>
      </c>
      <c r="BH4203" s="254"/>
      <c r="BI4203" s="254"/>
    </row>
    <row r="4204" spans="1:61" customFormat="1" ht="18" x14ac:dyDescent="0.25">
      <c r="A4204" s="523" t="s">
        <v>2084</v>
      </c>
      <c r="B4204" s="235"/>
      <c r="C4204" s="676"/>
      <c r="D4204" s="255" t="s">
        <v>2085</v>
      </c>
      <c r="E4204" s="236"/>
      <c r="F4204" s="236"/>
      <c r="G4204" s="236"/>
      <c r="H4204" s="582" t="s">
        <v>1164</v>
      </c>
      <c r="I4204" s="498" t="s">
        <v>4235</v>
      </c>
      <c r="J4204" s="237"/>
      <c r="K4204" s="237"/>
      <c r="L4204" s="274"/>
      <c r="M4204" s="668" t="s">
        <v>4962</v>
      </c>
      <c r="N4204" s="681" t="str">
        <f>IF(AND(ISTEXT($A4204), ISERROR($A4204+0)), HYPERLINK($BF4204, "Images"), "")</f>
        <v>Images</v>
      </c>
      <c r="O4204" s="663" t="s">
        <v>4969</v>
      </c>
      <c r="P4204" s="253"/>
      <c r="Q4204" s="238"/>
      <c r="R4204" s="239"/>
      <c r="S4204" s="275"/>
      <c r="T4204" s="508">
        <f t="shared" si="3213"/>
        <v>0</v>
      </c>
      <c r="U4204" s="225" t="str">
        <f>IF(NOT(ISNUMBER(G4204)), "", VLOOKUP(A4204,'Discount Lookup'!D:E,2,FALSE)*G4204)</f>
        <v/>
      </c>
      <c r="V4204" s="225" t="str">
        <f>IF(NOT(ISNUMBER(G4204)), "", VLOOKUP(A4204,'Discount Lookup'!G:H,2,FALSE)*G4204)</f>
        <v/>
      </c>
      <c r="W4204" s="508">
        <f t="shared" si="3214"/>
        <v>0</v>
      </c>
      <c r="X4204" s="508" t="str">
        <f t="shared" si="3215"/>
        <v>Golden-Yellow rays, Dark Yellow eye</v>
      </c>
      <c r="Y4204" s="509" t="b">
        <f t="shared" si="3216"/>
        <v>0</v>
      </c>
      <c r="Z4204" s="510">
        <f t="shared" si="3217"/>
        <v>0</v>
      </c>
      <c r="AA4204" s="511"/>
      <c r="AB4204" s="511" t="str">
        <f t="shared" si="3218"/>
        <v/>
      </c>
      <c r="AC4204" s="698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698"/>
      <c r="AE4204" s="631" t="str">
        <f t="shared" si="3219"/>
        <v/>
      </c>
      <c r="AF4204" s="699" t="str">
        <f t="shared" si="3220"/>
        <v/>
      </c>
      <c r="AG4204" s="699"/>
      <c r="AH4204" s="699"/>
      <c r="AI4204" s="512">
        <f>IF(H4204="credit",0,IF(AE4204="free",0,IF(AE4204="me",0,IF(G4204&gt;0,(VLOOKUP(A4204,'Discount Lookup'!J:K,2)*G4204),0))))</f>
        <v>0</v>
      </c>
      <c r="AJ4204" s="513" t="str">
        <f t="shared" ca="1" si="3221"/>
        <v/>
      </c>
      <c r="AK4204" s="700" t="str">
        <f t="shared" si="3222"/>
        <v/>
      </c>
      <c r="AL4204" s="700"/>
      <c r="AM4204" s="505" t="str">
        <f t="shared" si="3223"/>
        <v/>
      </c>
      <c r="AN4204" s="506"/>
      <c r="AO4204" s="507"/>
      <c r="AP4204" s="507"/>
      <c r="AQ4204" s="507"/>
      <c r="AR4204" s="507"/>
      <c r="AS4204" s="507"/>
      <c r="AT4204" s="507"/>
      <c r="AU4204" s="507"/>
      <c r="AV4204" s="225"/>
      <c r="AW4204" s="508"/>
      <c r="AX4204" s="225"/>
      <c r="AY4204" s="225"/>
      <c r="AZ4204" s="225"/>
      <c r="BA4204" s="225"/>
      <c r="BB4204" s="225"/>
      <c r="BC4204" s="56"/>
      <c r="BD4204" s="56"/>
      <c r="BE4204" s="56"/>
      <c r="BF4204" s="107" t="str">
        <f t="shared" si="3224"/>
        <v>https://www.google.com/search?tbm=isch&amp;q=Zagreb%20Tickseed%20Coreopsis%20verticillata%20%27Zagreb%27</v>
      </c>
      <c r="BG4204" s="107" t="str">
        <f t="shared" si="3225"/>
        <v>Z</v>
      </c>
      <c r="BH4204" s="254"/>
      <c r="BI4204" s="254"/>
    </row>
    <row r="4205" spans="1:61" customFormat="1" ht="15.75" x14ac:dyDescent="0.25">
      <c r="A4205" s="276">
        <v>2</v>
      </c>
      <c r="B4205" s="240" t="s">
        <v>291</v>
      </c>
      <c r="C4205" s="241"/>
      <c r="D4205" s="242" t="s">
        <v>300</v>
      </c>
      <c r="E4205" s="243">
        <v>28.95</v>
      </c>
      <c r="F4205" s="517" t="s">
        <v>293</v>
      </c>
      <c r="G4205" s="232">
        <v>0</v>
      </c>
      <c r="H4205" s="661" t="str">
        <f>IF(G4205=0,"",IF(F4205="Buy",IF(G4205=1,"plant","plants"),IF(F4205&gt;0.01,"warranty","Error")))</f>
        <v/>
      </c>
      <c r="I4205" s="244">
        <f>IF(H4205="free",0,IF(H4205="credit",((E4205*(F4205))*G4205*-1),IF(F4205="Buy",(E4205*G4205),((E4205*(1-F4205))*G4205))))</f>
        <v>0</v>
      </c>
      <c r="J4205" s="244">
        <f>IF(H4205="warranty",0,(I4205*(_xlfn.SINGLE(SalesTaxPercentage))))</f>
        <v>0</v>
      </c>
      <c r="K4205" s="696">
        <f t="shared" ref="K4205" si="3247">I4205+J4205</f>
        <v>0</v>
      </c>
      <c r="L4205" s="696"/>
      <c r="M4205" s="659" t="str">
        <f>IF(AND(G4205&gt;0,E4205=0),"WARNING - no PRICE inserted",IF(H4205="free"," FREE ~ no charge this plant",IF(H4205="credit",CONCATENATE(" -$",ROUND(K4205*(1-T2GDiscount)*-1,2)," CREDIT after discount"),IF(T2GDiscount=0,"",IF(G4205=0,"",IF(F4205="Buy",CONCATENATE(" $",ROUND(K4205*(1-T2GDiscount),2)," with ",(T2GDiscount*100),"% discount"),CONCATENATE(" $",ROUND(K4205*(1-T2GDiscount),2)," with ",((T2GDiscount*100+F4205*100)-(T2GDiscount*100*F4205)),IF(F4205&gt;0,"% discounts",IF(NoWarrantyDiscount&gt;0,"% discounts","% discount")))))))))</f>
        <v/>
      </c>
      <c r="N4205" s="660"/>
      <c r="O4205" s="233"/>
      <c r="P4205" s="233"/>
      <c r="Q4205" s="233"/>
      <c r="R4205" s="233"/>
      <c r="S4205" s="233"/>
      <c r="T4205" s="508">
        <f t="shared" si="3213"/>
        <v>0</v>
      </c>
      <c r="U4205" s="225">
        <f>IF(NOT(ISNUMBER(G4205)), "", VLOOKUP(A4205,'Discount Lookup'!D:E,2,FALSE)*G4205)</f>
        <v>0</v>
      </c>
      <c r="V4205" s="225">
        <f>IF(NOT(ISNUMBER(G4205)), "", VLOOKUP(A4205,'Discount Lookup'!G:H,2,FALSE)*G4205)</f>
        <v>0</v>
      </c>
      <c r="W4205" s="508">
        <f t="shared" si="3214"/>
        <v>0</v>
      </c>
      <c r="X4205" s="508">
        <f t="shared" si="3215"/>
        <v>0</v>
      </c>
      <c r="Y4205" s="509" t="b">
        <f t="shared" si="3216"/>
        <v>0</v>
      </c>
      <c r="Z4205" s="510">
        <f t="shared" si="3217"/>
        <v>0</v>
      </c>
      <c r="AA4205" s="511"/>
      <c r="AB4205" s="511" t="str">
        <f t="shared" si="3218"/>
        <v/>
      </c>
      <c r="AC4205" s="698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698"/>
      <c r="AE4205" s="631" t="str">
        <f t="shared" si="3219"/>
        <v/>
      </c>
      <c r="AF4205" s="699" t="str">
        <f t="shared" si="3220"/>
        <v/>
      </c>
      <c r="AG4205" s="699"/>
      <c r="AH4205" s="699"/>
      <c r="AI4205" s="512">
        <f>IF(H4205="credit",0,IF(AE4205="free",0,IF(AE4205="me",0,IF(G4205&gt;0,(VLOOKUP(A4205,'Discount Lookup'!J:K,2)*G4205),0))))</f>
        <v>0</v>
      </c>
      <c r="AJ4205" s="513" t="str">
        <f t="shared" ca="1" si="3221"/>
        <v/>
      </c>
      <c r="AK4205" s="700" t="str">
        <f t="shared" si="3222"/>
        <v/>
      </c>
      <c r="AL4205" s="700"/>
      <c r="AM4205" s="505" t="str">
        <f t="shared" si="3223"/>
        <v/>
      </c>
      <c r="AN4205" s="506"/>
      <c r="AO4205" s="507"/>
      <c r="AP4205" s="507"/>
      <c r="AQ4205" s="507"/>
      <c r="AR4205" s="507"/>
      <c r="AS4205" s="507"/>
      <c r="AT4205" s="507"/>
      <c r="AU4205" s="507"/>
      <c r="AV4205" s="225"/>
      <c r="AW4205" s="508"/>
      <c r="AX4205" s="225"/>
      <c r="AY4205" s="225"/>
      <c r="AZ4205" s="225"/>
      <c r="BA4205" s="225"/>
      <c r="BB4205" s="225"/>
      <c r="BC4205" s="56"/>
      <c r="BD4205" s="56"/>
      <c r="BE4205" s="56"/>
      <c r="BF4205" s="107" t="str">
        <f t="shared" si="3224"/>
        <v>https://www.google.com/search?tbm=isch&amp;q=2%20G6</v>
      </c>
      <c r="BG4205" s="107" t="str">
        <f t="shared" si="3225"/>
        <v>Z</v>
      </c>
      <c r="BH4205" s="254"/>
      <c r="BI4205" s="254"/>
    </row>
    <row r="4206" spans="1:61" customFormat="1" ht="17.25" thickBot="1" x14ac:dyDescent="0.3">
      <c r="A4206" s="524" t="s">
        <v>4236</v>
      </c>
      <c r="B4206" s="245"/>
      <c r="C4206" s="677"/>
      <c r="D4206" s="499"/>
      <c r="E4206" s="499"/>
      <c r="F4206" s="500"/>
      <c r="G4206" s="501"/>
      <c r="H4206" s="502"/>
      <c r="I4206" s="246"/>
      <c r="J4206" s="247"/>
      <c r="K4206" s="503"/>
      <c r="L4206" s="544"/>
      <c r="M4206" s="544"/>
      <c r="N4206" s="500"/>
      <c r="O4206" s="500"/>
      <c r="P4206" s="500"/>
      <c r="Q4206" s="500"/>
      <c r="R4206" s="500"/>
      <c r="S4206" s="669" t="s">
        <v>4980</v>
      </c>
      <c r="T4206" s="508">
        <f t="shared" si="3213"/>
        <v>0</v>
      </c>
      <c r="U4206" s="225" t="str">
        <f>IF(NOT(ISNUMBER(G4206)), "", VLOOKUP(A4206,'Discount Lookup'!D:E,2,FALSE)*G4206)</f>
        <v/>
      </c>
      <c r="V4206" s="225" t="str">
        <f>IF(NOT(ISNUMBER(G4206)), "", VLOOKUP(A4206,'Discount Lookup'!G:H,2,FALSE)*G4206)</f>
        <v/>
      </c>
      <c r="W4206" s="508">
        <f t="shared" si="3214"/>
        <v>0</v>
      </c>
      <c r="X4206" s="508">
        <f t="shared" si="3215"/>
        <v>0</v>
      </c>
      <c r="Y4206" s="509" t="b">
        <f t="shared" si="3216"/>
        <v>0</v>
      </c>
      <c r="Z4206" s="510">
        <f t="shared" si="3217"/>
        <v>0</v>
      </c>
      <c r="AA4206" s="511"/>
      <c r="AB4206" s="511" t="str">
        <f t="shared" si="3218"/>
        <v/>
      </c>
      <c r="AC4206" s="698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698"/>
      <c r="AE4206" s="631" t="str">
        <f t="shared" si="3219"/>
        <v/>
      </c>
      <c r="AF4206" s="699" t="str">
        <f t="shared" si="3220"/>
        <v/>
      </c>
      <c r="AG4206" s="699"/>
      <c r="AH4206" s="699"/>
      <c r="AI4206" s="512">
        <f>IF(H4206="credit",0,IF(AE4206="free",0,IF(AE4206="me",0,IF(G4206&gt;0,(VLOOKUP(A4206,'Discount Lookup'!J:K,2)*G4206),0))))</f>
        <v>0</v>
      </c>
      <c r="AJ4206" s="513" t="str">
        <f t="shared" ca="1" si="3221"/>
        <v/>
      </c>
      <c r="AK4206" s="700" t="str">
        <f t="shared" si="3222"/>
        <v/>
      </c>
      <c r="AL4206" s="700"/>
      <c r="AM4206" s="505" t="str">
        <f t="shared" si="3223"/>
        <v/>
      </c>
      <c r="AN4206" s="506"/>
      <c r="AO4206" s="507"/>
      <c r="AP4206" s="507"/>
      <c r="AQ4206" s="507"/>
      <c r="AR4206" s="507"/>
      <c r="AS4206" s="507"/>
      <c r="AT4206" s="507"/>
      <c r="AU4206" s="507"/>
      <c r="AV4206" s="225"/>
      <c r="AW4206" s="508"/>
      <c r="AX4206" s="225"/>
      <c r="AY4206" s="225"/>
      <c r="AZ4206" s="225"/>
      <c r="BA4206" s="225"/>
      <c r="BB4206" s="225"/>
      <c r="BC4206" s="56"/>
      <c r="BD4206" s="56"/>
      <c r="BE4206" s="56"/>
      <c r="BF4206" s="107" t="str">
        <f t="shared" si="3224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206" s="107" t="str">
        <f t="shared" si="3225"/>
        <v>Z</v>
      </c>
      <c r="BH4206" s="254"/>
      <c r="BI4206" s="254"/>
    </row>
    <row r="4207" spans="1:61" customFormat="1" ht="18" x14ac:dyDescent="0.25">
      <c r="A4207" s="521" t="s">
        <v>2086</v>
      </c>
      <c r="B4207" s="477"/>
      <c r="C4207" s="674"/>
      <c r="D4207" s="478" t="s">
        <v>2087</v>
      </c>
      <c r="E4207" s="479"/>
      <c r="F4207" s="479"/>
      <c r="G4207" s="479"/>
      <c r="H4207" s="582" t="s">
        <v>321</v>
      </c>
      <c r="I4207" s="480" t="s">
        <v>2594</v>
      </c>
      <c r="J4207" s="479"/>
      <c r="K4207" s="479"/>
      <c r="L4207" s="560"/>
      <c r="M4207" s="671" t="s">
        <v>4985</v>
      </c>
      <c r="N4207" s="680" t="str">
        <f>IF(AND(ISTEXT($A4207), ISERROR($A4207+0)), HYPERLINK($BF4207, "Images"), "")</f>
        <v>Images</v>
      </c>
      <c r="O4207" s="662" t="s">
        <v>4967</v>
      </c>
      <c r="P4207" s="482"/>
      <c r="Q4207" s="483"/>
      <c r="R4207" s="483"/>
      <c r="S4207" s="484"/>
      <c r="T4207" s="508">
        <f t="shared" si="3213"/>
        <v>0</v>
      </c>
      <c r="U4207" s="225" t="str">
        <f>IF(NOT(ISNUMBER(G4207)), "", VLOOKUP(A4207,'Discount Lookup'!D:E,2,FALSE)*G4207)</f>
        <v/>
      </c>
      <c r="V4207" s="225" t="str">
        <f>IF(NOT(ISNUMBER(G4207)), "", VLOOKUP(A4207,'Discount Lookup'!G:H,2,FALSE)*G4207)</f>
        <v/>
      </c>
      <c r="W4207" s="508">
        <f t="shared" si="3214"/>
        <v>0</v>
      </c>
      <c r="X4207" s="508" t="str">
        <f t="shared" si="3215"/>
        <v>Fuchsia-Pink bloom</v>
      </c>
      <c r="Y4207" s="509" t="b">
        <f t="shared" si="3216"/>
        <v>0</v>
      </c>
      <c r="Z4207" s="510">
        <f t="shared" si="3217"/>
        <v>0</v>
      </c>
      <c r="AA4207" s="511"/>
      <c r="AB4207" s="511" t="str">
        <f t="shared" si="3218"/>
        <v/>
      </c>
      <c r="AC4207" s="698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698"/>
      <c r="AE4207" s="631" t="str">
        <f t="shared" si="3219"/>
        <v/>
      </c>
      <c r="AF4207" s="699" t="str">
        <f t="shared" si="3220"/>
        <v/>
      </c>
      <c r="AG4207" s="699"/>
      <c r="AH4207" s="699"/>
      <c r="AI4207" s="512">
        <f>IF(H4207="credit",0,IF(AE4207="free",0,IF(AE4207="me",0,IF(G4207&gt;0,(VLOOKUP(A4207,'Discount Lookup'!J:K,2)*G4207),0))))</f>
        <v>0</v>
      </c>
      <c r="AJ4207" s="513" t="str">
        <f t="shared" ca="1" si="3221"/>
        <v/>
      </c>
      <c r="AK4207" s="700" t="str">
        <f t="shared" si="3222"/>
        <v/>
      </c>
      <c r="AL4207" s="700"/>
      <c r="AM4207" s="505" t="str">
        <f t="shared" si="3223"/>
        <v/>
      </c>
      <c r="AN4207" s="506"/>
      <c r="AO4207" s="507"/>
      <c r="AP4207" s="507"/>
      <c r="AQ4207" s="507"/>
      <c r="AR4207" s="507"/>
      <c r="AS4207" s="507"/>
      <c r="AT4207" s="507"/>
      <c r="AU4207" s="507"/>
      <c r="AV4207" s="225"/>
      <c r="AW4207" s="508"/>
      <c r="AX4207" s="225"/>
      <c r="AY4207" s="225"/>
      <c r="AZ4207" s="225"/>
      <c r="BA4207" s="225"/>
      <c r="BB4207" s="225"/>
      <c r="BC4207" s="56"/>
      <c r="BD4207" s="56"/>
      <c r="BE4207" s="56"/>
      <c r="BF4207" s="107" t="str">
        <f t="shared" si="3224"/>
        <v>https://www.google.com/search?tbm=isch&amp;q=Zhuzhou%20Loropetalum%20Loropetalum%20chin.%20var.%20r.%20%27Zhuzhou%20Fuchsia%27</v>
      </c>
      <c r="BG4207" s="107" t="str">
        <f t="shared" si="3225"/>
        <v>Z</v>
      </c>
      <c r="BH4207" s="254"/>
      <c r="BI4207" s="254"/>
    </row>
    <row r="4208" spans="1:61" customFormat="1" ht="15.75" x14ac:dyDescent="0.25">
      <c r="A4208" s="485">
        <v>10</v>
      </c>
      <c r="B4208" s="486" t="s">
        <v>291</v>
      </c>
      <c r="C4208" s="487" t="s">
        <v>3878</v>
      </c>
      <c r="D4208" s="488" t="s">
        <v>292</v>
      </c>
      <c r="E4208" s="489">
        <v>201.95</v>
      </c>
      <c r="F4208" s="516" t="s">
        <v>293</v>
      </c>
      <c r="G4208" s="232">
        <v>0</v>
      </c>
      <c r="H4208" s="658" t="str">
        <f>IF(G4208=0,"",IF(F4208="Buy",IF(G4208=1,"plant","plants"),IF(F4208&gt;0.01,"warranty","Error")))</f>
        <v/>
      </c>
      <c r="I4208" s="490">
        <f>IF(H4208="free",0,IF(H4208="credit",((E4208*(F4208))*G4208*-1),IF(F4208="Buy",(E4208*G4208),((E4208*(1-F4208))*G4208))))</f>
        <v>0</v>
      </c>
      <c r="J4208" s="490">
        <f>IF(H4208="warranty",0,(I4208*(_xlfn.SINGLE(SalesTaxPercentage))))</f>
        <v>0</v>
      </c>
      <c r="K4208" s="695">
        <f t="shared" ref="K4208" si="3248">I4208+J4208</f>
        <v>0</v>
      </c>
      <c r="L4208" s="695"/>
      <c r="M4208" s="659" t="str">
        <f>IF(AND(G4208&gt;0,E4208=0),"WARNING - no PRICE inserted",IF(H4208="free"," FREE ~ no charge this plant",IF(H4208="credit",CONCATENATE(" -$",ROUND(K4208*(1-T2GDiscount)*-1,2)," CREDIT after discount"),IF(T2GDiscount=0,"",IF(G4208=0,"",IF(F4208="Buy",CONCATENATE(" $",ROUND(K4208*(1-T2GDiscount),2)," with ",(T2GDiscount*100),"% discount"),CONCATENATE(" $",ROUND(K4208*(1-T2GDiscount),2)," with ",((T2GDiscount*100+F4208*100)-(T2GDiscount*100*F4208)),IF(F4208&gt;0,"% discounts",IF(NoWarrantyDiscount&gt;0,"% discounts","% discount")))))))))</f>
        <v/>
      </c>
      <c r="N4208" s="660"/>
      <c r="O4208" s="233"/>
      <c r="P4208" s="233"/>
      <c r="Q4208" s="233"/>
      <c r="R4208" s="233"/>
      <c r="S4208" s="233"/>
      <c r="T4208" s="508">
        <f t="shared" si="3213"/>
        <v>0</v>
      </c>
      <c r="U4208" s="225">
        <f>IF(NOT(ISNUMBER(G4208)), "", VLOOKUP(A4208,'Discount Lookup'!D:E,2,FALSE)*G4208)</f>
        <v>0</v>
      </c>
      <c r="V4208" s="225">
        <f>IF(NOT(ISNUMBER(G4208)), "", VLOOKUP(A4208,'Discount Lookup'!G:H,2,FALSE)*G4208)</f>
        <v>0</v>
      </c>
      <c r="W4208" s="508">
        <f t="shared" si="3214"/>
        <v>0</v>
      </c>
      <c r="X4208" s="508">
        <f t="shared" si="3215"/>
        <v>0</v>
      </c>
      <c r="Y4208" s="509" t="b">
        <f t="shared" si="3216"/>
        <v>0</v>
      </c>
      <c r="Z4208" s="510">
        <f t="shared" si="3217"/>
        <v>0</v>
      </c>
      <c r="AA4208" s="511"/>
      <c r="AB4208" s="511" t="str">
        <f t="shared" si="3218"/>
        <v/>
      </c>
      <c r="AC4208" s="698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698"/>
      <c r="AE4208" s="631" t="str">
        <f t="shared" si="3219"/>
        <v/>
      </c>
      <c r="AF4208" s="699" t="str">
        <f t="shared" si="3220"/>
        <v/>
      </c>
      <c r="AG4208" s="699"/>
      <c r="AH4208" s="699"/>
      <c r="AI4208" s="512">
        <f>IF(H4208="credit",0,IF(AE4208="free",0,IF(AE4208="me",0,IF(G4208&gt;0,(VLOOKUP(A4208,'Discount Lookup'!J:K,2)*G4208),0))))</f>
        <v>0</v>
      </c>
      <c r="AJ4208" s="513" t="str">
        <f t="shared" ca="1" si="3221"/>
        <v/>
      </c>
      <c r="AK4208" s="700" t="str">
        <f t="shared" si="3222"/>
        <v/>
      </c>
      <c r="AL4208" s="700"/>
      <c r="AM4208" s="505" t="str">
        <f t="shared" si="3223"/>
        <v/>
      </c>
      <c r="AN4208" s="506"/>
      <c r="AO4208" s="507"/>
      <c r="AP4208" s="507"/>
      <c r="AQ4208" s="507"/>
      <c r="AR4208" s="507"/>
      <c r="AS4208" s="507"/>
      <c r="AT4208" s="507"/>
      <c r="AU4208" s="507"/>
      <c r="AV4208" s="225"/>
      <c r="AW4208" s="508"/>
      <c r="AX4208" s="225"/>
      <c r="AY4208" s="225"/>
      <c r="AZ4208" s="225"/>
      <c r="BA4208" s="225"/>
      <c r="BB4208" s="225"/>
      <c r="BC4208" s="56"/>
      <c r="BD4208" s="56"/>
      <c r="BE4208" s="56"/>
      <c r="BF4208" s="107" t="str">
        <f t="shared" si="3224"/>
        <v>https://www.google.com/search?tbm=isch&amp;q=10%20G4</v>
      </c>
      <c r="BG4208" s="107" t="str">
        <f t="shared" si="3225"/>
        <v>Z</v>
      </c>
      <c r="BH4208" s="254"/>
      <c r="BI4208" s="254"/>
    </row>
    <row r="4209" spans="1:61" customFormat="1" ht="16.5" thickBot="1" x14ac:dyDescent="0.3">
      <c r="A4209" s="522" t="s">
        <v>2979</v>
      </c>
      <c r="B4209" s="491"/>
      <c r="C4209" s="675"/>
      <c r="D4209" s="491"/>
      <c r="E4209" s="491"/>
      <c r="F4209" s="492"/>
      <c r="G4209" s="493"/>
      <c r="H4209" s="491"/>
      <c r="I4209" s="234"/>
      <c r="J4209" s="234"/>
      <c r="K4209" s="494"/>
      <c r="L4209" s="543"/>
      <c r="M4209" s="561"/>
      <c r="N4209" s="495"/>
      <c r="O4209" s="496"/>
      <c r="P4209" s="497"/>
      <c r="Q4209" s="495"/>
      <c r="R4209" s="495"/>
      <c r="S4209" s="277"/>
      <c r="T4209" s="508">
        <f t="shared" si="3213"/>
        <v>0</v>
      </c>
      <c r="U4209" s="225" t="str">
        <f>IF(NOT(ISNUMBER(G4209)), "", VLOOKUP(A4209,'Discount Lookup'!D:E,2,FALSE)*G4209)</f>
        <v/>
      </c>
      <c r="V4209" s="225" t="str">
        <f>IF(NOT(ISNUMBER(G4209)), "", VLOOKUP(A4209,'Discount Lookup'!G:H,2,FALSE)*G4209)</f>
        <v/>
      </c>
      <c r="W4209" s="508">
        <f t="shared" si="3214"/>
        <v>0</v>
      </c>
      <c r="X4209" s="508">
        <f t="shared" si="3215"/>
        <v>0</v>
      </c>
      <c r="Y4209" s="509" t="b">
        <f t="shared" si="3216"/>
        <v>0</v>
      </c>
      <c r="Z4209" s="510">
        <f t="shared" si="3217"/>
        <v>0</v>
      </c>
      <c r="AA4209" s="511"/>
      <c r="AB4209" s="511" t="str">
        <f t="shared" si="3218"/>
        <v/>
      </c>
      <c r="AC4209" s="698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698"/>
      <c r="AE4209" s="631" t="str">
        <f t="shared" si="3219"/>
        <v/>
      </c>
      <c r="AF4209" s="699" t="str">
        <f t="shared" si="3220"/>
        <v/>
      </c>
      <c r="AG4209" s="699"/>
      <c r="AH4209" s="699"/>
      <c r="AI4209" s="512">
        <f>IF(H4209="credit",0,IF(AE4209="free",0,IF(AE4209="me",0,IF(G4209&gt;0,(VLOOKUP(A4209,'Discount Lookup'!J:K,2)*G4209),0))))</f>
        <v>0</v>
      </c>
      <c r="AJ4209" s="513" t="str">
        <f t="shared" ca="1" si="3221"/>
        <v/>
      </c>
      <c r="AK4209" s="700" t="str">
        <f t="shared" si="3222"/>
        <v/>
      </c>
      <c r="AL4209" s="700"/>
      <c r="AM4209" s="505" t="str">
        <f t="shared" si="3223"/>
        <v/>
      </c>
      <c r="AN4209" s="506"/>
      <c r="AO4209" s="507"/>
      <c r="AP4209" s="507"/>
      <c r="AQ4209" s="507"/>
      <c r="AR4209" s="507"/>
      <c r="AS4209" s="507"/>
      <c r="AT4209" s="507"/>
      <c r="AU4209" s="507"/>
      <c r="AV4209" s="225"/>
      <c r="AW4209" s="508"/>
      <c r="AX4209" s="225"/>
      <c r="AY4209" s="225"/>
      <c r="AZ4209" s="225"/>
      <c r="BA4209" s="225"/>
      <c r="BB4209" s="225"/>
      <c r="BC4209" s="56"/>
      <c r="BD4209" s="56"/>
      <c r="BE4209" s="56"/>
      <c r="BF4209" s="107" t="str">
        <f t="shared" si="3224"/>
        <v>https://www.google.com/search?tbm=isch&amp;q=Zhuzhou%20Loropetalum%20is%20tall%2C%20upright%2C%20and%20vase-shpaed%2C%20with%20intense%20Purple%20foliage.%20Fringe-like%20flowers%20bloom%20periodically%20after%20spring%20</v>
      </c>
      <c r="BG4209" s="107" t="str">
        <f t="shared" si="3225"/>
        <v>Z</v>
      </c>
      <c r="BH4209" s="254"/>
      <c r="BI4209" s="254"/>
    </row>
    <row r="4210" spans="1:61" customFormat="1" ht="18" x14ac:dyDescent="0.25">
      <c r="A4210" s="523" t="s">
        <v>5576</v>
      </c>
      <c r="B4210" s="235"/>
      <c r="C4210" s="676"/>
      <c r="D4210" s="255" t="s">
        <v>2088</v>
      </c>
      <c r="E4210" s="236"/>
      <c r="F4210" s="236"/>
      <c r="G4210" s="236"/>
      <c r="H4210" s="582" t="s">
        <v>378</v>
      </c>
      <c r="I4210" s="498" t="s">
        <v>2253</v>
      </c>
      <c r="J4210" s="237"/>
      <c r="K4210" s="237"/>
      <c r="L4210" s="274"/>
      <c r="M4210" s="668" t="s">
        <v>4975</v>
      </c>
      <c r="N4210" s="681" t="str">
        <f>IF(AND(ISTEXT($A4210), ISERROR($A4210+0)), HYPERLINK($BF4210, "Images"), "")</f>
        <v>Images</v>
      </c>
      <c r="O4210" s="663" t="s">
        <v>4967</v>
      </c>
      <c r="P4210" s="253"/>
      <c r="Q4210" s="238"/>
      <c r="R4210" s="239"/>
      <c r="S4210" s="275" t="s">
        <v>305</v>
      </c>
      <c r="T4210" s="508">
        <f t="shared" si="3213"/>
        <v>0</v>
      </c>
      <c r="U4210" s="225" t="str">
        <f>IF(NOT(ISNUMBER(G4210)), "", VLOOKUP(A4210,'Discount Lookup'!D:E,2,FALSE)*G4210)</f>
        <v/>
      </c>
      <c r="V4210" s="225" t="str">
        <f>IF(NOT(ISNUMBER(G4210)), "", VLOOKUP(A4210,'Discount Lookup'!G:H,2,FALSE)*G4210)</f>
        <v/>
      </c>
      <c r="W4210" s="508">
        <f t="shared" si="3214"/>
        <v>0</v>
      </c>
      <c r="X4210" s="508" t="str">
        <f t="shared" si="3215"/>
        <v>Pink-Purple bloom</v>
      </c>
      <c r="Y4210" s="509" t="b">
        <f t="shared" si="3216"/>
        <v>0</v>
      </c>
      <c r="Z4210" s="510">
        <f t="shared" si="3217"/>
        <v>0</v>
      </c>
      <c r="AA4210" s="511"/>
      <c r="AB4210" s="511" t="str">
        <f t="shared" si="3218"/>
        <v/>
      </c>
      <c r="AC4210" s="698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698"/>
      <c r="AE4210" s="631" t="str">
        <f t="shared" si="3219"/>
        <v/>
      </c>
      <c r="AF4210" s="699" t="str">
        <f t="shared" si="3220"/>
        <v/>
      </c>
      <c r="AG4210" s="699"/>
      <c r="AH4210" s="699"/>
      <c r="AI4210" s="512">
        <f>IF(H4210="credit",0,IF(AE4210="free",0,IF(AE4210="me",0,IF(G4210&gt;0,(VLOOKUP(A4210,'Discount Lookup'!J:K,2)*G4210),0))))</f>
        <v>0</v>
      </c>
      <c r="AJ4210" s="513" t="str">
        <f t="shared" ca="1" si="3221"/>
        <v/>
      </c>
      <c r="AK4210" s="700" t="str">
        <f t="shared" si="3222"/>
        <v/>
      </c>
      <c r="AL4210" s="700"/>
      <c r="AM4210" s="505" t="str">
        <f t="shared" si="3223"/>
        <v/>
      </c>
      <c r="AN4210" s="506"/>
      <c r="AO4210" s="507"/>
      <c r="AP4210" s="507"/>
      <c r="AQ4210" s="507"/>
      <c r="AR4210" s="507"/>
      <c r="AS4210" s="507"/>
      <c r="AT4210" s="507"/>
      <c r="AU4210" s="507"/>
      <c r="AV4210" s="225"/>
      <c r="AW4210" s="508"/>
      <c r="AX4210" s="225"/>
      <c r="AY4210" s="225"/>
      <c r="AZ4210" s="225"/>
      <c r="BA4210" s="225"/>
      <c r="BB4210" s="225"/>
      <c r="BC4210" s="56"/>
      <c r="BD4210" s="56"/>
      <c r="BE4210" s="56"/>
      <c r="BF4210" s="107" t="str">
        <f t="shared" si="3224"/>
        <v>https://www.google.com/search?tbm=isch&amp;q=Zig%20Zag%C2%AE%20Redbud%20Cercis%20canadensis%20%27Seirb%27%20PP%2332895</v>
      </c>
      <c r="BG4210" s="107" t="str">
        <f t="shared" si="3225"/>
        <v>Z</v>
      </c>
      <c r="BH4210" s="254"/>
      <c r="BI4210" s="254"/>
    </row>
    <row r="4211" spans="1:61" customFormat="1" ht="27" x14ac:dyDescent="0.25">
      <c r="A4211" s="276">
        <v>5</v>
      </c>
      <c r="B4211" s="240" t="s">
        <v>291</v>
      </c>
      <c r="C4211" s="241" t="s">
        <v>3879</v>
      </c>
      <c r="D4211" s="242" t="s">
        <v>292</v>
      </c>
      <c r="E4211" s="243">
        <v>107.95</v>
      </c>
      <c r="F4211" s="517" t="s">
        <v>293</v>
      </c>
      <c r="G4211" s="232">
        <v>0</v>
      </c>
      <c r="H4211" s="661" t="str">
        <f>IF(G4211=0,"",IF(F4211="Buy",IF(G4211=1,"plant","plants"),IF(F4211&gt;0.01,"warranty","Error")))</f>
        <v/>
      </c>
      <c r="I4211" s="244">
        <f>IF(H4211="free",0,IF(H4211="credit",((E4211*(F4211))*G4211*-1),IF(F4211="Buy",(E4211*G4211),((E4211*(1-F4211))*G4211))))</f>
        <v>0</v>
      </c>
      <c r="J4211" s="244">
        <f>IF(H4211="warranty",0,(I4211*(_xlfn.SINGLE(SalesTaxPercentage))))</f>
        <v>0</v>
      </c>
      <c r="K4211" s="696">
        <f t="shared" ref="K4211" si="3249">I4211+J4211</f>
        <v>0</v>
      </c>
      <c r="L4211" s="696"/>
      <c r="M4211" s="659" t="str">
        <f>IF(AND(G4211&gt;0,E4211=0),"WARNING - no PRICE inserted",IF(H4211="free"," FREE ~ no charge this plant",IF(H4211="credit",CONCATENATE(" -$",ROUND(K4211*(1-T2GDiscount)*-1,2)," CREDIT after discount"),IF(T2GDiscount=0,"",IF(G4211=0,"",IF(F4211="Buy",CONCATENATE(" $",ROUND(K4211*(1-T2GDiscount),2)," with ",(T2GDiscount*100),"% discount"),CONCATENATE(" $",ROUND(K4211*(1-T2GDiscount),2)," with ",((T2GDiscount*100+F4211*100)-(T2GDiscount*100*F4211)),IF(F4211&gt;0,"% discounts",IF(NoWarrantyDiscount&gt;0,"% discounts","% discount")))))))))</f>
        <v/>
      </c>
      <c r="N4211" s="660"/>
      <c r="O4211" s="233"/>
      <c r="P4211" s="233"/>
      <c r="Q4211" s="233"/>
      <c r="R4211" s="233"/>
      <c r="S4211" s="233"/>
      <c r="T4211" s="508">
        <f t="shared" si="3213"/>
        <v>0</v>
      </c>
      <c r="U4211" s="225">
        <f>IF(NOT(ISNUMBER(G4211)), "", VLOOKUP(A4211,'Discount Lookup'!D:E,2,FALSE)*G4211)</f>
        <v>0</v>
      </c>
      <c r="V4211" s="225">
        <f>IF(NOT(ISNUMBER(G4211)), "", VLOOKUP(A4211,'Discount Lookup'!G:H,2,FALSE)*G4211)</f>
        <v>0</v>
      </c>
      <c r="W4211" s="508">
        <f t="shared" si="3214"/>
        <v>0</v>
      </c>
      <c r="X4211" s="508">
        <f t="shared" si="3215"/>
        <v>0</v>
      </c>
      <c r="Y4211" s="509" t="b">
        <f t="shared" si="3216"/>
        <v>0</v>
      </c>
      <c r="Z4211" s="510">
        <f t="shared" si="3217"/>
        <v>0</v>
      </c>
      <c r="AA4211" s="511"/>
      <c r="AB4211" s="511" t="str">
        <f t="shared" si="3218"/>
        <v/>
      </c>
      <c r="AC4211" s="698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698"/>
      <c r="AE4211" s="631" t="str">
        <f t="shared" si="3219"/>
        <v/>
      </c>
      <c r="AF4211" s="699" t="str">
        <f t="shared" si="3220"/>
        <v/>
      </c>
      <c r="AG4211" s="699"/>
      <c r="AH4211" s="699"/>
      <c r="AI4211" s="512">
        <f>IF(H4211="credit",0,IF(AE4211="free",0,IF(AE4211="me",0,IF(G4211&gt;0,(VLOOKUP(A4211,'Discount Lookup'!J:K,2)*G4211),0))))</f>
        <v>0</v>
      </c>
      <c r="AJ4211" s="513" t="str">
        <f t="shared" ca="1" si="3221"/>
        <v/>
      </c>
      <c r="AK4211" s="700" t="str">
        <f t="shared" si="3222"/>
        <v/>
      </c>
      <c r="AL4211" s="700"/>
      <c r="AM4211" s="505" t="str">
        <f t="shared" si="3223"/>
        <v/>
      </c>
      <c r="AN4211" s="506"/>
      <c r="AO4211" s="507"/>
      <c r="AP4211" s="507"/>
      <c r="AQ4211" s="507"/>
      <c r="AR4211" s="507"/>
      <c r="AS4211" s="507"/>
      <c r="AT4211" s="507"/>
      <c r="AU4211" s="507"/>
      <c r="AV4211" s="225"/>
      <c r="AW4211" s="508"/>
      <c r="AX4211" s="225"/>
      <c r="AY4211" s="225"/>
      <c r="AZ4211" s="225"/>
      <c r="BA4211" s="225"/>
      <c r="BB4211" s="225"/>
      <c r="BC4211" s="56"/>
      <c r="BD4211" s="56"/>
      <c r="BE4211" s="56"/>
      <c r="BF4211" s="107" t="str">
        <f t="shared" si="3224"/>
        <v>https://www.google.com/search?tbm=isch&amp;q=5%20G4</v>
      </c>
      <c r="BG4211" s="107" t="str">
        <f t="shared" si="3225"/>
        <v>Z</v>
      </c>
      <c r="BH4211" s="254"/>
      <c r="BI4211" s="254"/>
    </row>
    <row r="4212" spans="1:61" customFormat="1" ht="27" x14ac:dyDescent="0.25">
      <c r="A4212" s="276">
        <v>15</v>
      </c>
      <c r="B4212" s="240" t="s">
        <v>291</v>
      </c>
      <c r="C4212" s="241" t="s">
        <v>3880</v>
      </c>
      <c r="D4212" s="242" t="s">
        <v>292</v>
      </c>
      <c r="E4212" s="243">
        <v>201.95</v>
      </c>
      <c r="F4212" s="517" t="s">
        <v>293</v>
      </c>
      <c r="G4212" s="232">
        <v>0</v>
      </c>
      <c r="H4212" s="661" t="str">
        <f>IF(G4212=0,"",IF(F4212="Buy",IF(G4212=1,"plant","plants"),IF(F4212&gt;0.01,"warranty","Error")))</f>
        <v/>
      </c>
      <c r="I4212" s="244">
        <f>IF(H4212="free",0,IF(H4212="credit",((E4212*(F4212))*G4212*-1),IF(F4212="Buy",(E4212*G4212),((E4212*(1-F4212))*G4212))))</f>
        <v>0</v>
      </c>
      <c r="J4212" s="244">
        <f>IF(H4212="warranty",0,(I4212*(_xlfn.SINGLE(SalesTaxPercentage))))</f>
        <v>0</v>
      </c>
      <c r="K4212" s="696">
        <f t="shared" ref="K4212" si="3250">I4212+J4212</f>
        <v>0</v>
      </c>
      <c r="L4212" s="696"/>
      <c r="M4212" s="659" t="str">
        <f>IF(AND(G4212&gt;0,E4212=0),"WARNING - no PRICE inserted",IF(H4212="free"," FREE ~ no charge this plant",IF(H4212="credit",CONCATENATE(" -$",ROUND(K4212*(1-T2GDiscount)*-1,2)," CREDIT after discount"),IF(T2GDiscount=0,"",IF(G4212=0,"",IF(F4212="Buy",CONCATENATE(" $",ROUND(K4212*(1-T2GDiscount),2)," with ",(T2GDiscount*100),"% discount"),CONCATENATE(" $",ROUND(K4212*(1-T2GDiscount),2)," with ",((T2GDiscount*100+F4212*100)-(T2GDiscount*100*F4212)),IF(F4212&gt;0,"% discounts",IF(NoWarrantyDiscount&gt;0,"% discounts","% discount")))))))))</f>
        <v/>
      </c>
      <c r="N4212" s="660"/>
      <c r="O4212" s="233"/>
      <c r="P4212" s="233"/>
      <c r="Q4212" s="233"/>
      <c r="R4212" s="233"/>
      <c r="S4212" s="233"/>
      <c r="T4212" s="508">
        <f t="shared" si="3213"/>
        <v>0</v>
      </c>
      <c r="U4212" s="225">
        <f>IF(NOT(ISNUMBER(G4212)), "", VLOOKUP(A4212,'Discount Lookup'!D:E,2,FALSE)*G4212)</f>
        <v>0</v>
      </c>
      <c r="V4212" s="225">
        <f>IF(NOT(ISNUMBER(G4212)), "", VLOOKUP(A4212,'Discount Lookup'!G:H,2,FALSE)*G4212)</f>
        <v>0</v>
      </c>
      <c r="W4212" s="508">
        <f t="shared" si="3214"/>
        <v>0</v>
      </c>
      <c r="X4212" s="508">
        <f t="shared" si="3215"/>
        <v>0</v>
      </c>
      <c r="Y4212" s="509" t="b">
        <f t="shared" si="3216"/>
        <v>0</v>
      </c>
      <c r="Z4212" s="510">
        <f t="shared" si="3217"/>
        <v>0</v>
      </c>
      <c r="AA4212" s="511"/>
      <c r="AB4212" s="511" t="str">
        <f t="shared" si="3218"/>
        <v/>
      </c>
      <c r="AC4212" s="698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698"/>
      <c r="AE4212" s="631" t="str">
        <f t="shared" si="3219"/>
        <v/>
      </c>
      <c r="AF4212" s="699" t="str">
        <f t="shared" si="3220"/>
        <v/>
      </c>
      <c r="AG4212" s="699"/>
      <c r="AH4212" s="699"/>
      <c r="AI4212" s="512">
        <f>IF(H4212="credit",0,IF(AE4212="free",0,IF(AE4212="me",0,IF(G4212&gt;0,(VLOOKUP(A4212,'Discount Lookup'!J:K,2)*G4212),0))))</f>
        <v>0</v>
      </c>
      <c r="AJ4212" s="513" t="str">
        <f t="shared" ca="1" si="3221"/>
        <v/>
      </c>
      <c r="AK4212" s="700" t="str">
        <f t="shared" si="3222"/>
        <v/>
      </c>
      <c r="AL4212" s="700"/>
      <c r="AM4212" s="505" t="str">
        <f t="shared" si="3223"/>
        <v/>
      </c>
      <c r="AN4212" s="506"/>
      <c r="AO4212" s="507"/>
      <c r="AP4212" s="507"/>
      <c r="AQ4212" s="507"/>
      <c r="AR4212" s="507"/>
      <c r="AS4212" s="507"/>
      <c r="AT4212" s="507"/>
      <c r="AU4212" s="507"/>
      <c r="AV4212" s="225"/>
      <c r="AW4212" s="508"/>
      <c r="AX4212" s="225"/>
      <c r="AY4212" s="225"/>
      <c r="AZ4212" s="225"/>
      <c r="BA4212" s="225"/>
      <c r="BB4212" s="225"/>
      <c r="BC4212" s="56"/>
      <c r="BD4212" s="56"/>
      <c r="BE4212" s="56"/>
      <c r="BF4212" s="107" t="str">
        <f t="shared" si="3224"/>
        <v>https://www.google.com/search?tbm=isch&amp;q=15%20G4</v>
      </c>
      <c r="BG4212" s="107" t="str">
        <f t="shared" si="3225"/>
        <v>Z</v>
      </c>
      <c r="BH4212" s="254"/>
      <c r="BI4212" s="254"/>
    </row>
    <row r="4213" spans="1:61" customFormat="1" ht="16.5" x14ac:dyDescent="0.25">
      <c r="A4213" s="524" t="s">
        <v>4195</v>
      </c>
      <c r="B4213" s="245"/>
      <c r="C4213" s="677"/>
      <c r="D4213" s="499"/>
      <c r="E4213" s="499"/>
      <c r="F4213" s="500"/>
      <c r="G4213" s="501"/>
      <c r="H4213" s="502"/>
      <c r="I4213" s="246"/>
      <c r="J4213" s="247"/>
      <c r="K4213" s="503"/>
      <c r="L4213" s="544"/>
      <c r="M4213" s="544"/>
      <c r="N4213" s="500"/>
      <c r="O4213" s="500"/>
      <c r="P4213" s="500"/>
      <c r="Q4213" s="500"/>
      <c r="R4213" s="500"/>
      <c r="S4213" s="278"/>
      <c r="T4213" s="508">
        <f t="shared" si="3213"/>
        <v>0</v>
      </c>
      <c r="U4213" s="225" t="str">
        <f>IF(NOT(ISNUMBER(G4213)), "", VLOOKUP(A4213,'Discount Lookup'!D:E,2,FALSE)*G4213)</f>
        <v/>
      </c>
      <c r="V4213" s="225" t="str">
        <f>IF(NOT(ISNUMBER(G4213)), "", VLOOKUP(A4213,'Discount Lookup'!G:H,2,FALSE)*G4213)</f>
        <v/>
      </c>
      <c r="W4213" s="508">
        <f t="shared" si="3214"/>
        <v>0</v>
      </c>
      <c r="X4213" s="508">
        <f t="shared" si="3215"/>
        <v>0</v>
      </c>
      <c r="Y4213" s="509" t="b">
        <f t="shared" si="3216"/>
        <v>0</v>
      </c>
      <c r="Z4213" s="510">
        <f t="shared" si="3217"/>
        <v>0</v>
      </c>
      <c r="AA4213" s="511"/>
      <c r="AB4213" s="511" t="str">
        <f t="shared" si="3218"/>
        <v/>
      </c>
      <c r="AC4213" s="698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698"/>
      <c r="AE4213" s="631" t="str">
        <f t="shared" si="3219"/>
        <v/>
      </c>
      <c r="AF4213" s="699" t="str">
        <f t="shared" si="3220"/>
        <v/>
      </c>
      <c r="AG4213" s="699"/>
      <c r="AH4213" s="699"/>
      <c r="AI4213" s="512">
        <f>IF(H4213="credit",0,IF(AE4213="free",0,IF(AE4213="me",0,IF(G4213&gt;0,(VLOOKUP(A4213,'Discount Lookup'!J:K,2)*G4213),0))))</f>
        <v>0</v>
      </c>
      <c r="AJ4213" s="513" t="str">
        <f t="shared" ca="1" si="3221"/>
        <v/>
      </c>
      <c r="AK4213" s="700" t="str">
        <f t="shared" si="3222"/>
        <v/>
      </c>
      <c r="AL4213" s="700"/>
      <c r="AM4213" s="505" t="str">
        <f t="shared" si="3223"/>
        <v/>
      </c>
      <c r="AN4213" s="506"/>
      <c r="AO4213" s="507"/>
      <c r="AP4213" s="507"/>
      <c r="AQ4213" s="507"/>
      <c r="AR4213" s="507"/>
      <c r="AS4213" s="507"/>
      <c r="AT4213" s="507"/>
      <c r="AU4213" s="507"/>
      <c r="AV4213" s="225"/>
      <c r="AW4213" s="508"/>
      <c r="AX4213" s="225"/>
      <c r="AY4213" s="225"/>
      <c r="AZ4213" s="225"/>
      <c r="BA4213" s="225"/>
      <c r="BB4213" s="225"/>
      <c r="BC4213" s="56"/>
      <c r="BD4213" s="56"/>
      <c r="BE4213" s="56"/>
      <c r="BF4213" s="107" t="str">
        <f t="shared" si="3224"/>
        <v>https://www.google.com/search?tbm=isch&amp;q=Zig%20Zag%20is%20distinguished%20by%20its%20unique%20zigzagging%20branch%20structure%2C%20which%20provides%20exceptional%20winter%20interest.%20Foliage%20turns%20Yellow%20in%20fall%20</v>
      </c>
      <c r="BG4213" s="107" t="str">
        <f t="shared" si="3225"/>
        <v>Z</v>
      </c>
      <c r="BH4213" s="254"/>
      <c r="BI4213" s="254"/>
    </row>
    <row r="4214" spans="1:61" ht="15" customHeight="1" thickBot="1" x14ac:dyDescent="0.3">
      <c r="A4214"/>
      <c r="B4214"/>
      <c r="C4214" s="679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 s="508">
        <f t="shared" ref="T4214" si="3251">E4214*G4214</f>
        <v>0</v>
      </c>
      <c r="U4214" s="225" t="str">
        <f>IF(NOT(ISNUMBER(G4214)), "", VLOOKUP(A4214,'Discount Lookup'!D:E,2,FALSE)*G4214)</f>
        <v/>
      </c>
      <c r="V4214" s="225" t="str">
        <f>IF(NOT(ISNUMBER(G4214)), "", VLOOKUP(A4214,'Discount Lookup'!G:H,2,FALSE)*G4214)</f>
        <v/>
      </c>
      <c r="W4214" s="508">
        <f t="shared" ref="W4214" si="3252">IF(H4214="credit",0,E4214*(SalesTaxPercentage)*G4214)</f>
        <v>0</v>
      </c>
      <c r="X4214" s="508">
        <f t="shared" ref="X4214" si="3253">I4214</f>
        <v>0</v>
      </c>
      <c r="Y4214" s="509" t="b">
        <f t="shared" ref="Y4214" si="3254">IF(AE4214="T2G",0,IF(H4214="credit",0,IF(G4214&gt;0,IF(AE4214="me","",G4214))))</f>
        <v>0</v>
      </c>
      <c r="Z4214" s="510">
        <f t="shared" ref="Z4214" si="3255">IF(H4214="credit",G4214,0)</f>
        <v>0</v>
      </c>
      <c r="AA4214" s="511"/>
      <c r="AB4214" s="511" t="str">
        <f t="shared" ref="AB4214" si="3256">IF(AE4214="T2G","by Trees2Go",IF(H4214="credit","CREDIT only ~",IF(AND(K4214="",AE4214=OR(PlanterYesMe="No",PlanterYesMe="N",PlanterYesMe="me")),"not THIS line⇨",IF(AND(K4214="images",AE4214="me"),"not THIS line⇨",IF(H4214="credit","",IF(G4214=0,"",IF(AE4214="me","",IF(OR(PlanterYesMe="No",PlanterYesMe="N",PlanterYesMe="me"),"",IF(AE4214="free","warranty",IF(OR(PlanterYesMe="yes",PlanterYesMe="y"),"Edison install:","to install:"))))))))))</f>
        <v/>
      </c>
      <c r="AC4214" s="698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698"/>
      <c r="AE4214" s="631" t="str">
        <f t="shared" ref="AE4214" si="3257">IF(H4214="credit","",IF(G4214=0,"",IF(OR(PlanterYesMe="No",PlanterYesMe="N",PlanterYesMe="me"),"me",IF(H4214="warranty","free",IF(OR(PlanterYesMe="yes",PlanterYesMe="y"),"ELP","")))))</f>
        <v/>
      </c>
      <c r="AF4214" s="699" t="str">
        <f t="shared" ref="AF4214" si="3258">IF(OR(PlanterYesMe="No",PlanterYesMe="N",PlanterYesMe="me"),"",IF(H4214="credit","",IF(G4214&gt;0,(CONCATENATE((G4214)," quantity, ",(A4214)," ",B4214)),"")))</f>
        <v/>
      </c>
      <c r="AG4214" s="699"/>
      <c r="AH4214" s="699"/>
      <c r="AI4214" s="512">
        <f>IF(H4214="credit",0,IF(AE4214="free",0,IF(AE4214="me",0,IF(G4214&gt;0,(VLOOKUP(A4214,'Discount Lookup'!J:K,2)*G4214),0))))</f>
        <v>0</v>
      </c>
      <c r="AJ4214" s="513" t="str">
        <f t="shared" ref="AJ4214" ca="1" si="3259">IF(AND(ISREF(H4214),H4214="credit"),"",IF(AND(AND(OFFSET(G4214,0,0)=0,OFFSET(G4214,1,0)&gt;0,ISNUMBER(OFFSET(AC4214,1,0)),OFFSET(AC4214,1,0)&gt;0),OR(PlanterYesMe="yes",PlanterYesMe="y")),"T2G+ELP=",IF(AND(OFFSET(G4214,0,0)=0,OFFSET(G4214,1,0)&gt;0,ISNUMBER(OFFSET(AC4214,1,0)),OFFSET(AC4214,1,0)&gt;0),"if T2G+ELP=",IF(AND(OFFSET(G4214,0,0)=0,OFFSET(G4214,1,0)&gt;0),"T2G Subtotal",IF(H4214="credit","",IF(G4214=0,"",IF(AE4214="free",(K4214*(1-T2GDiscount)),IF(OR(PlanterYesMe="No",PlanterYesMe="N",PlanterYesMe="me"),(K4214*(1-T2GDiscount)),IF(OR(AE4214="me",AE4214="T2G"),(K4214*(1-T2GDiscount)),(K4214*(1-T2GDiscount))+AC4214)))))))))</f>
        <v/>
      </c>
      <c r="AK4214" s="700" t="str">
        <f t="shared" ref="AK4214" si="3260">IF(H4214="credit","",IF(G4214=0,"",IF(OR(AE4214="me",AE4214="T2G"),"  delivery-only",IF(OR(PlanterYesMe="No",PlanterYesMe="N",PlanterYesMe="me"),"  delivery-only",CONCATENATE(" $",ROUND(AJ4214/G4214,2)," each")))))</f>
        <v/>
      </c>
      <c r="AL4214" s="700"/>
      <c r="AM4214" s="505" t="str">
        <f t="shared" ref="AM4214" si="3261">IF(H4214="credit","",IF(AE4214="free","      ~ discounts included, no tax or planting fee applies ~",IF(G4214=0,"",IF(OR(PlanterYesMe="No",PlanterYesMe="N",PlanterYesMe="me"),CONCATENATE(" $",ROUND(AJ4214/G4214,2)," per plant, with tax &amp; discount"),IF(OR(AE4214="me",AE4214="T2G"),CONCATENATE(" $",ROUND(AJ4214/G4214,2)," per plant, with tax &amp; discount"),CONCATENATE("= $",ROUND((K4214*(1-T2GDiscount))/G4214,2)," per plant + $",AC4214/G4214,(" per planting      ~ includes tax &amp; discounts ~")))))))</f>
        <v/>
      </c>
      <c r="AN4214" s="506"/>
      <c r="AO4214" s="507"/>
      <c r="AP4214" s="507"/>
      <c r="AQ4214" s="507"/>
      <c r="AR4214" s="507"/>
      <c r="AS4214" s="507"/>
      <c r="AT4214" s="507"/>
      <c r="AU4214" s="507"/>
      <c r="AV4214" s="225"/>
      <c r="AW4214" s="508"/>
      <c r="AX4214" s="225"/>
      <c r="AY4214" s="225"/>
      <c r="AZ4214" s="225"/>
      <c r="BA4214" s="225"/>
      <c r="BB4214" s="225"/>
      <c r="BF4214" s="107" t="str">
        <f t="shared" ref="BF4214" si="3262">"https://www.google.com/search?tbm=isch&amp;q=" &amp; _xlfn.ENCODEURL($A4214 &amp; " " &amp; $D4214)</f>
        <v>https://www.google.com/search?tbm=isch&amp;q=%20</v>
      </c>
      <c r="BG4214" s="107" t="e">
        <f>IF(ISTEXT(A4214),LEFT(A4214,1),#REF!)</f>
        <v>#REF!</v>
      </c>
    </row>
    <row r="4215" spans="1:61" ht="17.25" thickTop="1" thickBot="1" x14ac:dyDescent="0.3">
      <c r="A4215" s="626">
        <f>COUNTIF($N$13:$N$4216, "Images")</f>
        <v>1004</v>
      </c>
      <c r="B4215" s="628" t="s">
        <v>4277</v>
      </c>
      <c r="C4215" s="627"/>
      <c r="D4215"/>
      <c r="E4215" s="54"/>
      <c r="F4215" s="54"/>
      <c r="G4215" s="54"/>
      <c r="H4215" s="54"/>
      <c r="I4215" s="212"/>
      <c r="J4215" s="212"/>
      <c r="K4215" s="231"/>
      <c r="L4215" s="231"/>
      <c r="M4215" s="115"/>
      <c r="N4215" s="225"/>
      <c r="O4215" s="54"/>
      <c r="P4215" s="54"/>
      <c r="Q4215" s="54"/>
      <c r="R4215" s="54"/>
      <c r="S4215" s="54"/>
      <c r="T4215" s="508">
        <f t="shared" ref="T4215" si="3263">E4215*G4215</f>
        <v>0</v>
      </c>
      <c r="U4215" s="225" t="str">
        <f>IF(NOT(ISNUMBER(G4215)), "", VLOOKUP(A4215,'Discount Lookup'!D:E,2,FALSE)*G4215)</f>
        <v/>
      </c>
      <c r="V4215" s="225" t="str">
        <f>IF(NOT(ISNUMBER(G4215)), "", VLOOKUP(A4215,'Discount Lookup'!G:H,2,FALSE)*G4215)</f>
        <v/>
      </c>
      <c r="W4215" s="508">
        <f t="shared" ref="W4215" si="3264">IF(H4215="credit",0,E4215*(SalesTaxPercentage)*G4215)</f>
        <v>0</v>
      </c>
      <c r="X4215" s="508">
        <f t="shared" ref="X4215" si="3265">I4215</f>
        <v>0</v>
      </c>
      <c r="Y4215" s="509" t="b">
        <f t="shared" ref="Y4215" si="3266">IF(AE4215="T2G",0,IF(H4215="credit",0,IF(G4215&gt;0,IF(AE4215="me","",G4215))))</f>
        <v>0</v>
      </c>
      <c r="Z4215" s="510">
        <f t="shared" ref="Z4215" si="3267">IF(H4215="credit",G4215,0)</f>
        <v>0</v>
      </c>
      <c r="AA4215" s="511"/>
      <c r="AB4215" s="511" t="str">
        <f t="shared" ref="AB4215" si="3268">IF(AE4215="T2G","by Trees2Go",IF(H4215="credit","CREDIT only ~",IF(AND(K4215="",AE4215=OR(PlanterYesMe="No",PlanterYesMe="N",PlanterYesMe="me")),"not THIS line⇨",IF(AND(K4215="images",AE4215="me"),"not THIS line⇨",IF(H4215="credit","",IF(G4215=0,"",IF(AE4215="me","",IF(OR(PlanterYesMe="No",PlanterYesMe="N",PlanterYesMe="me"),"",IF(AE4215="free","warranty",IF(OR(PlanterYesMe="yes",PlanterYesMe="y"),"Edison install:","to install:"))))))))))</f>
        <v/>
      </c>
      <c r="AC4215" s="698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698"/>
      <c r="AE4215" s="536" t="str">
        <f t="shared" ref="AE4215" si="3269">IF(H4215="credit","",IF(G4215=0,"",IF(OR(PlanterYesMe="No",PlanterYesMe="N",PlanterYesMe="me"),"me",IF(H4215="warranty","free",IF(OR(PlanterYesMe="yes",PlanterYesMe="y"),"ELP","")))))</f>
        <v/>
      </c>
      <c r="AF4215" s="699" t="str">
        <f t="shared" ref="AF4215" si="3270">IF(OR(PlanterYesMe="No",PlanterYesMe="N",PlanterYesMe="me"),"",IF(H4215="credit","",IF(G4215&gt;0,(CONCATENATE((G4215)," quantity, ",(A4215)," ",B4215)),"")))</f>
        <v/>
      </c>
      <c r="AG4215" s="699"/>
      <c r="AH4215" s="699"/>
      <c r="AI4215" s="512">
        <f>IF(H4215="credit",0,IF(AE4215="free",0,IF(AE4215="me",0,IF(G4215&gt;0,(VLOOKUP(A4215,'Discount Lookup'!J:K,2)*G4215),0))))</f>
        <v>0</v>
      </c>
      <c r="AJ4215" s="513" t="str">
        <f t="shared" ref="AJ4215" ca="1" si="3271">IF(AND(ISREF(H4215),H4215="credit"),"",IF(AND(AND(OFFSET(G4215,0,0)=0,OFFSET(G4215,1,0)&gt;0,ISNUMBER(OFFSET(AC4215,1,0)),OFFSET(AC4215,1,0)&gt;0),OR(PlanterYesMe="yes",PlanterYesMe="y")),"T2G+ELP=",IF(AND(OFFSET(G4215,0,0)=0,OFFSET(G4215,1,0)&gt;0,ISNUMBER(OFFSET(AC4215,1,0)),OFFSET(AC4215,1,0)&gt;0),"if T2G+ELP=",IF(AND(OFFSET(G4215,0,0)=0,OFFSET(G4215,1,0)&gt;0),"T2G Subtotal",IF(H4215="credit","",IF(G4215=0,"",IF(AE4215="free",(K4215*(1-T2GDiscount)),IF(OR(PlanterYesMe="No",PlanterYesMe="N",PlanterYesMe="me"),(K4215*(1-T2GDiscount)),IF(OR(AE4215="me",AE4215="T2G"),(K4215*(1-T2GDiscount)),(K4215*(1-T2GDiscount))+AC4215)))))))))</f>
        <v/>
      </c>
      <c r="AK4215" s="700" t="str">
        <f t="shared" ref="AK4215" si="3272">IF(H4215="credit","",IF(G4215=0,"",IF(OR(AE4215="me",AE4215="T2G"),"  delivery-only",IF(OR(PlanterYesMe="No",PlanterYesMe="N",PlanterYesMe="me"),"  delivery-only",CONCATENATE(" $",ROUND(AJ4215/G4215,2)," each")))))</f>
        <v/>
      </c>
      <c r="AL4215" s="700"/>
      <c r="AM4215" s="505" t="str">
        <f t="shared" ref="AM4215" si="3273">IF(H4215="credit","",IF(AE4215="free","      ~ discounts included, no tax or planting fee applies ~",IF(G4215=0,"",IF(OR(PlanterYesMe="No",PlanterYesMe="N",PlanterYesMe="me"),CONCATENATE(" $",ROUND(AJ4215/G4215,2)," per plant, with tax &amp; discount"),IF(OR(AE4215="me",AE4215="T2G"),CONCATENATE(" $",ROUND(AJ4215/G4215,2)," per plant, with tax &amp; discount"),CONCATENATE("= $",ROUND((K4215*(1-T2GDiscount))/G4215,2)," per plant + $",AC4215/G4215,(" per planting      ~ includes tax &amp; discounts ~")))))))</f>
        <v/>
      </c>
      <c r="AN4215" s="506"/>
      <c r="AO4215" s="507"/>
      <c r="AP4215" s="507"/>
      <c r="AQ4215" s="507"/>
      <c r="AR4215" s="507"/>
      <c r="AS4215" s="507"/>
      <c r="AT4215" s="507"/>
      <c r="AU4215" s="507"/>
      <c r="AV4215" s="225"/>
      <c r="AW4215" s="508"/>
      <c r="AX4215" s="225"/>
      <c r="AY4215" s="225"/>
      <c r="AZ4215" s="225"/>
      <c r="BA4215" s="225"/>
      <c r="BB4215" s="225"/>
      <c r="BF4215" s="107" t="str">
        <f t="shared" ref="BF4215" si="3274">"https://www.google.com/search?tbm=isch&amp;q=" &amp; _xlfn.ENCODEURL($A4215 &amp; " " &amp; $D4215)</f>
        <v>https://www.google.com/search?tbm=isch&amp;q=1004%20</v>
      </c>
      <c r="BG4215" s="107" t="e">
        <f t="shared" ref="BG4215" si="3275">IF(ISTEXT(A4215),LEFT(A4215,1),BG4214)</f>
        <v>#REF!</v>
      </c>
    </row>
    <row r="4216" spans="1:61" ht="12.95" customHeight="1" thickTop="1" x14ac:dyDescent="0.25">
      <c r="A4216" s="625" t="s">
        <v>211</v>
      </c>
      <c r="B4216" s="625"/>
      <c r="C4216" s="597" t="s">
        <v>8</v>
      </c>
      <c r="D4216" s="117"/>
      <c r="E4216" s="118"/>
      <c r="F4216" s="119"/>
      <c r="G4216" s="119"/>
      <c r="H4216" s="120"/>
      <c r="I4216" s="119"/>
      <c r="J4216" s="119"/>
      <c r="K4216" s="119"/>
      <c r="L4216" s="545"/>
      <c r="M4216" s="537" t="str">
        <f>IF(AND(NoWarrantyDiscount&gt;0,includes_Free_Local_Delivery="Discount for Warranty Delete"),"After 7 days to check plants for health, NO WARRANTY APPLIES","After 7 days to check plants for health, 2-YEAR+ 50% WARRANTY")</f>
        <v>After 7 days to check plants for health, 2-YEAR+ 50% WARRANTY</v>
      </c>
      <c r="N4216" s="773" t="s">
        <v>269</v>
      </c>
      <c r="O4216" s="774"/>
      <c r="P4216" s="774"/>
      <c r="Q4216" s="774"/>
      <c r="R4216" s="774"/>
      <c r="S4216" s="774"/>
      <c r="T4216" s="774"/>
      <c r="U4216" s="774"/>
      <c r="V4216" s="774"/>
      <c r="W4216" s="774"/>
      <c r="X4216"/>
      <c r="Z4216" s="772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216" s="772"/>
      <c r="AB4216" s="772"/>
      <c r="AC4216" s="772"/>
      <c r="AD4216" s="772"/>
      <c r="AE4216" s="772"/>
      <c r="AF4216" s="772"/>
      <c r="AG4216" s="772"/>
      <c r="AH4216" s="772"/>
      <c r="AJ4216" s="121">
        <f>SUM($AI9:$AI4216)+PlanterMileageNoConcatenate+PlanterPreviousAmountsPaid</f>
        <v>0</v>
      </c>
      <c r="AK4216" s="122">
        <f>SUM($AI9:$AI4216)</f>
        <v>0</v>
      </c>
      <c r="AL4216" s="123"/>
      <c r="AM4216" s="124"/>
      <c r="AN4216" s="116"/>
      <c r="AP4216" s="97"/>
      <c r="AQ4216" s="97"/>
      <c r="AR4216" s="97"/>
      <c r="AS4216" s="97"/>
      <c r="AT4216" s="97"/>
      <c r="AU4216" s="97"/>
      <c r="BF4216" s="107" t="str">
        <f t="shared" ref="BF4216:BF4217" si="3276">"https://www.google.com/search?tbm=isch&amp;q=" &amp; _xlfn.ENCODEURL($A4216 &amp; " " &amp; $E4216)</f>
        <v>https://www.google.com/search?tbm=isch&amp;q=Quality%20is%20</v>
      </c>
    </row>
    <row r="4217" spans="1:61" ht="12.95" customHeight="1" x14ac:dyDescent="0.25">
      <c r="A4217" s="749" t="s">
        <v>276</v>
      </c>
      <c r="B4217" s="749"/>
      <c r="C4217" s="749"/>
      <c r="D4217" s="749"/>
      <c r="E4217" s="256"/>
      <c r="F4217" s="327" t="s">
        <v>136</v>
      </c>
      <c r="G4217" s="328">
        <f>IF(MSTryEO="embed","0",SUM($G$10:$G$4216)-SumPlants)</f>
        <v>0</v>
      </c>
      <c r="H4217" s="465"/>
      <c r="I4217" s="769" t="str">
        <f>IF(NoWarrantyDiscount&gt;0,"Discount for Warranty Delete",IF(MileageFeeNoConcatenate&gt;0,"Mileage Fee applies each trip",IF(TotalPlantsG&gt;0,"   includes Free Local Delivery","   includes Free Local Delivery")))</f>
        <v xml:space="preserve">   includes Free Local Delivery</v>
      </c>
      <c r="J4217" s="769"/>
      <c r="K4217" s="769"/>
      <c r="L4217" s="770"/>
      <c r="M4217" s="771"/>
      <c r="N4217" s="773"/>
      <c r="O4217" s="774"/>
      <c r="P4217" s="774"/>
      <c r="Q4217" s="774"/>
      <c r="R4217" s="774"/>
      <c r="S4217" s="774"/>
      <c r="T4217" s="774"/>
      <c r="U4217" s="774"/>
      <c r="V4217" s="774"/>
      <c r="W4217" s="774"/>
      <c r="X4217"/>
      <c r="Z4217" s="125"/>
      <c r="AA4217" s="126" t="s">
        <v>31</v>
      </c>
      <c r="AB4217" s="52" t="str">
        <f>IF(OR(PlanterYesMe="No",PlanterYesMe="N",PlanterYesMe="me"),"",IF(PlanterMileageNoConcatenate&gt;0,"","Planting"))</f>
        <v>Planting</v>
      </c>
      <c r="AC4217" s="127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17" s="127"/>
      <c r="AE4217" s="127"/>
      <c r="AF4217" s="127"/>
      <c r="AG4217" s="127"/>
      <c r="AH4217" s="127"/>
      <c r="AJ4217" s="127"/>
      <c r="AL4217" s="123"/>
      <c r="AU4217" s="97"/>
      <c r="BF4217" s="107" t="str">
        <f t="shared" si="3276"/>
        <v>https://www.google.com/search?tbm=isch&amp;q=%20Trees2Go%20Price%20Details%20</v>
      </c>
    </row>
    <row r="4218" spans="1:61" ht="12.95" customHeight="1" thickBot="1" x14ac:dyDescent="0.3">
      <c r="A4218" s="257" t="str">
        <f>IF(MSTryEO="try","    *** THIS EMBEDDED PAGE WON'T SAVE ***","")</f>
        <v/>
      </c>
      <c r="B4218" s="78"/>
      <c r="C4218" s="258"/>
      <c r="D4218" s="259"/>
      <c r="E4218" s="329"/>
      <c r="F4218" s="330"/>
      <c r="G4218" s="331" t="str">
        <f>IF(BonusDiscount="","","Extra Discount, this order only:")</f>
        <v/>
      </c>
      <c r="H4218" s="527"/>
      <c r="I4218" s="528" t="s">
        <v>3015</v>
      </c>
      <c r="J4218" s="529">
        <v>7.2499999999999995E-2</v>
      </c>
      <c r="K4218" s="530" t="s">
        <v>279</v>
      </c>
      <c r="L4218" s="546"/>
      <c r="M4218" s="260"/>
      <c r="N4218" s="773"/>
      <c r="O4218" s="774"/>
      <c r="P4218" s="774"/>
      <c r="Q4218" s="774"/>
      <c r="R4218" s="774"/>
      <c r="S4218" s="774"/>
      <c r="T4218" s="774"/>
      <c r="U4218" s="774"/>
      <c r="V4218" s="774"/>
      <c r="W4218" s="774"/>
      <c r="X4218"/>
      <c r="Y4218" s="98"/>
      <c r="Z4218" s="749" t="s">
        <v>277</v>
      </c>
      <c r="AA4218" s="749"/>
      <c r="AB4218" s="749"/>
      <c r="AC4218" s="749"/>
      <c r="AD4218" s="749"/>
      <c r="AE4218" s="749"/>
      <c r="AF4218" s="749"/>
      <c r="AG4218" s="332"/>
      <c r="AH4218" s="612" t="s">
        <v>256</v>
      </c>
      <c r="AI4218" s="613"/>
      <c r="AJ4218" s="614" t="s">
        <v>257</v>
      </c>
      <c r="AK4218" s="755" t="s">
        <v>31</v>
      </c>
      <c r="AL4218" s="755"/>
      <c r="AU4218" s="97"/>
    </row>
    <row r="4219" spans="1:61" ht="12.95" customHeight="1" x14ac:dyDescent="0.25">
      <c r="A4219" s="519">
        <f>COUNTIF($N$13:$N$4213, "Images")</f>
        <v>1004</v>
      </c>
      <c r="B4219" s="746" t="str">
        <f>IF(MSTryEO="MS","click 'Enable Editing' then 'Save As'",IF(MSTryEO="EO","click 'Enable Workbook' then 'Save As'",IF(NoWarrantyDiscount&gt;0,"Warranty Delete selected",IF(OR(PriceitQODC=" Price it by Common 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19" s="747"/>
      <c r="D4219" s="748"/>
      <c r="E4219" s="333"/>
      <c r="F4219" s="290"/>
      <c r="G4219" s="290"/>
      <c r="H4219" s="531" t="str">
        <f>IF(NoWarrantyDiscount&gt;0,"BEFORE Discounts:","BEFORE Discount:")</f>
        <v>BEFORE Discount:</v>
      </c>
      <c r="I4219" s="261">
        <f>T2GRetailSumNoTax</f>
        <v>0</v>
      </c>
      <c r="J4219" s="261">
        <f>T2GTaxSum</f>
        <v>0</v>
      </c>
      <c r="K4219" s="750">
        <f>T2GRetailSumNoTax+BeforeDiscountTax</f>
        <v>0</v>
      </c>
      <c r="L4219" s="750"/>
      <c r="M4219" s="262"/>
      <c r="N4219" s="56"/>
      <c r="O4219" s="92"/>
      <c r="P4219" s="97"/>
      <c r="Q4219" s="97"/>
      <c r="R4219" s="97"/>
      <c r="S4219" s="97"/>
      <c r="T4219" s="218"/>
      <c r="U4219" s="219"/>
      <c r="V4219"/>
      <c r="W4219"/>
      <c r="X4219"/>
      <c r="Z4219" s="768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19" s="768"/>
      <c r="AB4219" s="768"/>
      <c r="AC4219" s="768"/>
      <c r="AD4219" s="768"/>
      <c r="AE4219" s="768"/>
      <c r="AF4219" s="768"/>
      <c r="AG4219" s="335"/>
      <c r="AH4219" s="336"/>
      <c r="AI4219" s="336" t="s">
        <v>34</v>
      </c>
      <c r="AJ4219" s="337">
        <v>8</v>
      </c>
      <c r="AK4219" s="755"/>
      <c r="AL4219" s="755"/>
      <c r="AU4219" s="97"/>
    </row>
    <row r="4220" spans="1:61" ht="12.95" customHeight="1" x14ac:dyDescent="0.25">
      <c r="A4220" s="78"/>
      <c r="B4220" s="722" t="str">
        <f>IF(MSTryEO="MS","copy or share your choices to:",IF(NoWarrantyDiscount&gt;0,"no Warranty applies",IF(OR(PriceitQODC=" Price it by Common 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20" s="723"/>
      <c r="D4220" s="724"/>
      <c r="E4220" s="715" t="str">
        <f>IF(NoWarrantyDiscount&gt;0,"T2G Discounts:","Trees2Go Discount:")</f>
        <v>Trees2Go Discount:</v>
      </c>
      <c r="F4220" s="716"/>
      <c r="G4220" s="716"/>
      <c r="H4220" s="338">
        <f>(+'Discount Lookup'!B3)+NoWarrantyDiscount+BonusDiscount</f>
        <v>0</v>
      </c>
      <c r="I4220" s="261">
        <f>-(BeforeDiscountBeforeTax)*(T2GDiscount)</f>
        <v>0</v>
      </c>
      <c r="J4220" s="261">
        <f>-(BeforeDiscountTax)*(T2GDiscount)</f>
        <v>0</v>
      </c>
      <c r="K4220" s="739">
        <f>-(BeforeDiscountWithTax)*(T2GDiscount)</f>
        <v>0</v>
      </c>
      <c r="L4220" s="739"/>
      <c r="M4220" s="263"/>
      <c r="N4220" s="705" t="s">
        <v>271</v>
      </c>
      <c r="O4220" s="706"/>
      <c r="P4220" s="706"/>
      <c r="Q4220" s="706"/>
      <c r="R4220" s="706"/>
      <c r="S4220" s="706"/>
      <c r="T4220" s="706"/>
      <c r="U4220" s="706"/>
      <c r="V4220" s="706"/>
      <c r="W4220" s="706"/>
      <c r="X4220"/>
      <c r="Y4220" s="130"/>
      <c r="Z4220" s="732" t="str">
        <f>IF(OR(PlanterYesMe="No",PlanterYesMe="N",PlanterYesMe="me"),"if Edison installs:",IF(OR(PlanterYesMe="yes",PlanterYesMe="y"),"Edison will install:","if Edison installs:"))</f>
        <v>if Edison installs:</v>
      </c>
      <c r="AA4220" s="732"/>
      <c r="AB4220" s="732"/>
      <c r="AC4220" s="732"/>
      <c r="AD4220" s="732"/>
      <c r="AE4220" s="733"/>
      <c r="AF4220" s="339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20" s="340"/>
      <c r="AH4220" s="341"/>
      <c r="AI4220" s="336" t="s">
        <v>35</v>
      </c>
      <c r="AJ4220" s="337">
        <v>13</v>
      </c>
      <c r="AK4220" s="755"/>
      <c r="AL4220" s="755"/>
      <c r="AU4220" s="97"/>
    </row>
    <row r="4221" spans="1:61" ht="12.95" customHeight="1" thickBot="1" x14ac:dyDescent="0.3">
      <c r="A4221" s="78"/>
      <c r="B4221" s="726" t="str">
        <f>IF(NoWarrantyDiscount&gt;0,"Guarantee still applies",IF(MSTryEO="ms","Mike@Trees2Go.com",IF(OR(PriceitQODC=" Price it by Common ",PriceitQODC=" Price it by Latin ",PriceitQODC=" Price it by TYPE "),"SHARE TO: Mike@Trees2Go.com",IF(PriceitQODC="Quote","Not final until you approve.",IF(PriceitQODC="Order","Contact if questions/concerns",IF(PlanterYesMe="yes","contact Edison if structural issues","Warranty applies for any reason"))))))</f>
        <v>Mike@Trees2Go.com</v>
      </c>
      <c r="C4221" s="727"/>
      <c r="D4221" s="728"/>
      <c r="E4221" s="333"/>
      <c r="F4221" s="290"/>
      <c r="G4221" s="290"/>
      <c r="H4221" s="531" t="str">
        <f>IF(NoWarrantyDiscount&gt;0,"AFTER Discounts:","AFTER Discount:")</f>
        <v>AFTER Discount:</v>
      </c>
      <c r="I4221" s="261">
        <f>(BeforeDiscountBeforeTax+T2GDiscountBeforeTax)</f>
        <v>0</v>
      </c>
      <c r="J4221" s="261">
        <f>(BeforeDiscountTax+T2GDiscountTax)</f>
        <v>0</v>
      </c>
      <c r="K4221" s="707">
        <f>(BeforeDiscountWithTax+T2GDiscountWithTax)</f>
        <v>0</v>
      </c>
      <c r="L4221" s="707"/>
      <c r="M4221" s="264"/>
      <c r="N4221" s="705"/>
      <c r="O4221" s="706"/>
      <c r="P4221" s="706"/>
      <c r="Q4221" s="706"/>
      <c r="R4221" s="706"/>
      <c r="S4221" s="706"/>
      <c r="T4221" s="706"/>
      <c r="U4221" s="706"/>
      <c r="V4221" s="706"/>
      <c r="W4221" s="706"/>
      <c r="X4221"/>
      <c r="Y4221" s="130"/>
      <c r="Z4221" s="734" t="s">
        <v>3016</v>
      </c>
      <c r="AA4221" s="734"/>
      <c r="AB4221" s="734"/>
      <c r="AC4221" s="734"/>
      <c r="AD4221" s="734"/>
      <c r="AE4221" s="735"/>
      <c r="AF4221" s="334">
        <f>IF(PlanterYesMe="",SumPlantingFees,IF(OR(PlanterYesMe="yes",PlanterYesMe="y"),SumPlantingFees,"$0.00"))</f>
        <v>0</v>
      </c>
      <c r="AG4221" s="340"/>
      <c r="AH4221" s="341"/>
      <c r="AI4221" s="336" t="s">
        <v>36</v>
      </c>
      <c r="AJ4221" s="337">
        <v>15</v>
      </c>
      <c r="AK4221" s="755"/>
      <c r="AL4221" s="755"/>
      <c r="AU4221" s="97"/>
    </row>
    <row r="4222" spans="1:61" ht="12.95" customHeight="1" thickBot="1" x14ac:dyDescent="0.3">
      <c r="A4222" s="742" t="str">
        <f>IF(OR(PriceitQODC=" Price it by TYPE ",PriceitQODC=" Price it by Latin ",PriceitQODC=" Price it by Common "),"",IF(PriceitQODC="Quote","",IF(PriceitQODC="Order","",IF(BeforeDiscountTax=0,"",IF(AfterDiscountTax/SalesTaxPercentage=AfterDiscountBeforeTax,"",CONCATENATE("$",ROUNDUP(AfterDiscountTax/SalesTaxPercentage,2)," or 2%: $",ROUNDUP(AfterDiscountTaxCCV/SalesTaxPercentage,2)))))))</f>
        <v/>
      </c>
      <c r="B4222" s="742"/>
      <c r="C4222" s="743"/>
      <c r="D4222" s="636" t="str">
        <f>IF(OR(PriceitQODC=" Price it by TYPE ",PriceitQODC=" Price it by Latin ",PriceitQODC=" Price it by Common "),"",IF(PriceitQODC="Quote","",IF(PriceitQODC="Order","",IF(PriceitQODC="Completed","",IF(BeforeDiscountTax=0,"",IF(AfterDiscountTax/0.0725=AfterDiscountBeforeTax,"","= True 'Resale'"))))))</f>
        <v/>
      </c>
      <c r="E4222" s="265"/>
      <c r="F4222" s="266"/>
      <c r="G4222" s="267"/>
      <c r="H4222" s="268" t="str">
        <f>IF(T2GDeliveryTotal=0,"",IF(PriceitQODC="Delivered","if Cash/Check/Venmo:",IF(PriceitQODC="Completed","if Cash/Check/Venmo:","")))</f>
        <v/>
      </c>
      <c r="I4222" s="269" t="str">
        <f>IF(T2GDeliveryTotal=0,"",IF(PriceitQODC="Delivered",AfterDiscountBeforeTax*0.98,IF(PriceitQODC="Completed",AfterDiscountBeforeTax*0.98,"")))</f>
        <v/>
      </c>
      <c r="J4222" s="269" t="str">
        <f>IF(T2GDeliveryTotal=0,"",IF(PriceitQODC="Delivered",AfterDiscountTax*0.98,IF(PriceitQODC="Completed",AfterDiscountTax*0.98,"")))</f>
        <v/>
      </c>
      <c r="K4222" s="342"/>
      <c r="L4222" s="547"/>
      <c r="M4222" s="466"/>
      <c r="N4222" s="705"/>
      <c r="O4222" s="706"/>
      <c r="P4222" s="706"/>
      <c r="Q4222" s="706"/>
      <c r="R4222" s="706"/>
      <c r="S4222" s="706"/>
      <c r="T4222" s="706"/>
      <c r="U4222" s="706"/>
      <c r="V4222" s="706"/>
      <c r="W4222" s="706"/>
      <c r="X4222"/>
      <c r="Y4222" s="130"/>
      <c r="Z4222" s="734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22" s="734"/>
      <c r="AB4222" s="734"/>
      <c r="AC4222" s="734"/>
      <c r="AD4222" s="734"/>
      <c r="AE4222" s="343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22" s="344">
        <f>-(PlanterBeforeDiscount-PlanterTotalAfterDiscount)</f>
        <v>0</v>
      </c>
      <c r="AG4222" s="345"/>
      <c r="AH4222" s="341"/>
      <c r="AI4222" s="336" t="s">
        <v>37</v>
      </c>
      <c r="AJ4222" s="337">
        <v>16</v>
      </c>
      <c r="AK4222" s="755"/>
      <c r="AL4222" s="755"/>
      <c r="AU4222" s="97"/>
    </row>
    <row r="4223" spans="1:61" ht="12.95" customHeight="1" thickTop="1" thickBot="1" x14ac:dyDescent="0.3">
      <c r="A4223" s="596" t="s">
        <v>3884</v>
      </c>
      <c r="B4223" s="346"/>
      <c r="C4223" s="347"/>
      <c r="D4223" s="518">
        <v>0</v>
      </c>
      <c r="E4223" s="348"/>
      <c r="F4223" s="349"/>
      <c r="G4223" s="350"/>
      <c r="H4223" s="351"/>
      <c r="I4223" s="352"/>
      <c r="J4223" s="353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23" s="741">
        <f>IF(EnterMiles="(miles)",0,IF(EnterMiles&gt;0,CONCATENATE("+$",ROUND(EnterMiles*3.25,2)),0))</f>
        <v>0</v>
      </c>
      <c r="L4223" s="741"/>
      <c r="M4223" s="467">
        <f>IF(EnterMiles="(miles)",0,IF(EnterMiles&gt;0,ROUND(EnterMiles*3.25,2),MileageFee))</f>
        <v>0</v>
      </c>
      <c r="N4223" s="705"/>
      <c r="O4223" s="706"/>
      <c r="P4223" s="706"/>
      <c r="Q4223" s="706"/>
      <c r="R4223" s="706"/>
      <c r="S4223" s="706"/>
      <c r="T4223" s="706"/>
      <c r="U4223" s="706"/>
      <c r="V4223" s="706"/>
      <c r="W4223" s="706"/>
      <c r="X4223"/>
      <c r="Y4223" s="130"/>
      <c r="Z4223" s="734" t="s">
        <v>3017</v>
      </c>
      <c r="AA4223" s="734"/>
      <c r="AB4223" s="734"/>
      <c r="AC4223" s="734"/>
      <c r="AD4223" s="734"/>
      <c r="AE4223" s="735"/>
      <c r="AF4223" s="344">
        <f>PlanterBeforeDiscount-(PlanterBeforeDiscount*PlanterDiscount)</f>
        <v>0</v>
      </c>
      <c r="AG4223" s="345"/>
      <c r="AH4223" s="341"/>
      <c r="AI4223" s="336" t="s">
        <v>38</v>
      </c>
      <c r="AJ4223" s="337">
        <v>25</v>
      </c>
      <c r="AK4223" s="755"/>
      <c r="AL4223" s="755"/>
      <c r="AU4223" s="97"/>
    </row>
    <row r="4224" spans="1:61" ht="12.95" customHeight="1" thickTop="1" x14ac:dyDescent="0.25">
      <c r="A4224" s="346"/>
      <c r="B4224" s="355">
        <f>ROUNDUP(SumSoil,2)</f>
        <v>0</v>
      </c>
      <c r="C4224" s="356" t="s">
        <v>39</v>
      </c>
      <c r="D4224" s="357" t="str">
        <f>IF(OR(PriceitQODC="Price it",PriceitQODC="Price it All!"),"",IF(PriceitQODC="Quote","",IF(PriceitQODC="Order","",IF(ConsultFeeInsert&gt;0,CONCATENATE("CCV Total: $",(RoundCCV)),IF(DepositCredit&lt;0,CONCATENATE("CCV Total: $",RoundCCV),"")))))</f>
        <v/>
      </c>
      <c r="E4224" s="358"/>
      <c r="F4224" s="359"/>
      <c r="G4224" s="201"/>
      <c r="H4224" s="351"/>
      <c r="I4224" s="352"/>
      <c r="J4224" s="532" t="s">
        <v>3110</v>
      </c>
      <c r="K4224" s="707">
        <f>AfterDiscountWithTax+MileageFeeNoConcatenate</f>
        <v>0</v>
      </c>
      <c r="L4224" s="707"/>
      <c r="M4224" s="468"/>
      <c r="N4224" s="705"/>
      <c r="O4224" s="706"/>
      <c r="P4224" s="706"/>
      <c r="Q4224" s="706"/>
      <c r="R4224" s="706"/>
      <c r="S4224" s="706"/>
      <c r="T4224" s="706"/>
      <c r="U4224" s="706"/>
      <c r="V4224" s="706"/>
      <c r="W4224" s="706"/>
      <c r="X4224"/>
      <c r="Y4224" s="130"/>
      <c r="Z4224" s="341"/>
      <c r="AA4224" s="731" t="str">
        <f>IF(PlanterDifficultyPercentage&gt;0,"+ Estimated Difficulty:","~ no difficulty fee ~ ")</f>
        <v xml:space="preserve">~ no difficulty fee ~ </v>
      </c>
      <c r="AB4224" s="731"/>
      <c r="AC4224" s="731"/>
      <c r="AD4224" s="731"/>
      <c r="AE4224" s="343">
        <v>0</v>
      </c>
      <c r="AF4224" s="344" t="str">
        <f>IF(PlanterDifficultyPercentage=0,"$0.00",CONCATENATE("+$",ROUND(PlanterTotalAfterDiscount*PlanterDifficultyPercentage,2)))</f>
        <v>$0.00</v>
      </c>
      <c r="AG4224" s="360">
        <f>PlanterTotalAfterDiscount*PlanterDifficultyPercentage</f>
        <v>0</v>
      </c>
      <c r="AH4224" s="341"/>
      <c r="AI4224" s="336" t="s">
        <v>40</v>
      </c>
      <c r="AJ4224" s="337">
        <v>38</v>
      </c>
      <c r="AK4224" s="755"/>
      <c r="AL4224" s="755"/>
      <c r="AU4224" s="97"/>
    </row>
    <row r="4225" spans="1:47" ht="12.95" customHeight="1" x14ac:dyDescent="0.25">
      <c r="A4225" s="346"/>
      <c r="B4225" s="355">
        <f>ROUNDUP(SumMulch,2)</f>
        <v>0</v>
      </c>
      <c r="C4225" s="356" t="s">
        <v>41</v>
      </c>
      <c r="D4225" s="361"/>
      <c r="E4225" s="362">
        <f>ROUND((T2GBalanceCCV-DepositCredit-ConsultFeeCredit),2)</f>
        <v>0</v>
      </c>
      <c r="F4225" s="720"/>
      <c r="G4225" s="720"/>
      <c r="H4225" s="363"/>
      <c r="I4225" s="364"/>
      <c r="J4225" s="365" t="str">
        <f>IF(ConsultFeeInsert="","~ no consultation fee ~ ",IF(T2GDeliveryTotal&lt;500,"of $200 consult fee is prorated:","applies from $200 consult fee:"))</f>
        <v xml:space="preserve">~ no consultation fee ~ </v>
      </c>
      <c r="K4225" s="707">
        <f>IF(ConsultFeeInsert="",0,IF(ConsultFeeInsert=100,IF(T2GDeliveryTotal&gt;500,-100,(T2GDeliveryTotal/500*100*(-1)))))</f>
        <v>0</v>
      </c>
      <c r="L4225" s="707"/>
      <c r="M4225" s="468"/>
      <c r="N4225" s="705"/>
      <c r="O4225" s="706"/>
      <c r="P4225" s="706"/>
      <c r="Q4225" s="706"/>
      <c r="R4225" s="706"/>
      <c r="S4225" s="706"/>
      <c r="T4225" s="706"/>
      <c r="U4225" s="706"/>
      <c r="V4225" s="706"/>
      <c r="W4225" s="706"/>
      <c r="X4225"/>
      <c r="Y4225" s="130"/>
      <c r="Z4225" s="341"/>
      <c r="AA4225" s="763" t="str">
        <f>IF(PlanterMileageNoConcatenate&gt;0,"+ Mileage Fee:","~ no mileage fee ~ ")</f>
        <v xml:space="preserve">~ no mileage fee ~ </v>
      </c>
      <c r="AB4225" s="763"/>
      <c r="AC4225" s="763"/>
      <c r="AD4225" s="763"/>
      <c r="AE4225" s="767"/>
      <c r="AF4225" s="354">
        <f>IF(SumPlantsYPlanting=0,0,IF(PlanterYesMe="",MileageFee,IF(OR(PlanterYesMe="yes",PlanterYesMe="y"),MileageFee,"$0.00")))</f>
        <v>0</v>
      </c>
      <c r="AG4225" s="366">
        <f>IF(SumPlantsYPlanting=0,0,IF(PlanterYesMe="",MileageFeeNoConcatenate,IF(OR(PlanterYesMe="yes",PlanterYesMe="y"),MileageFeeNoConcatenate,"$0.00")))</f>
        <v>0</v>
      </c>
      <c r="AH4225" s="341"/>
      <c r="AI4225" s="336" t="s">
        <v>42</v>
      </c>
      <c r="AJ4225" s="337">
        <v>55</v>
      </c>
      <c r="AK4225" s="755"/>
      <c r="AL4225" s="755"/>
      <c r="AU4225" s="97"/>
    </row>
    <row r="4226" spans="1:47" ht="12.95" customHeight="1" x14ac:dyDescent="0.25">
      <c r="A4226" s="367"/>
      <c r="B4226" s="367"/>
      <c r="C4226" s="367"/>
      <c r="D4226" s="361"/>
      <c r="E4226" s="368"/>
      <c r="F4226" s="719" t="str">
        <f>IF(T2G_Delivery_Total&lt;2000,"",IF(T2G_Delivery_Total&gt;4999.99,0.3,IF(T2G_Delivery_Total&gt;3499.99,0.2,IF(T2G_Delivery_Total&gt;1999.99,0.1,0))))</f>
        <v/>
      </c>
      <c r="G4226" s="719"/>
      <c r="H4226" s="725" t="str">
        <f>IF(T2GDeliveryTotal&gt;1999.99,"deposit needed to place order:"," ~ no deposit needed ~ ")</f>
        <v xml:space="preserve"> ~ no deposit needed ~ </v>
      </c>
      <c r="I4226" s="725"/>
      <c r="J4226" s="725"/>
      <c r="K4226" s="707">
        <f>IF(DepositInsert="",0,(DepositInsert*T2G_Delivery_Total*-1))</f>
        <v>0</v>
      </c>
      <c r="L4226" s="707"/>
      <c r="M4226" s="468"/>
      <c r="N4226" s="705"/>
      <c r="O4226" s="706"/>
      <c r="P4226" s="706"/>
      <c r="Q4226" s="706"/>
      <c r="R4226" s="706"/>
      <c r="S4226" s="706"/>
      <c r="T4226" s="706"/>
      <c r="U4226" s="706"/>
      <c r="V4226" s="706"/>
      <c r="W4226" s="706"/>
      <c r="X4226"/>
      <c r="Y4226" s="130"/>
      <c r="Z4226" s="753" t="s">
        <v>3018</v>
      </c>
      <c r="AA4226" s="753"/>
      <c r="AB4226" s="753"/>
      <c r="AC4226" s="753"/>
      <c r="AD4226" s="753"/>
      <c r="AE4226" s="754"/>
      <c r="AF4226" s="344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26" s="345"/>
      <c r="AH4226" s="341"/>
      <c r="AI4226" s="336" t="s">
        <v>43</v>
      </c>
      <c r="AJ4226" s="337">
        <v>75</v>
      </c>
      <c r="AK4226" s="755"/>
      <c r="AL4226" s="755"/>
      <c r="AM4226" s="124"/>
      <c r="AN4226" s="116"/>
      <c r="AP4226" s="97"/>
      <c r="AQ4226" s="97"/>
      <c r="AR4226" s="97"/>
      <c r="AS4226" s="97"/>
      <c r="AT4226" s="97"/>
      <c r="AU4226" s="97"/>
    </row>
    <row r="4227" spans="1:47" ht="12.95" customHeight="1" x14ac:dyDescent="0.25">
      <c r="A4227" s="270"/>
      <c r="B4227" s="271"/>
      <c r="C4227" s="369" t="s">
        <v>3905</v>
      </c>
      <c r="D4227" s="744">
        <v>0</v>
      </c>
      <c r="E4227" s="744"/>
      <c r="F4227" s="370"/>
      <c r="G4227" s="745" t="s">
        <v>3111</v>
      </c>
      <c r="H4227" s="745"/>
      <c r="I4227" s="745"/>
      <c r="J4227" s="745"/>
      <c r="K4227" s="707">
        <f>T2GDeliveryTotal+ConsultFeeCredit+DepositCredit</f>
        <v>0</v>
      </c>
      <c r="L4227" s="707"/>
      <c r="M4227" s="468"/>
      <c r="N4227" s="705"/>
      <c r="O4227" s="706"/>
      <c r="P4227" s="706"/>
      <c r="Q4227" s="706"/>
      <c r="R4227" s="706"/>
      <c r="S4227" s="706"/>
      <c r="T4227" s="706"/>
      <c r="U4227" s="706"/>
      <c r="V4227" s="706"/>
      <c r="W4227" s="706"/>
      <c r="X4227"/>
      <c r="Y4227" s="130"/>
      <c r="Z4227" s="341"/>
      <c r="AA4227" s="763" t="str">
        <f>IF(PlanterBeforeDiscount=0,"~ deposit always required ~","deposit needed to order:")</f>
        <v>~ deposit always required ~</v>
      </c>
      <c r="AB4227" s="763"/>
      <c r="AC4227" s="763"/>
      <c r="AD4227" s="763"/>
      <c r="AE4227" s="343">
        <v>0.5</v>
      </c>
      <c r="AF4227" s="344">
        <f>PlantingTotal*PlanterDepositPercentage</f>
        <v>0</v>
      </c>
      <c r="AG4227" s="345"/>
      <c r="AH4227" s="371"/>
      <c r="AI4227" s="336" t="s">
        <v>44</v>
      </c>
      <c r="AJ4227" s="337">
        <v>100</v>
      </c>
      <c r="AK4227" s="755"/>
      <c r="AL4227" s="755"/>
      <c r="AM4227" s="124"/>
      <c r="AN4227" s="116"/>
      <c r="AP4227" s="97"/>
      <c r="AQ4227" s="97"/>
      <c r="AR4227" s="97"/>
      <c r="AS4227" s="97"/>
      <c r="AT4227" s="97"/>
      <c r="AU4227" s="97"/>
    </row>
    <row r="4228" spans="1:47" ht="12.95" customHeight="1" x14ac:dyDescent="0.25">
      <c r="A4228" s="270" t="s">
        <v>284</v>
      </c>
      <c r="B4228" s="270"/>
      <c r="C4228" s="372"/>
      <c r="D4228" s="373"/>
      <c r="E4228" s="374"/>
      <c r="F4228" s="375"/>
      <c r="G4228" s="359"/>
      <c r="H4228" s="351"/>
      <c r="I4228" s="347"/>
      <c r="J4228" s="376" t="s">
        <v>3112</v>
      </c>
      <c r="K4228" s="707">
        <f>T2GBalanceCredit*0.98+(ConsultFeeCredit*0.02)+(DepositCredit*0.02)</f>
        <v>0</v>
      </c>
      <c r="L4228" s="707"/>
      <c r="M4228" s="468"/>
      <c r="N4228" s="377"/>
      <c r="O4228" s="377"/>
      <c r="P4228" s="377"/>
      <c r="Q4228" s="377"/>
      <c r="R4228" s="377"/>
      <c r="S4228" s="377"/>
      <c r="T4228" s="378"/>
      <c r="U4228"/>
      <c r="V4228"/>
      <c r="W4228"/>
      <c r="X4228"/>
      <c r="Y4228" s="98"/>
      <c r="Z4228" s="732" t="s">
        <v>3950</v>
      </c>
      <c r="AA4228" s="732"/>
      <c r="AB4228" s="732"/>
      <c r="AC4228" s="732"/>
      <c r="AD4228" s="732"/>
      <c r="AE4228" s="732"/>
      <c r="AF4228" s="344">
        <f>PlantingTotal-PlanterDepositAmount</f>
        <v>0</v>
      </c>
      <c r="AG4228" s="332"/>
      <c r="AH4228" s="341"/>
      <c r="AI4228" s="336" t="s">
        <v>45</v>
      </c>
      <c r="AJ4228" s="337">
        <v>120</v>
      </c>
      <c r="AK4228" s="755"/>
      <c r="AL4228" s="755"/>
      <c r="AM4228" s="124"/>
      <c r="AN4228" s="116"/>
      <c r="AP4228" s="97"/>
      <c r="AQ4228" s="97"/>
      <c r="AR4228" s="97"/>
      <c r="AS4228" s="97"/>
      <c r="AT4228" s="97"/>
      <c r="AU4228" s="97"/>
    </row>
    <row r="4229" spans="1:47" ht="12.95" customHeight="1" x14ac:dyDescent="0.25">
      <c r="A4229" s="270"/>
      <c r="B4229" s="270"/>
      <c r="C4229" s="607" t="s">
        <v>283</v>
      </c>
      <c r="D4229" s="373"/>
      <c r="E4229" s="374"/>
      <c r="F4229" s="359"/>
      <c r="G4229" s="359"/>
      <c r="H4229" s="351"/>
      <c r="I4229" s="379"/>
      <c r="J4229" s="380"/>
      <c r="K4229" s="381"/>
      <c r="L4229" s="382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29" s="272"/>
      <c r="N4229" s="703" t="s">
        <v>268</v>
      </c>
      <c r="O4229" s="704"/>
      <c r="P4229" s="704"/>
      <c r="Q4229" s="704"/>
      <c r="R4229" s="704"/>
      <c r="S4229" s="704"/>
      <c r="T4229" s="704"/>
      <c r="U4229" s="704"/>
      <c r="V4229" s="704"/>
      <c r="W4229" s="704"/>
      <c r="X4229"/>
      <c r="Z4229" s="345"/>
      <c r="AA4229" s="345"/>
      <c r="AB4229" s="759" t="s">
        <v>3951</v>
      </c>
      <c r="AC4229" s="759"/>
      <c r="AD4229" s="759"/>
      <c r="AE4229" s="759"/>
      <c r="AF4229" s="759"/>
      <c r="AG4229" s="759"/>
      <c r="AH4229" s="341"/>
      <c r="AI4229" s="336" t="s">
        <v>46</v>
      </c>
      <c r="AJ4229" s="337">
        <v>150</v>
      </c>
      <c r="AK4229" s="755"/>
      <c r="AL4229" s="755"/>
      <c r="AM4229" s="124"/>
      <c r="AN4229" s="116"/>
      <c r="AP4229" s="97"/>
      <c r="AQ4229" s="97"/>
      <c r="AR4229" s="97"/>
      <c r="AS4229" s="97"/>
      <c r="AT4229" s="97"/>
      <c r="AU4229" s="97"/>
    </row>
    <row r="4230" spans="1:47" ht="12.95" customHeight="1" x14ac:dyDescent="0.25">
      <c r="A4230" s="270"/>
      <c r="B4230" s="270"/>
      <c r="C4230" s="372" t="s">
        <v>282</v>
      </c>
      <c r="D4230" s="347"/>
      <c r="E4230" s="374"/>
      <c r="F4230" s="383"/>
      <c r="G4230" s="359"/>
      <c r="H4230" s="384"/>
      <c r="I4230" s="385"/>
      <c r="J4230" s="381"/>
      <c r="K4230" s="386"/>
      <c r="L4230" s="382" t="str">
        <f>IF(PriceitQODC="Completed","",IF(T2G_Delivery_Total=0,"",IF(OR(PriceitQODC="Price it",PriceitQODC="Price it All!",PriceitQODC=" Price it by Common 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30" s="272"/>
      <c r="N4230" s="703" t="s">
        <v>2528</v>
      </c>
      <c r="O4230" s="704"/>
      <c r="P4230" s="704"/>
      <c r="Q4230" s="704"/>
      <c r="R4230" s="704"/>
      <c r="S4230" s="704"/>
      <c r="T4230" s="704"/>
      <c r="U4230" s="704"/>
      <c r="V4230" s="704"/>
      <c r="W4230" s="704"/>
      <c r="X4230"/>
      <c r="Z4230" s="345"/>
      <c r="AA4230" s="345"/>
      <c r="AB4230" s="759" t="s">
        <v>3952</v>
      </c>
      <c r="AC4230" s="759"/>
      <c r="AD4230" s="759"/>
      <c r="AE4230" s="759"/>
      <c r="AF4230" s="759"/>
      <c r="AG4230" s="759"/>
      <c r="AH4230" s="341"/>
      <c r="AI4230" s="336" t="s">
        <v>47</v>
      </c>
      <c r="AJ4230" s="337">
        <v>180</v>
      </c>
      <c r="AK4230" s="755"/>
      <c r="AL4230" s="755"/>
      <c r="AM4230" s="124"/>
      <c r="AN4230" s="116"/>
      <c r="AP4230" s="97"/>
      <c r="AQ4230" s="97"/>
      <c r="AR4230" s="97"/>
      <c r="AS4230" s="97"/>
      <c r="AT4230" s="97"/>
      <c r="AU4230" s="97"/>
    </row>
    <row r="4231" spans="1:47" ht="12.95" customHeight="1" x14ac:dyDescent="0.25">
      <c r="A4231" s="270" t="s">
        <v>2526</v>
      </c>
      <c r="B4231" s="270"/>
      <c r="C4231" s="372"/>
      <c r="D4231" s="387"/>
      <c r="E4231" s="387"/>
      <c r="F4231" s="383"/>
      <c r="G4231" s="359"/>
      <c r="H4231" s="384"/>
      <c r="I4231" s="388"/>
      <c r="J4231" s="381"/>
      <c r="K4231" s="386"/>
      <c r="L4231" s="389" t="str">
        <f>IF(PriceitQODC="Completed","",IF(T2G_Delivery_Total=0,"","Payment DUE AT DELIVERY"))</f>
        <v/>
      </c>
      <c r="M4231" s="273"/>
      <c r="N4231" s="703" t="s">
        <v>2529</v>
      </c>
      <c r="O4231" s="704"/>
      <c r="P4231" s="704"/>
      <c r="Q4231" s="704"/>
      <c r="R4231" s="704"/>
      <c r="S4231" s="704"/>
      <c r="T4231" s="704"/>
      <c r="U4231" s="704"/>
      <c r="V4231" s="704"/>
      <c r="W4231" s="704"/>
      <c r="X4231"/>
      <c r="Z4231" s="345"/>
      <c r="AA4231" s="345"/>
      <c r="AB4231" s="390"/>
      <c r="AC4231" s="390"/>
      <c r="AD4231" s="390"/>
      <c r="AE4231" s="332"/>
      <c r="AF4231" s="332"/>
      <c r="AG4231" s="332"/>
      <c r="AH4231" s="341"/>
      <c r="AI4231" s="336" t="s">
        <v>48</v>
      </c>
      <c r="AJ4231" s="337">
        <v>200</v>
      </c>
      <c r="AK4231" s="755"/>
      <c r="AL4231" s="755"/>
      <c r="AM4231" s="124"/>
      <c r="AN4231" s="137"/>
      <c r="AO4231" s="97"/>
      <c r="AP4231" s="97"/>
      <c r="AQ4231" s="97"/>
      <c r="AR4231" s="97"/>
      <c r="AS4231" s="97"/>
      <c r="AT4231" s="97"/>
      <c r="AU4231" s="97"/>
    </row>
    <row r="4232" spans="1:47" ht="12.95" customHeight="1" x14ac:dyDescent="0.25">
      <c r="A4232" s="391"/>
      <c r="B4232" s="391"/>
      <c r="C4232" s="391"/>
      <c r="D4232" s="590"/>
      <c r="E4232" s="392"/>
      <c r="F4232" s="393"/>
      <c r="G4232" s="469"/>
      <c r="H4232" s="470"/>
      <c r="I4232" s="471"/>
      <c r="J4232" s="471"/>
      <c r="K4232" s="472"/>
      <c r="L4232" s="548"/>
      <c r="M4232" s="473"/>
      <c r="N4232" s="703" t="s">
        <v>267</v>
      </c>
      <c r="O4232" s="704"/>
      <c r="P4232" s="704"/>
      <c r="Q4232" s="704"/>
      <c r="R4232" s="704"/>
      <c r="S4232" s="704"/>
      <c r="T4232" s="704"/>
      <c r="U4232" s="704"/>
      <c r="V4232" s="704"/>
      <c r="W4232" s="704"/>
      <c r="X4232"/>
      <c r="Z4232" s="394"/>
      <c r="AA4232" s="345"/>
      <c r="AB4232" s="332"/>
      <c r="AC4232" s="332"/>
      <c r="AD4232" s="332"/>
      <c r="AE4232" s="710" t="s">
        <v>243</v>
      </c>
      <c r="AF4232" s="710"/>
      <c r="AG4232" s="395"/>
      <c r="AH4232" s="341"/>
      <c r="AI4232" s="336" t="s">
        <v>49</v>
      </c>
      <c r="AJ4232" s="337">
        <v>300</v>
      </c>
      <c r="AK4232" s="755"/>
      <c r="AL4232" s="755"/>
      <c r="AM4232" s="124"/>
      <c r="AN4232" s="137"/>
      <c r="AO4232" s="97"/>
      <c r="AP4232" s="97"/>
      <c r="AQ4232" s="97"/>
      <c r="AR4232" s="97"/>
      <c r="AS4232" s="97"/>
      <c r="AT4232" s="97"/>
      <c r="AU4232" s="97"/>
    </row>
    <row r="4233" spans="1:47" ht="12.95" customHeight="1" x14ac:dyDescent="0.25">
      <c r="A4233" s="595" t="str">
        <f>IF(OR(PriceitQODC="Price it",PriceitQODC="Price it All!"),"",IF(PriceitQODC="Quote","",IF(PriceitQODC="Order","",IF(PriceitQODC="Delivered","Thank you!",IF(PriceitQODC="Completed","Thank you!","")))))</f>
        <v/>
      </c>
      <c r="B4233" s="142"/>
      <c r="C4233" s="591"/>
      <c r="D4233" s="590"/>
      <c r="E4233" s="392"/>
      <c r="F4233" s="391"/>
      <c r="G4233" s="225"/>
      <c r="H4233" s="470"/>
      <c r="I4233" s="471"/>
      <c r="J4233" s="143"/>
      <c r="K4233" s="473"/>
      <c r="L4233" s="549"/>
      <c r="M4233" s="472"/>
      <c r="N4233"/>
      <c r="O4233"/>
      <c r="P4233"/>
      <c r="Q4233"/>
      <c r="R4233"/>
      <c r="S4233"/>
      <c r="T4233"/>
      <c r="U4233"/>
      <c r="V4233"/>
      <c r="W4233"/>
      <c r="X4233"/>
      <c r="Z4233" s="345"/>
      <c r="AA4233" s="345"/>
      <c r="AB4233" s="332"/>
      <c r="AC4233" s="332"/>
      <c r="AD4233" s="332"/>
      <c r="AE4233" s="758" t="s">
        <v>249</v>
      </c>
      <c r="AF4233" s="758"/>
      <c r="AG4233" s="340"/>
      <c r="AH4233" s="341"/>
      <c r="AI4233" s="336" t="s">
        <v>50</v>
      </c>
      <c r="AJ4233" s="337">
        <v>400</v>
      </c>
      <c r="AK4233" s="755"/>
      <c r="AL4233" s="755"/>
      <c r="AN4233" s="144"/>
      <c r="AO4233" s="145"/>
      <c r="AP4233" s="97"/>
      <c r="AQ4233" s="97"/>
      <c r="AR4233" s="97"/>
      <c r="AS4233" s="97"/>
      <c r="AT4233" s="97"/>
      <c r="AU4233" s="97"/>
    </row>
    <row r="4234" spans="1:47" ht="12.95" customHeight="1" x14ac:dyDescent="0.25">
      <c r="A4234" s="391"/>
      <c r="B4234" s="396"/>
      <c r="C4234" s="391"/>
      <c r="D4234" s="590"/>
      <c r="E4234" s="392"/>
      <c r="F4234" s="393"/>
      <c r="G4234" s="469"/>
      <c r="H4234" s="470"/>
      <c r="I4234" s="471"/>
      <c r="J4234" s="474">
        <f>SUM(J10:J4216)</f>
        <v>0</v>
      </c>
      <c r="K4234" s="475"/>
      <c r="L4234" s="549"/>
      <c r="M4234" s="472"/>
      <c r="N4234" s="136"/>
      <c r="U4234" s="220">
        <f>SUM($U$9:$U$4216)</f>
        <v>0</v>
      </c>
      <c r="V4234" s="220">
        <f>SUM($V$9:$V$4216)</f>
        <v>0</v>
      </c>
      <c r="W4234" s="107">
        <f>SUM($Z$9:$Z$4216)</f>
        <v>0</v>
      </c>
      <c r="X4234" s="107">
        <f>SUM($X$9:$X$4216)</f>
        <v>0</v>
      </c>
      <c r="Y4234" s="136">
        <f>SUM($Y$9:$Y$4216)</f>
        <v>0</v>
      </c>
      <c r="Z4234" s="345"/>
      <c r="AA4234" s="345"/>
      <c r="AB4234" s="345"/>
      <c r="AC4234" s="345"/>
      <c r="AD4234" s="345"/>
      <c r="AE4234" s="345"/>
      <c r="AF4234" s="345"/>
      <c r="AG4234" s="146"/>
      <c r="AH4234" s="341"/>
      <c r="AI4234" s="336" t="s">
        <v>51</v>
      </c>
      <c r="AJ4234" s="337">
        <v>700</v>
      </c>
      <c r="AK4234" s="755"/>
      <c r="AL4234" s="755"/>
      <c r="AN4234" s="147"/>
      <c r="AO4234" s="147"/>
      <c r="AP4234" s="97"/>
      <c r="AQ4234" s="97"/>
      <c r="AR4234" s="97"/>
      <c r="AS4234" s="97"/>
      <c r="AT4234" s="97"/>
      <c r="AU4234" s="97"/>
    </row>
    <row r="4235" spans="1:47" ht="12.95" customHeight="1" thickBot="1" x14ac:dyDescent="0.3">
      <c r="A4235" s="391"/>
      <c r="B4235" s="396"/>
      <c r="C4235" s="391"/>
      <c r="D4235" s="392"/>
      <c r="E4235" s="392"/>
      <c r="F4235" s="393"/>
      <c r="G4235" s="476"/>
      <c r="I4235" s="471"/>
      <c r="J4235" s="471"/>
      <c r="K4235" s="472"/>
      <c r="L4235" s="549"/>
      <c r="M4235" s="472"/>
      <c r="N4235" s="136"/>
      <c r="T4235" s="149"/>
      <c r="U4235" s="219"/>
      <c r="V4235" s="219"/>
      <c r="W4235" s="97"/>
      <c r="X4235" s="150"/>
      <c r="Y4235" s="98"/>
      <c r="Z4235" s="737" t="s">
        <v>3908</v>
      </c>
      <c r="AA4235" s="737"/>
      <c r="AB4235" s="737"/>
      <c r="AC4235" s="737"/>
      <c r="AD4235" s="737"/>
      <c r="AE4235" s="737"/>
      <c r="AF4235" s="397">
        <v>0</v>
      </c>
      <c r="AG4235" s="398"/>
      <c r="AH4235" s="399"/>
      <c r="AI4235" s="400" t="s">
        <v>52</v>
      </c>
      <c r="AJ4235" s="401">
        <v>800</v>
      </c>
      <c r="AK4235" s="755"/>
      <c r="AL4235" s="755"/>
      <c r="AM4235" s="124"/>
      <c r="AN4235" s="766"/>
      <c r="AO4235" s="766"/>
      <c r="AP4235" s="766"/>
      <c r="AQ4235" s="97"/>
      <c r="AR4235" s="97"/>
      <c r="AS4235" s="97"/>
      <c r="AT4235" s="97"/>
      <c r="AU4235" s="97"/>
    </row>
    <row r="4236" spans="1:47" ht="12.95" customHeight="1" thickTop="1" x14ac:dyDescent="0.25">
      <c r="A4236" s="714" t="s">
        <v>182</v>
      </c>
      <c r="B4236" s="714"/>
      <c r="C4236" s="391"/>
      <c r="D4236" s="392"/>
      <c r="E4236" s="53"/>
      <c r="F4236" s="592"/>
      <c r="G4236" s="151"/>
      <c r="H4236" s="402"/>
      <c r="I4236" s="209"/>
      <c r="J4236" s="403"/>
      <c r="K4236" s="404" t="s">
        <v>3883</v>
      </c>
      <c r="L4236" s="405" t="str">
        <f>IF(TotalPlantsG&gt;0,"Enter quantities ↖↖ to see OPTIONAL planting fees ↗↗","Enter quantities ↖↖ to see OPTIONAL planting fees ↗↗")</f>
        <v>Enter quantities ↖↖ to see OPTIONAL planting fees ↗↗</v>
      </c>
      <c r="M4236" s="406"/>
      <c r="N4236" s="153"/>
      <c r="O4236" s="154"/>
      <c r="P4236" s="152"/>
      <c r="Q4236" s="155"/>
      <c r="R4236" s="156"/>
      <c r="S4236" s="156"/>
      <c r="T4236" s="156"/>
      <c r="U4236" s="221"/>
      <c r="V4236" s="221"/>
      <c r="W4236" s="157"/>
      <c r="X4236" s="155"/>
      <c r="Y4236" s="158"/>
      <c r="Z4236" s="407"/>
      <c r="AA4236" s="407"/>
      <c r="AB4236" s="407"/>
      <c r="AC4236" s="408"/>
      <c r="AD4236" s="408"/>
      <c r="AE4236" s="408"/>
      <c r="AF4236" s="409"/>
      <c r="AG4236" s="159"/>
      <c r="AH4236" s="159"/>
      <c r="AI4236" s="345"/>
      <c r="AJ4236" s="410"/>
      <c r="AK4236" s="755"/>
      <c r="AL4236" s="755"/>
      <c r="AM4236" s="124"/>
      <c r="AN4236" s="137"/>
      <c r="AO4236" s="97"/>
      <c r="AP4236" s="97"/>
      <c r="AQ4236" s="97"/>
      <c r="AR4236" s="97"/>
      <c r="AS4236" s="97"/>
      <c r="AT4236" s="97"/>
      <c r="AU4236" s="97"/>
    </row>
    <row r="4237" spans="1:47" ht="12.95" customHeight="1" x14ac:dyDescent="0.25">
      <c r="A4237" s="593" t="str">
        <f>IF(OR(PriceitQODC=" Price it by TYPE ",PriceitQODC=" Price it by Latin ",PriceitQODC=" Price it by Common ")," 919-266-7939",IF(PriceitQODC="Quote","Quote is",IF(PriceitQODC="Order","",IF(PriceitQODC="Delivered","",""))))</f>
        <v xml:space="preserve"> 919-266-7939</v>
      </c>
      <c r="B4237" s="396"/>
      <c r="C4237" s="391"/>
      <c r="D4237" s="594" t="str">
        <f>IF(OR(PriceitQODC=" Price it by TYPE ",PriceitQODC=" Price it by Latin ",PriceitQODC=" Price it by Common "),"Shop@Trees2Go.com",IF(PriceitQODC="Quote","",IF(PriceitQODC="Order","",IF(PriceitQODC="Delivered","",""))))</f>
        <v>Shop@Trees2Go.com</v>
      </c>
      <c r="E4237" s="392"/>
      <c r="F4237" s="393"/>
      <c r="G4237" s="230"/>
      <c r="H4237" s="160"/>
      <c r="I4237" s="210"/>
      <c r="J4237" s="211"/>
      <c r="K4237" s="140"/>
      <c r="L4237" s="550"/>
      <c r="M4237" s="140"/>
      <c r="N4237" s="161"/>
      <c r="O4237" s="56"/>
      <c r="P4237" s="56"/>
      <c r="Q4237" s="162"/>
      <c r="R4237" s="162"/>
      <c r="S4237" s="163"/>
      <c r="T4237" s="164"/>
      <c r="U4237" s="222"/>
      <c r="V4237" s="223"/>
      <c r="AA4237" s="165"/>
      <c r="AB4237" s="165"/>
      <c r="AC4237" s="165"/>
      <c r="AD4237" s="165"/>
      <c r="AE4237" s="165"/>
      <c r="AF4237" s="165"/>
      <c r="AG4237" s="165"/>
      <c r="AH4237" s="165"/>
      <c r="AI4237" s="56"/>
      <c r="AK4237" s="128"/>
      <c r="AL4237" s="167"/>
      <c r="AM4237" s="124"/>
      <c r="AN4237" s="137"/>
      <c r="AO4237" s="97"/>
      <c r="AP4237" s="97"/>
      <c r="AQ4237" s="97"/>
      <c r="AR4237" s="97"/>
      <c r="AS4237" s="97"/>
      <c r="AT4237" s="97"/>
      <c r="AU4237" s="97"/>
    </row>
    <row r="4238" spans="1:47" ht="12.95" customHeight="1" x14ac:dyDescent="0.2">
      <c r="A4238" s="595" t="str">
        <f>IF(OR(PriceitQODC=" Price it by TYPE ",PriceitQODC=" Price it by Latin ",PriceitQODC=" Price it by Common 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38" s="396"/>
      <c r="C4238" s="391"/>
      <c r="D4238" s="411"/>
      <c r="E4238" s="392"/>
      <c r="F4238" s="391"/>
      <c r="G4238" s="391"/>
      <c r="H4238" s="56"/>
      <c r="J4238" s="206"/>
      <c r="K4238" s="114"/>
      <c r="L4238" s="551"/>
      <c r="M4238" s="114"/>
      <c r="N4238" s="168"/>
      <c r="O4238" s="56"/>
      <c r="P4238" s="56"/>
      <c r="Q4238" s="162"/>
      <c r="R4238" s="162"/>
      <c r="S4238" s="163"/>
      <c r="T4238" s="164"/>
      <c r="U4238" s="222"/>
      <c r="V4238" s="223"/>
      <c r="Z4238" s="169"/>
      <c r="AA4238" s="169"/>
      <c r="AB4238" s="169"/>
      <c r="AC4238" s="169"/>
      <c r="AD4238" s="736" t="s">
        <v>2522</v>
      </c>
      <c r="AE4238" s="736"/>
      <c r="AF4238" s="736"/>
      <c r="AG4238" s="736"/>
      <c r="AH4238" s="736"/>
      <c r="AI4238" s="169"/>
      <c r="AK4238" s="755"/>
      <c r="AL4238" s="755"/>
      <c r="AM4238" s="124"/>
      <c r="AN4238" s="116"/>
      <c r="AP4238" s="97"/>
      <c r="AQ4238" s="97"/>
      <c r="AR4238" s="97"/>
      <c r="AS4238" s="97"/>
      <c r="AT4238" s="97"/>
      <c r="AU4238" s="97"/>
    </row>
    <row r="4239" spans="1:47" ht="12.95" customHeight="1" x14ac:dyDescent="0.25">
      <c r="A4239" s="170"/>
      <c r="B4239" s="171"/>
      <c r="C4239" s="171"/>
      <c r="D4239" s="171"/>
      <c r="E4239" s="172"/>
      <c r="G4239" s="173"/>
      <c r="H4239" s="174"/>
      <c r="I4239" s="206"/>
      <c r="J4239" s="206"/>
      <c r="K4239" s="740" t="s">
        <v>673</v>
      </c>
      <c r="L4239" s="740"/>
      <c r="M4239" s="176"/>
      <c r="N4239" s="168"/>
      <c r="O4239" s="56"/>
      <c r="P4239" s="56"/>
      <c r="Q4239" s="56"/>
      <c r="R4239" s="56"/>
      <c r="S4239" s="56"/>
      <c r="T4239" s="56"/>
      <c r="Y4239" s="98"/>
      <c r="Z4239" s="598" t="s">
        <v>259</v>
      </c>
      <c r="AA4239" s="412"/>
      <c r="AB4239" s="412"/>
      <c r="AC4239" s="412"/>
      <c r="AD4239" s="412"/>
      <c r="AE4239" s="412"/>
      <c r="AF4239" s="412"/>
      <c r="AG4239" s="412"/>
      <c r="AH4239" s="761"/>
      <c r="AI4239" s="762"/>
      <c r="AK4239" s="128"/>
      <c r="AL4239" s="128"/>
      <c r="AM4239" s="124"/>
      <c r="AN4239" s="116"/>
      <c r="AP4239" s="97"/>
      <c r="AQ4239" s="97"/>
      <c r="AR4239" s="97"/>
      <c r="AS4239" s="97"/>
      <c r="AT4239" s="97"/>
      <c r="AU4239" s="97"/>
    </row>
    <row r="4240" spans="1:47" ht="12.95" customHeight="1" x14ac:dyDescent="0.25">
      <c r="B4240" s="713" t="s">
        <v>189</v>
      </c>
      <c r="C4240" s="713"/>
      <c r="D4240" s="713"/>
      <c r="E4240" s="713"/>
      <c r="F4240" s="713"/>
      <c r="G4240" s="713"/>
      <c r="H4240" s="713"/>
      <c r="I4240" s="713"/>
      <c r="J4240" s="413"/>
      <c r="K4240" s="414"/>
      <c r="L4240" s="552"/>
      <c r="M4240" s="414"/>
      <c r="N4240" s="415"/>
      <c r="Y4240" s="98"/>
      <c r="Z4240" s="708" t="s">
        <v>4586</v>
      </c>
      <c r="AA4240" s="708"/>
      <c r="AB4240" s="708"/>
      <c r="AC4240" s="708"/>
      <c r="AD4240" s="708"/>
      <c r="AE4240" s="708"/>
      <c r="AF4240" s="708"/>
      <c r="AG4240" s="708"/>
      <c r="AH4240" s="708"/>
      <c r="AI4240" s="709"/>
      <c r="AK4240" s="128"/>
      <c r="AL4240" s="177"/>
      <c r="AM4240" s="124"/>
      <c r="AN4240" s="116"/>
      <c r="AP4240" s="97"/>
      <c r="AQ4240" s="97"/>
      <c r="AR4240" s="97"/>
      <c r="AS4240" s="97"/>
      <c r="AT4240" s="97"/>
      <c r="AU4240" s="97"/>
    </row>
    <row r="4241" spans="1:47" ht="12.95" customHeight="1" x14ac:dyDescent="0.25">
      <c r="A4241" s="178"/>
      <c r="B4241" s="416" t="s">
        <v>3902</v>
      </c>
      <c r="C4241" s="533"/>
      <c r="D4241" s="346"/>
      <c r="E4241" s="417"/>
      <c r="F4241" s="290"/>
      <c r="G4241" s="290"/>
      <c r="H4241" s="131"/>
      <c r="I4241" s="418"/>
      <c r="J4241" s="418"/>
      <c r="K4241" s="419"/>
      <c r="L4241" s="552"/>
      <c r="M4241" s="414"/>
      <c r="N4241" s="415"/>
      <c r="W4241" s="97"/>
      <c r="X4241" s="97"/>
      <c r="Y4241" s="98"/>
      <c r="Z4241" s="708" t="s">
        <v>3907</v>
      </c>
      <c r="AA4241" s="708"/>
      <c r="AB4241" s="708"/>
      <c r="AC4241" s="708"/>
      <c r="AD4241" s="708"/>
      <c r="AE4241" s="708"/>
      <c r="AF4241" s="708"/>
      <c r="AG4241" s="708"/>
      <c r="AH4241" s="708"/>
      <c r="AI4241" s="709"/>
      <c r="AK4241" s="128"/>
      <c r="AL4241" s="177"/>
      <c r="AM4241" s="124"/>
      <c r="AN4241" s="116"/>
      <c r="AP4241" s="97"/>
      <c r="AQ4241" s="97"/>
      <c r="AR4241" s="97"/>
      <c r="AS4241" s="97"/>
      <c r="AT4241" s="97"/>
      <c r="AU4241" s="97"/>
    </row>
    <row r="4242" spans="1:47" ht="12.95" customHeight="1" thickBot="1" x14ac:dyDescent="0.3">
      <c r="A4242" s="178"/>
      <c r="B4242" s="416" t="s">
        <v>3903</v>
      </c>
      <c r="C4242" s="533"/>
      <c r="D4242" s="346"/>
      <c r="E4242" s="417"/>
      <c r="F4242" s="290"/>
      <c r="G4242" s="290"/>
      <c r="H4242" s="131"/>
      <c r="I4242" s="418"/>
      <c r="J4242" s="418"/>
      <c r="K4242" s="419"/>
      <c r="L4242" s="552"/>
      <c r="M4242" s="414"/>
      <c r="N4242" s="415"/>
      <c r="W4242" s="97"/>
      <c r="X4242" s="97"/>
      <c r="Y4242" s="98"/>
      <c r="Z4242" s="764" t="s">
        <v>3906</v>
      </c>
      <c r="AA4242" s="764"/>
      <c r="AB4242" s="764"/>
      <c r="AC4242" s="764"/>
      <c r="AD4242" s="764"/>
      <c r="AE4242" s="764"/>
      <c r="AF4242" s="764"/>
      <c r="AG4242" s="751">
        <f>PlanterBeforeDiscount+PlanterMileageNoConcatenate+PlanterPreviousAmountsPaid</f>
        <v>0</v>
      </c>
      <c r="AH4242" s="751"/>
      <c r="AI4242" s="752"/>
      <c r="AK4242" s="128"/>
      <c r="AL4242" s="177"/>
      <c r="AM4242" s="124"/>
      <c r="AN4242" s="116"/>
      <c r="AP4242" s="97"/>
      <c r="AQ4242" s="97"/>
      <c r="AR4242" s="97"/>
      <c r="AS4242" s="97"/>
      <c r="AT4242" s="97"/>
      <c r="AU4242" s="97"/>
    </row>
    <row r="4243" spans="1:47" ht="12.95" customHeight="1" thickTop="1" thickBot="1" x14ac:dyDescent="0.3">
      <c r="A4243" s="178"/>
      <c r="B4243" s="420"/>
      <c r="C4243" s="347"/>
      <c r="D4243" s="421"/>
      <c r="E4243" s="417"/>
      <c r="F4243" s="422"/>
      <c r="G4243" s="422"/>
      <c r="H4243" s="534" t="s">
        <v>3904</v>
      </c>
      <c r="I4243" s="535" t="str">
        <f>CONCATENATE("$",ROUNDUP((BeforeDiscountWithTax+T2GPreviousAmountsPaid+MileageFee),2),"")</f>
        <v>$0</v>
      </c>
      <c r="J4243" s="423" t="s">
        <v>260</v>
      </c>
      <c r="K4243" s="338">
        <f>(+'Discount Lookup'!B3)+NoWarrantyDiscount+BonusDiscount</f>
        <v>0</v>
      </c>
      <c r="L4243" s="552"/>
      <c r="M4243" s="414"/>
      <c r="N4243" s="415"/>
      <c r="O4243" s="179"/>
      <c r="P4243" s="180"/>
      <c r="Q4243" s="181"/>
      <c r="R4243" s="181"/>
      <c r="S4243" s="180"/>
      <c r="T4243" s="149"/>
      <c r="U4243" s="219"/>
      <c r="V4243" s="219"/>
      <c r="W4243" s="97"/>
      <c r="X4243" s="97"/>
      <c r="Y4243" s="98"/>
      <c r="Z4243" s="610" t="s">
        <v>264</v>
      </c>
      <c r="AA4243" s="609"/>
      <c r="AB4243" s="424"/>
      <c r="AC4243" s="424"/>
      <c r="AD4243" s="424"/>
      <c r="AE4243" s="424"/>
      <c r="AF4243" s="611" t="s">
        <v>260</v>
      </c>
      <c r="AG4243" s="712">
        <f>PlanterDiscount</f>
        <v>0</v>
      </c>
      <c r="AH4243" s="712"/>
      <c r="AI4243" s="425"/>
      <c r="AK4243" s="128"/>
      <c r="AL4243" s="177"/>
      <c r="AM4243" s="124"/>
      <c r="AN4243" s="116"/>
      <c r="AP4243" s="97"/>
      <c r="AQ4243" s="97"/>
      <c r="AR4243" s="97"/>
      <c r="AS4243" s="97"/>
      <c r="AT4243" s="97"/>
      <c r="AU4243" s="97"/>
    </row>
    <row r="4244" spans="1:47" ht="12.95" customHeight="1" thickTop="1" x14ac:dyDescent="0.25">
      <c r="A4244" s="178"/>
      <c r="B4244" s="182"/>
      <c r="C4244" s="183"/>
      <c r="D4244" s="184"/>
      <c r="E4244" s="185"/>
      <c r="F4244" s="426"/>
      <c r="G4244" s="427"/>
      <c r="H4244" s="131"/>
      <c r="I4244" s="603" t="s">
        <v>3892</v>
      </c>
      <c r="J4244" s="186"/>
      <c r="K4244" s="419"/>
      <c r="L4244" s="552"/>
      <c r="M4244" s="414"/>
      <c r="N4244" s="415"/>
      <c r="R4244" s="181"/>
      <c r="S4244" s="180"/>
      <c r="T4244" s="149"/>
      <c r="U4244" s="219"/>
      <c r="V4244" s="219"/>
      <c r="W4244" s="97"/>
      <c r="X4244" s="97"/>
      <c r="Y4244" s="98"/>
      <c r="Z4244" s="429"/>
      <c r="AA4244" s="430"/>
      <c r="AB4244" s="430"/>
      <c r="AC4244" s="430"/>
      <c r="AD4244" s="430"/>
      <c r="AE4244" s="430"/>
      <c r="AF4244" s="430"/>
      <c r="AG4244" s="430"/>
      <c r="AH4244" s="430"/>
      <c r="AI4244" s="430"/>
      <c r="AK4244" s="128"/>
      <c r="AL4244" s="177"/>
      <c r="AM4244" s="124"/>
      <c r="AN4244" s="116"/>
      <c r="AP4244" s="97"/>
      <c r="AQ4244" s="97"/>
      <c r="AR4244" s="97"/>
      <c r="AS4244" s="97"/>
      <c r="AT4244" s="97"/>
      <c r="AU4244" s="97"/>
    </row>
    <row r="4245" spans="1:47" ht="12.95" customHeight="1" x14ac:dyDescent="0.25">
      <c r="A4245" s="178"/>
      <c r="B4245" s="182"/>
      <c r="C4245" s="431" t="s">
        <v>3886</v>
      </c>
      <c r="D4245" s="187"/>
      <c r="E4245" s="187"/>
      <c r="F4245" s="432"/>
      <c r="G4245" s="433"/>
      <c r="H4245" s="188"/>
      <c r="I4245" s="604" t="s">
        <v>3893</v>
      </c>
      <c r="J4245" s="186"/>
      <c r="K4245" s="419"/>
      <c r="L4245" s="552"/>
      <c r="M4245" s="414"/>
      <c r="N4245" s="415"/>
      <c r="W4245" s="97"/>
      <c r="X4245" s="97"/>
      <c r="Y4245" s="98"/>
      <c r="Z4245" s="608" t="s">
        <v>262</v>
      </c>
      <c r="AA4245" s="434"/>
      <c r="AB4245" s="434"/>
      <c r="AC4245" s="434"/>
      <c r="AD4245" s="434"/>
      <c r="AE4245" s="434"/>
      <c r="AF4245" s="434"/>
      <c r="AG4245" s="434"/>
      <c r="AH4245" s="434"/>
      <c r="AI4245" s="434"/>
      <c r="AK4245" s="128"/>
      <c r="AL4245" s="177"/>
      <c r="AM4245" s="124"/>
      <c r="AN4245" s="116"/>
      <c r="AP4245" s="97"/>
      <c r="AQ4245" s="97"/>
      <c r="AR4245" s="97"/>
      <c r="AS4245" s="97"/>
      <c r="AT4245" s="97"/>
      <c r="AU4245" s="97"/>
    </row>
    <row r="4246" spans="1:47" ht="12.95" customHeight="1" x14ac:dyDescent="0.25">
      <c r="A4246" s="178"/>
      <c r="B4246" s="182"/>
      <c r="C4246" s="600" t="s">
        <v>252</v>
      </c>
      <c r="D4246" s="187"/>
      <c r="E4246" s="187"/>
      <c r="F4246" s="432"/>
      <c r="G4246" s="433"/>
      <c r="H4246" s="188"/>
      <c r="I4246" s="605" t="s">
        <v>3894</v>
      </c>
      <c r="J4246" s="186"/>
      <c r="K4246" s="738" t="s">
        <v>263</v>
      </c>
      <c r="L4246" s="738"/>
      <c r="M4246" s="738"/>
      <c r="N4246" s="738"/>
      <c r="W4246" s="97"/>
      <c r="X4246" s="97"/>
      <c r="Y4246" s="98"/>
      <c r="Z4246" s="729" t="s">
        <v>138</v>
      </c>
      <c r="AA4246" s="729"/>
      <c r="AB4246" s="729"/>
      <c r="AC4246" s="729"/>
      <c r="AD4246" s="729"/>
      <c r="AE4246" s="729"/>
      <c r="AF4246" s="729"/>
      <c r="AG4246" s="729"/>
      <c r="AH4246" s="729"/>
      <c r="AI4246" s="729"/>
      <c r="AK4246" s="128"/>
      <c r="AL4246" s="177"/>
      <c r="AM4246" s="124"/>
      <c r="AN4246" s="116"/>
      <c r="AP4246" s="97"/>
      <c r="AQ4246" s="97"/>
      <c r="AR4246" s="97"/>
      <c r="AS4246" s="97"/>
      <c r="AT4246" s="97"/>
      <c r="AU4246" s="97"/>
    </row>
    <row r="4247" spans="1:47" ht="12.95" customHeight="1" x14ac:dyDescent="0.25">
      <c r="A4247" s="178"/>
      <c r="B4247" s="182"/>
      <c r="C4247" s="431" t="s">
        <v>3887</v>
      </c>
      <c r="D4247" s="187"/>
      <c r="E4247" s="187"/>
      <c r="F4247" s="721"/>
      <c r="G4247" s="721"/>
      <c r="H4247" s="721"/>
      <c r="I4247" s="605" t="s">
        <v>3895</v>
      </c>
      <c r="J4247" s="186"/>
      <c r="K4247" s="738"/>
      <c r="L4247" s="738"/>
      <c r="M4247" s="738"/>
      <c r="N4247" s="738"/>
      <c r="W4247" s="97"/>
      <c r="X4247" s="97"/>
      <c r="Y4247" s="98"/>
      <c r="Z4247" s="701" t="s">
        <v>179</v>
      </c>
      <c r="AA4247" s="701"/>
      <c r="AB4247" s="701"/>
      <c r="AC4247" s="701"/>
      <c r="AD4247" s="701"/>
      <c r="AE4247" s="701"/>
      <c r="AF4247" s="701"/>
      <c r="AG4247" s="701"/>
      <c r="AH4247" s="701"/>
      <c r="AI4247" s="701"/>
      <c r="AK4247" s="128"/>
      <c r="AL4247" s="177"/>
      <c r="AM4247" s="124"/>
      <c r="AN4247" s="116"/>
      <c r="AP4247" s="97"/>
      <c r="AQ4247" s="97"/>
      <c r="AR4247" s="97"/>
      <c r="AS4247" s="97"/>
      <c r="AT4247" s="97"/>
      <c r="AU4247" s="97"/>
    </row>
    <row r="4248" spans="1:47" ht="12.95" customHeight="1" x14ac:dyDescent="0.25">
      <c r="A4248" s="178"/>
      <c r="B4248" s="182"/>
      <c r="C4248" s="431" t="s">
        <v>3888</v>
      </c>
      <c r="D4248" s="435"/>
      <c r="E4248" s="190"/>
      <c r="F4248" s="717"/>
      <c r="G4248" s="717"/>
      <c r="H4248" s="717"/>
      <c r="I4248" s="605" t="s">
        <v>3896</v>
      </c>
      <c r="J4248" s="186"/>
      <c r="K4248" s="738"/>
      <c r="L4248" s="738"/>
      <c r="M4248" s="738"/>
      <c r="N4248" s="738"/>
      <c r="W4248" s="97"/>
      <c r="X4248" s="97"/>
      <c r="Y4248" s="98"/>
      <c r="Z4248" s="701" t="s">
        <v>178</v>
      </c>
      <c r="AA4248" s="701"/>
      <c r="AB4248" s="701"/>
      <c r="AC4248" s="701"/>
      <c r="AD4248" s="701"/>
      <c r="AE4248" s="701"/>
      <c r="AF4248" s="701"/>
      <c r="AG4248" s="701"/>
      <c r="AH4248" s="701"/>
      <c r="AI4248" s="701"/>
      <c r="AK4248" s="128"/>
      <c r="AL4248" s="177"/>
      <c r="AM4248" s="124"/>
      <c r="AN4248" s="116"/>
      <c r="AP4248" s="97"/>
      <c r="AQ4248" s="97"/>
      <c r="AR4248" s="97"/>
      <c r="AS4248" s="97"/>
      <c r="AT4248" s="97"/>
      <c r="AU4248" s="97"/>
    </row>
    <row r="4249" spans="1:47" ht="12.95" customHeight="1" x14ac:dyDescent="0.25">
      <c r="A4249" s="178"/>
      <c r="B4249" s="182"/>
      <c r="C4249" s="431" t="s">
        <v>253</v>
      </c>
      <c r="D4249" s="435"/>
      <c r="E4249" s="190"/>
      <c r="F4249" s="191"/>
      <c r="G4249" s="436"/>
      <c r="H4249" s="188"/>
      <c r="I4249" s="605" t="s">
        <v>3897</v>
      </c>
      <c r="J4249" s="186"/>
      <c r="K4249" s="738"/>
      <c r="L4249" s="738"/>
      <c r="M4249" s="738"/>
      <c r="N4249" s="738"/>
      <c r="W4249" s="97"/>
      <c r="X4249" s="97"/>
      <c r="Y4249" s="192"/>
      <c r="Z4249" s="701" t="s">
        <v>180</v>
      </c>
      <c r="AA4249" s="701"/>
      <c r="AB4249" s="701"/>
      <c r="AC4249" s="701"/>
      <c r="AD4249" s="701"/>
      <c r="AE4249" s="701"/>
      <c r="AF4249" s="701"/>
      <c r="AG4249" s="701"/>
      <c r="AH4249" s="701"/>
      <c r="AI4249" s="701"/>
      <c r="AK4249" s="128"/>
      <c r="AL4249" s="177"/>
      <c r="AM4249" s="124"/>
      <c r="AN4249" s="116"/>
      <c r="AP4249" s="97"/>
      <c r="AQ4249" s="97"/>
      <c r="AR4249" s="97"/>
      <c r="AS4249" s="97"/>
      <c r="AT4249" s="97"/>
      <c r="AU4249" s="97"/>
    </row>
    <row r="4250" spans="1:47" ht="12.95" customHeight="1" x14ac:dyDescent="0.25">
      <c r="A4250" s="178"/>
      <c r="B4250" s="182"/>
      <c r="C4250" s="431" t="s">
        <v>3889</v>
      </c>
      <c r="D4250" s="193"/>
      <c r="E4250" s="194"/>
      <c r="F4250" s="191"/>
      <c r="G4250" s="436"/>
      <c r="H4250" s="188"/>
      <c r="I4250" s="605" t="s">
        <v>3898</v>
      </c>
      <c r="J4250" s="186"/>
      <c r="K4250" s="419"/>
      <c r="L4250" s="552"/>
      <c r="M4250" s="414"/>
      <c r="N4250" s="415"/>
      <c r="O4250" s="56"/>
      <c r="P4250" s="92"/>
      <c r="Q4250" s="97"/>
      <c r="R4250" s="97"/>
      <c r="S4250" s="97"/>
      <c r="T4250" s="97"/>
      <c r="U4250" s="218"/>
      <c r="V4250" s="219"/>
      <c r="W4250" s="97"/>
      <c r="X4250" s="97"/>
      <c r="Y4250" s="195"/>
      <c r="Z4250" s="701" t="s">
        <v>181</v>
      </c>
      <c r="AA4250" s="701"/>
      <c r="AB4250" s="701"/>
      <c r="AC4250" s="701"/>
      <c r="AD4250" s="701"/>
      <c r="AE4250" s="701"/>
      <c r="AF4250" s="701"/>
      <c r="AG4250" s="701"/>
      <c r="AH4250" s="701"/>
      <c r="AI4250" s="701"/>
      <c r="AK4250" s="128"/>
      <c r="AL4250" s="177"/>
      <c r="AM4250" s="124"/>
      <c r="AN4250" s="116"/>
      <c r="AP4250" s="97"/>
      <c r="AQ4250" s="97"/>
      <c r="AR4250" s="97"/>
      <c r="AS4250" s="97"/>
      <c r="AT4250" s="97"/>
      <c r="AU4250" s="97"/>
    </row>
    <row r="4251" spans="1:47" ht="12.95" customHeight="1" x14ac:dyDescent="0.25">
      <c r="A4251" s="178"/>
      <c r="B4251" s="182"/>
      <c r="C4251" s="431" t="s">
        <v>254</v>
      </c>
      <c r="D4251" s="196"/>
      <c r="E4251" s="190"/>
      <c r="F4251" s="197"/>
      <c r="G4251" s="436"/>
      <c r="H4251" s="188"/>
      <c r="I4251" s="605" t="s">
        <v>3899</v>
      </c>
      <c r="J4251" s="186"/>
      <c r="K4251" s="419"/>
      <c r="L4251" s="552"/>
      <c r="M4251" s="414"/>
      <c r="N4251" s="415"/>
      <c r="O4251" s="56"/>
      <c r="P4251" s="92"/>
      <c r="Q4251" s="97"/>
      <c r="R4251" s="97"/>
      <c r="S4251" s="97"/>
      <c r="T4251" s="97"/>
      <c r="U4251" s="218"/>
      <c r="V4251" s="219"/>
      <c r="W4251" s="97"/>
      <c r="X4251" s="97"/>
      <c r="Y4251" s="195"/>
      <c r="Z4251" s="701"/>
      <c r="AA4251" s="701"/>
      <c r="AB4251" s="701"/>
      <c r="AC4251" s="701"/>
      <c r="AD4251" s="701"/>
      <c r="AE4251" s="701"/>
      <c r="AF4251" s="701"/>
      <c r="AG4251" s="701"/>
      <c r="AH4251" s="701"/>
      <c r="AI4251" s="701"/>
      <c r="AK4251" s="128"/>
      <c r="AL4251" s="177"/>
      <c r="AM4251" s="124"/>
      <c r="AN4251" s="116"/>
      <c r="AP4251" s="97"/>
      <c r="AQ4251" s="97"/>
      <c r="AR4251" s="97"/>
      <c r="AS4251" s="97"/>
      <c r="AT4251" s="97"/>
      <c r="AU4251" s="97"/>
    </row>
    <row r="4252" spans="1:47" ht="12.95" customHeight="1" x14ac:dyDescent="0.25">
      <c r="A4252" s="178"/>
      <c r="B4252" s="182"/>
      <c r="C4252" s="431" t="s">
        <v>255</v>
      </c>
      <c r="D4252" s="187"/>
      <c r="E4252" s="187"/>
      <c r="F4252" s="432"/>
      <c r="G4252" s="433"/>
      <c r="H4252" s="188"/>
      <c r="I4252" s="605" t="s">
        <v>3900</v>
      </c>
      <c r="J4252" s="186"/>
      <c r="K4252" s="419"/>
      <c r="L4252" s="552"/>
      <c r="M4252" s="414"/>
      <c r="N4252" s="415"/>
      <c r="O4252" s="56"/>
      <c r="P4252" s="92"/>
      <c r="Q4252" s="97"/>
      <c r="R4252" s="97"/>
      <c r="S4252" s="97"/>
      <c r="T4252" s="97"/>
      <c r="U4252" s="218"/>
      <c r="V4252" s="219"/>
      <c r="W4252" s="97"/>
      <c r="X4252" s="97"/>
      <c r="Y4252" s="98"/>
      <c r="Z4252" s="729" t="s">
        <v>137</v>
      </c>
      <c r="AA4252" s="729"/>
      <c r="AB4252" s="729"/>
      <c r="AC4252" s="729"/>
      <c r="AD4252" s="729"/>
      <c r="AE4252" s="729"/>
      <c r="AF4252" s="729"/>
      <c r="AG4252" s="729"/>
      <c r="AH4252" s="729"/>
      <c r="AI4252" s="729"/>
      <c r="AK4252" s="128"/>
      <c r="AL4252" s="177"/>
      <c r="AM4252" s="124"/>
      <c r="AN4252" s="116"/>
      <c r="AP4252" s="97"/>
      <c r="AQ4252" s="97"/>
      <c r="AR4252" s="97"/>
      <c r="AS4252" s="97"/>
      <c r="AT4252" s="97"/>
      <c r="AU4252" s="97"/>
    </row>
    <row r="4253" spans="1:47" ht="12.95" customHeight="1" x14ac:dyDescent="0.25">
      <c r="A4253" s="178"/>
      <c r="B4253" s="182"/>
      <c r="C4253" s="183"/>
      <c r="D4253" s="184"/>
      <c r="E4253" s="185"/>
      <c r="F4253" s="426"/>
      <c r="G4253" s="427"/>
      <c r="H4253" s="131"/>
      <c r="I4253" s="605" t="s">
        <v>3901</v>
      </c>
      <c r="J4253" s="186"/>
      <c r="K4253" s="198"/>
      <c r="L4253" s="552"/>
      <c r="M4253" s="414"/>
      <c r="N4253" s="415"/>
      <c r="O4253" s="56"/>
      <c r="P4253" s="92"/>
      <c r="Q4253" s="97"/>
      <c r="R4253" s="97"/>
      <c r="S4253" s="97"/>
      <c r="T4253" s="97"/>
      <c r="U4253" s="218"/>
      <c r="V4253" s="219"/>
      <c r="W4253" s="97"/>
      <c r="X4253" s="97"/>
      <c r="Y4253" s="98"/>
      <c r="Z4253" s="701" t="s">
        <v>141</v>
      </c>
      <c r="AA4253" s="701"/>
      <c r="AB4253" s="701"/>
      <c r="AC4253" s="701"/>
      <c r="AD4253" s="701"/>
      <c r="AE4253" s="701"/>
      <c r="AF4253" s="701"/>
      <c r="AG4253" s="701"/>
      <c r="AH4253" s="701"/>
      <c r="AI4253" s="701"/>
      <c r="AK4253" s="128"/>
      <c r="AL4253" s="177"/>
      <c r="AM4253" s="124"/>
      <c r="AN4253" s="116"/>
      <c r="AP4253" s="97"/>
      <c r="AQ4253" s="97"/>
      <c r="AR4253" s="97"/>
      <c r="AS4253" s="97"/>
      <c r="AT4253" s="97"/>
      <c r="AU4253" s="97"/>
    </row>
    <row r="4254" spans="1:47" ht="12.95" customHeight="1" x14ac:dyDescent="0.2">
      <c r="A4254" s="178"/>
      <c r="B4254" s="437"/>
      <c r="C4254" s="438"/>
      <c r="D4254" s="439"/>
      <c r="E4254" s="440"/>
      <c r="F4254" s="38"/>
      <c r="G4254" s="441"/>
      <c r="H4254" s="442"/>
      <c r="I4254" s="443"/>
      <c r="J4254" s="443"/>
      <c r="K4254" s="444"/>
      <c r="L4254" s="553"/>
      <c r="M4254" s="444"/>
      <c r="N4254" s="445"/>
      <c r="O4254" s="56"/>
      <c r="P4254" s="56"/>
      <c r="Q4254" s="56"/>
      <c r="R4254" s="56"/>
      <c r="S4254" s="56"/>
      <c r="T4254" s="56"/>
      <c r="X4254" s="97"/>
      <c r="Y4254" s="98"/>
      <c r="Z4254" s="701"/>
      <c r="AA4254" s="701"/>
      <c r="AB4254" s="701"/>
      <c r="AC4254" s="701"/>
      <c r="AD4254" s="701"/>
      <c r="AE4254" s="701"/>
      <c r="AF4254" s="701"/>
      <c r="AG4254" s="701"/>
      <c r="AH4254" s="701"/>
      <c r="AI4254" s="701"/>
      <c r="AK4254" s="128"/>
      <c r="AL4254" s="128"/>
      <c r="AM4254" s="124"/>
      <c r="AN4254" s="116"/>
      <c r="AP4254" s="97"/>
      <c r="AQ4254" s="97"/>
      <c r="AR4254" s="97"/>
      <c r="AS4254" s="97"/>
      <c r="AT4254" s="97"/>
      <c r="AU4254" s="97"/>
    </row>
    <row r="4255" spans="1:47" ht="12.95" customHeight="1" x14ac:dyDescent="0.25">
      <c r="A4255" s="178"/>
      <c r="B4255" s="599" t="s">
        <v>274</v>
      </c>
      <c r="C4255" s="447"/>
      <c r="D4255" s="446"/>
      <c r="E4255" s="446"/>
      <c r="F4255" s="446"/>
      <c r="G4255" s="446"/>
      <c r="H4255" s="446"/>
      <c r="I4255" s="448"/>
      <c r="J4255" s="413"/>
      <c r="K4255" s="414"/>
      <c r="L4255" s="552"/>
      <c r="M4255" s="414"/>
      <c r="N4255" s="415"/>
      <c r="O4255" s="92"/>
      <c r="P4255" s="56"/>
      <c r="Q4255" s="56"/>
      <c r="R4255" s="56"/>
      <c r="S4255" s="56"/>
      <c r="T4255" s="56"/>
      <c r="X4255" s="97"/>
      <c r="Y4255" s="98"/>
      <c r="Z4255" s="729" t="s">
        <v>192</v>
      </c>
      <c r="AA4255" s="729"/>
      <c r="AB4255" s="729"/>
      <c r="AC4255" s="729"/>
      <c r="AD4255" s="729"/>
      <c r="AE4255" s="729"/>
      <c r="AF4255" s="729"/>
      <c r="AG4255" s="729"/>
      <c r="AH4255" s="729"/>
      <c r="AI4255" s="729"/>
      <c r="AJ4255" s="199"/>
      <c r="AK4255" s="128"/>
      <c r="AL4255" s="177"/>
      <c r="AM4255" s="124"/>
      <c r="AN4255" s="116"/>
      <c r="AP4255" s="97"/>
      <c r="AQ4255" s="97"/>
      <c r="AR4255" s="97"/>
      <c r="AS4255" s="97"/>
      <c r="AT4255" s="97"/>
      <c r="AU4255" s="97"/>
    </row>
    <row r="4256" spans="1:47" ht="12.95" customHeight="1" x14ac:dyDescent="0.25">
      <c r="A4256" s="178"/>
      <c r="B4256" s="601" t="s">
        <v>150</v>
      </c>
      <c r="C4256" s="449"/>
      <c r="D4256" s="346"/>
      <c r="E4256" s="200"/>
      <c r="F4256" s="201"/>
      <c r="G4256" s="201"/>
      <c r="H4256" s="131"/>
      <c r="I4256" s="207"/>
      <c r="J4256" s="207"/>
      <c r="K4256" s="207"/>
      <c r="L4256" s="207"/>
      <c r="M4256" s="207"/>
      <c r="O4256" s="92"/>
      <c r="P4256" s="56"/>
      <c r="Q4256" s="56"/>
      <c r="R4256" s="97"/>
      <c r="S4256" s="56"/>
      <c r="T4256" s="56"/>
      <c r="V4256" s="219"/>
      <c r="W4256" s="97"/>
      <c r="X4256" s="97"/>
      <c r="Y4256" s="195"/>
      <c r="Z4256" s="701" t="s">
        <v>4587</v>
      </c>
      <c r="AA4256" s="701"/>
      <c r="AB4256" s="701"/>
      <c r="AC4256" s="701"/>
      <c r="AD4256" s="701"/>
      <c r="AE4256" s="701"/>
      <c r="AF4256" s="701"/>
      <c r="AG4256" s="701"/>
      <c r="AH4256" s="701"/>
      <c r="AI4256" s="701"/>
      <c r="AK4256" s="128"/>
      <c r="AL4256" s="177"/>
      <c r="AM4256" s="124"/>
      <c r="AN4256" s="116"/>
      <c r="AP4256" s="97"/>
      <c r="AQ4256" s="97"/>
      <c r="AR4256" s="97"/>
      <c r="AS4256" s="97"/>
      <c r="AT4256" s="97"/>
      <c r="AU4256" s="97"/>
    </row>
    <row r="4257" spans="1:47" ht="12.95" customHeight="1" x14ac:dyDescent="0.25">
      <c r="A4257" s="178"/>
      <c r="B4257" s="450" t="s">
        <v>128</v>
      </c>
      <c r="C4257" s="449"/>
      <c r="D4257" s="346"/>
      <c r="E4257" s="200"/>
      <c r="F4257" s="201"/>
      <c r="G4257" s="201"/>
      <c r="H4257" s="131"/>
      <c r="I4257" s="207"/>
      <c r="J4257" s="207"/>
      <c r="K4257" s="702" t="s">
        <v>242</v>
      </c>
      <c r="L4257" s="702"/>
      <c r="M4257" s="702"/>
      <c r="N4257" s="702"/>
      <c r="O4257" s="92"/>
      <c r="P4257" s="56"/>
      <c r="Q4257" s="56"/>
      <c r="R4257" s="56"/>
      <c r="S4257" s="56"/>
      <c r="T4257" s="56"/>
      <c r="V4257" s="219"/>
      <c r="W4257" s="97"/>
      <c r="X4257" s="97"/>
      <c r="Y4257" s="195"/>
      <c r="Z4257" s="701" t="s">
        <v>4588</v>
      </c>
      <c r="AA4257" s="701"/>
      <c r="AB4257" s="701"/>
      <c r="AC4257" s="701"/>
      <c r="AD4257" s="701"/>
      <c r="AE4257" s="701"/>
      <c r="AF4257" s="701"/>
      <c r="AG4257" s="701"/>
      <c r="AH4257" s="701"/>
      <c r="AI4257" s="701"/>
      <c r="AK4257" s="128"/>
      <c r="AL4257" s="177"/>
      <c r="AM4257" s="124"/>
      <c r="AN4257" s="116"/>
      <c r="AP4257" s="97"/>
      <c r="AQ4257" s="97"/>
      <c r="AR4257" s="97"/>
      <c r="AS4257" s="97"/>
      <c r="AT4257" s="97"/>
      <c r="AU4257" s="97"/>
    </row>
    <row r="4258" spans="1:47" ht="12.95" customHeight="1" x14ac:dyDescent="0.25">
      <c r="A4258" s="178"/>
      <c r="B4258" s="347" t="s">
        <v>129</v>
      </c>
      <c r="C4258" s="449"/>
      <c r="D4258" s="346"/>
      <c r="E4258" s="200"/>
      <c r="F4258" s="201"/>
      <c r="G4258" s="201"/>
      <c r="H4258" s="131"/>
      <c r="I4258" s="207"/>
      <c r="J4258" s="207"/>
      <c r="K4258" s="702"/>
      <c r="L4258" s="702"/>
      <c r="M4258" s="702"/>
      <c r="N4258" s="702"/>
      <c r="O4258" s="92"/>
      <c r="P4258" s="56"/>
      <c r="Q4258" s="56"/>
      <c r="R4258" s="56"/>
      <c r="S4258" s="56"/>
      <c r="T4258" s="56"/>
      <c r="V4258" s="219"/>
      <c r="W4258" s="97"/>
      <c r="X4258" s="202"/>
      <c r="Y4258" s="203"/>
      <c r="Z4258" s="760" t="s">
        <v>208</v>
      </c>
      <c r="AA4258" s="760"/>
      <c r="AB4258" s="760"/>
      <c r="AC4258" s="760"/>
      <c r="AD4258" s="760"/>
      <c r="AE4258" s="760"/>
      <c r="AF4258" s="760"/>
      <c r="AG4258" s="760"/>
      <c r="AH4258" s="760"/>
      <c r="AI4258" s="760"/>
      <c r="AK4258" s="128"/>
      <c r="AL4258" s="177"/>
      <c r="AM4258" s="124"/>
      <c r="AN4258" s="116"/>
      <c r="AP4258" s="97"/>
      <c r="AQ4258" s="97"/>
      <c r="AR4258" s="97"/>
      <c r="AS4258" s="97"/>
      <c r="AT4258" s="97"/>
      <c r="AU4258" s="97"/>
    </row>
    <row r="4259" spans="1:47" ht="12.95" customHeight="1" x14ac:dyDescent="0.25">
      <c r="A4259" s="178"/>
      <c r="B4259" s="601" t="s">
        <v>3909</v>
      </c>
      <c r="C4259" s="449"/>
      <c r="D4259" s="346"/>
      <c r="E4259" s="200"/>
      <c r="F4259" s="201"/>
      <c r="G4259" s="201"/>
      <c r="H4259" s="131"/>
      <c r="I4259" s="207"/>
      <c r="J4259" s="207"/>
      <c r="K4259" s="702"/>
      <c r="L4259" s="702"/>
      <c r="M4259" s="702"/>
      <c r="N4259" s="702"/>
      <c r="O4259" s="92"/>
      <c r="P4259" s="56"/>
      <c r="Q4259" s="56"/>
      <c r="R4259" s="56"/>
      <c r="S4259" s="56"/>
      <c r="T4259" s="56"/>
      <c r="V4259" s="219"/>
      <c r="W4259" s="97"/>
      <c r="X4259" s="97"/>
      <c r="Y4259" s="98"/>
      <c r="Z4259" s="711"/>
      <c r="AA4259" s="711"/>
      <c r="AB4259" s="711"/>
      <c r="AC4259" s="711"/>
      <c r="AD4259" s="711"/>
      <c r="AE4259" s="711"/>
      <c r="AF4259" s="711"/>
      <c r="AG4259" s="711"/>
      <c r="AH4259" s="711"/>
      <c r="AI4259" s="711"/>
      <c r="AK4259" s="128"/>
      <c r="AL4259" s="177"/>
      <c r="AM4259" s="124"/>
      <c r="AN4259" s="116"/>
      <c r="AP4259" s="97"/>
      <c r="AQ4259" s="97"/>
      <c r="AR4259" s="97"/>
      <c r="AS4259" s="97"/>
      <c r="AT4259" s="97"/>
      <c r="AU4259" s="97"/>
    </row>
    <row r="4260" spans="1:47" ht="12.95" customHeight="1" x14ac:dyDescent="0.25">
      <c r="A4260" s="178"/>
      <c r="B4260" s="452" t="s">
        <v>127</v>
      </c>
      <c r="C4260" s="449"/>
      <c r="D4260" s="346"/>
      <c r="E4260" s="417"/>
      <c r="F4260" s="290"/>
      <c r="G4260" s="290"/>
      <c r="H4260" s="131"/>
      <c r="I4260" s="418"/>
      <c r="J4260" s="418"/>
      <c r="K4260" s="419"/>
      <c r="L4260" s="552"/>
      <c r="M4260" s="414"/>
      <c r="N4260" s="415"/>
      <c r="O4260" s="92"/>
      <c r="P4260" s="56"/>
      <c r="Q4260" s="56"/>
      <c r="R4260" s="56"/>
      <c r="S4260" s="56"/>
      <c r="T4260" s="56"/>
      <c r="V4260" s="219"/>
      <c r="W4260" s="97"/>
      <c r="X4260" s="97"/>
      <c r="Y4260" s="192"/>
      <c r="Z4260" s="729" t="s">
        <v>139</v>
      </c>
      <c r="AA4260" s="729"/>
      <c r="AB4260" s="729"/>
      <c r="AC4260" s="729"/>
      <c r="AD4260" s="729"/>
      <c r="AE4260" s="729"/>
      <c r="AF4260" s="729"/>
      <c r="AG4260" s="729"/>
      <c r="AH4260" s="729"/>
      <c r="AI4260" s="729"/>
      <c r="AK4260" s="128"/>
      <c r="AL4260" s="177"/>
      <c r="AM4260" s="124"/>
      <c r="AN4260" s="116"/>
      <c r="AP4260" s="97"/>
      <c r="AQ4260" s="97"/>
      <c r="AR4260" s="97"/>
      <c r="AS4260" s="97"/>
      <c r="AT4260" s="97"/>
      <c r="AU4260" s="97"/>
    </row>
    <row r="4261" spans="1:47" ht="12.95" customHeight="1" x14ac:dyDescent="0.25">
      <c r="A4261" s="178"/>
      <c r="B4261" s="615" t="s">
        <v>3910</v>
      </c>
      <c r="C4261" s="449"/>
      <c r="D4261" s="453"/>
      <c r="E4261" s="454"/>
      <c r="F4261" s="455"/>
      <c r="G4261" s="290"/>
      <c r="H4261" s="131"/>
      <c r="I4261" s="418"/>
      <c r="J4261" s="456"/>
      <c r="K4261" s="419"/>
      <c r="L4261" s="552"/>
      <c r="M4261" s="414"/>
      <c r="N4261" s="415"/>
      <c r="O4261" s="92"/>
      <c r="P4261" s="56"/>
      <c r="Q4261" s="56"/>
      <c r="R4261" s="56"/>
      <c r="S4261" s="56"/>
      <c r="T4261" s="56"/>
      <c r="V4261" s="219"/>
      <c r="W4261" s="97"/>
      <c r="X4261" s="97"/>
      <c r="Y4261" s="195"/>
      <c r="Z4261" s="701" t="s">
        <v>4592</v>
      </c>
      <c r="AA4261" s="701"/>
      <c r="AB4261" s="701"/>
      <c r="AC4261" s="701"/>
      <c r="AD4261" s="701"/>
      <c r="AE4261" s="701"/>
      <c r="AF4261" s="701"/>
      <c r="AG4261" s="701"/>
      <c r="AH4261" s="701"/>
      <c r="AI4261" s="701"/>
      <c r="AK4261" s="128"/>
      <c r="AL4261" s="177"/>
    </row>
    <row r="4262" spans="1:47" ht="12.95" customHeight="1" x14ac:dyDescent="0.25">
      <c r="A4262" s="178"/>
      <c r="B4262" s="457" t="s">
        <v>199</v>
      </c>
      <c r="C4262" s="449"/>
      <c r="D4262" s="346"/>
      <c r="E4262" s="417"/>
      <c r="F4262" s="290"/>
      <c r="G4262" s="290"/>
      <c r="H4262" s="131"/>
      <c r="I4262" s="418"/>
      <c r="J4262" s="418"/>
      <c r="K4262" s="419"/>
      <c r="L4262" s="552"/>
      <c r="M4262" s="414"/>
      <c r="N4262" s="415"/>
      <c r="O4262" s="92"/>
      <c r="P4262" s="56"/>
      <c r="Q4262" s="56"/>
      <c r="R4262" s="56"/>
      <c r="S4262" s="56"/>
      <c r="T4262" s="56"/>
      <c r="V4262" s="219"/>
      <c r="W4262" s="97"/>
      <c r="X4262" s="97"/>
      <c r="Y4262" s="195"/>
      <c r="Z4262" s="701" t="s">
        <v>209</v>
      </c>
      <c r="AA4262" s="701"/>
      <c r="AB4262" s="701"/>
      <c r="AC4262" s="701"/>
      <c r="AD4262" s="701"/>
      <c r="AE4262" s="701"/>
      <c r="AF4262" s="701"/>
      <c r="AG4262" s="701"/>
      <c r="AH4262" s="701"/>
      <c r="AI4262" s="701"/>
      <c r="AK4262" s="128"/>
      <c r="AL4262" s="177"/>
      <c r="AM4262" s="124"/>
      <c r="AN4262" s="116"/>
      <c r="AP4262" s="97"/>
      <c r="AQ4262" s="97"/>
      <c r="AR4262" s="97"/>
      <c r="AS4262" s="97"/>
      <c r="AT4262" s="97"/>
      <c r="AU4262" s="97"/>
    </row>
    <row r="4263" spans="1:47" ht="12.95" customHeight="1" x14ac:dyDescent="0.25">
      <c r="A4263" s="178"/>
      <c r="B4263" s="458" t="s">
        <v>200</v>
      </c>
      <c r="C4263" s="449"/>
      <c r="D4263" s="453"/>
      <c r="E4263" s="454"/>
      <c r="F4263" s="455"/>
      <c r="G4263" s="290"/>
      <c r="H4263" s="131"/>
      <c r="I4263" s="418"/>
      <c r="J4263" s="456"/>
      <c r="K4263" s="419"/>
      <c r="L4263" s="552"/>
      <c r="M4263" s="414"/>
      <c r="N4263" s="415"/>
      <c r="V4263" s="219"/>
      <c r="W4263" s="97"/>
      <c r="X4263" s="97"/>
      <c r="Y4263" s="98"/>
      <c r="Z4263" s="711"/>
      <c r="AA4263" s="711"/>
      <c r="AB4263" s="711"/>
      <c r="AC4263" s="711"/>
      <c r="AD4263" s="711"/>
      <c r="AE4263" s="711"/>
      <c r="AF4263" s="711"/>
      <c r="AG4263" s="711"/>
      <c r="AH4263" s="711"/>
      <c r="AI4263" s="711"/>
      <c r="AK4263" s="128"/>
      <c r="AL4263" s="177"/>
    </row>
    <row r="4264" spans="1:47" ht="12.95" customHeight="1" x14ac:dyDescent="0.25">
      <c r="A4264" s="178"/>
      <c r="B4264" s="602" t="s">
        <v>3911</v>
      </c>
      <c r="C4264" s="449"/>
      <c r="D4264" s="453"/>
      <c r="E4264" s="454"/>
      <c r="F4264" s="455"/>
      <c r="G4264" s="290"/>
      <c r="H4264" s="131"/>
      <c r="I4264" s="418"/>
      <c r="J4264" s="456"/>
      <c r="K4264" s="419"/>
      <c r="L4264" s="552"/>
      <c r="M4264" s="414"/>
      <c r="N4264" s="415"/>
      <c r="V4264" s="219"/>
      <c r="W4264" s="97"/>
      <c r="X4264" s="97"/>
      <c r="Y4264" s="98"/>
      <c r="Z4264" s="729" t="s">
        <v>191</v>
      </c>
      <c r="AA4264" s="729"/>
      <c r="AB4264" s="729"/>
      <c r="AC4264" s="729"/>
      <c r="AD4264" s="729"/>
      <c r="AE4264" s="729"/>
      <c r="AF4264" s="729"/>
      <c r="AG4264" s="729"/>
      <c r="AH4264" s="729"/>
      <c r="AI4264" s="729"/>
      <c r="AK4264" s="128"/>
      <c r="AL4264" s="177"/>
    </row>
    <row r="4265" spans="1:47" ht="12.95" customHeight="1" x14ac:dyDescent="0.25">
      <c r="A4265" s="178"/>
      <c r="B4265" s="458" t="s">
        <v>130</v>
      </c>
      <c r="C4265" s="449"/>
      <c r="D4265" s="453"/>
      <c r="E4265" s="454"/>
      <c r="F4265" s="455"/>
      <c r="G4265" s="290"/>
      <c r="H4265" s="131"/>
      <c r="I4265" s="418"/>
      <c r="J4265" s="456"/>
      <c r="K4265" s="419"/>
      <c r="L4265" s="552"/>
      <c r="M4265" s="414"/>
      <c r="N4265" s="415"/>
      <c r="V4265" s="219"/>
      <c r="W4265" s="97"/>
      <c r="X4265" s="97"/>
      <c r="Y4265" s="98"/>
      <c r="Z4265" s="711" t="s">
        <v>168</v>
      </c>
      <c r="AA4265" s="711"/>
      <c r="AB4265" s="711"/>
      <c r="AC4265" s="711"/>
      <c r="AD4265" s="711"/>
      <c r="AE4265" s="711"/>
      <c r="AF4265" s="711"/>
      <c r="AG4265" s="711"/>
      <c r="AH4265" s="711"/>
      <c r="AI4265" s="711"/>
      <c r="AK4265" s="128"/>
      <c r="AL4265" s="177"/>
    </row>
    <row r="4266" spans="1:47" ht="12.95" customHeight="1" x14ac:dyDescent="0.25">
      <c r="A4266" s="178"/>
      <c r="B4266" s="458" t="s">
        <v>177</v>
      </c>
      <c r="C4266" s="449"/>
      <c r="D4266" s="453"/>
      <c r="E4266" s="454"/>
      <c r="F4266" s="455"/>
      <c r="G4266" s="290"/>
      <c r="H4266" s="131"/>
      <c r="I4266" s="418"/>
      <c r="J4266" s="456"/>
      <c r="K4266" s="419"/>
      <c r="L4266" s="552"/>
      <c r="M4266" s="414"/>
      <c r="N4266" s="415"/>
      <c r="V4266" s="219"/>
      <c r="W4266" s="97"/>
      <c r="X4266" s="97"/>
      <c r="Y4266" s="98"/>
      <c r="Z4266" s="711" t="s">
        <v>169</v>
      </c>
      <c r="AA4266" s="711"/>
      <c r="AB4266" s="711"/>
      <c r="AC4266" s="711"/>
      <c r="AD4266" s="711"/>
      <c r="AE4266" s="711"/>
      <c r="AF4266" s="711"/>
      <c r="AG4266" s="711"/>
      <c r="AH4266" s="711"/>
      <c r="AI4266" s="711"/>
      <c r="AK4266" s="128"/>
      <c r="AL4266" s="177"/>
    </row>
    <row r="4267" spans="1:47" ht="12.95" customHeight="1" x14ac:dyDescent="0.25">
      <c r="A4267" s="178"/>
      <c r="B4267" s="316"/>
      <c r="C4267" s="316"/>
      <c r="D4267" s="439"/>
      <c r="E4267" s="440"/>
      <c r="F4267" s="38"/>
      <c r="G4267" s="441"/>
      <c r="H4267" s="442"/>
      <c r="I4267" s="443"/>
      <c r="J4267" s="443"/>
      <c r="K4267" s="444"/>
      <c r="L4267" s="553"/>
      <c r="M4267" s="444"/>
      <c r="N4267" s="445"/>
      <c r="V4267" s="219"/>
      <c r="W4267" s="97"/>
      <c r="X4267" s="97"/>
      <c r="Y4267" s="98"/>
      <c r="Z4267" s="711" t="s">
        <v>170</v>
      </c>
      <c r="AA4267" s="711"/>
      <c r="AB4267" s="711"/>
      <c r="AC4267" s="711"/>
      <c r="AD4267" s="711"/>
      <c r="AE4267" s="711"/>
      <c r="AF4267" s="711"/>
      <c r="AG4267" s="711"/>
      <c r="AH4267" s="711"/>
      <c r="AI4267" s="711"/>
      <c r="AK4267" s="128"/>
      <c r="AL4267" s="177"/>
    </row>
    <row r="4268" spans="1:47" ht="12.95" customHeight="1" x14ac:dyDescent="0.25">
      <c r="A4268" s="178"/>
      <c r="B4268" s="718" t="s">
        <v>175</v>
      </c>
      <c r="C4268" s="718"/>
      <c r="D4268" s="718"/>
      <c r="E4268" s="718"/>
      <c r="F4268" s="718"/>
      <c r="G4268" s="718"/>
      <c r="H4268" s="718"/>
      <c r="I4268" s="718"/>
      <c r="J4268" s="413"/>
      <c r="K4268" s="414"/>
      <c r="L4268" s="552"/>
      <c r="M4268" s="414"/>
      <c r="N4268" s="415"/>
      <c r="V4268" s="219"/>
      <c r="W4268" s="97"/>
      <c r="X4268" s="97"/>
      <c r="Y4268" s="98"/>
      <c r="Z4268" s="711"/>
      <c r="AA4268" s="711"/>
      <c r="AB4268" s="711"/>
      <c r="AC4268" s="711"/>
      <c r="AD4268" s="711"/>
      <c r="AE4268" s="711"/>
      <c r="AF4268" s="711"/>
      <c r="AG4268" s="711"/>
      <c r="AH4268" s="711"/>
      <c r="AI4268" s="711"/>
      <c r="AK4268" s="128"/>
      <c r="AL4268" s="177"/>
    </row>
    <row r="4269" spans="1:47" ht="12.95" customHeight="1" x14ac:dyDescent="0.25">
      <c r="A4269" s="178"/>
      <c r="B4269" s="602" t="s">
        <v>3891</v>
      </c>
      <c r="C4269" s="419"/>
      <c r="D4269" s="459"/>
      <c r="E4269" s="460"/>
      <c r="F4269" s="461"/>
      <c r="G4269" s="459"/>
      <c r="H4269" s="462"/>
      <c r="I4269" s="463"/>
      <c r="J4269" s="207"/>
      <c r="K4269" s="414"/>
      <c r="L4269" s="552"/>
      <c r="M4269" s="414"/>
      <c r="N4269" s="415"/>
      <c r="V4269" s="219"/>
      <c r="W4269" s="97"/>
      <c r="X4269" s="97"/>
      <c r="Y4269" s="98"/>
      <c r="Z4269" s="729" t="s">
        <v>193</v>
      </c>
      <c r="AA4269" s="729"/>
      <c r="AB4269" s="729"/>
      <c r="AC4269" s="729"/>
      <c r="AD4269" s="729"/>
      <c r="AE4269" s="729"/>
      <c r="AF4269" s="729"/>
      <c r="AG4269" s="729"/>
      <c r="AH4269" s="729"/>
      <c r="AI4269" s="729"/>
      <c r="AK4269" s="128"/>
      <c r="AL4269" s="177"/>
    </row>
    <row r="4270" spans="1:47" ht="12.95" customHeight="1" x14ac:dyDescent="0.25">
      <c r="A4270" s="178"/>
      <c r="B4270" s="457" t="s">
        <v>3890</v>
      </c>
      <c r="C4270" s="419"/>
      <c r="D4270" s="459"/>
      <c r="E4270" s="460"/>
      <c r="F4270" s="461"/>
      <c r="G4270" s="459"/>
      <c r="H4270" s="462"/>
      <c r="I4270" s="463"/>
      <c r="J4270" s="207"/>
      <c r="K4270" s="451"/>
      <c r="L4270" s="552"/>
      <c r="M4270" s="414"/>
      <c r="N4270" s="415"/>
      <c r="V4270" s="219"/>
      <c r="W4270" s="97"/>
      <c r="X4270" s="97"/>
      <c r="Y4270" s="98"/>
      <c r="Z4270" s="711" t="s">
        <v>194</v>
      </c>
      <c r="AA4270" s="711"/>
      <c r="AB4270" s="711"/>
      <c r="AC4270" s="711"/>
      <c r="AD4270" s="711"/>
      <c r="AE4270" s="711"/>
      <c r="AF4270" s="711"/>
      <c r="AG4270" s="711"/>
      <c r="AH4270" s="711"/>
      <c r="AI4270" s="711"/>
      <c r="AK4270" s="128"/>
      <c r="AL4270" s="177"/>
    </row>
    <row r="4271" spans="1:47" ht="12.95" customHeight="1" x14ac:dyDescent="0.25">
      <c r="A4271" s="178"/>
      <c r="B4271" s="189" t="s">
        <v>3912</v>
      </c>
      <c r="C4271" s="419"/>
      <c r="D4271" s="459"/>
      <c r="E4271" s="460"/>
      <c r="F4271" s="461"/>
      <c r="G4271" s="459"/>
      <c r="H4271" s="462"/>
      <c r="I4271" s="463"/>
      <c r="J4271" s="418"/>
      <c r="K4271" s="419"/>
      <c r="L4271" s="552"/>
      <c r="M4271" s="414"/>
      <c r="N4271" s="415"/>
      <c r="V4271" s="219"/>
      <c r="W4271" s="97"/>
      <c r="X4271" s="97"/>
      <c r="Y4271" s="98"/>
      <c r="Z4271" s="711" t="s">
        <v>196</v>
      </c>
      <c r="AA4271" s="711"/>
      <c r="AB4271" s="711"/>
      <c r="AC4271" s="711"/>
      <c r="AD4271" s="711"/>
      <c r="AE4271" s="711"/>
      <c r="AF4271" s="711"/>
      <c r="AG4271" s="711"/>
      <c r="AH4271" s="711"/>
      <c r="AI4271" s="711"/>
      <c r="AK4271" s="128"/>
      <c r="AL4271" s="177"/>
    </row>
    <row r="4272" spans="1:47" ht="12.95" customHeight="1" x14ac:dyDescent="0.25">
      <c r="A4272" s="178"/>
      <c r="B4272" s="189" t="s">
        <v>3913</v>
      </c>
      <c r="C4272" s="419"/>
      <c r="D4272" s="459"/>
      <c r="E4272" s="460"/>
      <c r="F4272" s="461"/>
      <c r="G4272" s="459"/>
      <c r="H4272" s="462"/>
      <c r="I4272" s="463"/>
      <c r="J4272" s="418"/>
      <c r="K4272" s="419"/>
      <c r="L4272" s="552"/>
      <c r="M4272" s="414"/>
      <c r="N4272" s="415"/>
      <c r="V4272" s="219"/>
      <c r="W4272" s="97"/>
      <c r="X4272" s="97"/>
      <c r="Y4272" s="98"/>
      <c r="Z4272" s="711" t="s">
        <v>195</v>
      </c>
      <c r="AA4272" s="711"/>
      <c r="AB4272" s="711"/>
      <c r="AC4272" s="711"/>
      <c r="AD4272" s="711"/>
      <c r="AE4272" s="711"/>
      <c r="AF4272" s="711"/>
      <c r="AG4272" s="711"/>
      <c r="AH4272" s="711"/>
      <c r="AI4272" s="711"/>
      <c r="AK4272" s="128"/>
      <c r="AL4272" s="177"/>
    </row>
    <row r="4273" spans="1:38" ht="12.95" customHeight="1" x14ac:dyDescent="0.25">
      <c r="A4273" s="178"/>
      <c r="B4273" s="437"/>
      <c r="C4273" s="316"/>
      <c r="D4273" s="439"/>
      <c r="E4273" s="440"/>
      <c r="F4273" s="38"/>
      <c r="G4273" s="441"/>
      <c r="H4273" s="442"/>
      <c r="I4273" s="443"/>
      <c r="J4273" s="443"/>
      <c r="K4273" s="316"/>
      <c r="L4273" s="554"/>
      <c r="M4273" s="444"/>
      <c r="N4273" s="445"/>
      <c r="O4273" s="56"/>
      <c r="Q4273" s="56"/>
      <c r="R4273" s="56"/>
      <c r="S4273" s="56"/>
      <c r="T4273" s="56"/>
      <c r="V4273" s="219"/>
      <c r="W4273" s="97"/>
      <c r="X4273" s="97"/>
      <c r="Y4273" s="98"/>
      <c r="Z4273" s="711"/>
      <c r="AA4273" s="711"/>
      <c r="AB4273" s="711"/>
      <c r="AC4273" s="711"/>
      <c r="AD4273" s="711"/>
      <c r="AE4273" s="711"/>
      <c r="AF4273" s="711"/>
      <c r="AG4273" s="711"/>
      <c r="AH4273" s="711"/>
      <c r="AI4273" s="711"/>
      <c r="AK4273" s="128"/>
      <c r="AL4273" s="177"/>
    </row>
    <row r="4274" spans="1:38" ht="12.95" customHeight="1" x14ac:dyDescent="0.25">
      <c r="A4274" s="178"/>
      <c r="B4274" s="718" t="s">
        <v>149</v>
      </c>
      <c r="C4274" s="718"/>
      <c r="D4274" s="718"/>
      <c r="E4274" s="718"/>
      <c r="F4274" s="718"/>
      <c r="G4274" s="718"/>
      <c r="H4274" s="718"/>
      <c r="I4274" s="718"/>
      <c r="J4274" s="413"/>
      <c r="K4274" s="414"/>
      <c r="L4274" s="552"/>
      <c r="M4274" s="414"/>
      <c r="N4274" s="415"/>
      <c r="O4274" s="129"/>
      <c r="P4274" s="129"/>
      <c r="Q4274" s="129"/>
      <c r="R4274" s="129"/>
      <c r="S4274" s="129"/>
      <c r="T4274" s="129"/>
      <c r="U4274" s="129"/>
      <c r="V4274" s="224"/>
      <c r="W4274" s="97"/>
      <c r="X4274" s="97"/>
      <c r="Y4274" s="98"/>
      <c r="Z4274" s="729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274" s="729"/>
      <c r="AB4274" s="729"/>
      <c r="AC4274" s="729"/>
      <c r="AD4274" s="729"/>
      <c r="AE4274" s="729"/>
      <c r="AF4274" s="729"/>
      <c r="AG4274" s="729"/>
      <c r="AH4274" s="729"/>
      <c r="AI4274" s="729"/>
      <c r="AK4274" s="128"/>
      <c r="AL4274" s="177"/>
    </row>
    <row r="4275" spans="1:38" ht="12.95" customHeight="1" x14ac:dyDescent="0.25">
      <c r="A4275" s="178"/>
      <c r="B4275" s="457" t="s">
        <v>183</v>
      </c>
      <c r="C4275" s="428"/>
      <c r="D4275" s="459"/>
      <c r="E4275" s="460"/>
      <c r="F4275" s="461"/>
      <c r="G4275" s="459"/>
      <c r="H4275" s="462"/>
      <c r="I4275" s="463"/>
      <c r="J4275" s="207"/>
      <c r="K4275" s="414"/>
      <c r="L4275" s="552"/>
      <c r="M4275" s="414"/>
      <c r="N4275" s="415"/>
      <c r="O4275" s="129"/>
      <c r="P4275" s="129"/>
      <c r="Q4275" s="129"/>
      <c r="R4275" s="129"/>
      <c r="S4275" s="129"/>
      <c r="T4275" s="129"/>
      <c r="U4275" s="129"/>
      <c r="V4275" s="224"/>
      <c r="W4275" s="97"/>
      <c r="X4275" s="97"/>
      <c r="Y4275" s="98"/>
      <c r="Z4275" s="711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275" s="711"/>
      <c r="AB4275" s="711"/>
      <c r="AC4275" s="711"/>
      <c r="AD4275" s="711"/>
      <c r="AE4275" s="711"/>
      <c r="AF4275" s="711"/>
      <c r="AG4275" s="711"/>
      <c r="AH4275" s="711"/>
      <c r="AI4275" s="711"/>
      <c r="AK4275" s="128"/>
      <c r="AL4275" s="177"/>
    </row>
    <row r="4276" spans="1:38" ht="12.95" customHeight="1" x14ac:dyDescent="0.25">
      <c r="A4276" s="178"/>
      <c r="B4276" s="457" t="s">
        <v>148</v>
      </c>
      <c r="C4276" s="428"/>
      <c r="D4276" s="459"/>
      <c r="E4276" s="460"/>
      <c r="F4276" s="461"/>
      <c r="G4276" s="459"/>
      <c r="H4276" s="462"/>
      <c r="I4276" s="463"/>
      <c r="J4276" s="207"/>
      <c r="K4276" s="414"/>
      <c r="L4276" s="552"/>
      <c r="M4276" s="414"/>
      <c r="N4276" s="415"/>
      <c r="O4276" s="129"/>
      <c r="P4276" s="129"/>
      <c r="Q4276" s="129"/>
      <c r="R4276" s="129"/>
      <c r="S4276" s="129"/>
      <c r="T4276" s="129"/>
      <c r="U4276" s="129"/>
      <c r="V4276" s="224"/>
      <c r="W4276" s="97"/>
      <c r="X4276" s="97"/>
      <c r="Y4276" s="98"/>
      <c r="Z4276" s="711"/>
      <c r="AA4276" s="711"/>
      <c r="AB4276" s="711"/>
      <c r="AC4276" s="711"/>
      <c r="AD4276" s="711"/>
      <c r="AE4276" s="711"/>
      <c r="AF4276" s="711"/>
      <c r="AG4276" s="711"/>
      <c r="AH4276" s="711"/>
      <c r="AI4276" s="711"/>
      <c r="AK4276" s="128"/>
      <c r="AL4276" s="177"/>
    </row>
    <row r="4277" spans="1:38" ht="12.95" customHeight="1" x14ac:dyDescent="0.25">
      <c r="A4277" s="178"/>
      <c r="B4277" s="457" t="s">
        <v>212</v>
      </c>
      <c r="C4277" s="428"/>
      <c r="D4277" s="459"/>
      <c r="E4277" s="460"/>
      <c r="F4277" s="461"/>
      <c r="G4277" s="459"/>
      <c r="H4277" s="462"/>
      <c r="I4277" s="463"/>
      <c r="J4277" s="207"/>
      <c r="K4277" s="414"/>
      <c r="L4277" s="552"/>
      <c r="M4277" s="414"/>
      <c r="N4277" s="415"/>
      <c r="O4277" s="129"/>
      <c r="P4277" s="129"/>
      <c r="Q4277" s="129"/>
      <c r="R4277" s="129"/>
      <c r="S4277" s="129"/>
      <c r="T4277" s="129"/>
      <c r="U4277" s="129"/>
      <c r="V4277" s="224"/>
      <c r="W4277" s="97"/>
      <c r="X4277" s="97"/>
      <c r="Y4277" s="98"/>
      <c r="Z4277" s="711" t="s">
        <v>246</v>
      </c>
      <c r="AA4277" s="711"/>
      <c r="AB4277" s="711"/>
      <c r="AC4277" s="711"/>
      <c r="AD4277" s="711"/>
      <c r="AE4277" s="711"/>
      <c r="AF4277" s="711"/>
      <c r="AG4277" s="711"/>
      <c r="AH4277" s="711"/>
      <c r="AI4277" s="711"/>
      <c r="AK4277" s="128"/>
      <c r="AL4277" s="177"/>
    </row>
    <row r="4278" spans="1:38" ht="12.95" customHeight="1" x14ac:dyDescent="0.25">
      <c r="A4278" s="178"/>
      <c r="B4278" s="457" t="s">
        <v>151</v>
      </c>
      <c r="C4278" s="428"/>
      <c r="D4278" s="459"/>
      <c r="E4278" s="460"/>
      <c r="F4278" s="461"/>
      <c r="G4278" s="459"/>
      <c r="H4278" s="462"/>
      <c r="I4278" s="463"/>
      <c r="J4278" s="207"/>
      <c r="K4278" s="451"/>
      <c r="L4278" s="552"/>
      <c r="M4278" s="414"/>
      <c r="N4278" s="415"/>
      <c r="O4278" s="129"/>
      <c r="P4278" s="129"/>
      <c r="Q4278" s="129"/>
      <c r="R4278" s="129"/>
      <c r="S4278" s="129"/>
      <c r="T4278" s="129"/>
      <c r="U4278" s="129"/>
      <c r="V4278" s="224"/>
      <c r="W4278" s="97"/>
      <c r="X4278" s="97"/>
      <c r="Y4278" s="98"/>
      <c r="Z4278" s="711" t="s">
        <v>258</v>
      </c>
      <c r="AA4278" s="711"/>
      <c r="AB4278" s="711"/>
      <c r="AC4278" s="711"/>
      <c r="AD4278" s="711"/>
      <c r="AE4278" s="711"/>
      <c r="AF4278" s="711"/>
      <c r="AG4278" s="711"/>
      <c r="AH4278" s="711"/>
      <c r="AI4278" s="711"/>
      <c r="AK4278" s="128"/>
      <c r="AL4278" s="177"/>
    </row>
    <row r="4279" spans="1:38" ht="12.95" customHeight="1" x14ac:dyDescent="0.25">
      <c r="A4279" s="178"/>
      <c r="B4279" s="437"/>
      <c r="C4279" s="316"/>
      <c r="D4279" s="439"/>
      <c r="E4279" s="440"/>
      <c r="F4279" s="38"/>
      <c r="G4279" s="441"/>
      <c r="H4279" s="442"/>
      <c r="I4279" s="443"/>
      <c r="J4279" s="443"/>
      <c r="K4279" s="740" t="s">
        <v>673</v>
      </c>
      <c r="L4279" s="740"/>
      <c r="M4279" s="176"/>
      <c r="N4279" s="445"/>
      <c r="O4279" s="129"/>
      <c r="P4279" s="129"/>
      <c r="Q4279" s="129"/>
      <c r="R4279" s="129"/>
      <c r="S4279" s="129"/>
      <c r="T4279" s="129"/>
      <c r="U4279" s="129"/>
      <c r="V4279" s="224"/>
      <c r="W4279" s="97"/>
      <c r="X4279" s="97"/>
      <c r="Y4279" s="98"/>
      <c r="Z4279" s="711"/>
      <c r="AA4279" s="711"/>
      <c r="AB4279" s="711"/>
      <c r="AC4279" s="711"/>
      <c r="AD4279" s="711"/>
      <c r="AE4279" s="711"/>
      <c r="AF4279" s="711"/>
      <c r="AG4279" s="711"/>
      <c r="AH4279" s="711"/>
      <c r="AI4279" s="711"/>
      <c r="AK4279" s="128"/>
      <c r="AL4279" s="177"/>
    </row>
    <row r="4280" spans="1:38" ht="12.95" customHeight="1" x14ac:dyDescent="0.2">
      <c r="A4280" s="178"/>
      <c r="B4280" s="718" t="s">
        <v>3885</v>
      </c>
      <c r="C4280" s="718"/>
      <c r="D4280" s="718"/>
      <c r="E4280" s="718"/>
      <c r="F4280" s="718"/>
      <c r="G4280" s="718"/>
      <c r="H4280" s="718"/>
      <c r="I4280" s="718"/>
      <c r="J4280" s="413"/>
      <c r="K4280" s="414"/>
      <c r="L4280" s="552"/>
      <c r="M4280" s="414"/>
      <c r="N4280" s="415"/>
      <c r="O4280" s="129"/>
      <c r="P4280" s="129"/>
      <c r="Q4280" s="129"/>
      <c r="R4280" s="129"/>
      <c r="S4280" s="129"/>
      <c r="T4280" s="129"/>
      <c r="U4280" s="129"/>
      <c r="V4280" s="224"/>
      <c r="W4280" s="97"/>
      <c r="X4280" s="97"/>
      <c r="Y4280" s="98"/>
      <c r="Z4280" s="169"/>
      <c r="AA4280" s="169"/>
      <c r="AB4280" s="169"/>
      <c r="AC4280" s="169"/>
      <c r="AD4280" s="736" t="s">
        <v>2522</v>
      </c>
      <c r="AE4280" s="736"/>
      <c r="AF4280" s="736"/>
      <c r="AG4280" s="736"/>
      <c r="AH4280" s="736"/>
      <c r="AI4280" s="169"/>
      <c r="AK4280" s="128"/>
      <c r="AL4280" s="177"/>
    </row>
    <row r="4281" spans="1:38" ht="12.95" customHeight="1" x14ac:dyDescent="0.25">
      <c r="A4281" s="178"/>
      <c r="B4281" s="457" t="s">
        <v>152</v>
      </c>
      <c r="C4281" s="419"/>
      <c r="D4281" s="459"/>
      <c r="E4281" s="460"/>
      <c r="F4281" s="461"/>
      <c r="G4281" s="459"/>
      <c r="H4281" s="462"/>
      <c r="I4281" s="463"/>
      <c r="J4281" s="456"/>
      <c r="K4281" s="419"/>
      <c r="L4281" s="552"/>
      <c r="M4281" s="414"/>
      <c r="N4281" s="415"/>
      <c r="O4281" s="129"/>
      <c r="P4281" s="129"/>
      <c r="Q4281" s="129"/>
      <c r="R4281" s="129"/>
      <c r="S4281" s="129"/>
      <c r="T4281" s="129"/>
      <c r="U4281" s="129"/>
      <c r="V4281" s="224"/>
      <c r="W4281" s="97"/>
      <c r="X4281" s="97"/>
      <c r="Y4281" s="98"/>
      <c r="Z4281" s="757" t="s">
        <v>261</v>
      </c>
      <c r="AA4281" s="757"/>
      <c r="AB4281" s="757"/>
      <c r="AC4281" s="757"/>
      <c r="AD4281" s="757"/>
      <c r="AE4281" s="757"/>
      <c r="AF4281" s="757"/>
      <c r="AG4281" s="757"/>
      <c r="AH4281" s="757"/>
      <c r="AI4281" s="757"/>
      <c r="AK4281" s="128"/>
      <c r="AL4281" s="177"/>
    </row>
    <row r="4282" spans="1:38" ht="12.95" customHeight="1" x14ac:dyDescent="0.25">
      <c r="A4282" s="178"/>
      <c r="B4282" s="457" t="s">
        <v>153</v>
      </c>
      <c r="C4282" s="419"/>
      <c r="D4282" s="459"/>
      <c r="E4282" s="460"/>
      <c r="F4282" s="461"/>
      <c r="G4282" s="459"/>
      <c r="H4282" s="462"/>
      <c r="I4282" s="463"/>
      <c r="J4282" s="207"/>
      <c r="K4282" s="414"/>
      <c r="L4282" s="552"/>
      <c r="M4282" s="414"/>
      <c r="N4282" s="415"/>
      <c r="O4282" s="129"/>
      <c r="P4282" s="129"/>
      <c r="Q4282" s="129"/>
      <c r="R4282" s="129"/>
      <c r="S4282" s="129"/>
      <c r="T4282" s="129"/>
      <c r="U4282" s="129"/>
      <c r="V4282" s="224"/>
      <c r="W4282" s="97"/>
      <c r="X4282" s="97"/>
      <c r="Y4282" s="98"/>
      <c r="Z4282" s="729" t="s">
        <v>204</v>
      </c>
      <c r="AA4282" s="729"/>
      <c r="AB4282" s="729"/>
      <c r="AC4282" s="729"/>
      <c r="AD4282" s="729"/>
      <c r="AE4282" s="729"/>
      <c r="AF4282" s="729"/>
      <c r="AG4282" s="729"/>
      <c r="AH4282" s="729"/>
      <c r="AI4282" s="729"/>
      <c r="AK4282" s="128"/>
      <c r="AL4282" s="177"/>
    </row>
    <row r="4283" spans="1:38" ht="12.95" customHeight="1" x14ac:dyDescent="0.25">
      <c r="A4283" s="178"/>
      <c r="B4283" s="457" t="s">
        <v>154</v>
      </c>
      <c r="C4283" s="419"/>
      <c r="D4283" s="459"/>
      <c r="E4283" s="460"/>
      <c r="F4283" s="461"/>
      <c r="G4283" s="459"/>
      <c r="H4283" s="462"/>
      <c r="I4283" s="463"/>
      <c r="J4283" s="207"/>
      <c r="K4283" s="414"/>
      <c r="L4283" s="552"/>
      <c r="M4283" s="414"/>
      <c r="N4283" s="415"/>
      <c r="O4283" s="92"/>
      <c r="Q4283" s="56"/>
      <c r="R4283" s="56"/>
      <c r="S4283" s="56"/>
      <c r="T4283" s="56"/>
      <c r="V4283" s="219"/>
      <c r="W4283" s="97"/>
      <c r="X4283" s="97"/>
      <c r="Y4283" s="98"/>
      <c r="Z4283" s="701" t="s">
        <v>4589</v>
      </c>
      <c r="AA4283" s="701"/>
      <c r="AB4283" s="701"/>
      <c r="AC4283" s="701"/>
      <c r="AD4283" s="701"/>
      <c r="AE4283" s="701"/>
      <c r="AF4283" s="701"/>
      <c r="AG4283" s="701"/>
      <c r="AH4283" s="701"/>
      <c r="AI4283" s="701"/>
      <c r="AK4283" s="128"/>
      <c r="AL4283" s="177"/>
    </row>
    <row r="4284" spans="1:38" ht="12.95" customHeight="1" x14ac:dyDescent="0.25">
      <c r="A4284" s="178"/>
      <c r="B4284" s="457" t="s">
        <v>155</v>
      </c>
      <c r="C4284" s="419"/>
      <c r="D4284" s="459"/>
      <c r="E4284" s="460"/>
      <c r="F4284" s="461"/>
      <c r="G4284" s="459"/>
      <c r="H4284" s="462"/>
      <c r="I4284" s="463"/>
      <c r="J4284" s="207"/>
      <c r="K4284" s="414"/>
      <c r="L4284" s="552"/>
      <c r="M4284" s="414"/>
      <c r="N4284" s="415"/>
      <c r="O4284" s="92"/>
      <c r="Q4284" s="56"/>
      <c r="R4284" s="56"/>
      <c r="S4284" s="56"/>
      <c r="T4284" s="56"/>
      <c r="V4284" s="219"/>
      <c r="W4284" s="97"/>
      <c r="X4284" s="97"/>
      <c r="Y4284" s="98"/>
      <c r="Z4284" s="701" t="s">
        <v>4590</v>
      </c>
      <c r="AA4284" s="701"/>
      <c r="AB4284" s="701"/>
      <c r="AC4284" s="701"/>
      <c r="AD4284" s="701"/>
      <c r="AE4284" s="701"/>
      <c r="AF4284" s="701"/>
      <c r="AG4284" s="701"/>
      <c r="AH4284" s="701"/>
      <c r="AI4284" s="701"/>
      <c r="AK4284" s="128"/>
      <c r="AL4284" s="177"/>
    </row>
    <row r="4285" spans="1:38" ht="12.95" customHeight="1" x14ac:dyDescent="0.25">
      <c r="A4285" s="178"/>
      <c r="B4285" s="457" t="s">
        <v>156</v>
      </c>
      <c r="C4285" s="419"/>
      <c r="D4285" s="459"/>
      <c r="E4285" s="460"/>
      <c r="F4285" s="461"/>
      <c r="G4285" s="459"/>
      <c r="H4285" s="462"/>
      <c r="I4285" s="463"/>
      <c r="J4285" s="207"/>
      <c r="K4285" s="414"/>
      <c r="L4285" s="552"/>
      <c r="M4285" s="414"/>
      <c r="N4285" s="415"/>
      <c r="O4285" s="92"/>
      <c r="Q4285" s="56"/>
      <c r="R4285" s="56"/>
      <c r="S4285" s="56"/>
      <c r="T4285" s="56"/>
      <c r="V4285" s="219"/>
      <c r="W4285" s="97"/>
      <c r="X4285" s="97"/>
      <c r="Y4285" s="98"/>
      <c r="Z4285" s="756"/>
      <c r="AA4285" s="756"/>
      <c r="AB4285" s="756"/>
      <c r="AC4285" s="756"/>
      <c r="AD4285" s="756"/>
      <c r="AE4285" s="756"/>
      <c r="AF4285" s="756"/>
      <c r="AG4285" s="756"/>
      <c r="AH4285" s="756"/>
      <c r="AI4285" s="756"/>
      <c r="AK4285" s="128"/>
      <c r="AL4285" s="177"/>
    </row>
    <row r="4286" spans="1:38" ht="12.95" customHeight="1" x14ac:dyDescent="0.25">
      <c r="A4286" s="178"/>
      <c r="B4286" s="457" t="s">
        <v>157</v>
      </c>
      <c r="C4286" s="419"/>
      <c r="D4286" s="459"/>
      <c r="E4286" s="460"/>
      <c r="F4286" s="461"/>
      <c r="G4286" s="459"/>
      <c r="H4286" s="462"/>
      <c r="I4286" s="463"/>
      <c r="J4286" s="207"/>
      <c r="K4286" s="451"/>
      <c r="L4286" s="552"/>
      <c r="M4286" s="414"/>
      <c r="N4286" s="415"/>
      <c r="O4286" s="92"/>
      <c r="Q4286" s="56"/>
      <c r="R4286" s="56"/>
      <c r="S4286" s="56"/>
      <c r="T4286" s="56"/>
      <c r="V4286" s="219"/>
      <c r="W4286" s="97"/>
      <c r="X4286" s="97"/>
      <c r="Y4286" s="192"/>
      <c r="Z4286" s="729" t="s">
        <v>247</v>
      </c>
      <c r="AA4286" s="729"/>
      <c r="AB4286" s="729"/>
      <c r="AC4286" s="729"/>
      <c r="AD4286" s="729"/>
      <c r="AE4286" s="729"/>
      <c r="AF4286" s="729"/>
      <c r="AG4286" s="729"/>
      <c r="AH4286" s="729"/>
      <c r="AI4286" s="729"/>
      <c r="AK4286" s="128"/>
      <c r="AL4286" s="177"/>
    </row>
    <row r="4287" spans="1:38" ht="12.95" customHeight="1" x14ac:dyDescent="0.25">
      <c r="A4287" s="178"/>
      <c r="B4287" s="457" t="s">
        <v>158</v>
      </c>
      <c r="C4287" s="419"/>
      <c r="D4287" s="459"/>
      <c r="E4287" s="460"/>
      <c r="F4287" s="461"/>
      <c r="G4287" s="459"/>
      <c r="H4287" s="462"/>
      <c r="I4287" s="463"/>
      <c r="J4287" s="418"/>
      <c r="K4287" s="419"/>
      <c r="L4287" s="552"/>
      <c r="M4287" s="414"/>
      <c r="N4287" s="415"/>
      <c r="O4287" s="92"/>
      <c r="Q4287" s="56"/>
      <c r="R4287" s="56"/>
      <c r="S4287" s="56"/>
      <c r="T4287" s="56"/>
      <c r="X4287" s="97"/>
      <c r="Y4287" s="98"/>
      <c r="Z4287" s="701" t="s">
        <v>205</v>
      </c>
      <c r="AA4287" s="701"/>
      <c r="AB4287" s="701"/>
      <c r="AC4287" s="701"/>
      <c r="AD4287" s="701"/>
      <c r="AE4287" s="701"/>
      <c r="AF4287" s="701"/>
      <c r="AG4287" s="701"/>
      <c r="AH4287" s="701"/>
      <c r="AI4287" s="701"/>
      <c r="AK4287" s="128"/>
      <c r="AL4287" s="177"/>
    </row>
    <row r="4288" spans="1:38" ht="12.95" customHeight="1" x14ac:dyDescent="0.25">
      <c r="A4288" s="178"/>
      <c r="B4288" s="457" t="s">
        <v>159</v>
      </c>
      <c r="C4288" s="419"/>
      <c r="D4288" s="459"/>
      <c r="E4288" s="460"/>
      <c r="F4288" s="461"/>
      <c r="G4288" s="459"/>
      <c r="H4288" s="462"/>
      <c r="I4288" s="463"/>
      <c r="J4288" s="456"/>
      <c r="K4288" s="419"/>
      <c r="L4288" s="552"/>
      <c r="M4288" s="414"/>
      <c r="N4288" s="415"/>
      <c r="O4288" s="92"/>
      <c r="Q4288" s="56"/>
      <c r="R4288" s="56"/>
      <c r="S4288" s="56"/>
      <c r="T4288" s="56"/>
      <c r="X4288" s="97"/>
      <c r="Y4288" s="98"/>
      <c r="Z4288" s="701" t="s">
        <v>206</v>
      </c>
      <c r="AA4288" s="701"/>
      <c r="AB4288" s="701"/>
      <c r="AC4288" s="701"/>
      <c r="AD4288" s="701"/>
      <c r="AE4288" s="701"/>
      <c r="AF4288" s="701"/>
      <c r="AG4288" s="701"/>
      <c r="AH4288" s="701"/>
      <c r="AI4288" s="701"/>
      <c r="AK4288" s="128"/>
      <c r="AL4288" s="177"/>
    </row>
    <row r="4289" spans="1:38" ht="12.95" customHeight="1" x14ac:dyDescent="0.25">
      <c r="A4289" s="178"/>
      <c r="B4289" s="457" t="s">
        <v>160</v>
      </c>
      <c r="C4289" s="419"/>
      <c r="D4289" s="459"/>
      <c r="E4289" s="460"/>
      <c r="F4289" s="461"/>
      <c r="G4289" s="459"/>
      <c r="H4289" s="462"/>
      <c r="I4289" s="463"/>
      <c r="J4289" s="606" t="s">
        <v>176</v>
      </c>
      <c r="K4289" s="419"/>
      <c r="L4289" s="552"/>
      <c r="M4289" s="414"/>
      <c r="N4289" s="415"/>
      <c r="O4289" s="92"/>
      <c r="Q4289" s="56"/>
      <c r="R4289" s="56"/>
      <c r="S4289" s="56"/>
      <c r="T4289" s="56"/>
      <c r="X4289" s="97"/>
      <c r="Y4289" s="98"/>
      <c r="Z4289" s="701" t="s">
        <v>207</v>
      </c>
      <c r="AA4289" s="701"/>
      <c r="AB4289" s="701"/>
      <c r="AC4289" s="701"/>
      <c r="AD4289" s="701"/>
      <c r="AE4289" s="701"/>
      <c r="AF4289" s="701"/>
      <c r="AG4289" s="701"/>
      <c r="AH4289" s="701"/>
      <c r="AI4289" s="701"/>
      <c r="AK4289" s="128"/>
      <c r="AL4289" s="177"/>
    </row>
    <row r="4290" spans="1:38" ht="12.95" customHeight="1" x14ac:dyDescent="0.25">
      <c r="A4290" s="178"/>
      <c r="B4290" s="457" t="s">
        <v>161</v>
      </c>
      <c r="C4290" s="419"/>
      <c r="D4290" s="459"/>
      <c r="E4290" s="460"/>
      <c r="F4290" s="461"/>
      <c r="G4290" s="459"/>
      <c r="H4290" s="462"/>
      <c r="I4290" s="463"/>
      <c r="J4290" s="207"/>
      <c r="K4290" s="414"/>
      <c r="L4290" s="552"/>
      <c r="M4290" s="414"/>
      <c r="N4290" s="415"/>
      <c r="O4290" s="92"/>
      <c r="Q4290" s="56"/>
      <c r="R4290" s="730"/>
      <c r="S4290" s="730"/>
      <c r="T4290" s="56"/>
      <c r="X4290" s="97"/>
      <c r="Y4290" s="98"/>
      <c r="Z4290" s="765"/>
      <c r="AA4290" s="765"/>
      <c r="AB4290" s="765"/>
      <c r="AC4290" s="765"/>
      <c r="AD4290" s="765"/>
      <c r="AE4290" s="765"/>
      <c r="AF4290" s="765"/>
      <c r="AG4290" s="765"/>
      <c r="AH4290" s="765"/>
      <c r="AI4290" s="765"/>
      <c r="AK4290" s="128"/>
      <c r="AL4290" s="177"/>
    </row>
    <row r="4291" spans="1:38" ht="12.95" customHeight="1" x14ac:dyDescent="0.25">
      <c r="A4291" s="178"/>
      <c r="B4291" s="457" t="s">
        <v>162</v>
      </c>
      <c r="C4291" s="419"/>
      <c r="D4291" s="459"/>
      <c r="E4291" s="460"/>
      <c r="F4291" s="461"/>
      <c r="G4291" s="459"/>
      <c r="H4291" s="462"/>
      <c r="I4291" s="463"/>
      <c r="J4291" s="207"/>
      <c r="K4291" s="414"/>
      <c r="L4291" s="552"/>
      <c r="M4291" s="414"/>
      <c r="N4291" s="415"/>
      <c r="O4291" s="92"/>
      <c r="Q4291" s="56"/>
      <c r="R4291" s="175"/>
      <c r="S4291" s="175"/>
      <c r="T4291" s="56"/>
      <c r="Z4291" s="323"/>
      <c r="AA4291" s="323"/>
      <c r="AB4291" s="464"/>
      <c r="AC4291" s="464"/>
      <c r="AD4291" s="323"/>
      <c r="AE4291" s="323"/>
      <c r="AF4291" s="323"/>
      <c r="AG4291" s="323"/>
      <c r="AH4291" s="323"/>
      <c r="AI4291" s="323"/>
      <c r="AK4291" s="128"/>
      <c r="AL4291" s="177"/>
    </row>
  </sheetData>
  <sheetProtection algorithmName="SHA-512" hashValue="siv+ypeb0pHQnizz+ZND+07vKgiI+y/o2ZMmvVC88bthX4DYgx9hlW3KXNzaZVt5FSnrlJww3Jdz1mKK8yYjag==" saltValue="NrMvmKjVINJVZ0wL21GDUg==" spinCount="100000" sheet="1" objects="1" scenarios="1"/>
  <protectedRanges>
    <protectedRange sqref="A4241:A4291 A4239" name="Range3_23"/>
    <protectedRange sqref="D11" name="Range3_16_2_1"/>
    <protectedRange sqref="A1" name="Range3_16_2_1_3"/>
    <protectedRange sqref="A6" name="Range3_16_2_3_1"/>
    <protectedRange sqref="A4:A5" name="Range3_32_2_1_1"/>
    <protectedRange sqref="A4238 A4233:A4235" name="Range3_23_1"/>
  </protectedRanges>
  <sortState xmlns:xlrd2="http://schemas.microsoft.com/office/spreadsheetml/2017/richdata2" ref="BB9:BB13">
    <sortCondition ref="BB9:BB13"/>
  </sortState>
  <mergeCells count="14955">
    <mergeCell ref="G8:I8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15:AD15"/>
    <mergeCell ref="AF15:AH15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001:AD2001"/>
    <mergeCell ref="AF2001:AH2001"/>
    <mergeCell ref="AK2001:AL2001"/>
    <mergeCell ref="AC2002:AD2002"/>
    <mergeCell ref="AF2002:AH2002"/>
    <mergeCell ref="AK2002:AL2002"/>
    <mergeCell ref="AC2014:AD2014"/>
    <mergeCell ref="AF2014:AH2014"/>
    <mergeCell ref="AK2014:AL2014"/>
    <mergeCell ref="AC2003:AD2003"/>
    <mergeCell ref="AF2003:AH2003"/>
    <mergeCell ref="AK2003:AL2003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K4082:L4082"/>
    <mergeCell ref="K4085:L4085"/>
    <mergeCell ref="K4086:L4086"/>
    <mergeCell ref="K4057:L4057"/>
    <mergeCell ref="K4027:L4027"/>
    <mergeCell ref="K4030:L4030"/>
    <mergeCell ref="K4045:L4045"/>
    <mergeCell ref="K4071:L4071"/>
    <mergeCell ref="K4182:L4182"/>
    <mergeCell ref="K4183:L4183"/>
    <mergeCell ref="K4191:L4191"/>
    <mergeCell ref="K4192:L4192"/>
    <mergeCell ref="K4194:L419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K3948:L3948"/>
    <mergeCell ref="K3955:L3955"/>
    <mergeCell ref="K3985:L3985"/>
    <mergeCell ref="K3986:L3986"/>
    <mergeCell ref="K3987:L3987"/>
    <mergeCell ref="K4010:L4010"/>
    <mergeCell ref="K4011:L4011"/>
    <mergeCell ref="K4012:L4012"/>
    <mergeCell ref="K3975:L3975"/>
    <mergeCell ref="K3988:L3988"/>
    <mergeCell ref="K3998:L3998"/>
    <mergeCell ref="K3951:L3951"/>
    <mergeCell ref="K3952:L3952"/>
    <mergeCell ref="K3956:L3956"/>
    <mergeCell ref="K4016:L4016"/>
    <mergeCell ref="K4021:L4021"/>
    <mergeCell ref="K4033:L4033"/>
    <mergeCell ref="K4036:L4036"/>
    <mergeCell ref="K4037:L4037"/>
    <mergeCell ref="K4046:L4046"/>
    <mergeCell ref="K4049:L4049"/>
    <mergeCell ref="K4052:L4052"/>
    <mergeCell ref="K4053:L4053"/>
    <mergeCell ref="K4065:L4065"/>
    <mergeCell ref="K4007:L4007"/>
    <mergeCell ref="K4196:L4196"/>
    <mergeCell ref="K4205:L4205"/>
    <mergeCell ref="K4208:L4208"/>
    <mergeCell ref="K4068:L4068"/>
    <mergeCell ref="K4074:L4074"/>
    <mergeCell ref="K4081:L4081"/>
    <mergeCell ref="K4087:L4087"/>
    <mergeCell ref="K4091:L4091"/>
    <mergeCell ref="K4101:L4101"/>
    <mergeCell ref="K4104:L4104"/>
    <mergeCell ref="K4113:L4113"/>
    <mergeCell ref="K4124:L4124"/>
    <mergeCell ref="K4125:L4125"/>
    <mergeCell ref="K4133:L4133"/>
    <mergeCell ref="K4136:L4136"/>
    <mergeCell ref="K4142:L4142"/>
    <mergeCell ref="K4143:L4143"/>
    <mergeCell ref="K4156:L4156"/>
    <mergeCell ref="K4160:L4160"/>
    <mergeCell ref="K4168:L4168"/>
    <mergeCell ref="K4172:L4172"/>
    <mergeCell ref="K4175:L4175"/>
    <mergeCell ref="K4181:L4181"/>
    <mergeCell ref="K4184:L4184"/>
    <mergeCell ref="K4187:L4187"/>
    <mergeCell ref="K4193:L4193"/>
    <mergeCell ref="K4195:L4195"/>
    <mergeCell ref="K4078:L4078"/>
    <mergeCell ref="K4110:L4110"/>
    <mergeCell ref="K4190:L4190"/>
    <mergeCell ref="K4155:L4155"/>
    <mergeCell ref="K4178:L4178"/>
    <mergeCell ref="K4028:L4028"/>
    <mergeCell ref="K4029:L4029"/>
    <mergeCell ref="K4040:L4040"/>
    <mergeCell ref="K4043:L4043"/>
    <mergeCell ref="K4044:L4044"/>
    <mergeCell ref="K4056:L4056"/>
    <mergeCell ref="K4058:L4058"/>
    <mergeCell ref="K3758:L3758"/>
    <mergeCell ref="K3784:L3784"/>
    <mergeCell ref="K3790:L3790"/>
    <mergeCell ref="K3792:L3792"/>
    <mergeCell ref="K3663:L3663"/>
    <mergeCell ref="K3669:L3669"/>
    <mergeCell ref="K3691:L3691"/>
    <mergeCell ref="K3682:L3682"/>
    <mergeCell ref="K3685:L3685"/>
    <mergeCell ref="K3724:L3724"/>
    <mergeCell ref="K3672:L3672"/>
    <mergeCell ref="K3694:L3694"/>
    <mergeCell ref="K3700:L3700"/>
    <mergeCell ref="K3712:L3712"/>
    <mergeCell ref="K3716:L3716"/>
    <mergeCell ref="K3723:L3723"/>
    <mergeCell ref="K3725:L3725"/>
    <mergeCell ref="K3754:L3754"/>
    <mergeCell ref="K3704:L3704"/>
    <mergeCell ref="K3666:L3666"/>
    <mergeCell ref="K3727:L3727"/>
    <mergeCell ref="K3736:L3736"/>
    <mergeCell ref="K3739:L3739"/>
    <mergeCell ref="K3742:L3742"/>
    <mergeCell ref="K3745:L3745"/>
    <mergeCell ref="K3746:L3746"/>
    <mergeCell ref="K3749:L3749"/>
    <mergeCell ref="K3798:L3798"/>
    <mergeCell ref="K3799:L3799"/>
    <mergeCell ref="K3753:L3753"/>
    <mergeCell ref="K3757:L3757"/>
    <mergeCell ref="K3761:L3761"/>
    <mergeCell ref="K3764:L3764"/>
    <mergeCell ref="K3767:L3767"/>
    <mergeCell ref="K3770:L3770"/>
    <mergeCell ref="K3773:L3773"/>
    <mergeCell ref="K3776:L3776"/>
    <mergeCell ref="K3779:L3779"/>
    <mergeCell ref="K3780:L3780"/>
    <mergeCell ref="K3783:L3783"/>
    <mergeCell ref="K3786:L3786"/>
    <mergeCell ref="K3787:L3787"/>
    <mergeCell ref="K3793:L3793"/>
    <mergeCell ref="K3794:L3794"/>
    <mergeCell ref="K3726:L3726"/>
    <mergeCell ref="K3730:L3730"/>
    <mergeCell ref="K3733:L3733"/>
    <mergeCell ref="K2845:L2845"/>
    <mergeCell ref="K2849:L2849"/>
    <mergeCell ref="K2850:L2850"/>
    <mergeCell ref="K3077:L3077"/>
    <mergeCell ref="K3084:L3084"/>
    <mergeCell ref="K3117:L3117"/>
    <mergeCell ref="K3146:L3146"/>
    <mergeCell ref="K3178:L3178"/>
    <mergeCell ref="K3203:L3203"/>
    <mergeCell ref="K3288:L3288"/>
    <mergeCell ref="K2920:L2920"/>
    <mergeCell ref="K2923:L2923"/>
    <mergeCell ref="K2939:L2939"/>
    <mergeCell ref="K3240:L3240"/>
    <mergeCell ref="K3253:L3253"/>
    <mergeCell ref="K3272:L3272"/>
    <mergeCell ref="K3273:L3273"/>
    <mergeCell ref="K3133:L3133"/>
    <mergeCell ref="K3121:L3121"/>
    <mergeCell ref="K2988:L2988"/>
    <mergeCell ref="K2991:L2991"/>
    <mergeCell ref="K2992:L2992"/>
    <mergeCell ref="K2995:L2995"/>
    <mergeCell ref="K3001:L3001"/>
    <mergeCell ref="K3015:L3015"/>
    <mergeCell ref="K3056:L3056"/>
    <mergeCell ref="K3059:L3059"/>
    <mergeCell ref="K3062:L3062"/>
    <mergeCell ref="K3065:L3065"/>
    <mergeCell ref="K3069:L3069"/>
    <mergeCell ref="K3074:L3074"/>
    <mergeCell ref="K3080:L3080"/>
    <mergeCell ref="K3244:L3244"/>
    <mergeCell ref="K3245:L3245"/>
    <mergeCell ref="K3266:L3266"/>
    <mergeCell ref="K3275:L3275"/>
    <mergeCell ref="K3276:L3276"/>
    <mergeCell ref="K3278:L3278"/>
    <mergeCell ref="K3279:L3279"/>
    <mergeCell ref="K3283:L3283"/>
    <mergeCell ref="K3284:L3284"/>
    <mergeCell ref="K3258:L3258"/>
    <mergeCell ref="K3075:L3075"/>
    <mergeCell ref="K3085:L3085"/>
    <mergeCell ref="K3100:L3100"/>
    <mergeCell ref="K3101:L3101"/>
    <mergeCell ref="K2998:L2998"/>
    <mergeCell ref="K2999:L2999"/>
    <mergeCell ref="K3004:L3004"/>
    <mergeCell ref="K3007:L3007"/>
    <mergeCell ref="K3010:L3010"/>
    <mergeCell ref="K3011:L3011"/>
    <mergeCell ref="K2966:L2966"/>
    <mergeCell ref="K2969:L2969"/>
    <mergeCell ref="K2974:L2974"/>
    <mergeCell ref="K2983:L2983"/>
    <mergeCell ref="K3110:L3110"/>
    <mergeCell ref="K2976:L2976"/>
    <mergeCell ref="K2979:L2979"/>
    <mergeCell ref="K2980:L2980"/>
    <mergeCell ref="K3083:L3083"/>
    <mergeCell ref="K3089:L3089"/>
    <mergeCell ref="K3093:L3093"/>
    <mergeCell ref="K3096:L3096"/>
    <mergeCell ref="K2763:L2763"/>
    <mergeCell ref="K2768:L2768"/>
    <mergeCell ref="K2769:L2769"/>
    <mergeCell ref="K2773:L2773"/>
    <mergeCell ref="K2774:L2774"/>
    <mergeCell ref="K2777:L2777"/>
    <mergeCell ref="K2778:L2778"/>
    <mergeCell ref="K2781:L2781"/>
    <mergeCell ref="K2784:L2784"/>
    <mergeCell ref="K2787:L2787"/>
    <mergeCell ref="K2792:L2792"/>
    <mergeCell ref="K2793:L2793"/>
    <mergeCell ref="K2796:L2796"/>
    <mergeCell ref="K2802:L2802"/>
    <mergeCell ref="K2803:L2803"/>
    <mergeCell ref="K2806:L2806"/>
    <mergeCell ref="K2809:L2809"/>
    <mergeCell ref="K2812:L2812"/>
    <mergeCell ref="K2816:L2816"/>
    <mergeCell ref="K2817:L2817"/>
    <mergeCell ref="K2820:L2820"/>
    <mergeCell ref="K2823:L2823"/>
    <mergeCell ref="K2824:L2824"/>
    <mergeCell ref="K2827:L2827"/>
    <mergeCell ref="K2830:L2830"/>
    <mergeCell ref="K2833:L2833"/>
    <mergeCell ref="K2837:L2837"/>
    <mergeCell ref="K2838:L2838"/>
    <mergeCell ref="K2841:L2841"/>
    <mergeCell ref="K2844:L2844"/>
    <mergeCell ref="K2790:L2790"/>
    <mergeCell ref="K2801:L2801"/>
    <mergeCell ref="K2815:L2815"/>
    <mergeCell ref="K2731:L2731"/>
    <mergeCell ref="K2734:L2734"/>
    <mergeCell ref="K2737:L2737"/>
    <mergeCell ref="K2740:L2740"/>
    <mergeCell ref="K2743:L2743"/>
    <mergeCell ref="K2744:L2744"/>
    <mergeCell ref="K2757:L2757"/>
    <mergeCell ref="K2688:L2688"/>
    <mergeCell ref="K2692:L2692"/>
    <mergeCell ref="K2661:L2661"/>
    <mergeCell ref="K2664:L2664"/>
    <mergeCell ref="K2667:L2667"/>
    <mergeCell ref="K2668:L2668"/>
    <mergeCell ref="K2671:L2671"/>
    <mergeCell ref="K2674:L2674"/>
    <mergeCell ref="K2679:L2679"/>
    <mergeCell ref="K2685:L2685"/>
    <mergeCell ref="K2689:L2689"/>
    <mergeCell ref="K2695:L2695"/>
    <mergeCell ref="K2699:L2699"/>
    <mergeCell ref="K2702:L2702"/>
    <mergeCell ref="K2705:L2705"/>
    <mergeCell ref="K2708:L2708"/>
    <mergeCell ref="K2712:L2712"/>
    <mergeCell ref="K2715:L2715"/>
    <mergeCell ref="K2728:L2728"/>
    <mergeCell ref="K2745:L2745"/>
    <mergeCell ref="K2693:L2693"/>
    <mergeCell ref="K2694:L2694"/>
    <mergeCell ref="K2698:L2698"/>
    <mergeCell ref="K2711:L2711"/>
    <mergeCell ref="K2721:L2721"/>
    <mergeCell ref="K2748:L2748"/>
    <mergeCell ref="K2678:L2678"/>
    <mergeCell ref="K2682:L2682"/>
    <mergeCell ref="K2683:L2683"/>
    <mergeCell ref="K2746:L2746"/>
    <mergeCell ref="K2747:L2747"/>
    <mergeCell ref="K2751:L2751"/>
    <mergeCell ref="K2754:L2754"/>
    <mergeCell ref="K2658:L2658"/>
    <mergeCell ref="K2595:L2595"/>
    <mergeCell ref="K2593:L2593"/>
    <mergeCell ref="K2591:L2591"/>
    <mergeCell ref="K2684:L2684"/>
    <mergeCell ref="K2677:L2677"/>
    <mergeCell ref="K2718:L2718"/>
    <mergeCell ref="K2724:L2724"/>
    <mergeCell ref="K2446:L2446"/>
    <mergeCell ref="K2449:L2449"/>
    <mergeCell ref="K2450:L2450"/>
    <mergeCell ref="K2453:L2453"/>
    <mergeCell ref="K2463:L2463"/>
    <mergeCell ref="K2464:L2464"/>
    <mergeCell ref="K2467:L2467"/>
    <mergeCell ref="K2468:L2468"/>
    <mergeCell ref="K2471:L2471"/>
    <mergeCell ref="K2474:L2474"/>
    <mergeCell ref="K2477:L2477"/>
    <mergeCell ref="K2480:L2480"/>
    <mergeCell ref="K2485:L2485"/>
    <mergeCell ref="K2486:L2486"/>
    <mergeCell ref="K2456:L2456"/>
    <mergeCell ref="K2374:L2374"/>
    <mergeCell ref="K2380:L2380"/>
    <mergeCell ref="K2381:L2381"/>
    <mergeCell ref="K2384:L2384"/>
    <mergeCell ref="K2385:L2385"/>
    <mergeCell ref="K2388:L2388"/>
    <mergeCell ref="K2391:L2391"/>
    <mergeCell ref="K2394:L2394"/>
    <mergeCell ref="K2635:L2635"/>
    <mergeCell ref="K2636:L2636"/>
    <mergeCell ref="K2639:L2639"/>
    <mergeCell ref="K2642:L2642"/>
    <mergeCell ref="K2649:L2649"/>
    <mergeCell ref="K2653:L2653"/>
    <mergeCell ref="K2654:L2654"/>
    <mergeCell ref="K2657:L2657"/>
    <mergeCell ref="K1650:L1650"/>
    <mergeCell ref="K1651:L1651"/>
    <mergeCell ref="K1654:L1654"/>
    <mergeCell ref="K1655:L1655"/>
    <mergeCell ref="K2130:L2130"/>
    <mergeCell ref="K2134:L2134"/>
    <mergeCell ref="K2137:L2137"/>
    <mergeCell ref="K2229:L2229"/>
    <mergeCell ref="K2232:L2232"/>
    <mergeCell ref="K2233:L2233"/>
    <mergeCell ref="K2244:L2244"/>
    <mergeCell ref="K2248:L2248"/>
    <mergeCell ref="K2257:L2257"/>
    <mergeCell ref="K2262:L2262"/>
    <mergeCell ref="K2265:L2265"/>
    <mergeCell ref="K2266:L2266"/>
    <mergeCell ref="K2293:L2293"/>
    <mergeCell ref="K2314:L2314"/>
    <mergeCell ref="K2331:L2331"/>
    <mergeCell ref="K2343:L2343"/>
    <mergeCell ref="K2315:L2315"/>
    <mergeCell ref="K2344:L2344"/>
    <mergeCell ref="K2230:L2230"/>
    <mergeCell ref="K2239:L2239"/>
    <mergeCell ref="K2231:L2231"/>
    <mergeCell ref="K2234:L2234"/>
    <mergeCell ref="K2235:L2235"/>
    <mergeCell ref="K2236:L2236"/>
    <mergeCell ref="K2242:L2242"/>
    <mergeCell ref="K2243:L2243"/>
    <mergeCell ref="K2247:L2247"/>
    <mergeCell ref="K2251:L2251"/>
    <mergeCell ref="K2252:L2252"/>
    <mergeCell ref="K2253:L2253"/>
    <mergeCell ref="K2138:L2138"/>
    <mergeCell ref="K2142:L2142"/>
    <mergeCell ref="K2145:L2145"/>
    <mergeCell ref="K2146:L2146"/>
    <mergeCell ref="K2150:L2150"/>
    <mergeCell ref="K2154:L2154"/>
    <mergeCell ref="K2155:L2155"/>
    <mergeCell ref="K2159:L2159"/>
    <mergeCell ref="K2162:L2162"/>
    <mergeCell ref="K2163:L2163"/>
    <mergeCell ref="K2170:L2170"/>
    <mergeCell ref="K2177:L2177"/>
    <mergeCell ref="K2178:L2178"/>
    <mergeCell ref="K2181:L2181"/>
    <mergeCell ref="K2260:L2260"/>
    <mergeCell ref="K2261:L2261"/>
    <mergeCell ref="K2270:L2270"/>
    <mergeCell ref="K2271:L2271"/>
    <mergeCell ref="K2274:L2274"/>
    <mergeCell ref="K2277:L2277"/>
    <mergeCell ref="K2280:L2280"/>
    <mergeCell ref="K2283:L2283"/>
    <mergeCell ref="K2284:L2284"/>
    <mergeCell ref="K2287:L2287"/>
    <mergeCell ref="K2290:L2290"/>
    <mergeCell ref="K2294:L2294"/>
    <mergeCell ref="K2295:L2295"/>
    <mergeCell ref="K2298:L2298"/>
    <mergeCell ref="K2299:L2299"/>
    <mergeCell ref="K2302:L2302"/>
    <mergeCell ref="K1562:L1562"/>
    <mergeCell ref="K1565:L1565"/>
    <mergeCell ref="K1568:L1568"/>
    <mergeCell ref="K1571:L1571"/>
    <mergeCell ref="K1578:L1578"/>
    <mergeCell ref="K1580:L1580"/>
    <mergeCell ref="K1581:L1581"/>
    <mergeCell ref="K1589:L1589"/>
    <mergeCell ref="K1592:L1592"/>
    <mergeCell ref="K1595:L1595"/>
    <mergeCell ref="K1596:L1596"/>
    <mergeCell ref="K1597:L1597"/>
    <mergeCell ref="K1598:L1598"/>
    <mergeCell ref="K1599:L1599"/>
    <mergeCell ref="K1606:L1606"/>
    <mergeCell ref="K1609:L1609"/>
    <mergeCell ref="K1610:L1610"/>
    <mergeCell ref="K1611:L1611"/>
    <mergeCell ref="K1617:L1617"/>
    <mergeCell ref="K1620:L1620"/>
    <mergeCell ref="K1559:L1559"/>
    <mergeCell ref="K1572:L1572"/>
    <mergeCell ref="K1575:L1575"/>
    <mergeCell ref="K1584:L1584"/>
    <mergeCell ref="K1585:L1585"/>
    <mergeCell ref="K1623:L1623"/>
    <mergeCell ref="K1630:L1630"/>
    <mergeCell ref="K1632:L1632"/>
    <mergeCell ref="K1638:L1638"/>
    <mergeCell ref="K1640:L1640"/>
    <mergeCell ref="K1641:L1641"/>
    <mergeCell ref="K1642:L1642"/>
    <mergeCell ref="K1643:L1643"/>
    <mergeCell ref="K1440:L1440"/>
    <mergeCell ref="K1441:L1441"/>
    <mergeCell ref="K1444:L1444"/>
    <mergeCell ref="K1445:L1445"/>
    <mergeCell ref="K1449:L1449"/>
    <mergeCell ref="K1452:L1452"/>
    <mergeCell ref="K1453:L1453"/>
    <mergeCell ref="K1457:L1457"/>
    <mergeCell ref="K1460:L1460"/>
    <mergeCell ref="K1463:L1463"/>
    <mergeCell ref="K1466:L1466"/>
    <mergeCell ref="K1467:L1467"/>
    <mergeCell ref="K1471:L1471"/>
    <mergeCell ref="K1475:L1475"/>
    <mergeCell ref="K1476:L1476"/>
    <mergeCell ref="K1480:L1480"/>
    <mergeCell ref="K1483:L1483"/>
    <mergeCell ref="K1486:L1486"/>
    <mergeCell ref="K1489:L1489"/>
    <mergeCell ref="K1492:L1492"/>
    <mergeCell ref="K1588:L1588"/>
    <mergeCell ref="K1601:L1601"/>
    <mergeCell ref="K1604:L1604"/>
    <mergeCell ref="K1605:L1605"/>
    <mergeCell ref="K1614:L1614"/>
    <mergeCell ref="K1624:L1624"/>
    <mergeCell ref="K1407:L1407"/>
    <mergeCell ref="K1408:L1408"/>
    <mergeCell ref="K1409:L1409"/>
    <mergeCell ref="K1415:L1415"/>
    <mergeCell ref="K1416:L1416"/>
    <mergeCell ref="K1419:L1419"/>
    <mergeCell ref="K1420:L1420"/>
    <mergeCell ref="K1522:L1522"/>
    <mergeCell ref="K1526:L1526"/>
    <mergeCell ref="K1425:L1425"/>
    <mergeCell ref="K1431:L1431"/>
    <mergeCell ref="K1433:L1433"/>
    <mergeCell ref="K1434:L1434"/>
    <mergeCell ref="K1454:L1454"/>
    <mergeCell ref="K1502:L1502"/>
    <mergeCell ref="K1505:L1505"/>
    <mergeCell ref="K1508:L1508"/>
    <mergeCell ref="K1424:L1424"/>
    <mergeCell ref="K1493:L1493"/>
    <mergeCell ref="K1496:L1496"/>
    <mergeCell ref="K1499:L1499"/>
    <mergeCell ref="K1512:L1512"/>
    <mergeCell ref="K1513:L1513"/>
    <mergeCell ref="K1515:L1515"/>
    <mergeCell ref="K1518:L1518"/>
    <mergeCell ref="K1519:L1519"/>
    <mergeCell ref="K1523:L1523"/>
    <mergeCell ref="K1524:L1524"/>
    <mergeCell ref="K1527:L1527"/>
    <mergeCell ref="K1530:L1530"/>
    <mergeCell ref="K1538:L1538"/>
    <mergeCell ref="K1539:L1539"/>
    <mergeCell ref="K1541:L1541"/>
    <mergeCell ref="K1423:L1423"/>
    <mergeCell ref="K1426:L1426"/>
    <mergeCell ref="K1436:L1436"/>
    <mergeCell ref="K1437:L1437"/>
    <mergeCell ref="K1446:L1446"/>
    <mergeCell ref="K745:L745"/>
    <mergeCell ref="K746:L746"/>
    <mergeCell ref="K759:L759"/>
    <mergeCell ref="K773:L773"/>
    <mergeCell ref="K788:L788"/>
    <mergeCell ref="K789:L789"/>
    <mergeCell ref="K792:L792"/>
    <mergeCell ref="K662:L662"/>
    <mergeCell ref="K737:L737"/>
    <mergeCell ref="K738:L738"/>
    <mergeCell ref="K708:L708"/>
    <mergeCell ref="K730:L730"/>
    <mergeCell ref="K733:L733"/>
    <mergeCell ref="K703:L703"/>
    <mergeCell ref="K656:L656"/>
    <mergeCell ref="K648:L648"/>
    <mergeCell ref="K661:L661"/>
    <mergeCell ref="K663:L663"/>
    <mergeCell ref="K725:L725"/>
    <mergeCell ref="K731:L731"/>
    <mergeCell ref="K732:L732"/>
    <mergeCell ref="K640:L640"/>
    <mergeCell ref="K641:L641"/>
    <mergeCell ref="K647:L647"/>
    <mergeCell ref="K639:L639"/>
    <mergeCell ref="K734:L734"/>
    <mergeCell ref="K735:L735"/>
    <mergeCell ref="K779:L779"/>
    <mergeCell ref="K782:L782"/>
    <mergeCell ref="K709:L709"/>
    <mergeCell ref="K710:L710"/>
    <mergeCell ref="K713:L713"/>
    <mergeCell ref="K716:L716"/>
    <mergeCell ref="K719:L719"/>
    <mergeCell ref="K722:L722"/>
    <mergeCell ref="K726:L726"/>
    <mergeCell ref="K727:L727"/>
    <mergeCell ref="K739:L739"/>
    <mergeCell ref="K740:L740"/>
    <mergeCell ref="K741:L741"/>
    <mergeCell ref="K748:L748"/>
    <mergeCell ref="K751:L751"/>
    <mergeCell ref="K755:L755"/>
    <mergeCell ref="K764:L764"/>
    <mergeCell ref="K765:L765"/>
    <mergeCell ref="K772:L772"/>
    <mergeCell ref="K786:L786"/>
    <mergeCell ref="K787:L787"/>
    <mergeCell ref="K658:L658"/>
    <mergeCell ref="K664:L664"/>
    <mergeCell ref="K665:L665"/>
    <mergeCell ref="K672:L672"/>
    <mergeCell ref="K679:L679"/>
    <mergeCell ref="K686:L686"/>
    <mergeCell ref="K696:L696"/>
    <mergeCell ref="K697:L697"/>
    <mergeCell ref="K700:L700"/>
    <mergeCell ref="K704:L704"/>
    <mergeCell ref="K705:L705"/>
    <mergeCell ref="K385:L385"/>
    <mergeCell ref="K471:L471"/>
    <mergeCell ref="K474:L474"/>
    <mergeCell ref="K481:L481"/>
    <mergeCell ref="K484:L484"/>
    <mergeCell ref="K540:L540"/>
    <mergeCell ref="K491:L491"/>
    <mergeCell ref="K444:L444"/>
    <mergeCell ref="K389:L389"/>
    <mergeCell ref="K392:L392"/>
    <mergeCell ref="K487:L487"/>
    <mergeCell ref="K447:L447"/>
    <mergeCell ref="K458:L458"/>
    <mergeCell ref="K415:L415"/>
    <mergeCell ref="K418:L418"/>
    <mergeCell ref="K421:L421"/>
    <mergeCell ref="K507:L507"/>
    <mergeCell ref="K510:L510"/>
    <mergeCell ref="K513:L513"/>
    <mergeCell ref="K514:L514"/>
    <mergeCell ref="K517:L517"/>
    <mergeCell ref="K518:L518"/>
    <mergeCell ref="K370:L370"/>
    <mergeCell ref="K373:L373"/>
    <mergeCell ref="K376:L376"/>
    <mergeCell ref="K379:L379"/>
    <mergeCell ref="K382:L382"/>
    <mergeCell ref="K402:L402"/>
    <mergeCell ref="K403:L403"/>
    <mergeCell ref="K410:L410"/>
    <mergeCell ref="K411:L411"/>
    <mergeCell ref="K422:L422"/>
    <mergeCell ref="K423:L423"/>
    <mergeCell ref="K426:L426"/>
    <mergeCell ref="K430:L430"/>
    <mergeCell ref="K433:L433"/>
    <mergeCell ref="K437:L437"/>
    <mergeCell ref="K438:L438"/>
    <mergeCell ref="K439:L439"/>
    <mergeCell ref="K448:L448"/>
    <mergeCell ref="K452:L452"/>
    <mergeCell ref="K453:L453"/>
    <mergeCell ref="K459:L459"/>
    <mergeCell ref="K463:L463"/>
    <mergeCell ref="K464:L464"/>
    <mergeCell ref="K468:L468"/>
    <mergeCell ref="K478:L478"/>
    <mergeCell ref="K488:L488"/>
    <mergeCell ref="K492:L492"/>
    <mergeCell ref="K495:L495"/>
    <mergeCell ref="K498:L498"/>
    <mergeCell ref="K499:L499"/>
    <mergeCell ref="K500:L500"/>
    <mergeCell ref="K503:L503"/>
    <mergeCell ref="K506:L506"/>
    <mergeCell ref="K519:L519"/>
    <mergeCell ref="K520:L520"/>
    <mergeCell ref="K532:L532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213:AD4213"/>
    <mergeCell ref="AF4213:AH4213"/>
    <mergeCell ref="AK4213:AL4213"/>
    <mergeCell ref="K174:L174"/>
    <mergeCell ref="K202:L202"/>
    <mergeCell ref="K212:L212"/>
    <mergeCell ref="K229:L229"/>
    <mergeCell ref="K234:L234"/>
    <mergeCell ref="K241:L241"/>
    <mergeCell ref="K210:L210"/>
    <mergeCell ref="K211:L211"/>
    <mergeCell ref="K228:L228"/>
    <mergeCell ref="K233:L233"/>
    <mergeCell ref="K209:L209"/>
    <mergeCell ref="K175:L175"/>
    <mergeCell ref="K178:L178"/>
    <mergeCell ref="K181:L181"/>
    <mergeCell ref="K184:L184"/>
    <mergeCell ref="K187:L187"/>
    <mergeCell ref="K190:L190"/>
    <mergeCell ref="K193:L193"/>
    <mergeCell ref="K196:L196"/>
    <mergeCell ref="K199:L199"/>
    <mergeCell ref="K203:L203"/>
    <mergeCell ref="K206:L206"/>
    <mergeCell ref="K213:L213"/>
    <mergeCell ref="K216:L216"/>
    <mergeCell ref="K219:L219"/>
    <mergeCell ref="K222:L222"/>
    <mergeCell ref="K225:L225"/>
    <mergeCell ref="K230:L230"/>
    <mergeCell ref="K235:L235"/>
    <mergeCell ref="K238:L238"/>
    <mergeCell ref="K242:L242"/>
    <mergeCell ref="K245:L245"/>
    <mergeCell ref="K248:L248"/>
    <mergeCell ref="K362:L362"/>
    <mergeCell ref="K363:L363"/>
    <mergeCell ref="K367:L367"/>
    <mergeCell ref="K291:L291"/>
    <mergeCell ref="K342:L342"/>
    <mergeCell ref="K358:L358"/>
    <mergeCell ref="K340:L340"/>
    <mergeCell ref="K353:L353"/>
    <mergeCell ref="K354:L354"/>
    <mergeCell ref="K357:L357"/>
    <mergeCell ref="K361:L361"/>
    <mergeCell ref="K366:L366"/>
    <mergeCell ref="K383:L383"/>
    <mergeCell ref="K429:L429"/>
    <mergeCell ref="K436:L436"/>
    <mergeCell ref="K440:L440"/>
    <mergeCell ref="AC4198:AD4198"/>
    <mergeCell ref="AF4198:AH4198"/>
    <mergeCell ref="AK4198:AL4198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187:AD4187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C4164:AD4164"/>
    <mergeCell ref="AF4164:AH4164"/>
    <mergeCell ref="AK4164:AL4164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32:AD4132"/>
    <mergeCell ref="AF4132:AH4132"/>
    <mergeCell ref="AK4132:AL4132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21:AD4121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66:AD4066"/>
    <mergeCell ref="AF4066:AH4066"/>
    <mergeCell ref="AK4066:AL4066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55:AD4055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F4027:AH4027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AC4042:AD4042"/>
    <mergeCell ref="AF4042:AH4042"/>
    <mergeCell ref="AK4042:AL4042"/>
    <mergeCell ref="AC4043:AD4043"/>
    <mergeCell ref="AF4043:AH4043"/>
    <mergeCell ref="AK4043:AL4043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31:AD4031"/>
    <mergeCell ref="AF4031:AH4031"/>
    <mergeCell ref="AK4031:AL4031"/>
    <mergeCell ref="AC4032:AD4032"/>
    <mergeCell ref="AF4032:AH4032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25:AD4025"/>
    <mergeCell ref="AF4025:AH4025"/>
    <mergeCell ref="AK4025:AL4025"/>
    <mergeCell ref="K2058:L2058"/>
    <mergeCell ref="K2062:L2062"/>
    <mergeCell ref="K2065:L2065"/>
    <mergeCell ref="K2066:L2066"/>
    <mergeCell ref="K2075:L2075"/>
    <mergeCell ref="K2076:L2076"/>
    <mergeCell ref="K2079:L2079"/>
    <mergeCell ref="K2082:L2082"/>
    <mergeCell ref="K2085:L2085"/>
    <mergeCell ref="K2091:L2091"/>
    <mergeCell ref="K2097:L2097"/>
    <mergeCell ref="K2100:L2100"/>
    <mergeCell ref="K2106:L2106"/>
    <mergeCell ref="K2112:L2112"/>
    <mergeCell ref="K2123:L2123"/>
    <mergeCell ref="K2107:L2107"/>
    <mergeCell ref="K2115:L2115"/>
    <mergeCell ref="K2118:L2118"/>
    <mergeCell ref="K2131:L2131"/>
    <mergeCell ref="K2124:L2124"/>
    <mergeCell ref="K2125:L2125"/>
    <mergeCell ref="K2191:L2191"/>
    <mergeCell ref="K2197:L2197"/>
    <mergeCell ref="K2198:L2198"/>
    <mergeCell ref="K2213:L2213"/>
    <mergeCell ref="K2224:L2224"/>
    <mergeCell ref="K2228:L2228"/>
    <mergeCell ref="K2141:L2141"/>
    <mergeCell ref="K2199:L2199"/>
    <mergeCell ref="K2586:L2586"/>
    <mergeCell ref="K2587:L2587"/>
    <mergeCell ref="K2588:L2588"/>
    <mergeCell ref="K2592:L2592"/>
    <mergeCell ref="K1005:L1005"/>
    <mergeCell ref="K1006:L1006"/>
    <mergeCell ref="K1009:L1009"/>
    <mergeCell ref="K1012:L1012"/>
    <mergeCell ref="K1013:L1013"/>
    <mergeCell ref="K1018:L1018"/>
    <mergeCell ref="K1019:L1019"/>
    <mergeCell ref="K1028:L1028"/>
    <mergeCell ref="K1029:L1029"/>
    <mergeCell ref="K1032:L1032"/>
    <mergeCell ref="K1033:L1033"/>
    <mergeCell ref="K1421:L1421"/>
    <mergeCell ref="K1432:L1432"/>
    <mergeCell ref="K1347:L1347"/>
    <mergeCell ref="K967:L967"/>
    <mergeCell ref="K968:L968"/>
    <mergeCell ref="K1050:L1050"/>
    <mergeCell ref="K1054:L1054"/>
    <mergeCell ref="K1079:L1079"/>
    <mergeCell ref="K1082:L1082"/>
    <mergeCell ref="K1083:L1083"/>
    <mergeCell ref="K1086:L1086"/>
    <mergeCell ref="K1186:L1186"/>
    <mergeCell ref="K1231:L1231"/>
    <mergeCell ref="K1235:L1235"/>
    <mergeCell ref="K1262:L1262"/>
    <mergeCell ref="K1190:L1190"/>
    <mergeCell ref="K1191:L1191"/>
    <mergeCell ref="K1193:L1193"/>
    <mergeCell ref="K1194:L1194"/>
    <mergeCell ref="K1410:L1410"/>
    <mergeCell ref="K1411:L1411"/>
    <mergeCell ref="K1422:L1422"/>
    <mergeCell ref="K1315:L1315"/>
    <mergeCell ref="K1318:L1318"/>
    <mergeCell ref="K1319:L1319"/>
    <mergeCell ref="K1322:L1322"/>
    <mergeCell ref="K1323:L1323"/>
    <mergeCell ref="K1326:L1326"/>
    <mergeCell ref="K1329:L1329"/>
    <mergeCell ref="K1333:L1333"/>
    <mergeCell ref="K1336:L1336"/>
    <mergeCell ref="K1339:L1339"/>
    <mergeCell ref="K1340:L1340"/>
    <mergeCell ref="K1341:L1341"/>
    <mergeCell ref="K1345:L1345"/>
    <mergeCell ref="K1351:L1351"/>
    <mergeCell ref="K1354:L1354"/>
    <mergeCell ref="K1357:L1357"/>
    <mergeCell ref="K1361:L1361"/>
    <mergeCell ref="K1364:L1364"/>
    <mergeCell ref="K1367:L1367"/>
    <mergeCell ref="K1370:L1370"/>
    <mergeCell ref="K1371:L1371"/>
    <mergeCell ref="K1373:L1373"/>
    <mergeCell ref="K1378:L1378"/>
    <mergeCell ref="K1429:L1429"/>
    <mergeCell ref="K1430:L1430"/>
    <mergeCell ref="K1078:L1078"/>
    <mergeCell ref="AC3032:AD3032"/>
    <mergeCell ref="AF3032:AH3032"/>
    <mergeCell ref="AK3032:AL3032"/>
    <mergeCell ref="AC3033:AD3033"/>
    <mergeCell ref="AF3033:AH3033"/>
    <mergeCell ref="AK3033:AL3033"/>
    <mergeCell ref="AK2017:AL2017"/>
    <mergeCell ref="AK2018:AL2018"/>
    <mergeCell ref="AK2019:AL2019"/>
    <mergeCell ref="AK2020:AL2020"/>
    <mergeCell ref="AK2021:AL2021"/>
    <mergeCell ref="AK2022:AL2022"/>
    <mergeCell ref="AK2023:AL2023"/>
    <mergeCell ref="AC3023:AD3023"/>
    <mergeCell ref="AK3022:AL3022"/>
    <mergeCell ref="AK3023:AL3023"/>
    <mergeCell ref="AK3024:AL3024"/>
    <mergeCell ref="AK3025:AL3025"/>
    <mergeCell ref="AK3026:AL3026"/>
    <mergeCell ref="AK3027:AL3027"/>
    <mergeCell ref="AK3028:AL3028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K802:L802"/>
    <mergeCell ref="K822:L822"/>
    <mergeCell ref="K831:L831"/>
    <mergeCell ref="K815:L815"/>
    <mergeCell ref="K1388:L1388"/>
    <mergeCell ref="K816:L816"/>
    <mergeCell ref="K817:L817"/>
    <mergeCell ref="K863:L863"/>
    <mergeCell ref="K872:L872"/>
    <mergeCell ref="K873:L873"/>
    <mergeCell ref="K1195:L1195"/>
    <mergeCell ref="K1199:L1199"/>
    <mergeCell ref="K1204:L1204"/>
    <mergeCell ref="K1205:L1205"/>
    <mergeCell ref="K1207:L1207"/>
    <mergeCell ref="K1211:L1211"/>
    <mergeCell ref="K1212:L1212"/>
    <mergeCell ref="K1215:L1215"/>
    <mergeCell ref="K1226:L1226"/>
    <mergeCell ref="K1342:L1342"/>
    <mergeCell ref="K821:L821"/>
    <mergeCell ref="K986:L986"/>
    <mergeCell ref="K995:L995"/>
    <mergeCell ref="K1023:L1023"/>
    <mergeCell ref="K895:L895"/>
    <mergeCell ref="K905:L905"/>
    <mergeCell ref="K1261:L1261"/>
    <mergeCell ref="K1266:L1266"/>
    <mergeCell ref="K1178:L1178"/>
    <mergeCell ref="K1182:L1182"/>
    <mergeCell ref="K828:L828"/>
    <mergeCell ref="K834:L834"/>
    <mergeCell ref="K837:L837"/>
    <mergeCell ref="K840:L840"/>
    <mergeCell ref="K843:L843"/>
    <mergeCell ref="K846:L846"/>
    <mergeCell ref="AK2028:AL2028"/>
    <mergeCell ref="AC2029:AD2029"/>
    <mergeCell ref="AC3016:AD3016"/>
    <mergeCell ref="AF3016:AH3016"/>
    <mergeCell ref="AC3017:AD3017"/>
    <mergeCell ref="AF3017:AH3017"/>
    <mergeCell ref="AC3018:AD3018"/>
    <mergeCell ref="AF3018:AH3018"/>
    <mergeCell ref="AC3019:AD3019"/>
    <mergeCell ref="AF3019:AH3019"/>
    <mergeCell ref="AK2015:AL2015"/>
    <mergeCell ref="AK2016:AL2016"/>
    <mergeCell ref="K826:L826"/>
    <mergeCell ref="K827:L827"/>
    <mergeCell ref="K829:L829"/>
    <mergeCell ref="K830:L830"/>
    <mergeCell ref="K762:L762"/>
    <mergeCell ref="K763:L763"/>
    <mergeCell ref="K766:L766"/>
    <mergeCell ref="K769:L769"/>
    <mergeCell ref="K785:L785"/>
    <mergeCell ref="K918:L918"/>
    <mergeCell ref="K956:L956"/>
    <mergeCell ref="K776:L776"/>
    <mergeCell ref="K1024:L1024"/>
    <mergeCell ref="K1020:L1020"/>
    <mergeCell ref="K977:L977"/>
    <mergeCell ref="K1014:L1014"/>
    <mergeCell ref="K1015:L1015"/>
    <mergeCell ref="K1021:L1021"/>
    <mergeCell ref="K1022:L1022"/>
    <mergeCell ref="K1025:L1025"/>
    <mergeCell ref="K865:L865"/>
    <mergeCell ref="K857:L857"/>
    <mergeCell ref="K856:L856"/>
    <mergeCell ref="K1161:L1161"/>
    <mergeCell ref="K1187:L1187"/>
    <mergeCell ref="K1188:L1188"/>
    <mergeCell ref="K1189:L1189"/>
    <mergeCell ref="K1213:L1213"/>
    <mergeCell ref="K1214:L1214"/>
    <mergeCell ref="K1230:L1230"/>
    <mergeCell ref="K1232:L1232"/>
    <mergeCell ref="K1233:L1233"/>
    <mergeCell ref="K795:L795"/>
    <mergeCell ref="K798:L798"/>
    <mergeCell ref="K805:L805"/>
    <mergeCell ref="K808:L808"/>
    <mergeCell ref="K811:L811"/>
    <mergeCell ref="K814:L814"/>
    <mergeCell ref="K820:L820"/>
    <mergeCell ref="K825:L825"/>
    <mergeCell ref="K868:L868"/>
    <mergeCell ref="K871:L871"/>
    <mergeCell ref="K876:L876"/>
    <mergeCell ref="K879:L879"/>
    <mergeCell ref="K882:L882"/>
    <mergeCell ref="K886:L886"/>
    <mergeCell ref="K891:L891"/>
    <mergeCell ref="K893:L893"/>
    <mergeCell ref="K898:L898"/>
    <mergeCell ref="K985:L985"/>
    <mergeCell ref="K989:L989"/>
    <mergeCell ref="K990:L990"/>
    <mergeCell ref="K384:L384"/>
    <mergeCell ref="K386:L386"/>
    <mergeCell ref="K395:L395"/>
    <mergeCell ref="K398:L398"/>
    <mergeCell ref="K401:L401"/>
    <mergeCell ref="K406:L406"/>
    <mergeCell ref="K409:L409"/>
    <mergeCell ref="K412:L412"/>
    <mergeCell ref="K43:L43"/>
    <mergeCell ref="K50:L50"/>
    <mergeCell ref="K56:L56"/>
    <mergeCell ref="K62:L62"/>
    <mergeCell ref="K65:L65"/>
    <mergeCell ref="K68:L68"/>
    <mergeCell ref="K1525:L1525"/>
    <mergeCell ref="K1270:L1270"/>
    <mergeCell ref="K1556:L1556"/>
    <mergeCell ref="K114:L114"/>
    <mergeCell ref="G2:H2"/>
    <mergeCell ref="D2:F2"/>
    <mergeCell ref="I2:L2"/>
    <mergeCell ref="K5:L5"/>
    <mergeCell ref="D5:F5"/>
    <mergeCell ref="L9:M9"/>
    <mergeCell ref="I9:J9"/>
    <mergeCell ref="B10:D10"/>
    <mergeCell ref="A5:B5"/>
    <mergeCell ref="A7:M7"/>
    <mergeCell ref="H3:J3"/>
    <mergeCell ref="K4:L4"/>
    <mergeCell ref="K3:L3"/>
    <mergeCell ref="J8:L8"/>
    <mergeCell ref="A4:B4"/>
    <mergeCell ref="K15:L15"/>
    <mergeCell ref="K18:L18"/>
    <mergeCell ref="K19:L19"/>
    <mergeCell ref="K20:L20"/>
    <mergeCell ref="K23:L23"/>
    <mergeCell ref="K26:L26"/>
    <mergeCell ref="K36:L36"/>
    <mergeCell ref="K40:L40"/>
    <mergeCell ref="K29:L29"/>
    <mergeCell ref="K32:L32"/>
    <mergeCell ref="A11:B13"/>
    <mergeCell ref="K33:L33"/>
    <mergeCell ref="K37:L37"/>
    <mergeCell ref="K892:L892"/>
    <mergeCell ref="K955:L955"/>
    <mergeCell ref="K744:L744"/>
    <mergeCell ref="K736:L736"/>
    <mergeCell ref="K754:L754"/>
    <mergeCell ref="K862:L862"/>
    <mergeCell ref="K864:L864"/>
    <mergeCell ref="K971:L971"/>
    <mergeCell ref="K972:L972"/>
    <mergeCell ref="K981:L981"/>
    <mergeCell ref="K1380:L1380"/>
    <mergeCell ref="K1093:L1093"/>
    <mergeCell ref="K1094:L1094"/>
    <mergeCell ref="K993:L993"/>
    <mergeCell ref="K994:L994"/>
    <mergeCell ref="K998:L998"/>
    <mergeCell ref="K999:L999"/>
    <mergeCell ref="K1002:L1002"/>
    <mergeCell ref="BD2:BF2"/>
    <mergeCell ref="BE3:BF3"/>
    <mergeCell ref="AW4:BE4"/>
    <mergeCell ref="AL3:AS3"/>
    <mergeCell ref="AW2:BA2"/>
    <mergeCell ref="AL9:AN9"/>
    <mergeCell ref="AL4:AT4"/>
    <mergeCell ref="AL8:AN8"/>
    <mergeCell ref="AL5:AT5"/>
    <mergeCell ref="AQ6:AT6"/>
    <mergeCell ref="AC2:AE2"/>
    <mergeCell ref="AC4:AE4"/>
    <mergeCell ref="AC5:AE5"/>
    <mergeCell ref="AK13:AL13"/>
    <mergeCell ref="AK12:AL12"/>
    <mergeCell ref="N7:Y7"/>
    <mergeCell ref="AK14:AL14"/>
    <mergeCell ref="AC14:AD14"/>
    <mergeCell ref="AF14:AH14"/>
    <mergeCell ref="Z11:AD11"/>
    <mergeCell ref="AE11:AH11"/>
    <mergeCell ref="Z12:AD12"/>
    <mergeCell ref="AF12:AH13"/>
    <mergeCell ref="AK3015:AL3015"/>
    <mergeCell ref="AK3016:AL3016"/>
    <mergeCell ref="AK3017:AL3017"/>
    <mergeCell ref="AK3018:AL3018"/>
    <mergeCell ref="AK3019:AL3019"/>
    <mergeCell ref="AC3015:AD3015"/>
    <mergeCell ref="AF3015:AH3015"/>
    <mergeCell ref="N9:R9"/>
    <mergeCell ref="S9:Y9"/>
    <mergeCell ref="Z6:AC6"/>
    <mergeCell ref="Z7:AH7"/>
    <mergeCell ref="AF6:AH6"/>
    <mergeCell ref="AC8:AH8"/>
    <mergeCell ref="N8:AA8"/>
    <mergeCell ref="AC3:AE3"/>
    <mergeCell ref="AF9:AH9"/>
    <mergeCell ref="AC13:AD13"/>
    <mergeCell ref="AF1034:AH1034"/>
    <mergeCell ref="AC2016:AD2016"/>
    <mergeCell ref="AF2016:AH2016"/>
    <mergeCell ref="AC2017:AD2017"/>
    <mergeCell ref="AF2017:AH2017"/>
    <mergeCell ref="AC2018:AD2018"/>
    <mergeCell ref="AF2018:AH2018"/>
    <mergeCell ref="AC2019:AD2019"/>
    <mergeCell ref="AF2019:AH2019"/>
    <mergeCell ref="AC2020:AD2020"/>
    <mergeCell ref="AF2020:AH2020"/>
    <mergeCell ref="AC2021:AD2021"/>
    <mergeCell ref="AF2021:AH2021"/>
    <mergeCell ref="AC2022:AD2022"/>
    <mergeCell ref="AF2022:AH2022"/>
    <mergeCell ref="AC2023:AD2023"/>
    <mergeCell ref="AF2023:AH2023"/>
    <mergeCell ref="AC2024:AD2024"/>
    <mergeCell ref="AF2024:AH2024"/>
    <mergeCell ref="AC2025:AD2025"/>
    <mergeCell ref="AF2025:AH2025"/>
    <mergeCell ref="AK2027:AL2027"/>
    <mergeCell ref="AC2028:AD2028"/>
    <mergeCell ref="AF2028:AH2028"/>
    <mergeCell ref="AN4235:AP4235"/>
    <mergeCell ref="Z4221:AE4221"/>
    <mergeCell ref="AK4234:AL4234"/>
    <mergeCell ref="AK4222:AL4222"/>
    <mergeCell ref="AA4225:AE4225"/>
    <mergeCell ref="Z4219:AF4219"/>
    <mergeCell ref="AC4215:AD4215"/>
    <mergeCell ref="AC4214:AD4214"/>
    <mergeCell ref="AF4214:AH4214"/>
    <mergeCell ref="AC4039:AD4039"/>
    <mergeCell ref="AF4039:AH4039"/>
    <mergeCell ref="AK4214:AL4214"/>
    <mergeCell ref="Z4218:AF4218"/>
    <mergeCell ref="N4229:W4229"/>
    <mergeCell ref="K4227:L4227"/>
    <mergeCell ref="I4217:M4217"/>
    <mergeCell ref="AF4215:AH4215"/>
    <mergeCell ref="K3378:L3378"/>
    <mergeCell ref="K3547:L3547"/>
    <mergeCell ref="K3550:L3550"/>
    <mergeCell ref="K3553:L3553"/>
    <mergeCell ref="K2268:L2268"/>
    <mergeCell ref="K2269:L2269"/>
    <mergeCell ref="AC2015:AD2015"/>
    <mergeCell ref="AF2015:AH2015"/>
    <mergeCell ref="AF2027:AH2027"/>
    <mergeCell ref="AK4218:AL4218"/>
    <mergeCell ref="AK4219:AL4219"/>
    <mergeCell ref="Z4216:AH4216"/>
    <mergeCell ref="AK4215:AL4215"/>
    <mergeCell ref="AC3034:AD3034"/>
    <mergeCell ref="AF3034:AH3034"/>
    <mergeCell ref="AC4015:AD4015"/>
    <mergeCell ref="AF4015:AH4015"/>
    <mergeCell ref="AC4027:AD4027"/>
    <mergeCell ref="N4216:W4218"/>
    <mergeCell ref="AC3022:AD3022"/>
    <mergeCell ref="AF3022:AH3022"/>
    <mergeCell ref="AC2026:AD2026"/>
    <mergeCell ref="AF2026:AH2026"/>
    <mergeCell ref="AC2027:AD2027"/>
    <mergeCell ref="AK3034:AL3034"/>
    <mergeCell ref="AF3023:AH3023"/>
    <mergeCell ref="AC3024:AD3024"/>
    <mergeCell ref="AF3024:AH3024"/>
    <mergeCell ref="AC3025:AD3025"/>
    <mergeCell ref="AF3025:AH3025"/>
    <mergeCell ref="AC3026:AD3026"/>
    <mergeCell ref="AF3026:AH3026"/>
    <mergeCell ref="AC3027:AD3027"/>
    <mergeCell ref="AF3027:AH3027"/>
    <mergeCell ref="AC3028:AD3028"/>
    <mergeCell ref="AF3028:AH3028"/>
    <mergeCell ref="AC3029:AD3029"/>
    <mergeCell ref="AF3029:AH3029"/>
    <mergeCell ref="AK3020:AL3020"/>
    <mergeCell ref="AK3021:AL3021"/>
    <mergeCell ref="AC3020:AD3020"/>
    <mergeCell ref="AF3020:AH3020"/>
    <mergeCell ref="AC3021:AD3021"/>
    <mergeCell ref="AF3021:AH3021"/>
    <mergeCell ref="AK2024:AL2024"/>
    <mergeCell ref="AK2025:AL2025"/>
    <mergeCell ref="AK2026:AL2026"/>
    <mergeCell ref="AK4220:AL4220"/>
    <mergeCell ref="AK4225:AL4225"/>
    <mergeCell ref="AK4226:AL4226"/>
    <mergeCell ref="AK4233:AL4233"/>
    <mergeCell ref="Z4289:AI4289"/>
    <mergeCell ref="Z4282:AI4282"/>
    <mergeCell ref="Z4285:AI4285"/>
    <mergeCell ref="Z4281:AI4281"/>
    <mergeCell ref="Z4275:AI4275"/>
    <mergeCell ref="AE4233:AF4233"/>
    <mergeCell ref="Z4269:AI4269"/>
    <mergeCell ref="Z4265:AI4265"/>
    <mergeCell ref="Z4250:AI4250"/>
    <mergeCell ref="Z4249:AI4249"/>
    <mergeCell ref="Z4240:AI4240"/>
    <mergeCell ref="Z4257:AI4257"/>
    <mergeCell ref="Z4287:AI4287"/>
    <mergeCell ref="AB4229:AG4229"/>
    <mergeCell ref="Z4258:AI4258"/>
    <mergeCell ref="AK4229:AL4229"/>
    <mergeCell ref="AK4223:AL4223"/>
    <mergeCell ref="AK4224:AL4224"/>
    <mergeCell ref="AK4221:AL4221"/>
    <mergeCell ref="AD4280:AH4280"/>
    <mergeCell ref="AH4239:AI4239"/>
    <mergeCell ref="AK4236:AL4236"/>
    <mergeCell ref="AK4230:AL4230"/>
    <mergeCell ref="Z4260:AI4260"/>
    <mergeCell ref="Z4252:AI4252"/>
    <mergeCell ref="AA4227:AD4227"/>
    <mergeCell ref="Z4283:AI4283"/>
    <mergeCell ref="Z4254:AI4254"/>
    <mergeCell ref="Z4251:AI4251"/>
    <mergeCell ref="AB4230:AG4230"/>
    <mergeCell ref="Z4242:AF4242"/>
    <mergeCell ref="Z4255:AI4255"/>
    <mergeCell ref="Z4259:AI4259"/>
    <mergeCell ref="Z4272:AI4272"/>
    <mergeCell ref="Z4288:AI4288"/>
    <mergeCell ref="AK4228:AL4228"/>
    <mergeCell ref="AK4231:AL4231"/>
    <mergeCell ref="AK4232:AL4232"/>
    <mergeCell ref="Z4246:AI4246"/>
    <mergeCell ref="AK4227:AL4227"/>
    <mergeCell ref="Z4264:AI4264"/>
    <mergeCell ref="Z4274:AI4274"/>
    <mergeCell ref="B4219:D4219"/>
    <mergeCell ref="A4217:D4217"/>
    <mergeCell ref="K4224:L4224"/>
    <mergeCell ref="K4219:L4219"/>
    <mergeCell ref="K4221:L4221"/>
    <mergeCell ref="K1764:L1764"/>
    <mergeCell ref="K1729:L1729"/>
    <mergeCell ref="K1777:L1777"/>
    <mergeCell ref="K1783:L1783"/>
    <mergeCell ref="K1784:L1784"/>
    <mergeCell ref="K1789:L1789"/>
    <mergeCell ref="K1773:L1773"/>
    <mergeCell ref="K1799:L1799"/>
    <mergeCell ref="K1810:L1810"/>
    <mergeCell ref="K1821:L1821"/>
    <mergeCell ref="K1827:L1827"/>
    <mergeCell ref="K1828:L1828"/>
    <mergeCell ref="K1835:L1835"/>
    <mergeCell ref="K1836:L1836"/>
    <mergeCell ref="K3282:L3282"/>
    <mergeCell ref="K3287:L3287"/>
    <mergeCell ref="K3289:L3289"/>
    <mergeCell ref="K3335:L3335"/>
    <mergeCell ref="K3336:L3336"/>
    <mergeCell ref="K3339:L3339"/>
    <mergeCell ref="K3342:L3342"/>
    <mergeCell ref="K3235:L3235"/>
    <mergeCell ref="K3236:L3236"/>
    <mergeCell ref="K3239:L3239"/>
    <mergeCell ref="K3241:L3241"/>
    <mergeCell ref="K1996:L1996"/>
    <mergeCell ref="K1999:L1999"/>
    <mergeCell ref="K2002:L2002"/>
    <mergeCell ref="K2005:L2005"/>
    <mergeCell ref="K2008:L2008"/>
    <mergeCell ref="K2011:L2011"/>
    <mergeCell ref="K2014:L2014"/>
    <mergeCell ref="K2017:L2017"/>
    <mergeCell ref="K2020:L2020"/>
    <mergeCell ref="K2027:L2027"/>
    <mergeCell ref="K2041:L2041"/>
    <mergeCell ref="K2045:L2045"/>
    <mergeCell ref="K2046:L2046"/>
    <mergeCell ref="K2052:L2052"/>
    <mergeCell ref="K2055:L2055"/>
    <mergeCell ref="K2067:L2067"/>
    <mergeCell ref="K2068:L2068"/>
    <mergeCell ref="K2054:L2054"/>
    <mergeCell ref="K2056:L2056"/>
    <mergeCell ref="K2057:L2057"/>
    <mergeCell ref="K1779:L1779"/>
    <mergeCell ref="K1782:L1782"/>
    <mergeCell ref="K1787:L1787"/>
    <mergeCell ref="K1853:L1853"/>
    <mergeCell ref="K2598:L2598"/>
    <mergeCell ref="K2601:L2601"/>
    <mergeCell ref="K2604:L2604"/>
    <mergeCell ref="K2608:L2608"/>
    <mergeCell ref="K2377:L2377"/>
    <mergeCell ref="K2378:L2378"/>
    <mergeCell ref="K2405:L2405"/>
    <mergeCell ref="K2435:L2435"/>
    <mergeCell ref="K2444:L2444"/>
    <mergeCell ref="K2345:L2345"/>
    <mergeCell ref="B4240:I4240"/>
    <mergeCell ref="A4236:B4236"/>
    <mergeCell ref="E4220:G4220"/>
    <mergeCell ref="F4248:H4248"/>
    <mergeCell ref="B4268:I4268"/>
    <mergeCell ref="B4274:I4274"/>
    <mergeCell ref="B4280:I4280"/>
    <mergeCell ref="F4226:G4226"/>
    <mergeCell ref="F4225:G4225"/>
    <mergeCell ref="F4247:H4247"/>
    <mergeCell ref="B4220:D4220"/>
    <mergeCell ref="Z4247:AI4247"/>
    <mergeCell ref="Z4268:AI4268"/>
    <mergeCell ref="H4226:J4226"/>
    <mergeCell ref="B4221:D4221"/>
    <mergeCell ref="Z4279:AI4279"/>
    <mergeCell ref="Z4277:AI4277"/>
    <mergeCell ref="Z4276:AI4276"/>
    <mergeCell ref="Z4286:AI4286"/>
    <mergeCell ref="Z4284:AI4284"/>
    <mergeCell ref="Z4253:AI4253"/>
    <mergeCell ref="Z4271:AI4271"/>
    <mergeCell ref="N4232:W4232"/>
    <mergeCell ref="R4290:S4290"/>
    <mergeCell ref="Z4248:AI4248"/>
    <mergeCell ref="AA4224:AD4224"/>
    <mergeCell ref="Z4266:AI4266"/>
    <mergeCell ref="Z4263:AI4263"/>
    <mergeCell ref="Z4270:AI4270"/>
    <mergeCell ref="Z4220:AE4220"/>
    <mergeCell ref="Z4223:AE4223"/>
    <mergeCell ref="AD4238:AH4238"/>
    <mergeCell ref="Z4222:AD4222"/>
    <mergeCell ref="Z4235:AE4235"/>
    <mergeCell ref="Z4228:AE4228"/>
    <mergeCell ref="Z4267:AI4267"/>
    <mergeCell ref="Z4278:AI4278"/>
    <mergeCell ref="K4246:N4249"/>
    <mergeCell ref="K4220:L4220"/>
    <mergeCell ref="K4226:L4226"/>
    <mergeCell ref="K4225:L4225"/>
    <mergeCell ref="K4279:L4279"/>
    <mergeCell ref="K4239:L4239"/>
    <mergeCell ref="K4223:L4223"/>
    <mergeCell ref="A4222:C4222"/>
    <mergeCell ref="D4227:E4227"/>
    <mergeCell ref="G4227:J4227"/>
    <mergeCell ref="AG4242:AI4242"/>
    <mergeCell ref="Z4226:AE4226"/>
    <mergeCell ref="Z4290:AI4290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Z4262:AI4262"/>
    <mergeCell ref="K4257:N4259"/>
    <mergeCell ref="N4230:W4230"/>
    <mergeCell ref="N4231:W4231"/>
    <mergeCell ref="N4220:W4227"/>
    <mergeCell ref="K4228:L4228"/>
    <mergeCell ref="Z4256:AI4256"/>
    <mergeCell ref="Z4241:AI4241"/>
    <mergeCell ref="AE4232:AF4232"/>
    <mergeCell ref="Z4273:AI4273"/>
    <mergeCell ref="Z4261:AI4261"/>
    <mergeCell ref="AG4243:AH4243"/>
    <mergeCell ref="K3958:L3958"/>
    <mergeCell ref="K3785:L3785"/>
    <mergeCell ref="K3797:L3797"/>
    <mergeCell ref="K3805:L3805"/>
    <mergeCell ref="K3812:L3812"/>
    <mergeCell ref="K3894:L3894"/>
    <mergeCell ref="K3906:L3906"/>
    <mergeCell ref="K3921:L3921"/>
    <mergeCell ref="K3888:L3888"/>
    <mergeCell ref="K3267:L3267"/>
    <mergeCell ref="K3271:L3271"/>
    <mergeCell ref="K3274:L3274"/>
    <mergeCell ref="K3202:L3202"/>
    <mergeCell ref="K3270:L3270"/>
    <mergeCell ref="K3864:L3864"/>
    <mergeCell ref="K3791:L3791"/>
    <mergeCell ref="K3840:L3840"/>
    <mergeCell ref="K3815:L3815"/>
    <mergeCell ref="K3593:L3593"/>
    <mergeCell ref="K3750:L3750"/>
    <mergeCell ref="K3277:L3277"/>
    <mergeCell ref="AC4026:AD4026"/>
    <mergeCell ref="AF4026:AH4026"/>
    <mergeCell ref="AK4026:AL4026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K4235:AL4235"/>
    <mergeCell ref="AK4238:AL4238"/>
    <mergeCell ref="AC3035:AD3035"/>
    <mergeCell ref="AF3035:AH3035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C3039:AD3039"/>
    <mergeCell ref="AF3039:AH3039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C3044:AD3044"/>
    <mergeCell ref="AF3044:AH3044"/>
    <mergeCell ref="AK3044:AL3044"/>
    <mergeCell ref="AC3045:AD3045"/>
    <mergeCell ref="AF3045:AH3045"/>
    <mergeCell ref="AK3045:AL3045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4002:AD4002"/>
    <mergeCell ref="AF4002:AH4002"/>
    <mergeCell ref="AK4002:AL4002"/>
    <mergeCell ref="AC4014:AD4014"/>
    <mergeCell ref="AF4014:AH4014"/>
    <mergeCell ref="AK4014:AL4014"/>
    <mergeCell ref="AC4003:AD4003"/>
    <mergeCell ref="AF4003:AH4003"/>
    <mergeCell ref="AK4003:AL4003"/>
    <mergeCell ref="AC4004:AD4004"/>
    <mergeCell ref="AF4004:AH4004"/>
    <mergeCell ref="AK4004:AL4004"/>
    <mergeCell ref="AC4005:AD4005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F4008:AH4008"/>
    <mergeCell ref="AK4008:AL4008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01:AD4001"/>
    <mergeCell ref="AF4001:AH4001"/>
    <mergeCell ref="AK4001:AL4001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K1929:L1929"/>
    <mergeCell ref="K1913:L1913"/>
    <mergeCell ref="K1916:L1916"/>
    <mergeCell ref="K1919:L1919"/>
    <mergeCell ref="K1922:L1922"/>
    <mergeCell ref="K1932:L1932"/>
    <mergeCell ref="K1935:L1935"/>
    <mergeCell ref="K1938:L1938"/>
    <mergeCell ref="K1949:L1949"/>
    <mergeCell ref="K1952:L1952"/>
    <mergeCell ref="K1863:L1863"/>
    <mergeCell ref="K1866:L1866"/>
    <mergeCell ref="K1869:L1869"/>
    <mergeCell ref="K1221:L1221"/>
    <mergeCell ref="K1225:L1225"/>
    <mergeCell ref="K1229:L1229"/>
    <mergeCell ref="K1234:L1234"/>
    <mergeCell ref="K169:L169"/>
    <mergeCell ref="K170:L170"/>
    <mergeCell ref="K171:L171"/>
    <mergeCell ref="K172:L172"/>
    <mergeCell ref="K173:L173"/>
    <mergeCell ref="K70:L70"/>
    <mergeCell ref="K143:L143"/>
    <mergeCell ref="K77:L77"/>
    <mergeCell ref="K85:L85"/>
    <mergeCell ref="K107:L107"/>
    <mergeCell ref="K116:L116"/>
    <mergeCell ref="K131:L131"/>
    <mergeCell ref="K135:L135"/>
    <mergeCell ref="K144:L144"/>
    <mergeCell ref="K155:L155"/>
    <mergeCell ref="K145:L145"/>
    <mergeCell ref="K146:L146"/>
    <mergeCell ref="K149:L149"/>
    <mergeCell ref="K152:L152"/>
    <mergeCell ref="K156:L156"/>
    <mergeCell ref="K157:L157"/>
    <mergeCell ref="K160:L160"/>
    <mergeCell ref="K163:L163"/>
    <mergeCell ref="K166:L166"/>
    <mergeCell ref="K1220:L1220"/>
    <mergeCell ref="K1222:L1222"/>
    <mergeCell ref="K1320:L1320"/>
    <mergeCell ref="K1395:L1395"/>
    <mergeCell ref="K1400:L1400"/>
    <mergeCell ref="K1412:L1412"/>
    <mergeCell ref="K1330:L1330"/>
    <mergeCell ref="K1374:L1374"/>
    <mergeCell ref="K747:L747"/>
    <mergeCell ref="K761:L761"/>
    <mergeCell ref="K760:L760"/>
    <mergeCell ref="K758:L758"/>
    <mergeCell ref="K861:L861"/>
    <mergeCell ref="K947:L947"/>
    <mergeCell ref="K973:L973"/>
    <mergeCell ref="K978:L978"/>
    <mergeCell ref="K1046:L1046"/>
    <mergeCell ref="K1034:L1034"/>
    <mergeCell ref="K1435:L1435"/>
    <mergeCell ref="K1468:L1468"/>
    <mergeCell ref="K883:L883"/>
    <mergeCell ref="K887:L887"/>
    <mergeCell ref="K894:L894"/>
    <mergeCell ref="K2618:L2618"/>
    <mergeCell ref="K2643:L2643"/>
    <mergeCell ref="K2646:L2646"/>
    <mergeCell ref="K2659:L2659"/>
    <mergeCell ref="K2660:L2660"/>
    <mergeCell ref="K2612:L2612"/>
    <mergeCell ref="K2615:L2615"/>
    <mergeCell ref="K2619:L2619"/>
    <mergeCell ref="K2622:L2622"/>
    <mergeCell ref="K2625:L2625"/>
    <mergeCell ref="K2626:L2626"/>
    <mergeCell ref="K2629:L2629"/>
    <mergeCell ref="K2632:L2632"/>
    <mergeCell ref="K2035:L2035"/>
    <mergeCell ref="K2038:L2038"/>
    <mergeCell ref="K2053:L2053"/>
    <mergeCell ref="K2071:L2071"/>
    <mergeCell ref="K2074:L2074"/>
    <mergeCell ref="K2080:L2080"/>
    <mergeCell ref="K2081:L2081"/>
    <mergeCell ref="K2088:L2088"/>
    <mergeCell ref="K2092:L2092"/>
    <mergeCell ref="K2093:L2093"/>
    <mergeCell ref="K2096:L2096"/>
    <mergeCell ref="K2103:L2103"/>
    <mergeCell ref="K2110:L2110"/>
    <mergeCell ref="K2111:L2111"/>
    <mergeCell ref="K2113:L2113"/>
    <mergeCell ref="K1788:L1788"/>
    <mergeCell ref="K1792:L1792"/>
    <mergeCell ref="K1793:L1793"/>
    <mergeCell ref="K1802:L1802"/>
    <mergeCell ref="K1804:L1804"/>
    <mergeCell ref="K1807:L1807"/>
    <mergeCell ref="K1813:L1813"/>
    <mergeCell ref="K1815:L1815"/>
    <mergeCell ref="K1816:L1816"/>
    <mergeCell ref="K1819:L1819"/>
    <mergeCell ref="K1824:L1824"/>
    <mergeCell ref="K1829:L1829"/>
    <mergeCell ref="K1830:L1830"/>
    <mergeCell ref="K1840:L1840"/>
    <mergeCell ref="K1846:L1846"/>
    <mergeCell ref="K1849:L1849"/>
    <mergeCell ref="K1852:L1852"/>
    <mergeCell ref="K1854:L1854"/>
    <mergeCell ref="K1857:L1857"/>
    <mergeCell ref="K2047:L2047"/>
    <mergeCell ref="K2050:L2050"/>
    <mergeCell ref="K2051:L2051"/>
    <mergeCell ref="K2061:L2061"/>
    <mergeCell ref="K1906:L1906"/>
    <mergeCell ref="K1910:L1910"/>
    <mergeCell ref="K1945:L1945"/>
    <mergeCell ref="K1946:L1946"/>
    <mergeCell ref="K1971:L1971"/>
    <mergeCell ref="K1814:L1814"/>
    <mergeCell ref="K1820:L1820"/>
    <mergeCell ref="K1837:L1837"/>
    <mergeCell ref="K1831:L1831"/>
    <mergeCell ref="K1834:L1834"/>
    <mergeCell ref="K1888:L1888"/>
    <mergeCell ref="K1898:L1898"/>
    <mergeCell ref="K1926:L1926"/>
    <mergeCell ref="K3437:L3437"/>
    <mergeCell ref="K3393:L3393"/>
    <mergeCell ref="K3409:L3409"/>
    <mergeCell ref="K3408:L3408"/>
    <mergeCell ref="K3413:L3413"/>
    <mergeCell ref="K3431:L3431"/>
    <mergeCell ref="K3528:L3528"/>
    <mergeCell ref="K3529:L3529"/>
    <mergeCell ref="K3531:L3531"/>
    <mergeCell ref="K3532:L3532"/>
    <mergeCell ref="K3440:L3440"/>
    <mergeCell ref="K3443:L3443"/>
    <mergeCell ref="K3432:L3432"/>
    <mergeCell ref="K3435:L3435"/>
    <mergeCell ref="K3436:L3436"/>
    <mergeCell ref="K3384:L3384"/>
    <mergeCell ref="K3389:L3389"/>
    <mergeCell ref="K3390:L3390"/>
    <mergeCell ref="K3403:L3403"/>
    <mergeCell ref="K3483:L3483"/>
    <mergeCell ref="K3486:L3486"/>
    <mergeCell ref="K3489:L3489"/>
    <mergeCell ref="K3501:L3501"/>
    <mergeCell ref="K3508:L3508"/>
    <mergeCell ref="K1872:L1872"/>
    <mergeCell ref="K1875:L1875"/>
    <mergeCell ref="K1878:L1878"/>
    <mergeCell ref="K1879:L1879"/>
    <mergeCell ref="K1880:L1880"/>
    <mergeCell ref="K1881:L1881"/>
    <mergeCell ref="K1882:L1882"/>
    <mergeCell ref="K1883:L1883"/>
    <mergeCell ref="K1891:L1891"/>
    <mergeCell ref="K1899:L1899"/>
    <mergeCell ref="K1903:L1903"/>
    <mergeCell ref="K1886:L1886"/>
    <mergeCell ref="K1887:L1887"/>
    <mergeCell ref="K2033:L2033"/>
    <mergeCell ref="K2034:L2034"/>
    <mergeCell ref="K3426:L3426"/>
    <mergeCell ref="K3427:L3427"/>
    <mergeCell ref="K3430:L3430"/>
    <mergeCell ref="K3438:L3438"/>
    <mergeCell ref="K3439:L3439"/>
    <mergeCell ref="K3446:L3446"/>
    <mergeCell ref="K3449:L3449"/>
    <mergeCell ref="K3452:L3452"/>
    <mergeCell ref="K3455:L3455"/>
    <mergeCell ref="K3458:L3458"/>
    <mergeCell ref="K2457:L2457"/>
    <mergeCell ref="K2458:L2458"/>
    <mergeCell ref="K2459:L2459"/>
    <mergeCell ref="K2460:L2460"/>
    <mergeCell ref="K2462:L2462"/>
    <mergeCell ref="K2483:L2483"/>
    <mergeCell ref="K2484:L2484"/>
    <mergeCell ref="K2493:L2493"/>
    <mergeCell ref="K2494:L2494"/>
    <mergeCell ref="K2517:L2517"/>
    <mergeCell ref="K2518:L2518"/>
    <mergeCell ref="K2531:L2531"/>
    <mergeCell ref="K2533:L2533"/>
    <mergeCell ref="K2534:L2534"/>
    <mergeCell ref="K2546:L2546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K2585:L2585"/>
    <mergeCell ref="K2594:L2594"/>
    <mergeCell ref="K2596:L2596"/>
    <mergeCell ref="K2597:L2597"/>
    <mergeCell ref="K2607:L2607"/>
    <mergeCell ref="K2611:L2611"/>
    <mergeCell ref="K2522:L2522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K2549:L2549"/>
    <mergeCell ref="K2555:L2555"/>
    <mergeCell ref="K2563:L2563"/>
    <mergeCell ref="K2564:L2564"/>
    <mergeCell ref="K2580:L2580"/>
    <mergeCell ref="K2581:L2581"/>
    <mergeCell ref="K2461:L2461"/>
    <mergeCell ref="K2569:L2569"/>
    <mergeCell ref="K2578:L2578"/>
    <mergeCell ref="K2583:L2583"/>
    <mergeCell ref="K2584:L2584"/>
    <mergeCell ref="K2114:L2114"/>
    <mergeCell ref="K2121:L2121"/>
    <mergeCell ref="K2122:L2122"/>
    <mergeCell ref="K2129:L21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AC3008:AD3008"/>
    <mergeCell ref="AF3008:AH3008"/>
    <mergeCell ref="AK3008:AL3008"/>
    <mergeCell ref="K44:L44"/>
    <mergeCell ref="K45:L45"/>
    <mergeCell ref="K46:L46"/>
    <mergeCell ref="K71:L71"/>
    <mergeCell ref="K72:L72"/>
    <mergeCell ref="K75:L75"/>
    <mergeCell ref="K76:L76"/>
    <mergeCell ref="K78:L78"/>
    <mergeCell ref="K81:L81"/>
    <mergeCell ref="K84:L84"/>
    <mergeCell ref="K86:L86"/>
    <mergeCell ref="K89:L89"/>
    <mergeCell ref="K92:L92"/>
    <mergeCell ref="K95:L95"/>
    <mergeCell ref="K98:L98"/>
    <mergeCell ref="K101:L101"/>
    <mergeCell ref="K102:L102"/>
    <mergeCell ref="K103:L103"/>
    <mergeCell ref="K104:L104"/>
    <mergeCell ref="K105:L105"/>
    <mergeCell ref="K106:L106"/>
    <mergeCell ref="K108:L108"/>
    <mergeCell ref="K111:L111"/>
    <mergeCell ref="K117:L117"/>
    <mergeCell ref="K120:L120"/>
    <mergeCell ref="K123:L123"/>
    <mergeCell ref="K126:L126"/>
    <mergeCell ref="K129:L129"/>
    <mergeCell ref="K130:L130"/>
    <mergeCell ref="K132:L132"/>
    <mergeCell ref="K136:L136"/>
    <mergeCell ref="K139:L139"/>
    <mergeCell ref="K140:L140"/>
    <mergeCell ref="K47:L47"/>
    <mergeCell ref="K51:L51"/>
    <mergeCell ref="K52:L52"/>
    <mergeCell ref="K53:L53"/>
    <mergeCell ref="K57:L57"/>
    <mergeCell ref="K58:L58"/>
    <mergeCell ref="K59:L59"/>
    <mergeCell ref="K69:L69"/>
    <mergeCell ref="K115:L115"/>
    <mergeCell ref="K251:L251"/>
    <mergeCell ref="K254:L254"/>
    <mergeCell ref="K257:L257"/>
    <mergeCell ref="K260:L260"/>
    <mergeCell ref="K264:L264"/>
    <mergeCell ref="K267:L267"/>
    <mergeCell ref="K271:L271"/>
    <mergeCell ref="K274:L274"/>
    <mergeCell ref="K277:L277"/>
    <mergeCell ref="K281:L281"/>
    <mergeCell ref="K284:L284"/>
    <mergeCell ref="K288:L288"/>
    <mergeCell ref="K293:L293"/>
    <mergeCell ref="K296:L296"/>
    <mergeCell ref="K299:L299"/>
    <mergeCell ref="K302:L302"/>
    <mergeCell ref="K306:L306"/>
    <mergeCell ref="K307:L307"/>
    <mergeCell ref="K310:L310"/>
    <mergeCell ref="K313:L313"/>
    <mergeCell ref="K316:L316"/>
    <mergeCell ref="K319:L319"/>
    <mergeCell ref="K322:L322"/>
    <mergeCell ref="K325:L325"/>
    <mergeCell ref="K328:L328"/>
    <mergeCell ref="K332:L332"/>
    <mergeCell ref="K333:L333"/>
    <mergeCell ref="K336:L336"/>
    <mergeCell ref="K337:L337"/>
    <mergeCell ref="K343:L343"/>
    <mergeCell ref="K344:L344"/>
    <mergeCell ref="K347:L347"/>
    <mergeCell ref="K350:L350"/>
    <mergeCell ref="K263:L263"/>
    <mergeCell ref="K280:L280"/>
    <mergeCell ref="K287:L287"/>
    <mergeCell ref="K292:L292"/>
    <mergeCell ref="K305:L305"/>
    <mergeCell ref="K331:L331"/>
    <mergeCell ref="K544:L544"/>
    <mergeCell ref="K545:L545"/>
    <mergeCell ref="K570:L570"/>
    <mergeCell ref="K596:L596"/>
    <mergeCell ref="K599:L599"/>
    <mergeCell ref="K602:L602"/>
    <mergeCell ref="K608:L608"/>
    <mergeCell ref="K609:L609"/>
    <mergeCell ref="K610:L610"/>
    <mergeCell ref="K441:L441"/>
    <mergeCell ref="K451:L451"/>
    <mergeCell ref="K454:L454"/>
    <mergeCell ref="K455:L455"/>
    <mergeCell ref="K462:L462"/>
    <mergeCell ref="K467:L467"/>
    <mergeCell ref="K477:L477"/>
    <mergeCell ref="K523:L523"/>
    <mergeCell ref="K526:L526"/>
    <mergeCell ref="K529:L529"/>
    <mergeCell ref="K533:L533"/>
    <mergeCell ref="K534:L534"/>
    <mergeCell ref="K537:L537"/>
    <mergeCell ref="K541:L541"/>
    <mergeCell ref="K612:L612"/>
    <mergeCell ref="K615:L615"/>
    <mergeCell ref="K627:L627"/>
    <mergeCell ref="K628:L628"/>
    <mergeCell ref="K642:L642"/>
    <mergeCell ref="K643:L643"/>
    <mergeCell ref="K649:L649"/>
    <mergeCell ref="K650:L650"/>
    <mergeCell ref="K653:L653"/>
    <mergeCell ref="K657:L657"/>
    <mergeCell ref="K546:L546"/>
    <mergeCell ref="K551:L551"/>
    <mergeCell ref="K554:L554"/>
    <mergeCell ref="K557:L557"/>
    <mergeCell ref="K560:L560"/>
    <mergeCell ref="K564:L564"/>
    <mergeCell ref="K567:L567"/>
    <mergeCell ref="K571:L571"/>
    <mergeCell ref="K574:L574"/>
    <mergeCell ref="K577:L577"/>
    <mergeCell ref="K578:L578"/>
    <mergeCell ref="K581:L581"/>
    <mergeCell ref="K582:L582"/>
    <mergeCell ref="K584:L584"/>
    <mergeCell ref="K587:L587"/>
    <mergeCell ref="K590:L590"/>
    <mergeCell ref="K591:L591"/>
    <mergeCell ref="K595:L595"/>
    <mergeCell ref="K605:L605"/>
    <mergeCell ref="K611:L611"/>
    <mergeCell ref="K618:L618"/>
    <mergeCell ref="K621:L621"/>
    <mergeCell ref="K622:L622"/>
    <mergeCell ref="K625:L625"/>
    <mergeCell ref="K626:L626"/>
    <mergeCell ref="K629:L629"/>
    <mergeCell ref="K630:L630"/>
    <mergeCell ref="K549:L549"/>
    <mergeCell ref="K550:L550"/>
    <mergeCell ref="K563:L563"/>
    <mergeCell ref="K583:L583"/>
    <mergeCell ref="K633:L633"/>
    <mergeCell ref="K636:L636"/>
    <mergeCell ref="K644:L644"/>
    <mergeCell ref="K666:L666"/>
    <mergeCell ref="K669:L669"/>
    <mergeCell ref="K673:L673"/>
    <mergeCell ref="K676:L676"/>
    <mergeCell ref="K680:L680"/>
    <mergeCell ref="K683:L683"/>
    <mergeCell ref="K687:L687"/>
    <mergeCell ref="K690:L690"/>
    <mergeCell ref="K693:L693"/>
    <mergeCell ref="K799:L799"/>
    <mergeCell ref="K860:L860"/>
    <mergeCell ref="K888:L888"/>
    <mergeCell ref="K1040:L1040"/>
    <mergeCell ref="K1043:L1043"/>
    <mergeCell ref="K1049:L1049"/>
    <mergeCell ref="K1051:L1051"/>
    <mergeCell ref="K1057:L1057"/>
    <mergeCell ref="K1060:L1060"/>
    <mergeCell ref="K1063:L1063"/>
    <mergeCell ref="K1066:L1066"/>
    <mergeCell ref="K1069:L1069"/>
    <mergeCell ref="K1072:L1072"/>
    <mergeCell ref="K1075:L1075"/>
    <mergeCell ref="K974:L974"/>
    <mergeCell ref="K975:L975"/>
    <mergeCell ref="K976:L976"/>
    <mergeCell ref="K858:L858"/>
    <mergeCell ref="K859:L859"/>
    <mergeCell ref="K919:L919"/>
    <mergeCell ref="K923:L923"/>
    <mergeCell ref="K930:L930"/>
    <mergeCell ref="K943:L943"/>
    <mergeCell ref="K954:L954"/>
    <mergeCell ref="K1044:L1044"/>
    <mergeCell ref="K1045:L1045"/>
    <mergeCell ref="K917:L917"/>
    <mergeCell ref="K922:L922"/>
    <mergeCell ref="K926:L926"/>
    <mergeCell ref="K929:L929"/>
    <mergeCell ref="K933:L933"/>
    <mergeCell ref="K936:L936"/>
    <mergeCell ref="K939:L939"/>
    <mergeCell ref="K942:L942"/>
    <mergeCell ref="K946:L946"/>
    <mergeCell ref="K950:L950"/>
    <mergeCell ref="K953:L953"/>
    <mergeCell ref="K960:L960"/>
    <mergeCell ref="K963:L963"/>
    <mergeCell ref="K1037:L1037"/>
    <mergeCell ref="K801:L801"/>
    <mergeCell ref="K800:L800"/>
    <mergeCell ref="K849:L849"/>
    <mergeCell ref="K852:L852"/>
    <mergeCell ref="K855:L855"/>
    <mergeCell ref="K901:L901"/>
    <mergeCell ref="K904:L904"/>
    <mergeCell ref="K908:L908"/>
    <mergeCell ref="K911:L911"/>
    <mergeCell ref="K914:L914"/>
    <mergeCell ref="K964:L964"/>
    <mergeCell ref="K984:L984"/>
    <mergeCell ref="K1084:L1084"/>
    <mergeCell ref="K1085:L1085"/>
    <mergeCell ref="K1099:L1099"/>
    <mergeCell ref="K1100:L1100"/>
    <mergeCell ref="K1105:L1105"/>
    <mergeCell ref="K1106:L1106"/>
    <mergeCell ref="K1116:L1116"/>
    <mergeCell ref="K1119:L1119"/>
    <mergeCell ref="K1126:L1126"/>
    <mergeCell ref="K1129:L1129"/>
    <mergeCell ref="K1131:L1131"/>
    <mergeCell ref="K1136:L1136"/>
    <mergeCell ref="K1137:L1137"/>
    <mergeCell ref="K1152:L1152"/>
    <mergeCell ref="K1155:L1155"/>
    <mergeCell ref="K1157:L1157"/>
    <mergeCell ref="K1158:L1158"/>
    <mergeCell ref="K1168:L1168"/>
    <mergeCell ref="K1171:L1171"/>
    <mergeCell ref="K1174:L1174"/>
    <mergeCell ref="K1177:L1177"/>
    <mergeCell ref="K1181:L1181"/>
    <mergeCell ref="K1185:L1185"/>
    <mergeCell ref="K1196:L1196"/>
    <mergeCell ref="K1197:L1197"/>
    <mergeCell ref="K1198:L1198"/>
    <mergeCell ref="K1201:L1201"/>
    <mergeCell ref="K1202:L1202"/>
    <mergeCell ref="K1203:L1203"/>
    <mergeCell ref="K1206:L1206"/>
    <mergeCell ref="K1210:L1210"/>
    <mergeCell ref="K1219:L1219"/>
    <mergeCell ref="K1145:L1145"/>
    <mergeCell ref="K1149:L1149"/>
    <mergeCell ref="K1156:L1156"/>
    <mergeCell ref="K1165:L1165"/>
    <mergeCell ref="K1113:L1113"/>
    <mergeCell ref="K1135:L1135"/>
    <mergeCell ref="K1141:L1141"/>
    <mergeCell ref="K1162:L1162"/>
    <mergeCell ref="K1089:L1089"/>
    <mergeCell ref="K1090:L1090"/>
    <mergeCell ref="K1103:L1103"/>
    <mergeCell ref="K1109:L1109"/>
    <mergeCell ref="K1110:L1110"/>
    <mergeCell ref="K1104:L1104"/>
    <mergeCell ref="K1142:L1142"/>
    <mergeCell ref="K1108:L1108"/>
    <mergeCell ref="K1120:L1120"/>
    <mergeCell ref="K1123:L1123"/>
    <mergeCell ref="K1097:L1097"/>
    <mergeCell ref="K1098:L1098"/>
    <mergeCell ref="K1107:L1107"/>
    <mergeCell ref="K1130:L1130"/>
    <mergeCell ref="K1134:L1134"/>
    <mergeCell ref="K1138:L1138"/>
    <mergeCell ref="K1192:L1192"/>
    <mergeCell ref="K1216:L1216"/>
    <mergeCell ref="K1200:L1200"/>
    <mergeCell ref="K1236:L1236"/>
    <mergeCell ref="K1237:L1237"/>
    <mergeCell ref="K1240:L1240"/>
    <mergeCell ref="K1243:L1243"/>
    <mergeCell ref="K1246:L1246"/>
    <mergeCell ref="K1249:L1249"/>
    <mergeCell ref="K1250:L1250"/>
    <mergeCell ref="K1253:L1253"/>
    <mergeCell ref="K1256:L1256"/>
    <mergeCell ref="K1259:L1259"/>
    <mergeCell ref="K1260:L1260"/>
    <mergeCell ref="K1265:L1265"/>
    <mergeCell ref="K1269:L1269"/>
    <mergeCell ref="K1273:L1273"/>
    <mergeCell ref="K1276:L1276"/>
    <mergeCell ref="K1277:L1277"/>
    <mergeCell ref="K1280:L1280"/>
    <mergeCell ref="K1281:L1281"/>
    <mergeCell ref="K1284:L1284"/>
    <mergeCell ref="K1288:L1288"/>
    <mergeCell ref="K1292:L1292"/>
    <mergeCell ref="K1295:L1295"/>
    <mergeCell ref="K1299:L1299"/>
    <mergeCell ref="K1302:L1302"/>
    <mergeCell ref="K1305:L1305"/>
    <mergeCell ref="K1306:L1306"/>
    <mergeCell ref="K1307:L1307"/>
    <mergeCell ref="K1311:L1311"/>
    <mergeCell ref="K1312:L1312"/>
    <mergeCell ref="K1398:L1398"/>
    <mergeCell ref="K1399:L1399"/>
    <mergeCell ref="K1403:L1403"/>
    <mergeCell ref="K1406:L1406"/>
    <mergeCell ref="K1358:L1358"/>
    <mergeCell ref="K1346:L1346"/>
    <mergeCell ref="K1372:L1372"/>
    <mergeCell ref="K1375:L1375"/>
    <mergeCell ref="K1393:L1393"/>
    <mergeCell ref="K1308:L1308"/>
    <mergeCell ref="K1321:L1321"/>
    <mergeCell ref="K1285:L1285"/>
    <mergeCell ref="K1394:L1394"/>
    <mergeCell ref="K1289:L1289"/>
    <mergeCell ref="K1348:L1348"/>
    <mergeCell ref="K1379:L1379"/>
    <mergeCell ref="K1383:L1383"/>
    <mergeCell ref="K1386:L1386"/>
    <mergeCell ref="K1387:L1387"/>
    <mergeCell ref="K1391:L1391"/>
    <mergeCell ref="K1392:L1392"/>
    <mergeCell ref="K1660:L1660"/>
    <mergeCell ref="K1661:L1661"/>
    <mergeCell ref="K1667:L1667"/>
    <mergeCell ref="K1668:L1668"/>
    <mergeCell ref="K1671:L1671"/>
    <mergeCell ref="K1681:L1681"/>
    <mergeCell ref="K1684:L1684"/>
    <mergeCell ref="K1687:L1687"/>
    <mergeCell ref="K1688:L1688"/>
    <mergeCell ref="K1691:L1691"/>
    <mergeCell ref="K1692:L1692"/>
    <mergeCell ref="K1700:L1700"/>
    <mergeCell ref="K1704:L1704"/>
    <mergeCell ref="K1711:L1711"/>
    <mergeCell ref="K1714:L1714"/>
    <mergeCell ref="K1715:L1715"/>
    <mergeCell ref="K1696:L1696"/>
    <mergeCell ref="K1701:L1701"/>
    <mergeCell ref="K1705:L1705"/>
    <mergeCell ref="K1708:L1708"/>
    <mergeCell ref="K1680:L1680"/>
    <mergeCell ref="K1678:L1678"/>
    <mergeCell ref="K1679:L1679"/>
    <mergeCell ref="K1665:L1665"/>
    <mergeCell ref="K1670:L1670"/>
    <mergeCell ref="K1674:L1674"/>
    <mergeCell ref="K1675:L1675"/>
    <mergeCell ref="K1693:L1693"/>
    <mergeCell ref="K1694:L1694"/>
    <mergeCell ref="K1697:L1697"/>
    <mergeCell ref="K1544:L1544"/>
    <mergeCell ref="K1631:L1631"/>
    <mergeCell ref="K1477:L1477"/>
    <mergeCell ref="K1662:L1662"/>
    <mergeCell ref="K1666:L1666"/>
    <mergeCell ref="K1669:L1669"/>
    <mergeCell ref="K1672:L1672"/>
    <mergeCell ref="K1676:L1676"/>
    <mergeCell ref="K1677:L1677"/>
    <mergeCell ref="K1649:L1649"/>
    <mergeCell ref="K1545:L1545"/>
    <mergeCell ref="K1549:L1549"/>
    <mergeCell ref="K1673:L1673"/>
    <mergeCell ref="K1600:L1600"/>
    <mergeCell ref="K1695:L1695"/>
    <mergeCell ref="K1511:L1511"/>
    <mergeCell ref="K1514:L1514"/>
    <mergeCell ref="K1627:L1627"/>
    <mergeCell ref="K1635:L1635"/>
    <mergeCell ref="K1639:L1639"/>
    <mergeCell ref="K1644:L1644"/>
    <mergeCell ref="K1645:L1645"/>
    <mergeCell ref="K1648:L1648"/>
    <mergeCell ref="K1658:L1658"/>
    <mergeCell ref="K1579:L1579"/>
    <mergeCell ref="K1533:L1533"/>
    <mergeCell ref="K1534:L1534"/>
    <mergeCell ref="K1535:L1535"/>
    <mergeCell ref="K1536:L1536"/>
    <mergeCell ref="K1537:L1537"/>
    <mergeCell ref="K1540:L1540"/>
    <mergeCell ref="K1546:L1546"/>
    <mergeCell ref="K1552:L1552"/>
    <mergeCell ref="K1555:L1555"/>
    <mergeCell ref="K1716:L1716"/>
    <mergeCell ref="K1717:L1717"/>
    <mergeCell ref="K1720:L1720"/>
    <mergeCell ref="K1721:L1721"/>
    <mergeCell ref="K1722:L1722"/>
    <mergeCell ref="K1725:L1725"/>
    <mergeCell ref="K1726:L1726"/>
    <mergeCell ref="K1796:L1796"/>
    <mergeCell ref="K1925:L1925"/>
    <mergeCell ref="K1941:L1941"/>
    <mergeCell ref="K1942:L1942"/>
    <mergeCell ref="K1947:L1947"/>
    <mergeCell ref="K1948:L1948"/>
    <mergeCell ref="K1955:L1955"/>
    <mergeCell ref="K1958:L1958"/>
    <mergeCell ref="K1962:L1962"/>
    <mergeCell ref="K1969:L1969"/>
    <mergeCell ref="K1970:L1970"/>
    <mergeCell ref="K1972:L1972"/>
    <mergeCell ref="K1973:L1973"/>
    <mergeCell ref="K1980:L1980"/>
    <mergeCell ref="K1983:L1983"/>
    <mergeCell ref="K1984:L1984"/>
    <mergeCell ref="K1987:L1987"/>
    <mergeCell ref="K1988:L1988"/>
    <mergeCell ref="K1991:L1991"/>
    <mergeCell ref="K1992:L1992"/>
    <mergeCell ref="K1995:L1995"/>
    <mergeCell ref="K2006:L2006"/>
    <mergeCell ref="K2007:L2007"/>
    <mergeCell ref="K2023:L2023"/>
    <mergeCell ref="K2026:L2026"/>
    <mergeCell ref="K2030:L2030"/>
    <mergeCell ref="K1803:L1803"/>
    <mergeCell ref="K1894:L1894"/>
    <mergeCell ref="K1895:L1895"/>
    <mergeCell ref="K1902:L1902"/>
    <mergeCell ref="K1965:L1965"/>
    <mergeCell ref="K1966:L1966"/>
    <mergeCell ref="K1974:L1974"/>
    <mergeCell ref="K1977:L1977"/>
    <mergeCell ref="K1843:L1843"/>
    <mergeCell ref="K1860:L1860"/>
    <mergeCell ref="K1737:L1737"/>
    <mergeCell ref="K1744:L1744"/>
    <mergeCell ref="K1747:L1747"/>
    <mergeCell ref="K1750:L1750"/>
    <mergeCell ref="K1754:L1754"/>
    <mergeCell ref="K1757:L1757"/>
    <mergeCell ref="K1760:L1760"/>
    <mergeCell ref="K1761:L1761"/>
    <mergeCell ref="K1730:L1730"/>
    <mergeCell ref="K1731:L1731"/>
    <mergeCell ref="K1734:L1734"/>
    <mergeCell ref="K1740:L1740"/>
    <mergeCell ref="K1743:L1743"/>
    <mergeCell ref="K1753:L1753"/>
    <mergeCell ref="K1755:L1755"/>
    <mergeCell ref="K1756:L1756"/>
    <mergeCell ref="K1765:L1765"/>
    <mergeCell ref="K1766:L1766"/>
    <mergeCell ref="K1770:L1770"/>
    <mergeCell ref="K1776:L1776"/>
    <mergeCell ref="K1778:L1778"/>
    <mergeCell ref="K2254:L2254"/>
    <mergeCell ref="K2267:L2267"/>
    <mergeCell ref="K2200:L2200"/>
    <mergeCell ref="K2206:L2206"/>
    <mergeCell ref="K2227:L2227"/>
    <mergeCell ref="K2167:L2167"/>
    <mergeCell ref="K2210:L2210"/>
    <mergeCell ref="K2216:L2216"/>
    <mergeCell ref="K2158:L2158"/>
    <mergeCell ref="K2192:L2192"/>
    <mergeCell ref="K2207:L2207"/>
    <mergeCell ref="K2220:L2220"/>
    <mergeCell ref="K2147:L2147"/>
    <mergeCell ref="K2153:L2153"/>
    <mergeCell ref="K2164:L2164"/>
    <mergeCell ref="K2173:L2173"/>
    <mergeCell ref="K2176:L2176"/>
    <mergeCell ref="K2190:L2190"/>
    <mergeCell ref="K2184:L2184"/>
    <mergeCell ref="K2187:L2187"/>
    <mergeCell ref="K2193:L2193"/>
    <mergeCell ref="K2194:L2194"/>
    <mergeCell ref="K2202:L2202"/>
    <mergeCell ref="K2203:L2203"/>
    <mergeCell ref="K2208:L2208"/>
    <mergeCell ref="K2209:L2209"/>
    <mergeCell ref="K2214:L2214"/>
    <mergeCell ref="K2215:L2215"/>
    <mergeCell ref="K2219:L2219"/>
    <mergeCell ref="K2223:L2223"/>
    <mergeCell ref="K2310:L2310"/>
    <mergeCell ref="K2311:L2311"/>
    <mergeCell ref="K2316:L2316"/>
    <mergeCell ref="K2303:L2303"/>
    <mergeCell ref="K2306:L2306"/>
    <mergeCell ref="K2307:L2307"/>
    <mergeCell ref="K2201:L2201"/>
    <mergeCell ref="K2317:L2317"/>
    <mergeCell ref="K2320:L2320"/>
    <mergeCell ref="K2321:L2321"/>
    <mergeCell ref="K2324:L2324"/>
    <mergeCell ref="K2325:L2325"/>
    <mergeCell ref="K2328:L2328"/>
    <mergeCell ref="K2332:L2332"/>
    <mergeCell ref="K2333:L2333"/>
    <mergeCell ref="K2336:L2336"/>
    <mergeCell ref="K2339:L2339"/>
    <mergeCell ref="K2340:L2340"/>
    <mergeCell ref="K2397:L2397"/>
    <mergeCell ref="K2398:L2398"/>
    <mergeCell ref="K2401:L2401"/>
    <mergeCell ref="K2402:L2402"/>
    <mergeCell ref="K2406:L2406"/>
    <mergeCell ref="K2407:L2407"/>
    <mergeCell ref="K2410:L2410"/>
    <mergeCell ref="K2413:L2413"/>
    <mergeCell ref="K2416:L2416"/>
    <mergeCell ref="K2419:L2419"/>
    <mergeCell ref="K2422:L2422"/>
    <mergeCell ref="K2425:L2425"/>
    <mergeCell ref="K2428:L2428"/>
    <mergeCell ref="K2431:L2431"/>
    <mergeCell ref="K2432:L2432"/>
    <mergeCell ref="K2437:L2437"/>
    <mergeCell ref="K2438:L2438"/>
    <mergeCell ref="K2441:L2441"/>
    <mergeCell ref="K2445:L2445"/>
    <mergeCell ref="K2379:L2379"/>
    <mergeCell ref="K2436:L2436"/>
    <mergeCell ref="K2487:L2487"/>
    <mergeCell ref="K2346:L2346"/>
    <mergeCell ref="K2350:L2350"/>
    <mergeCell ref="K2353:L2353"/>
    <mergeCell ref="K2356:L2356"/>
    <mergeCell ref="K2357:L2357"/>
    <mergeCell ref="K2360:L2360"/>
    <mergeCell ref="K2361:L2361"/>
    <mergeCell ref="K2364:L2364"/>
    <mergeCell ref="K2367:L2367"/>
    <mergeCell ref="K2370:L2370"/>
    <mergeCell ref="K2371:L2371"/>
    <mergeCell ref="K2490:L2490"/>
    <mergeCell ref="K2495:L2495"/>
    <mergeCell ref="K2496:L2496"/>
    <mergeCell ref="K2497:L2497"/>
    <mergeCell ref="K2500:L2500"/>
    <mergeCell ref="K2503:L2503"/>
    <mergeCell ref="K2504:L2504"/>
    <mergeCell ref="K2507:L2507"/>
    <mergeCell ref="K2508:L2508"/>
    <mergeCell ref="K2511:L2511"/>
    <mergeCell ref="K2514:L2514"/>
    <mergeCell ref="K2519:L2519"/>
    <mergeCell ref="K2520:L2520"/>
    <mergeCell ref="K2521:L2521"/>
    <mergeCell ref="K2536:L2536"/>
    <mergeCell ref="K2537:L2537"/>
    <mergeCell ref="K2541:L2541"/>
    <mergeCell ref="K2545:L2545"/>
    <mergeCell ref="K2552:L2552"/>
    <mergeCell ref="K2553:L2553"/>
    <mergeCell ref="K2554:L2554"/>
    <mergeCell ref="K2558:L2558"/>
    <mergeCell ref="K2559:L2559"/>
    <mergeCell ref="K2562:L2562"/>
    <mergeCell ref="K2565:L2565"/>
    <mergeCell ref="K2566:L2566"/>
    <mergeCell ref="K2570:L2570"/>
    <mergeCell ref="K2571:L2571"/>
    <mergeCell ref="K2572:L2572"/>
    <mergeCell ref="K2575:L2575"/>
    <mergeCell ref="K2579:L2579"/>
    <mergeCell ref="K2582:L2582"/>
    <mergeCell ref="K2525:L2525"/>
    <mergeCell ref="K2528:L2528"/>
    <mergeCell ref="K2532:L2532"/>
    <mergeCell ref="K2535:L2535"/>
    <mergeCell ref="K2538:L2538"/>
    <mergeCell ref="K2853:L2853"/>
    <mergeCell ref="K2854:L2854"/>
    <mergeCell ref="K2857:L2857"/>
    <mergeCell ref="K2858:L2858"/>
    <mergeCell ref="K2760:L2760"/>
    <mergeCell ref="K2761:L2761"/>
    <mergeCell ref="K2766:L2766"/>
    <mergeCell ref="K2767:L2767"/>
    <mergeCell ref="K2791:L2791"/>
    <mergeCell ref="K2848:L2848"/>
    <mergeCell ref="K2862:L2862"/>
    <mergeCell ref="K2863:L2863"/>
    <mergeCell ref="K2866:L2866"/>
    <mergeCell ref="K2869:L2869"/>
    <mergeCell ref="K2872:L2872"/>
    <mergeCell ref="K2875:L2875"/>
    <mergeCell ref="K2876:L2876"/>
    <mergeCell ref="K2886:L2886"/>
    <mergeCell ref="K2896:L2896"/>
    <mergeCell ref="K2899:L2899"/>
    <mergeCell ref="K2906:L2906"/>
    <mergeCell ref="K2907:L2907"/>
    <mergeCell ref="K2908:L2908"/>
    <mergeCell ref="K2917:L2917"/>
    <mergeCell ref="K2936:L2936"/>
    <mergeCell ref="K2953:L2953"/>
    <mergeCell ref="K2960:L2960"/>
    <mergeCell ref="K2961:L2961"/>
    <mergeCell ref="K2964:L2964"/>
    <mergeCell ref="K2965:L2965"/>
    <mergeCell ref="K2970:L2970"/>
    <mergeCell ref="K2971:L2971"/>
    <mergeCell ref="K2975:L2975"/>
    <mergeCell ref="K2942:L2942"/>
    <mergeCell ref="K2945:L2945"/>
    <mergeCell ref="K2948:L2948"/>
    <mergeCell ref="K2951:L2951"/>
    <mergeCell ref="K2954:L2954"/>
    <mergeCell ref="K2957:L2957"/>
    <mergeCell ref="K2883:L2883"/>
    <mergeCell ref="K2861:L2861"/>
    <mergeCell ref="K2873:L2873"/>
    <mergeCell ref="K2874:L2874"/>
    <mergeCell ref="K2877:L2877"/>
    <mergeCell ref="K2880:L2880"/>
    <mergeCell ref="K2887:L2887"/>
    <mergeCell ref="K2890:L2890"/>
    <mergeCell ref="K2893:L2893"/>
    <mergeCell ref="K2900:L2900"/>
    <mergeCell ref="K2903:L2903"/>
    <mergeCell ref="K2911:L2911"/>
    <mergeCell ref="K2914:L2914"/>
    <mergeCell ref="K2924:L2924"/>
    <mergeCell ref="K2927:L2927"/>
    <mergeCell ref="K2930:L2930"/>
    <mergeCell ref="K2933:L2933"/>
    <mergeCell ref="K2946:L2946"/>
    <mergeCell ref="K2947:L2947"/>
    <mergeCell ref="K2952:L2952"/>
    <mergeCell ref="K2772:L2772"/>
    <mergeCell ref="K2799:L2799"/>
    <mergeCell ref="K2800:L2800"/>
    <mergeCell ref="K2836:L2836"/>
    <mergeCell ref="K2762:L2762"/>
    <mergeCell ref="K2984:L2984"/>
    <mergeCell ref="K2987:L2987"/>
    <mergeCell ref="K3000:L3000"/>
    <mergeCell ref="K3014:L3014"/>
    <mergeCell ref="K3018:L3018"/>
    <mergeCell ref="K3042:L3042"/>
    <mergeCell ref="K3086:L3086"/>
    <mergeCell ref="K3090:L3090"/>
    <mergeCell ref="K3025:L3025"/>
    <mergeCell ref="K3028:L3028"/>
    <mergeCell ref="K3032:L3032"/>
    <mergeCell ref="K3047:L3047"/>
    <mergeCell ref="K3021:L3021"/>
    <mergeCell ref="K3035:L3035"/>
    <mergeCell ref="K3034:L3034"/>
    <mergeCell ref="K3038:L3038"/>
    <mergeCell ref="K3043:L3043"/>
    <mergeCell ref="K3044:L3044"/>
    <mergeCell ref="K3050:L3050"/>
    <mergeCell ref="K3053:L3053"/>
    <mergeCell ref="K3066:L3066"/>
    <mergeCell ref="K3070:L3070"/>
    <mergeCell ref="K3071:L3071"/>
    <mergeCell ref="K3076:L3076"/>
    <mergeCell ref="K3113:L3113"/>
    <mergeCell ref="K3116:L3116"/>
    <mergeCell ref="K3120:L3120"/>
    <mergeCell ref="K3124:L3124"/>
    <mergeCell ref="K3127:L3127"/>
    <mergeCell ref="K3130:L3130"/>
    <mergeCell ref="K3131:L3131"/>
    <mergeCell ref="K3136:L3136"/>
    <mergeCell ref="K3139:L3139"/>
    <mergeCell ref="K3022:L3022"/>
    <mergeCell ref="K3026:L3026"/>
    <mergeCell ref="K3027:L3027"/>
    <mergeCell ref="K3033:L3033"/>
    <mergeCell ref="K3099:L3099"/>
    <mergeCell ref="K3104:L3104"/>
    <mergeCell ref="K3107:L3107"/>
    <mergeCell ref="K3140:L3140"/>
    <mergeCell ref="K3144:L3144"/>
    <mergeCell ref="K3145:L3145"/>
    <mergeCell ref="K3150:L3150"/>
    <mergeCell ref="K3153:L3153"/>
    <mergeCell ref="K3156:L3156"/>
    <mergeCell ref="K3157:L3157"/>
    <mergeCell ref="K3160:L3160"/>
    <mergeCell ref="K3163:L3163"/>
    <mergeCell ref="K3164:L3164"/>
    <mergeCell ref="K3167:L3167"/>
    <mergeCell ref="K3170:L3170"/>
    <mergeCell ref="K3173:L3173"/>
    <mergeCell ref="K3176:L3176"/>
    <mergeCell ref="K3177:L3177"/>
    <mergeCell ref="K3181:L3181"/>
    <mergeCell ref="K3132:L3132"/>
    <mergeCell ref="K3147:L3147"/>
    <mergeCell ref="K3141:L3141"/>
    <mergeCell ref="K3182:L3182"/>
    <mergeCell ref="K3185:L3185"/>
    <mergeCell ref="K3186:L3186"/>
    <mergeCell ref="K3189:L3189"/>
    <mergeCell ref="K3190:L3190"/>
    <mergeCell ref="K3193:L3193"/>
    <mergeCell ref="K3194:L3194"/>
    <mergeCell ref="K3197:L3197"/>
    <mergeCell ref="K3198:L3198"/>
    <mergeCell ref="K3206:L3206"/>
    <mergeCell ref="K3209:L3209"/>
    <mergeCell ref="K3212:L3212"/>
    <mergeCell ref="K3215:L3215"/>
    <mergeCell ref="K3218:L3218"/>
    <mergeCell ref="K3221:L3221"/>
    <mergeCell ref="K3224:L3224"/>
    <mergeCell ref="K3227:L3227"/>
    <mergeCell ref="K3230:L3230"/>
    <mergeCell ref="K3231:L3231"/>
    <mergeCell ref="K3234:L3234"/>
    <mergeCell ref="K3248:L3248"/>
    <mergeCell ref="K3251:L3251"/>
    <mergeCell ref="K3252:L3252"/>
    <mergeCell ref="K3254:L3254"/>
    <mergeCell ref="K3255:L3255"/>
    <mergeCell ref="K3261:L3261"/>
    <mergeCell ref="K3262:L3262"/>
    <mergeCell ref="K3265:L3265"/>
    <mergeCell ref="K3268:L3268"/>
    <mergeCell ref="K3269:L3269"/>
    <mergeCell ref="K3295:L3295"/>
    <mergeCell ref="K3296:L3296"/>
    <mergeCell ref="K3299:L3299"/>
    <mergeCell ref="K3292:L3292"/>
    <mergeCell ref="K3302:L3302"/>
    <mergeCell ref="K3303:L3303"/>
    <mergeCell ref="K3306:L3306"/>
    <mergeCell ref="K3309:L3309"/>
    <mergeCell ref="K3307:L3307"/>
    <mergeCell ref="K3308:L3308"/>
    <mergeCell ref="K3310:L3310"/>
    <mergeCell ref="K3321:L3321"/>
    <mergeCell ref="K3324:L3324"/>
    <mergeCell ref="K3327:L3327"/>
    <mergeCell ref="K3330:L3330"/>
    <mergeCell ref="K3331:L3331"/>
    <mergeCell ref="K3334:L3334"/>
    <mergeCell ref="K3337:L3337"/>
    <mergeCell ref="K3338:L3338"/>
    <mergeCell ref="K3348:L3348"/>
    <mergeCell ref="K3351:L3351"/>
    <mergeCell ref="K3354:L3354"/>
    <mergeCell ref="K3357:L3357"/>
    <mergeCell ref="K3358:L3358"/>
    <mergeCell ref="K3361:L3361"/>
    <mergeCell ref="K3364:L3364"/>
    <mergeCell ref="K3365:L3365"/>
    <mergeCell ref="K3367:L3367"/>
    <mergeCell ref="K3373:L3373"/>
    <mergeCell ref="K3374:L3374"/>
    <mergeCell ref="K3388:L3388"/>
    <mergeCell ref="K3397:L3397"/>
    <mergeCell ref="K3401:L3401"/>
    <mergeCell ref="K3404:L3404"/>
    <mergeCell ref="K3405:L3405"/>
    <mergeCell ref="K3416:L3416"/>
    <mergeCell ref="K3417:L3417"/>
    <mergeCell ref="K3420:L3420"/>
    <mergeCell ref="K3423:L3423"/>
    <mergeCell ref="K3345:L3345"/>
    <mergeCell ref="K3314:L3314"/>
    <mergeCell ref="K3315:L3315"/>
    <mergeCell ref="K3318:L3318"/>
    <mergeCell ref="K3340:L3340"/>
    <mergeCell ref="K3341:L3341"/>
    <mergeCell ref="K3313:L3313"/>
    <mergeCell ref="K3370:L3370"/>
    <mergeCell ref="K3371:L3371"/>
    <mergeCell ref="K3376:L3376"/>
    <mergeCell ref="K3377:L3377"/>
    <mergeCell ref="K3380:L3380"/>
    <mergeCell ref="K3381:L3381"/>
    <mergeCell ref="K3366:L3366"/>
    <mergeCell ref="K3375:L3375"/>
    <mergeCell ref="K3385:L3385"/>
    <mergeCell ref="K3394:L3394"/>
    <mergeCell ref="K3398:L3398"/>
    <mergeCell ref="K3402:L3402"/>
    <mergeCell ref="K3372:L3372"/>
    <mergeCell ref="K3379:L3379"/>
    <mergeCell ref="K3410:L3410"/>
    <mergeCell ref="K3459:L3459"/>
    <mergeCell ref="K3462:L3462"/>
    <mergeCell ref="K3465:L3465"/>
    <mergeCell ref="K3468:L3468"/>
    <mergeCell ref="K3471:L3471"/>
    <mergeCell ref="K3475:L3475"/>
    <mergeCell ref="K3476:L3476"/>
    <mergeCell ref="K3490:L3490"/>
    <mergeCell ref="K3493:L3493"/>
    <mergeCell ref="K3494:L3494"/>
    <mergeCell ref="K3498:L3498"/>
    <mergeCell ref="K3502:L3502"/>
    <mergeCell ref="K3505:L3505"/>
    <mergeCell ref="K3509:L3509"/>
    <mergeCell ref="K3510:L3510"/>
    <mergeCell ref="K3513:L3513"/>
    <mergeCell ref="K3517:L3517"/>
    <mergeCell ref="K3524:L3524"/>
    <mergeCell ref="K3525:L3525"/>
    <mergeCell ref="K3538:L3538"/>
    <mergeCell ref="K3542:L3542"/>
    <mergeCell ref="K3543:L3543"/>
    <mergeCell ref="K3548:L3548"/>
    <mergeCell ref="K3549:L3549"/>
    <mergeCell ref="K3557:L3557"/>
    <mergeCell ref="K3561:L3561"/>
    <mergeCell ref="K3568:L3568"/>
    <mergeCell ref="K3572:L3572"/>
    <mergeCell ref="K3603:L3603"/>
    <mergeCell ref="K3604:L3604"/>
    <mergeCell ref="K3615:L3615"/>
    <mergeCell ref="K3616:L3616"/>
    <mergeCell ref="K3624:L3624"/>
    <mergeCell ref="K3590:L3590"/>
    <mergeCell ref="K3575:L3575"/>
    <mergeCell ref="K3551:L3551"/>
    <mergeCell ref="K3552:L3552"/>
    <mergeCell ref="K3534:L3534"/>
    <mergeCell ref="K3537:L3537"/>
    <mergeCell ref="K3541:L3541"/>
    <mergeCell ref="K3544:L3544"/>
    <mergeCell ref="K3514:L3514"/>
    <mergeCell ref="K3474:L3474"/>
    <mergeCell ref="K3477:L3477"/>
    <mergeCell ref="K3480:L3480"/>
    <mergeCell ref="K3495:L3495"/>
    <mergeCell ref="K3523:L3523"/>
    <mergeCell ref="K3526:L3526"/>
    <mergeCell ref="K3527:L3527"/>
    <mergeCell ref="K3530:L3530"/>
    <mergeCell ref="K3533:L3533"/>
    <mergeCell ref="K3520:L3520"/>
    <mergeCell ref="K3625:L3625"/>
    <mergeCell ref="K3632:L3632"/>
    <mergeCell ref="K3639:L3639"/>
    <mergeCell ref="K3640:L3640"/>
    <mergeCell ref="K3654:L3654"/>
    <mergeCell ref="K3661:L3661"/>
    <mergeCell ref="K3662:L3662"/>
    <mergeCell ref="K3673:L3673"/>
    <mergeCell ref="K3674:L3674"/>
    <mergeCell ref="K3676:L3676"/>
    <mergeCell ref="K3679:L3679"/>
    <mergeCell ref="K3686:L3686"/>
    <mergeCell ref="K3687:L3687"/>
    <mergeCell ref="K3697:L3697"/>
    <mergeCell ref="K3698:L3698"/>
    <mergeCell ref="K3699:L3699"/>
    <mergeCell ref="K3701:L3701"/>
    <mergeCell ref="K3711:L3711"/>
    <mergeCell ref="K3715:L3715"/>
    <mergeCell ref="K3717:L3717"/>
    <mergeCell ref="K3718:L3718"/>
    <mergeCell ref="K3721:L3721"/>
    <mergeCell ref="K3722:L3722"/>
    <mergeCell ref="K3556:L3556"/>
    <mergeCell ref="K3560:L3560"/>
    <mergeCell ref="K3564:L3564"/>
    <mergeCell ref="K3578:L3578"/>
    <mergeCell ref="K3623:L3623"/>
    <mergeCell ref="K3635:L3635"/>
    <mergeCell ref="K3644:L3644"/>
    <mergeCell ref="K3647:L3647"/>
    <mergeCell ref="K3650:L3650"/>
    <mergeCell ref="K3571:L3571"/>
    <mergeCell ref="K3675:L3675"/>
    <mergeCell ref="K3657:L3657"/>
    <mergeCell ref="K3660:L3660"/>
    <mergeCell ref="K3567:L3567"/>
    <mergeCell ref="K3581:L3581"/>
    <mergeCell ref="K3584:L3584"/>
    <mergeCell ref="K3587:L3587"/>
    <mergeCell ref="K3596:L3596"/>
    <mergeCell ref="K3599:L3599"/>
    <mergeCell ref="K3602:L3602"/>
    <mergeCell ref="K3605:L3605"/>
    <mergeCell ref="K3608:L3608"/>
    <mergeCell ref="K3611:L3611"/>
    <mergeCell ref="K3614:L3614"/>
    <mergeCell ref="K3617:L3617"/>
    <mergeCell ref="K3620:L3620"/>
    <mergeCell ref="K3628:L3628"/>
    <mergeCell ref="K3631:L3631"/>
    <mergeCell ref="K3695:L3695"/>
    <mergeCell ref="K3696:L3696"/>
    <mergeCell ref="K3705:L3705"/>
    <mergeCell ref="K3638:L3638"/>
    <mergeCell ref="K3641:L3641"/>
    <mergeCell ref="K3653:L3653"/>
    <mergeCell ref="K3643:L3643"/>
    <mergeCell ref="K3642:L3642"/>
    <mergeCell ref="K3708:L3708"/>
    <mergeCell ref="K4059:L4059"/>
    <mergeCell ref="K4062:L4062"/>
    <mergeCell ref="K4077:L4077"/>
    <mergeCell ref="K3806:L3806"/>
    <mergeCell ref="K3809:L3809"/>
    <mergeCell ref="K3818:L3818"/>
    <mergeCell ref="K3821:L3821"/>
    <mergeCell ref="K3824:L3824"/>
    <mergeCell ref="K3833:L3833"/>
    <mergeCell ref="K3837:L3837"/>
    <mergeCell ref="K3843:L3843"/>
    <mergeCell ref="K3847:L3847"/>
    <mergeCell ref="K3848:L3848"/>
    <mergeCell ref="K3854:L3854"/>
    <mergeCell ref="K3855:L3855"/>
    <mergeCell ref="K3859:L3859"/>
    <mergeCell ref="K3860:L3860"/>
    <mergeCell ref="K3861:L3861"/>
    <mergeCell ref="K3866:L3866"/>
    <mergeCell ref="K3867:L3867"/>
    <mergeCell ref="K3878:L3878"/>
    <mergeCell ref="K3802:L3802"/>
    <mergeCell ref="K3825:L3825"/>
    <mergeCell ref="K3828:L3828"/>
    <mergeCell ref="K3831:L3831"/>
    <mergeCell ref="K3832:L3832"/>
    <mergeCell ref="K3836:L3836"/>
    <mergeCell ref="K3844:L3844"/>
    <mergeCell ref="K3856:L3856"/>
    <mergeCell ref="K3865:L3865"/>
    <mergeCell ref="K3934:L3934"/>
    <mergeCell ref="K3937:L3937"/>
    <mergeCell ref="K3940:L3940"/>
    <mergeCell ref="K3943:L3943"/>
    <mergeCell ref="K3944:L3944"/>
    <mergeCell ref="K3947:L3947"/>
    <mergeCell ref="K3879:L3879"/>
    <mergeCell ref="K3884:L3884"/>
    <mergeCell ref="K3900:L3900"/>
    <mergeCell ref="K3903:L3903"/>
    <mergeCell ref="K3909:L3909"/>
    <mergeCell ref="K3910:L3910"/>
    <mergeCell ref="K3914:L3914"/>
    <mergeCell ref="K3917:L3917"/>
    <mergeCell ref="K3849:L3849"/>
    <mergeCell ref="K3853:L3853"/>
    <mergeCell ref="K3870:L3870"/>
    <mergeCell ref="K3874:L3874"/>
    <mergeCell ref="K3875:L3875"/>
    <mergeCell ref="K3928:L3928"/>
    <mergeCell ref="K3880:L3880"/>
    <mergeCell ref="K3881:L3881"/>
    <mergeCell ref="K3885:L3885"/>
    <mergeCell ref="K3891:L3891"/>
    <mergeCell ref="K3895:L3895"/>
    <mergeCell ref="K3898:L3898"/>
    <mergeCell ref="K3899:L3899"/>
    <mergeCell ref="K3901:L3901"/>
    <mergeCell ref="K3902:L3902"/>
    <mergeCell ref="K3913:L3913"/>
    <mergeCell ref="K3920:L3920"/>
    <mergeCell ref="K3924:L3924"/>
    <mergeCell ref="K3927:L3927"/>
    <mergeCell ref="K3931:L3931"/>
    <mergeCell ref="AL6:AO6"/>
    <mergeCell ref="AL11:AN11"/>
    <mergeCell ref="C8:E8"/>
    <mergeCell ref="K4197:L4197"/>
    <mergeCell ref="K4198:L4198"/>
    <mergeCell ref="K4201:L4201"/>
    <mergeCell ref="K4211:L4211"/>
    <mergeCell ref="K4212:L4212"/>
    <mergeCell ref="K4107:L4107"/>
    <mergeCell ref="K4132:L4132"/>
    <mergeCell ref="K4097:L4097"/>
    <mergeCell ref="K3957:L3957"/>
    <mergeCell ref="K3962:L3962"/>
    <mergeCell ref="K3965:L3965"/>
    <mergeCell ref="K3969:L3969"/>
    <mergeCell ref="K3972:L3972"/>
    <mergeCell ref="K3979:L3979"/>
    <mergeCell ref="K3982:L3982"/>
    <mergeCell ref="K3989:L3989"/>
    <mergeCell ref="K3992:L3992"/>
    <mergeCell ref="K3993:L3993"/>
    <mergeCell ref="K4090:L4090"/>
    <mergeCell ref="K4094:L4094"/>
    <mergeCell ref="K4098:L4098"/>
    <mergeCell ref="K4111:L4111"/>
    <mergeCell ref="K4112:L4112"/>
    <mergeCell ref="K4114:L4114"/>
    <mergeCell ref="K4117:L4117"/>
    <mergeCell ref="K4120:L4120"/>
    <mergeCell ref="K4121:L4121"/>
    <mergeCell ref="K4128:L4128"/>
    <mergeCell ref="K4129:L4129"/>
    <mergeCell ref="K4130:L4130"/>
    <mergeCell ref="K4131:L4131"/>
    <mergeCell ref="K4139:L4139"/>
    <mergeCell ref="K4144:L4144"/>
    <mergeCell ref="K4145:L4145"/>
    <mergeCell ref="K4148:L4148"/>
    <mergeCell ref="K4151:L4151"/>
    <mergeCell ref="K4154:L4154"/>
    <mergeCell ref="K4163:L4163"/>
    <mergeCell ref="K4166:L4166"/>
    <mergeCell ref="K4167:L4167"/>
    <mergeCell ref="K4169:L4169"/>
    <mergeCell ref="K3997:L3997"/>
    <mergeCell ref="K3999:L3999"/>
    <mergeCell ref="K4002:L4002"/>
    <mergeCell ref="K4003:L4003"/>
    <mergeCell ref="K4024:L4024"/>
    <mergeCell ref="K3996:L3996"/>
    <mergeCell ref="K3959:L3959"/>
    <mergeCell ref="K3976:L3976"/>
    <mergeCell ref="K3977:L3977"/>
    <mergeCell ref="K3978:L3978"/>
    <mergeCell ref="K3980:L3980"/>
    <mergeCell ref="K3981:L3981"/>
    <mergeCell ref="K3983:L3983"/>
    <mergeCell ref="K3984:L3984"/>
    <mergeCell ref="K4000:L4000"/>
    <mergeCell ref="K4001:L4001"/>
    <mergeCell ref="K4004:L4004"/>
    <mergeCell ref="K4015:L4015"/>
    <mergeCell ref="K4017:L4017"/>
    <mergeCell ref="K4018:L4018"/>
  </mergeCells>
  <phoneticPr fontId="39" type="noConversion"/>
  <conditionalFormatting sqref="E10:G10">
    <cfRule type="expression" dxfId="21" priority="22">
      <formula>OR($AE$9="", $AE$9="No",$AE$9="N",$AE$9="me")</formula>
    </cfRule>
  </conditionalFormatting>
  <conditionalFormatting sqref="F10:F4213">
    <cfRule type="expression" dxfId="20" priority="1">
      <formula>AND(OR($D$2=" Price it by Type ",$D$2=" Price it by Common ",$D$2=" Price it by Latin ", $D$2="Quote", $D$2="Order"), AND(ISNUMBER(G10), G10&gt;0))</formula>
    </cfRule>
  </conditionalFormatting>
  <conditionalFormatting sqref="G10:G4213">
    <cfRule type="expression" dxfId="19" priority="2">
      <formula>AND(OR($D$2=" Price it by Type ",$D$2=" Price it by Common ",$D$2=" Price it by Latin ", $D$2="Quote", $D$2="Order"), AND(ISNUMBER(G10), G10&gt;0))</formula>
    </cfRule>
  </conditionalFormatting>
  <conditionalFormatting sqref="H10:H4213">
    <cfRule type="expression" dxfId="18" priority="3">
      <formula>AND(OR($D$2=" Price it by Type ",$D$2=" Price it by Common ",$D$2=" Price it by Latin ", $D$2="Quote", $D$2="Order"), AND(ISNUMBER(G10), G10&gt;0))</formula>
    </cfRule>
  </conditionalFormatting>
  <conditionalFormatting sqref="I10:I4213">
    <cfRule type="expression" dxfId="17" priority="4">
      <formula>AND(ISNUMBER(G10), G10&gt;0)</formula>
    </cfRule>
  </conditionalFormatting>
  <conditionalFormatting sqref="J10:J4213">
    <cfRule type="expression" dxfId="16" priority="5">
      <formula>AND(ISNUMBER(G10), G10&gt;0)</formula>
    </cfRule>
  </conditionalFormatting>
  <conditionalFormatting sqref="K10:K4213">
    <cfRule type="expression" dxfId="15" priority="6">
      <formula>AND(OR($D$2=" Price it by Type ",$D$2=" Price it by Common ",$D$2=" Price it by Latin ", $D$2="Quote", $D$2="Order"), AND(ISNUMBER(G10), G10&gt;0, $K$3=0))</formula>
    </cfRule>
    <cfRule type="expression" dxfId="14" priority="7">
      <formula>AND(OR($D$2="Delivered",$D$2="Completed"), AND(ISNUMBER(G10), G10&gt;0, $K$3=0))</formula>
    </cfRule>
    <cfRule type="expression" dxfId="13" priority="8">
      <formula>AND(OR($D$2="Delivered",$D$2="Completed"), AND(ISNUMBER(G10), G10&gt;0, $K$3&gt;0))</formula>
    </cfRule>
    <cfRule type="expression" dxfId="12" priority="9">
      <formula>AND(OR($D$2=" Price it by Type ",$D$2=" Price it by Common ",$D$2=" Price it by Latin ", $D$2="Quote", $D$2="Order"), AND(ISNUMBER(G10), G10&gt;0, $K$4&gt;200))</formula>
    </cfRule>
  </conditionalFormatting>
  <conditionalFormatting sqref="K3:L5">
    <cfRule type="expression" dxfId="11" priority="23">
      <formula>$K$4&gt;0</formula>
    </cfRule>
  </conditionalFormatting>
  <conditionalFormatting sqref="M10:M4213">
    <cfRule type="expression" dxfId="10" priority="10">
      <formula>AND(OR($D$2=" Price it by Type ",$D$2=" Price it by Common ",$D$2=" Price it by Latin ", $D$2="Quote", $D$2="Order"), AND(ISNUMBER(G10), G10&gt;0, $K$3&gt;0))</formula>
    </cfRule>
  </conditionalFormatting>
  <conditionalFormatting sqref="N10:N4213">
    <cfRule type="expression" dxfId="9" priority="11">
      <formula>AND(OR($D$2=" Price it by Type ",$D$2=" Price it by Common ",$D$2=" Price it by Latin ", $D$2="Quote", $D$2="Order"), AND(ISNUMBER(G10), G10&gt;0, $K$3&gt;0))</formula>
    </cfRule>
  </conditionalFormatting>
  <conditionalFormatting sqref="O10:O4213">
    <cfRule type="expression" dxfId="8" priority="12">
      <formula>AND(OR($D$2=" Price it by Type ",$D$2=" Price it by Common ",$D$2=" Price it by Latin ", $D$2="Quote", $D$2="Order"), AND(ISNUMBER(G10), G10&gt;0, $K$3&gt;0))</formula>
    </cfRule>
  </conditionalFormatting>
  <conditionalFormatting sqref="P10:P4213">
    <cfRule type="expression" dxfId="7" priority="13">
      <formula>AND(OR($D$2=" Price it by Type ",$D$2=" Price it by Common ",$D$2=" Price it by Latin ", $D$2="Quote", $D$2="Order"), AND(ISNUMBER(G10), G10&gt;0, $K$3&gt;0))</formula>
    </cfRule>
  </conditionalFormatting>
  <conditionalFormatting sqref="Q10:Q4213">
    <cfRule type="expression" dxfId="6" priority="14">
      <formula>AND(OR($D$2=" Price it by Type ",$D$2=" Price it by Common ",$D$2=" Price it by Latin ", $D$2="Quote", $D$2="Order"), AND(ISNUMBER(G10), G10&gt;0, $K$3&gt;0))</formula>
    </cfRule>
  </conditionalFormatting>
  <conditionalFormatting sqref="R10:R4213">
    <cfRule type="expression" dxfId="5" priority="15">
      <formula>AND(OR($D$2=" Price it by Type ",$D$2=" Price it by Common ",$D$2=" Price it by Latin ", $D$2="Quote", $D$2="Order"), AND(ISNUMBER(G10), G10&gt;0, $K$3&gt;0))</formula>
    </cfRule>
  </conditionalFormatting>
  <conditionalFormatting sqref="AB3">
    <cfRule type="expression" dxfId="4" priority="19">
      <formula>OR($AE$9="",PlanterYesMe="No",PlanterYesMe="N",PlanterYesMe="me")</formula>
    </cfRule>
  </conditionalFormatting>
  <conditionalFormatting sqref="AB4:AB5">
    <cfRule type="expression" dxfId="3" priority="20">
      <formula>OR($AE$9="", $AE$9="No",$AE$9="N",$AE$9="me")</formula>
    </cfRule>
  </conditionalFormatting>
  <conditionalFormatting sqref="AB10:AB13">
    <cfRule type="expression" dxfId="2" priority="16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C10:AC13">
    <cfRule type="expression" dxfId="1" priority="17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D10:AD13">
    <cfRule type="expression" dxfId="0" priority="18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hyperlinks>
    <hyperlink ref="S9:T9" r:id="rId1" tooltip="open 811 Process page in a browser" display="https://nc811.org/safe-digging-process/" xr:uid="{B0AA1D05-7578-41F3-AB53-DC461B30CC61}"/>
    <hyperlink ref="AB8" location="Edison_Landscaping_Price_Summary" tooltip="go down to the schedule of planting fees in the Edison Summary near base of page" display="Edison_Landscaping_Price_Summary" xr:uid="{9979A1A8-D590-4C54-A3ED-6710899F75F9}"/>
    <hyperlink ref="BD2" r:id="rId2" location="PotSizeChart" tooltip="open Trees2Go FAQ page to the Pot Size Chart in a browser" xr:uid="{0B0E0AF6-AA7C-4DDD-A624-D5206EEB1230}"/>
    <hyperlink ref="BE3:BF3" location="CategoriesEvergreenTrees" tooltip="go to Categories area of this page" display="← go to categories" xr:uid="{391EC02E-B2F1-41F2-A4D0-AD54E5706448}"/>
    <hyperlink ref="BF4" location="'Main Page'!A1" tooltip="go to far left side of this page" display="← ←  far left" xr:uid="{72F80F2A-3F7A-4D5C-A8E3-3700F442A273}"/>
    <hyperlink ref="AT3" r:id="rId3" tooltip="open Our Sources page (of Trees2Go website) in a browser" xr:uid="{18DE8282-8EA3-4FF2-92CB-206B4230BE8A}"/>
    <hyperlink ref="AL8:AN8" r:id="rId4" tooltip="open Edisonscapes.com in a new window" display="EdisonLandscaping.com" xr:uid="{5C98ECD5-598E-4BDC-BB23-CEA964D2C33A}"/>
    <hyperlink ref="AL8:AM8" r:id="rId5" tooltip="open edisonscapes.com in a browser" display="EdisonLandscaping.com" xr:uid="{30E603A5-98DA-468D-A9FD-2219FAFC7CEA}"/>
    <hyperlink ref="AD4280" location="'Main Page'!Z9" display="go to top of Edison area" xr:uid="{BC00242A-07A7-43D4-A01A-BF97DA732B89}"/>
    <hyperlink ref="AD4238" location="'Main Page'!Z9" display="go to top of Edison area" xr:uid="{D976998B-26AD-4569-8492-A06F9440CE46}"/>
    <hyperlink ref="AM4233:AN4233" r:id="rId6" tooltip="open edisonscapes.com in a browser" display="EdisonLandscaping.com" xr:uid="{BC431AC0-DD90-43DE-9FE5-11ABCBFA14F2}"/>
    <hyperlink ref="C4216" location="QualityGuarantee" tooltip="go to Guarantee, below" display="Guaranteed" xr:uid="{2DFE80F3-347D-4E62-8933-16DA2C650CEE}"/>
    <hyperlink ref="K4279:L4279" location="TOP" tooltip="go to top of this page, to categories list" display="top of page" xr:uid="{D1626F18-3196-4290-A042-8E781F577B1E}"/>
    <hyperlink ref="K4239:L4239" location="TOP" tooltip="go to top of this page, to categories list" display="top of page" xr:uid="{8BE11C89-0008-479E-9E72-29A443ADD0BE}"/>
    <hyperlink ref="D4237" r:id="rId7" tooltip="send email to Shop@Trees2Go.com" display="mailto:Shop@Trees2Go.com" xr:uid="{DF477C25-791A-4F7C-A24A-2240527693ED}"/>
    <hyperlink ref="A4237" r:id="rId8" tooltip="open Trees2Go FAQ page in a new tab" display="Frequently Asked Questions" xr:uid="{D6751B08-328D-467B-9913-9C430984D638}"/>
    <hyperlink ref="AE4233:AF4233" r:id="rId9" tooltip="go to Edison Landscaping website in a new tab" display="Edisonscapes.com" xr:uid="{2C224974-85F1-47DA-93C8-2C105B6364B4}"/>
    <hyperlink ref="AL6:AO6" location="DeciduousDescriptionNotes" tooltip="Evergreen plants retain their foliage year-round. Includes 'Semi-Evergreen', which lose foliage when new leaves push the old off, but appear Evergreen most all the time. Colder winters may cause temporary defoliation." display="DECIDUOUS in Peach" xr:uid="{893F16AD-15BA-4EB0-9CD9-C3AE50872CF3}"/>
    <hyperlink ref="G8:I8" location="DeciduousDescription" tooltip="Deciduous plants lose their foliage each fall, and then grow all-new foliage around spring-time." display="Deciduous in Peach" xr:uid="{E0D5BD03-8A2E-492E-9795-B1574CACAE7B}"/>
    <hyperlink ref="C8:E8" location="EvergreenDescription" tooltip="Evergreen plants retain their foliage year-round. Includes 'Semi-Evergreen', which lose foliage when new leaves push the old off, but appear Evergreen most all the time. Colder winters may cause temporary defoliation." display="EVERGREEN Plants in Green" xr:uid="{D9514370-14C4-4673-B0EC-12C287AE64FC}"/>
    <hyperlink ref="AQ6:AS6" location="DeciduousDescriptionNotes" tooltip="Deciduous plants lose their foliage each fall, and then grow all-new foliage around spring-time." display="DECIDUOUS in Peach" xr:uid="{32D1C013-2CF4-4960-8348-F09AF2C559C2}"/>
    <hyperlink ref="J8:L8" r:id="rId10" tooltip="send email to Mike@Trees2Go.com" display="mailto:Mike@Trees2Go.com" xr:uid="{0225F6B9-13DA-4EEE-956D-F99891C1B53C}"/>
    <hyperlink ref="B4221" r:id="rId11" display="Mike@Trees2Go.com" xr:uid="{F1A7DDAE-3434-49FE-8C88-0E36C148B3F3}"/>
    <hyperlink ref="B4221:D4221" r:id="rId12" tooltip="send email to Shop@Trees2Go.com" display="mailto:Shop@Trees2Go.com" xr:uid="{DD8C3753-0BA7-4919-A8D2-C1882F73518D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H14" sqref="H14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38" t="s">
        <v>53</v>
      </c>
      <c r="C1" s="839"/>
    </row>
    <row r="17" spans="2:3" x14ac:dyDescent="0.25">
      <c r="C17" s="19" t="s">
        <v>54</v>
      </c>
    </row>
    <row r="18" spans="2:3" x14ac:dyDescent="0.25">
      <c r="C18" s="19" t="s">
        <v>55</v>
      </c>
    </row>
    <row r="19" spans="2:3" x14ac:dyDescent="0.25">
      <c r="C19" s="19"/>
    </row>
    <row r="20" spans="2:3" ht="15.75" x14ac:dyDescent="0.25">
      <c r="B20" s="21" t="s">
        <v>56</v>
      </c>
      <c r="C20" s="36" t="s">
        <v>226</v>
      </c>
    </row>
    <row r="21" spans="2:3" ht="15.75" x14ac:dyDescent="0.25">
      <c r="B21" s="21" t="s">
        <v>57</v>
      </c>
      <c r="C21" s="36" t="s">
        <v>58</v>
      </c>
    </row>
    <row r="22" spans="2:3" ht="15.75" x14ac:dyDescent="0.25">
      <c r="B22" s="21" t="s">
        <v>59</v>
      </c>
      <c r="C22" s="36" t="s">
        <v>238</v>
      </c>
    </row>
    <row r="23" spans="2:3" ht="15.75" x14ac:dyDescent="0.25">
      <c r="B23" s="21" t="s">
        <v>60</v>
      </c>
      <c r="C23" s="22" t="s">
        <v>227</v>
      </c>
    </row>
    <row r="24" spans="2:3" ht="15.75" x14ac:dyDescent="0.25">
      <c r="B24" s="21" t="s">
        <v>61</v>
      </c>
      <c r="C24" s="22" t="s">
        <v>62</v>
      </c>
    </row>
    <row r="25" spans="2:3" ht="15.75" x14ac:dyDescent="0.25">
      <c r="B25" s="21" t="s">
        <v>63</v>
      </c>
      <c r="C25" s="22" t="s">
        <v>64</v>
      </c>
    </row>
    <row r="26" spans="2:3" ht="15.75" x14ac:dyDescent="0.25">
      <c r="B26" s="21" t="s">
        <v>65</v>
      </c>
      <c r="C26" s="22" t="s">
        <v>239</v>
      </c>
    </row>
    <row r="27" spans="2:3" ht="15.75" x14ac:dyDescent="0.25">
      <c r="B27" s="21" t="s">
        <v>66</v>
      </c>
      <c r="C27" s="22" t="s">
        <v>67</v>
      </c>
    </row>
    <row r="28" spans="2:3" ht="15.75" x14ac:dyDescent="0.25">
      <c r="B28" s="21" t="s">
        <v>68</v>
      </c>
      <c r="C28" s="22" t="s">
        <v>69</v>
      </c>
    </row>
    <row r="29" spans="2:3" ht="15.75" x14ac:dyDescent="0.25">
      <c r="B29" s="21" t="s">
        <v>70</v>
      </c>
      <c r="C29" s="22" t="s">
        <v>272</v>
      </c>
    </row>
    <row r="30" spans="2:3" ht="15.75" x14ac:dyDescent="0.25">
      <c r="B30" s="21" t="s">
        <v>71</v>
      </c>
      <c r="C30" s="22" t="s">
        <v>273</v>
      </c>
    </row>
    <row r="31" spans="2:3" ht="15.75" x14ac:dyDescent="0.25">
      <c r="B31" s="21" t="s">
        <v>72</v>
      </c>
      <c r="C31" s="22" t="s">
        <v>73</v>
      </c>
    </row>
    <row r="32" spans="2:3" ht="15.75" x14ac:dyDescent="0.25">
      <c r="B32" s="21" t="s">
        <v>74</v>
      </c>
      <c r="C32" s="22" t="s">
        <v>76</v>
      </c>
    </row>
    <row r="33" spans="2:3" ht="15.75" x14ac:dyDescent="0.25">
      <c r="B33" s="21" t="s">
        <v>75</v>
      </c>
      <c r="C33" s="22" t="s">
        <v>240</v>
      </c>
    </row>
    <row r="34" spans="2:3" ht="15.75" x14ac:dyDescent="0.25">
      <c r="B34" s="37">
        <v>15</v>
      </c>
      <c r="C34" s="22" t="s">
        <v>142</v>
      </c>
    </row>
    <row r="35" spans="2:3" ht="15.75" x14ac:dyDescent="0.25">
      <c r="B35" s="37">
        <v>16</v>
      </c>
      <c r="C35" s="22" t="s">
        <v>229</v>
      </c>
    </row>
    <row r="36" spans="2:3" ht="15.75" x14ac:dyDescent="0.25">
      <c r="B36" s="37">
        <v>17</v>
      </c>
      <c r="C36" s="22" t="s">
        <v>228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241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77</v>
      </c>
    </row>
    <row r="2" spans="2:2" ht="5.0999999999999996" customHeight="1" x14ac:dyDescent="0.25">
      <c r="B2" s="40"/>
    </row>
    <row r="3" spans="2:2" ht="15" customHeight="1" x14ac:dyDescent="0.25">
      <c r="B3" s="41" t="s">
        <v>78</v>
      </c>
    </row>
    <row r="4" spans="2:2" ht="8.1" customHeight="1" x14ac:dyDescent="0.25">
      <c r="B4" s="41"/>
    </row>
    <row r="5" spans="2:2" ht="15" customHeight="1" x14ac:dyDescent="0.25">
      <c r="B5" s="42" t="s">
        <v>79</v>
      </c>
    </row>
    <row r="6" spans="2:2" ht="15" customHeight="1" x14ac:dyDescent="0.25">
      <c r="B6" s="43" t="s">
        <v>80</v>
      </c>
    </row>
    <row r="7" spans="2:2" ht="15" customHeight="1" x14ac:dyDescent="0.25">
      <c r="B7" s="43" t="s">
        <v>225</v>
      </c>
    </row>
    <row r="8" spans="2:2" ht="15" customHeight="1" x14ac:dyDescent="0.25">
      <c r="B8" s="43" t="s">
        <v>232</v>
      </c>
    </row>
    <row r="9" spans="2:2" ht="8.1" customHeight="1" x14ac:dyDescent="0.25">
      <c r="B9" s="41"/>
    </row>
    <row r="10" spans="2:2" ht="15" customHeight="1" x14ac:dyDescent="0.25">
      <c r="B10" s="43" t="s">
        <v>81</v>
      </c>
    </row>
    <row r="11" spans="2:2" ht="15" customHeight="1" x14ac:dyDescent="0.25">
      <c r="B11" s="42" t="s">
        <v>82</v>
      </c>
    </row>
    <row r="12" spans="2:2" ht="15" customHeight="1" x14ac:dyDescent="0.25">
      <c r="B12" s="43" t="s">
        <v>83</v>
      </c>
    </row>
    <row r="13" spans="2:2" ht="8.1" customHeight="1" x14ac:dyDescent="0.25"/>
    <row r="14" spans="2:2" ht="15" customHeight="1" x14ac:dyDescent="0.25">
      <c r="B14" s="44" t="s">
        <v>84</v>
      </c>
    </row>
    <row r="15" spans="2:2" ht="15" customHeight="1" x14ac:dyDescent="0.25">
      <c r="B15" s="43" t="s">
        <v>172</v>
      </c>
    </row>
    <row r="16" spans="2:2" ht="15" customHeight="1" x14ac:dyDescent="0.25">
      <c r="B16" s="43" t="s">
        <v>140</v>
      </c>
    </row>
    <row r="17" spans="2:2" ht="8.1" customHeight="1" x14ac:dyDescent="0.25">
      <c r="B17" s="41"/>
    </row>
    <row r="18" spans="2:2" ht="15" customHeight="1" x14ac:dyDescent="0.25">
      <c r="B18" s="42" t="s">
        <v>85</v>
      </c>
    </row>
    <row r="19" spans="2:2" ht="15" customHeight="1" x14ac:dyDescent="0.25">
      <c r="B19" s="43" t="s">
        <v>173</v>
      </c>
    </row>
    <row r="20" spans="2:2" ht="15" customHeight="1" x14ac:dyDescent="0.25">
      <c r="B20" s="43" t="s">
        <v>86</v>
      </c>
    </row>
    <row r="21" spans="2:2" ht="8.1" customHeight="1" x14ac:dyDescent="0.25">
      <c r="B21" s="43"/>
    </row>
    <row r="22" spans="2:2" ht="15" customHeight="1" x14ac:dyDescent="0.25">
      <c r="B22" s="42" t="s">
        <v>87</v>
      </c>
    </row>
    <row r="23" spans="2:2" ht="15" customHeight="1" x14ac:dyDescent="0.25">
      <c r="B23" s="43" t="s">
        <v>88</v>
      </c>
    </row>
    <row r="24" spans="2:2" ht="8.1" customHeight="1" x14ac:dyDescent="0.25">
      <c r="B24" s="43"/>
    </row>
    <row r="25" spans="2:2" ht="15" customHeight="1" x14ac:dyDescent="0.25">
      <c r="B25" s="42" t="s">
        <v>237</v>
      </c>
    </row>
    <row r="26" spans="2:2" ht="15" customHeight="1" x14ac:dyDescent="0.25">
      <c r="B26" s="42" t="s">
        <v>131</v>
      </c>
    </row>
    <row r="27" spans="2:2" ht="15" customHeight="1" x14ac:dyDescent="0.25">
      <c r="B27" s="43" t="s">
        <v>234</v>
      </c>
    </row>
    <row r="28" spans="2:2" x14ac:dyDescent="0.25">
      <c r="B28" s="43" t="s">
        <v>233</v>
      </c>
    </row>
    <row r="29" spans="2:2" ht="8.1" customHeight="1" x14ac:dyDescent="0.25">
      <c r="B29" s="45"/>
    </row>
    <row r="30" spans="2:2" ht="15" customHeight="1" x14ac:dyDescent="0.25">
      <c r="B30" s="42" t="s">
        <v>89</v>
      </c>
    </row>
    <row r="31" spans="2:2" ht="15" customHeight="1" x14ac:dyDescent="0.25">
      <c r="B31" s="43" t="s">
        <v>235</v>
      </c>
    </row>
    <row r="32" spans="2:2" ht="15" customHeight="1" x14ac:dyDescent="0.25">
      <c r="B32" s="43" t="s">
        <v>184</v>
      </c>
    </row>
    <row r="33" spans="2:2" ht="8.1" customHeight="1" x14ac:dyDescent="0.25">
      <c r="B33" s="45"/>
    </row>
    <row r="34" spans="2:2" ht="15" customHeight="1" x14ac:dyDescent="0.25">
      <c r="B34" s="46" t="s">
        <v>90</v>
      </c>
    </row>
    <row r="35" spans="2:2" ht="15" customHeight="1" x14ac:dyDescent="0.25">
      <c r="B35" s="43" t="s">
        <v>91</v>
      </c>
    </row>
    <row r="36" spans="2:2" ht="15" customHeight="1" x14ac:dyDescent="0.25">
      <c r="B36" s="43" t="s">
        <v>174</v>
      </c>
    </row>
    <row r="37" spans="2:2" ht="8.1" customHeight="1" x14ac:dyDescent="0.25"/>
    <row r="38" spans="2:2" ht="15" customHeight="1" x14ac:dyDescent="0.25">
      <c r="B38" s="42" t="s">
        <v>92</v>
      </c>
    </row>
    <row r="39" spans="2:2" ht="15" customHeight="1" x14ac:dyDescent="0.25">
      <c r="B39" s="43" t="s">
        <v>93</v>
      </c>
    </row>
    <row r="40" spans="2:2" ht="15" customHeight="1" x14ac:dyDescent="0.25">
      <c r="B40" s="43" t="s">
        <v>94</v>
      </c>
    </row>
    <row r="41" spans="2:2" ht="8.1" customHeight="1" x14ac:dyDescent="0.25"/>
    <row r="42" spans="2:2" ht="15" customHeight="1" x14ac:dyDescent="0.25">
      <c r="B42" s="42" t="s">
        <v>95</v>
      </c>
    </row>
    <row r="43" spans="2:2" ht="15" customHeight="1" x14ac:dyDescent="0.25">
      <c r="B43" s="43" t="s">
        <v>96</v>
      </c>
    </row>
    <row r="44" spans="2:2" ht="15" customHeight="1" x14ac:dyDescent="0.25">
      <c r="B44" s="43" t="s">
        <v>251</v>
      </c>
    </row>
    <row r="45" spans="2:2" ht="15" customHeight="1" x14ac:dyDescent="0.25">
      <c r="B45" s="43" t="s">
        <v>97</v>
      </c>
    </row>
    <row r="46" spans="2:2" ht="8.1" customHeight="1" x14ac:dyDescent="0.25"/>
    <row r="47" spans="2:2" ht="15" customHeight="1" x14ac:dyDescent="0.25">
      <c r="B47" s="42" t="s">
        <v>98</v>
      </c>
    </row>
    <row r="48" spans="2:2" ht="15" customHeight="1" x14ac:dyDescent="0.25">
      <c r="B48" s="43" t="s">
        <v>230</v>
      </c>
    </row>
    <row r="49" spans="2:2" ht="15" customHeight="1" x14ac:dyDescent="0.25">
      <c r="B49" s="43" t="s">
        <v>231</v>
      </c>
    </row>
    <row r="50" spans="2:2" ht="15" customHeight="1" x14ac:dyDescent="0.25">
      <c r="B50" s="43"/>
    </row>
    <row r="51" spans="2:2" ht="15" customHeight="1" x14ac:dyDescent="0.25">
      <c r="B51" s="47" t="s">
        <v>241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840" t="s">
        <v>99</v>
      </c>
      <c r="C1" s="841"/>
      <c r="D1" s="841"/>
    </row>
    <row r="2" spans="2:4" ht="8.1" customHeight="1" x14ac:dyDescent="0.25">
      <c r="B2" s="40"/>
    </row>
    <row r="3" spans="2:4" ht="15" customHeight="1" x14ac:dyDescent="0.25">
      <c r="B3" s="43" t="s">
        <v>147</v>
      </c>
    </row>
    <row r="4" spans="2:4" ht="15" customHeight="1" x14ac:dyDescent="0.25">
      <c r="B4" s="43" t="s">
        <v>144</v>
      </c>
    </row>
    <row r="5" spans="2:4" ht="15" customHeight="1" x14ac:dyDescent="0.25">
      <c r="B5" s="43" t="s">
        <v>143</v>
      </c>
    </row>
    <row r="6" spans="2:4" ht="15" customHeight="1" x14ac:dyDescent="0.25">
      <c r="B6" s="43" t="s">
        <v>146</v>
      </c>
    </row>
    <row r="7" spans="2:4" ht="15" customHeight="1" x14ac:dyDescent="0.25">
      <c r="B7" s="43" t="s">
        <v>145</v>
      </c>
    </row>
    <row r="8" spans="2:4" ht="8.1" customHeight="1" x14ac:dyDescent="0.25">
      <c r="B8" s="43"/>
    </row>
    <row r="9" spans="2:4" ht="15" customHeight="1" x14ac:dyDescent="0.25">
      <c r="B9" s="43" t="s">
        <v>100</v>
      </c>
    </row>
    <row r="10" spans="2:4" ht="8.1" customHeight="1" x14ac:dyDescent="0.25">
      <c r="B10" s="43"/>
    </row>
    <row r="11" spans="2:4" ht="15" customHeight="1" x14ac:dyDescent="0.25">
      <c r="B11" s="43" t="s">
        <v>101</v>
      </c>
    </row>
    <row r="12" spans="2:4" ht="8.1" customHeight="1" x14ac:dyDescent="0.25">
      <c r="B12" s="43"/>
    </row>
    <row r="13" spans="2:4" x14ac:dyDescent="0.25">
      <c r="B13" s="43" t="s">
        <v>102</v>
      </c>
    </row>
    <row r="14" spans="2:4" ht="8.1" customHeight="1" x14ac:dyDescent="0.25">
      <c r="B14" s="43"/>
    </row>
    <row r="15" spans="2:4" x14ac:dyDescent="0.25">
      <c r="B15" s="43" t="s">
        <v>236</v>
      </c>
    </row>
    <row r="16" spans="2:4" ht="8.1" customHeight="1" x14ac:dyDescent="0.25">
      <c r="B16" s="41"/>
    </row>
    <row r="17" spans="2:5" ht="15" customHeight="1" x14ac:dyDescent="0.25">
      <c r="B17" s="48" t="s">
        <v>135</v>
      </c>
    </row>
    <row r="18" spans="2:5" ht="15" customHeight="1" x14ac:dyDescent="0.25">
      <c r="B18" s="842" t="s">
        <v>103</v>
      </c>
      <c r="C18" s="842"/>
      <c r="D18" s="842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104</v>
      </c>
    </row>
    <row r="21" spans="2:5" ht="8.1" customHeight="1" x14ac:dyDescent="0.25">
      <c r="B21" s="41"/>
    </row>
    <row r="22" spans="2:5" ht="15" customHeight="1" x14ac:dyDescent="0.25">
      <c r="B22" s="43" t="s">
        <v>186</v>
      </c>
    </row>
    <row r="23" spans="2:5" ht="8.1" customHeight="1" x14ac:dyDescent="0.25">
      <c r="B23" s="41"/>
    </row>
    <row r="24" spans="2:5" ht="15" customHeight="1" x14ac:dyDescent="0.25">
      <c r="B24" s="43" t="s">
        <v>187</v>
      </c>
    </row>
    <row r="25" spans="2:5" ht="8.1" customHeight="1" x14ac:dyDescent="0.25">
      <c r="B25" s="41"/>
    </row>
    <row r="26" spans="2:5" ht="15" customHeight="1" x14ac:dyDescent="0.25">
      <c r="B26" s="43" t="s">
        <v>105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185</v>
      </c>
    </row>
    <row r="29" spans="2:5" ht="8.1" customHeight="1" x14ac:dyDescent="0.25"/>
    <row r="30" spans="2:5" ht="15" customHeight="1" x14ac:dyDescent="0.25">
      <c r="B30" s="43" t="s">
        <v>134</v>
      </c>
    </row>
    <row r="31" spans="2:5" ht="15" customHeight="1" x14ac:dyDescent="0.25"/>
    <row r="32" spans="2:5" ht="15" customHeight="1" x14ac:dyDescent="0.25">
      <c r="B32" s="47" t="s">
        <v>241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106</v>
      </c>
      <c r="B2" s="18" t="s">
        <v>107</v>
      </c>
      <c r="C2" s="2"/>
      <c r="D2" s="843" t="s">
        <v>108</v>
      </c>
      <c r="E2" s="844"/>
      <c r="F2" s="2"/>
      <c r="G2" s="843" t="s">
        <v>109</v>
      </c>
      <c r="H2" s="844"/>
      <c r="I2" s="845" t="s">
        <v>266</v>
      </c>
      <c r="J2" s="846"/>
      <c r="K2" s="846"/>
      <c r="L2" s="846"/>
      <c r="M2" s="29" t="s">
        <v>106</v>
      </c>
      <c r="N2" s="30" t="s">
        <v>107</v>
      </c>
    </row>
    <row r="3" spans="1:14" ht="12.75" customHeight="1" x14ac:dyDescent="0.25">
      <c r="A3" s="5">
        <f>ROUNDDOWN('Main Page'!I4243,-2)</f>
        <v>0</v>
      </c>
      <c r="B3" s="6">
        <f>+IF(A3&gt;5000,0.1,VLOOKUP(A3,A4:B54,2,FALSE))</f>
        <v>0</v>
      </c>
      <c r="C3" s="2"/>
      <c r="D3" s="16" t="s">
        <v>110</v>
      </c>
      <c r="E3" s="17" t="s">
        <v>111</v>
      </c>
      <c r="F3" s="2"/>
      <c r="G3" s="16" t="s">
        <v>110</v>
      </c>
      <c r="H3" s="17" t="s">
        <v>111</v>
      </c>
      <c r="I3" s="26"/>
      <c r="J3" s="27" t="s">
        <v>32</v>
      </c>
      <c r="K3" s="28" t="s">
        <v>33</v>
      </c>
      <c r="L3" s="23"/>
      <c r="M3" s="31">
        <f>ROUNDDOWN('Main Page'!AJ4216,-2)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29</v>
      </c>
      <c r="E5" s="33">
        <v>1.4999999999999999E-2</v>
      </c>
      <c r="F5" s="2"/>
      <c r="G5" s="11" t="s">
        <v>29</v>
      </c>
      <c r="H5" s="33">
        <v>2.5000000000000001E-2</v>
      </c>
      <c r="I5" s="23"/>
      <c r="J5" s="24" t="s">
        <v>30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27</v>
      </c>
      <c r="E6" s="9">
        <v>0.02</v>
      </c>
      <c r="F6" s="2"/>
      <c r="G6" s="8" t="s">
        <v>27</v>
      </c>
      <c r="H6" s="9">
        <v>0.03</v>
      </c>
      <c r="I6" s="23"/>
      <c r="J6" s="24" t="s">
        <v>28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190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112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113</v>
      </c>
      <c r="E24" s="10">
        <v>0.3</v>
      </c>
      <c r="F24" s="2"/>
      <c r="G24" s="11" t="s">
        <v>113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114</v>
      </c>
      <c r="E25" s="10">
        <v>0.35</v>
      </c>
      <c r="F25" s="2"/>
      <c r="G25" s="12" t="s">
        <v>114</v>
      </c>
      <c r="H25" s="10">
        <v>0.33300000000000002</v>
      </c>
      <c r="I25" s="23"/>
      <c r="J25" s="35" t="s">
        <v>27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115</v>
      </c>
      <c r="E26" s="10">
        <v>0.4</v>
      </c>
      <c r="F26" s="2"/>
      <c r="G26" s="12" t="s">
        <v>115</v>
      </c>
      <c r="H26" s="10">
        <v>0.4</v>
      </c>
      <c r="I26" s="23"/>
      <c r="J26" s="35" t="s">
        <v>29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26</v>
      </c>
      <c r="E27" s="10">
        <v>0.45</v>
      </c>
      <c r="F27" s="2"/>
      <c r="G27" s="12" t="s">
        <v>26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116</v>
      </c>
      <c r="E28" s="10">
        <v>0.5</v>
      </c>
      <c r="F28" s="2"/>
      <c r="G28" s="12" t="s">
        <v>116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117</v>
      </c>
      <c r="E29" s="10">
        <v>0.6</v>
      </c>
      <c r="F29" s="2"/>
      <c r="G29" s="12" t="s">
        <v>117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12</v>
      </c>
      <c r="E30" s="10">
        <v>0.25</v>
      </c>
      <c r="F30" s="2"/>
      <c r="G30" s="12" t="s">
        <v>12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11</v>
      </c>
      <c r="E31" s="10">
        <v>0.3</v>
      </c>
      <c r="F31" s="2"/>
      <c r="G31" s="12" t="s">
        <v>11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10</v>
      </c>
      <c r="E32" s="10">
        <v>0.35</v>
      </c>
      <c r="F32" s="2"/>
      <c r="G32" s="12" t="s">
        <v>10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22</v>
      </c>
      <c r="E33" s="10">
        <v>0.4</v>
      </c>
      <c r="F33" s="2"/>
      <c r="G33" s="12" t="s">
        <v>22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13</v>
      </c>
      <c r="E34" s="10">
        <v>0.5</v>
      </c>
      <c r="F34" s="2"/>
      <c r="G34" s="12" t="s">
        <v>13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24</v>
      </c>
      <c r="E35" s="10">
        <v>0.6</v>
      </c>
      <c r="F35" s="2"/>
      <c r="G35" s="12" t="s">
        <v>24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16</v>
      </c>
      <c r="E36" s="14">
        <v>0.7</v>
      </c>
      <c r="F36" s="15"/>
      <c r="G36" s="13" t="s">
        <v>16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118</v>
      </c>
      <c r="E37" s="14">
        <v>1</v>
      </c>
      <c r="F37" s="15"/>
      <c r="G37" s="13" t="s">
        <v>118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119</v>
      </c>
      <c r="E38" s="10">
        <v>0.25</v>
      </c>
      <c r="F38" s="2"/>
      <c r="G38" s="12" t="s">
        <v>119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120</v>
      </c>
      <c r="E39" s="10">
        <v>0.25</v>
      </c>
      <c r="F39" s="2"/>
      <c r="G39" s="12" t="s">
        <v>120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30</v>
      </c>
      <c r="E40" s="10">
        <v>0.21</v>
      </c>
      <c r="F40" s="2"/>
      <c r="G40" s="12" t="s">
        <v>30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28</v>
      </c>
      <c r="E41" s="10">
        <v>0.25</v>
      </c>
      <c r="F41" s="2"/>
      <c r="G41" s="12" t="s">
        <v>28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190</v>
      </c>
      <c r="E42" s="10">
        <v>0.45</v>
      </c>
      <c r="F42" s="2"/>
      <c r="G42" s="12" t="s">
        <v>190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112</v>
      </c>
      <c r="E43" s="10">
        <v>1.34</v>
      </c>
      <c r="F43" s="2"/>
      <c r="G43" s="12" t="s">
        <v>112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121</v>
      </c>
      <c r="E44" s="10">
        <v>0</v>
      </c>
      <c r="F44" s="2"/>
      <c r="G44" s="12" t="s">
        <v>121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122</v>
      </c>
      <c r="E45" s="10">
        <v>0</v>
      </c>
      <c r="F45" s="2"/>
      <c r="G45" s="12" t="s">
        <v>122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123</v>
      </c>
      <c r="E46" s="10">
        <v>0</v>
      </c>
      <c r="F46" s="2"/>
      <c r="G46" s="12" t="s">
        <v>123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124</v>
      </c>
      <c r="E47" s="10">
        <v>0</v>
      </c>
      <c r="F47" s="2"/>
      <c r="G47" s="12" t="s">
        <v>124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125</v>
      </c>
      <c r="E48" s="10">
        <v>1</v>
      </c>
      <c r="F48" s="2"/>
      <c r="G48" s="12" t="s">
        <v>125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126</v>
      </c>
      <c r="E49" s="10">
        <v>0</v>
      </c>
      <c r="F49" s="2"/>
      <c r="G49" s="12" t="s">
        <v>126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202</v>
      </c>
      <c r="E50" s="10">
        <v>0.21</v>
      </c>
      <c r="F50" s="2"/>
      <c r="G50" s="12" t="s">
        <v>202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14</v>
      </c>
      <c r="E51" s="10">
        <v>0.22</v>
      </c>
      <c r="F51" s="2"/>
      <c r="G51" s="12" t="s">
        <v>14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197</v>
      </c>
      <c r="E52" s="10">
        <v>0.23</v>
      </c>
      <c r="F52" s="2"/>
      <c r="G52" s="12" t="s">
        <v>197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213</v>
      </c>
      <c r="E53" s="10">
        <v>0.24</v>
      </c>
      <c r="F53" s="2"/>
      <c r="G53" s="12" t="s">
        <v>213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203</v>
      </c>
      <c r="E54" s="10">
        <v>0.26</v>
      </c>
      <c r="F54" s="2"/>
      <c r="G54" s="12" t="s">
        <v>203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214</v>
      </c>
      <c r="E55" s="10">
        <v>0.27</v>
      </c>
      <c r="F55" s="2"/>
      <c r="G55" s="12" t="s">
        <v>214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9</v>
      </c>
      <c r="E56" s="10">
        <v>0.28000000000000003</v>
      </c>
      <c r="F56" s="2"/>
      <c r="G56" s="12" t="s">
        <v>9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215</v>
      </c>
      <c r="E57" s="10">
        <v>0.28999999999999998</v>
      </c>
      <c r="F57" s="2"/>
      <c r="G57" s="12" t="s">
        <v>215</v>
      </c>
      <c r="H57" s="10">
        <v>0.28999999999999998</v>
      </c>
    </row>
    <row r="58" spans="1:14" x14ac:dyDescent="0.25">
      <c r="D58" s="12" t="s">
        <v>19</v>
      </c>
      <c r="E58" s="10">
        <v>0.31</v>
      </c>
      <c r="F58" s="2"/>
      <c r="G58" s="12" t="s">
        <v>19</v>
      </c>
      <c r="H58" s="10">
        <v>0.31</v>
      </c>
    </row>
    <row r="59" spans="1:14" x14ac:dyDescent="0.25">
      <c r="D59" s="12" t="s">
        <v>132</v>
      </c>
      <c r="E59" s="10">
        <v>0.32</v>
      </c>
      <c r="F59" s="2"/>
      <c r="G59" s="12" t="s">
        <v>132</v>
      </c>
      <c r="H59" s="10">
        <v>0.32</v>
      </c>
    </row>
    <row r="60" spans="1:14" x14ac:dyDescent="0.25">
      <c r="D60" s="12" t="s">
        <v>210</v>
      </c>
      <c r="E60" s="10">
        <v>0.33</v>
      </c>
      <c r="F60" s="2"/>
      <c r="G60" s="12" t="s">
        <v>210</v>
      </c>
      <c r="H60" s="10">
        <v>0.33</v>
      </c>
    </row>
    <row r="61" spans="1:14" x14ac:dyDescent="0.25">
      <c r="D61" s="12" t="s">
        <v>15</v>
      </c>
      <c r="E61" s="10">
        <v>0.34</v>
      </c>
      <c r="F61" s="2"/>
      <c r="G61" s="12" t="s">
        <v>15</v>
      </c>
      <c r="H61" s="10">
        <v>0.34</v>
      </c>
    </row>
    <row r="62" spans="1:14" x14ac:dyDescent="0.25">
      <c r="D62" s="12" t="s">
        <v>25</v>
      </c>
      <c r="E62" s="10">
        <v>0.36</v>
      </c>
      <c r="F62" s="2"/>
      <c r="G62" s="12" t="s">
        <v>25</v>
      </c>
      <c r="H62" s="10">
        <v>0.36</v>
      </c>
    </row>
    <row r="63" spans="1:14" x14ac:dyDescent="0.25">
      <c r="D63" s="12" t="s">
        <v>216</v>
      </c>
      <c r="E63" s="10">
        <v>0.37</v>
      </c>
      <c r="F63" s="2"/>
      <c r="G63" s="12" t="s">
        <v>216</v>
      </c>
      <c r="H63" s="10">
        <v>0.37</v>
      </c>
    </row>
    <row r="64" spans="1:14" x14ac:dyDescent="0.25">
      <c r="D64" s="12" t="s">
        <v>18</v>
      </c>
      <c r="E64" s="10">
        <v>0.38</v>
      </c>
      <c r="F64" s="2"/>
      <c r="G64" s="12" t="s">
        <v>18</v>
      </c>
      <c r="H64" s="10">
        <v>0.38</v>
      </c>
    </row>
    <row r="65" spans="4:8" x14ac:dyDescent="0.25">
      <c r="D65" s="12" t="s">
        <v>217</v>
      </c>
      <c r="E65" s="10">
        <v>0.39</v>
      </c>
      <c r="F65" s="2"/>
      <c r="G65" s="12" t="s">
        <v>217</v>
      </c>
      <c r="H65" s="10">
        <v>0.39</v>
      </c>
    </row>
    <row r="66" spans="4:8" x14ac:dyDescent="0.25">
      <c r="D66" s="12" t="s">
        <v>218</v>
      </c>
      <c r="E66" s="10">
        <v>0.41</v>
      </c>
      <c r="F66" s="2"/>
      <c r="G66" s="12" t="s">
        <v>218</v>
      </c>
      <c r="H66" s="10">
        <v>0.41</v>
      </c>
    </row>
    <row r="67" spans="4:8" x14ac:dyDescent="0.25">
      <c r="D67" s="12" t="s">
        <v>21</v>
      </c>
      <c r="E67" s="10">
        <v>0.42</v>
      </c>
      <c r="F67" s="2"/>
      <c r="G67" s="12" t="s">
        <v>21</v>
      </c>
      <c r="H67" s="10">
        <v>0.42</v>
      </c>
    </row>
    <row r="68" spans="4:8" x14ac:dyDescent="0.25">
      <c r="D68" s="12" t="s">
        <v>219</v>
      </c>
      <c r="E68" s="10">
        <v>0.43</v>
      </c>
      <c r="F68" s="2"/>
      <c r="G68" s="12" t="s">
        <v>219</v>
      </c>
      <c r="H68" s="10">
        <v>0.43</v>
      </c>
    </row>
    <row r="69" spans="4:8" x14ac:dyDescent="0.25">
      <c r="D69" s="12" t="s">
        <v>23</v>
      </c>
      <c r="E69" s="10">
        <v>0.44</v>
      </c>
      <c r="F69" s="2"/>
      <c r="G69" s="12" t="s">
        <v>23</v>
      </c>
      <c r="H69" s="10">
        <v>0.44</v>
      </c>
    </row>
    <row r="70" spans="4:8" x14ac:dyDescent="0.25">
      <c r="D70" s="12" t="s">
        <v>17</v>
      </c>
      <c r="E70" s="10">
        <v>0.46</v>
      </c>
      <c r="F70" s="2"/>
      <c r="G70" s="12" t="s">
        <v>17</v>
      </c>
      <c r="H70" s="10">
        <v>0.46</v>
      </c>
    </row>
    <row r="71" spans="4:8" x14ac:dyDescent="0.25">
      <c r="D71" s="12" t="s">
        <v>220</v>
      </c>
      <c r="E71" s="10">
        <v>0.47</v>
      </c>
      <c r="F71" s="2"/>
      <c r="G71" s="12" t="s">
        <v>220</v>
      </c>
      <c r="H71" s="10">
        <v>0.47</v>
      </c>
    </row>
    <row r="72" spans="4:8" x14ac:dyDescent="0.25">
      <c r="D72" s="12" t="s">
        <v>20</v>
      </c>
      <c r="E72" s="10">
        <v>0.48</v>
      </c>
      <c r="F72" s="2"/>
      <c r="G72" s="12" t="s">
        <v>20</v>
      </c>
      <c r="H72" s="10">
        <v>0.48</v>
      </c>
    </row>
    <row r="73" spans="4:8" x14ac:dyDescent="0.25">
      <c r="D73" s="12" t="s">
        <v>221</v>
      </c>
      <c r="E73" s="10">
        <v>0.49</v>
      </c>
      <c r="F73" s="2"/>
      <c r="G73" s="12" t="s">
        <v>221</v>
      </c>
      <c r="H73" s="10">
        <v>0.49</v>
      </c>
    </row>
    <row r="74" spans="4:8" x14ac:dyDescent="0.25">
      <c r="D74" s="12" t="s">
        <v>222</v>
      </c>
      <c r="E74" s="10">
        <v>0.51</v>
      </c>
      <c r="F74" s="2"/>
      <c r="G74" s="12" t="s">
        <v>222</v>
      </c>
      <c r="H74" s="10">
        <v>0.51</v>
      </c>
    </row>
    <row r="75" spans="4:8" x14ac:dyDescent="0.25">
      <c r="D75" s="12" t="s">
        <v>133</v>
      </c>
      <c r="E75" s="10">
        <v>0.52</v>
      </c>
      <c r="F75" s="2"/>
      <c r="G75" s="12" t="s">
        <v>133</v>
      </c>
      <c r="H75" s="10">
        <v>0.52</v>
      </c>
    </row>
    <row r="76" spans="4:8" x14ac:dyDescent="0.25">
      <c r="D76" s="12" t="s">
        <v>223</v>
      </c>
      <c r="E76" s="10">
        <v>0.53</v>
      </c>
      <c r="F76" s="2"/>
      <c r="G76" s="12" t="s">
        <v>223</v>
      </c>
      <c r="H76" s="10">
        <v>0.53</v>
      </c>
    </row>
    <row r="77" spans="4:8" x14ac:dyDescent="0.25">
      <c r="D77" s="12" t="s">
        <v>198</v>
      </c>
      <c r="E77" s="10">
        <v>0.54</v>
      </c>
      <c r="F77" s="2"/>
      <c r="G77" s="12" t="s">
        <v>198</v>
      </c>
      <c r="H77" s="10">
        <v>0.54</v>
      </c>
    </row>
    <row r="78" spans="4:8" x14ac:dyDescent="0.25">
      <c r="D78" s="12" t="s">
        <v>166</v>
      </c>
      <c r="E78" s="10">
        <v>0.56000000000000005</v>
      </c>
      <c r="F78" s="2"/>
      <c r="G78" s="12" t="s">
        <v>166</v>
      </c>
      <c r="H78" s="10">
        <v>0.56000000000000005</v>
      </c>
    </row>
    <row r="79" spans="4:8" x14ac:dyDescent="0.25">
      <c r="D79" s="12" t="s">
        <v>224</v>
      </c>
      <c r="E79" s="10">
        <v>0.56999999999999995</v>
      </c>
      <c r="F79" s="2"/>
      <c r="G79" s="12" t="s">
        <v>224</v>
      </c>
      <c r="H79" s="10">
        <v>0.56999999999999995</v>
      </c>
    </row>
    <row r="80" spans="4:8" x14ac:dyDescent="0.25">
      <c r="D80" s="12" t="s">
        <v>201</v>
      </c>
      <c r="E80" s="10">
        <v>0.57999999999999996</v>
      </c>
      <c r="F80" s="2"/>
      <c r="G80" s="12" t="s">
        <v>201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129</vt:i4>
      </vt:variant>
    </vt:vector>
  </HeadingPairs>
  <TitlesOfParts>
    <vt:vector size="134" baseType="lpstr">
      <vt:lpstr>Main Page</vt:lpstr>
      <vt:lpstr>Planting Advice</vt:lpstr>
      <vt:lpstr>Watering Advice</vt:lpstr>
      <vt:lpstr>Warranty</vt:lpstr>
      <vt:lpstr>Discount Lookup</vt:lpstr>
      <vt:lpstr>'Main Page'!_t2g_link_hdr_001</vt:lpstr>
      <vt:lpstr>'Main Page'!_t2g_link_hdr_002</vt:lpstr>
      <vt:lpstr>'Main Page'!_t2g_link_hdr_003</vt:lpstr>
      <vt:lpstr>'Main Page'!_t2g_link_hdr_004</vt:lpstr>
      <vt:lpstr>'Main Page'!_t2g_link_hdr_005</vt:lpstr>
      <vt:lpstr>'Main Page'!_t2g_link_hdr_006</vt:lpstr>
      <vt:lpstr>'Main Page'!_t2g_link_hdr_007</vt:lpstr>
      <vt:lpstr>'Main Page'!_t2g_link_hdr_008</vt:lpstr>
      <vt:lpstr>'Main Page'!_t2g_link_hdr_009</vt:lpstr>
      <vt:lpstr>'Main Page'!_t2g_link_hdr_010</vt:lpstr>
      <vt:lpstr>'Main Page'!_t2g_link_hdr_011</vt:lpstr>
      <vt:lpstr>'Main Page'!_t2g_link_hdr_012</vt:lpstr>
      <vt:lpstr>'Main Page'!_t2g_link_hdr_013</vt:lpstr>
      <vt:lpstr>'Main Page'!_t2g_link_hdr_014</vt:lpstr>
      <vt:lpstr>'Main Page'!_t2g_link_hdr_015</vt:lpstr>
      <vt:lpstr>'Main Page'!_t2g_link_hdr_016</vt:lpstr>
      <vt:lpstr>'Main Page'!_t2g_link_hdr_017</vt:lpstr>
      <vt:lpstr>'Main Page'!_t2g_link_hdr_018</vt:lpstr>
      <vt:lpstr>'Main Page'!_t2g_link_hdr_019</vt:lpstr>
      <vt:lpstr>'Main Page'!_t2g_link_hdr_020</vt:lpstr>
      <vt:lpstr>'Main Page'!_t2g_link_hdr_021</vt:lpstr>
      <vt:lpstr>'Main Page'!_t2g_link_hdr_022</vt:lpstr>
      <vt:lpstr>'Main Page'!_t2g_link_hdr_023</vt:lpstr>
      <vt:lpstr>'Main Page'!_t2g_link_hdr_024</vt:lpstr>
      <vt:lpstr>'Main Page'!_t2g_link_hdr_025</vt:lpstr>
      <vt:lpstr>AccruedDiscount</vt:lpstr>
      <vt:lpstr>AfterDiscountBeforeTax</vt:lpstr>
      <vt:lpstr>AfterDiscountTax</vt:lpstr>
      <vt:lpstr>AfterDiscountTaxCCV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DeciduousDescriptionNotes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EvergreenDescriptionNotes</vt:lpstr>
      <vt:lpstr>GUARANTEE</vt:lpstr>
      <vt:lpstr>Guaranteed</vt:lpstr>
      <vt:lpstr>includes_Free_Local_Delivery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RoundCCV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2025-10-29T10:25:36Z</dcterms:modified>
  <cp:category/>
  <cp:contentStatus/>
</cp:coreProperties>
</file>